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pivotCache/pivotCacheDefinition8.xml" ContentType="application/vnd.openxmlformats-officedocument.spreadsheetml.pivotCacheDefinition+xml"/>
  <Override PartName="/xl/pivotCache/pivotCacheRecords8.xml" ContentType="application/vnd.openxmlformats-officedocument.spreadsheetml.pivotCacheRecords+xml"/>
  <Override PartName="/xl/pivotCache/pivotCacheDefinition9.xml" ContentType="application/vnd.openxmlformats-officedocument.spreadsheetml.pivotCacheDefinition+xml"/>
  <Override PartName="/xl/pivotCache/pivotCacheRecords9.xml" ContentType="application/vnd.openxmlformats-officedocument.spreadsheetml.pivotCacheRecords+xml"/>
  <Override PartName="/xl/pivotCache/pivotCacheDefinition10.xml" ContentType="application/vnd.openxmlformats-officedocument.spreadsheetml.pivotCacheDefinition+xml"/>
  <Override PartName="/xl/pivotCache/pivotCacheRecords10.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omments1.xml" ContentType="application/vnd.openxmlformats-officedocument.spreadsheetml.comments+xml"/>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omments2.xml" ContentType="application/vnd.openxmlformats-officedocument.spreadsheetml.comments+xml"/>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omments3.xml" ContentType="application/vnd.openxmlformats-officedocument.spreadsheetml.comments+xml"/>
  <Override PartName="/xl/customProperty28.bin" ContentType="application/vnd.openxmlformats-officedocument.spreadsheetml.customProperty"/>
  <Override PartName="/xl/comments4.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ustomProperty29.bin" ContentType="application/vnd.openxmlformats-officedocument.spreadsheetml.customProperty"/>
  <Override PartName="/xl/drawings/drawing1.xml" ContentType="application/vnd.openxmlformats-officedocument.drawing+xml"/>
  <Override PartName="/xl/customProperty30.bin" ContentType="application/vnd.openxmlformats-officedocument.spreadsheetml.customProperty"/>
  <Override PartName="/xl/drawings/drawing2.xml" ContentType="application/vnd.openxmlformats-officedocument.drawing+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customProperty31.bin" ContentType="application/vnd.openxmlformats-officedocument.spreadsheetml.customProperty"/>
  <Override PartName="/xl/customProperty32.bin" ContentType="application/vnd.openxmlformats-officedocument.spreadsheetml.customProperty"/>
  <Override PartName="/xl/drawings/drawing3.xml" ContentType="application/vnd.openxmlformats-officedocument.drawing+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customProperty33.bin" ContentType="application/vnd.openxmlformats-officedocument.spreadsheetml.customProperty"/>
  <Override PartName="/xl/customProperty34.bin" ContentType="application/vnd.openxmlformats-officedocument.spreadsheetml.customProperty"/>
  <Override PartName="/xl/drawings/drawing4.xml" ContentType="application/vnd.openxmlformats-officedocument.drawing+xml"/>
  <Override PartName="/xl/customProperty35.bin" ContentType="application/vnd.openxmlformats-officedocument.spreadsheetml.customProperty"/>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drawings/drawing5.xml" ContentType="application/vnd.openxmlformats-officedocument.drawing+xml"/>
  <Override PartName="/xl/comments5.xml" ContentType="application/vnd.openxmlformats-officedocument.spreadsheetml.comments+xml"/>
  <Override PartName="/xl/threadedComments/threadedComment1.xml" ContentType="application/vnd.ms-excel.threadedcomments+xml"/>
  <Override PartName="/xl/customProperty39.bin" ContentType="application/vnd.openxmlformats-officedocument.spreadsheetml.customProperty"/>
  <Override PartName="/xl/drawings/drawing6.xml" ContentType="application/vnd.openxmlformats-officedocument.drawing+xml"/>
  <Override PartName="/xl/customProperty40.bin" ContentType="application/vnd.openxmlformats-officedocument.spreadsheetml.customProperty"/>
  <Override PartName="/xl/drawings/drawing7.xml" ContentType="application/vnd.openxmlformats-officedocument.drawing+xml"/>
  <Override PartName="/xl/comments6.xml" ContentType="application/vnd.openxmlformats-officedocument.spreadsheetml.comments+xml"/>
  <Override PartName="/xl/threadedComments/threadedComment2.xml" ContentType="application/vnd.ms-excel.threadedcomments+xml"/>
  <Override PartName="/xl/customProperty41.bin" ContentType="application/vnd.openxmlformats-officedocument.spreadsheetml.customProperty"/>
  <Override PartName="/xl/drawings/drawing8.xml" ContentType="application/vnd.openxmlformats-officedocument.drawing+xml"/>
  <Override PartName="/xl/customProperty42.bin" ContentType="application/vnd.openxmlformats-officedocument.spreadsheetml.customProperty"/>
  <Override PartName="/xl/drawings/drawing9.xml" ContentType="application/vnd.openxmlformats-officedocument.drawing+xml"/>
  <Override PartName="/xl/customProperty43.bin" ContentType="application/vnd.openxmlformats-officedocument.spreadsheetml.customProperty"/>
  <Override PartName="/xl/drawings/drawing10.xml" ContentType="application/vnd.openxmlformats-officedocument.drawing+xml"/>
  <Override PartName="/xl/comments7.xml" ContentType="application/vnd.openxmlformats-officedocument.spreadsheetml.comments+xml"/>
  <Override PartName="/xl/threadedComments/threadedComment3.xml" ContentType="application/vnd.ms-excel.threadedcomments+xml"/>
  <Override PartName="/xl/customProperty44.bin" ContentType="application/vnd.openxmlformats-officedocument.spreadsheetml.customProperty"/>
  <Override PartName="/xl/drawings/drawing11.xml" ContentType="application/vnd.openxmlformats-officedocument.drawing+xml"/>
  <Override PartName="/xl/customProperty45.bin" ContentType="application/vnd.openxmlformats-officedocument.spreadsheetml.customProperty"/>
  <Override PartName="/xl/drawings/drawing12.xml" ContentType="application/vnd.openxmlformats-officedocument.drawing+xml"/>
  <Override PartName="/xl/comments8.xml" ContentType="application/vnd.openxmlformats-officedocument.spreadsheetml.comments+xml"/>
  <Override PartName="/xl/customProperty46.bin" ContentType="application/vnd.openxmlformats-officedocument.spreadsheetml.customProperty"/>
  <Override PartName="/xl/drawings/drawing13.xml" ContentType="application/vnd.openxmlformats-officedocument.drawing+xml"/>
  <Override PartName="/xl/comments9.xml" ContentType="application/vnd.openxmlformats-officedocument.spreadsheetml.comments+xml"/>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omments10.xml" ContentType="application/vnd.openxmlformats-officedocument.spreadsheetml.comments+xml"/>
  <Override PartName="/xl/threadedComments/threadedComment4.xml" ContentType="application/vnd.ms-excel.threadedcomments+xml"/>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customProperty57.bin" ContentType="application/vnd.openxmlformats-officedocument.spreadsheetml.customProperty"/>
  <Override PartName="/xl/customProperty58.bin" ContentType="application/vnd.openxmlformats-officedocument.spreadsheetml.customProperty"/>
  <Override PartName="/xl/customProperty59.bin" ContentType="application/vnd.openxmlformats-officedocument.spreadsheetml.customProperty"/>
  <Override PartName="/xl/customProperty60.bin" ContentType="application/vnd.openxmlformats-officedocument.spreadsheetml.customProperty"/>
  <Override PartName="/xl/pivotTables/pivotTable12.xml" ContentType="application/vnd.openxmlformats-officedocument.spreadsheetml.pivotTable+xml"/>
  <Override PartName="/xl/customProperty61.bin" ContentType="application/vnd.openxmlformats-officedocument.spreadsheetml.customProperty"/>
  <Override PartName="/xl/pivotTables/pivotTable13.xml" ContentType="application/vnd.openxmlformats-officedocument.spreadsheetml.pivotTable+xml"/>
  <Override PartName="/xl/customProperty62.bin" ContentType="application/vnd.openxmlformats-officedocument.spreadsheetml.customProperty"/>
  <Override PartName="/xl/pivotTables/pivotTable14.xml" ContentType="application/vnd.openxmlformats-officedocument.spreadsheetml.pivotTable+xml"/>
  <Override PartName="/xl/customProperty63.bin" ContentType="application/vnd.openxmlformats-officedocument.spreadsheetml.customProperty"/>
  <Override PartName="/xl/customProperty64.bin" ContentType="application/vnd.openxmlformats-officedocument.spreadsheetml.customProperty"/>
  <Override PartName="/xl/pivotTables/pivotTable15.xml" ContentType="application/vnd.openxmlformats-officedocument.spreadsheetml.pivotTable+xml"/>
  <Override PartName="/xl/customProperty65.bin" ContentType="application/vnd.openxmlformats-officedocument.spreadsheetml.customProperty"/>
  <Override PartName="/xl/comments11.xml" ContentType="application/vnd.openxmlformats-officedocument.spreadsheetml.comments+xml"/>
  <Override PartName="/xl/pivotTables/pivotTable16.xml" ContentType="application/vnd.openxmlformats-officedocument.spreadsheetml.pivotTable+xml"/>
  <Override PartName="/xl/customProperty66.bin" ContentType="application/vnd.openxmlformats-officedocument.spreadsheetml.customProperty"/>
  <Override PartName="/xl/comments12.xml" ContentType="application/vnd.openxmlformats-officedocument.spreadsheetml.comments+xml"/>
  <Override PartName="/xl/pivotTables/pivotTable17.xml" ContentType="application/vnd.openxmlformats-officedocument.spreadsheetml.pivotTable+xml"/>
  <Override PartName="/xl/customProperty67.bin" ContentType="application/vnd.openxmlformats-officedocument.spreadsheetml.customProperty"/>
  <Override PartName="/xl/comments13.xml" ContentType="application/vnd.openxmlformats-officedocument.spreadsheetml.comments+xml"/>
  <Override PartName="/xl/customProperty68.bin" ContentType="application/vnd.openxmlformats-officedocument.spreadsheetml.customProperty"/>
  <Override PartName="/xl/customProperty69.bin" ContentType="application/vnd.openxmlformats-officedocument.spreadsheetml.customProperty"/>
  <Override PartName="/xl/customProperty70.bin" ContentType="application/vnd.openxmlformats-officedocument.spreadsheetml.customProperty"/>
  <Override PartName="/xl/comments14.xml" ContentType="application/vnd.openxmlformats-officedocument.spreadsheetml.comments+xml"/>
  <Override PartName="/xl/customProperty71.bin" ContentType="application/vnd.openxmlformats-officedocument.spreadsheetml.customProperty"/>
  <Override PartName="/xl/customProperty72.bin" ContentType="application/vnd.openxmlformats-officedocument.spreadsheetml.customProperty"/>
  <Override PartName="/xl/customProperty73.bin" ContentType="application/vnd.openxmlformats-officedocument.spreadsheetml.customProperty"/>
  <Override PartName="/xl/customProperty74.bin" ContentType="application/vnd.openxmlformats-officedocument.spreadsheetml.customProperty"/>
  <Override PartName="/xl/customProperty75.bin" ContentType="application/vnd.openxmlformats-officedocument.spreadsheetml.customProperty"/>
  <Override PartName="/xl/customProperty76.bin" ContentType="application/vnd.openxmlformats-officedocument.spreadsheetml.customProperty"/>
  <Override PartName="/xl/customProperty77.bin" ContentType="application/vnd.openxmlformats-officedocument.spreadsheetml.customProperty"/>
  <Override PartName="/xl/customProperty78.bin" ContentType="application/vnd.openxmlformats-officedocument.spreadsheetml.customProperty"/>
  <Override PartName="/xl/customProperty79.bin" ContentType="application/vnd.openxmlformats-officedocument.spreadsheetml.customProperty"/>
  <Override PartName="/xl/customProperty80.bin" ContentType="application/vnd.openxmlformats-officedocument.spreadsheetml.customProperty"/>
  <Override PartName="/xl/customProperty81.bin" ContentType="application/vnd.openxmlformats-officedocument.spreadsheetml.customProperty"/>
  <Override PartName="/xl/customProperty82.bin" ContentType="application/vnd.openxmlformats-officedocument.spreadsheetml.customProperty"/>
  <Override PartName="/xl/customProperty83.bin" ContentType="application/vnd.openxmlformats-officedocument.spreadsheetml.customProperty"/>
  <Override PartName="/xl/customProperty84.bin" ContentType="application/vnd.openxmlformats-officedocument.spreadsheetml.customProperty"/>
  <Override PartName="/xl/customProperty85.bin" ContentType="application/vnd.openxmlformats-officedocument.spreadsheetml.customProperty"/>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hidePivotFieldList="1" defaultThemeVersion="124226"/>
  <mc:AlternateContent xmlns:mc="http://schemas.openxmlformats.org/markup-compatibility/2006">
    <mc:Choice Requires="x15">
      <x15ac:absPath xmlns:x15ac="http://schemas.microsoft.com/office/spreadsheetml/2010/11/ac" url="Y:\ASC Forecast Modeling\Scenario Analysis\2025.10 565 Tx Only 925 In\AP1\w565 and 925 in redaction\"/>
    </mc:Choice>
  </mc:AlternateContent>
  <xr:revisionPtr revIDLastSave="0" documentId="13_ncr:1_{C26E13F4-43CE-4165-9141-1C0BDD7615F1}" xr6:coauthVersionLast="47" xr6:coauthVersionMax="47" xr10:uidLastSave="{00000000-0000-0000-0000-000000000000}"/>
  <workbookProtection workbookAlgorithmName="SHA-512" workbookHashValue="7yOodLVNrh+OYfe7U8koBwnXo9/1yKjIS4E2VyiRcBFKrxa4M1tkV10mZoOkFvx8v+tWjhKxgOzW6bouyQxGtQ==" workbookSaltValue="kjFBqvG/ohfZZsw9gtwabQ==" workbookSpinCount="100000" lockStructure="1"/>
  <bookViews>
    <workbookView xWindow="-120" yWindow="-120" windowWidth="25440" windowHeight="15270" tabRatio="868" firstSheet="10" activeTab="15" xr2:uid="{00000000-000D-0000-FFFF-FFFF00000000}"/>
  </bookViews>
  <sheets>
    <sheet name="Revisions_2026-28" sheetId="89" state="hidden" r:id="rId1"/>
    <sheet name="TOC" sheetId="81" r:id="rId2"/>
    <sheet name="Sch 1- Rate Base " sheetId="166" r:id="rId3"/>
    <sheet name="Sch 1A - Cash Working Capital" sheetId="32" r:id="rId4"/>
    <sheet name="Sch 2 -Rate of Return" sheetId="167" r:id="rId5"/>
    <sheet name="Sch 3 - Expenses" sheetId="169" r:id="rId6"/>
    <sheet name="Sch 3A - Taxes" sheetId="170" r:id="rId7"/>
    <sheet name="Sch 3B - Other Items" sheetId="171" r:id="rId8"/>
    <sheet name="Sch 4 - Average System Cost" sheetId="7" r:id="rId9"/>
    <sheet name="3-YEAR PP &amp; OSS Worksheet" sheetId="168" r:id="rId10"/>
    <sheet name="Load Forecast" sheetId="172" r:id="rId11"/>
    <sheet name="Distribution Loss Calc" sheetId="173" r:id="rId12"/>
    <sheet name="Salaries" sheetId="174" r:id="rId13"/>
    <sheet name="Ratios" sheetId="35" r:id="rId14"/>
    <sheet name="A-RHWM_Ratios" sheetId="82" r:id="rId15"/>
    <sheet name="New Resources - Individual" sheetId="76" r:id="rId16"/>
    <sheet name="New Resources - Group" sheetId="70" r:id="rId17"/>
    <sheet name="Materiality -  Group" sheetId="80" r:id="rId18"/>
    <sheet name="Materiality - Individual" sheetId="79" r:id="rId19"/>
    <sheet name="Wind_Resources_Costs" sheetId="176" r:id="rId20"/>
    <sheet name="NLSL_Base_New-Calc" sheetId="177" r:id="rId21"/>
    <sheet name="Above-RHWM_Base_Calc" sheetId="83" state="hidden" r:id="rId22"/>
    <sheet name="Tiered Rates" sheetId="78" state="hidden" r:id="rId23"/>
    <sheet name="WORKPAPERS-&gt;" sheetId="91" state="hidden" r:id="rId24"/>
    <sheet name="2022 GRC Compliance COC+ConvF" sheetId="92" state="hidden" r:id="rId25"/>
    <sheet name="Four Factor Allocator" sheetId="93" state="hidden" r:id="rId26"/>
    <sheet name="RB Adj Direct Summary" sheetId="163" state="hidden" r:id="rId27"/>
    <sheet name="Reconcile Other RB Items" sheetId="162" state="hidden" r:id="rId28"/>
    <sheet name="389-399 Common_Summary" sheetId="160" state="hidden" r:id="rId29"/>
    <sheet name="FERC C389-399 Common" sheetId="97" state="hidden" r:id="rId30"/>
    <sheet name="E Intangible_Summary" sheetId="98" state="hidden" r:id="rId31"/>
    <sheet name="E Intangible" sheetId="99" state="hidden" r:id="rId32"/>
    <sheet name="C Intangible_Summary" sheetId="100" state="hidden" r:id="rId33"/>
    <sheet name="C Intangible New" sheetId="101" state="hidden" r:id="rId34"/>
    <sheet name="FERC CWIP Adjustments to Plant" sheetId="102" state="hidden" r:id="rId35"/>
    <sheet name="E Intangible Adj. Notes" sheetId="103" state="hidden" r:id="rId36"/>
    <sheet name="Balance &amp; Depr" sheetId="104" state="hidden" r:id="rId37"/>
    <sheet name="DIRECT 456" sheetId="105" state="hidden" r:id="rId38"/>
    <sheet name="DIRECT 421" sheetId="106" state="hidden" r:id="rId39"/>
    <sheet name="DIRECT 4073 &amp; 4074" sheetId="107" state="hidden" r:id="rId40"/>
    <sheet name="DIRECT Int Amort E302 and E303" sheetId="108" state="hidden" r:id="rId41"/>
    <sheet name="DIRECT Common Depr &amp; Amort Exp" sheetId="154" state="hidden" r:id="rId42"/>
    <sheet name="DIRECT 406E &amp; 407E" sheetId="110" state="hidden" r:id="rId43"/>
    <sheet name="DIRECT 411.6 &amp; 411.7" sheetId="111" state="hidden" r:id="rId44"/>
    <sheet name="557 Details" sheetId="112" state="hidden" r:id="rId45"/>
    <sheet name="DIRECT 908" sheetId="113" state="hidden" r:id="rId46"/>
    <sheet name="FERC PAGES -&gt; " sheetId="114" state="hidden" r:id="rId47"/>
    <sheet name="FERC p110-111 Assets" sheetId="115" state="hidden" r:id="rId48"/>
    <sheet name="FERC p112-113 Liabilities" sheetId="116" state="hidden" r:id="rId49"/>
    <sheet name="FERC p114-117a Income" sheetId="117" state="hidden" r:id="rId50"/>
    <sheet name="FERC p200-201 Utility Plant" sheetId="118" state="hidden" r:id="rId51"/>
    <sheet name="FERC p204-207 Electric Plant" sheetId="119" state="hidden" r:id="rId52"/>
    <sheet name="FERC p219 Acc. Depr. Elec Plant" sheetId="120" state="hidden" r:id="rId53"/>
    <sheet name="FERC p232 Other Reg Assets" sheetId="121" state="hidden" r:id="rId54"/>
    <sheet name="FERC p233 Misc. Deferred Debits" sheetId="122" state="hidden" r:id="rId55"/>
    <sheet name="FERC p256-257 L-T Debt" sheetId="123" state="hidden" r:id="rId56"/>
    <sheet name="FERC p262 Taxes" sheetId="124" state="hidden" r:id="rId57"/>
    <sheet name="FERC p269 Deferred Credits" sheetId="125" state="hidden" r:id="rId58"/>
    <sheet name="FERC p278 Other Reg. Liab" sheetId="126" state="hidden" r:id="rId59"/>
    <sheet name="FERC p300-301 Op Revenues" sheetId="127" state="hidden" r:id="rId60"/>
    <sheet name="FERC p310-311 Sales for Rsl 23" sheetId="151" state="hidden" r:id="rId61"/>
    <sheet name="FERC p310-311 Sales for Rsl 22" sheetId="128" state="hidden" r:id="rId62"/>
    <sheet name="FERC p310-311 Sales for Rsl 21" sheetId="129" state="hidden" r:id="rId63"/>
    <sheet name="FERC p320-323 Elec. O&amp;M" sheetId="131" state="hidden" r:id="rId64"/>
    <sheet name="FERC p326-327 Purchased Pwr 23" sheetId="152" state="hidden" r:id="rId65"/>
    <sheet name="FERC p326-327 Purchased Pwr 22" sheetId="134" state="hidden" r:id="rId66"/>
    <sheet name="FERC p326-327 Purchased Pwr 21" sheetId="133" state="hidden" r:id="rId67"/>
    <sheet name="FERC p329-330 Trans for Others" sheetId="135" state="hidden" r:id="rId68"/>
    <sheet name="FERC p332 Trans by Others" sheetId="136" state="hidden" r:id="rId69"/>
    <sheet name="FERC p336 Dep &amp; Amort" sheetId="137" state="hidden" r:id="rId70"/>
    <sheet name="FERC p354-355 Salaries &amp; Wages" sheetId="138" state="hidden" r:id="rId71"/>
    <sheet name="FERC p356 Common Plant" sheetId="139" state="hidden" r:id="rId72"/>
    <sheet name="FERC p401a Energy Acct BP - 23" sheetId="153" state="hidden" r:id="rId73"/>
    <sheet name="FERC p401a Energy Acct BP - 22" sheetId="140" state="hidden" r:id="rId74"/>
    <sheet name="FERC p401a Energy Acct BP - 21" sheetId="141" state="hidden" r:id="rId75"/>
    <sheet name="FERC p401a Energy Acct BP - 20" sheetId="142" state="hidden" r:id="rId76"/>
    <sheet name="FERC p401a Energy Acct BP - 19" sheetId="143" state="hidden" r:id="rId77"/>
    <sheet name="FERC p402-403 Steam-Elec (a)" sheetId="145" state="hidden" r:id="rId78"/>
    <sheet name="FERC p402-403 Steam-Elec (b)" sheetId="146" state="hidden" r:id="rId79"/>
    <sheet name="FERC p402-403 Steam-Elec (c)" sheetId="147" state="hidden" r:id="rId80"/>
    <sheet name="FERC p406-407 Hydro" sheetId="148" state="hidden" r:id="rId81"/>
    <sheet name="FERC p410-411" sheetId="149" state="hidden" r:id="rId82"/>
    <sheet name="PSE F24 Forecast Load" sheetId="150" state="hidden" r:id="rId83"/>
    <sheet name="ForecastImport" sheetId="85" state="hidden" r:id="rId84"/>
    <sheet name="DataImport" sheetId="90" state="hidden" r:id="rId85"/>
  </sheets>
  <definedNames>
    <definedName name="_Fill" localSheetId="39" hidden="1">#REF!</definedName>
    <definedName name="_Fill" localSheetId="38" hidden="1">#REF!</definedName>
    <definedName name="_Fill" localSheetId="37" hidden="1">#REF!</definedName>
    <definedName name="_Fill" localSheetId="41" hidden="1">#REF!</definedName>
    <definedName name="_Fill" localSheetId="40" hidden="1">#REF!</definedName>
    <definedName name="_Fill" localSheetId="60" hidden="1">#REF!</definedName>
    <definedName name="_Fill" localSheetId="64" hidden="1">#REF!</definedName>
    <definedName name="_Fill" localSheetId="72" hidden="1">#REF!</definedName>
    <definedName name="_Fill" localSheetId="25" hidden="1">#REF!</definedName>
    <definedName name="_Fill" hidden="1">#REF!</definedName>
    <definedName name="_xlnm._FilterDatabase" localSheetId="33" hidden="1">'C Intangible New'!$A$1:$Q$398</definedName>
    <definedName name="_xlnm._FilterDatabase" localSheetId="31" hidden="1">'E Intangible'!$A$1:$Q$140</definedName>
    <definedName name="_xlnm._FilterDatabase" localSheetId="29" hidden="1">'FERC C389-399 Common'!$A$1:$P$2083</definedName>
    <definedName name="_xlnm._FilterDatabase" localSheetId="26" hidden="1">'RB Adj Direct Summary'!$A$6:$O$751</definedName>
    <definedName name="_Order1" hidden="1">255</definedName>
    <definedName name="_Order2" hidden="1">255</definedName>
    <definedName name="AccessDatabase" hidden="1">"I:\COMTREL\FINICLE\TradeSummary.mdb"</definedName>
    <definedName name="b" localSheetId="28" hidden="1">{#N/A,#N/A,FALSE,"Coversheet";#N/A,#N/A,FALSE,"QA"}</definedName>
    <definedName name="b" localSheetId="9" hidden="1">{#N/A,#N/A,FALSE,"Coversheet";#N/A,#N/A,FALSE,"QA"}</definedName>
    <definedName name="b" localSheetId="36" hidden="1">{#N/A,#N/A,FALSE,"Coversheet";#N/A,#N/A,FALSE,"QA"}</definedName>
    <definedName name="b" localSheetId="39" hidden="1">{#N/A,#N/A,FALSE,"Coversheet";#N/A,#N/A,FALSE,"QA"}</definedName>
    <definedName name="b" localSheetId="38" hidden="1">{#N/A,#N/A,FALSE,"Coversheet";#N/A,#N/A,FALSE,"QA"}</definedName>
    <definedName name="b" localSheetId="37" hidden="1">{#N/A,#N/A,FALSE,"Coversheet";#N/A,#N/A,FALSE,"QA"}</definedName>
    <definedName name="b" localSheetId="41" hidden="1">{#N/A,#N/A,FALSE,"Coversheet";#N/A,#N/A,FALSE,"QA"}</definedName>
    <definedName name="b" localSheetId="40" hidden="1">{#N/A,#N/A,FALSE,"Coversheet";#N/A,#N/A,FALSE,"QA"}</definedName>
    <definedName name="b" localSheetId="11" hidden="1">{#N/A,#N/A,FALSE,"Coversheet";#N/A,#N/A,FALSE,"QA"}</definedName>
    <definedName name="b" localSheetId="34" hidden="1">{#N/A,#N/A,FALSE,"Coversheet";#N/A,#N/A,FALSE,"QA"}</definedName>
    <definedName name="b" localSheetId="56" hidden="1">{#N/A,#N/A,FALSE,"Coversheet";#N/A,#N/A,FALSE,"QA"}</definedName>
    <definedName name="b" localSheetId="59" hidden="1">{#N/A,#N/A,FALSE,"Coversheet";#N/A,#N/A,FALSE,"QA"}</definedName>
    <definedName name="b" localSheetId="66" hidden="1">{#N/A,#N/A,FALSE,"Coversheet";#N/A,#N/A,FALSE,"QA"}</definedName>
    <definedName name="b" localSheetId="65" hidden="1">{#N/A,#N/A,FALSE,"Coversheet";#N/A,#N/A,FALSE,"QA"}</definedName>
    <definedName name="b" localSheetId="64" hidden="1">{#N/A,#N/A,FALSE,"Coversheet";#N/A,#N/A,FALSE,"QA"}</definedName>
    <definedName name="b" localSheetId="25" hidden="1">{#N/A,#N/A,FALSE,"Coversheet";#N/A,#N/A,FALSE,"QA"}</definedName>
    <definedName name="b" localSheetId="10" hidden="1">{#N/A,#N/A,FALSE,"Coversheet";#N/A,#N/A,FALSE,"QA"}</definedName>
    <definedName name="b" localSheetId="20" hidden="1">{#N/A,#N/A,FALSE,"Coversheet";#N/A,#N/A,FALSE,"QA"}</definedName>
    <definedName name="b" localSheetId="26" hidden="1">{#N/A,#N/A,FALSE,"Coversheet";#N/A,#N/A,FALSE,"QA"}</definedName>
    <definedName name="b" localSheetId="27" hidden="1">{#N/A,#N/A,FALSE,"Coversheet";#N/A,#N/A,FALSE,"QA"}</definedName>
    <definedName name="b" localSheetId="12" hidden="1">{#N/A,#N/A,FALSE,"Coversheet";#N/A,#N/A,FALSE,"QA"}</definedName>
    <definedName name="b" localSheetId="2" hidden="1">{#N/A,#N/A,FALSE,"Coversheet";#N/A,#N/A,FALSE,"QA"}</definedName>
    <definedName name="b" localSheetId="4" hidden="1">{#N/A,#N/A,FALSE,"Coversheet";#N/A,#N/A,FALSE,"QA"}</definedName>
    <definedName name="b" localSheetId="5" hidden="1">{#N/A,#N/A,FALSE,"Coversheet";#N/A,#N/A,FALSE,"QA"}</definedName>
    <definedName name="b" localSheetId="6" hidden="1">{#N/A,#N/A,FALSE,"Coversheet";#N/A,#N/A,FALSE,"QA"}</definedName>
    <definedName name="b" localSheetId="7" hidden="1">{#N/A,#N/A,FALSE,"Coversheet";#N/A,#N/A,FALSE,"QA"}</definedName>
    <definedName name="b" localSheetId="19" hidden="1">{#N/A,#N/A,FALSE,"Coversheet";#N/A,#N/A,FALSE,"QA"}</definedName>
    <definedName name="b" hidden="1">{#N/A,#N/A,FALSE,"Coversheet";#N/A,#N/A,FALSE,"QA"}</definedName>
    <definedName name="CBWorkbookPriority" hidden="1">-2060790043</definedName>
    <definedName name="DELETE01" localSheetId="28" hidden="1">{#N/A,#N/A,FALSE,"Coversheet";#N/A,#N/A,FALSE,"QA"}</definedName>
    <definedName name="DELETE01" localSheetId="9" hidden="1">{#N/A,#N/A,FALSE,"Coversheet";#N/A,#N/A,FALSE,"QA"}</definedName>
    <definedName name="DELETE01" localSheetId="36" hidden="1">{#N/A,#N/A,FALSE,"Coversheet";#N/A,#N/A,FALSE,"QA"}</definedName>
    <definedName name="DELETE01" localSheetId="39" hidden="1">{#N/A,#N/A,FALSE,"Coversheet";#N/A,#N/A,FALSE,"QA"}</definedName>
    <definedName name="DELETE01" localSheetId="38" hidden="1">{#N/A,#N/A,FALSE,"Coversheet";#N/A,#N/A,FALSE,"QA"}</definedName>
    <definedName name="DELETE01" localSheetId="37" hidden="1">{#N/A,#N/A,FALSE,"Coversheet";#N/A,#N/A,FALSE,"QA"}</definedName>
    <definedName name="DELETE01" localSheetId="41" hidden="1">{#N/A,#N/A,FALSE,"Coversheet";#N/A,#N/A,FALSE,"QA"}</definedName>
    <definedName name="DELETE01" localSheetId="40" hidden="1">{#N/A,#N/A,FALSE,"Coversheet";#N/A,#N/A,FALSE,"QA"}</definedName>
    <definedName name="DELETE01" localSheetId="11" hidden="1">{#N/A,#N/A,FALSE,"Coversheet";#N/A,#N/A,FALSE,"QA"}</definedName>
    <definedName name="DELETE01" localSheetId="34" hidden="1">{#N/A,#N/A,FALSE,"Coversheet";#N/A,#N/A,FALSE,"QA"}</definedName>
    <definedName name="DELETE01" localSheetId="56" hidden="1">{#N/A,#N/A,FALSE,"Coversheet";#N/A,#N/A,FALSE,"QA"}</definedName>
    <definedName name="DELETE01" localSheetId="59" hidden="1">{#N/A,#N/A,FALSE,"Coversheet";#N/A,#N/A,FALSE,"QA"}</definedName>
    <definedName name="DELETE01" localSheetId="66" hidden="1">{#N/A,#N/A,FALSE,"Coversheet";#N/A,#N/A,FALSE,"QA"}</definedName>
    <definedName name="DELETE01" localSheetId="65" hidden="1">{#N/A,#N/A,FALSE,"Coversheet";#N/A,#N/A,FALSE,"QA"}</definedName>
    <definedName name="DELETE01" localSheetId="64" hidden="1">{#N/A,#N/A,FALSE,"Coversheet";#N/A,#N/A,FALSE,"QA"}</definedName>
    <definedName name="DELETE01" localSheetId="25" hidden="1">{#N/A,#N/A,FALSE,"Coversheet";#N/A,#N/A,FALSE,"QA"}</definedName>
    <definedName name="DELETE01" localSheetId="10" hidden="1">{#N/A,#N/A,FALSE,"Coversheet";#N/A,#N/A,FALSE,"QA"}</definedName>
    <definedName name="DELETE01" localSheetId="20" hidden="1">{#N/A,#N/A,FALSE,"Coversheet";#N/A,#N/A,FALSE,"QA"}</definedName>
    <definedName name="DELETE01" localSheetId="26" hidden="1">{#N/A,#N/A,FALSE,"Coversheet";#N/A,#N/A,FALSE,"QA"}</definedName>
    <definedName name="DELETE01" localSheetId="27" hidden="1">{#N/A,#N/A,FALSE,"Coversheet";#N/A,#N/A,FALSE,"QA"}</definedName>
    <definedName name="DELETE01" localSheetId="12" hidden="1">{#N/A,#N/A,FALSE,"Coversheet";#N/A,#N/A,FALSE,"QA"}</definedName>
    <definedName name="DELETE01" localSheetId="2" hidden="1">{#N/A,#N/A,FALSE,"Coversheet";#N/A,#N/A,FALSE,"QA"}</definedName>
    <definedName name="DELETE01" localSheetId="4" hidden="1">{#N/A,#N/A,FALSE,"Coversheet";#N/A,#N/A,FALSE,"QA"}</definedName>
    <definedName name="DELETE01" localSheetId="5" hidden="1">{#N/A,#N/A,FALSE,"Coversheet";#N/A,#N/A,FALSE,"QA"}</definedName>
    <definedName name="DELETE01" localSheetId="6" hidden="1">{#N/A,#N/A,FALSE,"Coversheet";#N/A,#N/A,FALSE,"QA"}</definedName>
    <definedName name="DELETE01" localSheetId="7" hidden="1">{#N/A,#N/A,FALSE,"Coversheet";#N/A,#N/A,FALSE,"QA"}</definedName>
    <definedName name="DELETE01" localSheetId="19" hidden="1">{#N/A,#N/A,FALSE,"Coversheet";#N/A,#N/A,FALSE,"QA"}</definedName>
    <definedName name="DELETE01" hidden="1">{#N/A,#N/A,FALSE,"Coversheet";#N/A,#N/A,FALSE,"QA"}</definedName>
    <definedName name="DELETE02" localSheetId="28" hidden="1">{#N/A,#N/A,FALSE,"Schedule F";#N/A,#N/A,FALSE,"Schedule G"}</definedName>
    <definedName name="DELETE02" localSheetId="9" hidden="1">{#N/A,#N/A,FALSE,"Schedule F";#N/A,#N/A,FALSE,"Schedule G"}</definedName>
    <definedName name="DELETE02" localSheetId="36" hidden="1">{#N/A,#N/A,FALSE,"Schedule F";#N/A,#N/A,FALSE,"Schedule G"}</definedName>
    <definedName name="DELETE02" localSheetId="39" hidden="1">{#N/A,#N/A,FALSE,"Schedule F";#N/A,#N/A,FALSE,"Schedule G"}</definedName>
    <definedName name="DELETE02" localSheetId="38" hidden="1">{#N/A,#N/A,FALSE,"Schedule F";#N/A,#N/A,FALSE,"Schedule G"}</definedName>
    <definedName name="DELETE02" localSheetId="37" hidden="1">{#N/A,#N/A,FALSE,"Schedule F";#N/A,#N/A,FALSE,"Schedule G"}</definedName>
    <definedName name="DELETE02" localSheetId="41" hidden="1">{#N/A,#N/A,FALSE,"Schedule F";#N/A,#N/A,FALSE,"Schedule G"}</definedName>
    <definedName name="DELETE02" localSheetId="40" hidden="1">{#N/A,#N/A,FALSE,"Schedule F";#N/A,#N/A,FALSE,"Schedule G"}</definedName>
    <definedName name="DELETE02" localSheetId="11" hidden="1">{#N/A,#N/A,FALSE,"Schedule F";#N/A,#N/A,FALSE,"Schedule G"}</definedName>
    <definedName name="DELETE02" localSheetId="34" hidden="1">{#N/A,#N/A,FALSE,"Schedule F";#N/A,#N/A,FALSE,"Schedule G"}</definedName>
    <definedName name="DELETE02" localSheetId="56" hidden="1">{#N/A,#N/A,FALSE,"Schedule F";#N/A,#N/A,FALSE,"Schedule G"}</definedName>
    <definedName name="DELETE02" localSheetId="59" hidden="1">{#N/A,#N/A,FALSE,"Schedule F";#N/A,#N/A,FALSE,"Schedule G"}</definedName>
    <definedName name="DELETE02" localSheetId="66" hidden="1">{#N/A,#N/A,FALSE,"Schedule F";#N/A,#N/A,FALSE,"Schedule G"}</definedName>
    <definedName name="DELETE02" localSheetId="65" hidden="1">{#N/A,#N/A,FALSE,"Schedule F";#N/A,#N/A,FALSE,"Schedule G"}</definedName>
    <definedName name="DELETE02" localSheetId="64" hidden="1">{#N/A,#N/A,FALSE,"Schedule F";#N/A,#N/A,FALSE,"Schedule G"}</definedName>
    <definedName name="DELETE02" localSheetId="25" hidden="1">{#N/A,#N/A,FALSE,"Schedule F";#N/A,#N/A,FALSE,"Schedule G"}</definedName>
    <definedName name="DELETE02" localSheetId="10" hidden="1">{#N/A,#N/A,FALSE,"Schedule F";#N/A,#N/A,FALSE,"Schedule G"}</definedName>
    <definedName name="DELETE02" localSheetId="20" hidden="1">{#N/A,#N/A,FALSE,"Schedule F";#N/A,#N/A,FALSE,"Schedule G"}</definedName>
    <definedName name="DELETE02" localSheetId="26" hidden="1">{#N/A,#N/A,FALSE,"Schedule F";#N/A,#N/A,FALSE,"Schedule G"}</definedName>
    <definedName name="DELETE02" localSheetId="27" hidden="1">{#N/A,#N/A,FALSE,"Schedule F";#N/A,#N/A,FALSE,"Schedule G"}</definedName>
    <definedName name="DELETE02" localSheetId="12" hidden="1">{#N/A,#N/A,FALSE,"Schedule F";#N/A,#N/A,FALSE,"Schedule G"}</definedName>
    <definedName name="DELETE02" localSheetId="2" hidden="1">{#N/A,#N/A,FALSE,"Schedule F";#N/A,#N/A,FALSE,"Schedule G"}</definedName>
    <definedName name="DELETE02" localSheetId="4" hidden="1">{#N/A,#N/A,FALSE,"Schedule F";#N/A,#N/A,FALSE,"Schedule G"}</definedName>
    <definedName name="DELETE02" localSheetId="5" hidden="1">{#N/A,#N/A,FALSE,"Schedule F";#N/A,#N/A,FALSE,"Schedule G"}</definedName>
    <definedName name="DELETE02" localSheetId="6" hidden="1">{#N/A,#N/A,FALSE,"Schedule F";#N/A,#N/A,FALSE,"Schedule G"}</definedName>
    <definedName name="DELETE02" localSheetId="7" hidden="1">{#N/A,#N/A,FALSE,"Schedule F";#N/A,#N/A,FALSE,"Schedule G"}</definedName>
    <definedName name="DELETE02" localSheetId="19" hidden="1">{#N/A,#N/A,FALSE,"Schedule F";#N/A,#N/A,FALSE,"Schedule G"}</definedName>
    <definedName name="DELETE02" hidden="1">{#N/A,#N/A,FALSE,"Schedule F";#N/A,#N/A,FALSE,"Schedule G"}</definedName>
    <definedName name="Delete06" localSheetId="28" hidden="1">{#N/A,#N/A,FALSE,"Coversheet";#N/A,#N/A,FALSE,"QA"}</definedName>
    <definedName name="Delete06" localSheetId="9" hidden="1">{#N/A,#N/A,FALSE,"Coversheet";#N/A,#N/A,FALSE,"QA"}</definedName>
    <definedName name="Delete06" localSheetId="36" hidden="1">{#N/A,#N/A,FALSE,"Coversheet";#N/A,#N/A,FALSE,"QA"}</definedName>
    <definedName name="Delete06" localSheetId="39" hidden="1">{#N/A,#N/A,FALSE,"Coversheet";#N/A,#N/A,FALSE,"QA"}</definedName>
    <definedName name="Delete06" localSheetId="38" hidden="1">{#N/A,#N/A,FALSE,"Coversheet";#N/A,#N/A,FALSE,"QA"}</definedName>
    <definedName name="Delete06" localSheetId="37" hidden="1">{#N/A,#N/A,FALSE,"Coversheet";#N/A,#N/A,FALSE,"QA"}</definedName>
    <definedName name="Delete06" localSheetId="41" hidden="1">{#N/A,#N/A,FALSE,"Coversheet";#N/A,#N/A,FALSE,"QA"}</definedName>
    <definedName name="Delete06" localSheetId="40" hidden="1">{#N/A,#N/A,FALSE,"Coversheet";#N/A,#N/A,FALSE,"QA"}</definedName>
    <definedName name="Delete06" localSheetId="11" hidden="1">{#N/A,#N/A,FALSE,"Coversheet";#N/A,#N/A,FALSE,"QA"}</definedName>
    <definedName name="Delete06" localSheetId="34" hidden="1">{#N/A,#N/A,FALSE,"Coversheet";#N/A,#N/A,FALSE,"QA"}</definedName>
    <definedName name="Delete06" localSheetId="56" hidden="1">{#N/A,#N/A,FALSE,"Coversheet";#N/A,#N/A,FALSE,"QA"}</definedName>
    <definedName name="Delete06" localSheetId="59" hidden="1">{#N/A,#N/A,FALSE,"Coversheet";#N/A,#N/A,FALSE,"QA"}</definedName>
    <definedName name="Delete06" localSheetId="66" hidden="1">{#N/A,#N/A,FALSE,"Coversheet";#N/A,#N/A,FALSE,"QA"}</definedName>
    <definedName name="Delete06" localSheetId="65" hidden="1">{#N/A,#N/A,FALSE,"Coversheet";#N/A,#N/A,FALSE,"QA"}</definedName>
    <definedName name="Delete06" localSheetId="64" hidden="1">{#N/A,#N/A,FALSE,"Coversheet";#N/A,#N/A,FALSE,"QA"}</definedName>
    <definedName name="Delete06" localSheetId="25" hidden="1">{#N/A,#N/A,FALSE,"Coversheet";#N/A,#N/A,FALSE,"QA"}</definedName>
    <definedName name="Delete06" localSheetId="10" hidden="1">{#N/A,#N/A,FALSE,"Coversheet";#N/A,#N/A,FALSE,"QA"}</definedName>
    <definedName name="Delete06" localSheetId="20" hidden="1">{#N/A,#N/A,FALSE,"Coversheet";#N/A,#N/A,FALSE,"QA"}</definedName>
    <definedName name="Delete06" localSheetId="26" hidden="1">{#N/A,#N/A,FALSE,"Coversheet";#N/A,#N/A,FALSE,"QA"}</definedName>
    <definedName name="Delete06" localSheetId="27" hidden="1">{#N/A,#N/A,FALSE,"Coversheet";#N/A,#N/A,FALSE,"QA"}</definedName>
    <definedName name="Delete06" localSheetId="12" hidden="1">{#N/A,#N/A,FALSE,"Coversheet";#N/A,#N/A,FALSE,"QA"}</definedName>
    <definedName name="Delete06" localSheetId="2" hidden="1">{#N/A,#N/A,FALSE,"Coversheet";#N/A,#N/A,FALSE,"QA"}</definedName>
    <definedName name="Delete06" localSheetId="4" hidden="1">{#N/A,#N/A,FALSE,"Coversheet";#N/A,#N/A,FALSE,"QA"}</definedName>
    <definedName name="Delete06" localSheetId="5" hidden="1">{#N/A,#N/A,FALSE,"Coversheet";#N/A,#N/A,FALSE,"QA"}</definedName>
    <definedName name="Delete06" localSheetId="6" hidden="1">{#N/A,#N/A,FALSE,"Coversheet";#N/A,#N/A,FALSE,"QA"}</definedName>
    <definedName name="Delete06" localSheetId="7" hidden="1">{#N/A,#N/A,FALSE,"Coversheet";#N/A,#N/A,FALSE,"QA"}</definedName>
    <definedName name="Delete06" localSheetId="19" hidden="1">{#N/A,#N/A,FALSE,"Coversheet";#N/A,#N/A,FALSE,"QA"}</definedName>
    <definedName name="Delete06" hidden="1">{#N/A,#N/A,FALSE,"Coversheet";#N/A,#N/A,FALSE,"QA"}</definedName>
    <definedName name="Delete1" localSheetId="28" hidden="1">{#N/A,#N/A,FALSE,"Coversheet";#N/A,#N/A,FALSE,"QA"}</definedName>
    <definedName name="Delete1" localSheetId="9" hidden="1">{#N/A,#N/A,FALSE,"Coversheet";#N/A,#N/A,FALSE,"QA"}</definedName>
    <definedName name="Delete1" localSheetId="36" hidden="1">{#N/A,#N/A,FALSE,"Coversheet";#N/A,#N/A,FALSE,"QA"}</definedName>
    <definedName name="Delete1" localSheetId="39" hidden="1">{#N/A,#N/A,FALSE,"Coversheet";#N/A,#N/A,FALSE,"QA"}</definedName>
    <definedName name="Delete1" localSheetId="38" hidden="1">{#N/A,#N/A,FALSE,"Coversheet";#N/A,#N/A,FALSE,"QA"}</definedName>
    <definedName name="Delete1" localSheetId="37" hidden="1">{#N/A,#N/A,FALSE,"Coversheet";#N/A,#N/A,FALSE,"QA"}</definedName>
    <definedName name="Delete1" localSheetId="41" hidden="1">{#N/A,#N/A,FALSE,"Coversheet";#N/A,#N/A,FALSE,"QA"}</definedName>
    <definedName name="Delete1" localSheetId="40" hidden="1">{#N/A,#N/A,FALSE,"Coversheet";#N/A,#N/A,FALSE,"QA"}</definedName>
    <definedName name="Delete1" localSheetId="11" hidden="1">{#N/A,#N/A,FALSE,"Coversheet";#N/A,#N/A,FALSE,"QA"}</definedName>
    <definedName name="Delete1" localSheetId="34" hidden="1">{#N/A,#N/A,FALSE,"Coversheet";#N/A,#N/A,FALSE,"QA"}</definedName>
    <definedName name="Delete1" localSheetId="56" hidden="1">{#N/A,#N/A,FALSE,"Coversheet";#N/A,#N/A,FALSE,"QA"}</definedName>
    <definedName name="Delete1" localSheetId="59" hidden="1">{#N/A,#N/A,FALSE,"Coversheet";#N/A,#N/A,FALSE,"QA"}</definedName>
    <definedName name="Delete1" localSheetId="66" hidden="1">{#N/A,#N/A,FALSE,"Coversheet";#N/A,#N/A,FALSE,"QA"}</definedName>
    <definedName name="Delete1" localSheetId="65" hidden="1">{#N/A,#N/A,FALSE,"Coversheet";#N/A,#N/A,FALSE,"QA"}</definedName>
    <definedName name="Delete1" localSheetId="64" hidden="1">{#N/A,#N/A,FALSE,"Coversheet";#N/A,#N/A,FALSE,"QA"}</definedName>
    <definedName name="Delete1" localSheetId="25" hidden="1">{#N/A,#N/A,FALSE,"Coversheet";#N/A,#N/A,FALSE,"QA"}</definedName>
    <definedName name="Delete1" localSheetId="10" hidden="1">{#N/A,#N/A,FALSE,"Coversheet";#N/A,#N/A,FALSE,"QA"}</definedName>
    <definedName name="Delete1" localSheetId="20" hidden="1">{#N/A,#N/A,FALSE,"Coversheet";#N/A,#N/A,FALSE,"QA"}</definedName>
    <definedName name="Delete1" localSheetId="26" hidden="1">{#N/A,#N/A,FALSE,"Coversheet";#N/A,#N/A,FALSE,"QA"}</definedName>
    <definedName name="Delete1" localSheetId="27" hidden="1">{#N/A,#N/A,FALSE,"Coversheet";#N/A,#N/A,FALSE,"QA"}</definedName>
    <definedName name="Delete1" localSheetId="12" hidden="1">{#N/A,#N/A,FALSE,"Coversheet";#N/A,#N/A,FALSE,"QA"}</definedName>
    <definedName name="Delete1" localSheetId="2" hidden="1">{#N/A,#N/A,FALSE,"Coversheet";#N/A,#N/A,FALSE,"QA"}</definedName>
    <definedName name="Delete1" localSheetId="4" hidden="1">{#N/A,#N/A,FALSE,"Coversheet";#N/A,#N/A,FALSE,"QA"}</definedName>
    <definedName name="Delete1" localSheetId="5" hidden="1">{#N/A,#N/A,FALSE,"Coversheet";#N/A,#N/A,FALSE,"QA"}</definedName>
    <definedName name="Delete1" localSheetId="6" hidden="1">{#N/A,#N/A,FALSE,"Coversheet";#N/A,#N/A,FALSE,"QA"}</definedName>
    <definedName name="Delete1" localSheetId="7" hidden="1">{#N/A,#N/A,FALSE,"Coversheet";#N/A,#N/A,FALSE,"QA"}</definedName>
    <definedName name="Delete1" localSheetId="19" hidden="1">{#N/A,#N/A,FALSE,"Coversheet";#N/A,#N/A,FALSE,"QA"}</definedName>
    <definedName name="Delete1" hidden="1">{#N/A,#N/A,FALSE,"Coversheet";#N/A,#N/A,FALSE,"QA"}</definedName>
    <definedName name="Delete21" localSheetId="28" hidden="1">{#N/A,#N/A,FALSE,"Coversheet";#N/A,#N/A,FALSE,"QA"}</definedName>
    <definedName name="Delete21" localSheetId="9" hidden="1">{#N/A,#N/A,FALSE,"Coversheet";#N/A,#N/A,FALSE,"QA"}</definedName>
    <definedName name="Delete21" localSheetId="36" hidden="1">{#N/A,#N/A,FALSE,"Coversheet";#N/A,#N/A,FALSE,"QA"}</definedName>
    <definedName name="Delete21" localSheetId="39" hidden="1">{#N/A,#N/A,FALSE,"Coversheet";#N/A,#N/A,FALSE,"QA"}</definedName>
    <definedName name="Delete21" localSheetId="38" hidden="1">{#N/A,#N/A,FALSE,"Coversheet";#N/A,#N/A,FALSE,"QA"}</definedName>
    <definedName name="Delete21" localSheetId="37" hidden="1">{#N/A,#N/A,FALSE,"Coversheet";#N/A,#N/A,FALSE,"QA"}</definedName>
    <definedName name="Delete21" localSheetId="41" hidden="1">{#N/A,#N/A,FALSE,"Coversheet";#N/A,#N/A,FALSE,"QA"}</definedName>
    <definedName name="Delete21" localSheetId="40" hidden="1">{#N/A,#N/A,FALSE,"Coversheet";#N/A,#N/A,FALSE,"QA"}</definedName>
    <definedName name="Delete21" localSheetId="11" hidden="1">{#N/A,#N/A,FALSE,"Coversheet";#N/A,#N/A,FALSE,"QA"}</definedName>
    <definedName name="Delete21" localSheetId="34" hidden="1">{#N/A,#N/A,FALSE,"Coversheet";#N/A,#N/A,FALSE,"QA"}</definedName>
    <definedName name="Delete21" localSheetId="56" hidden="1">{#N/A,#N/A,FALSE,"Coversheet";#N/A,#N/A,FALSE,"QA"}</definedName>
    <definedName name="Delete21" localSheetId="59" hidden="1">{#N/A,#N/A,FALSE,"Coversheet";#N/A,#N/A,FALSE,"QA"}</definedName>
    <definedName name="Delete21" localSheetId="66" hidden="1">{#N/A,#N/A,FALSE,"Coversheet";#N/A,#N/A,FALSE,"QA"}</definedName>
    <definedName name="Delete21" localSheetId="65" hidden="1">{#N/A,#N/A,FALSE,"Coversheet";#N/A,#N/A,FALSE,"QA"}</definedName>
    <definedName name="Delete21" localSheetId="64" hidden="1">{#N/A,#N/A,FALSE,"Coversheet";#N/A,#N/A,FALSE,"QA"}</definedName>
    <definedName name="Delete21" localSheetId="25" hidden="1">{#N/A,#N/A,FALSE,"Coversheet";#N/A,#N/A,FALSE,"QA"}</definedName>
    <definedName name="Delete21" localSheetId="10" hidden="1">{#N/A,#N/A,FALSE,"Coversheet";#N/A,#N/A,FALSE,"QA"}</definedName>
    <definedName name="Delete21" localSheetId="20" hidden="1">{#N/A,#N/A,FALSE,"Coversheet";#N/A,#N/A,FALSE,"QA"}</definedName>
    <definedName name="Delete21" localSheetId="26" hidden="1">{#N/A,#N/A,FALSE,"Coversheet";#N/A,#N/A,FALSE,"QA"}</definedName>
    <definedName name="Delete21" localSheetId="27" hidden="1">{#N/A,#N/A,FALSE,"Coversheet";#N/A,#N/A,FALSE,"QA"}</definedName>
    <definedName name="Delete21" localSheetId="12" hidden="1">{#N/A,#N/A,FALSE,"Coversheet";#N/A,#N/A,FALSE,"QA"}</definedName>
    <definedName name="Delete21" localSheetId="2" hidden="1">{#N/A,#N/A,FALSE,"Coversheet";#N/A,#N/A,FALSE,"QA"}</definedName>
    <definedName name="Delete21" localSheetId="4" hidden="1">{#N/A,#N/A,FALSE,"Coversheet";#N/A,#N/A,FALSE,"QA"}</definedName>
    <definedName name="Delete21" localSheetId="5" hidden="1">{#N/A,#N/A,FALSE,"Coversheet";#N/A,#N/A,FALSE,"QA"}</definedName>
    <definedName name="Delete21" localSheetId="6" hidden="1">{#N/A,#N/A,FALSE,"Coversheet";#N/A,#N/A,FALSE,"QA"}</definedName>
    <definedName name="Delete21" localSheetId="7" hidden="1">{#N/A,#N/A,FALSE,"Coversheet";#N/A,#N/A,FALSE,"QA"}</definedName>
    <definedName name="Delete21" localSheetId="19" hidden="1">{#N/A,#N/A,FALSE,"Coversheet";#N/A,#N/A,FALSE,"QA"}</definedName>
    <definedName name="Delete21" hidden="1">{#N/A,#N/A,FALSE,"Coversheet";#N/A,#N/A,FALSE,"QA"}</definedName>
    <definedName name="DFIT" localSheetId="28" hidden="1">{#N/A,#N/A,FALSE,"Coversheet";#N/A,#N/A,FALSE,"QA"}</definedName>
    <definedName name="DFIT" localSheetId="9" hidden="1">{#N/A,#N/A,FALSE,"Coversheet";#N/A,#N/A,FALSE,"QA"}</definedName>
    <definedName name="DFIT" localSheetId="36" hidden="1">{#N/A,#N/A,FALSE,"Coversheet";#N/A,#N/A,FALSE,"QA"}</definedName>
    <definedName name="DFIT" localSheetId="39" hidden="1">{#N/A,#N/A,FALSE,"Coversheet";#N/A,#N/A,FALSE,"QA"}</definedName>
    <definedName name="DFIT" localSheetId="38" hidden="1">{#N/A,#N/A,FALSE,"Coversheet";#N/A,#N/A,FALSE,"QA"}</definedName>
    <definedName name="DFIT" localSheetId="37" hidden="1">{#N/A,#N/A,FALSE,"Coversheet";#N/A,#N/A,FALSE,"QA"}</definedName>
    <definedName name="DFIT" localSheetId="41" hidden="1">{#N/A,#N/A,FALSE,"Coversheet";#N/A,#N/A,FALSE,"QA"}</definedName>
    <definedName name="DFIT" localSheetId="40" hidden="1">{#N/A,#N/A,FALSE,"Coversheet";#N/A,#N/A,FALSE,"QA"}</definedName>
    <definedName name="DFIT" localSheetId="11" hidden="1">{#N/A,#N/A,FALSE,"Coversheet";#N/A,#N/A,FALSE,"QA"}</definedName>
    <definedName name="DFIT" localSheetId="34" hidden="1">{#N/A,#N/A,FALSE,"Coversheet";#N/A,#N/A,FALSE,"QA"}</definedName>
    <definedName name="DFIT" localSheetId="56" hidden="1">{#N/A,#N/A,FALSE,"Coversheet";#N/A,#N/A,FALSE,"QA"}</definedName>
    <definedName name="DFIT" localSheetId="59" hidden="1">{#N/A,#N/A,FALSE,"Coversheet";#N/A,#N/A,FALSE,"QA"}</definedName>
    <definedName name="DFIT" localSheetId="66" hidden="1">{#N/A,#N/A,FALSE,"Coversheet";#N/A,#N/A,FALSE,"QA"}</definedName>
    <definedName name="DFIT" localSheetId="65" hidden="1">{#N/A,#N/A,FALSE,"Coversheet";#N/A,#N/A,FALSE,"QA"}</definedName>
    <definedName name="DFIT" localSheetId="64" hidden="1">{#N/A,#N/A,FALSE,"Coversheet";#N/A,#N/A,FALSE,"QA"}</definedName>
    <definedName name="DFIT" localSheetId="25" hidden="1">{#N/A,#N/A,FALSE,"Coversheet";#N/A,#N/A,FALSE,"QA"}</definedName>
    <definedName name="DFIT" localSheetId="10" hidden="1">{#N/A,#N/A,FALSE,"Coversheet";#N/A,#N/A,FALSE,"QA"}</definedName>
    <definedName name="DFIT" localSheetId="20" hidden="1">{#N/A,#N/A,FALSE,"Coversheet";#N/A,#N/A,FALSE,"QA"}</definedName>
    <definedName name="DFIT" localSheetId="26" hidden="1">{#N/A,#N/A,FALSE,"Coversheet";#N/A,#N/A,FALSE,"QA"}</definedName>
    <definedName name="DFIT" localSheetId="27" hidden="1">{#N/A,#N/A,FALSE,"Coversheet";#N/A,#N/A,FALSE,"QA"}</definedName>
    <definedName name="DFIT" localSheetId="12" hidden="1">{#N/A,#N/A,FALSE,"Coversheet";#N/A,#N/A,FALSE,"QA"}</definedName>
    <definedName name="DFIT" localSheetId="2" hidden="1">{#N/A,#N/A,FALSE,"Coversheet";#N/A,#N/A,FALSE,"QA"}</definedName>
    <definedName name="DFIT" localSheetId="4" hidden="1">{#N/A,#N/A,FALSE,"Coversheet";#N/A,#N/A,FALSE,"QA"}</definedName>
    <definedName name="DFIT" localSheetId="5" hidden="1">{#N/A,#N/A,FALSE,"Coversheet";#N/A,#N/A,FALSE,"QA"}</definedName>
    <definedName name="DFIT" localSheetId="6" hidden="1">{#N/A,#N/A,FALSE,"Coversheet";#N/A,#N/A,FALSE,"QA"}</definedName>
    <definedName name="DFIT" localSheetId="7" hidden="1">{#N/A,#N/A,FALSE,"Coversheet";#N/A,#N/A,FALSE,"QA"}</definedName>
    <definedName name="DFIT" localSheetId="19" hidden="1">{#N/A,#N/A,FALSE,"Coversheet";#N/A,#N/A,FALSE,"QA"}</definedName>
    <definedName name="DFIT" hidden="1">{#N/A,#N/A,FALSE,"Coversheet";#N/A,#N/A,FALSE,"QA"}</definedName>
    <definedName name="DIST">'Sch 1- Rate Base '!$Q$1:$Q$3</definedName>
    <definedName name="_xlnm.Print_Area" localSheetId="9">'3-YEAR PP &amp; OSS Worksheet'!$A$1:$K$75</definedName>
    <definedName name="_xlnm.Print_Area" localSheetId="21">'Above-RHWM_Base_Calc'!$A$4:$AA$50</definedName>
    <definedName name="_xlnm.Print_Area" localSheetId="14">'A-RHWM_Ratios'!$A$1:$G$88</definedName>
    <definedName name="_xlnm.Print_Area" localSheetId="10">'Load Forecast'!$A$1:$G$28</definedName>
    <definedName name="_xlnm.Print_Area" localSheetId="16">'New Resources - Group'!$B$1:$H$131</definedName>
    <definedName name="_xlnm.Print_Area" localSheetId="15">'New Resources - Individual'!$B$1:$H$131</definedName>
    <definedName name="_xlnm.Print_Area" localSheetId="20">'NLSL_Base_New-Calc'!$A$4:$AA$50</definedName>
    <definedName name="_xlnm.Print_Area" localSheetId="13">Ratios!$A$1:$G$88</definedName>
    <definedName name="_xlnm.Print_Area" localSheetId="12">Salaries!$A$1:$D$41</definedName>
    <definedName name="_xlnm.Print_Area" localSheetId="2">'Sch 1- Rate Base '!$A$1:$J$163</definedName>
    <definedName name="_xlnm.Print_Area" localSheetId="4">'Sch 2 -Rate of Return'!$A$1:$H$128</definedName>
    <definedName name="_xlnm.Print_Area" localSheetId="5">'Sch 3 - Expenses'!$A$1:$J$101</definedName>
    <definedName name="_xlnm.Print_Area" localSheetId="6">'Sch 3A - Taxes'!$A$1:$I$33</definedName>
    <definedName name="_xlnm.Print_Area" localSheetId="7">'Sch 3B - Other Items'!$A$1:$J$42</definedName>
    <definedName name="_xlnm.Print_Area" localSheetId="8">'Sch 4 - Average System Cost'!$A$1:$F$49</definedName>
    <definedName name="_xlnm.Print_Titles" localSheetId="14">'A-RHWM_Ratios'!$1:$9</definedName>
    <definedName name="_xlnm.Print_Titles" localSheetId="13">Ratios!$1:$9</definedName>
    <definedName name="_xlnm.Print_Titles" localSheetId="2">'Sch 1- Rate Base '!$1:$14</definedName>
    <definedName name="_xlnm.Print_Titles" localSheetId="4">'Sch 2 -Rate of Return'!$1:$9</definedName>
    <definedName name="_xlnm.Print_Titles" localSheetId="5">'Sch 3 - Expenses'!$1:$13</definedName>
    <definedName name="_xlnm.Print_Titles" localSheetId="6">'Sch 3A - Taxes'!$1:$14</definedName>
    <definedName name="_xlnm.Print_Titles" localSheetId="8">'Sch 4 - Average System Cost'!$1:$9</definedName>
    <definedName name="PROD">'Sch 1- Rate Base '!$R$1:$R$3</definedName>
    <definedName name="PTD">'Sch 1- Rate Base '!$P$1:$P$3</definedName>
    <definedName name="Ratio" localSheetId="14">'A-RHWM_Ratios'!$D$77:$G$87</definedName>
    <definedName name="Ratio">Ratios!$D$77:$G$87</definedName>
    <definedName name="wrn.Fundamental." localSheetId="28" hidden="1">{#N/A,#N/A,TRUE,"CoverPage";#N/A,#N/A,TRUE,"Gas";#N/A,#N/A,TRUE,"Power";#N/A,#N/A,TRUE,"Historical DJ Mthly Prices"}</definedName>
    <definedName name="wrn.Fundamental." localSheetId="9" hidden="1">{#N/A,#N/A,TRUE,"CoverPage";#N/A,#N/A,TRUE,"Gas";#N/A,#N/A,TRUE,"Power";#N/A,#N/A,TRUE,"Historical DJ Mthly Prices"}</definedName>
    <definedName name="wrn.Fundamental." localSheetId="36" hidden="1">{#N/A,#N/A,TRUE,"CoverPage";#N/A,#N/A,TRUE,"Gas";#N/A,#N/A,TRUE,"Power";#N/A,#N/A,TRUE,"Historical DJ Mthly Prices"}</definedName>
    <definedName name="wrn.Fundamental." localSheetId="39" hidden="1">{#N/A,#N/A,TRUE,"CoverPage";#N/A,#N/A,TRUE,"Gas";#N/A,#N/A,TRUE,"Power";#N/A,#N/A,TRUE,"Historical DJ Mthly Prices"}</definedName>
    <definedName name="wrn.Fundamental." localSheetId="38" hidden="1">{#N/A,#N/A,TRUE,"CoverPage";#N/A,#N/A,TRUE,"Gas";#N/A,#N/A,TRUE,"Power";#N/A,#N/A,TRUE,"Historical DJ Mthly Prices"}</definedName>
    <definedName name="wrn.Fundamental." localSheetId="37" hidden="1">{#N/A,#N/A,TRUE,"CoverPage";#N/A,#N/A,TRUE,"Gas";#N/A,#N/A,TRUE,"Power";#N/A,#N/A,TRUE,"Historical DJ Mthly Prices"}</definedName>
    <definedName name="wrn.Fundamental." localSheetId="41" hidden="1">{#N/A,#N/A,TRUE,"CoverPage";#N/A,#N/A,TRUE,"Gas";#N/A,#N/A,TRUE,"Power";#N/A,#N/A,TRUE,"Historical DJ Mthly Prices"}</definedName>
    <definedName name="wrn.Fundamental." localSheetId="40" hidden="1">{#N/A,#N/A,TRUE,"CoverPage";#N/A,#N/A,TRUE,"Gas";#N/A,#N/A,TRUE,"Power";#N/A,#N/A,TRUE,"Historical DJ Mthly Prices"}</definedName>
    <definedName name="wrn.Fundamental." localSheetId="11" hidden="1">{#N/A,#N/A,TRUE,"CoverPage";#N/A,#N/A,TRUE,"Gas";#N/A,#N/A,TRUE,"Power";#N/A,#N/A,TRUE,"Historical DJ Mthly Prices"}</definedName>
    <definedName name="wrn.Fundamental." localSheetId="34" hidden="1">{#N/A,#N/A,TRUE,"CoverPage";#N/A,#N/A,TRUE,"Gas";#N/A,#N/A,TRUE,"Power";#N/A,#N/A,TRUE,"Historical DJ Mthly Prices"}</definedName>
    <definedName name="wrn.Fundamental." localSheetId="56" hidden="1">{#N/A,#N/A,TRUE,"CoverPage";#N/A,#N/A,TRUE,"Gas";#N/A,#N/A,TRUE,"Power";#N/A,#N/A,TRUE,"Historical DJ Mthly Prices"}</definedName>
    <definedName name="wrn.Fundamental." localSheetId="59" hidden="1">{#N/A,#N/A,TRUE,"CoverPage";#N/A,#N/A,TRUE,"Gas";#N/A,#N/A,TRUE,"Power";#N/A,#N/A,TRUE,"Historical DJ Mthly Prices"}</definedName>
    <definedName name="wrn.Fundamental." localSheetId="66" hidden="1">{#N/A,#N/A,TRUE,"CoverPage";#N/A,#N/A,TRUE,"Gas";#N/A,#N/A,TRUE,"Power";#N/A,#N/A,TRUE,"Historical DJ Mthly Prices"}</definedName>
    <definedName name="wrn.Fundamental." localSheetId="65" hidden="1">{#N/A,#N/A,TRUE,"CoverPage";#N/A,#N/A,TRUE,"Gas";#N/A,#N/A,TRUE,"Power";#N/A,#N/A,TRUE,"Historical DJ Mthly Prices"}</definedName>
    <definedName name="wrn.Fundamental." localSheetId="64" hidden="1">{#N/A,#N/A,TRUE,"CoverPage";#N/A,#N/A,TRUE,"Gas";#N/A,#N/A,TRUE,"Power";#N/A,#N/A,TRUE,"Historical DJ Mthly Prices"}</definedName>
    <definedName name="wrn.Fundamental." localSheetId="25" hidden="1">{#N/A,#N/A,TRUE,"CoverPage";#N/A,#N/A,TRUE,"Gas";#N/A,#N/A,TRUE,"Power";#N/A,#N/A,TRUE,"Historical DJ Mthly Prices"}</definedName>
    <definedName name="wrn.Fundamental." localSheetId="10" hidden="1">{#N/A,#N/A,TRUE,"CoverPage";#N/A,#N/A,TRUE,"Gas";#N/A,#N/A,TRUE,"Power";#N/A,#N/A,TRUE,"Historical DJ Mthly Prices"}</definedName>
    <definedName name="wrn.Fundamental." localSheetId="20" hidden="1">{#N/A,#N/A,TRUE,"CoverPage";#N/A,#N/A,TRUE,"Gas";#N/A,#N/A,TRUE,"Power";#N/A,#N/A,TRUE,"Historical DJ Mthly Prices"}</definedName>
    <definedName name="wrn.Fundamental." localSheetId="26" hidden="1">{#N/A,#N/A,TRUE,"CoverPage";#N/A,#N/A,TRUE,"Gas";#N/A,#N/A,TRUE,"Power";#N/A,#N/A,TRUE,"Historical DJ Mthly Prices"}</definedName>
    <definedName name="wrn.Fundamental." localSheetId="27" hidden="1">{#N/A,#N/A,TRUE,"CoverPage";#N/A,#N/A,TRUE,"Gas";#N/A,#N/A,TRUE,"Power";#N/A,#N/A,TRUE,"Historical DJ Mthly Prices"}</definedName>
    <definedName name="wrn.Fundamental." localSheetId="12" hidden="1">{#N/A,#N/A,TRUE,"CoverPage";#N/A,#N/A,TRUE,"Gas";#N/A,#N/A,TRUE,"Power";#N/A,#N/A,TRUE,"Historical DJ Mthly Prices"}</definedName>
    <definedName name="wrn.Fundamental." localSheetId="2" hidden="1">{#N/A,#N/A,TRUE,"CoverPage";#N/A,#N/A,TRUE,"Gas";#N/A,#N/A,TRUE,"Power";#N/A,#N/A,TRUE,"Historical DJ Mthly Prices"}</definedName>
    <definedName name="wrn.Fundamental." localSheetId="4" hidden="1">{#N/A,#N/A,TRUE,"CoverPage";#N/A,#N/A,TRUE,"Gas";#N/A,#N/A,TRUE,"Power";#N/A,#N/A,TRUE,"Historical DJ Mthly Prices"}</definedName>
    <definedName name="wrn.Fundamental." localSheetId="5" hidden="1">{#N/A,#N/A,TRUE,"CoverPage";#N/A,#N/A,TRUE,"Gas";#N/A,#N/A,TRUE,"Power";#N/A,#N/A,TRUE,"Historical DJ Mthly Prices"}</definedName>
    <definedName name="wrn.Fundamental." localSheetId="6" hidden="1">{#N/A,#N/A,TRUE,"CoverPage";#N/A,#N/A,TRUE,"Gas";#N/A,#N/A,TRUE,"Power";#N/A,#N/A,TRUE,"Historical DJ Mthly Prices"}</definedName>
    <definedName name="wrn.Fundamental." localSheetId="7" hidden="1">{#N/A,#N/A,TRUE,"CoverPage";#N/A,#N/A,TRUE,"Gas";#N/A,#N/A,TRUE,"Power";#N/A,#N/A,TRUE,"Historical DJ Mthly Prices"}</definedName>
    <definedName name="wrn.Fundamental." localSheetId="19" hidden="1">{#N/A,#N/A,TRUE,"CoverPage";#N/A,#N/A,TRUE,"Gas";#N/A,#N/A,TRUE,"Power";#N/A,#N/A,TRUE,"Historical DJ Mthly Prices"}</definedName>
    <definedName name="wrn.Fundamental." hidden="1">{#N/A,#N/A,TRUE,"CoverPage";#N/A,#N/A,TRUE,"Gas";#N/A,#N/A,TRUE,"Power";#N/A,#N/A,TRUE,"Historical DJ Mthly Prices"}</definedName>
    <definedName name="wrn.Incentive._.Overhead." localSheetId="28" hidden="1">{#N/A,#N/A,FALSE,"Coversheet";#N/A,#N/A,FALSE,"QA"}</definedName>
    <definedName name="wrn.Incentive._.Overhead." localSheetId="9" hidden="1">{#N/A,#N/A,FALSE,"Coversheet";#N/A,#N/A,FALSE,"QA"}</definedName>
    <definedName name="wrn.Incentive._.Overhead." localSheetId="36" hidden="1">{#N/A,#N/A,FALSE,"Coversheet";#N/A,#N/A,FALSE,"QA"}</definedName>
    <definedName name="wrn.Incentive._.Overhead." localSheetId="39" hidden="1">{#N/A,#N/A,FALSE,"Coversheet";#N/A,#N/A,FALSE,"QA"}</definedName>
    <definedName name="wrn.Incentive._.Overhead." localSheetId="38" hidden="1">{#N/A,#N/A,FALSE,"Coversheet";#N/A,#N/A,FALSE,"QA"}</definedName>
    <definedName name="wrn.Incentive._.Overhead." localSheetId="37" hidden="1">{#N/A,#N/A,FALSE,"Coversheet";#N/A,#N/A,FALSE,"QA"}</definedName>
    <definedName name="wrn.Incentive._.Overhead." localSheetId="41" hidden="1">{#N/A,#N/A,FALSE,"Coversheet";#N/A,#N/A,FALSE,"QA"}</definedName>
    <definedName name="wrn.Incentive._.Overhead." localSheetId="40" hidden="1">{#N/A,#N/A,FALSE,"Coversheet";#N/A,#N/A,FALSE,"QA"}</definedName>
    <definedName name="wrn.Incentive._.Overhead." localSheetId="11" hidden="1">{#N/A,#N/A,FALSE,"Coversheet";#N/A,#N/A,FALSE,"QA"}</definedName>
    <definedName name="wrn.Incentive._.Overhead." localSheetId="34" hidden="1">{#N/A,#N/A,FALSE,"Coversheet";#N/A,#N/A,FALSE,"QA"}</definedName>
    <definedName name="wrn.Incentive._.Overhead." localSheetId="56" hidden="1">{#N/A,#N/A,FALSE,"Coversheet";#N/A,#N/A,FALSE,"QA"}</definedName>
    <definedName name="wrn.Incentive._.Overhead." localSheetId="59" hidden="1">{#N/A,#N/A,FALSE,"Coversheet";#N/A,#N/A,FALSE,"QA"}</definedName>
    <definedName name="wrn.Incentive._.Overhead." localSheetId="66" hidden="1">{#N/A,#N/A,FALSE,"Coversheet";#N/A,#N/A,FALSE,"QA"}</definedName>
    <definedName name="wrn.Incentive._.Overhead." localSheetId="65" hidden="1">{#N/A,#N/A,FALSE,"Coversheet";#N/A,#N/A,FALSE,"QA"}</definedName>
    <definedName name="wrn.Incentive._.Overhead." localSheetId="64" hidden="1">{#N/A,#N/A,FALSE,"Coversheet";#N/A,#N/A,FALSE,"QA"}</definedName>
    <definedName name="wrn.Incentive._.Overhead." localSheetId="25" hidden="1">{#N/A,#N/A,FALSE,"Coversheet";#N/A,#N/A,FALSE,"QA"}</definedName>
    <definedName name="wrn.Incentive._.Overhead." localSheetId="10" hidden="1">{#N/A,#N/A,FALSE,"Coversheet";#N/A,#N/A,FALSE,"QA"}</definedName>
    <definedName name="wrn.Incentive._.Overhead." localSheetId="20" hidden="1">{#N/A,#N/A,FALSE,"Coversheet";#N/A,#N/A,FALSE,"QA"}</definedName>
    <definedName name="wrn.Incentive._.Overhead." localSheetId="26" hidden="1">{#N/A,#N/A,FALSE,"Coversheet";#N/A,#N/A,FALSE,"QA"}</definedName>
    <definedName name="wrn.Incentive._.Overhead." localSheetId="27" hidden="1">{#N/A,#N/A,FALSE,"Coversheet";#N/A,#N/A,FALSE,"QA"}</definedName>
    <definedName name="wrn.Incentive._.Overhead." localSheetId="12" hidden="1">{#N/A,#N/A,FALSE,"Coversheet";#N/A,#N/A,FALSE,"QA"}</definedName>
    <definedName name="wrn.Incentive._.Overhead." localSheetId="2" hidden="1">{#N/A,#N/A,FALSE,"Coversheet";#N/A,#N/A,FALSE,"QA"}</definedName>
    <definedName name="wrn.Incentive._.Overhead." localSheetId="4" hidden="1">{#N/A,#N/A,FALSE,"Coversheet";#N/A,#N/A,FALSE,"QA"}</definedName>
    <definedName name="wrn.Incentive._.Overhead." localSheetId="5" hidden="1">{#N/A,#N/A,FALSE,"Coversheet";#N/A,#N/A,FALSE,"QA"}</definedName>
    <definedName name="wrn.Incentive._.Overhead." localSheetId="6" hidden="1">{#N/A,#N/A,FALSE,"Coversheet";#N/A,#N/A,FALSE,"QA"}</definedName>
    <definedName name="wrn.Incentive._.Overhead." localSheetId="7" hidden="1">{#N/A,#N/A,FALSE,"Coversheet";#N/A,#N/A,FALSE,"QA"}</definedName>
    <definedName name="wrn.Incentive._.Overhead." localSheetId="19" hidden="1">{#N/A,#N/A,FALSE,"Coversheet";#N/A,#N/A,FALSE,"QA"}</definedName>
    <definedName name="wrn.Incentive._.Overhead." hidden="1">{#N/A,#N/A,FALSE,"Coversheet";#N/A,#N/A,FALSE,"QA"}</definedName>
    <definedName name="wrn.limit_reports." localSheetId="28" hidden="1">{#N/A,#N/A,FALSE,"Schedule F";#N/A,#N/A,FALSE,"Schedule G"}</definedName>
    <definedName name="wrn.limit_reports." localSheetId="9" hidden="1">{#N/A,#N/A,FALSE,"Schedule F";#N/A,#N/A,FALSE,"Schedule G"}</definedName>
    <definedName name="wrn.limit_reports." localSheetId="36" hidden="1">{#N/A,#N/A,FALSE,"Schedule F";#N/A,#N/A,FALSE,"Schedule G"}</definedName>
    <definedName name="wrn.limit_reports." localSheetId="39" hidden="1">{#N/A,#N/A,FALSE,"Schedule F";#N/A,#N/A,FALSE,"Schedule G"}</definedName>
    <definedName name="wrn.limit_reports." localSheetId="38" hidden="1">{#N/A,#N/A,FALSE,"Schedule F";#N/A,#N/A,FALSE,"Schedule G"}</definedName>
    <definedName name="wrn.limit_reports." localSheetId="37" hidden="1">{#N/A,#N/A,FALSE,"Schedule F";#N/A,#N/A,FALSE,"Schedule G"}</definedName>
    <definedName name="wrn.limit_reports." localSheetId="41" hidden="1">{#N/A,#N/A,FALSE,"Schedule F";#N/A,#N/A,FALSE,"Schedule G"}</definedName>
    <definedName name="wrn.limit_reports." localSheetId="40" hidden="1">{#N/A,#N/A,FALSE,"Schedule F";#N/A,#N/A,FALSE,"Schedule G"}</definedName>
    <definedName name="wrn.limit_reports." localSheetId="11" hidden="1">{#N/A,#N/A,FALSE,"Schedule F";#N/A,#N/A,FALSE,"Schedule G"}</definedName>
    <definedName name="wrn.limit_reports." localSheetId="34" hidden="1">{#N/A,#N/A,FALSE,"Schedule F";#N/A,#N/A,FALSE,"Schedule G"}</definedName>
    <definedName name="wrn.limit_reports." localSheetId="56" hidden="1">{#N/A,#N/A,FALSE,"Schedule F";#N/A,#N/A,FALSE,"Schedule G"}</definedName>
    <definedName name="wrn.limit_reports." localSheetId="59" hidden="1">{#N/A,#N/A,FALSE,"Schedule F";#N/A,#N/A,FALSE,"Schedule G"}</definedName>
    <definedName name="wrn.limit_reports." localSheetId="66" hidden="1">{#N/A,#N/A,FALSE,"Schedule F";#N/A,#N/A,FALSE,"Schedule G"}</definedName>
    <definedName name="wrn.limit_reports." localSheetId="65" hidden="1">{#N/A,#N/A,FALSE,"Schedule F";#N/A,#N/A,FALSE,"Schedule G"}</definedName>
    <definedName name="wrn.limit_reports." localSheetId="64" hidden="1">{#N/A,#N/A,FALSE,"Schedule F";#N/A,#N/A,FALSE,"Schedule G"}</definedName>
    <definedName name="wrn.limit_reports." localSheetId="25" hidden="1">{#N/A,#N/A,FALSE,"Schedule F";#N/A,#N/A,FALSE,"Schedule G"}</definedName>
    <definedName name="wrn.limit_reports." localSheetId="10" hidden="1">{#N/A,#N/A,FALSE,"Schedule F";#N/A,#N/A,FALSE,"Schedule G"}</definedName>
    <definedName name="wrn.limit_reports." localSheetId="20" hidden="1">{#N/A,#N/A,FALSE,"Schedule F";#N/A,#N/A,FALSE,"Schedule G"}</definedName>
    <definedName name="wrn.limit_reports." localSheetId="26" hidden="1">{#N/A,#N/A,FALSE,"Schedule F";#N/A,#N/A,FALSE,"Schedule G"}</definedName>
    <definedName name="wrn.limit_reports." localSheetId="27" hidden="1">{#N/A,#N/A,FALSE,"Schedule F";#N/A,#N/A,FALSE,"Schedule G"}</definedName>
    <definedName name="wrn.limit_reports." localSheetId="12" hidden="1">{#N/A,#N/A,FALSE,"Schedule F";#N/A,#N/A,FALSE,"Schedule G"}</definedName>
    <definedName name="wrn.limit_reports." localSheetId="2" hidden="1">{#N/A,#N/A,FALSE,"Schedule F";#N/A,#N/A,FALSE,"Schedule G"}</definedName>
    <definedName name="wrn.limit_reports." localSheetId="4" hidden="1">{#N/A,#N/A,FALSE,"Schedule F";#N/A,#N/A,FALSE,"Schedule G"}</definedName>
    <definedName name="wrn.limit_reports." localSheetId="5" hidden="1">{#N/A,#N/A,FALSE,"Schedule F";#N/A,#N/A,FALSE,"Schedule G"}</definedName>
    <definedName name="wrn.limit_reports." localSheetId="6" hidden="1">{#N/A,#N/A,FALSE,"Schedule F";#N/A,#N/A,FALSE,"Schedule G"}</definedName>
    <definedName name="wrn.limit_reports." localSheetId="7" hidden="1">{#N/A,#N/A,FALSE,"Schedule F";#N/A,#N/A,FALSE,"Schedule G"}</definedName>
    <definedName name="wrn.limit_reports." localSheetId="19" hidden="1">{#N/A,#N/A,FALSE,"Schedule F";#N/A,#N/A,FALSE,"Schedule G"}</definedName>
    <definedName name="wrn.limit_reports." hidden="1">{#N/A,#N/A,FALSE,"Schedule F";#N/A,#N/A,FALSE,"Schedule G"}</definedName>
    <definedName name="wrn.MARGIN_WO_QTR." localSheetId="28" hidden="1">{#N/A,#N/A,FALSE,"Month ";#N/A,#N/A,FALSE,"YTD";#N/A,#N/A,FALSE,"12 mo ended"}</definedName>
    <definedName name="wrn.MARGIN_WO_QTR." localSheetId="9" hidden="1">{#N/A,#N/A,FALSE,"Month ";#N/A,#N/A,FALSE,"YTD";#N/A,#N/A,FALSE,"12 mo ended"}</definedName>
    <definedName name="wrn.MARGIN_WO_QTR." localSheetId="36" hidden="1">{#N/A,#N/A,FALSE,"Month ";#N/A,#N/A,FALSE,"YTD";#N/A,#N/A,FALSE,"12 mo ended"}</definedName>
    <definedName name="wrn.MARGIN_WO_QTR." localSheetId="39" hidden="1">{#N/A,#N/A,FALSE,"Month ";#N/A,#N/A,FALSE,"YTD";#N/A,#N/A,FALSE,"12 mo ended"}</definedName>
    <definedName name="wrn.MARGIN_WO_QTR." localSheetId="38" hidden="1">{#N/A,#N/A,FALSE,"Month ";#N/A,#N/A,FALSE,"YTD";#N/A,#N/A,FALSE,"12 mo ended"}</definedName>
    <definedName name="wrn.MARGIN_WO_QTR." localSheetId="37" hidden="1">{#N/A,#N/A,FALSE,"Month ";#N/A,#N/A,FALSE,"YTD";#N/A,#N/A,FALSE,"12 mo ended"}</definedName>
    <definedName name="wrn.MARGIN_WO_QTR." localSheetId="41" hidden="1">{#N/A,#N/A,FALSE,"Month ";#N/A,#N/A,FALSE,"YTD";#N/A,#N/A,FALSE,"12 mo ended"}</definedName>
    <definedName name="wrn.MARGIN_WO_QTR." localSheetId="40" hidden="1">{#N/A,#N/A,FALSE,"Month ";#N/A,#N/A,FALSE,"YTD";#N/A,#N/A,FALSE,"12 mo ended"}</definedName>
    <definedName name="wrn.MARGIN_WO_QTR." localSheetId="11" hidden="1">{#N/A,#N/A,FALSE,"Month ";#N/A,#N/A,FALSE,"YTD";#N/A,#N/A,FALSE,"12 mo ended"}</definedName>
    <definedName name="wrn.MARGIN_WO_QTR." localSheetId="34" hidden="1">{#N/A,#N/A,FALSE,"Month ";#N/A,#N/A,FALSE,"YTD";#N/A,#N/A,FALSE,"12 mo ended"}</definedName>
    <definedName name="wrn.MARGIN_WO_QTR." localSheetId="56" hidden="1">{#N/A,#N/A,FALSE,"Month ";#N/A,#N/A,FALSE,"YTD";#N/A,#N/A,FALSE,"12 mo ended"}</definedName>
    <definedName name="wrn.MARGIN_WO_QTR." localSheetId="59" hidden="1">{#N/A,#N/A,FALSE,"Month ";#N/A,#N/A,FALSE,"YTD";#N/A,#N/A,FALSE,"12 mo ended"}</definedName>
    <definedName name="wrn.MARGIN_WO_QTR." localSheetId="66" hidden="1">{#N/A,#N/A,FALSE,"Month ";#N/A,#N/A,FALSE,"YTD";#N/A,#N/A,FALSE,"12 mo ended"}</definedName>
    <definedName name="wrn.MARGIN_WO_QTR." localSheetId="65" hidden="1">{#N/A,#N/A,FALSE,"Month ";#N/A,#N/A,FALSE,"YTD";#N/A,#N/A,FALSE,"12 mo ended"}</definedName>
    <definedName name="wrn.MARGIN_WO_QTR." localSheetId="64" hidden="1">{#N/A,#N/A,FALSE,"Month ";#N/A,#N/A,FALSE,"YTD";#N/A,#N/A,FALSE,"12 mo ended"}</definedName>
    <definedName name="wrn.MARGIN_WO_QTR." localSheetId="25" hidden="1">{#N/A,#N/A,FALSE,"Month ";#N/A,#N/A,FALSE,"YTD";#N/A,#N/A,FALSE,"12 mo ended"}</definedName>
    <definedName name="wrn.MARGIN_WO_QTR." localSheetId="10" hidden="1">{#N/A,#N/A,FALSE,"Month ";#N/A,#N/A,FALSE,"YTD";#N/A,#N/A,FALSE,"12 mo ended"}</definedName>
    <definedName name="wrn.MARGIN_WO_QTR." localSheetId="20" hidden="1">{#N/A,#N/A,FALSE,"Month ";#N/A,#N/A,FALSE,"YTD";#N/A,#N/A,FALSE,"12 mo ended"}</definedName>
    <definedName name="wrn.MARGIN_WO_QTR." localSheetId="26" hidden="1">{#N/A,#N/A,FALSE,"Month ";#N/A,#N/A,FALSE,"YTD";#N/A,#N/A,FALSE,"12 mo ended"}</definedName>
    <definedName name="wrn.MARGIN_WO_QTR." localSheetId="27" hidden="1">{#N/A,#N/A,FALSE,"Month ";#N/A,#N/A,FALSE,"YTD";#N/A,#N/A,FALSE,"12 mo ended"}</definedName>
    <definedName name="wrn.MARGIN_WO_QTR." localSheetId="12" hidden="1">{#N/A,#N/A,FALSE,"Month ";#N/A,#N/A,FALSE,"YTD";#N/A,#N/A,FALSE,"12 mo ended"}</definedName>
    <definedName name="wrn.MARGIN_WO_QTR." localSheetId="2" hidden="1">{#N/A,#N/A,FALSE,"Month ";#N/A,#N/A,FALSE,"YTD";#N/A,#N/A,FALSE,"12 mo ended"}</definedName>
    <definedName name="wrn.MARGIN_WO_QTR." localSheetId="4" hidden="1">{#N/A,#N/A,FALSE,"Month ";#N/A,#N/A,FALSE,"YTD";#N/A,#N/A,FALSE,"12 mo ended"}</definedName>
    <definedName name="wrn.MARGIN_WO_QTR." localSheetId="5" hidden="1">{#N/A,#N/A,FALSE,"Month ";#N/A,#N/A,FALSE,"YTD";#N/A,#N/A,FALSE,"12 mo ended"}</definedName>
    <definedName name="wrn.MARGIN_WO_QTR." localSheetId="6" hidden="1">{#N/A,#N/A,FALSE,"Month ";#N/A,#N/A,FALSE,"YTD";#N/A,#N/A,FALSE,"12 mo ended"}</definedName>
    <definedName name="wrn.MARGIN_WO_QTR." localSheetId="7" hidden="1">{#N/A,#N/A,FALSE,"Month ";#N/A,#N/A,FALSE,"YTD";#N/A,#N/A,FALSE,"12 mo ended"}</definedName>
    <definedName name="wrn.MARGIN_WO_QTR." localSheetId="19" hidden="1">{#N/A,#N/A,FALSE,"Month ";#N/A,#N/A,FALSE,"YTD";#N/A,#N/A,FALSE,"12 mo ended"}</definedName>
    <definedName name="wrn.MARGIN_WO_QTR." hidden="1">{#N/A,#N/A,FALSE,"Month ";#N/A,#N/A,FALSE,"YTD";#N/A,#N/A,FALSE,"12 mo ended"}</definedName>
    <definedName name="Z_CB77822B_47CA_4A6F_9FE0_3CAADF1FDE49_.wvu.FilterData" localSheetId="26" hidden="1">'RB Adj Direct Summary'!$B$6:$H$751</definedName>
    <definedName name="Z_CB77822B_47CA_4A6F_9FE0_3CAADF1FDE49_.wvu.PrintArea" localSheetId="26" hidden="1">'RB Adj Direct Summary'!$A$3:$H$751</definedName>
    <definedName name="Z_CB77822B_47CA_4A6F_9FE0_3CAADF1FDE49_.wvu.PrintTitles" localSheetId="26" hidden="1">'RB Adj Direct Summary'!$6:$6</definedName>
  </definedNames>
  <calcPr calcId="191029"/>
  <pivotCaches>
    <pivotCache cacheId="20" r:id="rId86"/>
    <pivotCache cacheId="21" r:id="rId87"/>
    <pivotCache cacheId="22" r:id="rId88"/>
    <pivotCache cacheId="23" r:id="rId89"/>
    <pivotCache cacheId="24" r:id="rId90"/>
    <pivotCache cacheId="25" r:id="rId91"/>
    <pivotCache cacheId="26" r:id="rId92"/>
    <pivotCache cacheId="27" r:id="rId93"/>
    <pivotCache cacheId="28" r:id="rId94"/>
    <pivotCache cacheId="29" r:id="rId95"/>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2" i="35" l="1"/>
  <c r="F82" i="35"/>
  <c r="G82" i="35"/>
  <c r="E83" i="35"/>
  <c r="F83" i="35"/>
  <c r="G83" i="35"/>
  <c r="E84" i="35"/>
  <c r="F84" i="35"/>
  <c r="G84" i="35"/>
  <c r="E85" i="35"/>
  <c r="F85" i="35"/>
  <c r="G85" i="35"/>
  <c r="E86" i="35"/>
  <c r="F86" i="35"/>
  <c r="G86" i="35"/>
  <c r="E87" i="35"/>
  <c r="F87" i="35"/>
  <c r="G87" i="35"/>
  <c r="N94" i="169"/>
  <c r="M94" i="169"/>
  <c r="A7" i="177" l="1"/>
  <c r="A8" i="177"/>
  <c r="B8" i="177"/>
  <c r="B11" i="177"/>
  <c r="C11" i="177"/>
  <c r="D11" i="177"/>
  <c r="E11" i="177"/>
  <c r="F11" i="177"/>
  <c r="G11" i="177"/>
  <c r="H11" i="177"/>
  <c r="I11" i="177"/>
  <c r="J11" i="177"/>
  <c r="K11" i="177"/>
  <c r="L11" i="177"/>
  <c r="M11" i="177"/>
  <c r="N11" i="177"/>
  <c r="D15" i="177"/>
  <c r="E15" i="177"/>
  <c r="F15" i="177"/>
  <c r="G15" i="177"/>
  <c r="H15" i="177"/>
  <c r="I15" i="177"/>
  <c r="J15" i="177"/>
  <c r="K15" i="177"/>
  <c r="L15" i="177"/>
  <c r="M15" i="177"/>
  <c r="N15" i="177"/>
  <c r="C20" i="177"/>
  <c r="C24" i="177" s="1"/>
  <c r="AA21" i="177"/>
  <c r="D33" i="177"/>
  <c r="E33" i="177"/>
  <c r="F33" i="177"/>
  <c r="G33" i="177"/>
  <c r="H33" i="177"/>
  <c r="I33" i="177"/>
  <c r="J33" i="177"/>
  <c r="K33" i="177"/>
  <c r="L33" i="177"/>
  <c r="M33" i="177"/>
  <c r="N33" i="177"/>
  <c r="D34" i="177"/>
  <c r="E34" i="177"/>
  <c r="F34" i="177"/>
  <c r="G34" i="177"/>
  <c r="H34" i="177"/>
  <c r="I34" i="177"/>
  <c r="J34" i="177"/>
  <c r="K34" i="177"/>
  <c r="L34" i="177"/>
  <c r="M34" i="177"/>
  <c r="N34" i="177"/>
  <c r="D35" i="177"/>
  <c r="E35" i="177"/>
  <c r="F35" i="177"/>
  <c r="G35" i="177"/>
  <c r="H35" i="177"/>
  <c r="I35" i="177"/>
  <c r="J35" i="177"/>
  <c r="K35" i="177"/>
  <c r="L35" i="177"/>
  <c r="M35" i="177"/>
  <c r="N35" i="177"/>
  <c r="C37" i="177"/>
  <c r="AA37" i="177" s="1"/>
  <c r="B9" i="176"/>
  <c r="C9" i="176"/>
  <c r="C11" i="176"/>
  <c r="D11" i="176"/>
  <c r="E11" i="176"/>
  <c r="C12" i="176"/>
  <c r="D12" i="176"/>
  <c r="E12" i="176"/>
  <c r="C15" i="176"/>
  <c r="D15" i="176"/>
  <c r="E15" i="176"/>
  <c r="C16" i="176"/>
  <c r="D16" i="176"/>
  <c r="E16" i="176"/>
  <c r="C17" i="176"/>
  <c r="D17" i="176"/>
  <c r="E17" i="176"/>
  <c r="C18" i="176"/>
  <c r="D18" i="176"/>
  <c r="E18" i="176"/>
  <c r="C19" i="176"/>
  <c r="D19" i="176"/>
  <c r="E19" i="176"/>
  <c r="C20" i="176"/>
  <c r="D20" i="176"/>
  <c r="E20" i="176"/>
  <c r="C21" i="176"/>
  <c r="D21" i="176"/>
  <c r="E21" i="176"/>
  <c r="C22" i="176"/>
  <c r="D22" i="176"/>
  <c r="E22" i="176"/>
  <c r="C24" i="176"/>
  <c r="D24" i="176"/>
  <c r="E24" i="176"/>
  <c r="C25" i="176"/>
  <c r="D25" i="176"/>
  <c r="E25" i="176"/>
  <c r="C26" i="176"/>
  <c r="D26" i="176"/>
  <c r="E26" i="176"/>
  <c r="C27" i="176"/>
  <c r="D27" i="176"/>
  <c r="E27" i="176"/>
  <c r="C34" i="176"/>
  <c r="D34" i="176"/>
  <c r="E34" i="176"/>
  <c r="C35" i="176"/>
  <c r="D35" i="176"/>
  <c r="E35" i="176"/>
  <c r="C36" i="176"/>
  <c r="D36" i="176"/>
  <c r="E36" i="176"/>
  <c r="C37" i="176"/>
  <c r="D37" i="176"/>
  <c r="E37" i="176"/>
  <c r="C38" i="176"/>
  <c r="D38" i="176"/>
  <c r="E38" i="176"/>
  <c r="C39" i="176"/>
  <c r="D39" i="176"/>
  <c r="E39" i="176"/>
  <c r="C40" i="176"/>
  <c r="D40" i="176"/>
  <c r="E40" i="176"/>
  <c r="C5" i="174"/>
  <c r="C6" i="174"/>
  <c r="C7" i="174"/>
  <c r="D16" i="174"/>
  <c r="D17" i="174"/>
  <c r="D18" i="174"/>
  <c r="D19" i="174"/>
  <c r="D20" i="174"/>
  <c r="D37" i="174" s="1"/>
  <c r="D21" i="174"/>
  <c r="D22" i="174"/>
  <c r="D26" i="174"/>
  <c r="D27" i="174"/>
  <c r="D28" i="174"/>
  <c r="D29" i="174"/>
  <c r="D36" i="174"/>
  <c r="D38" i="174"/>
  <c r="D5" i="173"/>
  <c r="D6" i="173"/>
  <c r="D7" i="173"/>
  <c r="D13" i="173"/>
  <c r="E13" i="173"/>
  <c r="D14" i="173"/>
  <c r="E14" i="173"/>
  <c r="F14" i="173" s="1"/>
  <c r="D15" i="173"/>
  <c r="E15" i="173"/>
  <c r="D16" i="173"/>
  <c r="E16" i="173"/>
  <c r="F16" i="173"/>
  <c r="D17" i="173"/>
  <c r="E17" i="173"/>
  <c r="B3" i="172"/>
  <c r="C3" i="172" s="1"/>
  <c r="D3" i="172" s="1"/>
  <c r="E3" i="172" s="1"/>
  <c r="F3" i="172" s="1"/>
  <c r="G3" i="172" s="1"/>
  <c r="B9" i="172"/>
  <c r="B11" i="172" s="1"/>
  <c r="C11" i="172" s="1"/>
  <c r="D11" i="172" s="1"/>
  <c r="E11" i="172" s="1"/>
  <c r="F11" i="172" s="1"/>
  <c r="G11" i="172" s="1"/>
  <c r="D20" i="172"/>
  <c r="D21" i="172"/>
  <c r="D22" i="172"/>
  <c r="E5" i="171"/>
  <c r="E6" i="171"/>
  <c r="I6" i="171"/>
  <c r="E7" i="171"/>
  <c r="I7" i="171"/>
  <c r="G20" i="171"/>
  <c r="H20" i="171" s="1"/>
  <c r="G29" i="171"/>
  <c r="H29" i="171"/>
  <c r="I29" i="171"/>
  <c r="J29" i="171"/>
  <c r="G30" i="171"/>
  <c r="H30" i="171" s="1"/>
  <c r="G31" i="171"/>
  <c r="H31" i="171" s="1"/>
  <c r="G32" i="171"/>
  <c r="G33" i="171"/>
  <c r="H33" i="171" s="1"/>
  <c r="G34" i="171"/>
  <c r="G35" i="171"/>
  <c r="H35" i="171" s="1"/>
  <c r="E5" i="170"/>
  <c r="E6" i="170"/>
  <c r="I6" i="170"/>
  <c r="E7" i="170"/>
  <c r="I7" i="170"/>
  <c r="F16" i="170"/>
  <c r="G16" i="170" s="1"/>
  <c r="H16" i="170"/>
  <c r="I16" i="170"/>
  <c r="F17" i="170"/>
  <c r="F18" i="170"/>
  <c r="G18" i="170" s="1"/>
  <c r="F22" i="170"/>
  <c r="F23" i="170"/>
  <c r="F24" i="170"/>
  <c r="H24" i="170" s="1"/>
  <c r="G25" i="170"/>
  <c r="H25" i="170"/>
  <c r="I25" i="170"/>
  <c r="G26" i="170"/>
  <c r="H26" i="170"/>
  <c r="I26" i="170"/>
  <c r="F27" i="170"/>
  <c r="H27" i="170" s="1"/>
  <c r="F28" i="170"/>
  <c r="E5" i="169"/>
  <c r="E6" i="169"/>
  <c r="I6" i="169"/>
  <c r="E7" i="169"/>
  <c r="I7" i="169"/>
  <c r="G16" i="169"/>
  <c r="J16" i="169" s="1"/>
  <c r="I16" i="169"/>
  <c r="G20" i="169"/>
  <c r="H20" i="169" s="1"/>
  <c r="G27" i="169"/>
  <c r="H27" i="169" s="1"/>
  <c r="G32" i="169"/>
  <c r="H32" i="169" s="1"/>
  <c r="I32" i="169"/>
  <c r="G33" i="169"/>
  <c r="J33" i="169" s="1"/>
  <c r="I33" i="169"/>
  <c r="H34" i="169"/>
  <c r="I34" i="169"/>
  <c r="J34" i="169"/>
  <c r="H35" i="169"/>
  <c r="I35" i="169"/>
  <c r="J35" i="169"/>
  <c r="G39" i="169"/>
  <c r="I39" i="169" s="1"/>
  <c r="G51" i="169"/>
  <c r="H51" i="169" s="1"/>
  <c r="G52" i="169"/>
  <c r="I52" i="169" s="1"/>
  <c r="G53" i="169"/>
  <c r="J53" i="169" s="1"/>
  <c r="G59" i="169"/>
  <c r="G60" i="169"/>
  <c r="G61" i="169"/>
  <c r="G62" i="169"/>
  <c r="G63" i="169"/>
  <c r="G64" i="169"/>
  <c r="G65" i="169"/>
  <c r="G66" i="169"/>
  <c r="H66" i="169" s="1"/>
  <c r="G67" i="169"/>
  <c r="H67" i="169" s="1"/>
  <c r="I67" i="169"/>
  <c r="G68" i="169"/>
  <c r="G69" i="169"/>
  <c r="H69" i="169"/>
  <c r="I69" i="169"/>
  <c r="J69" i="169"/>
  <c r="G70" i="169"/>
  <c r="H70" i="169" s="1"/>
  <c r="G71" i="169"/>
  <c r="I71" i="169" s="1"/>
  <c r="H71" i="169"/>
  <c r="H72" i="169"/>
  <c r="I72" i="169"/>
  <c r="J72" i="169"/>
  <c r="G74" i="169"/>
  <c r="H81" i="169"/>
  <c r="I81" i="169"/>
  <c r="J81" i="169"/>
  <c r="G82" i="169"/>
  <c r="G83" i="169"/>
  <c r="G84" i="169"/>
  <c r="J84" i="169" s="1"/>
  <c r="I84" i="169"/>
  <c r="G85" i="169"/>
  <c r="H85" i="169" s="1"/>
  <c r="G86" i="169"/>
  <c r="J86" i="169" s="1"/>
  <c r="I86" i="169"/>
  <c r="G87" i="169"/>
  <c r="H87" i="169" s="1"/>
  <c r="G88" i="169"/>
  <c r="J88" i="169" s="1"/>
  <c r="I88" i="169"/>
  <c r="G89" i="169"/>
  <c r="H89" i="169" s="1"/>
  <c r="G90" i="169"/>
  <c r="J90" i="169" s="1"/>
  <c r="G91" i="169"/>
  <c r="G92" i="169"/>
  <c r="G93" i="169"/>
  <c r="L94" i="169"/>
  <c r="H94" i="169" s="1"/>
  <c r="I94" i="169"/>
  <c r="J94" i="169"/>
  <c r="G95" i="169"/>
  <c r="H95" i="169"/>
  <c r="I95" i="169"/>
  <c r="J95" i="169"/>
  <c r="G4" i="168"/>
  <c r="G5" i="168"/>
  <c r="K5" i="168"/>
  <c r="G6" i="168"/>
  <c r="K6" i="168"/>
  <c r="D12" i="168"/>
  <c r="E12" i="168"/>
  <c r="C15" i="177" s="1"/>
  <c r="H12" i="168"/>
  <c r="G12" i="168"/>
  <c r="AE17" i="176" l="1"/>
  <c r="J32" i="169"/>
  <c r="J67" i="169"/>
  <c r="I53" i="169"/>
  <c r="J20" i="169"/>
  <c r="I90" i="169"/>
  <c r="H39" i="169"/>
  <c r="G24" i="170"/>
  <c r="D35" i="174"/>
  <c r="F13" i="173"/>
  <c r="J71" i="169"/>
  <c r="J51" i="169"/>
  <c r="I27" i="169"/>
  <c r="J31" i="171"/>
  <c r="I51" i="169"/>
  <c r="I18" i="170"/>
  <c r="I31" i="171"/>
  <c r="D28" i="176"/>
  <c r="D29" i="176" s="1"/>
  <c r="C28" i="176"/>
  <c r="AE40" i="176"/>
  <c r="D41" i="176"/>
  <c r="D42" i="176" s="1"/>
  <c r="E41" i="176"/>
  <c r="E42" i="176" s="1"/>
  <c r="AE36" i="176"/>
  <c r="AE26" i="176"/>
  <c r="AE38" i="176"/>
  <c r="AE27" i="176"/>
  <c r="AE22" i="176"/>
  <c r="B15" i="177" s="1"/>
  <c r="AA15" i="177" s="1"/>
  <c r="AE37" i="176"/>
  <c r="E28" i="176"/>
  <c r="E29" i="176" s="1"/>
  <c r="AE35" i="176"/>
  <c r="AE25" i="176"/>
  <c r="AE39" i="176"/>
  <c r="AE34" i="176"/>
  <c r="AE24" i="176"/>
  <c r="AA35" i="177"/>
  <c r="C41" i="176"/>
  <c r="D23" i="174"/>
  <c r="D30" i="174"/>
  <c r="D39" i="174"/>
  <c r="D34" i="174"/>
  <c r="D33" i="174"/>
  <c r="D19" i="173"/>
  <c r="F17" i="173"/>
  <c r="F15" i="173"/>
  <c r="E20" i="173"/>
  <c r="D20" i="173"/>
  <c r="E19" i="173"/>
  <c r="J33" i="171"/>
  <c r="I33" i="171"/>
  <c r="G37" i="171"/>
  <c r="J35" i="171"/>
  <c r="J30" i="171"/>
  <c r="J20" i="171"/>
  <c r="I35" i="171"/>
  <c r="I30" i="171"/>
  <c r="I20" i="171"/>
  <c r="H18" i="170"/>
  <c r="F29" i="170"/>
  <c r="I27" i="170"/>
  <c r="G27" i="170"/>
  <c r="I24" i="170"/>
  <c r="F19" i="170"/>
  <c r="F31" i="170" s="1"/>
  <c r="H28" i="170"/>
  <c r="I28" i="170"/>
  <c r="G28" i="170"/>
  <c r="H90" i="169"/>
  <c r="H88" i="169"/>
  <c r="H86" i="169"/>
  <c r="H84" i="169"/>
  <c r="G75" i="169"/>
  <c r="H53" i="169"/>
  <c r="H33" i="169"/>
  <c r="H16" i="169"/>
  <c r="J89" i="169"/>
  <c r="J87" i="169"/>
  <c r="J85" i="169"/>
  <c r="I20" i="169"/>
  <c r="I89" i="169"/>
  <c r="I87" i="169"/>
  <c r="I85" i="169"/>
  <c r="J27" i="169"/>
  <c r="J70" i="169"/>
  <c r="J66" i="169"/>
  <c r="I70" i="169"/>
  <c r="I66" i="169"/>
  <c r="J39" i="169"/>
  <c r="J12" i="168"/>
  <c r="K12" i="168"/>
  <c r="D13" i="168"/>
  <c r="E13" i="168"/>
  <c r="G13" i="168"/>
  <c r="H13" i="168"/>
  <c r="F19" i="173" l="1"/>
  <c r="AE28" i="176"/>
  <c r="AE29" i="176" s="1"/>
  <c r="C29" i="176"/>
  <c r="B33" i="177"/>
  <c r="AA33" i="177" s="1"/>
  <c r="B34" i="177"/>
  <c r="AA34" i="177" s="1"/>
  <c r="AE41" i="176"/>
  <c r="AE42" i="176" s="1"/>
  <c r="C42" i="176"/>
  <c r="D40" i="174"/>
  <c r="F20" i="173"/>
  <c r="F22" i="173" s="1"/>
  <c r="F26" i="173" s="1"/>
  <c r="J13" i="168"/>
  <c r="K13" i="168"/>
  <c r="D15" i="168"/>
  <c r="E15" i="168"/>
  <c r="H15" i="168"/>
  <c r="G15" i="168"/>
  <c r="B17" i="177" l="1"/>
  <c r="J15" i="168"/>
  <c r="K15" i="168"/>
  <c r="D16" i="168"/>
  <c r="E16" i="168"/>
  <c r="G16" i="168"/>
  <c r="H16" i="168"/>
  <c r="J16" i="168" l="1"/>
  <c r="K16" i="168"/>
  <c r="D17" i="168"/>
  <c r="E17" i="168"/>
  <c r="G17" i="168"/>
  <c r="H17" i="168"/>
  <c r="J17" i="168" l="1"/>
  <c r="K17" i="168"/>
  <c r="D18" i="168"/>
  <c r="J18" i="168"/>
  <c r="K18" i="168"/>
  <c r="K21" i="168" s="1"/>
  <c r="D20" i="168"/>
  <c r="E20" i="168"/>
  <c r="E21" i="168" s="1"/>
  <c r="J20" i="168"/>
  <c r="J21" i="168" s="1"/>
  <c r="K20" i="168"/>
  <c r="D21" i="168"/>
  <c r="G31" i="169" s="1"/>
  <c r="D26" i="168"/>
  <c r="E26" i="168"/>
  <c r="G26" i="168"/>
  <c r="H26" i="168"/>
  <c r="J26" i="168"/>
  <c r="K26" i="168"/>
  <c r="D32" i="168"/>
  <c r="E32" i="168"/>
  <c r="G32" i="168"/>
  <c r="H32" i="168"/>
  <c r="J32" i="168"/>
  <c r="K32" i="168"/>
  <c r="D35" i="168"/>
  <c r="E35" i="168"/>
  <c r="G35" i="168"/>
  <c r="H35" i="168"/>
  <c r="J35" i="168"/>
  <c r="K35" i="168"/>
  <c r="G18" i="168"/>
  <c r="G20" i="168"/>
  <c r="H20" i="168"/>
  <c r="H18" i="168"/>
  <c r="H21" i="168" l="1"/>
  <c r="G21" i="168"/>
  <c r="K36" i="168"/>
  <c r="J31" i="169"/>
  <c r="H31" i="169"/>
  <c r="I31" i="169"/>
  <c r="D36" i="168"/>
  <c r="E36" i="168"/>
  <c r="J36" i="168"/>
  <c r="H36" i="168"/>
  <c r="G36" i="168"/>
  <c r="E69" i="168"/>
  <c r="F69" i="168"/>
  <c r="F71" i="168" s="1"/>
  <c r="G69" i="168"/>
  <c r="G72" i="168" s="1"/>
  <c r="E70" i="168"/>
  <c r="F70" i="168"/>
  <c r="G70" i="168"/>
  <c r="D87" i="168"/>
  <c r="E87" i="168"/>
  <c r="D5" i="167"/>
  <c r="D6" i="167"/>
  <c r="H6" i="167"/>
  <c r="D7" i="167"/>
  <c r="H7" i="167"/>
  <c r="F53" i="167"/>
  <c r="B56" i="167"/>
  <c r="C53" i="167" s="1"/>
  <c r="F61" i="167"/>
  <c r="B64" i="167"/>
  <c r="C62" i="167" s="1"/>
  <c r="F69" i="167"/>
  <c r="B72" i="167"/>
  <c r="C69" i="167" s="1"/>
  <c r="B78" i="167"/>
  <c r="F109" i="167"/>
  <c r="F110" i="167"/>
  <c r="F111" i="167"/>
  <c r="F112" i="167"/>
  <c r="F113" i="167"/>
  <c r="F114" i="167"/>
  <c r="F115" i="167"/>
  <c r="F116" i="167"/>
  <c r="F117" i="167"/>
  <c r="B118" i="167"/>
  <c r="E118" i="167" s="1"/>
  <c r="C61" i="167" l="1"/>
  <c r="H61" i="167" s="1"/>
  <c r="F78" i="167"/>
  <c r="G25" i="171"/>
  <c r="F72" i="168"/>
  <c r="E72" i="168"/>
  <c r="G71" i="168"/>
  <c r="G73" i="168" s="1"/>
  <c r="F73" i="168"/>
  <c r="E71" i="168"/>
  <c r="F118" i="167"/>
  <c r="C71" i="167"/>
  <c r="E69" i="167"/>
  <c r="H69" i="167"/>
  <c r="E53" i="167"/>
  <c r="H53" i="167"/>
  <c r="G124" i="167"/>
  <c r="H124" i="167"/>
  <c r="F124" i="167"/>
  <c r="E13" i="167"/>
  <c r="E124" i="167"/>
  <c r="E62" i="167"/>
  <c r="G62" i="167" s="1"/>
  <c r="H62" i="167"/>
  <c r="C54" i="167"/>
  <c r="C63" i="167"/>
  <c r="E61" i="167"/>
  <c r="C70" i="167"/>
  <c r="C55" i="167"/>
  <c r="H47" i="166"/>
  <c r="I47" i="166"/>
  <c r="J47" i="166"/>
  <c r="G58" i="166"/>
  <c r="J58" i="166" s="1"/>
  <c r="H67" i="166"/>
  <c r="I67" i="166"/>
  <c r="J67" i="166"/>
  <c r="H69" i="166"/>
  <c r="I69" i="166"/>
  <c r="J69" i="166"/>
  <c r="H70" i="166"/>
  <c r="I70" i="166"/>
  <c r="J70" i="166"/>
  <c r="H75" i="166"/>
  <c r="I75" i="166"/>
  <c r="J75" i="166"/>
  <c r="H89" i="166"/>
  <c r="I89" i="166"/>
  <c r="J89" i="166"/>
  <c r="H145" i="166"/>
  <c r="I145" i="166"/>
  <c r="J145" i="166"/>
  <c r="G46" i="162"/>
  <c r="I58" i="166" l="1"/>
  <c r="I25" i="171"/>
  <c r="I26" i="171" s="1"/>
  <c r="H25" i="171"/>
  <c r="H26" i="171" s="1"/>
  <c r="J25" i="171"/>
  <c r="J26" i="171" s="1"/>
  <c r="G26" i="171"/>
  <c r="E73" i="168"/>
  <c r="E75" i="168" s="1"/>
  <c r="H71" i="167"/>
  <c r="E71" i="167"/>
  <c r="G71" i="167" s="1"/>
  <c r="E70" i="167"/>
  <c r="G70" i="167" s="1"/>
  <c r="H70" i="167"/>
  <c r="H72" i="167" s="1"/>
  <c r="G61" i="167"/>
  <c r="G53" i="167"/>
  <c r="E55" i="167"/>
  <c r="G55" i="167" s="1"/>
  <c r="H55" i="167"/>
  <c r="E63" i="167"/>
  <c r="G63" i="167" s="1"/>
  <c r="H63" i="167"/>
  <c r="H64" i="167" s="1"/>
  <c r="C56" i="167"/>
  <c r="H54" i="167"/>
  <c r="E54" i="167"/>
  <c r="G54" i="167" s="1"/>
  <c r="C72" i="167"/>
  <c r="G69" i="167"/>
  <c r="C64" i="167"/>
  <c r="H58" i="166"/>
  <c r="H56" i="167" l="1"/>
  <c r="G64" i="167"/>
  <c r="G76" i="167" s="1"/>
  <c r="E56" i="167"/>
  <c r="C75" i="167" s="1"/>
  <c r="D75" i="167" s="1"/>
  <c r="E64" i="167"/>
  <c r="C76" i="167" s="1"/>
  <c r="D76" i="167" s="1"/>
  <c r="G56" i="167"/>
  <c r="G75" i="167" s="1"/>
  <c r="G78" i="167" s="1"/>
  <c r="E72" i="167"/>
  <c r="C77" i="167" s="1"/>
  <c r="D77" i="167" s="1"/>
  <c r="G72" i="167"/>
  <c r="G77" i="167" s="1"/>
  <c r="D78" i="167" l="1"/>
  <c r="E75" i="167"/>
  <c r="E77" i="167"/>
  <c r="E76" i="167"/>
  <c r="E87" i="167"/>
  <c r="E90" i="167" s="1"/>
  <c r="E97" i="167" l="1"/>
  <c r="G97" i="167"/>
  <c r="H97" i="167"/>
  <c r="E12" i="167"/>
  <c r="F97" i="167"/>
  <c r="E78" i="167"/>
  <c r="N11" i="102" l="1"/>
  <c r="N12" i="102" s="1"/>
  <c r="E7" i="103"/>
  <c r="G2" i="103"/>
  <c r="M5" i="103" s="1"/>
  <c r="E37" i="98" l="1"/>
  <c r="L7" i="163"/>
  <c r="L8" i="163"/>
  <c r="I9" i="163"/>
  <c r="J9" i="163"/>
  <c r="K9" i="163"/>
  <c r="L9" i="163"/>
  <c r="M9" i="163"/>
  <c r="G10" i="163"/>
  <c r="H10" i="163"/>
  <c r="I11" i="163"/>
  <c r="J11" i="163"/>
  <c r="K11" i="163"/>
  <c r="L11" i="163"/>
  <c r="M11" i="163"/>
  <c r="I12" i="163"/>
  <c r="J12" i="163"/>
  <c r="K12" i="163"/>
  <c r="L12" i="163"/>
  <c r="M12" i="163"/>
  <c r="I13" i="163"/>
  <c r="J13" i="163"/>
  <c r="K13" i="163"/>
  <c r="L13" i="163"/>
  <c r="M13" i="163"/>
  <c r="I14" i="163"/>
  <c r="J14" i="163"/>
  <c r="K14" i="163"/>
  <c r="L14" i="163"/>
  <c r="M14" i="163"/>
  <c r="I15" i="163"/>
  <c r="J15" i="163"/>
  <c r="K15" i="163"/>
  <c r="L15" i="163"/>
  <c r="M15" i="163"/>
  <c r="I16" i="163"/>
  <c r="J16" i="163"/>
  <c r="K16" i="163"/>
  <c r="L16" i="163"/>
  <c r="M16" i="163"/>
  <c r="G17" i="163"/>
  <c r="H17" i="163"/>
  <c r="I18" i="163"/>
  <c r="J18" i="163"/>
  <c r="K18" i="163"/>
  <c r="L18" i="163"/>
  <c r="M18" i="163"/>
  <c r="I19" i="163"/>
  <c r="J19" i="163"/>
  <c r="K19" i="163"/>
  <c r="L19" i="163"/>
  <c r="L24" i="163" s="1"/>
  <c r="M19" i="163"/>
  <c r="I20" i="163"/>
  <c r="J20" i="163"/>
  <c r="K20" i="163"/>
  <c r="L20" i="163"/>
  <c r="M20" i="163"/>
  <c r="I21" i="163"/>
  <c r="J21" i="163"/>
  <c r="K21" i="163"/>
  <c r="L21" i="163"/>
  <c r="M21" i="163"/>
  <c r="I22" i="163"/>
  <c r="J22" i="163"/>
  <c r="K22" i="163"/>
  <c r="L22" i="163"/>
  <c r="M22" i="163"/>
  <c r="I23" i="163"/>
  <c r="J23" i="163"/>
  <c r="K23" i="163"/>
  <c r="L23" i="163"/>
  <c r="M23" i="163"/>
  <c r="G24" i="163"/>
  <c r="H24" i="163"/>
  <c r="G26" i="163"/>
  <c r="H26" i="163"/>
  <c r="I26" i="163"/>
  <c r="L96" i="166" s="1"/>
  <c r="H96" i="166" s="1"/>
  <c r="J26" i="163"/>
  <c r="M96" i="166" s="1"/>
  <c r="I96" i="166" s="1"/>
  <c r="K26" i="163"/>
  <c r="N96" i="166" s="1"/>
  <c r="J96" i="166" s="1"/>
  <c r="L26" i="163"/>
  <c r="M26" i="163"/>
  <c r="N26" i="163"/>
  <c r="I28" i="163"/>
  <c r="J28" i="163"/>
  <c r="K28" i="163"/>
  <c r="L28" i="163"/>
  <c r="M28" i="163"/>
  <c r="I29" i="163"/>
  <c r="J29" i="163"/>
  <c r="K29" i="163"/>
  <c r="L29" i="163"/>
  <c r="M29" i="163"/>
  <c r="I30" i="163"/>
  <c r="J30" i="163"/>
  <c r="K30" i="163"/>
  <c r="L30" i="163"/>
  <c r="M30" i="163"/>
  <c r="I31" i="163"/>
  <c r="J31" i="163"/>
  <c r="K31" i="163"/>
  <c r="L31" i="163"/>
  <c r="M31" i="163"/>
  <c r="I32" i="163"/>
  <c r="J32" i="163"/>
  <c r="K32" i="163"/>
  <c r="L32" i="163"/>
  <c r="M32" i="163"/>
  <c r="I33" i="163"/>
  <c r="J33" i="163"/>
  <c r="K33" i="163"/>
  <c r="L33" i="163"/>
  <c r="M33" i="163"/>
  <c r="I34" i="163"/>
  <c r="J34" i="163"/>
  <c r="K34" i="163"/>
  <c r="L34" i="163"/>
  <c r="M34" i="163"/>
  <c r="I35" i="163"/>
  <c r="J35" i="163"/>
  <c r="K35" i="163"/>
  <c r="L35" i="163"/>
  <c r="M35" i="163"/>
  <c r="I36" i="163"/>
  <c r="J36" i="163"/>
  <c r="K36" i="163"/>
  <c r="L36" i="163"/>
  <c r="M36" i="163"/>
  <c r="I37" i="163"/>
  <c r="J37" i="163"/>
  <c r="K37" i="163"/>
  <c r="L37" i="163"/>
  <c r="M37" i="163"/>
  <c r="I38" i="163"/>
  <c r="J38" i="163"/>
  <c r="K38" i="163"/>
  <c r="L38" i="163"/>
  <c r="M38" i="163"/>
  <c r="I39" i="163"/>
  <c r="J39" i="163"/>
  <c r="K39" i="163"/>
  <c r="L39" i="163"/>
  <c r="M39" i="163"/>
  <c r="I40" i="163"/>
  <c r="J40" i="163"/>
  <c r="K40" i="163"/>
  <c r="L40" i="163"/>
  <c r="M40" i="163"/>
  <c r="I41" i="163"/>
  <c r="J41" i="163"/>
  <c r="K41" i="163"/>
  <c r="L41" i="163"/>
  <c r="M41" i="163"/>
  <c r="I42" i="163"/>
  <c r="J42" i="163"/>
  <c r="K42" i="163"/>
  <c r="L42" i="163"/>
  <c r="M42" i="163"/>
  <c r="I43" i="163"/>
  <c r="J43" i="163"/>
  <c r="K43" i="163"/>
  <c r="L43" i="163"/>
  <c r="M43" i="163"/>
  <c r="I44" i="163"/>
  <c r="J44" i="163"/>
  <c r="K44" i="163"/>
  <c r="L44" i="163"/>
  <c r="M44" i="163"/>
  <c r="I45" i="163"/>
  <c r="J45" i="163"/>
  <c r="K45" i="163"/>
  <c r="L45" i="163"/>
  <c r="M45" i="163"/>
  <c r="I46" i="163"/>
  <c r="J46" i="163"/>
  <c r="K46" i="163"/>
  <c r="L46" i="163"/>
  <c r="M46" i="163"/>
  <c r="G47" i="163"/>
  <c r="H47" i="163"/>
  <c r="I49" i="163"/>
  <c r="J49" i="163"/>
  <c r="K49" i="163"/>
  <c r="L49" i="163"/>
  <c r="M49" i="163"/>
  <c r="I50" i="163"/>
  <c r="J50" i="163"/>
  <c r="K50" i="163"/>
  <c r="L50" i="163"/>
  <c r="M50" i="163"/>
  <c r="I51" i="163"/>
  <c r="J51" i="163"/>
  <c r="K51" i="163"/>
  <c r="L51" i="163"/>
  <c r="M51" i="163"/>
  <c r="I52" i="163"/>
  <c r="J52" i="163"/>
  <c r="K52" i="163"/>
  <c r="L52" i="163"/>
  <c r="M52" i="163"/>
  <c r="I53" i="163"/>
  <c r="J53" i="163"/>
  <c r="K53" i="163"/>
  <c r="L53" i="163"/>
  <c r="M53" i="163"/>
  <c r="I54" i="163"/>
  <c r="J54" i="163"/>
  <c r="K54" i="163"/>
  <c r="L54" i="163"/>
  <c r="M54" i="163"/>
  <c r="I55" i="163"/>
  <c r="J55" i="163"/>
  <c r="K55" i="163"/>
  <c r="L55" i="163"/>
  <c r="M55" i="163"/>
  <c r="I56" i="163"/>
  <c r="J56" i="163"/>
  <c r="K56" i="163"/>
  <c r="L56" i="163"/>
  <c r="M56" i="163"/>
  <c r="I57" i="163"/>
  <c r="J57" i="163"/>
  <c r="K57" i="163"/>
  <c r="L57" i="163"/>
  <c r="M57" i="163"/>
  <c r="G58" i="163"/>
  <c r="H58" i="163"/>
  <c r="I60" i="163"/>
  <c r="J60" i="163"/>
  <c r="K60" i="163"/>
  <c r="L60" i="163"/>
  <c r="M60" i="163"/>
  <c r="I61" i="163"/>
  <c r="J61" i="163"/>
  <c r="K61" i="163"/>
  <c r="L61" i="163"/>
  <c r="M61" i="163"/>
  <c r="I62" i="163"/>
  <c r="J62" i="163"/>
  <c r="K62" i="163"/>
  <c r="L62" i="163"/>
  <c r="M62" i="163"/>
  <c r="I63" i="163"/>
  <c r="J63" i="163"/>
  <c r="K63" i="163"/>
  <c r="L63" i="163"/>
  <c r="M63" i="163"/>
  <c r="I64" i="163"/>
  <c r="J64" i="163"/>
  <c r="K64" i="163"/>
  <c r="L64" i="163"/>
  <c r="M64" i="163"/>
  <c r="I65" i="163"/>
  <c r="J65" i="163"/>
  <c r="K65" i="163"/>
  <c r="L65" i="163"/>
  <c r="M65" i="163"/>
  <c r="I66" i="163"/>
  <c r="J66" i="163"/>
  <c r="K66" i="163"/>
  <c r="L66" i="163"/>
  <c r="M66" i="163"/>
  <c r="I67" i="163"/>
  <c r="J67" i="163"/>
  <c r="K67" i="163"/>
  <c r="L67" i="163"/>
  <c r="M67" i="163"/>
  <c r="I68" i="163"/>
  <c r="J68" i="163"/>
  <c r="K68" i="163"/>
  <c r="L68" i="163"/>
  <c r="M68" i="163"/>
  <c r="I69" i="163"/>
  <c r="J69" i="163"/>
  <c r="K69" i="163"/>
  <c r="L69" i="163"/>
  <c r="M69" i="163"/>
  <c r="I70" i="163"/>
  <c r="J70" i="163"/>
  <c r="K70" i="163"/>
  <c r="L70" i="163"/>
  <c r="M70" i="163"/>
  <c r="I71" i="163"/>
  <c r="J71" i="163"/>
  <c r="K71" i="163"/>
  <c r="L71" i="163"/>
  <c r="M71" i="163"/>
  <c r="I72" i="163"/>
  <c r="J72" i="163"/>
  <c r="K72" i="163"/>
  <c r="L72" i="163"/>
  <c r="M72" i="163"/>
  <c r="I73" i="163"/>
  <c r="J73" i="163"/>
  <c r="K73" i="163"/>
  <c r="L73" i="163"/>
  <c r="M73" i="163"/>
  <c r="I74" i="163"/>
  <c r="J74" i="163"/>
  <c r="K74" i="163"/>
  <c r="L74" i="163"/>
  <c r="M74" i="163"/>
  <c r="I75" i="163"/>
  <c r="J75" i="163"/>
  <c r="K75" i="163"/>
  <c r="L75" i="163"/>
  <c r="M75" i="163"/>
  <c r="I76" i="163"/>
  <c r="J76" i="163"/>
  <c r="K76" i="163"/>
  <c r="L76" i="163"/>
  <c r="M76" i="163"/>
  <c r="I77" i="163"/>
  <c r="J77" i="163"/>
  <c r="K77" i="163"/>
  <c r="L77" i="163"/>
  <c r="M77" i="163"/>
  <c r="I78" i="163"/>
  <c r="J78" i="163"/>
  <c r="K78" i="163"/>
  <c r="L78" i="163"/>
  <c r="M78" i="163"/>
  <c r="I79" i="163"/>
  <c r="J79" i="163"/>
  <c r="K79" i="163"/>
  <c r="L79" i="163"/>
  <c r="M79" i="163"/>
  <c r="I80" i="163"/>
  <c r="J80" i="163"/>
  <c r="K80" i="163"/>
  <c r="L80" i="163"/>
  <c r="M80" i="163"/>
  <c r="I81" i="163"/>
  <c r="J81" i="163"/>
  <c r="K81" i="163"/>
  <c r="L81" i="163"/>
  <c r="M81" i="163"/>
  <c r="I82" i="163"/>
  <c r="J82" i="163"/>
  <c r="K82" i="163"/>
  <c r="L82" i="163"/>
  <c r="M82" i="163"/>
  <c r="I83" i="163"/>
  <c r="J83" i="163"/>
  <c r="K83" i="163"/>
  <c r="L83" i="163"/>
  <c r="M83" i="163"/>
  <c r="I84" i="163"/>
  <c r="J84" i="163"/>
  <c r="K84" i="163"/>
  <c r="L84" i="163"/>
  <c r="M84" i="163"/>
  <c r="I85" i="163"/>
  <c r="J85" i="163"/>
  <c r="K85" i="163"/>
  <c r="L85" i="163"/>
  <c r="M85" i="163"/>
  <c r="I86" i="163"/>
  <c r="J86" i="163"/>
  <c r="K86" i="163"/>
  <c r="L86" i="163"/>
  <c r="M86" i="163"/>
  <c r="I87" i="163"/>
  <c r="J87" i="163"/>
  <c r="K87" i="163"/>
  <c r="L87" i="163"/>
  <c r="M87" i="163"/>
  <c r="I88" i="163"/>
  <c r="J88" i="163"/>
  <c r="K88" i="163"/>
  <c r="L88" i="163"/>
  <c r="M88" i="163"/>
  <c r="I89" i="163"/>
  <c r="J89" i="163"/>
  <c r="K89" i="163"/>
  <c r="L89" i="163"/>
  <c r="M89" i="163"/>
  <c r="I90" i="163"/>
  <c r="J90" i="163"/>
  <c r="K90" i="163"/>
  <c r="L90" i="163"/>
  <c r="M90" i="163"/>
  <c r="I91" i="163"/>
  <c r="J91" i="163"/>
  <c r="K91" i="163"/>
  <c r="L91" i="163"/>
  <c r="M91" i="163"/>
  <c r="I92" i="163"/>
  <c r="J92" i="163"/>
  <c r="K92" i="163"/>
  <c r="L92" i="163"/>
  <c r="M92" i="163"/>
  <c r="I93" i="163"/>
  <c r="J93" i="163"/>
  <c r="K93" i="163"/>
  <c r="L93" i="163"/>
  <c r="M93" i="163"/>
  <c r="I94" i="163"/>
  <c r="J94" i="163"/>
  <c r="K94" i="163"/>
  <c r="L94" i="163"/>
  <c r="M94" i="163"/>
  <c r="I95" i="163"/>
  <c r="J95" i="163"/>
  <c r="K95" i="163"/>
  <c r="L95" i="163"/>
  <c r="M95" i="163"/>
  <c r="I96" i="163"/>
  <c r="J96" i="163"/>
  <c r="K96" i="163"/>
  <c r="L96" i="163"/>
  <c r="M96" i="163"/>
  <c r="I97" i="163"/>
  <c r="J97" i="163"/>
  <c r="K97" i="163"/>
  <c r="L97" i="163"/>
  <c r="M97" i="163"/>
  <c r="I98" i="163"/>
  <c r="J98" i="163"/>
  <c r="K98" i="163"/>
  <c r="L98" i="163"/>
  <c r="M98" i="163"/>
  <c r="I99" i="163"/>
  <c r="J99" i="163"/>
  <c r="K99" i="163"/>
  <c r="L99" i="163"/>
  <c r="M99" i="163"/>
  <c r="I100" i="163"/>
  <c r="J100" i="163"/>
  <c r="K100" i="163"/>
  <c r="L100" i="163"/>
  <c r="M100" i="163"/>
  <c r="I101" i="163"/>
  <c r="J101" i="163"/>
  <c r="K101" i="163"/>
  <c r="L101" i="163"/>
  <c r="M101" i="163"/>
  <c r="I102" i="163"/>
  <c r="J102" i="163"/>
  <c r="K102" i="163"/>
  <c r="L102" i="163"/>
  <c r="M102" i="163"/>
  <c r="I103" i="163"/>
  <c r="J103" i="163"/>
  <c r="K103" i="163"/>
  <c r="L103" i="163"/>
  <c r="M103" i="163"/>
  <c r="I104" i="163"/>
  <c r="J104" i="163"/>
  <c r="K104" i="163"/>
  <c r="L104" i="163"/>
  <c r="M104" i="163"/>
  <c r="I105" i="163"/>
  <c r="J105" i="163"/>
  <c r="K105" i="163"/>
  <c r="L105" i="163"/>
  <c r="M105" i="163"/>
  <c r="I106" i="163"/>
  <c r="J106" i="163"/>
  <c r="K106" i="163"/>
  <c r="L106" i="163"/>
  <c r="M106" i="163"/>
  <c r="I107" i="163"/>
  <c r="J107" i="163"/>
  <c r="K107" i="163"/>
  <c r="L107" i="163"/>
  <c r="M107" i="163"/>
  <c r="I108" i="163"/>
  <c r="J108" i="163"/>
  <c r="K108" i="163"/>
  <c r="L108" i="163"/>
  <c r="M108" i="163"/>
  <c r="I109" i="163"/>
  <c r="J109" i="163"/>
  <c r="K109" i="163"/>
  <c r="L109" i="163"/>
  <c r="M109" i="163"/>
  <c r="I110" i="163"/>
  <c r="J110" i="163"/>
  <c r="K110" i="163"/>
  <c r="L110" i="163"/>
  <c r="M110" i="163"/>
  <c r="I111" i="163"/>
  <c r="J111" i="163"/>
  <c r="K111" i="163"/>
  <c r="L111" i="163"/>
  <c r="M111" i="163"/>
  <c r="I112" i="163"/>
  <c r="J112" i="163"/>
  <c r="K112" i="163"/>
  <c r="L112" i="163"/>
  <c r="M112" i="163"/>
  <c r="I113" i="163"/>
  <c r="J113" i="163"/>
  <c r="K113" i="163"/>
  <c r="L113" i="163"/>
  <c r="M113" i="163"/>
  <c r="I114" i="163"/>
  <c r="J114" i="163"/>
  <c r="K114" i="163"/>
  <c r="L114" i="163"/>
  <c r="M114" i="163"/>
  <c r="I115" i="163"/>
  <c r="J115" i="163"/>
  <c r="K115" i="163"/>
  <c r="L115" i="163"/>
  <c r="M115" i="163"/>
  <c r="I116" i="163"/>
  <c r="J116" i="163"/>
  <c r="K116" i="163"/>
  <c r="L116" i="163"/>
  <c r="M116" i="163"/>
  <c r="I117" i="163"/>
  <c r="J117" i="163"/>
  <c r="K117" i="163"/>
  <c r="L117" i="163"/>
  <c r="M117" i="163"/>
  <c r="I118" i="163"/>
  <c r="J118" i="163"/>
  <c r="K118" i="163"/>
  <c r="L118" i="163"/>
  <c r="M118" i="163"/>
  <c r="I119" i="163"/>
  <c r="J119" i="163"/>
  <c r="K119" i="163"/>
  <c r="L119" i="163"/>
  <c r="M119" i="163"/>
  <c r="G120" i="163"/>
  <c r="J120" i="163" s="1"/>
  <c r="K120" i="163"/>
  <c r="L120" i="163"/>
  <c r="M120" i="163"/>
  <c r="G121" i="163"/>
  <c r="I121" i="163"/>
  <c r="J121" i="163"/>
  <c r="K121" i="163"/>
  <c r="M121" i="163"/>
  <c r="I122" i="163"/>
  <c r="J122" i="163"/>
  <c r="K122" i="163"/>
  <c r="L122" i="163"/>
  <c r="M122" i="163"/>
  <c r="I123" i="163"/>
  <c r="J123" i="163"/>
  <c r="K123" i="163"/>
  <c r="L123" i="163"/>
  <c r="M123" i="163"/>
  <c r="I124" i="163"/>
  <c r="J124" i="163"/>
  <c r="K124" i="163"/>
  <c r="L124" i="163"/>
  <c r="M124" i="163"/>
  <c r="I125" i="163"/>
  <c r="J125" i="163"/>
  <c r="K125" i="163"/>
  <c r="L125" i="163"/>
  <c r="M125" i="163"/>
  <c r="I126" i="163"/>
  <c r="J126" i="163"/>
  <c r="K126" i="163"/>
  <c r="L126" i="163"/>
  <c r="M126" i="163"/>
  <c r="I127" i="163"/>
  <c r="J127" i="163"/>
  <c r="K127" i="163"/>
  <c r="L127" i="163"/>
  <c r="M127" i="163"/>
  <c r="I128" i="163"/>
  <c r="J128" i="163"/>
  <c r="K128" i="163"/>
  <c r="L128" i="163"/>
  <c r="M128" i="163"/>
  <c r="I129" i="163"/>
  <c r="J129" i="163"/>
  <c r="K129" i="163"/>
  <c r="L129" i="163"/>
  <c r="M129" i="163"/>
  <c r="I130" i="163"/>
  <c r="J130" i="163"/>
  <c r="K130" i="163"/>
  <c r="L130" i="163"/>
  <c r="M130" i="163"/>
  <c r="I131" i="163"/>
  <c r="J131" i="163"/>
  <c r="K131" i="163"/>
  <c r="L131" i="163"/>
  <c r="M131" i="163"/>
  <c r="I132" i="163"/>
  <c r="J132" i="163"/>
  <c r="K132" i="163"/>
  <c r="L132" i="163"/>
  <c r="M132" i="163"/>
  <c r="I133" i="163"/>
  <c r="J133" i="163"/>
  <c r="K133" i="163"/>
  <c r="L133" i="163"/>
  <c r="M133" i="163"/>
  <c r="I134" i="163"/>
  <c r="J134" i="163"/>
  <c r="K134" i="163"/>
  <c r="L134" i="163"/>
  <c r="M134" i="163"/>
  <c r="I135" i="163"/>
  <c r="J135" i="163"/>
  <c r="K135" i="163"/>
  <c r="L135" i="163"/>
  <c r="M135" i="163"/>
  <c r="I136" i="163"/>
  <c r="J136" i="163"/>
  <c r="K136" i="163"/>
  <c r="L136" i="163"/>
  <c r="M136" i="163"/>
  <c r="I137" i="163"/>
  <c r="J137" i="163"/>
  <c r="K137" i="163"/>
  <c r="L137" i="163"/>
  <c r="M137" i="163"/>
  <c r="I138" i="163"/>
  <c r="J138" i="163"/>
  <c r="K138" i="163"/>
  <c r="L138" i="163"/>
  <c r="M138" i="163"/>
  <c r="I139" i="163"/>
  <c r="J139" i="163"/>
  <c r="K139" i="163"/>
  <c r="L139" i="163"/>
  <c r="M139" i="163"/>
  <c r="I140" i="163"/>
  <c r="J140" i="163"/>
  <c r="K140" i="163"/>
  <c r="L140" i="163"/>
  <c r="M140" i="163"/>
  <c r="I141" i="163"/>
  <c r="J141" i="163"/>
  <c r="K141" i="163"/>
  <c r="L141" i="163"/>
  <c r="M141" i="163"/>
  <c r="I142" i="163"/>
  <c r="J142" i="163"/>
  <c r="K142" i="163"/>
  <c r="L142" i="163"/>
  <c r="M142" i="163"/>
  <c r="I143" i="163"/>
  <c r="J143" i="163"/>
  <c r="K143" i="163"/>
  <c r="L143" i="163"/>
  <c r="M143" i="163"/>
  <c r="I144" i="163"/>
  <c r="J144" i="163"/>
  <c r="K144" i="163"/>
  <c r="L144" i="163"/>
  <c r="M144" i="163"/>
  <c r="I145" i="163"/>
  <c r="J145" i="163"/>
  <c r="K145" i="163"/>
  <c r="L145" i="163"/>
  <c r="M145" i="163"/>
  <c r="I146" i="163"/>
  <c r="J146" i="163"/>
  <c r="K146" i="163"/>
  <c r="L146" i="163"/>
  <c r="M146" i="163"/>
  <c r="I147" i="163"/>
  <c r="J147" i="163"/>
  <c r="K147" i="163"/>
  <c r="L147" i="163"/>
  <c r="M147" i="163"/>
  <c r="I148" i="163"/>
  <c r="J148" i="163"/>
  <c r="K148" i="163"/>
  <c r="L148" i="163"/>
  <c r="M148" i="163"/>
  <c r="I149" i="163"/>
  <c r="J149" i="163"/>
  <c r="K149" i="163"/>
  <c r="L149" i="163"/>
  <c r="M149" i="163"/>
  <c r="I150" i="163"/>
  <c r="J150" i="163"/>
  <c r="K150" i="163"/>
  <c r="L150" i="163"/>
  <c r="M150" i="163"/>
  <c r="I151" i="163"/>
  <c r="J151" i="163"/>
  <c r="K151" i="163"/>
  <c r="L151" i="163"/>
  <c r="M151" i="163"/>
  <c r="I152" i="163"/>
  <c r="J152" i="163"/>
  <c r="K152" i="163"/>
  <c r="L152" i="163"/>
  <c r="M152" i="163"/>
  <c r="I153" i="163"/>
  <c r="J153" i="163"/>
  <c r="K153" i="163"/>
  <c r="L153" i="163"/>
  <c r="M153" i="163"/>
  <c r="I154" i="163"/>
  <c r="J154" i="163"/>
  <c r="K154" i="163"/>
  <c r="L154" i="163"/>
  <c r="M154" i="163"/>
  <c r="I155" i="163"/>
  <c r="J155" i="163"/>
  <c r="K155" i="163"/>
  <c r="L155" i="163"/>
  <c r="M155" i="163"/>
  <c r="I156" i="163"/>
  <c r="J156" i="163"/>
  <c r="K156" i="163"/>
  <c r="L156" i="163"/>
  <c r="M156" i="163"/>
  <c r="I157" i="163"/>
  <c r="J157" i="163"/>
  <c r="K157" i="163"/>
  <c r="L157" i="163"/>
  <c r="M157" i="163"/>
  <c r="I158" i="163"/>
  <c r="J158" i="163"/>
  <c r="K158" i="163"/>
  <c r="L158" i="163"/>
  <c r="M158" i="163"/>
  <c r="I159" i="163"/>
  <c r="J159" i="163"/>
  <c r="K159" i="163"/>
  <c r="L159" i="163"/>
  <c r="M159" i="163"/>
  <c r="I160" i="163"/>
  <c r="J160" i="163"/>
  <c r="K160" i="163"/>
  <c r="L160" i="163"/>
  <c r="M160" i="163"/>
  <c r="I161" i="163"/>
  <c r="J161" i="163"/>
  <c r="K161" i="163"/>
  <c r="L161" i="163"/>
  <c r="M161" i="163"/>
  <c r="I162" i="163"/>
  <c r="J162" i="163"/>
  <c r="K162" i="163"/>
  <c r="L162" i="163"/>
  <c r="M162" i="163"/>
  <c r="I163" i="163"/>
  <c r="J163" i="163"/>
  <c r="K163" i="163"/>
  <c r="L163" i="163"/>
  <c r="M163" i="163"/>
  <c r="I164" i="163"/>
  <c r="J164" i="163"/>
  <c r="K164" i="163"/>
  <c r="L164" i="163"/>
  <c r="M164" i="163"/>
  <c r="I165" i="163"/>
  <c r="J165" i="163"/>
  <c r="K165" i="163"/>
  <c r="L165" i="163"/>
  <c r="M165" i="163"/>
  <c r="I166" i="163"/>
  <c r="J166" i="163"/>
  <c r="K166" i="163"/>
  <c r="L166" i="163"/>
  <c r="M166" i="163"/>
  <c r="I167" i="163"/>
  <c r="J167" i="163"/>
  <c r="K167" i="163"/>
  <c r="L167" i="163"/>
  <c r="M167" i="163"/>
  <c r="I168" i="163"/>
  <c r="J168" i="163"/>
  <c r="K168" i="163"/>
  <c r="L168" i="163"/>
  <c r="M168" i="163"/>
  <c r="I169" i="163"/>
  <c r="J169" i="163"/>
  <c r="K169" i="163"/>
  <c r="L169" i="163"/>
  <c r="M169" i="163"/>
  <c r="I170" i="163"/>
  <c r="J170" i="163"/>
  <c r="K170" i="163"/>
  <c r="L170" i="163"/>
  <c r="M170" i="163"/>
  <c r="I171" i="163"/>
  <c r="J171" i="163"/>
  <c r="K171" i="163"/>
  <c r="L171" i="163"/>
  <c r="M171" i="163"/>
  <c r="I172" i="163"/>
  <c r="J172" i="163"/>
  <c r="K172" i="163"/>
  <c r="L172" i="163"/>
  <c r="M172" i="163"/>
  <c r="I173" i="163"/>
  <c r="J173" i="163"/>
  <c r="K173" i="163"/>
  <c r="L173" i="163"/>
  <c r="M173" i="163"/>
  <c r="I174" i="163"/>
  <c r="J174" i="163"/>
  <c r="K174" i="163"/>
  <c r="L174" i="163"/>
  <c r="M174" i="163"/>
  <c r="I175" i="163"/>
  <c r="J175" i="163"/>
  <c r="K175" i="163"/>
  <c r="L175" i="163"/>
  <c r="M175" i="163"/>
  <c r="I176" i="163"/>
  <c r="J176" i="163"/>
  <c r="K176" i="163"/>
  <c r="L176" i="163"/>
  <c r="M176" i="163"/>
  <c r="I177" i="163"/>
  <c r="J177" i="163"/>
  <c r="K177" i="163"/>
  <c r="L177" i="163"/>
  <c r="M177" i="163"/>
  <c r="I178" i="163"/>
  <c r="J178" i="163"/>
  <c r="K178" i="163"/>
  <c r="L178" i="163"/>
  <c r="M178" i="163"/>
  <c r="I179" i="163"/>
  <c r="J179" i="163"/>
  <c r="K179" i="163"/>
  <c r="L179" i="163"/>
  <c r="M179" i="163"/>
  <c r="I180" i="163"/>
  <c r="J180" i="163"/>
  <c r="K180" i="163"/>
  <c r="L180" i="163"/>
  <c r="M180" i="163"/>
  <c r="I181" i="163"/>
  <c r="J181" i="163"/>
  <c r="K181" i="163"/>
  <c r="L181" i="163"/>
  <c r="M181" i="163"/>
  <c r="I182" i="163"/>
  <c r="J182" i="163"/>
  <c r="K182" i="163"/>
  <c r="L182" i="163"/>
  <c r="M182" i="163"/>
  <c r="I183" i="163"/>
  <c r="J183" i="163"/>
  <c r="K183" i="163"/>
  <c r="L183" i="163"/>
  <c r="M183" i="163"/>
  <c r="I184" i="163"/>
  <c r="J184" i="163"/>
  <c r="K184" i="163"/>
  <c r="L184" i="163"/>
  <c r="M184" i="163"/>
  <c r="I185" i="163"/>
  <c r="J185" i="163"/>
  <c r="K185" i="163"/>
  <c r="L185" i="163"/>
  <c r="M185" i="163"/>
  <c r="I186" i="163"/>
  <c r="J186" i="163"/>
  <c r="K186" i="163"/>
  <c r="L186" i="163"/>
  <c r="M186" i="163"/>
  <c r="I187" i="163"/>
  <c r="J187" i="163"/>
  <c r="K187" i="163"/>
  <c r="L187" i="163"/>
  <c r="M187" i="163"/>
  <c r="L188" i="163"/>
  <c r="M188" i="163"/>
  <c r="I189" i="163"/>
  <c r="J189" i="163"/>
  <c r="K189" i="163"/>
  <c r="L189" i="163"/>
  <c r="M189" i="163"/>
  <c r="L190" i="163"/>
  <c r="M190" i="163"/>
  <c r="I191" i="163"/>
  <c r="J191" i="163"/>
  <c r="K191" i="163"/>
  <c r="L191" i="163"/>
  <c r="M191" i="163"/>
  <c r="I192" i="163"/>
  <c r="J192" i="163"/>
  <c r="K192" i="163"/>
  <c r="L192" i="163"/>
  <c r="M192" i="163"/>
  <c r="I193" i="163"/>
  <c r="J193" i="163"/>
  <c r="K193" i="163"/>
  <c r="L193" i="163"/>
  <c r="M193" i="163"/>
  <c r="I194" i="163"/>
  <c r="J194" i="163"/>
  <c r="K194" i="163"/>
  <c r="L194" i="163"/>
  <c r="M194" i="163"/>
  <c r="I195" i="163"/>
  <c r="J195" i="163"/>
  <c r="K195" i="163"/>
  <c r="L195" i="163"/>
  <c r="M195" i="163"/>
  <c r="I196" i="163"/>
  <c r="J196" i="163"/>
  <c r="K196" i="163"/>
  <c r="L196" i="163"/>
  <c r="M196" i="163"/>
  <c r="I197" i="163"/>
  <c r="J197" i="163"/>
  <c r="K197" i="163"/>
  <c r="L197" i="163"/>
  <c r="M197" i="163"/>
  <c r="I198" i="163"/>
  <c r="J198" i="163"/>
  <c r="K198" i="163"/>
  <c r="L198" i="163"/>
  <c r="M198" i="163"/>
  <c r="I199" i="163"/>
  <c r="J199" i="163"/>
  <c r="K199" i="163"/>
  <c r="L199" i="163"/>
  <c r="M199" i="163"/>
  <c r="I200" i="163"/>
  <c r="J200" i="163"/>
  <c r="K200" i="163"/>
  <c r="L200" i="163"/>
  <c r="M200" i="163"/>
  <c r="I201" i="163"/>
  <c r="J201" i="163"/>
  <c r="K201" i="163"/>
  <c r="L201" i="163"/>
  <c r="M201" i="163"/>
  <c r="I202" i="163"/>
  <c r="J202" i="163"/>
  <c r="K202" i="163"/>
  <c r="L202" i="163"/>
  <c r="M202" i="163"/>
  <c r="I203" i="163"/>
  <c r="J203" i="163"/>
  <c r="K203" i="163"/>
  <c r="L203" i="163"/>
  <c r="M203" i="163"/>
  <c r="I204" i="163"/>
  <c r="J204" i="163"/>
  <c r="K204" i="163"/>
  <c r="L204" i="163"/>
  <c r="M204" i="163"/>
  <c r="I205" i="163"/>
  <c r="J205" i="163"/>
  <c r="K205" i="163"/>
  <c r="L205" i="163"/>
  <c r="M205" i="163"/>
  <c r="I206" i="163"/>
  <c r="J206" i="163"/>
  <c r="K206" i="163"/>
  <c r="L206" i="163"/>
  <c r="M206" i="163"/>
  <c r="I207" i="163"/>
  <c r="J207" i="163"/>
  <c r="K207" i="163"/>
  <c r="L207" i="163"/>
  <c r="M207" i="163"/>
  <c r="I208" i="163"/>
  <c r="J208" i="163"/>
  <c r="K208" i="163"/>
  <c r="L208" i="163"/>
  <c r="M208" i="163"/>
  <c r="I209" i="163"/>
  <c r="J209" i="163"/>
  <c r="K209" i="163"/>
  <c r="L209" i="163"/>
  <c r="M209" i="163"/>
  <c r="I210" i="163"/>
  <c r="J210" i="163"/>
  <c r="K210" i="163"/>
  <c r="L210" i="163"/>
  <c r="M210" i="163"/>
  <c r="I211" i="163"/>
  <c r="J211" i="163"/>
  <c r="K211" i="163"/>
  <c r="L211" i="163"/>
  <c r="M211" i="163"/>
  <c r="I212" i="163"/>
  <c r="J212" i="163"/>
  <c r="K212" i="163"/>
  <c r="L212" i="163"/>
  <c r="M212" i="163"/>
  <c r="I213" i="163"/>
  <c r="J213" i="163"/>
  <c r="K213" i="163"/>
  <c r="L213" i="163"/>
  <c r="M213" i="163"/>
  <c r="L214" i="163"/>
  <c r="I215" i="163"/>
  <c r="J215" i="163"/>
  <c r="K215" i="163"/>
  <c r="L215" i="163"/>
  <c r="M215" i="163"/>
  <c r="I216" i="163"/>
  <c r="J216" i="163"/>
  <c r="K216" i="163"/>
  <c r="L216" i="163"/>
  <c r="M216" i="163"/>
  <c r="L217" i="163"/>
  <c r="I218" i="163"/>
  <c r="J218" i="163"/>
  <c r="K218" i="163"/>
  <c r="L218" i="163"/>
  <c r="M218" i="163"/>
  <c r="I219" i="163"/>
  <c r="J219" i="163"/>
  <c r="K219" i="163"/>
  <c r="L219" i="163"/>
  <c r="M219" i="163"/>
  <c r="I220" i="163"/>
  <c r="J220" i="163"/>
  <c r="K220" i="163"/>
  <c r="L220" i="163"/>
  <c r="M220" i="163"/>
  <c r="L221" i="163"/>
  <c r="I222" i="163"/>
  <c r="J222" i="163"/>
  <c r="K222" i="163"/>
  <c r="L222" i="163"/>
  <c r="M222" i="163"/>
  <c r="I223" i="163"/>
  <c r="J223" i="163"/>
  <c r="K223" i="163"/>
  <c r="L223" i="163"/>
  <c r="M223" i="163"/>
  <c r="I224" i="163"/>
  <c r="J224" i="163"/>
  <c r="K224" i="163"/>
  <c r="L224" i="163"/>
  <c r="M224" i="163"/>
  <c r="I225" i="163"/>
  <c r="J225" i="163"/>
  <c r="K225" i="163"/>
  <c r="L225" i="163"/>
  <c r="M225" i="163"/>
  <c r="I226" i="163"/>
  <c r="J226" i="163"/>
  <c r="K226" i="163"/>
  <c r="L226" i="163"/>
  <c r="M226" i="163"/>
  <c r="I227" i="163"/>
  <c r="J227" i="163"/>
  <c r="K227" i="163"/>
  <c r="L227" i="163"/>
  <c r="M227" i="163"/>
  <c r="I228" i="163"/>
  <c r="J228" i="163"/>
  <c r="K228" i="163"/>
  <c r="L228" i="163"/>
  <c r="M228" i="163"/>
  <c r="I229" i="163"/>
  <c r="J229" i="163"/>
  <c r="K229" i="163"/>
  <c r="L229" i="163"/>
  <c r="M229" i="163"/>
  <c r="I230" i="163"/>
  <c r="J230" i="163"/>
  <c r="K230" i="163"/>
  <c r="L230" i="163"/>
  <c r="M230" i="163"/>
  <c r="I231" i="163"/>
  <c r="J231" i="163"/>
  <c r="K231" i="163"/>
  <c r="L231" i="163"/>
  <c r="M231" i="163"/>
  <c r="I232" i="163"/>
  <c r="J232" i="163"/>
  <c r="K232" i="163"/>
  <c r="L232" i="163"/>
  <c r="M232" i="163"/>
  <c r="I233" i="163"/>
  <c r="J233" i="163"/>
  <c r="K233" i="163"/>
  <c r="L233" i="163"/>
  <c r="M233" i="163"/>
  <c r="I234" i="163"/>
  <c r="J234" i="163"/>
  <c r="K234" i="163"/>
  <c r="L234" i="163"/>
  <c r="M234" i="163"/>
  <c r="I235" i="163"/>
  <c r="J235" i="163"/>
  <c r="K235" i="163"/>
  <c r="L235" i="163"/>
  <c r="M235" i="163"/>
  <c r="I236" i="163"/>
  <c r="J236" i="163"/>
  <c r="K236" i="163"/>
  <c r="L236" i="163"/>
  <c r="M236" i="163"/>
  <c r="I237" i="163"/>
  <c r="J237" i="163"/>
  <c r="K237" i="163"/>
  <c r="L237" i="163"/>
  <c r="M237" i="163"/>
  <c r="I238" i="163"/>
  <c r="J238" i="163"/>
  <c r="K238" i="163"/>
  <c r="L238" i="163"/>
  <c r="M238" i="163"/>
  <c r="I239" i="163"/>
  <c r="J239" i="163"/>
  <c r="K239" i="163"/>
  <c r="L239" i="163"/>
  <c r="M239" i="163"/>
  <c r="I240" i="163"/>
  <c r="J240" i="163"/>
  <c r="K240" i="163"/>
  <c r="L240" i="163"/>
  <c r="M240" i="163"/>
  <c r="I241" i="163"/>
  <c r="J241" i="163"/>
  <c r="K241" i="163"/>
  <c r="L241" i="163"/>
  <c r="M241" i="163"/>
  <c r="I242" i="163"/>
  <c r="J242" i="163"/>
  <c r="K242" i="163"/>
  <c r="L242" i="163"/>
  <c r="M242" i="163"/>
  <c r="I243" i="163"/>
  <c r="J243" i="163"/>
  <c r="K243" i="163"/>
  <c r="L243" i="163"/>
  <c r="M243" i="163"/>
  <c r="I244" i="163"/>
  <c r="J244" i="163"/>
  <c r="K244" i="163"/>
  <c r="L244" i="163"/>
  <c r="M244" i="163"/>
  <c r="I245" i="163"/>
  <c r="J245" i="163"/>
  <c r="K245" i="163"/>
  <c r="L245" i="163"/>
  <c r="M245" i="163"/>
  <c r="I246" i="163"/>
  <c r="J246" i="163"/>
  <c r="K246" i="163"/>
  <c r="L246" i="163"/>
  <c r="M246" i="163"/>
  <c r="I247" i="163"/>
  <c r="J247" i="163"/>
  <c r="K247" i="163"/>
  <c r="L247" i="163"/>
  <c r="M247" i="163"/>
  <c r="I248" i="163"/>
  <c r="J248" i="163"/>
  <c r="K248" i="163"/>
  <c r="L248" i="163"/>
  <c r="M248" i="163"/>
  <c r="I249" i="163"/>
  <c r="J249" i="163"/>
  <c r="K249" i="163"/>
  <c r="L249" i="163"/>
  <c r="M249" i="163"/>
  <c r="I250" i="163"/>
  <c r="J250" i="163"/>
  <c r="K250" i="163"/>
  <c r="L250" i="163"/>
  <c r="M250" i="163"/>
  <c r="I251" i="163"/>
  <c r="J251" i="163"/>
  <c r="K251" i="163"/>
  <c r="L251" i="163"/>
  <c r="M251" i="163"/>
  <c r="I252" i="163"/>
  <c r="J252" i="163"/>
  <c r="K252" i="163"/>
  <c r="L252" i="163"/>
  <c r="M252" i="163"/>
  <c r="I253" i="163"/>
  <c r="J253" i="163"/>
  <c r="K253" i="163"/>
  <c r="L253" i="163"/>
  <c r="M253" i="163"/>
  <c r="I254" i="163"/>
  <c r="J254" i="163"/>
  <c r="K254" i="163"/>
  <c r="L254" i="163"/>
  <c r="M254" i="163"/>
  <c r="I255" i="163"/>
  <c r="J255" i="163"/>
  <c r="K255" i="163"/>
  <c r="L255" i="163"/>
  <c r="M255" i="163"/>
  <c r="I256" i="163"/>
  <c r="J256" i="163"/>
  <c r="K256" i="163"/>
  <c r="L256" i="163"/>
  <c r="M256" i="163"/>
  <c r="I257" i="163"/>
  <c r="J257" i="163"/>
  <c r="K257" i="163"/>
  <c r="L257" i="163"/>
  <c r="M257" i="163"/>
  <c r="I258" i="163"/>
  <c r="J258" i="163"/>
  <c r="K258" i="163"/>
  <c r="L258" i="163"/>
  <c r="M258" i="163"/>
  <c r="I259" i="163"/>
  <c r="J259" i="163"/>
  <c r="K259" i="163"/>
  <c r="L259" i="163"/>
  <c r="M259" i="163"/>
  <c r="I260" i="163"/>
  <c r="J260" i="163"/>
  <c r="K260" i="163"/>
  <c r="L260" i="163"/>
  <c r="M260" i="163"/>
  <c r="I261" i="163"/>
  <c r="J261" i="163"/>
  <c r="K261" i="163"/>
  <c r="L261" i="163"/>
  <c r="M261" i="163"/>
  <c r="I262" i="163"/>
  <c r="J262" i="163"/>
  <c r="K262" i="163"/>
  <c r="L262" i="163"/>
  <c r="M262" i="163"/>
  <c r="I263" i="163"/>
  <c r="J263" i="163"/>
  <c r="K263" i="163"/>
  <c r="L263" i="163"/>
  <c r="M263" i="163"/>
  <c r="I264" i="163"/>
  <c r="J264" i="163"/>
  <c r="K264" i="163"/>
  <c r="L264" i="163"/>
  <c r="M264" i="163"/>
  <c r="I265" i="163"/>
  <c r="J265" i="163"/>
  <c r="K265" i="163"/>
  <c r="L265" i="163"/>
  <c r="M265" i="163"/>
  <c r="I266" i="163"/>
  <c r="J266" i="163"/>
  <c r="K266" i="163"/>
  <c r="L266" i="163"/>
  <c r="M266" i="163"/>
  <c r="I267" i="163"/>
  <c r="J267" i="163"/>
  <c r="K267" i="163"/>
  <c r="L267" i="163"/>
  <c r="M267" i="163"/>
  <c r="I268" i="163"/>
  <c r="J268" i="163"/>
  <c r="K268" i="163"/>
  <c r="L268" i="163"/>
  <c r="M268" i="163"/>
  <c r="I269" i="163"/>
  <c r="J269" i="163"/>
  <c r="K269" i="163"/>
  <c r="L269" i="163"/>
  <c r="M269" i="163"/>
  <c r="I270" i="163"/>
  <c r="J270" i="163"/>
  <c r="K270" i="163"/>
  <c r="L270" i="163"/>
  <c r="M270" i="163"/>
  <c r="I271" i="163"/>
  <c r="J271" i="163"/>
  <c r="K271" i="163"/>
  <c r="L271" i="163"/>
  <c r="M271" i="163"/>
  <c r="I272" i="163"/>
  <c r="J272" i="163"/>
  <c r="K272" i="163"/>
  <c r="L272" i="163"/>
  <c r="M272" i="163"/>
  <c r="I273" i="163"/>
  <c r="J273" i="163"/>
  <c r="K273" i="163"/>
  <c r="L273" i="163"/>
  <c r="M273" i="163"/>
  <c r="I274" i="163"/>
  <c r="J274" i="163"/>
  <c r="K274" i="163"/>
  <c r="L274" i="163"/>
  <c r="M274" i="163"/>
  <c r="I275" i="163"/>
  <c r="J275" i="163"/>
  <c r="K275" i="163"/>
  <c r="L275" i="163"/>
  <c r="M275" i="163"/>
  <c r="I276" i="163"/>
  <c r="J276" i="163"/>
  <c r="K276" i="163"/>
  <c r="L276" i="163"/>
  <c r="M276" i="163"/>
  <c r="I277" i="163"/>
  <c r="J277" i="163"/>
  <c r="K277" i="163"/>
  <c r="L277" i="163"/>
  <c r="M277" i="163"/>
  <c r="I278" i="163"/>
  <c r="J278" i="163"/>
  <c r="K278" i="163"/>
  <c r="L278" i="163"/>
  <c r="M278" i="163"/>
  <c r="I279" i="163"/>
  <c r="J279" i="163"/>
  <c r="K279" i="163"/>
  <c r="L279" i="163"/>
  <c r="M279" i="163"/>
  <c r="I280" i="163"/>
  <c r="J280" i="163"/>
  <c r="K280" i="163"/>
  <c r="L280" i="163"/>
  <c r="M280" i="163"/>
  <c r="I281" i="163"/>
  <c r="J281" i="163"/>
  <c r="K281" i="163"/>
  <c r="L281" i="163"/>
  <c r="M281" i="163"/>
  <c r="I282" i="163"/>
  <c r="J282" i="163"/>
  <c r="K282" i="163"/>
  <c r="L282" i="163"/>
  <c r="M282" i="163"/>
  <c r="I283" i="163"/>
  <c r="J283" i="163"/>
  <c r="K283" i="163"/>
  <c r="L283" i="163"/>
  <c r="M283" i="163"/>
  <c r="I284" i="163"/>
  <c r="J284" i="163"/>
  <c r="K284" i="163"/>
  <c r="L284" i="163"/>
  <c r="M284" i="163"/>
  <c r="I285" i="163"/>
  <c r="J285" i="163"/>
  <c r="K285" i="163"/>
  <c r="L285" i="163"/>
  <c r="M285" i="163"/>
  <c r="I286" i="163"/>
  <c r="J286" i="163"/>
  <c r="K286" i="163"/>
  <c r="L286" i="163"/>
  <c r="M286" i="163"/>
  <c r="I287" i="163"/>
  <c r="J287" i="163"/>
  <c r="K287" i="163"/>
  <c r="L287" i="163"/>
  <c r="M287" i="163"/>
  <c r="I288" i="163"/>
  <c r="J288" i="163"/>
  <c r="K288" i="163"/>
  <c r="L288" i="163"/>
  <c r="M288" i="163"/>
  <c r="I289" i="163"/>
  <c r="J289" i="163"/>
  <c r="K289" i="163"/>
  <c r="L289" i="163"/>
  <c r="M289" i="163"/>
  <c r="I290" i="163"/>
  <c r="J290" i="163"/>
  <c r="K290" i="163"/>
  <c r="L290" i="163"/>
  <c r="M290" i="163"/>
  <c r="I291" i="163"/>
  <c r="J291" i="163"/>
  <c r="K291" i="163"/>
  <c r="L291" i="163"/>
  <c r="M291" i="163"/>
  <c r="I292" i="163"/>
  <c r="J292" i="163"/>
  <c r="K292" i="163"/>
  <c r="L292" i="163"/>
  <c r="M292" i="163"/>
  <c r="I293" i="163"/>
  <c r="J293" i="163"/>
  <c r="K293" i="163"/>
  <c r="L293" i="163"/>
  <c r="M293" i="163"/>
  <c r="I294" i="163"/>
  <c r="J294" i="163"/>
  <c r="K294" i="163"/>
  <c r="L294" i="163"/>
  <c r="M294" i="163"/>
  <c r="L295" i="163"/>
  <c r="I296" i="163"/>
  <c r="J296" i="163"/>
  <c r="K296" i="163"/>
  <c r="L296" i="163"/>
  <c r="M296" i="163"/>
  <c r="I297" i="163"/>
  <c r="J297" i="163"/>
  <c r="K297" i="163"/>
  <c r="L297" i="163"/>
  <c r="M297" i="163"/>
  <c r="I298" i="163"/>
  <c r="J298" i="163"/>
  <c r="K298" i="163"/>
  <c r="L298" i="163"/>
  <c r="M298" i="163"/>
  <c r="I299" i="163"/>
  <c r="J299" i="163"/>
  <c r="K299" i="163"/>
  <c r="L299" i="163"/>
  <c r="M299" i="163"/>
  <c r="I300" i="163"/>
  <c r="J300" i="163"/>
  <c r="K300" i="163"/>
  <c r="L300" i="163"/>
  <c r="M300" i="163"/>
  <c r="I301" i="163"/>
  <c r="J301" i="163"/>
  <c r="K301" i="163"/>
  <c r="L301" i="163"/>
  <c r="M301" i="163"/>
  <c r="I302" i="163"/>
  <c r="J302" i="163"/>
  <c r="K302" i="163"/>
  <c r="L302" i="163"/>
  <c r="M302" i="163"/>
  <c r="I303" i="163"/>
  <c r="J303" i="163"/>
  <c r="K303" i="163"/>
  <c r="L303" i="163"/>
  <c r="M303" i="163"/>
  <c r="I304" i="163"/>
  <c r="J304" i="163"/>
  <c r="K304" i="163"/>
  <c r="L304" i="163"/>
  <c r="M304" i="163"/>
  <c r="I305" i="163"/>
  <c r="J305" i="163"/>
  <c r="K305" i="163"/>
  <c r="L305" i="163"/>
  <c r="M305" i="163"/>
  <c r="I306" i="163"/>
  <c r="J306" i="163"/>
  <c r="K306" i="163"/>
  <c r="L306" i="163"/>
  <c r="M306" i="163"/>
  <c r="I307" i="163"/>
  <c r="J307" i="163"/>
  <c r="K307" i="163"/>
  <c r="L307" i="163"/>
  <c r="M307" i="163"/>
  <c r="I308" i="163"/>
  <c r="J308" i="163"/>
  <c r="K308" i="163"/>
  <c r="L308" i="163"/>
  <c r="M308" i="163"/>
  <c r="I309" i="163"/>
  <c r="J309" i="163"/>
  <c r="K309" i="163"/>
  <c r="L309" i="163"/>
  <c r="M309" i="163"/>
  <c r="I310" i="163"/>
  <c r="J310" i="163"/>
  <c r="K310" i="163"/>
  <c r="L310" i="163"/>
  <c r="M310" i="163"/>
  <c r="I311" i="163"/>
  <c r="J311" i="163"/>
  <c r="K311" i="163"/>
  <c r="L311" i="163"/>
  <c r="M311" i="163"/>
  <c r="I312" i="163"/>
  <c r="J312" i="163"/>
  <c r="K312" i="163"/>
  <c r="L312" i="163"/>
  <c r="M312" i="163"/>
  <c r="G313" i="163"/>
  <c r="I313" i="163"/>
  <c r="J313" i="163"/>
  <c r="K313" i="163"/>
  <c r="L313" i="163"/>
  <c r="M313" i="163"/>
  <c r="I314" i="163"/>
  <c r="J314" i="163"/>
  <c r="K314" i="163"/>
  <c r="L314" i="163"/>
  <c r="M314" i="163"/>
  <c r="I315" i="163"/>
  <c r="J315" i="163"/>
  <c r="K315" i="163"/>
  <c r="L315" i="163"/>
  <c r="M315" i="163"/>
  <c r="I316" i="163"/>
  <c r="J316" i="163"/>
  <c r="K316" i="163"/>
  <c r="L316" i="163"/>
  <c r="M316" i="163"/>
  <c r="I317" i="163"/>
  <c r="J317" i="163"/>
  <c r="K317" i="163"/>
  <c r="L317" i="163"/>
  <c r="M317" i="163"/>
  <c r="I318" i="163"/>
  <c r="J318" i="163"/>
  <c r="K318" i="163"/>
  <c r="L318" i="163"/>
  <c r="M318" i="163"/>
  <c r="I319" i="163"/>
  <c r="J319" i="163"/>
  <c r="K319" i="163"/>
  <c r="L319" i="163"/>
  <c r="M319" i="163"/>
  <c r="I320" i="163"/>
  <c r="J320" i="163"/>
  <c r="K320" i="163"/>
  <c r="L320" i="163"/>
  <c r="M320" i="163"/>
  <c r="I321" i="163"/>
  <c r="J321" i="163"/>
  <c r="K321" i="163"/>
  <c r="L321" i="163"/>
  <c r="M321" i="163"/>
  <c r="I322" i="163"/>
  <c r="J322" i="163"/>
  <c r="K322" i="163"/>
  <c r="L322" i="163"/>
  <c r="M322" i="163"/>
  <c r="I323" i="163"/>
  <c r="J323" i="163"/>
  <c r="K323" i="163"/>
  <c r="L323" i="163"/>
  <c r="M323" i="163"/>
  <c r="I324" i="163"/>
  <c r="J324" i="163"/>
  <c r="K324" i="163"/>
  <c r="L324" i="163"/>
  <c r="M324" i="163"/>
  <c r="I325" i="163"/>
  <c r="J325" i="163"/>
  <c r="K325" i="163"/>
  <c r="L325" i="163"/>
  <c r="M325" i="163"/>
  <c r="H326" i="163"/>
  <c r="I328" i="163"/>
  <c r="J328" i="163"/>
  <c r="K328" i="163"/>
  <c r="L328" i="163"/>
  <c r="M328" i="163"/>
  <c r="I329" i="163"/>
  <c r="J329" i="163"/>
  <c r="K329" i="163"/>
  <c r="L329" i="163"/>
  <c r="M329" i="163"/>
  <c r="L330" i="163"/>
  <c r="I331" i="163"/>
  <c r="J331" i="163"/>
  <c r="K331" i="163"/>
  <c r="L331" i="163"/>
  <c r="M331" i="163"/>
  <c r="I332" i="163"/>
  <c r="J332" i="163"/>
  <c r="K332" i="163"/>
  <c r="L332" i="163"/>
  <c r="M332" i="163"/>
  <c r="I333" i="163"/>
  <c r="J333" i="163"/>
  <c r="K333" i="163"/>
  <c r="L333" i="163"/>
  <c r="M333" i="163"/>
  <c r="L334" i="163"/>
  <c r="I335" i="163"/>
  <c r="J335" i="163"/>
  <c r="K335" i="163"/>
  <c r="L335" i="163"/>
  <c r="M335" i="163"/>
  <c r="L336" i="163"/>
  <c r="L337" i="163"/>
  <c r="L339" i="163"/>
  <c r="L340" i="163"/>
  <c r="L341" i="163"/>
  <c r="L342" i="163"/>
  <c r="I343" i="163"/>
  <c r="J343" i="163"/>
  <c r="K343" i="163"/>
  <c r="L343" i="163"/>
  <c r="M343" i="163"/>
  <c r="I344" i="163"/>
  <c r="J344" i="163"/>
  <c r="K344" i="163"/>
  <c r="L344" i="163"/>
  <c r="M344" i="163"/>
  <c r="I345" i="163"/>
  <c r="J345" i="163"/>
  <c r="K345" i="163"/>
  <c r="L345" i="163"/>
  <c r="M345" i="163"/>
  <c r="L346" i="163"/>
  <c r="I347" i="163"/>
  <c r="J347" i="163"/>
  <c r="K347" i="163"/>
  <c r="L347" i="163"/>
  <c r="M347" i="163"/>
  <c r="I348" i="163"/>
  <c r="J348" i="163"/>
  <c r="K348" i="163"/>
  <c r="L348" i="163"/>
  <c r="M348" i="163"/>
  <c r="I349" i="163"/>
  <c r="J349" i="163"/>
  <c r="K349" i="163"/>
  <c r="L349" i="163"/>
  <c r="M349" i="163"/>
  <c r="I350" i="163"/>
  <c r="J350" i="163"/>
  <c r="K350" i="163"/>
  <c r="L350" i="163"/>
  <c r="M350" i="163"/>
  <c r="I351" i="163"/>
  <c r="J351" i="163"/>
  <c r="K351" i="163"/>
  <c r="L351" i="163"/>
  <c r="M351" i="163"/>
  <c r="I352" i="163"/>
  <c r="J352" i="163"/>
  <c r="K352" i="163"/>
  <c r="L352" i="163"/>
  <c r="M352" i="163"/>
  <c r="I353" i="163"/>
  <c r="J353" i="163"/>
  <c r="K353" i="163"/>
  <c r="L353" i="163"/>
  <c r="M353" i="163"/>
  <c r="I354" i="163"/>
  <c r="J354" i="163"/>
  <c r="K354" i="163"/>
  <c r="L354" i="163"/>
  <c r="M354" i="163"/>
  <c r="I355" i="163"/>
  <c r="J355" i="163"/>
  <c r="K355" i="163"/>
  <c r="L355" i="163"/>
  <c r="M355" i="163"/>
  <c r="I356" i="163"/>
  <c r="J356" i="163"/>
  <c r="K356" i="163"/>
  <c r="L356" i="163"/>
  <c r="M356" i="163"/>
  <c r="I357" i="163"/>
  <c r="J357" i="163"/>
  <c r="K357" i="163"/>
  <c r="L357" i="163"/>
  <c r="M357" i="163"/>
  <c r="I358" i="163"/>
  <c r="J358" i="163"/>
  <c r="K358" i="163"/>
  <c r="L358" i="163"/>
  <c r="M358" i="163"/>
  <c r="I359" i="163"/>
  <c r="J359" i="163"/>
  <c r="K359" i="163"/>
  <c r="L359" i="163"/>
  <c r="M359" i="163"/>
  <c r="I360" i="163"/>
  <c r="J360" i="163"/>
  <c r="K360" i="163"/>
  <c r="L360" i="163"/>
  <c r="M360" i="163"/>
  <c r="I361" i="163"/>
  <c r="J361" i="163"/>
  <c r="K361" i="163"/>
  <c r="L361" i="163"/>
  <c r="M361" i="163"/>
  <c r="I362" i="163"/>
  <c r="J362" i="163"/>
  <c r="K362" i="163"/>
  <c r="L362" i="163"/>
  <c r="M362" i="163"/>
  <c r="L363" i="163"/>
  <c r="I364" i="163"/>
  <c r="J364" i="163"/>
  <c r="K364" i="163"/>
  <c r="L364" i="163"/>
  <c r="M364" i="163"/>
  <c r="L365" i="163"/>
  <c r="I366" i="163"/>
  <c r="J366" i="163"/>
  <c r="K366" i="163"/>
  <c r="L366" i="163"/>
  <c r="M366" i="163"/>
  <c r="I367" i="163"/>
  <c r="J367" i="163"/>
  <c r="K367" i="163"/>
  <c r="L367" i="163"/>
  <c r="M367" i="163"/>
  <c r="I368" i="163"/>
  <c r="J368" i="163"/>
  <c r="K368" i="163"/>
  <c r="L368" i="163"/>
  <c r="M368" i="163"/>
  <c r="I369" i="163"/>
  <c r="J369" i="163"/>
  <c r="K369" i="163"/>
  <c r="L369" i="163"/>
  <c r="M369" i="163"/>
  <c r="I370" i="163"/>
  <c r="J370" i="163"/>
  <c r="K370" i="163"/>
  <c r="L370" i="163"/>
  <c r="M370" i="163"/>
  <c r="I371" i="163"/>
  <c r="J371" i="163"/>
  <c r="K371" i="163"/>
  <c r="L371" i="163"/>
  <c r="M371" i="163"/>
  <c r="I372" i="163"/>
  <c r="J372" i="163"/>
  <c r="K372" i="163"/>
  <c r="L372" i="163"/>
  <c r="M372" i="163"/>
  <c r="I373" i="163"/>
  <c r="J373" i="163"/>
  <c r="K373" i="163"/>
  <c r="L373" i="163"/>
  <c r="M373" i="163"/>
  <c r="I374" i="163"/>
  <c r="J374" i="163"/>
  <c r="K374" i="163"/>
  <c r="L374" i="163"/>
  <c r="M374" i="163"/>
  <c r="I375" i="163"/>
  <c r="J375" i="163"/>
  <c r="K375" i="163"/>
  <c r="L375" i="163"/>
  <c r="M375" i="163"/>
  <c r="I376" i="163"/>
  <c r="J376" i="163"/>
  <c r="K376" i="163"/>
  <c r="L376" i="163"/>
  <c r="M376" i="163"/>
  <c r="I377" i="163"/>
  <c r="J377" i="163"/>
  <c r="K377" i="163"/>
  <c r="L377" i="163"/>
  <c r="M377" i="163"/>
  <c r="I378" i="163"/>
  <c r="J378" i="163"/>
  <c r="K378" i="163"/>
  <c r="L378" i="163"/>
  <c r="M378" i="163"/>
  <c r="I379" i="163"/>
  <c r="J379" i="163"/>
  <c r="K379" i="163"/>
  <c r="L379" i="163"/>
  <c r="M379" i="163"/>
  <c r="I380" i="163"/>
  <c r="J380" i="163"/>
  <c r="K380" i="163"/>
  <c r="L380" i="163"/>
  <c r="M380" i="163"/>
  <c r="I381" i="163"/>
  <c r="J381" i="163"/>
  <c r="K381" i="163"/>
  <c r="L381" i="163"/>
  <c r="M381" i="163"/>
  <c r="I382" i="163"/>
  <c r="J382" i="163"/>
  <c r="K382" i="163"/>
  <c r="L382" i="163"/>
  <c r="M382" i="163"/>
  <c r="I383" i="163"/>
  <c r="J383" i="163"/>
  <c r="K383" i="163"/>
  <c r="L383" i="163"/>
  <c r="M383" i="163"/>
  <c r="I384" i="163"/>
  <c r="J384" i="163"/>
  <c r="K384" i="163"/>
  <c r="L384" i="163"/>
  <c r="M384" i="163"/>
  <c r="I385" i="163"/>
  <c r="J385" i="163"/>
  <c r="K385" i="163"/>
  <c r="L385" i="163"/>
  <c r="M385" i="163"/>
  <c r="I386" i="163"/>
  <c r="J386" i="163"/>
  <c r="K386" i="163"/>
  <c r="L386" i="163"/>
  <c r="M386" i="163"/>
  <c r="I387" i="163"/>
  <c r="J387" i="163"/>
  <c r="K387" i="163"/>
  <c r="L387" i="163"/>
  <c r="M387" i="163"/>
  <c r="I388" i="163"/>
  <c r="J388" i="163"/>
  <c r="K388" i="163"/>
  <c r="L388" i="163"/>
  <c r="M388" i="163"/>
  <c r="L389" i="163"/>
  <c r="I390" i="163"/>
  <c r="J390" i="163"/>
  <c r="K390" i="163"/>
  <c r="L390" i="163"/>
  <c r="M390" i="163"/>
  <c r="L391" i="163"/>
  <c r="I392" i="163"/>
  <c r="J392" i="163"/>
  <c r="K392" i="163"/>
  <c r="L392" i="163"/>
  <c r="M392" i="163"/>
  <c r="L393" i="163"/>
  <c r="I394" i="163"/>
  <c r="J394" i="163"/>
  <c r="K394" i="163"/>
  <c r="L394" i="163"/>
  <c r="M394" i="163"/>
  <c r="I395" i="163"/>
  <c r="J395" i="163"/>
  <c r="K395" i="163"/>
  <c r="L395" i="163"/>
  <c r="M395" i="163"/>
  <c r="I396" i="163"/>
  <c r="J396" i="163"/>
  <c r="K396" i="163"/>
  <c r="L396" i="163"/>
  <c r="M396" i="163"/>
  <c r="I397" i="163"/>
  <c r="J397" i="163"/>
  <c r="K397" i="163"/>
  <c r="L397" i="163"/>
  <c r="M397" i="163"/>
  <c r="I398" i="163"/>
  <c r="J398" i="163"/>
  <c r="K398" i="163"/>
  <c r="L398" i="163"/>
  <c r="M398" i="163"/>
  <c r="I399" i="163"/>
  <c r="J399" i="163"/>
  <c r="K399" i="163"/>
  <c r="L399" i="163"/>
  <c r="M399" i="163"/>
  <c r="I400" i="163"/>
  <c r="J400" i="163"/>
  <c r="K400" i="163"/>
  <c r="L400" i="163"/>
  <c r="M400" i="163"/>
  <c r="I401" i="163"/>
  <c r="J401" i="163"/>
  <c r="K401" i="163"/>
  <c r="L401" i="163"/>
  <c r="M401" i="163"/>
  <c r="I402" i="163"/>
  <c r="J402" i="163"/>
  <c r="K402" i="163"/>
  <c r="L402" i="163"/>
  <c r="M402" i="163"/>
  <c r="I403" i="163"/>
  <c r="J403" i="163"/>
  <c r="K403" i="163"/>
  <c r="L403" i="163"/>
  <c r="M403" i="163"/>
  <c r="I404" i="163"/>
  <c r="J404" i="163"/>
  <c r="K404" i="163"/>
  <c r="L404" i="163"/>
  <c r="M404" i="163"/>
  <c r="I405" i="163"/>
  <c r="J405" i="163"/>
  <c r="K405" i="163"/>
  <c r="L405" i="163"/>
  <c r="M405" i="163"/>
  <c r="I406" i="163"/>
  <c r="J406" i="163"/>
  <c r="K406" i="163"/>
  <c r="L406" i="163"/>
  <c r="M406" i="163"/>
  <c r="I407" i="163"/>
  <c r="J407" i="163"/>
  <c r="K407" i="163"/>
  <c r="L407" i="163"/>
  <c r="M407" i="163"/>
  <c r="I408" i="163"/>
  <c r="J408" i="163"/>
  <c r="K408" i="163"/>
  <c r="L408" i="163"/>
  <c r="M408" i="163"/>
  <c r="I409" i="163"/>
  <c r="J409" i="163"/>
  <c r="K409" i="163"/>
  <c r="L409" i="163"/>
  <c r="M409" i="163"/>
  <c r="I410" i="163"/>
  <c r="J410" i="163"/>
  <c r="K410" i="163"/>
  <c r="L410" i="163"/>
  <c r="M410" i="163"/>
  <c r="I411" i="163"/>
  <c r="J411" i="163"/>
  <c r="K411" i="163"/>
  <c r="L411" i="163"/>
  <c r="M411" i="163"/>
  <c r="I412" i="163"/>
  <c r="J412" i="163"/>
  <c r="K412" i="163"/>
  <c r="L412" i="163"/>
  <c r="M412" i="163"/>
  <c r="I413" i="163"/>
  <c r="J413" i="163"/>
  <c r="K413" i="163"/>
  <c r="L413" i="163"/>
  <c r="M413" i="163"/>
  <c r="I414" i="163"/>
  <c r="J414" i="163"/>
  <c r="K414" i="163"/>
  <c r="L414" i="163"/>
  <c r="M414" i="163"/>
  <c r="I415" i="163"/>
  <c r="J415" i="163"/>
  <c r="K415" i="163"/>
  <c r="L415" i="163"/>
  <c r="M415" i="163"/>
  <c r="I416" i="163"/>
  <c r="J416" i="163"/>
  <c r="K416" i="163"/>
  <c r="L416" i="163"/>
  <c r="M416" i="163"/>
  <c r="I417" i="163"/>
  <c r="J417" i="163"/>
  <c r="K417" i="163"/>
  <c r="L417" i="163"/>
  <c r="M417" i="163"/>
  <c r="I418" i="163"/>
  <c r="J418" i="163"/>
  <c r="K418" i="163"/>
  <c r="L418" i="163"/>
  <c r="M418" i="163"/>
  <c r="I419" i="163"/>
  <c r="J419" i="163"/>
  <c r="K419" i="163"/>
  <c r="L419" i="163"/>
  <c r="M419" i="163"/>
  <c r="I420" i="163"/>
  <c r="J420" i="163"/>
  <c r="K420" i="163"/>
  <c r="L420" i="163"/>
  <c r="M420" i="163"/>
  <c r="I421" i="163"/>
  <c r="J421" i="163"/>
  <c r="K421" i="163"/>
  <c r="L421" i="163"/>
  <c r="M421" i="163"/>
  <c r="I422" i="163"/>
  <c r="J422" i="163"/>
  <c r="K422" i="163"/>
  <c r="L422" i="163"/>
  <c r="M422" i="163"/>
  <c r="I423" i="163"/>
  <c r="J423" i="163"/>
  <c r="K423" i="163"/>
  <c r="L423" i="163"/>
  <c r="M423" i="163"/>
  <c r="I424" i="163"/>
  <c r="J424" i="163"/>
  <c r="K424" i="163"/>
  <c r="L424" i="163"/>
  <c r="M424" i="163"/>
  <c r="I425" i="163"/>
  <c r="J425" i="163"/>
  <c r="K425" i="163"/>
  <c r="L425" i="163"/>
  <c r="M425" i="163"/>
  <c r="I426" i="163"/>
  <c r="J426" i="163"/>
  <c r="K426" i="163"/>
  <c r="L426" i="163"/>
  <c r="M426" i="163"/>
  <c r="I427" i="163"/>
  <c r="J427" i="163"/>
  <c r="K427" i="163"/>
  <c r="L427" i="163"/>
  <c r="M427" i="163"/>
  <c r="I428" i="163"/>
  <c r="J428" i="163"/>
  <c r="K428" i="163"/>
  <c r="L428" i="163"/>
  <c r="M428" i="163"/>
  <c r="I429" i="163"/>
  <c r="J429" i="163"/>
  <c r="K429" i="163"/>
  <c r="L429" i="163"/>
  <c r="M429" i="163"/>
  <c r="I430" i="163"/>
  <c r="J430" i="163"/>
  <c r="K430" i="163"/>
  <c r="L430" i="163"/>
  <c r="M430" i="163"/>
  <c r="I431" i="163"/>
  <c r="J431" i="163"/>
  <c r="K431" i="163"/>
  <c r="L431" i="163"/>
  <c r="M431" i="163"/>
  <c r="I432" i="163"/>
  <c r="J432" i="163"/>
  <c r="K432" i="163"/>
  <c r="L432" i="163"/>
  <c r="M432" i="163"/>
  <c r="I433" i="163"/>
  <c r="J433" i="163"/>
  <c r="K433" i="163"/>
  <c r="L433" i="163"/>
  <c r="M433" i="163"/>
  <c r="I434" i="163"/>
  <c r="J434" i="163"/>
  <c r="K434" i="163"/>
  <c r="L434" i="163"/>
  <c r="M434" i="163"/>
  <c r="I435" i="163"/>
  <c r="J435" i="163"/>
  <c r="K435" i="163"/>
  <c r="L435" i="163"/>
  <c r="M435" i="163"/>
  <c r="I436" i="163"/>
  <c r="J436" i="163"/>
  <c r="K436" i="163"/>
  <c r="L436" i="163"/>
  <c r="M436" i="163"/>
  <c r="I437" i="163"/>
  <c r="J437" i="163"/>
  <c r="K437" i="163"/>
  <c r="L437" i="163"/>
  <c r="M437" i="163"/>
  <c r="I438" i="163"/>
  <c r="J438" i="163"/>
  <c r="K438" i="163"/>
  <c r="L438" i="163"/>
  <c r="M438" i="163"/>
  <c r="I439" i="163"/>
  <c r="J439" i="163"/>
  <c r="K439" i="163"/>
  <c r="L439" i="163"/>
  <c r="M439" i="163"/>
  <c r="I440" i="163"/>
  <c r="J440" i="163"/>
  <c r="K440" i="163"/>
  <c r="L440" i="163"/>
  <c r="M440" i="163"/>
  <c r="I441" i="163"/>
  <c r="J441" i="163"/>
  <c r="K441" i="163"/>
  <c r="L441" i="163"/>
  <c r="M441" i="163"/>
  <c r="I442" i="163"/>
  <c r="J442" i="163"/>
  <c r="K442" i="163"/>
  <c r="L442" i="163"/>
  <c r="M442" i="163"/>
  <c r="I443" i="163"/>
  <c r="J443" i="163"/>
  <c r="K443" i="163"/>
  <c r="L443" i="163"/>
  <c r="M443" i="163"/>
  <c r="I444" i="163"/>
  <c r="J444" i="163"/>
  <c r="K444" i="163"/>
  <c r="L444" i="163"/>
  <c r="M444" i="163"/>
  <c r="I445" i="163"/>
  <c r="J445" i="163"/>
  <c r="K445" i="163"/>
  <c r="L445" i="163"/>
  <c r="M445" i="163"/>
  <c r="I446" i="163"/>
  <c r="J446" i="163"/>
  <c r="K446" i="163"/>
  <c r="L446" i="163"/>
  <c r="M446" i="163"/>
  <c r="I447" i="163"/>
  <c r="J447" i="163"/>
  <c r="K447" i="163"/>
  <c r="L447" i="163"/>
  <c r="M447" i="163"/>
  <c r="I448" i="163"/>
  <c r="J448" i="163"/>
  <c r="K448" i="163"/>
  <c r="L448" i="163"/>
  <c r="M448" i="163"/>
  <c r="I449" i="163"/>
  <c r="J449" i="163"/>
  <c r="K449" i="163"/>
  <c r="L449" i="163"/>
  <c r="M449" i="163"/>
  <c r="I450" i="163"/>
  <c r="J450" i="163"/>
  <c r="K450" i="163"/>
  <c r="L450" i="163"/>
  <c r="M450" i="163"/>
  <c r="I451" i="163"/>
  <c r="J451" i="163"/>
  <c r="K451" i="163"/>
  <c r="L451" i="163"/>
  <c r="M451" i="163"/>
  <c r="I452" i="163"/>
  <c r="J452" i="163"/>
  <c r="K452" i="163"/>
  <c r="L452" i="163"/>
  <c r="M452" i="163"/>
  <c r="I453" i="163"/>
  <c r="J453" i="163"/>
  <c r="K453" i="163"/>
  <c r="L453" i="163"/>
  <c r="M453" i="163"/>
  <c r="I454" i="163"/>
  <c r="J454" i="163"/>
  <c r="K454" i="163"/>
  <c r="L454" i="163"/>
  <c r="M454" i="163"/>
  <c r="I455" i="163"/>
  <c r="J455" i="163"/>
  <c r="K455" i="163"/>
  <c r="L455" i="163"/>
  <c r="M455" i="163"/>
  <c r="I456" i="163"/>
  <c r="J456" i="163"/>
  <c r="K456" i="163"/>
  <c r="L456" i="163"/>
  <c r="M456" i="163"/>
  <c r="I457" i="163"/>
  <c r="J457" i="163"/>
  <c r="K457" i="163"/>
  <c r="L457" i="163"/>
  <c r="M457" i="163"/>
  <c r="I458" i="163"/>
  <c r="J458" i="163"/>
  <c r="K458" i="163"/>
  <c r="L458" i="163"/>
  <c r="M458" i="163"/>
  <c r="I459" i="163"/>
  <c r="J459" i="163"/>
  <c r="K459" i="163"/>
  <c r="L459" i="163"/>
  <c r="M459" i="163"/>
  <c r="I460" i="163"/>
  <c r="J460" i="163"/>
  <c r="K460" i="163"/>
  <c r="L460" i="163"/>
  <c r="M460" i="163"/>
  <c r="I461" i="163"/>
  <c r="J461" i="163"/>
  <c r="K461" i="163"/>
  <c r="L461" i="163"/>
  <c r="M461" i="163"/>
  <c r="I462" i="163"/>
  <c r="J462" i="163"/>
  <c r="K462" i="163"/>
  <c r="L462" i="163"/>
  <c r="M462" i="163"/>
  <c r="I463" i="163"/>
  <c r="J463" i="163"/>
  <c r="K463" i="163"/>
  <c r="L463" i="163"/>
  <c r="M463" i="163"/>
  <c r="I464" i="163"/>
  <c r="J464" i="163"/>
  <c r="K464" i="163"/>
  <c r="L464" i="163"/>
  <c r="M464" i="163"/>
  <c r="I465" i="163"/>
  <c r="J465" i="163"/>
  <c r="K465" i="163"/>
  <c r="L465" i="163"/>
  <c r="M465" i="163"/>
  <c r="G466" i="163"/>
  <c r="H466" i="163"/>
  <c r="H495" i="163" s="1"/>
  <c r="L466" i="163"/>
  <c r="L467" i="163"/>
  <c r="I468" i="163"/>
  <c r="J468" i="163"/>
  <c r="K468" i="163"/>
  <c r="L468" i="163"/>
  <c r="M468" i="163"/>
  <c r="I469" i="163"/>
  <c r="J469" i="163"/>
  <c r="K469" i="163"/>
  <c r="L469" i="163"/>
  <c r="M469" i="163"/>
  <c r="L470" i="163"/>
  <c r="M470" i="163"/>
  <c r="I471" i="163"/>
  <c r="J471" i="163"/>
  <c r="K471" i="163"/>
  <c r="L471" i="163"/>
  <c r="M471" i="163"/>
  <c r="I472" i="163"/>
  <c r="J472" i="163"/>
  <c r="K472" i="163"/>
  <c r="L472" i="163"/>
  <c r="M472" i="163"/>
  <c r="I473" i="163"/>
  <c r="J473" i="163"/>
  <c r="K473" i="163"/>
  <c r="L473" i="163"/>
  <c r="M473" i="163"/>
  <c r="I474" i="163"/>
  <c r="J474" i="163"/>
  <c r="K474" i="163"/>
  <c r="L474" i="163"/>
  <c r="M474" i="163"/>
  <c r="I475" i="163"/>
  <c r="J475" i="163"/>
  <c r="K475" i="163"/>
  <c r="L475" i="163"/>
  <c r="M475" i="163"/>
  <c r="I476" i="163"/>
  <c r="J476" i="163"/>
  <c r="K476" i="163"/>
  <c r="L476" i="163"/>
  <c r="M476" i="163"/>
  <c r="I477" i="163"/>
  <c r="J477" i="163"/>
  <c r="K477" i="163"/>
  <c r="L477" i="163"/>
  <c r="M477" i="163"/>
  <c r="I478" i="163"/>
  <c r="J478" i="163"/>
  <c r="K478" i="163"/>
  <c r="L478" i="163"/>
  <c r="M478" i="163"/>
  <c r="I479" i="163"/>
  <c r="J479" i="163"/>
  <c r="K479" i="163"/>
  <c r="L479" i="163"/>
  <c r="M479" i="163"/>
  <c r="I480" i="163"/>
  <c r="J480" i="163"/>
  <c r="K480" i="163"/>
  <c r="L480" i="163"/>
  <c r="M480" i="163"/>
  <c r="I481" i="163"/>
  <c r="J481" i="163"/>
  <c r="K481" i="163"/>
  <c r="L481" i="163"/>
  <c r="M481" i="163"/>
  <c r="I482" i="163"/>
  <c r="J482" i="163"/>
  <c r="K482" i="163"/>
  <c r="L482" i="163"/>
  <c r="M482" i="163"/>
  <c r="I483" i="163"/>
  <c r="J483" i="163"/>
  <c r="K483" i="163"/>
  <c r="L483" i="163"/>
  <c r="M483" i="163"/>
  <c r="I484" i="163"/>
  <c r="J484" i="163"/>
  <c r="K484" i="163"/>
  <c r="L484" i="163"/>
  <c r="M484" i="163"/>
  <c r="I485" i="163"/>
  <c r="J485" i="163"/>
  <c r="K485" i="163"/>
  <c r="L485" i="163"/>
  <c r="M485" i="163"/>
  <c r="I486" i="163"/>
  <c r="J486" i="163"/>
  <c r="K486" i="163"/>
  <c r="L486" i="163"/>
  <c r="M486" i="163"/>
  <c r="I487" i="163"/>
  <c r="J487" i="163"/>
  <c r="K487" i="163"/>
  <c r="L487" i="163"/>
  <c r="M487" i="163"/>
  <c r="I488" i="163"/>
  <c r="J488" i="163"/>
  <c r="K488" i="163"/>
  <c r="L488" i="163"/>
  <c r="M488" i="163"/>
  <c r="I489" i="163"/>
  <c r="J489" i="163"/>
  <c r="K489" i="163"/>
  <c r="L489" i="163"/>
  <c r="M489" i="163"/>
  <c r="I490" i="163"/>
  <c r="J490" i="163"/>
  <c r="K490" i="163"/>
  <c r="L490" i="163"/>
  <c r="M490" i="163"/>
  <c r="I491" i="163"/>
  <c r="J491" i="163"/>
  <c r="K491" i="163"/>
  <c r="L491" i="163"/>
  <c r="M491" i="163"/>
  <c r="I492" i="163"/>
  <c r="J492" i="163"/>
  <c r="K492" i="163"/>
  <c r="L492" i="163"/>
  <c r="M492" i="163"/>
  <c r="I493" i="163"/>
  <c r="J493" i="163"/>
  <c r="K493" i="163"/>
  <c r="L493" i="163"/>
  <c r="M493" i="163"/>
  <c r="I494" i="163"/>
  <c r="J494" i="163"/>
  <c r="K494" i="163"/>
  <c r="L494" i="163"/>
  <c r="M494" i="163"/>
  <c r="L497" i="163"/>
  <c r="I498" i="163"/>
  <c r="J498" i="163"/>
  <c r="K498" i="163"/>
  <c r="L498" i="163"/>
  <c r="M498" i="163"/>
  <c r="I499" i="163"/>
  <c r="J499" i="163"/>
  <c r="K499" i="163"/>
  <c r="L499" i="163"/>
  <c r="M499" i="163"/>
  <c r="I500" i="163"/>
  <c r="J500" i="163"/>
  <c r="K500" i="163"/>
  <c r="L500" i="163"/>
  <c r="M500" i="163"/>
  <c r="I501" i="163"/>
  <c r="J501" i="163"/>
  <c r="K501" i="163"/>
  <c r="L501" i="163"/>
  <c r="M501" i="163"/>
  <c r="I502" i="163"/>
  <c r="J502" i="163"/>
  <c r="K502" i="163"/>
  <c r="L502" i="163"/>
  <c r="M502" i="163"/>
  <c r="I503" i="163"/>
  <c r="J503" i="163"/>
  <c r="K503" i="163"/>
  <c r="L503" i="163"/>
  <c r="M503" i="163"/>
  <c r="I504" i="163"/>
  <c r="J504" i="163"/>
  <c r="K504" i="163"/>
  <c r="L504" i="163"/>
  <c r="M504" i="163"/>
  <c r="I505" i="163"/>
  <c r="J505" i="163"/>
  <c r="K505" i="163"/>
  <c r="L505" i="163"/>
  <c r="M505" i="163"/>
  <c r="I506" i="163"/>
  <c r="J506" i="163"/>
  <c r="K506" i="163"/>
  <c r="L506" i="163"/>
  <c r="M506" i="163"/>
  <c r="I507" i="163"/>
  <c r="J507" i="163"/>
  <c r="K507" i="163"/>
  <c r="L507" i="163"/>
  <c r="M507" i="163"/>
  <c r="G508" i="163"/>
  <c r="H508" i="163"/>
  <c r="I510" i="163"/>
  <c r="J510" i="163"/>
  <c r="K510" i="163"/>
  <c r="L510" i="163"/>
  <c r="M510" i="163"/>
  <c r="I511" i="163"/>
  <c r="J511" i="163"/>
  <c r="K511" i="163"/>
  <c r="L511" i="163"/>
  <c r="M511" i="163"/>
  <c r="I512" i="163"/>
  <c r="J512" i="163"/>
  <c r="K512" i="163"/>
  <c r="L512" i="163"/>
  <c r="M512" i="163"/>
  <c r="L513" i="163"/>
  <c r="I514" i="163"/>
  <c r="J514" i="163"/>
  <c r="K514" i="163"/>
  <c r="L514" i="163"/>
  <c r="M514" i="163"/>
  <c r="I515" i="163"/>
  <c r="J515" i="163"/>
  <c r="K515" i="163"/>
  <c r="L515" i="163"/>
  <c r="M515" i="163"/>
  <c r="I516" i="163"/>
  <c r="J516" i="163"/>
  <c r="K516" i="163"/>
  <c r="L516" i="163"/>
  <c r="M516" i="163"/>
  <c r="I517" i="163"/>
  <c r="J517" i="163"/>
  <c r="K517" i="163"/>
  <c r="L517" i="163"/>
  <c r="M517" i="163"/>
  <c r="I518" i="163"/>
  <c r="J518" i="163"/>
  <c r="K518" i="163"/>
  <c r="L518" i="163"/>
  <c r="M518" i="163"/>
  <c r="I519" i="163"/>
  <c r="J519" i="163"/>
  <c r="K519" i="163"/>
  <c r="L519" i="163"/>
  <c r="M519" i="163"/>
  <c r="I520" i="163"/>
  <c r="J520" i="163"/>
  <c r="K520" i="163"/>
  <c r="L520" i="163"/>
  <c r="M520" i="163"/>
  <c r="I521" i="163"/>
  <c r="J521" i="163"/>
  <c r="K521" i="163"/>
  <c r="L521" i="163"/>
  <c r="M521" i="163"/>
  <c r="I522" i="163"/>
  <c r="J522" i="163"/>
  <c r="K522" i="163"/>
  <c r="L522" i="163"/>
  <c r="M522" i="163"/>
  <c r="I523" i="163"/>
  <c r="J523" i="163"/>
  <c r="K523" i="163"/>
  <c r="L523" i="163"/>
  <c r="M523" i="163"/>
  <c r="L524" i="163"/>
  <c r="I525" i="163"/>
  <c r="J525" i="163"/>
  <c r="K525" i="163"/>
  <c r="L525" i="163"/>
  <c r="M525" i="163"/>
  <c r="I526" i="163"/>
  <c r="J526" i="163"/>
  <c r="K526" i="163"/>
  <c r="L526" i="163"/>
  <c r="M526" i="163"/>
  <c r="L527" i="163"/>
  <c r="M527" i="163"/>
  <c r="N527" i="163" s="1"/>
  <c r="I528" i="163"/>
  <c r="J528" i="163"/>
  <c r="K528" i="163"/>
  <c r="L528" i="163"/>
  <c r="M528" i="163"/>
  <c r="I529" i="163"/>
  <c r="J529" i="163"/>
  <c r="K529" i="163"/>
  <c r="L529" i="163"/>
  <c r="M529" i="163"/>
  <c r="I530" i="163"/>
  <c r="J530" i="163"/>
  <c r="K530" i="163"/>
  <c r="L530" i="163"/>
  <c r="M530" i="163"/>
  <c r="L531" i="163"/>
  <c r="M531" i="163"/>
  <c r="L532" i="163"/>
  <c r="I533" i="163"/>
  <c r="J533" i="163"/>
  <c r="K533" i="163"/>
  <c r="L533" i="163"/>
  <c r="M533" i="163"/>
  <c r="L534" i="163"/>
  <c r="L535" i="163"/>
  <c r="L536" i="163"/>
  <c r="L537" i="163"/>
  <c r="L538" i="163"/>
  <c r="I539" i="163"/>
  <c r="J539" i="163"/>
  <c r="K539" i="163"/>
  <c r="L539" i="163"/>
  <c r="M539" i="163"/>
  <c r="L540" i="163"/>
  <c r="L541" i="163"/>
  <c r="L542" i="163"/>
  <c r="L543" i="163"/>
  <c r="L544" i="163"/>
  <c r="L545" i="163"/>
  <c r="I546" i="163"/>
  <c r="J546" i="163"/>
  <c r="K546" i="163"/>
  <c r="L546" i="163"/>
  <c r="M546" i="163"/>
  <c r="L548" i="163"/>
  <c r="L549" i="163"/>
  <c r="I550" i="163"/>
  <c r="J550" i="163"/>
  <c r="K550" i="163"/>
  <c r="L550" i="163"/>
  <c r="M550" i="163"/>
  <c r="L551" i="163"/>
  <c r="I552" i="163"/>
  <c r="J552" i="163"/>
  <c r="K552" i="163"/>
  <c r="L552" i="163"/>
  <c r="M552" i="163"/>
  <c r="I553" i="163"/>
  <c r="J553" i="163"/>
  <c r="K553" i="163"/>
  <c r="L553" i="163"/>
  <c r="M553" i="163"/>
  <c r="I554" i="163"/>
  <c r="J554" i="163"/>
  <c r="K554" i="163"/>
  <c r="L554" i="163"/>
  <c r="M554" i="163"/>
  <c r="I555" i="163"/>
  <c r="J555" i="163"/>
  <c r="K555" i="163"/>
  <c r="L555" i="163"/>
  <c r="M555" i="163"/>
  <c r="I556" i="163"/>
  <c r="J556" i="163"/>
  <c r="K556" i="163"/>
  <c r="L556" i="163"/>
  <c r="M556" i="163"/>
  <c r="L557" i="163"/>
  <c r="I558" i="163"/>
  <c r="J558" i="163"/>
  <c r="K558" i="163"/>
  <c r="L558" i="163"/>
  <c r="M558" i="163"/>
  <c r="I559" i="163"/>
  <c r="J559" i="163"/>
  <c r="K559" i="163"/>
  <c r="L559" i="163"/>
  <c r="M559" i="163"/>
  <c r="I560" i="163"/>
  <c r="J560" i="163"/>
  <c r="K560" i="163"/>
  <c r="L560" i="163"/>
  <c r="M560" i="163"/>
  <c r="I561" i="163"/>
  <c r="J561" i="163"/>
  <c r="K561" i="163"/>
  <c r="L561" i="163"/>
  <c r="M561" i="163"/>
  <c r="I562" i="163"/>
  <c r="J562" i="163"/>
  <c r="K562" i="163"/>
  <c r="L562" i="163"/>
  <c r="M562" i="163"/>
  <c r="L563" i="163"/>
  <c r="I564" i="163"/>
  <c r="J564" i="163"/>
  <c r="K564" i="163"/>
  <c r="L564" i="163"/>
  <c r="M564" i="163"/>
  <c r="I565" i="163"/>
  <c r="J565" i="163"/>
  <c r="K565" i="163"/>
  <c r="L565" i="163"/>
  <c r="M565" i="163"/>
  <c r="L566" i="163"/>
  <c r="I567" i="163"/>
  <c r="J567" i="163"/>
  <c r="K567" i="163"/>
  <c r="L567" i="163"/>
  <c r="M567" i="163"/>
  <c r="I568" i="163"/>
  <c r="J568" i="163"/>
  <c r="K568" i="163"/>
  <c r="L568" i="163"/>
  <c r="M568" i="163"/>
  <c r="I569" i="163"/>
  <c r="J569" i="163"/>
  <c r="K569" i="163"/>
  <c r="L569" i="163"/>
  <c r="M569" i="163"/>
  <c r="I570" i="163"/>
  <c r="J570" i="163"/>
  <c r="K570" i="163"/>
  <c r="L570" i="163"/>
  <c r="M570" i="163"/>
  <c r="H571" i="163"/>
  <c r="I571" i="163"/>
  <c r="J571" i="163"/>
  <c r="K571" i="163"/>
  <c r="L571" i="163"/>
  <c r="M571" i="163"/>
  <c r="L572" i="163"/>
  <c r="I573" i="163"/>
  <c r="J573" i="163"/>
  <c r="K573" i="163"/>
  <c r="L573" i="163"/>
  <c r="M573" i="163"/>
  <c r="I574" i="163"/>
  <c r="J574" i="163"/>
  <c r="K574" i="163"/>
  <c r="L574" i="163"/>
  <c r="M574" i="163"/>
  <c r="L575" i="163"/>
  <c r="I576" i="163"/>
  <c r="J576" i="163"/>
  <c r="K576" i="163"/>
  <c r="L576" i="163"/>
  <c r="M576" i="163"/>
  <c r="I577" i="163"/>
  <c r="J577" i="163"/>
  <c r="K577" i="163"/>
  <c r="L577" i="163"/>
  <c r="M577" i="163"/>
  <c r="I578" i="163"/>
  <c r="J578" i="163"/>
  <c r="K578" i="163"/>
  <c r="L578" i="163"/>
  <c r="M578" i="163"/>
  <c r="I579" i="163"/>
  <c r="J579" i="163"/>
  <c r="K579" i="163"/>
  <c r="L579" i="163"/>
  <c r="M579" i="163"/>
  <c r="I580" i="163"/>
  <c r="J580" i="163"/>
  <c r="K580" i="163"/>
  <c r="L580" i="163"/>
  <c r="M580" i="163"/>
  <c r="I581" i="163"/>
  <c r="J581" i="163"/>
  <c r="K581" i="163"/>
  <c r="L581" i="163"/>
  <c r="M581" i="163"/>
  <c r="I582" i="163"/>
  <c r="J582" i="163"/>
  <c r="K582" i="163"/>
  <c r="L582" i="163"/>
  <c r="M582" i="163"/>
  <c r="I583" i="163"/>
  <c r="J583" i="163"/>
  <c r="K583" i="163"/>
  <c r="L583" i="163"/>
  <c r="M583" i="163"/>
  <c r="H584" i="163"/>
  <c r="I584" i="163"/>
  <c r="J584" i="163"/>
  <c r="K584" i="163"/>
  <c r="L584" i="163"/>
  <c r="M584" i="163"/>
  <c r="I585" i="163"/>
  <c r="J585" i="163"/>
  <c r="K585" i="163"/>
  <c r="L585" i="163"/>
  <c r="M585" i="163"/>
  <c r="I586" i="163"/>
  <c r="J586" i="163"/>
  <c r="K586" i="163"/>
  <c r="L586" i="163"/>
  <c r="M586" i="163"/>
  <c r="I587" i="163"/>
  <c r="J587" i="163"/>
  <c r="K587" i="163"/>
  <c r="L587" i="163"/>
  <c r="M587" i="163"/>
  <c r="I588" i="163"/>
  <c r="J588" i="163"/>
  <c r="K588" i="163"/>
  <c r="L588" i="163"/>
  <c r="M588" i="163"/>
  <c r="I589" i="163"/>
  <c r="J589" i="163"/>
  <c r="K589" i="163"/>
  <c r="L589" i="163"/>
  <c r="M589" i="163"/>
  <c r="I590" i="163"/>
  <c r="J590" i="163"/>
  <c r="K590" i="163"/>
  <c r="L590" i="163"/>
  <c r="M590" i="163"/>
  <c r="L591" i="163"/>
  <c r="I592" i="163"/>
  <c r="J592" i="163"/>
  <c r="K592" i="163"/>
  <c r="L592" i="163"/>
  <c r="M592" i="163"/>
  <c r="L593" i="163"/>
  <c r="I594" i="163"/>
  <c r="J594" i="163"/>
  <c r="K594" i="163"/>
  <c r="L594" i="163"/>
  <c r="M594" i="163"/>
  <c r="I595" i="163"/>
  <c r="J595" i="163"/>
  <c r="K595" i="163"/>
  <c r="L595" i="163"/>
  <c r="M595" i="163"/>
  <c r="G596" i="163"/>
  <c r="H596" i="163"/>
  <c r="L596" i="163"/>
  <c r="L597" i="163"/>
  <c r="L598" i="163"/>
  <c r="I599" i="163"/>
  <c r="J599" i="163"/>
  <c r="K599" i="163"/>
  <c r="L599" i="163"/>
  <c r="M599" i="163"/>
  <c r="I600" i="163"/>
  <c r="J600" i="163"/>
  <c r="K600" i="163"/>
  <c r="L600" i="163"/>
  <c r="M600" i="163"/>
  <c r="I601" i="163"/>
  <c r="J601" i="163"/>
  <c r="K601" i="163"/>
  <c r="L601" i="163"/>
  <c r="M601" i="163"/>
  <c r="L602" i="163"/>
  <c r="L603" i="163"/>
  <c r="I604" i="163"/>
  <c r="J604" i="163"/>
  <c r="K604" i="163"/>
  <c r="L604" i="163"/>
  <c r="M604" i="163"/>
  <c r="L605" i="163"/>
  <c r="I606" i="163"/>
  <c r="J606" i="163"/>
  <c r="K606" i="163"/>
  <c r="L606" i="163"/>
  <c r="M606" i="163"/>
  <c r="L607" i="163"/>
  <c r="I608" i="163"/>
  <c r="J608" i="163"/>
  <c r="K608" i="163"/>
  <c r="L608" i="163"/>
  <c r="M608" i="163"/>
  <c r="L609" i="163"/>
  <c r="L610" i="163"/>
  <c r="I611" i="163"/>
  <c r="J611" i="163"/>
  <c r="K611" i="163"/>
  <c r="L611" i="163"/>
  <c r="M611" i="163"/>
  <c r="I612" i="163"/>
  <c r="J612" i="163"/>
  <c r="K612" i="163"/>
  <c r="L612" i="163"/>
  <c r="M612" i="163"/>
  <c r="I613" i="163"/>
  <c r="J613" i="163"/>
  <c r="K613" i="163"/>
  <c r="L613" i="163"/>
  <c r="M613" i="163"/>
  <c r="I614" i="163"/>
  <c r="J614" i="163"/>
  <c r="K614" i="163"/>
  <c r="L614" i="163"/>
  <c r="M614" i="163"/>
  <c r="I615" i="163"/>
  <c r="J615" i="163"/>
  <c r="K615" i="163"/>
  <c r="L615" i="163"/>
  <c r="M615" i="163"/>
  <c r="I616" i="163"/>
  <c r="J616" i="163"/>
  <c r="K616" i="163"/>
  <c r="L616" i="163"/>
  <c r="M616" i="163"/>
  <c r="I617" i="163"/>
  <c r="J617" i="163"/>
  <c r="K617" i="163"/>
  <c r="L617" i="163"/>
  <c r="M617" i="163"/>
  <c r="I618" i="163"/>
  <c r="J618" i="163"/>
  <c r="K618" i="163"/>
  <c r="L618" i="163"/>
  <c r="M618" i="163"/>
  <c r="I619" i="163"/>
  <c r="J619" i="163"/>
  <c r="K619" i="163"/>
  <c r="L619" i="163"/>
  <c r="M619" i="163"/>
  <c r="I620" i="163"/>
  <c r="J620" i="163"/>
  <c r="K620" i="163"/>
  <c r="L620" i="163"/>
  <c r="M620" i="163"/>
  <c r="L621" i="163"/>
  <c r="L622" i="163"/>
  <c r="L623" i="163"/>
  <c r="I624" i="163"/>
  <c r="J624" i="163"/>
  <c r="K624" i="163"/>
  <c r="L624" i="163"/>
  <c r="M624" i="163"/>
  <c r="I625" i="163"/>
  <c r="J625" i="163"/>
  <c r="K625" i="163"/>
  <c r="L625" i="163"/>
  <c r="M625" i="163"/>
  <c r="L626" i="163"/>
  <c r="I627" i="163"/>
  <c r="J627" i="163"/>
  <c r="K627" i="163"/>
  <c r="L627" i="163"/>
  <c r="M627" i="163"/>
  <c r="I628" i="163"/>
  <c r="J628" i="163"/>
  <c r="K628" i="163"/>
  <c r="L628" i="163"/>
  <c r="M628" i="163"/>
  <c r="I629" i="163"/>
  <c r="J629" i="163"/>
  <c r="K629" i="163"/>
  <c r="L629" i="163"/>
  <c r="M629" i="163"/>
  <c r="I630" i="163"/>
  <c r="J630" i="163"/>
  <c r="K630" i="163"/>
  <c r="L630" i="163"/>
  <c r="M630" i="163"/>
  <c r="I631" i="163"/>
  <c r="J631" i="163"/>
  <c r="K631" i="163"/>
  <c r="L631" i="163"/>
  <c r="M631" i="163"/>
  <c r="L632" i="163"/>
  <c r="M632" i="163"/>
  <c r="I633" i="163"/>
  <c r="J633" i="163"/>
  <c r="K633" i="163"/>
  <c r="L633" i="163"/>
  <c r="M633" i="163"/>
  <c r="L634" i="163"/>
  <c r="M634" i="163"/>
  <c r="I635" i="163"/>
  <c r="J635" i="163"/>
  <c r="K635" i="163"/>
  <c r="L635" i="163"/>
  <c r="M635" i="163"/>
  <c r="I636" i="163"/>
  <c r="J636" i="163"/>
  <c r="K636" i="163"/>
  <c r="L636" i="163"/>
  <c r="M636" i="163"/>
  <c r="I639" i="163"/>
  <c r="J639" i="163"/>
  <c r="K639" i="163"/>
  <c r="L639" i="163"/>
  <c r="M639" i="163"/>
  <c r="I640" i="163"/>
  <c r="J640" i="163"/>
  <c r="K640" i="163"/>
  <c r="L640" i="163"/>
  <c r="M640" i="163"/>
  <c r="I641" i="163"/>
  <c r="J641" i="163"/>
  <c r="K641" i="163"/>
  <c r="L641" i="163"/>
  <c r="M641" i="163"/>
  <c r="I642" i="163"/>
  <c r="J642" i="163"/>
  <c r="K642" i="163"/>
  <c r="L642" i="163"/>
  <c r="M642" i="163"/>
  <c r="I643" i="163"/>
  <c r="J643" i="163"/>
  <c r="K643" i="163"/>
  <c r="L643" i="163"/>
  <c r="M643" i="163"/>
  <c r="I644" i="163"/>
  <c r="J644" i="163"/>
  <c r="K644" i="163"/>
  <c r="L644" i="163"/>
  <c r="M644" i="163"/>
  <c r="I645" i="163"/>
  <c r="J645" i="163"/>
  <c r="K645" i="163"/>
  <c r="L645" i="163"/>
  <c r="M645" i="163"/>
  <c r="I646" i="163"/>
  <c r="J646" i="163"/>
  <c r="K646" i="163"/>
  <c r="L646" i="163"/>
  <c r="M646" i="163"/>
  <c r="I647" i="163"/>
  <c r="J647" i="163"/>
  <c r="K647" i="163"/>
  <c r="L647" i="163"/>
  <c r="M647" i="163"/>
  <c r="I648" i="163"/>
  <c r="J648" i="163"/>
  <c r="K648" i="163"/>
  <c r="L648" i="163"/>
  <c r="M648" i="163"/>
  <c r="I649" i="163"/>
  <c r="J649" i="163"/>
  <c r="K649" i="163"/>
  <c r="L649" i="163"/>
  <c r="M649" i="163"/>
  <c r="I650" i="163"/>
  <c r="J650" i="163"/>
  <c r="K650" i="163"/>
  <c r="L650" i="163"/>
  <c r="M650" i="163"/>
  <c r="I651" i="163"/>
  <c r="J651" i="163"/>
  <c r="K651" i="163"/>
  <c r="L651" i="163"/>
  <c r="M651" i="163"/>
  <c r="I652" i="163"/>
  <c r="J652" i="163"/>
  <c r="K652" i="163"/>
  <c r="L652" i="163"/>
  <c r="M652" i="163"/>
  <c r="I653" i="163"/>
  <c r="J653" i="163"/>
  <c r="K653" i="163"/>
  <c r="L653" i="163"/>
  <c r="M653" i="163"/>
  <c r="I654" i="163"/>
  <c r="J654" i="163"/>
  <c r="K654" i="163"/>
  <c r="L654" i="163"/>
  <c r="M654" i="163"/>
  <c r="I655" i="163"/>
  <c r="J655" i="163"/>
  <c r="K655" i="163"/>
  <c r="L655" i="163"/>
  <c r="M655" i="163"/>
  <c r="I656" i="163"/>
  <c r="J656" i="163"/>
  <c r="K656" i="163"/>
  <c r="L656" i="163"/>
  <c r="M656" i="163"/>
  <c r="I657" i="163"/>
  <c r="J657" i="163"/>
  <c r="K657" i="163"/>
  <c r="L657" i="163"/>
  <c r="M657" i="163"/>
  <c r="I658" i="163"/>
  <c r="J658" i="163"/>
  <c r="K658" i="163"/>
  <c r="L658" i="163"/>
  <c r="M658" i="163"/>
  <c r="I659" i="163"/>
  <c r="J659" i="163"/>
  <c r="K659" i="163"/>
  <c r="L659" i="163"/>
  <c r="M659" i="163"/>
  <c r="I660" i="163"/>
  <c r="J660" i="163"/>
  <c r="K660" i="163"/>
  <c r="L660" i="163"/>
  <c r="M660" i="163"/>
  <c r="I661" i="163"/>
  <c r="J661" i="163"/>
  <c r="K661" i="163"/>
  <c r="L661" i="163"/>
  <c r="M661" i="163"/>
  <c r="I662" i="163"/>
  <c r="J662" i="163"/>
  <c r="K662" i="163"/>
  <c r="L662" i="163"/>
  <c r="M662" i="163"/>
  <c r="I663" i="163"/>
  <c r="J663" i="163"/>
  <c r="K663" i="163"/>
  <c r="L663" i="163"/>
  <c r="M663" i="163"/>
  <c r="I664" i="163"/>
  <c r="J664" i="163"/>
  <c r="K664" i="163"/>
  <c r="L664" i="163"/>
  <c r="M664" i="163"/>
  <c r="I665" i="163"/>
  <c r="J665" i="163"/>
  <c r="K665" i="163"/>
  <c r="L665" i="163"/>
  <c r="M665" i="163"/>
  <c r="I666" i="163"/>
  <c r="J666" i="163"/>
  <c r="K666" i="163"/>
  <c r="L666" i="163"/>
  <c r="M666" i="163"/>
  <c r="I667" i="163"/>
  <c r="J667" i="163"/>
  <c r="K667" i="163"/>
  <c r="L667" i="163"/>
  <c r="M667" i="163"/>
  <c r="I668" i="163"/>
  <c r="J668" i="163"/>
  <c r="K668" i="163"/>
  <c r="L668" i="163"/>
  <c r="M668" i="163"/>
  <c r="I669" i="163"/>
  <c r="J669" i="163"/>
  <c r="K669" i="163"/>
  <c r="L669" i="163"/>
  <c r="M669" i="163"/>
  <c r="I670" i="163"/>
  <c r="J670" i="163"/>
  <c r="K670" i="163"/>
  <c r="L670" i="163"/>
  <c r="M670" i="163"/>
  <c r="I671" i="163"/>
  <c r="J671" i="163"/>
  <c r="K671" i="163"/>
  <c r="L671" i="163"/>
  <c r="M671" i="163"/>
  <c r="I672" i="163"/>
  <c r="J672" i="163"/>
  <c r="K672" i="163"/>
  <c r="L672" i="163"/>
  <c r="M672" i="163"/>
  <c r="I673" i="163"/>
  <c r="J673" i="163"/>
  <c r="K673" i="163"/>
  <c r="L673" i="163"/>
  <c r="M673" i="163"/>
  <c r="I674" i="163"/>
  <c r="J674" i="163"/>
  <c r="K674" i="163"/>
  <c r="L674" i="163"/>
  <c r="M674" i="163"/>
  <c r="I675" i="163"/>
  <c r="J675" i="163"/>
  <c r="K675" i="163"/>
  <c r="L675" i="163"/>
  <c r="M675" i="163"/>
  <c r="I676" i="163"/>
  <c r="J676" i="163"/>
  <c r="K676" i="163"/>
  <c r="L676" i="163"/>
  <c r="M676" i="163"/>
  <c r="I677" i="163"/>
  <c r="J677" i="163"/>
  <c r="K677" i="163"/>
  <c r="L677" i="163"/>
  <c r="M677" i="163"/>
  <c r="I678" i="163"/>
  <c r="J678" i="163"/>
  <c r="K678" i="163"/>
  <c r="L678" i="163"/>
  <c r="M678" i="163"/>
  <c r="I679" i="163"/>
  <c r="J679" i="163"/>
  <c r="K679" i="163"/>
  <c r="L679" i="163"/>
  <c r="M679" i="163"/>
  <c r="I680" i="163"/>
  <c r="J680" i="163"/>
  <c r="K680" i="163"/>
  <c r="L680" i="163"/>
  <c r="M680" i="163"/>
  <c r="I681" i="163"/>
  <c r="J681" i="163"/>
  <c r="K681" i="163"/>
  <c r="L681" i="163"/>
  <c r="M681" i="163"/>
  <c r="I682" i="163"/>
  <c r="J682" i="163"/>
  <c r="K682" i="163"/>
  <c r="L682" i="163"/>
  <c r="M682" i="163"/>
  <c r="I683" i="163"/>
  <c r="J683" i="163"/>
  <c r="K683" i="163"/>
  <c r="L683" i="163"/>
  <c r="M683" i="163"/>
  <c r="I684" i="163"/>
  <c r="J684" i="163"/>
  <c r="K684" i="163"/>
  <c r="L684" i="163"/>
  <c r="M684" i="163"/>
  <c r="I685" i="163"/>
  <c r="J685" i="163"/>
  <c r="K685" i="163"/>
  <c r="L685" i="163"/>
  <c r="M685" i="163"/>
  <c r="I686" i="163"/>
  <c r="J686" i="163"/>
  <c r="K686" i="163"/>
  <c r="L686" i="163"/>
  <c r="M686" i="163"/>
  <c r="I687" i="163"/>
  <c r="J687" i="163"/>
  <c r="K687" i="163"/>
  <c r="L687" i="163"/>
  <c r="M687" i="163"/>
  <c r="I688" i="163"/>
  <c r="J688" i="163"/>
  <c r="K688" i="163"/>
  <c r="L688" i="163"/>
  <c r="M688" i="163"/>
  <c r="I689" i="163"/>
  <c r="J689" i="163"/>
  <c r="K689" i="163"/>
  <c r="L689" i="163"/>
  <c r="M689" i="163"/>
  <c r="I690" i="163"/>
  <c r="J690" i="163"/>
  <c r="K690" i="163"/>
  <c r="L690" i="163"/>
  <c r="M690" i="163"/>
  <c r="I691" i="163"/>
  <c r="J691" i="163"/>
  <c r="K691" i="163"/>
  <c r="L691" i="163"/>
  <c r="M691" i="163"/>
  <c r="I692" i="163"/>
  <c r="J692" i="163"/>
  <c r="K692" i="163"/>
  <c r="L692" i="163"/>
  <c r="M692" i="163"/>
  <c r="I693" i="163"/>
  <c r="J693" i="163"/>
  <c r="K693" i="163"/>
  <c r="L693" i="163"/>
  <c r="M693" i="163"/>
  <c r="I694" i="163"/>
  <c r="J694" i="163"/>
  <c r="K694" i="163"/>
  <c r="L694" i="163"/>
  <c r="M694" i="163"/>
  <c r="I695" i="163"/>
  <c r="J695" i="163"/>
  <c r="K695" i="163"/>
  <c r="L695" i="163"/>
  <c r="M695" i="163"/>
  <c r="I696" i="163"/>
  <c r="J696" i="163"/>
  <c r="K696" i="163"/>
  <c r="L696" i="163"/>
  <c r="M696" i="163"/>
  <c r="I697" i="163"/>
  <c r="J697" i="163"/>
  <c r="K697" i="163"/>
  <c r="L697" i="163"/>
  <c r="M697" i="163"/>
  <c r="I698" i="163"/>
  <c r="J698" i="163"/>
  <c r="K698" i="163"/>
  <c r="L698" i="163"/>
  <c r="M698" i="163"/>
  <c r="I699" i="163"/>
  <c r="J699" i="163"/>
  <c r="K699" i="163"/>
  <c r="L699" i="163"/>
  <c r="M699" i="163"/>
  <c r="I700" i="163"/>
  <c r="J700" i="163"/>
  <c r="K700" i="163"/>
  <c r="L700" i="163"/>
  <c r="M700" i="163"/>
  <c r="I701" i="163"/>
  <c r="J701" i="163"/>
  <c r="K701" i="163"/>
  <c r="L701" i="163"/>
  <c r="M701" i="163"/>
  <c r="I702" i="163"/>
  <c r="J702" i="163"/>
  <c r="K702" i="163"/>
  <c r="L702" i="163"/>
  <c r="M702" i="163"/>
  <c r="I703" i="163"/>
  <c r="J703" i="163"/>
  <c r="K703" i="163"/>
  <c r="L703" i="163"/>
  <c r="M703" i="163"/>
  <c r="I704" i="163"/>
  <c r="J704" i="163"/>
  <c r="K704" i="163"/>
  <c r="L704" i="163"/>
  <c r="M704" i="163"/>
  <c r="I705" i="163"/>
  <c r="J705" i="163"/>
  <c r="K705" i="163"/>
  <c r="L705" i="163"/>
  <c r="M705" i="163"/>
  <c r="I706" i="163"/>
  <c r="J706" i="163"/>
  <c r="K706" i="163"/>
  <c r="L706" i="163"/>
  <c r="M706" i="163"/>
  <c r="I707" i="163"/>
  <c r="J707" i="163"/>
  <c r="K707" i="163"/>
  <c r="L707" i="163"/>
  <c r="M707" i="163"/>
  <c r="I708" i="163"/>
  <c r="J708" i="163"/>
  <c r="K708" i="163"/>
  <c r="L708" i="163"/>
  <c r="M708" i="163"/>
  <c r="I709" i="163"/>
  <c r="J709" i="163"/>
  <c r="K709" i="163"/>
  <c r="L709" i="163"/>
  <c r="M709" i="163"/>
  <c r="I710" i="163"/>
  <c r="J710" i="163"/>
  <c r="K710" i="163"/>
  <c r="L710" i="163"/>
  <c r="M710" i="163"/>
  <c r="I711" i="163"/>
  <c r="J711" i="163"/>
  <c r="K711" i="163"/>
  <c r="L711" i="163"/>
  <c r="M711" i="163"/>
  <c r="I712" i="163"/>
  <c r="J712" i="163"/>
  <c r="K712" i="163"/>
  <c r="L712" i="163"/>
  <c r="M712" i="163"/>
  <c r="I713" i="163"/>
  <c r="J713" i="163"/>
  <c r="K713" i="163"/>
  <c r="L713" i="163"/>
  <c r="M713" i="163"/>
  <c r="I714" i="163"/>
  <c r="J714" i="163"/>
  <c r="K714" i="163"/>
  <c r="L714" i="163"/>
  <c r="M714" i="163"/>
  <c r="I715" i="163"/>
  <c r="J715" i="163"/>
  <c r="K715" i="163"/>
  <c r="L715" i="163"/>
  <c r="M715" i="163"/>
  <c r="I716" i="163"/>
  <c r="J716" i="163"/>
  <c r="K716" i="163"/>
  <c r="L716" i="163"/>
  <c r="M716" i="163"/>
  <c r="I717" i="163"/>
  <c r="J717" i="163"/>
  <c r="K717" i="163"/>
  <c r="L717" i="163"/>
  <c r="M717" i="163"/>
  <c r="I718" i="163"/>
  <c r="J718" i="163"/>
  <c r="K718" i="163"/>
  <c r="L718" i="163"/>
  <c r="M718" i="163"/>
  <c r="I719" i="163"/>
  <c r="J719" i="163"/>
  <c r="K719" i="163"/>
  <c r="L719" i="163"/>
  <c r="M719" i="163"/>
  <c r="I720" i="163"/>
  <c r="J720" i="163"/>
  <c r="K720" i="163"/>
  <c r="L720" i="163"/>
  <c r="M720" i="163"/>
  <c r="I721" i="163"/>
  <c r="J721" i="163"/>
  <c r="K721" i="163"/>
  <c r="L721" i="163"/>
  <c r="M721" i="163"/>
  <c r="I722" i="163"/>
  <c r="J722" i="163"/>
  <c r="K722" i="163"/>
  <c r="L722" i="163"/>
  <c r="M722" i="163"/>
  <c r="I723" i="163"/>
  <c r="J723" i="163"/>
  <c r="K723" i="163"/>
  <c r="L723" i="163"/>
  <c r="M723" i="163"/>
  <c r="I724" i="163"/>
  <c r="J724" i="163"/>
  <c r="K724" i="163"/>
  <c r="L724" i="163"/>
  <c r="M724" i="163"/>
  <c r="I725" i="163"/>
  <c r="J725" i="163"/>
  <c r="K725" i="163"/>
  <c r="L725" i="163"/>
  <c r="M725" i="163"/>
  <c r="I726" i="163"/>
  <c r="J726" i="163"/>
  <c r="K726" i="163"/>
  <c r="L726" i="163"/>
  <c r="M726" i="163"/>
  <c r="I727" i="163"/>
  <c r="J727" i="163"/>
  <c r="K727" i="163"/>
  <c r="L727" i="163"/>
  <c r="M727" i="163"/>
  <c r="I728" i="163"/>
  <c r="J728" i="163"/>
  <c r="K728" i="163"/>
  <c r="L728" i="163"/>
  <c r="M728" i="163"/>
  <c r="I729" i="163"/>
  <c r="J729" i="163"/>
  <c r="K729" i="163"/>
  <c r="L729" i="163"/>
  <c r="M729" i="163"/>
  <c r="I730" i="163"/>
  <c r="J730" i="163"/>
  <c r="K730" i="163"/>
  <c r="L730" i="163"/>
  <c r="M730" i="163"/>
  <c r="I731" i="163"/>
  <c r="J731" i="163"/>
  <c r="K731" i="163"/>
  <c r="L731" i="163"/>
  <c r="M731" i="163"/>
  <c r="I732" i="163"/>
  <c r="J732" i="163"/>
  <c r="K732" i="163"/>
  <c r="L732" i="163"/>
  <c r="M732" i="163"/>
  <c r="I733" i="163"/>
  <c r="J733" i="163"/>
  <c r="K733" i="163"/>
  <c r="L733" i="163"/>
  <c r="M733" i="163"/>
  <c r="I734" i="163"/>
  <c r="J734" i="163"/>
  <c r="K734" i="163"/>
  <c r="L734" i="163"/>
  <c r="M734" i="163"/>
  <c r="I735" i="163"/>
  <c r="J735" i="163"/>
  <c r="K735" i="163"/>
  <c r="L735" i="163"/>
  <c r="M735" i="163"/>
  <c r="I736" i="163"/>
  <c r="J736" i="163"/>
  <c r="K736" i="163"/>
  <c r="L736" i="163"/>
  <c r="M736" i="163"/>
  <c r="I737" i="163"/>
  <c r="J737" i="163"/>
  <c r="K737" i="163"/>
  <c r="L737" i="163"/>
  <c r="M737" i="163"/>
  <c r="G738" i="163"/>
  <c r="G739" i="163" s="1"/>
  <c r="I738" i="163"/>
  <c r="J738" i="163"/>
  <c r="K738" i="163"/>
  <c r="L738" i="163"/>
  <c r="M738" i="163"/>
  <c r="H739" i="163"/>
  <c r="I741" i="163"/>
  <c r="J741" i="163"/>
  <c r="K741" i="163"/>
  <c r="L741" i="163"/>
  <c r="M741" i="163"/>
  <c r="I742" i="163"/>
  <c r="J742" i="163"/>
  <c r="K742" i="163"/>
  <c r="L742" i="163"/>
  <c r="M742" i="163"/>
  <c r="I743" i="163"/>
  <c r="J743" i="163"/>
  <c r="K743" i="163"/>
  <c r="L743" i="163"/>
  <c r="M743" i="163"/>
  <c r="I744" i="163"/>
  <c r="J744" i="163"/>
  <c r="K744" i="163"/>
  <c r="L744" i="163"/>
  <c r="M744" i="163"/>
  <c r="I745" i="163"/>
  <c r="J745" i="163"/>
  <c r="K745" i="163"/>
  <c r="L745" i="163"/>
  <c r="M745" i="163"/>
  <c r="I746" i="163"/>
  <c r="J746" i="163"/>
  <c r="K746" i="163"/>
  <c r="L746" i="163"/>
  <c r="M746" i="163"/>
  <c r="I747" i="163"/>
  <c r="J747" i="163"/>
  <c r="K747" i="163"/>
  <c r="L747" i="163"/>
  <c r="M747" i="163"/>
  <c r="I748" i="163"/>
  <c r="J748" i="163"/>
  <c r="K748" i="163"/>
  <c r="L748" i="163"/>
  <c r="M748" i="163"/>
  <c r="I749" i="163"/>
  <c r="J749" i="163"/>
  <c r="K749" i="163"/>
  <c r="L749" i="163"/>
  <c r="M749" i="163"/>
  <c r="G750" i="163"/>
  <c r="H750" i="163"/>
  <c r="H637" i="163" l="1"/>
  <c r="L10" i="163"/>
  <c r="G637" i="163"/>
  <c r="N438" i="163"/>
  <c r="O438" i="163" s="1"/>
  <c r="N270" i="163"/>
  <c r="O270" i="163" s="1"/>
  <c r="N430" i="163"/>
  <c r="O430" i="163" s="1"/>
  <c r="N156" i="163"/>
  <c r="O156" i="163" s="1"/>
  <c r="N148" i="163"/>
  <c r="O148" i="163" s="1"/>
  <c r="N303" i="163"/>
  <c r="O303" i="163" s="1"/>
  <c r="N426" i="163"/>
  <c r="O426" i="163" s="1"/>
  <c r="N484" i="163"/>
  <c r="O484" i="163" s="1"/>
  <c r="N616" i="163"/>
  <c r="O616" i="163" s="1"/>
  <c r="N288" i="163"/>
  <c r="O288" i="163" s="1"/>
  <c r="N256" i="163"/>
  <c r="O256" i="163" s="1"/>
  <c r="N52" i="163"/>
  <c r="O52" i="163" s="1"/>
  <c r="N305" i="163"/>
  <c r="O305" i="163" s="1"/>
  <c r="N300" i="163"/>
  <c r="O300" i="163" s="1"/>
  <c r="N212" i="163"/>
  <c r="O212" i="163" s="1"/>
  <c r="N723" i="163"/>
  <c r="O723" i="163" s="1"/>
  <c r="N709" i="163"/>
  <c r="O709" i="163" s="1"/>
  <c r="N699" i="163"/>
  <c r="O699" i="163" s="1"/>
  <c r="N116" i="163"/>
  <c r="O116" i="163" s="1"/>
  <c r="N38" i="163"/>
  <c r="O38" i="163" s="1"/>
  <c r="N9" i="163"/>
  <c r="O9" i="163" s="1"/>
  <c r="N112" i="163"/>
  <c r="O112" i="163" s="1"/>
  <c r="N37" i="163"/>
  <c r="O37" i="163" s="1"/>
  <c r="N14" i="163"/>
  <c r="O14" i="163" s="1"/>
  <c r="N70" i="163"/>
  <c r="O70" i="163" s="1"/>
  <c r="N695" i="163"/>
  <c r="O695" i="163" s="1"/>
  <c r="N354" i="163"/>
  <c r="O354" i="163" s="1"/>
  <c r="N351" i="163"/>
  <c r="O351" i="163" s="1"/>
  <c r="N165" i="163"/>
  <c r="O165" i="163" s="1"/>
  <c r="N53" i="163"/>
  <c r="O53" i="163" s="1"/>
  <c r="N283" i="163"/>
  <c r="O283" i="163" s="1"/>
  <c r="N252" i="163"/>
  <c r="O252" i="163" s="1"/>
  <c r="N85" i="163"/>
  <c r="O85" i="163" s="1"/>
  <c r="N83" i="163"/>
  <c r="O83" i="163" s="1"/>
  <c r="N693" i="163"/>
  <c r="O693" i="163" s="1"/>
  <c r="N685" i="163"/>
  <c r="O685" i="163" s="1"/>
  <c r="N674" i="163"/>
  <c r="O674" i="163" s="1"/>
  <c r="N268" i="163"/>
  <c r="O268" i="163" s="1"/>
  <c r="N260" i="163"/>
  <c r="O260" i="163" s="1"/>
  <c r="N236" i="163"/>
  <c r="O236" i="163" s="1"/>
  <c r="N691" i="163"/>
  <c r="O691" i="163" s="1"/>
  <c r="N349" i="163"/>
  <c r="O349" i="163" s="1"/>
  <c r="N220" i="163"/>
  <c r="O220" i="163" s="1"/>
  <c r="N97" i="163"/>
  <c r="O97" i="163" s="1"/>
  <c r="N40" i="163"/>
  <c r="O40" i="163" s="1"/>
  <c r="N737" i="163"/>
  <c r="O737" i="163" s="1"/>
  <c r="N667" i="163"/>
  <c r="O667" i="163" s="1"/>
  <c r="N651" i="163"/>
  <c r="O651" i="163" s="1"/>
  <c r="N643" i="163"/>
  <c r="O643" i="163" s="1"/>
  <c r="N608" i="163"/>
  <c r="O608" i="163" s="1"/>
  <c r="N394" i="163"/>
  <c r="O394" i="163" s="1"/>
  <c r="N370" i="163"/>
  <c r="O370" i="163" s="1"/>
  <c r="N229" i="163"/>
  <c r="O229" i="163" s="1"/>
  <c r="N66" i="163"/>
  <c r="O66" i="163" s="1"/>
  <c r="N65" i="163"/>
  <c r="O65" i="163" s="1"/>
  <c r="N689" i="163"/>
  <c r="O689" i="163" s="1"/>
  <c r="N686" i="163"/>
  <c r="O686" i="163" s="1"/>
  <c r="N600" i="163"/>
  <c r="O600" i="163" s="1"/>
  <c r="N476" i="163"/>
  <c r="O476" i="163" s="1"/>
  <c r="N473" i="163"/>
  <c r="O473" i="163" s="1"/>
  <c r="N440" i="163"/>
  <c r="O440" i="163" s="1"/>
  <c r="N408" i="163"/>
  <c r="O408" i="163" s="1"/>
  <c r="N376" i="163"/>
  <c r="O376" i="163" s="1"/>
  <c r="N272" i="163"/>
  <c r="O272" i="163" s="1"/>
  <c r="N180" i="163"/>
  <c r="O180" i="163" s="1"/>
  <c r="N119" i="163"/>
  <c r="O119" i="163" s="1"/>
  <c r="N111" i="163"/>
  <c r="O111" i="163" s="1"/>
  <c r="N90" i="163"/>
  <c r="O90" i="163" s="1"/>
  <c r="N606" i="163"/>
  <c r="O606" i="163" s="1"/>
  <c r="N744" i="163"/>
  <c r="O744" i="163" s="1"/>
  <c r="N661" i="163"/>
  <c r="O661" i="163" s="1"/>
  <c r="N653" i="163"/>
  <c r="O653" i="163" s="1"/>
  <c r="N677" i="163"/>
  <c r="O677" i="163" s="1"/>
  <c r="N712" i="163"/>
  <c r="O712" i="163" s="1"/>
  <c r="N745" i="163"/>
  <c r="O745" i="163" s="1"/>
  <c r="N731" i="163"/>
  <c r="O731" i="163" s="1"/>
  <c r="K750" i="163"/>
  <c r="N151" i="166" s="1"/>
  <c r="J151" i="166" s="1"/>
  <c r="N642" i="163"/>
  <c r="O642" i="163" s="1"/>
  <c r="N402" i="163"/>
  <c r="O402" i="163" s="1"/>
  <c r="N355" i="163"/>
  <c r="O355" i="163" s="1"/>
  <c r="N347" i="163"/>
  <c r="O347" i="163" s="1"/>
  <c r="N276" i="163"/>
  <c r="O276" i="163" s="1"/>
  <c r="N233" i="163"/>
  <c r="O233" i="163" s="1"/>
  <c r="N230" i="163"/>
  <c r="O230" i="163" s="1"/>
  <c r="N132" i="163"/>
  <c r="O132" i="163" s="1"/>
  <c r="N124" i="163"/>
  <c r="O124" i="163" s="1"/>
  <c r="N114" i="163"/>
  <c r="O114" i="163" s="1"/>
  <c r="N79" i="163"/>
  <c r="O79" i="163" s="1"/>
  <c r="N76" i="163"/>
  <c r="O76" i="163" s="1"/>
  <c r="N21" i="163"/>
  <c r="O21" i="163" s="1"/>
  <c r="K739" i="163"/>
  <c r="N149" i="166" s="1"/>
  <c r="J149" i="166" s="1"/>
  <c r="N410" i="163"/>
  <c r="O410" i="163" s="1"/>
  <c r="N715" i="163"/>
  <c r="O715" i="163" s="1"/>
  <c r="N707" i="163"/>
  <c r="O707" i="163" s="1"/>
  <c r="N680" i="163"/>
  <c r="O680" i="163" s="1"/>
  <c r="N659" i="163"/>
  <c r="O659" i="163" s="1"/>
  <c r="N645" i="163"/>
  <c r="O645" i="163" s="1"/>
  <c r="N564" i="163"/>
  <c r="O564" i="163" s="1"/>
  <c r="N560" i="163"/>
  <c r="O560" i="163" s="1"/>
  <c r="N558" i="163"/>
  <c r="O558" i="163" s="1"/>
  <c r="N518" i="163"/>
  <c r="O518" i="163" s="1"/>
  <c r="N515" i="163"/>
  <c r="O515" i="163" s="1"/>
  <c r="N505" i="163"/>
  <c r="O505" i="163" s="1"/>
  <c r="N469" i="163"/>
  <c r="O469" i="163" s="1"/>
  <c r="N451" i="163"/>
  <c r="O451" i="163" s="1"/>
  <c r="N409" i="163"/>
  <c r="O409" i="163" s="1"/>
  <c r="N385" i="163"/>
  <c r="O385" i="163" s="1"/>
  <c r="N381" i="163"/>
  <c r="O381" i="163" s="1"/>
  <c r="N317" i="163"/>
  <c r="O317" i="163" s="1"/>
  <c r="N287" i="163"/>
  <c r="O287" i="163" s="1"/>
  <c r="N285" i="163"/>
  <c r="O285" i="163" s="1"/>
  <c r="N279" i="163"/>
  <c r="O279" i="163" s="1"/>
  <c r="N204" i="163"/>
  <c r="O204" i="163" s="1"/>
  <c r="N133" i="163"/>
  <c r="O133" i="163" s="1"/>
  <c r="N131" i="163"/>
  <c r="O131" i="163" s="1"/>
  <c r="N82" i="163"/>
  <c r="O82" i="163" s="1"/>
  <c r="N57" i="163"/>
  <c r="O57" i="163" s="1"/>
  <c r="N41" i="163"/>
  <c r="O41" i="163" s="1"/>
  <c r="N32" i="163"/>
  <c r="O32" i="163" s="1"/>
  <c r="N15" i="163"/>
  <c r="O15" i="163" s="1"/>
  <c r="J17" i="163"/>
  <c r="M92" i="166" s="1"/>
  <c r="I92" i="166" s="1"/>
  <c r="N590" i="163"/>
  <c r="O590" i="163" s="1"/>
  <c r="N721" i="163"/>
  <c r="O721" i="163" s="1"/>
  <c r="N718" i="163"/>
  <c r="O718" i="163" s="1"/>
  <c r="N683" i="163"/>
  <c r="O683" i="163" s="1"/>
  <c r="N675" i="163"/>
  <c r="O675" i="163" s="1"/>
  <c r="N648" i="163"/>
  <c r="O648" i="163" s="1"/>
  <c r="N580" i="163"/>
  <c r="O580" i="163" s="1"/>
  <c r="N577" i="163"/>
  <c r="O577" i="163" s="1"/>
  <c r="N528" i="163"/>
  <c r="O528" i="163" s="1"/>
  <c r="N411" i="163"/>
  <c r="O411" i="163" s="1"/>
  <c r="N309" i="163"/>
  <c r="O309" i="163" s="1"/>
  <c r="N244" i="163"/>
  <c r="O244" i="163" s="1"/>
  <c r="N152" i="163"/>
  <c r="O152" i="163" s="1"/>
  <c r="N146" i="163"/>
  <c r="O146" i="163" s="1"/>
  <c r="N115" i="163"/>
  <c r="O115" i="163" s="1"/>
  <c r="N434" i="163"/>
  <c r="O434" i="163" s="1"/>
  <c r="J58" i="163"/>
  <c r="M121" i="166" s="1"/>
  <c r="I121" i="166" s="1"/>
  <c r="I58" i="163"/>
  <c r="N727" i="163"/>
  <c r="O727" i="163" s="1"/>
  <c r="N657" i="163"/>
  <c r="O657" i="163" s="1"/>
  <c r="N654" i="163"/>
  <c r="O654" i="163" s="1"/>
  <c r="N624" i="163"/>
  <c r="O624" i="163" s="1"/>
  <c r="N447" i="163"/>
  <c r="O447" i="163" s="1"/>
  <c r="N439" i="163"/>
  <c r="O439" i="163" s="1"/>
  <c r="N374" i="163"/>
  <c r="O374" i="163" s="1"/>
  <c r="N362" i="163"/>
  <c r="O362" i="163" s="1"/>
  <c r="N243" i="163"/>
  <c r="O243" i="163" s="1"/>
  <c r="N196" i="163"/>
  <c r="O196" i="163" s="1"/>
  <c r="N105" i="163"/>
  <c r="O105" i="163" s="1"/>
  <c r="N102" i="163"/>
  <c r="O102" i="163" s="1"/>
  <c r="N81" i="163"/>
  <c r="O81" i="163" s="1"/>
  <c r="N31" i="163"/>
  <c r="O31" i="163" s="1"/>
  <c r="N492" i="163"/>
  <c r="O492" i="163" s="1"/>
  <c r="N488" i="163"/>
  <c r="O488" i="163" s="1"/>
  <c r="N418" i="163"/>
  <c r="O418" i="163" s="1"/>
  <c r="N415" i="163"/>
  <c r="O415" i="163" s="1"/>
  <c r="N383" i="163"/>
  <c r="O383" i="163" s="1"/>
  <c r="N264" i="163"/>
  <c r="O264" i="163" s="1"/>
  <c r="N197" i="163"/>
  <c r="O197" i="163" s="1"/>
  <c r="N140" i="163"/>
  <c r="O140" i="163" s="1"/>
  <c r="N701" i="163"/>
  <c r="O701" i="163" s="1"/>
  <c r="N619" i="163"/>
  <c r="O619" i="163" s="1"/>
  <c r="N725" i="163"/>
  <c r="O725" i="163" s="1"/>
  <c r="N717" i="163"/>
  <c r="O717" i="163" s="1"/>
  <c r="N706" i="163"/>
  <c r="O706" i="163" s="1"/>
  <c r="N669" i="163"/>
  <c r="O669" i="163" s="1"/>
  <c r="N663" i="163"/>
  <c r="O663" i="163" s="1"/>
  <c r="N630" i="163"/>
  <c r="O630" i="163" s="1"/>
  <c r="N578" i="163"/>
  <c r="O578" i="163" s="1"/>
  <c r="N576" i="163"/>
  <c r="O576" i="163" s="1"/>
  <c r="N573" i="163"/>
  <c r="O573" i="163" s="1"/>
  <c r="N567" i="163"/>
  <c r="O567" i="163" s="1"/>
  <c r="N565" i="163"/>
  <c r="O565" i="163" s="1"/>
  <c r="N559" i="163"/>
  <c r="O559" i="163" s="1"/>
  <c r="N458" i="163"/>
  <c r="O458" i="163" s="1"/>
  <c r="N344" i="163"/>
  <c r="O344" i="163" s="1"/>
  <c r="N322" i="163"/>
  <c r="O322" i="163" s="1"/>
  <c r="N216" i="163"/>
  <c r="O216" i="163" s="1"/>
  <c r="N210" i="163"/>
  <c r="O210" i="163" s="1"/>
  <c r="N73" i="163"/>
  <c r="O73" i="163" s="1"/>
  <c r="N733" i="163"/>
  <c r="O733" i="163" s="1"/>
  <c r="N724" i="163"/>
  <c r="O724" i="163" s="1"/>
  <c r="N692" i="163"/>
  <c r="O692" i="163" s="1"/>
  <c r="N660" i="163"/>
  <c r="O660" i="163" s="1"/>
  <c r="N613" i="163"/>
  <c r="O613" i="163" s="1"/>
  <c r="N588" i="163"/>
  <c r="O588" i="163" s="1"/>
  <c r="N522" i="163"/>
  <c r="O522" i="163" s="1"/>
  <c r="N519" i="163"/>
  <c r="O519" i="163" s="1"/>
  <c r="N506" i="163"/>
  <c r="O506" i="163" s="1"/>
  <c r="N475" i="163"/>
  <c r="O475" i="163" s="1"/>
  <c r="N471" i="163"/>
  <c r="O471" i="163" s="1"/>
  <c r="N417" i="163"/>
  <c r="O417" i="163" s="1"/>
  <c r="N413" i="163"/>
  <c r="O413" i="163" s="1"/>
  <c r="N405" i="163"/>
  <c r="O405" i="163" s="1"/>
  <c r="N400" i="163"/>
  <c r="O400" i="163" s="1"/>
  <c r="N378" i="163"/>
  <c r="O378" i="163" s="1"/>
  <c r="N291" i="163"/>
  <c r="O291" i="163" s="1"/>
  <c r="N280" i="163"/>
  <c r="O280" i="163" s="1"/>
  <c r="N247" i="163"/>
  <c r="O247" i="163" s="1"/>
  <c r="N228" i="163"/>
  <c r="O228" i="163" s="1"/>
  <c r="N209" i="163"/>
  <c r="O209" i="163" s="1"/>
  <c r="N206" i="163"/>
  <c r="O206" i="163" s="1"/>
  <c r="N164" i="163"/>
  <c r="O164" i="163" s="1"/>
  <c r="N145" i="163"/>
  <c r="O145" i="163" s="1"/>
  <c r="N142" i="163"/>
  <c r="O142" i="163" s="1"/>
  <c r="N113" i="163"/>
  <c r="O113" i="163" s="1"/>
  <c r="N39" i="163"/>
  <c r="O39" i="163" s="1"/>
  <c r="N743" i="163"/>
  <c r="O743" i="163" s="1"/>
  <c r="N742" i="163"/>
  <c r="O742" i="163" s="1"/>
  <c r="N730" i="163"/>
  <c r="O730" i="163" s="1"/>
  <c r="N719" i="163"/>
  <c r="O719" i="163" s="1"/>
  <c r="N713" i="163"/>
  <c r="O713" i="163" s="1"/>
  <c r="N710" i="163"/>
  <c r="O710" i="163" s="1"/>
  <c r="N704" i="163"/>
  <c r="O704" i="163" s="1"/>
  <c r="N698" i="163"/>
  <c r="O698" i="163" s="1"/>
  <c r="N687" i="163"/>
  <c r="O687" i="163" s="1"/>
  <c r="N681" i="163"/>
  <c r="O681" i="163" s="1"/>
  <c r="N678" i="163"/>
  <c r="O678" i="163" s="1"/>
  <c r="N672" i="163"/>
  <c r="O672" i="163" s="1"/>
  <c r="N666" i="163"/>
  <c r="O666" i="163" s="1"/>
  <c r="N655" i="163"/>
  <c r="O655" i="163" s="1"/>
  <c r="N649" i="163"/>
  <c r="O649" i="163" s="1"/>
  <c r="N646" i="163"/>
  <c r="O646" i="163" s="1"/>
  <c r="N477" i="163"/>
  <c r="O477" i="163" s="1"/>
  <c r="N419" i="163"/>
  <c r="O419" i="163" s="1"/>
  <c r="N353" i="163"/>
  <c r="O353" i="163" s="1"/>
  <c r="N345" i="163"/>
  <c r="O345" i="163" s="1"/>
  <c r="N297" i="163"/>
  <c r="O297" i="163" s="1"/>
  <c r="N292" i="163"/>
  <c r="O292" i="163" s="1"/>
  <c r="N250" i="163"/>
  <c r="O250" i="163" s="1"/>
  <c r="N235" i="163"/>
  <c r="O235" i="163" s="1"/>
  <c r="N231" i="163"/>
  <c r="O231" i="163" s="1"/>
  <c r="N189" i="163"/>
  <c r="O189" i="163" s="1"/>
  <c r="N171" i="163"/>
  <c r="O171" i="163" s="1"/>
  <c r="N167" i="163"/>
  <c r="O167" i="163" s="1"/>
  <c r="N387" i="163"/>
  <c r="O387" i="163" s="1"/>
  <c r="N324" i="163"/>
  <c r="O324" i="163" s="1"/>
  <c r="N289" i="163"/>
  <c r="O289" i="163" s="1"/>
  <c r="N242" i="163"/>
  <c r="O242" i="163" s="1"/>
  <c r="N178" i="163"/>
  <c r="O178" i="163" s="1"/>
  <c r="L121" i="163"/>
  <c r="G326" i="163"/>
  <c r="I750" i="163"/>
  <c r="N716" i="163"/>
  <c r="O716" i="163" s="1"/>
  <c r="N684" i="163"/>
  <c r="O684" i="163" s="1"/>
  <c r="N652" i="163"/>
  <c r="O652" i="163" s="1"/>
  <c r="L750" i="163"/>
  <c r="N728" i="163"/>
  <c r="O728" i="163" s="1"/>
  <c r="N722" i="163"/>
  <c r="O722" i="163" s="1"/>
  <c r="N711" i="163"/>
  <c r="O711" i="163" s="1"/>
  <c r="N705" i="163"/>
  <c r="O705" i="163" s="1"/>
  <c r="N702" i="163"/>
  <c r="O702" i="163" s="1"/>
  <c r="N696" i="163"/>
  <c r="O696" i="163" s="1"/>
  <c r="N690" i="163"/>
  <c r="O690" i="163" s="1"/>
  <c r="N679" i="163"/>
  <c r="O679" i="163" s="1"/>
  <c r="N673" i="163"/>
  <c r="O673" i="163" s="1"/>
  <c r="N670" i="163"/>
  <c r="O670" i="163" s="1"/>
  <c r="N664" i="163"/>
  <c r="O664" i="163" s="1"/>
  <c r="N658" i="163"/>
  <c r="O658" i="163" s="1"/>
  <c r="N647" i="163"/>
  <c r="O647" i="163" s="1"/>
  <c r="M739" i="163"/>
  <c r="N641" i="163"/>
  <c r="O641" i="163" s="1"/>
  <c r="N628" i="163"/>
  <c r="O628" i="163" s="1"/>
  <c r="N625" i="163"/>
  <c r="O625" i="163" s="1"/>
  <c r="N614" i="163"/>
  <c r="O614" i="163" s="1"/>
  <c r="N520" i="163"/>
  <c r="O520" i="163" s="1"/>
  <c r="N499" i="163"/>
  <c r="O499" i="163" s="1"/>
  <c r="N452" i="163"/>
  <c r="O452" i="163" s="1"/>
  <c r="N450" i="163"/>
  <c r="O450" i="163" s="1"/>
  <c r="N444" i="163"/>
  <c r="O444" i="163" s="1"/>
  <c r="N406" i="163"/>
  <c r="O406" i="163" s="1"/>
  <c r="N308" i="163"/>
  <c r="O308" i="163" s="1"/>
  <c r="N304" i="163"/>
  <c r="O304" i="163" s="1"/>
  <c r="N267" i="163"/>
  <c r="O267" i="163" s="1"/>
  <c r="N248" i="163"/>
  <c r="O248" i="163" s="1"/>
  <c r="N203" i="163"/>
  <c r="O203" i="163" s="1"/>
  <c r="N199" i="163"/>
  <c r="O199" i="163" s="1"/>
  <c r="N195" i="163"/>
  <c r="O195" i="163" s="1"/>
  <c r="N191" i="163"/>
  <c r="O191" i="163" s="1"/>
  <c r="N184" i="163"/>
  <c r="O184" i="163" s="1"/>
  <c r="N139" i="163"/>
  <c r="O139" i="163" s="1"/>
  <c r="N135" i="163"/>
  <c r="O135" i="163" s="1"/>
  <c r="N127" i="163"/>
  <c r="O127" i="163" s="1"/>
  <c r="N125" i="163"/>
  <c r="O125" i="163" s="1"/>
  <c r="N108" i="163"/>
  <c r="O108" i="163" s="1"/>
  <c r="N98" i="163"/>
  <c r="O98" i="163" s="1"/>
  <c r="N89" i="163"/>
  <c r="O89" i="163" s="1"/>
  <c r="L326" i="163"/>
  <c r="N736" i="163"/>
  <c r="O736" i="163" s="1"/>
  <c r="N738" i="163"/>
  <c r="O738" i="163" s="1"/>
  <c r="N676" i="163"/>
  <c r="O676" i="163" s="1"/>
  <c r="N644" i="163"/>
  <c r="O644" i="163" s="1"/>
  <c r="L637" i="163"/>
  <c r="N503" i="163"/>
  <c r="O503" i="163" s="1"/>
  <c r="N251" i="163"/>
  <c r="O251" i="163" s="1"/>
  <c r="N202" i="163"/>
  <c r="O202" i="163" s="1"/>
  <c r="N138" i="163"/>
  <c r="O138" i="163" s="1"/>
  <c r="L47" i="163"/>
  <c r="N746" i="163"/>
  <c r="O746" i="163" s="1"/>
  <c r="N708" i="163"/>
  <c r="O708" i="163" s="1"/>
  <c r="N749" i="163"/>
  <c r="O749" i="163" s="1"/>
  <c r="J750" i="163"/>
  <c r="M151" i="166" s="1"/>
  <c r="I151" i="166" s="1"/>
  <c r="N729" i="163"/>
  <c r="O729" i="163" s="1"/>
  <c r="N703" i="163"/>
  <c r="O703" i="163" s="1"/>
  <c r="N697" i="163"/>
  <c r="O697" i="163" s="1"/>
  <c r="N694" i="163"/>
  <c r="O694" i="163" s="1"/>
  <c r="N688" i="163"/>
  <c r="O688" i="163" s="1"/>
  <c r="N682" i="163"/>
  <c r="O682" i="163" s="1"/>
  <c r="N671" i="163"/>
  <c r="O671" i="163" s="1"/>
  <c r="N665" i="163"/>
  <c r="O665" i="163" s="1"/>
  <c r="N662" i="163"/>
  <c r="O662" i="163" s="1"/>
  <c r="N656" i="163"/>
  <c r="O656" i="163" s="1"/>
  <c r="N650" i="163"/>
  <c r="O650" i="163" s="1"/>
  <c r="N595" i="163"/>
  <c r="O595" i="163" s="1"/>
  <c r="N587" i="163"/>
  <c r="O587" i="163" s="1"/>
  <c r="N582" i="163"/>
  <c r="O582" i="163" s="1"/>
  <c r="N478" i="163"/>
  <c r="O478" i="163" s="1"/>
  <c r="N468" i="163"/>
  <c r="O468" i="163" s="1"/>
  <c r="G495" i="163"/>
  <c r="N464" i="163"/>
  <c r="O464" i="163" s="1"/>
  <c r="N442" i="163"/>
  <c r="O442" i="163" s="1"/>
  <c r="N420" i="163"/>
  <c r="O420" i="163" s="1"/>
  <c r="N375" i="163"/>
  <c r="O375" i="163" s="1"/>
  <c r="N366" i="163"/>
  <c r="O366" i="163" s="1"/>
  <c r="N321" i="163"/>
  <c r="O321" i="163" s="1"/>
  <c r="N320" i="163"/>
  <c r="O320" i="163" s="1"/>
  <c r="N293" i="163"/>
  <c r="O293" i="163" s="1"/>
  <c r="N254" i="163"/>
  <c r="O254" i="163" s="1"/>
  <c r="N208" i="163"/>
  <c r="O208" i="163" s="1"/>
  <c r="N144" i="163"/>
  <c r="O144" i="163" s="1"/>
  <c r="N117" i="163"/>
  <c r="O117" i="163" s="1"/>
  <c r="N106" i="163"/>
  <c r="O106" i="163" s="1"/>
  <c r="K47" i="163"/>
  <c r="N120" i="166" s="1"/>
  <c r="J120" i="166" s="1"/>
  <c r="N734" i="163"/>
  <c r="O734" i="163" s="1"/>
  <c r="M750" i="163"/>
  <c r="N726" i="163"/>
  <c r="O726" i="163" s="1"/>
  <c r="N720" i="163"/>
  <c r="O720" i="163" s="1"/>
  <c r="N714" i="163"/>
  <c r="O714" i="163" s="1"/>
  <c r="N747" i="163"/>
  <c r="O747" i="163" s="1"/>
  <c r="N735" i="163"/>
  <c r="O735" i="163" s="1"/>
  <c r="N732" i="163"/>
  <c r="O732" i="163" s="1"/>
  <c r="N700" i="163"/>
  <c r="O700" i="163" s="1"/>
  <c r="N668" i="163"/>
  <c r="O668" i="163" s="1"/>
  <c r="N517" i="163"/>
  <c r="O517" i="163" s="1"/>
  <c r="N449" i="163"/>
  <c r="O449" i="163" s="1"/>
  <c r="N445" i="163"/>
  <c r="O445" i="163" s="1"/>
  <c r="N388" i="163"/>
  <c r="O388" i="163" s="1"/>
  <c r="N386" i="163"/>
  <c r="O386" i="163" s="1"/>
  <c r="N380" i="163"/>
  <c r="O380" i="163" s="1"/>
  <c r="N356" i="163"/>
  <c r="O356" i="163" s="1"/>
  <c r="N238" i="163"/>
  <c r="O238" i="163" s="1"/>
  <c r="N177" i="163"/>
  <c r="O177" i="163" s="1"/>
  <c r="N174" i="163"/>
  <c r="O174" i="163" s="1"/>
  <c r="N172" i="163"/>
  <c r="O172" i="163" s="1"/>
  <c r="N169" i="163"/>
  <c r="O169" i="163" s="1"/>
  <c r="N166" i="163"/>
  <c r="O166" i="163" s="1"/>
  <c r="N74" i="163"/>
  <c r="O74" i="163" s="1"/>
  <c r="N110" i="163"/>
  <c r="O110" i="163" s="1"/>
  <c r="N88" i="163"/>
  <c r="O88" i="163" s="1"/>
  <c r="N61" i="163"/>
  <c r="O61" i="163" s="1"/>
  <c r="N45" i="163"/>
  <c r="O45" i="163" s="1"/>
  <c r="N42" i="163"/>
  <c r="O42" i="163" s="1"/>
  <c r="N36" i="163"/>
  <c r="O36" i="163" s="1"/>
  <c r="M47" i="163"/>
  <c r="L739" i="163"/>
  <c r="N640" i="163"/>
  <c r="O640" i="163" s="1"/>
  <c r="N631" i="163"/>
  <c r="O631" i="163" s="1"/>
  <c r="N599" i="163"/>
  <c r="O599" i="163" s="1"/>
  <c r="N594" i="163"/>
  <c r="O594" i="163" s="1"/>
  <c r="N570" i="163"/>
  <c r="O570" i="163" s="1"/>
  <c r="N562" i="163"/>
  <c r="O562" i="163" s="1"/>
  <c r="N514" i="163"/>
  <c r="O514" i="163" s="1"/>
  <c r="N511" i="163"/>
  <c r="O511" i="163" s="1"/>
  <c r="N494" i="163"/>
  <c r="O494" i="163" s="1"/>
  <c r="N489" i="163"/>
  <c r="O489" i="163" s="1"/>
  <c r="N480" i="163"/>
  <c r="O480" i="163" s="1"/>
  <c r="N465" i="163"/>
  <c r="O465" i="163" s="1"/>
  <c r="N461" i="163"/>
  <c r="O461" i="163" s="1"/>
  <c r="N456" i="163"/>
  <c r="O456" i="163" s="1"/>
  <c r="N436" i="163"/>
  <c r="O436" i="163" s="1"/>
  <c r="N431" i="163"/>
  <c r="O431" i="163" s="1"/>
  <c r="N422" i="163"/>
  <c r="O422" i="163" s="1"/>
  <c r="N403" i="163"/>
  <c r="O403" i="163" s="1"/>
  <c r="N401" i="163"/>
  <c r="O401" i="163" s="1"/>
  <c r="N397" i="163"/>
  <c r="O397" i="163" s="1"/>
  <c r="N392" i="163"/>
  <c r="O392" i="163" s="1"/>
  <c r="N372" i="163"/>
  <c r="O372" i="163" s="1"/>
  <c r="N367" i="163"/>
  <c r="O367" i="163" s="1"/>
  <c r="N358" i="163"/>
  <c r="O358" i="163" s="1"/>
  <c r="N335" i="163"/>
  <c r="O335" i="163" s="1"/>
  <c r="N332" i="163"/>
  <c r="O332" i="163" s="1"/>
  <c r="N318" i="163"/>
  <c r="O318" i="163" s="1"/>
  <c r="N316" i="163"/>
  <c r="O316" i="163" s="1"/>
  <c r="N277" i="163"/>
  <c r="O277" i="163" s="1"/>
  <c r="N262" i="163"/>
  <c r="O262" i="163" s="1"/>
  <c r="N259" i="163"/>
  <c r="O259" i="163" s="1"/>
  <c r="N225" i="163"/>
  <c r="O225" i="163" s="1"/>
  <c r="N222" i="163"/>
  <c r="O222" i="163" s="1"/>
  <c r="N200" i="163"/>
  <c r="O200" i="163" s="1"/>
  <c r="N194" i="163"/>
  <c r="O194" i="163" s="1"/>
  <c r="N187" i="163"/>
  <c r="O187" i="163" s="1"/>
  <c r="N183" i="163"/>
  <c r="O183" i="163" s="1"/>
  <c r="N181" i="163"/>
  <c r="O181" i="163" s="1"/>
  <c r="N161" i="163"/>
  <c r="O161" i="163" s="1"/>
  <c r="N158" i="163"/>
  <c r="O158" i="163" s="1"/>
  <c r="N136" i="163"/>
  <c r="O136" i="163" s="1"/>
  <c r="N130" i="163"/>
  <c r="O130" i="163" s="1"/>
  <c r="N123" i="163"/>
  <c r="O123" i="163" s="1"/>
  <c r="N101" i="163"/>
  <c r="O101" i="163" s="1"/>
  <c r="N99" i="163"/>
  <c r="O99" i="163" s="1"/>
  <c r="N95" i="163"/>
  <c r="O95" i="163" s="1"/>
  <c r="N92" i="163"/>
  <c r="O92" i="163" s="1"/>
  <c r="N86" i="163"/>
  <c r="O86" i="163" s="1"/>
  <c r="N64" i="163"/>
  <c r="O64" i="163" s="1"/>
  <c r="N51" i="163"/>
  <c r="O51" i="163" s="1"/>
  <c r="K58" i="163"/>
  <c r="N121" i="166" s="1"/>
  <c r="J121" i="166" s="1"/>
  <c r="N22" i="163"/>
  <c r="O22" i="163" s="1"/>
  <c r="N13" i="163"/>
  <c r="O13" i="163" s="1"/>
  <c r="K17" i="163"/>
  <c r="N92" i="166" s="1"/>
  <c r="J92" i="166" s="1"/>
  <c r="N620" i="163"/>
  <c r="O620" i="163" s="1"/>
  <c r="N617" i="163"/>
  <c r="O617" i="163" s="1"/>
  <c r="N611" i="163"/>
  <c r="O611" i="163" s="1"/>
  <c r="N586" i="163"/>
  <c r="O586" i="163" s="1"/>
  <c r="N585" i="163"/>
  <c r="O585" i="163" s="1"/>
  <c r="N583" i="163"/>
  <c r="O583" i="163" s="1"/>
  <c r="N574" i="163"/>
  <c r="O574" i="163" s="1"/>
  <c r="N568" i="163"/>
  <c r="O568" i="163" s="1"/>
  <c r="N554" i="163"/>
  <c r="O554" i="163" s="1"/>
  <c r="N523" i="163"/>
  <c r="O523" i="163" s="1"/>
  <c r="N504" i="163"/>
  <c r="O504" i="163" s="1"/>
  <c r="N500" i="163"/>
  <c r="O500" i="163" s="1"/>
  <c r="N486" i="163"/>
  <c r="O486" i="163" s="1"/>
  <c r="N481" i="163"/>
  <c r="O481" i="163" s="1"/>
  <c r="N472" i="163"/>
  <c r="O472" i="163" s="1"/>
  <c r="N459" i="163"/>
  <c r="O459" i="163" s="1"/>
  <c r="N457" i="163"/>
  <c r="O457" i="163" s="1"/>
  <c r="N453" i="163"/>
  <c r="O453" i="163" s="1"/>
  <c r="N448" i="163"/>
  <c r="O448" i="163" s="1"/>
  <c r="N428" i="163"/>
  <c r="O428" i="163" s="1"/>
  <c r="N423" i="163"/>
  <c r="O423" i="163" s="1"/>
  <c r="N414" i="163"/>
  <c r="O414" i="163" s="1"/>
  <c r="N395" i="163"/>
  <c r="O395" i="163" s="1"/>
  <c r="N384" i="163"/>
  <c r="O384" i="163" s="1"/>
  <c r="N364" i="163"/>
  <c r="O364" i="163" s="1"/>
  <c r="N359" i="163"/>
  <c r="O359" i="163" s="1"/>
  <c r="N350" i="163"/>
  <c r="O350" i="163" s="1"/>
  <c r="N312" i="163"/>
  <c r="O312" i="163" s="1"/>
  <c r="N301" i="163"/>
  <c r="O301" i="163" s="1"/>
  <c r="N299" i="163"/>
  <c r="O299" i="163" s="1"/>
  <c r="N274" i="163"/>
  <c r="O274" i="163" s="1"/>
  <c r="N271" i="163"/>
  <c r="O271" i="163" s="1"/>
  <c r="N269" i="163"/>
  <c r="O269" i="163" s="1"/>
  <c r="N239" i="163"/>
  <c r="O239" i="163" s="1"/>
  <c r="N237" i="163"/>
  <c r="O237" i="163" s="1"/>
  <c r="N192" i="163"/>
  <c r="O192" i="163" s="1"/>
  <c r="N186" i="163"/>
  <c r="O186" i="163" s="1"/>
  <c r="N179" i="163"/>
  <c r="O179" i="163" s="1"/>
  <c r="N175" i="163"/>
  <c r="O175" i="163" s="1"/>
  <c r="N173" i="163"/>
  <c r="O173" i="163" s="1"/>
  <c r="N153" i="163"/>
  <c r="O153" i="163" s="1"/>
  <c r="N150" i="163"/>
  <c r="O150" i="163" s="1"/>
  <c r="N128" i="163"/>
  <c r="O128" i="163" s="1"/>
  <c r="N122" i="163"/>
  <c r="O122" i="163" s="1"/>
  <c r="N104" i="163"/>
  <c r="O104" i="163" s="1"/>
  <c r="N77" i="163"/>
  <c r="O77" i="163" s="1"/>
  <c r="N75" i="163"/>
  <c r="O75" i="163" s="1"/>
  <c r="N71" i="163"/>
  <c r="O71" i="163" s="1"/>
  <c r="N68" i="163"/>
  <c r="O68" i="163" s="1"/>
  <c r="N62" i="163"/>
  <c r="O62" i="163" s="1"/>
  <c r="N55" i="163"/>
  <c r="O55" i="163" s="1"/>
  <c r="N49" i="163"/>
  <c r="O49" i="163" s="1"/>
  <c r="N30" i="163"/>
  <c r="O30" i="163" s="1"/>
  <c r="N19" i="163"/>
  <c r="O19" i="163" s="1"/>
  <c r="N11" i="163"/>
  <c r="O11" i="163" s="1"/>
  <c r="N80" i="163"/>
  <c r="O80" i="163" s="1"/>
  <c r="L58" i="163"/>
  <c r="N43" i="163"/>
  <c r="O43" i="163" s="1"/>
  <c r="N34" i="163"/>
  <c r="O34" i="163" s="1"/>
  <c r="J47" i="163"/>
  <c r="M120" i="166" s="1"/>
  <c r="I120" i="166" s="1"/>
  <c r="L17" i="163"/>
  <c r="N635" i="163"/>
  <c r="O635" i="163" s="1"/>
  <c r="N629" i="163"/>
  <c r="O629" i="163" s="1"/>
  <c r="N618" i="163"/>
  <c r="O618" i="163" s="1"/>
  <c r="N612" i="163"/>
  <c r="O612" i="163" s="1"/>
  <c r="N556" i="163"/>
  <c r="O556" i="163" s="1"/>
  <c r="N552" i="163"/>
  <c r="O552" i="163" s="1"/>
  <c r="N550" i="163"/>
  <c r="O550" i="163" s="1"/>
  <c r="N530" i="163"/>
  <c r="O530" i="163" s="1"/>
  <c r="N512" i="163"/>
  <c r="O512" i="163" s="1"/>
  <c r="N501" i="163"/>
  <c r="O501" i="163" s="1"/>
  <c r="L508" i="163"/>
  <c r="N498" i="163"/>
  <c r="O498" i="163" s="1"/>
  <c r="N490" i="163"/>
  <c r="O490" i="163" s="1"/>
  <c r="N462" i="163"/>
  <c r="O462" i="163" s="1"/>
  <c r="N443" i="163"/>
  <c r="O443" i="163" s="1"/>
  <c r="N441" i="163"/>
  <c r="O441" i="163" s="1"/>
  <c r="N437" i="163"/>
  <c r="O437" i="163" s="1"/>
  <c r="N432" i="163"/>
  <c r="O432" i="163" s="1"/>
  <c r="N412" i="163"/>
  <c r="O412" i="163" s="1"/>
  <c r="N407" i="163"/>
  <c r="O407" i="163" s="1"/>
  <c r="N398" i="163"/>
  <c r="O398" i="163" s="1"/>
  <c r="N379" i="163"/>
  <c r="O379" i="163" s="1"/>
  <c r="N377" i="163"/>
  <c r="O377" i="163" s="1"/>
  <c r="N373" i="163"/>
  <c r="O373" i="163" s="1"/>
  <c r="N368" i="163"/>
  <c r="O368" i="163" s="1"/>
  <c r="N348" i="163"/>
  <c r="O348" i="163" s="1"/>
  <c r="N343" i="163"/>
  <c r="O343" i="163" s="1"/>
  <c r="N333" i="163"/>
  <c r="O333" i="163" s="1"/>
  <c r="N329" i="163"/>
  <c r="O329" i="163" s="1"/>
  <c r="N325" i="163"/>
  <c r="O325" i="163" s="1"/>
  <c r="N313" i="163"/>
  <c r="O313" i="163" s="1"/>
  <c r="N307" i="163"/>
  <c r="O307" i="163" s="1"/>
  <c r="N266" i="163"/>
  <c r="O266" i="163" s="1"/>
  <c r="N263" i="163"/>
  <c r="O263" i="163" s="1"/>
  <c r="N261" i="163"/>
  <c r="O261" i="163" s="1"/>
  <c r="N240" i="163"/>
  <c r="O240" i="163" s="1"/>
  <c r="N234" i="163"/>
  <c r="O234" i="163" s="1"/>
  <c r="N227" i="163"/>
  <c r="O227" i="163" s="1"/>
  <c r="N223" i="163"/>
  <c r="O223" i="163" s="1"/>
  <c r="N201" i="163"/>
  <c r="O201" i="163" s="1"/>
  <c r="N198" i="163"/>
  <c r="O198" i="163" s="1"/>
  <c r="N176" i="163"/>
  <c r="O176" i="163" s="1"/>
  <c r="N170" i="163"/>
  <c r="O170" i="163" s="1"/>
  <c r="N163" i="163"/>
  <c r="O163" i="163" s="1"/>
  <c r="N159" i="163"/>
  <c r="O159" i="163" s="1"/>
  <c r="N157" i="163"/>
  <c r="O157" i="163" s="1"/>
  <c r="N137" i="163"/>
  <c r="O137" i="163" s="1"/>
  <c r="N134" i="163"/>
  <c r="O134" i="163" s="1"/>
  <c r="N93" i="163"/>
  <c r="O93" i="163" s="1"/>
  <c r="N91" i="163"/>
  <c r="O91" i="163" s="1"/>
  <c r="N87" i="163"/>
  <c r="O87" i="163" s="1"/>
  <c r="N84" i="163"/>
  <c r="O84" i="163" s="1"/>
  <c r="N78" i="163"/>
  <c r="O78" i="163" s="1"/>
  <c r="N46" i="163"/>
  <c r="O46" i="163" s="1"/>
  <c r="I47" i="163"/>
  <c r="J24" i="163"/>
  <c r="M73" i="166" s="1"/>
  <c r="I73" i="166" s="1"/>
  <c r="N12" i="163"/>
  <c r="O12" i="163" s="1"/>
  <c r="N639" i="163"/>
  <c r="O639" i="163" s="1"/>
  <c r="N615" i="163"/>
  <c r="O615" i="163" s="1"/>
  <c r="N592" i="163"/>
  <c r="O592" i="163" s="1"/>
  <c r="N589" i="163"/>
  <c r="O589" i="163" s="1"/>
  <c r="N569" i="163"/>
  <c r="O569" i="163" s="1"/>
  <c r="N561" i="163"/>
  <c r="O561" i="163" s="1"/>
  <c r="N555" i="163"/>
  <c r="O555" i="163" s="1"/>
  <c r="N529" i="163"/>
  <c r="O529" i="163" s="1"/>
  <c r="N526" i="163"/>
  <c r="O526" i="163" s="1"/>
  <c r="N516" i="163"/>
  <c r="O516" i="163" s="1"/>
  <c r="N493" i="163"/>
  <c r="O493" i="163" s="1"/>
  <c r="N491" i="163"/>
  <c r="O491" i="163" s="1"/>
  <c r="N487" i="163"/>
  <c r="O487" i="163" s="1"/>
  <c r="N482" i="163"/>
  <c r="O482" i="163" s="1"/>
  <c r="L495" i="163"/>
  <c r="N463" i="163"/>
  <c r="O463" i="163" s="1"/>
  <c r="N454" i="163"/>
  <c r="O454" i="163" s="1"/>
  <c r="N435" i="163"/>
  <c r="O435" i="163" s="1"/>
  <c r="N433" i="163"/>
  <c r="O433" i="163" s="1"/>
  <c r="N429" i="163"/>
  <c r="O429" i="163" s="1"/>
  <c r="N424" i="163"/>
  <c r="O424" i="163" s="1"/>
  <c r="N404" i="163"/>
  <c r="O404" i="163" s="1"/>
  <c r="N399" i="163"/>
  <c r="O399" i="163" s="1"/>
  <c r="N390" i="163"/>
  <c r="O390" i="163" s="1"/>
  <c r="N371" i="163"/>
  <c r="O371" i="163" s="1"/>
  <c r="N369" i="163"/>
  <c r="O369" i="163" s="1"/>
  <c r="N360" i="163"/>
  <c r="O360" i="163" s="1"/>
  <c r="N296" i="163"/>
  <c r="O296" i="163" s="1"/>
  <c r="N284" i="163"/>
  <c r="O284" i="163" s="1"/>
  <c r="N281" i="163"/>
  <c r="O281" i="163" s="1"/>
  <c r="N275" i="163"/>
  <c r="O275" i="163" s="1"/>
  <c r="N246" i="163"/>
  <c r="O246" i="163" s="1"/>
  <c r="N232" i="163"/>
  <c r="O232" i="163" s="1"/>
  <c r="N226" i="163"/>
  <c r="O226" i="163" s="1"/>
  <c r="N219" i="163"/>
  <c r="O219" i="163" s="1"/>
  <c r="N215" i="163"/>
  <c r="O215" i="163" s="1"/>
  <c r="N213" i="163"/>
  <c r="O213" i="163" s="1"/>
  <c r="N193" i="163"/>
  <c r="O193" i="163" s="1"/>
  <c r="N168" i="163"/>
  <c r="O168" i="163" s="1"/>
  <c r="N162" i="163"/>
  <c r="O162" i="163" s="1"/>
  <c r="N155" i="163"/>
  <c r="O155" i="163" s="1"/>
  <c r="N151" i="163"/>
  <c r="O151" i="163" s="1"/>
  <c r="N149" i="163"/>
  <c r="O149" i="163" s="1"/>
  <c r="N129" i="163"/>
  <c r="O129" i="163" s="1"/>
  <c r="N126" i="163"/>
  <c r="O126" i="163" s="1"/>
  <c r="N118" i="163"/>
  <c r="O118" i="163" s="1"/>
  <c r="N96" i="163"/>
  <c r="O96" i="163" s="1"/>
  <c r="N69" i="163"/>
  <c r="O69" i="163" s="1"/>
  <c r="N67" i="163"/>
  <c r="O67" i="163" s="1"/>
  <c r="N63" i="163"/>
  <c r="O63" i="163" s="1"/>
  <c r="N60" i="163"/>
  <c r="O60" i="163" s="1"/>
  <c r="N56" i="163"/>
  <c r="O56" i="163" s="1"/>
  <c r="N54" i="163"/>
  <c r="O54" i="163" s="1"/>
  <c r="M58" i="163"/>
  <c r="N50" i="163"/>
  <c r="O50" i="163" s="1"/>
  <c r="N44" i="163"/>
  <c r="O44" i="163" s="1"/>
  <c r="N20" i="163"/>
  <c r="O20" i="163" s="1"/>
  <c r="M17" i="163"/>
  <c r="N636" i="163"/>
  <c r="O636" i="163" s="1"/>
  <c r="N633" i="163"/>
  <c r="O633" i="163" s="1"/>
  <c r="N627" i="163"/>
  <c r="O627" i="163" s="1"/>
  <c r="N604" i="163"/>
  <c r="O604" i="163" s="1"/>
  <c r="N601" i="163"/>
  <c r="O601" i="163" s="1"/>
  <c r="N584" i="163"/>
  <c r="O584" i="163" s="1"/>
  <c r="N581" i="163"/>
  <c r="O581" i="163" s="1"/>
  <c r="N553" i="163"/>
  <c r="O553" i="163" s="1"/>
  <c r="N546" i="163"/>
  <c r="O546" i="163" s="1"/>
  <c r="N539" i="163"/>
  <c r="O539" i="163" s="1"/>
  <c r="N533" i="163"/>
  <c r="O533" i="163" s="1"/>
  <c r="N531" i="163"/>
  <c r="N525" i="163"/>
  <c r="O525" i="163" s="1"/>
  <c r="N521" i="163"/>
  <c r="O521" i="163" s="1"/>
  <c r="N510" i="163"/>
  <c r="O510" i="163" s="1"/>
  <c r="N507" i="163"/>
  <c r="O507" i="163" s="1"/>
  <c r="N502" i="163"/>
  <c r="O502" i="163" s="1"/>
  <c r="N485" i="163"/>
  <c r="O485" i="163" s="1"/>
  <c r="N483" i="163"/>
  <c r="O483" i="163" s="1"/>
  <c r="N479" i="163"/>
  <c r="O479" i="163" s="1"/>
  <c r="N474" i="163"/>
  <c r="O474" i="163" s="1"/>
  <c r="N460" i="163"/>
  <c r="O460" i="163" s="1"/>
  <c r="N455" i="163"/>
  <c r="O455" i="163" s="1"/>
  <c r="N446" i="163"/>
  <c r="O446" i="163" s="1"/>
  <c r="N427" i="163"/>
  <c r="O427" i="163" s="1"/>
  <c r="N425" i="163"/>
  <c r="O425" i="163" s="1"/>
  <c r="N421" i="163"/>
  <c r="O421" i="163" s="1"/>
  <c r="N416" i="163"/>
  <c r="O416" i="163" s="1"/>
  <c r="N396" i="163"/>
  <c r="O396" i="163" s="1"/>
  <c r="N382" i="163"/>
  <c r="O382" i="163" s="1"/>
  <c r="N361" i="163"/>
  <c r="O361" i="163" s="1"/>
  <c r="N357" i="163"/>
  <c r="O357" i="163" s="1"/>
  <c r="N352" i="163"/>
  <c r="O352" i="163" s="1"/>
  <c r="N331" i="163"/>
  <c r="O331" i="163" s="1"/>
  <c r="N319" i="163"/>
  <c r="O319" i="163" s="1"/>
  <c r="N314" i="163"/>
  <c r="O314" i="163" s="1"/>
  <c r="N311" i="163"/>
  <c r="O311" i="163" s="1"/>
  <c r="N258" i="163"/>
  <c r="O258" i="163" s="1"/>
  <c r="N255" i="163"/>
  <c r="O255" i="163" s="1"/>
  <c r="N253" i="163"/>
  <c r="O253" i="163" s="1"/>
  <c r="N224" i="163"/>
  <c r="O224" i="163" s="1"/>
  <c r="N218" i="163"/>
  <c r="O218" i="163" s="1"/>
  <c r="N211" i="163"/>
  <c r="O211" i="163" s="1"/>
  <c r="N207" i="163"/>
  <c r="O207" i="163" s="1"/>
  <c r="N205" i="163"/>
  <c r="O205" i="163" s="1"/>
  <c r="N185" i="163"/>
  <c r="O185" i="163" s="1"/>
  <c r="N182" i="163"/>
  <c r="O182" i="163" s="1"/>
  <c r="N160" i="163"/>
  <c r="O160" i="163" s="1"/>
  <c r="N154" i="163"/>
  <c r="O154" i="163" s="1"/>
  <c r="N147" i="163"/>
  <c r="O147" i="163" s="1"/>
  <c r="N143" i="163"/>
  <c r="O143" i="163" s="1"/>
  <c r="N141" i="163"/>
  <c r="O141" i="163" s="1"/>
  <c r="N121" i="163"/>
  <c r="O121" i="163" s="1"/>
  <c r="N109" i="163"/>
  <c r="O109" i="163" s="1"/>
  <c r="N107" i="163"/>
  <c r="O107" i="163" s="1"/>
  <c r="N103" i="163"/>
  <c r="O103" i="163" s="1"/>
  <c r="N100" i="163"/>
  <c r="O100" i="163" s="1"/>
  <c r="N94" i="163"/>
  <c r="O94" i="163" s="1"/>
  <c r="N72" i="163"/>
  <c r="O72" i="163" s="1"/>
  <c r="N35" i="163"/>
  <c r="O35" i="163" s="1"/>
  <c r="N33" i="163"/>
  <c r="O33" i="163" s="1"/>
  <c r="N29" i="163"/>
  <c r="O29" i="163" s="1"/>
  <c r="N23" i="163"/>
  <c r="O23" i="163" s="1"/>
  <c r="K24" i="163"/>
  <c r="N73" i="166" s="1"/>
  <c r="J73" i="166" s="1"/>
  <c r="M24" i="163"/>
  <c r="N18" i="163"/>
  <c r="O18" i="163" s="1"/>
  <c r="N16" i="163"/>
  <c r="O16" i="163" s="1"/>
  <c r="J739" i="163"/>
  <c r="M149" i="166" s="1"/>
  <c r="I149" i="166" s="1"/>
  <c r="I739" i="163"/>
  <c r="N748" i="163"/>
  <c r="O748" i="163" s="1"/>
  <c r="N579" i="163"/>
  <c r="O579" i="163" s="1"/>
  <c r="N741" i="163"/>
  <c r="N571" i="163"/>
  <c r="O571" i="163" s="1"/>
  <c r="N245" i="163"/>
  <c r="O245" i="163" s="1"/>
  <c r="N241" i="163"/>
  <c r="O241" i="163" s="1"/>
  <c r="N328" i="163"/>
  <c r="N315" i="163"/>
  <c r="O315" i="163" s="1"/>
  <c r="N298" i="163"/>
  <c r="O298" i="163" s="1"/>
  <c r="N282" i="163"/>
  <c r="O282" i="163" s="1"/>
  <c r="N273" i="163"/>
  <c r="O273" i="163" s="1"/>
  <c r="N265" i="163"/>
  <c r="O265" i="163" s="1"/>
  <c r="N257" i="163"/>
  <c r="O257" i="163" s="1"/>
  <c r="N249" i="163"/>
  <c r="O249" i="163" s="1"/>
  <c r="N310" i="163"/>
  <c r="O310" i="163" s="1"/>
  <c r="N294" i="163"/>
  <c r="O294" i="163" s="1"/>
  <c r="N278" i="163"/>
  <c r="O278" i="163" s="1"/>
  <c r="N323" i="163"/>
  <c r="O323" i="163" s="1"/>
  <c r="N306" i="163"/>
  <c r="O306" i="163" s="1"/>
  <c r="N290" i="163"/>
  <c r="O290" i="163" s="1"/>
  <c r="N302" i="163"/>
  <c r="O302" i="163" s="1"/>
  <c r="N286" i="163"/>
  <c r="O286" i="163" s="1"/>
  <c r="I120" i="163"/>
  <c r="I24" i="163"/>
  <c r="L73" i="166" s="1"/>
  <c r="N28" i="163"/>
  <c r="I17" i="163"/>
  <c r="L92" i="166" s="1"/>
  <c r="E558" i="162"/>
  <c r="F558" i="162"/>
  <c r="E501" i="162"/>
  <c r="J507" i="162"/>
  <c r="J502" i="162"/>
  <c r="J503" i="162" s="1"/>
  <c r="E76" i="162"/>
  <c r="K79" i="162"/>
  <c r="K75" i="162"/>
  <c r="F487" i="162"/>
  <c r="F596" i="162" s="1"/>
  <c r="G10" i="162"/>
  <c r="H10" i="162" s="1"/>
  <c r="G14" i="162"/>
  <c r="H14" i="162" s="1"/>
  <c r="G15" i="162"/>
  <c r="H15" i="162" s="1"/>
  <c r="E19" i="162"/>
  <c r="F19" i="162"/>
  <c r="E21" i="162"/>
  <c r="F21" i="162"/>
  <c r="G22" i="162"/>
  <c r="H22" i="162" s="1"/>
  <c r="G23" i="162"/>
  <c r="H23" i="162" s="1"/>
  <c r="G24" i="162"/>
  <c r="H24" i="162" s="1"/>
  <c r="G25" i="162"/>
  <c r="H25" i="162" s="1"/>
  <c r="G26" i="162"/>
  <c r="H26" i="162" s="1"/>
  <c r="G27" i="162"/>
  <c r="H27" i="162" s="1"/>
  <c r="G28" i="162"/>
  <c r="H28" i="162" s="1"/>
  <c r="G29" i="162"/>
  <c r="H29" i="162" s="1"/>
  <c r="G30" i="162"/>
  <c r="H30" i="162" s="1"/>
  <c r="G31" i="162"/>
  <c r="H31" i="162" s="1"/>
  <c r="G32" i="162"/>
  <c r="H32" i="162" s="1"/>
  <c r="G33" i="162"/>
  <c r="H33" i="162" s="1"/>
  <c r="G34" i="162"/>
  <c r="H34" i="162" s="1"/>
  <c r="G35" i="162"/>
  <c r="H35" i="162" s="1"/>
  <c r="G36" i="162"/>
  <c r="H36" i="162" s="1"/>
  <c r="G37" i="162"/>
  <c r="H37" i="162" s="1"/>
  <c r="G38" i="162"/>
  <c r="H38" i="162" s="1"/>
  <c r="G39" i="162"/>
  <c r="H39" i="162" s="1"/>
  <c r="G40" i="162"/>
  <c r="H40" i="162" s="1"/>
  <c r="G41" i="162"/>
  <c r="H41" i="162" s="1"/>
  <c r="G42" i="162"/>
  <c r="H42" i="162" s="1"/>
  <c r="G43" i="162"/>
  <c r="H43" i="162" s="1"/>
  <c r="G44" i="162"/>
  <c r="H44" i="162" s="1"/>
  <c r="G45" i="162"/>
  <c r="H45" i="162" s="1"/>
  <c r="H46" i="162"/>
  <c r="G47" i="162"/>
  <c r="H47" i="162" s="1"/>
  <c r="G48" i="162"/>
  <c r="H48" i="162" s="1"/>
  <c r="G49" i="162"/>
  <c r="H49" i="162"/>
  <c r="G50" i="162"/>
  <c r="H50" i="162" s="1"/>
  <c r="E51" i="162"/>
  <c r="F51" i="162"/>
  <c r="E53" i="162"/>
  <c r="E68" i="162" s="1"/>
  <c r="E72" i="162" s="1"/>
  <c r="F53" i="162"/>
  <c r="F68" i="162" s="1"/>
  <c r="F72" i="162" s="1"/>
  <c r="G54" i="162"/>
  <c r="H54" i="162" s="1"/>
  <c r="G56" i="162"/>
  <c r="H56" i="162" s="1"/>
  <c r="G58" i="162"/>
  <c r="H58" i="162" s="1"/>
  <c r="G59" i="162"/>
  <c r="H59" i="162" s="1"/>
  <c r="G60" i="162"/>
  <c r="H60" i="162" s="1"/>
  <c r="G61" i="162"/>
  <c r="H61" i="162" s="1"/>
  <c r="G62" i="162"/>
  <c r="H62" i="162" s="1"/>
  <c r="G64" i="162"/>
  <c r="H64" i="162" s="1"/>
  <c r="G65" i="162"/>
  <c r="H65" i="162" s="1"/>
  <c r="E66" i="162"/>
  <c r="F66" i="162"/>
  <c r="E70" i="162"/>
  <c r="F70" i="162"/>
  <c r="G73" i="162"/>
  <c r="H73" i="162" s="1"/>
  <c r="G74" i="162"/>
  <c r="H74" i="162" s="1"/>
  <c r="G75" i="162"/>
  <c r="H75" i="162" s="1"/>
  <c r="E80" i="162"/>
  <c r="G76" i="162"/>
  <c r="G77" i="162"/>
  <c r="H77" i="162" s="1"/>
  <c r="G78" i="162"/>
  <c r="H78" i="162" s="1"/>
  <c r="G79" i="162"/>
  <c r="H79" i="162" s="1"/>
  <c r="F80" i="162"/>
  <c r="E82" i="162"/>
  <c r="F82" i="162"/>
  <c r="E86" i="162"/>
  <c r="F86" i="162"/>
  <c r="E88" i="162"/>
  <c r="F88" i="162"/>
  <c r="G89" i="162"/>
  <c r="H89" i="162" s="1"/>
  <c r="G91" i="162"/>
  <c r="H91" i="162" s="1"/>
  <c r="G92" i="162"/>
  <c r="H92" i="162" s="1"/>
  <c r="G94" i="162"/>
  <c r="H94" i="162" s="1"/>
  <c r="G96" i="162"/>
  <c r="H96" i="162" s="1"/>
  <c r="G98" i="162"/>
  <c r="H98" i="162" s="1"/>
  <c r="G100" i="162"/>
  <c r="H100" i="162" s="1"/>
  <c r="G102" i="162"/>
  <c r="H102" i="162" s="1"/>
  <c r="G114" i="162"/>
  <c r="H114" i="162" s="1"/>
  <c r="G119" i="162"/>
  <c r="H119" i="162" s="1"/>
  <c r="G120" i="162"/>
  <c r="H120" i="162" s="1"/>
  <c r="G122" i="162"/>
  <c r="H122" i="162" s="1"/>
  <c r="G125" i="162"/>
  <c r="H125" i="162" s="1"/>
  <c r="G126" i="162"/>
  <c r="H126" i="162" s="1"/>
  <c r="G128" i="162"/>
  <c r="H128" i="162" s="1"/>
  <c r="G131" i="162"/>
  <c r="H131" i="162" s="1"/>
  <c r="G134" i="162"/>
  <c r="H134" i="162" s="1"/>
  <c r="G135" i="162"/>
  <c r="H135" i="162" s="1"/>
  <c r="G136" i="162"/>
  <c r="H136" i="162" s="1"/>
  <c r="G140" i="162"/>
  <c r="H140" i="162" s="1"/>
  <c r="G142" i="162"/>
  <c r="H142" i="162" s="1"/>
  <c r="G143" i="162"/>
  <c r="H143" i="162" s="1"/>
  <c r="G144" i="162"/>
  <c r="H144" i="162" s="1"/>
  <c r="G145" i="162"/>
  <c r="H145" i="162" s="1"/>
  <c r="G146" i="162"/>
  <c r="H146" i="162" s="1"/>
  <c r="G148" i="162"/>
  <c r="H148" i="162" s="1"/>
  <c r="G151" i="162"/>
  <c r="H151" i="162" s="1"/>
  <c r="G152" i="162"/>
  <c r="H152" i="162" s="1"/>
  <c r="G153" i="162"/>
  <c r="H153" i="162" s="1"/>
  <c r="G155" i="162"/>
  <c r="H155" i="162" s="1"/>
  <c r="G157" i="162"/>
  <c r="H157" i="162" s="1"/>
  <c r="G160" i="162"/>
  <c r="H160" i="162" s="1"/>
  <c r="G161" i="162"/>
  <c r="H161" i="162" s="1"/>
  <c r="G163" i="162"/>
  <c r="H163" i="162" s="1"/>
  <c r="G170" i="162"/>
  <c r="H170" i="162" s="1"/>
  <c r="G171" i="162"/>
  <c r="H171" i="162" s="1"/>
  <c r="G172" i="162"/>
  <c r="H172" i="162" s="1"/>
  <c r="G176" i="162"/>
  <c r="H176" i="162" s="1"/>
  <c r="G178" i="162"/>
  <c r="H178" i="162" s="1"/>
  <c r="G189" i="162"/>
  <c r="H189" i="162" s="1"/>
  <c r="G191" i="162"/>
  <c r="H191" i="162" s="1"/>
  <c r="G193" i="162"/>
  <c r="H193" i="162" s="1"/>
  <c r="G195" i="162"/>
  <c r="H195" i="162" s="1"/>
  <c r="G196" i="162"/>
  <c r="H196" i="162" s="1"/>
  <c r="G197" i="162"/>
  <c r="H197" i="162" s="1"/>
  <c r="G198" i="162"/>
  <c r="H198" i="162" s="1"/>
  <c r="G200" i="162"/>
  <c r="H200" i="162" s="1"/>
  <c r="G215" i="162"/>
  <c r="H215" i="162" s="1"/>
  <c r="G218" i="162"/>
  <c r="H218" i="162" s="1"/>
  <c r="G221" i="162"/>
  <c r="H221" i="162" s="1"/>
  <c r="G234" i="162"/>
  <c r="H234" i="162" s="1"/>
  <c r="G235" i="162"/>
  <c r="H235" i="162" s="1"/>
  <c r="G236" i="162"/>
  <c r="H236" i="162" s="1"/>
  <c r="G238" i="162"/>
  <c r="H238" i="162" s="1"/>
  <c r="G239" i="162"/>
  <c r="H239" i="162" s="1"/>
  <c r="G240" i="162"/>
  <c r="H240" i="162" s="1"/>
  <c r="G241" i="162"/>
  <c r="H241" i="162" s="1"/>
  <c r="G242" i="162"/>
  <c r="H242" i="162" s="1"/>
  <c r="G243" i="162"/>
  <c r="H243" i="162" s="1"/>
  <c r="G253" i="162"/>
  <c r="H253" i="162" s="1"/>
  <c r="G254" i="162"/>
  <c r="H254" i="162" s="1"/>
  <c r="G255" i="162"/>
  <c r="H255" i="162" s="1"/>
  <c r="G257" i="162"/>
  <c r="H257" i="162" s="1"/>
  <c r="G289" i="162"/>
  <c r="H289" i="162" s="1"/>
  <c r="G290" i="162"/>
  <c r="H290" i="162" s="1"/>
  <c r="G291" i="162"/>
  <c r="H291" i="162" s="1"/>
  <c r="G292" i="162"/>
  <c r="H292" i="162" s="1"/>
  <c r="G293" i="162"/>
  <c r="H293" i="162" s="1"/>
  <c r="G294" i="162"/>
  <c r="H294" i="162" s="1"/>
  <c r="G295" i="162"/>
  <c r="H295" i="162" s="1"/>
  <c r="G297" i="162"/>
  <c r="H297" i="162" s="1"/>
  <c r="G299" i="162"/>
  <c r="H299" i="162" s="1"/>
  <c r="G301" i="162"/>
  <c r="H301" i="162" s="1"/>
  <c r="G303" i="162"/>
  <c r="H303" i="162" s="1"/>
  <c r="G304" i="162"/>
  <c r="H304" i="162" s="1"/>
  <c r="G306" i="162"/>
  <c r="H306" i="162" s="1"/>
  <c r="G327" i="162"/>
  <c r="H327" i="162" s="1"/>
  <c r="G328" i="162"/>
  <c r="H328" i="162" s="1"/>
  <c r="G330" i="162"/>
  <c r="H330" i="162" s="1"/>
  <c r="G331" i="162"/>
  <c r="H331" i="162" s="1"/>
  <c r="G333" i="162"/>
  <c r="H333" i="162" s="1"/>
  <c r="E334" i="162"/>
  <c r="F334" i="162"/>
  <c r="E336" i="162"/>
  <c r="F336" i="162"/>
  <c r="G337" i="162"/>
  <c r="G338" i="162"/>
  <c r="H338" i="162" s="1"/>
  <c r="G339" i="162"/>
  <c r="H339" i="162" s="1"/>
  <c r="G340" i="162"/>
  <c r="H340" i="162" s="1"/>
  <c r="G341" i="162"/>
  <c r="H341" i="162" s="1"/>
  <c r="E342" i="162"/>
  <c r="F342" i="162"/>
  <c r="E344" i="162"/>
  <c r="F344" i="162"/>
  <c r="G345" i="162"/>
  <c r="H345" i="162" s="1"/>
  <c r="G346" i="162"/>
  <c r="H346" i="162" s="1"/>
  <c r="J346" i="162" s="1"/>
  <c r="G347" i="162"/>
  <c r="H347" i="162" s="1"/>
  <c r="I347" i="162" s="1"/>
  <c r="G348" i="162"/>
  <c r="H348" i="162" s="1"/>
  <c r="I348" i="162" s="1"/>
  <c r="E349" i="162"/>
  <c r="F349" i="162"/>
  <c r="E351" i="162"/>
  <c r="F351" i="162"/>
  <c r="G352" i="162"/>
  <c r="H352" i="162" s="1"/>
  <c r="E353" i="162"/>
  <c r="F353" i="162"/>
  <c r="I353" i="162"/>
  <c r="E355" i="162"/>
  <c r="F355" i="162"/>
  <c r="E389" i="162"/>
  <c r="F389" i="162"/>
  <c r="E391" i="162"/>
  <c r="F391" i="162"/>
  <c r="G392" i="162"/>
  <c r="H392" i="162" s="1"/>
  <c r="G393" i="162"/>
  <c r="H393" i="162" s="1"/>
  <c r="G394" i="162"/>
  <c r="H394" i="162" s="1"/>
  <c r="G395" i="162"/>
  <c r="H395" i="162" s="1"/>
  <c r="E396" i="162"/>
  <c r="F396" i="162"/>
  <c r="E398" i="162"/>
  <c r="F398" i="162"/>
  <c r="E428" i="162"/>
  <c r="F428" i="162"/>
  <c r="E430" i="162"/>
  <c r="F430" i="162"/>
  <c r="E432" i="162"/>
  <c r="F432" i="162"/>
  <c r="E434" i="162"/>
  <c r="F434" i="162"/>
  <c r="G461" i="162"/>
  <c r="H461" i="162" s="1"/>
  <c r="G462" i="162"/>
  <c r="H462" i="162" s="1"/>
  <c r="E467" i="162"/>
  <c r="F467" i="162"/>
  <c r="E469" i="162"/>
  <c r="F469" i="162"/>
  <c r="G470" i="162"/>
  <c r="H470" i="162" s="1"/>
  <c r="G473" i="162"/>
  <c r="H473" i="162" s="1"/>
  <c r="G475" i="162"/>
  <c r="H475" i="162" s="1"/>
  <c r="G477" i="162"/>
  <c r="H477" i="162" s="1"/>
  <c r="G478" i="162"/>
  <c r="H478" i="162" s="1"/>
  <c r="G479" i="162"/>
  <c r="H479" i="162" s="1"/>
  <c r="G480" i="162"/>
  <c r="H480" i="162" s="1"/>
  <c r="G483" i="162"/>
  <c r="H483" i="162" s="1"/>
  <c r="G484" i="162"/>
  <c r="H484" i="162" s="1"/>
  <c r="G486" i="162"/>
  <c r="H486" i="162" s="1"/>
  <c r="E487" i="162"/>
  <c r="G487" i="162" s="1"/>
  <c r="G489" i="162"/>
  <c r="H489" i="162" s="1"/>
  <c r="G490" i="162"/>
  <c r="H490" i="162" s="1"/>
  <c r="G491" i="162"/>
  <c r="H491" i="162" s="1"/>
  <c r="G492" i="162"/>
  <c r="H492" i="162" s="1"/>
  <c r="G493" i="162"/>
  <c r="H493" i="162" s="1"/>
  <c r="J493" i="162"/>
  <c r="G497" i="162"/>
  <c r="H497" i="162" s="1"/>
  <c r="J498" i="162"/>
  <c r="G502" i="162"/>
  <c r="H502" i="162" s="1"/>
  <c r="G503" i="162"/>
  <c r="H503" i="162" s="1"/>
  <c r="G508" i="162"/>
  <c r="H508" i="162"/>
  <c r="G512" i="162"/>
  <c r="H512" i="162" s="1"/>
  <c r="G515" i="162"/>
  <c r="H515" i="162" s="1"/>
  <c r="G516" i="162"/>
  <c r="H516" i="162" s="1"/>
  <c r="G517" i="162"/>
  <c r="H517" i="162"/>
  <c r="G519" i="162"/>
  <c r="H519" i="162" s="1"/>
  <c r="G521" i="162"/>
  <c r="H521" i="162" s="1"/>
  <c r="G522" i="162"/>
  <c r="H522" i="162" s="1"/>
  <c r="G524" i="162"/>
  <c r="H524" i="162" s="1"/>
  <c r="G525" i="162"/>
  <c r="H525" i="162" s="1"/>
  <c r="G526" i="162"/>
  <c r="H526" i="162" s="1"/>
  <c r="G527" i="162"/>
  <c r="H527" i="162" s="1"/>
  <c r="G529" i="162"/>
  <c r="H529" i="162" s="1"/>
  <c r="G530" i="162"/>
  <c r="H530" i="162" s="1"/>
  <c r="G531" i="162"/>
  <c r="H531" i="162" s="1"/>
  <c r="G532" i="162"/>
  <c r="H532" i="162" s="1"/>
  <c r="G533" i="162"/>
  <c r="H533" i="162"/>
  <c r="G534" i="162"/>
  <c r="H534" i="162" s="1"/>
  <c r="G535" i="162"/>
  <c r="H535" i="162" s="1"/>
  <c r="G536" i="162"/>
  <c r="H536" i="162" s="1"/>
  <c r="G537" i="162"/>
  <c r="H537" i="162" s="1"/>
  <c r="G538" i="162"/>
  <c r="H538" i="162" s="1"/>
  <c r="G539" i="162"/>
  <c r="H539" i="162" s="1"/>
  <c r="G540" i="162"/>
  <c r="H540" i="162" s="1"/>
  <c r="G541" i="162"/>
  <c r="H541" i="162" s="1"/>
  <c r="G542" i="162"/>
  <c r="H542" i="162" s="1"/>
  <c r="G543" i="162"/>
  <c r="H543" i="162" s="1"/>
  <c r="G544" i="162"/>
  <c r="H544" i="162" s="1"/>
  <c r="G545" i="162"/>
  <c r="H545" i="162"/>
  <c r="G546" i="162"/>
  <c r="H546" i="162" s="1"/>
  <c r="G547" i="162"/>
  <c r="H547" i="162" s="1"/>
  <c r="G548" i="162"/>
  <c r="H548" i="162" s="1"/>
  <c r="G549" i="162"/>
  <c r="H549" i="162" s="1"/>
  <c r="G550" i="162"/>
  <c r="H550" i="162" s="1"/>
  <c r="G551" i="162"/>
  <c r="H551" i="162" s="1"/>
  <c r="G552" i="162"/>
  <c r="H552" i="162" s="1"/>
  <c r="G553" i="162"/>
  <c r="H553" i="162" s="1"/>
  <c r="G554" i="162"/>
  <c r="H554" i="162" s="1"/>
  <c r="G555" i="162"/>
  <c r="H555" i="162" s="1"/>
  <c r="G556" i="162"/>
  <c r="H556" i="162"/>
  <c r="G557" i="162"/>
  <c r="H557" i="162" s="1"/>
  <c r="G558" i="162"/>
  <c r="G559" i="162"/>
  <c r="H559" i="162" s="1"/>
  <c r="G560" i="162"/>
  <c r="H560" i="162" s="1"/>
  <c r="G561" i="162"/>
  <c r="H561" i="162"/>
  <c r="G562" i="162"/>
  <c r="H562" i="162" s="1"/>
  <c r="G563" i="162"/>
  <c r="H563" i="162" s="1"/>
  <c r="G564" i="162"/>
  <c r="H564" i="162" s="1"/>
  <c r="G565" i="162"/>
  <c r="H565" i="162" s="1"/>
  <c r="G566" i="162"/>
  <c r="H566" i="162" s="1"/>
  <c r="G567" i="162"/>
  <c r="H567" i="162" s="1"/>
  <c r="G568" i="162"/>
  <c r="H568" i="162" s="1"/>
  <c r="G569" i="162"/>
  <c r="H569" i="162" s="1"/>
  <c r="G570" i="162"/>
  <c r="H570" i="162" s="1"/>
  <c r="G571" i="162"/>
  <c r="H571" i="162" s="1"/>
  <c r="G572" i="162"/>
  <c r="H572" i="162" s="1"/>
  <c r="G574" i="162"/>
  <c r="H574" i="162" s="1"/>
  <c r="G575" i="162"/>
  <c r="H575" i="162" s="1"/>
  <c r="G576" i="162"/>
  <c r="H576" i="162" s="1"/>
  <c r="G577" i="162"/>
  <c r="H577" i="162" s="1"/>
  <c r="G578" i="162"/>
  <c r="H578" i="162" s="1"/>
  <c r="G579" i="162"/>
  <c r="H579" i="162" s="1"/>
  <c r="G580" i="162"/>
  <c r="H580" i="162" s="1"/>
  <c r="G581" i="162"/>
  <c r="H581" i="162" s="1"/>
  <c r="G582" i="162"/>
  <c r="H582" i="162" s="1"/>
  <c r="G583" i="162"/>
  <c r="H583" i="162" s="1"/>
  <c r="G584" i="162"/>
  <c r="H584" i="162" s="1"/>
  <c r="G585" i="162"/>
  <c r="H585" i="162" s="1"/>
  <c r="G586" i="162"/>
  <c r="H586" i="162" s="1"/>
  <c r="G587" i="162"/>
  <c r="H587" i="162" s="1"/>
  <c r="G588" i="162"/>
  <c r="H588" i="162" s="1"/>
  <c r="G589" i="162"/>
  <c r="H589" i="162" s="1"/>
  <c r="G590" i="162"/>
  <c r="H590" i="162" s="1"/>
  <c r="G591" i="162"/>
  <c r="H591" i="162" s="1"/>
  <c r="G592" i="162"/>
  <c r="H592" i="162" s="1"/>
  <c r="G593" i="162"/>
  <c r="H593" i="162" s="1"/>
  <c r="G594" i="162"/>
  <c r="H594" i="162" s="1"/>
  <c r="G595" i="162"/>
  <c r="H595" i="162" s="1"/>
  <c r="E598" i="162"/>
  <c r="F598" i="162"/>
  <c r="G599" i="162"/>
  <c r="G600" i="162"/>
  <c r="H600" i="162" s="1"/>
  <c r="G601" i="162"/>
  <c r="H601" i="162" s="1"/>
  <c r="I601" i="162" s="1"/>
  <c r="G602" i="162"/>
  <c r="H602" i="162" s="1"/>
  <c r="I602" i="162" s="1"/>
  <c r="E603" i="162"/>
  <c r="F603" i="162"/>
  <c r="E605" i="162"/>
  <c r="F605" i="162"/>
  <c r="G606" i="162"/>
  <c r="H606" i="162"/>
  <c r="J606" i="162" s="1"/>
  <c r="G607" i="162"/>
  <c r="H607" i="162" s="1"/>
  <c r="J607" i="162" s="1"/>
  <c r="G609" i="162"/>
  <c r="H609" i="162" s="1"/>
  <c r="J609" i="162" s="1"/>
  <c r="G610" i="162"/>
  <c r="H610" i="162" s="1"/>
  <c r="I610" i="162" s="1"/>
  <c r="G611" i="162"/>
  <c r="H611" i="162" s="1"/>
  <c r="J611" i="162" s="1"/>
  <c r="G612" i="162"/>
  <c r="H612" i="162" s="1"/>
  <c r="J612" i="162" s="1"/>
  <c r="G614" i="162"/>
  <c r="H614" i="162" s="1"/>
  <c r="I614" i="162" s="1"/>
  <c r="G615" i="162"/>
  <c r="H615" i="162" s="1"/>
  <c r="I615" i="162" s="1"/>
  <c r="G616" i="162"/>
  <c r="H616" i="162" s="1"/>
  <c r="J616" i="162" s="1"/>
  <c r="G617" i="162"/>
  <c r="H617" i="162" s="1"/>
  <c r="I617" i="162" s="1"/>
  <c r="G618" i="162"/>
  <c r="H618" i="162" s="1"/>
  <c r="J618" i="162" s="1"/>
  <c r="G619" i="162"/>
  <c r="H619" i="162" s="1"/>
  <c r="I619" i="162" s="1"/>
  <c r="E620" i="162"/>
  <c r="F620" i="162"/>
  <c r="E622" i="162"/>
  <c r="F622" i="162"/>
  <c r="G623" i="162"/>
  <c r="H623" i="162" s="1"/>
  <c r="G624" i="162"/>
  <c r="H624" i="162" s="1"/>
  <c r="G625" i="162"/>
  <c r="H625" i="162" s="1"/>
  <c r="G626" i="162"/>
  <c r="H626" i="162"/>
  <c r="G627" i="162"/>
  <c r="H627" i="162" s="1"/>
  <c r="G628" i="162"/>
  <c r="H628" i="162"/>
  <c r="G629" i="162"/>
  <c r="H629" i="162" s="1"/>
  <c r="G630" i="162"/>
  <c r="H630" i="162"/>
  <c r="G631" i="162"/>
  <c r="H631" i="162" s="1"/>
  <c r="G632" i="162"/>
  <c r="H632" i="162" s="1"/>
  <c r="G633" i="162"/>
  <c r="H633" i="162" s="1"/>
  <c r="G634" i="162"/>
  <c r="H634" i="162"/>
  <c r="G635" i="162"/>
  <c r="H635" i="162" s="1"/>
  <c r="G636" i="162"/>
  <c r="H636" i="162" s="1"/>
  <c r="G637" i="162"/>
  <c r="H637" i="162"/>
  <c r="E638" i="162"/>
  <c r="F638" i="162"/>
  <c r="E640" i="162"/>
  <c r="F640" i="162"/>
  <c r="G641" i="162"/>
  <c r="H641" i="162" s="1"/>
  <c r="G642" i="162"/>
  <c r="H642" i="162" s="1"/>
  <c r="E643" i="162"/>
  <c r="F643" i="162"/>
  <c r="E645" i="162"/>
  <c r="F645" i="162"/>
  <c r="E647" i="162"/>
  <c r="F647" i="162"/>
  <c r="E649" i="162"/>
  <c r="F649" i="162"/>
  <c r="G650" i="162"/>
  <c r="H650" i="162" s="1"/>
  <c r="G653" i="162"/>
  <c r="H653" i="162" s="1"/>
  <c r="G654" i="162"/>
  <c r="H654" i="162" s="1"/>
  <c r="G655" i="162"/>
  <c r="H655" i="162" s="1"/>
  <c r="G656" i="162"/>
  <c r="H656" i="162" s="1"/>
  <c r="G657" i="162"/>
  <c r="H657" i="162" s="1"/>
  <c r="G658" i="162"/>
  <c r="H658" i="162" s="1"/>
  <c r="G659" i="162"/>
  <c r="H659" i="162" s="1"/>
  <c r="E660" i="162"/>
  <c r="F660" i="162"/>
  <c r="E662" i="162"/>
  <c r="F662" i="162"/>
  <c r="G663" i="162"/>
  <c r="H663" i="162" s="1"/>
  <c r="G664" i="162"/>
  <c r="H664" i="162" s="1"/>
  <c r="G666" i="162"/>
  <c r="H666" i="162" s="1"/>
  <c r="G670" i="162"/>
  <c r="H670" i="162" s="1"/>
  <c r="G671" i="162"/>
  <c r="H671" i="162" s="1"/>
  <c r="G672" i="162"/>
  <c r="H672" i="162" s="1"/>
  <c r="G673" i="162"/>
  <c r="H673" i="162" s="1"/>
  <c r="G674" i="162"/>
  <c r="H674" i="162"/>
  <c r="G675" i="162"/>
  <c r="H675" i="162"/>
  <c r="G676" i="162"/>
  <c r="H676" i="162" s="1"/>
  <c r="G677" i="162"/>
  <c r="H677" i="162"/>
  <c r="G678" i="162"/>
  <c r="H678" i="162" s="1"/>
  <c r="G679" i="162"/>
  <c r="H679" i="162" s="1"/>
  <c r="G680" i="162"/>
  <c r="H680" i="162" s="1"/>
  <c r="G681" i="162"/>
  <c r="H681" i="162" s="1"/>
  <c r="G682" i="162"/>
  <c r="H682" i="162" s="1"/>
  <c r="G683" i="162"/>
  <c r="H683" i="162"/>
  <c r="G684" i="162"/>
  <c r="H684" i="162" s="1"/>
  <c r="G685" i="162"/>
  <c r="H685" i="162" s="1"/>
  <c r="G686" i="162"/>
  <c r="H686" i="162"/>
  <c r="G687" i="162"/>
  <c r="H687" i="162" s="1"/>
  <c r="G688" i="162"/>
  <c r="H688" i="162" s="1"/>
  <c r="G689" i="162"/>
  <c r="H689" i="162"/>
  <c r="G690" i="162"/>
  <c r="H690" i="162" s="1"/>
  <c r="G691" i="162"/>
  <c r="H691" i="162" s="1"/>
  <c r="G692" i="162"/>
  <c r="H692" i="162" s="1"/>
  <c r="G693" i="162"/>
  <c r="H693" i="162" s="1"/>
  <c r="G694" i="162"/>
  <c r="H694" i="162" s="1"/>
  <c r="G695" i="162"/>
  <c r="H695" i="162"/>
  <c r="G696" i="162"/>
  <c r="H696" i="162" s="1"/>
  <c r="G698" i="162"/>
  <c r="H698" i="162"/>
  <c r="G699" i="162"/>
  <c r="H699" i="162" s="1"/>
  <c r="G700" i="162"/>
  <c r="H700" i="162" s="1"/>
  <c r="G701" i="162"/>
  <c r="H701" i="162" s="1"/>
  <c r="G702" i="162"/>
  <c r="H702" i="162" s="1"/>
  <c r="G703" i="162"/>
  <c r="H703" i="162" s="1"/>
  <c r="G704" i="162"/>
  <c r="H704" i="162" s="1"/>
  <c r="G705" i="162"/>
  <c r="H705" i="162" s="1"/>
  <c r="G706" i="162"/>
  <c r="H706" i="162"/>
  <c r="G707" i="162"/>
  <c r="H707" i="162"/>
  <c r="G708" i="162"/>
  <c r="H708" i="162" s="1"/>
  <c r="G709" i="162"/>
  <c r="H709" i="162"/>
  <c r="G710" i="162"/>
  <c r="H710" i="162" s="1"/>
  <c r="G711" i="162"/>
  <c r="H711" i="162" s="1"/>
  <c r="G712" i="162"/>
  <c r="H712" i="162" s="1"/>
  <c r="G713" i="162"/>
  <c r="H713" i="162"/>
  <c r="G714" i="162"/>
  <c r="H714" i="162" s="1"/>
  <c r="G715" i="162"/>
  <c r="H715" i="162"/>
  <c r="G716" i="162"/>
  <c r="H716" i="162" s="1"/>
  <c r="G717" i="162"/>
  <c r="H717" i="162" s="1"/>
  <c r="G718" i="162"/>
  <c r="H718" i="162"/>
  <c r="G719" i="162"/>
  <c r="H719" i="162" s="1"/>
  <c r="G720" i="162"/>
  <c r="H720" i="162" s="1"/>
  <c r="G721" i="162"/>
  <c r="H721" i="162"/>
  <c r="G722" i="162"/>
  <c r="H722" i="162"/>
  <c r="G723" i="162"/>
  <c r="H723" i="162" s="1"/>
  <c r="G724" i="162"/>
  <c r="H724" i="162" s="1"/>
  <c r="G725" i="162"/>
  <c r="H725" i="162" s="1"/>
  <c r="G726" i="162"/>
  <c r="H726" i="162" s="1"/>
  <c r="G727" i="162"/>
  <c r="H727" i="162"/>
  <c r="G728" i="162"/>
  <c r="H728" i="162" s="1"/>
  <c r="G729" i="162"/>
  <c r="H729" i="162"/>
  <c r="G730" i="162"/>
  <c r="H730" i="162"/>
  <c r="G731" i="162"/>
  <c r="H731" i="162"/>
  <c r="G732" i="162"/>
  <c r="H732" i="162" s="1"/>
  <c r="G733" i="162"/>
  <c r="H733" i="162" s="1"/>
  <c r="G734" i="162"/>
  <c r="H734" i="162" s="1"/>
  <c r="G735" i="162"/>
  <c r="H735" i="162" s="1"/>
  <c r="G736" i="162"/>
  <c r="H736" i="162" s="1"/>
  <c r="G738" i="162"/>
  <c r="H738" i="162" s="1"/>
  <c r="G739" i="162"/>
  <c r="H739" i="162" s="1"/>
  <c r="G740" i="162"/>
  <c r="H740" i="162" s="1"/>
  <c r="G741" i="162"/>
  <c r="H741" i="162"/>
  <c r="G742" i="162"/>
  <c r="H742" i="162" s="1"/>
  <c r="G743" i="162"/>
  <c r="H743" i="162" s="1"/>
  <c r="G744" i="162"/>
  <c r="H744" i="162" s="1"/>
  <c r="G745" i="162"/>
  <c r="H745" i="162"/>
  <c r="G746" i="162"/>
  <c r="H746" i="162" s="1"/>
  <c r="G747" i="162"/>
  <c r="H747" i="162"/>
  <c r="G748" i="162"/>
  <c r="H748" i="162" s="1"/>
  <c r="G750" i="162"/>
  <c r="H750" i="162"/>
  <c r="G752" i="162"/>
  <c r="H752" i="162" s="1"/>
  <c r="G754" i="162"/>
  <c r="H754" i="162"/>
  <c r="G756" i="162"/>
  <c r="H756" i="162" s="1"/>
  <c r="G757" i="162"/>
  <c r="H757" i="162" s="1"/>
  <c r="G758" i="162"/>
  <c r="H758" i="162" s="1"/>
  <c r="G759" i="162"/>
  <c r="H759" i="162"/>
  <c r="G760" i="162"/>
  <c r="H760" i="162" s="1"/>
  <c r="G761" i="162"/>
  <c r="H761" i="162" s="1"/>
  <c r="G762" i="162"/>
  <c r="H762" i="162" s="1"/>
  <c r="G763" i="162"/>
  <c r="H763" i="162"/>
  <c r="G764" i="162"/>
  <c r="H764" i="162" s="1"/>
  <c r="G765" i="162"/>
  <c r="H765" i="162" s="1"/>
  <c r="G766" i="162"/>
  <c r="H766" i="162" s="1"/>
  <c r="G767" i="162"/>
  <c r="H767" i="162" s="1"/>
  <c r="G768" i="162"/>
  <c r="H768" i="162" s="1"/>
  <c r="G769" i="162"/>
  <c r="H769" i="162" s="1"/>
  <c r="G770" i="162"/>
  <c r="H770" i="162" s="1"/>
  <c r="G771" i="162"/>
  <c r="H771" i="162" s="1"/>
  <c r="G772" i="162"/>
  <c r="H772" i="162" s="1"/>
  <c r="G773" i="162"/>
  <c r="H773" i="162" s="1"/>
  <c r="G774" i="162"/>
  <c r="H774" i="162" s="1"/>
  <c r="G775" i="162"/>
  <c r="H775" i="162" s="1"/>
  <c r="G776" i="162"/>
  <c r="H776" i="162" s="1"/>
  <c r="G777" i="162"/>
  <c r="H777" i="162" s="1"/>
  <c r="G778" i="162"/>
  <c r="H778" i="162" s="1"/>
  <c r="G779" i="162"/>
  <c r="H779" i="162" s="1"/>
  <c r="G780" i="162"/>
  <c r="H780" i="162" s="1"/>
  <c r="G781" i="162"/>
  <c r="H781" i="162" s="1"/>
  <c r="G782" i="162"/>
  <c r="H782" i="162" s="1"/>
  <c r="E783" i="162"/>
  <c r="F783" i="162"/>
  <c r="G603" i="162" l="1"/>
  <c r="G142" i="166"/>
  <c r="G99" i="166"/>
  <c r="L120" i="166"/>
  <c r="G120" i="166"/>
  <c r="H92" i="166"/>
  <c r="L149" i="166"/>
  <c r="G149" i="166"/>
  <c r="L151" i="166"/>
  <c r="G151" i="166"/>
  <c r="H73" i="166"/>
  <c r="L121" i="166"/>
  <c r="G121" i="166"/>
  <c r="N17" i="163"/>
  <c r="O17" i="163" s="1"/>
  <c r="N58" i="163"/>
  <c r="O58" i="163" s="1"/>
  <c r="N739" i="163"/>
  <c r="O739" i="163" s="1"/>
  <c r="N24" i="163"/>
  <c r="O24" i="163" s="1"/>
  <c r="N47" i="163"/>
  <c r="O47" i="163" s="1"/>
  <c r="O28" i="163"/>
  <c r="N120" i="163"/>
  <c r="O328" i="163"/>
  <c r="O741" i="163"/>
  <c r="N750" i="163"/>
  <c r="O750" i="163" s="1"/>
  <c r="G342" i="162"/>
  <c r="E596" i="162"/>
  <c r="H51" i="162"/>
  <c r="G103" i="166" s="1"/>
  <c r="G349" i="162"/>
  <c r="G51" i="162"/>
  <c r="H599" i="162"/>
  <c r="J599" i="162" s="1"/>
  <c r="I349" i="162"/>
  <c r="G98" i="166" s="1"/>
  <c r="G643" i="162"/>
  <c r="G638" i="162"/>
  <c r="I638" i="162" s="1"/>
  <c r="H396" i="162"/>
  <c r="G123" i="166" s="1"/>
  <c r="H643" i="162"/>
  <c r="H487" i="162"/>
  <c r="I620" i="162"/>
  <c r="G146" i="166" s="1"/>
  <c r="J600" i="162"/>
  <c r="J603" i="162" s="1"/>
  <c r="H603" i="162"/>
  <c r="H638" i="162"/>
  <c r="G147" i="166" s="1"/>
  <c r="I603" i="162"/>
  <c r="G140" i="166" s="1"/>
  <c r="J352" i="162"/>
  <c r="J353" i="162" s="1"/>
  <c r="H353" i="162"/>
  <c r="H558" i="162"/>
  <c r="H349" i="162"/>
  <c r="J345" i="162"/>
  <c r="J349" i="162" s="1"/>
  <c r="G353" i="162"/>
  <c r="K353" i="162" s="1"/>
  <c r="H337" i="162"/>
  <c r="H342" i="162" s="1"/>
  <c r="G396" i="162"/>
  <c r="G80" i="162"/>
  <c r="H76" i="162"/>
  <c r="H80" i="162" s="1"/>
  <c r="G108" i="166" s="1"/>
  <c r="I108" i="166" l="1"/>
  <c r="J108" i="166"/>
  <c r="H108" i="166"/>
  <c r="H147" i="166"/>
  <c r="I147" i="166"/>
  <c r="J147" i="166"/>
  <c r="K603" i="162"/>
  <c r="G139" i="166"/>
  <c r="H123" i="166"/>
  <c r="I123" i="166"/>
  <c r="J123" i="166"/>
  <c r="I342" i="162"/>
  <c r="G112" i="166"/>
  <c r="H98" i="166"/>
  <c r="G113" i="166"/>
  <c r="I98" i="166"/>
  <c r="J98" i="166"/>
  <c r="H99" i="166"/>
  <c r="J99" i="166"/>
  <c r="I99" i="166"/>
  <c r="G115" i="166"/>
  <c r="G114" i="166"/>
  <c r="G141" i="166"/>
  <c r="I643" i="162"/>
  <c r="G150" i="166"/>
  <c r="K349" i="162"/>
  <c r="H142" i="166"/>
  <c r="I142" i="166"/>
  <c r="J142" i="166"/>
  <c r="I146" i="166"/>
  <c r="H146" i="166"/>
  <c r="J146" i="166"/>
  <c r="I103" i="166"/>
  <c r="H103" i="166"/>
  <c r="J103" i="166"/>
  <c r="H140" i="166"/>
  <c r="I140" i="166"/>
  <c r="J140" i="166"/>
  <c r="H151" i="166"/>
  <c r="H121" i="166"/>
  <c r="H149" i="166"/>
  <c r="H120" i="166"/>
  <c r="I51" i="162"/>
  <c r="O120" i="163"/>
  <c r="I396" i="162"/>
  <c r="K354" i="162"/>
  <c r="I80" i="162"/>
  <c r="K350" i="162"/>
  <c r="K604" i="162"/>
  <c r="H112" i="166" l="1"/>
  <c r="I112" i="166"/>
  <c r="J112" i="166"/>
  <c r="I139" i="166"/>
  <c r="H139" i="166"/>
  <c r="G143" i="166"/>
  <c r="J139" i="166"/>
  <c r="I141" i="166"/>
  <c r="H141" i="166"/>
  <c r="J141" i="166"/>
  <c r="I113" i="166"/>
  <c r="H113" i="166"/>
  <c r="J113" i="166"/>
  <c r="I150" i="166"/>
  <c r="H150" i="166"/>
  <c r="J150" i="166"/>
  <c r="I114" i="166"/>
  <c r="H114" i="166"/>
  <c r="J114" i="166"/>
  <c r="I115" i="166"/>
  <c r="J115" i="166"/>
  <c r="H115" i="166"/>
  <c r="J143" i="166" l="1"/>
  <c r="H143" i="166"/>
  <c r="I143" i="166"/>
  <c r="F33" i="100"/>
  <c r="F34" i="100"/>
  <c r="F35" i="100"/>
  <c r="F36" i="100"/>
  <c r="F37" i="100"/>
  <c r="F48" i="98"/>
  <c r="G48" i="98" s="1"/>
  <c r="H48" i="98"/>
  <c r="I48" i="98"/>
  <c r="F40" i="160"/>
  <c r="F41" i="160"/>
  <c r="F42" i="160"/>
  <c r="F43" i="160"/>
  <c r="F44" i="160"/>
  <c r="F45" i="160"/>
  <c r="F46" i="160"/>
  <c r="F47" i="160"/>
  <c r="F48" i="160"/>
  <c r="F49" i="160"/>
  <c r="F50" i="160"/>
  <c r="F51" i="160"/>
  <c r="F52" i="160"/>
  <c r="F53" i="160"/>
  <c r="F54" i="160"/>
  <c r="F55" i="160"/>
  <c r="F56" i="160"/>
  <c r="F57" i="160"/>
  <c r="F58" i="160"/>
  <c r="F44" i="98"/>
  <c r="F45" i="98"/>
  <c r="F46" i="98"/>
  <c r="F47" i="98"/>
  <c r="F43" i="98"/>
  <c r="F49" i="98" s="1"/>
  <c r="F38" i="98"/>
  <c r="F39" i="98"/>
  <c r="F40" i="98"/>
  <c r="F41" i="98"/>
  <c r="F37" i="98"/>
  <c r="F35" i="98"/>
  <c r="F5" i="160"/>
  <c r="F6" i="160"/>
  <c r="F7" i="160"/>
  <c r="F8" i="160"/>
  <c r="F9" i="160"/>
  <c r="F10" i="160"/>
  <c r="F11" i="160"/>
  <c r="F12" i="160"/>
  <c r="F13" i="160"/>
  <c r="F14" i="160"/>
  <c r="F15" i="160"/>
  <c r="F16" i="160"/>
  <c r="F17" i="160"/>
  <c r="F18" i="160"/>
  <c r="F19" i="160"/>
  <c r="F20" i="160"/>
  <c r="F21" i="160"/>
  <c r="F22" i="160"/>
  <c r="F23" i="160"/>
  <c r="F24" i="160"/>
  <c r="F25" i="160"/>
  <c r="E26" i="160"/>
  <c r="E27" i="160" s="1"/>
  <c r="F39" i="160"/>
  <c r="E59" i="160"/>
  <c r="F73" i="160"/>
  <c r="F9" i="100"/>
  <c r="F10" i="100"/>
  <c r="F11" i="100"/>
  <c r="F12" i="100"/>
  <c r="F13" i="100"/>
  <c r="J48" i="98" l="1"/>
  <c r="F26" i="160"/>
  <c r="F69" i="160" s="1"/>
  <c r="F59" i="160"/>
  <c r="F82" i="160" s="1"/>
  <c r="F86" i="160" s="1"/>
  <c r="D51" i="98" l="1"/>
  <c r="F5" i="98"/>
  <c r="G5" i="98" s="1"/>
  <c r="G6" i="98" s="1"/>
  <c r="F7" i="98"/>
  <c r="G7" i="98" s="1"/>
  <c r="F8" i="98"/>
  <c r="G8" i="98" s="1"/>
  <c r="F9" i="98"/>
  <c r="F18" i="98"/>
  <c r="I18" i="98" s="1"/>
  <c r="G18" i="98" l="1"/>
  <c r="H18" i="98"/>
  <c r="F6" i="98"/>
  <c r="J18" i="98" l="1"/>
  <c r="E15" i="100" l="1"/>
  <c r="E16" i="100" s="1"/>
  <c r="D5" i="154" l="1"/>
  <c r="D6" i="154" s="1"/>
  <c r="E5" i="154"/>
  <c r="E6" i="154" s="1"/>
  <c r="D8" i="154"/>
  <c r="D9" i="154" s="1"/>
  <c r="E8" i="154"/>
  <c r="I8" i="154" s="1"/>
  <c r="I9" i="154" s="1"/>
  <c r="D12" i="154"/>
  <c r="E12" i="154" s="1"/>
  <c r="D13" i="154"/>
  <c r="E13" i="154"/>
  <c r="D14" i="154"/>
  <c r="E14" i="154"/>
  <c r="D15" i="154"/>
  <c r="E15" i="154" s="1"/>
  <c r="D16" i="154"/>
  <c r="E16" i="154" s="1"/>
  <c r="D17" i="154"/>
  <c r="D18" i="154"/>
  <c r="O18" i="154"/>
  <c r="O20" i="154" s="1"/>
  <c r="O32" i="154"/>
  <c r="O34" i="154"/>
  <c r="G8" i="154" l="1"/>
  <c r="G9" i="154" s="1"/>
  <c r="E18" i="154"/>
  <c r="D19" i="154"/>
  <c r="E17" i="154"/>
  <c r="D21" i="154"/>
  <c r="G12" i="154"/>
  <c r="H12" i="154"/>
  <c r="I12" i="154"/>
  <c r="E19" i="154"/>
  <c r="E21" i="154" s="1"/>
  <c r="G17" i="154"/>
  <c r="H17" i="154"/>
  <c r="I17" i="154"/>
  <c r="G16" i="154"/>
  <c r="H16" i="154"/>
  <c r="I16" i="154"/>
  <c r="H18" i="154"/>
  <c r="H8" i="154"/>
  <c r="H9" i="154" s="1"/>
  <c r="E9" i="154"/>
  <c r="G20" i="106"/>
  <c r="J20" i="106" s="1"/>
  <c r="I20" i="106"/>
  <c r="G13" i="106"/>
  <c r="I13" i="106" s="1"/>
  <c r="G10" i="106"/>
  <c r="I10" i="106" s="1"/>
  <c r="G7" i="106"/>
  <c r="I7" i="106" s="1"/>
  <c r="G8" i="106"/>
  <c r="J8" i="106" s="1"/>
  <c r="G6" i="106"/>
  <c r="K6" i="106" s="1"/>
  <c r="H2" i="106"/>
  <c r="G17" i="108"/>
  <c r="I14" i="108"/>
  <c r="H14" i="108"/>
  <c r="J14" i="108"/>
  <c r="H91" i="107"/>
  <c r="I91" i="107"/>
  <c r="J91" i="107"/>
  <c r="F104" i="107"/>
  <c r="J97" i="107"/>
  <c r="I97" i="107"/>
  <c r="H97" i="107"/>
  <c r="J96" i="107"/>
  <c r="I96" i="107"/>
  <c r="H96" i="107"/>
  <c r="J95" i="107"/>
  <c r="I95" i="107"/>
  <c r="H95" i="107"/>
  <c r="J94" i="107"/>
  <c r="I94" i="107"/>
  <c r="H94" i="107"/>
  <c r="J93" i="107"/>
  <c r="I93" i="107"/>
  <c r="H93" i="107"/>
  <c r="J92" i="107"/>
  <c r="I92" i="107"/>
  <c r="H92" i="107"/>
  <c r="J90" i="107"/>
  <c r="I90" i="107"/>
  <c r="H90" i="107"/>
  <c r="J89" i="107"/>
  <c r="I89" i="107"/>
  <c r="H89" i="107"/>
  <c r="J88" i="107"/>
  <c r="I88" i="107"/>
  <c r="H88" i="107"/>
  <c r="J67" i="107"/>
  <c r="I67" i="107"/>
  <c r="H67" i="107"/>
  <c r="J66" i="107"/>
  <c r="I66" i="107"/>
  <c r="H66" i="107"/>
  <c r="J65" i="107"/>
  <c r="I65" i="107"/>
  <c r="H65" i="107"/>
  <c r="J64" i="107"/>
  <c r="I64" i="107"/>
  <c r="H64" i="107"/>
  <c r="J63" i="107"/>
  <c r="I63" i="107"/>
  <c r="H63" i="107"/>
  <c r="J61" i="107"/>
  <c r="I61" i="107"/>
  <c r="H61" i="107"/>
  <c r="J60" i="107"/>
  <c r="I60" i="107"/>
  <c r="H60" i="107"/>
  <c r="L59" i="107"/>
  <c r="L58" i="107"/>
  <c r="L57" i="107"/>
  <c r="H121" i="107"/>
  <c r="H123" i="107" s="1"/>
  <c r="T11" i="133"/>
  <c r="M135" i="134"/>
  <c r="I61" i="136"/>
  <c r="H15" i="107"/>
  <c r="I15" i="107"/>
  <c r="J15" i="107"/>
  <c r="H16" i="107"/>
  <c r="I16" i="107"/>
  <c r="J16" i="107"/>
  <c r="H17" i="107"/>
  <c r="I17" i="107"/>
  <c r="J17" i="107"/>
  <c r="H18" i="107"/>
  <c r="I18" i="107"/>
  <c r="J18" i="107"/>
  <c r="H19" i="107"/>
  <c r="I19" i="107"/>
  <c r="J19" i="107"/>
  <c r="H20" i="107"/>
  <c r="I20" i="107"/>
  <c r="J20" i="107"/>
  <c r="H21" i="107"/>
  <c r="I21" i="107"/>
  <c r="J21" i="107"/>
  <c r="H22" i="107"/>
  <c r="I22" i="107"/>
  <c r="J22" i="107"/>
  <c r="H23" i="107"/>
  <c r="I23" i="107"/>
  <c r="J23" i="107"/>
  <c r="H24" i="107"/>
  <c r="I24" i="107"/>
  <c r="J24" i="107"/>
  <c r="H25" i="107"/>
  <c r="I25" i="107"/>
  <c r="J25" i="107"/>
  <c r="H26" i="107"/>
  <c r="I26" i="107"/>
  <c r="J26" i="107"/>
  <c r="H27" i="107"/>
  <c r="I27" i="107"/>
  <c r="J27" i="107"/>
  <c r="H28" i="107"/>
  <c r="I28" i="107"/>
  <c r="J28" i="107"/>
  <c r="H29" i="107"/>
  <c r="I29" i="107"/>
  <c r="J29" i="107"/>
  <c r="H30" i="107"/>
  <c r="I30" i="107"/>
  <c r="J30" i="107"/>
  <c r="F45" i="107"/>
  <c r="F47" i="107"/>
  <c r="O108" i="133"/>
  <c r="C4" i="172"/>
  <c r="D4" i="172"/>
  <c r="E4" i="172"/>
  <c r="F4" i="172"/>
  <c r="G4" i="172"/>
  <c r="C20" i="139"/>
  <c r="G30" i="32"/>
  <c r="I92" i="112"/>
  <c r="E111" i="112"/>
  <c r="E113" i="112" s="1"/>
  <c r="I12" i="112"/>
  <c r="I18" i="112"/>
  <c r="I19" i="112"/>
  <c r="I22" i="112"/>
  <c r="I23" i="112"/>
  <c r="I24" i="112"/>
  <c r="I25" i="112"/>
  <c r="I26" i="112"/>
  <c r="I30" i="112"/>
  <c r="I31" i="112"/>
  <c r="I32" i="112"/>
  <c r="I33" i="112"/>
  <c r="I34" i="112"/>
  <c r="I35" i="112"/>
  <c r="I38" i="112"/>
  <c r="I39" i="112"/>
  <c r="I40" i="112"/>
  <c r="I41" i="112"/>
  <c r="I42" i="112"/>
  <c r="I43" i="112"/>
  <c r="I46" i="112"/>
  <c r="I47" i="112"/>
  <c r="I48" i="112"/>
  <c r="I50" i="112"/>
  <c r="I51" i="112"/>
  <c r="I55" i="112"/>
  <c r="I58" i="112"/>
  <c r="I63" i="112"/>
  <c r="I64" i="112"/>
  <c r="I66" i="112"/>
  <c r="I67" i="112"/>
  <c r="I71" i="112"/>
  <c r="I74" i="112"/>
  <c r="I75" i="112"/>
  <c r="I79" i="112"/>
  <c r="I80" i="112"/>
  <c r="I82" i="112"/>
  <c r="I83" i="112"/>
  <c r="I87" i="112"/>
  <c r="I88" i="112"/>
  <c r="I90" i="112"/>
  <c r="I91" i="112"/>
  <c r="I95" i="112"/>
  <c r="I98" i="112"/>
  <c r="I99" i="112"/>
  <c r="I103" i="112"/>
  <c r="I106" i="112"/>
  <c r="I107" i="112"/>
  <c r="I11" i="112"/>
  <c r="I15" i="112"/>
  <c r="F14" i="111"/>
  <c r="G22" i="110"/>
  <c r="H22" i="110"/>
  <c r="I22" i="110"/>
  <c r="H87" i="107"/>
  <c r="I87" i="107"/>
  <c r="J87" i="107"/>
  <c r="H10" i="107"/>
  <c r="I10" i="107"/>
  <c r="J10" i="107"/>
  <c r="H39" i="107"/>
  <c r="I39" i="107"/>
  <c r="J39" i="107"/>
  <c r="H41" i="107"/>
  <c r="I41" i="107"/>
  <c r="J41" i="107"/>
  <c r="H42" i="107"/>
  <c r="I42" i="107"/>
  <c r="J42" i="107"/>
  <c r="H43" i="107"/>
  <c r="I43" i="107"/>
  <c r="J43" i="107"/>
  <c r="H44" i="107"/>
  <c r="I44" i="107"/>
  <c r="J44" i="107"/>
  <c r="H8" i="107"/>
  <c r="I8" i="107"/>
  <c r="J8" i="107"/>
  <c r="H11" i="107"/>
  <c r="I11" i="107"/>
  <c r="J11" i="107"/>
  <c r="H12" i="107"/>
  <c r="I12" i="107"/>
  <c r="J12" i="107"/>
  <c r="H14" i="107"/>
  <c r="I14" i="107"/>
  <c r="J14" i="107"/>
  <c r="G6" i="105"/>
  <c r="G63" i="105"/>
  <c r="H63" i="105"/>
  <c r="I63" i="105"/>
  <c r="G64" i="105"/>
  <c r="H64" i="105"/>
  <c r="I64" i="105"/>
  <c r="G65" i="105"/>
  <c r="H65" i="105"/>
  <c r="I65" i="105"/>
  <c r="G66" i="105"/>
  <c r="H66" i="105"/>
  <c r="I66" i="105"/>
  <c r="G67" i="105"/>
  <c r="H67" i="105"/>
  <c r="I67" i="105"/>
  <c r="G27" i="105"/>
  <c r="H27" i="105"/>
  <c r="I27" i="105"/>
  <c r="G28" i="105"/>
  <c r="H28" i="105"/>
  <c r="I28" i="105"/>
  <c r="G12" i="105"/>
  <c r="H12" i="105"/>
  <c r="I12" i="105"/>
  <c r="G13" i="105"/>
  <c r="H13" i="105"/>
  <c r="I13" i="105"/>
  <c r="G92" i="105"/>
  <c r="H92" i="105"/>
  <c r="I92" i="105"/>
  <c r="E93" i="105"/>
  <c r="E95" i="105" s="1"/>
  <c r="F95" i="105"/>
  <c r="F25" i="104"/>
  <c r="M29" i="177"/>
  <c r="M18" i="177"/>
  <c r="N29" i="177"/>
  <c r="N18" i="177"/>
  <c r="F5" i="104"/>
  <c r="D29" i="177"/>
  <c r="D18" i="177"/>
  <c r="F7" i="104"/>
  <c r="E29" i="177"/>
  <c r="E18" i="177"/>
  <c r="J29" i="177"/>
  <c r="J18" i="177"/>
  <c r="L29" i="177"/>
  <c r="L18" i="177"/>
  <c r="F11" i="104"/>
  <c r="L17" i="177" s="1"/>
  <c r="F29" i="177"/>
  <c r="F18" i="177"/>
  <c r="G29" i="177"/>
  <c r="G18" i="177"/>
  <c r="E32" i="176"/>
  <c r="E31" i="176"/>
  <c r="D32" i="176"/>
  <c r="D31" i="176"/>
  <c r="H29" i="177"/>
  <c r="H18" i="177"/>
  <c r="F18" i="104"/>
  <c r="I29" i="177"/>
  <c r="I18" i="177"/>
  <c r="K29" i="177"/>
  <c r="K18" i="177"/>
  <c r="C32" i="176"/>
  <c r="C31" i="176"/>
  <c r="K139" i="99"/>
  <c r="F5" i="100"/>
  <c r="N762" i="97"/>
  <c r="N763" i="97"/>
  <c r="N764" i="97"/>
  <c r="N765" i="97"/>
  <c r="N766" i="97"/>
  <c r="N767" i="97"/>
  <c r="N768" i="97"/>
  <c r="N769" i="97"/>
  <c r="N770" i="97"/>
  <c r="N771" i="97"/>
  <c r="N772" i="97"/>
  <c r="N773" i="97"/>
  <c r="N774" i="97"/>
  <c r="N775" i="97"/>
  <c r="N776" i="97"/>
  <c r="N777" i="97"/>
  <c r="N778" i="97"/>
  <c r="N779" i="97"/>
  <c r="N780" i="97"/>
  <c r="N781" i="97"/>
  <c r="N782" i="97"/>
  <c r="N783" i="97"/>
  <c r="N784" i="97"/>
  <c r="N785" i="97"/>
  <c r="N786" i="97"/>
  <c r="N787" i="97"/>
  <c r="N788" i="97"/>
  <c r="N789" i="97"/>
  <c r="N790" i="97"/>
  <c r="N791" i="97"/>
  <c r="N792" i="97"/>
  <c r="N793" i="97"/>
  <c r="N794" i="97"/>
  <c r="N795" i="97"/>
  <c r="N796" i="97"/>
  <c r="N797" i="97"/>
  <c r="N798" i="97"/>
  <c r="N799" i="97"/>
  <c r="N800" i="97"/>
  <c r="N801" i="97"/>
  <c r="N802" i="97"/>
  <c r="N803" i="97"/>
  <c r="N804" i="97"/>
  <c r="N805" i="97"/>
  <c r="N806" i="97"/>
  <c r="N807" i="97"/>
  <c r="N808" i="97"/>
  <c r="N809" i="97"/>
  <c r="N810" i="97"/>
  <c r="N811" i="97"/>
  <c r="N812" i="97"/>
  <c r="N813" i="97"/>
  <c r="N814" i="97"/>
  <c r="N815" i="97"/>
  <c r="N816" i="97"/>
  <c r="N817" i="97"/>
  <c r="N818" i="97"/>
  <c r="N819" i="97"/>
  <c r="N820" i="97"/>
  <c r="N821" i="97"/>
  <c r="N822" i="97"/>
  <c r="N823" i="97"/>
  <c r="N824" i="97"/>
  <c r="N825" i="97"/>
  <c r="N826" i="97"/>
  <c r="N827" i="97"/>
  <c r="N828" i="97"/>
  <c r="N829" i="97"/>
  <c r="N830" i="97"/>
  <c r="N831" i="97"/>
  <c r="N832" i="97"/>
  <c r="N833" i="97"/>
  <c r="N834" i="97"/>
  <c r="N835" i="97"/>
  <c r="N836" i="97"/>
  <c r="N837" i="97"/>
  <c r="N838" i="97"/>
  <c r="N839" i="97"/>
  <c r="N840" i="97"/>
  <c r="N841" i="97"/>
  <c r="N842" i="97"/>
  <c r="N843" i="97"/>
  <c r="N844" i="97"/>
  <c r="N845" i="97"/>
  <c r="N846" i="97"/>
  <c r="N847" i="97"/>
  <c r="N848" i="97"/>
  <c r="N761" i="97"/>
  <c r="N2080" i="97"/>
  <c r="N2079" i="97"/>
  <c r="N2078" i="97"/>
  <c r="N2077" i="97"/>
  <c r="N2076" i="97"/>
  <c r="N2075" i="97"/>
  <c r="N2074" i="97"/>
  <c r="N2073" i="97"/>
  <c r="N2072" i="97"/>
  <c r="N2071" i="97"/>
  <c r="N2070" i="97"/>
  <c r="N2069" i="97"/>
  <c r="N2068" i="97"/>
  <c r="N2067" i="97"/>
  <c r="N2066" i="97"/>
  <c r="N2065" i="97"/>
  <c r="N2064" i="97"/>
  <c r="N2063" i="97"/>
  <c r="N2062" i="97"/>
  <c r="N2061" i="97"/>
  <c r="N2060" i="97"/>
  <c r="N2059" i="97"/>
  <c r="N2058" i="97"/>
  <c r="N2057" i="97"/>
  <c r="N2056" i="97"/>
  <c r="N2055" i="97"/>
  <c r="N2054" i="97"/>
  <c r="N2053" i="97"/>
  <c r="N2052" i="97"/>
  <c r="N2051" i="97"/>
  <c r="N2050" i="97"/>
  <c r="N2049" i="97"/>
  <c r="N2048" i="97"/>
  <c r="N2047" i="97"/>
  <c r="N2046" i="97"/>
  <c r="N2045" i="97"/>
  <c r="N2044" i="97"/>
  <c r="N2043" i="97"/>
  <c r="N2042" i="97"/>
  <c r="N2041" i="97"/>
  <c r="N2040" i="97"/>
  <c r="N2039" i="97"/>
  <c r="N2038" i="97"/>
  <c r="N2037" i="97"/>
  <c r="N2036" i="97"/>
  <c r="N2035" i="97"/>
  <c r="N2034" i="97"/>
  <c r="N2033" i="97"/>
  <c r="N2032" i="97"/>
  <c r="N2031" i="97"/>
  <c r="N2030" i="97"/>
  <c r="N2029" i="97"/>
  <c r="N2028" i="97"/>
  <c r="N2027" i="97"/>
  <c r="N2026" i="97"/>
  <c r="N2025" i="97"/>
  <c r="N2024" i="97"/>
  <c r="N2023" i="97"/>
  <c r="N2022" i="97"/>
  <c r="N2021" i="97"/>
  <c r="N2020" i="97"/>
  <c r="N2019" i="97"/>
  <c r="N2018" i="97"/>
  <c r="N2017" i="97"/>
  <c r="N2016" i="97"/>
  <c r="N2015" i="97"/>
  <c r="N2014" i="97"/>
  <c r="N2013" i="97"/>
  <c r="N2012" i="97"/>
  <c r="N2011" i="97"/>
  <c r="N2010" i="97"/>
  <c r="N2009" i="97"/>
  <c r="N2008" i="97"/>
  <c r="N2007" i="97"/>
  <c r="N2006" i="97"/>
  <c r="N2005" i="97"/>
  <c r="N2004" i="97"/>
  <c r="N2003" i="97"/>
  <c r="N2002" i="97"/>
  <c r="N2001" i="97"/>
  <c r="N2000" i="97"/>
  <c r="N1999" i="97"/>
  <c r="N1998" i="97"/>
  <c r="N1997" i="97"/>
  <c r="N1996" i="97"/>
  <c r="N1995" i="97"/>
  <c r="N1994" i="97"/>
  <c r="N1993" i="97"/>
  <c r="N1992" i="97"/>
  <c r="N1991" i="97"/>
  <c r="N1990" i="97"/>
  <c r="N1989" i="97"/>
  <c r="N1988" i="97"/>
  <c r="N1987" i="97"/>
  <c r="N1986" i="97"/>
  <c r="N1985" i="97"/>
  <c r="N1984" i="97"/>
  <c r="N1983" i="97"/>
  <c r="N1982" i="97"/>
  <c r="N1981" i="97"/>
  <c r="N1980" i="97"/>
  <c r="N1979" i="97"/>
  <c r="N1978" i="97"/>
  <c r="N1977" i="97"/>
  <c r="N1976" i="97"/>
  <c r="N1975" i="97"/>
  <c r="N1974" i="97"/>
  <c r="N1973" i="97"/>
  <c r="N1972" i="97"/>
  <c r="N1971" i="97"/>
  <c r="N1970" i="97"/>
  <c r="N1969" i="97"/>
  <c r="N1968" i="97"/>
  <c r="N1967" i="97"/>
  <c r="N1966" i="97"/>
  <c r="N1965" i="97"/>
  <c r="N1964" i="97"/>
  <c r="N1963" i="97"/>
  <c r="N1962" i="97"/>
  <c r="N1961" i="97"/>
  <c r="N1960" i="97"/>
  <c r="N1959" i="97"/>
  <c r="N1958" i="97"/>
  <c r="N1957" i="97"/>
  <c r="N1956" i="97"/>
  <c r="N1955" i="97"/>
  <c r="N1954" i="97"/>
  <c r="N1953" i="97"/>
  <c r="N1952" i="97"/>
  <c r="N1951" i="97"/>
  <c r="N1950" i="97"/>
  <c r="N1949" i="97"/>
  <c r="N1948" i="97"/>
  <c r="N1947" i="97"/>
  <c r="N1946" i="97"/>
  <c r="N1945" i="97"/>
  <c r="N1944" i="97"/>
  <c r="N1943" i="97"/>
  <c r="N1942" i="97"/>
  <c r="N1941" i="97"/>
  <c r="N1940" i="97"/>
  <c r="N1939" i="97"/>
  <c r="N1938" i="97"/>
  <c r="N1937" i="97"/>
  <c r="N1936" i="97"/>
  <c r="N1935" i="97"/>
  <c r="N1934" i="97"/>
  <c r="N1933" i="97"/>
  <c r="N1932" i="97"/>
  <c r="N1931" i="97"/>
  <c r="N1930" i="97"/>
  <c r="N1929" i="97"/>
  <c r="N1928" i="97"/>
  <c r="N1927" i="97"/>
  <c r="N1926" i="97"/>
  <c r="N1925" i="97"/>
  <c r="N1924" i="97"/>
  <c r="N1923" i="97"/>
  <c r="N1922" i="97"/>
  <c r="N1921" i="97"/>
  <c r="N1920" i="97"/>
  <c r="N1919" i="97"/>
  <c r="N1918" i="97"/>
  <c r="N1917" i="97"/>
  <c r="N1916" i="97"/>
  <c r="N1915" i="97"/>
  <c r="N1914" i="97"/>
  <c r="N1913" i="97"/>
  <c r="N1912" i="97"/>
  <c r="N1911" i="97"/>
  <c r="N1910" i="97"/>
  <c r="N1909" i="97"/>
  <c r="N1908" i="97"/>
  <c r="N1907" i="97"/>
  <c r="N1906" i="97"/>
  <c r="N1905" i="97"/>
  <c r="N1904" i="97"/>
  <c r="N1903" i="97"/>
  <c r="N1902" i="97"/>
  <c r="N1901" i="97"/>
  <c r="N1900" i="97"/>
  <c r="N1899" i="97"/>
  <c r="N1898" i="97"/>
  <c r="N1897" i="97"/>
  <c r="N1896" i="97"/>
  <c r="N1895" i="97"/>
  <c r="N1894" i="97"/>
  <c r="N1893" i="97"/>
  <c r="N1892" i="97"/>
  <c r="N1891" i="97"/>
  <c r="N1890" i="97"/>
  <c r="N1889" i="97"/>
  <c r="N1888" i="97"/>
  <c r="N1887" i="97"/>
  <c r="N1886" i="97"/>
  <c r="N1885" i="97"/>
  <c r="N1884" i="97"/>
  <c r="N1883" i="97"/>
  <c r="N1882" i="97"/>
  <c r="N1881" i="97"/>
  <c r="N1880" i="97"/>
  <c r="N1879" i="97"/>
  <c r="N1878" i="97"/>
  <c r="N1877" i="97"/>
  <c r="N1876" i="97"/>
  <c r="N1875" i="97"/>
  <c r="N1874" i="97"/>
  <c r="N1873" i="97"/>
  <c r="N1872" i="97"/>
  <c r="N1871" i="97"/>
  <c r="N1870" i="97"/>
  <c r="N1869" i="97"/>
  <c r="N1868" i="97"/>
  <c r="N1867" i="97"/>
  <c r="N1866" i="97"/>
  <c r="N1865" i="97"/>
  <c r="N1864" i="97"/>
  <c r="N1863" i="97"/>
  <c r="N1862" i="97"/>
  <c r="N1861" i="97"/>
  <c r="N1860" i="97"/>
  <c r="N1859" i="97"/>
  <c r="N1858" i="97"/>
  <c r="N1857" i="97"/>
  <c r="N1856" i="97"/>
  <c r="N1855" i="97"/>
  <c r="N1854" i="97"/>
  <c r="N1853" i="97"/>
  <c r="N1852" i="97"/>
  <c r="N1851" i="97"/>
  <c r="N1850" i="97"/>
  <c r="N1849" i="97"/>
  <c r="N1848" i="97"/>
  <c r="N1847" i="97"/>
  <c r="N1846" i="97"/>
  <c r="N1845" i="97"/>
  <c r="N1844" i="97"/>
  <c r="N1843" i="97"/>
  <c r="N1842" i="97"/>
  <c r="N1841" i="97"/>
  <c r="N1840" i="97"/>
  <c r="N1839" i="97"/>
  <c r="N1838" i="97"/>
  <c r="N1837" i="97"/>
  <c r="N1836" i="97"/>
  <c r="N1835" i="97"/>
  <c r="N1834" i="97"/>
  <c r="N1833" i="97"/>
  <c r="N1832" i="97"/>
  <c r="N1831" i="97"/>
  <c r="N1830" i="97"/>
  <c r="N1829" i="97"/>
  <c r="N1828" i="97"/>
  <c r="N1827" i="97"/>
  <c r="N1826" i="97"/>
  <c r="N1825" i="97"/>
  <c r="N1824" i="97"/>
  <c r="N1823" i="97"/>
  <c r="N1822" i="97"/>
  <c r="N1821" i="97"/>
  <c r="N1820" i="97"/>
  <c r="N1819" i="97"/>
  <c r="N1818" i="97"/>
  <c r="N1817" i="97"/>
  <c r="N1816" i="97"/>
  <c r="N1815" i="97"/>
  <c r="N1814" i="97"/>
  <c r="N1813" i="97"/>
  <c r="N1812" i="97"/>
  <c r="N1811" i="97"/>
  <c r="N1810" i="97"/>
  <c r="N1809" i="97"/>
  <c r="N1808" i="97"/>
  <c r="N1807" i="97"/>
  <c r="N1806" i="97"/>
  <c r="N1805" i="97"/>
  <c r="N1804" i="97"/>
  <c r="N1803" i="97"/>
  <c r="N1802" i="97"/>
  <c r="N1801" i="97"/>
  <c r="N1800" i="97"/>
  <c r="N1799" i="97"/>
  <c r="N1798" i="97"/>
  <c r="N1797" i="97"/>
  <c r="N1796" i="97"/>
  <c r="N1795" i="97"/>
  <c r="N1794" i="97"/>
  <c r="N1793" i="97"/>
  <c r="N1792" i="97"/>
  <c r="N1791" i="97"/>
  <c r="N1790" i="97"/>
  <c r="N1789" i="97"/>
  <c r="N1788" i="97"/>
  <c r="N1787" i="97"/>
  <c r="N1786" i="97"/>
  <c r="N1785" i="97"/>
  <c r="N1784" i="97"/>
  <c r="N1783" i="97"/>
  <c r="N1782" i="97"/>
  <c r="N1781" i="97"/>
  <c r="N1780" i="97"/>
  <c r="N1779" i="97"/>
  <c r="N1778" i="97"/>
  <c r="N1777" i="97"/>
  <c r="N1776" i="97"/>
  <c r="N1775" i="97"/>
  <c r="N1774" i="97"/>
  <c r="N1773" i="97"/>
  <c r="N1772" i="97"/>
  <c r="N1771" i="97"/>
  <c r="N1770" i="97"/>
  <c r="N1769" i="97"/>
  <c r="N1768" i="97"/>
  <c r="N1767" i="97"/>
  <c r="N1766" i="97"/>
  <c r="N1765" i="97"/>
  <c r="N1764" i="97"/>
  <c r="N1763" i="97"/>
  <c r="N1762" i="97"/>
  <c r="N1761" i="97"/>
  <c r="N1760" i="97"/>
  <c r="N1759" i="97"/>
  <c r="N1758" i="97"/>
  <c r="N1757" i="97"/>
  <c r="N1756" i="97"/>
  <c r="N1755" i="97"/>
  <c r="N1754" i="97"/>
  <c r="N1753" i="97"/>
  <c r="N1752" i="97"/>
  <c r="N1751" i="97"/>
  <c r="N1750" i="97"/>
  <c r="N1749" i="97"/>
  <c r="N1748" i="97"/>
  <c r="N1747" i="97"/>
  <c r="N1746" i="97"/>
  <c r="N1745" i="97"/>
  <c r="N1744" i="97"/>
  <c r="N1743" i="97"/>
  <c r="N1742" i="97"/>
  <c r="N1741" i="97"/>
  <c r="N1740" i="97"/>
  <c r="N1739" i="97"/>
  <c r="N1738" i="97"/>
  <c r="N1737" i="97"/>
  <c r="N1736" i="97"/>
  <c r="N1735" i="97"/>
  <c r="N1734" i="97"/>
  <c r="N1733" i="97"/>
  <c r="N1732" i="97"/>
  <c r="N1731" i="97"/>
  <c r="N1730" i="97"/>
  <c r="N1729" i="97"/>
  <c r="N1728" i="97"/>
  <c r="N1727" i="97"/>
  <c r="N1726" i="97"/>
  <c r="N1725" i="97"/>
  <c r="N1724" i="97"/>
  <c r="N1723" i="97"/>
  <c r="N1722" i="97"/>
  <c r="N1721" i="97"/>
  <c r="N1720" i="97"/>
  <c r="N1719" i="97"/>
  <c r="N1718" i="97"/>
  <c r="N1717" i="97"/>
  <c r="N1716" i="97"/>
  <c r="N1715" i="97"/>
  <c r="N1714" i="97"/>
  <c r="N1713" i="97"/>
  <c r="N1712" i="97"/>
  <c r="N1711" i="97"/>
  <c r="N1710" i="97"/>
  <c r="N1709" i="97"/>
  <c r="N1708" i="97"/>
  <c r="N1707" i="97"/>
  <c r="N1706" i="97"/>
  <c r="N1705" i="97"/>
  <c r="N1704" i="97"/>
  <c r="N1703" i="97"/>
  <c r="N1702" i="97"/>
  <c r="N1701" i="97"/>
  <c r="N1700" i="97"/>
  <c r="N1699" i="97"/>
  <c r="N1698" i="97"/>
  <c r="N1697" i="97"/>
  <c r="N1696" i="97"/>
  <c r="N1695" i="97"/>
  <c r="N1694" i="97"/>
  <c r="N1693" i="97"/>
  <c r="N1692" i="97"/>
  <c r="N1691" i="97"/>
  <c r="N1690" i="97"/>
  <c r="N1689" i="97"/>
  <c r="N1688" i="97"/>
  <c r="N1687" i="97"/>
  <c r="N1686" i="97"/>
  <c r="N1685" i="97"/>
  <c r="N1684" i="97"/>
  <c r="N1683" i="97"/>
  <c r="N1682" i="97"/>
  <c r="N1681" i="97"/>
  <c r="N1680" i="97"/>
  <c r="N1679" i="97"/>
  <c r="N1678" i="97"/>
  <c r="N1677" i="97"/>
  <c r="N1676" i="97"/>
  <c r="N1675" i="97"/>
  <c r="N1674" i="97"/>
  <c r="N1673" i="97"/>
  <c r="N1672" i="97"/>
  <c r="N1671" i="97"/>
  <c r="N1670" i="97"/>
  <c r="N1669" i="97"/>
  <c r="N1668" i="97"/>
  <c r="N1667" i="97"/>
  <c r="N1666" i="97"/>
  <c r="N1665" i="97"/>
  <c r="N1664" i="97"/>
  <c r="N1663" i="97"/>
  <c r="N1662" i="97"/>
  <c r="N1661" i="97"/>
  <c r="N1660" i="97"/>
  <c r="N1659" i="97"/>
  <c r="N1658" i="97"/>
  <c r="N1657" i="97"/>
  <c r="N1656" i="97"/>
  <c r="N1655" i="97"/>
  <c r="N1654" i="97"/>
  <c r="N1653" i="97"/>
  <c r="N1652" i="97"/>
  <c r="N1651" i="97"/>
  <c r="N1650" i="97"/>
  <c r="N1649" i="97"/>
  <c r="N1648" i="97"/>
  <c r="N1647" i="97"/>
  <c r="N1646" i="97"/>
  <c r="N1645" i="97"/>
  <c r="N1644" i="97"/>
  <c r="N1643" i="97"/>
  <c r="N1642" i="97"/>
  <c r="N1641" i="97"/>
  <c r="N1640" i="97"/>
  <c r="N1639" i="97"/>
  <c r="N1638" i="97"/>
  <c r="N1637" i="97"/>
  <c r="N1636" i="97"/>
  <c r="N1635" i="97"/>
  <c r="N1634" i="97"/>
  <c r="N1633" i="97"/>
  <c r="N1632" i="97"/>
  <c r="N1631" i="97"/>
  <c r="N1630" i="97"/>
  <c r="N1629" i="97"/>
  <c r="N1628" i="97"/>
  <c r="N1627" i="97"/>
  <c r="N1626" i="97"/>
  <c r="N1625" i="97"/>
  <c r="N1624" i="97"/>
  <c r="N1623" i="97"/>
  <c r="N1622" i="97"/>
  <c r="N1621" i="97"/>
  <c r="N1620" i="97"/>
  <c r="N1619" i="97"/>
  <c r="N1618" i="97"/>
  <c r="N1617" i="97"/>
  <c r="N1616" i="97"/>
  <c r="N1615" i="97"/>
  <c r="N1614" i="97"/>
  <c r="N1613" i="97"/>
  <c r="N1612" i="97"/>
  <c r="N1611" i="97"/>
  <c r="N1610" i="97"/>
  <c r="N1609" i="97"/>
  <c r="N1608" i="97"/>
  <c r="N1607" i="97"/>
  <c r="N1606" i="97"/>
  <c r="N1605" i="97"/>
  <c r="N1604" i="97"/>
  <c r="N1603" i="97"/>
  <c r="N1602" i="97"/>
  <c r="N1601" i="97"/>
  <c r="N1600" i="97"/>
  <c r="N1599" i="97"/>
  <c r="N1598" i="97"/>
  <c r="N1597" i="97"/>
  <c r="N1596" i="97"/>
  <c r="N1595" i="97"/>
  <c r="N1594" i="97"/>
  <c r="N1593" i="97"/>
  <c r="N1592" i="97"/>
  <c r="N1591" i="97"/>
  <c r="N1590" i="97"/>
  <c r="N1589" i="97"/>
  <c r="N1588" i="97"/>
  <c r="N1587" i="97"/>
  <c r="N1586" i="97"/>
  <c r="N1585" i="97"/>
  <c r="N1584" i="97"/>
  <c r="N1583" i="97"/>
  <c r="N1582" i="97"/>
  <c r="N1581" i="97"/>
  <c r="N1580" i="97"/>
  <c r="N1579" i="97"/>
  <c r="N1578" i="97"/>
  <c r="N1577" i="97"/>
  <c r="N1576" i="97"/>
  <c r="N1575" i="97"/>
  <c r="N1574" i="97"/>
  <c r="N1573" i="97"/>
  <c r="N1572" i="97"/>
  <c r="N1571" i="97"/>
  <c r="N1570" i="97"/>
  <c r="N1569" i="97"/>
  <c r="N1568" i="97"/>
  <c r="N1567" i="97"/>
  <c r="N1566" i="97"/>
  <c r="N1565" i="97"/>
  <c r="N1564" i="97"/>
  <c r="N1563" i="97"/>
  <c r="N1562" i="97"/>
  <c r="N1561" i="97"/>
  <c r="N1560" i="97"/>
  <c r="N1559" i="97"/>
  <c r="N1558" i="97"/>
  <c r="N1557" i="97"/>
  <c r="N1556" i="97"/>
  <c r="N1555" i="97"/>
  <c r="N1554" i="97"/>
  <c r="N1553" i="97"/>
  <c r="N1552" i="97"/>
  <c r="N1551" i="97"/>
  <c r="N1550" i="97"/>
  <c r="N1549" i="97"/>
  <c r="N1548" i="97"/>
  <c r="N1547" i="97"/>
  <c r="N1546" i="97"/>
  <c r="N1545" i="97"/>
  <c r="N1544" i="97"/>
  <c r="N1543" i="97"/>
  <c r="N1542" i="97"/>
  <c r="N1541" i="97"/>
  <c r="N1540" i="97"/>
  <c r="N1539" i="97"/>
  <c r="N1538" i="97"/>
  <c r="N1537" i="97"/>
  <c r="N1536" i="97"/>
  <c r="N1535" i="97"/>
  <c r="N1534" i="97"/>
  <c r="N1533" i="97"/>
  <c r="N1532" i="97"/>
  <c r="N1531" i="97"/>
  <c r="N1530" i="97"/>
  <c r="N1529" i="97"/>
  <c r="N1528" i="97"/>
  <c r="N1527" i="97"/>
  <c r="N1526" i="97"/>
  <c r="N1525" i="97"/>
  <c r="N1524" i="97"/>
  <c r="N1523" i="97"/>
  <c r="N1522" i="97"/>
  <c r="N1521" i="97"/>
  <c r="N1520" i="97"/>
  <c r="N1519" i="97"/>
  <c r="N1518" i="97"/>
  <c r="N1517" i="97"/>
  <c r="N1516" i="97"/>
  <c r="N1515" i="97"/>
  <c r="N1514" i="97"/>
  <c r="N1513" i="97"/>
  <c r="N1512" i="97"/>
  <c r="N1511" i="97"/>
  <c r="N1510" i="97"/>
  <c r="N1509" i="97"/>
  <c r="N1508" i="97"/>
  <c r="N1507" i="97"/>
  <c r="N1506" i="97"/>
  <c r="N1505" i="97"/>
  <c r="N1504" i="97"/>
  <c r="N1503" i="97"/>
  <c r="N1502" i="97"/>
  <c r="N1501" i="97"/>
  <c r="N1500" i="97"/>
  <c r="N1499" i="97"/>
  <c r="N1498" i="97"/>
  <c r="N1497" i="97"/>
  <c r="N1496" i="97"/>
  <c r="N1495" i="97"/>
  <c r="N1494" i="97"/>
  <c r="N1493" i="97"/>
  <c r="N1492" i="97"/>
  <c r="N1491" i="97"/>
  <c r="N1490" i="97"/>
  <c r="N1489" i="97"/>
  <c r="N1488" i="97"/>
  <c r="N1487" i="97"/>
  <c r="N1486" i="97"/>
  <c r="N1485" i="97"/>
  <c r="N1484" i="97"/>
  <c r="N1483" i="97"/>
  <c r="N1482" i="97"/>
  <c r="N1481" i="97"/>
  <c r="N1480" i="97"/>
  <c r="N1479" i="97"/>
  <c r="N1478" i="97"/>
  <c r="N1477" i="97"/>
  <c r="N1476" i="97"/>
  <c r="N1475" i="97"/>
  <c r="N1474" i="97"/>
  <c r="N1473" i="97"/>
  <c r="N1472" i="97"/>
  <c r="N1471" i="97"/>
  <c r="N1470" i="97"/>
  <c r="N1469" i="97"/>
  <c r="N1468" i="97"/>
  <c r="N1467" i="97"/>
  <c r="N1466" i="97"/>
  <c r="N1465" i="97"/>
  <c r="N1464" i="97"/>
  <c r="N1463" i="97"/>
  <c r="N1462" i="97"/>
  <c r="N1461" i="97"/>
  <c r="N1460" i="97"/>
  <c r="N1459" i="97"/>
  <c r="N1458" i="97"/>
  <c r="N1457" i="97"/>
  <c r="N1456" i="97"/>
  <c r="N1455" i="97"/>
  <c r="N1454" i="97"/>
  <c r="N1453" i="97"/>
  <c r="N1452" i="97"/>
  <c r="N1451" i="97"/>
  <c r="N1450" i="97"/>
  <c r="N1449" i="97"/>
  <c r="N1448" i="97"/>
  <c r="N1447" i="97"/>
  <c r="N1446" i="97"/>
  <c r="N1445" i="97"/>
  <c r="N1444" i="97"/>
  <c r="N1443" i="97"/>
  <c r="N1442" i="97"/>
  <c r="N1441" i="97"/>
  <c r="N1440" i="97"/>
  <c r="N1439" i="97"/>
  <c r="N1438" i="97"/>
  <c r="N1437" i="97"/>
  <c r="N1436" i="97"/>
  <c r="N1435" i="97"/>
  <c r="N1434" i="97"/>
  <c r="N1433" i="97"/>
  <c r="N1432" i="97"/>
  <c r="N1431" i="97"/>
  <c r="N1430" i="97"/>
  <c r="N1429" i="97"/>
  <c r="N1428" i="97"/>
  <c r="N1427" i="97"/>
  <c r="N1426" i="97"/>
  <c r="N1425" i="97"/>
  <c r="N1424" i="97"/>
  <c r="N1423" i="97"/>
  <c r="N1422" i="97"/>
  <c r="N1421" i="97"/>
  <c r="N1420" i="97"/>
  <c r="N1419" i="97"/>
  <c r="N1418" i="97"/>
  <c r="N1417" i="97"/>
  <c r="N1416" i="97"/>
  <c r="N1415" i="97"/>
  <c r="N1414" i="97"/>
  <c r="N1413" i="97"/>
  <c r="N1412" i="97"/>
  <c r="N1411" i="97"/>
  <c r="N1410" i="97"/>
  <c r="N1409" i="97"/>
  <c r="N1408" i="97"/>
  <c r="N1407" i="97"/>
  <c r="N1406" i="97"/>
  <c r="N1405" i="97"/>
  <c r="N1404" i="97"/>
  <c r="N1403" i="97"/>
  <c r="N1402" i="97"/>
  <c r="N1401" i="97"/>
  <c r="N1400" i="97"/>
  <c r="N1399" i="97"/>
  <c r="N1398" i="97"/>
  <c r="N1397" i="97"/>
  <c r="N1396" i="97"/>
  <c r="N1395" i="97"/>
  <c r="N1394" i="97"/>
  <c r="N1393" i="97"/>
  <c r="N1392" i="97"/>
  <c r="N1391" i="97"/>
  <c r="N1390" i="97"/>
  <c r="N1389" i="97"/>
  <c r="N1388" i="97"/>
  <c r="N1387" i="97"/>
  <c r="N1386" i="97"/>
  <c r="N1385" i="97"/>
  <c r="N1384" i="97"/>
  <c r="N1383" i="97"/>
  <c r="N1382" i="97"/>
  <c r="N1381" i="97"/>
  <c r="N1380" i="97"/>
  <c r="N1379" i="97"/>
  <c r="N1378" i="97"/>
  <c r="N1377" i="97"/>
  <c r="N1376" i="97"/>
  <c r="N1375" i="97"/>
  <c r="N1374" i="97"/>
  <c r="N1373" i="97"/>
  <c r="N1372" i="97"/>
  <c r="N1371" i="97"/>
  <c r="N1370" i="97"/>
  <c r="N1369" i="97"/>
  <c r="N1368" i="97"/>
  <c r="N1367" i="97"/>
  <c r="N1366" i="97"/>
  <c r="N1365" i="97"/>
  <c r="N1364" i="97"/>
  <c r="N1363" i="97"/>
  <c r="N1362" i="97"/>
  <c r="N1361" i="97"/>
  <c r="N1360" i="97"/>
  <c r="N1359" i="97"/>
  <c r="N1358" i="97"/>
  <c r="N1357" i="97"/>
  <c r="N1356" i="97"/>
  <c r="N1355" i="97"/>
  <c r="N1354" i="97"/>
  <c r="N1353" i="97"/>
  <c r="N1352" i="97"/>
  <c r="N1351" i="97"/>
  <c r="N1350" i="97"/>
  <c r="N1349" i="97"/>
  <c r="N1348" i="97"/>
  <c r="N1347" i="97"/>
  <c r="N1346" i="97"/>
  <c r="N1345" i="97"/>
  <c r="N1344" i="97"/>
  <c r="N1343" i="97"/>
  <c r="N1342" i="97"/>
  <c r="N1341" i="97"/>
  <c r="N1340" i="97"/>
  <c r="N1339" i="97"/>
  <c r="N1338" i="97"/>
  <c r="N1337" i="97"/>
  <c r="N1336" i="97"/>
  <c r="N1335" i="97"/>
  <c r="N1334" i="97"/>
  <c r="N1333" i="97"/>
  <c r="N1332" i="97"/>
  <c r="N1331" i="97"/>
  <c r="N1330" i="97"/>
  <c r="N1329" i="97"/>
  <c r="N1328" i="97"/>
  <c r="N1327" i="97"/>
  <c r="N1326" i="97"/>
  <c r="N1325" i="97"/>
  <c r="N1324" i="97"/>
  <c r="N1323" i="97"/>
  <c r="N1322" i="97"/>
  <c r="N1321" i="97"/>
  <c r="N1320" i="97"/>
  <c r="N1319" i="97"/>
  <c r="N1318" i="97"/>
  <c r="N1317" i="97"/>
  <c r="N1316" i="97"/>
  <c r="N1315" i="97"/>
  <c r="N1314" i="97"/>
  <c r="N1313" i="97"/>
  <c r="N1312" i="97"/>
  <c r="N1311" i="97"/>
  <c r="N1310" i="97"/>
  <c r="N1309" i="97"/>
  <c r="N1308" i="97"/>
  <c r="N1307" i="97"/>
  <c r="N1306" i="97"/>
  <c r="N1305" i="97"/>
  <c r="N1304" i="97"/>
  <c r="N1303" i="97"/>
  <c r="N1302" i="97"/>
  <c r="N1301" i="97"/>
  <c r="N1300" i="97"/>
  <c r="N1299" i="97"/>
  <c r="N1298" i="97"/>
  <c r="N1297" i="97"/>
  <c r="N1296" i="97"/>
  <c r="N1295" i="97"/>
  <c r="N1294" i="97"/>
  <c r="N1293" i="97"/>
  <c r="N1292" i="97"/>
  <c r="N1291" i="97"/>
  <c r="N1290" i="97"/>
  <c r="N1289" i="97"/>
  <c r="N1288" i="97"/>
  <c r="N1287" i="97"/>
  <c r="N1286" i="97"/>
  <c r="N1285" i="97"/>
  <c r="N1284" i="97"/>
  <c r="N1283" i="97"/>
  <c r="N1282" i="97"/>
  <c r="N1281" i="97"/>
  <c r="N1280" i="97"/>
  <c r="N1279" i="97"/>
  <c r="N1278" i="97"/>
  <c r="N1277" i="97"/>
  <c r="N1276" i="97"/>
  <c r="N1275" i="97"/>
  <c r="N1274" i="97"/>
  <c r="N1273" i="97"/>
  <c r="N1272" i="97"/>
  <c r="N1271" i="97"/>
  <c r="N1270" i="97"/>
  <c r="N1269" i="97"/>
  <c r="N1268" i="97"/>
  <c r="N1267" i="97"/>
  <c r="N1266" i="97"/>
  <c r="N1265" i="97"/>
  <c r="N1264" i="97"/>
  <c r="N1263" i="97"/>
  <c r="N1262" i="97"/>
  <c r="N1261" i="97"/>
  <c r="N1260" i="97"/>
  <c r="N1259" i="97"/>
  <c r="N1258" i="97"/>
  <c r="N1257" i="97"/>
  <c r="N1256" i="97"/>
  <c r="N1255" i="97"/>
  <c r="N1254" i="97"/>
  <c r="N1253" i="97"/>
  <c r="N1252" i="97"/>
  <c r="N1251" i="97"/>
  <c r="N1250" i="97"/>
  <c r="N1249" i="97"/>
  <c r="N1248" i="97"/>
  <c r="N1247" i="97"/>
  <c r="N1246" i="97"/>
  <c r="N1245" i="97"/>
  <c r="N1244" i="97"/>
  <c r="N1243" i="97"/>
  <c r="N1242" i="97"/>
  <c r="N1241" i="97"/>
  <c r="N1240" i="97"/>
  <c r="N1239" i="97"/>
  <c r="N1238" i="97"/>
  <c r="N1237" i="97"/>
  <c r="N1236" i="97"/>
  <c r="N1235" i="97"/>
  <c r="N1234" i="97"/>
  <c r="N1233" i="97"/>
  <c r="N1232" i="97"/>
  <c r="N1231" i="97"/>
  <c r="N1230" i="97"/>
  <c r="N1229" i="97"/>
  <c r="N1228" i="97"/>
  <c r="N1227" i="97"/>
  <c r="N1226" i="97"/>
  <c r="N1225" i="97"/>
  <c r="N1224" i="97"/>
  <c r="N1223" i="97"/>
  <c r="N1222" i="97"/>
  <c r="N1221" i="97"/>
  <c r="N1220" i="97"/>
  <c r="N1219" i="97"/>
  <c r="N1218" i="97"/>
  <c r="N1217" i="97"/>
  <c r="N1216" i="97"/>
  <c r="N1215" i="97"/>
  <c r="N1214" i="97"/>
  <c r="N1213" i="97"/>
  <c r="N1212" i="97"/>
  <c r="N1211" i="97"/>
  <c r="N1210" i="97"/>
  <c r="N1209" i="97"/>
  <c r="N1208" i="97"/>
  <c r="N1207" i="97"/>
  <c r="N1206" i="97"/>
  <c r="N1205" i="97"/>
  <c r="N1204" i="97"/>
  <c r="N1203" i="97"/>
  <c r="N1202" i="97"/>
  <c r="N1201" i="97"/>
  <c r="N1200" i="97"/>
  <c r="N1199" i="97"/>
  <c r="N1198" i="97"/>
  <c r="N1197" i="97"/>
  <c r="N1196" i="97"/>
  <c r="N1195" i="97"/>
  <c r="N1194" i="97"/>
  <c r="N1193" i="97"/>
  <c r="N1192" i="97"/>
  <c r="N1191" i="97"/>
  <c r="N1190" i="97"/>
  <c r="N1189" i="97"/>
  <c r="N1188" i="97"/>
  <c r="N1187" i="97"/>
  <c r="N1186" i="97"/>
  <c r="N1185" i="97"/>
  <c r="N1184" i="97"/>
  <c r="N1183" i="97"/>
  <c r="N1182" i="97"/>
  <c r="N1181" i="97"/>
  <c r="N1180" i="97"/>
  <c r="N1179" i="97"/>
  <c r="N1178" i="97"/>
  <c r="N1177" i="97"/>
  <c r="N1176" i="97"/>
  <c r="N1175" i="97"/>
  <c r="N1174" i="97"/>
  <c r="N1173" i="97"/>
  <c r="N1172" i="97"/>
  <c r="N1171" i="97"/>
  <c r="N1170" i="97"/>
  <c r="N1169" i="97"/>
  <c r="N1168" i="97"/>
  <c r="N1167" i="97"/>
  <c r="N1166" i="97"/>
  <c r="N1165" i="97"/>
  <c r="N1164" i="97"/>
  <c r="N1163" i="97"/>
  <c r="N1162" i="97"/>
  <c r="N1161" i="97"/>
  <c r="N1160" i="97"/>
  <c r="N1159" i="97"/>
  <c r="N1158" i="97"/>
  <c r="N1157" i="97"/>
  <c r="N1156" i="97"/>
  <c r="N1155" i="97"/>
  <c r="N1154" i="97"/>
  <c r="N1153" i="97"/>
  <c r="N1152" i="97"/>
  <c r="N1151" i="97"/>
  <c r="N1150" i="97"/>
  <c r="N1149" i="97"/>
  <c r="N1148" i="97"/>
  <c r="N1147" i="97"/>
  <c r="N1146" i="97"/>
  <c r="N1145" i="97"/>
  <c r="N1144" i="97"/>
  <c r="N1143" i="97"/>
  <c r="N1142" i="97"/>
  <c r="N1141" i="97"/>
  <c r="N1140" i="97"/>
  <c r="N1139" i="97"/>
  <c r="N1138" i="97"/>
  <c r="N1137" i="97"/>
  <c r="N1136" i="97"/>
  <c r="N1135" i="97"/>
  <c r="N1134" i="97"/>
  <c r="N1133" i="97"/>
  <c r="N1132" i="97"/>
  <c r="N1131" i="97"/>
  <c r="N1130" i="97"/>
  <c r="N1129" i="97"/>
  <c r="N1128" i="97"/>
  <c r="N1127" i="97"/>
  <c r="N1126" i="97"/>
  <c r="N1125" i="97"/>
  <c r="N1124" i="97"/>
  <c r="N1123" i="97"/>
  <c r="N1122" i="97"/>
  <c r="N1121" i="97"/>
  <c r="N1120" i="97"/>
  <c r="N1119" i="97"/>
  <c r="N1118" i="97"/>
  <c r="N1117" i="97"/>
  <c r="N1116" i="97"/>
  <c r="N1115" i="97"/>
  <c r="N1114" i="97"/>
  <c r="N1113" i="97"/>
  <c r="N1112" i="97"/>
  <c r="N1111" i="97"/>
  <c r="N1110" i="97"/>
  <c r="N1109" i="97"/>
  <c r="N1108" i="97"/>
  <c r="N1107" i="97"/>
  <c r="N1106" i="97"/>
  <c r="N1105" i="97"/>
  <c r="N1104" i="97"/>
  <c r="N1103" i="97"/>
  <c r="N1102" i="97"/>
  <c r="N1101" i="97"/>
  <c r="N1100" i="97"/>
  <c r="N1099" i="97"/>
  <c r="N1098" i="97"/>
  <c r="N1097" i="97"/>
  <c r="N1096" i="97"/>
  <c r="N1095" i="97"/>
  <c r="N1094" i="97"/>
  <c r="N1093" i="97"/>
  <c r="N1092" i="97"/>
  <c r="N1091" i="97"/>
  <c r="N1090" i="97"/>
  <c r="N1089" i="97"/>
  <c r="N1088" i="97"/>
  <c r="N1087" i="97"/>
  <c r="N1086" i="97"/>
  <c r="N1085" i="97"/>
  <c r="N1084" i="97"/>
  <c r="N1083" i="97"/>
  <c r="N1082" i="97"/>
  <c r="N1081" i="97"/>
  <c r="N1080" i="97"/>
  <c r="N1079" i="97"/>
  <c r="N1078" i="97"/>
  <c r="N1077" i="97"/>
  <c r="N1076" i="97"/>
  <c r="N1075" i="97"/>
  <c r="N1074" i="97"/>
  <c r="N1073" i="97"/>
  <c r="N1072" i="97"/>
  <c r="N1071" i="97"/>
  <c r="N1070" i="97"/>
  <c r="N1069" i="97"/>
  <c r="N1068" i="97"/>
  <c r="N1067" i="97"/>
  <c r="N1066" i="97"/>
  <c r="N1065" i="97"/>
  <c r="N1064" i="97"/>
  <c r="N1063" i="97"/>
  <c r="N1062" i="97"/>
  <c r="N1061" i="97"/>
  <c r="N1060" i="97"/>
  <c r="N1059" i="97"/>
  <c r="N1058" i="97"/>
  <c r="N1057" i="97"/>
  <c r="N1056" i="97"/>
  <c r="N1055" i="97"/>
  <c r="N1054" i="97"/>
  <c r="N1053" i="97"/>
  <c r="N1052" i="97"/>
  <c r="N1051" i="97"/>
  <c r="N1050" i="97"/>
  <c r="N1049" i="97"/>
  <c r="N1048" i="97"/>
  <c r="N1047" i="97"/>
  <c r="N1046" i="97"/>
  <c r="N1045" i="97"/>
  <c r="N1044" i="97"/>
  <c r="N1043" i="97"/>
  <c r="N1042" i="97"/>
  <c r="N1041" i="97"/>
  <c r="N1040" i="97"/>
  <c r="N1039" i="97"/>
  <c r="N1038" i="97"/>
  <c r="N1037" i="97"/>
  <c r="N1036" i="97"/>
  <c r="N1035" i="97"/>
  <c r="N1034" i="97"/>
  <c r="N1033" i="97"/>
  <c r="N1032" i="97"/>
  <c r="N1031" i="97"/>
  <c r="N1030" i="97"/>
  <c r="N1029" i="97"/>
  <c r="N1028" i="97"/>
  <c r="N1027" i="97"/>
  <c r="N1026" i="97"/>
  <c r="N1025" i="97"/>
  <c r="N1024" i="97"/>
  <c r="N1023" i="97"/>
  <c r="N1022" i="97"/>
  <c r="N1021" i="97"/>
  <c r="N1020" i="97"/>
  <c r="N1019" i="97"/>
  <c r="N1018" i="97"/>
  <c r="N1017" i="97"/>
  <c r="N1016" i="97"/>
  <c r="N1015" i="97"/>
  <c r="N1014" i="97"/>
  <c r="N1013" i="97"/>
  <c r="N1012" i="97"/>
  <c r="N1011" i="97"/>
  <c r="N1010" i="97"/>
  <c r="N1009" i="97"/>
  <c r="N1008" i="97"/>
  <c r="N1007" i="97"/>
  <c r="N1006" i="97"/>
  <c r="N1005" i="97"/>
  <c r="N1004" i="97"/>
  <c r="N1003" i="97"/>
  <c r="N1002" i="97"/>
  <c r="N1001" i="97"/>
  <c r="N1000" i="97"/>
  <c r="N999" i="97"/>
  <c r="N998" i="97"/>
  <c r="N997" i="97"/>
  <c r="N996" i="97"/>
  <c r="N995" i="97"/>
  <c r="N994" i="97"/>
  <c r="N993" i="97"/>
  <c r="N992" i="97"/>
  <c r="N991" i="97"/>
  <c r="N990" i="97"/>
  <c r="N989" i="97"/>
  <c r="N988" i="97"/>
  <c r="N987" i="97"/>
  <c r="N986" i="97"/>
  <c r="N985" i="97"/>
  <c r="N984" i="97"/>
  <c r="N983" i="97"/>
  <c r="N982" i="97"/>
  <c r="N981" i="97"/>
  <c r="N980" i="97"/>
  <c r="N979" i="97"/>
  <c r="N978" i="97"/>
  <c r="N977" i="97"/>
  <c r="N976" i="97"/>
  <c r="N975" i="97"/>
  <c r="N974" i="97"/>
  <c r="N973" i="97"/>
  <c r="N972" i="97"/>
  <c r="N971" i="97"/>
  <c r="N970" i="97"/>
  <c r="N969" i="97"/>
  <c r="N968" i="97"/>
  <c r="N967" i="97"/>
  <c r="N966" i="97"/>
  <c r="N965" i="97"/>
  <c r="N964" i="97"/>
  <c r="N963" i="97"/>
  <c r="N962" i="97"/>
  <c r="N961" i="97"/>
  <c r="N960" i="97"/>
  <c r="N959" i="97"/>
  <c r="N958" i="97"/>
  <c r="N957" i="97"/>
  <c r="N956" i="97"/>
  <c r="N955" i="97"/>
  <c r="N954" i="97"/>
  <c r="N953" i="97"/>
  <c r="N952" i="97"/>
  <c r="N951" i="97"/>
  <c r="N950" i="97"/>
  <c r="N949" i="97"/>
  <c r="N948" i="97"/>
  <c r="N947" i="97"/>
  <c r="N946" i="97"/>
  <c r="N945" i="97"/>
  <c r="N944" i="97"/>
  <c r="N943" i="97"/>
  <c r="N942" i="97"/>
  <c r="N941" i="97"/>
  <c r="N940" i="97"/>
  <c r="N939" i="97"/>
  <c r="N938" i="97"/>
  <c r="N937" i="97"/>
  <c r="N936" i="97"/>
  <c r="N935" i="97"/>
  <c r="N934" i="97"/>
  <c r="N933" i="97"/>
  <c r="N932" i="97"/>
  <c r="N931" i="97"/>
  <c r="N930" i="97"/>
  <c r="N929" i="97"/>
  <c r="N928" i="97"/>
  <c r="N927" i="97"/>
  <c r="N926" i="97"/>
  <c r="N925" i="97"/>
  <c r="N924" i="97"/>
  <c r="N923" i="97"/>
  <c r="N922" i="97"/>
  <c r="N921" i="97"/>
  <c r="N920" i="97"/>
  <c r="N919" i="97"/>
  <c r="N918" i="97"/>
  <c r="N917" i="97"/>
  <c r="N916" i="97"/>
  <c r="N915" i="97"/>
  <c r="N914" i="97"/>
  <c r="N913" i="97"/>
  <c r="N912" i="97"/>
  <c r="N911" i="97"/>
  <c r="N910" i="97"/>
  <c r="N909" i="97"/>
  <c r="N908" i="97"/>
  <c r="N907" i="97"/>
  <c r="N906" i="97"/>
  <c r="N905" i="97"/>
  <c r="N904" i="97"/>
  <c r="N903" i="97"/>
  <c r="N902" i="97"/>
  <c r="N901" i="97"/>
  <c r="N900" i="97"/>
  <c r="N899" i="97"/>
  <c r="N898" i="97"/>
  <c r="N897" i="97"/>
  <c r="N896" i="97"/>
  <c r="N895" i="97"/>
  <c r="N894" i="97"/>
  <c r="N893" i="97"/>
  <c r="N892" i="97"/>
  <c r="N891" i="97"/>
  <c r="N890" i="97"/>
  <c r="N889" i="97"/>
  <c r="N888" i="97"/>
  <c r="N887" i="97"/>
  <c r="N886" i="97"/>
  <c r="N885" i="97"/>
  <c r="N884" i="97"/>
  <c r="N883" i="97"/>
  <c r="N882" i="97"/>
  <c r="N881" i="97"/>
  <c r="N880" i="97"/>
  <c r="N879" i="97"/>
  <c r="N878" i="97"/>
  <c r="N877" i="97"/>
  <c r="N876" i="97"/>
  <c r="N875" i="97"/>
  <c r="N874" i="97"/>
  <c r="N873" i="97"/>
  <c r="N872" i="97"/>
  <c r="N871" i="97"/>
  <c r="N870" i="97"/>
  <c r="N869" i="97"/>
  <c r="N868" i="97"/>
  <c r="N867" i="97"/>
  <c r="N866" i="97"/>
  <c r="N865" i="97"/>
  <c r="N864" i="97"/>
  <c r="N863" i="97"/>
  <c r="N862" i="97"/>
  <c r="N861" i="97"/>
  <c r="N860" i="97"/>
  <c r="N859" i="97"/>
  <c r="N858" i="97"/>
  <c r="N857" i="97"/>
  <c r="N856" i="97"/>
  <c r="N855" i="97"/>
  <c r="N854" i="97"/>
  <c r="N853" i="97"/>
  <c r="N852" i="97"/>
  <c r="N851" i="97"/>
  <c r="N850" i="97"/>
  <c r="N849" i="97"/>
  <c r="N760" i="97"/>
  <c r="N759" i="97"/>
  <c r="N758" i="97"/>
  <c r="N757" i="97"/>
  <c r="N756" i="97"/>
  <c r="N755" i="97"/>
  <c r="N754" i="97"/>
  <c r="N753" i="97"/>
  <c r="N752" i="97"/>
  <c r="N751" i="97"/>
  <c r="N750" i="97"/>
  <c r="N749" i="97"/>
  <c r="N748" i="97"/>
  <c r="N747" i="97"/>
  <c r="N746" i="97"/>
  <c r="N745" i="97"/>
  <c r="N744" i="97"/>
  <c r="N743" i="97"/>
  <c r="N742" i="97"/>
  <c r="N741" i="97"/>
  <c r="N740" i="97"/>
  <c r="N739" i="97"/>
  <c r="N738" i="97"/>
  <c r="N737" i="97"/>
  <c r="N736" i="97"/>
  <c r="N735" i="97"/>
  <c r="N734" i="97"/>
  <c r="N733" i="97"/>
  <c r="N732" i="97"/>
  <c r="N731" i="97"/>
  <c r="N730" i="97"/>
  <c r="N729" i="97"/>
  <c r="N728" i="97"/>
  <c r="N727" i="97"/>
  <c r="N726" i="97"/>
  <c r="N725" i="97"/>
  <c r="N724" i="97"/>
  <c r="N723" i="97"/>
  <c r="N722" i="97"/>
  <c r="N721" i="97"/>
  <c r="N720" i="97"/>
  <c r="N719" i="97"/>
  <c r="N718" i="97"/>
  <c r="N717" i="97"/>
  <c r="N716" i="97"/>
  <c r="N715" i="97"/>
  <c r="N714" i="97"/>
  <c r="N713" i="97"/>
  <c r="N712" i="97"/>
  <c r="N711" i="97"/>
  <c r="N710" i="97"/>
  <c r="N709" i="97"/>
  <c r="N708" i="97"/>
  <c r="N707" i="97"/>
  <c r="N706" i="97"/>
  <c r="N705" i="97"/>
  <c r="N704" i="97"/>
  <c r="N703" i="97"/>
  <c r="N702" i="97"/>
  <c r="N701" i="97"/>
  <c r="N700" i="97"/>
  <c r="N699" i="97"/>
  <c r="N698" i="97"/>
  <c r="N697" i="97"/>
  <c r="N696" i="97"/>
  <c r="N695" i="97"/>
  <c r="N694" i="97"/>
  <c r="N693" i="97"/>
  <c r="N692" i="97"/>
  <c r="N691" i="97"/>
  <c r="N690" i="97"/>
  <c r="N689" i="97"/>
  <c r="N688" i="97"/>
  <c r="N687" i="97"/>
  <c r="N686" i="97"/>
  <c r="N685" i="97"/>
  <c r="N684" i="97"/>
  <c r="N683" i="97"/>
  <c r="N682" i="97"/>
  <c r="N681" i="97"/>
  <c r="N680" i="97"/>
  <c r="N679" i="97"/>
  <c r="N678" i="97"/>
  <c r="N677" i="97"/>
  <c r="N676" i="97"/>
  <c r="N675" i="97"/>
  <c r="N674" i="97"/>
  <c r="N673" i="97"/>
  <c r="N672" i="97"/>
  <c r="N671" i="97"/>
  <c r="N670" i="97"/>
  <c r="N669" i="97"/>
  <c r="N668" i="97"/>
  <c r="N667" i="97"/>
  <c r="N666" i="97"/>
  <c r="N665" i="97"/>
  <c r="N664" i="97"/>
  <c r="N663" i="97"/>
  <c r="N662" i="97"/>
  <c r="N661" i="97"/>
  <c r="N660" i="97"/>
  <c r="N659" i="97"/>
  <c r="N658" i="97"/>
  <c r="N657" i="97"/>
  <c r="N656" i="97"/>
  <c r="N655" i="97"/>
  <c r="N654" i="97"/>
  <c r="N653" i="97"/>
  <c r="N652" i="97"/>
  <c r="N651" i="97"/>
  <c r="N650" i="97"/>
  <c r="N649" i="97"/>
  <c r="N648" i="97"/>
  <c r="N647" i="97"/>
  <c r="N646" i="97"/>
  <c r="N645" i="97"/>
  <c r="N644" i="97"/>
  <c r="N643" i="97"/>
  <c r="N642" i="97"/>
  <c r="N641" i="97"/>
  <c r="N640" i="97"/>
  <c r="N639" i="97"/>
  <c r="N638" i="97"/>
  <c r="N637" i="97"/>
  <c r="N636" i="97"/>
  <c r="N635" i="97"/>
  <c r="N634" i="97"/>
  <c r="N633" i="97"/>
  <c r="N632" i="97"/>
  <c r="N631" i="97"/>
  <c r="N630" i="97"/>
  <c r="N629" i="97"/>
  <c r="N628" i="97"/>
  <c r="N627" i="97"/>
  <c r="N626" i="97"/>
  <c r="N625" i="97"/>
  <c r="N624" i="97"/>
  <c r="N623" i="97"/>
  <c r="N622" i="97"/>
  <c r="N621" i="97"/>
  <c r="N620" i="97"/>
  <c r="N619" i="97"/>
  <c r="N618" i="97"/>
  <c r="N617" i="97"/>
  <c r="N616" i="97"/>
  <c r="N615" i="97"/>
  <c r="N614" i="97"/>
  <c r="N613" i="97"/>
  <c r="N612" i="97"/>
  <c r="N611" i="97"/>
  <c r="N610" i="97"/>
  <c r="N609" i="97"/>
  <c r="N608" i="97"/>
  <c r="N607" i="97"/>
  <c r="N606" i="97"/>
  <c r="N605" i="97"/>
  <c r="N604" i="97"/>
  <c r="N603" i="97"/>
  <c r="N602" i="97"/>
  <c r="N601" i="97"/>
  <c r="N600" i="97"/>
  <c r="N599" i="97"/>
  <c r="N598" i="97"/>
  <c r="N597" i="97"/>
  <c r="N596" i="97"/>
  <c r="N595" i="97"/>
  <c r="N594" i="97"/>
  <c r="N593" i="97"/>
  <c r="N592" i="97"/>
  <c r="N591" i="97"/>
  <c r="N590" i="97"/>
  <c r="N589" i="97"/>
  <c r="N588" i="97"/>
  <c r="N587" i="97"/>
  <c r="N586" i="97"/>
  <c r="N585" i="97"/>
  <c r="N584" i="97"/>
  <c r="N583" i="97"/>
  <c r="N582" i="97"/>
  <c r="N581" i="97"/>
  <c r="N580" i="97"/>
  <c r="N579" i="97"/>
  <c r="N578" i="97"/>
  <c r="N577" i="97"/>
  <c r="N576" i="97"/>
  <c r="N575" i="97"/>
  <c r="N574" i="97"/>
  <c r="N573" i="97"/>
  <c r="N572" i="97"/>
  <c r="N571" i="97"/>
  <c r="N570" i="97"/>
  <c r="N569" i="97"/>
  <c r="N568" i="97"/>
  <c r="N567" i="97"/>
  <c r="N566" i="97"/>
  <c r="N565" i="97"/>
  <c r="N564" i="97"/>
  <c r="N563" i="97"/>
  <c r="N562" i="97"/>
  <c r="N561" i="97"/>
  <c r="N560" i="97"/>
  <c r="N559" i="97"/>
  <c r="N558" i="97"/>
  <c r="N557" i="97"/>
  <c r="N556" i="97"/>
  <c r="N555" i="97"/>
  <c r="N554" i="97"/>
  <c r="N553" i="97"/>
  <c r="N552" i="97"/>
  <c r="N551" i="97"/>
  <c r="N550" i="97"/>
  <c r="N549" i="97"/>
  <c r="N548" i="97"/>
  <c r="N547" i="97"/>
  <c r="N546" i="97"/>
  <c r="N545" i="97"/>
  <c r="N544" i="97"/>
  <c r="N543" i="97"/>
  <c r="N542" i="97"/>
  <c r="N541" i="97"/>
  <c r="N540" i="97"/>
  <c r="N539" i="97"/>
  <c r="N538" i="97"/>
  <c r="N537" i="97"/>
  <c r="N536" i="97"/>
  <c r="N535" i="97"/>
  <c r="N534" i="97"/>
  <c r="N533" i="97"/>
  <c r="N532" i="97"/>
  <c r="N531" i="97"/>
  <c r="N530" i="97"/>
  <c r="N529" i="97"/>
  <c r="N528" i="97"/>
  <c r="N527" i="97"/>
  <c r="N526" i="97"/>
  <c r="N525" i="97"/>
  <c r="N524" i="97"/>
  <c r="N523" i="97"/>
  <c r="N522" i="97"/>
  <c r="N521" i="97"/>
  <c r="N520" i="97"/>
  <c r="N519" i="97"/>
  <c r="N518" i="97"/>
  <c r="N517" i="97"/>
  <c r="N516" i="97"/>
  <c r="N515" i="97"/>
  <c r="N514" i="97"/>
  <c r="N513" i="97"/>
  <c r="N512" i="97"/>
  <c r="N511" i="97"/>
  <c r="N510" i="97"/>
  <c r="N509" i="97"/>
  <c r="N508" i="97"/>
  <c r="N507" i="97"/>
  <c r="N506" i="97"/>
  <c r="N505" i="97"/>
  <c r="N504" i="97"/>
  <c r="N503" i="97"/>
  <c r="N502" i="97"/>
  <c r="N501" i="97"/>
  <c r="N500" i="97"/>
  <c r="N499" i="97"/>
  <c r="N498" i="97"/>
  <c r="N497" i="97"/>
  <c r="N496" i="97"/>
  <c r="N495" i="97"/>
  <c r="N494" i="97"/>
  <c r="N493" i="97"/>
  <c r="N492" i="97"/>
  <c r="N491" i="97"/>
  <c r="N490" i="97"/>
  <c r="N489" i="97"/>
  <c r="N488" i="97"/>
  <c r="N487" i="97"/>
  <c r="N486" i="97"/>
  <c r="N485" i="97"/>
  <c r="N484" i="97"/>
  <c r="N483" i="97"/>
  <c r="N482" i="97"/>
  <c r="N481" i="97"/>
  <c r="N480" i="97"/>
  <c r="N479" i="97"/>
  <c r="N478" i="97"/>
  <c r="N477" i="97"/>
  <c r="N476" i="97"/>
  <c r="N475" i="97"/>
  <c r="N474" i="97"/>
  <c r="N473" i="97"/>
  <c r="N472" i="97"/>
  <c r="N471" i="97"/>
  <c r="N470" i="97"/>
  <c r="N469" i="97"/>
  <c r="N468" i="97"/>
  <c r="N467" i="97"/>
  <c r="N466" i="97"/>
  <c r="N465" i="97"/>
  <c r="N464" i="97"/>
  <c r="N463" i="97"/>
  <c r="N462" i="97"/>
  <c r="N461" i="97"/>
  <c r="N460" i="97"/>
  <c r="N459" i="97"/>
  <c r="N458" i="97"/>
  <c r="N457" i="97"/>
  <c r="N456" i="97"/>
  <c r="N455" i="97"/>
  <c r="N454" i="97"/>
  <c r="N453" i="97"/>
  <c r="N452" i="97"/>
  <c r="N451" i="97"/>
  <c r="N450" i="97"/>
  <c r="N449" i="97"/>
  <c r="N448" i="97"/>
  <c r="N447" i="97"/>
  <c r="N446" i="97"/>
  <c r="N445" i="97"/>
  <c r="N444" i="97"/>
  <c r="N443" i="97"/>
  <c r="N442" i="97"/>
  <c r="N441" i="97"/>
  <c r="N440" i="97"/>
  <c r="N439" i="97"/>
  <c r="N438" i="97"/>
  <c r="N437" i="97"/>
  <c r="N436" i="97"/>
  <c r="N435" i="97"/>
  <c r="N434" i="97"/>
  <c r="N433" i="97"/>
  <c r="N432" i="97"/>
  <c r="N431" i="97"/>
  <c r="N430" i="97"/>
  <c r="N429" i="97"/>
  <c r="N428" i="97"/>
  <c r="N427" i="97"/>
  <c r="N426" i="97"/>
  <c r="N425" i="97"/>
  <c r="N424" i="97"/>
  <c r="N423" i="97"/>
  <c r="N422" i="97"/>
  <c r="N421" i="97"/>
  <c r="N420" i="97"/>
  <c r="N419" i="97"/>
  <c r="N418" i="97"/>
  <c r="N417" i="97"/>
  <c r="N416" i="97"/>
  <c r="N415" i="97"/>
  <c r="N414" i="97"/>
  <c r="N413" i="97"/>
  <c r="N412" i="97"/>
  <c r="N411" i="97"/>
  <c r="N410" i="97"/>
  <c r="N409" i="97"/>
  <c r="N408" i="97"/>
  <c r="N407" i="97"/>
  <c r="N406" i="97"/>
  <c r="N405" i="97"/>
  <c r="N404" i="97"/>
  <c r="N403" i="97"/>
  <c r="N402" i="97"/>
  <c r="N401" i="97"/>
  <c r="N400" i="97"/>
  <c r="N399" i="97"/>
  <c r="N398" i="97"/>
  <c r="N397" i="97"/>
  <c r="N396" i="97"/>
  <c r="N395" i="97"/>
  <c r="N394" i="97"/>
  <c r="N393" i="97"/>
  <c r="N392" i="97"/>
  <c r="N391" i="97"/>
  <c r="N390" i="97"/>
  <c r="N389" i="97"/>
  <c r="N388" i="97"/>
  <c r="N387" i="97"/>
  <c r="N386" i="97"/>
  <c r="N385" i="97"/>
  <c r="N384" i="97"/>
  <c r="N383" i="97"/>
  <c r="N382" i="97"/>
  <c r="N381" i="97"/>
  <c r="N380" i="97"/>
  <c r="N379" i="97"/>
  <c r="N378" i="97"/>
  <c r="N377" i="97"/>
  <c r="N376" i="97"/>
  <c r="N375" i="97"/>
  <c r="N374" i="97"/>
  <c r="N373" i="97"/>
  <c r="N372" i="97"/>
  <c r="N371" i="97"/>
  <c r="N370" i="97"/>
  <c r="N369" i="97"/>
  <c r="N368" i="97"/>
  <c r="N367" i="97"/>
  <c r="N366" i="97"/>
  <c r="N365" i="97"/>
  <c r="N364" i="97"/>
  <c r="N363" i="97"/>
  <c r="N362" i="97"/>
  <c r="N361" i="97"/>
  <c r="N360" i="97"/>
  <c r="N359" i="97"/>
  <c r="N358" i="97"/>
  <c r="N357" i="97"/>
  <c r="N356" i="97"/>
  <c r="N355" i="97"/>
  <c r="N354" i="97"/>
  <c r="N353" i="97"/>
  <c r="N352" i="97"/>
  <c r="N351" i="97"/>
  <c r="N350" i="97"/>
  <c r="N349" i="97"/>
  <c r="N348" i="97"/>
  <c r="N347" i="97"/>
  <c r="N346" i="97"/>
  <c r="N345" i="97"/>
  <c r="N344" i="97"/>
  <c r="N343" i="97"/>
  <c r="N342" i="97"/>
  <c r="N341" i="97"/>
  <c r="N340" i="97"/>
  <c r="N339" i="97"/>
  <c r="N338" i="97"/>
  <c r="N337" i="97"/>
  <c r="N336" i="97"/>
  <c r="N335" i="97"/>
  <c r="N334" i="97"/>
  <c r="N333" i="97"/>
  <c r="N332" i="97"/>
  <c r="N331" i="97"/>
  <c r="N330" i="97"/>
  <c r="N329" i="97"/>
  <c r="N328" i="97"/>
  <c r="N327" i="97"/>
  <c r="N326" i="97"/>
  <c r="N325" i="97"/>
  <c r="N324" i="97"/>
  <c r="N323" i="97"/>
  <c r="N322" i="97"/>
  <c r="N321" i="97"/>
  <c r="N320" i="97"/>
  <c r="N319" i="97"/>
  <c r="N318" i="97"/>
  <c r="N317" i="97"/>
  <c r="N316" i="97"/>
  <c r="N315" i="97"/>
  <c r="N314" i="97"/>
  <c r="N313" i="97"/>
  <c r="N312" i="97"/>
  <c r="N311" i="97"/>
  <c r="N310" i="97"/>
  <c r="N309" i="97"/>
  <c r="N308" i="97"/>
  <c r="N307" i="97"/>
  <c r="N306" i="97"/>
  <c r="N305" i="97"/>
  <c r="N304" i="97"/>
  <c r="N303" i="97"/>
  <c r="N302" i="97"/>
  <c r="N301" i="97"/>
  <c r="N300" i="97"/>
  <c r="N299" i="97"/>
  <c r="N298" i="97"/>
  <c r="N297" i="97"/>
  <c r="N296" i="97"/>
  <c r="N295" i="97"/>
  <c r="N294" i="97"/>
  <c r="N293" i="97"/>
  <c r="N292" i="97"/>
  <c r="N291" i="97"/>
  <c r="N290" i="97"/>
  <c r="N289" i="97"/>
  <c r="N288" i="97"/>
  <c r="N287" i="97"/>
  <c r="N286" i="97"/>
  <c r="N285" i="97"/>
  <c r="N284" i="97"/>
  <c r="N283" i="97"/>
  <c r="N282" i="97"/>
  <c r="N281" i="97"/>
  <c r="N280" i="97"/>
  <c r="N279" i="97"/>
  <c r="N278" i="97"/>
  <c r="N277" i="97"/>
  <c r="N276" i="97"/>
  <c r="N275" i="97"/>
  <c r="N274" i="97"/>
  <c r="N273" i="97"/>
  <c r="N272" i="97"/>
  <c r="N271" i="97"/>
  <c r="N270" i="97"/>
  <c r="N269" i="97"/>
  <c r="N268" i="97"/>
  <c r="N267" i="97"/>
  <c r="N266" i="97"/>
  <c r="N265" i="97"/>
  <c r="N264" i="97"/>
  <c r="N263" i="97"/>
  <c r="N262" i="97"/>
  <c r="N261" i="97"/>
  <c r="N260" i="97"/>
  <c r="N259" i="97"/>
  <c r="N258" i="97"/>
  <c r="N257" i="97"/>
  <c r="N256" i="97"/>
  <c r="N255" i="97"/>
  <c r="N254" i="97"/>
  <c r="N253" i="97"/>
  <c r="N252" i="97"/>
  <c r="N251" i="97"/>
  <c r="N250" i="97"/>
  <c r="N249" i="97"/>
  <c r="N248" i="97"/>
  <c r="N247" i="97"/>
  <c r="N246" i="97"/>
  <c r="N245" i="97"/>
  <c r="N244" i="97"/>
  <c r="N243" i="97"/>
  <c r="N242" i="97"/>
  <c r="N241" i="97"/>
  <c r="N240" i="97"/>
  <c r="N239" i="97"/>
  <c r="N238" i="97"/>
  <c r="N237" i="97"/>
  <c r="N236" i="97"/>
  <c r="N235" i="97"/>
  <c r="N234" i="97"/>
  <c r="N233" i="97"/>
  <c r="N232" i="97"/>
  <c r="N231" i="97"/>
  <c r="N230" i="97"/>
  <c r="N229" i="97"/>
  <c r="N228" i="97"/>
  <c r="N227" i="97"/>
  <c r="N226" i="97"/>
  <c r="N225" i="97"/>
  <c r="N224" i="97"/>
  <c r="N223" i="97"/>
  <c r="N222" i="97"/>
  <c r="N221" i="97"/>
  <c r="N220" i="97"/>
  <c r="N219" i="97"/>
  <c r="N218" i="97"/>
  <c r="N217" i="97"/>
  <c r="N216" i="97"/>
  <c r="N215" i="97"/>
  <c r="N214" i="97"/>
  <c r="N213" i="97"/>
  <c r="N212" i="97"/>
  <c r="N211" i="97"/>
  <c r="N210" i="97"/>
  <c r="N209" i="97"/>
  <c r="N208" i="97"/>
  <c r="N207" i="97"/>
  <c r="N206" i="97"/>
  <c r="N205" i="97"/>
  <c r="N204" i="97"/>
  <c r="N203" i="97"/>
  <c r="N202" i="97"/>
  <c r="N201" i="97"/>
  <c r="N200" i="97"/>
  <c r="N199" i="97"/>
  <c r="N198" i="97"/>
  <c r="N197" i="97"/>
  <c r="N196" i="97"/>
  <c r="N195" i="97"/>
  <c r="N194" i="97"/>
  <c r="N193" i="97"/>
  <c r="N192" i="97"/>
  <c r="N191" i="97"/>
  <c r="N190" i="97"/>
  <c r="N189" i="97"/>
  <c r="N188" i="97"/>
  <c r="N187" i="97"/>
  <c r="N186" i="97"/>
  <c r="N185" i="97"/>
  <c r="N184" i="97"/>
  <c r="N183" i="97"/>
  <c r="N182" i="97"/>
  <c r="N181" i="97"/>
  <c r="N180" i="97"/>
  <c r="N179" i="97"/>
  <c r="N178" i="97"/>
  <c r="N177" i="97"/>
  <c r="N176" i="97"/>
  <c r="N175" i="97"/>
  <c r="N174" i="97"/>
  <c r="N173" i="97"/>
  <c r="N172" i="97"/>
  <c r="N171" i="97"/>
  <c r="N170" i="97"/>
  <c r="N169" i="97"/>
  <c r="N168" i="97"/>
  <c r="N167" i="97"/>
  <c r="N166" i="97"/>
  <c r="N165" i="97"/>
  <c r="N164" i="97"/>
  <c r="N163" i="97"/>
  <c r="N162" i="97"/>
  <c r="N161" i="97"/>
  <c r="N160" i="97"/>
  <c r="N159" i="97"/>
  <c r="N158" i="97"/>
  <c r="N157" i="97"/>
  <c r="N156" i="97"/>
  <c r="N155" i="97"/>
  <c r="N154" i="97"/>
  <c r="N153" i="97"/>
  <c r="N152" i="97"/>
  <c r="N151" i="97"/>
  <c r="N150" i="97"/>
  <c r="N149" i="97"/>
  <c r="N148" i="97"/>
  <c r="N147" i="97"/>
  <c r="N146" i="97"/>
  <c r="N145" i="97"/>
  <c r="N144" i="97"/>
  <c r="N143" i="97"/>
  <c r="N142" i="97"/>
  <c r="N141" i="97"/>
  <c r="N140" i="97"/>
  <c r="N139" i="97"/>
  <c r="N138" i="97"/>
  <c r="N137" i="97"/>
  <c r="N136" i="97"/>
  <c r="N135" i="97"/>
  <c r="N134" i="97"/>
  <c r="N133" i="97"/>
  <c r="N132" i="97"/>
  <c r="N131" i="97"/>
  <c r="N130" i="97"/>
  <c r="N129" i="97"/>
  <c r="N128" i="97"/>
  <c r="N127" i="97"/>
  <c r="N126" i="97"/>
  <c r="N125" i="97"/>
  <c r="N124" i="97"/>
  <c r="N123" i="97"/>
  <c r="N122" i="97"/>
  <c r="N121" i="97"/>
  <c r="N120" i="97"/>
  <c r="N119" i="97"/>
  <c r="N118" i="97"/>
  <c r="N117" i="97"/>
  <c r="N116" i="97"/>
  <c r="N115" i="97"/>
  <c r="N114" i="97"/>
  <c r="N113" i="97"/>
  <c r="N112" i="97"/>
  <c r="N111" i="97"/>
  <c r="N110" i="97"/>
  <c r="N109" i="97"/>
  <c r="N108" i="97"/>
  <c r="N107" i="97"/>
  <c r="N106" i="97"/>
  <c r="N105" i="97"/>
  <c r="N104" i="97"/>
  <c r="N103" i="97"/>
  <c r="N102" i="97"/>
  <c r="N101" i="97"/>
  <c r="N100" i="97"/>
  <c r="N99" i="97"/>
  <c r="N98" i="97"/>
  <c r="N97" i="97"/>
  <c r="N96" i="97"/>
  <c r="N95" i="97"/>
  <c r="N94" i="97"/>
  <c r="N93" i="97"/>
  <c r="N92" i="97"/>
  <c r="N91" i="97"/>
  <c r="N90" i="97"/>
  <c r="N89" i="97"/>
  <c r="N88" i="97"/>
  <c r="N87" i="97"/>
  <c r="N86" i="97"/>
  <c r="N85" i="97"/>
  <c r="N84" i="97"/>
  <c r="N83" i="97"/>
  <c r="N82" i="97"/>
  <c r="N81" i="97"/>
  <c r="N80" i="97"/>
  <c r="N79" i="97"/>
  <c r="N78" i="97"/>
  <c r="N77" i="97"/>
  <c r="N76" i="97"/>
  <c r="N75" i="97"/>
  <c r="N74" i="97"/>
  <c r="N73" i="97"/>
  <c r="N72" i="97"/>
  <c r="N71" i="97"/>
  <c r="N70" i="97"/>
  <c r="N69" i="97"/>
  <c r="N68" i="97"/>
  <c r="N67" i="97"/>
  <c r="N66" i="97"/>
  <c r="N65" i="97"/>
  <c r="N64" i="97"/>
  <c r="N63" i="97"/>
  <c r="N62" i="97"/>
  <c r="N61" i="97"/>
  <c r="N60" i="97"/>
  <c r="N59" i="97"/>
  <c r="N58" i="97"/>
  <c r="N57" i="97"/>
  <c r="N56" i="97"/>
  <c r="N55" i="97"/>
  <c r="N54" i="97"/>
  <c r="N53" i="97"/>
  <c r="N52" i="97"/>
  <c r="N51" i="97"/>
  <c r="N50" i="97"/>
  <c r="N49" i="97"/>
  <c r="N48" i="97"/>
  <c r="N47" i="97"/>
  <c r="N46" i="97"/>
  <c r="N45" i="97"/>
  <c r="N44" i="97"/>
  <c r="N43" i="97"/>
  <c r="N42" i="97"/>
  <c r="N41" i="97"/>
  <c r="N40" i="97"/>
  <c r="N39" i="97"/>
  <c r="N38" i="97"/>
  <c r="N37" i="97"/>
  <c r="N36" i="97"/>
  <c r="N35" i="97"/>
  <c r="N34" i="97"/>
  <c r="N33" i="97"/>
  <c r="N32" i="97"/>
  <c r="N31" i="97"/>
  <c r="N30" i="97"/>
  <c r="N29" i="97"/>
  <c r="N28" i="97"/>
  <c r="N27" i="97"/>
  <c r="N26" i="97"/>
  <c r="N25" i="97"/>
  <c r="N24" i="97"/>
  <c r="N23" i="97"/>
  <c r="N22" i="97"/>
  <c r="N21" i="97"/>
  <c r="N20" i="97"/>
  <c r="N19" i="97"/>
  <c r="N18" i="97"/>
  <c r="N17" i="97"/>
  <c r="N16" i="97"/>
  <c r="N15" i="97"/>
  <c r="N14" i="97"/>
  <c r="N13" i="97"/>
  <c r="N12" i="97"/>
  <c r="N11" i="97"/>
  <c r="N10" i="97"/>
  <c r="N9" i="97"/>
  <c r="N8" i="97"/>
  <c r="N7" i="97"/>
  <c r="N6" i="97"/>
  <c r="N5" i="97"/>
  <c r="N4" i="97"/>
  <c r="N3" i="97"/>
  <c r="N2" i="97"/>
  <c r="L2081" i="97"/>
  <c r="M2081" i="97"/>
  <c r="M2083" i="97" s="1"/>
  <c r="K2081" i="97"/>
  <c r="B24" i="167"/>
  <c r="D24" i="167"/>
  <c r="B26" i="167"/>
  <c r="D26" i="167"/>
  <c r="D39" i="7"/>
  <c r="B4" i="172" s="1"/>
  <c r="O7" i="151"/>
  <c r="P7" i="151"/>
  <c r="F42" i="7"/>
  <c r="B16" i="172" s="1"/>
  <c r="C233" i="131"/>
  <c r="O96" i="135"/>
  <c r="O97" i="135"/>
  <c r="O98" i="135"/>
  <c r="O99" i="135"/>
  <c r="O100" i="135"/>
  <c r="O101" i="135"/>
  <c r="O102" i="135"/>
  <c r="O103" i="135"/>
  <c r="O104" i="135"/>
  <c r="O105" i="135"/>
  <c r="O106" i="135"/>
  <c r="O107" i="135"/>
  <c r="O108" i="135"/>
  <c r="O109" i="135"/>
  <c r="O94" i="135"/>
  <c r="O95" i="135"/>
  <c r="I110" i="135"/>
  <c r="H133" i="152"/>
  <c r="U11" i="152" s="1"/>
  <c r="O12" i="152"/>
  <c r="N133" i="152"/>
  <c r="M133" i="152"/>
  <c r="M134" i="152" s="1"/>
  <c r="L133" i="152"/>
  <c r="K133" i="152"/>
  <c r="J133" i="152"/>
  <c r="I133" i="152"/>
  <c r="G133" i="152"/>
  <c r="F133" i="152"/>
  <c r="E133" i="152"/>
  <c r="D133" i="152"/>
  <c r="O131" i="152"/>
  <c r="O130" i="152"/>
  <c r="O129" i="152"/>
  <c r="O128" i="152"/>
  <c r="O127" i="152"/>
  <c r="O126" i="152"/>
  <c r="O125" i="152"/>
  <c r="O124" i="152"/>
  <c r="O123" i="152"/>
  <c r="O122" i="152"/>
  <c r="O121" i="152"/>
  <c r="O120" i="152"/>
  <c r="O119" i="152"/>
  <c r="O118" i="152"/>
  <c r="O117" i="152"/>
  <c r="O116" i="152"/>
  <c r="O115" i="152"/>
  <c r="O114" i="152"/>
  <c r="O113" i="152"/>
  <c r="O112" i="152"/>
  <c r="O111" i="152"/>
  <c r="O110" i="152"/>
  <c r="O109" i="152"/>
  <c r="O108" i="152"/>
  <c r="O107" i="152"/>
  <c r="O106" i="152"/>
  <c r="O105" i="152"/>
  <c r="O104" i="152"/>
  <c r="O103" i="152"/>
  <c r="O102" i="152"/>
  <c r="O101" i="152"/>
  <c r="O100" i="152"/>
  <c r="O98" i="152"/>
  <c r="O97" i="152"/>
  <c r="O96" i="152"/>
  <c r="O95" i="152"/>
  <c r="O94" i="152"/>
  <c r="O93" i="152"/>
  <c r="O92" i="152"/>
  <c r="O91" i="152"/>
  <c r="O90" i="152"/>
  <c r="O89" i="152"/>
  <c r="O88" i="152"/>
  <c r="O87" i="152"/>
  <c r="O86" i="152"/>
  <c r="O85" i="152"/>
  <c r="O84" i="152"/>
  <c r="O83" i="152"/>
  <c r="O82" i="152"/>
  <c r="O81" i="152"/>
  <c r="O80" i="152"/>
  <c r="O79" i="152"/>
  <c r="O78" i="152"/>
  <c r="O77" i="152"/>
  <c r="O76" i="152"/>
  <c r="O75" i="152"/>
  <c r="O74" i="152"/>
  <c r="O73" i="152"/>
  <c r="O72" i="152"/>
  <c r="O71" i="152"/>
  <c r="O70" i="152"/>
  <c r="O69" i="152"/>
  <c r="O68" i="152"/>
  <c r="O67" i="152"/>
  <c r="O66" i="152"/>
  <c r="O65" i="152"/>
  <c r="O64" i="152"/>
  <c r="O63" i="152"/>
  <c r="O62" i="152"/>
  <c r="O61" i="152"/>
  <c r="O60" i="152"/>
  <c r="O59" i="152"/>
  <c r="O58" i="152"/>
  <c r="O57" i="152"/>
  <c r="O56" i="152"/>
  <c r="O55" i="152"/>
  <c r="O54" i="152"/>
  <c r="O53" i="152"/>
  <c r="O52" i="152"/>
  <c r="O51" i="152"/>
  <c r="O50" i="152"/>
  <c r="O49" i="152"/>
  <c r="O48" i="152"/>
  <c r="O47" i="152"/>
  <c r="O46" i="152"/>
  <c r="O45" i="152"/>
  <c r="O44" i="152"/>
  <c r="O43" i="152"/>
  <c r="O42" i="152"/>
  <c r="O41" i="152"/>
  <c r="O40" i="152"/>
  <c r="O39" i="152"/>
  <c r="O38" i="152"/>
  <c r="O37" i="152"/>
  <c r="O36" i="152"/>
  <c r="O35" i="152"/>
  <c r="O34" i="152"/>
  <c r="O33" i="152"/>
  <c r="O32" i="152"/>
  <c r="O31" i="152"/>
  <c r="O30" i="152"/>
  <c r="O29" i="152"/>
  <c r="O28" i="152"/>
  <c r="O27" i="152"/>
  <c r="O26" i="152"/>
  <c r="O25" i="152"/>
  <c r="O24" i="152"/>
  <c r="O23" i="152"/>
  <c r="O22" i="152"/>
  <c r="O21" i="152"/>
  <c r="O20" i="152"/>
  <c r="O19" i="152"/>
  <c r="O18" i="152"/>
  <c r="O17" i="152"/>
  <c r="O16" i="152"/>
  <c r="O15" i="152"/>
  <c r="O14" i="152"/>
  <c r="O13" i="152"/>
  <c r="C24" i="131"/>
  <c r="G17" i="169" s="1"/>
  <c r="F58" i="125"/>
  <c r="E58" i="125"/>
  <c r="C41" i="125"/>
  <c r="C42" i="125"/>
  <c r="G42" i="125"/>
  <c r="G58" i="125"/>
  <c r="C43" i="125"/>
  <c r="C44" i="125"/>
  <c r="C58" i="125" s="1"/>
  <c r="C45" i="125"/>
  <c r="C46" i="125"/>
  <c r="C47" i="125"/>
  <c r="C48" i="125"/>
  <c r="C49" i="125"/>
  <c r="C50" i="125"/>
  <c r="C51" i="125"/>
  <c r="C52" i="125"/>
  <c r="C53" i="125"/>
  <c r="C54" i="125"/>
  <c r="C55" i="125"/>
  <c r="C56" i="125"/>
  <c r="C57" i="125"/>
  <c r="H34" i="123"/>
  <c r="H50" i="123" s="1"/>
  <c r="F34" i="123"/>
  <c r="C60" i="122"/>
  <c r="C58" i="122"/>
  <c r="C57" i="122"/>
  <c r="C56" i="122"/>
  <c r="C55" i="122"/>
  <c r="C54" i="122"/>
  <c r="C53" i="122"/>
  <c r="C52" i="122"/>
  <c r="C51" i="122"/>
  <c r="C50" i="122"/>
  <c r="C49" i="122"/>
  <c r="C48" i="122"/>
  <c r="C47" i="122"/>
  <c r="C46" i="122"/>
  <c r="C45" i="122"/>
  <c r="C44" i="122"/>
  <c r="C43" i="122"/>
  <c r="C42" i="122"/>
  <c r="C41" i="122"/>
  <c r="C40" i="122"/>
  <c r="C39" i="122"/>
  <c r="G68" i="166"/>
  <c r="G57" i="166"/>
  <c r="G59" i="166"/>
  <c r="G60" i="166"/>
  <c r="G61" i="166"/>
  <c r="G62" i="166"/>
  <c r="G63" i="166"/>
  <c r="D43" i="120"/>
  <c r="F46" i="120"/>
  <c r="D122" i="119"/>
  <c r="C40" i="118"/>
  <c r="D40" i="118"/>
  <c r="N3" i="118"/>
  <c r="G87" i="166"/>
  <c r="G90" i="166"/>
  <c r="G92" i="166"/>
  <c r="G21" i="171"/>
  <c r="F32" i="110"/>
  <c r="G15" i="171"/>
  <c r="G18" i="171"/>
  <c r="G19" i="171"/>
  <c r="E639" i="162"/>
  <c r="E644" i="162"/>
  <c r="G751" i="163"/>
  <c r="G638" i="163"/>
  <c r="G740" i="163"/>
  <c r="E648" i="162"/>
  <c r="G153" i="166"/>
  <c r="E661" i="162"/>
  <c r="E784" i="162"/>
  <c r="E604" i="162"/>
  <c r="E621" i="162"/>
  <c r="E390" i="162"/>
  <c r="G48" i="163"/>
  <c r="G59" i="163"/>
  <c r="G327" i="163"/>
  <c r="G124" i="166"/>
  <c r="G125" i="166"/>
  <c r="E429" i="162"/>
  <c r="E433" i="162"/>
  <c r="G496" i="163"/>
  <c r="G509" i="163"/>
  <c r="G130" i="166"/>
  <c r="E468" i="162"/>
  <c r="E597" i="162"/>
  <c r="E87" i="162"/>
  <c r="E335" i="162"/>
  <c r="E343" i="162"/>
  <c r="E350" i="162"/>
  <c r="E354" i="162"/>
  <c r="G109" i="166"/>
  <c r="E71" i="162"/>
  <c r="G106" i="166"/>
  <c r="E67" i="162"/>
  <c r="G104" i="166"/>
  <c r="E52" i="162"/>
  <c r="E20" i="162"/>
  <c r="G96" i="166"/>
  <c r="G27" i="163"/>
  <c r="G90" i="117"/>
  <c r="E23" i="115"/>
  <c r="D23" i="115"/>
  <c r="F644" i="162"/>
  <c r="F621" i="162"/>
  <c r="F604" i="162"/>
  <c r="F648" i="162"/>
  <c r="H751" i="163"/>
  <c r="H740" i="163"/>
  <c r="H638" i="163"/>
  <c r="F784" i="162"/>
  <c r="F661" i="162"/>
  <c r="I90" i="117"/>
  <c r="K87" i="117"/>
  <c r="F468" i="162"/>
  <c r="F350" i="162"/>
  <c r="F67" i="162"/>
  <c r="F597" i="162"/>
  <c r="F335" i="162"/>
  <c r="F433" i="162"/>
  <c r="F71" i="162"/>
  <c r="H509" i="163"/>
  <c r="H327" i="163"/>
  <c r="H496" i="163"/>
  <c r="H48" i="163"/>
  <c r="H27" i="163"/>
  <c r="F343" i="162"/>
  <c r="F429" i="162"/>
  <c r="H59" i="163"/>
  <c r="F354" i="162"/>
  <c r="F81" i="162"/>
  <c r="F52" i="162"/>
  <c r="F87" i="162"/>
  <c r="F20" i="162"/>
  <c r="G122" i="119"/>
  <c r="F122" i="119"/>
  <c r="E122" i="119"/>
  <c r="G18" i="166"/>
  <c r="G42" i="166"/>
  <c r="M38" i="117"/>
  <c r="M41" i="117" s="1"/>
  <c r="G45" i="166"/>
  <c r="G40" i="166"/>
  <c r="C122" i="119"/>
  <c r="G17" i="166"/>
  <c r="G46" i="166"/>
  <c r="F390" i="162"/>
  <c r="F639" i="162"/>
  <c r="G38" i="166"/>
  <c r="G44" i="166"/>
  <c r="G41" i="166"/>
  <c r="G43" i="166"/>
  <c r="G39" i="166"/>
  <c r="G37" i="166"/>
  <c r="G16" i="166"/>
  <c r="F48" i="93"/>
  <c r="E31" i="93"/>
  <c r="F31" i="93"/>
  <c r="G44" i="148"/>
  <c r="F44" i="148"/>
  <c r="G30" i="148"/>
  <c r="G31" i="148"/>
  <c r="F30" i="148"/>
  <c r="F31" i="148"/>
  <c r="H43" i="147"/>
  <c r="E49" i="139"/>
  <c r="E60" i="139"/>
  <c r="D49" i="139"/>
  <c r="D60" i="139" s="1"/>
  <c r="C49" i="139"/>
  <c r="C60" i="139"/>
  <c r="D20" i="139"/>
  <c r="D22" i="139" s="1"/>
  <c r="C22" i="139"/>
  <c r="E109" i="138"/>
  <c r="D109" i="138"/>
  <c r="C109" i="138"/>
  <c r="D90" i="138"/>
  <c r="E90" i="138" s="1"/>
  <c r="C90" i="138"/>
  <c r="D85" i="138"/>
  <c r="C85" i="138"/>
  <c r="D79" i="138"/>
  <c r="D110" i="138" s="1"/>
  <c r="C75" i="138"/>
  <c r="C74" i="138"/>
  <c r="C73" i="138"/>
  <c r="C72" i="138"/>
  <c r="C71" i="138"/>
  <c r="C70" i="138"/>
  <c r="C69" i="138"/>
  <c r="C68" i="138"/>
  <c r="C67" i="138"/>
  <c r="C66" i="138"/>
  <c r="C64" i="138"/>
  <c r="C50" i="138"/>
  <c r="C36" i="138"/>
  <c r="C35" i="138"/>
  <c r="C34" i="138"/>
  <c r="C33" i="138"/>
  <c r="C32" i="138"/>
  <c r="C31" i="138"/>
  <c r="C30" i="138"/>
  <c r="C29" i="138"/>
  <c r="C27" i="138"/>
  <c r="C20" i="138"/>
  <c r="F22" i="137"/>
  <c r="E22" i="137"/>
  <c r="D22" i="137"/>
  <c r="C22" i="137"/>
  <c r="G21" i="137"/>
  <c r="G20" i="137"/>
  <c r="G18" i="137"/>
  <c r="G17" i="137"/>
  <c r="G16" i="137"/>
  <c r="G14" i="137"/>
  <c r="G12" i="137"/>
  <c r="G11" i="137"/>
  <c r="H67" i="136"/>
  <c r="G67" i="136"/>
  <c r="F67" i="136"/>
  <c r="E67" i="136"/>
  <c r="D67" i="136"/>
  <c r="I60" i="136"/>
  <c r="I59" i="136"/>
  <c r="I58" i="136"/>
  <c r="I57" i="136"/>
  <c r="I56" i="136"/>
  <c r="I55" i="136"/>
  <c r="I54" i="136"/>
  <c r="I53" i="136"/>
  <c r="I52" i="136"/>
  <c r="I51" i="136"/>
  <c r="I50" i="136"/>
  <c r="I49" i="136"/>
  <c r="I48" i="136"/>
  <c r="I47" i="136"/>
  <c r="I46" i="136"/>
  <c r="I45" i="136"/>
  <c r="I44" i="136"/>
  <c r="I43" i="136"/>
  <c r="I42" i="136"/>
  <c r="I41" i="136"/>
  <c r="I40" i="136"/>
  <c r="I39" i="136"/>
  <c r="I38" i="136"/>
  <c r="I37" i="136"/>
  <c r="I36" i="136"/>
  <c r="I35" i="136"/>
  <c r="I34" i="136"/>
  <c r="I33" i="136"/>
  <c r="I32" i="136"/>
  <c r="I31" i="136"/>
  <c r="I30" i="136"/>
  <c r="I29" i="136"/>
  <c r="I28" i="136"/>
  <c r="I27" i="136"/>
  <c r="I26" i="136"/>
  <c r="I25" i="136"/>
  <c r="I24" i="136"/>
  <c r="I23" i="136"/>
  <c r="I22" i="136"/>
  <c r="I21" i="136"/>
  <c r="I20" i="136"/>
  <c r="I19" i="136"/>
  <c r="I18" i="136"/>
  <c r="I17" i="136"/>
  <c r="I16" i="136"/>
  <c r="I15" i="136"/>
  <c r="I14" i="136"/>
  <c r="I13" i="136"/>
  <c r="I12" i="136"/>
  <c r="I67" i="136" s="1"/>
  <c r="I11" i="136"/>
  <c r="N110" i="135"/>
  <c r="M110" i="135"/>
  <c r="L110" i="135"/>
  <c r="K110" i="135"/>
  <c r="J110" i="135"/>
  <c r="O93" i="135"/>
  <c r="O92" i="135"/>
  <c r="O91" i="135"/>
  <c r="O90" i="135"/>
  <c r="O89" i="135"/>
  <c r="O88" i="135"/>
  <c r="O87" i="135"/>
  <c r="O86" i="135"/>
  <c r="O85" i="135"/>
  <c r="O84" i="135"/>
  <c r="O83" i="135"/>
  <c r="O82" i="135"/>
  <c r="O81" i="135"/>
  <c r="O80" i="135"/>
  <c r="O79" i="135"/>
  <c r="O78" i="135"/>
  <c r="O77" i="135"/>
  <c r="O76" i="135"/>
  <c r="O75" i="135"/>
  <c r="O74" i="135"/>
  <c r="O73" i="135"/>
  <c r="O72" i="135"/>
  <c r="O71" i="135"/>
  <c r="O70" i="135"/>
  <c r="O69" i="135"/>
  <c r="O68" i="135"/>
  <c r="O67" i="135"/>
  <c r="O66" i="135"/>
  <c r="O65" i="135"/>
  <c r="O64" i="135"/>
  <c r="O63" i="135"/>
  <c r="O62" i="135"/>
  <c r="O61" i="135"/>
  <c r="O60" i="135"/>
  <c r="O59" i="135"/>
  <c r="O58" i="135"/>
  <c r="O57" i="135"/>
  <c r="O56" i="135"/>
  <c r="O55" i="135"/>
  <c r="O54" i="135"/>
  <c r="O53" i="135"/>
  <c r="O52" i="135"/>
  <c r="O51" i="135"/>
  <c r="O50" i="135"/>
  <c r="O49" i="135"/>
  <c r="O48" i="135"/>
  <c r="O47" i="135"/>
  <c r="O46" i="135"/>
  <c r="O45" i="135"/>
  <c r="O44" i="135"/>
  <c r="O43" i="135"/>
  <c r="O42" i="135"/>
  <c r="O41" i="135"/>
  <c r="O40" i="135"/>
  <c r="O39" i="135"/>
  <c r="O38" i="135"/>
  <c r="O37" i="135"/>
  <c r="O36" i="135"/>
  <c r="O35" i="135"/>
  <c r="O34" i="135"/>
  <c r="O33" i="135"/>
  <c r="O32" i="135"/>
  <c r="O31" i="135"/>
  <c r="O30" i="135"/>
  <c r="O29" i="135"/>
  <c r="O28" i="135"/>
  <c r="O27" i="135"/>
  <c r="O26" i="135"/>
  <c r="O25" i="135"/>
  <c r="O24" i="135"/>
  <c r="O23" i="135"/>
  <c r="O22" i="135"/>
  <c r="O21" i="135"/>
  <c r="O20" i="135"/>
  <c r="O19" i="135"/>
  <c r="O18" i="135"/>
  <c r="O17" i="135"/>
  <c r="O16" i="135"/>
  <c r="O15" i="135"/>
  <c r="O14" i="135"/>
  <c r="O13" i="135"/>
  <c r="O12" i="135"/>
  <c r="O110" i="135" s="1"/>
  <c r="N134" i="134"/>
  <c r="M134" i="134"/>
  <c r="L134" i="134"/>
  <c r="K134" i="134"/>
  <c r="J134" i="134"/>
  <c r="I134" i="134"/>
  <c r="H134" i="134"/>
  <c r="G134" i="134"/>
  <c r="F134" i="134"/>
  <c r="E134" i="134"/>
  <c r="D134" i="134"/>
  <c r="O132" i="134"/>
  <c r="O131" i="134"/>
  <c r="O130" i="134"/>
  <c r="O129" i="134"/>
  <c r="O128" i="134"/>
  <c r="O127" i="134"/>
  <c r="O126" i="134"/>
  <c r="O125" i="134"/>
  <c r="O124" i="134"/>
  <c r="O123" i="134"/>
  <c r="O122" i="134"/>
  <c r="O121" i="134"/>
  <c r="O120" i="134"/>
  <c r="O119" i="134"/>
  <c r="O118" i="134"/>
  <c r="O117" i="134"/>
  <c r="O116" i="134"/>
  <c r="O115" i="134"/>
  <c r="O114" i="134"/>
  <c r="O113" i="134"/>
  <c r="O112" i="134"/>
  <c r="O111" i="134"/>
  <c r="O110" i="134"/>
  <c r="O109" i="134"/>
  <c r="O108" i="134"/>
  <c r="O107" i="134"/>
  <c r="O106" i="134"/>
  <c r="O105" i="134"/>
  <c r="O104" i="134"/>
  <c r="O103" i="134"/>
  <c r="O102" i="134"/>
  <c r="O101" i="134"/>
  <c r="O99" i="134"/>
  <c r="O98" i="134"/>
  <c r="O97" i="134"/>
  <c r="O96" i="134"/>
  <c r="O95" i="134"/>
  <c r="O94" i="134"/>
  <c r="O93" i="134"/>
  <c r="O92" i="134"/>
  <c r="O91" i="134"/>
  <c r="O90" i="134"/>
  <c r="O89" i="134"/>
  <c r="O88" i="134"/>
  <c r="O87" i="134"/>
  <c r="O86" i="134"/>
  <c r="O85" i="134"/>
  <c r="O84" i="134"/>
  <c r="O83" i="134"/>
  <c r="O82" i="134"/>
  <c r="O81" i="134"/>
  <c r="O80" i="134"/>
  <c r="O79" i="134"/>
  <c r="O78" i="134"/>
  <c r="O77" i="134"/>
  <c r="O76" i="134"/>
  <c r="O75" i="134"/>
  <c r="O74" i="134"/>
  <c r="O73" i="134"/>
  <c r="O72" i="134"/>
  <c r="O71" i="134"/>
  <c r="O70" i="134"/>
  <c r="O69" i="134"/>
  <c r="O68" i="134"/>
  <c r="O67" i="134"/>
  <c r="O66" i="134"/>
  <c r="O65" i="134"/>
  <c r="O64" i="134"/>
  <c r="O63" i="134"/>
  <c r="O62" i="134"/>
  <c r="O61" i="134"/>
  <c r="O60" i="134"/>
  <c r="O59" i="134"/>
  <c r="O58" i="134"/>
  <c r="O57" i="134"/>
  <c r="O56" i="134"/>
  <c r="O55" i="134"/>
  <c r="O54" i="134"/>
  <c r="O53" i="134"/>
  <c r="O52" i="134"/>
  <c r="O51" i="134"/>
  <c r="O50" i="134"/>
  <c r="O49" i="134"/>
  <c r="O48" i="134"/>
  <c r="O47" i="134"/>
  <c r="O46" i="134"/>
  <c r="O45" i="134"/>
  <c r="O44" i="134"/>
  <c r="O43" i="134"/>
  <c r="O42" i="134"/>
  <c r="O41" i="134"/>
  <c r="O40" i="134"/>
  <c r="O39" i="134"/>
  <c r="O38" i="134"/>
  <c r="O37" i="134"/>
  <c r="O36" i="134"/>
  <c r="O35" i="134"/>
  <c r="O34" i="134"/>
  <c r="O33" i="134"/>
  <c r="O32" i="134"/>
  <c r="O31" i="134"/>
  <c r="O30" i="134"/>
  <c r="O29" i="134"/>
  <c r="O28" i="134"/>
  <c r="O27" i="134"/>
  <c r="O26" i="134"/>
  <c r="O25" i="134"/>
  <c r="O24" i="134"/>
  <c r="O23" i="134"/>
  <c r="O22" i="134"/>
  <c r="O21" i="134"/>
  <c r="O20" i="134"/>
  <c r="O19" i="134"/>
  <c r="O18" i="134"/>
  <c r="O17" i="134"/>
  <c r="O16" i="134"/>
  <c r="O15" i="134"/>
  <c r="O134" i="134" s="1"/>
  <c r="O14" i="134"/>
  <c r="O13" i="134"/>
  <c r="O12" i="134"/>
  <c r="U11" i="134"/>
  <c r="O109" i="133"/>
  <c r="N108" i="133"/>
  <c r="M108" i="133"/>
  <c r="L108" i="133"/>
  <c r="K108" i="133"/>
  <c r="J108" i="133"/>
  <c r="I108" i="133"/>
  <c r="H108" i="133"/>
  <c r="G108" i="133"/>
  <c r="F108" i="133"/>
  <c r="E108" i="133"/>
  <c r="U11" i="133"/>
  <c r="D233" i="131"/>
  <c r="D236" i="131" s="1"/>
  <c r="C236" i="131"/>
  <c r="D217" i="131"/>
  <c r="C217" i="131"/>
  <c r="G54" i="169" s="1"/>
  <c r="D210" i="131"/>
  <c r="C210" i="131"/>
  <c r="D196" i="131"/>
  <c r="C196" i="131"/>
  <c r="G50" i="169" s="1"/>
  <c r="D187" i="131"/>
  <c r="D188" i="131"/>
  <c r="C187" i="131"/>
  <c r="G46" i="169" s="1"/>
  <c r="D175" i="131"/>
  <c r="C175" i="131"/>
  <c r="G45" i="169" s="1"/>
  <c r="C160" i="131"/>
  <c r="D159" i="131"/>
  <c r="D158" i="131"/>
  <c r="D157" i="131"/>
  <c r="D156" i="131"/>
  <c r="D155" i="131"/>
  <c r="C153" i="131"/>
  <c r="C161" i="131"/>
  <c r="D152" i="131"/>
  <c r="D151" i="131"/>
  <c r="D153" i="131" s="1"/>
  <c r="D161" i="131" s="1"/>
  <c r="D150" i="131"/>
  <c r="D149" i="131"/>
  <c r="D148" i="131"/>
  <c r="D147" i="131"/>
  <c r="D146" i="131"/>
  <c r="D145" i="131"/>
  <c r="D134" i="131"/>
  <c r="C134" i="131"/>
  <c r="G41" i="169" s="1"/>
  <c r="D121" i="131"/>
  <c r="D135" i="131" s="1"/>
  <c r="C121" i="131"/>
  <c r="G40" i="169" s="1"/>
  <c r="D100" i="131"/>
  <c r="C100" i="131"/>
  <c r="D93" i="131"/>
  <c r="C93" i="131"/>
  <c r="G29" i="169" s="1"/>
  <c r="D86" i="131"/>
  <c r="D94" i="131" s="1"/>
  <c r="C86" i="131"/>
  <c r="G28" i="169" s="1"/>
  <c r="D69" i="131"/>
  <c r="C69" i="131"/>
  <c r="G25" i="169" s="1"/>
  <c r="D61" i="131"/>
  <c r="C61" i="131"/>
  <c r="G24" i="169" s="1"/>
  <c r="C51" i="131"/>
  <c r="G22" i="169" s="1"/>
  <c r="D50" i="131"/>
  <c r="D51" i="131"/>
  <c r="D49" i="131"/>
  <c r="D48" i="131"/>
  <c r="D47" i="131"/>
  <c r="D46" i="131"/>
  <c r="C44" i="131"/>
  <c r="D43" i="131"/>
  <c r="D42" i="131"/>
  <c r="D41" i="131"/>
  <c r="D44" i="131" s="1"/>
  <c r="D52" i="131" s="1"/>
  <c r="D40" i="131"/>
  <c r="D39" i="131"/>
  <c r="D38" i="131"/>
  <c r="D37" i="131"/>
  <c r="D36" i="131"/>
  <c r="D35" i="131"/>
  <c r="D31" i="131"/>
  <c r="C31" i="131"/>
  <c r="G18" i="169" s="1"/>
  <c r="D24" i="131"/>
  <c r="P7" i="129"/>
  <c r="O7" i="129"/>
  <c r="G105" i="128"/>
  <c r="F105" i="128"/>
  <c r="E105" i="128"/>
  <c r="K104" i="128"/>
  <c r="J104" i="128"/>
  <c r="J105" i="128" s="1"/>
  <c r="I104" i="128"/>
  <c r="H104" i="128"/>
  <c r="K103" i="128"/>
  <c r="K105" i="128" s="1"/>
  <c r="J103" i="128"/>
  <c r="I103" i="128"/>
  <c r="I105" i="128" s="1"/>
  <c r="H103" i="128"/>
  <c r="L94" i="128"/>
  <c r="L93" i="128"/>
  <c r="L92" i="128"/>
  <c r="L91" i="128"/>
  <c r="L90" i="128"/>
  <c r="L89" i="128"/>
  <c r="L88" i="128"/>
  <c r="L87" i="128"/>
  <c r="L86" i="128"/>
  <c r="L85" i="128"/>
  <c r="L84" i="128"/>
  <c r="L83" i="128"/>
  <c r="L82" i="128"/>
  <c r="L81" i="128"/>
  <c r="L80" i="128"/>
  <c r="L79" i="128"/>
  <c r="L78" i="128"/>
  <c r="L77" i="128"/>
  <c r="L76" i="128"/>
  <c r="L75" i="128"/>
  <c r="L74" i="128"/>
  <c r="L73" i="128"/>
  <c r="L72" i="128"/>
  <c r="L71" i="128"/>
  <c r="L70" i="128"/>
  <c r="L69" i="128"/>
  <c r="L68" i="128"/>
  <c r="L67" i="128"/>
  <c r="L66" i="128"/>
  <c r="L65" i="128"/>
  <c r="L64" i="128"/>
  <c r="L63" i="128"/>
  <c r="L62" i="128"/>
  <c r="L61" i="128"/>
  <c r="L60" i="128"/>
  <c r="L59" i="128"/>
  <c r="L58" i="128"/>
  <c r="L57" i="128"/>
  <c r="L56" i="128"/>
  <c r="L55" i="128"/>
  <c r="L54" i="128"/>
  <c r="L53" i="128"/>
  <c r="L52" i="128"/>
  <c r="L51" i="128"/>
  <c r="L50" i="128"/>
  <c r="L49" i="128"/>
  <c r="L48" i="128"/>
  <c r="L47" i="128"/>
  <c r="L46" i="128"/>
  <c r="L45" i="128"/>
  <c r="L44" i="128"/>
  <c r="L43" i="128"/>
  <c r="L42" i="128"/>
  <c r="L41" i="128"/>
  <c r="L40" i="128"/>
  <c r="L39" i="128"/>
  <c r="L38" i="128"/>
  <c r="L37" i="128"/>
  <c r="L36" i="128"/>
  <c r="L35" i="128"/>
  <c r="L34" i="128"/>
  <c r="L33" i="128"/>
  <c r="L32" i="128"/>
  <c r="L31" i="128"/>
  <c r="L30" i="128"/>
  <c r="L29" i="128"/>
  <c r="L28" i="128"/>
  <c r="L27" i="128"/>
  <c r="L26" i="128"/>
  <c r="L25" i="128"/>
  <c r="L24" i="128"/>
  <c r="L23" i="128"/>
  <c r="L22" i="128"/>
  <c r="L104" i="128" s="1"/>
  <c r="L21" i="128"/>
  <c r="L20" i="128"/>
  <c r="L19" i="128"/>
  <c r="L18" i="128"/>
  <c r="L17" i="128"/>
  <c r="L16" i="128"/>
  <c r="L15" i="128"/>
  <c r="L14" i="128"/>
  <c r="L13" i="128"/>
  <c r="L12" i="128"/>
  <c r="G52" i="126"/>
  <c r="F52" i="126"/>
  <c r="E52" i="126"/>
  <c r="C51" i="126"/>
  <c r="C50" i="126"/>
  <c r="C49" i="126"/>
  <c r="C48" i="126"/>
  <c r="C47" i="126"/>
  <c r="C46" i="126"/>
  <c r="C45" i="126"/>
  <c r="C44" i="126"/>
  <c r="C43" i="126"/>
  <c r="C42" i="126"/>
  <c r="C41" i="126"/>
  <c r="C40" i="126"/>
  <c r="C39" i="126"/>
  <c r="C38" i="126"/>
  <c r="C37" i="126"/>
  <c r="C36" i="126"/>
  <c r="C35" i="126"/>
  <c r="C34" i="126"/>
  <c r="C33" i="126"/>
  <c r="C32" i="126"/>
  <c r="C31" i="126"/>
  <c r="C30" i="126"/>
  <c r="C29" i="126"/>
  <c r="C28" i="126"/>
  <c r="C27" i="126"/>
  <c r="C26" i="126"/>
  <c r="C25" i="126"/>
  <c r="C24" i="126"/>
  <c r="N49" i="123"/>
  <c r="M49" i="123"/>
  <c r="H49" i="123"/>
  <c r="G49" i="123"/>
  <c r="F49" i="123"/>
  <c r="E49" i="123"/>
  <c r="D49" i="123"/>
  <c r="N44" i="123"/>
  <c r="M44" i="123"/>
  <c r="H44" i="123"/>
  <c r="G44" i="123"/>
  <c r="F44" i="123"/>
  <c r="E44" i="123"/>
  <c r="D44" i="123"/>
  <c r="N39" i="123"/>
  <c r="M39" i="123"/>
  <c r="H39" i="123"/>
  <c r="G39" i="123"/>
  <c r="F39" i="123"/>
  <c r="E39" i="123"/>
  <c r="D39" i="123"/>
  <c r="E34" i="123"/>
  <c r="H121" i="119"/>
  <c r="H122" i="119" s="1"/>
  <c r="H120" i="119"/>
  <c r="H119" i="119"/>
  <c r="C116" i="119"/>
  <c r="H116" i="119" s="1"/>
  <c r="G48" i="166" s="1"/>
  <c r="C115" i="119"/>
  <c r="H115" i="119" s="1"/>
  <c r="G47" i="166" s="1"/>
  <c r="G102" i="119"/>
  <c r="F102" i="119"/>
  <c r="E102" i="119"/>
  <c r="D102" i="119"/>
  <c r="C101" i="119"/>
  <c r="H101" i="119" s="1"/>
  <c r="C100" i="119"/>
  <c r="H100" i="119"/>
  <c r="C99" i="119"/>
  <c r="H99" i="119"/>
  <c r="C98" i="119"/>
  <c r="H98" i="119" s="1"/>
  <c r="C97" i="119"/>
  <c r="H97" i="119" s="1"/>
  <c r="C96" i="119"/>
  <c r="C95" i="119"/>
  <c r="H95" i="119"/>
  <c r="H36" i="119"/>
  <c r="G23" i="166" s="1"/>
  <c r="G36" i="119"/>
  <c r="F36" i="119"/>
  <c r="E36" i="119"/>
  <c r="D36" i="119"/>
  <c r="C36" i="119"/>
  <c r="P41" i="118"/>
  <c r="P40" i="118"/>
  <c r="P42" i="118" s="1"/>
  <c r="I40" i="118"/>
  <c r="H40" i="118"/>
  <c r="G40" i="118"/>
  <c r="F40" i="118"/>
  <c r="E40" i="118"/>
  <c r="I36" i="118"/>
  <c r="H36" i="118"/>
  <c r="G36" i="118"/>
  <c r="F36" i="118"/>
  <c r="E36" i="118"/>
  <c r="D36" i="118"/>
  <c r="C36" i="118"/>
  <c r="P35" i="118"/>
  <c r="P34" i="118"/>
  <c r="P36" i="118" s="1"/>
  <c r="H32" i="118"/>
  <c r="G32" i="118"/>
  <c r="G43" i="118" s="1"/>
  <c r="F32" i="118"/>
  <c r="P29" i="118"/>
  <c r="P30" i="118"/>
  <c r="H18" i="118"/>
  <c r="H23" i="118" s="1"/>
  <c r="H25" i="118" s="1"/>
  <c r="G18" i="118"/>
  <c r="G23" i="118"/>
  <c r="G25" i="118" s="1"/>
  <c r="F18" i="118"/>
  <c r="F23" i="118" s="1"/>
  <c r="F25" i="118" s="1"/>
  <c r="L89" i="117"/>
  <c r="J89" i="117"/>
  <c r="H89" i="117"/>
  <c r="F89" i="117"/>
  <c r="F91" i="117" s="1"/>
  <c r="E89" i="117"/>
  <c r="E91" i="117"/>
  <c r="D89" i="117"/>
  <c r="D91" i="117" s="1"/>
  <c r="M84" i="117"/>
  <c r="L84" i="117"/>
  <c r="K84" i="117"/>
  <c r="J84" i="117"/>
  <c r="I84" i="117"/>
  <c r="H84" i="117"/>
  <c r="G84" i="117"/>
  <c r="F84" i="117"/>
  <c r="M73" i="117"/>
  <c r="L73" i="117"/>
  <c r="K73" i="117"/>
  <c r="J73" i="117"/>
  <c r="I73" i="117"/>
  <c r="H73" i="117"/>
  <c r="G73" i="117"/>
  <c r="F73" i="117"/>
  <c r="M64" i="117"/>
  <c r="L64" i="117"/>
  <c r="K64" i="117"/>
  <c r="J64" i="117"/>
  <c r="I64" i="117"/>
  <c r="H64" i="117"/>
  <c r="G64" i="117"/>
  <c r="F64" i="117"/>
  <c r="F74" i="117" s="1"/>
  <c r="M55" i="117"/>
  <c r="M74" i="117" s="1"/>
  <c r="L55" i="117"/>
  <c r="L74" i="117" s="1"/>
  <c r="K55" i="117"/>
  <c r="K74" i="117" s="1"/>
  <c r="J55" i="117"/>
  <c r="I55" i="117"/>
  <c r="H55" i="117"/>
  <c r="G55" i="117"/>
  <c r="F55" i="117"/>
  <c r="M37" i="117"/>
  <c r="L37" i="117"/>
  <c r="L38" i="117" s="1"/>
  <c r="L41" i="117" s="1"/>
  <c r="L85" i="117" s="1"/>
  <c r="E26" i="116"/>
  <c r="D26" i="116"/>
  <c r="D28" i="113"/>
  <c r="E28" i="113" s="1"/>
  <c r="G22" i="113"/>
  <c r="F22" i="113"/>
  <c r="E22" i="113"/>
  <c r="D22" i="113"/>
  <c r="C22" i="113"/>
  <c r="B22" i="113"/>
  <c r="B24" i="113" s="1"/>
  <c r="H21" i="113"/>
  <c r="B29" i="113" s="1"/>
  <c r="C29" i="113" s="1"/>
  <c r="E29" i="113" s="1"/>
  <c r="L52" i="169" s="1"/>
  <c r="H52" i="169" s="1"/>
  <c r="H212" i="80" s="1"/>
  <c r="G11" i="113"/>
  <c r="F11" i="113"/>
  <c r="F13" i="113" s="1"/>
  <c r="E11" i="113"/>
  <c r="E13" i="113" s="1"/>
  <c r="D11" i="113"/>
  <c r="D13" i="113"/>
  <c r="C11" i="113"/>
  <c r="C13" i="113" s="1"/>
  <c r="B11" i="113"/>
  <c r="B13" i="113" s="1"/>
  <c r="H10" i="113"/>
  <c r="B28" i="113"/>
  <c r="B32" i="113" s="1"/>
  <c r="H9" i="113"/>
  <c r="H8" i="113"/>
  <c r="G111" i="112"/>
  <c r="G113" i="112"/>
  <c r="F111" i="112"/>
  <c r="F113" i="112" s="1"/>
  <c r="C111" i="112"/>
  <c r="C113" i="112" s="1"/>
  <c r="I104" i="112"/>
  <c r="I96" i="112"/>
  <c r="I56" i="112"/>
  <c r="I27" i="112"/>
  <c r="I10" i="112"/>
  <c r="I7" i="112"/>
  <c r="F13" i="111"/>
  <c r="F15" i="111" s="1"/>
  <c r="G10" i="111"/>
  <c r="G7" i="111"/>
  <c r="E30" i="110"/>
  <c r="I29" i="110"/>
  <c r="H29" i="110"/>
  <c r="G29" i="110"/>
  <c r="I28" i="110"/>
  <c r="H28" i="110"/>
  <c r="G28" i="110"/>
  <c r="I27" i="110"/>
  <c r="H27" i="110"/>
  <c r="G27" i="110"/>
  <c r="I26" i="110"/>
  <c r="H26" i="110"/>
  <c r="G26" i="110"/>
  <c r="I25" i="110"/>
  <c r="H25" i="110"/>
  <c r="G25" i="110"/>
  <c r="I24" i="110"/>
  <c r="H24" i="110"/>
  <c r="G24" i="110"/>
  <c r="I23" i="110"/>
  <c r="H23" i="110"/>
  <c r="G23" i="110"/>
  <c r="I21" i="110"/>
  <c r="H21" i="110"/>
  <c r="G21" i="110"/>
  <c r="I20" i="110"/>
  <c r="H20" i="110"/>
  <c r="G20" i="110"/>
  <c r="I19" i="110"/>
  <c r="H19" i="110"/>
  <c r="G19" i="110"/>
  <c r="E14" i="110"/>
  <c r="E16" i="110"/>
  <c r="I13" i="110"/>
  <c r="H13" i="110"/>
  <c r="G13" i="110"/>
  <c r="I12" i="110"/>
  <c r="H12" i="110"/>
  <c r="G12" i="110"/>
  <c r="I11" i="110"/>
  <c r="H11" i="110"/>
  <c r="G11" i="110"/>
  <c r="I10" i="110"/>
  <c r="H10" i="110"/>
  <c r="G10" i="110"/>
  <c r="I8" i="110"/>
  <c r="H8" i="110"/>
  <c r="G8" i="110"/>
  <c r="I7" i="110"/>
  <c r="H7" i="110"/>
  <c r="G7" i="110"/>
  <c r="F15" i="108"/>
  <c r="F17" i="108" s="1"/>
  <c r="J13" i="108"/>
  <c r="I13" i="108"/>
  <c r="H13" i="108"/>
  <c r="F115" i="107"/>
  <c r="F117" i="107" s="1"/>
  <c r="J86" i="107"/>
  <c r="I86" i="107"/>
  <c r="H86" i="107"/>
  <c r="J85" i="107"/>
  <c r="I85" i="107"/>
  <c r="H85" i="107"/>
  <c r="J84" i="107"/>
  <c r="I84" i="107"/>
  <c r="H84" i="107"/>
  <c r="J83" i="107"/>
  <c r="I83" i="107"/>
  <c r="H83" i="107"/>
  <c r="J82" i="107"/>
  <c r="I82" i="107"/>
  <c r="H82" i="107"/>
  <c r="J81" i="107"/>
  <c r="I81" i="107"/>
  <c r="H81" i="107"/>
  <c r="J80" i="107"/>
  <c r="I80" i="107"/>
  <c r="H80" i="107"/>
  <c r="J79" i="107"/>
  <c r="I79" i="107"/>
  <c r="H79" i="107"/>
  <c r="J78" i="107"/>
  <c r="I78" i="107"/>
  <c r="H78" i="107"/>
  <c r="J77" i="107"/>
  <c r="I77" i="107"/>
  <c r="H77" i="107"/>
  <c r="J76" i="107"/>
  <c r="I76" i="107"/>
  <c r="H76" i="107"/>
  <c r="J74" i="107"/>
  <c r="I74" i="107"/>
  <c r="H74" i="107"/>
  <c r="J73" i="107"/>
  <c r="I73" i="107"/>
  <c r="H73" i="107"/>
  <c r="J72" i="107"/>
  <c r="I72" i="107"/>
  <c r="H72" i="107"/>
  <c r="J71" i="107"/>
  <c r="I71" i="107"/>
  <c r="H71" i="107"/>
  <c r="J70" i="107"/>
  <c r="I70" i="107"/>
  <c r="H70" i="107"/>
  <c r="J69" i="107"/>
  <c r="I69" i="107"/>
  <c r="H69" i="107"/>
  <c r="J68" i="107"/>
  <c r="I68" i="107"/>
  <c r="H68" i="107"/>
  <c r="J40" i="107"/>
  <c r="I40" i="107"/>
  <c r="H40" i="107"/>
  <c r="J38" i="107"/>
  <c r="I38" i="107"/>
  <c r="H38" i="107"/>
  <c r="J37" i="107"/>
  <c r="I37" i="107"/>
  <c r="H37" i="107"/>
  <c r="J36" i="107"/>
  <c r="I36" i="107"/>
  <c r="H36" i="107"/>
  <c r="J35" i="107"/>
  <c r="I35" i="107"/>
  <c r="H35" i="107"/>
  <c r="J34" i="107"/>
  <c r="I34" i="107"/>
  <c r="H34" i="107"/>
  <c r="J33" i="107"/>
  <c r="I33" i="107"/>
  <c r="H33" i="107"/>
  <c r="J32" i="107"/>
  <c r="I32" i="107"/>
  <c r="H32" i="107"/>
  <c r="J31" i="107"/>
  <c r="I31" i="107"/>
  <c r="H31" i="107"/>
  <c r="K35" i="106"/>
  <c r="J35" i="106"/>
  <c r="I35" i="106"/>
  <c r="K31" i="106"/>
  <c r="J31" i="106"/>
  <c r="I31" i="106"/>
  <c r="F31" i="106"/>
  <c r="F33" i="106" s="1"/>
  <c r="F21" i="106"/>
  <c r="F23" i="106" s="1"/>
  <c r="I90" i="105"/>
  <c r="H90" i="105"/>
  <c r="G90" i="105"/>
  <c r="I89" i="105"/>
  <c r="H89" i="105"/>
  <c r="G89" i="105"/>
  <c r="I88" i="105"/>
  <c r="H88" i="105"/>
  <c r="G88" i="105"/>
  <c r="I87" i="105"/>
  <c r="H87" i="105"/>
  <c r="G87" i="105"/>
  <c r="I86" i="105"/>
  <c r="H86" i="105"/>
  <c r="G86" i="105"/>
  <c r="I85" i="105"/>
  <c r="H85" i="105"/>
  <c r="G85" i="105"/>
  <c r="I84" i="105"/>
  <c r="H84" i="105"/>
  <c r="G84" i="105"/>
  <c r="I83" i="105"/>
  <c r="H83" i="105"/>
  <c r="G83" i="105"/>
  <c r="I82" i="105"/>
  <c r="H82" i="105"/>
  <c r="G82" i="105"/>
  <c r="I81" i="105"/>
  <c r="H81" i="105"/>
  <c r="G81" i="105"/>
  <c r="I80" i="105"/>
  <c r="H80" i="105"/>
  <c r="G80" i="105"/>
  <c r="I79" i="105"/>
  <c r="H79" i="105"/>
  <c r="G79" i="105"/>
  <c r="I78" i="105"/>
  <c r="H78" i="105"/>
  <c r="G78" i="105"/>
  <c r="I77" i="105"/>
  <c r="H77" i="105"/>
  <c r="G77" i="105"/>
  <c r="I76" i="105"/>
  <c r="H76" i="105"/>
  <c r="G76" i="105"/>
  <c r="I75" i="105"/>
  <c r="H75" i="105"/>
  <c r="G75" i="105"/>
  <c r="I74" i="105"/>
  <c r="H74" i="105"/>
  <c r="G74" i="105"/>
  <c r="I73" i="105"/>
  <c r="H73" i="105"/>
  <c r="G73" i="105"/>
  <c r="I72" i="105"/>
  <c r="H72" i="105"/>
  <c r="G72" i="105"/>
  <c r="I71" i="105"/>
  <c r="H71" i="105"/>
  <c r="G71" i="105"/>
  <c r="I70" i="105"/>
  <c r="H70" i="105"/>
  <c r="G70" i="105"/>
  <c r="I69" i="105"/>
  <c r="H69" i="105"/>
  <c r="G69" i="105"/>
  <c r="I68" i="105"/>
  <c r="H68" i="105"/>
  <c r="G68" i="105"/>
  <c r="I62" i="105"/>
  <c r="H62" i="105"/>
  <c r="G62" i="105"/>
  <c r="I61" i="105"/>
  <c r="H61" i="105"/>
  <c r="G61" i="105"/>
  <c r="I60" i="105"/>
  <c r="H60" i="105"/>
  <c r="G60" i="105"/>
  <c r="I59" i="105"/>
  <c r="H59" i="105"/>
  <c r="G59" i="105"/>
  <c r="I58" i="105"/>
  <c r="H58" i="105"/>
  <c r="G58" i="105"/>
  <c r="I57" i="105"/>
  <c r="H57" i="105"/>
  <c r="G57" i="105"/>
  <c r="I56" i="105"/>
  <c r="H56" i="105"/>
  <c r="G56" i="105"/>
  <c r="I55" i="105"/>
  <c r="H55" i="105"/>
  <c r="G55" i="105"/>
  <c r="I54" i="105"/>
  <c r="H54" i="105"/>
  <c r="G54" i="105"/>
  <c r="I53" i="105"/>
  <c r="H53" i="105"/>
  <c r="G53" i="105"/>
  <c r="I52" i="105"/>
  <c r="H52" i="105"/>
  <c r="G52" i="105"/>
  <c r="I51" i="105"/>
  <c r="H51" i="105"/>
  <c r="G51" i="105"/>
  <c r="I50" i="105"/>
  <c r="H50" i="105"/>
  <c r="G50" i="105"/>
  <c r="I49" i="105"/>
  <c r="H49" i="105"/>
  <c r="G49" i="105"/>
  <c r="I48" i="105"/>
  <c r="H48" i="105"/>
  <c r="G48" i="105"/>
  <c r="I47" i="105"/>
  <c r="H47" i="105"/>
  <c r="G47" i="105"/>
  <c r="I46" i="105"/>
  <c r="H46" i="105"/>
  <c r="G46" i="105"/>
  <c r="I45" i="105"/>
  <c r="H45" i="105"/>
  <c r="G45" i="105"/>
  <c r="I44" i="105"/>
  <c r="H44" i="105"/>
  <c r="G44" i="105"/>
  <c r="I40" i="105"/>
  <c r="H40" i="105"/>
  <c r="G40" i="105"/>
  <c r="I39" i="105"/>
  <c r="H39" i="105"/>
  <c r="G39" i="105"/>
  <c r="I38" i="105"/>
  <c r="H38" i="105"/>
  <c r="G38" i="105"/>
  <c r="I37" i="105"/>
  <c r="H37" i="105"/>
  <c r="G37" i="105"/>
  <c r="I36" i="105"/>
  <c r="H36" i="105"/>
  <c r="G36" i="105"/>
  <c r="I35" i="105"/>
  <c r="H35" i="105"/>
  <c r="G35" i="105"/>
  <c r="I34" i="105"/>
  <c r="H34" i="105"/>
  <c r="G34" i="105"/>
  <c r="I33" i="105"/>
  <c r="H33" i="105"/>
  <c r="G33" i="105"/>
  <c r="I32" i="105"/>
  <c r="H32" i="105"/>
  <c r="G32" i="105"/>
  <c r="I31" i="105"/>
  <c r="H31" i="105"/>
  <c r="G31" i="105"/>
  <c r="I30" i="105"/>
  <c r="H30" i="105"/>
  <c r="G30" i="105"/>
  <c r="I29" i="105"/>
  <c r="H29" i="105"/>
  <c r="G29" i="105"/>
  <c r="I26" i="105"/>
  <c r="H26" i="105"/>
  <c r="G26" i="105"/>
  <c r="I25" i="105"/>
  <c r="H25" i="105"/>
  <c r="G25" i="105"/>
  <c r="I24" i="105"/>
  <c r="H24" i="105"/>
  <c r="G24" i="105"/>
  <c r="I23" i="105"/>
  <c r="H23" i="105"/>
  <c r="G23" i="105"/>
  <c r="I22" i="105"/>
  <c r="H22" i="105"/>
  <c r="G22" i="105"/>
  <c r="I21" i="105"/>
  <c r="H21" i="105"/>
  <c r="G21" i="105"/>
  <c r="I20" i="105"/>
  <c r="H20" i="105"/>
  <c r="G20" i="105"/>
  <c r="I19" i="105"/>
  <c r="H19" i="105"/>
  <c r="G19" i="105"/>
  <c r="I18" i="105"/>
  <c r="H18" i="105"/>
  <c r="G18" i="105"/>
  <c r="I16" i="105"/>
  <c r="H16" i="105"/>
  <c r="G16" i="105"/>
  <c r="I15" i="105"/>
  <c r="H15" i="105"/>
  <c r="G15" i="105"/>
  <c r="I14" i="105"/>
  <c r="H14" i="105"/>
  <c r="G14" i="105"/>
  <c r="I10" i="105"/>
  <c r="H10" i="105"/>
  <c r="G10" i="105"/>
  <c r="I11" i="105"/>
  <c r="H11" i="105"/>
  <c r="G11" i="105"/>
  <c r="I9" i="105"/>
  <c r="H9" i="105"/>
  <c r="G9" i="105"/>
  <c r="I8" i="105"/>
  <c r="H8" i="105"/>
  <c r="G8" i="105"/>
  <c r="I7" i="105"/>
  <c r="H7" i="105"/>
  <c r="G7" i="105"/>
  <c r="I6" i="105"/>
  <c r="H6" i="105"/>
  <c r="E7" i="102"/>
  <c r="E47" i="100"/>
  <c r="F46" i="100"/>
  <c r="E39" i="100"/>
  <c r="F32" i="100"/>
  <c r="F31" i="100"/>
  <c r="F30" i="100"/>
  <c r="F29" i="100"/>
  <c r="E23" i="100"/>
  <c r="F22" i="100" s="1"/>
  <c r="G22" i="100" s="1"/>
  <c r="J22" i="100" s="1"/>
  <c r="F8" i="100"/>
  <c r="G8" i="100" s="1"/>
  <c r="F6" i="100"/>
  <c r="M150" i="99"/>
  <c r="M152" i="99" s="1"/>
  <c r="L150" i="99"/>
  <c r="L152" i="99" s="1"/>
  <c r="K150" i="99"/>
  <c r="K152" i="99" s="1"/>
  <c r="E57" i="98"/>
  <c r="D56" i="98"/>
  <c r="F56" i="98" s="1"/>
  <c r="D55" i="98"/>
  <c r="F55" i="98" s="1"/>
  <c r="I45" i="98"/>
  <c r="I43" i="98"/>
  <c r="G38" i="98"/>
  <c r="H35" i="98"/>
  <c r="H36" i="98" s="1"/>
  <c r="E28" i="98"/>
  <c r="D27" i="98"/>
  <c r="F27" i="98" s="1"/>
  <c r="D26" i="98"/>
  <c r="F26" i="98" s="1"/>
  <c r="E20" i="98"/>
  <c r="F17" i="98"/>
  <c r="F16" i="98"/>
  <c r="F15" i="98"/>
  <c r="F14" i="98"/>
  <c r="F13" i="98"/>
  <c r="F11" i="98"/>
  <c r="G11" i="98" s="1"/>
  <c r="F10" i="98"/>
  <c r="I7" i="98"/>
  <c r="I5" i="98"/>
  <c r="D4" i="93"/>
  <c r="C4" i="93"/>
  <c r="E85" i="138"/>
  <c r="G74" i="117"/>
  <c r="H74" i="117"/>
  <c r="I74" i="117"/>
  <c r="J74" i="117"/>
  <c r="E35" i="110"/>
  <c r="B27" i="113"/>
  <c r="C27" i="113" s="1"/>
  <c r="E27" i="113" s="1"/>
  <c r="L103" i="128"/>
  <c r="L105" i="128" s="1"/>
  <c r="O7" i="128" s="1"/>
  <c r="C70" i="131"/>
  <c r="E50" i="123"/>
  <c r="D32" i="131"/>
  <c r="D101" i="131" s="1"/>
  <c r="D237" i="131" s="1"/>
  <c r="D160" i="131"/>
  <c r="C32" i="131"/>
  <c r="H105" i="128"/>
  <c r="P7" i="128" s="1"/>
  <c r="H11" i="113"/>
  <c r="E32" i="110"/>
  <c r="H5" i="98"/>
  <c r="H6" i="98" s="1"/>
  <c r="F8" i="104"/>
  <c r="F12" i="104"/>
  <c r="F17" i="177" s="1"/>
  <c r="F20" i="177" s="1"/>
  <c r="F24" i="177" s="1"/>
  <c r="F17" i="104"/>
  <c r="H17" i="177" s="1"/>
  <c r="H20" i="177" s="1"/>
  <c r="H24" i="177" s="1"/>
  <c r="F20" i="104"/>
  <c r="K17" i="177" s="1"/>
  <c r="K20" i="177" s="1"/>
  <c r="K24" i="177" s="1"/>
  <c r="C76" i="138"/>
  <c r="C79" i="138" s="1"/>
  <c r="C37" i="138"/>
  <c r="G22" i="137"/>
  <c r="C188" i="131"/>
  <c r="D70" i="131"/>
  <c r="H96" i="119"/>
  <c r="H43" i="118"/>
  <c r="F43" i="118"/>
  <c r="H22" i="113"/>
  <c r="D28" i="104"/>
  <c r="D29" i="104" s="1"/>
  <c r="F27" i="104"/>
  <c r="N17" i="177" s="1"/>
  <c r="N20" i="177" s="1"/>
  <c r="N24" i="177" s="1"/>
  <c r="E4" i="93"/>
  <c r="G150" i="85"/>
  <c r="I88" i="90" s="1"/>
  <c r="H38" i="98"/>
  <c r="G108" i="85"/>
  <c r="I57" i="90" s="1"/>
  <c r="D5" i="93"/>
  <c r="I3" i="111" s="1"/>
  <c r="F4" i="93"/>
  <c r="C5" i="93"/>
  <c r="G71" i="166" s="1"/>
  <c r="G29" i="78"/>
  <c r="G28" i="78"/>
  <c r="G7" i="78"/>
  <c r="B3" i="70"/>
  <c r="E4" i="70" s="1"/>
  <c r="D3" i="90"/>
  <c r="D4" i="90"/>
  <c r="D5" i="90"/>
  <c r="D6" i="90"/>
  <c r="D7" i="90"/>
  <c r="D8" i="90"/>
  <c r="D9" i="90"/>
  <c r="D10" i="90"/>
  <c r="D11" i="90"/>
  <c r="D12" i="90"/>
  <c r="D13" i="90"/>
  <c r="D14" i="90"/>
  <c r="D15" i="90"/>
  <c r="D16" i="90"/>
  <c r="D17" i="90"/>
  <c r="D18" i="90"/>
  <c r="D19" i="90"/>
  <c r="D20" i="90"/>
  <c r="D21" i="90"/>
  <c r="D22" i="90"/>
  <c r="D23" i="90"/>
  <c r="D24" i="90"/>
  <c r="D25" i="90"/>
  <c r="D26" i="90"/>
  <c r="D27" i="90"/>
  <c r="D28" i="90"/>
  <c r="D29" i="90"/>
  <c r="D30" i="90"/>
  <c r="D31" i="90"/>
  <c r="D32" i="90"/>
  <c r="D33" i="90"/>
  <c r="D34" i="90"/>
  <c r="D35" i="90"/>
  <c r="D36" i="90"/>
  <c r="D37" i="90"/>
  <c r="D38" i="90"/>
  <c r="D39" i="90"/>
  <c r="D40" i="90"/>
  <c r="D41" i="90"/>
  <c r="D42" i="90"/>
  <c r="D43" i="90"/>
  <c r="D44" i="90"/>
  <c r="D45" i="90"/>
  <c r="D46" i="90"/>
  <c r="D47" i="90"/>
  <c r="D48" i="90"/>
  <c r="D49" i="90"/>
  <c r="D50" i="90"/>
  <c r="D51" i="90"/>
  <c r="D52" i="90"/>
  <c r="D53" i="90"/>
  <c r="D54" i="90"/>
  <c r="D55" i="90"/>
  <c r="D56" i="90"/>
  <c r="D57" i="90"/>
  <c r="D58" i="90"/>
  <c r="D59" i="90"/>
  <c r="D60" i="90"/>
  <c r="D61" i="90"/>
  <c r="D62" i="90"/>
  <c r="D63" i="90"/>
  <c r="D64" i="90"/>
  <c r="D65" i="90"/>
  <c r="D66" i="90"/>
  <c r="D67" i="90"/>
  <c r="D68" i="90"/>
  <c r="D69" i="90"/>
  <c r="D70" i="90"/>
  <c r="D71" i="90"/>
  <c r="D72" i="90"/>
  <c r="D73" i="90"/>
  <c r="D74" i="90"/>
  <c r="D75" i="90"/>
  <c r="D76" i="90"/>
  <c r="D77" i="90"/>
  <c r="D78" i="90"/>
  <c r="D79" i="90"/>
  <c r="D80" i="90"/>
  <c r="D81" i="90"/>
  <c r="D82" i="90"/>
  <c r="D83" i="90"/>
  <c r="D84" i="90"/>
  <c r="D85" i="90"/>
  <c r="D86" i="90"/>
  <c r="D87" i="90"/>
  <c r="D88" i="90"/>
  <c r="D89" i="90"/>
  <c r="D90" i="90"/>
  <c r="D91" i="90"/>
  <c r="D92" i="90"/>
  <c r="D93" i="90"/>
  <c r="D94" i="90"/>
  <c r="D95" i="90"/>
  <c r="D96" i="90"/>
  <c r="D97" i="90"/>
  <c r="D98" i="90"/>
  <c r="D99" i="90"/>
  <c r="D100" i="90"/>
  <c r="D101" i="90"/>
  <c r="D102" i="90"/>
  <c r="D103" i="90"/>
  <c r="D104" i="90"/>
  <c r="D105" i="90"/>
  <c r="D106" i="90"/>
  <c r="D107" i="90"/>
  <c r="D108" i="90"/>
  <c r="D109" i="90"/>
  <c r="D110" i="90"/>
  <c r="D111" i="90"/>
  <c r="D112" i="90"/>
  <c r="D113" i="90"/>
  <c r="D114" i="90"/>
  <c r="D115" i="90"/>
  <c r="D116" i="90"/>
  <c r="D117" i="90"/>
  <c r="D118" i="90"/>
  <c r="D119" i="90"/>
  <c r="D120" i="90"/>
  <c r="D121" i="90"/>
  <c r="D122" i="90"/>
  <c r="D123" i="90"/>
  <c r="D124" i="90"/>
  <c r="D125" i="90"/>
  <c r="D126" i="90"/>
  <c r="D127" i="90"/>
  <c r="D128" i="90"/>
  <c r="D129" i="90"/>
  <c r="D130" i="90"/>
  <c r="D131" i="90"/>
  <c r="D132" i="90"/>
  <c r="D133" i="90"/>
  <c r="D134" i="90"/>
  <c r="D135" i="90"/>
  <c r="D136" i="90"/>
  <c r="D137" i="90"/>
  <c r="D138" i="90"/>
  <c r="D139" i="90"/>
  <c r="D140" i="90"/>
  <c r="D141" i="90"/>
  <c r="D142" i="90"/>
  <c r="D143" i="90"/>
  <c r="D144" i="90"/>
  <c r="D145" i="90"/>
  <c r="D146" i="90"/>
  <c r="D147" i="90"/>
  <c r="D148" i="90"/>
  <c r="D149" i="90"/>
  <c r="D150" i="90"/>
  <c r="D151" i="90"/>
  <c r="D152" i="90"/>
  <c r="D153" i="90"/>
  <c r="D154" i="90"/>
  <c r="D155" i="90"/>
  <c r="D156" i="90"/>
  <c r="D157" i="90"/>
  <c r="D158" i="90"/>
  <c r="D159" i="90"/>
  <c r="D160" i="90"/>
  <c r="D161" i="90"/>
  <c r="D162" i="90"/>
  <c r="D163" i="90"/>
  <c r="D164" i="90"/>
  <c r="D165" i="90"/>
  <c r="D166" i="90"/>
  <c r="D167" i="90"/>
  <c r="D168" i="90"/>
  <c r="D169" i="90"/>
  <c r="D170" i="90"/>
  <c r="D171" i="90"/>
  <c r="D172" i="90"/>
  <c r="D173" i="90"/>
  <c r="D174" i="90"/>
  <c r="D175" i="90"/>
  <c r="D176" i="90"/>
  <c r="D177" i="90"/>
  <c r="D178" i="90"/>
  <c r="D179" i="90"/>
  <c r="D180" i="90"/>
  <c r="D181" i="90"/>
  <c r="D182" i="90"/>
  <c r="D183" i="90"/>
  <c r="D184" i="90"/>
  <c r="D185" i="90"/>
  <c r="D2" i="90"/>
  <c r="H182" i="90"/>
  <c r="F182" i="90"/>
  <c r="E182" i="90"/>
  <c r="H181" i="90"/>
  <c r="F181" i="90"/>
  <c r="E181" i="90"/>
  <c r="H180" i="90"/>
  <c r="F180" i="90"/>
  <c r="E180" i="90"/>
  <c r="H179" i="90"/>
  <c r="F179" i="90"/>
  <c r="E179" i="90"/>
  <c r="H178" i="90"/>
  <c r="F178" i="90"/>
  <c r="E178" i="90"/>
  <c r="H177" i="90"/>
  <c r="F177" i="90"/>
  <c r="E177" i="90"/>
  <c r="H176" i="90"/>
  <c r="F176" i="90"/>
  <c r="E176" i="90"/>
  <c r="H160" i="90"/>
  <c r="H159" i="90"/>
  <c r="H158" i="90"/>
  <c r="H157" i="90"/>
  <c r="H156" i="90"/>
  <c r="H155" i="90"/>
  <c r="H154" i="90"/>
  <c r="H153" i="90"/>
  <c r="H152" i="90"/>
  <c r="H151" i="90"/>
  <c r="H150" i="90"/>
  <c r="H149" i="90"/>
  <c r="H148" i="90"/>
  <c r="H147" i="90"/>
  <c r="H146" i="90"/>
  <c r="H145" i="90"/>
  <c r="H144" i="90"/>
  <c r="H143" i="90"/>
  <c r="H142" i="90"/>
  <c r="H141" i="90"/>
  <c r="H140" i="90"/>
  <c r="H139" i="90"/>
  <c r="H138" i="90"/>
  <c r="H134" i="90"/>
  <c r="H133" i="90"/>
  <c r="H132" i="90"/>
  <c r="H129" i="90"/>
  <c r="H128" i="90"/>
  <c r="H127" i="90"/>
  <c r="H126" i="90"/>
  <c r="H125" i="90"/>
  <c r="H124" i="90"/>
  <c r="H123" i="90"/>
  <c r="H122" i="90"/>
  <c r="H121" i="90"/>
  <c r="H120" i="90"/>
  <c r="H118" i="90"/>
  <c r="H117" i="90"/>
  <c r="H115" i="90"/>
  <c r="H114" i="90"/>
  <c r="H113" i="90"/>
  <c r="H112" i="90"/>
  <c r="H110" i="90"/>
  <c r="H109" i="90"/>
  <c r="H108" i="90"/>
  <c r="H107" i="90"/>
  <c r="H106" i="90"/>
  <c r="H105" i="90"/>
  <c r="H104" i="90"/>
  <c r="H103" i="90"/>
  <c r="H102" i="90"/>
  <c r="H101" i="90"/>
  <c r="H100" i="90"/>
  <c r="H99" i="90"/>
  <c r="H98" i="90"/>
  <c r="H97" i="90"/>
  <c r="H96" i="90"/>
  <c r="H95" i="90"/>
  <c r="G95" i="90"/>
  <c r="F95" i="90"/>
  <c r="E95" i="90"/>
  <c r="H94" i="90"/>
  <c r="G94" i="90"/>
  <c r="F94" i="90"/>
  <c r="E94" i="90"/>
  <c r="H93" i="90"/>
  <c r="H92" i="90"/>
  <c r="H91" i="90"/>
  <c r="H90" i="90"/>
  <c r="H89" i="90"/>
  <c r="H88" i="90"/>
  <c r="H85" i="90"/>
  <c r="H84" i="90"/>
  <c r="H83" i="90"/>
  <c r="H82" i="90"/>
  <c r="H81" i="90"/>
  <c r="H80" i="90"/>
  <c r="H79" i="90"/>
  <c r="H78" i="90"/>
  <c r="H77" i="90"/>
  <c r="H76" i="90"/>
  <c r="H75" i="90"/>
  <c r="H73" i="90"/>
  <c r="H72" i="90"/>
  <c r="H71" i="90"/>
  <c r="H70" i="90"/>
  <c r="H69" i="90"/>
  <c r="H65" i="90"/>
  <c r="H64" i="90"/>
  <c r="H63" i="90"/>
  <c r="H62" i="90"/>
  <c r="H61" i="90"/>
  <c r="H60" i="90"/>
  <c r="H59" i="90"/>
  <c r="H58" i="90"/>
  <c r="H57" i="90"/>
  <c r="H56" i="90"/>
  <c r="H55" i="90"/>
  <c r="H54" i="90"/>
  <c r="H53" i="90"/>
  <c r="H52" i="90"/>
  <c r="H51" i="90"/>
  <c r="H50" i="90"/>
  <c r="H49" i="90"/>
  <c r="H46" i="90"/>
  <c r="H45" i="90"/>
  <c r="H44" i="90"/>
  <c r="H43" i="90"/>
  <c r="H42" i="90"/>
  <c r="L41" i="90"/>
  <c r="K41" i="90"/>
  <c r="H41" i="90"/>
  <c r="G41" i="90"/>
  <c r="F41" i="90"/>
  <c r="E41" i="90"/>
  <c r="H40" i="90"/>
  <c r="G40" i="90"/>
  <c r="F40" i="90"/>
  <c r="H34" i="90"/>
  <c r="H33" i="90"/>
  <c r="H29" i="90"/>
  <c r="H27" i="90"/>
  <c r="H26" i="90"/>
  <c r="H25" i="90"/>
  <c r="H24" i="90"/>
  <c r="H23" i="90"/>
  <c r="H22" i="90"/>
  <c r="H20" i="90"/>
  <c r="H19" i="90"/>
  <c r="H18" i="90"/>
  <c r="H17" i="90"/>
  <c r="H16" i="90"/>
  <c r="H15" i="90"/>
  <c r="H14" i="90"/>
  <c r="H13" i="90"/>
  <c r="H12" i="90"/>
  <c r="H11" i="90"/>
  <c r="D389" i="85"/>
  <c r="D388" i="85"/>
  <c r="D387" i="85"/>
  <c r="D386" i="85"/>
  <c r="D385" i="85"/>
  <c r="D384" i="85"/>
  <c r="G383" i="85"/>
  <c r="F383" i="85"/>
  <c r="E383" i="85"/>
  <c r="D383" i="85"/>
  <c r="G382" i="85"/>
  <c r="F382" i="85"/>
  <c r="E382" i="85"/>
  <c r="D382" i="85"/>
  <c r="G381" i="85"/>
  <c r="F381" i="85"/>
  <c r="E381" i="85"/>
  <c r="D381" i="85"/>
  <c r="G380" i="85"/>
  <c r="F380" i="85"/>
  <c r="E380" i="85"/>
  <c r="D380" i="85"/>
  <c r="E371" i="85"/>
  <c r="G182" i="90"/>
  <c r="E370" i="85"/>
  <c r="G181" i="90" s="1"/>
  <c r="E369" i="85"/>
  <c r="G180" i="90"/>
  <c r="E368" i="85"/>
  <c r="G179" i="90" s="1"/>
  <c r="E367" i="85"/>
  <c r="G178" i="90" s="1"/>
  <c r="E366" i="85"/>
  <c r="G177" i="90"/>
  <c r="E365" i="85"/>
  <c r="G176" i="90"/>
  <c r="J350" i="85"/>
  <c r="J347" i="85"/>
  <c r="H346" i="85"/>
  <c r="J321" i="85"/>
  <c r="I321" i="85"/>
  <c r="H321" i="85"/>
  <c r="G321" i="85"/>
  <c r="G311" i="85"/>
  <c r="I175" i="90" s="1"/>
  <c r="F311" i="85"/>
  <c r="H175" i="90" s="1"/>
  <c r="E311" i="85"/>
  <c r="G175" i="90" s="1"/>
  <c r="D311" i="85"/>
  <c r="F175" i="90" s="1"/>
  <c r="C311" i="85"/>
  <c r="E175" i="90"/>
  <c r="G310" i="85"/>
  <c r="I174" i="90" s="1"/>
  <c r="F310" i="85"/>
  <c r="H174" i="90" s="1"/>
  <c r="E310" i="85"/>
  <c r="G174" i="90" s="1"/>
  <c r="D310" i="85"/>
  <c r="F174" i="90" s="1"/>
  <c r="C310" i="85"/>
  <c r="E174" i="90" s="1"/>
  <c r="G309" i="85"/>
  <c r="I173" i="90" s="1"/>
  <c r="F309" i="85"/>
  <c r="H173" i="90" s="1"/>
  <c r="E309" i="85"/>
  <c r="G173" i="90" s="1"/>
  <c r="D309" i="85"/>
  <c r="F173" i="90" s="1"/>
  <c r="C309" i="85"/>
  <c r="E173" i="90" s="1"/>
  <c r="G308" i="85"/>
  <c r="I172" i="90" s="1"/>
  <c r="F308" i="85"/>
  <c r="H172" i="90" s="1"/>
  <c r="E308" i="85"/>
  <c r="G172" i="90" s="1"/>
  <c r="D308" i="85"/>
  <c r="F172" i="90" s="1"/>
  <c r="C308" i="85"/>
  <c r="E172" i="90" s="1"/>
  <c r="G307" i="85"/>
  <c r="I171" i="90" s="1"/>
  <c r="F307" i="85"/>
  <c r="H171" i="90" s="1"/>
  <c r="E307" i="85"/>
  <c r="G171" i="90" s="1"/>
  <c r="D307" i="85"/>
  <c r="F171" i="90" s="1"/>
  <c r="C307" i="85"/>
  <c r="E171" i="90" s="1"/>
  <c r="G306" i="85"/>
  <c r="I170" i="90" s="1"/>
  <c r="F306" i="85"/>
  <c r="H170" i="90" s="1"/>
  <c r="E306" i="85"/>
  <c r="G170" i="90" s="1"/>
  <c r="D306" i="85"/>
  <c r="F170" i="90" s="1"/>
  <c r="C306" i="85"/>
  <c r="E170" i="90" s="1"/>
  <c r="G305" i="85"/>
  <c r="I169" i="90" s="1"/>
  <c r="F305" i="85"/>
  <c r="H169" i="90"/>
  <c r="E305" i="85"/>
  <c r="G169" i="90" s="1"/>
  <c r="D305" i="85"/>
  <c r="F169" i="90" s="1"/>
  <c r="C305" i="85"/>
  <c r="E169" i="90" s="1"/>
  <c r="F301" i="85"/>
  <c r="H168" i="90" s="1"/>
  <c r="E301" i="85"/>
  <c r="G168" i="90" s="1"/>
  <c r="D301" i="85"/>
  <c r="F168" i="90" s="1"/>
  <c r="C301" i="85"/>
  <c r="E168" i="90" s="1"/>
  <c r="F297" i="85"/>
  <c r="H167" i="90" s="1"/>
  <c r="E297" i="85"/>
  <c r="G167" i="90" s="1"/>
  <c r="D297" i="85"/>
  <c r="F167" i="90" s="1"/>
  <c r="C297" i="85"/>
  <c r="E167" i="90" s="1"/>
  <c r="G296" i="85"/>
  <c r="I166" i="90" s="1"/>
  <c r="F296" i="85"/>
  <c r="H166" i="90" s="1"/>
  <c r="E296" i="85"/>
  <c r="G166" i="90" s="1"/>
  <c r="D296" i="85"/>
  <c r="F166" i="90" s="1"/>
  <c r="C296" i="85"/>
  <c r="E166" i="90" s="1"/>
  <c r="G295" i="85"/>
  <c r="I165" i="90" s="1"/>
  <c r="F295" i="85"/>
  <c r="H165" i="90" s="1"/>
  <c r="E295" i="85"/>
  <c r="G165" i="90" s="1"/>
  <c r="D295" i="85"/>
  <c r="F165" i="90" s="1"/>
  <c r="C295" i="85"/>
  <c r="E165" i="90" s="1"/>
  <c r="F294" i="85"/>
  <c r="H164" i="90" s="1"/>
  <c r="E294" i="85"/>
  <c r="G164" i="90" s="1"/>
  <c r="D294" i="85"/>
  <c r="F164" i="90" s="1"/>
  <c r="C294" i="85"/>
  <c r="E164" i="90" s="1"/>
  <c r="F293" i="85"/>
  <c r="H163" i="90" s="1"/>
  <c r="E293" i="85"/>
  <c r="G163" i="90" s="1"/>
  <c r="D293" i="85"/>
  <c r="F163" i="90" s="1"/>
  <c r="C293" i="85"/>
  <c r="E163" i="90" s="1"/>
  <c r="F292" i="85"/>
  <c r="H162" i="90" s="1"/>
  <c r="E292" i="85"/>
  <c r="G162" i="90" s="1"/>
  <c r="D292" i="85"/>
  <c r="F162" i="90" s="1"/>
  <c r="C292" i="85"/>
  <c r="E162" i="90" s="1"/>
  <c r="F291" i="85"/>
  <c r="H161" i="90" s="1"/>
  <c r="E291" i="85"/>
  <c r="G161" i="90" s="1"/>
  <c r="D291" i="85"/>
  <c r="F161" i="90"/>
  <c r="C291" i="85"/>
  <c r="E161" i="90" s="1"/>
  <c r="G280" i="85"/>
  <c r="I160" i="90" s="1"/>
  <c r="E280" i="85"/>
  <c r="G160" i="90" s="1"/>
  <c r="D280" i="85"/>
  <c r="F160" i="90" s="1"/>
  <c r="C280" i="85"/>
  <c r="E160" i="90" s="1"/>
  <c r="G279" i="85"/>
  <c r="I159" i="90" s="1"/>
  <c r="E279" i="85"/>
  <c r="G159" i="90" s="1"/>
  <c r="D279" i="85"/>
  <c r="F159" i="90" s="1"/>
  <c r="C279" i="85"/>
  <c r="E159" i="90" s="1"/>
  <c r="G278" i="85"/>
  <c r="I158" i="90"/>
  <c r="E278" i="85"/>
  <c r="G158" i="90" s="1"/>
  <c r="D278" i="85"/>
  <c r="F158" i="90" s="1"/>
  <c r="C278" i="85"/>
  <c r="E158" i="90" s="1"/>
  <c r="G277" i="85"/>
  <c r="I157" i="90" s="1"/>
  <c r="E277" i="85"/>
  <c r="G157" i="90" s="1"/>
  <c r="D277" i="85"/>
  <c r="F157" i="90"/>
  <c r="C277" i="85"/>
  <c r="E157" i="90"/>
  <c r="G276" i="85"/>
  <c r="I156" i="90" s="1"/>
  <c r="E276" i="85"/>
  <c r="G156" i="90" s="1"/>
  <c r="D276" i="85"/>
  <c r="F156" i="90" s="1"/>
  <c r="C276" i="85"/>
  <c r="E156" i="90"/>
  <c r="G275" i="85"/>
  <c r="I155" i="90" s="1"/>
  <c r="E275" i="85"/>
  <c r="G155" i="90" s="1"/>
  <c r="D275" i="85"/>
  <c r="F155" i="90" s="1"/>
  <c r="C275" i="85"/>
  <c r="E155" i="90"/>
  <c r="G274" i="85"/>
  <c r="I154" i="90"/>
  <c r="E274" i="85"/>
  <c r="G154" i="90" s="1"/>
  <c r="D274" i="85"/>
  <c r="F154" i="90" s="1"/>
  <c r="C274" i="85"/>
  <c r="E154" i="90" s="1"/>
  <c r="G270" i="85"/>
  <c r="I153" i="90" s="1"/>
  <c r="E270" i="85"/>
  <c r="G153" i="90" s="1"/>
  <c r="D270" i="85"/>
  <c r="F153" i="90" s="1"/>
  <c r="C270" i="85"/>
  <c r="E153" i="90" s="1"/>
  <c r="G269" i="85"/>
  <c r="I152" i="90" s="1"/>
  <c r="E269" i="85"/>
  <c r="G152" i="90"/>
  <c r="D269" i="85"/>
  <c r="F152" i="90" s="1"/>
  <c r="C269" i="85"/>
  <c r="E152" i="90" s="1"/>
  <c r="G268" i="85"/>
  <c r="I151" i="90" s="1"/>
  <c r="E268" i="85"/>
  <c r="G151" i="90" s="1"/>
  <c r="D268" i="85"/>
  <c r="F151" i="90" s="1"/>
  <c r="C268" i="85"/>
  <c r="E151" i="90" s="1"/>
  <c r="E256" i="85"/>
  <c r="G150" i="90" s="1"/>
  <c r="D256" i="85"/>
  <c r="F150" i="90" s="1"/>
  <c r="C256" i="85"/>
  <c r="E150" i="90" s="1"/>
  <c r="G255" i="85"/>
  <c r="I149" i="90" s="1"/>
  <c r="E255" i="85"/>
  <c r="G149" i="90" s="1"/>
  <c r="D255" i="85"/>
  <c r="F149" i="90" s="1"/>
  <c r="C255" i="85"/>
  <c r="E149" i="90" s="1"/>
  <c r="E254" i="85"/>
  <c r="G148" i="90" s="1"/>
  <c r="D254" i="85"/>
  <c r="F148" i="90" s="1"/>
  <c r="C254" i="85"/>
  <c r="E148" i="90" s="1"/>
  <c r="G253" i="85"/>
  <c r="I147" i="90" s="1"/>
  <c r="E253" i="85"/>
  <c r="G147" i="90" s="1"/>
  <c r="D253" i="85"/>
  <c r="F147" i="90" s="1"/>
  <c r="C253" i="85"/>
  <c r="E147" i="90" s="1"/>
  <c r="G252" i="85"/>
  <c r="I146" i="90" s="1"/>
  <c r="E252" i="85"/>
  <c r="G146" i="90" s="1"/>
  <c r="D252" i="85"/>
  <c r="F146" i="90" s="1"/>
  <c r="C252" i="85"/>
  <c r="E146" i="90" s="1"/>
  <c r="G251" i="85"/>
  <c r="I145" i="90" s="1"/>
  <c r="E251" i="85"/>
  <c r="G145" i="90" s="1"/>
  <c r="D251" i="85"/>
  <c r="F145" i="90" s="1"/>
  <c r="C251" i="85"/>
  <c r="E145" i="90" s="1"/>
  <c r="G250" i="85"/>
  <c r="I144" i="90" s="1"/>
  <c r="E250" i="85"/>
  <c r="G144" i="90" s="1"/>
  <c r="D250" i="85"/>
  <c r="F144" i="90" s="1"/>
  <c r="C250" i="85"/>
  <c r="E144" i="90" s="1"/>
  <c r="G249" i="85"/>
  <c r="I143" i="90" s="1"/>
  <c r="E249" i="85"/>
  <c r="G143" i="90" s="1"/>
  <c r="D249" i="85"/>
  <c r="F143" i="90" s="1"/>
  <c r="C249" i="85"/>
  <c r="E143" i="90" s="1"/>
  <c r="G248" i="85"/>
  <c r="I142" i="90" s="1"/>
  <c r="E248" i="85"/>
  <c r="G142" i="90" s="1"/>
  <c r="D248" i="85"/>
  <c r="F142" i="90" s="1"/>
  <c r="C248" i="85"/>
  <c r="E142" i="90" s="1"/>
  <c r="G247" i="85"/>
  <c r="I141" i="90" s="1"/>
  <c r="E247" i="85"/>
  <c r="G141" i="90" s="1"/>
  <c r="D247" i="85"/>
  <c r="F141" i="90" s="1"/>
  <c r="C247" i="85"/>
  <c r="E141" i="90" s="1"/>
  <c r="G246" i="85"/>
  <c r="I140" i="90" s="1"/>
  <c r="E246" i="85"/>
  <c r="G140" i="90" s="1"/>
  <c r="D246" i="85"/>
  <c r="F140" i="90" s="1"/>
  <c r="C246" i="85"/>
  <c r="E140" i="90" s="1"/>
  <c r="G245" i="85"/>
  <c r="I139" i="90" s="1"/>
  <c r="E245" i="85"/>
  <c r="G139" i="90" s="1"/>
  <c r="D245" i="85"/>
  <c r="F139" i="90" s="1"/>
  <c r="C245" i="85"/>
  <c r="E139" i="90" s="1"/>
  <c r="G244" i="85"/>
  <c r="I138" i="90" s="1"/>
  <c r="E244" i="85"/>
  <c r="G138" i="90" s="1"/>
  <c r="D244" i="85"/>
  <c r="F138" i="90" s="1"/>
  <c r="C244" i="85"/>
  <c r="E138" i="90" s="1"/>
  <c r="G243" i="85"/>
  <c r="I137" i="90" s="1"/>
  <c r="F243" i="85"/>
  <c r="H137" i="90" s="1"/>
  <c r="E243" i="85"/>
  <c r="G137" i="90" s="1"/>
  <c r="D243" i="85"/>
  <c r="F137" i="90" s="1"/>
  <c r="C243" i="85"/>
  <c r="E137" i="90" s="1"/>
  <c r="G242" i="85"/>
  <c r="I136" i="90" s="1"/>
  <c r="F242" i="85"/>
  <c r="H136" i="90" s="1"/>
  <c r="E242" i="85"/>
  <c r="G136" i="90" s="1"/>
  <c r="D242" i="85"/>
  <c r="F136" i="90" s="1"/>
  <c r="C242" i="85"/>
  <c r="E136" i="90" s="1"/>
  <c r="G241" i="85"/>
  <c r="I135" i="90" s="1"/>
  <c r="F241" i="85"/>
  <c r="H135" i="90" s="1"/>
  <c r="E241" i="85"/>
  <c r="G135" i="90" s="1"/>
  <c r="D241" i="85"/>
  <c r="F135" i="90" s="1"/>
  <c r="C241" i="85"/>
  <c r="E135" i="90" s="1"/>
  <c r="G234" i="85"/>
  <c r="I134" i="90" s="1"/>
  <c r="E234" i="85"/>
  <c r="G134" i="90" s="1"/>
  <c r="D234" i="85"/>
  <c r="F134" i="90" s="1"/>
  <c r="C234" i="85"/>
  <c r="E134" i="90" s="1"/>
  <c r="G232" i="85"/>
  <c r="I133" i="90" s="1"/>
  <c r="E232" i="85"/>
  <c r="G133" i="90" s="1"/>
  <c r="D232" i="85"/>
  <c r="F133" i="90" s="1"/>
  <c r="C232" i="85"/>
  <c r="E133" i="90" s="1"/>
  <c r="G231" i="85"/>
  <c r="I132" i="90" s="1"/>
  <c r="E231" i="85"/>
  <c r="G132" i="90" s="1"/>
  <c r="D231" i="85"/>
  <c r="F132" i="90" s="1"/>
  <c r="C231" i="85"/>
  <c r="E132" i="90" s="1"/>
  <c r="G230" i="85"/>
  <c r="I131" i="90" s="1"/>
  <c r="F230" i="85"/>
  <c r="H131" i="90" s="1"/>
  <c r="E230" i="85"/>
  <c r="G131" i="90" s="1"/>
  <c r="D230" i="85"/>
  <c r="F131" i="90" s="1"/>
  <c r="C230" i="85"/>
  <c r="E131" i="90" s="1"/>
  <c r="G229" i="85"/>
  <c r="I130" i="90" s="1"/>
  <c r="F229" i="85"/>
  <c r="H130" i="90" s="1"/>
  <c r="E229" i="85"/>
  <c r="G130" i="90" s="1"/>
  <c r="D229" i="85"/>
  <c r="F130" i="90" s="1"/>
  <c r="C229" i="85"/>
  <c r="E130" i="90" s="1"/>
  <c r="G228" i="85"/>
  <c r="I129" i="90" s="1"/>
  <c r="E228" i="85"/>
  <c r="G129" i="90" s="1"/>
  <c r="D228" i="85"/>
  <c r="F129" i="90" s="1"/>
  <c r="C228" i="85"/>
  <c r="E129" i="90" s="1"/>
  <c r="G227" i="85"/>
  <c r="I128" i="90" s="1"/>
  <c r="E227" i="85"/>
  <c r="G128" i="90" s="1"/>
  <c r="D227" i="85"/>
  <c r="F128" i="90" s="1"/>
  <c r="C227" i="85"/>
  <c r="E128" i="90" s="1"/>
  <c r="G226" i="85"/>
  <c r="I127" i="90" s="1"/>
  <c r="E226" i="85"/>
  <c r="G127" i="90" s="1"/>
  <c r="D226" i="85"/>
  <c r="F127" i="90" s="1"/>
  <c r="C226" i="85"/>
  <c r="E127" i="90" s="1"/>
  <c r="G225" i="85"/>
  <c r="I126" i="90" s="1"/>
  <c r="E225" i="85"/>
  <c r="G126" i="90" s="1"/>
  <c r="D225" i="85"/>
  <c r="F126" i="90" s="1"/>
  <c r="C225" i="85"/>
  <c r="E126" i="90" s="1"/>
  <c r="G224" i="85"/>
  <c r="I125" i="90" s="1"/>
  <c r="E224" i="85"/>
  <c r="G125" i="90" s="1"/>
  <c r="D224" i="85"/>
  <c r="F125" i="90" s="1"/>
  <c r="C224" i="85"/>
  <c r="E125" i="90" s="1"/>
  <c r="G223" i="85"/>
  <c r="I124" i="90" s="1"/>
  <c r="E223" i="85"/>
  <c r="G124" i="90" s="1"/>
  <c r="D223" i="85"/>
  <c r="F124" i="90" s="1"/>
  <c r="C223" i="85"/>
  <c r="E124" i="90" s="1"/>
  <c r="G222" i="85"/>
  <c r="I123" i="90" s="1"/>
  <c r="E222" i="85"/>
  <c r="G123" i="90" s="1"/>
  <c r="D222" i="85"/>
  <c r="F123" i="90" s="1"/>
  <c r="C222" i="85"/>
  <c r="E123" i="90" s="1"/>
  <c r="G221" i="85"/>
  <c r="I122" i="90" s="1"/>
  <c r="E221" i="85"/>
  <c r="G122" i="90" s="1"/>
  <c r="D221" i="85"/>
  <c r="F122" i="90" s="1"/>
  <c r="C221" i="85"/>
  <c r="E122" i="90" s="1"/>
  <c r="G220" i="85"/>
  <c r="I121" i="90" s="1"/>
  <c r="E220" i="85"/>
  <c r="G121" i="90" s="1"/>
  <c r="D220" i="85"/>
  <c r="F121" i="90" s="1"/>
  <c r="C220" i="85"/>
  <c r="E121" i="90" s="1"/>
  <c r="G219" i="85"/>
  <c r="I120" i="90" s="1"/>
  <c r="E219" i="85"/>
  <c r="G120" i="90" s="1"/>
  <c r="D219" i="85"/>
  <c r="F120" i="90" s="1"/>
  <c r="C219" i="85"/>
  <c r="E120" i="90" s="1"/>
  <c r="E214" i="85"/>
  <c r="G118" i="90" s="1"/>
  <c r="D214" i="85"/>
  <c r="F118" i="90" s="1"/>
  <c r="C214" i="85"/>
  <c r="E118" i="90" s="1"/>
  <c r="G213" i="85"/>
  <c r="I119" i="90" s="1"/>
  <c r="F213" i="85"/>
  <c r="H119" i="90" s="1"/>
  <c r="E213" i="85"/>
  <c r="G119" i="90" s="1"/>
  <c r="D213" i="85"/>
  <c r="F119" i="90" s="1"/>
  <c r="C213" i="85"/>
  <c r="E119" i="90" s="1"/>
  <c r="G212" i="85"/>
  <c r="I116" i="90" s="1"/>
  <c r="F212" i="85"/>
  <c r="H116" i="90" s="1"/>
  <c r="E212" i="85"/>
  <c r="G116" i="90" s="1"/>
  <c r="D212" i="85"/>
  <c r="F116" i="90" s="1"/>
  <c r="C212" i="85"/>
  <c r="E116" i="90" s="1"/>
  <c r="G211" i="85"/>
  <c r="I117" i="90" s="1"/>
  <c r="E211" i="85"/>
  <c r="G117" i="90" s="1"/>
  <c r="D211" i="85"/>
  <c r="F117" i="90" s="1"/>
  <c r="C211" i="85"/>
  <c r="E117" i="90" s="1"/>
  <c r="G210" i="85"/>
  <c r="I115" i="90" s="1"/>
  <c r="E210" i="85"/>
  <c r="G115" i="90" s="1"/>
  <c r="D210" i="85"/>
  <c r="F115" i="90" s="1"/>
  <c r="C210" i="85"/>
  <c r="E115" i="90" s="1"/>
  <c r="G206" i="85"/>
  <c r="E206" i="85"/>
  <c r="D206" i="85"/>
  <c r="C206" i="85"/>
  <c r="G205" i="85"/>
  <c r="E205" i="85"/>
  <c r="D205" i="85"/>
  <c r="C205" i="85"/>
  <c r="G201" i="85"/>
  <c r="I114" i="90" s="1"/>
  <c r="E201" i="85"/>
  <c r="G114" i="90" s="1"/>
  <c r="D201" i="85"/>
  <c r="F114" i="90"/>
  <c r="C201" i="85"/>
  <c r="E114" i="90" s="1"/>
  <c r="G200" i="85"/>
  <c r="I113" i="90" s="1"/>
  <c r="E200" i="85"/>
  <c r="G113" i="90" s="1"/>
  <c r="D200" i="85"/>
  <c r="F113" i="90" s="1"/>
  <c r="C200" i="85"/>
  <c r="E113" i="90" s="1"/>
  <c r="G199" i="85"/>
  <c r="I112" i="90" s="1"/>
  <c r="E199" i="85"/>
  <c r="G112" i="90" s="1"/>
  <c r="D199" i="85"/>
  <c r="F112" i="90" s="1"/>
  <c r="C199" i="85"/>
  <c r="E112" i="90" s="1"/>
  <c r="G195" i="85"/>
  <c r="I111" i="90" s="1"/>
  <c r="F195" i="85"/>
  <c r="H111" i="90" s="1"/>
  <c r="E195" i="85"/>
  <c r="G111" i="90" s="1"/>
  <c r="D195" i="85"/>
  <c r="F111" i="90" s="1"/>
  <c r="C195" i="85"/>
  <c r="E111" i="90" s="1"/>
  <c r="G194" i="85"/>
  <c r="I110" i="90" s="1"/>
  <c r="E194" i="85"/>
  <c r="G110" i="90" s="1"/>
  <c r="D194" i="85"/>
  <c r="F110" i="90" s="1"/>
  <c r="C194" i="85"/>
  <c r="E110" i="90" s="1"/>
  <c r="G193" i="85"/>
  <c r="I109" i="90" s="1"/>
  <c r="E193" i="85"/>
  <c r="G109" i="90" s="1"/>
  <c r="D193" i="85"/>
  <c r="F109" i="90" s="1"/>
  <c r="C193" i="85"/>
  <c r="E109" i="90" s="1"/>
  <c r="G192" i="85"/>
  <c r="I108" i="90" s="1"/>
  <c r="E192" i="85"/>
  <c r="G108" i="90" s="1"/>
  <c r="D192" i="85"/>
  <c r="F108" i="90" s="1"/>
  <c r="C192" i="85"/>
  <c r="E108" i="90" s="1"/>
  <c r="E191" i="85"/>
  <c r="G107" i="90" s="1"/>
  <c r="D191" i="85"/>
  <c r="F107" i="90" s="1"/>
  <c r="C191" i="85"/>
  <c r="E107" i="90" s="1"/>
  <c r="G189" i="85"/>
  <c r="I106" i="90" s="1"/>
  <c r="E189" i="85"/>
  <c r="G106" i="90" s="1"/>
  <c r="D189" i="85"/>
  <c r="F106" i="90" s="1"/>
  <c r="C189" i="85"/>
  <c r="E106" i="90" s="1"/>
  <c r="G188" i="85"/>
  <c r="I105" i="90" s="1"/>
  <c r="E188" i="85"/>
  <c r="G105" i="90" s="1"/>
  <c r="D188" i="85"/>
  <c r="F105" i="90" s="1"/>
  <c r="C188" i="85"/>
  <c r="E105" i="90" s="1"/>
  <c r="G187" i="85"/>
  <c r="I104" i="90" s="1"/>
  <c r="E187" i="85"/>
  <c r="G104" i="90" s="1"/>
  <c r="D187" i="85"/>
  <c r="F104" i="90" s="1"/>
  <c r="C187" i="85"/>
  <c r="E104" i="90" s="1"/>
  <c r="G185" i="85"/>
  <c r="I103" i="90" s="1"/>
  <c r="E185" i="85"/>
  <c r="G103" i="90" s="1"/>
  <c r="D185" i="85"/>
  <c r="F103" i="90" s="1"/>
  <c r="C185" i="85"/>
  <c r="E103" i="90" s="1"/>
  <c r="G184" i="85"/>
  <c r="I102" i="90" s="1"/>
  <c r="E184" i="85"/>
  <c r="G102" i="90" s="1"/>
  <c r="D184" i="85"/>
  <c r="F102" i="90" s="1"/>
  <c r="C184" i="85"/>
  <c r="E102" i="90" s="1"/>
  <c r="G182" i="85"/>
  <c r="I101" i="90" s="1"/>
  <c r="E182" i="85"/>
  <c r="G101" i="90" s="1"/>
  <c r="D182" i="85"/>
  <c r="F101" i="90" s="1"/>
  <c r="C182" i="85"/>
  <c r="E101" i="90" s="1"/>
  <c r="E181" i="85"/>
  <c r="G100" i="90" s="1"/>
  <c r="D181" i="85"/>
  <c r="F100" i="90" s="1"/>
  <c r="C181" i="85"/>
  <c r="E100" i="90" s="1"/>
  <c r="G180" i="85"/>
  <c r="I99" i="90" s="1"/>
  <c r="E180" i="85"/>
  <c r="G99" i="90" s="1"/>
  <c r="D180" i="85"/>
  <c r="F99" i="90" s="1"/>
  <c r="C180" i="85"/>
  <c r="E99" i="90" s="1"/>
  <c r="G178" i="85"/>
  <c r="I98" i="90" s="1"/>
  <c r="E178" i="85"/>
  <c r="G98" i="90" s="1"/>
  <c r="D178" i="85"/>
  <c r="F98" i="90" s="1"/>
  <c r="C178" i="85"/>
  <c r="E98" i="90" s="1"/>
  <c r="G177" i="85"/>
  <c r="I97" i="90" s="1"/>
  <c r="E177" i="85"/>
  <c r="G97" i="90" s="1"/>
  <c r="D177" i="85"/>
  <c r="F97" i="90" s="1"/>
  <c r="C177" i="85"/>
  <c r="E97" i="90" s="1"/>
  <c r="G176" i="85"/>
  <c r="I96" i="90" s="1"/>
  <c r="E176" i="85"/>
  <c r="G96" i="90" s="1"/>
  <c r="D176" i="85"/>
  <c r="F96" i="90" s="1"/>
  <c r="C176" i="85"/>
  <c r="E96" i="90" s="1"/>
  <c r="E155" i="85"/>
  <c r="G93" i="90" s="1"/>
  <c r="D155" i="85"/>
  <c r="F93" i="90" s="1"/>
  <c r="C155" i="85"/>
  <c r="E93" i="90" s="1"/>
  <c r="E154" i="85"/>
  <c r="G92" i="90" s="1"/>
  <c r="D154" i="85"/>
  <c r="F92" i="90" s="1"/>
  <c r="C154" i="85"/>
  <c r="E92" i="90" s="1"/>
  <c r="E153" i="85"/>
  <c r="G91" i="90" s="1"/>
  <c r="D153" i="85"/>
  <c r="F91" i="90" s="1"/>
  <c r="C153" i="85"/>
  <c r="E91" i="90" s="1"/>
  <c r="E152" i="85"/>
  <c r="G90" i="90" s="1"/>
  <c r="D152" i="85"/>
  <c r="F90" i="90" s="1"/>
  <c r="C152" i="85"/>
  <c r="E90" i="90" s="1"/>
  <c r="E151" i="85"/>
  <c r="G89" i="90" s="1"/>
  <c r="D151" i="85"/>
  <c r="F89" i="90" s="1"/>
  <c r="C151" i="85"/>
  <c r="E89" i="90" s="1"/>
  <c r="E150" i="85"/>
  <c r="G88" i="90" s="1"/>
  <c r="D150" i="85"/>
  <c r="F88" i="90" s="1"/>
  <c r="C150" i="85"/>
  <c r="E88" i="90" s="1"/>
  <c r="F149" i="85"/>
  <c r="H87" i="90" s="1"/>
  <c r="E149" i="85"/>
  <c r="G87" i="90" s="1"/>
  <c r="D149" i="85"/>
  <c r="F87" i="90" s="1"/>
  <c r="C149" i="85"/>
  <c r="E87" i="90" s="1"/>
  <c r="F148" i="85"/>
  <c r="H86" i="90" s="1"/>
  <c r="E148" i="85"/>
  <c r="G86" i="90" s="1"/>
  <c r="D148" i="85"/>
  <c r="F86" i="90" s="1"/>
  <c r="C148" i="85"/>
  <c r="E86" i="90" s="1"/>
  <c r="G147" i="85"/>
  <c r="I85" i="90" s="1"/>
  <c r="E147" i="85"/>
  <c r="G85" i="90" s="1"/>
  <c r="D147" i="85"/>
  <c r="F85" i="90" s="1"/>
  <c r="C147" i="85"/>
  <c r="E85" i="90" s="1"/>
  <c r="G146" i="85"/>
  <c r="I84" i="90" s="1"/>
  <c r="E146" i="85"/>
  <c r="G84" i="90" s="1"/>
  <c r="D146" i="85"/>
  <c r="F84" i="90" s="1"/>
  <c r="C146" i="85"/>
  <c r="E84" i="90" s="1"/>
  <c r="G145" i="85"/>
  <c r="I83" i="90" s="1"/>
  <c r="E145" i="85"/>
  <c r="G83" i="90" s="1"/>
  <c r="D145" i="85"/>
  <c r="F83" i="90" s="1"/>
  <c r="C145" i="85"/>
  <c r="E83" i="90" s="1"/>
  <c r="G142" i="85"/>
  <c r="I82" i="90" s="1"/>
  <c r="E142" i="85"/>
  <c r="G82" i="90" s="1"/>
  <c r="D142" i="85"/>
  <c r="F82" i="90" s="1"/>
  <c r="C142" i="85"/>
  <c r="E82" i="90" s="1"/>
  <c r="G141" i="85"/>
  <c r="I81" i="90" s="1"/>
  <c r="E141" i="85"/>
  <c r="G81" i="90" s="1"/>
  <c r="D141" i="85"/>
  <c r="F81" i="90" s="1"/>
  <c r="C141" i="85"/>
  <c r="E81" i="90" s="1"/>
  <c r="G140" i="85"/>
  <c r="I80" i="90" s="1"/>
  <c r="E140" i="85"/>
  <c r="G80" i="90" s="1"/>
  <c r="D140" i="85"/>
  <c r="F80" i="90" s="1"/>
  <c r="C140" i="85"/>
  <c r="E80" i="90" s="1"/>
  <c r="G139" i="85"/>
  <c r="I79" i="90" s="1"/>
  <c r="E139" i="85"/>
  <c r="G79" i="90" s="1"/>
  <c r="D139" i="85"/>
  <c r="F79" i="90" s="1"/>
  <c r="C139" i="85"/>
  <c r="E79" i="90" s="1"/>
  <c r="E132" i="85"/>
  <c r="G78" i="90" s="1"/>
  <c r="D132" i="85"/>
  <c r="F78" i="90" s="1"/>
  <c r="C132" i="85"/>
  <c r="E78" i="90" s="1"/>
  <c r="E131" i="85"/>
  <c r="G77" i="90" s="1"/>
  <c r="D131" i="85"/>
  <c r="F77" i="90" s="1"/>
  <c r="C131" i="85"/>
  <c r="E77" i="90" s="1"/>
  <c r="E130" i="85"/>
  <c r="G76" i="90" s="1"/>
  <c r="D130" i="85"/>
  <c r="F76" i="90" s="1"/>
  <c r="C130" i="85"/>
  <c r="E76" i="90" s="1"/>
  <c r="E129" i="85"/>
  <c r="G75" i="90" s="1"/>
  <c r="D129" i="85"/>
  <c r="F75" i="90" s="1"/>
  <c r="C129" i="85"/>
  <c r="E75" i="90" s="1"/>
  <c r="F128" i="85"/>
  <c r="H74" i="90" s="1"/>
  <c r="E128" i="85"/>
  <c r="G74" i="90" s="1"/>
  <c r="D128" i="85"/>
  <c r="F74" i="90" s="1"/>
  <c r="C128" i="85"/>
  <c r="E74" i="90" s="1"/>
  <c r="E127" i="85"/>
  <c r="G73" i="90" s="1"/>
  <c r="D127" i="85"/>
  <c r="F73" i="90" s="1"/>
  <c r="C127" i="85"/>
  <c r="E73" i="90" s="1"/>
  <c r="E126" i="85"/>
  <c r="G72" i="90" s="1"/>
  <c r="D126" i="85"/>
  <c r="F72" i="90" s="1"/>
  <c r="C126" i="85"/>
  <c r="E72" i="90" s="1"/>
  <c r="E125" i="85"/>
  <c r="G71" i="90" s="1"/>
  <c r="D125" i="85"/>
  <c r="F71" i="90" s="1"/>
  <c r="C125" i="85"/>
  <c r="E71" i="90" s="1"/>
  <c r="E124" i="85"/>
  <c r="G70" i="90" s="1"/>
  <c r="D124" i="85"/>
  <c r="F70" i="90" s="1"/>
  <c r="C124" i="85"/>
  <c r="E70" i="90" s="1"/>
  <c r="G123" i="85"/>
  <c r="I69" i="90" s="1"/>
  <c r="E123" i="85"/>
  <c r="G69" i="90" s="1"/>
  <c r="D123" i="85"/>
  <c r="F69" i="90" s="1"/>
  <c r="C123" i="85"/>
  <c r="E69" i="90" s="1"/>
  <c r="F122" i="85"/>
  <c r="H68" i="90" s="1"/>
  <c r="E122" i="85"/>
  <c r="G68" i="90" s="1"/>
  <c r="D122" i="85"/>
  <c r="F68" i="90" s="1"/>
  <c r="C122" i="85"/>
  <c r="E68" i="90" s="1"/>
  <c r="F121" i="85"/>
  <c r="H67" i="90" s="1"/>
  <c r="E121" i="85"/>
  <c r="G67" i="90" s="1"/>
  <c r="D121" i="85"/>
  <c r="F67" i="90" s="1"/>
  <c r="C121" i="85"/>
  <c r="E67" i="90" s="1"/>
  <c r="F120" i="85"/>
  <c r="H66" i="90" s="1"/>
  <c r="E120" i="85"/>
  <c r="G66" i="90" s="1"/>
  <c r="D120" i="85"/>
  <c r="F66" i="90" s="1"/>
  <c r="C120" i="85"/>
  <c r="E66" i="90" s="1"/>
  <c r="E119" i="85"/>
  <c r="G65" i="90" s="1"/>
  <c r="D119" i="85"/>
  <c r="F65" i="90" s="1"/>
  <c r="C119" i="85"/>
  <c r="E65" i="90" s="1"/>
  <c r="G115" i="85"/>
  <c r="I64" i="90" s="1"/>
  <c r="E115" i="85"/>
  <c r="G64" i="90" s="1"/>
  <c r="D115" i="85"/>
  <c r="F64" i="90" s="1"/>
  <c r="C115" i="85"/>
  <c r="E64" i="90" s="1"/>
  <c r="G114" i="85"/>
  <c r="I63" i="90" s="1"/>
  <c r="E114" i="85"/>
  <c r="G63" i="90" s="1"/>
  <c r="D114" i="85"/>
  <c r="F63" i="90" s="1"/>
  <c r="C114" i="85"/>
  <c r="E63" i="90" s="1"/>
  <c r="G113" i="85"/>
  <c r="I62" i="90" s="1"/>
  <c r="E113" i="85"/>
  <c r="G62" i="90" s="1"/>
  <c r="D113" i="85"/>
  <c r="F62" i="90" s="1"/>
  <c r="C113" i="85"/>
  <c r="E62" i="90" s="1"/>
  <c r="G112" i="85"/>
  <c r="I61" i="90" s="1"/>
  <c r="E112" i="85"/>
  <c r="G61" i="90" s="1"/>
  <c r="D112" i="85"/>
  <c r="F61" i="90" s="1"/>
  <c r="C112" i="85"/>
  <c r="E61" i="90" s="1"/>
  <c r="E111" i="85"/>
  <c r="G60" i="90" s="1"/>
  <c r="D111" i="85"/>
  <c r="F60" i="90" s="1"/>
  <c r="C111" i="85"/>
  <c r="E60" i="90" s="1"/>
  <c r="E110" i="85"/>
  <c r="G59" i="90" s="1"/>
  <c r="D110" i="85"/>
  <c r="F59" i="90" s="1"/>
  <c r="C110" i="85"/>
  <c r="E59" i="90" s="1"/>
  <c r="E109" i="85"/>
  <c r="G58" i="90" s="1"/>
  <c r="D109" i="85"/>
  <c r="F58" i="90" s="1"/>
  <c r="C109" i="85"/>
  <c r="E58" i="90" s="1"/>
  <c r="E108" i="85"/>
  <c r="G57" i="90" s="1"/>
  <c r="D108" i="85"/>
  <c r="F57" i="90" s="1"/>
  <c r="C108" i="85"/>
  <c r="E57" i="90" s="1"/>
  <c r="E107" i="85"/>
  <c r="G56" i="90" s="1"/>
  <c r="D107" i="85"/>
  <c r="F56" i="90" s="1"/>
  <c r="C107" i="85"/>
  <c r="E56" i="90" s="1"/>
  <c r="E106" i="85"/>
  <c r="G55" i="90" s="1"/>
  <c r="D106" i="85"/>
  <c r="F55" i="90" s="1"/>
  <c r="C106" i="85"/>
  <c r="E55" i="90" s="1"/>
  <c r="E105" i="85"/>
  <c r="G54" i="90" s="1"/>
  <c r="D105" i="85"/>
  <c r="F54" i="90" s="1"/>
  <c r="C105" i="85"/>
  <c r="E54" i="90" s="1"/>
  <c r="E104" i="85"/>
  <c r="G53" i="90" s="1"/>
  <c r="D104" i="85"/>
  <c r="F53" i="90" s="1"/>
  <c r="C104" i="85"/>
  <c r="E53" i="90" s="1"/>
  <c r="G103" i="85"/>
  <c r="I52" i="90" s="1"/>
  <c r="E103" i="85"/>
  <c r="G52" i="90" s="1"/>
  <c r="D103" i="85"/>
  <c r="F52" i="90" s="1"/>
  <c r="C103" i="85"/>
  <c r="E52" i="90" s="1"/>
  <c r="G99" i="85"/>
  <c r="I51" i="90" s="1"/>
  <c r="E99" i="85"/>
  <c r="G51" i="90" s="1"/>
  <c r="D99" i="85"/>
  <c r="F51" i="90" s="1"/>
  <c r="C99" i="85"/>
  <c r="E51" i="90" s="1"/>
  <c r="G98" i="85"/>
  <c r="I50" i="90" s="1"/>
  <c r="E98" i="85"/>
  <c r="G50" i="90" s="1"/>
  <c r="D98" i="85"/>
  <c r="F50" i="90" s="1"/>
  <c r="C98" i="85"/>
  <c r="E50" i="90" s="1"/>
  <c r="E97" i="85"/>
  <c r="G49" i="90" s="1"/>
  <c r="D97" i="85"/>
  <c r="F49" i="90" s="1"/>
  <c r="C97" i="85"/>
  <c r="E49" i="90" s="1"/>
  <c r="F96" i="85"/>
  <c r="H48" i="90" s="1"/>
  <c r="E96" i="85"/>
  <c r="G48" i="90" s="1"/>
  <c r="D96" i="85"/>
  <c r="F48" i="90" s="1"/>
  <c r="C96" i="85"/>
  <c r="E48" i="90" s="1"/>
  <c r="F92" i="85"/>
  <c r="H47" i="90" s="1"/>
  <c r="E92" i="85"/>
  <c r="G47" i="90" s="1"/>
  <c r="D92" i="85"/>
  <c r="F47" i="90" s="1"/>
  <c r="C92" i="85"/>
  <c r="E47" i="90" s="1"/>
  <c r="E91" i="85"/>
  <c r="G46" i="90" s="1"/>
  <c r="D91" i="85"/>
  <c r="F46" i="90" s="1"/>
  <c r="C91" i="85"/>
  <c r="E46" i="90" s="1"/>
  <c r="E90" i="85"/>
  <c r="G45" i="90" s="1"/>
  <c r="D90" i="85"/>
  <c r="F45" i="90" s="1"/>
  <c r="C90" i="85"/>
  <c r="E45" i="90" s="1"/>
  <c r="G89" i="85"/>
  <c r="I44" i="90" s="1"/>
  <c r="E89" i="85"/>
  <c r="G44" i="90" s="1"/>
  <c r="D89" i="85"/>
  <c r="F44" i="90" s="1"/>
  <c r="C89" i="85"/>
  <c r="E44" i="90" s="1"/>
  <c r="G88" i="85"/>
  <c r="I43" i="90" s="1"/>
  <c r="E88" i="85"/>
  <c r="G43" i="90" s="1"/>
  <c r="D88" i="85"/>
  <c r="F43" i="90" s="1"/>
  <c r="C88" i="85"/>
  <c r="E43" i="90" s="1"/>
  <c r="G87" i="85"/>
  <c r="I42" i="90" s="1"/>
  <c r="E87" i="85"/>
  <c r="G42" i="90" s="1"/>
  <c r="D87" i="85"/>
  <c r="F42" i="90" s="1"/>
  <c r="C87" i="85"/>
  <c r="E42" i="90" s="1"/>
  <c r="G85" i="85"/>
  <c r="I41" i="90"/>
  <c r="G75" i="85"/>
  <c r="F75" i="85"/>
  <c r="E75" i="85"/>
  <c r="F73" i="85"/>
  <c r="H39" i="90" s="1"/>
  <c r="E73" i="85"/>
  <c r="G39" i="90" s="1"/>
  <c r="D73" i="85"/>
  <c r="F39" i="90" s="1"/>
  <c r="C73" i="85"/>
  <c r="E39" i="90" s="1"/>
  <c r="F72" i="85"/>
  <c r="H38" i="90" s="1"/>
  <c r="E72" i="85"/>
  <c r="G38" i="90" s="1"/>
  <c r="D72" i="85"/>
  <c r="F38" i="90" s="1"/>
  <c r="C72" i="85"/>
  <c r="E38" i="90" s="1"/>
  <c r="F71" i="85"/>
  <c r="H37" i="90" s="1"/>
  <c r="E71" i="85"/>
  <c r="G37" i="90" s="1"/>
  <c r="D71" i="85"/>
  <c r="F37" i="90" s="1"/>
  <c r="C71" i="85"/>
  <c r="E37" i="90" s="1"/>
  <c r="G70" i="85"/>
  <c r="I36" i="90" s="1"/>
  <c r="F70" i="85"/>
  <c r="H36" i="90" s="1"/>
  <c r="E70" i="85"/>
  <c r="G36" i="90" s="1"/>
  <c r="D70" i="85"/>
  <c r="F36" i="90" s="1"/>
  <c r="C70" i="85"/>
  <c r="E36" i="90" s="1"/>
  <c r="G69" i="85"/>
  <c r="I35" i="90" s="1"/>
  <c r="F69" i="85"/>
  <c r="H35" i="90" s="1"/>
  <c r="E69" i="85"/>
  <c r="G35" i="90" s="1"/>
  <c r="D69" i="85"/>
  <c r="F35" i="90" s="1"/>
  <c r="C69" i="85"/>
  <c r="E35" i="90" s="1"/>
  <c r="E68" i="85"/>
  <c r="G34" i="90" s="1"/>
  <c r="D68" i="85"/>
  <c r="F34" i="90" s="1"/>
  <c r="C68" i="85"/>
  <c r="E34" i="90" s="1"/>
  <c r="G67" i="85"/>
  <c r="I33" i="90" s="1"/>
  <c r="E67" i="85"/>
  <c r="G33" i="90" s="1"/>
  <c r="D67" i="85"/>
  <c r="F33" i="90" s="1"/>
  <c r="C67" i="85"/>
  <c r="E33" i="90" s="1"/>
  <c r="F66" i="85"/>
  <c r="H32" i="90" s="1"/>
  <c r="E66" i="85"/>
  <c r="G32" i="90" s="1"/>
  <c r="D66" i="85"/>
  <c r="F32" i="90" s="1"/>
  <c r="C66" i="85"/>
  <c r="E32" i="90" s="1"/>
  <c r="F65" i="85"/>
  <c r="H31" i="90" s="1"/>
  <c r="E65" i="85"/>
  <c r="G31" i="90" s="1"/>
  <c r="D65" i="85"/>
  <c r="F31" i="90" s="1"/>
  <c r="C65" i="85"/>
  <c r="E31" i="90" s="1"/>
  <c r="F64" i="85"/>
  <c r="H30" i="90" s="1"/>
  <c r="E64" i="85"/>
  <c r="G30" i="90" s="1"/>
  <c r="D64" i="85"/>
  <c r="F30" i="90" s="1"/>
  <c r="C64" i="85"/>
  <c r="E30" i="90" s="1"/>
  <c r="E63" i="85"/>
  <c r="G29" i="90" s="1"/>
  <c r="D63" i="85"/>
  <c r="F29" i="90" s="1"/>
  <c r="C63" i="85"/>
  <c r="E29" i="90" s="1"/>
  <c r="E62" i="85"/>
  <c r="D62" i="85"/>
  <c r="C62" i="85"/>
  <c r="E61" i="85"/>
  <c r="G27" i="90" s="1"/>
  <c r="D61" i="85"/>
  <c r="F27" i="90" s="1"/>
  <c r="C61" i="85"/>
  <c r="E27" i="90" s="1"/>
  <c r="E60" i="85"/>
  <c r="G26" i="90" s="1"/>
  <c r="D60" i="85"/>
  <c r="F26" i="90" s="1"/>
  <c r="C60" i="85"/>
  <c r="E26" i="90" s="1"/>
  <c r="E59" i="85"/>
  <c r="G25" i="90" s="1"/>
  <c r="D59" i="85"/>
  <c r="F25" i="90" s="1"/>
  <c r="C59" i="85"/>
  <c r="E25" i="90" s="1"/>
  <c r="G58" i="85"/>
  <c r="I24" i="90" s="1"/>
  <c r="E58" i="85"/>
  <c r="G24" i="90" s="1"/>
  <c r="D58" i="85"/>
  <c r="F24" i="90" s="1"/>
  <c r="C58" i="85"/>
  <c r="E24" i="90" s="1"/>
  <c r="E57" i="85"/>
  <c r="G23" i="90" s="1"/>
  <c r="D57" i="85"/>
  <c r="F23" i="90" s="1"/>
  <c r="C57" i="85"/>
  <c r="E23" i="90" s="1"/>
  <c r="E48" i="85"/>
  <c r="G22" i="90" s="1"/>
  <c r="D48" i="85"/>
  <c r="F22" i="90" s="1"/>
  <c r="C48" i="85"/>
  <c r="E22" i="90" s="1"/>
  <c r="F47" i="85"/>
  <c r="H21" i="90" s="1"/>
  <c r="E47" i="85"/>
  <c r="G21" i="90" s="1"/>
  <c r="D47" i="85"/>
  <c r="F21" i="90" s="1"/>
  <c r="C47" i="85"/>
  <c r="E21" i="90" s="1"/>
  <c r="E46" i="85"/>
  <c r="G20" i="90" s="1"/>
  <c r="D46" i="85"/>
  <c r="F20" i="90" s="1"/>
  <c r="C46" i="85"/>
  <c r="E20" i="90" s="1"/>
  <c r="E45" i="85"/>
  <c r="G19" i="90" s="1"/>
  <c r="D45" i="85"/>
  <c r="F19" i="90" s="1"/>
  <c r="C45" i="85"/>
  <c r="E19" i="90" s="1"/>
  <c r="E44" i="85"/>
  <c r="G18" i="90" s="1"/>
  <c r="D44" i="85"/>
  <c r="F18" i="90" s="1"/>
  <c r="C44" i="85"/>
  <c r="E18" i="90" s="1"/>
  <c r="E43" i="85"/>
  <c r="G17" i="90" s="1"/>
  <c r="D43" i="85"/>
  <c r="F17" i="90" s="1"/>
  <c r="C43" i="85"/>
  <c r="E17" i="90" s="1"/>
  <c r="E42" i="85"/>
  <c r="G16" i="90" s="1"/>
  <c r="D42" i="85"/>
  <c r="F16" i="90" s="1"/>
  <c r="C42" i="85"/>
  <c r="E16" i="90" s="1"/>
  <c r="E41" i="85"/>
  <c r="G15" i="90" s="1"/>
  <c r="D41" i="85"/>
  <c r="F15" i="90" s="1"/>
  <c r="C41" i="85"/>
  <c r="E15" i="90" s="1"/>
  <c r="E40" i="85"/>
  <c r="G14" i="90" s="1"/>
  <c r="D40" i="85"/>
  <c r="F14" i="90" s="1"/>
  <c r="C40" i="85"/>
  <c r="E14" i="90" s="1"/>
  <c r="E39" i="85"/>
  <c r="G13" i="90" s="1"/>
  <c r="D39" i="85"/>
  <c r="F13" i="90" s="1"/>
  <c r="C39" i="85"/>
  <c r="E13" i="90" s="1"/>
  <c r="E38" i="85"/>
  <c r="G12" i="90" s="1"/>
  <c r="D38" i="85"/>
  <c r="F12" i="90" s="1"/>
  <c r="C38" i="85"/>
  <c r="E12" i="90" s="1"/>
  <c r="E37" i="85"/>
  <c r="G11" i="90" s="1"/>
  <c r="D37" i="85"/>
  <c r="F11" i="90" s="1"/>
  <c r="C37" i="85"/>
  <c r="E11" i="90" s="1"/>
  <c r="F33" i="85"/>
  <c r="H28" i="90" s="1"/>
  <c r="E33" i="85"/>
  <c r="G10" i="90" s="1"/>
  <c r="D33" i="85"/>
  <c r="F10" i="90" s="1"/>
  <c r="C33" i="85"/>
  <c r="E28" i="90" s="1"/>
  <c r="F29" i="85"/>
  <c r="H9" i="90" s="1"/>
  <c r="E29" i="85"/>
  <c r="G9" i="90" s="1"/>
  <c r="D29" i="85"/>
  <c r="F9" i="90" s="1"/>
  <c r="C29" i="85"/>
  <c r="E9" i="90" s="1"/>
  <c r="F25" i="85"/>
  <c r="H8" i="90" s="1"/>
  <c r="E25" i="85"/>
  <c r="G8" i="90" s="1"/>
  <c r="D25" i="85"/>
  <c r="F8" i="90" s="1"/>
  <c r="C25" i="85"/>
  <c r="E8" i="90" s="1"/>
  <c r="F24" i="85"/>
  <c r="H7" i="90" s="1"/>
  <c r="E24" i="85"/>
  <c r="G7" i="90" s="1"/>
  <c r="D24" i="85"/>
  <c r="F7" i="90" s="1"/>
  <c r="C24" i="85"/>
  <c r="E7" i="90" s="1"/>
  <c r="G23" i="85"/>
  <c r="I6" i="90" s="1"/>
  <c r="F23" i="85"/>
  <c r="H6" i="90" s="1"/>
  <c r="E23" i="85"/>
  <c r="G6" i="90" s="1"/>
  <c r="D23" i="85"/>
  <c r="F6" i="90" s="1"/>
  <c r="C23" i="85"/>
  <c r="E6" i="90" s="1"/>
  <c r="F22" i="85"/>
  <c r="H5" i="90" s="1"/>
  <c r="E22" i="85"/>
  <c r="G5" i="90" s="1"/>
  <c r="D22" i="85"/>
  <c r="F5" i="90" s="1"/>
  <c r="C22" i="85"/>
  <c r="E5" i="90" s="1"/>
  <c r="F18" i="85"/>
  <c r="H4" i="90" s="1"/>
  <c r="E18" i="85"/>
  <c r="G4" i="90" s="1"/>
  <c r="D18" i="85"/>
  <c r="F4" i="90" s="1"/>
  <c r="C18" i="85"/>
  <c r="E4" i="90" s="1"/>
  <c r="F17" i="85"/>
  <c r="H3" i="90" s="1"/>
  <c r="E17" i="85"/>
  <c r="G3" i="90" s="1"/>
  <c r="D17" i="85"/>
  <c r="F3" i="90" s="1"/>
  <c r="C17" i="85"/>
  <c r="E3" i="90" s="1"/>
  <c r="F16" i="85"/>
  <c r="H2" i="90" s="1"/>
  <c r="E16" i="85"/>
  <c r="G2" i="90" s="1"/>
  <c r="D16" i="85"/>
  <c r="F2" i="90" s="1"/>
  <c r="C16" i="85"/>
  <c r="E2" i="90" s="1"/>
  <c r="E7" i="85"/>
  <c r="D7" i="85"/>
  <c r="E6" i="85"/>
  <c r="H10" i="85" s="1"/>
  <c r="I10" i="85" s="1"/>
  <c r="D6" i="85"/>
  <c r="E5" i="85"/>
  <c r="D5" i="85"/>
  <c r="A3" i="85"/>
  <c r="A2" i="85"/>
  <c r="A1" i="85"/>
  <c r="F7" i="78"/>
  <c r="E7" i="78"/>
  <c r="E4" i="76"/>
  <c r="E376" i="80"/>
  <c r="E375" i="80"/>
  <c r="E374" i="80"/>
  <c r="K374" i="80" s="1"/>
  <c r="E373" i="80"/>
  <c r="K373" i="80" s="1"/>
  <c r="E372" i="80"/>
  <c r="K372" i="80" s="1"/>
  <c r="E371" i="80"/>
  <c r="K371" i="80" s="1"/>
  <c r="E370" i="80"/>
  <c r="K370" i="80" s="1"/>
  <c r="E376" i="79"/>
  <c r="E375" i="79"/>
  <c r="K375" i="79" s="1"/>
  <c r="E374" i="79"/>
  <c r="E373" i="79"/>
  <c r="E372" i="79"/>
  <c r="K372" i="79" s="1"/>
  <c r="E371" i="79"/>
  <c r="K371" i="79" s="1"/>
  <c r="E370" i="79"/>
  <c r="K370" i="79" s="1"/>
  <c r="K429" i="80"/>
  <c r="K425" i="80"/>
  <c r="K424" i="80"/>
  <c r="K429" i="79"/>
  <c r="K425" i="79"/>
  <c r="K424" i="79"/>
  <c r="K376" i="80"/>
  <c r="K375" i="80"/>
  <c r="K376" i="79"/>
  <c r="K374" i="79"/>
  <c r="K373" i="79"/>
  <c r="G85" i="80"/>
  <c r="G85" i="79"/>
  <c r="F9" i="70"/>
  <c r="F108" i="70" s="1"/>
  <c r="N103" i="80" s="1"/>
  <c r="O60" i="76"/>
  <c r="N60" i="76"/>
  <c r="M60" i="76"/>
  <c r="O53" i="76"/>
  <c r="N53" i="76"/>
  <c r="M53" i="76"/>
  <c r="H30" i="32"/>
  <c r="H85" i="85" s="1"/>
  <c r="J41" i="90" s="1"/>
  <c r="H85" i="80"/>
  <c r="Y4" i="76"/>
  <c r="X4" i="76"/>
  <c r="W4" i="76"/>
  <c r="V4" i="76"/>
  <c r="EM3" i="79" s="1"/>
  <c r="U4" i="76"/>
  <c r="EE3" i="79" s="1"/>
  <c r="T4" i="76"/>
  <c r="S4" i="76"/>
  <c r="R4" i="76"/>
  <c r="Q4" i="76"/>
  <c r="P4" i="76"/>
  <c r="O4" i="76"/>
  <c r="N4" i="76"/>
  <c r="M4" i="76"/>
  <c r="L4" i="76"/>
  <c r="K4" i="76"/>
  <c r="J4" i="76"/>
  <c r="I4" i="76"/>
  <c r="H4" i="76"/>
  <c r="G4" i="76"/>
  <c r="F4" i="76"/>
  <c r="B1" i="70"/>
  <c r="Y60" i="76"/>
  <c r="X60" i="76"/>
  <c r="W60" i="76"/>
  <c r="V60" i="76"/>
  <c r="U60" i="76"/>
  <c r="T60" i="76"/>
  <c r="S60" i="76"/>
  <c r="R60" i="76"/>
  <c r="Q60" i="76"/>
  <c r="P60" i="76"/>
  <c r="Y53" i="76"/>
  <c r="X53" i="76"/>
  <c r="W53" i="76"/>
  <c r="V53" i="76"/>
  <c r="U53" i="76"/>
  <c r="ED187" i="79" s="1"/>
  <c r="T53" i="76"/>
  <c r="DV187" i="79" s="1"/>
  <c r="S53" i="76"/>
  <c r="R53" i="76"/>
  <c r="Q53" i="76"/>
  <c r="P53" i="76"/>
  <c r="Y43" i="76"/>
  <c r="X43" i="76"/>
  <c r="W43" i="76"/>
  <c r="V43" i="76"/>
  <c r="U43" i="76"/>
  <c r="T43" i="76"/>
  <c r="S43" i="76"/>
  <c r="R43" i="76"/>
  <c r="Q43" i="76"/>
  <c r="P43" i="76"/>
  <c r="O43" i="76"/>
  <c r="O125" i="76" s="1"/>
  <c r="N43" i="76"/>
  <c r="M43" i="76"/>
  <c r="Y33" i="76"/>
  <c r="X33" i="76"/>
  <c r="W33" i="76"/>
  <c r="V33" i="76"/>
  <c r="U33" i="76"/>
  <c r="T33" i="76"/>
  <c r="S33" i="76"/>
  <c r="R33" i="76"/>
  <c r="Q33" i="76"/>
  <c r="P33" i="76"/>
  <c r="O33" i="76"/>
  <c r="N33" i="76"/>
  <c r="M33" i="76"/>
  <c r="Y26" i="76"/>
  <c r="FJ180" i="79" s="1"/>
  <c r="X26" i="76"/>
  <c r="FB180" i="79" s="1"/>
  <c r="W26" i="76"/>
  <c r="V26" i="76"/>
  <c r="U26" i="76"/>
  <c r="T26" i="76"/>
  <c r="S26" i="76"/>
  <c r="R26" i="76"/>
  <c r="Q26" i="76"/>
  <c r="P26" i="76"/>
  <c r="O26" i="76"/>
  <c r="N26" i="76"/>
  <c r="M26" i="76"/>
  <c r="Y20" i="76"/>
  <c r="X20" i="76"/>
  <c r="W20" i="76"/>
  <c r="V20" i="76"/>
  <c r="U20" i="76"/>
  <c r="T20" i="76"/>
  <c r="S20" i="76"/>
  <c r="R20" i="76"/>
  <c r="Q20" i="76"/>
  <c r="P20" i="76"/>
  <c r="O20" i="76"/>
  <c r="N20" i="76"/>
  <c r="M20" i="76"/>
  <c r="Y13" i="76"/>
  <c r="X13" i="76"/>
  <c r="W13" i="76"/>
  <c r="V13" i="76"/>
  <c r="U13" i="76"/>
  <c r="T13" i="76"/>
  <c r="S13" i="76"/>
  <c r="DN176" i="79" s="1"/>
  <c r="R13" i="76"/>
  <c r="DF176" i="79" s="1"/>
  <c r="Q13" i="76"/>
  <c r="P13" i="76"/>
  <c r="O13" i="76"/>
  <c r="N13" i="76"/>
  <c r="M13" i="76"/>
  <c r="C56" i="82"/>
  <c r="C55" i="82"/>
  <c r="C72" i="82"/>
  <c r="C71" i="82"/>
  <c r="C70" i="82"/>
  <c r="C69" i="82"/>
  <c r="C35" i="82"/>
  <c r="C72" i="35"/>
  <c r="C71" i="35"/>
  <c r="C70" i="35"/>
  <c r="C69" i="35"/>
  <c r="C35" i="35"/>
  <c r="B33" i="83"/>
  <c r="AA33" i="83" s="1"/>
  <c r="B15" i="83"/>
  <c r="AA15" i="83" s="1"/>
  <c r="B29" i="78"/>
  <c r="H187" i="85"/>
  <c r="J104" i="90" s="1"/>
  <c r="F29" i="78"/>
  <c r="E29" i="78"/>
  <c r="D29" i="78"/>
  <c r="C29" i="78"/>
  <c r="F28" i="78"/>
  <c r="E28" i="78"/>
  <c r="D28" i="78"/>
  <c r="C28" i="78"/>
  <c r="K43" i="7"/>
  <c r="J43" i="7"/>
  <c r="K40" i="7"/>
  <c r="K41" i="7" s="1"/>
  <c r="I40" i="7"/>
  <c r="K39" i="7"/>
  <c r="J39" i="7"/>
  <c r="J41" i="7" s="1"/>
  <c r="I39" i="7"/>
  <c r="H39" i="7"/>
  <c r="H41" i="7" s="1"/>
  <c r="I41" i="7"/>
  <c r="AA37" i="83"/>
  <c r="AA35" i="83"/>
  <c r="AA21" i="83"/>
  <c r="Z20" i="83"/>
  <c r="Z24" i="83" s="1"/>
  <c r="Y20" i="83"/>
  <c r="Y24" i="83"/>
  <c r="X20" i="83"/>
  <c r="X24" i="83"/>
  <c r="W20" i="83"/>
  <c r="W24" i="83" s="1"/>
  <c r="V20" i="83"/>
  <c r="V24" i="83"/>
  <c r="U20" i="83"/>
  <c r="U24" i="83"/>
  <c r="T20" i="83"/>
  <c r="T24" i="83" s="1"/>
  <c r="S20" i="83"/>
  <c r="S24" i="83" s="1"/>
  <c r="R20" i="83"/>
  <c r="R24" i="83" s="1"/>
  <c r="Q20" i="83"/>
  <c r="Q24" i="83"/>
  <c r="P20" i="83"/>
  <c r="P24" i="83"/>
  <c r="O20" i="83"/>
  <c r="O24" i="83" s="1"/>
  <c r="N20" i="83"/>
  <c r="N24" i="83"/>
  <c r="M20" i="83"/>
  <c r="M24" i="83"/>
  <c r="L20" i="83"/>
  <c r="L24" i="83" s="1"/>
  <c r="K20" i="83"/>
  <c r="K24" i="83" s="1"/>
  <c r="J20" i="83"/>
  <c r="J24" i="83" s="1"/>
  <c r="I20" i="83"/>
  <c r="I24" i="83"/>
  <c r="H20" i="83"/>
  <c r="H24" i="83"/>
  <c r="G20" i="83"/>
  <c r="G24" i="83" s="1"/>
  <c r="F20" i="83"/>
  <c r="F24" i="83"/>
  <c r="E20" i="83"/>
  <c r="E24" i="83"/>
  <c r="D20" i="83"/>
  <c r="D24" i="83" s="1"/>
  <c r="C20" i="83"/>
  <c r="Z11" i="83"/>
  <c r="Y11" i="83"/>
  <c r="X11" i="83"/>
  <c r="W11" i="83"/>
  <c r="V11" i="83"/>
  <c r="U11" i="83"/>
  <c r="T11" i="83"/>
  <c r="S11" i="83"/>
  <c r="R11" i="83"/>
  <c r="Q11" i="83"/>
  <c r="P11" i="83"/>
  <c r="O11" i="83"/>
  <c r="N11" i="83"/>
  <c r="M11" i="83"/>
  <c r="L11" i="83"/>
  <c r="K11" i="83"/>
  <c r="J11" i="83"/>
  <c r="I11" i="83"/>
  <c r="H11" i="83"/>
  <c r="G11" i="83"/>
  <c r="F11" i="83"/>
  <c r="E11" i="83"/>
  <c r="D11" i="83"/>
  <c r="C11" i="83"/>
  <c r="B11" i="83"/>
  <c r="B8" i="83"/>
  <c r="A8" i="83"/>
  <c r="A7" i="83"/>
  <c r="H87" i="82"/>
  <c r="K87" i="82"/>
  <c r="K86" i="82"/>
  <c r="H86" i="82"/>
  <c r="H85" i="82"/>
  <c r="K85" i="82"/>
  <c r="H84" i="82"/>
  <c r="K84" i="82"/>
  <c r="H83" i="82"/>
  <c r="K83" i="82" s="1"/>
  <c r="H82" i="82"/>
  <c r="K82" i="82"/>
  <c r="H81" i="82"/>
  <c r="K81" i="82"/>
  <c r="H80" i="82"/>
  <c r="K80" i="82"/>
  <c r="H79" i="82"/>
  <c r="K79" i="82"/>
  <c r="H78" i="82"/>
  <c r="K78" i="82" s="1"/>
  <c r="R64" i="82"/>
  <c r="Q64" i="82"/>
  <c r="S64" i="82" s="1"/>
  <c r="D43" i="82"/>
  <c r="Q43" i="82" s="1"/>
  <c r="C7" i="82"/>
  <c r="C6" i="82"/>
  <c r="C5" i="82"/>
  <c r="C24" i="83"/>
  <c r="B2" i="78"/>
  <c r="B4" i="78" s="1"/>
  <c r="C4" i="78" s="1"/>
  <c r="D4" i="78" s="1"/>
  <c r="E4" i="78" s="1"/>
  <c r="F4" i="78" s="1"/>
  <c r="G4" i="78" s="1"/>
  <c r="M81" i="70"/>
  <c r="BR193" i="80" s="1"/>
  <c r="M80" i="70"/>
  <c r="L81" i="70"/>
  <c r="L80" i="70"/>
  <c r="K81" i="70"/>
  <c r="K80" i="70"/>
  <c r="J81" i="70"/>
  <c r="AT193" i="80" s="1"/>
  <c r="AU193" i="80" s="1"/>
  <c r="J80" i="70"/>
  <c r="H81" i="70"/>
  <c r="H80" i="70"/>
  <c r="F81" i="70"/>
  <c r="F80" i="70"/>
  <c r="I81" i="70"/>
  <c r="I80" i="70"/>
  <c r="AL192" i="80"/>
  <c r="G81" i="70"/>
  <c r="G80" i="70"/>
  <c r="H176" i="85"/>
  <c r="J96" i="90" s="1"/>
  <c r="H180" i="85"/>
  <c r="J99" i="90" s="1"/>
  <c r="H192" i="85"/>
  <c r="J108" i="90" s="1"/>
  <c r="H193" i="80"/>
  <c r="H199" i="85"/>
  <c r="J112" i="90" s="1"/>
  <c r="D43" i="35"/>
  <c r="Q43" i="35" s="1"/>
  <c r="D36" i="35"/>
  <c r="H226" i="85"/>
  <c r="J127" i="90" s="1"/>
  <c r="H231" i="85"/>
  <c r="J132" i="90" s="1"/>
  <c r="H248" i="85"/>
  <c r="J142" i="90" s="1"/>
  <c r="H249" i="85"/>
  <c r="J143" i="90" s="1"/>
  <c r="H250" i="85"/>
  <c r="J144" i="90" s="1"/>
  <c r="H254" i="79"/>
  <c r="H255" i="79"/>
  <c r="H70" i="80"/>
  <c r="H75" i="85"/>
  <c r="H89" i="80"/>
  <c r="H99" i="79"/>
  <c r="H103" i="80"/>
  <c r="H115" i="85"/>
  <c r="J64" i="90" s="1"/>
  <c r="H123" i="85"/>
  <c r="J69" i="90" s="1"/>
  <c r="H147" i="80"/>
  <c r="H139" i="85"/>
  <c r="J79" i="90" s="1"/>
  <c r="H141" i="79"/>
  <c r="H270" i="79"/>
  <c r="H276" i="79"/>
  <c r="H277" i="79"/>
  <c r="H279" i="85"/>
  <c r="J159" i="90" s="1"/>
  <c r="H280" i="80"/>
  <c r="H305" i="80"/>
  <c r="H307" i="79"/>
  <c r="H296" i="80"/>
  <c r="I176" i="85"/>
  <c r="K96" i="90" s="1"/>
  <c r="I180" i="80"/>
  <c r="I213" i="85"/>
  <c r="K119" i="90" s="1"/>
  <c r="I232" i="85"/>
  <c r="K133" i="90" s="1"/>
  <c r="I241" i="80"/>
  <c r="I250" i="85"/>
  <c r="K144" i="90" s="1"/>
  <c r="I254" i="85"/>
  <c r="K148" i="90" s="1"/>
  <c r="I69" i="85"/>
  <c r="K35" i="90" s="1"/>
  <c r="I70" i="85"/>
  <c r="K36" i="90" s="1"/>
  <c r="I75" i="80"/>
  <c r="I96" i="80"/>
  <c r="I99" i="85"/>
  <c r="K51" i="90" s="1"/>
  <c r="I103" i="79"/>
  <c r="I112" i="85"/>
  <c r="K61" i="90" s="1"/>
  <c r="I114" i="79"/>
  <c r="I115" i="79"/>
  <c r="I123" i="85"/>
  <c r="K69" i="90" s="1"/>
  <c r="I139" i="80"/>
  <c r="I140" i="79"/>
  <c r="I141" i="79"/>
  <c r="I142" i="79"/>
  <c r="I276" i="79"/>
  <c r="I278" i="79"/>
  <c r="I280" i="85"/>
  <c r="K160" i="90" s="1"/>
  <c r="I309" i="80"/>
  <c r="I296" i="85"/>
  <c r="K166" i="90" s="1"/>
  <c r="F65" i="70"/>
  <c r="G65" i="70"/>
  <c r="I65" i="70"/>
  <c r="F70" i="70"/>
  <c r="G70" i="70"/>
  <c r="I70" i="70"/>
  <c r="F79" i="70"/>
  <c r="F77" i="70"/>
  <c r="G79" i="70"/>
  <c r="G77" i="70"/>
  <c r="I79" i="70"/>
  <c r="I77" i="70"/>
  <c r="H79" i="70"/>
  <c r="H77" i="70"/>
  <c r="J79" i="70"/>
  <c r="J77" i="70"/>
  <c r="K79" i="70"/>
  <c r="K77" i="70"/>
  <c r="L79" i="70"/>
  <c r="L77" i="70"/>
  <c r="M79" i="70"/>
  <c r="M77" i="70"/>
  <c r="H65" i="70"/>
  <c r="J65" i="70"/>
  <c r="K65" i="70"/>
  <c r="L65" i="70"/>
  <c r="M65" i="70"/>
  <c r="F67" i="70"/>
  <c r="G67" i="70"/>
  <c r="I67" i="70"/>
  <c r="H67" i="70"/>
  <c r="J67" i="70"/>
  <c r="K67" i="70"/>
  <c r="L67" i="70"/>
  <c r="M67" i="70"/>
  <c r="F69" i="70"/>
  <c r="G69" i="70"/>
  <c r="I69" i="70"/>
  <c r="H69" i="70"/>
  <c r="J69" i="70"/>
  <c r="K69" i="70"/>
  <c r="L69" i="70"/>
  <c r="M69" i="70"/>
  <c r="F71" i="70"/>
  <c r="G71" i="70"/>
  <c r="I71" i="70"/>
  <c r="H71" i="70"/>
  <c r="J71" i="70"/>
  <c r="K71" i="70"/>
  <c r="L71" i="70"/>
  <c r="M71" i="70"/>
  <c r="J20" i="70"/>
  <c r="J33" i="70"/>
  <c r="J43" i="70"/>
  <c r="J60" i="70"/>
  <c r="K20" i="70"/>
  <c r="K33" i="70"/>
  <c r="K43" i="70"/>
  <c r="K60" i="70"/>
  <c r="L20" i="70"/>
  <c r="L33" i="70"/>
  <c r="L43" i="70"/>
  <c r="L60" i="70"/>
  <c r="M20" i="70"/>
  <c r="M33" i="70"/>
  <c r="M43" i="70"/>
  <c r="M60" i="70"/>
  <c r="F19" i="70"/>
  <c r="F32" i="70"/>
  <c r="F42" i="70"/>
  <c r="F59" i="70"/>
  <c r="G19" i="70"/>
  <c r="G32" i="70"/>
  <c r="G42" i="70"/>
  <c r="G59" i="70"/>
  <c r="I19" i="70"/>
  <c r="I32" i="70"/>
  <c r="I42" i="70"/>
  <c r="I59" i="70"/>
  <c r="H19" i="70"/>
  <c r="H32" i="70"/>
  <c r="H42" i="70"/>
  <c r="H59" i="70"/>
  <c r="J19" i="70"/>
  <c r="J32" i="70"/>
  <c r="J42" i="70"/>
  <c r="J59" i="70"/>
  <c r="K19" i="70"/>
  <c r="K32" i="70"/>
  <c r="K42" i="70"/>
  <c r="K59" i="70"/>
  <c r="L19" i="70"/>
  <c r="L32" i="70"/>
  <c r="L42" i="70"/>
  <c r="L59" i="70"/>
  <c r="M19" i="70"/>
  <c r="M32" i="70"/>
  <c r="M42" i="70"/>
  <c r="M59" i="70"/>
  <c r="F73" i="70"/>
  <c r="G73" i="70"/>
  <c r="I73" i="70"/>
  <c r="H73" i="70"/>
  <c r="J73" i="70"/>
  <c r="K73" i="70"/>
  <c r="L73" i="70"/>
  <c r="M73" i="70"/>
  <c r="F8" i="70"/>
  <c r="G8" i="70"/>
  <c r="I8" i="70"/>
  <c r="AL22" i="80" s="1"/>
  <c r="H8" i="70"/>
  <c r="J8" i="70"/>
  <c r="K8" i="70"/>
  <c r="L8" i="70"/>
  <c r="M8" i="70"/>
  <c r="F17" i="70"/>
  <c r="G17" i="70"/>
  <c r="I17" i="70"/>
  <c r="H17" i="70"/>
  <c r="J17" i="70"/>
  <c r="K17" i="70"/>
  <c r="L17" i="70"/>
  <c r="M17" i="70"/>
  <c r="F48" i="70"/>
  <c r="G48" i="70"/>
  <c r="I48" i="70"/>
  <c r="H48" i="70"/>
  <c r="J48" i="70"/>
  <c r="AT25" i="80"/>
  <c r="K48" i="70"/>
  <c r="BB25" i="80" s="1"/>
  <c r="L48" i="70"/>
  <c r="M48" i="70"/>
  <c r="F57" i="70"/>
  <c r="G57" i="70"/>
  <c r="I57" i="70"/>
  <c r="AL248" i="80"/>
  <c r="H57" i="70"/>
  <c r="J57" i="70"/>
  <c r="K57" i="70"/>
  <c r="L57" i="70"/>
  <c r="M57" i="70"/>
  <c r="F35" i="70"/>
  <c r="N24" i="80" s="1"/>
  <c r="G35" i="70"/>
  <c r="I35" i="70"/>
  <c r="H35" i="70"/>
  <c r="J35" i="70"/>
  <c r="K35" i="70"/>
  <c r="L35" i="70"/>
  <c r="M35" i="70"/>
  <c r="F45" i="70"/>
  <c r="F46" i="70"/>
  <c r="G45" i="70"/>
  <c r="G128" i="70" s="1"/>
  <c r="G46" i="70"/>
  <c r="V247" i="80" s="1"/>
  <c r="I45" i="70"/>
  <c r="I46" i="70"/>
  <c r="H45" i="70"/>
  <c r="H46" i="70"/>
  <c r="J45" i="70"/>
  <c r="J46" i="70"/>
  <c r="K45" i="70"/>
  <c r="K46" i="70"/>
  <c r="L45" i="70"/>
  <c r="L46" i="70"/>
  <c r="M45" i="70"/>
  <c r="M46" i="70"/>
  <c r="F49" i="70"/>
  <c r="G9" i="70"/>
  <c r="G49" i="70"/>
  <c r="G108" i="70" s="1"/>
  <c r="I9" i="70"/>
  <c r="I49" i="70"/>
  <c r="H9" i="70"/>
  <c r="H49" i="70"/>
  <c r="J9" i="70"/>
  <c r="J49" i="70"/>
  <c r="K9" i="70"/>
  <c r="K49" i="70"/>
  <c r="L9" i="70"/>
  <c r="L49" i="70"/>
  <c r="M9" i="70"/>
  <c r="M49" i="70"/>
  <c r="F22" i="70"/>
  <c r="G22" i="70"/>
  <c r="I22" i="70"/>
  <c r="H22" i="70"/>
  <c r="AD23" i="80" s="1"/>
  <c r="AE23" i="80" s="1"/>
  <c r="J22" i="70"/>
  <c r="K22" i="70"/>
  <c r="L22" i="70"/>
  <c r="M22" i="70"/>
  <c r="F83" i="70"/>
  <c r="G83" i="70"/>
  <c r="I83" i="70"/>
  <c r="AL29" i="80"/>
  <c r="H83" i="70"/>
  <c r="J83" i="70"/>
  <c r="K83" i="70"/>
  <c r="L83" i="70"/>
  <c r="M83" i="70"/>
  <c r="F14" i="70"/>
  <c r="G14" i="70"/>
  <c r="I14" i="70"/>
  <c r="I115" i="70" s="1"/>
  <c r="H14" i="70"/>
  <c r="J14" i="70"/>
  <c r="K14" i="70"/>
  <c r="L14" i="70"/>
  <c r="M14" i="70"/>
  <c r="F15" i="70"/>
  <c r="G15" i="70"/>
  <c r="I15" i="70"/>
  <c r="H15" i="70"/>
  <c r="J15" i="70"/>
  <c r="K15" i="70"/>
  <c r="L15" i="70"/>
  <c r="M15" i="70"/>
  <c r="F38" i="70"/>
  <c r="G38" i="70"/>
  <c r="V184" i="80"/>
  <c r="W184" i="80" s="1"/>
  <c r="I38" i="70"/>
  <c r="H38" i="70"/>
  <c r="J38" i="70"/>
  <c r="K38" i="70"/>
  <c r="L38" i="70"/>
  <c r="M38" i="70"/>
  <c r="F39" i="70"/>
  <c r="G39" i="70"/>
  <c r="I39" i="70"/>
  <c r="H39" i="70"/>
  <c r="J39" i="70"/>
  <c r="AT185" i="80" s="1"/>
  <c r="K39" i="70"/>
  <c r="L39" i="70"/>
  <c r="M39" i="70"/>
  <c r="F54" i="70"/>
  <c r="G54" i="70"/>
  <c r="V188" i="80" s="1"/>
  <c r="W188" i="80" s="1"/>
  <c r="I54" i="70"/>
  <c r="H54" i="70"/>
  <c r="J54" i="70"/>
  <c r="K54" i="70"/>
  <c r="L54" i="70"/>
  <c r="M54" i="70"/>
  <c r="F55" i="70"/>
  <c r="G55" i="70"/>
  <c r="I55" i="70"/>
  <c r="H55" i="70"/>
  <c r="J55" i="70"/>
  <c r="K55" i="70"/>
  <c r="L55" i="70"/>
  <c r="M55" i="70"/>
  <c r="F27" i="70"/>
  <c r="G27" i="70"/>
  <c r="I27" i="70"/>
  <c r="H27" i="70"/>
  <c r="J27" i="70"/>
  <c r="K27" i="70"/>
  <c r="L27" i="70"/>
  <c r="M27" i="70"/>
  <c r="F28" i="70"/>
  <c r="G28" i="70"/>
  <c r="I28" i="70"/>
  <c r="H28" i="70"/>
  <c r="J28" i="70"/>
  <c r="K28" i="70"/>
  <c r="L28" i="70"/>
  <c r="M28" i="70"/>
  <c r="J13" i="70"/>
  <c r="K13" i="70"/>
  <c r="BB176" i="80" s="1"/>
  <c r="L13" i="70"/>
  <c r="M13" i="70"/>
  <c r="J53" i="70"/>
  <c r="K53" i="70"/>
  <c r="L53" i="70"/>
  <c r="BJ187" i="80"/>
  <c r="M53" i="70"/>
  <c r="F16" i="70"/>
  <c r="F29" i="70"/>
  <c r="F40" i="70"/>
  <c r="F56" i="70"/>
  <c r="F89" i="70"/>
  <c r="G16" i="70"/>
  <c r="G29" i="70"/>
  <c r="G40" i="70"/>
  <c r="G56" i="70"/>
  <c r="G89" i="70"/>
  <c r="I16" i="70"/>
  <c r="I29" i="70"/>
  <c r="I40" i="70"/>
  <c r="I56" i="70"/>
  <c r="I89" i="70"/>
  <c r="H16" i="70"/>
  <c r="H29" i="70"/>
  <c r="H40" i="70"/>
  <c r="H56" i="70"/>
  <c r="H89" i="70"/>
  <c r="J16" i="70"/>
  <c r="J29" i="70"/>
  <c r="J40" i="70"/>
  <c r="J56" i="70"/>
  <c r="J89" i="70"/>
  <c r="J111" i="70" s="1"/>
  <c r="AT223" i="80" s="1"/>
  <c r="K16" i="70"/>
  <c r="K29" i="70"/>
  <c r="K40" i="70"/>
  <c r="K56" i="70"/>
  <c r="K89" i="70"/>
  <c r="L16" i="70"/>
  <c r="L29" i="70"/>
  <c r="L40" i="70"/>
  <c r="L56" i="70"/>
  <c r="L89" i="70"/>
  <c r="M16" i="70"/>
  <c r="M29" i="70"/>
  <c r="M40" i="70"/>
  <c r="M56" i="70"/>
  <c r="M89" i="70"/>
  <c r="F62" i="70"/>
  <c r="F113" i="70" s="1"/>
  <c r="F94" i="70"/>
  <c r="G62" i="70"/>
  <c r="G94" i="70"/>
  <c r="I62" i="70"/>
  <c r="I94" i="70"/>
  <c r="H62" i="70"/>
  <c r="H94" i="70"/>
  <c r="J62" i="70"/>
  <c r="J94" i="70"/>
  <c r="K62" i="70"/>
  <c r="K94" i="70"/>
  <c r="L62" i="70"/>
  <c r="L94" i="70"/>
  <c r="M62" i="70"/>
  <c r="M94" i="70"/>
  <c r="F76" i="70"/>
  <c r="F122" i="70" s="1"/>
  <c r="F78" i="70"/>
  <c r="F64" i="70"/>
  <c r="F66" i="70"/>
  <c r="F68" i="70"/>
  <c r="F72" i="70"/>
  <c r="G76" i="70"/>
  <c r="G78" i="70"/>
  <c r="G64" i="70"/>
  <c r="G66" i="70"/>
  <c r="G68" i="70"/>
  <c r="G72" i="70"/>
  <c r="I76" i="70"/>
  <c r="I78" i="70"/>
  <c r="I64" i="70"/>
  <c r="I66" i="70"/>
  <c r="I68" i="70"/>
  <c r="I72" i="70"/>
  <c r="H76" i="70"/>
  <c r="H78" i="70"/>
  <c r="H64" i="70"/>
  <c r="H66" i="70"/>
  <c r="H68" i="70"/>
  <c r="H70" i="70"/>
  <c r="H72" i="70"/>
  <c r="J76" i="70"/>
  <c r="J78" i="70"/>
  <c r="J64" i="70"/>
  <c r="J66" i="70"/>
  <c r="J68" i="70"/>
  <c r="J70" i="70"/>
  <c r="J72" i="70"/>
  <c r="K76" i="70"/>
  <c r="K122" i="70" s="1"/>
  <c r="BB470" i="80" s="1"/>
  <c r="K78" i="70"/>
  <c r="K64" i="70"/>
  <c r="K66" i="70"/>
  <c r="K68" i="70"/>
  <c r="K70" i="70"/>
  <c r="K72" i="70"/>
  <c r="L76" i="70"/>
  <c r="L78" i="70"/>
  <c r="L64" i="70"/>
  <c r="L66" i="70"/>
  <c r="L68" i="70"/>
  <c r="L70" i="70"/>
  <c r="L72" i="70"/>
  <c r="M76" i="70"/>
  <c r="M78" i="70"/>
  <c r="M64" i="70"/>
  <c r="M122" i="70" s="1"/>
  <c r="BR470" i="80" s="1"/>
  <c r="M66" i="70"/>
  <c r="M68" i="70"/>
  <c r="M70" i="70"/>
  <c r="M72" i="70"/>
  <c r="F10" i="70"/>
  <c r="F24" i="70"/>
  <c r="F36" i="70"/>
  <c r="F50" i="70"/>
  <c r="F84" i="70"/>
  <c r="J26" i="70"/>
  <c r="K26" i="70"/>
  <c r="L26" i="70"/>
  <c r="M26" i="70"/>
  <c r="F86" i="70"/>
  <c r="H86" i="70"/>
  <c r="J86" i="70"/>
  <c r="K86" i="70"/>
  <c r="L86" i="70"/>
  <c r="M86" i="70"/>
  <c r="F87" i="70"/>
  <c r="H87" i="70"/>
  <c r="J87" i="70"/>
  <c r="K87" i="70"/>
  <c r="L87" i="70"/>
  <c r="M87" i="70"/>
  <c r="F88" i="70"/>
  <c r="H88" i="70"/>
  <c r="J88" i="70"/>
  <c r="K88" i="70"/>
  <c r="L88" i="70"/>
  <c r="M88" i="70"/>
  <c r="F30" i="70"/>
  <c r="N245" i="80" s="1"/>
  <c r="O245" i="80" s="1"/>
  <c r="Q245" i="80" s="1"/>
  <c r="H30" i="70"/>
  <c r="J30" i="70"/>
  <c r="K30" i="70"/>
  <c r="L30" i="70"/>
  <c r="M30" i="70"/>
  <c r="F90" i="70"/>
  <c r="H90" i="70"/>
  <c r="J90" i="70"/>
  <c r="K90" i="70"/>
  <c r="L90" i="70"/>
  <c r="M90" i="70"/>
  <c r="F23" i="70"/>
  <c r="H23" i="70"/>
  <c r="J23" i="70"/>
  <c r="K23" i="70"/>
  <c r="L23" i="70"/>
  <c r="M23" i="70"/>
  <c r="H10" i="70"/>
  <c r="H24" i="70"/>
  <c r="H36" i="70"/>
  <c r="H50" i="70"/>
  <c r="H84" i="70"/>
  <c r="J10" i="70"/>
  <c r="J24" i="70"/>
  <c r="J36" i="70"/>
  <c r="J50" i="70"/>
  <c r="J84" i="70"/>
  <c r="K10" i="70"/>
  <c r="K24" i="70"/>
  <c r="K36" i="70"/>
  <c r="K50" i="70"/>
  <c r="K84" i="70"/>
  <c r="K109" i="70" s="1"/>
  <c r="BB105" i="80" s="1"/>
  <c r="L10" i="70"/>
  <c r="L24" i="70"/>
  <c r="L36" i="70"/>
  <c r="L50" i="70"/>
  <c r="L84" i="70"/>
  <c r="M10" i="70"/>
  <c r="M24" i="70"/>
  <c r="M36" i="70"/>
  <c r="M50" i="70"/>
  <c r="M84" i="70"/>
  <c r="F11" i="70"/>
  <c r="F51" i="70"/>
  <c r="H11" i="70"/>
  <c r="H51" i="70"/>
  <c r="J11" i="70"/>
  <c r="J51" i="70"/>
  <c r="J110" i="70" s="1"/>
  <c r="AT108" i="80" s="1"/>
  <c r="K11" i="70"/>
  <c r="K51" i="70"/>
  <c r="L11" i="70"/>
  <c r="L51" i="70"/>
  <c r="M11" i="70"/>
  <c r="M51" i="70"/>
  <c r="F91" i="70"/>
  <c r="H91" i="70"/>
  <c r="J91" i="70"/>
  <c r="K91" i="70"/>
  <c r="L91" i="70"/>
  <c r="M91" i="70"/>
  <c r="I86" i="70"/>
  <c r="I87" i="70"/>
  <c r="I88" i="70"/>
  <c r="I30" i="70"/>
  <c r="AL245" i="80" s="1"/>
  <c r="AM245" i="80" s="1"/>
  <c r="AO245" i="80" s="1"/>
  <c r="I90" i="70"/>
  <c r="I23" i="70"/>
  <c r="I10" i="70"/>
  <c r="I24" i="70"/>
  <c r="I36" i="70"/>
  <c r="I50" i="70"/>
  <c r="I84" i="70"/>
  <c r="I11" i="70"/>
  <c r="I51" i="70"/>
  <c r="I91" i="70"/>
  <c r="G86" i="70"/>
  <c r="G87" i="70"/>
  <c r="G88" i="70"/>
  <c r="G30" i="70"/>
  <c r="G90" i="70"/>
  <c r="G23" i="70"/>
  <c r="G10" i="70"/>
  <c r="G24" i="70"/>
  <c r="G36" i="70"/>
  <c r="G50" i="70"/>
  <c r="G84" i="70"/>
  <c r="G11" i="70"/>
  <c r="G51" i="70"/>
  <c r="G91" i="70"/>
  <c r="F18" i="70"/>
  <c r="F31" i="70"/>
  <c r="F41" i="70"/>
  <c r="F58" i="70"/>
  <c r="G18" i="70"/>
  <c r="G31" i="70"/>
  <c r="G41" i="70"/>
  <c r="G58" i="70"/>
  <c r="G127" i="70" s="1"/>
  <c r="I18" i="70"/>
  <c r="I31" i="70"/>
  <c r="I41" i="70"/>
  <c r="I58" i="70"/>
  <c r="H18" i="70"/>
  <c r="H31" i="70"/>
  <c r="H41" i="70"/>
  <c r="H58" i="70"/>
  <c r="J18" i="70"/>
  <c r="J31" i="70"/>
  <c r="J41" i="70"/>
  <c r="J58" i="70"/>
  <c r="K18" i="70"/>
  <c r="K31" i="70"/>
  <c r="K41" i="70"/>
  <c r="K58" i="70"/>
  <c r="K127" i="70" s="1"/>
  <c r="L18" i="70"/>
  <c r="L31" i="70"/>
  <c r="L41" i="70"/>
  <c r="L58" i="70"/>
  <c r="M18" i="70"/>
  <c r="M31" i="70"/>
  <c r="M41" i="70"/>
  <c r="M58" i="70"/>
  <c r="Y13" i="70"/>
  <c r="Y14" i="70"/>
  <c r="Y15" i="70"/>
  <c r="Y26" i="70"/>
  <c r="Y27" i="70"/>
  <c r="Y28" i="70"/>
  <c r="Y38" i="70"/>
  <c r="Y39" i="70"/>
  <c r="FJ185" i="80" s="1"/>
  <c r="Y54" i="70"/>
  <c r="Y55" i="70"/>
  <c r="Y76" i="70"/>
  <c r="Y78" i="70"/>
  <c r="Y64" i="70"/>
  <c r="Y66" i="70"/>
  <c r="Y68" i="70"/>
  <c r="Y70" i="70"/>
  <c r="Y72" i="70"/>
  <c r="Y79" i="70"/>
  <c r="Y77" i="70"/>
  <c r="Y65" i="70"/>
  <c r="Y67" i="70"/>
  <c r="Y69" i="70"/>
  <c r="Y71" i="70"/>
  <c r="Y73" i="70"/>
  <c r="Y125" i="70" s="1"/>
  <c r="Y20" i="70"/>
  <c r="Y33" i="70"/>
  <c r="Y43" i="70"/>
  <c r="Y60" i="70"/>
  <c r="Y19" i="70"/>
  <c r="Y32" i="70"/>
  <c r="Y42" i="70"/>
  <c r="Y59" i="70"/>
  <c r="Y80" i="70"/>
  <c r="Y81" i="70"/>
  <c r="Y86" i="70"/>
  <c r="Y87" i="70"/>
  <c r="Y88" i="70"/>
  <c r="Y8" i="70"/>
  <c r="Y22" i="70"/>
  <c r="Y35" i="70"/>
  <c r="FJ24" i="80" s="1"/>
  <c r="Y48" i="70"/>
  <c r="Y83" i="70"/>
  <c r="Y16" i="70"/>
  <c r="Y29" i="70"/>
  <c r="Y40" i="70"/>
  <c r="Y56" i="70"/>
  <c r="Y89" i="70"/>
  <c r="Y17" i="70"/>
  <c r="Y30" i="70"/>
  <c r="Y45" i="70"/>
  <c r="Y46" i="70"/>
  <c r="Y57" i="70"/>
  <c r="Y90" i="70"/>
  <c r="Y9" i="70"/>
  <c r="Y49" i="70"/>
  <c r="Y10" i="70"/>
  <c r="Y24" i="70"/>
  <c r="Y36" i="70"/>
  <c r="Y50" i="70"/>
  <c r="Y84" i="70"/>
  <c r="Y11" i="70"/>
  <c r="Y51" i="70"/>
  <c r="Y62" i="70"/>
  <c r="Y94" i="70"/>
  <c r="Y91" i="70"/>
  <c r="Y18" i="70"/>
  <c r="Y31" i="70"/>
  <c r="Y41" i="70"/>
  <c r="Y58" i="70"/>
  <c r="X13" i="70"/>
  <c r="X14" i="70"/>
  <c r="X15" i="70"/>
  <c r="X26" i="70"/>
  <c r="X27" i="70"/>
  <c r="X28" i="70"/>
  <c r="X38" i="70"/>
  <c r="X39" i="70"/>
  <c r="X54" i="70"/>
  <c r="X55" i="70"/>
  <c r="X76" i="70"/>
  <c r="X78" i="70"/>
  <c r="X64" i="70"/>
  <c r="X66" i="70"/>
  <c r="X68" i="70"/>
  <c r="X70" i="70"/>
  <c r="X72" i="70"/>
  <c r="X79" i="70"/>
  <c r="X77" i="70"/>
  <c r="X123" i="70" s="1"/>
  <c r="FB473" i="80" s="1"/>
  <c r="X65" i="70"/>
  <c r="X67" i="70"/>
  <c r="X69" i="70"/>
  <c r="X71" i="70"/>
  <c r="X73" i="70"/>
  <c r="X20" i="70"/>
  <c r="X33" i="70"/>
  <c r="X43" i="70"/>
  <c r="X60" i="70"/>
  <c r="X19" i="70"/>
  <c r="X32" i="70"/>
  <c r="X42" i="70"/>
  <c r="X59" i="70"/>
  <c r="X80" i="70"/>
  <c r="X81" i="70"/>
  <c r="X86" i="70"/>
  <c r="FB199" i="80" s="1"/>
  <c r="FC199" i="80" s="1"/>
  <c r="X87" i="70"/>
  <c r="X88" i="70"/>
  <c r="X8" i="70"/>
  <c r="X22" i="70"/>
  <c r="X35" i="70"/>
  <c r="X48" i="70"/>
  <c r="X83" i="70"/>
  <c r="X16" i="70"/>
  <c r="X29" i="70"/>
  <c r="X40" i="70"/>
  <c r="X56" i="70"/>
  <c r="X89" i="70"/>
  <c r="X17" i="70"/>
  <c r="X30" i="70"/>
  <c r="X45" i="70"/>
  <c r="FB246" i="80" s="1"/>
  <c r="X46" i="70"/>
  <c r="FB247" i="80" s="1"/>
  <c r="FC247" i="80" s="1"/>
  <c r="X57" i="70"/>
  <c r="X90" i="70"/>
  <c r="X9" i="70"/>
  <c r="X49" i="70"/>
  <c r="X10" i="70"/>
  <c r="X24" i="70"/>
  <c r="X36" i="70"/>
  <c r="X50" i="70"/>
  <c r="X84" i="70"/>
  <c r="X11" i="70"/>
  <c r="X51" i="70"/>
  <c r="X62" i="70"/>
  <c r="X94" i="70"/>
  <c r="X91" i="70"/>
  <c r="X18" i="70"/>
  <c r="X31" i="70"/>
  <c r="X127" i="70" s="1"/>
  <c r="X41" i="70"/>
  <c r="X58" i="70"/>
  <c r="W13" i="70"/>
  <c r="W14" i="70"/>
  <c r="W15" i="70"/>
  <c r="W26" i="70"/>
  <c r="W27" i="70"/>
  <c r="W28" i="70"/>
  <c r="W38" i="70"/>
  <c r="W39" i="70"/>
  <c r="W54" i="70"/>
  <c r="W55" i="70"/>
  <c r="W76" i="70"/>
  <c r="W78" i="70"/>
  <c r="W64" i="70"/>
  <c r="W66" i="70"/>
  <c r="W122" i="70" s="1"/>
  <c r="W68" i="70"/>
  <c r="W70" i="70"/>
  <c r="W72" i="70"/>
  <c r="W79" i="70"/>
  <c r="W77" i="70"/>
  <c r="W65" i="70"/>
  <c r="W67" i="70"/>
  <c r="W69" i="70"/>
  <c r="W71" i="70"/>
  <c r="W73" i="70"/>
  <c r="W20" i="70"/>
  <c r="W33" i="70"/>
  <c r="W43" i="70"/>
  <c r="W60" i="70"/>
  <c r="W19" i="70"/>
  <c r="W32" i="70"/>
  <c r="W126" i="70" s="1"/>
  <c r="W42" i="70"/>
  <c r="W59" i="70"/>
  <c r="W80" i="70"/>
  <c r="W81" i="70"/>
  <c r="W86" i="70"/>
  <c r="W87" i="70"/>
  <c r="W88" i="70"/>
  <c r="W8" i="70"/>
  <c r="W22" i="70"/>
  <c r="W35" i="70"/>
  <c r="W48" i="70"/>
  <c r="W83" i="70"/>
  <c r="W16" i="70"/>
  <c r="W29" i="70"/>
  <c r="W40" i="70"/>
  <c r="W56" i="70"/>
  <c r="W111" i="70" s="1"/>
  <c r="ET223" i="80" s="1"/>
  <c r="EU223" i="80" s="1"/>
  <c r="W89" i="70"/>
  <c r="W17" i="70"/>
  <c r="W30" i="70"/>
  <c r="W45" i="70"/>
  <c r="W46" i="70"/>
  <c r="ET247" i="80"/>
  <c r="W57" i="70"/>
  <c r="W90" i="70"/>
  <c r="W9" i="70"/>
  <c r="W49" i="70"/>
  <c r="W10" i="70"/>
  <c r="W24" i="70"/>
  <c r="W36" i="70"/>
  <c r="W50" i="70"/>
  <c r="W84" i="70"/>
  <c r="W11" i="70"/>
  <c r="W110" i="70" s="1"/>
  <c r="ET108" i="80" s="1"/>
  <c r="W51" i="70"/>
  <c r="W62" i="70"/>
  <c r="W94" i="70"/>
  <c r="W91" i="70"/>
  <c r="W18" i="70"/>
  <c r="W31" i="70"/>
  <c r="W41" i="70"/>
  <c r="W58" i="70"/>
  <c r="V13" i="70"/>
  <c r="V14" i="70"/>
  <c r="V15" i="70"/>
  <c r="V26" i="70"/>
  <c r="V27" i="70"/>
  <c r="V28" i="70"/>
  <c r="V38" i="70"/>
  <c r="V39" i="70"/>
  <c r="V54" i="70"/>
  <c r="V55" i="70"/>
  <c r="V76" i="70"/>
  <c r="V78" i="70"/>
  <c r="V64" i="70"/>
  <c r="V66" i="70"/>
  <c r="V68" i="70"/>
  <c r="V70" i="70"/>
  <c r="V72" i="70"/>
  <c r="V79" i="70"/>
  <c r="V77" i="70"/>
  <c r="V65" i="70"/>
  <c r="V67" i="70"/>
  <c r="V69" i="70"/>
  <c r="V71" i="70"/>
  <c r="V73" i="70"/>
  <c r="V123" i="70" s="1"/>
  <c r="V20" i="70"/>
  <c r="V33" i="70"/>
  <c r="V43" i="70"/>
  <c r="V60" i="70"/>
  <c r="V19" i="70"/>
  <c r="V32" i="70"/>
  <c r="V42" i="70"/>
  <c r="V59" i="70"/>
  <c r="V80" i="70"/>
  <c r="V81" i="70"/>
  <c r="V86" i="70"/>
  <c r="V87" i="70"/>
  <c r="V88" i="70"/>
  <c r="V8" i="70"/>
  <c r="V22" i="70"/>
  <c r="V35" i="70"/>
  <c r="EL24" i="80" s="1"/>
  <c r="V48" i="70"/>
  <c r="V83" i="70"/>
  <c r="V16" i="70"/>
  <c r="V29" i="70"/>
  <c r="V40" i="70"/>
  <c r="V56" i="70"/>
  <c r="V89" i="70"/>
  <c r="V17" i="70"/>
  <c r="V30" i="70"/>
  <c r="V45" i="70"/>
  <c r="V46" i="70"/>
  <c r="V57" i="70"/>
  <c r="V90" i="70"/>
  <c r="V9" i="70"/>
  <c r="V49" i="70"/>
  <c r="V10" i="70"/>
  <c r="V109" i="70" s="1"/>
  <c r="V24" i="70"/>
  <c r="V36" i="70"/>
  <c r="V50" i="70"/>
  <c r="V84" i="70"/>
  <c r="V11" i="70"/>
  <c r="V51" i="70"/>
  <c r="V62" i="70"/>
  <c r="V94" i="70"/>
  <c r="V91" i="70"/>
  <c r="V18" i="70"/>
  <c r="V31" i="70"/>
  <c r="V41" i="70"/>
  <c r="V58" i="70"/>
  <c r="U13" i="70"/>
  <c r="U14" i="70"/>
  <c r="U15" i="70"/>
  <c r="U26" i="70"/>
  <c r="U27" i="70"/>
  <c r="U28" i="70"/>
  <c r="U38" i="70"/>
  <c r="ED184" i="80" s="1"/>
  <c r="U39" i="70"/>
  <c r="U53" i="70"/>
  <c r="U54" i="70"/>
  <c r="U55" i="70"/>
  <c r="U76" i="70"/>
  <c r="U78" i="70"/>
  <c r="U64" i="70"/>
  <c r="U66" i="70"/>
  <c r="U68" i="70"/>
  <c r="U70" i="70"/>
  <c r="U72" i="70"/>
  <c r="U79" i="70"/>
  <c r="U77" i="70"/>
  <c r="U65" i="70"/>
  <c r="U67" i="70"/>
  <c r="U69" i="70"/>
  <c r="U71" i="70"/>
  <c r="U73" i="70"/>
  <c r="U20" i="70"/>
  <c r="U33" i="70"/>
  <c r="U43" i="70"/>
  <c r="U60" i="70"/>
  <c r="U19" i="70"/>
  <c r="U32" i="70"/>
  <c r="U42" i="70"/>
  <c r="U59" i="70"/>
  <c r="U80" i="70"/>
  <c r="U81" i="70"/>
  <c r="U86" i="70"/>
  <c r="U87" i="70"/>
  <c r="U88" i="70"/>
  <c r="U8" i="70"/>
  <c r="U22" i="70"/>
  <c r="U35" i="70"/>
  <c r="U48" i="70"/>
  <c r="U83" i="70"/>
  <c r="U16" i="70"/>
  <c r="U29" i="70"/>
  <c r="U40" i="70"/>
  <c r="U56" i="70"/>
  <c r="U89" i="70"/>
  <c r="U17" i="70"/>
  <c r="U30" i="70"/>
  <c r="U45" i="70"/>
  <c r="U46" i="70"/>
  <c r="U57" i="70"/>
  <c r="U90" i="70"/>
  <c r="U9" i="70"/>
  <c r="U49" i="70"/>
  <c r="U10" i="70"/>
  <c r="U24" i="70"/>
  <c r="U36" i="70"/>
  <c r="U50" i="70"/>
  <c r="U84" i="70"/>
  <c r="U11" i="70"/>
  <c r="U51" i="70"/>
  <c r="U62" i="70"/>
  <c r="U94" i="70"/>
  <c r="U91" i="70"/>
  <c r="ED310" i="80" s="1"/>
  <c r="U18" i="70"/>
  <c r="U31" i="70"/>
  <c r="U41" i="70"/>
  <c r="U58" i="70"/>
  <c r="T13" i="70"/>
  <c r="T14" i="70"/>
  <c r="T15" i="70"/>
  <c r="T26" i="70"/>
  <c r="T27" i="70"/>
  <c r="T28" i="70"/>
  <c r="T38" i="70"/>
  <c r="T39" i="70"/>
  <c r="T53" i="70"/>
  <c r="T54" i="70"/>
  <c r="T55" i="70"/>
  <c r="T76" i="70"/>
  <c r="T78" i="70"/>
  <c r="T64" i="70"/>
  <c r="T66" i="70"/>
  <c r="T68" i="70"/>
  <c r="T70" i="70"/>
  <c r="T72" i="70"/>
  <c r="T79" i="70"/>
  <c r="T77" i="70"/>
  <c r="T65" i="70"/>
  <c r="T67" i="70"/>
  <c r="T69" i="70"/>
  <c r="T71" i="70"/>
  <c r="T73" i="70"/>
  <c r="T20" i="70"/>
  <c r="T33" i="70"/>
  <c r="T43" i="70"/>
  <c r="T60" i="70"/>
  <c r="T19" i="70"/>
  <c r="T32" i="70"/>
  <c r="T42" i="70"/>
  <c r="T59" i="70"/>
  <c r="T80" i="70"/>
  <c r="T81" i="70"/>
  <c r="T86" i="70"/>
  <c r="T87" i="70"/>
  <c r="T88" i="70"/>
  <c r="T8" i="70"/>
  <c r="T22" i="70"/>
  <c r="T35" i="70"/>
  <c r="T48" i="70"/>
  <c r="T83" i="70"/>
  <c r="T16" i="70"/>
  <c r="T29" i="70"/>
  <c r="T40" i="70"/>
  <c r="T56" i="70"/>
  <c r="T89" i="70"/>
  <c r="T17" i="70"/>
  <c r="T30" i="70"/>
  <c r="T45" i="70"/>
  <c r="T46" i="70"/>
  <c r="T57" i="70"/>
  <c r="T90" i="70"/>
  <c r="T9" i="70"/>
  <c r="T49" i="70"/>
  <c r="T10" i="70"/>
  <c r="T24" i="70"/>
  <c r="T36" i="70"/>
  <c r="T50" i="70"/>
  <c r="T84" i="70"/>
  <c r="T11" i="70"/>
  <c r="T51" i="70"/>
  <c r="T62" i="70"/>
  <c r="T94" i="70"/>
  <c r="T91" i="70"/>
  <c r="T18" i="70"/>
  <c r="T31" i="70"/>
  <c r="T41" i="70"/>
  <c r="T58" i="70"/>
  <c r="S13" i="70"/>
  <c r="S14" i="70"/>
  <c r="S15" i="70"/>
  <c r="S26" i="70"/>
  <c r="S27" i="70"/>
  <c r="S28" i="70"/>
  <c r="S38" i="70"/>
  <c r="S39" i="70"/>
  <c r="S53" i="70"/>
  <c r="S54" i="70"/>
  <c r="S55" i="70"/>
  <c r="S76" i="70"/>
  <c r="S78" i="70"/>
  <c r="S64" i="70"/>
  <c r="S66" i="70"/>
  <c r="S68" i="70"/>
  <c r="S70" i="70"/>
  <c r="S72" i="70"/>
  <c r="S79" i="70"/>
  <c r="S77" i="70"/>
  <c r="S65" i="70"/>
  <c r="S67" i="70"/>
  <c r="S69" i="70"/>
  <c r="S71" i="70"/>
  <c r="S73" i="70"/>
  <c r="S20" i="70"/>
  <c r="S33" i="70"/>
  <c r="S43" i="70"/>
  <c r="S60" i="70"/>
  <c r="S19" i="70"/>
  <c r="S32" i="70"/>
  <c r="S42" i="70"/>
  <c r="S59" i="70"/>
  <c r="S80" i="70"/>
  <c r="S81" i="70"/>
  <c r="S86" i="70"/>
  <c r="S87" i="70"/>
  <c r="S88" i="70"/>
  <c r="S8" i="70"/>
  <c r="S22" i="70"/>
  <c r="S35" i="70"/>
  <c r="S48" i="70"/>
  <c r="S83" i="70"/>
  <c r="S16" i="70"/>
  <c r="S29" i="70"/>
  <c r="S40" i="70"/>
  <c r="S56" i="70"/>
  <c r="S89" i="70"/>
  <c r="S17" i="70"/>
  <c r="S30" i="70"/>
  <c r="S45" i="70"/>
  <c r="S46" i="70"/>
  <c r="S57" i="70"/>
  <c r="S90" i="70"/>
  <c r="S9" i="70"/>
  <c r="S49" i="70"/>
  <c r="S10" i="70"/>
  <c r="S24" i="70"/>
  <c r="S36" i="70"/>
  <c r="S50" i="70"/>
  <c r="S84" i="70"/>
  <c r="S11" i="70"/>
  <c r="S51" i="70"/>
  <c r="S62" i="70"/>
  <c r="S94" i="70"/>
  <c r="S91" i="70"/>
  <c r="S18" i="70"/>
  <c r="S31" i="70"/>
  <c r="S41" i="70"/>
  <c r="S58" i="70"/>
  <c r="R13" i="70"/>
  <c r="R14" i="70"/>
  <c r="R15" i="70"/>
  <c r="R26" i="70"/>
  <c r="R27" i="70"/>
  <c r="R28" i="70"/>
  <c r="R38" i="70"/>
  <c r="R39" i="70"/>
  <c r="R53" i="70"/>
  <c r="R54" i="70"/>
  <c r="R55" i="70"/>
  <c r="R76" i="70"/>
  <c r="R78" i="70"/>
  <c r="R64" i="70"/>
  <c r="R66" i="70"/>
  <c r="R68" i="70"/>
  <c r="R70" i="70"/>
  <c r="R72" i="70"/>
  <c r="R79" i="70"/>
  <c r="R77" i="70"/>
  <c r="R65" i="70"/>
  <c r="R67" i="70"/>
  <c r="R69" i="70"/>
  <c r="R71" i="70"/>
  <c r="R73" i="70"/>
  <c r="R20" i="70"/>
  <c r="R33" i="70"/>
  <c r="R43" i="70"/>
  <c r="R60" i="70"/>
  <c r="R19" i="70"/>
  <c r="R32" i="70"/>
  <c r="R42" i="70"/>
  <c r="R59" i="70"/>
  <c r="R80" i="70"/>
  <c r="R81" i="70"/>
  <c r="R86" i="70"/>
  <c r="R87" i="70"/>
  <c r="R88" i="70"/>
  <c r="R8" i="70"/>
  <c r="R22" i="70"/>
  <c r="R35" i="70"/>
  <c r="R48" i="70"/>
  <c r="R83" i="70"/>
  <c r="R16" i="70"/>
  <c r="R29" i="70"/>
  <c r="R40" i="70"/>
  <c r="R56" i="70"/>
  <c r="R89" i="70"/>
  <c r="R17" i="70"/>
  <c r="R30" i="70"/>
  <c r="R45" i="70"/>
  <c r="R46" i="70"/>
  <c r="R57" i="70"/>
  <c r="R90" i="70"/>
  <c r="R9" i="70"/>
  <c r="R49" i="70"/>
  <c r="R10" i="70"/>
  <c r="R24" i="70"/>
  <c r="R36" i="70"/>
  <c r="R50" i="70"/>
  <c r="R84" i="70"/>
  <c r="R11" i="70"/>
  <c r="R51" i="70"/>
  <c r="R62" i="70"/>
  <c r="R94" i="70"/>
  <c r="R91" i="70"/>
  <c r="R18" i="70"/>
  <c r="R31" i="70"/>
  <c r="R41" i="70"/>
  <c r="R58" i="70"/>
  <c r="Q13" i="70"/>
  <c r="Q14" i="70"/>
  <c r="Q15" i="70"/>
  <c r="Q26" i="70"/>
  <c r="Q27" i="70"/>
  <c r="Q28" i="70"/>
  <c r="Q38" i="70"/>
  <c r="Q39" i="70"/>
  <c r="Q53" i="70"/>
  <c r="Q54" i="70"/>
  <c r="Q55" i="70"/>
  <c r="Q76" i="70"/>
  <c r="Q78" i="70"/>
  <c r="Q64" i="70"/>
  <c r="Q66" i="70"/>
  <c r="Q68" i="70"/>
  <c r="Q70" i="70"/>
  <c r="Q72" i="70"/>
  <c r="Q79" i="70"/>
  <c r="Q77" i="70"/>
  <c r="Q65" i="70"/>
  <c r="Q67" i="70"/>
  <c r="Q69" i="70"/>
  <c r="Q71" i="70"/>
  <c r="Q73" i="70"/>
  <c r="Q20" i="70"/>
  <c r="Q33" i="70"/>
  <c r="Q43" i="70"/>
  <c r="Q60" i="70"/>
  <c r="Q19" i="70"/>
  <c r="Q32" i="70"/>
  <c r="Q42" i="70"/>
  <c r="Q59" i="70"/>
  <c r="Q80" i="70"/>
  <c r="Q81" i="70"/>
  <c r="Q86" i="70"/>
  <c r="Q87" i="70"/>
  <c r="Q88" i="70"/>
  <c r="Q8" i="70"/>
  <c r="Q22" i="70"/>
  <c r="Q35" i="70"/>
  <c r="CX24" i="80" s="1"/>
  <c r="Q48" i="70"/>
  <c r="Q83" i="70"/>
  <c r="Q16" i="70"/>
  <c r="Q29" i="70"/>
  <c r="Q40" i="70"/>
  <c r="Q56" i="70"/>
  <c r="Q89" i="70"/>
  <c r="Q17" i="70"/>
  <c r="Q30" i="70"/>
  <c r="Q45" i="70"/>
  <c r="Q46" i="70"/>
  <c r="Q57" i="70"/>
  <c r="Q90" i="70"/>
  <c r="Q9" i="70"/>
  <c r="Q49" i="70"/>
  <c r="Q10" i="70"/>
  <c r="Q24" i="70"/>
  <c r="Q36" i="70"/>
  <c r="Q50" i="70"/>
  <c r="Q84" i="70"/>
  <c r="Q11" i="70"/>
  <c r="Q51" i="70"/>
  <c r="Q62" i="70"/>
  <c r="Q94" i="70"/>
  <c r="Q91" i="70"/>
  <c r="Q18" i="70"/>
  <c r="Q31" i="70"/>
  <c r="Q41" i="70"/>
  <c r="Q58" i="70"/>
  <c r="P13" i="70"/>
  <c r="P14" i="70"/>
  <c r="P15" i="70"/>
  <c r="P26" i="70"/>
  <c r="CP180" i="80" s="1"/>
  <c r="P27" i="70"/>
  <c r="P28" i="70"/>
  <c r="P38" i="70"/>
  <c r="P39" i="70"/>
  <c r="P53" i="70"/>
  <c r="P54" i="70"/>
  <c r="P55" i="70"/>
  <c r="P76" i="70"/>
  <c r="P78" i="70"/>
  <c r="P64" i="70"/>
  <c r="P66" i="70"/>
  <c r="P68" i="70"/>
  <c r="P70" i="70"/>
  <c r="P72" i="70"/>
  <c r="P79" i="70"/>
  <c r="P77" i="70"/>
  <c r="P65" i="70"/>
  <c r="P67" i="70"/>
  <c r="P69" i="70"/>
  <c r="P71" i="70"/>
  <c r="P73" i="70"/>
  <c r="P20" i="70"/>
  <c r="P33" i="70"/>
  <c r="P43" i="70"/>
  <c r="P60" i="70"/>
  <c r="P19" i="70"/>
  <c r="P32" i="70"/>
  <c r="P42" i="70"/>
  <c r="P59" i="70"/>
  <c r="P80" i="70"/>
  <c r="P81" i="70"/>
  <c r="CP193" i="80"/>
  <c r="P86" i="70"/>
  <c r="P87" i="70"/>
  <c r="P88" i="70"/>
  <c r="P8" i="70"/>
  <c r="P22" i="70"/>
  <c r="P35" i="70"/>
  <c r="P48" i="70"/>
  <c r="P83" i="70"/>
  <c r="P16" i="70"/>
  <c r="P29" i="70"/>
  <c r="P40" i="70"/>
  <c r="P56" i="70"/>
  <c r="P89" i="70"/>
  <c r="P17" i="70"/>
  <c r="P30" i="70"/>
  <c r="P45" i="70"/>
  <c r="P46" i="70"/>
  <c r="P57" i="70"/>
  <c r="P90" i="70"/>
  <c r="P9" i="70"/>
  <c r="P49" i="70"/>
  <c r="P10" i="70"/>
  <c r="P24" i="70"/>
  <c r="P36" i="70"/>
  <c r="P50" i="70"/>
  <c r="P84" i="70"/>
  <c r="P11" i="70"/>
  <c r="P51" i="70"/>
  <c r="P62" i="70"/>
  <c r="P94" i="70"/>
  <c r="P91" i="70"/>
  <c r="P18" i="70"/>
  <c r="P31" i="70"/>
  <c r="P41" i="70"/>
  <c r="P58" i="70"/>
  <c r="O13" i="70"/>
  <c r="O14" i="70"/>
  <c r="O15" i="70"/>
  <c r="O26" i="70"/>
  <c r="O27" i="70"/>
  <c r="O28" i="70"/>
  <c r="O38" i="70"/>
  <c r="O39" i="70"/>
  <c r="O53" i="70"/>
  <c r="O54" i="70"/>
  <c r="O55" i="70"/>
  <c r="O76" i="70"/>
  <c r="O78" i="70"/>
  <c r="O64" i="70"/>
  <c r="O66" i="70"/>
  <c r="O68" i="70"/>
  <c r="O70" i="70"/>
  <c r="O72" i="70"/>
  <c r="O79" i="70"/>
  <c r="O77" i="70"/>
  <c r="O65" i="70"/>
  <c r="O67" i="70"/>
  <c r="O69" i="70"/>
  <c r="O71" i="70"/>
  <c r="O73" i="70"/>
  <c r="O20" i="70"/>
  <c r="O33" i="70"/>
  <c r="O43" i="70"/>
  <c r="O60" i="70"/>
  <c r="O19" i="70"/>
  <c r="O32" i="70"/>
  <c r="O42" i="70"/>
  <c r="O59" i="70"/>
  <c r="O80" i="70"/>
  <c r="O81" i="70"/>
  <c r="O86" i="70"/>
  <c r="O87" i="70"/>
  <c r="O88" i="70"/>
  <c r="O8" i="70"/>
  <c r="O22" i="70"/>
  <c r="O35" i="70"/>
  <c r="O48" i="70"/>
  <c r="O83" i="70"/>
  <c r="O16" i="70"/>
  <c r="O29" i="70"/>
  <c r="O40" i="70"/>
  <c r="O56" i="70"/>
  <c r="O89" i="70"/>
  <c r="O17" i="70"/>
  <c r="O30" i="70"/>
  <c r="O45" i="70"/>
  <c r="O46" i="70"/>
  <c r="O57" i="70"/>
  <c r="O90" i="70"/>
  <c r="O9" i="70"/>
  <c r="O49" i="70"/>
  <c r="O10" i="70"/>
  <c r="O24" i="70"/>
  <c r="O36" i="70"/>
  <c r="O50" i="70"/>
  <c r="O84" i="70"/>
  <c r="O11" i="70"/>
  <c r="O51" i="70"/>
  <c r="O62" i="70"/>
  <c r="O94" i="70"/>
  <c r="O91" i="70"/>
  <c r="O18" i="70"/>
  <c r="O31" i="70"/>
  <c r="O41" i="70"/>
  <c r="O58" i="70"/>
  <c r="N13" i="70"/>
  <c r="N14" i="70"/>
  <c r="N15" i="70"/>
  <c r="N26" i="70"/>
  <c r="N27" i="70"/>
  <c r="N28" i="70"/>
  <c r="N38" i="70"/>
  <c r="BZ184" i="80" s="1"/>
  <c r="CA184" i="80" s="1"/>
  <c r="N39" i="70"/>
  <c r="N53" i="70"/>
  <c r="N54" i="70"/>
  <c r="N55" i="70"/>
  <c r="N76" i="70"/>
  <c r="N78" i="70"/>
  <c r="N64" i="70"/>
  <c r="N66" i="70"/>
  <c r="N68" i="70"/>
  <c r="N70" i="70"/>
  <c r="N72" i="70"/>
  <c r="N79" i="70"/>
  <c r="N77" i="70"/>
  <c r="N65" i="70"/>
  <c r="N67" i="70"/>
  <c r="N69" i="70"/>
  <c r="N71" i="70"/>
  <c r="N73" i="70"/>
  <c r="N20" i="70"/>
  <c r="N33" i="70"/>
  <c r="N43" i="70"/>
  <c r="N60" i="70"/>
  <c r="N19" i="70"/>
  <c r="N32" i="70"/>
  <c r="N42" i="70"/>
  <c r="N59" i="70"/>
  <c r="N80" i="70"/>
  <c r="N81" i="70"/>
  <c r="N86" i="70"/>
  <c r="N87" i="70"/>
  <c r="N88" i="70"/>
  <c r="N8" i="70"/>
  <c r="N22" i="70"/>
  <c r="N35" i="70"/>
  <c r="N48" i="70"/>
  <c r="N83" i="70"/>
  <c r="N16" i="70"/>
  <c r="N29" i="70"/>
  <c r="N40" i="70"/>
  <c r="N56" i="70"/>
  <c r="N89" i="70"/>
  <c r="N17" i="70"/>
  <c r="N30" i="70"/>
  <c r="N45" i="70"/>
  <c r="N46" i="70"/>
  <c r="N57" i="70"/>
  <c r="N90" i="70"/>
  <c r="N9" i="70"/>
  <c r="N49" i="70"/>
  <c r="N10" i="70"/>
  <c r="N24" i="70"/>
  <c r="N36" i="70"/>
  <c r="N50" i="70"/>
  <c r="N84" i="70"/>
  <c r="N11" i="70"/>
  <c r="N51" i="70"/>
  <c r="N62" i="70"/>
  <c r="N94" i="70"/>
  <c r="N91" i="70"/>
  <c r="N18" i="70"/>
  <c r="N31" i="70"/>
  <c r="N41" i="70"/>
  <c r="N58" i="70"/>
  <c r="V23" i="70"/>
  <c r="W23" i="70"/>
  <c r="X23" i="70"/>
  <c r="Y23" i="70"/>
  <c r="R23" i="70"/>
  <c r="S23" i="70"/>
  <c r="T23" i="70"/>
  <c r="U23" i="70"/>
  <c r="Y92" i="70"/>
  <c r="X92" i="70"/>
  <c r="W92" i="70"/>
  <c r="V92" i="70"/>
  <c r="U92" i="70"/>
  <c r="T92" i="70"/>
  <c r="S92" i="70"/>
  <c r="R92" i="70"/>
  <c r="Q92" i="70"/>
  <c r="P92" i="70"/>
  <c r="O92" i="70"/>
  <c r="N92" i="70"/>
  <c r="M92" i="70"/>
  <c r="L92" i="70"/>
  <c r="K92" i="70"/>
  <c r="BB311" i="80"/>
  <c r="J92" i="70"/>
  <c r="I92" i="70"/>
  <c r="H92" i="70"/>
  <c r="G92" i="70"/>
  <c r="F92" i="70"/>
  <c r="Q23" i="70"/>
  <c r="P23" i="70"/>
  <c r="O23" i="70"/>
  <c r="N23" i="70"/>
  <c r="J250" i="85"/>
  <c r="L144" i="90" s="1"/>
  <c r="J176" i="85"/>
  <c r="L96" i="90" s="1"/>
  <c r="J180" i="80"/>
  <c r="J192" i="79"/>
  <c r="J193" i="85"/>
  <c r="L109" i="90" s="1"/>
  <c r="J194" i="85"/>
  <c r="L110" i="90" s="1"/>
  <c r="J199" i="85"/>
  <c r="L112" i="90" s="1"/>
  <c r="J229" i="85"/>
  <c r="L130" i="90" s="1"/>
  <c r="J230" i="80"/>
  <c r="J139" i="85"/>
  <c r="L79" i="90" s="1"/>
  <c r="J140" i="79"/>
  <c r="J142" i="80"/>
  <c r="J99" i="85"/>
  <c r="L51" i="90" s="1"/>
  <c r="J67" i="80"/>
  <c r="J69" i="80"/>
  <c r="J75" i="80"/>
  <c r="J296" i="79"/>
  <c r="J103" i="85"/>
  <c r="L52" i="90" s="1"/>
  <c r="J245" i="79"/>
  <c r="J277" i="80"/>
  <c r="J305" i="80"/>
  <c r="J307" i="85"/>
  <c r="L171" i="90" s="1"/>
  <c r="J278" i="80"/>
  <c r="J114" i="79"/>
  <c r="J244" i="79"/>
  <c r="J270" i="80"/>
  <c r="J254" i="85"/>
  <c r="L148" i="90" s="1"/>
  <c r="J311" i="80"/>
  <c r="J280" i="79"/>
  <c r="J279" i="80"/>
  <c r="J276" i="79"/>
  <c r="J268" i="79"/>
  <c r="E29" i="80"/>
  <c r="K29" i="80" s="1"/>
  <c r="E29" i="79"/>
  <c r="K29" i="79" s="1"/>
  <c r="FJ29" i="79"/>
  <c r="FB29" i="79"/>
  <c r="ET29" i="79"/>
  <c r="EL29" i="79"/>
  <c r="ED29" i="79"/>
  <c r="DV29" i="79"/>
  <c r="DN29" i="79"/>
  <c r="DF29" i="79"/>
  <c r="CX29" i="79"/>
  <c r="CP29" i="79"/>
  <c r="CH29" i="79"/>
  <c r="BZ29" i="79"/>
  <c r="BR29" i="79"/>
  <c r="BJ29" i="79"/>
  <c r="BB29" i="79"/>
  <c r="AT29" i="79"/>
  <c r="AL29" i="79"/>
  <c r="AD29" i="79"/>
  <c r="V29" i="79"/>
  <c r="N29" i="79"/>
  <c r="I145" i="80"/>
  <c r="I146" i="80"/>
  <c r="F7" i="7"/>
  <c r="F6" i="7"/>
  <c r="F7" i="32"/>
  <c r="F6" i="32"/>
  <c r="D1" i="78"/>
  <c r="B1" i="76"/>
  <c r="C7" i="79"/>
  <c r="C6" i="79"/>
  <c r="C5" i="79"/>
  <c r="H145" i="85"/>
  <c r="J83" i="90" s="1"/>
  <c r="H146" i="80"/>
  <c r="G23" i="80"/>
  <c r="G399" i="80" s="1"/>
  <c r="E38" i="80"/>
  <c r="E383" i="80" s="1"/>
  <c r="E39" i="80"/>
  <c r="E384" i="80" s="1"/>
  <c r="E45" i="80"/>
  <c r="K45" i="80" s="1"/>
  <c r="E46" i="80"/>
  <c r="E391" i="80" s="1"/>
  <c r="C7" i="80"/>
  <c r="C6" i="80"/>
  <c r="C5" i="80"/>
  <c r="E58" i="80"/>
  <c r="K58" i="80" s="1"/>
  <c r="E61" i="80"/>
  <c r="K61" i="80" s="1"/>
  <c r="E191" i="80"/>
  <c r="E176" i="80"/>
  <c r="G176" i="80"/>
  <c r="E177" i="80"/>
  <c r="K177" i="80" s="1"/>
  <c r="G177" i="80"/>
  <c r="E178" i="80"/>
  <c r="K178" i="80" s="1"/>
  <c r="G178" i="80"/>
  <c r="E180" i="80"/>
  <c r="G180" i="80"/>
  <c r="E181" i="80"/>
  <c r="E182" i="80"/>
  <c r="G182" i="80"/>
  <c r="E184" i="80"/>
  <c r="K184" i="80" s="1"/>
  <c r="G184" i="80"/>
  <c r="E185" i="80"/>
  <c r="K185" i="80" s="1"/>
  <c r="G185" i="80"/>
  <c r="E187" i="80"/>
  <c r="K187" i="80" s="1"/>
  <c r="G187" i="80"/>
  <c r="Y53" i="70"/>
  <c r="FJ187" i="80"/>
  <c r="X53" i="70"/>
  <c r="FB187" i="80" s="1"/>
  <c r="E188" i="80"/>
  <c r="K188" i="80" s="1"/>
  <c r="G188" i="80"/>
  <c r="E189" i="80"/>
  <c r="G189" i="80"/>
  <c r="E192" i="80"/>
  <c r="K192" i="80" s="1"/>
  <c r="G192" i="80"/>
  <c r="E193" i="80"/>
  <c r="K193" i="80" s="1"/>
  <c r="G193" i="80"/>
  <c r="E194" i="80"/>
  <c r="G194" i="80"/>
  <c r="AE194" i="80" s="1"/>
  <c r="E195" i="80"/>
  <c r="G195" i="80"/>
  <c r="E199" i="80"/>
  <c r="G199" i="80"/>
  <c r="E200" i="80"/>
  <c r="G200" i="80"/>
  <c r="E201" i="80"/>
  <c r="G201" i="80"/>
  <c r="E205" i="80"/>
  <c r="K205" i="80" s="1"/>
  <c r="G205" i="80"/>
  <c r="E206" i="80"/>
  <c r="K206" i="80" s="1"/>
  <c r="G206" i="80"/>
  <c r="CY206" i="80" s="1"/>
  <c r="E210" i="80"/>
  <c r="K210" i="80" s="1"/>
  <c r="G210" i="80"/>
  <c r="CI210" i="80" s="1"/>
  <c r="E211" i="80"/>
  <c r="K211" i="80" s="1"/>
  <c r="G211" i="80"/>
  <c r="E212" i="80"/>
  <c r="K212" i="80" s="1"/>
  <c r="G212" i="80"/>
  <c r="AU212" i="80" s="1"/>
  <c r="E213" i="80"/>
  <c r="G213" i="80"/>
  <c r="FK213" i="80" s="1"/>
  <c r="E214" i="80"/>
  <c r="K214" i="80" s="1"/>
  <c r="E219" i="80"/>
  <c r="K219" i="80" s="1"/>
  <c r="E22" i="80"/>
  <c r="E23" i="80"/>
  <c r="E24" i="80"/>
  <c r="K24" i="80" s="1"/>
  <c r="E25" i="80"/>
  <c r="K25" i="80" s="1"/>
  <c r="E33" i="80"/>
  <c r="K33" i="80" s="1"/>
  <c r="G219" i="80"/>
  <c r="W219" i="80" s="1"/>
  <c r="E220" i="80"/>
  <c r="K220" i="80" s="1"/>
  <c r="G220" i="80"/>
  <c r="W220" i="80" s="1"/>
  <c r="E222" i="80"/>
  <c r="K222" i="80" s="1"/>
  <c r="G222" i="80"/>
  <c r="E223" i="80"/>
  <c r="K223" i="80" s="1"/>
  <c r="E16" i="80"/>
  <c r="K16" i="80" s="1"/>
  <c r="E17" i="80"/>
  <c r="E18" i="80"/>
  <c r="K18" i="80" s="1"/>
  <c r="E37" i="80"/>
  <c r="E40" i="80"/>
  <c r="E385" i="80" s="1"/>
  <c r="K385" i="80" s="1"/>
  <c r="E41" i="80"/>
  <c r="E42" i="80"/>
  <c r="E43" i="80"/>
  <c r="E388" i="80" s="1"/>
  <c r="K388" i="80" s="1"/>
  <c r="E44" i="80"/>
  <c r="E389" i="80" s="1"/>
  <c r="K389" i="80" s="1"/>
  <c r="E47" i="80"/>
  <c r="E392" i="80" s="1"/>
  <c r="K392" i="80" s="1"/>
  <c r="E48" i="80"/>
  <c r="G223" i="80"/>
  <c r="E224" i="80"/>
  <c r="G224" i="80"/>
  <c r="FK224" i="80" s="1"/>
  <c r="E225" i="80"/>
  <c r="K225" i="80" s="1"/>
  <c r="G225" i="80"/>
  <c r="FC225" i="80" s="1"/>
  <c r="E226" i="80"/>
  <c r="G226" i="80"/>
  <c r="E227" i="80"/>
  <c r="K227" i="80" s="1"/>
  <c r="G227" i="80"/>
  <c r="E229" i="80"/>
  <c r="G229" i="80"/>
  <c r="EE229" i="80" s="1"/>
  <c r="E230" i="80"/>
  <c r="G230" i="80"/>
  <c r="E231" i="80"/>
  <c r="G231" i="80"/>
  <c r="E232" i="80"/>
  <c r="G232" i="80"/>
  <c r="FC232" i="80" s="1"/>
  <c r="E234" i="80"/>
  <c r="K234" i="80" s="1"/>
  <c r="G234" i="80"/>
  <c r="DO234" i="80" s="1"/>
  <c r="E221" i="80"/>
  <c r="K221" i="80" s="1"/>
  <c r="G221" i="80"/>
  <c r="E228" i="80"/>
  <c r="K228" i="80" s="1"/>
  <c r="G228" i="80"/>
  <c r="E241" i="80"/>
  <c r="G241" i="80"/>
  <c r="E242" i="80"/>
  <c r="G242" i="80"/>
  <c r="E243" i="80"/>
  <c r="K243" i="80" s="1"/>
  <c r="G243" i="80"/>
  <c r="DO243" i="80" s="1"/>
  <c r="E244" i="80"/>
  <c r="G244" i="80"/>
  <c r="E245" i="80"/>
  <c r="K245" i="80" s="1"/>
  <c r="G245" i="80"/>
  <c r="E246" i="80"/>
  <c r="K246" i="80" s="1"/>
  <c r="G246" i="80"/>
  <c r="E247" i="80"/>
  <c r="K247" i="80" s="1"/>
  <c r="G247" i="80"/>
  <c r="E248" i="80"/>
  <c r="K248" i="80" s="1"/>
  <c r="G248" i="80"/>
  <c r="E249" i="80"/>
  <c r="K249" i="80" s="1"/>
  <c r="G249" i="80"/>
  <c r="E250" i="80"/>
  <c r="G250" i="80"/>
  <c r="FK250" i="80" s="1"/>
  <c r="E251" i="80"/>
  <c r="G251" i="80"/>
  <c r="E252" i="80"/>
  <c r="K252" i="80" s="1"/>
  <c r="G252" i="80"/>
  <c r="E253" i="80"/>
  <c r="G253" i="80"/>
  <c r="E254" i="80"/>
  <c r="E255" i="80"/>
  <c r="G255" i="80"/>
  <c r="E256" i="80"/>
  <c r="K256" i="80" s="1"/>
  <c r="E87" i="80"/>
  <c r="K87" i="80" s="1"/>
  <c r="E88" i="80"/>
  <c r="K88" i="80" s="1"/>
  <c r="G88" i="80"/>
  <c r="AM88" i="80" s="1"/>
  <c r="E89" i="80"/>
  <c r="G89" i="80"/>
  <c r="FC89" i="80" s="1"/>
  <c r="E90" i="80"/>
  <c r="K90" i="80" s="1"/>
  <c r="E91" i="80"/>
  <c r="K91" i="80" s="1"/>
  <c r="E92" i="80"/>
  <c r="K92" i="80" s="1"/>
  <c r="E96" i="80"/>
  <c r="E97" i="80"/>
  <c r="K97" i="80" s="1"/>
  <c r="E98" i="80"/>
  <c r="G98" i="80"/>
  <c r="FK98" i="80" s="1"/>
  <c r="E99" i="80"/>
  <c r="K99" i="80" s="1"/>
  <c r="G99" i="80"/>
  <c r="E103" i="80"/>
  <c r="K103" i="80" s="1"/>
  <c r="G103" i="80"/>
  <c r="E104" i="80"/>
  <c r="E105" i="80"/>
  <c r="K105" i="80" s="1"/>
  <c r="E106" i="80"/>
  <c r="K106" i="80" s="1"/>
  <c r="E107" i="80"/>
  <c r="E108" i="80"/>
  <c r="K108" i="80" s="1"/>
  <c r="E109" i="80"/>
  <c r="E110" i="80"/>
  <c r="K110" i="80" s="1"/>
  <c r="E111" i="80"/>
  <c r="K111" i="80" s="1"/>
  <c r="E112" i="80"/>
  <c r="K112" i="80" s="1"/>
  <c r="G112" i="80"/>
  <c r="CI112" i="80" s="1"/>
  <c r="E114" i="80"/>
  <c r="G114" i="80"/>
  <c r="FK114" i="80" s="1"/>
  <c r="E113" i="80"/>
  <c r="K113" i="80" s="1"/>
  <c r="E115" i="80"/>
  <c r="K115" i="80" s="1"/>
  <c r="G115" i="80"/>
  <c r="BS115" i="80" s="1"/>
  <c r="E119" i="80"/>
  <c r="K119" i="80" s="1"/>
  <c r="E120" i="80"/>
  <c r="K120" i="80" s="1"/>
  <c r="E121" i="80"/>
  <c r="K121" i="80" s="1"/>
  <c r="E122" i="80"/>
  <c r="K122" i="80" s="1"/>
  <c r="E123" i="80"/>
  <c r="K123" i="80" s="1"/>
  <c r="G123" i="80"/>
  <c r="O123" i="80" s="1"/>
  <c r="E124" i="80"/>
  <c r="K124" i="80" s="1"/>
  <c r="E125" i="80"/>
  <c r="K125" i="80" s="1"/>
  <c r="E126" i="80"/>
  <c r="K126" i="80" s="1"/>
  <c r="E127" i="80"/>
  <c r="K127" i="80" s="1"/>
  <c r="E128" i="80"/>
  <c r="K128" i="80" s="1"/>
  <c r="E129" i="80"/>
  <c r="K129" i="80" s="1"/>
  <c r="E130" i="80"/>
  <c r="K130" i="80" s="1"/>
  <c r="E131" i="80"/>
  <c r="K131" i="80" s="1"/>
  <c r="E132" i="80"/>
  <c r="K132" i="80" s="1"/>
  <c r="E57" i="80"/>
  <c r="K57" i="80" s="1"/>
  <c r="G58" i="80"/>
  <c r="FK58" i="80" s="1"/>
  <c r="E60" i="80"/>
  <c r="K60" i="80" s="1"/>
  <c r="E62" i="80"/>
  <c r="K62" i="80" s="1"/>
  <c r="E63" i="80"/>
  <c r="K63" i="80" s="1"/>
  <c r="E64" i="80"/>
  <c r="K64" i="80" s="1"/>
  <c r="E65" i="80"/>
  <c r="K65" i="80" s="1"/>
  <c r="E66" i="80"/>
  <c r="E67" i="80"/>
  <c r="G67" i="80"/>
  <c r="EU67" i="80" s="1"/>
  <c r="E68" i="80"/>
  <c r="E69" i="80"/>
  <c r="K69" i="80" s="1"/>
  <c r="G69" i="80"/>
  <c r="E70" i="80"/>
  <c r="K70" i="80" s="1"/>
  <c r="G70" i="80"/>
  <c r="EM70" i="80" s="1"/>
  <c r="E71" i="80"/>
  <c r="K71" i="80" s="1"/>
  <c r="E72" i="80"/>
  <c r="E147" i="80"/>
  <c r="K147" i="80" s="1"/>
  <c r="G147" i="80"/>
  <c r="BS147" i="80" s="1"/>
  <c r="E148" i="80"/>
  <c r="K148" i="80" s="1"/>
  <c r="E149" i="80"/>
  <c r="K149" i="80" s="1"/>
  <c r="E150" i="80"/>
  <c r="K150" i="80" s="1"/>
  <c r="E151" i="80"/>
  <c r="K151" i="80" s="1"/>
  <c r="E152" i="80"/>
  <c r="K152" i="80" s="1"/>
  <c r="E153" i="80"/>
  <c r="K153" i="80" s="1"/>
  <c r="E154" i="80"/>
  <c r="K154" i="80" s="1"/>
  <c r="E155" i="80"/>
  <c r="K155" i="80" s="1"/>
  <c r="E139" i="80"/>
  <c r="K139" i="80" s="1"/>
  <c r="G139" i="80"/>
  <c r="CY139" i="80" s="1"/>
  <c r="E140" i="80"/>
  <c r="G140" i="80"/>
  <c r="EM140" i="80" s="1"/>
  <c r="E141" i="80"/>
  <c r="G141" i="80"/>
  <c r="E142" i="80"/>
  <c r="G142" i="80"/>
  <c r="BC142" i="80" s="1"/>
  <c r="G486" i="80"/>
  <c r="AE486" i="80" s="1"/>
  <c r="G493" i="80"/>
  <c r="E301" i="80"/>
  <c r="K301" i="80" s="1"/>
  <c r="E305" i="80"/>
  <c r="K305" i="80" s="1"/>
  <c r="G305" i="80"/>
  <c r="FK305" i="80" s="1"/>
  <c r="E306" i="80"/>
  <c r="K306" i="80" s="1"/>
  <c r="G306" i="80"/>
  <c r="E307" i="80"/>
  <c r="G307" i="80"/>
  <c r="BK307" i="80" s="1"/>
  <c r="E308" i="80"/>
  <c r="K308" i="80" s="1"/>
  <c r="G308" i="80"/>
  <c r="DO308" i="80" s="1"/>
  <c r="E309" i="80"/>
  <c r="K309" i="80" s="1"/>
  <c r="G309" i="80"/>
  <c r="FK309" i="80" s="1"/>
  <c r="E310" i="80"/>
  <c r="K310" i="80" s="1"/>
  <c r="G310" i="80"/>
  <c r="E311" i="80"/>
  <c r="K311" i="80" s="1"/>
  <c r="G311" i="80"/>
  <c r="E291" i="80"/>
  <c r="E292" i="80"/>
  <c r="K292" i="80" s="1"/>
  <c r="E293" i="80"/>
  <c r="K293" i="80" s="1"/>
  <c r="E294" i="80"/>
  <c r="E295" i="80"/>
  <c r="E296" i="80"/>
  <c r="G296" i="80"/>
  <c r="E297" i="80"/>
  <c r="K297" i="80" s="1"/>
  <c r="E268" i="80"/>
  <c r="G268" i="80"/>
  <c r="BK268" i="80"/>
  <c r="E269" i="80"/>
  <c r="K269" i="80" s="1"/>
  <c r="G269" i="80"/>
  <c r="FK269" i="80" s="1"/>
  <c r="E270" i="80"/>
  <c r="G270" i="80"/>
  <c r="BS270" i="80" s="1"/>
  <c r="E274" i="80"/>
  <c r="K274" i="80"/>
  <c r="G274" i="80"/>
  <c r="E275" i="80"/>
  <c r="K275" i="80" s="1"/>
  <c r="G275" i="80"/>
  <c r="EE275" i="80" s="1"/>
  <c r="E276" i="80"/>
  <c r="K276" i="80" s="1"/>
  <c r="G276" i="80"/>
  <c r="E277" i="80"/>
  <c r="G277" i="80"/>
  <c r="BC277" i="80" s="1"/>
  <c r="E278" i="80"/>
  <c r="K278" i="80" s="1"/>
  <c r="G278" i="80"/>
  <c r="AU278" i="80" s="1"/>
  <c r="E279" i="80"/>
  <c r="G279" i="80"/>
  <c r="EU279" i="80" s="1"/>
  <c r="E280" i="80"/>
  <c r="K280" i="80" s="1"/>
  <c r="G280" i="80"/>
  <c r="BK280" i="80" s="1"/>
  <c r="H345" i="80"/>
  <c r="W53" i="70"/>
  <c r="ET187" i="80"/>
  <c r="V53" i="70"/>
  <c r="EL187" i="80" s="1"/>
  <c r="ET245" i="80"/>
  <c r="EU275" i="80"/>
  <c r="EL248" i="80"/>
  <c r="DO275" i="80"/>
  <c r="CX22" i="80"/>
  <c r="CY232" i="80"/>
  <c r="CY275" i="80"/>
  <c r="CI229" i="80"/>
  <c r="CA275" i="80"/>
  <c r="BS275" i="80"/>
  <c r="BK213" i="80"/>
  <c r="BC229" i="80"/>
  <c r="BC275" i="80"/>
  <c r="J140" i="76"/>
  <c r="I20" i="70"/>
  <c r="J149" i="76"/>
  <c r="J33" i="76" s="1"/>
  <c r="I13" i="70"/>
  <c r="AU232" i="80"/>
  <c r="I140" i="76"/>
  <c r="I149" i="76"/>
  <c r="I150" i="76" s="1"/>
  <c r="H26" i="70"/>
  <c r="H33" i="70"/>
  <c r="AL193" i="80"/>
  <c r="AM275" i="80"/>
  <c r="G140" i="76"/>
  <c r="F140" i="76"/>
  <c r="V199" i="80"/>
  <c r="W275" i="80"/>
  <c r="O89" i="80"/>
  <c r="O275" i="80"/>
  <c r="E191" i="79"/>
  <c r="K191" i="79" s="1"/>
  <c r="E176" i="79"/>
  <c r="K176" i="79" s="1"/>
  <c r="G176" i="79"/>
  <c r="E177" i="79"/>
  <c r="G177" i="79"/>
  <c r="FJ177" i="79"/>
  <c r="E178" i="79"/>
  <c r="K178" i="79" s="1"/>
  <c r="G178" i="79"/>
  <c r="CY178" i="79" s="1"/>
  <c r="FJ178" i="79"/>
  <c r="E180" i="79"/>
  <c r="K180" i="79" s="1"/>
  <c r="G180" i="79"/>
  <c r="E181" i="79"/>
  <c r="FJ181" i="79"/>
  <c r="E182" i="79"/>
  <c r="K182" i="79" s="1"/>
  <c r="G182" i="79"/>
  <c r="FJ182" i="79"/>
  <c r="E184" i="79"/>
  <c r="G184" i="79"/>
  <c r="FJ184" i="79"/>
  <c r="E185" i="79"/>
  <c r="K185" i="79" s="1"/>
  <c r="G185" i="79"/>
  <c r="DO185" i="79" s="1"/>
  <c r="FJ185" i="79"/>
  <c r="E187" i="79"/>
  <c r="K187" i="79" s="1"/>
  <c r="G187" i="79"/>
  <c r="E188" i="79"/>
  <c r="K188" i="79" s="1"/>
  <c r="G188" i="79"/>
  <c r="FJ188" i="79"/>
  <c r="E189" i="79"/>
  <c r="K189" i="79" s="1"/>
  <c r="G189" i="79"/>
  <c r="FJ189" i="79"/>
  <c r="E192" i="79"/>
  <c r="G192" i="79"/>
  <c r="FJ192" i="79"/>
  <c r="E193" i="79"/>
  <c r="K193" i="79" s="1"/>
  <c r="G193" i="79"/>
  <c r="FJ193" i="79"/>
  <c r="E194" i="79"/>
  <c r="G194" i="79"/>
  <c r="E195" i="79"/>
  <c r="G195" i="79"/>
  <c r="CI195" i="79" s="1"/>
  <c r="E199" i="79"/>
  <c r="K199" i="79" s="1"/>
  <c r="G199" i="79"/>
  <c r="W199" i="79" s="1"/>
  <c r="FJ199" i="79"/>
  <c r="E200" i="79"/>
  <c r="K200" i="79" s="1"/>
  <c r="G200" i="79"/>
  <c r="FJ200" i="79"/>
  <c r="E201" i="79"/>
  <c r="K201" i="79" s="1"/>
  <c r="G201" i="79"/>
  <c r="FJ201" i="79"/>
  <c r="E205" i="79"/>
  <c r="K205" i="79" s="1"/>
  <c r="G205" i="79"/>
  <c r="DG205" i="79" s="1"/>
  <c r="EM205" i="79"/>
  <c r="E206" i="79"/>
  <c r="K206" i="79" s="1"/>
  <c r="G206" i="79"/>
  <c r="EE206" i="79" s="1"/>
  <c r="E210" i="79"/>
  <c r="G210" i="79"/>
  <c r="E211" i="79"/>
  <c r="G211" i="79"/>
  <c r="FK211" i="79" s="1"/>
  <c r="E212" i="79"/>
  <c r="G212" i="79"/>
  <c r="BK212" i="79" s="1"/>
  <c r="E213" i="79"/>
  <c r="G213" i="79"/>
  <c r="BC213" i="79" s="1"/>
  <c r="E214" i="79"/>
  <c r="K214" i="79" s="1"/>
  <c r="E219" i="79"/>
  <c r="K219" i="79" s="1"/>
  <c r="G23" i="79"/>
  <c r="E22" i="79"/>
  <c r="K22" i="79" s="1"/>
  <c r="FJ22" i="79"/>
  <c r="E23" i="79"/>
  <c r="FJ23" i="79"/>
  <c r="E24" i="79"/>
  <c r="K24" i="79" s="1"/>
  <c r="FJ24" i="79"/>
  <c r="E25" i="79"/>
  <c r="FJ25" i="79"/>
  <c r="E33" i="79"/>
  <c r="K33" i="79" s="1"/>
  <c r="G219" i="79"/>
  <c r="E220" i="79"/>
  <c r="K220" i="79" s="1"/>
  <c r="G220" i="79"/>
  <c r="FC220" i="79" s="1"/>
  <c r="E222" i="79"/>
  <c r="K222" i="79" s="1"/>
  <c r="G222" i="79"/>
  <c r="EE222" i="79" s="1"/>
  <c r="E223" i="79"/>
  <c r="K223" i="79" s="1"/>
  <c r="E16" i="79"/>
  <c r="E17" i="79"/>
  <c r="K17" i="79" s="1"/>
  <c r="E18" i="79"/>
  <c r="E412" i="79" s="1"/>
  <c r="E37" i="79"/>
  <c r="E38" i="79"/>
  <c r="K38" i="79" s="1"/>
  <c r="E39" i="79"/>
  <c r="E40" i="79"/>
  <c r="E385" i="79" s="1"/>
  <c r="K385" i="79" s="1"/>
  <c r="E41" i="79"/>
  <c r="E386" i="79" s="1"/>
  <c r="K386" i="79" s="1"/>
  <c r="E42" i="79"/>
  <c r="E43" i="79"/>
  <c r="E388" i="79" s="1"/>
  <c r="K388" i="79" s="1"/>
  <c r="E44" i="79"/>
  <c r="E389" i="79" s="1"/>
  <c r="K389" i="79" s="1"/>
  <c r="E45" i="79"/>
  <c r="E46" i="79"/>
  <c r="K46" i="79" s="1"/>
  <c r="E47" i="79"/>
  <c r="E392" i="79" s="1"/>
  <c r="K392" i="79" s="1"/>
  <c r="E48" i="79"/>
  <c r="E393" i="79" s="1"/>
  <c r="K393" i="79" s="1"/>
  <c r="G223" i="79"/>
  <c r="E224" i="79"/>
  <c r="G224" i="79"/>
  <c r="E225" i="79"/>
  <c r="G225" i="79"/>
  <c r="EU225" i="79" s="1"/>
  <c r="E226" i="79"/>
  <c r="G226" i="79"/>
  <c r="CQ226" i="79" s="1"/>
  <c r="E227" i="79"/>
  <c r="K227" i="79" s="1"/>
  <c r="G227" i="79"/>
  <c r="FK227" i="79" s="1"/>
  <c r="E229" i="79"/>
  <c r="G229" i="79"/>
  <c r="AE229" i="79" s="1"/>
  <c r="E230" i="79"/>
  <c r="G230" i="79"/>
  <c r="AE230" i="79" s="1"/>
  <c r="E231" i="79"/>
  <c r="G231" i="79"/>
  <c r="FK231" i="79" s="1"/>
  <c r="E232" i="79"/>
  <c r="G232" i="79"/>
  <c r="AE232" i="79" s="1"/>
  <c r="E234" i="79"/>
  <c r="G234" i="79"/>
  <c r="E221" i="79"/>
  <c r="K221" i="79" s="1"/>
  <c r="G221" i="79"/>
  <c r="E228" i="79"/>
  <c r="G228" i="79"/>
  <c r="E241" i="79"/>
  <c r="G241" i="79"/>
  <c r="DG241" i="79" s="1"/>
  <c r="E242" i="79"/>
  <c r="G242" i="79"/>
  <c r="FC242" i="79" s="1"/>
  <c r="E243" i="79"/>
  <c r="G243" i="79"/>
  <c r="E244" i="79"/>
  <c r="K244" i="79" s="1"/>
  <c r="G244" i="79"/>
  <c r="FJ244" i="79"/>
  <c r="E245" i="79"/>
  <c r="K245" i="79" s="1"/>
  <c r="G245" i="79"/>
  <c r="FJ245" i="79"/>
  <c r="E246" i="79"/>
  <c r="K246" i="79" s="1"/>
  <c r="G246" i="79"/>
  <c r="FJ246" i="79"/>
  <c r="E247" i="79"/>
  <c r="K247" i="79" s="1"/>
  <c r="G247" i="79"/>
  <c r="FJ247" i="79"/>
  <c r="E248" i="79"/>
  <c r="K248" i="79" s="1"/>
  <c r="G248" i="79"/>
  <c r="FC248" i="79" s="1"/>
  <c r="FJ248" i="79"/>
  <c r="E249" i="79"/>
  <c r="K249" i="79" s="1"/>
  <c r="G249" i="79"/>
  <c r="FJ249" i="79"/>
  <c r="E250" i="79"/>
  <c r="G250" i="79"/>
  <c r="E251" i="79"/>
  <c r="K251" i="79" s="1"/>
  <c r="G251" i="79"/>
  <c r="E252" i="79"/>
  <c r="G252" i="79"/>
  <c r="E253" i="79"/>
  <c r="K253" i="79" s="1"/>
  <c r="G253" i="79"/>
  <c r="EU253" i="79"/>
  <c r="E254" i="79"/>
  <c r="E255" i="79"/>
  <c r="G255" i="79"/>
  <c r="FK255" i="79" s="1"/>
  <c r="E256" i="79"/>
  <c r="K256" i="79" s="1"/>
  <c r="E87" i="79"/>
  <c r="K87" i="79" s="1"/>
  <c r="G87" i="79"/>
  <c r="EU87" i="79" s="1"/>
  <c r="E88" i="79"/>
  <c r="K88" i="79" s="1"/>
  <c r="G88" i="79"/>
  <c r="E89" i="79"/>
  <c r="K89" i="79" s="1"/>
  <c r="G89" i="79"/>
  <c r="DO89" i="79" s="1"/>
  <c r="E90" i="79"/>
  <c r="E91" i="79"/>
  <c r="K91" i="79" s="1"/>
  <c r="E92" i="79"/>
  <c r="K92" i="79" s="1"/>
  <c r="E96" i="79"/>
  <c r="K96" i="79" s="1"/>
  <c r="E97" i="79"/>
  <c r="K97" i="79" s="1"/>
  <c r="E98" i="79"/>
  <c r="G98" i="79"/>
  <c r="AE98" i="79" s="1"/>
  <c r="E99" i="79"/>
  <c r="K99" i="79" s="1"/>
  <c r="G99" i="79"/>
  <c r="E103" i="79"/>
  <c r="K103" i="79" s="1"/>
  <c r="G103" i="79"/>
  <c r="DG103" i="79" s="1"/>
  <c r="E104" i="79"/>
  <c r="K104" i="79" s="1"/>
  <c r="E105" i="79"/>
  <c r="K105" i="79" s="1"/>
  <c r="E106" i="79"/>
  <c r="E107" i="79"/>
  <c r="K107" i="79" s="1"/>
  <c r="E108" i="79"/>
  <c r="K108" i="79" s="1"/>
  <c r="E109" i="79"/>
  <c r="K109" i="79" s="1"/>
  <c r="E110" i="79"/>
  <c r="K110" i="79" s="1"/>
  <c r="E111" i="79"/>
  <c r="K111" i="79" s="1"/>
  <c r="E112" i="79"/>
  <c r="K112" i="79" s="1"/>
  <c r="G112" i="79"/>
  <c r="E114" i="79"/>
  <c r="K114" i="79" s="1"/>
  <c r="G114" i="79"/>
  <c r="E113" i="79"/>
  <c r="K113" i="79" s="1"/>
  <c r="E115" i="79"/>
  <c r="K115" i="79" s="1"/>
  <c r="G115" i="79"/>
  <c r="CQ115" i="79" s="1"/>
  <c r="E119" i="79"/>
  <c r="K119" i="79" s="1"/>
  <c r="E120" i="79"/>
  <c r="K120" i="79" s="1"/>
  <c r="E121" i="79"/>
  <c r="K121" i="79" s="1"/>
  <c r="E122" i="79"/>
  <c r="K122" i="79" s="1"/>
  <c r="E123" i="79"/>
  <c r="K123" i="79" s="1"/>
  <c r="G123" i="79"/>
  <c r="DO123" i="79" s="1"/>
  <c r="E124" i="79"/>
  <c r="K124" i="79" s="1"/>
  <c r="E125" i="79"/>
  <c r="K125" i="79" s="1"/>
  <c r="E126" i="79"/>
  <c r="E127" i="79"/>
  <c r="K127" i="79" s="1"/>
  <c r="E128" i="79"/>
  <c r="K128" i="79" s="1"/>
  <c r="E129" i="79"/>
  <c r="K129" i="79" s="1"/>
  <c r="E130" i="79"/>
  <c r="K130" i="79" s="1"/>
  <c r="E131" i="79"/>
  <c r="K131" i="79" s="1"/>
  <c r="E132" i="79"/>
  <c r="K44" i="79"/>
  <c r="E57" i="79"/>
  <c r="K57" i="79" s="1"/>
  <c r="G57" i="79"/>
  <c r="E58" i="79"/>
  <c r="G58" i="79"/>
  <c r="EM58" i="79" s="1"/>
  <c r="E60" i="79"/>
  <c r="K60" i="79" s="1"/>
  <c r="E61" i="79"/>
  <c r="E62" i="79"/>
  <c r="K62" i="79" s="1"/>
  <c r="E63" i="79"/>
  <c r="K63" i="79" s="1"/>
  <c r="E64" i="79"/>
  <c r="E65" i="79"/>
  <c r="K65" i="79" s="1"/>
  <c r="E66" i="79"/>
  <c r="K66" i="79" s="1"/>
  <c r="E67" i="79"/>
  <c r="K67" i="79" s="1"/>
  <c r="G67" i="79"/>
  <c r="AE67" i="79" s="1"/>
  <c r="E68" i="79"/>
  <c r="K68" i="79" s="1"/>
  <c r="E69" i="79"/>
  <c r="K69" i="79" s="1"/>
  <c r="G69" i="79"/>
  <c r="CI69" i="79" s="1"/>
  <c r="E70" i="79"/>
  <c r="G70" i="79"/>
  <c r="E71" i="79"/>
  <c r="E72" i="79"/>
  <c r="K72" i="79" s="1"/>
  <c r="E73" i="79"/>
  <c r="K73" i="79" s="1"/>
  <c r="E147" i="79"/>
  <c r="K147" i="79" s="1"/>
  <c r="G147" i="79"/>
  <c r="AU147" i="79" s="1"/>
  <c r="E148" i="79"/>
  <c r="K148" i="79" s="1"/>
  <c r="E149" i="79"/>
  <c r="K149" i="79" s="1"/>
  <c r="E150" i="79"/>
  <c r="K150" i="79" s="1"/>
  <c r="E151" i="79"/>
  <c r="K151" i="79" s="1"/>
  <c r="E152" i="79"/>
  <c r="K152" i="79" s="1"/>
  <c r="E153" i="79"/>
  <c r="K153" i="79" s="1"/>
  <c r="E154" i="79"/>
  <c r="K154" i="79" s="1"/>
  <c r="E155" i="79"/>
  <c r="E139" i="79"/>
  <c r="K139" i="79" s="1"/>
  <c r="G139" i="79"/>
  <c r="CY139" i="79" s="1"/>
  <c r="E140" i="79"/>
  <c r="K140" i="79" s="1"/>
  <c r="G140" i="79"/>
  <c r="E141" i="79"/>
  <c r="K141" i="79" s="1"/>
  <c r="G141" i="79"/>
  <c r="DG141" i="79" s="1"/>
  <c r="E142" i="79"/>
  <c r="K142" i="79" s="1"/>
  <c r="G142" i="79"/>
  <c r="AM142" i="79" s="1"/>
  <c r="G486" i="79"/>
  <c r="G493" i="79"/>
  <c r="E301" i="79"/>
  <c r="K301" i="79" s="1"/>
  <c r="E305" i="79"/>
  <c r="G305" i="79"/>
  <c r="AU305" i="79"/>
  <c r="E306" i="79"/>
  <c r="G306" i="79"/>
  <c r="EU306" i="79" s="1"/>
  <c r="E307" i="79"/>
  <c r="G307" i="79"/>
  <c r="O307" i="79" s="1"/>
  <c r="E308" i="79"/>
  <c r="G308" i="79"/>
  <c r="AU308" i="79" s="1"/>
  <c r="E309" i="79"/>
  <c r="K309" i="79" s="1"/>
  <c r="G309" i="79"/>
  <c r="BC309" i="79" s="1"/>
  <c r="E310" i="79"/>
  <c r="K310" i="79" s="1"/>
  <c r="G310" i="79"/>
  <c r="O310" i="79" s="1"/>
  <c r="FJ310" i="79"/>
  <c r="E311" i="79"/>
  <c r="K311" i="79" s="1"/>
  <c r="G311" i="79"/>
  <c r="FJ311" i="79"/>
  <c r="E291" i="79"/>
  <c r="K291" i="79" s="1"/>
  <c r="E292" i="79"/>
  <c r="K292" i="79" s="1"/>
  <c r="E293" i="79"/>
  <c r="K293" i="79" s="1"/>
  <c r="E294" i="79"/>
  <c r="E295" i="79"/>
  <c r="K295" i="79" s="1"/>
  <c r="E296" i="79"/>
  <c r="G296" i="79"/>
  <c r="FK296" i="79" s="1"/>
  <c r="E297" i="79"/>
  <c r="K297" i="79" s="1"/>
  <c r="E268" i="79"/>
  <c r="K268" i="79" s="1"/>
  <c r="G268" i="79"/>
  <c r="CI268" i="79" s="1"/>
  <c r="E269" i="79"/>
  <c r="G269" i="79"/>
  <c r="FK269" i="79" s="1"/>
  <c r="E270" i="79"/>
  <c r="G270" i="79"/>
  <c r="CY270" i="79" s="1"/>
  <c r="E274" i="79"/>
  <c r="K274" i="79"/>
  <c r="G274" i="79"/>
  <c r="E275" i="79"/>
  <c r="K275" i="79" s="1"/>
  <c r="G275" i="79"/>
  <c r="EU275" i="79" s="1"/>
  <c r="E276" i="79"/>
  <c r="G276" i="79"/>
  <c r="E277" i="79"/>
  <c r="G277" i="79"/>
  <c r="FK277" i="79"/>
  <c r="E278" i="79"/>
  <c r="K278" i="79" s="1"/>
  <c r="G278" i="79"/>
  <c r="FK278" i="79" s="1"/>
  <c r="E279" i="79"/>
  <c r="K279" i="79" s="1"/>
  <c r="G279" i="79"/>
  <c r="AM279" i="79" s="1"/>
  <c r="E280" i="79"/>
  <c r="K280" i="79" s="1"/>
  <c r="G280" i="79"/>
  <c r="FK280" i="79" s="1"/>
  <c r="H345" i="79"/>
  <c r="DX345" i="79" s="1"/>
  <c r="FB177" i="79"/>
  <c r="FB178" i="79"/>
  <c r="FB181" i="79"/>
  <c r="FB182" i="79"/>
  <c r="FB184" i="79"/>
  <c r="FB185" i="79"/>
  <c r="FB188" i="79"/>
  <c r="FB189" i="79"/>
  <c r="FB192" i="79"/>
  <c r="FB193" i="79"/>
  <c r="FB199" i="79"/>
  <c r="FC199" i="79" s="1"/>
  <c r="FB200" i="79"/>
  <c r="FB201" i="79"/>
  <c r="FB22" i="79"/>
  <c r="FB23" i="79"/>
  <c r="FB24" i="79"/>
  <c r="FB25" i="79"/>
  <c r="FB244" i="79"/>
  <c r="FB245" i="79"/>
  <c r="FB246" i="79"/>
  <c r="FB247" i="79"/>
  <c r="FB248" i="79"/>
  <c r="FB249" i="79"/>
  <c r="FB310" i="79"/>
  <c r="FB311" i="79"/>
  <c r="FC269" i="79"/>
  <c r="ET177" i="79"/>
  <c r="ET178" i="79"/>
  <c r="ET181" i="79"/>
  <c r="ET182" i="79"/>
  <c r="ET184" i="79"/>
  <c r="ET185" i="79"/>
  <c r="ET188" i="79"/>
  <c r="ET189" i="79"/>
  <c r="ET192" i="79"/>
  <c r="ET193" i="79"/>
  <c r="ET199" i="79"/>
  <c r="ET200" i="79"/>
  <c r="ET201" i="79"/>
  <c r="ET22" i="79"/>
  <c r="ET23" i="79"/>
  <c r="ET24" i="79"/>
  <c r="ET25" i="79"/>
  <c r="ET244" i="79"/>
  <c r="ET245" i="79"/>
  <c r="ET246" i="79"/>
  <c r="ET247" i="79"/>
  <c r="ET248" i="79"/>
  <c r="ET249" i="79"/>
  <c r="ET310" i="79"/>
  <c r="ET311" i="79"/>
  <c r="EL177" i="79"/>
  <c r="EL178" i="79"/>
  <c r="EL181" i="79"/>
  <c r="EL182" i="79"/>
  <c r="EL184" i="79"/>
  <c r="EL185" i="79"/>
  <c r="EL188" i="79"/>
  <c r="EL189" i="79"/>
  <c r="EL192" i="79"/>
  <c r="EL193" i="79"/>
  <c r="EL199" i="79"/>
  <c r="EL200" i="79"/>
  <c r="EL201" i="79"/>
  <c r="EL22" i="79"/>
  <c r="EL23" i="79"/>
  <c r="EL24" i="79"/>
  <c r="EL25" i="79"/>
  <c r="EL244" i="79"/>
  <c r="EL245" i="79"/>
  <c r="EL246" i="79"/>
  <c r="EL247" i="79"/>
  <c r="EL248" i="79"/>
  <c r="EL249" i="79"/>
  <c r="EL310" i="79"/>
  <c r="EL311" i="79"/>
  <c r="ED177" i="79"/>
  <c r="ED178" i="79"/>
  <c r="ED181" i="79"/>
  <c r="ED182" i="79"/>
  <c r="ED184" i="79"/>
  <c r="ED185" i="79"/>
  <c r="ED188" i="79"/>
  <c r="ED189" i="79"/>
  <c r="ED192" i="79"/>
  <c r="ED193" i="79"/>
  <c r="ED199" i="79"/>
  <c r="ED200" i="79"/>
  <c r="ED201" i="79"/>
  <c r="EE205" i="79"/>
  <c r="ED22" i="79"/>
  <c r="ED23" i="79"/>
  <c r="ED24" i="79"/>
  <c r="ED25" i="79"/>
  <c r="EE230" i="79"/>
  <c r="ED244" i="79"/>
  <c r="ED245" i="79"/>
  <c r="ED246" i="79"/>
  <c r="ED247" i="79"/>
  <c r="ED248" i="79"/>
  <c r="EE248" i="79"/>
  <c r="ED249" i="79"/>
  <c r="EE306" i="79"/>
  <c r="ED310" i="79"/>
  <c r="ED311" i="79"/>
  <c r="DV177" i="79"/>
  <c r="DV178" i="79"/>
  <c r="DV181" i="79"/>
  <c r="DV182" i="79"/>
  <c r="DW182" i="79" s="1"/>
  <c r="DX182" i="79" s="1"/>
  <c r="DV184" i="79"/>
  <c r="DV185" i="79"/>
  <c r="DV188" i="79"/>
  <c r="DV189" i="79"/>
  <c r="DV192" i="79"/>
  <c r="DV193" i="79"/>
  <c r="DV199" i="79"/>
  <c r="DV200" i="79"/>
  <c r="DV201" i="79"/>
  <c r="DV22" i="79"/>
  <c r="DV23" i="79"/>
  <c r="DV24" i="79"/>
  <c r="DV25" i="79"/>
  <c r="DW226" i="79"/>
  <c r="DV244" i="79"/>
  <c r="DW244" i="79" s="1"/>
  <c r="DV245" i="79"/>
  <c r="DW245" i="79" s="1"/>
  <c r="DV246" i="79"/>
  <c r="DV247" i="79"/>
  <c r="DV248" i="79"/>
  <c r="DW248" i="79"/>
  <c r="DV249" i="79"/>
  <c r="DV310" i="79"/>
  <c r="DV311" i="79"/>
  <c r="DN177" i="79"/>
  <c r="DN178" i="79"/>
  <c r="DN181" i="79"/>
  <c r="DN182" i="79"/>
  <c r="DN184" i="79"/>
  <c r="DN185" i="79"/>
  <c r="DN188" i="79"/>
  <c r="DN189" i="79"/>
  <c r="DN192" i="79"/>
  <c r="DN193" i="79"/>
  <c r="DN199" i="79"/>
  <c r="DN200" i="79"/>
  <c r="DN201" i="79"/>
  <c r="DN22" i="79"/>
  <c r="DN23" i="79"/>
  <c r="DN24" i="79"/>
  <c r="DN25" i="79"/>
  <c r="DN244" i="79"/>
  <c r="DN245" i="79"/>
  <c r="DN246" i="79"/>
  <c r="DN247" i="79"/>
  <c r="DN248" i="79"/>
  <c r="DN249" i="79"/>
  <c r="DN310" i="79"/>
  <c r="DN311" i="79"/>
  <c r="DO311" i="79" s="1"/>
  <c r="DF177" i="79"/>
  <c r="DF178" i="79"/>
  <c r="DF181" i="79"/>
  <c r="DF182" i="79"/>
  <c r="DF184" i="79"/>
  <c r="DF185" i="79"/>
  <c r="DF188" i="79"/>
  <c r="DF189" i="79"/>
  <c r="DF192" i="79"/>
  <c r="DF193" i="79"/>
  <c r="DF199" i="79"/>
  <c r="DF200" i="79"/>
  <c r="DF201" i="79"/>
  <c r="DF22" i="79"/>
  <c r="DF23" i="79"/>
  <c r="DF24" i="79"/>
  <c r="DF25" i="79"/>
  <c r="DF244" i="79"/>
  <c r="DF245" i="79"/>
  <c r="DF246" i="79"/>
  <c r="DF247" i="79"/>
  <c r="DF248" i="79"/>
  <c r="DG248" i="79"/>
  <c r="DF249" i="79"/>
  <c r="DF310" i="79"/>
  <c r="DF311" i="79"/>
  <c r="DG276" i="79"/>
  <c r="DG278" i="79"/>
  <c r="DI278" i="79" s="1"/>
  <c r="CX177" i="79"/>
  <c r="CX178" i="79"/>
  <c r="CX181" i="79"/>
  <c r="CX182" i="79"/>
  <c r="CX184" i="79"/>
  <c r="CX185" i="79"/>
  <c r="CX188" i="79"/>
  <c r="CX189" i="79"/>
  <c r="CX192" i="79"/>
  <c r="CX193" i="79"/>
  <c r="CX199" i="79"/>
  <c r="CX200" i="79"/>
  <c r="CX201" i="79"/>
  <c r="CX22" i="79"/>
  <c r="CX23" i="79"/>
  <c r="CX24" i="79"/>
  <c r="CX25" i="79"/>
  <c r="CX244" i="79"/>
  <c r="CX245" i="79"/>
  <c r="CX246" i="79"/>
  <c r="CX247" i="79"/>
  <c r="CX248" i="79"/>
  <c r="CX249" i="79"/>
  <c r="CX310" i="79"/>
  <c r="CX311" i="79"/>
  <c r="CP177" i="79"/>
  <c r="CP178" i="79"/>
  <c r="CP181" i="79"/>
  <c r="CP182" i="79"/>
  <c r="CP184" i="79"/>
  <c r="CP185" i="79"/>
  <c r="CP188" i="79"/>
  <c r="CP189" i="79"/>
  <c r="CP192" i="79"/>
  <c r="CP193" i="79"/>
  <c r="CP199" i="79"/>
  <c r="CP200" i="79"/>
  <c r="CP201" i="79"/>
  <c r="CP22" i="79"/>
  <c r="CP23" i="79"/>
  <c r="CP24" i="79"/>
  <c r="CP25" i="79"/>
  <c r="CP244" i="79"/>
  <c r="CP245" i="79"/>
  <c r="CP246" i="79"/>
  <c r="CP247" i="79"/>
  <c r="CP248" i="79"/>
  <c r="CP249" i="79"/>
  <c r="CQ253" i="79"/>
  <c r="CP310" i="79"/>
  <c r="CP311" i="79"/>
  <c r="CQ311" i="79"/>
  <c r="CH177" i="79"/>
  <c r="CH178" i="79"/>
  <c r="CH181" i="79"/>
  <c r="CH182" i="79"/>
  <c r="CH184" i="79"/>
  <c r="CH185" i="79"/>
  <c r="CH188" i="79"/>
  <c r="CH189" i="79"/>
  <c r="CH192" i="79"/>
  <c r="CI192" i="79" s="1"/>
  <c r="CH193" i="79"/>
  <c r="CH199" i="79"/>
  <c r="CH200" i="79"/>
  <c r="CH201" i="79"/>
  <c r="CI205" i="79"/>
  <c r="CH22" i="79"/>
  <c r="CH23" i="79"/>
  <c r="CH24" i="79"/>
  <c r="CH25" i="79"/>
  <c r="CH244" i="79"/>
  <c r="CH245" i="79"/>
  <c r="CH246" i="79"/>
  <c r="CH247" i="79"/>
  <c r="CH248" i="79"/>
  <c r="CH249" i="79"/>
  <c r="CH310" i="79"/>
  <c r="CH311" i="79"/>
  <c r="CI311" i="79" s="1"/>
  <c r="CI296" i="79"/>
  <c r="BZ177" i="79"/>
  <c r="BZ178" i="79"/>
  <c r="BZ181" i="79"/>
  <c r="BZ182" i="79"/>
  <c r="BZ184" i="79"/>
  <c r="BZ185" i="79"/>
  <c r="BZ188" i="79"/>
  <c r="BZ189" i="79"/>
  <c r="BZ192" i="79"/>
  <c r="BZ193" i="79"/>
  <c r="BZ199" i="79"/>
  <c r="BZ200" i="79"/>
  <c r="BZ201" i="79"/>
  <c r="BZ22" i="79"/>
  <c r="BZ23" i="79"/>
  <c r="BZ24" i="79"/>
  <c r="BZ25" i="79"/>
  <c r="BZ244" i="79"/>
  <c r="BZ245" i="79"/>
  <c r="BZ246" i="79"/>
  <c r="BZ247" i="79"/>
  <c r="BZ248" i="79"/>
  <c r="BZ249" i="79"/>
  <c r="BZ310" i="79"/>
  <c r="BZ311" i="79"/>
  <c r="CA311" i="79" s="1"/>
  <c r="CA269" i="79"/>
  <c r="BR177" i="79"/>
  <c r="BR178" i="79"/>
  <c r="BR181" i="79"/>
  <c r="BR182" i="79"/>
  <c r="BR184" i="79"/>
  <c r="BR185" i="79"/>
  <c r="BR188" i="79"/>
  <c r="BR189" i="79"/>
  <c r="BR192" i="79"/>
  <c r="BR193" i="79"/>
  <c r="BR199" i="79"/>
  <c r="BR200" i="79"/>
  <c r="BR201" i="79"/>
  <c r="BS205" i="79"/>
  <c r="BR22" i="79"/>
  <c r="BR23" i="79"/>
  <c r="BR24" i="79"/>
  <c r="BR25" i="79"/>
  <c r="BR244" i="79"/>
  <c r="BR245" i="79"/>
  <c r="BR246" i="79"/>
  <c r="BR247" i="79"/>
  <c r="BR248" i="79"/>
  <c r="BR249" i="79"/>
  <c r="BR310" i="79"/>
  <c r="BR311" i="79"/>
  <c r="L140" i="76"/>
  <c r="L20" i="76"/>
  <c r="L149" i="76"/>
  <c r="L33" i="76" s="1"/>
  <c r="BJ177" i="79"/>
  <c r="BJ178" i="79"/>
  <c r="BJ181" i="79"/>
  <c r="BJ182" i="79"/>
  <c r="BJ184" i="79"/>
  <c r="BJ185" i="79"/>
  <c r="BJ188" i="79"/>
  <c r="BJ189" i="79"/>
  <c r="BJ192" i="79"/>
  <c r="BJ193" i="79"/>
  <c r="BJ199" i="79"/>
  <c r="BJ200" i="79"/>
  <c r="BJ201" i="79"/>
  <c r="BJ22" i="79"/>
  <c r="BJ23" i="79"/>
  <c r="BJ24" i="79"/>
  <c r="BJ25" i="79"/>
  <c r="BJ244" i="79"/>
  <c r="BJ245" i="79"/>
  <c r="BJ246" i="79"/>
  <c r="BJ247" i="79"/>
  <c r="BJ248" i="79"/>
  <c r="BJ249" i="79"/>
  <c r="BJ310" i="79"/>
  <c r="BJ311" i="79"/>
  <c r="BK279" i="79"/>
  <c r="K140" i="76"/>
  <c r="K20" i="76"/>
  <c r="K149" i="76"/>
  <c r="K33" i="76" s="1"/>
  <c r="BB177" i="79"/>
  <c r="BB178" i="79"/>
  <c r="BB181" i="79"/>
  <c r="BB182" i="79"/>
  <c r="BB184" i="79"/>
  <c r="BB185" i="79"/>
  <c r="BB188" i="79"/>
  <c r="BB189" i="79"/>
  <c r="BB192" i="79"/>
  <c r="BB193" i="79"/>
  <c r="BB199" i="79"/>
  <c r="BB200" i="79"/>
  <c r="BB201" i="79"/>
  <c r="BB22" i="79"/>
  <c r="BB23" i="79"/>
  <c r="BB24" i="79"/>
  <c r="BB25" i="79"/>
  <c r="BB244" i="79"/>
  <c r="BB245" i="79"/>
  <c r="BB246" i="79"/>
  <c r="BB247" i="79"/>
  <c r="BB248" i="79"/>
  <c r="BC248" i="79"/>
  <c r="BB249" i="79"/>
  <c r="BB310" i="79"/>
  <c r="BB311" i="79"/>
  <c r="AT177" i="79"/>
  <c r="AT178" i="79"/>
  <c r="AU178" i="79" s="1"/>
  <c r="AT181" i="79"/>
  <c r="AT182" i="79"/>
  <c r="AT184" i="79"/>
  <c r="AT185" i="79"/>
  <c r="AT188" i="79"/>
  <c r="AT189" i="79"/>
  <c r="AT192" i="79"/>
  <c r="AT193" i="79"/>
  <c r="AT199" i="79"/>
  <c r="AT200" i="79"/>
  <c r="AT201" i="79"/>
  <c r="AT22" i="79"/>
  <c r="AT23" i="79"/>
  <c r="AU23" i="79"/>
  <c r="AU399" i="79" s="1"/>
  <c r="AT24" i="79"/>
  <c r="AT25" i="79"/>
  <c r="AT244" i="79"/>
  <c r="AT245" i="79"/>
  <c r="AT246" i="79"/>
  <c r="AT247" i="79"/>
  <c r="AT248" i="79"/>
  <c r="AT249" i="79"/>
  <c r="AT310" i="79"/>
  <c r="AT311" i="79"/>
  <c r="AU276" i="79"/>
  <c r="I122" i="76"/>
  <c r="AL470" i="79"/>
  <c r="I123" i="76"/>
  <c r="AL473" i="79"/>
  <c r="AL177" i="79"/>
  <c r="AL178" i="79"/>
  <c r="AL180" i="79"/>
  <c r="AL181" i="79"/>
  <c r="AL182" i="79"/>
  <c r="AL184" i="79"/>
  <c r="AL185" i="79"/>
  <c r="AL188" i="79"/>
  <c r="AL189" i="79"/>
  <c r="AL192" i="79"/>
  <c r="AL193" i="79"/>
  <c r="AL199" i="79"/>
  <c r="AL200" i="79"/>
  <c r="AL201" i="79"/>
  <c r="AM205" i="79"/>
  <c r="AL22" i="79"/>
  <c r="AL23" i="79"/>
  <c r="AM23" i="79" s="1"/>
  <c r="AM399" i="79" s="1"/>
  <c r="AL24" i="79"/>
  <c r="AL25" i="79"/>
  <c r="AL244" i="79"/>
  <c r="AL245" i="79"/>
  <c r="AL246" i="79"/>
  <c r="AL247" i="79"/>
  <c r="AL248" i="79"/>
  <c r="AM248" i="79"/>
  <c r="AL249" i="79"/>
  <c r="AL310" i="79"/>
  <c r="AL311" i="79"/>
  <c r="AM296" i="79"/>
  <c r="AM269" i="79"/>
  <c r="AM276" i="79"/>
  <c r="H140" i="76"/>
  <c r="AD177" i="79"/>
  <c r="AD178" i="79"/>
  <c r="AD181" i="79"/>
  <c r="AD182" i="79"/>
  <c r="AD184" i="79"/>
  <c r="AD185" i="79"/>
  <c r="AD188" i="79"/>
  <c r="AD189" i="79"/>
  <c r="AD192" i="79"/>
  <c r="AD193" i="79"/>
  <c r="AD199" i="79"/>
  <c r="AD200" i="79"/>
  <c r="AD201" i="79"/>
  <c r="AE205" i="79"/>
  <c r="AD22" i="79"/>
  <c r="AD23" i="79"/>
  <c r="AD24" i="79"/>
  <c r="AD25" i="79"/>
  <c r="AD244" i="79"/>
  <c r="AE244" i="79" s="1"/>
  <c r="AD245" i="79"/>
  <c r="AD246" i="79"/>
  <c r="AD247" i="79"/>
  <c r="AD248" i="79"/>
  <c r="AD249" i="79"/>
  <c r="AD310" i="79"/>
  <c r="AD311" i="79"/>
  <c r="G122" i="76"/>
  <c r="V470" i="79"/>
  <c r="G123" i="76"/>
  <c r="V473" i="79" s="1"/>
  <c r="V177" i="79"/>
  <c r="V178" i="79"/>
  <c r="V181" i="79"/>
  <c r="V182" i="79"/>
  <c r="V184" i="79"/>
  <c r="V185" i="79"/>
  <c r="V188" i="79"/>
  <c r="V189" i="79"/>
  <c r="V192" i="79"/>
  <c r="V193" i="79"/>
  <c r="V199" i="79"/>
  <c r="V200" i="79"/>
  <c r="V201" i="79"/>
  <c r="W205" i="79"/>
  <c r="V22" i="79"/>
  <c r="V23" i="79"/>
  <c r="V24" i="79"/>
  <c r="V25" i="79"/>
  <c r="V244" i="79"/>
  <c r="V245" i="79"/>
  <c r="V246" i="79"/>
  <c r="V247" i="79"/>
  <c r="V248" i="79"/>
  <c r="W248" i="79"/>
  <c r="V249" i="79"/>
  <c r="W308" i="79"/>
  <c r="V310" i="79"/>
  <c r="V311" i="79"/>
  <c r="W311" i="79" s="1"/>
  <c r="W269" i="79"/>
  <c r="N177" i="79"/>
  <c r="N178" i="79"/>
  <c r="N181" i="79"/>
  <c r="N182" i="79"/>
  <c r="N184" i="79"/>
  <c r="N185" i="79"/>
  <c r="N188" i="79"/>
  <c r="N189" i="79"/>
  <c r="N192" i="79"/>
  <c r="N193" i="79"/>
  <c r="N199" i="79"/>
  <c r="N200" i="79"/>
  <c r="N201" i="79"/>
  <c r="O205" i="79"/>
  <c r="N22" i="79"/>
  <c r="N23" i="79"/>
  <c r="O23" i="79" s="1"/>
  <c r="O399" i="79" s="1"/>
  <c r="N24" i="79"/>
  <c r="N25" i="79"/>
  <c r="N244" i="79"/>
  <c r="O244" i="79"/>
  <c r="N245" i="79"/>
  <c r="N246" i="79"/>
  <c r="N247" i="79"/>
  <c r="N248" i="79"/>
  <c r="N249" i="79"/>
  <c r="N310" i="79"/>
  <c r="N311" i="79"/>
  <c r="AU3" i="79"/>
  <c r="H87" i="35"/>
  <c r="K87" i="35" s="1"/>
  <c r="H86" i="35"/>
  <c r="K86" i="35" s="1"/>
  <c r="H85" i="35"/>
  <c r="K85" i="35" s="1"/>
  <c r="H84" i="35"/>
  <c r="K84" i="35"/>
  <c r="H83" i="35"/>
  <c r="K83" i="35"/>
  <c r="H82" i="35"/>
  <c r="K82" i="35" s="1"/>
  <c r="H81" i="35"/>
  <c r="K81" i="35"/>
  <c r="H80" i="35"/>
  <c r="K80" i="35"/>
  <c r="H79" i="35"/>
  <c r="K79" i="35" s="1"/>
  <c r="H78" i="35"/>
  <c r="K78" i="35" s="1"/>
  <c r="J167" i="76"/>
  <c r="I158" i="76"/>
  <c r="G149" i="76"/>
  <c r="G150" i="76"/>
  <c r="L185" i="76"/>
  <c r="K176" i="76"/>
  <c r="K177" i="76"/>
  <c r="J122" i="76"/>
  <c r="AT470" i="79" s="1"/>
  <c r="J123" i="76"/>
  <c r="AT473" i="79"/>
  <c r="FJ187" i="79"/>
  <c r="FB187" i="79"/>
  <c r="FC187" i="79" s="1"/>
  <c r="ET187" i="79"/>
  <c r="EL187" i="79"/>
  <c r="DN187" i="79"/>
  <c r="DF187" i="79"/>
  <c r="CX187" i="79"/>
  <c r="CP187" i="79"/>
  <c r="CH187" i="79"/>
  <c r="BZ187" i="79"/>
  <c r="CA187" i="79" s="1"/>
  <c r="BR187" i="79"/>
  <c r="E146" i="80"/>
  <c r="K146" i="80" s="1"/>
  <c r="E145" i="80"/>
  <c r="K145" i="80" s="1"/>
  <c r="E75" i="80"/>
  <c r="K75" i="80" s="1"/>
  <c r="Y123" i="76"/>
  <c r="FJ473" i="79"/>
  <c r="X123" i="76"/>
  <c r="FB473" i="79" s="1"/>
  <c r="W123" i="76"/>
  <c r="ET473" i="79"/>
  <c r="V123" i="76"/>
  <c r="EL473" i="79"/>
  <c r="U123" i="76"/>
  <c r="ED473" i="79" s="1"/>
  <c r="T123" i="76"/>
  <c r="DV473" i="79"/>
  <c r="S123" i="76"/>
  <c r="DN473" i="79" s="1"/>
  <c r="R123" i="76"/>
  <c r="DF473" i="79"/>
  <c r="Q123" i="76"/>
  <c r="CX473" i="79"/>
  <c r="P123" i="76"/>
  <c r="CP473" i="79" s="1"/>
  <c r="O123" i="76"/>
  <c r="CH473" i="79"/>
  <c r="N123" i="76"/>
  <c r="BZ473" i="79"/>
  <c r="M123" i="76"/>
  <c r="BR473" i="79" s="1"/>
  <c r="L123" i="76"/>
  <c r="BJ473" i="79"/>
  <c r="K123" i="76"/>
  <c r="BB473" i="79" s="1"/>
  <c r="H123" i="76"/>
  <c r="AD473" i="79"/>
  <c r="F123" i="76"/>
  <c r="N473" i="79"/>
  <c r="Y122" i="76"/>
  <c r="FJ470" i="79" s="1"/>
  <c r="X122" i="76"/>
  <c r="FB470" i="79"/>
  <c r="W122" i="76"/>
  <c r="ET470" i="79"/>
  <c r="V122" i="76"/>
  <c r="EL470" i="79" s="1"/>
  <c r="U122" i="76"/>
  <c r="ED470" i="79"/>
  <c r="T122" i="76"/>
  <c r="DV470" i="79" s="1"/>
  <c r="S122" i="76"/>
  <c r="DN470" i="79"/>
  <c r="R122" i="76"/>
  <c r="DF470" i="79" s="1"/>
  <c r="Q122" i="76"/>
  <c r="CX470" i="79" s="1"/>
  <c r="P122" i="76"/>
  <c r="CP470" i="79"/>
  <c r="O122" i="76"/>
  <c r="CH470" i="79"/>
  <c r="N122" i="76"/>
  <c r="BZ470" i="79" s="1"/>
  <c r="M122" i="76"/>
  <c r="BR470" i="79"/>
  <c r="L122" i="76"/>
  <c r="BJ470" i="79" s="1"/>
  <c r="K122" i="76"/>
  <c r="BB470" i="79"/>
  <c r="H122" i="76"/>
  <c r="AD470" i="79" s="1"/>
  <c r="F122" i="76"/>
  <c r="N470" i="79" s="1"/>
  <c r="Y121" i="76"/>
  <c r="FJ475" i="79"/>
  <c r="X121" i="76"/>
  <c r="FB475" i="79"/>
  <c r="W121" i="76"/>
  <c r="ET475" i="79" s="1"/>
  <c r="V121" i="76"/>
  <c r="EL475" i="79"/>
  <c r="U121" i="76"/>
  <c r="ED475" i="79" s="1"/>
  <c r="T121" i="76"/>
  <c r="DV475" i="79"/>
  <c r="S121" i="76"/>
  <c r="DN475" i="79"/>
  <c r="R121" i="76"/>
  <c r="DF475" i="79" s="1"/>
  <c r="Q121" i="76"/>
  <c r="CX475" i="79"/>
  <c r="P121" i="76"/>
  <c r="CP475" i="79"/>
  <c r="O121" i="76"/>
  <c r="CH475" i="79" s="1"/>
  <c r="N121" i="76"/>
  <c r="BZ475" i="79"/>
  <c r="M121" i="76"/>
  <c r="BR475" i="79" s="1"/>
  <c r="L121" i="76"/>
  <c r="BJ475" i="79"/>
  <c r="K121" i="76"/>
  <c r="BB475" i="79"/>
  <c r="J121" i="76"/>
  <c r="AT475" i="79" s="1"/>
  <c r="I121" i="76"/>
  <c r="AL475" i="79"/>
  <c r="H121" i="76"/>
  <c r="AD475" i="79"/>
  <c r="G121" i="76"/>
  <c r="V475" i="79" s="1"/>
  <c r="F121" i="76"/>
  <c r="N475" i="79"/>
  <c r="Y120" i="76"/>
  <c r="FJ493" i="79" s="1"/>
  <c r="X120" i="76"/>
  <c r="FB493" i="79"/>
  <c r="W120" i="76"/>
  <c r="ET493" i="79" s="1"/>
  <c r="V120" i="76"/>
  <c r="EL493" i="79" s="1"/>
  <c r="U120" i="76"/>
  <c r="ED493" i="79"/>
  <c r="T120" i="76"/>
  <c r="DV493" i="79"/>
  <c r="S120" i="76"/>
  <c r="DN493" i="79" s="1"/>
  <c r="R120" i="76"/>
  <c r="DF493" i="79"/>
  <c r="Q120" i="76"/>
  <c r="CX493" i="79" s="1"/>
  <c r="P120" i="76"/>
  <c r="CP493" i="79"/>
  <c r="O120" i="76"/>
  <c r="CH493" i="79" s="1"/>
  <c r="N120" i="76"/>
  <c r="BZ493" i="79" s="1"/>
  <c r="M120" i="76"/>
  <c r="BR493" i="79"/>
  <c r="L120" i="76"/>
  <c r="BJ493" i="79"/>
  <c r="K120" i="76"/>
  <c r="BB493" i="79" s="1"/>
  <c r="J120" i="76"/>
  <c r="AT493" i="79"/>
  <c r="I120" i="76"/>
  <c r="AL493" i="79" s="1"/>
  <c r="H120" i="76"/>
  <c r="AD493" i="79"/>
  <c r="G120" i="76"/>
  <c r="V493" i="79"/>
  <c r="F120" i="76"/>
  <c r="N493" i="79" s="1"/>
  <c r="ET180" i="79"/>
  <c r="EL180" i="79"/>
  <c r="ED180" i="79"/>
  <c r="DV180" i="79"/>
  <c r="DN180" i="79"/>
  <c r="DF180" i="79"/>
  <c r="CX180" i="79"/>
  <c r="CP180" i="79"/>
  <c r="CH180" i="79"/>
  <c r="BZ180" i="79"/>
  <c r="BR180" i="79"/>
  <c r="Y124" i="76"/>
  <c r="FJ474" i="79" s="1"/>
  <c r="X124" i="76"/>
  <c r="FB474" i="79" s="1"/>
  <c r="W124" i="76"/>
  <c r="ET474" i="79" s="1"/>
  <c r="T124" i="76"/>
  <c r="DV474" i="79"/>
  <c r="S124" i="76"/>
  <c r="DN474" i="79" s="1"/>
  <c r="R124" i="76"/>
  <c r="DF474" i="79" s="1"/>
  <c r="Q124" i="76"/>
  <c r="CX474" i="79"/>
  <c r="O124" i="76"/>
  <c r="CH474" i="79" s="1"/>
  <c r="M124" i="76"/>
  <c r="BR474" i="79" s="1"/>
  <c r="FJ176" i="79"/>
  <c r="FB176" i="79"/>
  <c r="ET176" i="79"/>
  <c r="EL176" i="79"/>
  <c r="ED176" i="79"/>
  <c r="DV176" i="79"/>
  <c r="CX176" i="79"/>
  <c r="CP176" i="79"/>
  <c r="CH176" i="79"/>
  <c r="BZ176" i="79"/>
  <c r="BR176" i="79"/>
  <c r="K185" i="76"/>
  <c r="J185" i="76"/>
  <c r="J60" i="76" s="1"/>
  <c r="I185" i="76"/>
  <c r="H185" i="76"/>
  <c r="G185" i="76"/>
  <c r="F185" i="76"/>
  <c r="L176" i="76"/>
  <c r="L177" i="76"/>
  <c r="J176" i="76"/>
  <c r="J177" i="76" s="1"/>
  <c r="I176" i="76"/>
  <c r="I177" i="76"/>
  <c r="H176" i="76"/>
  <c r="H177" i="76" s="1"/>
  <c r="H53" i="76" s="1"/>
  <c r="G176" i="76"/>
  <c r="G177" i="76" s="1"/>
  <c r="F176" i="76"/>
  <c r="F177" i="76"/>
  <c r="L167" i="76"/>
  <c r="K167" i="76"/>
  <c r="I167" i="76"/>
  <c r="I60" i="76" s="1"/>
  <c r="H167" i="76"/>
  <c r="G167" i="76"/>
  <c r="F167" i="76"/>
  <c r="L158" i="76"/>
  <c r="L43" i="76" s="1"/>
  <c r="K158" i="76"/>
  <c r="K43" i="76"/>
  <c r="J158" i="76"/>
  <c r="J43" i="76" s="1"/>
  <c r="H158" i="76"/>
  <c r="G158" i="76"/>
  <c r="F158" i="76"/>
  <c r="F43" i="70"/>
  <c r="H149" i="76"/>
  <c r="H150" i="76"/>
  <c r="AD180" i="79"/>
  <c r="F149" i="76"/>
  <c r="F150" i="76"/>
  <c r="E146" i="79"/>
  <c r="K146" i="79" s="1"/>
  <c r="E145" i="79"/>
  <c r="K145" i="79" s="1"/>
  <c r="G75" i="80"/>
  <c r="G146" i="80"/>
  <c r="G145" i="80"/>
  <c r="E84" i="80"/>
  <c r="E75" i="79"/>
  <c r="K75" i="79" s="1"/>
  <c r="FK3" i="79"/>
  <c r="FC3" i="79"/>
  <c r="EU3" i="79"/>
  <c r="DW3" i="79"/>
  <c r="DO3" i="79"/>
  <c r="DG3" i="79"/>
  <c r="CY3" i="79"/>
  <c r="CQ3" i="79"/>
  <c r="CI3" i="79"/>
  <c r="CA3" i="79"/>
  <c r="BS3" i="79"/>
  <c r="BK3" i="79"/>
  <c r="BC3" i="79"/>
  <c r="AM3" i="79"/>
  <c r="AE3" i="79"/>
  <c r="W3" i="79"/>
  <c r="O3" i="79"/>
  <c r="G75" i="79"/>
  <c r="G146" i="79"/>
  <c r="G145" i="79"/>
  <c r="E84" i="79"/>
  <c r="H128" i="76"/>
  <c r="G128" i="76"/>
  <c r="F128" i="76"/>
  <c r="H127" i="76"/>
  <c r="G127" i="76"/>
  <c r="F127" i="76"/>
  <c r="H126" i="76"/>
  <c r="G126" i="76"/>
  <c r="F126" i="76"/>
  <c r="H117" i="76"/>
  <c r="G117" i="76"/>
  <c r="F117" i="76"/>
  <c r="H116" i="76"/>
  <c r="G116" i="76"/>
  <c r="F116" i="76"/>
  <c r="H115" i="76"/>
  <c r="G115" i="76"/>
  <c r="F115" i="76"/>
  <c r="H113" i="76"/>
  <c r="AD274" i="79" s="1"/>
  <c r="G113" i="76"/>
  <c r="V274" i="79"/>
  <c r="F113" i="76"/>
  <c r="N274" i="79"/>
  <c r="H111" i="76"/>
  <c r="AD223" i="79" s="1"/>
  <c r="G111" i="76"/>
  <c r="V223" i="79"/>
  <c r="F111" i="76"/>
  <c r="N223" i="79" s="1"/>
  <c r="H110" i="76"/>
  <c r="AD108" i="79" s="1"/>
  <c r="G110" i="76"/>
  <c r="V108" i="79"/>
  <c r="F110" i="76"/>
  <c r="N108" i="79" s="1"/>
  <c r="H109" i="76"/>
  <c r="AD105" i="79"/>
  <c r="G109" i="76"/>
  <c r="V105" i="79" s="1"/>
  <c r="F109" i="76"/>
  <c r="N105" i="79" s="1"/>
  <c r="H108" i="76"/>
  <c r="AD103" i="79"/>
  <c r="AE103" i="79" s="1"/>
  <c r="G108" i="76"/>
  <c r="V103" i="79" s="1"/>
  <c r="F108" i="76"/>
  <c r="N103" i="79" s="1"/>
  <c r="O103" i="79" s="1"/>
  <c r="M128" i="76"/>
  <c r="K128" i="76"/>
  <c r="L128" i="76"/>
  <c r="M127" i="76"/>
  <c r="K127" i="76"/>
  <c r="L127" i="76"/>
  <c r="M126" i="76"/>
  <c r="K126" i="76"/>
  <c r="L126" i="76"/>
  <c r="M125" i="76"/>
  <c r="M117" i="76"/>
  <c r="K117" i="76"/>
  <c r="L117" i="76"/>
  <c r="M113" i="76"/>
  <c r="BR274" i="79"/>
  <c r="K113" i="76"/>
  <c r="BB274" i="79"/>
  <c r="L113" i="76"/>
  <c r="BJ274" i="79" s="1"/>
  <c r="M111" i="76"/>
  <c r="BR223" i="79"/>
  <c r="K111" i="76"/>
  <c r="BB223" i="79"/>
  <c r="L111" i="76"/>
  <c r="BJ223" i="79" s="1"/>
  <c r="M110" i="76"/>
  <c r="BR108" i="79" s="1"/>
  <c r="K110" i="76"/>
  <c r="BB108" i="79" s="1"/>
  <c r="L110" i="76"/>
  <c r="BJ108" i="79"/>
  <c r="M109" i="76"/>
  <c r="BR105" i="79"/>
  <c r="K109" i="76"/>
  <c r="BB105" i="79" s="1"/>
  <c r="L109" i="76"/>
  <c r="BJ105" i="79"/>
  <c r="M108" i="76"/>
  <c r="BR103" i="79"/>
  <c r="K108" i="76"/>
  <c r="BB103" i="79" s="1"/>
  <c r="BC103" i="79" s="1"/>
  <c r="L108" i="76"/>
  <c r="BJ103" i="79" s="1"/>
  <c r="M116" i="76"/>
  <c r="L116" i="76"/>
  <c r="K116" i="76"/>
  <c r="M115" i="76"/>
  <c r="L115" i="76"/>
  <c r="K115" i="76"/>
  <c r="I108" i="76"/>
  <c r="AL103" i="79" s="1"/>
  <c r="J108" i="76"/>
  <c r="AT103" i="79"/>
  <c r="N108" i="76"/>
  <c r="BZ103" i="79"/>
  <c r="O108" i="76"/>
  <c r="CH103" i="79" s="1"/>
  <c r="P108" i="76"/>
  <c r="CP103" i="79" s="1"/>
  <c r="Q108" i="76"/>
  <c r="CX103" i="79" s="1"/>
  <c r="R108" i="76"/>
  <c r="DF103" i="79"/>
  <c r="S108" i="76"/>
  <c r="DN103" i="79"/>
  <c r="T108" i="76"/>
  <c r="DV103" i="79" s="1"/>
  <c r="U108" i="76"/>
  <c r="ED103" i="79"/>
  <c r="V108" i="76"/>
  <c r="EL103" i="79"/>
  <c r="EM103" i="79" s="1"/>
  <c r="W108" i="76"/>
  <c r="ET103" i="79" s="1"/>
  <c r="X108" i="76"/>
  <c r="FB103" i="79" s="1"/>
  <c r="Y108" i="76"/>
  <c r="FJ103" i="79" s="1"/>
  <c r="I109" i="76"/>
  <c r="AL105" i="79"/>
  <c r="J109" i="76"/>
  <c r="AT105" i="79"/>
  <c r="N109" i="76"/>
  <c r="BZ105" i="79" s="1"/>
  <c r="O109" i="76"/>
  <c r="CH105" i="79"/>
  <c r="P109" i="76"/>
  <c r="CP105" i="79"/>
  <c r="Q109" i="76"/>
  <c r="CX105" i="79" s="1"/>
  <c r="R109" i="76"/>
  <c r="DF105" i="79" s="1"/>
  <c r="S109" i="76"/>
  <c r="DN105" i="79" s="1"/>
  <c r="T109" i="76"/>
  <c r="DV105" i="79"/>
  <c r="U109" i="76"/>
  <c r="ED105" i="79"/>
  <c r="V109" i="76"/>
  <c r="EL105" i="79" s="1"/>
  <c r="W109" i="76"/>
  <c r="ET105" i="79"/>
  <c r="X109" i="76"/>
  <c r="FB105" i="79"/>
  <c r="Y109" i="76"/>
  <c r="FJ105" i="79" s="1"/>
  <c r="I110" i="76"/>
  <c r="AL108" i="79" s="1"/>
  <c r="J110" i="76"/>
  <c r="AT108" i="79" s="1"/>
  <c r="N110" i="76"/>
  <c r="BZ108" i="79"/>
  <c r="O110" i="76"/>
  <c r="CH108" i="79"/>
  <c r="P110" i="76"/>
  <c r="CP108" i="79" s="1"/>
  <c r="Q110" i="76"/>
  <c r="CX108" i="79"/>
  <c r="R110" i="76"/>
  <c r="DF108" i="79"/>
  <c r="S110" i="76"/>
  <c r="DN108" i="79" s="1"/>
  <c r="T110" i="76"/>
  <c r="DV108" i="79" s="1"/>
  <c r="U110" i="76"/>
  <c r="ED108" i="79" s="1"/>
  <c r="V110" i="76"/>
  <c r="EL108" i="79"/>
  <c r="W110" i="76"/>
  <c r="ET108" i="79"/>
  <c r="X110" i="76"/>
  <c r="FB108" i="79" s="1"/>
  <c r="Y110" i="76"/>
  <c r="FJ108" i="79"/>
  <c r="I111" i="76"/>
  <c r="AL223" i="79"/>
  <c r="J111" i="76"/>
  <c r="AT223" i="79" s="1"/>
  <c r="N111" i="76"/>
  <c r="BZ223" i="79" s="1"/>
  <c r="O111" i="76"/>
  <c r="CH223" i="79" s="1"/>
  <c r="P111" i="76"/>
  <c r="CP223" i="79"/>
  <c r="CQ223" i="79" s="1"/>
  <c r="Q111" i="76"/>
  <c r="CX223" i="79"/>
  <c r="R111" i="76"/>
  <c r="DF223" i="79" s="1"/>
  <c r="S111" i="76"/>
  <c r="DN223" i="79"/>
  <c r="DO223" i="79"/>
  <c r="T111" i="76"/>
  <c r="DV223" i="79"/>
  <c r="U111" i="76"/>
  <c r="ED223" i="79" s="1"/>
  <c r="V111" i="76"/>
  <c r="EL223" i="79"/>
  <c r="W111" i="76"/>
  <c r="ET223" i="79" s="1"/>
  <c r="X111" i="76"/>
  <c r="FB223" i="79" s="1"/>
  <c r="Y111" i="76"/>
  <c r="FJ223" i="79"/>
  <c r="I113" i="76"/>
  <c r="AL274" i="79" s="1"/>
  <c r="AM274" i="79" s="1"/>
  <c r="J113" i="76"/>
  <c r="AT274" i="79"/>
  <c r="N113" i="76"/>
  <c r="BZ274" i="79"/>
  <c r="O113" i="76"/>
  <c r="CH274" i="79" s="1"/>
  <c r="CI274" i="79" s="1"/>
  <c r="P113" i="76"/>
  <c r="CP274" i="79"/>
  <c r="Q113" i="76"/>
  <c r="CX274" i="79" s="1"/>
  <c r="R113" i="76"/>
  <c r="DF274" i="79" s="1"/>
  <c r="DG274" i="79" s="1"/>
  <c r="S113" i="76"/>
  <c r="DN274" i="79"/>
  <c r="T113" i="76"/>
  <c r="DV274" i="79" s="1"/>
  <c r="DW274" i="79" s="1"/>
  <c r="U113" i="76"/>
  <c r="ED274" i="79"/>
  <c r="V113" i="76"/>
  <c r="EL274" i="79"/>
  <c r="W113" i="76"/>
  <c r="ET274" i="79" s="1"/>
  <c r="X113" i="76"/>
  <c r="FB274" i="79"/>
  <c r="Y113" i="76"/>
  <c r="FJ274" i="79" s="1"/>
  <c r="I115" i="76"/>
  <c r="J115" i="76"/>
  <c r="N115" i="76"/>
  <c r="O115" i="76"/>
  <c r="P115" i="76"/>
  <c r="Q115" i="76"/>
  <c r="R115" i="76"/>
  <c r="S115" i="76"/>
  <c r="T115" i="76"/>
  <c r="U115" i="76"/>
  <c r="V115" i="76"/>
  <c r="W115" i="76"/>
  <c r="X115" i="76"/>
  <c r="Y115" i="76"/>
  <c r="I116" i="76"/>
  <c r="J116" i="76"/>
  <c r="N116" i="76"/>
  <c r="O116" i="76"/>
  <c r="P116" i="76"/>
  <c r="Q116" i="76"/>
  <c r="R116" i="76"/>
  <c r="S116" i="76"/>
  <c r="T116" i="76"/>
  <c r="U116" i="76"/>
  <c r="V116" i="76"/>
  <c r="W116" i="76"/>
  <c r="X116" i="76"/>
  <c r="Y116" i="76"/>
  <c r="I117" i="76"/>
  <c r="J117" i="76"/>
  <c r="N117" i="76"/>
  <c r="O117" i="76"/>
  <c r="P117" i="76"/>
  <c r="Q117" i="76"/>
  <c r="R117" i="76"/>
  <c r="S117" i="76"/>
  <c r="T117" i="76"/>
  <c r="U117" i="76"/>
  <c r="V117" i="76"/>
  <c r="W117" i="76"/>
  <c r="X117" i="76"/>
  <c r="Y117" i="76"/>
  <c r="Q125" i="76"/>
  <c r="S125" i="76"/>
  <c r="T125" i="76"/>
  <c r="W125" i="76"/>
  <c r="Y125" i="76"/>
  <c r="I126" i="76"/>
  <c r="J126" i="76"/>
  <c r="N126" i="76"/>
  <c r="O126" i="76"/>
  <c r="P126" i="76"/>
  <c r="Q126" i="76"/>
  <c r="R126" i="76"/>
  <c r="S126" i="76"/>
  <c r="T126" i="76"/>
  <c r="U126" i="76"/>
  <c r="V126" i="76"/>
  <c r="W126" i="76"/>
  <c r="X126" i="76"/>
  <c r="Y126" i="76"/>
  <c r="I127" i="76"/>
  <c r="J127" i="76"/>
  <c r="N127" i="76"/>
  <c r="O127" i="76"/>
  <c r="P127" i="76"/>
  <c r="Q127" i="76"/>
  <c r="R127" i="76"/>
  <c r="S127" i="76"/>
  <c r="T127" i="76"/>
  <c r="U127" i="76"/>
  <c r="V127" i="76"/>
  <c r="W127" i="76"/>
  <c r="X127" i="76"/>
  <c r="Y127" i="76"/>
  <c r="I128" i="76"/>
  <c r="J128" i="76"/>
  <c r="N128" i="76"/>
  <c r="O128" i="76"/>
  <c r="P128" i="76"/>
  <c r="Q128" i="76"/>
  <c r="R128" i="76"/>
  <c r="S128" i="76"/>
  <c r="T128" i="76"/>
  <c r="U128" i="76"/>
  <c r="V128" i="76"/>
  <c r="W128" i="76"/>
  <c r="X128" i="76"/>
  <c r="Y128" i="76"/>
  <c r="Y63" i="70"/>
  <c r="X63" i="70"/>
  <c r="W63" i="70"/>
  <c r="V63" i="70"/>
  <c r="U63" i="70"/>
  <c r="T63" i="70"/>
  <c r="S63" i="70"/>
  <c r="R63" i="70"/>
  <c r="Q63" i="70"/>
  <c r="P63" i="70"/>
  <c r="O63" i="70"/>
  <c r="N63" i="70"/>
  <c r="M63" i="70"/>
  <c r="L63" i="70"/>
  <c r="K63" i="70"/>
  <c r="J63" i="70"/>
  <c r="I63" i="70"/>
  <c r="H63" i="70"/>
  <c r="G63" i="70"/>
  <c r="F63" i="70"/>
  <c r="C7" i="35"/>
  <c r="C6" i="35"/>
  <c r="C5" i="35"/>
  <c r="Q64" i="35"/>
  <c r="S64" i="35" s="1"/>
  <c r="R64" i="35"/>
  <c r="G143" i="85"/>
  <c r="C7" i="32"/>
  <c r="C6" i="32"/>
  <c r="C5" i="32"/>
  <c r="G281" i="85"/>
  <c r="G271" i="85"/>
  <c r="C7" i="7"/>
  <c r="C6" i="7"/>
  <c r="C5" i="7"/>
  <c r="AE305" i="80"/>
  <c r="L60" i="76"/>
  <c r="AM225" i="79"/>
  <c r="AM220" i="79"/>
  <c r="BS232" i="79"/>
  <c r="BS305" i="80"/>
  <c r="BC269" i="80"/>
  <c r="CI219" i="80"/>
  <c r="BS225" i="79"/>
  <c r="EE232" i="79"/>
  <c r="DW305" i="80"/>
  <c r="CQ225" i="79"/>
  <c r="G313" i="85"/>
  <c r="W310" i="79"/>
  <c r="CA270" i="79"/>
  <c r="W486" i="80"/>
  <c r="W177" i="79"/>
  <c r="BC88" i="79"/>
  <c r="BK270" i="79"/>
  <c r="BS88" i="79"/>
  <c r="CA230" i="79"/>
  <c r="CI270" i="79"/>
  <c r="CY310" i="79"/>
  <c r="DG269" i="79"/>
  <c r="EE229" i="79"/>
  <c r="EM269" i="79"/>
  <c r="EM230" i="79"/>
  <c r="CQ269" i="80"/>
  <c r="BC220" i="79"/>
  <c r="DG242" i="79"/>
  <c r="CA269" i="80"/>
  <c r="O270" i="79"/>
  <c r="AE23" i="79"/>
  <c r="AE399" i="79" s="1"/>
  <c r="AM242" i="79"/>
  <c r="CA225" i="79"/>
  <c r="CI182" i="79"/>
  <c r="DO269" i="79"/>
  <c r="EE220" i="79"/>
  <c r="EM310" i="79"/>
  <c r="EM225" i="79"/>
  <c r="FC23" i="79"/>
  <c r="FC399" i="79" s="1"/>
  <c r="AU210" i="80"/>
  <c r="EU269" i="80"/>
  <c r="DG270" i="79"/>
  <c r="EU270" i="79"/>
  <c r="BK269" i="79"/>
  <c r="FK187" i="79"/>
  <c r="W225" i="79"/>
  <c r="AE277" i="79"/>
  <c r="AE182" i="79"/>
  <c r="AM310" i="79"/>
  <c r="AU230" i="79"/>
  <c r="BK310" i="79"/>
  <c r="BS188" i="79"/>
  <c r="CA220" i="79"/>
  <c r="DG310" i="79"/>
  <c r="DG229" i="79"/>
  <c r="DW278" i="79"/>
  <c r="DX278" i="79"/>
  <c r="DW23" i="79"/>
  <c r="DW399" i="79" s="1"/>
  <c r="EM220" i="79"/>
  <c r="BC195" i="80"/>
  <c r="CI277" i="80"/>
  <c r="DG277" i="80"/>
  <c r="AM270" i="79"/>
  <c r="BS269" i="80"/>
  <c r="AE270" i="79"/>
  <c r="AM230" i="79"/>
  <c r="BC270" i="79"/>
  <c r="BK308" i="79"/>
  <c r="BK230" i="79"/>
  <c r="DG308" i="79"/>
  <c r="DG225" i="79"/>
  <c r="DO229" i="79"/>
  <c r="DW270" i="79"/>
  <c r="EU88" i="79"/>
  <c r="CI269" i="80"/>
  <c r="W242" i="79"/>
  <c r="AU270" i="79"/>
  <c r="CA310" i="79"/>
  <c r="CI269" i="79"/>
  <c r="DO270" i="79"/>
  <c r="EE269" i="80"/>
  <c r="W277" i="79"/>
  <c r="AE269" i="79"/>
  <c r="AU88" i="79"/>
  <c r="BS270" i="79"/>
  <c r="CI230" i="79"/>
  <c r="CQ23" i="79"/>
  <c r="CQ399" i="79" s="1"/>
  <c r="DG220" i="79"/>
  <c r="DO308" i="79"/>
  <c r="DO225" i="79"/>
  <c r="DW269" i="79"/>
  <c r="O277" i="80"/>
  <c r="AM277" i="80"/>
  <c r="BK278" i="80"/>
  <c r="DG269" i="80"/>
  <c r="EM270" i="79"/>
  <c r="CI246" i="79"/>
  <c r="DO269" i="80"/>
  <c r="O67" i="79"/>
  <c r="W270" i="79"/>
  <c r="AU220" i="79"/>
  <c r="BS269" i="79"/>
  <c r="CI229" i="79"/>
  <c r="CQ277" i="79"/>
  <c r="DG88" i="79"/>
  <c r="DO220" i="79"/>
  <c r="EE270" i="79"/>
  <c r="W277" i="80"/>
  <c r="AE269" i="80"/>
  <c r="BK269" i="80"/>
  <c r="CI486" i="80"/>
  <c r="CY277" i="80"/>
  <c r="EM269" i="80"/>
  <c r="AE310" i="79"/>
  <c r="CQ270" i="79"/>
  <c r="CQ177" i="79"/>
  <c r="EE269" i="79"/>
  <c r="EE182" i="79"/>
  <c r="O269" i="80"/>
  <c r="AM269" i="80"/>
  <c r="AU269" i="80"/>
  <c r="DW269" i="80"/>
  <c r="AE308" i="79"/>
  <c r="AM277" i="79"/>
  <c r="BC242" i="79"/>
  <c r="CI220" i="79"/>
  <c r="CQ269" i="79"/>
  <c r="DW310" i="79"/>
  <c r="W269" i="80"/>
  <c r="CY269" i="80"/>
  <c r="FC269" i="80"/>
  <c r="BK493" i="79"/>
  <c r="CQ493" i="79"/>
  <c r="AE493" i="79"/>
  <c r="EE98" i="79"/>
  <c r="O147" i="79"/>
  <c r="BS142" i="79"/>
  <c r="DG142" i="79"/>
  <c r="FC103" i="79"/>
  <c r="BC243" i="80"/>
  <c r="W307" i="80"/>
  <c r="CY307" i="79"/>
  <c r="DG308" i="80"/>
  <c r="W308" i="80"/>
  <c r="CA307" i="79"/>
  <c r="CQ307" i="80"/>
  <c r="AM307" i="79"/>
  <c r="AU307" i="80"/>
  <c r="BK311" i="79"/>
  <c r="CQ308" i="80"/>
  <c r="AU308" i="80"/>
  <c r="BS308" i="80"/>
  <c r="CI308" i="80"/>
  <c r="EM311" i="79"/>
  <c r="BS307" i="80"/>
  <c r="CY308" i="80"/>
  <c r="AE308" i="80"/>
  <c r="FC308" i="80"/>
  <c r="EE311" i="79"/>
  <c r="AE307" i="80"/>
  <c r="BC311" i="80"/>
  <c r="DG311" i="79"/>
  <c r="EU311" i="79"/>
  <c r="BC308" i="80"/>
  <c r="CA308" i="80"/>
  <c r="DW311" i="79"/>
  <c r="BC307" i="80"/>
  <c r="BS311" i="79"/>
  <c r="FC311" i="79"/>
  <c r="O308" i="80"/>
  <c r="DW308" i="80"/>
  <c r="EU308" i="80"/>
  <c r="CY311" i="79"/>
  <c r="AM308" i="80"/>
  <c r="BK308" i="80"/>
  <c r="AM307" i="80"/>
  <c r="AE311" i="79"/>
  <c r="BC311" i="79"/>
  <c r="AM311" i="79"/>
  <c r="O311" i="79"/>
  <c r="AU311" i="79"/>
  <c r="AE296" i="79"/>
  <c r="BS296" i="79"/>
  <c r="CA296" i="79"/>
  <c r="BK296" i="80"/>
  <c r="BC296" i="79"/>
  <c r="AU296" i="79"/>
  <c r="EE296" i="79"/>
  <c r="EM296" i="79"/>
  <c r="DG296" i="79"/>
  <c r="W296" i="80"/>
  <c r="BK296" i="79"/>
  <c r="CY296" i="79"/>
  <c r="DW296" i="79"/>
  <c r="W296" i="79"/>
  <c r="CQ296" i="79"/>
  <c r="EU296" i="79"/>
  <c r="O296" i="79"/>
  <c r="DO296" i="79"/>
  <c r="FC296" i="79"/>
  <c r="AU279" i="80"/>
  <c r="CQ274" i="79"/>
  <c r="O274" i="79"/>
  <c r="BS275" i="79"/>
  <c r="CA275" i="79"/>
  <c r="DG279" i="80"/>
  <c r="CI279" i="80"/>
  <c r="BC279" i="80"/>
  <c r="CY275" i="79"/>
  <c r="W279" i="80"/>
  <c r="O279" i="80"/>
  <c r="DO270" i="80"/>
  <c r="CQ245" i="79"/>
  <c r="BS255" i="79"/>
  <c r="BS245" i="79"/>
  <c r="DO250" i="80"/>
  <c r="EE245" i="79"/>
  <c r="AE250" i="80"/>
  <c r="W255" i="79"/>
  <c r="AU250" i="80"/>
  <c r="DG255" i="79"/>
  <c r="O250" i="80"/>
  <c r="W245" i="79"/>
  <c r="DG247" i="79"/>
  <c r="AM255" i="79"/>
  <c r="EE243" i="80"/>
  <c r="CI250" i="80"/>
  <c r="BC250" i="80"/>
  <c r="CI252" i="79"/>
  <c r="EM244" i="79"/>
  <c r="CY245" i="79"/>
  <c r="DA245" i="79" s="1"/>
  <c r="BS250" i="80"/>
  <c r="EU245" i="80"/>
  <c r="BK255" i="79"/>
  <c r="DW255" i="79"/>
  <c r="CQ250" i="80"/>
  <c r="O234" i="80"/>
  <c r="DW227" i="80"/>
  <c r="EE231" i="79"/>
  <c r="AM231" i="79"/>
  <c r="AU222" i="79"/>
  <c r="CI220" i="80"/>
  <c r="CQ231" i="79"/>
  <c r="BS231" i="79"/>
  <c r="CA231" i="79"/>
  <c r="CI222" i="79"/>
  <c r="BC206" i="80"/>
  <c r="G202" i="79"/>
  <c r="EU199" i="79"/>
  <c r="CY187" i="79"/>
  <c r="EM187" i="79"/>
  <c r="CQ187" i="79"/>
  <c r="EE142" i="79"/>
  <c r="CA141" i="79"/>
  <c r="CI142" i="79"/>
  <c r="AE140" i="79"/>
  <c r="CY142" i="79"/>
  <c r="BK141" i="79"/>
  <c r="BS141" i="79"/>
  <c r="AU141" i="79"/>
  <c r="AE141" i="79"/>
  <c r="DW141" i="79"/>
  <c r="BC141" i="79"/>
  <c r="EE141" i="79"/>
  <c r="CQ141" i="79"/>
  <c r="DO141" i="79"/>
  <c r="AM141" i="79"/>
  <c r="W141" i="79"/>
  <c r="AU123" i="79"/>
  <c r="EE103" i="79"/>
  <c r="DW103" i="79"/>
  <c r="DO103" i="79"/>
  <c r="W103" i="79"/>
  <c r="DW114" i="80"/>
  <c r="AU99" i="79"/>
  <c r="EM99" i="79"/>
  <c r="CI99" i="79"/>
  <c r="BS99" i="79"/>
  <c r="BC99" i="79"/>
  <c r="AM98" i="79"/>
  <c r="AM89" i="80"/>
  <c r="DW89" i="80"/>
  <c r="EU89" i="80"/>
  <c r="CQ89" i="80"/>
  <c r="EE89" i="80"/>
  <c r="AE89" i="80"/>
  <c r="BS89" i="80"/>
  <c r="CY89" i="80"/>
  <c r="BK89" i="80"/>
  <c r="BC89" i="80"/>
  <c r="DG89" i="80"/>
  <c r="W89" i="80"/>
  <c r="CI89" i="80"/>
  <c r="BS176" i="79"/>
  <c r="FK114" i="79"/>
  <c r="FK225" i="80"/>
  <c r="O225" i="80"/>
  <c r="BC305" i="79"/>
  <c r="AU268" i="80"/>
  <c r="CY270" i="80"/>
  <c r="CQ140" i="79"/>
  <c r="DG279" i="79"/>
  <c r="BK234" i="79"/>
  <c r="AM270" i="80"/>
  <c r="BS278" i="80"/>
  <c r="AM278" i="80"/>
  <c r="CY278" i="80"/>
  <c r="AE278" i="80"/>
  <c r="O278" i="80"/>
  <c r="W278" i="80"/>
  <c r="CQ103" i="79"/>
  <c r="W226" i="79"/>
  <c r="AM308" i="79"/>
  <c r="BC279" i="79"/>
  <c r="BC247" i="79"/>
  <c r="CQ241" i="79"/>
  <c r="CY241" i="79"/>
  <c r="EU279" i="79"/>
  <c r="FC141" i="79"/>
  <c r="EU141" i="79"/>
  <c r="EM141" i="79"/>
  <c r="O141" i="79"/>
  <c r="CY141" i="79"/>
  <c r="CI141" i="79"/>
  <c r="W194" i="80"/>
  <c r="BC278" i="80"/>
  <c r="O189" i="79"/>
  <c r="AE279" i="79"/>
  <c r="CQ305" i="79"/>
  <c r="AU212" i="79"/>
  <c r="CY305" i="79"/>
  <c r="CQ279" i="79"/>
  <c r="W189" i="79"/>
  <c r="CQ213" i="79"/>
  <c r="CY279" i="79"/>
  <c r="BS189" i="79"/>
  <c r="CY200" i="79"/>
  <c r="DG189" i="79"/>
  <c r="EU189" i="79"/>
  <c r="FC224" i="79"/>
  <c r="O194" i="80"/>
  <c r="AU234" i="80"/>
  <c r="BS234" i="80"/>
  <c r="EE241" i="79"/>
  <c r="FC241" i="79"/>
  <c r="CA279" i="79"/>
  <c r="CI255" i="80"/>
  <c r="BS255" i="80"/>
  <c r="CA241" i="79"/>
  <c r="DO189" i="79"/>
  <c r="DW268" i="80"/>
  <c r="O268" i="80"/>
  <c r="AM268" i="80"/>
  <c r="EU268" i="80"/>
  <c r="BC268" i="80"/>
  <c r="W268" i="80"/>
  <c r="BC219" i="80"/>
  <c r="AE219" i="80"/>
  <c r="AM219" i="80"/>
  <c r="CA219" i="80"/>
  <c r="BS219" i="80"/>
  <c r="DO219" i="80"/>
  <c r="FC219" i="80"/>
  <c r="CY219" i="80"/>
  <c r="EU219" i="80"/>
  <c r="EM219" i="80"/>
  <c r="CQ219" i="80"/>
  <c r="EE219" i="80"/>
  <c r="DO253" i="79"/>
  <c r="FK253" i="80"/>
  <c r="O253" i="80"/>
  <c r="DO253" i="80"/>
  <c r="CY140" i="79"/>
  <c r="W140" i="79"/>
  <c r="K277" i="80"/>
  <c r="CK277" i="80" s="1"/>
  <c r="AU103" i="79"/>
  <c r="EE176" i="79"/>
  <c r="FK279" i="79"/>
  <c r="DW279" i="79"/>
  <c r="FC279" i="79"/>
  <c r="O279" i="79"/>
  <c r="EE279" i="79"/>
  <c r="DO279" i="79"/>
  <c r="CI305" i="79"/>
  <c r="DW268" i="79"/>
  <c r="K41" i="79"/>
  <c r="CI279" i="79"/>
  <c r="EM279" i="79"/>
  <c r="BC189" i="79"/>
  <c r="AE212" i="79"/>
  <c r="O219" i="80"/>
  <c r="DW234" i="80"/>
  <c r="BK234" i="80"/>
  <c r="BC234" i="80"/>
  <c r="CA226" i="79"/>
  <c r="DO247" i="79"/>
  <c r="BK224" i="80"/>
  <c r="W182" i="79"/>
  <c r="CI226" i="79"/>
  <c r="DG226" i="79"/>
  <c r="EM176" i="79"/>
  <c r="O212" i="79"/>
  <c r="AU195" i="79"/>
  <c r="BK305" i="79"/>
  <c r="DO305" i="79"/>
  <c r="EE226" i="79"/>
  <c r="EM195" i="79"/>
  <c r="EU226" i="79"/>
  <c r="FK205" i="79"/>
  <c r="EU205" i="79"/>
  <c r="DO205" i="79"/>
  <c r="FC205" i="79"/>
  <c r="DW205" i="79"/>
  <c r="BK205" i="79"/>
  <c r="CQ205" i="79"/>
  <c r="CA205" i="79"/>
  <c r="FK243" i="80"/>
  <c r="DW243" i="80"/>
  <c r="CI243" i="80"/>
  <c r="BS243" i="80"/>
  <c r="CY243" i="80"/>
  <c r="BK243" i="80"/>
  <c r="BC220" i="80"/>
  <c r="AM220" i="80"/>
  <c r="CY220" i="80"/>
  <c r="DO220" i="80"/>
  <c r="FC220" i="80"/>
  <c r="CY212" i="79"/>
  <c r="CA234" i="80"/>
  <c r="AM103" i="79"/>
  <c r="W305" i="79"/>
  <c r="W247" i="79"/>
  <c r="X247" i="79" s="1"/>
  <c r="CY226" i="79"/>
  <c r="CY189" i="79"/>
  <c r="DG182" i="79"/>
  <c r="DO212" i="79"/>
  <c r="DG243" i="79"/>
  <c r="FK230" i="79"/>
  <c r="FC230" i="79"/>
  <c r="DO230" i="79"/>
  <c r="DG230" i="79"/>
  <c r="CQ230" i="79"/>
  <c r="BS230" i="79"/>
  <c r="EU230" i="79"/>
  <c r="CY230" i="79"/>
  <c r="O230" i="79"/>
  <c r="AE268" i="80"/>
  <c r="BK219" i="80"/>
  <c r="DW220" i="80"/>
  <c r="EM114" i="80"/>
  <c r="FK213" i="79"/>
  <c r="AE213" i="79"/>
  <c r="AM213" i="79"/>
  <c r="W213" i="79"/>
  <c r="FC270" i="80"/>
  <c r="BK270" i="80"/>
  <c r="AU270" i="80"/>
  <c r="CQ270" i="80"/>
  <c r="O270" i="80"/>
  <c r="CI270" i="80"/>
  <c r="BC270" i="80"/>
  <c r="W270" i="80"/>
  <c r="W212" i="80"/>
  <c r="CQ212" i="80"/>
  <c r="CY212" i="80"/>
  <c r="CI212" i="80"/>
  <c r="AM212" i="80"/>
  <c r="FC195" i="80"/>
  <c r="G271" i="80"/>
  <c r="DO227" i="79"/>
  <c r="EE212" i="79"/>
  <c r="DG270" i="80"/>
  <c r="FK221" i="80"/>
  <c r="EM221" i="80"/>
  <c r="AU241" i="79"/>
  <c r="W279" i="79"/>
  <c r="AE226" i="79"/>
  <c r="BC241" i="79"/>
  <c r="CA182" i="79"/>
  <c r="CI253" i="79"/>
  <c r="CY188" i="79"/>
  <c r="DW189" i="79"/>
  <c r="W243" i="80"/>
  <c r="AU220" i="80"/>
  <c r="CI226" i="80"/>
  <c r="CQ243" i="80"/>
  <c r="DG220" i="80"/>
  <c r="EM270" i="80"/>
  <c r="FK305" i="79"/>
  <c r="EU305" i="79"/>
  <c r="BS305" i="79"/>
  <c r="O305" i="79"/>
  <c r="O268" i="79"/>
  <c r="W241" i="79"/>
  <c r="AE305" i="79"/>
  <c r="FK226" i="79"/>
  <c r="FC226" i="79"/>
  <c r="EM226" i="79"/>
  <c r="BS226" i="79"/>
  <c r="AU226" i="79"/>
  <c r="BC226" i="79"/>
  <c r="FK212" i="79"/>
  <c r="EU212" i="79"/>
  <c r="FC212" i="79"/>
  <c r="EM212" i="79"/>
  <c r="CI212" i="79"/>
  <c r="AM212" i="79"/>
  <c r="W212" i="79"/>
  <c r="DW212" i="79"/>
  <c r="DG212" i="79"/>
  <c r="DO226" i="79"/>
  <c r="BK189" i="79"/>
  <c r="DG305" i="79"/>
  <c r="BS210" i="80"/>
  <c r="O210" i="80"/>
  <c r="DG210" i="80"/>
  <c r="CY210" i="80"/>
  <c r="FC210" i="80"/>
  <c r="DW210" i="80"/>
  <c r="EM210" i="80"/>
  <c r="BC210" i="80"/>
  <c r="AM210" i="80"/>
  <c r="DO210" i="80"/>
  <c r="AE210" i="80"/>
  <c r="W210" i="80"/>
  <c r="BK226" i="79"/>
  <c r="AM305" i="79"/>
  <c r="CA253" i="79"/>
  <c r="FK308" i="79"/>
  <c r="CQ308" i="79"/>
  <c r="BS308" i="79"/>
  <c r="CA308" i="79"/>
  <c r="CY308" i="79"/>
  <c r="O308" i="79"/>
  <c r="AE270" i="80"/>
  <c r="AE234" i="80"/>
  <c r="EE210" i="80"/>
  <c r="AU279" i="79"/>
  <c r="AU140" i="79"/>
  <c r="BS279" i="79"/>
  <c r="CA305" i="79"/>
  <c r="CI308" i="79"/>
  <c r="CQ189" i="79"/>
  <c r="CY253" i="79"/>
  <c r="DG178" i="79"/>
  <c r="W234" i="80"/>
  <c r="AU219" i="80"/>
  <c r="BK210" i="80"/>
  <c r="BS220" i="80"/>
  <c r="CI224" i="80"/>
  <c r="CQ221" i="80"/>
  <c r="DG219" i="80"/>
  <c r="DO212" i="80"/>
  <c r="EE270" i="80"/>
  <c r="AE189" i="79"/>
  <c r="AM189" i="79"/>
  <c r="BK245" i="79"/>
  <c r="BS178" i="79"/>
  <c r="CI189" i="79"/>
  <c r="DO178" i="79"/>
  <c r="EU486" i="80"/>
  <c r="BK486" i="80"/>
  <c r="BS486" i="80"/>
  <c r="AU486" i="80"/>
  <c r="DG486" i="80"/>
  <c r="AM486" i="80"/>
  <c r="CQ486" i="80"/>
  <c r="CQ70" i="80"/>
  <c r="FK232" i="80"/>
  <c r="EM232" i="80"/>
  <c r="CI232" i="80"/>
  <c r="BK232" i="80"/>
  <c r="EE232" i="80"/>
  <c r="BC232" i="80"/>
  <c r="CA232" i="80"/>
  <c r="AM232" i="80"/>
  <c r="AE232" i="80"/>
  <c r="AM245" i="79"/>
  <c r="AN245" i="79" s="1"/>
  <c r="BK182" i="79"/>
  <c r="CQ178" i="79"/>
  <c r="DO245" i="79"/>
  <c r="EU310" i="79"/>
  <c r="FK276" i="79"/>
  <c r="FC276" i="79"/>
  <c r="FK225" i="79"/>
  <c r="DW225" i="79"/>
  <c r="FC277" i="80"/>
  <c r="FD277" i="80"/>
  <c r="DO277" i="80"/>
  <c r="BS277" i="80"/>
  <c r="BK277" i="80"/>
  <c r="AU277" i="80"/>
  <c r="DW277" i="80"/>
  <c r="CQ277" i="80"/>
  <c r="AE277" i="80"/>
  <c r="W178" i="79"/>
  <c r="AE247" i="79"/>
  <c r="AU189" i="79"/>
  <c r="CI245" i="79"/>
  <c r="CK245" i="79" s="1"/>
  <c r="EE189" i="79"/>
  <c r="EU178" i="79"/>
  <c r="FC178" i="79"/>
  <c r="BK275" i="80"/>
  <c r="AU275" i="80"/>
  <c r="DW275" i="80"/>
  <c r="CQ275" i="80"/>
  <c r="EM275" i="80"/>
  <c r="AE275" i="80"/>
  <c r="CI275" i="80"/>
  <c r="AE178" i="79"/>
  <c r="AU188" i="79"/>
  <c r="BC245" i="79"/>
  <c r="BC182" i="79"/>
  <c r="BD182" i="79" s="1"/>
  <c r="CA189" i="79"/>
  <c r="CI178" i="79"/>
  <c r="CY182" i="79"/>
  <c r="EM307" i="79"/>
  <c r="FK307" i="80"/>
  <c r="CI307" i="80"/>
  <c r="CA307" i="80"/>
  <c r="O307" i="80"/>
  <c r="BC67" i="80"/>
  <c r="O182" i="79"/>
  <c r="Q182" i="79" s="1"/>
  <c r="AE245" i="79"/>
  <c r="AM178" i="79"/>
  <c r="AU245" i="79"/>
  <c r="AV245" i="79" s="1"/>
  <c r="CQ200" i="79"/>
  <c r="FK178" i="79"/>
  <c r="DG232" i="80"/>
  <c r="EE486" i="80"/>
  <c r="EU182" i="79"/>
  <c r="EM189" i="79"/>
  <c r="G207" i="79"/>
  <c r="EM182" i="79"/>
  <c r="BK305" i="80"/>
  <c r="CI241" i="80"/>
  <c r="DW250" i="80"/>
  <c r="EE23" i="79"/>
  <c r="EE399" i="79" s="1"/>
  <c r="EE178" i="79"/>
  <c r="EU246" i="79"/>
  <c r="EM178" i="79"/>
  <c r="FC189" i="79"/>
  <c r="BC276" i="79"/>
  <c r="BK276" i="79"/>
  <c r="BS276" i="79"/>
  <c r="CA276" i="79"/>
  <c r="CY276" i="79"/>
  <c r="EE276" i="79"/>
  <c r="DW276" i="79"/>
  <c r="EM276" i="79"/>
  <c r="EU276" i="79"/>
  <c r="O276" i="79"/>
  <c r="W276" i="79"/>
  <c r="AE276" i="79"/>
  <c r="CI276" i="79"/>
  <c r="CQ276" i="79"/>
  <c r="DO276" i="79"/>
  <c r="C19" i="32"/>
  <c r="G235" i="85"/>
  <c r="I194" i="85"/>
  <c r="K110" i="90" s="1"/>
  <c r="I249" i="79"/>
  <c r="I249" i="85"/>
  <c r="K143" i="90" s="1"/>
  <c r="I241" i="85"/>
  <c r="K135" i="90" s="1"/>
  <c r="H245" i="80"/>
  <c r="H245" i="85"/>
  <c r="J139" i="90" s="1"/>
  <c r="H231" i="79"/>
  <c r="J192" i="85"/>
  <c r="L108" i="90" s="1"/>
  <c r="J176" i="80"/>
  <c r="I199" i="79"/>
  <c r="I199" i="85"/>
  <c r="K112" i="90" s="1"/>
  <c r="G60" i="76"/>
  <c r="G124" i="76"/>
  <c r="V474" i="79" s="1"/>
  <c r="K294" i="79"/>
  <c r="FK278" i="80"/>
  <c r="DW278" i="80"/>
  <c r="DO278" i="80"/>
  <c r="DG278" i="80"/>
  <c r="DH278" i="80" s="1"/>
  <c r="CI278" i="80"/>
  <c r="CA278" i="80"/>
  <c r="EM278" i="80"/>
  <c r="EE278" i="80"/>
  <c r="EM268" i="80"/>
  <c r="CQ268" i="80"/>
  <c r="EE268" i="80"/>
  <c r="DG268" i="80"/>
  <c r="CY268" i="80"/>
  <c r="CY271" i="80" s="1"/>
  <c r="CA296" i="80"/>
  <c r="EU296" i="80"/>
  <c r="EE296" i="80"/>
  <c r="DO296" i="80"/>
  <c r="FK206" i="80"/>
  <c r="FC206" i="80"/>
  <c r="FK194" i="80"/>
  <c r="FC194" i="80"/>
  <c r="DW194" i="80"/>
  <c r="DG194" i="80"/>
  <c r="CA194" i="80"/>
  <c r="EU194" i="80"/>
  <c r="EM194" i="80"/>
  <c r="EE194" i="80"/>
  <c r="DO194" i="80"/>
  <c r="CQ194" i="80"/>
  <c r="CI194" i="80"/>
  <c r="BK194" i="80"/>
  <c r="H168" i="76"/>
  <c r="H60" i="76"/>
  <c r="EU140" i="79"/>
  <c r="CB345" i="79"/>
  <c r="AF345" i="79"/>
  <c r="FL345" i="79"/>
  <c r="EV345" i="79"/>
  <c r="CZ345" i="79"/>
  <c r="CJ345" i="79"/>
  <c r="BD345" i="79"/>
  <c r="X345" i="79"/>
  <c r="EN345" i="79"/>
  <c r="DH345" i="79"/>
  <c r="CR345" i="79"/>
  <c r="AV345" i="79"/>
  <c r="CA206" i="80"/>
  <c r="CI268" i="80"/>
  <c r="CQ278" i="80"/>
  <c r="CY194" i="80"/>
  <c r="EU278" i="80"/>
  <c r="DO252" i="80"/>
  <c r="DG252" i="80"/>
  <c r="DO206" i="80"/>
  <c r="EU206" i="80"/>
  <c r="K60" i="76"/>
  <c r="K124" i="76" s="1"/>
  <c r="BB474" i="79" s="1"/>
  <c r="BB476" i="79" s="1"/>
  <c r="BC476" i="79" s="1"/>
  <c r="J168" i="76"/>
  <c r="J53" i="76"/>
  <c r="E437" i="79"/>
  <c r="E391" i="79"/>
  <c r="K391" i="79" s="1"/>
  <c r="E434" i="79"/>
  <c r="E383" i="79"/>
  <c r="K383" i="79" s="1"/>
  <c r="E426" i="79"/>
  <c r="K426" i="79" s="1"/>
  <c r="J141" i="76"/>
  <c r="J13" i="76" s="1"/>
  <c r="AT176" i="79"/>
  <c r="J20" i="76"/>
  <c r="BS268" i="80"/>
  <c r="CA268" i="80"/>
  <c r="CY296" i="80"/>
  <c r="DO268" i="80"/>
  <c r="FC280" i="80"/>
  <c r="K291" i="80"/>
  <c r="EM142" i="80"/>
  <c r="CY486" i="80"/>
  <c r="DO486" i="80"/>
  <c r="DW270" i="80"/>
  <c r="DW486" i="80"/>
  <c r="EU277" i="80"/>
  <c r="CY222" i="80"/>
  <c r="EM486" i="80"/>
  <c r="FD345" i="80"/>
  <c r="EN345" i="80"/>
  <c r="DX345" i="80"/>
  <c r="DH345" i="80"/>
  <c r="CR345" i="80"/>
  <c r="CB345" i="80"/>
  <c r="BL345" i="80"/>
  <c r="AV345" i="80"/>
  <c r="AF345" i="80"/>
  <c r="EV345" i="80"/>
  <c r="EF345" i="80"/>
  <c r="CJ345" i="80"/>
  <c r="BD345" i="80"/>
  <c r="X345" i="80"/>
  <c r="P345" i="80"/>
  <c r="DP345" i="80"/>
  <c r="BT345" i="80"/>
  <c r="AN345" i="80"/>
  <c r="FL345" i="80"/>
  <c r="CZ345" i="80"/>
  <c r="FK277" i="80"/>
  <c r="EM277" i="80"/>
  <c r="EE277" i="80"/>
  <c r="FK275" i="80"/>
  <c r="FC275" i="80"/>
  <c r="K294" i="80"/>
  <c r="FK89" i="80"/>
  <c r="CA89" i="80"/>
  <c r="K241" i="80"/>
  <c r="K232" i="80"/>
  <c r="E387" i="80"/>
  <c r="K387" i="80" s="1"/>
  <c r="K42" i="80"/>
  <c r="FK219" i="80"/>
  <c r="DW219" i="80"/>
  <c r="FK212" i="80"/>
  <c r="FC212" i="80"/>
  <c r="FK210" i="80"/>
  <c r="EU210" i="80"/>
  <c r="CQ210" i="80"/>
  <c r="FK270" i="80"/>
  <c r="EU270" i="80"/>
  <c r="CA270" i="80"/>
  <c r="K295" i="80"/>
  <c r="FK308" i="80"/>
  <c r="EM308" i="80"/>
  <c r="EE308" i="80"/>
  <c r="FC486" i="80"/>
  <c r="CA486" i="80"/>
  <c r="EM234" i="80"/>
  <c r="CY234" i="80"/>
  <c r="CQ234" i="80"/>
  <c r="FK229" i="80"/>
  <c r="FC229" i="80"/>
  <c r="EM229" i="80"/>
  <c r="CA229" i="80"/>
  <c r="E427" i="80"/>
  <c r="K427" i="80" s="1"/>
  <c r="E411" i="80"/>
  <c r="CQ220" i="80"/>
  <c r="EE220" i="80"/>
  <c r="EM248" i="80"/>
  <c r="EM220" i="80"/>
  <c r="EE305" i="79"/>
  <c r="EU308" i="79"/>
  <c r="BS309" i="80"/>
  <c r="DW305" i="79"/>
  <c r="EM305" i="79"/>
  <c r="FC305" i="79"/>
  <c r="AM306" i="80"/>
  <c r="EE308" i="79"/>
  <c r="W309" i="80"/>
  <c r="AU306" i="80"/>
  <c r="BC309" i="80"/>
  <c r="EM308" i="79"/>
  <c r="DW308" i="79"/>
  <c r="FC308" i="79"/>
  <c r="W278" i="79"/>
  <c r="AM278" i="79"/>
  <c r="AU275" i="79"/>
  <c r="BK278" i="79"/>
  <c r="BM278" i="79" s="1"/>
  <c r="EE278" i="79"/>
  <c r="EG278" i="79" s="1"/>
  <c r="O278" i="79"/>
  <c r="AE275" i="79"/>
  <c r="BC278" i="79"/>
  <c r="CI278" i="79"/>
  <c r="CQ275" i="79"/>
  <c r="DG275" i="79"/>
  <c r="DO278" i="79"/>
  <c r="DW275" i="79"/>
  <c r="EM278" i="79"/>
  <c r="EU278" i="79"/>
  <c r="EW278" i="79" s="1"/>
  <c r="BK275" i="79"/>
  <c r="EE275" i="79"/>
  <c r="O275" i="79"/>
  <c r="W275" i="79"/>
  <c r="AM275" i="79"/>
  <c r="BC275" i="79"/>
  <c r="BS278" i="79"/>
  <c r="CA278" i="79"/>
  <c r="CI275" i="79"/>
  <c r="CY278" i="79"/>
  <c r="DA278" i="79" s="1"/>
  <c r="DO275" i="79"/>
  <c r="EM275" i="79"/>
  <c r="AE278" i="79"/>
  <c r="AU278" i="79"/>
  <c r="AV278" i="79" s="1"/>
  <c r="CQ278" i="79"/>
  <c r="CS278" i="79" s="1"/>
  <c r="FC278" i="79"/>
  <c r="FE278" i="79" s="1"/>
  <c r="AM248" i="80"/>
  <c r="O221" i="80"/>
  <c r="O227" i="80"/>
  <c r="W224" i="80"/>
  <c r="BS221" i="80"/>
  <c r="CA224" i="80"/>
  <c r="DG224" i="80"/>
  <c r="DO221" i="80"/>
  <c r="EM227" i="80"/>
  <c r="EU227" i="80"/>
  <c r="AE221" i="80"/>
  <c r="AM221" i="80"/>
  <c r="AU224" i="80"/>
  <c r="BC221" i="80"/>
  <c r="CQ224" i="80"/>
  <c r="DO227" i="80"/>
  <c r="EU221" i="80"/>
  <c r="FC221" i="80"/>
  <c r="CY224" i="80"/>
  <c r="DW224" i="80"/>
  <c r="EE221" i="80"/>
  <c r="EM224" i="80"/>
  <c r="EU224" i="80"/>
  <c r="O224" i="80"/>
  <c r="W221" i="80"/>
  <c r="W227" i="80"/>
  <c r="AE224" i="80"/>
  <c r="AU221" i="80"/>
  <c r="BC224" i="80"/>
  <c r="BK221" i="80"/>
  <c r="BK227" i="80"/>
  <c r="BS224" i="80"/>
  <c r="CI221" i="80"/>
  <c r="DO224" i="80"/>
  <c r="FC224" i="80"/>
  <c r="AM224" i="80"/>
  <c r="AU227" i="80"/>
  <c r="CA221" i="80"/>
  <c r="CA227" i="80"/>
  <c r="CY221" i="80"/>
  <c r="CY227" i="80"/>
  <c r="DG221" i="80"/>
  <c r="DW221" i="80"/>
  <c r="EE224" i="80"/>
  <c r="AE213" i="80"/>
  <c r="EU213" i="80"/>
  <c r="EE210" i="79"/>
  <c r="W199" i="80"/>
  <c r="O194" i="79"/>
  <c r="W194" i="79"/>
  <c r="BK194" i="79"/>
  <c r="BS192" i="79"/>
  <c r="CA194" i="79"/>
  <c r="CY192" i="79"/>
  <c r="DG192" i="79"/>
  <c r="EE192" i="79"/>
  <c r="FC192" i="79"/>
  <c r="BS193" i="80"/>
  <c r="AE194" i="79"/>
  <c r="AU192" i="79"/>
  <c r="EM192" i="79"/>
  <c r="O192" i="79"/>
  <c r="W192" i="79"/>
  <c r="BC192" i="79"/>
  <c r="BK192" i="79"/>
  <c r="CA192" i="79"/>
  <c r="CQ194" i="79"/>
  <c r="DO194" i="79"/>
  <c r="DW194" i="79"/>
  <c r="EU192" i="79"/>
  <c r="AM193" i="80"/>
  <c r="EM194" i="79"/>
  <c r="AE192" i="79"/>
  <c r="AM194" i="79"/>
  <c r="AU194" i="79"/>
  <c r="CQ192" i="79"/>
  <c r="CY194" i="79"/>
  <c r="DO192" i="79"/>
  <c r="DW192" i="79"/>
  <c r="EE194" i="79"/>
  <c r="FC194" i="79"/>
  <c r="CQ193" i="80"/>
  <c r="AU142" i="79"/>
  <c r="BK142" i="79"/>
  <c r="CA142" i="79"/>
  <c r="EU142" i="80"/>
  <c r="O142" i="79"/>
  <c r="W142" i="79"/>
  <c r="DO142" i="79"/>
  <c r="G143" i="79"/>
  <c r="AE142" i="79"/>
  <c r="BC142" i="79"/>
  <c r="CQ142" i="79"/>
  <c r="EU142" i="79"/>
  <c r="CY142" i="80"/>
  <c r="DW141" i="80"/>
  <c r="DG139" i="79"/>
  <c r="O114" i="79"/>
  <c r="BK114" i="79"/>
  <c r="CQ114" i="79"/>
  <c r="DG114" i="79"/>
  <c r="EE114" i="79"/>
  <c r="CI114" i="79"/>
  <c r="AM114" i="79"/>
  <c r="FC114" i="79"/>
  <c r="EM114" i="79"/>
  <c r="CP22" i="80"/>
  <c r="CX184" i="80"/>
  <c r="CY184" i="80" s="1"/>
  <c r="DF24" i="80"/>
  <c r="DV244" i="80"/>
  <c r="ED181" i="80"/>
  <c r="BZ200" i="80"/>
  <c r="CX244" i="80"/>
  <c r="DN246" i="80"/>
  <c r="DO246" i="80"/>
  <c r="DV176" i="80"/>
  <c r="DW176" i="80" s="1"/>
  <c r="DN311" i="80"/>
  <c r="DO311" i="80" s="1"/>
  <c r="BZ244" i="80"/>
  <c r="CH181" i="80"/>
  <c r="CX200" i="80"/>
  <c r="CX176" i="80"/>
  <c r="CY176" i="80"/>
  <c r="DN178" i="80"/>
  <c r="DO178" i="80"/>
  <c r="DV200" i="80"/>
  <c r="ED24" i="80"/>
  <c r="EL177" i="80"/>
  <c r="EM177" i="80"/>
  <c r="ET310" i="80"/>
  <c r="FC246" i="80"/>
  <c r="FB22" i="80"/>
  <c r="FB185" i="80"/>
  <c r="FB177" i="80"/>
  <c r="FC177" i="80"/>
  <c r="FJ310" i="80"/>
  <c r="FJ199" i="80"/>
  <c r="FK199" i="80"/>
  <c r="FJ181" i="80"/>
  <c r="V201" i="80"/>
  <c r="W201" i="80" s="1"/>
  <c r="BR311" i="80"/>
  <c r="BS311" i="80"/>
  <c r="BZ176" i="80"/>
  <c r="CA176" i="80"/>
  <c r="CH24" i="80"/>
  <c r="DF181" i="80"/>
  <c r="DN22" i="80"/>
  <c r="EL22" i="80"/>
  <c r="ET249" i="80"/>
  <c r="EU249" i="80"/>
  <c r="ET181" i="80"/>
  <c r="FJ249" i="80"/>
  <c r="V311" i="80"/>
  <c r="W311" i="80"/>
  <c r="DV184" i="80"/>
  <c r="DW184" i="80" s="1"/>
  <c r="ET199" i="80"/>
  <c r="EU199" i="80" s="1"/>
  <c r="DF311" i="80"/>
  <c r="DG311" i="80" s="1"/>
  <c r="BZ185" i="80"/>
  <c r="CH310" i="80"/>
  <c r="CH249" i="80"/>
  <c r="CI249" i="80"/>
  <c r="CH199" i="80"/>
  <c r="CI199" i="80" s="1"/>
  <c r="CH182" i="80"/>
  <c r="CI182" i="80"/>
  <c r="CP247" i="80"/>
  <c r="CQ247" i="80" s="1"/>
  <c r="CP23" i="80"/>
  <c r="CQ23" i="80" s="1"/>
  <c r="CQ399" i="80" s="1"/>
  <c r="CX245" i="80"/>
  <c r="CY245" i="80"/>
  <c r="CZ245" i="80" s="1"/>
  <c r="CX201" i="80"/>
  <c r="CY201" i="80" s="1"/>
  <c r="CX185" i="80"/>
  <c r="DF310" i="80"/>
  <c r="DF249" i="80"/>
  <c r="DG249" i="80" s="1"/>
  <c r="DF199" i="80"/>
  <c r="DG199" i="80" s="1"/>
  <c r="DF182" i="80"/>
  <c r="DG182" i="80"/>
  <c r="DN247" i="80"/>
  <c r="DO247" i="80"/>
  <c r="DN23" i="80"/>
  <c r="DO23" i="80"/>
  <c r="DN180" i="80"/>
  <c r="DV245" i="80"/>
  <c r="DW245" i="80" s="1"/>
  <c r="DV201" i="80"/>
  <c r="DW201" i="80"/>
  <c r="DV185" i="80"/>
  <c r="DV177" i="80"/>
  <c r="DW177" i="80" s="1"/>
  <c r="ED249" i="80"/>
  <c r="EE249" i="80"/>
  <c r="ED199" i="80"/>
  <c r="EE199" i="80"/>
  <c r="ED182" i="80"/>
  <c r="EE182" i="80" s="1"/>
  <c r="EL247" i="80"/>
  <c r="EM247" i="80"/>
  <c r="EL23" i="80"/>
  <c r="EM23" i="80" s="1"/>
  <c r="EM399" i="80" s="1"/>
  <c r="EL178" i="80"/>
  <c r="EM178" i="80"/>
  <c r="ET244" i="80"/>
  <c r="ET200" i="80"/>
  <c r="ET182" i="80"/>
  <c r="EU182" i="80" s="1"/>
  <c r="FB23" i="80"/>
  <c r="FC23" i="80" s="1"/>
  <c r="FC399" i="80" s="1"/>
  <c r="FJ244" i="80"/>
  <c r="FJ29" i="80"/>
  <c r="FJ200" i="80"/>
  <c r="FJ182" i="80"/>
  <c r="FK182" i="80" s="1"/>
  <c r="V245" i="80"/>
  <c r="W245" i="80"/>
  <c r="BR310" i="80"/>
  <c r="N249" i="80"/>
  <c r="N201" i="80"/>
  <c r="O201" i="80"/>
  <c r="N200" i="80"/>
  <c r="N199" i="80"/>
  <c r="O199" i="80"/>
  <c r="AT176" i="80"/>
  <c r="AU176" i="80"/>
  <c r="AL182" i="80"/>
  <c r="AM182" i="80" s="1"/>
  <c r="AT181" i="80"/>
  <c r="BJ184" i="80"/>
  <c r="BK184" i="80" s="1"/>
  <c r="N184" i="80"/>
  <c r="O184" i="80" s="1"/>
  <c r="AL178" i="80"/>
  <c r="AM178" i="80" s="1"/>
  <c r="AT177" i="80"/>
  <c r="AU177" i="80" s="1"/>
  <c r="BJ29" i="80"/>
  <c r="N29" i="80"/>
  <c r="AL23" i="80"/>
  <c r="AM23" i="80" s="1"/>
  <c r="BB246" i="80"/>
  <c r="BC246" i="80" s="1"/>
  <c r="AL246" i="80"/>
  <c r="AM246" i="80" s="1"/>
  <c r="BJ24" i="80"/>
  <c r="BJ244" i="80"/>
  <c r="N244" i="80"/>
  <c r="AD311" i="80"/>
  <c r="AE311" i="80"/>
  <c r="BZ311" i="80"/>
  <c r="CA311" i="80" s="1"/>
  <c r="DV311" i="80"/>
  <c r="DW311" i="80" s="1"/>
  <c r="BZ310" i="80"/>
  <c r="BZ249" i="80"/>
  <c r="CA249" i="80"/>
  <c r="BZ199" i="80"/>
  <c r="CA199" i="80" s="1"/>
  <c r="BZ182" i="80"/>
  <c r="CA182" i="80" s="1"/>
  <c r="CH247" i="80"/>
  <c r="CI247" i="80" s="1"/>
  <c r="CK247" i="80" s="1"/>
  <c r="CH23" i="80"/>
  <c r="CI23" i="80" s="1"/>
  <c r="CH180" i="80"/>
  <c r="CP245" i="80"/>
  <c r="CQ245" i="80" s="1"/>
  <c r="CP201" i="80"/>
  <c r="CQ201" i="80" s="1"/>
  <c r="CP185" i="80"/>
  <c r="CP177" i="80"/>
  <c r="CQ177" i="80"/>
  <c r="CX310" i="80"/>
  <c r="CX249" i="80"/>
  <c r="CY249" i="80"/>
  <c r="CX199" i="80"/>
  <c r="CY199" i="80" s="1"/>
  <c r="CX182" i="80"/>
  <c r="CY182" i="80" s="1"/>
  <c r="DF247" i="80"/>
  <c r="DG247" i="80"/>
  <c r="DH247" i="80" s="1"/>
  <c r="DF23" i="80"/>
  <c r="DG23" i="80"/>
  <c r="DF180" i="80"/>
  <c r="DN245" i="80"/>
  <c r="DO245" i="80"/>
  <c r="DN201" i="80"/>
  <c r="DO201" i="80" s="1"/>
  <c r="DN185" i="80"/>
  <c r="DO185" i="80" s="1"/>
  <c r="DN177" i="80"/>
  <c r="DO177" i="80"/>
  <c r="DV310" i="80"/>
  <c r="DV249" i="80"/>
  <c r="DV199" i="80"/>
  <c r="DW199" i="80"/>
  <c r="DV182" i="80"/>
  <c r="DW182" i="80" s="1"/>
  <c r="ED247" i="80"/>
  <c r="EE247" i="80" s="1"/>
  <c r="ED23" i="80"/>
  <c r="EE23" i="80"/>
  <c r="EE399" i="80" s="1"/>
  <c r="ED180" i="80"/>
  <c r="EL245" i="80"/>
  <c r="EM245" i="80" s="1"/>
  <c r="EL201" i="80"/>
  <c r="EL184" i="80"/>
  <c r="EM184" i="80"/>
  <c r="EL176" i="80"/>
  <c r="EM176" i="80" s="1"/>
  <c r="ET24" i="80"/>
  <c r="ET180" i="80"/>
  <c r="FB245" i="80"/>
  <c r="FC245" i="80" s="1"/>
  <c r="FB201" i="80"/>
  <c r="FC201" i="80" s="1"/>
  <c r="FB184" i="80"/>
  <c r="FC184" i="80" s="1"/>
  <c r="FB176" i="80"/>
  <c r="FC176" i="80"/>
  <c r="FJ180" i="80"/>
  <c r="V310" i="80"/>
  <c r="V200" i="80"/>
  <c r="BB310" i="80"/>
  <c r="BC310" i="80"/>
  <c r="BJ249" i="80"/>
  <c r="BK249" i="80"/>
  <c r="BJ245" i="80"/>
  <c r="BK245" i="80" s="1"/>
  <c r="BJ201" i="80"/>
  <c r="BK201" i="80" s="1"/>
  <c r="BJ200" i="80"/>
  <c r="BJ199" i="80"/>
  <c r="BK199" i="80" s="1"/>
  <c r="BJ180" i="80"/>
  <c r="BJ182" i="80"/>
  <c r="BK182" i="80"/>
  <c r="N182" i="80"/>
  <c r="O182" i="80" s="1"/>
  <c r="AL181" i="80"/>
  <c r="AL185" i="80"/>
  <c r="AT184" i="80"/>
  <c r="AU184" i="80" s="1"/>
  <c r="N178" i="80"/>
  <c r="O178" i="80"/>
  <c r="AT29" i="80"/>
  <c r="BJ23" i="80"/>
  <c r="BK23" i="80" s="1"/>
  <c r="N23" i="80"/>
  <c r="O23" i="80"/>
  <c r="O399" i="80" s="1"/>
  <c r="BR246" i="80"/>
  <c r="BS246" i="80"/>
  <c r="V246" i="80"/>
  <c r="W246" i="80" s="1"/>
  <c r="AT24" i="80"/>
  <c r="AT244" i="80"/>
  <c r="BJ22" i="80"/>
  <c r="N22" i="80"/>
  <c r="AL249" i="80"/>
  <c r="BR245" i="80"/>
  <c r="BS245" i="80"/>
  <c r="BU245" i="80" s="1"/>
  <c r="BR200" i="80"/>
  <c r="BR180" i="80"/>
  <c r="V182" i="80"/>
  <c r="W182" i="80"/>
  <c r="BB184" i="80"/>
  <c r="BC184" i="80"/>
  <c r="V178" i="80"/>
  <c r="W178" i="80"/>
  <c r="BB29" i="80"/>
  <c r="BR23" i="80"/>
  <c r="BS23" i="80"/>
  <c r="BR247" i="80"/>
  <c r="BS247" i="80"/>
  <c r="BT247" i="80" s="1"/>
  <c r="W247" i="80"/>
  <c r="V22" i="80"/>
  <c r="AL311" i="80"/>
  <c r="AM311" i="80" s="1"/>
  <c r="CH311" i="80"/>
  <c r="CI311" i="80"/>
  <c r="ED311" i="80"/>
  <c r="EE311" i="80" s="1"/>
  <c r="BZ24" i="80"/>
  <c r="BZ181" i="80"/>
  <c r="CH246" i="80"/>
  <c r="CI246" i="80" s="1"/>
  <c r="CH22" i="80"/>
  <c r="CP244" i="80"/>
  <c r="CP200" i="80"/>
  <c r="CP184" i="80"/>
  <c r="CQ184" i="80" s="1"/>
  <c r="CP176" i="80"/>
  <c r="CQ176" i="80"/>
  <c r="CX181" i="80"/>
  <c r="DF246" i="80"/>
  <c r="DG246" i="80"/>
  <c r="DF22" i="80"/>
  <c r="DF178" i="80"/>
  <c r="DG178" i="80"/>
  <c r="DN244" i="80"/>
  <c r="DN29" i="80"/>
  <c r="DN200" i="80"/>
  <c r="DN184" i="80"/>
  <c r="DO184" i="80"/>
  <c r="DN176" i="80"/>
  <c r="DO176" i="80" s="1"/>
  <c r="DV24" i="80"/>
  <c r="DV181" i="80"/>
  <c r="ED246" i="80"/>
  <c r="EE246" i="80" s="1"/>
  <c r="ED22" i="80"/>
  <c r="EL244" i="80"/>
  <c r="EL29" i="80"/>
  <c r="EL200" i="80"/>
  <c r="EL182" i="80"/>
  <c r="EM182" i="80" s="1"/>
  <c r="ET23" i="80"/>
  <c r="EU23" i="80"/>
  <c r="ET178" i="80"/>
  <c r="EU178" i="80"/>
  <c r="FB244" i="80"/>
  <c r="FB29" i="80"/>
  <c r="FB200" i="80"/>
  <c r="FB182" i="80"/>
  <c r="FC182" i="80" s="1"/>
  <c r="FJ247" i="80"/>
  <c r="FK247" i="80" s="1"/>
  <c r="FL247" i="80" s="1"/>
  <c r="FJ23" i="80"/>
  <c r="FK23" i="80" s="1"/>
  <c r="FK399" i="80" s="1"/>
  <c r="AL201" i="80"/>
  <c r="AM201" i="80"/>
  <c r="AT310" i="80"/>
  <c r="BB249" i="80"/>
  <c r="BC249" i="80"/>
  <c r="BB245" i="80"/>
  <c r="BC245" i="80" s="1"/>
  <c r="BE245" i="80" s="1"/>
  <c r="BB201" i="80"/>
  <c r="BC201" i="80"/>
  <c r="BB200" i="80"/>
  <c r="BB199" i="80"/>
  <c r="BC199" i="80" s="1"/>
  <c r="BB180" i="80"/>
  <c r="BR176" i="80"/>
  <c r="BS176" i="80"/>
  <c r="BB182" i="80"/>
  <c r="BC182" i="80"/>
  <c r="BR181" i="80"/>
  <c r="V181" i="80"/>
  <c r="BR185" i="80"/>
  <c r="BB178" i="80"/>
  <c r="BC178" i="80" s="1"/>
  <c r="BR177" i="80"/>
  <c r="BS177" i="80"/>
  <c r="V177" i="80"/>
  <c r="W177" i="80"/>
  <c r="AD29" i="80"/>
  <c r="BB23" i="80"/>
  <c r="BC23" i="80"/>
  <c r="BJ247" i="80"/>
  <c r="BK247" i="80"/>
  <c r="AD247" i="80"/>
  <c r="AE247" i="80"/>
  <c r="AF247" i="80" s="1"/>
  <c r="N247" i="80"/>
  <c r="O247" i="80"/>
  <c r="AD24" i="80"/>
  <c r="AD244" i="80"/>
  <c r="BB22" i="80"/>
  <c r="BJ310" i="80"/>
  <c r="BR249" i="80"/>
  <c r="BS249" i="80" s="1"/>
  <c r="BR201" i="80"/>
  <c r="BS201" i="80"/>
  <c r="BR199" i="80"/>
  <c r="BS199" i="80" s="1"/>
  <c r="BR182" i="80"/>
  <c r="BS182" i="80"/>
  <c r="AD181" i="80"/>
  <c r="AD185" i="80"/>
  <c r="BR178" i="80"/>
  <c r="BS178" i="80" s="1"/>
  <c r="V23" i="80"/>
  <c r="W23" i="80"/>
  <c r="AT247" i="80"/>
  <c r="AU247" i="80"/>
  <c r="BB24" i="80"/>
  <c r="BB244" i="80"/>
  <c r="BR22" i="80"/>
  <c r="AT311" i="80"/>
  <c r="AU311" i="80" s="1"/>
  <c r="CP311" i="80"/>
  <c r="CQ311" i="80"/>
  <c r="EL311" i="80"/>
  <c r="EM311" i="80"/>
  <c r="BZ247" i="80"/>
  <c r="CA247" i="80"/>
  <c r="CC247" i="80" s="1"/>
  <c r="BZ23" i="80"/>
  <c r="CA23" i="80"/>
  <c r="BZ180" i="80"/>
  <c r="CH245" i="80"/>
  <c r="CI245" i="80"/>
  <c r="CK245" i="80" s="1"/>
  <c r="CH201" i="80"/>
  <c r="CI201" i="80"/>
  <c r="CH185" i="80"/>
  <c r="CH177" i="80"/>
  <c r="CI177" i="80" s="1"/>
  <c r="CP310" i="80"/>
  <c r="CP249" i="80"/>
  <c r="CQ249" i="80" s="1"/>
  <c r="CP199" i="80"/>
  <c r="CQ199" i="80"/>
  <c r="CP182" i="80"/>
  <c r="CQ182" i="80" s="1"/>
  <c r="CX23" i="80"/>
  <c r="CY23" i="80"/>
  <c r="CX180" i="80"/>
  <c r="DF245" i="80"/>
  <c r="DG245" i="80" s="1"/>
  <c r="DF201" i="80"/>
  <c r="DG201" i="80"/>
  <c r="DF185" i="80"/>
  <c r="DN310" i="80"/>
  <c r="DN249" i="80"/>
  <c r="DO249" i="80"/>
  <c r="DN199" i="80"/>
  <c r="DO199" i="80"/>
  <c r="DN182" i="80"/>
  <c r="DO182" i="80"/>
  <c r="DV247" i="80"/>
  <c r="DW247" i="80"/>
  <c r="DV23" i="80"/>
  <c r="DW23" i="80" s="1"/>
  <c r="DW399" i="80" s="1"/>
  <c r="DV180" i="80"/>
  <c r="ED245" i="80"/>
  <c r="EE245" i="80"/>
  <c r="ED201" i="80"/>
  <c r="EE201" i="80"/>
  <c r="ED185" i="80"/>
  <c r="EE185" i="80" s="1"/>
  <c r="ED177" i="80"/>
  <c r="EE177" i="80" s="1"/>
  <c r="EL310" i="80"/>
  <c r="EL249" i="80"/>
  <c r="EM249" i="80"/>
  <c r="EL199" i="80"/>
  <c r="EM199" i="80"/>
  <c r="EL181" i="80"/>
  <c r="ET246" i="80"/>
  <c r="EU246" i="80" s="1"/>
  <c r="ET22" i="80"/>
  <c r="ET185" i="80"/>
  <c r="ET177" i="80"/>
  <c r="EU177" i="80" s="1"/>
  <c r="FB310" i="80"/>
  <c r="FB249" i="80"/>
  <c r="FC249" i="80" s="1"/>
  <c r="FB181" i="80"/>
  <c r="FJ246" i="80"/>
  <c r="FK246" i="80"/>
  <c r="FJ22" i="80"/>
  <c r="FJ177" i="80"/>
  <c r="FK177" i="80"/>
  <c r="AL310" i="80"/>
  <c r="AL200" i="80"/>
  <c r="AD310" i="80"/>
  <c r="AE310" i="80" s="1"/>
  <c r="AT249" i="80"/>
  <c r="AU249" i="80" s="1"/>
  <c r="AT245" i="80"/>
  <c r="AU245" i="80"/>
  <c r="AT201" i="80"/>
  <c r="AU201" i="80" s="1"/>
  <c r="AT200" i="80"/>
  <c r="AT199" i="80"/>
  <c r="AU199" i="80" s="1"/>
  <c r="AT180" i="80"/>
  <c r="BJ176" i="80"/>
  <c r="BK176" i="80"/>
  <c r="AT182" i="80"/>
  <c r="AU182" i="80" s="1"/>
  <c r="BJ181" i="80"/>
  <c r="N181" i="80"/>
  <c r="AL184" i="80"/>
  <c r="AM184" i="80"/>
  <c r="AT178" i="80"/>
  <c r="AU178" i="80" s="1"/>
  <c r="BJ177" i="80"/>
  <c r="BK177" i="80"/>
  <c r="AT23" i="80"/>
  <c r="AU23" i="80"/>
  <c r="BJ246" i="80"/>
  <c r="BK246" i="80"/>
  <c r="AD246" i="80"/>
  <c r="AE246" i="80" s="1"/>
  <c r="N246" i="80"/>
  <c r="O246" i="80" s="1"/>
  <c r="AL24" i="80"/>
  <c r="AL244" i="80"/>
  <c r="AT22" i="80"/>
  <c r="CX311" i="80"/>
  <c r="CY311" i="80"/>
  <c r="ET311" i="80"/>
  <c r="EU311" i="80"/>
  <c r="BZ246" i="80"/>
  <c r="CA246" i="80" s="1"/>
  <c r="BZ22" i="80"/>
  <c r="BZ178" i="80"/>
  <c r="CA178" i="80"/>
  <c r="CH244" i="80"/>
  <c r="CH200" i="80"/>
  <c r="CH184" i="80"/>
  <c r="CI184" i="80" s="1"/>
  <c r="CH176" i="80"/>
  <c r="CI176" i="80" s="1"/>
  <c r="CP24" i="80"/>
  <c r="CP181" i="80"/>
  <c r="CX246" i="80"/>
  <c r="CY246" i="80"/>
  <c r="CX178" i="80"/>
  <c r="CY178" i="80" s="1"/>
  <c r="DF244" i="80"/>
  <c r="DF29" i="80"/>
  <c r="DF200" i="80"/>
  <c r="DF184" i="80"/>
  <c r="DG184" i="80"/>
  <c r="DF176" i="80"/>
  <c r="DG176" i="80" s="1"/>
  <c r="DN24" i="80"/>
  <c r="DN181" i="80"/>
  <c r="DV246" i="80"/>
  <c r="DW246" i="80"/>
  <c r="DV22" i="80"/>
  <c r="DV178" i="80"/>
  <c r="DW178" i="80"/>
  <c r="ED244" i="80"/>
  <c r="ED29" i="80"/>
  <c r="ED200" i="80"/>
  <c r="ED176" i="80"/>
  <c r="EE176" i="80"/>
  <c r="EL180" i="80"/>
  <c r="ET201" i="80"/>
  <c r="EU201" i="80"/>
  <c r="ET176" i="80"/>
  <c r="EU176" i="80"/>
  <c r="FB24" i="80"/>
  <c r="FB180" i="80"/>
  <c r="FJ245" i="80"/>
  <c r="FK245" i="80"/>
  <c r="FL245" i="80" s="1"/>
  <c r="FJ201" i="80"/>
  <c r="FK201" i="80" s="1"/>
  <c r="FJ184" i="80"/>
  <c r="FK184" i="80" s="1"/>
  <c r="FJ176" i="80"/>
  <c r="FK176" i="80"/>
  <c r="V249" i="80"/>
  <c r="W249" i="80" s="1"/>
  <c r="AL199" i="80"/>
  <c r="AM199" i="80"/>
  <c r="N310" i="80"/>
  <c r="AD249" i="80"/>
  <c r="AE249" i="80"/>
  <c r="AD245" i="80"/>
  <c r="AE245" i="80" s="1"/>
  <c r="AD201" i="80"/>
  <c r="AE201" i="80"/>
  <c r="AD200" i="80"/>
  <c r="AD199" i="80"/>
  <c r="AE199" i="80" s="1"/>
  <c r="BC176" i="80"/>
  <c r="AD182" i="80"/>
  <c r="AE182" i="80" s="1"/>
  <c r="BB181" i="80"/>
  <c r="BB185" i="80"/>
  <c r="BR184" i="80"/>
  <c r="BS184" i="80"/>
  <c r="AD178" i="80"/>
  <c r="AE178" i="80" s="1"/>
  <c r="BB177" i="80"/>
  <c r="BC177" i="80"/>
  <c r="BR29" i="80"/>
  <c r="V29" i="80"/>
  <c r="BB247" i="80"/>
  <c r="BC247" i="80"/>
  <c r="BE247" i="80" s="1"/>
  <c r="AL247" i="80"/>
  <c r="AM247" i="80" s="1"/>
  <c r="AN247" i="80" s="1"/>
  <c r="BR24" i="80"/>
  <c r="V24" i="80"/>
  <c r="BR244" i="80"/>
  <c r="V244" i="80"/>
  <c r="W244" i="80"/>
  <c r="AD22" i="80"/>
  <c r="CH25" i="80"/>
  <c r="CP192" i="80"/>
  <c r="CQ192" i="80" s="1"/>
  <c r="CP188" i="80"/>
  <c r="CQ188" i="80" s="1"/>
  <c r="DF25" i="80"/>
  <c r="DN192" i="80"/>
  <c r="DO192" i="80"/>
  <c r="DN188" i="80"/>
  <c r="DO188" i="80" s="1"/>
  <c r="ED25" i="80"/>
  <c r="EL192" i="80"/>
  <c r="EM192" i="80"/>
  <c r="EL188" i="80"/>
  <c r="EM188" i="80"/>
  <c r="FB192" i="80"/>
  <c r="FC192" i="80"/>
  <c r="FB188" i="80"/>
  <c r="FC188" i="80" s="1"/>
  <c r="BJ189" i="80"/>
  <c r="N189" i="80"/>
  <c r="AL188" i="80"/>
  <c r="AM188" i="80" s="1"/>
  <c r="N193" i="80"/>
  <c r="O193" i="80" s="1"/>
  <c r="BB193" i="80"/>
  <c r="BC193" i="80" s="1"/>
  <c r="CH248" i="80"/>
  <c r="CI248" i="80"/>
  <c r="CH193" i="80"/>
  <c r="CI193" i="80" s="1"/>
  <c r="CP187" i="80"/>
  <c r="CQ187" i="80"/>
  <c r="DF248" i="80"/>
  <c r="DG248" i="80"/>
  <c r="DF193" i="80"/>
  <c r="DG193" i="80"/>
  <c r="DF189" i="80"/>
  <c r="DN187" i="80"/>
  <c r="DO187" i="80" s="1"/>
  <c r="ED248" i="80"/>
  <c r="EE248" i="80"/>
  <c r="ED193" i="80"/>
  <c r="EE193" i="80"/>
  <c r="ET25" i="80"/>
  <c r="FJ25" i="80"/>
  <c r="BB187" i="80"/>
  <c r="BC187" i="80"/>
  <c r="BB189" i="80"/>
  <c r="BR188" i="80"/>
  <c r="BS188" i="80"/>
  <c r="BR248" i="80"/>
  <c r="BS248" i="80"/>
  <c r="V248" i="80"/>
  <c r="W248" i="80" s="1"/>
  <c r="AD25" i="80"/>
  <c r="V192" i="80"/>
  <c r="W192" i="80"/>
  <c r="AD192" i="80"/>
  <c r="AE192" i="80"/>
  <c r="BJ192" i="80"/>
  <c r="BK192" i="80"/>
  <c r="BZ25" i="80"/>
  <c r="CH192" i="80"/>
  <c r="CI192" i="80"/>
  <c r="CH188" i="80"/>
  <c r="CI188" i="80"/>
  <c r="CX25" i="80"/>
  <c r="DF192" i="80"/>
  <c r="DG192" i="80" s="1"/>
  <c r="DF188" i="80"/>
  <c r="DG188" i="80"/>
  <c r="DV25" i="80"/>
  <c r="ED192" i="80"/>
  <c r="EE192" i="80"/>
  <c r="ED188" i="80"/>
  <c r="EE188" i="80" s="1"/>
  <c r="ET248" i="80"/>
  <c r="EU248" i="80"/>
  <c r="ET193" i="80"/>
  <c r="EU193" i="80"/>
  <c r="ET189" i="80"/>
  <c r="FJ248" i="80"/>
  <c r="FK248" i="80"/>
  <c r="FJ193" i="80"/>
  <c r="FK193" i="80" s="1"/>
  <c r="FJ189" i="80"/>
  <c r="AT187" i="80"/>
  <c r="AU187" i="80"/>
  <c r="AT189" i="80"/>
  <c r="BJ188" i="80"/>
  <c r="BK188" i="80" s="1"/>
  <c r="N188" i="80"/>
  <c r="O188" i="80"/>
  <c r="BJ248" i="80"/>
  <c r="BK248" i="80"/>
  <c r="N248" i="80"/>
  <c r="O248" i="80"/>
  <c r="AL25" i="80"/>
  <c r="V193" i="80"/>
  <c r="W193" i="80" s="1"/>
  <c r="AD193" i="80"/>
  <c r="AE193" i="80"/>
  <c r="BJ193" i="80"/>
  <c r="BK193" i="80"/>
  <c r="BZ248" i="80"/>
  <c r="CA248" i="80"/>
  <c r="BZ193" i="80"/>
  <c r="CA193" i="80"/>
  <c r="BZ189" i="80"/>
  <c r="CH187" i="80"/>
  <c r="CI187" i="80"/>
  <c r="CX248" i="80"/>
  <c r="CY248" i="80"/>
  <c r="CX193" i="80"/>
  <c r="CY193" i="80"/>
  <c r="DF187" i="80"/>
  <c r="DG187" i="80" s="1"/>
  <c r="DV248" i="80"/>
  <c r="DW248" i="80" s="1"/>
  <c r="DV193" i="80"/>
  <c r="DW193" i="80"/>
  <c r="ED187" i="80"/>
  <c r="EE187" i="80" s="1"/>
  <c r="ET192" i="80"/>
  <c r="EU192" i="80"/>
  <c r="ET188" i="80"/>
  <c r="EU188" i="80"/>
  <c r="FJ192" i="80"/>
  <c r="FK192" i="80"/>
  <c r="FJ188" i="80"/>
  <c r="FK188" i="80" s="1"/>
  <c r="AD189" i="80"/>
  <c r="BB188" i="80"/>
  <c r="BC188" i="80"/>
  <c r="BB248" i="80"/>
  <c r="BC248" i="80"/>
  <c r="BR25" i="80"/>
  <c r="V25" i="80"/>
  <c r="AT192" i="80"/>
  <c r="AU192" i="80"/>
  <c r="BR192" i="80"/>
  <c r="BS192" i="80" s="1"/>
  <c r="BZ192" i="80"/>
  <c r="CA192" i="80" s="1"/>
  <c r="BZ188" i="80"/>
  <c r="CA188" i="80"/>
  <c r="CP25" i="80"/>
  <c r="CX192" i="80"/>
  <c r="CY192" i="80" s="1"/>
  <c r="CX188" i="80"/>
  <c r="CY188" i="80" s="1"/>
  <c r="DN25" i="80"/>
  <c r="DV192" i="80"/>
  <c r="DW192" i="80"/>
  <c r="DV188" i="80"/>
  <c r="DW188" i="80"/>
  <c r="EL25" i="80"/>
  <c r="FB25" i="80"/>
  <c r="AL189" i="80"/>
  <c r="AT188" i="80"/>
  <c r="AU188" i="80"/>
  <c r="AT248" i="80"/>
  <c r="AU248" i="80"/>
  <c r="BJ25" i="80"/>
  <c r="N25" i="80"/>
  <c r="BZ187" i="80"/>
  <c r="CA187" i="80" s="1"/>
  <c r="CP248" i="80"/>
  <c r="CQ248" i="80"/>
  <c r="CP189" i="80"/>
  <c r="CX187" i="80"/>
  <c r="CY187" i="80"/>
  <c r="DN248" i="80"/>
  <c r="DO248" i="80" s="1"/>
  <c r="DN193" i="80"/>
  <c r="DO193" i="80" s="1"/>
  <c r="DN189" i="80"/>
  <c r="DV187" i="80"/>
  <c r="DW187" i="80"/>
  <c r="EL193" i="80"/>
  <c r="EM193" i="80" s="1"/>
  <c r="EL189" i="80"/>
  <c r="FB248" i="80"/>
  <c r="FC248" i="80"/>
  <c r="FB193" i="80"/>
  <c r="FC193" i="80"/>
  <c r="FB189" i="80"/>
  <c r="BR187" i="80"/>
  <c r="BS187" i="80"/>
  <c r="BR189" i="80"/>
  <c r="V189" i="80"/>
  <c r="AD188" i="80"/>
  <c r="AE188" i="80"/>
  <c r="AD248" i="80"/>
  <c r="AE248" i="80" s="1"/>
  <c r="N192" i="80"/>
  <c r="O192" i="80" s="1"/>
  <c r="BB192" i="80"/>
  <c r="BC192" i="80" s="1"/>
  <c r="CY307" i="80"/>
  <c r="EE307" i="80"/>
  <c r="EU307" i="80"/>
  <c r="FC307" i="80"/>
  <c r="DG307" i="80"/>
  <c r="DO307" i="80"/>
  <c r="DW307" i="80"/>
  <c r="EM307" i="80"/>
  <c r="FC274" i="79"/>
  <c r="AU277" i="79"/>
  <c r="AV277" i="79" s="1"/>
  <c r="BC277" i="79"/>
  <c r="DO277" i="79"/>
  <c r="AE279" i="80"/>
  <c r="BK279" i="80"/>
  <c r="BS279" i="80"/>
  <c r="EM279" i="80"/>
  <c r="EE274" i="79"/>
  <c r="BK274" i="79"/>
  <c r="AE274" i="79"/>
  <c r="AE281" i="79" s="1"/>
  <c r="CA277" i="79"/>
  <c r="CI277" i="79"/>
  <c r="CA274" i="79"/>
  <c r="BC274" i="79"/>
  <c r="O277" i="79"/>
  <c r="BK277" i="79"/>
  <c r="DG277" i="79"/>
  <c r="DW277" i="79"/>
  <c r="BS276" i="80"/>
  <c r="CQ279" i="80"/>
  <c r="CY279" i="80"/>
  <c r="DO279" i="80"/>
  <c r="CY280" i="79"/>
  <c r="DO274" i="79"/>
  <c r="AU274" i="79"/>
  <c r="BS274" i="79"/>
  <c r="AE280" i="79"/>
  <c r="BS277" i="79"/>
  <c r="CY277" i="79"/>
  <c r="EE277" i="79"/>
  <c r="FC277" i="79"/>
  <c r="AM279" i="80"/>
  <c r="BC276" i="80"/>
  <c r="CA279" i="80"/>
  <c r="DW279" i="80"/>
  <c r="EE279" i="80"/>
  <c r="FK255" i="80"/>
  <c r="DG255" i="80"/>
  <c r="EM255" i="80"/>
  <c r="CY255" i="80"/>
  <c r="BK255" i="80"/>
  <c r="EU255" i="80"/>
  <c r="EE255" i="80"/>
  <c r="DO255" i="80"/>
  <c r="BC255" i="80"/>
  <c r="AU255" i="80"/>
  <c r="AM255" i="80"/>
  <c r="CQ255" i="80"/>
  <c r="O255" i="80"/>
  <c r="DW255" i="80"/>
  <c r="CA255" i="80"/>
  <c r="AE255" i="80"/>
  <c r="FC255" i="80"/>
  <c r="W255" i="80"/>
  <c r="FK252" i="80"/>
  <c r="DW252" i="80"/>
  <c r="CA252" i="80"/>
  <c r="AE252" i="80"/>
  <c r="O252" i="80"/>
  <c r="FC252" i="80"/>
  <c r="EM252" i="80"/>
  <c r="CY252" i="80"/>
  <c r="BK252" i="80"/>
  <c r="W252" i="80"/>
  <c r="EU252" i="80"/>
  <c r="EE252" i="80"/>
  <c r="BC252" i="80"/>
  <c r="AU252" i="80"/>
  <c r="AM252" i="80"/>
  <c r="CI252" i="80"/>
  <c r="BS252" i="80"/>
  <c r="CQ252" i="80"/>
  <c r="FK242" i="79"/>
  <c r="EU242" i="79"/>
  <c r="DO242" i="79"/>
  <c r="CI242" i="79"/>
  <c r="EM242" i="79"/>
  <c r="AE242" i="79"/>
  <c r="O242" i="79"/>
  <c r="CY242" i="79"/>
  <c r="CQ242" i="79"/>
  <c r="CA242" i="79"/>
  <c r="FK253" i="79"/>
  <c r="FC253" i="79"/>
  <c r="DG253" i="79"/>
  <c r="BK253" i="79"/>
  <c r="BC253" i="79"/>
  <c r="EE253" i="79"/>
  <c r="DW253" i="79"/>
  <c r="AU253" i="79"/>
  <c r="AM253" i="79"/>
  <c r="W253" i="79"/>
  <c r="EM253" i="79"/>
  <c r="AE253" i="79"/>
  <c r="O253" i="79"/>
  <c r="BS253" i="79"/>
  <c r="FK250" i="79"/>
  <c r="CQ250" i="79"/>
  <c r="FC250" i="79"/>
  <c r="BS250" i="79"/>
  <c r="DO244" i="79"/>
  <c r="EU244" i="79"/>
  <c r="O241" i="80"/>
  <c r="W241" i="80"/>
  <c r="CA241" i="80"/>
  <c r="EM241" i="80"/>
  <c r="EU247" i="80"/>
  <c r="W244" i="79"/>
  <c r="AM244" i="79"/>
  <c r="AU244" i="79"/>
  <c r="BS244" i="79"/>
  <c r="CA255" i="79"/>
  <c r="CA248" i="79"/>
  <c r="CI241" i="79"/>
  <c r="CQ248" i="79"/>
  <c r="CY255" i="79"/>
  <c r="CY248" i="79"/>
  <c r="DO241" i="79"/>
  <c r="EE244" i="79"/>
  <c r="EU241" i="79"/>
  <c r="FC244" i="79"/>
  <c r="AM241" i="80"/>
  <c r="CQ241" i="80"/>
  <c r="DO241" i="80"/>
  <c r="O255" i="79"/>
  <c r="O248" i="79"/>
  <c r="AE255" i="79"/>
  <c r="AE248" i="79"/>
  <c r="BC252" i="79"/>
  <c r="CA244" i="79"/>
  <c r="CQ244" i="79"/>
  <c r="CY244" i="79"/>
  <c r="DW246" i="79"/>
  <c r="EM255" i="79"/>
  <c r="EM248" i="79"/>
  <c r="DW241" i="80"/>
  <c r="EE241" i="80"/>
  <c r="CI244" i="79"/>
  <c r="O241" i="79"/>
  <c r="AE241" i="79"/>
  <c r="AU252" i="79"/>
  <c r="BC244" i="79"/>
  <c r="BK244" i="79"/>
  <c r="CI255" i="79"/>
  <c r="CI248" i="79"/>
  <c r="CQ255" i="79"/>
  <c r="DG244" i="79"/>
  <c r="DO255" i="79"/>
  <c r="DO248" i="79"/>
  <c r="EM241" i="79"/>
  <c r="EU255" i="79"/>
  <c r="EU248" i="79"/>
  <c r="AE241" i="80"/>
  <c r="AU241" i="80"/>
  <c r="BC241" i="80"/>
  <c r="DG241" i="80"/>
  <c r="O221" i="79"/>
  <c r="O227" i="79"/>
  <c r="AU227" i="79"/>
  <c r="BC231" i="79"/>
  <c r="BC224" i="79"/>
  <c r="CY227" i="79"/>
  <c r="DW221" i="79"/>
  <c r="DW227" i="79"/>
  <c r="W227" i="79"/>
  <c r="AE227" i="79"/>
  <c r="CI231" i="79"/>
  <c r="CI224" i="79"/>
  <c r="DG231" i="79"/>
  <c r="DG224" i="79"/>
  <c r="EM227" i="79"/>
  <c r="EU224" i="79"/>
  <c r="FC231" i="79"/>
  <c r="O231" i="79"/>
  <c r="O224" i="79"/>
  <c r="AU231" i="79"/>
  <c r="AU224" i="79"/>
  <c r="BC227" i="79"/>
  <c r="CY231" i="79"/>
  <c r="CY224" i="79"/>
  <c r="DW231" i="79"/>
  <c r="DW224" i="79"/>
  <c r="EU231" i="79"/>
  <c r="AM227" i="79"/>
  <c r="BK231" i="79"/>
  <c r="BK224" i="79"/>
  <c r="BS227" i="79"/>
  <c r="CA227" i="79"/>
  <c r="CQ227" i="79"/>
  <c r="DO231" i="79"/>
  <c r="DO224" i="79"/>
  <c r="EE227" i="79"/>
  <c r="FC227" i="79"/>
  <c r="W231" i="79"/>
  <c r="W224" i="79"/>
  <c r="AE231" i="79"/>
  <c r="AE224" i="79"/>
  <c r="CI227" i="79"/>
  <c r="DG221" i="79"/>
  <c r="DG227" i="79"/>
  <c r="EM231" i="79"/>
  <c r="EM224" i="79"/>
  <c r="EU227" i="79"/>
  <c r="O213" i="80"/>
  <c r="DG213" i="80"/>
  <c r="AE211" i="80"/>
  <c r="O193" i="79"/>
  <c r="EU115" i="80"/>
  <c r="I231" i="79"/>
  <c r="FK23" i="79"/>
  <c r="FK399" i="79" s="1"/>
  <c r="H245" i="79"/>
  <c r="W115" i="70"/>
  <c r="Q113" i="70"/>
  <c r="CX274" i="80" s="1"/>
  <c r="CY274" i="80" s="1"/>
  <c r="R115" i="70"/>
  <c r="U110" i="70"/>
  <c r="ED108" i="80" s="1"/>
  <c r="Q128" i="70"/>
  <c r="H115" i="70"/>
  <c r="CX247" i="80"/>
  <c r="CY247" i="80"/>
  <c r="CZ247" i="80" s="1"/>
  <c r="N128" i="70"/>
  <c r="O108" i="70"/>
  <c r="CH103" i="80"/>
  <c r="O116" i="70"/>
  <c r="R108" i="70"/>
  <c r="DF103" i="80" s="1"/>
  <c r="U108" i="70"/>
  <c r="ED103" i="80" s="1"/>
  <c r="U116" i="70"/>
  <c r="W116" i="70"/>
  <c r="Y110" i="70"/>
  <c r="FJ108" i="80"/>
  <c r="K110" i="70"/>
  <c r="BB108" i="80"/>
  <c r="F110" i="70"/>
  <c r="N108" i="80"/>
  <c r="R116" i="70"/>
  <c r="G117" i="70"/>
  <c r="AD177" i="80"/>
  <c r="AE177" i="80" s="1"/>
  <c r="DF177" i="80"/>
  <c r="DG177" i="80" s="1"/>
  <c r="AM486" i="79"/>
  <c r="CY486" i="79"/>
  <c r="ET184" i="80"/>
  <c r="EU184" i="80" s="1"/>
  <c r="T128" i="70"/>
  <c r="Y116" i="70"/>
  <c r="AM306" i="79"/>
  <c r="BC306" i="79"/>
  <c r="CA306" i="79"/>
  <c r="O309" i="80"/>
  <c r="W306" i="80"/>
  <c r="AM309" i="80"/>
  <c r="AU309" i="80"/>
  <c r="BC306" i="80"/>
  <c r="BS306" i="80"/>
  <c r="CI309" i="80"/>
  <c r="AE306" i="79"/>
  <c r="BK306" i="79"/>
  <c r="CY306" i="80"/>
  <c r="DG309" i="80"/>
  <c r="EE306" i="80"/>
  <c r="FC309" i="80"/>
  <c r="FD309" i="80" s="1"/>
  <c r="O306" i="79"/>
  <c r="BS306" i="79"/>
  <c r="CI306" i="79"/>
  <c r="DG306" i="79"/>
  <c r="DO306" i="79"/>
  <c r="DW306" i="79"/>
  <c r="AE306" i="80"/>
  <c r="BK306" i="80"/>
  <c r="CA309" i="80"/>
  <c r="CQ306" i="80"/>
  <c r="DO306" i="80"/>
  <c r="DW306" i="80"/>
  <c r="EM306" i="80"/>
  <c r="EU309" i="80"/>
  <c r="CY309" i="80"/>
  <c r="DG306" i="80"/>
  <c r="EE309" i="80"/>
  <c r="FC306" i="80"/>
  <c r="AU306" i="79"/>
  <c r="CQ306" i="79"/>
  <c r="DG309" i="79"/>
  <c r="AE309" i="80"/>
  <c r="BK309" i="80"/>
  <c r="CA306" i="80"/>
  <c r="CQ309" i="80"/>
  <c r="DO309" i="80"/>
  <c r="DW309" i="80"/>
  <c r="EM309" i="80"/>
  <c r="EU306" i="80"/>
  <c r="EM277" i="79"/>
  <c r="EU277" i="79"/>
  <c r="AU250" i="79"/>
  <c r="CA247" i="79"/>
  <c r="CY247" i="79"/>
  <c r="CZ247" i="79" s="1"/>
  <c r="EM247" i="79"/>
  <c r="EU247" i="79"/>
  <c r="EW247" i="79" s="1"/>
  <c r="AE253" i="80"/>
  <c r="DG253" i="80"/>
  <c r="O250" i="79"/>
  <c r="AM250" i="79"/>
  <c r="BK247" i="79"/>
  <c r="CI250" i="79"/>
  <c r="DW247" i="79"/>
  <c r="EE247" i="79"/>
  <c r="EF247" i="79" s="1"/>
  <c r="W253" i="80"/>
  <c r="AM253" i="80"/>
  <c r="BC253" i="80"/>
  <c r="BK253" i="80"/>
  <c r="AU247" i="79"/>
  <c r="CA250" i="79"/>
  <c r="CY250" i="79"/>
  <c r="EM250" i="79"/>
  <c r="EU250" i="79"/>
  <c r="AU253" i="80"/>
  <c r="DO242" i="80"/>
  <c r="EM253" i="80"/>
  <c r="EU253" i="80"/>
  <c r="O247" i="79"/>
  <c r="Q247" i="79" s="1"/>
  <c r="AM247" i="79"/>
  <c r="AN247" i="79" s="1"/>
  <c r="BK250" i="79"/>
  <c r="CI247" i="79"/>
  <c r="DW250" i="79"/>
  <c r="EE250" i="79"/>
  <c r="CI253" i="80"/>
  <c r="DW253" i="80"/>
  <c r="W250" i="79"/>
  <c r="AE250" i="79"/>
  <c r="BC250" i="79"/>
  <c r="BS247" i="79"/>
  <c r="BU247" i="79" s="1"/>
  <c r="CQ247" i="79"/>
  <c r="CS247" i="79" s="1"/>
  <c r="DG250" i="79"/>
  <c r="DO250" i="79"/>
  <c r="FC247" i="79"/>
  <c r="FE247" i="79" s="1"/>
  <c r="BS253" i="80"/>
  <c r="CA253" i="80"/>
  <c r="CQ253" i="80"/>
  <c r="CY253" i="80"/>
  <c r="EE253" i="80"/>
  <c r="FC253" i="80"/>
  <c r="AE211" i="79"/>
  <c r="BC211" i="79"/>
  <c r="BK205" i="80"/>
  <c r="AU200" i="79"/>
  <c r="AM200" i="79"/>
  <c r="BS200" i="79"/>
  <c r="CI200" i="79"/>
  <c r="EM200" i="79"/>
  <c r="AE200" i="79"/>
  <c r="CA200" i="79"/>
  <c r="DG200" i="79"/>
  <c r="DW200" i="79"/>
  <c r="O200" i="79"/>
  <c r="BC200" i="79"/>
  <c r="EE200" i="79"/>
  <c r="W200" i="79"/>
  <c r="BK200" i="79"/>
  <c r="DO200" i="79"/>
  <c r="EM201" i="80"/>
  <c r="CA193" i="79"/>
  <c r="DW193" i="79"/>
  <c r="AM147" i="79"/>
  <c r="DO147" i="79"/>
  <c r="BC147" i="79"/>
  <c r="EE147" i="79"/>
  <c r="O123" i="79"/>
  <c r="CA123" i="79"/>
  <c r="AE123" i="79"/>
  <c r="BS123" i="79"/>
  <c r="CQ123" i="79"/>
  <c r="DG123" i="79"/>
  <c r="BK123" i="79"/>
  <c r="W123" i="79"/>
  <c r="DW123" i="79"/>
  <c r="AM123" i="79"/>
  <c r="BC123" i="79"/>
  <c r="DO88" i="79"/>
  <c r="CY88" i="79"/>
  <c r="O88" i="80"/>
  <c r="DW88" i="80"/>
  <c r="AU58" i="80"/>
  <c r="J176" i="79"/>
  <c r="J244" i="80"/>
  <c r="J247" i="79"/>
  <c r="J192" i="80"/>
  <c r="J250" i="80"/>
  <c r="H226" i="80"/>
  <c r="J195" i="79"/>
  <c r="H232" i="79"/>
  <c r="H250" i="79"/>
  <c r="J199" i="79"/>
  <c r="I254" i="79"/>
  <c r="I241" i="79"/>
  <c r="H226" i="79"/>
  <c r="H231" i="80"/>
  <c r="H180" i="79"/>
  <c r="J229" i="79"/>
  <c r="I254" i="80"/>
  <c r="J193" i="80"/>
  <c r="I199" i="80"/>
  <c r="J199" i="80"/>
  <c r="J213" i="79"/>
  <c r="I249" i="80"/>
  <c r="H211" i="79"/>
  <c r="H199" i="80"/>
  <c r="L116" i="70"/>
  <c r="F116" i="70"/>
  <c r="W128" i="70"/>
  <c r="Y115" i="70"/>
  <c r="G110" i="70"/>
  <c r="V108" i="80" s="1"/>
  <c r="N113" i="70"/>
  <c r="BZ274" i="80"/>
  <c r="CA274" i="80" s="1"/>
  <c r="N115" i="70"/>
  <c r="P113" i="70"/>
  <c r="CP274" i="80"/>
  <c r="CQ274" i="80" s="1"/>
  <c r="Q110" i="70"/>
  <c r="CX108" i="80"/>
  <c r="Q115" i="70"/>
  <c r="K113" i="70"/>
  <c r="BB274" i="80"/>
  <c r="BC274" i="80"/>
  <c r="I113" i="70"/>
  <c r="AL274" i="80"/>
  <c r="AM274" i="80" s="1"/>
  <c r="K108" i="70"/>
  <c r="BB103" i="80"/>
  <c r="I108" i="70"/>
  <c r="AL103" i="80" s="1"/>
  <c r="J128" i="70"/>
  <c r="S113" i="70"/>
  <c r="DN274" i="80" s="1"/>
  <c r="DO274" i="80" s="1"/>
  <c r="T110" i="70"/>
  <c r="DV108" i="80"/>
  <c r="V113" i="70"/>
  <c r="EL274" i="80"/>
  <c r="EM274" i="80"/>
  <c r="W108" i="70"/>
  <c r="ET103" i="80"/>
  <c r="X113" i="70"/>
  <c r="FB274" i="80"/>
  <c r="FC274" i="80"/>
  <c r="Y108" i="70"/>
  <c r="FJ103" i="80"/>
  <c r="I110" i="70"/>
  <c r="AL108" i="80"/>
  <c r="L113" i="70"/>
  <c r="BJ274" i="80"/>
  <c r="BK274" i="80"/>
  <c r="H113" i="70"/>
  <c r="AD274" i="80"/>
  <c r="AE274" i="80"/>
  <c r="N274" i="80"/>
  <c r="O274" i="80" s="1"/>
  <c r="L108" i="70"/>
  <c r="BJ103" i="80"/>
  <c r="R120" i="70"/>
  <c r="DF493" i="80"/>
  <c r="DG493" i="80" s="1"/>
  <c r="K128" i="70"/>
  <c r="O128" i="70"/>
  <c r="Q111" i="70"/>
  <c r="CX223" i="80"/>
  <c r="CY223" i="80"/>
  <c r="R126" i="70"/>
  <c r="T111" i="70"/>
  <c r="DV223" i="80"/>
  <c r="DW223" i="80" s="1"/>
  <c r="Y127" i="70"/>
  <c r="AU223" i="80"/>
  <c r="G126" i="70"/>
  <c r="FJ178" i="80"/>
  <c r="FK178" i="80" s="1"/>
  <c r="U126" i="70"/>
  <c r="H116" i="70"/>
  <c r="T125" i="70"/>
  <c r="M127" i="70"/>
  <c r="N117" i="70"/>
  <c r="O110" i="70"/>
  <c r="CH108" i="80"/>
  <c r="O115" i="70"/>
  <c r="Q117" i="70"/>
  <c r="R110" i="70"/>
  <c r="DF108" i="80" s="1"/>
  <c r="T113" i="70"/>
  <c r="DV274" i="80"/>
  <c r="DW274" i="80" s="1"/>
  <c r="T117" i="70"/>
  <c r="H108" i="70"/>
  <c r="AD103" i="80"/>
  <c r="Y120" i="70"/>
  <c r="FJ493" i="80" s="1"/>
  <c r="FK493" i="80" s="1"/>
  <c r="M115" i="70"/>
  <c r="K117" i="70"/>
  <c r="N121" i="70"/>
  <c r="BZ475" i="80"/>
  <c r="Q120" i="70"/>
  <c r="CX493" i="80"/>
  <c r="CY493" i="80" s="1"/>
  <c r="T127" i="70"/>
  <c r="F127" i="70"/>
  <c r="L115" i="70"/>
  <c r="P108" i="70"/>
  <c r="CP103" i="80"/>
  <c r="R124" i="70"/>
  <c r="DF474" i="80" s="1"/>
  <c r="Y124" i="70"/>
  <c r="FJ474" i="80"/>
  <c r="S115" i="70"/>
  <c r="M125" i="70"/>
  <c r="P116" i="70"/>
  <c r="I117" i="70"/>
  <c r="L117" i="70"/>
  <c r="N185" i="80"/>
  <c r="O120" i="70"/>
  <c r="CH493" i="80" s="1"/>
  <c r="CI493" i="80" s="1"/>
  <c r="R127" i="70"/>
  <c r="T109" i="70"/>
  <c r="DV105" i="80"/>
  <c r="K120" i="70"/>
  <c r="BB493" i="80" s="1"/>
  <c r="BC493" i="80" s="1"/>
  <c r="G120" i="70"/>
  <c r="V493" i="80" s="1"/>
  <c r="W493" i="80" s="1"/>
  <c r="U121" i="70"/>
  <c r="ED475" i="80"/>
  <c r="AL177" i="80"/>
  <c r="AM177" i="80" s="1"/>
  <c r="P117" i="70"/>
  <c r="H128" i="70"/>
  <c r="J115" i="70"/>
  <c r="I116" i="70"/>
  <c r="V117" i="70"/>
  <c r="AT246" i="80"/>
  <c r="AU246" i="80"/>
  <c r="O121" i="70"/>
  <c r="CH475" i="80"/>
  <c r="R121" i="70"/>
  <c r="DF475" i="80" s="1"/>
  <c r="DF476" i="80" s="1"/>
  <c r="DG476" i="80" s="1"/>
  <c r="J121" i="70"/>
  <c r="AT475" i="80" s="1"/>
  <c r="L124" i="70"/>
  <c r="BJ474" i="80"/>
  <c r="I123" i="70"/>
  <c r="AL473" i="80" s="1"/>
  <c r="G121" i="70"/>
  <c r="V475" i="80" s="1"/>
  <c r="BJ178" i="80"/>
  <c r="BK178" i="80"/>
  <c r="CH178" i="80"/>
  <c r="CI178" i="80" s="1"/>
  <c r="CX189" i="80"/>
  <c r="G116" i="70"/>
  <c r="Q124" i="70"/>
  <c r="CX474" i="80"/>
  <c r="T124" i="70"/>
  <c r="DV474" i="80"/>
  <c r="W120" i="70"/>
  <c r="ET493" i="80" s="1"/>
  <c r="EU493" i="80" s="1"/>
  <c r="H109" i="70"/>
  <c r="AD105" i="80"/>
  <c r="K111" i="70"/>
  <c r="BB223" i="80" s="1"/>
  <c r="BC223" i="80" s="1"/>
  <c r="M126" i="70"/>
  <c r="K116" i="70"/>
  <c r="M117" i="70"/>
  <c r="X117" i="70"/>
  <c r="F117" i="70"/>
  <c r="I128" i="70"/>
  <c r="S128" i="70"/>
  <c r="DV189" i="80"/>
  <c r="O127" i="70"/>
  <c r="Q122" i="70"/>
  <c r="CX470" i="80"/>
  <c r="R128" i="70"/>
  <c r="R111" i="70"/>
  <c r="DF223" i="80"/>
  <c r="DG223" i="80"/>
  <c r="S108" i="70"/>
  <c r="DN103" i="80"/>
  <c r="S116" i="70"/>
  <c r="T126" i="70"/>
  <c r="T122" i="70"/>
  <c r="DV470" i="80" s="1"/>
  <c r="U120" i="70"/>
  <c r="ED493" i="80"/>
  <c r="EE493" i="80" s="1"/>
  <c r="U113" i="70"/>
  <c r="ED274" i="80" s="1"/>
  <c r="EE274" i="80" s="1"/>
  <c r="V108" i="70"/>
  <c r="EL103" i="80" s="1"/>
  <c r="EL473" i="80"/>
  <c r="W113" i="70"/>
  <c r="ET274" i="80"/>
  <c r="EU274" i="80"/>
  <c r="W124" i="70"/>
  <c r="ET474" i="80"/>
  <c r="X110" i="70"/>
  <c r="FB108" i="80"/>
  <c r="X108" i="70"/>
  <c r="FB103" i="80"/>
  <c r="X121" i="70"/>
  <c r="FB475" i="80" s="1"/>
  <c r="X116" i="70"/>
  <c r="Y113" i="70"/>
  <c r="FJ274" i="80" s="1"/>
  <c r="FK274" i="80" s="1"/>
  <c r="I127" i="70"/>
  <c r="L110" i="70"/>
  <c r="BJ108" i="80"/>
  <c r="H110" i="70"/>
  <c r="AD108" i="80"/>
  <c r="J122" i="70"/>
  <c r="AT470" i="80" s="1"/>
  <c r="M113" i="70"/>
  <c r="BR274" i="80" s="1"/>
  <c r="BS274" i="80" s="1"/>
  <c r="M111" i="70"/>
  <c r="BR223" i="80" s="1"/>
  <c r="BS223" i="80" s="1"/>
  <c r="J117" i="70"/>
  <c r="F115" i="70"/>
  <c r="L121" i="70"/>
  <c r="BJ475" i="80"/>
  <c r="F126" i="70"/>
  <c r="K124" i="70"/>
  <c r="BB474" i="80" s="1"/>
  <c r="L123" i="70"/>
  <c r="BJ473" i="80"/>
  <c r="BJ476" i="80" s="1"/>
  <c r="BK476" i="80" s="1"/>
  <c r="F123" i="70"/>
  <c r="N473" i="80"/>
  <c r="J123" i="70"/>
  <c r="AT473" i="80"/>
  <c r="BZ177" i="80"/>
  <c r="CA177" i="80" s="1"/>
  <c r="CX177" i="80"/>
  <c r="CY177" i="80"/>
  <c r="M128" i="70"/>
  <c r="O126" i="70"/>
  <c r="W127" i="70"/>
  <c r="Y128" i="70"/>
  <c r="T120" i="70"/>
  <c r="DV493" i="80" s="1"/>
  <c r="DW493" i="80" s="1"/>
  <c r="T115" i="70"/>
  <c r="J116" i="70"/>
  <c r="W117" i="70"/>
  <c r="F128" i="70"/>
  <c r="U128" i="70"/>
  <c r="N177" i="80"/>
  <c r="O177" i="80" s="1"/>
  <c r="I120" i="70"/>
  <c r="AL493" i="80"/>
  <c r="AM493" i="80" s="1"/>
  <c r="BJ185" i="80"/>
  <c r="M121" i="70"/>
  <c r="BR475" i="80" s="1"/>
  <c r="N120" i="70"/>
  <c r="BZ493" i="80" s="1"/>
  <c r="CA493" i="80" s="1"/>
  <c r="P109" i="70"/>
  <c r="CP105" i="80" s="1"/>
  <c r="P128" i="70"/>
  <c r="Q127" i="70"/>
  <c r="Q108" i="70"/>
  <c r="CX103" i="80" s="1"/>
  <c r="Q116" i="70"/>
  <c r="S109" i="70"/>
  <c r="DN105" i="80"/>
  <c r="T108" i="70"/>
  <c r="DV103" i="80"/>
  <c r="T116" i="70"/>
  <c r="EL105" i="80"/>
  <c r="V128" i="70"/>
  <c r="X109" i="70"/>
  <c r="FB105" i="80"/>
  <c r="Y121" i="70"/>
  <c r="FJ475" i="80" s="1"/>
  <c r="L120" i="70"/>
  <c r="BJ493" i="80"/>
  <c r="BK493" i="80" s="1"/>
  <c r="H120" i="70"/>
  <c r="AD493" i="80"/>
  <c r="AE493" i="80"/>
  <c r="F120" i="70"/>
  <c r="N493" i="80"/>
  <c r="O493" i="80"/>
  <c r="M110" i="70"/>
  <c r="BR108" i="80"/>
  <c r="J109" i="70"/>
  <c r="AT105" i="80" s="1"/>
  <c r="F109" i="70"/>
  <c r="N105" i="80" s="1"/>
  <c r="Y117" i="70"/>
  <c r="J126" i="70"/>
  <c r="S117" i="70"/>
  <c r="L125" i="70"/>
  <c r="U127" i="70"/>
  <c r="N109" i="70"/>
  <c r="BZ105" i="80"/>
  <c r="N123" i="70"/>
  <c r="BZ473" i="80"/>
  <c r="N122" i="70"/>
  <c r="BZ470" i="80"/>
  <c r="O113" i="70"/>
  <c r="CH274" i="80"/>
  <c r="CI274" i="80"/>
  <c r="O109" i="70"/>
  <c r="CH105" i="80"/>
  <c r="O111" i="70"/>
  <c r="CH223" i="80" s="1"/>
  <c r="CI223" i="80" s="1"/>
  <c r="O125" i="70"/>
  <c r="O123" i="70"/>
  <c r="CH473" i="80"/>
  <c r="O122" i="70"/>
  <c r="CH470" i="80" s="1"/>
  <c r="O117" i="70"/>
  <c r="P120" i="70"/>
  <c r="CP493" i="80"/>
  <c r="CQ493" i="80"/>
  <c r="P110" i="70"/>
  <c r="CP108" i="80" s="1"/>
  <c r="P111" i="70"/>
  <c r="CP223" i="80"/>
  <c r="CQ223" i="80" s="1"/>
  <c r="P126" i="70"/>
  <c r="P124" i="70"/>
  <c r="CP474" i="80"/>
  <c r="P123" i="70"/>
  <c r="CP473" i="80"/>
  <c r="P122" i="70"/>
  <c r="CP470" i="80" s="1"/>
  <c r="P115" i="70"/>
  <c r="Q109" i="70"/>
  <c r="CX105" i="80"/>
  <c r="Q126" i="70"/>
  <c r="Q125" i="70"/>
  <c r="Q123" i="70"/>
  <c r="CX473" i="80" s="1"/>
  <c r="R113" i="70"/>
  <c r="DF274" i="80" s="1"/>
  <c r="DG274" i="80" s="1"/>
  <c r="R109" i="70"/>
  <c r="DF105" i="80"/>
  <c r="R125" i="70"/>
  <c r="R123" i="70"/>
  <c r="DF473" i="80"/>
  <c r="R122" i="70"/>
  <c r="DF470" i="80"/>
  <c r="S120" i="70"/>
  <c r="DN493" i="80"/>
  <c r="DO493" i="80"/>
  <c r="S110" i="70"/>
  <c r="DN108" i="80" s="1"/>
  <c r="S111" i="70"/>
  <c r="DN223" i="80"/>
  <c r="DO223" i="80" s="1"/>
  <c r="S121" i="70"/>
  <c r="DN475" i="80"/>
  <c r="S124" i="70"/>
  <c r="DN474" i="80" s="1"/>
  <c r="S123" i="70"/>
  <c r="DN473" i="80"/>
  <c r="S122" i="70"/>
  <c r="DN470" i="80"/>
  <c r="T121" i="70"/>
  <c r="DV475" i="80"/>
  <c r="T123" i="70"/>
  <c r="DV473" i="80" s="1"/>
  <c r="DV476" i="80" s="1"/>
  <c r="DW476" i="80" s="1"/>
  <c r="U109" i="70"/>
  <c r="ED105" i="80" s="1"/>
  <c r="U111" i="70"/>
  <c r="ED223" i="80" s="1"/>
  <c r="EE223" i="80" s="1"/>
  <c r="U124" i="70"/>
  <c r="ED474" i="80"/>
  <c r="ED476" i="80" s="1"/>
  <c r="U123" i="70"/>
  <c r="ED473" i="80"/>
  <c r="U122" i="70"/>
  <c r="ED470" i="80" s="1"/>
  <c r="U117" i="70"/>
  <c r="V120" i="70"/>
  <c r="EL493" i="80"/>
  <c r="EM493" i="80"/>
  <c r="V110" i="70"/>
  <c r="EL108" i="80" s="1"/>
  <c r="V111" i="70"/>
  <c r="EL223" i="80"/>
  <c r="EM223" i="80" s="1"/>
  <c r="V121" i="70"/>
  <c r="EL475" i="80"/>
  <c r="V124" i="70"/>
  <c r="EL474" i="80" s="1"/>
  <c r="V122" i="70"/>
  <c r="EL470" i="80"/>
  <c r="W109" i="70"/>
  <c r="ET105" i="80"/>
  <c r="W125" i="70"/>
  <c r="ET470" i="80"/>
  <c r="X120" i="70"/>
  <c r="FB493" i="80"/>
  <c r="FC493" i="80" s="1"/>
  <c r="X111" i="70"/>
  <c r="FB223" i="80" s="1"/>
  <c r="FC223" i="80" s="1"/>
  <c r="X126" i="70"/>
  <c r="X125" i="70"/>
  <c r="X122" i="70"/>
  <c r="FB470" i="80" s="1"/>
  <c r="Y109" i="70"/>
  <c r="FJ105" i="80" s="1"/>
  <c r="Y111" i="70"/>
  <c r="FJ223" i="80"/>
  <c r="FK223" i="80" s="1"/>
  <c r="Y123" i="70"/>
  <c r="FJ473" i="80" s="1"/>
  <c r="Y122" i="70"/>
  <c r="FJ470" i="80" s="1"/>
  <c r="M120" i="70"/>
  <c r="BR493" i="80"/>
  <c r="BS493" i="80" s="1"/>
  <c r="J120" i="70"/>
  <c r="AT493" i="80"/>
  <c r="AU493" i="80"/>
  <c r="G109" i="70"/>
  <c r="V105" i="80" s="1"/>
  <c r="I109" i="70"/>
  <c r="AL105" i="80"/>
  <c r="M109" i="70"/>
  <c r="BR105" i="80"/>
  <c r="L109" i="70"/>
  <c r="BJ105" i="80"/>
  <c r="L122" i="70"/>
  <c r="BJ470" i="80" s="1"/>
  <c r="H122" i="70"/>
  <c r="AD470" i="80" s="1"/>
  <c r="I122" i="70"/>
  <c r="AL470" i="80" s="1"/>
  <c r="N470" i="80"/>
  <c r="J113" i="70"/>
  <c r="AT274" i="80" s="1"/>
  <c r="AU274" i="80" s="1"/>
  <c r="G113" i="70"/>
  <c r="V274" i="80" s="1"/>
  <c r="W274" i="80" s="1"/>
  <c r="L111" i="70"/>
  <c r="BJ223" i="80"/>
  <c r="BK223" i="80" s="1"/>
  <c r="H111" i="70"/>
  <c r="AD223" i="80"/>
  <c r="AE223" i="80" s="1"/>
  <c r="I111" i="70"/>
  <c r="AL223" i="80" s="1"/>
  <c r="AM223" i="80" s="1"/>
  <c r="G111" i="70"/>
  <c r="V223" i="80" s="1"/>
  <c r="W223" i="80" s="1"/>
  <c r="F111" i="70"/>
  <c r="N223" i="80"/>
  <c r="O223" i="80" s="1"/>
  <c r="M108" i="70"/>
  <c r="BR103" i="80"/>
  <c r="J108" i="70"/>
  <c r="AT103" i="80" s="1"/>
  <c r="V103" i="80"/>
  <c r="L126" i="70"/>
  <c r="K126" i="70"/>
  <c r="H121" i="70"/>
  <c r="AD475" i="80"/>
  <c r="I121" i="70"/>
  <c r="AL475" i="80" s="1"/>
  <c r="F121" i="70"/>
  <c r="N475" i="80" s="1"/>
  <c r="M124" i="70"/>
  <c r="BR474" i="80" s="1"/>
  <c r="BR476" i="80" s="1"/>
  <c r="BS476" i="80" s="1"/>
  <c r="K125" i="70"/>
  <c r="J124" i="70"/>
  <c r="AT474" i="80"/>
  <c r="M123" i="70"/>
  <c r="BR473" i="80"/>
  <c r="G123" i="70"/>
  <c r="V473" i="80" s="1"/>
  <c r="H123" i="70"/>
  <c r="AD473" i="80" s="1"/>
  <c r="K123" i="70"/>
  <c r="BB473" i="80"/>
  <c r="G122" i="70"/>
  <c r="V470" i="80"/>
  <c r="S125" i="70"/>
  <c r="S126" i="70"/>
  <c r="Y126" i="70"/>
  <c r="L127" i="70"/>
  <c r="S127" i="70"/>
  <c r="L128" i="70"/>
  <c r="X128" i="70"/>
  <c r="H127" i="70"/>
  <c r="V185" i="80"/>
  <c r="K121" i="70"/>
  <c r="BB475" i="80"/>
  <c r="M116" i="70"/>
  <c r="U125" i="70"/>
  <c r="AD184" i="80"/>
  <c r="AE184" i="80" s="1"/>
  <c r="CH189" i="80"/>
  <c r="O124" i="70"/>
  <c r="CH474" i="80"/>
  <c r="CH476" i="80" s="1"/>
  <c r="CI476" i="80" s="1"/>
  <c r="P121" i="70"/>
  <c r="CP475" i="80" s="1"/>
  <c r="EL246" i="80"/>
  <c r="EM246" i="80"/>
  <c r="G115" i="70"/>
  <c r="R117" i="70"/>
  <c r="N116" i="70"/>
  <c r="P125" i="70"/>
  <c r="I126" i="70"/>
  <c r="V126" i="70"/>
  <c r="P127" i="70"/>
  <c r="V127" i="70"/>
  <c r="CP178" i="80"/>
  <c r="CQ178" i="80" s="1"/>
  <c r="Q121" i="70"/>
  <c r="CX475" i="80"/>
  <c r="X124" i="70"/>
  <c r="FB474" i="80"/>
  <c r="J125" i="70"/>
  <c r="J127" i="70"/>
  <c r="CP246" i="80"/>
  <c r="CQ246" i="80" s="1"/>
  <c r="ED189" i="80"/>
  <c r="W123" i="70"/>
  <c r="ET473" i="80"/>
  <c r="V115" i="70"/>
  <c r="H117" i="70"/>
  <c r="K115" i="70"/>
  <c r="H126" i="70"/>
  <c r="N111" i="70"/>
  <c r="BZ223" i="80" s="1"/>
  <c r="CA223" i="80" s="1"/>
  <c r="N124" i="70"/>
  <c r="BZ474" i="80" s="1"/>
  <c r="FJ311" i="80"/>
  <c r="FK311" i="80" s="1"/>
  <c r="BZ29" i="80"/>
  <c r="CX29" i="80"/>
  <c r="DV29" i="80"/>
  <c r="AD180" i="80"/>
  <c r="BJ311" i="80"/>
  <c r="BK311" i="80"/>
  <c r="BZ245" i="80"/>
  <c r="CA245" i="80" s="1"/>
  <c r="CC245" i="80" s="1"/>
  <c r="BZ201" i="80"/>
  <c r="CA201" i="80"/>
  <c r="FB311" i="80"/>
  <c r="FC311" i="80"/>
  <c r="N125" i="70"/>
  <c r="N311" i="80"/>
  <c r="O311" i="80"/>
  <c r="N126" i="70"/>
  <c r="N110" i="70"/>
  <c r="BZ108" i="80"/>
  <c r="N108" i="70"/>
  <c r="BZ103" i="80" s="1"/>
  <c r="N127" i="70"/>
  <c r="AL176" i="80"/>
  <c r="AM176" i="80" s="1"/>
  <c r="ET29" i="80"/>
  <c r="CP29" i="80"/>
  <c r="CH29" i="80"/>
  <c r="O280" i="79"/>
  <c r="W280" i="79"/>
  <c r="CA280" i="79"/>
  <c r="CI280" i="79"/>
  <c r="DW280" i="79"/>
  <c r="EF278" i="79"/>
  <c r="EU280" i="79"/>
  <c r="AU280" i="79"/>
  <c r="CQ280" i="79"/>
  <c r="FC280" i="79"/>
  <c r="AM280" i="79"/>
  <c r="BC280" i="79"/>
  <c r="BK280" i="79"/>
  <c r="DG280" i="79"/>
  <c r="EE280" i="79"/>
  <c r="EM280" i="79"/>
  <c r="EV278" i="79"/>
  <c r="K277" i="79"/>
  <c r="DG280" i="80"/>
  <c r="K279" i="80"/>
  <c r="G281" i="79"/>
  <c r="BS280" i="79"/>
  <c r="DO280" i="79"/>
  <c r="BC280" i="80"/>
  <c r="FC246" i="79"/>
  <c r="FK248" i="79"/>
  <c r="FK249" i="79"/>
  <c r="J229" i="80"/>
  <c r="W222" i="79"/>
  <c r="AM222" i="79"/>
  <c r="BK222" i="79"/>
  <c r="CQ222" i="79"/>
  <c r="CY222" i="79"/>
  <c r="DW222" i="79"/>
  <c r="BK225" i="80"/>
  <c r="BS225" i="80"/>
  <c r="EE225" i="80"/>
  <c r="EM225" i="80"/>
  <c r="BC222" i="79"/>
  <c r="DG222" i="79"/>
  <c r="CI225" i="80"/>
  <c r="DO222" i="79"/>
  <c r="EM222" i="79"/>
  <c r="W225" i="80"/>
  <c r="AE225" i="80"/>
  <c r="AM225" i="80"/>
  <c r="AU225" i="80"/>
  <c r="DG225" i="80"/>
  <c r="EU225" i="80"/>
  <c r="AE222" i="79"/>
  <c r="BS222" i="79"/>
  <c r="BC225" i="80"/>
  <c r="CA222" i="79"/>
  <c r="CA225" i="80"/>
  <c r="CQ225" i="80"/>
  <c r="DO225" i="80"/>
  <c r="O211" i="79"/>
  <c r="BK211" i="79"/>
  <c r="BS211" i="79"/>
  <c r="CI211" i="79"/>
  <c r="CY213" i="79"/>
  <c r="DG211" i="79"/>
  <c r="DW213" i="79"/>
  <c r="EU213" i="79"/>
  <c r="FC213" i="79"/>
  <c r="BK212" i="80"/>
  <c r="DG212" i="80"/>
  <c r="EE213" i="80"/>
  <c r="AU213" i="79"/>
  <c r="CY211" i="79"/>
  <c r="DO213" i="79"/>
  <c r="DW211" i="79"/>
  <c r="EU211" i="79"/>
  <c r="FC211" i="79"/>
  <c r="O212" i="80"/>
  <c r="AE212" i="80"/>
  <c r="BS213" i="80"/>
  <c r="DW213" i="80"/>
  <c r="EU212" i="80"/>
  <c r="CQ211" i="79"/>
  <c r="EE213" i="79"/>
  <c r="EM213" i="79"/>
  <c r="W211" i="79"/>
  <c r="AM211" i="79"/>
  <c r="CA211" i="79"/>
  <c r="EE211" i="79"/>
  <c r="EM211" i="79"/>
  <c r="BC213" i="80"/>
  <c r="BS212" i="80"/>
  <c r="CA213" i="80"/>
  <c r="DW212" i="80"/>
  <c r="EM213" i="80"/>
  <c r="CA213" i="79"/>
  <c r="EE212" i="80"/>
  <c r="O213" i="79"/>
  <c r="AU211" i="79"/>
  <c r="BK213" i="79"/>
  <c r="BS213" i="79"/>
  <c r="CI213" i="79"/>
  <c r="DG213" i="79"/>
  <c r="DO211" i="79"/>
  <c r="W213" i="80"/>
  <c r="AM213" i="80"/>
  <c r="AU213" i="80"/>
  <c r="BC212" i="80"/>
  <c r="CA212" i="80"/>
  <c r="CI213" i="80"/>
  <c r="CQ213" i="80"/>
  <c r="CY213" i="80"/>
  <c r="DO213" i="80"/>
  <c r="EM212" i="80"/>
  <c r="FC213" i="80"/>
  <c r="BC206" i="79"/>
  <c r="CQ206" i="79"/>
  <c r="CI205" i="80"/>
  <c r="DO205" i="80"/>
  <c r="DW206" i="80"/>
  <c r="FC205" i="80"/>
  <c r="AE206" i="79"/>
  <c r="BS206" i="79"/>
  <c r="CA206" i="79"/>
  <c r="CI206" i="79"/>
  <c r="CY206" i="79"/>
  <c r="DG206" i="79"/>
  <c r="DW206" i="79"/>
  <c r="DW207" i="79" s="1"/>
  <c r="EM206" i="79"/>
  <c r="EM207" i="79" s="1"/>
  <c r="O206" i="80"/>
  <c r="AE206" i="80"/>
  <c r="AU206" i="80"/>
  <c r="CQ206" i="80"/>
  <c r="G207" i="80"/>
  <c r="O206" i="79"/>
  <c r="W206" i="79"/>
  <c r="W207" i="79" s="1"/>
  <c r="EU206" i="79"/>
  <c r="W206" i="80"/>
  <c r="BS206" i="80"/>
  <c r="CQ205" i="80"/>
  <c r="DG206" i="80"/>
  <c r="DG207" i="80" s="1"/>
  <c r="EE206" i="80"/>
  <c r="AM206" i="80"/>
  <c r="BK206" i="80"/>
  <c r="CI206" i="80"/>
  <c r="DG205" i="80"/>
  <c r="EE205" i="80"/>
  <c r="EE207" i="80" s="1"/>
  <c r="EM206" i="80"/>
  <c r="O195" i="79"/>
  <c r="CA195" i="79"/>
  <c r="DG193" i="79"/>
  <c r="DO193" i="79"/>
  <c r="DW195" i="79"/>
  <c r="EE193" i="79"/>
  <c r="FC193" i="79"/>
  <c r="W195" i="79"/>
  <c r="AE195" i="79"/>
  <c r="AF195" i="79" s="1"/>
  <c r="AM193" i="79"/>
  <c r="BC195" i="79"/>
  <c r="BS193" i="79"/>
  <c r="CQ193" i="79"/>
  <c r="FK195" i="79"/>
  <c r="FL195" i="79" s="1"/>
  <c r="J193" i="79"/>
  <c r="W193" i="79"/>
  <c r="AE193" i="79"/>
  <c r="BC193" i="79"/>
  <c r="BK195" i="79"/>
  <c r="CY195" i="79"/>
  <c r="EU195" i="79"/>
  <c r="AU193" i="79"/>
  <c r="CI193" i="79"/>
  <c r="DG195" i="79"/>
  <c r="DO195" i="79"/>
  <c r="DQ195" i="79" s="1"/>
  <c r="EE195" i="79"/>
  <c r="EM193" i="79"/>
  <c r="FC195" i="79"/>
  <c r="AM195" i="79"/>
  <c r="BK193" i="79"/>
  <c r="BS195" i="79"/>
  <c r="BU195" i="79" s="1"/>
  <c r="CY193" i="79"/>
  <c r="EU193" i="79"/>
  <c r="AM192" i="80"/>
  <c r="BK187" i="80"/>
  <c r="EM187" i="80"/>
  <c r="FC187" i="80"/>
  <c r="EU187" i="80"/>
  <c r="K155" i="79"/>
  <c r="K126" i="79"/>
  <c r="CI123" i="80"/>
  <c r="CY123" i="80"/>
  <c r="EU123" i="80"/>
  <c r="O114" i="80"/>
  <c r="AU114" i="80"/>
  <c r="CY114" i="80"/>
  <c r="DG114" i="80"/>
  <c r="AM114" i="80"/>
  <c r="W114" i="80"/>
  <c r="BS114" i="80"/>
  <c r="CI114" i="80"/>
  <c r="FC114" i="80"/>
  <c r="AE114" i="80"/>
  <c r="BC114" i="80"/>
  <c r="CQ114" i="80"/>
  <c r="BK114" i="80"/>
  <c r="CA114" i="80"/>
  <c r="DO114" i="80"/>
  <c r="EE114" i="80"/>
  <c r="EU114" i="80"/>
  <c r="EE69" i="80"/>
  <c r="EU70" i="79"/>
  <c r="W69" i="80"/>
  <c r="D18" i="35"/>
  <c r="G375" i="79" s="1"/>
  <c r="D18" i="82"/>
  <c r="D17" i="35"/>
  <c r="F17" i="35" s="1"/>
  <c r="I374" i="79" s="1"/>
  <c r="EW374" i="79" s="1"/>
  <c r="D17" i="82"/>
  <c r="D16" i="35"/>
  <c r="G368" i="85" s="1"/>
  <c r="I179" i="90" s="1"/>
  <c r="D16" i="82"/>
  <c r="D15" i="35"/>
  <c r="D15" i="82"/>
  <c r="G15" i="82" s="1"/>
  <c r="D14" i="35"/>
  <c r="D14" i="82"/>
  <c r="D19" i="35"/>
  <c r="G376" i="79" s="1"/>
  <c r="D19" i="82"/>
  <c r="D13" i="35"/>
  <c r="D13" i="82"/>
  <c r="E13" i="82" s="1"/>
  <c r="J250" i="79"/>
  <c r="H180" i="80"/>
  <c r="H199" i="79"/>
  <c r="H250" i="80"/>
  <c r="J230" i="79"/>
  <c r="J249" i="79"/>
  <c r="J241" i="80"/>
  <c r="J246" i="80"/>
  <c r="I227" i="80"/>
  <c r="DA227" i="80" s="1"/>
  <c r="H194" i="79"/>
  <c r="E59" i="79"/>
  <c r="E59" i="80"/>
  <c r="K23" i="80"/>
  <c r="CR23" i="80" s="1"/>
  <c r="CR399" i="80" s="1"/>
  <c r="H249" i="80"/>
  <c r="H249" i="79"/>
  <c r="H187" i="79"/>
  <c r="CB187" i="79" s="1"/>
  <c r="H187" i="80"/>
  <c r="CJ187" i="80" s="1"/>
  <c r="H176" i="79"/>
  <c r="H176" i="80"/>
  <c r="I232" i="80"/>
  <c r="I232" i="79"/>
  <c r="I176" i="79"/>
  <c r="I176" i="80"/>
  <c r="FK192" i="79"/>
  <c r="FK244" i="79"/>
  <c r="FK187" i="80"/>
  <c r="FK199" i="79"/>
  <c r="FK311" i="79"/>
  <c r="FK200" i="79"/>
  <c r="FK185" i="79"/>
  <c r="I213" i="80"/>
  <c r="I213" i="79"/>
  <c r="H192" i="80"/>
  <c r="FL192" i="80" s="1"/>
  <c r="H192" i="79"/>
  <c r="I250" i="80"/>
  <c r="I250" i="79"/>
  <c r="P125" i="76"/>
  <c r="V125" i="76"/>
  <c r="I168" i="76"/>
  <c r="I53" i="76" s="1"/>
  <c r="AL187" i="79" s="1"/>
  <c r="AM187" i="79" s="1"/>
  <c r="G60" i="70"/>
  <c r="P124" i="76"/>
  <c r="CP474" i="79" s="1"/>
  <c r="V124" i="76"/>
  <c r="EL474" i="79" s="1"/>
  <c r="EL476" i="79" s="1"/>
  <c r="EM476" i="79" s="1"/>
  <c r="H141" i="76"/>
  <c r="AD176" i="79"/>
  <c r="AE176" i="79"/>
  <c r="K276" i="79"/>
  <c r="FK270" i="79"/>
  <c r="FC270" i="79"/>
  <c r="FK310" i="79"/>
  <c r="K71" i="79"/>
  <c r="FK275" i="79"/>
  <c r="FC275" i="79"/>
  <c r="EU58" i="79"/>
  <c r="FK229" i="79"/>
  <c r="FC229" i="79"/>
  <c r="EU229" i="79"/>
  <c r="FC222" i="79"/>
  <c r="FK222" i="79"/>
  <c r="EU222" i="79"/>
  <c r="FK245" i="79"/>
  <c r="FL245" i="79" s="1"/>
  <c r="FC245" i="79"/>
  <c r="FE245" i="79" s="1"/>
  <c r="FC232" i="79"/>
  <c r="FE232" i="79" s="1"/>
  <c r="FK232" i="79"/>
  <c r="J150" i="76"/>
  <c r="J26" i="76" s="1"/>
  <c r="I33" i="70"/>
  <c r="K252" i="79"/>
  <c r="K296" i="79"/>
  <c r="FK306" i="79"/>
  <c r="FC306" i="79"/>
  <c r="K132" i="79"/>
  <c r="AN232" i="80"/>
  <c r="FK189" i="79"/>
  <c r="K184" i="79"/>
  <c r="EU245" i="79"/>
  <c r="EU200" i="79"/>
  <c r="FC185" i="79"/>
  <c r="FK247" i="79"/>
  <c r="FL247" i="79" s="1"/>
  <c r="I141" i="76"/>
  <c r="H20" i="70"/>
  <c r="FC200" i="79"/>
  <c r="F141" i="76"/>
  <c r="F20" i="70"/>
  <c r="FC310" i="79"/>
  <c r="FK193" i="79"/>
  <c r="G141" i="76"/>
  <c r="G20" i="70"/>
  <c r="K242" i="80"/>
  <c r="FK268" i="80"/>
  <c r="FC268" i="80"/>
  <c r="K17" i="80"/>
  <c r="K213" i="80"/>
  <c r="FC279" i="80"/>
  <c r="FK279" i="80"/>
  <c r="FK234" i="80"/>
  <c r="FC234" i="80"/>
  <c r="K189" i="80"/>
  <c r="K180" i="80"/>
  <c r="E73" i="80"/>
  <c r="K73" i="80" s="1"/>
  <c r="FC278" i="80"/>
  <c r="FC250" i="80"/>
  <c r="FK296" i="80"/>
  <c r="FK486" i="80"/>
  <c r="K22" i="80"/>
  <c r="K96" i="80"/>
  <c r="K244" i="80"/>
  <c r="K229" i="80"/>
  <c r="K98" i="80"/>
  <c r="K230" i="80"/>
  <c r="H60" i="70"/>
  <c r="I125" i="76"/>
  <c r="F53" i="70"/>
  <c r="N187" i="80" s="1"/>
  <c r="G43" i="70"/>
  <c r="I43" i="70"/>
  <c r="AD187" i="79"/>
  <c r="AE187" i="79" s="1"/>
  <c r="F26" i="70"/>
  <c r="N180" i="79"/>
  <c r="H53" i="70"/>
  <c r="AD187" i="80" s="1"/>
  <c r="AE187" i="80" s="1"/>
  <c r="X125" i="76"/>
  <c r="R125" i="76"/>
  <c r="DV476" i="79"/>
  <c r="DW476" i="79"/>
  <c r="F60" i="70"/>
  <c r="F125" i="70" s="1"/>
  <c r="G168" i="76"/>
  <c r="G53" i="76"/>
  <c r="K168" i="76"/>
  <c r="K53" i="76" s="1"/>
  <c r="CX476" i="79"/>
  <c r="CY476" i="79"/>
  <c r="ET476" i="79"/>
  <c r="EU476" i="79"/>
  <c r="DF476" i="79"/>
  <c r="DG476" i="79"/>
  <c r="FB476" i="79"/>
  <c r="FC476" i="79"/>
  <c r="CH476" i="79"/>
  <c r="CI476" i="79" s="1"/>
  <c r="L168" i="76"/>
  <c r="L53" i="76" s="1"/>
  <c r="BJ187" i="79" s="1"/>
  <c r="BK187" i="79" s="1"/>
  <c r="BR476" i="79"/>
  <c r="BS476" i="79"/>
  <c r="DN476" i="79"/>
  <c r="DO476" i="79"/>
  <c r="FJ476" i="79"/>
  <c r="FK476" i="79" s="1"/>
  <c r="K106" i="79"/>
  <c r="K98" i="79"/>
  <c r="G26" i="70"/>
  <c r="V180" i="79"/>
  <c r="G33" i="70"/>
  <c r="G125" i="70" s="1"/>
  <c r="H43" i="70"/>
  <c r="I124" i="76"/>
  <c r="AL474" i="79"/>
  <c r="AL476" i="79" s="1"/>
  <c r="AM476" i="79" s="1"/>
  <c r="I60" i="70"/>
  <c r="DY278" i="79"/>
  <c r="K141" i="76"/>
  <c r="K13" i="76" s="1"/>
  <c r="BB176" i="79" s="1"/>
  <c r="L141" i="76"/>
  <c r="L13" i="76" s="1"/>
  <c r="K308" i="79"/>
  <c r="FK123" i="79"/>
  <c r="FC123" i="79"/>
  <c r="EU123" i="79"/>
  <c r="EE123" i="79"/>
  <c r="CY123" i="79"/>
  <c r="CI123" i="79"/>
  <c r="EM123" i="79"/>
  <c r="DH278" i="79"/>
  <c r="K150" i="76"/>
  <c r="K26" i="76" s="1"/>
  <c r="BB180" i="79" s="1"/>
  <c r="L150" i="76"/>
  <c r="FK486" i="79"/>
  <c r="FK274" i="79"/>
  <c r="K255" i="79"/>
  <c r="K224" i="79"/>
  <c r="K192" i="79"/>
  <c r="K231" i="79"/>
  <c r="EO278" i="79"/>
  <c r="EN278" i="79"/>
  <c r="FK142" i="79"/>
  <c r="EM142" i="79"/>
  <c r="DW142" i="79"/>
  <c r="FC142" i="79"/>
  <c r="K270" i="79"/>
  <c r="Y270" i="79" s="1"/>
  <c r="K307" i="79"/>
  <c r="K305" i="79"/>
  <c r="K254" i="79"/>
  <c r="K177" i="79"/>
  <c r="FK140" i="79"/>
  <c r="FK206" i="79"/>
  <c r="FC206" i="79"/>
  <c r="K306" i="79"/>
  <c r="FK141" i="79"/>
  <c r="FC99" i="79"/>
  <c r="K212" i="79"/>
  <c r="FK182" i="79"/>
  <c r="FM182" i="79" s="1"/>
  <c r="K269" i="79"/>
  <c r="K70" i="79"/>
  <c r="K64" i="79"/>
  <c r="K61" i="79"/>
  <c r="FK103" i="79"/>
  <c r="K232" i="79"/>
  <c r="K229" i="79"/>
  <c r="K225" i="79"/>
  <c r="K213" i="79"/>
  <c r="K210" i="79"/>
  <c r="K194" i="79"/>
  <c r="DQ194" i="79" s="1"/>
  <c r="K228" i="79"/>
  <c r="K234" i="79"/>
  <c r="K230" i="79"/>
  <c r="K226" i="79"/>
  <c r="K195" i="79"/>
  <c r="K90" i="79"/>
  <c r="K250" i="79"/>
  <c r="K243" i="79"/>
  <c r="K242" i="79"/>
  <c r="K241" i="79"/>
  <c r="K25" i="79"/>
  <c r="K307" i="80"/>
  <c r="CR307" i="80" s="1"/>
  <c r="K141" i="80"/>
  <c r="K251" i="80"/>
  <c r="K268" i="80"/>
  <c r="K67" i="80"/>
  <c r="K201" i="80"/>
  <c r="K195" i="80"/>
  <c r="FD195" i="80" s="1"/>
  <c r="K109" i="80"/>
  <c r="K231" i="80"/>
  <c r="K224" i="80"/>
  <c r="K140" i="80"/>
  <c r="K72" i="80"/>
  <c r="K68" i="80"/>
  <c r="K66" i="80"/>
  <c r="K104" i="80"/>
  <c r="K255" i="80"/>
  <c r="K47" i="80"/>
  <c r="K181" i="80"/>
  <c r="K199" i="80"/>
  <c r="K253" i="80"/>
  <c r="K200" i="80"/>
  <c r="K191" i="80"/>
  <c r="I58" i="79"/>
  <c r="R44" i="35"/>
  <c r="I4" i="70" a="1"/>
  <c r="I4" i="70" s="1"/>
  <c r="G15" i="35"/>
  <c r="J372" i="80" s="1"/>
  <c r="AH372" i="80" s="1"/>
  <c r="E15" i="35"/>
  <c r="M4" i="70" a="1"/>
  <c r="M4" i="70"/>
  <c r="F4" i="70" a="1"/>
  <c r="F4" i="70"/>
  <c r="X4" i="70" a="1"/>
  <c r="X4" i="70" s="1"/>
  <c r="V4" i="70" a="1"/>
  <c r="V4" i="70"/>
  <c r="T4" i="70" a="1"/>
  <c r="T4" i="70" s="1"/>
  <c r="R4" i="70" a="1"/>
  <c r="R4" i="70" s="1"/>
  <c r="P4" i="70" a="1"/>
  <c r="P4" i="70" s="1"/>
  <c r="P2" i="70" s="1"/>
  <c r="N4" i="70" a="1"/>
  <c r="N4" i="70"/>
  <c r="N3" i="70" s="1"/>
  <c r="H4" i="70" a="1"/>
  <c r="H4" i="70" s="1"/>
  <c r="J4" i="70" a="1"/>
  <c r="J4" i="70"/>
  <c r="K4" i="70" a="1"/>
  <c r="K4" i="70"/>
  <c r="K2" i="70" s="1"/>
  <c r="BC3" i="80" s="1"/>
  <c r="Y4" i="70" a="1"/>
  <c r="Y4" i="70" s="1"/>
  <c r="W4" i="70" a="1"/>
  <c r="W4" i="70" s="1"/>
  <c r="U4" i="70" a="1"/>
  <c r="U4" i="70" s="1"/>
  <c r="S4" i="70" a="1"/>
  <c r="S4" i="70" s="1"/>
  <c r="S3" i="70" s="1"/>
  <c r="Q4" i="70" a="1"/>
  <c r="Q4" i="70"/>
  <c r="O4" i="70" a="1"/>
  <c r="O4" i="70" s="1"/>
  <c r="L4" i="70" a="1"/>
  <c r="L4" i="70"/>
  <c r="G4" i="70" a="1"/>
  <c r="G4" i="70"/>
  <c r="BE245" i="79"/>
  <c r="DO271" i="80"/>
  <c r="AF278" i="79"/>
  <c r="EN182" i="79"/>
  <c r="G125" i="76"/>
  <c r="FD278" i="79"/>
  <c r="M93" i="124"/>
  <c r="DG271" i="80"/>
  <c r="E16" i="35"/>
  <c r="H373" i="80" s="1"/>
  <c r="DX373" i="80" s="1"/>
  <c r="F16" i="35"/>
  <c r="I368" i="85" s="1"/>
  <c r="K179" i="90" s="1"/>
  <c r="CR296" i="79"/>
  <c r="AW278" i="79"/>
  <c r="DH277" i="79"/>
  <c r="CA271" i="80"/>
  <c r="Y247" i="79"/>
  <c r="Y245" i="79"/>
  <c r="CZ245" i="79"/>
  <c r="AO245" i="79"/>
  <c r="CB278" i="79"/>
  <c r="CZ278" i="79"/>
  <c r="EV277" i="79"/>
  <c r="BU278" i="79"/>
  <c r="Q278" i="79"/>
  <c r="DQ247" i="79"/>
  <c r="FM277" i="80"/>
  <c r="X278" i="79"/>
  <c r="Y278" i="79"/>
  <c r="BD278" i="79"/>
  <c r="BE278" i="79"/>
  <c r="H125" i="76"/>
  <c r="H124" i="76"/>
  <c r="AD474" i="79"/>
  <c r="AD476" i="79" s="1"/>
  <c r="AE476" i="79" s="1"/>
  <c r="FL277" i="80"/>
  <c r="EG277" i="79"/>
  <c r="CK278" i="79"/>
  <c r="CJ278" i="79"/>
  <c r="BL245" i="79"/>
  <c r="BM245" i="79"/>
  <c r="G370" i="80"/>
  <c r="BS370" i="80" s="1"/>
  <c r="G365" i="85"/>
  <c r="I176" i="90"/>
  <c r="F13" i="35"/>
  <c r="I370" i="80" s="1"/>
  <c r="EW370" i="80" s="1"/>
  <c r="E13" i="35"/>
  <c r="CQ271" i="80"/>
  <c r="CR277" i="79"/>
  <c r="CS277" i="79"/>
  <c r="CB277" i="79"/>
  <c r="X182" i="79"/>
  <c r="Y182" i="79"/>
  <c r="CZ277" i="80"/>
  <c r="DH277" i="80"/>
  <c r="G369" i="85"/>
  <c r="I180" i="90"/>
  <c r="E17" i="35"/>
  <c r="H374" i="79" s="1"/>
  <c r="G17" i="35"/>
  <c r="J369" i="85" s="1"/>
  <c r="L180" i="90" s="1"/>
  <c r="AU271" i="80"/>
  <c r="EM271" i="80"/>
  <c r="AM271" i="80"/>
  <c r="G372" i="80"/>
  <c r="CQ372" i="80" s="1"/>
  <c r="G367" i="85"/>
  <c r="I178" i="90" s="1"/>
  <c r="EF277" i="80"/>
  <c r="C19" i="7"/>
  <c r="G328" i="85" s="1"/>
  <c r="G283" i="85"/>
  <c r="CJ247" i="80"/>
  <c r="DI296" i="79"/>
  <c r="L26" i="76"/>
  <c r="BJ180" i="79" s="1"/>
  <c r="BJ176" i="79"/>
  <c r="G374" i="79"/>
  <c r="DG374" i="79" s="1"/>
  <c r="G374" i="80"/>
  <c r="EE374" i="80" s="1"/>
  <c r="BU296" i="79"/>
  <c r="DH296" i="79"/>
  <c r="BT296" i="79"/>
  <c r="CS296" i="79"/>
  <c r="G373" i="79"/>
  <c r="BS373" i="79" s="1"/>
  <c r="G373" i="80"/>
  <c r="EO277" i="79"/>
  <c r="BB187" i="79"/>
  <c r="BC187" i="79" s="1"/>
  <c r="F14" i="35"/>
  <c r="BT277" i="79"/>
  <c r="CJ277" i="79"/>
  <c r="BD277" i="79"/>
  <c r="BL232" i="80"/>
  <c r="DI232" i="80"/>
  <c r="CC277" i="79"/>
  <c r="EV23" i="80"/>
  <c r="EV399" i="80" s="1"/>
  <c r="EU399" i="80"/>
  <c r="AU399" i="80"/>
  <c r="W399" i="80"/>
  <c r="BE23" i="80"/>
  <c r="BE399" i="80" s="1"/>
  <c r="BC399" i="80"/>
  <c r="BM245" i="80"/>
  <c r="BU277" i="79"/>
  <c r="BC281" i="79"/>
  <c r="DX247" i="80"/>
  <c r="DY247" i="80"/>
  <c r="EF247" i="80"/>
  <c r="EG247" i="80"/>
  <c r="FM247" i="80"/>
  <c r="DW281" i="79"/>
  <c r="AV245" i="80"/>
  <c r="DP245" i="80"/>
  <c r="BD23" i="80"/>
  <c r="CJ245" i="80"/>
  <c r="EG245" i="80"/>
  <c r="BU247" i="80"/>
  <c r="EW247" i="80"/>
  <c r="X247" i="80"/>
  <c r="AV247" i="80"/>
  <c r="FD23" i="80"/>
  <c r="FD399" i="80" s="1"/>
  <c r="Q241" i="80"/>
  <c r="CS241" i="80"/>
  <c r="G16" i="35"/>
  <c r="J373" i="79" s="1"/>
  <c r="Z373" i="79" s="1"/>
  <c r="EO247" i="80"/>
  <c r="FD247" i="79"/>
  <c r="BT247" i="79"/>
  <c r="CR245" i="80"/>
  <c r="DY247" i="79"/>
  <c r="P247" i="79"/>
  <c r="BM247" i="80"/>
  <c r="CS23" i="80"/>
  <c r="AV23" i="80"/>
  <c r="EO247" i="79"/>
  <c r="DI247" i="80"/>
  <c r="CS247" i="80"/>
  <c r="FE245" i="80"/>
  <c r="AV247" i="79"/>
  <c r="EO245" i="80"/>
  <c r="P245" i="80"/>
  <c r="DY245" i="80"/>
  <c r="AT476" i="80"/>
  <c r="AU476" i="80" s="1"/>
  <c r="EG247" i="79"/>
  <c r="AO247" i="79"/>
  <c r="CR247" i="79"/>
  <c r="AO247" i="80"/>
  <c r="CC247" i="79"/>
  <c r="X245" i="80"/>
  <c r="EV247" i="79"/>
  <c r="BM247" i="79"/>
  <c r="BL247" i="79"/>
  <c r="BZ476" i="80"/>
  <c r="CA476" i="80"/>
  <c r="G124" i="70"/>
  <c r="V474" i="80" s="1"/>
  <c r="V476" i="80" s="1"/>
  <c r="W476" i="80" s="1"/>
  <c r="FB476" i="80"/>
  <c r="FC476" i="80" s="1"/>
  <c r="EL476" i="80"/>
  <c r="EM476" i="80" s="1"/>
  <c r="CX476" i="80"/>
  <c r="CY476" i="80"/>
  <c r="EE476" i="80"/>
  <c r="DN476" i="80"/>
  <c r="DO476" i="80"/>
  <c r="CP476" i="80"/>
  <c r="CQ476" i="80" s="1"/>
  <c r="FM245" i="79"/>
  <c r="I124" i="70"/>
  <c r="AL474" i="80" s="1"/>
  <c r="V180" i="80"/>
  <c r="N180" i="80"/>
  <c r="O187" i="80"/>
  <c r="CA281" i="79"/>
  <c r="EN277" i="79"/>
  <c r="CK277" i="79"/>
  <c r="EW277" i="79"/>
  <c r="BE277" i="79"/>
  <c r="EF277" i="79"/>
  <c r="DX277" i="79"/>
  <c r="AG277" i="79"/>
  <c r="Y277" i="79"/>
  <c r="DY277" i="79"/>
  <c r="X277" i="79"/>
  <c r="AF277" i="79"/>
  <c r="AW277" i="79"/>
  <c r="DI277" i="79"/>
  <c r="O281" i="79"/>
  <c r="DP277" i="79"/>
  <c r="EU207" i="79"/>
  <c r="CI207" i="79"/>
  <c r="DO207" i="80"/>
  <c r="CA207" i="79"/>
  <c r="CQ207" i="80"/>
  <c r="CI207" i="80"/>
  <c r="O207" i="79"/>
  <c r="FC207" i="80"/>
  <c r="G14" i="82"/>
  <c r="G18" i="82"/>
  <c r="E18" i="82"/>
  <c r="F18" i="82"/>
  <c r="G371" i="79"/>
  <c r="DW371" i="79" s="1"/>
  <c r="G17" i="82"/>
  <c r="E17" i="82"/>
  <c r="Q17" i="82" s="1"/>
  <c r="S17" i="82" s="1"/>
  <c r="F17" i="82"/>
  <c r="G13" i="82"/>
  <c r="F13" i="82"/>
  <c r="G13" i="35"/>
  <c r="J370" i="80" s="1"/>
  <c r="G370" i="79"/>
  <c r="EM370" i="79" s="1"/>
  <c r="F15" i="35"/>
  <c r="I367" i="85" s="1"/>
  <c r="K178" i="90" s="1"/>
  <c r="G372" i="79"/>
  <c r="Y23" i="80"/>
  <c r="K59" i="80"/>
  <c r="K59" i="79"/>
  <c r="FM247" i="79"/>
  <c r="G13" i="70"/>
  <c r="V176" i="79"/>
  <c r="CC296" i="79"/>
  <c r="AN296" i="79"/>
  <c r="CB296" i="79"/>
  <c r="I26" i="70"/>
  <c r="AL180" i="80" s="1"/>
  <c r="AM180" i="80" s="1"/>
  <c r="AN180" i="80" s="1"/>
  <c r="AT180" i="79"/>
  <c r="FE296" i="79"/>
  <c r="EF296" i="79"/>
  <c r="FL232" i="79"/>
  <c r="EV270" i="79"/>
  <c r="H13" i="70"/>
  <c r="AL176" i="79"/>
  <c r="DX296" i="79"/>
  <c r="EW296" i="79"/>
  <c r="EV296" i="79"/>
  <c r="DQ296" i="79"/>
  <c r="FD296" i="79"/>
  <c r="DA296" i="79"/>
  <c r="AO296" i="79"/>
  <c r="AG296" i="79"/>
  <c r="DP296" i="79"/>
  <c r="FD245" i="79"/>
  <c r="CZ296" i="79"/>
  <c r="AV296" i="79"/>
  <c r="CK296" i="79"/>
  <c r="I125" i="70"/>
  <c r="F13" i="70"/>
  <c r="N176" i="79"/>
  <c r="EW245" i="79"/>
  <c r="EV245" i="79"/>
  <c r="EG296" i="79"/>
  <c r="AF296" i="79"/>
  <c r="AW296" i="79"/>
  <c r="Q296" i="79"/>
  <c r="L3" i="70"/>
  <c r="L2" i="70"/>
  <c r="I2" i="70"/>
  <c r="I3" i="70"/>
  <c r="DA241" i="79"/>
  <c r="Q2" i="70"/>
  <c r="Q3" i="70"/>
  <c r="DI241" i="79"/>
  <c r="AG241" i="79"/>
  <c r="CK226" i="79"/>
  <c r="K3" i="70"/>
  <c r="T2" i="70"/>
  <c r="T3" i="70"/>
  <c r="DP307" i="80"/>
  <c r="CK307" i="80"/>
  <c r="X307" i="80"/>
  <c r="FM232" i="79"/>
  <c r="AG232" i="79"/>
  <c r="BT232" i="79"/>
  <c r="AF232" i="79"/>
  <c r="DX195" i="79"/>
  <c r="EN195" i="79"/>
  <c r="DX226" i="79"/>
  <c r="CR241" i="79"/>
  <c r="H124" i="70"/>
  <c r="AD474" i="80" s="1"/>
  <c r="AD476" i="80" s="1"/>
  <c r="AE476" i="80" s="1"/>
  <c r="I53" i="70"/>
  <c r="AL187" i="80" s="1"/>
  <c r="AM187" i="80" s="1"/>
  <c r="AT187" i="79"/>
  <c r="AU187" i="79"/>
  <c r="G53" i="70"/>
  <c r="V187" i="79"/>
  <c r="W187" i="79"/>
  <c r="F33" i="70"/>
  <c r="S2" i="70"/>
  <c r="DO3" i="80" s="1"/>
  <c r="FD241" i="79"/>
  <c r="EO226" i="79"/>
  <c r="L124" i="76"/>
  <c r="BJ474" i="79"/>
  <c r="BJ476" i="79" s="1"/>
  <c r="BK476" i="79" s="1"/>
  <c r="L125" i="76"/>
  <c r="FM195" i="79"/>
  <c r="FD195" i="79"/>
  <c r="EW195" i="79"/>
  <c r="EG195" i="79"/>
  <c r="CB195" i="79"/>
  <c r="EV195" i="79"/>
  <c r="DY195" i="79"/>
  <c r="DA195" i="79"/>
  <c r="CK195" i="79"/>
  <c r="EO195" i="79"/>
  <c r="EF195" i="79"/>
  <c r="CZ195" i="79"/>
  <c r="BT195" i="79"/>
  <c r="BL195" i="79"/>
  <c r="BD195" i="79"/>
  <c r="CC195" i="79"/>
  <c r="FE195" i="79"/>
  <c r="CJ195" i="79"/>
  <c r="BM195" i="79"/>
  <c r="BE195" i="79"/>
  <c r="AW195" i="79"/>
  <c r="AO195" i="79"/>
  <c r="AV195" i="79"/>
  <c r="AN195" i="79"/>
  <c r="Q195" i="79"/>
  <c r="F2" i="70"/>
  <c r="F3" i="70"/>
  <c r="FM23" i="80"/>
  <c r="P194" i="79"/>
  <c r="FL182" i="79"/>
  <c r="FC207" i="79"/>
  <c r="J125" i="76"/>
  <c r="J2" i="70"/>
  <c r="AU3" i="80" s="1"/>
  <c r="J3" i="70"/>
  <c r="N2" i="70"/>
  <c r="CA3" i="80" s="1"/>
  <c r="G3" i="70"/>
  <c r="G2" i="70"/>
  <c r="W2" i="70"/>
  <c r="W3" i="70"/>
  <c r="P3" i="70"/>
  <c r="M2" i="70"/>
  <c r="BS3" i="80" s="1"/>
  <c r="M3" i="70"/>
  <c r="FL23" i="80"/>
  <c r="FL399" i="80" s="1"/>
  <c r="BL270" i="79"/>
  <c r="CZ241" i="79"/>
  <c r="CB270" i="79"/>
  <c r="J124" i="76"/>
  <c r="AT474" i="79" s="1"/>
  <c r="AT476" i="79" s="1"/>
  <c r="AU476" i="79" s="1"/>
  <c r="EE370" i="80"/>
  <c r="CY372" i="80"/>
  <c r="DG372" i="80"/>
  <c r="DO372" i="80"/>
  <c r="DW372" i="80"/>
  <c r="EE372" i="80"/>
  <c r="BK372" i="80"/>
  <c r="EU372" i="80"/>
  <c r="FK370" i="80"/>
  <c r="CA372" i="80"/>
  <c r="FC372" i="80"/>
  <c r="CI372" i="80"/>
  <c r="FK372" i="80"/>
  <c r="W372" i="80"/>
  <c r="BS372" i="80"/>
  <c r="AE372" i="80"/>
  <c r="CQ370" i="80"/>
  <c r="AM372" i="80"/>
  <c r="AU372" i="80"/>
  <c r="DG370" i="80"/>
  <c r="BC372" i="80"/>
  <c r="W370" i="80"/>
  <c r="EM372" i="80"/>
  <c r="FK374" i="79"/>
  <c r="EE374" i="79"/>
  <c r="CY374" i="79"/>
  <c r="BS374" i="79"/>
  <c r="CQ374" i="79"/>
  <c r="CA374" i="79"/>
  <c r="DW374" i="79"/>
  <c r="DO374" i="79"/>
  <c r="FC374" i="79"/>
  <c r="EU374" i="79"/>
  <c r="AM374" i="79"/>
  <c r="AU374" i="79"/>
  <c r="AE374" i="79"/>
  <c r="FK370" i="79"/>
  <c r="EE370" i="79"/>
  <c r="CY370" i="79"/>
  <c r="BS370" i="79"/>
  <c r="DW370" i="79"/>
  <c r="DO370" i="79"/>
  <c r="DG370" i="79"/>
  <c r="W370" i="79"/>
  <c r="FC370" i="79"/>
  <c r="EU370" i="79"/>
  <c r="BK370" i="79"/>
  <c r="BC370" i="79"/>
  <c r="AU370" i="79"/>
  <c r="AM370" i="79"/>
  <c r="CQ370" i="79"/>
  <c r="AE370" i="79"/>
  <c r="CI370" i="79"/>
  <c r="CA370" i="79"/>
  <c r="DG371" i="79"/>
  <c r="AM371" i="79"/>
  <c r="FK373" i="80"/>
  <c r="FC373" i="80"/>
  <c r="EU373" i="80"/>
  <c r="BK373" i="80"/>
  <c r="EE373" i="80"/>
  <c r="DW373" i="80"/>
  <c r="DO373" i="80"/>
  <c r="DG373" i="80"/>
  <c r="CY373" i="80"/>
  <c r="CQ373" i="80"/>
  <c r="CI373" i="80"/>
  <c r="CA373" i="80"/>
  <c r="BS373" i="80"/>
  <c r="W373" i="80"/>
  <c r="BC373" i="80"/>
  <c r="AU373" i="80"/>
  <c r="AM373" i="80"/>
  <c r="AE373" i="80"/>
  <c r="AU373" i="79"/>
  <c r="FK373" i="79"/>
  <c r="CY373" i="79"/>
  <c r="CQ373" i="79"/>
  <c r="EU372" i="79"/>
  <c r="DO372" i="79"/>
  <c r="CI372" i="79"/>
  <c r="BC372" i="79"/>
  <c r="EM372" i="79"/>
  <c r="EE372" i="79"/>
  <c r="DW372" i="79"/>
  <c r="FK372" i="79"/>
  <c r="FC372" i="79"/>
  <c r="AU372" i="79"/>
  <c r="AM372" i="79"/>
  <c r="CA372" i="79"/>
  <c r="BS372" i="79"/>
  <c r="BK372" i="79"/>
  <c r="AE372" i="79"/>
  <c r="DG372" i="79"/>
  <c r="CY372" i="79"/>
  <c r="CQ372" i="79"/>
  <c r="W372" i="79"/>
  <c r="CQ374" i="80"/>
  <c r="BK374" i="80"/>
  <c r="W3" i="80"/>
  <c r="V187" i="80"/>
  <c r="W187" i="80" s="1"/>
  <c r="AM3" i="80"/>
  <c r="DW3" i="80"/>
  <c r="N176" i="80"/>
  <c r="O176" i="80"/>
  <c r="O3" i="80"/>
  <c r="AD176" i="80"/>
  <c r="AE176" i="80" s="1"/>
  <c r="V176" i="80"/>
  <c r="W176" i="80" s="1"/>
  <c r="CQ3" i="80"/>
  <c r="CY3" i="80"/>
  <c r="EU3" i="80"/>
  <c r="BK3" i="80"/>
  <c r="O370" i="79"/>
  <c r="O372" i="80"/>
  <c r="O372" i="79"/>
  <c r="I42" i="105"/>
  <c r="I43" i="105"/>
  <c r="I41" i="105"/>
  <c r="H42" i="105"/>
  <c r="H43" i="105"/>
  <c r="H41" i="105"/>
  <c r="G41" i="105"/>
  <c r="G43" i="105"/>
  <c r="G42" i="105"/>
  <c r="I47" i="79"/>
  <c r="I392" i="79" s="1"/>
  <c r="H47" i="85"/>
  <c r="J21" i="90" s="1"/>
  <c r="H165" i="85"/>
  <c r="J94" i="90" s="1"/>
  <c r="J165" i="85"/>
  <c r="L94" i="90"/>
  <c r="I165" i="85"/>
  <c r="K94" i="90" s="1"/>
  <c r="G165" i="85"/>
  <c r="I94" i="90" s="1"/>
  <c r="I9" i="107"/>
  <c r="I13" i="107"/>
  <c r="H9" i="107"/>
  <c r="H13" i="107"/>
  <c r="J9" i="107"/>
  <c r="J13" i="107"/>
  <c r="I193" i="85"/>
  <c r="K109" i="90" s="1"/>
  <c r="I193" i="79"/>
  <c r="CK193" i="79" s="1"/>
  <c r="I193" i="80"/>
  <c r="EW193" i="80" s="1"/>
  <c r="G59" i="80"/>
  <c r="EU59" i="80" s="1"/>
  <c r="I229" i="85"/>
  <c r="K130" i="90" s="1"/>
  <c r="I229" i="80"/>
  <c r="I229" i="79"/>
  <c r="CK229" i="79" s="1"/>
  <c r="J248" i="79"/>
  <c r="J248" i="85"/>
  <c r="L142" i="90" s="1"/>
  <c r="J248" i="80"/>
  <c r="I247" i="79"/>
  <c r="I247" i="85"/>
  <c r="K141" i="90" s="1"/>
  <c r="I247" i="80"/>
  <c r="I246" i="80"/>
  <c r="I246" i="79"/>
  <c r="I246" i="85"/>
  <c r="K140" i="90" s="1"/>
  <c r="J230" i="85"/>
  <c r="L131" i="90" s="1"/>
  <c r="H255" i="85"/>
  <c r="J149" i="90" s="1"/>
  <c r="H255" i="80"/>
  <c r="J195" i="80"/>
  <c r="J195" i="85"/>
  <c r="L111" i="90" s="1"/>
  <c r="G20" i="93"/>
  <c r="G38" i="85"/>
  <c r="I12" i="90" s="1"/>
  <c r="D26" i="82"/>
  <c r="D69" i="82" s="1"/>
  <c r="D27" i="82"/>
  <c r="D70" i="82" s="1"/>
  <c r="G24" i="93"/>
  <c r="D32" i="118"/>
  <c r="D43" i="118" s="1"/>
  <c r="E48" i="93"/>
  <c r="C28" i="104"/>
  <c r="G39" i="85"/>
  <c r="I13" i="90" s="1"/>
  <c r="G39" i="80"/>
  <c r="G384" i="80" s="1"/>
  <c r="G435" i="80" s="1"/>
  <c r="I93" i="112"/>
  <c r="I62" i="112"/>
  <c r="I72" i="112"/>
  <c r="I49" i="112"/>
  <c r="I60" i="112"/>
  <c r="I81" i="112"/>
  <c r="I70" i="112"/>
  <c r="I59" i="112"/>
  <c r="I110" i="112"/>
  <c r="D111" i="112"/>
  <c r="D113" i="112" s="1"/>
  <c r="F106" i="107"/>
  <c r="I42" i="7" l="1"/>
  <c r="I44" i="7" s="1"/>
  <c r="K42" i="7"/>
  <c r="D42" i="7"/>
  <c r="Y2" i="70"/>
  <c r="FK3" i="80" s="1"/>
  <c r="Y3" i="70"/>
  <c r="FD247" i="80"/>
  <c r="FE247" i="80"/>
  <c r="H2" i="70"/>
  <c r="AE3" i="80" s="1"/>
  <c r="H3" i="70"/>
  <c r="R3" i="70"/>
  <c r="R2" i="70"/>
  <c r="DG3" i="80" s="1"/>
  <c r="AL476" i="80"/>
  <c r="AM476" i="80" s="1"/>
  <c r="O2" i="70"/>
  <c r="CI3" i="80" s="1"/>
  <c r="O3" i="70"/>
  <c r="X3" i="70"/>
  <c r="X2" i="70"/>
  <c r="FC3" i="80" s="1"/>
  <c r="U2" i="70"/>
  <c r="EE3" i="80" s="1"/>
  <c r="U3" i="70"/>
  <c r="O370" i="80"/>
  <c r="EU371" i="79"/>
  <c r="CI374" i="79"/>
  <c r="O373" i="80"/>
  <c r="EM373" i="80"/>
  <c r="P247" i="80"/>
  <c r="Q247" i="80"/>
  <c r="CI370" i="80"/>
  <c r="BU23" i="80"/>
  <c r="BU399" i="80" s="1"/>
  <c r="CQ281" i="79"/>
  <c r="G47" i="85"/>
  <c r="I21" i="90" s="1"/>
  <c r="D35" i="82"/>
  <c r="G47" i="80"/>
  <c r="G392" i="80" s="1"/>
  <c r="G47" i="79"/>
  <c r="G392" i="79" s="1"/>
  <c r="D35" i="35"/>
  <c r="BC370" i="80"/>
  <c r="ED178" i="80"/>
  <c r="EE178" i="80" s="1"/>
  <c r="U115" i="70"/>
  <c r="EL185" i="80"/>
  <c r="V116" i="70"/>
  <c r="X115" i="70"/>
  <c r="FB178" i="80"/>
  <c r="FC178" i="80" s="1"/>
  <c r="AG195" i="79"/>
  <c r="V2" i="70"/>
  <c r="EM3" i="80" s="1"/>
  <c r="V3" i="70"/>
  <c r="CA370" i="80"/>
  <c r="BK370" i="80"/>
  <c r="BC374" i="79"/>
  <c r="AE370" i="80"/>
  <c r="FD232" i="79"/>
  <c r="BB476" i="80"/>
  <c r="BC476" i="80" s="1"/>
  <c r="W121" i="70"/>
  <c r="ET475" i="80" s="1"/>
  <c r="ET476" i="80" s="1"/>
  <c r="EU476" i="80" s="1"/>
  <c r="BK207" i="80"/>
  <c r="FD277" i="79"/>
  <c r="FE277" i="79"/>
  <c r="P277" i="79"/>
  <c r="Q277" i="79"/>
  <c r="BK374" i="79"/>
  <c r="E79" i="138"/>
  <c r="E110" i="138" s="1"/>
  <c r="C110" i="138"/>
  <c r="AO278" i="79"/>
  <c r="AN278" i="79"/>
  <c r="F16" i="82"/>
  <c r="G16" i="82"/>
  <c r="AV226" i="79"/>
  <c r="FE226" i="79"/>
  <c r="CZ226" i="79"/>
  <c r="AG226" i="79"/>
  <c r="H125" i="70"/>
  <c r="AE313" i="80"/>
  <c r="V476" i="79"/>
  <c r="W476" i="79" s="1"/>
  <c r="CP476" i="79"/>
  <c r="CQ476" i="79" s="1"/>
  <c r="K125" i="76"/>
  <c r="DW370" i="80"/>
  <c r="FC370" i="80"/>
  <c r="DO370" i="80"/>
  <c r="AU370" i="80"/>
  <c r="AM370" i="80"/>
  <c r="V125" i="70"/>
  <c r="FJ476" i="80"/>
  <c r="FK476" i="80" s="1"/>
  <c r="FK205" i="80"/>
  <c r="FK207" i="80" s="1"/>
  <c r="O205" i="80"/>
  <c r="O207" i="80" s="1"/>
  <c r="AM205" i="80"/>
  <c r="AM207" i="80" s="1"/>
  <c r="AE205" i="80"/>
  <c r="CY205" i="80"/>
  <c r="CY207" i="80" s="1"/>
  <c r="CA205" i="80"/>
  <c r="CA207" i="80" s="1"/>
  <c r="AU205" i="80"/>
  <c r="AU207" i="80" s="1"/>
  <c r="W205" i="80"/>
  <c r="W207" i="80" s="1"/>
  <c r="DW205" i="80"/>
  <c r="DW207" i="80" s="1"/>
  <c r="BS205" i="80"/>
  <c r="BS207" i="80" s="1"/>
  <c r="BC205" i="80"/>
  <c r="BC207" i="80" s="1"/>
  <c r="EM205" i="80"/>
  <c r="EU205" i="80"/>
  <c r="EU207" i="80" s="1"/>
  <c r="FK189" i="80"/>
  <c r="CI189" i="80"/>
  <c r="O189" i="80"/>
  <c r="F124" i="70"/>
  <c r="N474" i="80" s="1"/>
  <c r="N476" i="80" s="1"/>
  <c r="O476" i="80" s="1"/>
  <c r="CY370" i="80"/>
  <c r="EU370" i="80"/>
  <c r="G366" i="85"/>
  <c r="I177" i="90" s="1"/>
  <c r="G371" i="80"/>
  <c r="G14" i="35"/>
  <c r="J366" i="85" s="1"/>
  <c r="L177" i="90" s="1"/>
  <c r="E14" i="35"/>
  <c r="H371" i="80" s="1"/>
  <c r="EV371" i="80" s="1"/>
  <c r="E16" i="82"/>
  <c r="O374" i="79"/>
  <c r="EM374" i="79"/>
  <c r="CI371" i="79"/>
  <c r="W374" i="79"/>
  <c r="EM370" i="80"/>
  <c r="CS194" i="79"/>
  <c r="DP195" i="79"/>
  <c r="CI271" i="80"/>
  <c r="X296" i="79"/>
  <c r="AO307" i="79"/>
  <c r="AE234" i="79"/>
  <c r="O234" i="79"/>
  <c r="EM234" i="79"/>
  <c r="CA234" i="79"/>
  <c r="AU234" i="79"/>
  <c r="CY234" i="79"/>
  <c r="FC234" i="79"/>
  <c r="DW234" i="79"/>
  <c r="CQ234" i="79"/>
  <c r="DG234" i="79"/>
  <c r="BC234" i="79"/>
  <c r="BS234" i="79"/>
  <c r="AM224" i="79"/>
  <c r="EE224" i="79"/>
  <c r="G48" i="85"/>
  <c r="I22" i="90" s="1"/>
  <c r="D36" i="82"/>
  <c r="G48" i="80"/>
  <c r="G393" i="80" s="1"/>
  <c r="G48" i="79"/>
  <c r="G393" i="79" s="1"/>
  <c r="M85" i="117"/>
  <c r="DI250" i="79"/>
  <c r="DY296" i="79"/>
  <c r="M109" i="133"/>
  <c r="BK201" i="79"/>
  <c r="U124" i="76"/>
  <c r="ED474" i="79" s="1"/>
  <c r="ED476" i="79" s="1"/>
  <c r="EE476" i="79" s="1"/>
  <c r="U125" i="76"/>
  <c r="N125" i="76"/>
  <c r="N124" i="76"/>
  <c r="BZ474" i="79" s="1"/>
  <c r="BZ476" i="79" s="1"/>
  <c r="CA476" i="79" s="1"/>
  <c r="O133" i="152"/>
  <c r="B5" i="172"/>
  <c r="B6" i="172" s="1"/>
  <c r="B7" i="172" s="1"/>
  <c r="H349" i="85"/>
  <c r="N52" i="169"/>
  <c r="J52" i="169" s="1"/>
  <c r="E30" i="113"/>
  <c r="F30" i="113" s="1"/>
  <c r="FK249" i="80"/>
  <c r="O249" i="80"/>
  <c r="DW249" i="80"/>
  <c r="AM249" i="80"/>
  <c r="FK241" i="80"/>
  <c r="BK241" i="80"/>
  <c r="EU241" i="80"/>
  <c r="FK227" i="80"/>
  <c r="AM227" i="80"/>
  <c r="CI227" i="80"/>
  <c r="CQ227" i="80"/>
  <c r="FC227" i="80"/>
  <c r="EE227" i="80"/>
  <c r="AE227" i="80"/>
  <c r="BC227" i="80"/>
  <c r="BS227" i="80"/>
  <c r="DG227" i="80"/>
  <c r="H102" i="119"/>
  <c r="H54" i="169"/>
  <c r="H214" i="80" s="1"/>
  <c r="I54" i="169"/>
  <c r="I214" i="80" s="1"/>
  <c r="J54" i="169"/>
  <c r="G214" i="85"/>
  <c r="I118" i="90" s="1"/>
  <c r="G214" i="79"/>
  <c r="G214" i="80"/>
  <c r="G18" i="106"/>
  <c r="G17" i="106"/>
  <c r="DA307" i="79"/>
  <c r="Q42" i="118"/>
  <c r="G21" i="169"/>
  <c r="C52" i="131"/>
  <c r="EO307" i="79"/>
  <c r="F168" i="76"/>
  <c r="F53" i="76" s="1"/>
  <c r="N187" i="79" s="1"/>
  <c r="O187" i="79" s="1"/>
  <c r="F60" i="76"/>
  <c r="O135" i="134"/>
  <c r="T11" i="134"/>
  <c r="BD296" i="79"/>
  <c r="AO277" i="80"/>
  <c r="EM274" i="79"/>
  <c r="EM281" i="79" s="1"/>
  <c r="CY274" i="79"/>
  <c r="W274" i="79"/>
  <c r="R44" i="82"/>
  <c r="FM249" i="80"/>
  <c r="EU274" i="79"/>
  <c r="AN277" i="79"/>
  <c r="FE270" i="79"/>
  <c r="CB249" i="80"/>
  <c r="EF345" i="79"/>
  <c r="DP345" i="79"/>
  <c r="BT345" i="79"/>
  <c r="AN345" i="79"/>
  <c r="BL345" i="79"/>
  <c r="FD345" i="79"/>
  <c r="P345" i="79"/>
  <c r="O69" i="80"/>
  <c r="CQ69" i="80"/>
  <c r="DQ277" i="79"/>
  <c r="FK194" i="79"/>
  <c r="FM194" i="79" s="1"/>
  <c r="BS194" i="79"/>
  <c r="BC194" i="79"/>
  <c r="DG194" i="79"/>
  <c r="CI194" i="79"/>
  <c r="EU194" i="79"/>
  <c r="CQ296" i="80"/>
  <c r="FC296" i="80"/>
  <c r="DG296" i="80"/>
  <c r="AM296" i="80"/>
  <c r="EM296" i="80"/>
  <c r="AU296" i="80"/>
  <c r="DW296" i="80"/>
  <c r="BS296" i="80"/>
  <c r="O296" i="80"/>
  <c r="AE296" i="80"/>
  <c r="BC296" i="80"/>
  <c r="CI296" i="80"/>
  <c r="FL307" i="80"/>
  <c r="AM281" i="79"/>
  <c r="DG185" i="79"/>
  <c r="AU185" i="79"/>
  <c r="BS185" i="79"/>
  <c r="W185" i="79"/>
  <c r="BK185" i="79"/>
  <c r="BC185" i="79"/>
  <c r="EM185" i="79"/>
  <c r="CA185" i="79"/>
  <c r="CI185" i="79"/>
  <c r="AM276" i="80"/>
  <c r="CQ276" i="80"/>
  <c r="FK306" i="80"/>
  <c r="O306" i="80"/>
  <c r="CI306" i="80"/>
  <c r="BC199" i="79"/>
  <c r="DW178" i="79"/>
  <c r="EM245" i="79"/>
  <c r="W180" i="80"/>
  <c r="J42" i="7"/>
  <c r="J44" i="7" s="1"/>
  <c r="I2" i="106"/>
  <c r="BS103" i="79"/>
  <c r="BS232" i="80"/>
  <c r="BU232" i="80" s="1"/>
  <c r="EU232" i="80"/>
  <c r="R42" i="82"/>
  <c r="K44" i="7"/>
  <c r="G42" i="169"/>
  <c r="J40" i="169"/>
  <c r="H40" i="169"/>
  <c r="I40" i="169"/>
  <c r="G50" i="166"/>
  <c r="AU281" i="79"/>
  <c r="EU103" i="79"/>
  <c r="CQ310" i="79"/>
  <c r="AU310" i="79"/>
  <c r="EE242" i="79"/>
  <c r="W306" i="79"/>
  <c r="BC308" i="79"/>
  <c r="EM306" i="79"/>
  <c r="CA277" i="80"/>
  <c r="CC277" i="80" s="1"/>
  <c r="EE103" i="80"/>
  <c r="G6" i="100"/>
  <c r="K2083" i="97"/>
  <c r="D27" i="160"/>
  <c r="CJ277" i="80"/>
  <c r="O269" i="79"/>
  <c r="CY269" i="79"/>
  <c r="CY493" i="79"/>
  <c r="H85" i="79"/>
  <c r="AM192" i="79"/>
  <c r="AN192" i="79" s="1"/>
  <c r="I23" i="166"/>
  <c r="F43" i="82" s="1"/>
  <c r="J23" i="166"/>
  <c r="H23" i="166"/>
  <c r="H23" i="85" s="1"/>
  <c r="J6" i="90" s="1"/>
  <c r="J18" i="169"/>
  <c r="I18" i="169"/>
  <c r="H18" i="169"/>
  <c r="I41" i="169"/>
  <c r="H41" i="169"/>
  <c r="J41" i="169"/>
  <c r="J201" i="79" s="1"/>
  <c r="H17" i="169"/>
  <c r="J17" i="169"/>
  <c r="I17" i="169"/>
  <c r="L2083" i="97"/>
  <c r="D60" i="160"/>
  <c r="BK248" i="79"/>
  <c r="BS248" i="79"/>
  <c r="CQ182" i="79"/>
  <c r="CQ232" i="80"/>
  <c r="G29" i="100"/>
  <c r="AG278" i="79"/>
  <c r="DP278" i="79"/>
  <c r="DW271" i="79"/>
  <c r="DG281" i="79"/>
  <c r="BK103" i="79"/>
  <c r="CI310" i="79"/>
  <c r="AU269" i="79"/>
  <c r="AU248" i="79"/>
  <c r="CY306" i="79"/>
  <c r="AU89" i="80"/>
  <c r="C102" i="119"/>
  <c r="G30" i="100"/>
  <c r="H22" i="169"/>
  <c r="H182" i="79" s="1"/>
  <c r="J22" i="169"/>
  <c r="J182" i="80" s="1"/>
  <c r="I22" i="169"/>
  <c r="H45" i="169"/>
  <c r="J45" i="169"/>
  <c r="I45" i="169"/>
  <c r="CA310" i="80"/>
  <c r="E5" i="93"/>
  <c r="H24" i="169"/>
  <c r="I24" i="169"/>
  <c r="J24" i="169"/>
  <c r="AE32" i="176"/>
  <c r="B29" i="177" s="1"/>
  <c r="AA29" i="177" s="1"/>
  <c r="L20" i="177"/>
  <c r="L24" i="177" s="1"/>
  <c r="I6" i="106"/>
  <c r="O271" i="80"/>
  <c r="CA103" i="79"/>
  <c r="BC310" i="79"/>
  <c r="BC269" i="79"/>
  <c r="DO310" i="79"/>
  <c r="EE310" i="79"/>
  <c r="DW307" i="79"/>
  <c r="FL277" i="79"/>
  <c r="H3" i="111"/>
  <c r="C135" i="131"/>
  <c r="G47" i="169"/>
  <c r="J46" i="169"/>
  <c r="H46" i="169"/>
  <c r="I46" i="169"/>
  <c r="W232" i="80"/>
  <c r="DG275" i="80"/>
  <c r="H25" i="169"/>
  <c r="H185" i="79" s="1"/>
  <c r="I25" i="169"/>
  <c r="J25" i="169"/>
  <c r="J7" i="106"/>
  <c r="CJ296" i="79"/>
  <c r="EM199" i="79"/>
  <c r="EE184" i="80"/>
  <c r="G114" i="107"/>
  <c r="C94" i="131"/>
  <c r="G46" i="100"/>
  <c r="CC278" i="79"/>
  <c r="CI103" i="79"/>
  <c r="CY103" i="79"/>
  <c r="O222" i="79"/>
  <c r="EE307" i="79"/>
  <c r="EF307" i="79" s="1"/>
  <c r="EU269" i="79"/>
  <c r="O178" i="79"/>
  <c r="BK178" i="79"/>
  <c r="CI199" i="79"/>
  <c r="DO232" i="80"/>
  <c r="F5" i="163"/>
  <c r="E3" i="162"/>
  <c r="G11" i="160"/>
  <c r="G23" i="160"/>
  <c r="G12" i="100"/>
  <c r="G7" i="160"/>
  <c r="G19" i="160"/>
  <c r="G40" i="160"/>
  <c r="G8" i="160"/>
  <c r="G12" i="160"/>
  <c r="G13" i="100"/>
  <c r="C2" i="118"/>
  <c r="G53" i="160"/>
  <c r="G25" i="160"/>
  <c r="G21" i="160"/>
  <c r="G42" i="160"/>
  <c r="G35" i="100"/>
  <c r="G41" i="160"/>
  <c r="G14" i="160"/>
  <c r="G51" i="160"/>
  <c r="G22" i="160"/>
  <c r="G56" i="160"/>
  <c r="G50" i="160"/>
  <c r="G48" i="160"/>
  <c r="G18" i="160"/>
  <c r="G16" i="160"/>
  <c r="G39" i="160"/>
  <c r="G6" i="160"/>
  <c r="G15" i="160"/>
  <c r="G9" i="160"/>
  <c r="G45" i="160"/>
  <c r="G57" i="160"/>
  <c r="G52" i="160"/>
  <c r="G47" i="160"/>
  <c r="G43" i="160"/>
  <c r="G10" i="160"/>
  <c r="G49" i="160"/>
  <c r="G46" i="160"/>
  <c r="G20" i="160"/>
  <c r="G9" i="100"/>
  <c r="G58" i="160"/>
  <c r="G17" i="160"/>
  <c r="G33" i="100"/>
  <c r="G5" i="160"/>
  <c r="G44" i="160"/>
  <c r="G54" i="160"/>
  <c r="G24" i="160"/>
  <c r="G37" i="100"/>
  <c r="G34" i="100"/>
  <c r="G11" i="100"/>
  <c r="G55" i="160"/>
  <c r="G10" i="100"/>
  <c r="G13" i="160"/>
  <c r="G36" i="100"/>
  <c r="N3" i="154"/>
  <c r="O21" i="154" s="1" a="1"/>
  <c r="O21" i="154" s="1"/>
  <c r="I28" i="169"/>
  <c r="I188" i="80" s="1"/>
  <c r="AG188" i="80" s="1"/>
  <c r="H28" i="169"/>
  <c r="J28" i="169"/>
  <c r="I50" i="169"/>
  <c r="H50" i="169"/>
  <c r="J50" i="169"/>
  <c r="G55" i="169"/>
  <c r="G94" i="169"/>
  <c r="O35" i="154"/>
  <c r="BT278" i="79"/>
  <c r="P278" i="79"/>
  <c r="EO296" i="79"/>
  <c r="BS310" i="79"/>
  <c r="DO187" i="79"/>
  <c r="DW232" i="80"/>
  <c r="F77" i="160"/>
  <c r="N5" i="102"/>
  <c r="E21" i="98" s="1"/>
  <c r="I18" i="154"/>
  <c r="G18" i="154"/>
  <c r="CB307" i="79"/>
  <c r="EE271" i="80"/>
  <c r="BD270" i="79"/>
  <c r="CA199" i="79"/>
  <c r="CA178" i="79"/>
  <c r="BL307" i="80"/>
  <c r="G5" i="163"/>
  <c r="F3" i="162"/>
  <c r="D2" i="118"/>
  <c r="O3" i="154"/>
  <c r="H29" i="169"/>
  <c r="I29" i="169"/>
  <c r="I189" i="80" s="1"/>
  <c r="J29" i="169"/>
  <c r="F50" i="123"/>
  <c r="E27" i="93"/>
  <c r="B27" i="167"/>
  <c r="C24" i="167" s="1"/>
  <c r="E24" i="167" s="1"/>
  <c r="G31" i="93"/>
  <c r="F15" i="104"/>
  <c r="AE31" i="176"/>
  <c r="B18" i="177" s="1"/>
  <c r="AA18" i="177" s="1"/>
  <c r="I16" i="166"/>
  <c r="H16" i="166"/>
  <c r="J16" i="166"/>
  <c r="G19" i="166"/>
  <c r="I104" i="166"/>
  <c r="H104" i="166"/>
  <c r="J104" i="166"/>
  <c r="I109" i="166"/>
  <c r="H109" i="166"/>
  <c r="J109" i="166"/>
  <c r="H130" i="166"/>
  <c r="H130" i="79" s="1"/>
  <c r="I130" i="166"/>
  <c r="J130" i="166"/>
  <c r="H124" i="166"/>
  <c r="I124" i="166"/>
  <c r="J124" i="166"/>
  <c r="J124" i="85" s="1"/>
  <c r="L70" i="90" s="1"/>
  <c r="H19" i="171"/>
  <c r="H295" i="80" s="1"/>
  <c r="J19" i="171"/>
  <c r="I19" i="171"/>
  <c r="I295" i="80" s="1"/>
  <c r="G17" i="171"/>
  <c r="H90" i="166"/>
  <c r="H90" i="85" s="1"/>
  <c r="J45" i="90" s="1"/>
  <c r="J90" i="166"/>
  <c r="I90" i="166"/>
  <c r="I87" i="166"/>
  <c r="H87" i="166"/>
  <c r="J87" i="166"/>
  <c r="D44" i="120"/>
  <c r="G72" i="166"/>
  <c r="F41" i="100"/>
  <c r="D57" i="119"/>
  <c r="D76" i="119"/>
  <c r="D93" i="119"/>
  <c r="D114" i="119"/>
  <c r="D117" i="119" s="1"/>
  <c r="H59" i="166"/>
  <c r="J59" i="166"/>
  <c r="J59" i="85" s="1"/>
  <c r="L25" i="90" s="1"/>
  <c r="I59" i="166"/>
  <c r="I68" i="166"/>
  <c r="J68" i="166"/>
  <c r="H68" i="166"/>
  <c r="C27" i="167"/>
  <c r="R42" i="35"/>
  <c r="D17" i="177"/>
  <c r="G295" i="79"/>
  <c r="BC295" i="79" s="1"/>
  <c r="F397" i="162"/>
  <c r="I106" i="166"/>
  <c r="H106" i="166"/>
  <c r="H106" i="80" s="1"/>
  <c r="J106" i="166"/>
  <c r="H125" i="166"/>
  <c r="I125" i="166"/>
  <c r="J125" i="166"/>
  <c r="E397" i="162"/>
  <c r="I153" i="166"/>
  <c r="H153" i="166"/>
  <c r="J153" i="166"/>
  <c r="G47" i="107"/>
  <c r="G16" i="171"/>
  <c r="G22" i="171" s="1"/>
  <c r="G39" i="171" s="1"/>
  <c r="G96" i="169"/>
  <c r="G97" i="169" s="1"/>
  <c r="I18" i="118"/>
  <c r="I23" i="118" s="1"/>
  <c r="G91" i="166" s="1"/>
  <c r="G93" i="166" s="1"/>
  <c r="G73" i="166"/>
  <c r="G73" i="79" s="1"/>
  <c r="J62" i="166"/>
  <c r="I62" i="166"/>
  <c r="H62" i="166"/>
  <c r="H61" i="166"/>
  <c r="I61" i="166"/>
  <c r="J61" i="166"/>
  <c r="J60" i="166"/>
  <c r="I60" i="166"/>
  <c r="H60" i="166"/>
  <c r="H57" i="166"/>
  <c r="I57" i="166"/>
  <c r="J57" i="166"/>
  <c r="BC493" i="79"/>
  <c r="AU493" i="79"/>
  <c r="AM493" i="79"/>
  <c r="O493" i="79"/>
  <c r="W493" i="79"/>
  <c r="FC493" i="79"/>
  <c r="EU493" i="79"/>
  <c r="EM493" i="79"/>
  <c r="EE493" i="79"/>
  <c r="FK493" i="79"/>
  <c r="DW493" i="79"/>
  <c r="DO493" i="79"/>
  <c r="DG493" i="79"/>
  <c r="CI493" i="79"/>
  <c r="CA493" i="79"/>
  <c r="BS493" i="79"/>
  <c r="H42" i="7"/>
  <c r="H44" i="7" s="1"/>
  <c r="B34" i="83"/>
  <c r="AA34" i="83" s="1"/>
  <c r="R6" i="82" s="1"/>
  <c r="B17" i="83"/>
  <c r="R45" i="82" s="1"/>
  <c r="B18" i="83"/>
  <c r="B29" i="83"/>
  <c r="AA29" i="83" s="1"/>
  <c r="G18" i="35"/>
  <c r="D21" i="82"/>
  <c r="D22" i="82" s="1"/>
  <c r="G370" i="85"/>
  <c r="I181" i="90" s="1"/>
  <c r="E15" i="82"/>
  <c r="F15" i="82"/>
  <c r="F18" i="35"/>
  <c r="O373" i="79"/>
  <c r="DG375" i="79"/>
  <c r="AU375" i="79"/>
  <c r="G378" i="79"/>
  <c r="CQ375" i="79"/>
  <c r="AM375" i="79"/>
  <c r="O375" i="79"/>
  <c r="CY375" i="79"/>
  <c r="AE375" i="79"/>
  <c r="CA375" i="79"/>
  <c r="EU375" i="79"/>
  <c r="W375" i="79"/>
  <c r="FC375" i="79"/>
  <c r="EM375" i="79"/>
  <c r="CI375" i="79"/>
  <c r="DW375" i="79"/>
  <c r="BS375" i="79"/>
  <c r="BK375" i="79"/>
  <c r="FK375" i="79"/>
  <c r="EE375" i="79"/>
  <c r="DO375" i="79"/>
  <c r="BC375" i="79"/>
  <c r="EU376" i="79"/>
  <c r="AM376" i="79"/>
  <c r="W376" i="79"/>
  <c r="EM376" i="79"/>
  <c r="DO376" i="79"/>
  <c r="FK376" i="79"/>
  <c r="CY376" i="79"/>
  <c r="AE376" i="79"/>
  <c r="CI376" i="79"/>
  <c r="FC376" i="79"/>
  <c r="CQ376" i="79"/>
  <c r="CA376" i="79"/>
  <c r="BC376" i="79"/>
  <c r="AU376" i="79"/>
  <c r="DG376" i="79"/>
  <c r="EE376" i="79"/>
  <c r="BS376" i="79"/>
  <c r="DW376" i="79"/>
  <c r="BK376" i="79"/>
  <c r="O376" i="79"/>
  <c r="EM374" i="80"/>
  <c r="AU374" i="80"/>
  <c r="CA374" i="80"/>
  <c r="W373" i="79"/>
  <c r="EU373" i="79"/>
  <c r="BS371" i="79"/>
  <c r="EE371" i="79"/>
  <c r="FC371" i="79"/>
  <c r="E14" i="82"/>
  <c r="G371" i="85"/>
  <c r="I182" i="90" s="1"/>
  <c r="BC374" i="80"/>
  <c r="CI374" i="80"/>
  <c r="CI373" i="79"/>
  <c r="FC373" i="79"/>
  <c r="CA371" i="79"/>
  <c r="EM371" i="79"/>
  <c r="F14" i="82"/>
  <c r="D21" i="35"/>
  <c r="E18" i="35"/>
  <c r="H370" i="85" s="1"/>
  <c r="J181" i="90" s="1"/>
  <c r="O374" i="80"/>
  <c r="G376" i="80"/>
  <c r="EU374" i="80"/>
  <c r="DG374" i="80"/>
  <c r="AM373" i="79"/>
  <c r="AE373" i="79"/>
  <c r="CA373" i="79"/>
  <c r="AU371" i="79"/>
  <c r="DO371" i="79"/>
  <c r="O371" i="79"/>
  <c r="W374" i="80"/>
  <c r="FC374" i="80"/>
  <c r="DO374" i="80"/>
  <c r="DO373" i="79"/>
  <c r="BC373" i="79"/>
  <c r="DG373" i="79"/>
  <c r="DG378" i="79" s="1"/>
  <c r="BC371" i="79"/>
  <c r="BK371" i="79"/>
  <c r="G375" i="80"/>
  <c r="CY374" i="80"/>
  <c r="AE374" i="80"/>
  <c r="FK374" i="80"/>
  <c r="DW374" i="80"/>
  <c r="DW373" i="79"/>
  <c r="DW378" i="79" s="1"/>
  <c r="BK373" i="79"/>
  <c r="EM373" i="79"/>
  <c r="W371" i="79"/>
  <c r="FK371" i="79"/>
  <c r="CQ371" i="79"/>
  <c r="AM374" i="80"/>
  <c r="BS374" i="80"/>
  <c r="EE373" i="79"/>
  <c r="AE371" i="79"/>
  <c r="CY371" i="79"/>
  <c r="H348" i="80"/>
  <c r="AF348" i="80" s="1"/>
  <c r="CB348" i="80"/>
  <c r="EN348" i="80"/>
  <c r="X348" i="80"/>
  <c r="H348" i="79"/>
  <c r="D5" i="172"/>
  <c r="D6" i="172" s="1"/>
  <c r="E5" i="172"/>
  <c r="E6" i="172" s="1"/>
  <c r="F5" i="172"/>
  <c r="F6" i="172" s="1"/>
  <c r="G5" i="172"/>
  <c r="G6" i="172" s="1"/>
  <c r="C5" i="172"/>
  <c r="C6" i="172" s="1"/>
  <c r="AM310" i="80"/>
  <c r="AM295" i="79"/>
  <c r="CZ307" i="79"/>
  <c r="EG307" i="80"/>
  <c r="BE307" i="80"/>
  <c r="DY307" i="80"/>
  <c r="FM307" i="80"/>
  <c r="EE310" i="80"/>
  <c r="EU305" i="80"/>
  <c r="BK307" i="79"/>
  <c r="DO307" i="79"/>
  <c r="BC305" i="80"/>
  <c r="BC313" i="80" s="1"/>
  <c r="FC305" i="80"/>
  <c r="CY305" i="80"/>
  <c r="DA307" i="80"/>
  <c r="AV307" i="80"/>
  <c r="DI307" i="80"/>
  <c r="AN307" i="79"/>
  <c r="EV307" i="80"/>
  <c r="BU307" i="80"/>
  <c r="DX307" i="80"/>
  <c r="CB307" i="80"/>
  <c r="Y296" i="79"/>
  <c r="EF307" i="80"/>
  <c r="EM310" i="80"/>
  <c r="BS310" i="80"/>
  <c r="BS313" i="80" s="1"/>
  <c r="FK310" i="80"/>
  <c r="EU310" i="80"/>
  <c r="X309" i="80"/>
  <c r="AU307" i="79"/>
  <c r="AU305" i="80"/>
  <c r="EM305" i="80"/>
  <c r="EM313" i="80" s="1"/>
  <c r="CC307" i="79"/>
  <c r="AN307" i="80"/>
  <c r="AG307" i="80"/>
  <c r="CJ307" i="80"/>
  <c r="CL307" i="80" s="1"/>
  <c r="EO307" i="80"/>
  <c r="EN296" i="79"/>
  <c r="DH307" i="80"/>
  <c r="BM307" i="80"/>
  <c r="EG307" i="79"/>
  <c r="CJ309" i="80"/>
  <c r="FC310" i="80"/>
  <c r="CA305" i="80"/>
  <c r="CA313" i="80" s="1"/>
  <c r="EU307" i="79"/>
  <c r="BC307" i="79"/>
  <c r="BC313" i="79" s="1"/>
  <c r="DG305" i="80"/>
  <c r="DG313" i="80" s="1"/>
  <c r="W305" i="80"/>
  <c r="BS307" i="79"/>
  <c r="CY295" i="79"/>
  <c r="DA295" i="79" s="1"/>
  <c r="O295" i="79"/>
  <c r="P295" i="79" s="1"/>
  <c r="P307" i="80"/>
  <c r="BT307" i="80"/>
  <c r="EN307" i="80"/>
  <c r="BE296" i="79"/>
  <c r="DG310" i="80"/>
  <c r="FK307" i="79"/>
  <c r="AE307" i="79"/>
  <c r="DO305" i="80"/>
  <c r="DO313" i="80" s="1"/>
  <c r="EE305" i="80"/>
  <c r="DG307" i="79"/>
  <c r="BD307" i="80"/>
  <c r="Y307" i="80"/>
  <c r="EW307" i="80"/>
  <c r="Q307" i="80"/>
  <c r="CZ307" i="80"/>
  <c r="FE307" i="80"/>
  <c r="AO307" i="80"/>
  <c r="CY310" i="80"/>
  <c r="AG309" i="80"/>
  <c r="G313" i="80"/>
  <c r="DO310" i="80"/>
  <c r="CQ310" i="80"/>
  <c r="BK310" i="80"/>
  <c r="BK313" i="80" s="1"/>
  <c r="CI310" i="80"/>
  <c r="CQ307" i="79"/>
  <c r="CQ305" i="80"/>
  <c r="CI307" i="79"/>
  <c r="AU310" i="80"/>
  <c r="AU313" i="80" s="1"/>
  <c r="K296" i="80"/>
  <c r="CC307" i="80"/>
  <c r="CS307" i="80"/>
  <c r="CT307" i="80" s="1"/>
  <c r="AW307" i="80"/>
  <c r="DQ307" i="80"/>
  <c r="DR307" i="80" s="1"/>
  <c r="AF307" i="80"/>
  <c r="EV309" i="80"/>
  <c r="O310" i="80"/>
  <c r="W310" i="80"/>
  <c r="DW310" i="80"/>
  <c r="DW313" i="80" s="1"/>
  <c r="W307" i="79"/>
  <c r="FC307" i="79"/>
  <c r="FD307" i="79" s="1"/>
  <c r="O305" i="80"/>
  <c r="CI305" i="80"/>
  <c r="DH309" i="79"/>
  <c r="P296" i="79"/>
  <c r="BL296" i="79"/>
  <c r="FD307" i="80"/>
  <c r="BE309" i="79"/>
  <c r="BD309" i="79"/>
  <c r="P307" i="79"/>
  <c r="EN307" i="79"/>
  <c r="FC313" i="80"/>
  <c r="CI309" i="79"/>
  <c r="FC309" i="79"/>
  <c r="CQ309" i="79"/>
  <c r="W309" i="79"/>
  <c r="BS309" i="79"/>
  <c r="BK309" i="79"/>
  <c r="DI309" i="79"/>
  <c r="AE309" i="79"/>
  <c r="AE313" i="79" s="1"/>
  <c r="EM309" i="79"/>
  <c r="BM296" i="79"/>
  <c r="O309" i="79"/>
  <c r="O313" i="79" s="1"/>
  <c r="AU309" i="79"/>
  <c r="AU313" i="79" s="1"/>
  <c r="EE309" i="79"/>
  <c r="EE313" i="79" s="1"/>
  <c r="CA309" i="79"/>
  <c r="FE307" i="79"/>
  <c r="DW309" i="79"/>
  <c r="EU309" i="79"/>
  <c r="CY309" i="79"/>
  <c r="FK309" i="79"/>
  <c r="AM309" i="79"/>
  <c r="AM313" i="79" s="1"/>
  <c r="Q295" i="79"/>
  <c r="DO309" i="79"/>
  <c r="G313" i="79"/>
  <c r="CZ270" i="79"/>
  <c r="DA270" i="79"/>
  <c r="X270" i="79"/>
  <c r="Z270" i="79" s="1"/>
  <c r="AN270" i="79"/>
  <c r="EN270" i="79"/>
  <c r="DO281" i="79"/>
  <c r="AG277" i="80"/>
  <c r="AV277" i="80"/>
  <c r="AU280" i="80"/>
  <c r="CA280" i="80"/>
  <c r="AU276" i="80"/>
  <c r="CY276" i="80"/>
  <c r="BU270" i="79"/>
  <c r="P270" i="79"/>
  <c r="AO277" i="79"/>
  <c r="EO270" i="79"/>
  <c r="CS277" i="80"/>
  <c r="DI277" i="80"/>
  <c r="DJ277" i="80" s="1"/>
  <c r="EN277" i="80"/>
  <c r="W280" i="80"/>
  <c r="AE280" i="80"/>
  <c r="AE281" i="80" s="1"/>
  <c r="O276" i="80"/>
  <c r="O281" i="80" s="1"/>
  <c r="O283" i="80" s="1"/>
  <c r="O328" i="80" s="1"/>
  <c r="W276" i="80"/>
  <c r="EM276" i="80"/>
  <c r="DO276" i="80"/>
  <c r="FK276" i="80"/>
  <c r="W281" i="79"/>
  <c r="W271" i="80"/>
  <c r="DW271" i="80"/>
  <c r="EF270" i="79"/>
  <c r="BM270" i="79"/>
  <c r="BN270" i="79" s="1"/>
  <c r="Q270" i="79"/>
  <c r="AG270" i="79"/>
  <c r="FL270" i="79"/>
  <c r="AO270" i="79"/>
  <c r="Y277" i="80"/>
  <c r="AF277" i="80"/>
  <c r="BL277" i="80"/>
  <c r="DA277" i="80"/>
  <c r="DB277" i="80" s="1"/>
  <c r="DY277" i="80"/>
  <c r="G281" i="80"/>
  <c r="G283" i="80" s="1"/>
  <c r="G328" i="80" s="1"/>
  <c r="FK280" i="80"/>
  <c r="EU276" i="80"/>
  <c r="FC276" i="80"/>
  <c r="FC281" i="80" s="1"/>
  <c r="DW276" i="80"/>
  <c r="EE281" i="79"/>
  <c r="EM280" i="80"/>
  <c r="BK271" i="80"/>
  <c r="AW270" i="79"/>
  <c r="CK270" i="79"/>
  <c r="EW270" i="79"/>
  <c r="EX270" i="79" s="1"/>
  <c r="DP277" i="80"/>
  <c r="X277" i="80"/>
  <c r="EO277" i="80"/>
  <c r="FM270" i="79"/>
  <c r="DX277" i="80"/>
  <c r="DW280" i="80"/>
  <c r="EE280" i="80"/>
  <c r="BK276" i="80"/>
  <c r="BK281" i="80" s="1"/>
  <c r="BK283" i="80" s="1"/>
  <c r="BK328" i="80" s="1"/>
  <c r="DO280" i="80"/>
  <c r="CI281" i="79"/>
  <c r="O280" i="80"/>
  <c r="CC270" i="79"/>
  <c r="CD270" i="79" s="1"/>
  <c r="AV270" i="79"/>
  <c r="BE270" i="79"/>
  <c r="CS270" i="79"/>
  <c r="DQ270" i="79"/>
  <c r="EW277" i="80"/>
  <c r="DY270" i="79"/>
  <c r="BL278" i="79"/>
  <c r="BN278" i="79" s="1"/>
  <c r="DQ278" i="79"/>
  <c r="DR278" i="79" s="1"/>
  <c r="CY280" i="80"/>
  <c r="DW281" i="80"/>
  <c r="CZ277" i="79"/>
  <c r="BL277" i="79"/>
  <c r="AE276" i="80"/>
  <c r="FC281" i="79"/>
  <c r="K270" i="80"/>
  <c r="DH270" i="80" s="1"/>
  <c r="O271" i="79"/>
  <c r="O283" i="79" s="1"/>
  <c r="O328" i="79" s="1"/>
  <c r="AE271" i="80"/>
  <c r="BC271" i="80"/>
  <c r="AM281" i="80"/>
  <c r="AM283" i="80" s="1"/>
  <c r="AM328" i="80" s="1"/>
  <c r="DP270" i="79"/>
  <c r="AF270" i="79"/>
  <c r="CR270" i="79"/>
  <c r="BT270" i="79"/>
  <c r="FD270" i="79"/>
  <c r="BE270" i="80"/>
  <c r="DQ277" i="80"/>
  <c r="EV277" i="80"/>
  <c r="AN277" i="80"/>
  <c r="FM277" i="79"/>
  <c r="FN277" i="79" s="1"/>
  <c r="AW277" i="80"/>
  <c r="FE277" i="80"/>
  <c r="CR270" i="80"/>
  <c r="CQ280" i="80"/>
  <c r="CQ281" i="80" s="1"/>
  <c r="CQ283" i="80" s="1"/>
  <c r="CQ328" i="80" s="1"/>
  <c r="DG276" i="80"/>
  <c r="DG281" i="80" s="1"/>
  <c r="DG283" i="80" s="1"/>
  <c r="DG328" i="80" s="1"/>
  <c r="CA276" i="80"/>
  <c r="BT277" i="80"/>
  <c r="BS281" i="79"/>
  <c r="DW283" i="79"/>
  <c r="DW328" i="79" s="1"/>
  <c r="AM280" i="80"/>
  <c r="DH270" i="79"/>
  <c r="CJ270" i="79"/>
  <c r="DI270" i="79"/>
  <c r="BM277" i="80"/>
  <c r="CR277" i="80"/>
  <c r="P277" i="80"/>
  <c r="EG277" i="80"/>
  <c r="CB277" i="80"/>
  <c r="EO270" i="80"/>
  <c r="FC271" i="80"/>
  <c r="CI280" i="80"/>
  <c r="EU280" i="80"/>
  <c r="EU281" i="80" s="1"/>
  <c r="BS280" i="80"/>
  <c r="BS281" i="80" s="1"/>
  <c r="CI276" i="80"/>
  <c r="EE276" i="80"/>
  <c r="DW283" i="80"/>
  <c r="DW328" i="80" s="1"/>
  <c r="FM278" i="79"/>
  <c r="FK281" i="79"/>
  <c r="FL278" i="79"/>
  <c r="CI271" i="79"/>
  <c r="CI283" i="79" s="1"/>
  <c r="CI328" i="79" s="1"/>
  <c r="CY281" i="79"/>
  <c r="EG270" i="79"/>
  <c r="AM268" i="79"/>
  <c r="AM271" i="79" s="1"/>
  <c r="AM283" i="79" s="1"/>
  <c r="AM328" i="79" s="1"/>
  <c r="FK268" i="79"/>
  <c r="EM283" i="79"/>
  <c r="EM328" i="79" s="1"/>
  <c r="DA277" i="79"/>
  <c r="DX278" i="80"/>
  <c r="G271" i="79"/>
  <c r="G283" i="79" s="1"/>
  <c r="G328" i="79" s="1"/>
  <c r="AE268" i="79"/>
  <c r="AE271" i="79" s="1"/>
  <c r="AE283" i="79" s="1"/>
  <c r="AE328" i="79" s="1"/>
  <c r="AU268" i="79"/>
  <c r="AU271" i="79" s="1"/>
  <c r="AU283" i="79" s="1"/>
  <c r="AU328" i="79" s="1"/>
  <c r="EE268" i="79"/>
  <c r="EE271" i="79" s="1"/>
  <c r="EE283" i="79" s="1"/>
  <c r="EE328" i="79" s="1"/>
  <c r="BM277" i="79"/>
  <c r="CR278" i="79"/>
  <c r="CT278" i="79" s="1"/>
  <c r="BC268" i="79"/>
  <c r="BC271" i="79" s="1"/>
  <c r="BC283" i="79" s="1"/>
  <c r="BC328" i="79" s="1"/>
  <c r="BK281" i="79"/>
  <c r="BK268" i="79"/>
  <c r="BK271" i="79" s="1"/>
  <c r="DG268" i="79"/>
  <c r="DG271" i="79" s="1"/>
  <c r="DG283" i="79" s="1"/>
  <c r="DG328" i="79" s="1"/>
  <c r="DO268" i="79"/>
  <c r="DO271" i="79" s="1"/>
  <c r="DO283" i="79" s="1"/>
  <c r="DO328" i="79" s="1"/>
  <c r="FC268" i="79"/>
  <c r="FC271" i="79" s="1"/>
  <c r="CQ268" i="79"/>
  <c r="CQ271" i="79" s="1"/>
  <c r="CQ283" i="79" s="1"/>
  <c r="CQ328" i="79" s="1"/>
  <c r="CA268" i="79"/>
  <c r="CA271" i="79" s="1"/>
  <c r="CA283" i="79" s="1"/>
  <c r="CA328" i="79" s="1"/>
  <c r="EU281" i="79"/>
  <c r="FK271" i="79"/>
  <c r="FK283" i="79" s="1"/>
  <c r="FK328" i="79" s="1"/>
  <c r="EV270" i="80"/>
  <c r="EM268" i="79"/>
  <c r="EM271" i="79" s="1"/>
  <c r="FK271" i="80"/>
  <c r="BU277" i="80"/>
  <c r="EU271" i="80"/>
  <c r="EU268" i="79"/>
  <c r="EU271" i="79" s="1"/>
  <c r="W268" i="79"/>
  <c r="W271" i="79" s="1"/>
  <c r="CY268" i="79"/>
  <c r="CY271" i="79" s="1"/>
  <c r="BS268" i="79"/>
  <c r="BS271" i="79" s="1"/>
  <c r="BS283" i="79" s="1"/>
  <c r="BS328" i="79" s="1"/>
  <c r="AN278" i="80"/>
  <c r="Y278" i="80"/>
  <c r="FE278" i="80"/>
  <c r="BL278" i="80"/>
  <c r="EN278" i="80"/>
  <c r="CC278" i="80"/>
  <c r="CJ278" i="80"/>
  <c r="BE278" i="80"/>
  <c r="BT278" i="80"/>
  <c r="DY278" i="80"/>
  <c r="DQ278" i="80"/>
  <c r="EO278" i="80"/>
  <c r="CB278" i="80"/>
  <c r="CK278" i="80"/>
  <c r="X278" i="80"/>
  <c r="EF278" i="80"/>
  <c r="CS278" i="80"/>
  <c r="AG278" i="80"/>
  <c r="AW278" i="80"/>
  <c r="AO278" i="80"/>
  <c r="CZ278" i="80"/>
  <c r="AF278" i="80"/>
  <c r="FM278" i="80"/>
  <c r="BU278" i="80"/>
  <c r="Q278" i="80"/>
  <c r="FL278" i="80"/>
  <c r="P278" i="80"/>
  <c r="EW278" i="80"/>
  <c r="DI278" i="80"/>
  <c r="EG278" i="80"/>
  <c r="AV278" i="80"/>
  <c r="CR278" i="80"/>
  <c r="FD278" i="80"/>
  <c r="DP278" i="80"/>
  <c r="BE277" i="80"/>
  <c r="BD277" i="80"/>
  <c r="BC281" i="80"/>
  <c r="BC283" i="80" s="1"/>
  <c r="BC328" i="80" s="1"/>
  <c r="EV278" i="80"/>
  <c r="BT270" i="80"/>
  <c r="BS271" i="80"/>
  <c r="BU270" i="80"/>
  <c r="BD278" i="80"/>
  <c r="BM278" i="80"/>
  <c r="DA278" i="80"/>
  <c r="Q277" i="80"/>
  <c r="FD276" i="79"/>
  <c r="DX270" i="79"/>
  <c r="AG276" i="79"/>
  <c r="CR194" i="79"/>
  <c r="CT194" i="79" s="1"/>
  <c r="FL194" i="79"/>
  <c r="FN194" i="79" s="1"/>
  <c r="AO180" i="80"/>
  <c r="AP180" i="80" s="1"/>
  <c r="X194" i="79"/>
  <c r="AO194" i="79"/>
  <c r="DA194" i="79"/>
  <c r="Y194" i="79"/>
  <c r="FD194" i="79"/>
  <c r="EF194" i="79"/>
  <c r="Q194" i="79"/>
  <c r="R194" i="79" s="1"/>
  <c r="BU194" i="79"/>
  <c r="CZ194" i="79"/>
  <c r="AN194" i="79"/>
  <c r="EV194" i="79"/>
  <c r="DP194" i="79"/>
  <c r="DR194" i="79" s="1"/>
  <c r="BT194" i="79"/>
  <c r="AW194" i="79"/>
  <c r="EG194" i="79"/>
  <c r="AG194" i="79"/>
  <c r="CC194" i="79"/>
  <c r="EW194" i="79"/>
  <c r="DY194" i="79"/>
  <c r="AF194" i="79"/>
  <c r="CB194" i="79"/>
  <c r="FE194" i="79"/>
  <c r="DX194" i="79"/>
  <c r="P195" i="79"/>
  <c r="R195" i="79" s="1"/>
  <c r="AV194" i="79"/>
  <c r="BM194" i="79"/>
  <c r="BL194" i="79"/>
  <c r="FK207" i="79"/>
  <c r="EO194" i="79"/>
  <c r="FE195" i="80"/>
  <c r="FF195" i="80" s="1"/>
  <c r="FL226" i="79"/>
  <c r="CQ195" i="79"/>
  <c r="DI195" i="79"/>
  <c r="Y195" i="79"/>
  <c r="EM207" i="80"/>
  <c r="CB241" i="80"/>
  <c r="CC241" i="80"/>
  <c r="DQ247" i="80"/>
  <c r="DP247" i="80"/>
  <c r="AG245" i="79"/>
  <c r="AF245" i="79"/>
  <c r="DW244" i="80"/>
  <c r="O244" i="80"/>
  <c r="EU244" i="80"/>
  <c r="DO244" i="80"/>
  <c r="EM244" i="80"/>
  <c r="DG244" i="80"/>
  <c r="EE244" i="80"/>
  <c r="CQ244" i="80"/>
  <c r="FC244" i="80"/>
  <c r="BC244" i="80"/>
  <c r="CI244" i="80"/>
  <c r="FK244" i="80"/>
  <c r="AE244" i="80"/>
  <c r="CY244" i="80"/>
  <c r="CA244" i="80"/>
  <c r="BS244" i="80"/>
  <c r="BK244" i="80"/>
  <c r="AU244" i="80"/>
  <c r="W228" i="80"/>
  <c r="O228" i="80"/>
  <c r="AE228" i="80"/>
  <c r="CA228" i="80"/>
  <c r="BC228" i="80"/>
  <c r="FC228" i="80"/>
  <c r="DG228" i="80"/>
  <c r="AM228" i="80"/>
  <c r="EM228" i="80"/>
  <c r="DO228" i="80"/>
  <c r="CQ228" i="80"/>
  <c r="BK228" i="80"/>
  <c r="AU228" i="80"/>
  <c r="BS228" i="80"/>
  <c r="CY228" i="80"/>
  <c r="FK228" i="80"/>
  <c r="DW228" i="80"/>
  <c r="CI228" i="80"/>
  <c r="EU228" i="80"/>
  <c r="FK231" i="80"/>
  <c r="FL231" i="80" s="1"/>
  <c r="AU231" i="80"/>
  <c r="EM231" i="80"/>
  <c r="FC231" i="80"/>
  <c r="FD231" i="80" s="1"/>
  <c r="EE231" i="80"/>
  <c r="BK231" i="80"/>
  <c r="CA231" i="80"/>
  <c r="O231" i="80"/>
  <c r="CQ231" i="80"/>
  <c r="CR231" i="80" s="1"/>
  <c r="BS231" i="80"/>
  <c r="AE231" i="80"/>
  <c r="CY231" i="80"/>
  <c r="AM231" i="80"/>
  <c r="CI231" i="80"/>
  <c r="CJ231" i="80" s="1"/>
  <c r="DG231" i="80"/>
  <c r="W231" i="80"/>
  <c r="DW231" i="80"/>
  <c r="DX231" i="80" s="1"/>
  <c r="DO231" i="80"/>
  <c r="DP231" i="80" s="1"/>
  <c r="BC231" i="80"/>
  <c r="EM226" i="80"/>
  <c r="BS226" i="80"/>
  <c r="AU226" i="80"/>
  <c r="DO226" i="80"/>
  <c r="FK226" i="80"/>
  <c r="EE226" i="80"/>
  <c r="BC226" i="80"/>
  <c r="DG226" i="80"/>
  <c r="DW226" i="80"/>
  <c r="CA226" i="80"/>
  <c r="CA211" i="80"/>
  <c r="CC211" i="80" s="1"/>
  <c r="DW211" i="80"/>
  <c r="EU211" i="80"/>
  <c r="BS211" i="80"/>
  <c r="AM211" i="80"/>
  <c r="AU211" i="80"/>
  <c r="CI211" i="80"/>
  <c r="BK211" i="80"/>
  <c r="CQ211" i="80"/>
  <c r="CS211" i="80" s="1"/>
  <c r="FK211" i="80"/>
  <c r="FM211" i="80" s="1"/>
  <c r="DO211" i="80"/>
  <c r="CY211" i="80"/>
  <c r="W211" i="80"/>
  <c r="Y211" i="80" s="1"/>
  <c r="BC211" i="80"/>
  <c r="FC211" i="80"/>
  <c r="O211" i="80"/>
  <c r="Q211" i="80" s="1"/>
  <c r="EE211" i="80"/>
  <c r="EG211" i="80" s="1"/>
  <c r="EM211" i="80"/>
  <c r="EE228" i="80"/>
  <c r="G215" i="80"/>
  <c r="FC226" i="80"/>
  <c r="DG211" i="80"/>
  <c r="DI211" i="80" s="1"/>
  <c r="CQ226" i="80"/>
  <c r="CA252" i="79"/>
  <c r="BK252" i="79"/>
  <c r="DW252" i="79"/>
  <c r="BS252" i="79"/>
  <c r="EE252" i="79"/>
  <c r="FC252" i="79"/>
  <c r="W252" i="79"/>
  <c r="EU252" i="79"/>
  <c r="DG252" i="79"/>
  <c r="AM252" i="79"/>
  <c r="CQ246" i="79"/>
  <c r="BC246" i="79"/>
  <c r="EE246" i="79"/>
  <c r="EG246" i="79" s="1"/>
  <c r="FK246" i="79"/>
  <c r="CY246" i="79"/>
  <c r="BK246" i="79"/>
  <c r="BM246" i="79" s="1"/>
  <c r="EM246" i="79"/>
  <c r="DG246" i="79"/>
  <c r="O246" i="79"/>
  <c r="W246" i="79"/>
  <c r="BS246" i="79"/>
  <c r="BU246" i="79" s="1"/>
  <c r="AE246" i="79"/>
  <c r="DO246" i="79"/>
  <c r="CA246" i="79"/>
  <c r="AM246" i="79"/>
  <c r="AU246" i="79"/>
  <c r="AU243" i="79"/>
  <c r="O243" i="79"/>
  <c r="DO243" i="79"/>
  <c r="EM243" i="79"/>
  <c r="CA243" i="79"/>
  <c r="FK243" i="79"/>
  <c r="EE243" i="79"/>
  <c r="CI243" i="79"/>
  <c r="BK221" i="79"/>
  <c r="CA221" i="79"/>
  <c r="AU221" i="79"/>
  <c r="EU221" i="79"/>
  <c r="FC221" i="79"/>
  <c r="AM221" i="79"/>
  <c r="CQ221" i="79"/>
  <c r="W221" i="79"/>
  <c r="EM221" i="79"/>
  <c r="BC221" i="79"/>
  <c r="CY221" i="79"/>
  <c r="AE221" i="79"/>
  <c r="CI221" i="79"/>
  <c r="BS221" i="79"/>
  <c r="EE221" i="79"/>
  <c r="DQ226" i="79"/>
  <c r="CB226" i="79"/>
  <c r="BU226" i="79"/>
  <c r="DH226" i="79"/>
  <c r="FM226" i="79"/>
  <c r="DI226" i="79"/>
  <c r="BE226" i="79"/>
  <c r="EW226" i="79"/>
  <c r="CS226" i="79"/>
  <c r="CJ226" i="79"/>
  <c r="EV226" i="79"/>
  <c r="BT226" i="79"/>
  <c r="AF226" i="79"/>
  <c r="CR226" i="79"/>
  <c r="BL226" i="79"/>
  <c r="Y226" i="79"/>
  <c r="FD226" i="79"/>
  <c r="DP226" i="79"/>
  <c r="BD226" i="79"/>
  <c r="X226" i="79"/>
  <c r="DA226" i="79"/>
  <c r="DB226" i="79" s="1"/>
  <c r="CC226" i="79"/>
  <c r="BM226" i="79"/>
  <c r="AW226" i="79"/>
  <c r="AX226" i="79" s="1"/>
  <c r="EN226" i="79"/>
  <c r="K211" i="79"/>
  <c r="CJ211" i="79" s="1"/>
  <c r="AG211" i="79"/>
  <c r="EG211" i="79"/>
  <c r="CK211" i="79"/>
  <c r="DG188" i="79"/>
  <c r="W188" i="79"/>
  <c r="EM188" i="79"/>
  <c r="CI188" i="79"/>
  <c r="EU188" i="79"/>
  <c r="FC188" i="79"/>
  <c r="CA188" i="79"/>
  <c r="EE188" i="79"/>
  <c r="FK188" i="79"/>
  <c r="DW188" i="79"/>
  <c r="AE188" i="79"/>
  <c r="O188" i="79"/>
  <c r="AM188" i="79"/>
  <c r="CQ180" i="79"/>
  <c r="AE180" i="79"/>
  <c r="AU180" i="79"/>
  <c r="DG176" i="79"/>
  <c r="DW176" i="79"/>
  <c r="FC176" i="79"/>
  <c r="AU176" i="79"/>
  <c r="DO176" i="79"/>
  <c r="W176" i="79"/>
  <c r="Y176" i="79" s="1"/>
  <c r="FK176" i="79"/>
  <c r="CI176" i="79"/>
  <c r="CY176" i="79"/>
  <c r="CQ176" i="79"/>
  <c r="CA176" i="79"/>
  <c r="EU176" i="79"/>
  <c r="AM176" i="79"/>
  <c r="O176" i="79"/>
  <c r="BK176" i="79"/>
  <c r="BC176" i="79"/>
  <c r="BD176" i="79" s="1"/>
  <c r="DH195" i="79"/>
  <c r="EN194" i="79"/>
  <c r="X195" i="79"/>
  <c r="DP241" i="80"/>
  <c r="DQ241" i="80"/>
  <c r="AM244" i="80"/>
  <c r="EU231" i="80"/>
  <c r="CK247" i="79"/>
  <c r="CJ247" i="79"/>
  <c r="AG211" i="80"/>
  <c r="DI194" i="79"/>
  <c r="DH194" i="79"/>
  <c r="BE194" i="79"/>
  <c r="BD194" i="79"/>
  <c r="AV241" i="79"/>
  <c r="AW241" i="79"/>
  <c r="FM182" i="80"/>
  <c r="AV182" i="80"/>
  <c r="K182" i="80"/>
  <c r="EV182" i="80" s="1"/>
  <c r="DX182" i="80"/>
  <c r="EN212" i="80"/>
  <c r="BD195" i="80"/>
  <c r="BE195" i="80"/>
  <c r="BM182" i="80"/>
  <c r="CJ241" i="79"/>
  <c r="CS241" i="79"/>
  <c r="CT241" i="79" s="1"/>
  <c r="Q241" i="79"/>
  <c r="Y241" i="79"/>
  <c r="DH241" i="79"/>
  <c r="DJ241" i="79" s="1"/>
  <c r="EW241" i="79"/>
  <c r="EO241" i="79"/>
  <c r="CC241" i="79"/>
  <c r="X241" i="79"/>
  <c r="EG241" i="79"/>
  <c r="BD241" i="79"/>
  <c r="EF241" i="79"/>
  <c r="FE241" i="79"/>
  <c r="FF241" i="79" s="1"/>
  <c r="EV241" i="79"/>
  <c r="AF241" i="79"/>
  <c r="AH241" i="79" s="1"/>
  <c r="DP241" i="79"/>
  <c r="BE241" i="79"/>
  <c r="DQ241" i="79"/>
  <c r="P241" i="79"/>
  <c r="CK241" i="79"/>
  <c r="EN241" i="79"/>
  <c r="EG241" i="80"/>
  <c r="EO241" i="80"/>
  <c r="CK241" i="80"/>
  <c r="DH241" i="80"/>
  <c r="BD241" i="80"/>
  <c r="AW241" i="80"/>
  <c r="FL241" i="80"/>
  <c r="EN241" i="80"/>
  <c r="FM241" i="80"/>
  <c r="CJ241" i="80"/>
  <c r="AV241" i="80"/>
  <c r="BM241" i="80"/>
  <c r="AF241" i="80"/>
  <c r="BL241" i="80"/>
  <c r="BE241" i="80"/>
  <c r="X241" i="80"/>
  <c r="Y241" i="80"/>
  <c r="DY241" i="80"/>
  <c r="AN241" i="80"/>
  <c r="DX241" i="80"/>
  <c r="P241" i="80"/>
  <c r="R241" i="80" s="1"/>
  <c r="CR241" i="80"/>
  <c r="CT241" i="80" s="1"/>
  <c r="AU195" i="80"/>
  <c r="W195" i="80"/>
  <c r="DW195" i="80"/>
  <c r="DX195" i="80" s="1"/>
  <c r="CY195" i="80"/>
  <c r="BK195" i="80"/>
  <c r="FK195" i="80"/>
  <c r="AE195" i="80"/>
  <c r="DO195" i="80"/>
  <c r="BS195" i="80"/>
  <c r="CI195" i="80"/>
  <c r="O195" i="80"/>
  <c r="EE195" i="80"/>
  <c r="DG195" i="80"/>
  <c r="AM195" i="80"/>
  <c r="CQ195" i="80"/>
  <c r="EU195" i="80"/>
  <c r="CA195" i="80"/>
  <c r="EM195" i="80"/>
  <c r="CA189" i="80"/>
  <c r="AE189" i="80"/>
  <c r="CQ189" i="80"/>
  <c r="DO189" i="80"/>
  <c r="BS189" i="80"/>
  <c r="BU189" i="80" s="1"/>
  <c r="DG189" i="80"/>
  <c r="EU189" i="80"/>
  <c r="W189" i="80"/>
  <c r="EE189" i="80"/>
  <c r="AU189" i="80"/>
  <c r="CY189" i="80"/>
  <c r="DW189" i="80"/>
  <c r="AM189" i="80"/>
  <c r="FC189" i="80"/>
  <c r="BK189" i="80"/>
  <c r="BC189" i="80"/>
  <c r="EM189" i="80"/>
  <c r="EG213" i="79"/>
  <c r="DX255" i="79"/>
  <c r="CC213" i="80"/>
  <c r="AG241" i="80"/>
  <c r="DY226" i="79"/>
  <c r="FD250" i="79"/>
  <c r="AO241" i="80"/>
  <c r="EF232" i="79"/>
  <c r="EE207" i="79"/>
  <c r="DI241" i="80"/>
  <c r="CB241" i="79"/>
  <c r="FE199" i="80"/>
  <c r="BU232" i="79"/>
  <c r="BV232" i="79" s="1"/>
  <c r="BS207" i="79"/>
  <c r="FL249" i="79"/>
  <c r="X199" i="79"/>
  <c r="AW231" i="79"/>
  <c r="EF241" i="80"/>
  <c r="BL193" i="80"/>
  <c r="BL192" i="79"/>
  <c r="EV199" i="80"/>
  <c r="DX231" i="79"/>
  <c r="K89" i="80"/>
  <c r="AF89" i="80" s="1"/>
  <c r="FC67" i="79"/>
  <c r="CY98" i="80"/>
  <c r="DO67" i="79"/>
  <c r="CQ67" i="79"/>
  <c r="CS67" i="79" s="1"/>
  <c r="BK98" i="80"/>
  <c r="DO89" i="80"/>
  <c r="O98" i="80"/>
  <c r="I102" i="112"/>
  <c r="I94" i="112"/>
  <c r="I86" i="112"/>
  <c r="I78" i="112"/>
  <c r="I54" i="112"/>
  <c r="I14" i="112"/>
  <c r="I21" i="112"/>
  <c r="CS70" i="80"/>
  <c r="EG89" i="80"/>
  <c r="BM23" i="80"/>
  <c r="BM399" i="80" s="1"/>
  <c r="DI23" i="80"/>
  <c r="DI399" i="80" s="1"/>
  <c r="EM89" i="80"/>
  <c r="EO89" i="80" s="1"/>
  <c r="K391" i="80"/>
  <c r="E437" i="80"/>
  <c r="CR70" i="80"/>
  <c r="K43" i="79"/>
  <c r="BK147" i="79"/>
  <c r="EM147" i="79"/>
  <c r="EE139" i="79"/>
  <c r="K46" i="80"/>
  <c r="BK70" i="80"/>
  <c r="BM70" i="80" s="1"/>
  <c r="W139" i="79"/>
  <c r="FC58" i="80"/>
  <c r="FD58" i="80" s="1"/>
  <c r="W147" i="79"/>
  <c r="AE147" i="79"/>
  <c r="EU147" i="79"/>
  <c r="CY112" i="80"/>
  <c r="CQ139" i="79"/>
  <c r="DO139" i="80"/>
  <c r="DQ139" i="80" s="1"/>
  <c r="AE70" i="80"/>
  <c r="BS70" i="80"/>
  <c r="BT70" i="80" s="1"/>
  <c r="DG399" i="80"/>
  <c r="BS147" i="79"/>
  <c r="DW147" i="79"/>
  <c r="FK139" i="79"/>
  <c r="BS139" i="79"/>
  <c r="DG98" i="79"/>
  <c r="CI139" i="80"/>
  <c r="CK139" i="80" s="1"/>
  <c r="CI147" i="79"/>
  <c r="FC147" i="79"/>
  <c r="CA147" i="79"/>
  <c r="FK147" i="79"/>
  <c r="DW139" i="79"/>
  <c r="E412" i="80"/>
  <c r="CQ147" i="79"/>
  <c r="CY147" i="79"/>
  <c r="CI103" i="80"/>
  <c r="BC139" i="79"/>
  <c r="E428" i="80"/>
  <c r="K428" i="80" s="1"/>
  <c r="E411" i="79"/>
  <c r="CY98" i="79"/>
  <c r="K38" i="80"/>
  <c r="CA58" i="79"/>
  <c r="DG147" i="79"/>
  <c r="EM139" i="80"/>
  <c r="EO139" i="80" s="1"/>
  <c r="E427" i="79"/>
  <c r="K427" i="79" s="1"/>
  <c r="BS58" i="80"/>
  <c r="BT58" i="80" s="1"/>
  <c r="BL70" i="80"/>
  <c r="DW58" i="80"/>
  <c r="DY58" i="80" s="1"/>
  <c r="EM58" i="80"/>
  <c r="O58" i="80"/>
  <c r="AE67" i="80"/>
  <c r="AF67" i="80" s="1"/>
  <c r="AM70" i="80"/>
  <c r="EM67" i="80"/>
  <c r="EO67" i="80" s="1"/>
  <c r="EE70" i="80"/>
  <c r="DG58" i="80"/>
  <c r="DH58" i="80" s="1"/>
  <c r="CQ58" i="80"/>
  <c r="CS58" i="80" s="1"/>
  <c r="AM67" i="80"/>
  <c r="AN67" i="80" s="1"/>
  <c r="CY70" i="80"/>
  <c r="CZ70" i="80" s="1"/>
  <c r="O67" i="80"/>
  <c r="DW70" i="80"/>
  <c r="CY58" i="80"/>
  <c r="CZ58" i="80" s="1"/>
  <c r="AM58" i="80"/>
  <c r="AN58" i="80" s="1"/>
  <c r="CY67" i="80"/>
  <c r="CZ67" i="80" s="1"/>
  <c r="BS67" i="80"/>
  <c r="CI58" i="80"/>
  <c r="W58" i="80"/>
  <c r="X58" i="80" s="1"/>
  <c r="CA67" i="80"/>
  <c r="EE67" i="80"/>
  <c r="EF67" i="80" s="1"/>
  <c r="FK70" i="80"/>
  <c r="DG67" i="80"/>
  <c r="DH67" i="80" s="1"/>
  <c r="CA70" i="80"/>
  <c r="AU67" i="80"/>
  <c r="AV67" i="80" s="1"/>
  <c r="BC58" i="80"/>
  <c r="BE58" i="80" s="1"/>
  <c r="EU58" i="80"/>
  <c r="EV58" i="80" s="1"/>
  <c r="CI67" i="80"/>
  <c r="DW67" i="80"/>
  <c r="DX67" i="80" s="1"/>
  <c r="CI70" i="80"/>
  <c r="CK70" i="80" s="1"/>
  <c r="DO58" i="80"/>
  <c r="DP58" i="80" s="1"/>
  <c r="EE58" i="80"/>
  <c r="EF58" i="80" s="1"/>
  <c r="CQ67" i="80"/>
  <c r="W67" i="80"/>
  <c r="Y67" i="80" s="1"/>
  <c r="DO70" i="80"/>
  <c r="EU70" i="80"/>
  <c r="AU70" i="80"/>
  <c r="FC67" i="80"/>
  <c r="AE58" i="80"/>
  <c r="AF58" i="80" s="1"/>
  <c r="BK67" i="80"/>
  <c r="BL67" i="80" s="1"/>
  <c r="BK58" i="80"/>
  <c r="BL58" i="80" s="1"/>
  <c r="CA58" i="80"/>
  <c r="CB58" i="80" s="1"/>
  <c r="FK67" i="80"/>
  <c r="FL67" i="80" s="1"/>
  <c r="DG70" i="80"/>
  <c r="DO67" i="80"/>
  <c r="DQ67" i="80" s="1"/>
  <c r="FC70" i="80"/>
  <c r="BC70" i="80"/>
  <c r="BD70" i="80" s="1"/>
  <c r="W70" i="80"/>
  <c r="O70" i="80"/>
  <c r="EO23" i="80"/>
  <c r="EO399" i="80" s="1"/>
  <c r="EN23" i="80"/>
  <c r="EN399" i="80" s="1"/>
  <c r="W58" i="79"/>
  <c r="AM58" i="79"/>
  <c r="AE58" i="79"/>
  <c r="CQ142" i="80"/>
  <c r="BU70" i="80"/>
  <c r="O58" i="79"/>
  <c r="BK399" i="80"/>
  <c r="DO142" i="80"/>
  <c r="DW142" i="80"/>
  <c r="AU142" i="80"/>
  <c r="P67" i="79"/>
  <c r="DH23" i="80"/>
  <c r="DH399" i="80" s="1"/>
  <c r="FC58" i="79"/>
  <c r="AF67" i="79"/>
  <c r="EE58" i="79"/>
  <c r="CA142" i="80"/>
  <c r="BK142" i="80"/>
  <c r="FK142" i="80"/>
  <c r="FK58" i="79"/>
  <c r="DG58" i="79"/>
  <c r="BS142" i="80"/>
  <c r="O142" i="80"/>
  <c r="EE142" i="80"/>
  <c r="Q67" i="79"/>
  <c r="K114" i="80"/>
  <c r="AW114" i="80" s="1"/>
  <c r="K44" i="80"/>
  <c r="DO58" i="79"/>
  <c r="CI58" i="79"/>
  <c r="FC142" i="80"/>
  <c r="AM142" i="80"/>
  <c r="DG142" i="80"/>
  <c r="K39" i="80"/>
  <c r="CQ58" i="79"/>
  <c r="BK58" i="79"/>
  <c r="AE142" i="80"/>
  <c r="W142" i="80"/>
  <c r="CI142" i="80"/>
  <c r="AU58" i="79"/>
  <c r="BC58" i="79"/>
  <c r="DW58" i="79"/>
  <c r="BK88" i="80"/>
  <c r="F28" i="90"/>
  <c r="W88" i="80"/>
  <c r="CI88" i="80"/>
  <c r="CI115" i="80"/>
  <c r="CK115" i="80" s="1"/>
  <c r="EM88" i="80"/>
  <c r="Y69" i="80"/>
  <c r="CY88" i="80"/>
  <c r="BC88" i="80"/>
  <c r="W140" i="80"/>
  <c r="FC88" i="80"/>
  <c r="EU88" i="80"/>
  <c r="CQ88" i="80"/>
  <c r="AU88" i="80"/>
  <c r="CJ23" i="80"/>
  <c r="CJ399" i="80" s="1"/>
  <c r="FK115" i="80"/>
  <c r="FL115" i="80" s="1"/>
  <c r="FK88" i="80"/>
  <c r="CS69" i="80"/>
  <c r="FL89" i="80"/>
  <c r="EE88" i="80"/>
  <c r="CA88" i="80"/>
  <c r="AE88" i="80"/>
  <c r="CZ23" i="80"/>
  <c r="CZ399" i="80" s="1"/>
  <c r="K40" i="80"/>
  <c r="FM141" i="79"/>
  <c r="CK141" i="79"/>
  <c r="EF69" i="80"/>
  <c r="DO88" i="80"/>
  <c r="BS88" i="80"/>
  <c r="AU140" i="80"/>
  <c r="DG140" i="80"/>
  <c r="AE140" i="80"/>
  <c r="BS89" i="79"/>
  <c r="BT89" i="79" s="1"/>
  <c r="DG88" i="80"/>
  <c r="P69" i="80"/>
  <c r="Q69" i="80"/>
  <c r="AG67" i="79"/>
  <c r="CI399" i="80"/>
  <c r="CK23" i="80"/>
  <c r="CK399" i="80" s="1"/>
  <c r="EV141" i="79"/>
  <c r="K18" i="79"/>
  <c r="DG69" i="80"/>
  <c r="AE69" i="80"/>
  <c r="AF69" i="80" s="1"/>
  <c r="CY89" i="79"/>
  <c r="DA89" i="79" s="1"/>
  <c r="BS140" i="80"/>
  <c r="E428" i="79"/>
  <c r="K428" i="79" s="1"/>
  <c r="CA98" i="80"/>
  <c r="DG98" i="80"/>
  <c r="Q141" i="79"/>
  <c r="CR69" i="80"/>
  <c r="EN141" i="79"/>
  <c r="P141" i="79"/>
  <c r="DX141" i="79"/>
  <c r="CS141" i="79"/>
  <c r="FK89" i="79"/>
  <c r="FM89" i="79" s="1"/>
  <c r="BK69" i="80"/>
  <c r="FC69" i="80"/>
  <c r="FE69" i="80" s="1"/>
  <c r="CY399" i="80"/>
  <c r="K107" i="80"/>
  <c r="BC98" i="80"/>
  <c r="AM98" i="80"/>
  <c r="EU69" i="80"/>
  <c r="E390" i="80"/>
  <c r="E436" i="80" s="1"/>
  <c r="BU89" i="79"/>
  <c r="FD67" i="80"/>
  <c r="FL141" i="79"/>
  <c r="EG69" i="80"/>
  <c r="DP67" i="79"/>
  <c r="AM69" i="80"/>
  <c r="CY69" i="80"/>
  <c r="CZ69" i="80" s="1"/>
  <c r="DO69" i="80"/>
  <c r="AU89" i="79"/>
  <c r="AV89" i="79" s="1"/>
  <c r="FK143" i="79"/>
  <c r="EW141" i="79"/>
  <c r="CQ98" i="80"/>
  <c r="EM98" i="80"/>
  <c r="AO141" i="79"/>
  <c r="BU141" i="79"/>
  <c r="AG141" i="79"/>
  <c r="DY141" i="79"/>
  <c r="EW70" i="79"/>
  <c r="CI69" i="80"/>
  <c r="AF23" i="80"/>
  <c r="AF399" i="80" s="1"/>
  <c r="CB23" i="80"/>
  <c r="X23" i="80"/>
  <c r="X399" i="80" s="1"/>
  <c r="DO140" i="80"/>
  <c r="DW69" i="80"/>
  <c r="FC98" i="80"/>
  <c r="EE98" i="80"/>
  <c r="W98" i="80"/>
  <c r="BL141" i="79"/>
  <c r="BC69" i="80"/>
  <c r="AO23" i="80"/>
  <c r="AO399" i="80" s="1"/>
  <c r="FK69" i="80"/>
  <c r="CI98" i="80"/>
  <c r="DW98" i="80"/>
  <c r="AU98" i="80"/>
  <c r="DQ141" i="79"/>
  <c r="CA69" i="80"/>
  <c r="AU69" i="80"/>
  <c r="CY140" i="80"/>
  <c r="AM69" i="79"/>
  <c r="EG70" i="80"/>
  <c r="EU98" i="80"/>
  <c r="AE98" i="80"/>
  <c r="BC89" i="79"/>
  <c r="EM69" i="80"/>
  <c r="BS69" i="80"/>
  <c r="DO98" i="80"/>
  <c r="BS98" i="80"/>
  <c r="I25" i="118"/>
  <c r="G28" i="160"/>
  <c r="D33" i="35"/>
  <c r="D71" i="35" s="1"/>
  <c r="F79" i="160"/>
  <c r="I59" i="80"/>
  <c r="H59" i="80"/>
  <c r="G59" i="79"/>
  <c r="BC59" i="79" s="1"/>
  <c r="AM87" i="79"/>
  <c r="G62" i="85"/>
  <c r="D22" i="104"/>
  <c r="F93" i="160"/>
  <c r="G59" i="85"/>
  <c r="I25" i="90" s="1"/>
  <c r="F6" i="104"/>
  <c r="G43" i="79"/>
  <c r="G388" i="79" s="1"/>
  <c r="E81" i="162"/>
  <c r="I87" i="79"/>
  <c r="I65" i="112"/>
  <c r="C29" i="104"/>
  <c r="G61" i="160"/>
  <c r="F87" i="160"/>
  <c r="F88" i="160" s="1"/>
  <c r="F57" i="119"/>
  <c r="F93" i="119"/>
  <c r="F114" i="119"/>
  <c r="F117" i="119" s="1"/>
  <c r="G63" i="85"/>
  <c r="I29" i="90" s="1"/>
  <c r="H68" i="85"/>
  <c r="J34" i="90" s="1"/>
  <c r="N34" i="123"/>
  <c r="N50" i="123" s="1"/>
  <c r="F10" i="104"/>
  <c r="J17" i="177" s="1"/>
  <c r="J20" i="177" s="1"/>
  <c r="J24" i="177" s="1"/>
  <c r="N6" i="102"/>
  <c r="DQ89" i="79"/>
  <c r="DP89" i="79"/>
  <c r="BT67" i="80"/>
  <c r="FD69" i="80"/>
  <c r="CS67" i="80"/>
  <c r="BU89" i="80"/>
  <c r="AM399" i="80"/>
  <c r="DA69" i="80"/>
  <c r="X69" i="80"/>
  <c r="FE23" i="80"/>
  <c r="FE399" i="80" s="1"/>
  <c r="BL23" i="80"/>
  <c r="BL399" i="80" s="1"/>
  <c r="EG23" i="80"/>
  <c r="EG399" i="80" s="1"/>
  <c r="DA23" i="80"/>
  <c r="AW23" i="80"/>
  <c r="AW399" i="80" s="1"/>
  <c r="DX23" i="80"/>
  <c r="DX399" i="80" s="1"/>
  <c r="DY23" i="80"/>
  <c r="DY399" i="80" s="1"/>
  <c r="EF23" i="80"/>
  <c r="EF399" i="80" s="1"/>
  <c r="AE123" i="80"/>
  <c r="BC98" i="79"/>
  <c r="CR141" i="79"/>
  <c r="CB141" i="79"/>
  <c r="FD141" i="79"/>
  <c r="FE141" i="79"/>
  <c r="BE141" i="79"/>
  <c r="CJ141" i="79"/>
  <c r="BM141" i="79"/>
  <c r="Y141" i="79"/>
  <c r="BD141" i="79"/>
  <c r="CC141" i="79"/>
  <c r="DP141" i="79"/>
  <c r="W114" i="79"/>
  <c r="BS114" i="79"/>
  <c r="BU114" i="79" s="1"/>
  <c r="CY114" i="79"/>
  <c r="CZ114" i="79" s="1"/>
  <c r="DW114" i="79"/>
  <c r="DX114" i="79" s="1"/>
  <c r="BC114" i="79"/>
  <c r="BD114" i="79" s="1"/>
  <c r="CA114" i="79"/>
  <c r="CB114" i="79" s="1"/>
  <c r="DO114" i="79"/>
  <c r="DQ114" i="79" s="1"/>
  <c r="EU114" i="79"/>
  <c r="EV114" i="79" s="1"/>
  <c r="AU114" i="79"/>
  <c r="AE114" i="79"/>
  <c r="AG114" i="79" s="1"/>
  <c r="EU99" i="79"/>
  <c r="EW99" i="79" s="1"/>
  <c r="CY99" i="79"/>
  <c r="DA99" i="79" s="1"/>
  <c r="DW99" i="79"/>
  <c r="DX99" i="79" s="1"/>
  <c r="AM99" i="79"/>
  <c r="AN99" i="79" s="1"/>
  <c r="CQ99" i="79"/>
  <c r="CS99" i="79" s="1"/>
  <c r="AE99" i="79"/>
  <c r="AF99" i="79" s="1"/>
  <c r="O99" i="79"/>
  <c r="FK99" i="79"/>
  <c r="FL99" i="79" s="1"/>
  <c r="CA99" i="79"/>
  <c r="CB99" i="79" s="1"/>
  <c r="DG99" i="79"/>
  <c r="EE99" i="79"/>
  <c r="DO99" i="79"/>
  <c r="DP99" i="79" s="1"/>
  <c r="G399" i="79"/>
  <c r="BS23" i="79"/>
  <c r="BS399" i="79" s="1"/>
  <c r="CY23" i="79"/>
  <c r="CY399" i="79" s="1"/>
  <c r="EM23" i="79"/>
  <c r="EM399" i="79" s="1"/>
  <c r="CA23" i="79"/>
  <c r="CA399" i="79" s="1"/>
  <c r="BK23" i="79"/>
  <c r="BK399" i="79" s="1"/>
  <c r="BC23" i="79"/>
  <c r="BC399" i="79" s="1"/>
  <c r="DG23" i="79"/>
  <c r="DG399" i="79" s="1"/>
  <c r="CI23" i="79"/>
  <c r="CI399" i="79" s="1"/>
  <c r="W23" i="79"/>
  <c r="W399" i="79" s="1"/>
  <c r="EU23" i="79"/>
  <c r="EU399" i="79" s="1"/>
  <c r="K142" i="80"/>
  <c r="K37" i="80"/>
  <c r="E382" i="80"/>
  <c r="K382" i="80" s="1"/>
  <c r="AO67" i="80"/>
  <c r="AG89" i="80"/>
  <c r="AN23" i="80"/>
  <c r="AN399" i="80" s="1"/>
  <c r="EU89" i="79"/>
  <c r="EW23" i="80"/>
  <c r="EW399" i="80" s="1"/>
  <c r="BT23" i="80"/>
  <c r="BT399" i="80" s="1"/>
  <c r="BS399" i="80"/>
  <c r="DP23" i="80"/>
  <c r="DP399" i="80" s="1"/>
  <c r="EW199" i="79"/>
  <c r="CK199" i="79"/>
  <c r="DO115" i="79"/>
  <c r="DQ115" i="79" s="1"/>
  <c r="DG140" i="79"/>
  <c r="DI140" i="79" s="1"/>
  <c r="AM140" i="79"/>
  <c r="AO140" i="79" s="1"/>
  <c r="BK140" i="79"/>
  <c r="BM140" i="79" s="1"/>
  <c r="CI140" i="79"/>
  <c r="FC140" i="79"/>
  <c r="EM140" i="79"/>
  <c r="EO140" i="79" s="1"/>
  <c r="DW140" i="79"/>
  <c r="BS140" i="79"/>
  <c r="BS143" i="79" s="1"/>
  <c r="EE140" i="79"/>
  <c r="EE143" i="79" s="1"/>
  <c r="O140" i="79"/>
  <c r="CA140" i="79"/>
  <c r="CC140" i="79" s="1"/>
  <c r="DO140" i="79"/>
  <c r="K45" i="79"/>
  <c r="E436" i="79"/>
  <c r="E390" i="79"/>
  <c r="K390" i="79" s="1"/>
  <c r="E382" i="79"/>
  <c r="K382" i="79" s="1"/>
  <c r="K37" i="79"/>
  <c r="EE99" i="80"/>
  <c r="EF99" i="80" s="1"/>
  <c r="CY99" i="80"/>
  <c r="DW99" i="80"/>
  <c r="DX99" i="80" s="1"/>
  <c r="E393" i="80"/>
  <c r="K393" i="80" s="1"/>
  <c r="K48" i="80"/>
  <c r="AM70" i="79"/>
  <c r="AO70" i="79" s="1"/>
  <c r="DG70" i="79"/>
  <c r="CA70" i="79"/>
  <c r="FK70" i="79"/>
  <c r="FL70" i="79" s="1"/>
  <c r="DW70" i="79"/>
  <c r="BK70" i="79"/>
  <c r="W70" i="79"/>
  <c r="CI70" i="79"/>
  <c r="BC70" i="79"/>
  <c r="CQ70" i="79"/>
  <c r="O70" i="79"/>
  <c r="DO70" i="79"/>
  <c r="BD67" i="80"/>
  <c r="AN89" i="80"/>
  <c r="EV89" i="80"/>
  <c r="BS70" i="79"/>
  <c r="EE70" i="79"/>
  <c r="EF70" i="79" s="1"/>
  <c r="AG23" i="80"/>
  <c r="AG399" i="80" s="1"/>
  <c r="AE399" i="80"/>
  <c r="CC23" i="80"/>
  <c r="CC399" i="80" s="1"/>
  <c r="CA399" i="80"/>
  <c r="FK112" i="79"/>
  <c r="EE112" i="79"/>
  <c r="EU98" i="79"/>
  <c r="BS98" i="79"/>
  <c r="O98" i="79"/>
  <c r="CA98" i="79"/>
  <c r="W98" i="79"/>
  <c r="FK98" i="79"/>
  <c r="CI98" i="79"/>
  <c r="CQ98" i="79"/>
  <c r="DO98" i="79"/>
  <c r="EM98" i="79"/>
  <c r="DW98" i="79"/>
  <c r="BK89" i="79"/>
  <c r="AM89" i="79"/>
  <c r="FC89" i="79"/>
  <c r="CQ89" i="79"/>
  <c r="CI89" i="79"/>
  <c r="DW89" i="79"/>
  <c r="DG89" i="79"/>
  <c r="W89" i="79"/>
  <c r="EE89" i="79"/>
  <c r="CA89" i="79"/>
  <c r="AE89" i="79"/>
  <c r="FC98" i="79"/>
  <c r="BK98" i="79"/>
  <c r="EM139" i="79"/>
  <c r="FC139" i="79"/>
  <c r="DO139" i="79"/>
  <c r="DO143" i="79" s="1"/>
  <c r="CI139" i="79"/>
  <c r="CI143" i="79" s="1"/>
  <c r="O139" i="79"/>
  <c r="CA139" i="79"/>
  <c r="AE139" i="79"/>
  <c r="AE143" i="79" s="1"/>
  <c r="EU139" i="79"/>
  <c r="EU143" i="79" s="1"/>
  <c r="AM139" i="79"/>
  <c r="AU139" i="79"/>
  <c r="BK139" i="79"/>
  <c r="O140" i="80"/>
  <c r="BK140" i="80"/>
  <c r="AM140" i="80"/>
  <c r="FC140" i="80"/>
  <c r="BC140" i="80"/>
  <c r="CQ140" i="80"/>
  <c r="CI140" i="80"/>
  <c r="DW140" i="80"/>
  <c r="EU140" i="80"/>
  <c r="CA140" i="80"/>
  <c r="EE140" i="80"/>
  <c r="FK140" i="80"/>
  <c r="DA141" i="79"/>
  <c r="CZ141" i="79"/>
  <c r="CJ89" i="80"/>
  <c r="DX89" i="80"/>
  <c r="BM89" i="80"/>
  <c r="EM70" i="79"/>
  <c r="BE67" i="80"/>
  <c r="CB89" i="80"/>
  <c r="AV89" i="80"/>
  <c r="DQ89" i="80"/>
  <c r="FC70" i="79"/>
  <c r="O89" i="79"/>
  <c r="AU98" i="79"/>
  <c r="DO23" i="79"/>
  <c r="DO399" i="79" s="1"/>
  <c r="FK67" i="79"/>
  <c r="FM67" i="79" s="1"/>
  <c r="EU67" i="79"/>
  <c r="EE67" i="79"/>
  <c r="BS67" i="79"/>
  <c r="BC67" i="79"/>
  <c r="AU67" i="79"/>
  <c r="W67" i="79"/>
  <c r="CI67" i="79"/>
  <c r="BK67" i="79"/>
  <c r="DW67" i="79"/>
  <c r="CA67" i="79"/>
  <c r="AM67" i="79"/>
  <c r="EM67" i="79"/>
  <c r="DG67" i="79"/>
  <c r="CY67" i="79"/>
  <c r="EM88" i="79"/>
  <c r="DW88" i="79"/>
  <c r="AE88" i="79"/>
  <c r="BK88" i="79"/>
  <c r="W88" i="79"/>
  <c r="CA88" i="79"/>
  <c r="AM88" i="79"/>
  <c r="CI88" i="79"/>
  <c r="O88" i="79"/>
  <c r="FK88" i="79"/>
  <c r="FC88" i="79"/>
  <c r="EE88" i="79"/>
  <c r="CQ88" i="79"/>
  <c r="K42" i="79"/>
  <c r="E387" i="79"/>
  <c r="K387" i="79" s="1"/>
  <c r="K16" i="79"/>
  <c r="E410" i="79"/>
  <c r="FD89" i="80"/>
  <c r="K39" i="79"/>
  <c r="E384" i="79"/>
  <c r="K384" i="79" s="1"/>
  <c r="BE89" i="80"/>
  <c r="Q89" i="80"/>
  <c r="K47" i="79"/>
  <c r="CY70" i="79"/>
  <c r="DA70" i="79" s="1"/>
  <c r="EM89" i="79"/>
  <c r="Y89" i="80"/>
  <c r="CS89" i="80"/>
  <c r="EG141" i="79"/>
  <c r="EF141" i="79"/>
  <c r="DG115" i="79"/>
  <c r="W115" i="79"/>
  <c r="AM123" i="80"/>
  <c r="CA123" i="80"/>
  <c r="EE123" i="80"/>
  <c r="DW123" i="80"/>
  <c r="FK123" i="80"/>
  <c r="CQ123" i="80"/>
  <c r="AU123" i="80"/>
  <c r="BS123" i="80"/>
  <c r="DG123" i="80"/>
  <c r="BK123" i="80"/>
  <c r="BC123" i="80"/>
  <c r="W123" i="80"/>
  <c r="EM123" i="80"/>
  <c r="FC123" i="80"/>
  <c r="AG67" i="80"/>
  <c r="BU67" i="80"/>
  <c r="FE67" i="80"/>
  <c r="EW89" i="80"/>
  <c r="DA89" i="80"/>
  <c r="BK59" i="79"/>
  <c r="DP67" i="80"/>
  <c r="X67" i="80"/>
  <c r="CR67" i="80"/>
  <c r="P89" i="80"/>
  <c r="AE70" i="79"/>
  <c r="AU70" i="79"/>
  <c r="DO123" i="80"/>
  <c r="E435" i="79"/>
  <c r="BC140" i="79"/>
  <c r="BC143" i="79" s="1"/>
  <c r="BK99" i="79"/>
  <c r="K58" i="79"/>
  <c r="DP89" i="80"/>
  <c r="AW89" i="80"/>
  <c r="BL89" i="80"/>
  <c r="CC89" i="80"/>
  <c r="AO89" i="80"/>
  <c r="CK89" i="80"/>
  <c r="BT89" i="80"/>
  <c r="BD89" i="80"/>
  <c r="DH89" i="80"/>
  <c r="EF89" i="80"/>
  <c r="E386" i="80"/>
  <c r="K386" i="80" s="1"/>
  <c r="K41" i="80"/>
  <c r="CB67" i="80"/>
  <c r="CY58" i="79"/>
  <c r="EO141" i="79"/>
  <c r="BS58" i="79"/>
  <c r="EO70" i="80"/>
  <c r="EN70" i="80"/>
  <c r="FE89" i="80"/>
  <c r="CR89" i="80"/>
  <c r="DO399" i="80"/>
  <c r="BT141" i="79"/>
  <c r="W87" i="79"/>
  <c r="FK139" i="80"/>
  <c r="DG139" i="80"/>
  <c r="DI139" i="80" s="1"/>
  <c r="EU69" i="79"/>
  <c r="EW69" i="79" s="1"/>
  <c r="EV70" i="79"/>
  <c r="P23" i="80"/>
  <c r="P399" i="80" s="1"/>
  <c r="DQ23" i="80"/>
  <c r="DQ399" i="80" s="1"/>
  <c r="FC139" i="80"/>
  <c r="FE139" i="80" s="1"/>
  <c r="O139" i="80"/>
  <c r="Q139" i="80" s="1"/>
  <c r="K43" i="80"/>
  <c r="O69" i="79"/>
  <c r="FC69" i="79"/>
  <c r="FE69" i="79" s="1"/>
  <c r="EE139" i="80"/>
  <c r="AU69" i="79"/>
  <c r="CA69" i="79"/>
  <c r="CB69" i="79" s="1"/>
  <c r="CC67" i="80"/>
  <c r="Q23" i="80"/>
  <c r="Q399" i="80" s="1"/>
  <c r="K48" i="79"/>
  <c r="E426" i="80"/>
  <c r="K426" i="80" s="1"/>
  <c r="BS139" i="80"/>
  <c r="BU139" i="80" s="1"/>
  <c r="EM69" i="79"/>
  <c r="EO69" i="79" s="1"/>
  <c r="EE69" i="79"/>
  <c r="EF69" i="79" s="1"/>
  <c r="W139" i="80"/>
  <c r="DW69" i="79"/>
  <c r="DY69" i="79" s="1"/>
  <c r="AN70" i="79"/>
  <c r="AN141" i="79"/>
  <c r="E410" i="80"/>
  <c r="CA139" i="80"/>
  <c r="CC139" i="80" s="1"/>
  <c r="BK69" i="79"/>
  <c r="BL69" i="79" s="1"/>
  <c r="FK69" i="79"/>
  <c r="FM69" i="79" s="1"/>
  <c r="BK139" i="80"/>
  <c r="BM139" i="80" s="1"/>
  <c r="BC69" i="79"/>
  <c r="BK59" i="80"/>
  <c r="EF70" i="80"/>
  <c r="DQ67" i="79"/>
  <c r="K23" i="79"/>
  <c r="EG23" i="79" s="1"/>
  <c r="EG399" i="79" s="1"/>
  <c r="BS87" i="79"/>
  <c r="EU139" i="80"/>
  <c r="EW139" i="80" s="1"/>
  <c r="DG69" i="79"/>
  <c r="DH69" i="79" s="1"/>
  <c r="DW139" i="80"/>
  <c r="DY139" i="80" s="1"/>
  <c r="AM139" i="80"/>
  <c r="AO139" i="80" s="1"/>
  <c r="AW89" i="79"/>
  <c r="FK87" i="79"/>
  <c r="CA87" i="79"/>
  <c r="BC139" i="80"/>
  <c r="BE139" i="80" s="1"/>
  <c r="AU139" i="80"/>
  <c r="AW139" i="80" s="1"/>
  <c r="DO69" i="79"/>
  <c r="DP69" i="79" s="1"/>
  <c r="BS69" i="79"/>
  <c r="BT69" i="79" s="1"/>
  <c r="FC87" i="79"/>
  <c r="K40" i="79"/>
  <c r="AE139" i="80"/>
  <c r="AG139" i="80" s="1"/>
  <c r="W69" i="79"/>
  <c r="Y69" i="79" s="1"/>
  <c r="CQ139" i="80"/>
  <c r="CS139" i="80" s="1"/>
  <c r="CY69" i="79"/>
  <c r="CZ69" i="79" s="1"/>
  <c r="CQ69" i="79"/>
  <c r="CS69" i="79" s="1"/>
  <c r="AE69" i="79"/>
  <c r="AG69" i="79" s="1"/>
  <c r="L21" i="107"/>
  <c r="CL277" i="80"/>
  <c r="FE99" i="79"/>
  <c r="AO99" i="79"/>
  <c r="FD99" i="79"/>
  <c r="DY99" i="79"/>
  <c r="AW99" i="79"/>
  <c r="BE99" i="79"/>
  <c r="EN99" i="79"/>
  <c r="EV67" i="80"/>
  <c r="EW67" i="80"/>
  <c r="BM99" i="79"/>
  <c r="EF99" i="79"/>
  <c r="CJ99" i="79"/>
  <c r="AV99" i="79"/>
  <c r="H10" i="90"/>
  <c r="BD99" i="79"/>
  <c r="G28" i="90"/>
  <c r="EO99" i="79"/>
  <c r="DH114" i="79"/>
  <c r="AV114" i="79"/>
  <c r="X114" i="79"/>
  <c r="AO114" i="79"/>
  <c r="BM114" i="79"/>
  <c r="EF114" i="79"/>
  <c r="BL114" i="79"/>
  <c r="EG114" i="79"/>
  <c r="P114" i="79"/>
  <c r="AN114" i="79"/>
  <c r="AW114" i="79"/>
  <c r="CR114" i="79"/>
  <c r="FM114" i="79"/>
  <c r="CS114" i="79"/>
  <c r="FE114" i="79"/>
  <c r="Y58" i="80"/>
  <c r="BU58" i="80"/>
  <c r="BD58" i="80"/>
  <c r="CK58" i="80"/>
  <c r="EO58" i="80"/>
  <c r="FM58" i="80"/>
  <c r="FL58" i="80"/>
  <c r="FE58" i="80"/>
  <c r="CJ58" i="80"/>
  <c r="P58" i="80"/>
  <c r="AV58" i="80"/>
  <c r="EG58" i="80"/>
  <c r="Q58" i="80"/>
  <c r="EW58" i="80"/>
  <c r="AW58" i="80"/>
  <c r="EN58" i="80"/>
  <c r="K383" i="80"/>
  <c r="E434" i="80"/>
  <c r="FL67" i="79"/>
  <c r="AN142" i="79"/>
  <c r="EW142" i="79"/>
  <c r="EG142" i="79"/>
  <c r="EO142" i="79"/>
  <c r="FM142" i="79"/>
  <c r="CR142" i="79"/>
  <c r="AV142" i="79"/>
  <c r="FL142" i="79"/>
  <c r="CS142" i="79"/>
  <c r="BM142" i="79"/>
  <c r="CZ142" i="79"/>
  <c r="CC142" i="79"/>
  <c r="DX142" i="79"/>
  <c r="Q142" i="79"/>
  <c r="CB142" i="79"/>
  <c r="DY142" i="79"/>
  <c r="DI142" i="79"/>
  <c r="BD142" i="79"/>
  <c r="BU142" i="79"/>
  <c r="BE142" i="79"/>
  <c r="EN142" i="79"/>
  <c r="BU69" i="79"/>
  <c r="CJ69" i="79"/>
  <c r="CK69" i="79"/>
  <c r="DG143" i="79"/>
  <c r="DI141" i="79"/>
  <c r="DH141" i="79"/>
  <c r="E435" i="80"/>
  <c r="K384" i="80"/>
  <c r="EF142" i="79"/>
  <c r="DH142" i="79"/>
  <c r="EW115" i="80"/>
  <c r="DP142" i="79"/>
  <c r="AW142" i="79"/>
  <c r="BT142" i="79"/>
  <c r="FE142" i="79"/>
  <c r="EV142" i="79"/>
  <c r="DA142" i="79"/>
  <c r="K78" i="105"/>
  <c r="FD114" i="79"/>
  <c r="DI114" i="79"/>
  <c r="DX141" i="80"/>
  <c r="X142" i="79"/>
  <c r="P142" i="79"/>
  <c r="Y114" i="79"/>
  <c r="EG99" i="80"/>
  <c r="BT114" i="80"/>
  <c r="EO114" i="79"/>
  <c r="CK114" i="79"/>
  <c r="Q114" i="79"/>
  <c r="AF141" i="79"/>
  <c r="CK142" i="79"/>
  <c r="CS115" i="79"/>
  <c r="BL142" i="79"/>
  <c r="FL114" i="79"/>
  <c r="X141" i="79"/>
  <c r="AW141" i="79"/>
  <c r="E10" i="90"/>
  <c r="G150" i="79"/>
  <c r="G150" i="80"/>
  <c r="J150" i="85"/>
  <c r="L88" i="90" s="1"/>
  <c r="DQ142" i="79"/>
  <c r="W99" i="79"/>
  <c r="CS103" i="79"/>
  <c r="CQ143" i="79"/>
  <c r="W143" i="79"/>
  <c r="L26" i="107"/>
  <c r="BT115" i="80"/>
  <c r="BU115" i="80"/>
  <c r="DH115" i="79"/>
  <c r="DI115" i="79"/>
  <c r="EN114" i="79"/>
  <c r="CY103" i="80"/>
  <c r="EU103" i="80"/>
  <c r="EV103" i="80" s="1"/>
  <c r="BC103" i="80"/>
  <c r="BD103" i="80" s="1"/>
  <c r="EM115" i="80"/>
  <c r="EE115" i="80"/>
  <c r="O115" i="80"/>
  <c r="BS115" i="79"/>
  <c r="CJ114" i="79"/>
  <c r="AV141" i="79"/>
  <c r="AO142" i="79"/>
  <c r="W103" i="80"/>
  <c r="X103" i="80" s="1"/>
  <c r="DO103" i="80"/>
  <c r="DP103" i="80" s="1"/>
  <c r="DW115" i="80"/>
  <c r="CI115" i="79"/>
  <c r="FC115" i="79"/>
  <c r="G108" i="79"/>
  <c r="CA108" i="79" s="1"/>
  <c r="FD142" i="79"/>
  <c r="CJ142" i="79"/>
  <c r="DW103" i="80"/>
  <c r="DX103" i="80" s="1"/>
  <c r="BK103" i="80"/>
  <c r="FK103" i="80"/>
  <c r="FL103" i="80" s="1"/>
  <c r="DG103" i="80"/>
  <c r="DH103" i="80" s="1"/>
  <c r="DO115" i="80"/>
  <c r="BC115" i="80"/>
  <c r="O103" i="80"/>
  <c r="P103" i="80" s="1"/>
  <c r="AU115" i="79"/>
  <c r="EM115" i="79"/>
  <c r="G109" i="85"/>
  <c r="I58" i="90" s="1"/>
  <c r="EV115" i="80"/>
  <c r="Y142" i="79"/>
  <c r="CK99" i="79"/>
  <c r="AE103" i="80"/>
  <c r="CY115" i="80"/>
  <c r="W115" i="80"/>
  <c r="AE115" i="79"/>
  <c r="AF115" i="79" s="1"/>
  <c r="BC115" i="79"/>
  <c r="G108" i="80"/>
  <c r="AU143" i="79"/>
  <c r="CR115" i="79"/>
  <c r="AU103" i="80"/>
  <c r="FC103" i="80"/>
  <c r="FD103" i="80" s="1"/>
  <c r="EM103" i="80"/>
  <c r="EN103" i="80" s="1"/>
  <c r="AE115" i="80"/>
  <c r="FC115" i="80"/>
  <c r="AM115" i="79"/>
  <c r="EU115" i="79"/>
  <c r="CY115" i="79"/>
  <c r="EE115" i="79"/>
  <c r="DY141" i="80"/>
  <c r="AM103" i="80"/>
  <c r="AN103" i="80" s="1"/>
  <c r="BK115" i="80"/>
  <c r="DG115" i="80"/>
  <c r="CA115" i="80"/>
  <c r="DW115" i="79"/>
  <c r="BK115" i="79"/>
  <c r="O115" i="79"/>
  <c r="FK115" i="79"/>
  <c r="CQ115" i="80"/>
  <c r="EG99" i="79"/>
  <c r="CA103" i="80"/>
  <c r="BS103" i="80"/>
  <c r="CQ103" i="80"/>
  <c r="CR103" i="80" s="1"/>
  <c r="AU115" i="80"/>
  <c r="AM115" i="80"/>
  <c r="CA115" i="79"/>
  <c r="CY143" i="79"/>
  <c r="BL99" i="79"/>
  <c r="EM112" i="80"/>
  <c r="O112" i="80"/>
  <c r="AM112" i="80"/>
  <c r="BK112" i="80"/>
  <c r="DO112" i="80"/>
  <c r="BS112" i="80"/>
  <c r="FC112" i="80"/>
  <c r="CA112" i="80"/>
  <c r="EU112" i="80"/>
  <c r="DW112" i="80"/>
  <c r="W112" i="80"/>
  <c r="CQ112" i="80"/>
  <c r="FK112" i="80"/>
  <c r="DG112" i="80"/>
  <c r="BC112" i="80"/>
  <c r="AU112" i="80"/>
  <c r="AE112" i="80"/>
  <c r="EE112" i="80"/>
  <c r="G113" i="79"/>
  <c r="I113" i="79"/>
  <c r="J113" i="85"/>
  <c r="L62" i="90" s="1"/>
  <c r="G113" i="80"/>
  <c r="P99" i="79"/>
  <c r="Q99" i="79"/>
  <c r="BU99" i="79"/>
  <c r="BT99" i="79"/>
  <c r="Y115" i="79"/>
  <c r="X115" i="79"/>
  <c r="BC141" i="80"/>
  <c r="O141" i="80"/>
  <c r="AM141" i="80"/>
  <c r="CI141" i="80"/>
  <c r="BK141" i="80"/>
  <c r="EM141" i="80"/>
  <c r="BS141" i="80"/>
  <c r="FK141" i="80"/>
  <c r="DG141" i="80"/>
  <c r="AU141" i="80"/>
  <c r="CA141" i="80"/>
  <c r="AE141" i="80"/>
  <c r="EE141" i="80"/>
  <c r="CY141" i="80"/>
  <c r="EU141" i="80"/>
  <c r="CQ141" i="80"/>
  <c r="W141" i="80"/>
  <c r="DO141" i="80"/>
  <c r="FC141" i="80"/>
  <c r="G143" i="80"/>
  <c r="AG142" i="79"/>
  <c r="AF142" i="79"/>
  <c r="CQ112" i="79"/>
  <c r="EM112" i="79"/>
  <c r="FC112" i="79"/>
  <c r="CY112" i="79"/>
  <c r="DO112" i="79"/>
  <c r="EU112" i="79"/>
  <c r="AM112" i="79"/>
  <c r="AE112" i="79"/>
  <c r="W112" i="79"/>
  <c r="AU112" i="79"/>
  <c r="CI112" i="79"/>
  <c r="O112" i="79"/>
  <c r="BK112" i="79"/>
  <c r="DG112" i="79"/>
  <c r="BC112" i="79"/>
  <c r="DW112" i="79"/>
  <c r="BS112" i="79"/>
  <c r="CA112" i="79"/>
  <c r="CI147" i="80"/>
  <c r="CJ147" i="80" s="1"/>
  <c r="W147" i="80"/>
  <c r="X147" i="80" s="1"/>
  <c r="DO147" i="80"/>
  <c r="DP147" i="80" s="1"/>
  <c r="EM147" i="80"/>
  <c r="EN147" i="80" s="1"/>
  <c r="O147" i="80"/>
  <c r="CQ147" i="80"/>
  <c r="CR147" i="80" s="1"/>
  <c r="BK147" i="80"/>
  <c r="BL147" i="80" s="1"/>
  <c r="CY147" i="80"/>
  <c r="AU147" i="80"/>
  <c r="AV147" i="80" s="1"/>
  <c r="FC147" i="80"/>
  <c r="FD147" i="80" s="1"/>
  <c r="EE147" i="80"/>
  <c r="EF147" i="80" s="1"/>
  <c r="CA147" i="80"/>
  <c r="CB147" i="80" s="1"/>
  <c r="FK147" i="80"/>
  <c r="EU147" i="80"/>
  <c r="EV147" i="80" s="1"/>
  <c r="DG147" i="80"/>
  <c r="AM147" i="80"/>
  <c r="DW147" i="80"/>
  <c r="DX147" i="80" s="1"/>
  <c r="AE147" i="80"/>
  <c r="AF147" i="80" s="1"/>
  <c r="BC147" i="80"/>
  <c r="BD147" i="80" s="1"/>
  <c r="O99" i="80"/>
  <c r="CA99" i="80"/>
  <c r="BC99" i="80"/>
  <c r="CI99" i="80"/>
  <c r="CQ99" i="80"/>
  <c r="BS99" i="80"/>
  <c r="AE99" i="80"/>
  <c r="AM99" i="80"/>
  <c r="W99" i="80"/>
  <c r="FK99" i="80"/>
  <c r="FC99" i="80"/>
  <c r="EU99" i="80"/>
  <c r="DO99" i="80"/>
  <c r="DG99" i="80"/>
  <c r="BK99" i="80"/>
  <c r="AU99" i="80"/>
  <c r="EM99" i="80"/>
  <c r="DQ103" i="79"/>
  <c r="AG140" i="79"/>
  <c r="J121" i="107"/>
  <c r="J123" i="107" s="1"/>
  <c r="I121" i="107"/>
  <c r="I123" i="107" s="1"/>
  <c r="F123" i="107"/>
  <c r="J365" i="85"/>
  <c r="L176" i="90" s="1"/>
  <c r="L40" i="107"/>
  <c r="L25" i="107"/>
  <c r="L17" i="107"/>
  <c r="H8" i="100"/>
  <c r="G45" i="98"/>
  <c r="J99" i="79"/>
  <c r="H45" i="98"/>
  <c r="J268" i="85"/>
  <c r="L151" i="90" s="1"/>
  <c r="G14" i="100"/>
  <c r="FM199" i="79"/>
  <c r="EO199" i="79"/>
  <c r="BE199" i="79"/>
  <c r="I55" i="98"/>
  <c r="F19" i="98"/>
  <c r="H15" i="98"/>
  <c r="G15" i="98"/>
  <c r="I15" i="98"/>
  <c r="K20" i="105"/>
  <c r="K30" i="105"/>
  <c r="K38" i="105"/>
  <c r="K49" i="105"/>
  <c r="K27" i="105"/>
  <c r="J140" i="85"/>
  <c r="L80" i="90" s="1"/>
  <c r="BF373" i="79"/>
  <c r="AN193" i="80"/>
  <c r="K57" i="105"/>
  <c r="BN373" i="79"/>
  <c r="EX278" i="79"/>
  <c r="I38" i="98"/>
  <c r="J38" i="98" s="1"/>
  <c r="X250" i="79"/>
  <c r="CJ199" i="79"/>
  <c r="CS213" i="80"/>
  <c r="R296" i="79"/>
  <c r="E50" i="98"/>
  <c r="J370" i="79"/>
  <c r="DB370" i="79" s="1"/>
  <c r="CS213" i="79"/>
  <c r="AN212" i="80"/>
  <c r="BD212" i="80"/>
  <c r="I123" i="80"/>
  <c r="K10" i="105"/>
  <c r="K22" i="105"/>
  <c r="K7" i="105"/>
  <c r="K73" i="105"/>
  <c r="BD276" i="79"/>
  <c r="I96" i="85"/>
  <c r="K48" i="90" s="1"/>
  <c r="I276" i="80"/>
  <c r="AG276" i="80" s="1"/>
  <c r="AX277" i="79"/>
  <c r="BV370" i="80"/>
  <c r="AP370" i="80"/>
  <c r="I96" i="79"/>
  <c r="CR250" i="79"/>
  <c r="DQ199" i="80"/>
  <c r="FM139" i="80"/>
  <c r="J268" i="80"/>
  <c r="I11" i="98"/>
  <c r="K32" i="105"/>
  <c r="K40" i="105"/>
  <c r="K51" i="105"/>
  <c r="K80" i="105"/>
  <c r="K88" i="105"/>
  <c r="L36" i="107"/>
  <c r="L72" i="107"/>
  <c r="EG139" i="80"/>
  <c r="DB278" i="79"/>
  <c r="EN192" i="80"/>
  <c r="CC199" i="79"/>
  <c r="H43" i="98"/>
  <c r="J305" i="79"/>
  <c r="I372" i="79"/>
  <c r="Y372" i="79" s="1"/>
  <c r="EN255" i="79"/>
  <c r="CR249" i="80"/>
  <c r="AN249" i="80"/>
  <c r="Y139" i="80"/>
  <c r="FE199" i="79"/>
  <c r="Y199" i="79"/>
  <c r="I276" i="85"/>
  <c r="K156" i="90" s="1"/>
  <c r="CB250" i="79"/>
  <c r="EN249" i="80"/>
  <c r="J279" i="79"/>
  <c r="I309" i="85"/>
  <c r="K173" i="90" s="1"/>
  <c r="AP372" i="80"/>
  <c r="BV277" i="79"/>
  <c r="G489" i="79"/>
  <c r="I373" i="79"/>
  <c r="CC373" i="79" s="1"/>
  <c r="Q374" i="79"/>
  <c r="I373" i="80"/>
  <c r="DQ373" i="80" s="1"/>
  <c r="DX193" i="80"/>
  <c r="I280" i="80"/>
  <c r="FM103" i="79"/>
  <c r="DR277" i="79"/>
  <c r="DY103" i="79"/>
  <c r="EP370" i="80"/>
  <c r="CC103" i="79"/>
  <c r="EG103" i="79"/>
  <c r="H279" i="79"/>
  <c r="DX279" i="79" s="1"/>
  <c r="J140" i="80"/>
  <c r="AH370" i="80"/>
  <c r="H279" i="80"/>
  <c r="FD279" i="80" s="1"/>
  <c r="J305" i="85"/>
  <c r="L169" i="90" s="1"/>
  <c r="AG213" i="79"/>
  <c r="EW213" i="79"/>
  <c r="Z247" i="79"/>
  <c r="J279" i="85"/>
  <c r="L159" i="90" s="1"/>
  <c r="L14" i="107"/>
  <c r="I146" i="85"/>
  <c r="K84" i="90" s="1"/>
  <c r="I146" i="79"/>
  <c r="DJ278" i="79"/>
  <c r="AX296" i="79"/>
  <c r="K14" i="105"/>
  <c r="K18" i="105"/>
  <c r="K33" i="105"/>
  <c r="K44" i="105"/>
  <c r="K52" i="105"/>
  <c r="K55" i="105"/>
  <c r="K60" i="105"/>
  <c r="K68" i="105"/>
  <c r="K76" i="105"/>
  <c r="K81" i="105"/>
  <c r="K89" i="105"/>
  <c r="L39" i="107"/>
  <c r="CR212" i="80"/>
  <c r="AW140" i="79"/>
  <c r="I69" i="79"/>
  <c r="H295" i="85"/>
  <c r="J165" i="90" s="1"/>
  <c r="E43" i="35"/>
  <c r="FN370" i="80"/>
  <c r="DH212" i="80"/>
  <c r="H115" i="79"/>
  <c r="J139" i="79"/>
  <c r="P212" i="80"/>
  <c r="EF212" i="80"/>
  <c r="FM140" i="79"/>
  <c r="DX212" i="80"/>
  <c r="FL212" i="80"/>
  <c r="H115" i="80"/>
  <c r="X212" i="80"/>
  <c r="EV212" i="80"/>
  <c r="AF212" i="80"/>
  <c r="AP296" i="79"/>
  <c r="J139" i="80"/>
  <c r="FF370" i="80"/>
  <c r="AV212" i="80"/>
  <c r="CJ212" i="80"/>
  <c r="CS140" i="79"/>
  <c r="I99" i="80"/>
  <c r="CB212" i="80"/>
  <c r="H139" i="80"/>
  <c r="J270" i="85"/>
  <c r="L153" i="90" s="1"/>
  <c r="CD370" i="80"/>
  <c r="DP212" i="80"/>
  <c r="BL212" i="80"/>
  <c r="EW140" i="79"/>
  <c r="DB370" i="80"/>
  <c r="DR370" i="80"/>
  <c r="DZ370" i="80"/>
  <c r="Z370" i="80"/>
  <c r="BF370" i="80"/>
  <c r="EH370" i="80"/>
  <c r="CT370" i="80"/>
  <c r="CL370" i="80"/>
  <c r="R370" i="80"/>
  <c r="DJ370" i="80"/>
  <c r="K19" i="105"/>
  <c r="K24" i="105"/>
  <c r="K29" i="105"/>
  <c r="L33" i="107"/>
  <c r="L78" i="107"/>
  <c r="L81" i="107"/>
  <c r="AW199" i="80"/>
  <c r="CC199" i="80"/>
  <c r="Y250" i="79"/>
  <c r="AN231" i="79"/>
  <c r="CS199" i="80"/>
  <c r="CK199" i="80"/>
  <c r="EF231" i="79"/>
  <c r="J142" i="79"/>
  <c r="EG199" i="80"/>
  <c r="CS250" i="79"/>
  <c r="AG199" i="80"/>
  <c r="EO199" i="80"/>
  <c r="EG250" i="79"/>
  <c r="FM199" i="80"/>
  <c r="Y199" i="80"/>
  <c r="H305" i="85"/>
  <c r="J169" i="90" s="1"/>
  <c r="CS193" i="80"/>
  <c r="BV372" i="80"/>
  <c r="FF372" i="80"/>
  <c r="DB372" i="80"/>
  <c r="CZ231" i="80"/>
  <c r="DX249" i="80"/>
  <c r="CZ249" i="80"/>
  <c r="DH249" i="80"/>
  <c r="EP372" i="80"/>
  <c r="DH231" i="80"/>
  <c r="J372" i="79"/>
  <c r="CL372" i="79" s="1"/>
  <c r="P231" i="80"/>
  <c r="EF249" i="80"/>
  <c r="FD249" i="80"/>
  <c r="DP249" i="80"/>
  <c r="I372" i="80"/>
  <c r="FE372" i="80" s="1"/>
  <c r="DZ372" i="80"/>
  <c r="AF231" i="80"/>
  <c r="AV231" i="80"/>
  <c r="EN231" i="80"/>
  <c r="X249" i="80"/>
  <c r="DQ374" i="79"/>
  <c r="AX372" i="80"/>
  <c r="DJ372" i="80"/>
  <c r="DR372" i="80"/>
  <c r="X231" i="80"/>
  <c r="AN231" i="80"/>
  <c r="P249" i="80"/>
  <c r="R372" i="80"/>
  <c r="CD372" i="80"/>
  <c r="CB231" i="80"/>
  <c r="BD231" i="80"/>
  <c r="BD249" i="80"/>
  <c r="BF372" i="80"/>
  <c r="BT231" i="80"/>
  <c r="EV249" i="80"/>
  <c r="BN372" i="80"/>
  <c r="CT372" i="80"/>
  <c r="EF231" i="80"/>
  <c r="CL296" i="79"/>
  <c r="DZ296" i="79"/>
  <c r="R277" i="79"/>
  <c r="CL373" i="79"/>
  <c r="CT373" i="79"/>
  <c r="CJ373" i="80"/>
  <c r="EX277" i="79"/>
  <c r="BE103" i="79"/>
  <c r="I103" i="80"/>
  <c r="DA103" i="80" s="1"/>
  <c r="I8" i="98"/>
  <c r="R373" i="79"/>
  <c r="BE246" i="79"/>
  <c r="DJ373" i="79"/>
  <c r="DB373" i="79"/>
  <c r="FN373" i="79"/>
  <c r="J368" i="85"/>
  <c r="L179" i="90" s="1"/>
  <c r="R245" i="80"/>
  <c r="AW103" i="79"/>
  <c r="Q103" i="79"/>
  <c r="CK103" i="79"/>
  <c r="Y103" i="79"/>
  <c r="H123" i="80"/>
  <c r="CZ123" i="80" s="1"/>
  <c r="H8" i="98"/>
  <c r="DZ373" i="79"/>
  <c r="DR373" i="79"/>
  <c r="AX373" i="79"/>
  <c r="J373" i="80"/>
  <c r="BN373" i="80" s="1"/>
  <c r="DB307" i="79"/>
  <c r="BU103" i="79"/>
  <c r="EW103" i="79"/>
  <c r="H296" i="79"/>
  <c r="CD373" i="79"/>
  <c r="EX373" i="79"/>
  <c r="EP373" i="79"/>
  <c r="FF373" i="79"/>
  <c r="AF103" i="80"/>
  <c r="AG103" i="79"/>
  <c r="H123" i="79"/>
  <c r="EF123" i="79" s="1"/>
  <c r="BV373" i="79"/>
  <c r="CB373" i="80"/>
  <c r="AP373" i="79"/>
  <c r="AH373" i="79"/>
  <c r="J371" i="80"/>
  <c r="DR371" i="80" s="1"/>
  <c r="BD373" i="80"/>
  <c r="EF103" i="80"/>
  <c r="EO103" i="79"/>
  <c r="I70" i="79"/>
  <c r="J69" i="85"/>
  <c r="L35" i="90" s="1"/>
  <c r="EH373" i="79"/>
  <c r="BL103" i="80"/>
  <c r="AV103" i="80"/>
  <c r="AO103" i="79"/>
  <c r="BM103" i="79"/>
  <c r="I70" i="80"/>
  <c r="J69" i="79"/>
  <c r="I23" i="80"/>
  <c r="I399" i="80" s="1"/>
  <c r="AV276" i="79"/>
  <c r="AO213" i="79"/>
  <c r="DI213" i="79"/>
  <c r="FM213" i="79"/>
  <c r="AF187" i="80"/>
  <c r="H7" i="98"/>
  <c r="BT276" i="79"/>
  <c r="FL276" i="79"/>
  <c r="AW213" i="79"/>
  <c r="CK213" i="79"/>
  <c r="Q213" i="79"/>
  <c r="I23" i="79"/>
  <c r="I399" i="79" s="1"/>
  <c r="AN276" i="79"/>
  <c r="EO213" i="79"/>
  <c r="DA213" i="79"/>
  <c r="R247" i="80"/>
  <c r="J307" i="80"/>
  <c r="I23" i="85"/>
  <c r="K6" i="90" s="1"/>
  <c r="P276" i="79"/>
  <c r="BE213" i="79"/>
  <c r="DQ213" i="79"/>
  <c r="F36" i="98"/>
  <c r="N4" i="118" s="1"/>
  <c r="G64" i="166" s="1"/>
  <c r="X276" i="79"/>
  <c r="BM213" i="79"/>
  <c r="DY213" i="79"/>
  <c r="I35" i="98"/>
  <c r="I36" i="98" s="1"/>
  <c r="DI229" i="79"/>
  <c r="AF276" i="79"/>
  <c r="BU213" i="79"/>
  <c r="FE213" i="79"/>
  <c r="CL245" i="80"/>
  <c r="Y213" i="79"/>
  <c r="CC213" i="79"/>
  <c r="G35" i="98"/>
  <c r="G36" i="98" s="1"/>
  <c r="EH296" i="79"/>
  <c r="K77" i="105"/>
  <c r="L12" i="107"/>
  <c r="CL247" i="80"/>
  <c r="EH277" i="80"/>
  <c r="DB296" i="79"/>
  <c r="Z277" i="79"/>
  <c r="CL277" i="79"/>
  <c r="H75" i="80"/>
  <c r="I145" i="85"/>
  <c r="K83" i="90" s="1"/>
  <c r="I59" i="79"/>
  <c r="I145" i="79"/>
  <c r="H75" i="79"/>
  <c r="H145" i="79"/>
  <c r="AN199" i="80"/>
  <c r="H145" i="80"/>
  <c r="P374" i="79"/>
  <c r="AF374" i="79"/>
  <c r="DX374" i="79"/>
  <c r="CB199" i="79"/>
  <c r="FD373" i="80"/>
  <c r="AF373" i="80"/>
  <c r="CB199" i="80"/>
  <c r="DH231" i="79"/>
  <c r="CJ231" i="79"/>
  <c r="AF231" i="79"/>
  <c r="EV231" i="79"/>
  <c r="AN255" i="79"/>
  <c r="FE213" i="80"/>
  <c r="CZ187" i="80"/>
  <c r="BD199" i="79"/>
  <c r="P373" i="80"/>
  <c r="AN187" i="80"/>
  <c r="EV373" i="80"/>
  <c r="FL373" i="80"/>
  <c r="DP373" i="80"/>
  <c r="CR231" i="79"/>
  <c r="CJ199" i="80"/>
  <c r="CR199" i="80"/>
  <c r="EN231" i="79"/>
  <c r="BD231" i="79"/>
  <c r="FL199" i="80"/>
  <c r="FD231" i="79"/>
  <c r="DH187" i="80"/>
  <c r="FD187" i="80"/>
  <c r="Y193" i="80"/>
  <c r="EO193" i="80"/>
  <c r="AV373" i="80"/>
  <c r="EN373" i="80"/>
  <c r="EF199" i="80"/>
  <c r="BL231" i="79"/>
  <c r="CR187" i="80"/>
  <c r="H296" i="85"/>
  <c r="J166" i="90" s="1"/>
  <c r="X187" i="80"/>
  <c r="BT373" i="80"/>
  <c r="CR373" i="80"/>
  <c r="H368" i="85"/>
  <c r="J179" i="90" s="1"/>
  <c r="BL199" i="80"/>
  <c r="EN199" i="80"/>
  <c r="BT231" i="79"/>
  <c r="BV247" i="80"/>
  <c r="CZ373" i="80"/>
  <c r="H373" i="79"/>
  <c r="AV231" i="79"/>
  <c r="EP296" i="79"/>
  <c r="BT187" i="80"/>
  <c r="Z182" i="79"/>
  <c r="CK193" i="80"/>
  <c r="J307" i="79"/>
  <c r="EV199" i="79"/>
  <c r="J371" i="79"/>
  <c r="DR371" i="79" s="1"/>
  <c r="DH373" i="80"/>
  <c r="EF373" i="80"/>
  <c r="X231" i="79"/>
  <c r="CB231" i="79"/>
  <c r="X199" i="80"/>
  <c r="BM213" i="80"/>
  <c r="DZ277" i="79"/>
  <c r="EP277" i="79"/>
  <c r="EN199" i="79"/>
  <c r="AN373" i="80"/>
  <c r="X373" i="80"/>
  <c r="BL373" i="80"/>
  <c r="CZ231" i="79"/>
  <c r="P231" i="79"/>
  <c r="DP231" i="79"/>
  <c r="AO176" i="79"/>
  <c r="CT247" i="79"/>
  <c r="DJ296" i="79"/>
  <c r="K61" i="105"/>
  <c r="K69" i="105"/>
  <c r="Q193" i="80"/>
  <c r="DG59" i="79"/>
  <c r="G45" i="80"/>
  <c r="G390" i="80" s="1"/>
  <c r="G436" i="80" s="1"/>
  <c r="E35" i="82"/>
  <c r="BL187" i="79"/>
  <c r="EX370" i="80"/>
  <c r="BN370" i="80"/>
  <c r="AX370" i="80"/>
  <c r="BD374" i="79"/>
  <c r="AN374" i="79"/>
  <c r="FN372" i="80"/>
  <c r="CL372" i="80"/>
  <c r="EX372" i="80"/>
  <c r="Z372" i="80"/>
  <c r="EH372" i="80"/>
  <c r="FL249" i="80"/>
  <c r="FN249" i="80" s="1"/>
  <c r="CJ249" i="80"/>
  <c r="AF249" i="80"/>
  <c r="BL249" i="80"/>
  <c r="BT249" i="80"/>
  <c r="H305" i="79"/>
  <c r="DX305" i="79" s="1"/>
  <c r="Q199" i="80"/>
  <c r="EW199" i="80"/>
  <c r="AO199" i="80"/>
  <c r="BU199" i="80"/>
  <c r="DY199" i="80"/>
  <c r="BE199" i="80"/>
  <c r="DI199" i="80"/>
  <c r="H58" i="85"/>
  <c r="J24" i="90" s="1"/>
  <c r="H58" i="79"/>
  <c r="CR187" i="79"/>
  <c r="AV187" i="79"/>
  <c r="H58" i="80"/>
  <c r="BF277" i="79"/>
  <c r="Q17" i="35"/>
  <c r="S17" i="35" s="1"/>
  <c r="H369" i="85"/>
  <c r="J180" i="90" s="1"/>
  <c r="H374" i="80"/>
  <c r="CZ374" i="80" s="1"/>
  <c r="G71" i="80"/>
  <c r="AE71" i="80" s="1"/>
  <c r="FC59" i="80"/>
  <c r="H70" i="79"/>
  <c r="AM59" i="80"/>
  <c r="CA59" i="79"/>
  <c r="H70" i="85"/>
  <c r="J36" i="90" s="1"/>
  <c r="BV278" i="79"/>
  <c r="AV399" i="80"/>
  <c r="J375" i="79"/>
  <c r="AX375" i="79" s="1"/>
  <c r="J375" i="80"/>
  <c r="BV375" i="80" s="1"/>
  <c r="I59" i="85"/>
  <c r="K25" i="90" s="1"/>
  <c r="BE193" i="80"/>
  <c r="AU59" i="80"/>
  <c r="DO59" i="79"/>
  <c r="BV195" i="79"/>
  <c r="DA199" i="80"/>
  <c r="BF23" i="80"/>
  <c r="BF399" i="80" s="1"/>
  <c r="BD399" i="80"/>
  <c r="EO189" i="80"/>
  <c r="Y189" i="80"/>
  <c r="CS189" i="80"/>
  <c r="AO189" i="80"/>
  <c r="CK189" i="80"/>
  <c r="J277" i="85"/>
  <c r="L157" i="90" s="1"/>
  <c r="J277" i="79"/>
  <c r="I370" i="85"/>
  <c r="K181" i="90" s="1"/>
  <c r="I375" i="80"/>
  <c r="Y375" i="80" s="1"/>
  <c r="G47" i="93"/>
  <c r="G48" i="93" s="1"/>
  <c r="F49" i="93" s="1"/>
  <c r="EG213" i="80"/>
  <c r="Q213" i="80"/>
  <c r="DQ213" i="80"/>
  <c r="EV187" i="80"/>
  <c r="DX187" i="80"/>
  <c r="H147" i="85"/>
  <c r="J85" i="90" s="1"/>
  <c r="H147" i="79"/>
  <c r="AN147" i="79" s="1"/>
  <c r="AN187" i="79"/>
  <c r="BD187" i="79"/>
  <c r="H142" i="85"/>
  <c r="J82" i="90" s="1"/>
  <c r="H142" i="80"/>
  <c r="H142" i="79"/>
  <c r="G96" i="85"/>
  <c r="I48" i="90" s="1"/>
  <c r="G96" i="80"/>
  <c r="BS96" i="80" s="1"/>
  <c r="FD185" i="79"/>
  <c r="FF232" i="79"/>
  <c r="FD192" i="80"/>
  <c r="CR192" i="80"/>
  <c r="CJ192" i="80"/>
  <c r="X192" i="80"/>
  <c r="FE103" i="79"/>
  <c r="DA103" i="79"/>
  <c r="CL226" i="79"/>
  <c r="DI103" i="79"/>
  <c r="DZ278" i="79"/>
  <c r="J103" i="79"/>
  <c r="I103" i="85"/>
  <c r="K52" i="90" s="1"/>
  <c r="BF195" i="79"/>
  <c r="X187" i="79"/>
  <c r="FN232" i="79"/>
  <c r="Z296" i="79"/>
  <c r="CD277" i="79"/>
  <c r="J103" i="80"/>
  <c r="H46" i="119"/>
  <c r="G24" i="166" s="1"/>
  <c r="C46" i="119"/>
  <c r="C27" i="119"/>
  <c r="H76" i="119"/>
  <c r="E34" i="116"/>
  <c r="F37" i="117"/>
  <c r="F38" i="117" s="1"/>
  <c r="F41" i="117" s="1"/>
  <c r="F85" i="117" s="1"/>
  <c r="F92" i="117" s="1"/>
  <c r="D64" i="117"/>
  <c r="G46" i="119"/>
  <c r="G57" i="119"/>
  <c r="G93" i="119"/>
  <c r="DP280" i="80"/>
  <c r="CB280" i="80"/>
  <c r="BL280" i="80"/>
  <c r="EV280" i="80"/>
  <c r="EF280" i="80"/>
  <c r="G37" i="80"/>
  <c r="G382" i="80" s="1"/>
  <c r="D25" i="82"/>
  <c r="D25" i="35"/>
  <c r="G37" i="79"/>
  <c r="G382" i="79" s="1"/>
  <c r="G37" i="85"/>
  <c r="I11" i="90" s="1"/>
  <c r="G114" i="119"/>
  <c r="G117" i="119" s="1"/>
  <c r="G60" i="80"/>
  <c r="CA60" i="80" s="1"/>
  <c r="AN295" i="79"/>
  <c r="AO295" i="79"/>
  <c r="I6" i="98"/>
  <c r="J5" i="98"/>
  <c r="J6" i="98" s="1"/>
  <c r="D28" i="82"/>
  <c r="G40" i="85"/>
  <c r="I14" i="90" s="1"/>
  <c r="G40" i="80"/>
  <c r="G385" i="80" s="1"/>
  <c r="D28" i="35"/>
  <c r="G40" i="79"/>
  <c r="G385" i="79" s="1"/>
  <c r="H16" i="119"/>
  <c r="M90" i="117"/>
  <c r="M87" i="117"/>
  <c r="G55" i="121"/>
  <c r="O59" i="80"/>
  <c r="CQ59" i="80"/>
  <c r="EM59" i="80"/>
  <c r="DG59" i="80"/>
  <c r="CA59" i="80"/>
  <c r="DO59" i="80"/>
  <c r="EE59" i="80"/>
  <c r="DW59" i="80"/>
  <c r="AE59" i="80"/>
  <c r="CI59" i="80"/>
  <c r="CY59" i="80"/>
  <c r="W59" i="80"/>
  <c r="FK59" i="80"/>
  <c r="BC59" i="80"/>
  <c r="BS59" i="80"/>
  <c r="EF192" i="79"/>
  <c r="FD192" i="79"/>
  <c r="X192" i="79"/>
  <c r="CJ192" i="79"/>
  <c r="EN192" i="79"/>
  <c r="DP192" i="79"/>
  <c r="CZ192" i="79"/>
  <c r="EV192" i="79"/>
  <c r="FL192" i="79"/>
  <c r="DX192" i="79"/>
  <c r="AV192" i="79"/>
  <c r="CR192" i="79"/>
  <c r="P192" i="79"/>
  <c r="AF192" i="79"/>
  <c r="CB192" i="79"/>
  <c r="DH192" i="79"/>
  <c r="BD192" i="79"/>
  <c r="I37" i="117"/>
  <c r="I38" i="117" s="1"/>
  <c r="I41" i="117" s="1"/>
  <c r="I85" i="117" s="1"/>
  <c r="M88" i="117"/>
  <c r="G124" i="85"/>
  <c r="I70" i="90" s="1"/>
  <c r="AM59" i="79"/>
  <c r="BS59" i="79"/>
  <c r="L13" i="107"/>
  <c r="J374" i="79"/>
  <c r="CB255" i="79"/>
  <c r="AW250" i="79"/>
  <c r="AF187" i="79"/>
  <c r="P187" i="79"/>
  <c r="EE59" i="79"/>
  <c r="CI59" i="79"/>
  <c r="AE59" i="79"/>
  <c r="J370" i="85"/>
  <c r="L181" i="90" s="1"/>
  <c r="BM250" i="79"/>
  <c r="CC249" i="80"/>
  <c r="CD249" i="80" s="1"/>
  <c r="CS249" i="80"/>
  <c r="AG249" i="80"/>
  <c r="EN250" i="79"/>
  <c r="DH250" i="79"/>
  <c r="DJ250" i="79" s="1"/>
  <c r="EF250" i="79"/>
  <c r="DX250" i="79"/>
  <c r="AV250" i="79"/>
  <c r="BT250" i="79"/>
  <c r="AF250" i="79"/>
  <c r="BD250" i="79"/>
  <c r="CJ250" i="79"/>
  <c r="BL250" i="79"/>
  <c r="CZ250" i="79"/>
  <c r="EV250" i="79"/>
  <c r="DP250" i="79"/>
  <c r="AN250" i="79"/>
  <c r="FL250" i="79"/>
  <c r="E22" i="104"/>
  <c r="F14" i="104"/>
  <c r="G17" i="177" s="1"/>
  <c r="G20" i="177" s="1"/>
  <c r="G24" i="177" s="1"/>
  <c r="E28" i="104"/>
  <c r="E29" i="104" s="1"/>
  <c r="F26" i="104"/>
  <c r="M17" i="177" s="1"/>
  <c r="M20" i="177" s="1"/>
  <c r="M24" i="177" s="1"/>
  <c r="O59" i="79"/>
  <c r="AU59" i="79"/>
  <c r="FK59" i="79"/>
  <c r="I375" i="79"/>
  <c r="BM375" i="79" s="1"/>
  <c r="EO250" i="79"/>
  <c r="DA250" i="79"/>
  <c r="DY250" i="79"/>
  <c r="CK250" i="79"/>
  <c r="EW250" i="79"/>
  <c r="BU250" i="79"/>
  <c r="DQ250" i="79"/>
  <c r="BE250" i="79"/>
  <c r="Q250" i="79"/>
  <c r="FM250" i="79"/>
  <c r="DR296" i="79"/>
  <c r="I58" i="85"/>
  <c r="K24" i="90" s="1"/>
  <c r="I58" i="80"/>
  <c r="P255" i="79"/>
  <c r="BL255" i="79"/>
  <c r="DP255" i="79"/>
  <c r="DH255" i="79"/>
  <c r="EV255" i="79"/>
  <c r="BT255" i="79"/>
  <c r="EU59" i="79"/>
  <c r="J374" i="80"/>
  <c r="AH374" i="80" s="1"/>
  <c r="AO250" i="79"/>
  <c r="CC250" i="79"/>
  <c r="FE250" i="79"/>
  <c r="FC59" i="79"/>
  <c r="I124" i="85"/>
  <c r="K70" i="90" s="1"/>
  <c r="EM59" i="79"/>
  <c r="DW59" i="79"/>
  <c r="AG250" i="79"/>
  <c r="DP187" i="80"/>
  <c r="EN187" i="80"/>
  <c r="FL187" i="80"/>
  <c r="AV187" i="80"/>
  <c r="BL187" i="80"/>
  <c r="BD187" i="80"/>
  <c r="EF187" i="80"/>
  <c r="CB187" i="80"/>
  <c r="H112" i="80"/>
  <c r="H112" i="85"/>
  <c r="J61" i="90" s="1"/>
  <c r="H112" i="79"/>
  <c r="L30" i="107"/>
  <c r="L22" i="107"/>
  <c r="FD199" i="80"/>
  <c r="DH199" i="80"/>
  <c r="DP199" i="80"/>
  <c r="CL278" i="79"/>
  <c r="Y140" i="79"/>
  <c r="CJ103" i="80"/>
  <c r="CB103" i="80"/>
  <c r="DY140" i="79"/>
  <c r="J270" i="79"/>
  <c r="J113" i="80"/>
  <c r="G96" i="79"/>
  <c r="CQ96" i="79" s="1"/>
  <c r="BD199" i="80"/>
  <c r="AF199" i="80"/>
  <c r="FN245" i="79"/>
  <c r="FN277" i="80"/>
  <c r="CT296" i="79"/>
  <c r="DA140" i="79"/>
  <c r="I99" i="79"/>
  <c r="I69" i="80"/>
  <c r="I140" i="80"/>
  <c r="D16" i="119"/>
  <c r="E20" i="92"/>
  <c r="C32" i="118"/>
  <c r="C43" i="118" s="1"/>
  <c r="C45" i="118" s="1"/>
  <c r="C43" i="120"/>
  <c r="AH232" i="79"/>
  <c r="CZ103" i="80"/>
  <c r="BT103" i="80"/>
  <c r="Q140" i="79"/>
  <c r="I123" i="79"/>
  <c r="G68" i="79"/>
  <c r="AM68" i="79" s="1"/>
  <c r="I68" i="85"/>
  <c r="K34" i="90" s="1"/>
  <c r="D31" i="82"/>
  <c r="P199" i="80"/>
  <c r="AP195" i="79"/>
  <c r="CZ199" i="80"/>
  <c r="AV199" i="80"/>
  <c r="EX247" i="79"/>
  <c r="I296" i="80"/>
  <c r="J113" i="79"/>
  <c r="C93" i="119"/>
  <c r="C57" i="119"/>
  <c r="C76" i="119"/>
  <c r="E37" i="117"/>
  <c r="E38" i="117" s="1"/>
  <c r="E41" i="117" s="1"/>
  <c r="D42" i="115"/>
  <c r="D97" i="115"/>
  <c r="D34" i="116"/>
  <c r="D67" i="116"/>
  <c r="J37" i="117"/>
  <c r="J38" i="117" s="1"/>
  <c r="J41" i="117" s="1"/>
  <c r="J85" i="117" s="1"/>
  <c r="D55" i="117"/>
  <c r="E114" i="119"/>
  <c r="E117" i="119" s="1"/>
  <c r="G34" i="123"/>
  <c r="G50" i="123" s="1"/>
  <c r="AX195" i="79"/>
  <c r="BT199" i="80"/>
  <c r="AH277" i="79"/>
  <c r="P187" i="80"/>
  <c r="AP247" i="80"/>
  <c r="DJ247" i="80"/>
  <c r="FF247" i="80"/>
  <c r="DQ140" i="79"/>
  <c r="CK140" i="79"/>
  <c r="I296" i="79"/>
  <c r="H103" i="79"/>
  <c r="EF103" i="79" s="1"/>
  <c r="EH278" i="79"/>
  <c r="K9" i="105"/>
  <c r="K23" i="105"/>
  <c r="K70" i="105"/>
  <c r="K86" i="105"/>
  <c r="D28" i="98"/>
  <c r="D29" i="98" s="1"/>
  <c r="D57" i="98"/>
  <c r="G55" i="98"/>
  <c r="H55" i="98"/>
  <c r="I26" i="98"/>
  <c r="H26" i="98"/>
  <c r="G26" i="98"/>
  <c r="G71" i="79"/>
  <c r="AU71" i="79" s="1"/>
  <c r="G71" i="85"/>
  <c r="I37" i="90" s="1"/>
  <c r="F21" i="93"/>
  <c r="E21" i="93"/>
  <c r="G21" i="93" s="1"/>
  <c r="DP374" i="79"/>
  <c r="EN374" i="79"/>
  <c r="CJ374" i="79"/>
  <c r="CZ374" i="79"/>
  <c r="EV374" i="79"/>
  <c r="FD374" i="79"/>
  <c r="DH374" i="79"/>
  <c r="AV374" i="79"/>
  <c r="BT374" i="79"/>
  <c r="X374" i="79"/>
  <c r="FL374" i="79"/>
  <c r="CB374" i="79"/>
  <c r="EF374" i="79"/>
  <c r="BL374" i="79"/>
  <c r="CR374" i="79"/>
  <c r="E32" i="93"/>
  <c r="G32" i="93" s="1"/>
  <c r="F32" i="93"/>
  <c r="H114" i="119"/>
  <c r="H117" i="119" s="1"/>
  <c r="E78" i="116"/>
  <c r="G42" i="85"/>
  <c r="I16" i="90" s="1"/>
  <c r="G42" i="79"/>
  <c r="G387" i="79" s="1"/>
  <c r="E97" i="115"/>
  <c r="D37" i="117"/>
  <c r="D38" i="117" s="1"/>
  <c r="D41" i="117" s="1"/>
  <c r="E46" i="119"/>
  <c r="G57" i="85"/>
  <c r="I23" i="90" s="1"/>
  <c r="G57" i="80"/>
  <c r="EM57" i="80" s="1"/>
  <c r="H57" i="85"/>
  <c r="J23" i="90" s="1"/>
  <c r="D55" i="121"/>
  <c r="D32" i="82"/>
  <c r="G44" i="85"/>
  <c r="I18" i="90" s="1"/>
  <c r="C61" i="122"/>
  <c r="G153" i="80"/>
  <c r="CY153" i="80" s="1"/>
  <c r="D78" i="116"/>
  <c r="H37" i="117"/>
  <c r="H38" i="117" s="1"/>
  <c r="H41" i="117" s="1"/>
  <c r="H85" i="117" s="1"/>
  <c r="E57" i="119"/>
  <c r="E76" i="119"/>
  <c r="G61" i="79"/>
  <c r="DO61" i="79" s="1"/>
  <c r="G61" i="80"/>
  <c r="DO61" i="80" s="1"/>
  <c r="G61" i="85"/>
  <c r="I27" i="90" s="1"/>
  <c r="C55" i="121"/>
  <c r="I371" i="79"/>
  <c r="I366" i="85"/>
  <c r="K177" i="90" s="1"/>
  <c r="Y246" i="79"/>
  <c r="FM229" i="79"/>
  <c r="EW246" i="79"/>
  <c r="I371" i="80"/>
  <c r="EG371" i="80" s="1"/>
  <c r="EW276" i="79"/>
  <c r="Q276" i="79"/>
  <c r="EO276" i="79"/>
  <c r="BE276" i="79"/>
  <c r="J58" i="85"/>
  <c r="L24" i="90" s="1"/>
  <c r="J58" i="79"/>
  <c r="J58" i="80"/>
  <c r="J145" i="80"/>
  <c r="J145" i="85"/>
  <c r="L83" i="90" s="1"/>
  <c r="J145" i="79"/>
  <c r="CL195" i="79"/>
  <c r="FD212" i="80"/>
  <c r="CZ212" i="80"/>
  <c r="F27" i="119"/>
  <c r="FL255" i="79"/>
  <c r="AF255" i="79"/>
  <c r="X255" i="79"/>
  <c r="CZ255" i="79"/>
  <c r="EO213" i="80"/>
  <c r="DI213" i="80"/>
  <c r="BU213" i="80"/>
  <c r="AG213" i="80"/>
  <c r="DA213" i="80"/>
  <c r="AW213" i="80"/>
  <c r="AO213" i="80"/>
  <c r="FM213" i="80"/>
  <c r="EW213" i="80"/>
  <c r="CK213" i="80"/>
  <c r="EX296" i="79"/>
  <c r="FF247" i="79"/>
  <c r="BU249" i="80"/>
  <c r="R278" i="79"/>
  <c r="EP278" i="79"/>
  <c r="BM199" i="80"/>
  <c r="F16" i="110"/>
  <c r="F19" i="104"/>
  <c r="I17" i="177" s="1"/>
  <c r="I20" i="177" s="1"/>
  <c r="I24" i="177" s="1"/>
  <c r="J16" i="79"/>
  <c r="J410" i="79" s="1"/>
  <c r="J426" i="79" s="1"/>
  <c r="H73" i="80"/>
  <c r="J120" i="80"/>
  <c r="I151" i="79"/>
  <c r="K8" i="105"/>
  <c r="K15" i="105"/>
  <c r="K34" i="105"/>
  <c r="K37" i="105"/>
  <c r="K45" i="105"/>
  <c r="K53" i="105"/>
  <c r="K56" i="105"/>
  <c r="K82" i="105"/>
  <c r="K85" i="105"/>
  <c r="K90" i="105"/>
  <c r="L69" i="107"/>
  <c r="L86" i="107"/>
  <c r="K64" i="105"/>
  <c r="L8" i="107"/>
  <c r="DY189" i="80"/>
  <c r="X176" i="79"/>
  <c r="FN247" i="79"/>
  <c r="EW249" i="80"/>
  <c r="Q189" i="80"/>
  <c r="FL147" i="80"/>
  <c r="DB245" i="79"/>
  <c r="BT212" i="80"/>
  <c r="H139" i="79"/>
  <c r="I113" i="80"/>
  <c r="BT192" i="79"/>
  <c r="BL231" i="80"/>
  <c r="Q227" i="80"/>
  <c r="F21" i="104"/>
  <c r="F13" i="104"/>
  <c r="I88" i="117"/>
  <c r="FF277" i="79"/>
  <c r="AV249" i="80"/>
  <c r="EV231" i="80"/>
  <c r="FF245" i="79"/>
  <c r="BN247" i="79"/>
  <c r="EH247" i="80"/>
  <c r="CT277" i="79"/>
  <c r="F9" i="104"/>
  <c r="E17" i="177" s="1"/>
  <c r="E20" i="177" s="1"/>
  <c r="E24" i="177" s="1"/>
  <c r="BL305" i="80"/>
  <c r="FD305" i="80"/>
  <c r="CR296" i="80"/>
  <c r="CS296" i="80"/>
  <c r="BM309" i="80"/>
  <c r="FL309" i="80"/>
  <c r="CR309" i="80"/>
  <c r="CZ309" i="80"/>
  <c r="AN309" i="80"/>
  <c r="FM309" i="80"/>
  <c r="AF309" i="80"/>
  <c r="DY309" i="80"/>
  <c r="CS309" i="80"/>
  <c r="DA309" i="80"/>
  <c r="AO309" i="80"/>
  <c r="FE309" i="80"/>
  <c r="FF309" i="80" s="1"/>
  <c r="Y309" i="80"/>
  <c r="EF309" i="80"/>
  <c r="AW309" i="80"/>
  <c r="CK309" i="80"/>
  <c r="EG309" i="80"/>
  <c r="BE309" i="80"/>
  <c r="CB309" i="80"/>
  <c r="DP309" i="80"/>
  <c r="BU309" i="80"/>
  <c r="AV309" i="80"/>
  <c r="BT309" i="80"/>
  <c r="DX309" i="80"/>
  <c r="BD309" i="80"/>
  <c r="CC309" i="80"/>
  <c r="EW309" i="80"/>
  <c r="DQ309" i="80"/>
  <c r="DH309" i="80"/>
  <c r="DI309" i="80"/>
  <c r="BL309" i="80"/>
  <c r="EN309" i="80"/>
  <c r="P309" i="80"/>
  <c r="EO309" i="80"/>
  <c r="Q309" i="80"/>
  <c r="FL296" i="79"/>
  <c r="FM296" i="79"/>
  <c r="FL305" i="80"/>
  <c r="FK313" i="80"/>
  <c r="AM305" i="80"/>
  <c r="AM313" i="80" s="1"/>
  <c r="Q307" i="79"/>
  <c r="BF296" i="79"/>
  <c r="H370" i="80"/>
  <c r="H365" i="85"/>
  <c r="J176" i="90" s="1"/>
  <c r="J142" i="85"/>
  <c r="L82" i="90" s="1"/>
  <c r="H370" i="79"/>
  <c r="H366" i="85"/>
  <c r="J177" i="90" s="1"/>
  <c r="H371" i="79"/>
  <c r="J147" i="79"/>
  <c r="J147" i="80"/>
  <c r="CZ276" i="79"/>
  <c r="EF276" i="79"/>
  <c r="CR276" i="79"/>
  <c r="CB276" i="79"/>
  <c r="DP276" i="79"/>
  <c r="CJ276" i="79"/>
  <c r="DX276" i="79"/>
  <c r="EV276" i="79"/>
  <c r="EN276" i="79"/>
  <c r="BL276" i="79"/>
  <c r="E43" i="82"/>
  <c r="H23" i="80"/>
  <c r="H399" i="80" s="1"/>
  <c r="H23" i="79"/>
  <c r="H399" i="79" s="1"/>
  <c r="J306" i="85"/>
  <c r="L170" i="90" s="1"/>
  <c r="J306" i="79"/>
  <c r="CZ371" i="80"/>
  <c r="J147" i="85"/>
  <c r="L85" i="90" s="1"/>
  <c r="EF371" i="80"/>
  <c r="DH147" i="80"/>
  <c r="CZ147" i="80"/>
  <c r="AN147" i="80"/>
  <c r="BT147" i="80"/>
  <c r="CB399" i="80"/>
  <c r="I87" i="80"/>
  <c r="CJ371" i="80"/>
  <c r="I365" i="85"/>
  <c r="K176" i="90" s="1"/>
  <c r="I87" i="85"/>
  <c r="K42" i="90" s="1"/>
  <c r="EN371" i="80"/>
  <c r="I370" i="79"/>
  <c r="EG370" i="79" s="1"/>
  <c r="J306" i="80"/>
  <c r="P371" i="80"/>
  <c r="AN371" i="80"/>
  <c r="DH276" i="79"/>
  <c r="AP247" i="79"/>
  <c r="H295" i="79"/>
  <c r="DJ277" i="79"/>
  <c r="EH247" i="79"/>
  <c r="AH296" i="79"/>
  <c r="AH278" i="79"/>
  <c r="G32" i="100"/>
  <c r="J32" i="100" s="1"/>
  <c r="F38" i="100"/>
  <c r="AP245" i="79"/>
  <c r="DZ226" i="79"/>
  <c r="AX278" i="79"/>
  <c r="FM246" i="79"/>
  <c r="AU219" i="79"/>
  <c r="CQ219" i="79"/>
  <c r="BC219" i="79"/>
  <c r="DW219" i="79"/>
  <c r="AE219" i="79"/>
  <c r="FC219" i="79"/>
  <c r="W219" i="79"/>
  <c r="DG219" i="79"/>
  <c r="DO219" i="79"/>
  <c r="AM219" i="79"/>
  <c r="BK219" i="79"/>
  <c r="G235" i="79"/>
  <c r="CY219" i="79"/>
  <c r="CA219" i="79"/>
  <c r="BS219" i="79"/>
  <c r="EE219" i="79"/>
  <c r="EM219" i="79"/>
  <c r="EU219" i="79"/>
  <c r="O219" i="79"/>
  <c r="K254" i="80"/>
  <c r="K250" i="80"/>
  <c r="FL250" i="80" s="1"/>
  <c r="BC242" i="80"/>
  <c r="CQ242" i="80"/>
  <c r="BK242" i="80"/>
  <c r="AM242" i="80"/>
  <c r="AU242" i="80"/>
  <c r="CY242" i="80"/>
  <c r="EE242" i="80"/>
  <c r="CI242" i="80"/>
  <c r="EU242" i="80"/>
  <c r="EM242" i="80"/>
  <c r="W242" i="80"/>
  <c r="FC242" i="80"/>
  <c r="BS242" i="80"/>
  <c r="DW242" i="80"/>
  <c r="CA242" i="80"/>
  <c r="DG242" i="80"/>
  <c r="DH245" i="80"/>
  <c r="DI245" i="80"/>
  <c r="DO230" i="80"/>
  <c r="CQ230" i="80"/>
  <c r="FC230" i="80"/>
  <c r="BS230" i="80"/>
  <c r="BC230" i="80"/>
  <c r="AU230" i="80"/>
  <c r="BK230" i="80"/>
  <c r="DW230" i="80"/>
  <c r="EE230" i="80"/>
  <c r="CA230" i="80"/>
  <c r="W230" i="80"/>
  <c r="AM230" i="80"/>
  <c r="FK230" i="80"/>
  <c r="EM230" i="80"/>
  <c r="AE230" i="80"/>
  <c r="EU230" i="80"/>
  <c r="CI230" i="80"/>
  <c r="O230" i="80"/>
  <c r="CY230" i="80"/>
  <c r="FE246" i="79"/>
  <c r="EW229" i="79"/>
  <c r="AG229" i="79"/>
  <c r="EG229" i="79"/>
  <c r="DQ229" i="79"/>
  <c r="FE229" i="79"/>
  <c r="P176" i="79"/>
  <c r="Q176" i="79"/>
  <c r="DG230" i="80"/>
  <c r="CR180" i="79"/>
  <c r="CS180" i="79"/>
  <c r="CI219" i="79"/>
  <c r="BK228" i="79"/>
  <c r="W228" i="79"/>
  <c r="BS228" i="79"/>
  <c r="O228" i="79"/>
  <c r="DO228" i="79"/>
  <c r="DG228" i="79"/>
  <c r="EM228" i="79"/>
  <c r="CA228" i="79"/>
  <c r="CI228" i="79"/>
  <c r="FK228" i="79"/>
  <c r="AU228" i="79"/>
  <c r="CY228" i="79"/>
  <c r="DW228" i="79"/>
  <c r="BC228" i="79"/>
  <c r="FC228" i="79"/>
  <c r="EU228" i="79"/>
  <c r="EE228" i="79"/>
  <c r="AE228" i="79"/>
  <c r="AM228" i="79"/>
  <c r="CQ228" i="79"/>
  <c r="X180" i="80"/>
  <c r="Y180" i="80"/>
  <c r="FD255" i="80"/>
  <c r="AF255" i="80"/>
  <c r="BD255" i="80"/>
  <c r="DI246" i="79"/>
  <c r="DA246" i="79"/>
  <c r="Q246" i="79"/>
  <c r="CS246" i="79"/>
  <c r="DY246" i="79"/>
  <c r="AW246" i="79"/>
  <c r="AG246" i="79"/>
  <c r="AO246" i="79"/>
  <c r="CC246" i="79"/>
  <c r="DQ246" i="79"/>
  <c r="EO246" i="79"/>
  <c r="CK246" i="79"/>
  <c r="CC193" i="80"/>
  <c r="DY193" i="80"/>
  <c r="FM193" i="80"/>
  <c r="AG193" i="80"/>
  <c r="AO193" i="80"/>
  <c r="DI193" i="80"/>
  <c r="EG193" i="80"/>
  <c r="BU193" i="80"/>
  <c r="DQ193" i="80"/>
  <c r="FE193" i="80"/>
  <c r="BM193" i="80"/>
  <c r="AW193" i="80"/>
  <c r="DA193" i="80"/>
  <c r="EF226" i="79"/>
  <c r="EG226" i="79"/>
  <c r="BE188" i="80"/>
  <c r="O180" i="80"/>
  <c r="P180" i="80" s="1"/>
  <c r="FE188" i="80"/>
  <c r="CK232" i="80"/>
  <c r="EV232" i="80"/>
  <c r="AG232" i="80"/>
  <c r="EW232" i="80"/>
  <c r="EN232" i="80"/>
  <c r="FE232" i="80"/>
  <c r="DX232" i="80"/>
  <c r="DP232" i="80"/>
  <c r="FM232" i="80"/>
  <c r="CZ232" i="80"/>
  <c r="CJ232" i="80"/>
  <c r="DY232" i="80"/>
  <c r="DA232" i="80"/>
  <c r="FL232" i="80"/>
  <c r="CB232" i="80"/>
  <c r="EF232" i="80"/>
  <c r="DQ232" i="80"/>
  <c r="Y232" i="80"/>
  <c r="CC232" i="80"/>
  <c r="X232" i="80"/>
  <c r="BE232" i="80"/>
  <c r="AF232" i="80"/>
  <c r="DH232" i="80"/>
  <c r="DJ232" i="80" s="1"/>
  <c r="EG232" i="80"/>
  <c r="BD232" i="80"/>
  <c r="BM232" i="80"/>
  <c r="BN232" i="80" s="1"/>
  <c r="DG223" i="79"/>
  <c r="CY223" i="79"/>
  <c r="BS223" i="79"/>
  <c r="EM223" i="79"/>
  <c r="W223" i="79"/>
  <c r="FK223" i="79"/>
  <c r="CA223" i="79"/>
  <c r="BC223" i="79"/>
  <c r="AE223" i="79"/>
  <c r="CI223" i="79"/>
  <c r="FC223" i="79"/>
  <c r="BT232" i="80"/>
  <c r="BV232" i="80" s="1"/>
  <c r="CQ207" i="79"/>
  <c r="CK188" i="80"/>
  <c r="BC180" i="80"/>
  <c r="AO232" i="80"/>
  <c r="AP232" i="80" s="1"/>
  <c r="DG249" i="79"/>
  <c r="FC249" i="79"/>
  <c r="FE249" i="79" s="1"/>
  <c r="CI249" i="79"/>
  <c r="EE249" i="79"/>
  <c r="EF249" i="79" s="1"/>
  <c r="EU249" i="79"/>
  <c r="EV249" i="79" s="1"/>
  <c r="DO249" i="79"/>
  <c r="DQ249" i="79" s="1"/>
  <c r="W249" i="79"/>
  <c r="X249" i="79" s="1"/>
  <c r="CA249" i="79"/>
  <c r="CB249" i="79" s="1"/>
  <c r="DW249" i="79"/>
  <c r="O249" i="79"/>
  <c r="P249" i="79" s="1"/>
  <c r="AM249" i="79"/>
  <c r="AO249" i="79" s="1"/>
  <c r="EM249" i="79"/>
  <c r="EN249" i="79" s="1"/>
  <c r="BS249" i="79"/>
  <c r="BC249" i="79"/>
  <c r="DB195" i="79"/>
  <c r="EG232" i="79"/>
  <c r="CC188" i="80"/>
  <c r="AF245" i="80"/>
  <c r="AG245" i="80"/>
  <c r="AV185" i="79"/>
  <c r="EN185" i="79"/>
  <c r="BS177" i="79"/>
  <c r="BK177" i="79"/>
  <c r="DO177" i="79"/>
  <c r="EE177" i="79"/>
  <c r="DG177" i="79"/>
  <c r="FK177" i="79"/>
  <c r="CA177" i="79"/>
  <c r="FC177" i="79"/>
  <c r="CY177" i="79"/>
  <c r="DW177" i="79"/>
  <c r="CI177" i="79"/>
  <c r="AE177" i="79"/>
  <c r="EU177" i="79"/>
  <c r="EM177" i="79"/>
  <c r="O177" i="79"/>
  <c r="AM177" i="79"/>
  <c r="BC177" i="79"/>
  <c r="EV241" i="80"/>
  <c r="EW241" i="80"/>
  <c r="K176" i="80"/>
  <c r="AF247" i="79"/>
  <c r="AG247" i="79"/>
  <c r="CR232" i="80"/>
  <c r="CS232" i="80"/>
  <c r="CQ222" i="80"/>
  <c r="BS222" i="80"/>
  <c r="AU222" i="80"/>
  <c r="AE222" i="80"/>
  <c r="O222" i="80"/>
  <c r="FC222" i="80"/>
  <c r="DG222" i="80"/>
  <c r="EU222" i="80"/>
  <c r="BC222" i="80"/>
  <c r="DW222" i="80"/>
  <c r="CI222" i="80"/>
  <c r="AM222" i="80"/>
  <c r="W222" i="80"/>
  <c r="G235" i="80"/>
  <c r="EM222" i="80"/>
  <c r="EM235" i="80" s="1"/>
  <c r="DO222" i="80"/>
  <c r="CA222" i="80"/>
  <c r="BK222" i="80"/>
  <c r="FK222" i="80"/>
  <c r="CY200" i="80"/>
  <c r="CY202" i="80" s="1"/>
  <c r="FK200" i="80"/>
  <c r="FK202" i="80" s="1"/>
  <c r="BK200" i="80"/>
  <c r="BK202" i="80" s="1"/>
  <c r="EM200" i="80"/>
  <c r="EM202" i="80" s="1"/>
  <c r="AU200" i="80"/>
  <c r="AU202" i="80" s="1"/>
  <c r="EU200" i="80"/>
  <c r="EU202" i="80" s="1"/>
  <c r="FC200" i="80"/>
  <c r="FC202" i="80" s="1"/>
  <c r="CI200" i="80"/>
  <c r="CI202" i="80" s="1"/>
  <c r="DG200" i="80"/>
  <c r="DG202" i="80" s="1"/>
  <c r="W200" i="80"/>
  <c r="W202" i="80" s="1"/>
  <c r="EE200" i="80"/>
  <c r="EE202" i="80" s="1"/>
  <c r="G202" i="80"/>
  <c r="DW200" i="80"/>
  <c r="DW202" i="80" s="1"/>
  <c r="O200" i="80"/>
  <c r="O202" i="80" s="1"/>
  <c r="BS200" i="80"/>
  <c r="BS202" i="80" s="1"/>
  <c r="CQ200" i="80"/>
  <c r="CQ202" i="80" s="1"/>
  <c r="BC200" i="80"/>
  <c r="BC202" i="80" s="1"/>
  <c r="AM200" i="80"/>
  <c r="AM202" i="80" s="1"/>
  <c r="AE200" i="80"/>
  <c r="AE202" i="80" s="1"/>
  <c r="DO200" i="80"/>
  <c r="DO202" i="80" s="1"/>
  <c r="K194" i="80"/>
  <c r="FL194" i="80" s="1"/>
  <c r="DQ188" i="80"/>
  <c r="EO188" i="80"/>
  <c r="FC185" i="80"/>
  <c r="FK185" i="80"/>
  <c r="BC185" i="80"/>
  <c r="CI185" i="80"/>
  <c r="EU185" i="80"/>
  <c r="O185" i="80"/>
  <c r="CY185" i="80"/>
  <c r="AU185" i="80"/>
  <c r="AM185" i="80"/>
  <c r="BS185" i="80"/>
  <c r="EM185" i="80"/>
  <c r="CQ185" i="80"/>
  <c r="AE185" i="80"/>
  <c r="BK185" i="80"/>
  <c r="W185" i="80"/>
  <c r="DG185" i="80"/>
  <c r="CA185" i="80"/>
  <c r="DW185" i="80"/>
  <c r="FK180" i="80"/>
  <c r="BS180" i="80"/>
  <c r="CY180" i="80"/>
  <c r="FC180" i="80"/>
  <c r="DO180" i="80"/>
  <c r="EM180" i="80"/>
  <c r="EE180" i="80"/>
  <c r="CA180" i="80"/>
  <c r="DG180" i="80"/>
  <c r="BK180" i="80"/>
  <c r="DW180" i="80"/>
  <c r="AU180" i="80"/>
  <c r="AE180" i="80"/>
  <c r="CQ180" i="80"/>
  <c r="EU180" i="80"/>
  <c r="CI180" i="80"/>
  <c r="DX199" i="80"/>
  <c r="AE207" i="80"/>
  <c r="BM188" i="80"/>
  <c r="CA200" i="80"/>
  <c r="CA202" i="80" s="1"/>
  <c r="AF180" i="79"/>
  <c r="AG180" i="79"/>
  <c r="AU177" i="79"/>
  <c r="CI184" i="79"/>
  <c r="DG184" i="79"/>
  <c r="EM184" i="79"/>
  <c r="AM184" i="79"/>
  <c r="BK184" i="79"/>
  <c r="CQ184" i="79"/>
  <c r="AU184" i="79"/>
  <c r="CY184" i="79"/>
  <c r="FK184" i="79"/>
  <c r="DO184" i="79"/>
  <c r="AE184" i="79"/>
  <c r="EE184" i="79"/>
  <c r="FC184" i="79"/>
  <c r="DW184" i="79"/>
  <c r="W184" i="79"/>
  <c r="EU184" i="79"/>
  <c r="BC184" i="79"/>
  <c r="O184" i="79"/>
  <c r="BS184" i="79"/>
  <c r="CA184" i="79"/>
  <c r="CI180" i="79"/>
  <c r="EE180" i="79"/>
  <c r="EM180" i="79"/>
  <c r="AM180" i="79"/>
  <c r="EU180" i="79"/>
  <c r="BC180" i="79"/>
  <c r="BS180" i="79"/>
  <c r="CY180" i="79"/>
  <c r="DG180" i="79"/>
  <c r="FC180" i="79"/>
  <c r="BK180" i="79"/>
  <c r="BL180" i="79" s="1"/>
  <c r="CA180" i="79"/>
  <c r="DO180" i="79"/>
  <c r="O180" i="79"/>
  <c r="W180" i="79"/>
  <c r="DW180" i="79"/>
  <c r="FK180" i="79"/>
  <c r="AV232" i="80"/>
  <c r="AW232" i="80"/>
  <c r="EW188" i="80"/>
  <c r="CR211" i="80"/>
  <c r="CT211" i="80" s="1"/>
  <c r="CY210" i="79"/>
  <c r="DO210" i="79"/>
  <c r="O210" i="79"/>
  <c r="BC210" i="79"/>
  <c r="DW210" i="79"/>
  <c r="BS210" i="79"/>
  <c r="CQ210" i="79"/>
  <c r="EM210" i="79"/>
  <c r="W210" i="79"/>
  <c r="AU210" i="79"/>
  <c r="FK210" i="79"/>
  <c r="DG210" i="79"/>
  <c r="EU210" i="79"/>
  <c r="FC210" i="79"/>
  <c r="G215" i="79"/>
  <c r="CA201" i="79"/>
  <c r="CA202" i="79" s="1"/>
  <c r="AM201" i="79"/>
  <c r="W201" i="79"/>
  <c r="W202" i="79" s="1"/>
  <c r="CI201" i="79"/>
  <c r="DW201" i="79"/>
  <c r="O201" i="79"/>
  <c r="BS201" i="79"/>
  <c r="DO201" i="79"/>
  <c r="FK201" i="79"/>
  <c r="FK202" i="79" s="1"/>
  <c r="EE201" i="79"/>
  <c r="EE222" i="80"/>
  <c r="K226" i="80"/>
  <c r="CK226" i="80" s="1"/>
  <c r="AU232" i="79"/>
  <c r="CI225" i="79"/>
  <c r="BC232" i="79"/>
  <c r="BS199" i="79"/>
  <c r="BU199" i="79" s="1"/>
  <c r="AM232" i="79"/>
  <c r="DG232" i="79"/>
  <c r="EU232" i="79"/>
  <c r="AM226" i="79"/>
  <c r="CY199" i="79"/>
  <c r="CZ199" i="79" s="1"/>
  <c r="CY241" i="80"/>
  <c r="FC241" i="80"/>
  <c r="O226" i="79"/>
  <c r="BC178" i="79"/>
  <c r="FC214" i="80"/>
  <c r="FC215" i="80" s="1"/>
  <c r="BS241" i="80"/>
  <c r="AE207" i="79"/>
  <c r="AU199" i="79"/>
  <c r="O229" i="80"/>
  <c r="CQ229" i="80"/>
  <c r="CR182" i="79"/>
  <c r="CS182" i="79"/>
  <c r="FN182" i="79"/>
  <c r="DB241" i="79"/>
  <c r="FN247" i="80"/>
  <c r="BM182" i="79"/>
  <c r="P182" i="79"/>
  <c r="R182" i="79" s="1"/>
  <c r="BL182" i="79"/>
  <c r="AF182" i="79"/>
  <c r="CK182" i="79"/>
  <c r="AG182" i="79"/>
  <c r="DA182" i="79"/>
  <c r="BE182" i="79"/>
  <c r="BF182" i="79" s="1"/>
  <c r="EO182" i="79"/>
  <c r="EP182" i="79" s="1"/>
  <c r="DI182" i="79"/>
  <c r="CB182" i="79"/>
  <c r="EG182" i="79"/>
  <c r="EW182" i="79"/>
  <c r="CC182" i="79"/>
  <c r="CR247" i="80"/>
  <c r="CT247" i="80" s="1"/>
  <c r="CB247" i="80"/>
  <c r="CD247" i="80" s="1"/>
  <c r="Y247" i="80"/>
  <c r="Z247" i="80" s="1"/>
  <c r="EN247" i="80"/>
  <c r="EP247" i="80" s="1"/>
  <c r="BL247" i="80"/>
  <c r="BN247" i="80" s="1"/>
  <c r="BD247" i="80"/>
  <c r="BF247" i="80" s="1"/>
  <c r="FF195" i="79"/>
  <c r="AN176" i="79"/>
  <c r="FC243" i="79"/>
  <c r="BS182" i="79"/>
  <c r="EU220" i="80"/>
  <c r="AE220" i="80"/>
  <c r="FC243" i="80"/>
  <c r="EE234" i="80"/>
  <c r="AM241" i="79"/>
  <c r="CA243" i="80"/>
  <c r="FC182" i="79"/>
  <c r="CY226" i="80"/>
  <c r="BK210" i="79"/>
  <c r="DO234" i="79"/>
  <c r="CY225" i="80"/>
  <c r="BS187" i="79"/>
  <c r="EU187" i="79"/>
  <c r="EM201" i="79"/>
  <c r="EM202" i="79" s="1"/>
  <c r="DO199" i="79"/>
  <c r="AE201" i="79"/>
  <c r="CI234" i="79"/>
  <c r="W250" i="80"/>
  <c r="X250" i="80" s="1"/>
  <c r="EE255" i="79"/>
  <c r="EF255" i="79" s="1"/>
  <c r="AM250" i="80"/>
  <c r="AE252" i="79"/>
  <c r="CA245" i="79"/>
  <c r="CC245" i="79" s="1"/>
  <c r="FC255" i="79"/>
  <c r="FD255" i="79" s="1"/>
  <c r="AM243" i="80"/>
  <c r="BS242" i="79"/>
  <c r="O229" i="79"/>
  <c r="Q229" i="79" s="1"/>
  <c r="BK241" i="79"/>
  <c r="O232" i="79"/>
  <c r="CI232" i="79"/>
  <c r="AU223" i="79"/>
  <c r="W230" i="79"/>
  <c r="EU220" i="79"/>
  <c r="BC188" i="79"/>
  <c r="AU242" i="79"/>
  <c r="BK242" i="79"/>
  <c r="CQ232" i="79"/>
  <c r="EM232" i="79"/>
  <c r="FC225" i="79"/>
  <c r="DW223" i="79"/>
  <c r="DW187" i="79"/>
  <c r="DX187" i="79" s="1"/>
  <c r="AM185" i="79"/>
  <c r="AU249" i="79"/>
  <c r="AV249" i="79" s="1"/>
  <c r="BK249" i="79"/>
  <c r="BL249" i="79" s="1"/>
  <c r="DW230" i="79"/>
  <c r="BC194" i="80"/>
  <c r="EV182" i="79"/>
  <c r="EF182" i="79"/>
  <c r="BK199" i="79"/>
  <c r="CQ249" i="79"/>
  <c r="CR249" i="79" s="1"/>
  <c r="CY185" i="79"/>
  <c r="EU185" i="79"/>
  <c r="BS194" i="80"/>
  <c r="CQ243" i="79"/>
  <c r="DH182" i="79"/>
  <c r="BC212" i="79"/>
  <c r="BK220" i="80"/>
  <c r="FK220" i="80"/>
  <c r="DG243" i="80"/>
  <c r="CI234" i="80"/>
  <c r="CI235" i="80" s="1"/>
  <c r="FK241" i="79"/>
  <c r="BK226" i="80"/>
  <c r="W226" i="80"/>
  <c r="AM226" i="80"/>
  <c r="CQ212" i="79"/>
  <c r="CA224" i="79"/>
  <c r="FK234" i="79"/>
  <c r="AU201" i="79"/>
  <c r="FC201" i="79"/>
  <c r="FC202" i="79" s="1"/>
  <c r="EU201" i="79"/>
  <c r="EU202" i="79" s="1"/>
  <c r="EU234" i="80"/>
  <c r="AM234" i="80"/>
  <c r="DO252" i="79"/>
  <c r="EU250" i="80"/>
  <c r="EW250" i="80" s="1"/>
  <c r="DG245" i="79"/>
  <c r="DH245" i="79" s="1"/>
  <c r="EM252" i="79"/>
  <c r="EM250" i="80"/>
  <c r="EO250" i="80" s="1"/>
  <c r="BC255" i="79"/>
  <c r="BD255" i="79" s="1"/>
  <c r="AM243" i="79"/>
  <c r="BK188" i="79"/>
  <c r="DG187" i="79"/>
  <c r="DW242" i="79"/>
  <c r="BS212" i="79"/>
  <c r="EU223" i="79"/>
  <c r="AU225" i="79"/>
  <c r="AE210" i="79"/>
  <c r="CQ188" i="79"/>
  <c r="AM210" i="79"/>
  <c r="CJ182" i="79"/>
  <c r="BC225" i="79"/>
  <c r="W232" i="79"/>
  <c r="CA212" i="79"/>
  <c r="EU243" i="79"/>
  <c r="BK243" i="79"/>
  <c r="CY225" i="79"/>
  <c r="BS243" i="79"/>
  <c r="CA232" i="79"/>
  <c r="AE185" i="79"/>
  <c r="AF185" i="79" s="1"/>
  <c r="AM199" i="79"/>
  <c r="AN199" i="79" s="1"/>
  <c r="DW185" i="79"/>
  <c r="DX185" i="79" s="1"/>
  <c r="EE185" i="79"/>
  <c r="EF185" i="79" s="1"/>
  <c r="FK252" i="79"/>
  <c r="O225" i="79"/>
  <c r="K181" i="79"/>
  <c r="EV247" i="80"/>
  <c r="EX247" i="80" s="1"/>
  <c r="AW247" i="80"/>
  <c r="AX247" i="80" s="1"/>
  <c r="DY182" i="79"/>
  <c r="DZ182" i="79" s="1"/>
  <c r="BK227" i="79"/>
  <c r="W243" i="79"/>
  <c r="O220" i="80"/>
  <c r="O243" i="80"/>
  <c r="EM243" i="80"/>
  <c r="DW225" i="80"/>
  <c r="DG234" i="80"/>
  <c r="AE243" i="80"/>
  <c r="EU226" i="80"/>
  <c r="BS224" i="79"/>
  <c r="FK224" i="79"/>
  <c r="DG201" i="79"/>
  <c r="DW199" i="79"/>
  <c r="CY201" i="79"/>
  <c r="EE234" i="79"/>
  <c r="W234" i="79"/>
  <c r="AU255" i="79"/>
  <c r="AV255" i="79" s="1"/>
  <c r="CQ252" i="79"/>
  <c r="CY252" i="79"/>
  <c r="O245" i="79"/>
  <c r="Q245" i="79" s="1"/>
  <c r="O252" i="79"/>
  <c r="DO188" i="79"/>
  <c r="BC201" i="79"/>
  <c r="BC202" i="79" s="1"/>
  <c r="EE223" i="79"/>
  <c r="CQ201" i="79"/>
  <c r="BK225" i="79"/>
  <c r="EE225" i="79"/>
  <c r="AM229" i="79"/>
  <c r="AO229" i="79" s="1"/>
  <c r="AM223" i="79"/>
  <c r="W220" i="79"/>
  <c r="BK232" i="79"/>
  <c r="BK223" i="79"/>
  <c r="CI210" i="79"/>
  <c r="CY220" i="79"/>
  <c r="AU182" i="79"/>
  <c r="DW220" i="79"/>
  <c r="BC243" i="79"/>
  <c r="O220" i="79"/>
  <c r="CY232" i="79"/>
  <c r="AE225" i="79"/>
  <c r="O223" i="79"/>
  <c r="O185" i="79"/>
  <c r="P185" i="79" s="1"/>
  <c r="BC230" i="79"/>
  <c r="CA210" i="79"/>
  <c r="CQ185" i="79"/>
  <c r="DO214" i="79"/>
  <c r="AE243" i="79"/>
  <c r="FK220" i="79"/>
  <c r="CA210" i="80"/>
  <c r="DO221" i="79"/>
  <c r="DO206" i="79"/>
  <c r="DA247" i="80"/>
  <c r="DB247" i="80" s="1"/>
  <c r="CY249" i="79"/>
  <c r="CZ249" i="79" s="1"/>
  <c r="AE226" i="80"/>
  <c r="DW243" i="79"/>
  <c r="CA220" i="80"/>
  <c r="EU243" i="80"/>
  <c r="AU243" i="80"/>
  <c r="AM194" i="80"/>
  <c r="DW241" i="79"/>
  <c r="AM182" i="79"/>
  <c r="BS241" i="79"/>
  <c r="O226" i="80"/>
  <c r="DO182" i="79"/>
  <c r="AM234" i="79"/>
  <c r="CI187" i="79"/>
  <c r="EE187" i="79"/>
  <c r="EE199" i="79"/>
  <c r="EF199" i="79" s="1"/>
  <c r="AU214" i="79"/>
  <c r="EU234" i="79"/>
  <c r="CY250" i="80"/>
  <c r="CA250" i="80"/>
  <c r="EE250" i="80"/>
  <c r="EG250" i="80" s="1"/>
  <c r="BK250" i="80"/>
  <c r="DG250" i="80"/>
  <c r="CY243" i="79"/>
  <c r="BK220" i="79"/>
  <c r="BK229" i="79"/>
  <c r="BM229" i="79" s="1"/>
  <c r="AE220" i="79"/>
  <c r="AU229" i="79"/>
  <c r="AW229" i="79" s="1"/>
  <c r="DO232" i="79"/>
  <c r="DP232" i="79" s="1"/>
  <c r="W229" i="79"/>
  <c r="Y229" i="79" s="1"/>
  <c r="CQ220" i="79"/>
  <c r="CQ224" i="79"/>
  <c r="BS220" i="79"/>
  <c r="DW232" i="79"/>
  <c r="O199" i="79"/>
  <c r="AE249" i="79"/>
  <c r="AM206" i="79"/>
  <c r="AM207" i="79" s="1"/>
  <c r="AU206" i="79"/>
  <c r="BK206" i="79"/>
  <c r="DG199" i="79"/>
  <c r="DH199" i="79" s="1"/>
  <c r="FK221" i="79"/>
  <c r="DG207" i="79"/>
  <c r="FD232" i="80"/>
  <c r="AU194" i="80"/>
  <c r="AG247" i="80"/>
  <c r="AH247" i="80" s="1"/>
  <c r="CZ182" i="79"/>
  <c r="CB255" i="80"/>
  <c r="AN255" i="80"/>
  <c r="EN255" i="80"/>
  <c r="BL255" i="80"/>
  <c r="AG193" i="79"/>
  <c r="DP245" i="79"/>
  <c r="CJ245" i="79"/>
  <c r="CL245" i="79" s="1"/>
  <c r="DX245" i="79"/>
  <c r="EO245" i="79"/>
  <c r="EG245" i="79"/>
  <c r="EF245" i="79"/>
  <c r="BT245" i="79"/>
  <c r="DY245" i="79"/>
  <c r="BU245" i="79"/>
  <c r="EN245" i="79"/>
  <c r="CR245" i="79"/>
  <c r="AW245" i="79"/>
  <c r="AX245" i="79" s="1"/>
  <c r="CS245" i="79"/>
  <c r="BD245" i="79"/>
  <c r="BF245" i="79" s="1"/>
  <c r="X245" i="79"/>
  <c r="Z245" i="79" s="1"/>
  <c r="DI245" i="79"/>
  <c r="DQ245" i="79"/>
  <c r="AV255" i="80"/>
  <c r="CZ255" i="80"/>
  <c r="FL255" i="80"/>
  <c r="CR255" i="80"/>
  <c r="P255" i="80"/>
  <c r="BD247" i="79"/>
  <c r="DI247" i="79"/>
  <c r="DP247" i="79"/>
  <c r="DR247" i="79" s="1"/>
  <c r="CB247" i="79"/>
  <c r="CD247" i="79" s="1"/>
  <c r="AW247" i="79"/>
  <c r="AX247" i="79" s="1"/>
  <c r="DA247" i="79"/>
  <c r="DB247" i="79" s="1"/>
  <c r="DH247" i="79"/>
  <c r="EN247" i="79"/>
  <c r="EP247" i="79" s="1"/>
  <c r="DX247" i="79"/>
  <c r="DZ247" i="79" s="1"/>
  <c r="BE247" i="79"/>
  <c r="FL211" i="80"/>
  <c r="CB211" i="80"/>
  <c r="X211" i="80"/>
  <c r="EF211" i="80"/>
  <c r="EV211" i="80"/>
  <c r="P211" i="80"/>
  <c r="CJ211" i="80"/>
  <c r="BT211" i="80"/>
  <c r="AF211" i="80"/>
  <c r="DH211" i="80"/>
  <c r="AV211" i="80"/>
  <c r="CZ211" i="80"/>
  <c r="AN211" i="80"/>
  <c r="BD211" i="80"/>
  <c r="DA211" i="80"/>
  <c r="CJ255" i="80"/>
  <c r="DZ247" i="80"/>
  <c r="DA245" i="80"/>
  <c r="DB245" i="80" s="1"/>
  <c r="DQ245" i="80"/>
  <c r="DR245" i="80" s="1"/>
  <c r="EN245" i="80"/>
  <c r="EP245" i="80" s="1"/>
  <c r="AW245" i="80"/>
  <c r="AX245" i="80" s="1"/>
  <c r="CS245" i="80"/>
  <c r="CT245" i="80" s="1"/>
  <c r="EF245" i="80"/>
  <c r="EH245" i="80" s="1"/>
  <c r="Y245" i="80"/>
  <c r="Z245" i="80" s="1"/>
  <c r="BL245" i="80"/>
  <c r="BN245" i="80" s="1"/>
  <c r="CB245" i="80"/>
  <c r="CD245" i="80" s="1"/>
  <c r="FD245" i="80"/>
  <c r="FF245" i="80" s="1"/>
  <c r="AN245" i="80"/>
  <c r="AP245" i="80" s="1"/>
  <c r="BT245" i="80"/>
  <c r="BV245" i="80" s="1"/>
  <c r="BD245" i="80"/>
  <c r="BF245" i="80" s="1"/>
  <c r="DX245" i="80"/>
  <c r="DZ245" i="80" s="1"/>
  <c r="EV245" i="80"/>
  <c r="EW245" i="80"/>
  <c r="FM245" i="80"/>
  <c r="FN245" i="80" s="1"/>
  <c r="DH255" i="80"/>
  <c r="DP255" i="80"/>
  <c r="EV255" i="80"/>
  <c r="X255" i="80"/>
  <c r="EP195" i="79"/>
  <c r="BT255" i="80"/>
  <c r="DX255" i="80"/>
  <c r="EF255" i="80"/>
  <c r="AO193" i="79"/>
  <c r="DY213" i="80"/>
  <c r="EO232" i="80"/>
  <c r="DW229" i="79"/>
  <c r="CY229" i="80"/>
  <c r="DA199" i="79"/>
  <c r="FL231" i="79"/>
  <c r="AE199" i="79"/>
  <c r="BC205" i="79"/>
  <c r="BC207" i="79" s="1"/>
  <c r="BS229" i="79"/>
  <c r="CA229" i="79"/>
  <c r="CY205" i="79"/>
  <c r="FK219" i="79"/>
  <c r="AE242" i="80"/>
  <c r="AM229" i="80"/>
  <c r="BK229" i="80"/>
  <c r="BM229" i="80" s="1"/>
  <c r="BS229" i="80"/>
  <c r="EU229" i="80"/>
  <c r="AE229" i="80"/>
  <c r="FK242" i="80"/>
  <c r="DO229" i="80"/>
  <c r="DO235" i="80" s="1"/>
  <c r="P250" i="79"/>
  <c r="BC229" i="79"/>
  <c r="CY229" i="79"/>
  <c r="O242" i="80"/>
  <c r="W229" i="80"/>
  <c r="Y229" i="80" s="1"/>
  <c r="DG229" i="80"/>
  <c r="DW229" i="80"/>
  <c r="AU205" i="79"/>
  <c r="CQ229" i="79"/>
  <c r="CQ199" i="79"/>
  <c r="O232" i="80"/>
  <c r="AU229" i="80"/>
  <c r="EM229" i="79"/>
  <c r="FE370" i="80"/>
  <c r="EG370" i="80"/>
  <c r="CK370" i="80"/>
  <c r="BE370" i="80"/>
  <c r="DY370" i="80"/>
  <c r="AW370" i="80"/>
  <c r="DA370" i="80"/>
  <c r="BU370" i="80"/>
  <c r="AG370" i="80"/>
  <c r="AO370" i="80"/>
  <c r="BM370" i="80"/>
  <c r="DQ370" i="80"/>
  <c r="EO370" i="80"/>
  <c r="DI370" i="80"/>
  <c r="CS370" i="80"/>
  <c r="Q370" i="80"/>
  <c r="Y370" i="80"/>
  <c r="CC370" i="80"/>
  <c r="FM370" i="80"/>
  <c r="G109" i="79"/>
  <c r="G124" i="80"/>
  <c r="DI374" i="79"/>
  <c r="AW374" i="79"/>
  <c r="DY374" i="79"/>
  <c r="FM374" i="79"/>
  <c r="EO374" i="79"/>
  <c r="AO374" i="79"/>
  <c r="CS374" i="79"/>
  <c r="FE374" i="79"/>
  <c r="CK374" i="79"/>
  <c r="CC374" i="79"/>
  <c r="DA374" i="79"/>
  <c r="BU374" i="79"/>
  <c r="BM374" i="79"/>
  <c r="BE374" i="79"/>
  <c r="Y374" i="79"/>
  <c r="EG374" i="79"/>
  <c r="AG374" i="79"/>
  <c r="DI231" i="79"/>
  <c r="EG231" i="79"/>
  <c r="CK231" i="79"/>
  <c r="CS231" i="79"/>
  <c r="BM231" i="79"/>
  <c r="Q231" i="79"/>
  <c r="DQ231" i="79"/>
  <c r="CC231" i="79"/>
  <c r="BU231" i="79"/>
  <c r="DA231" i="79"/>
  <c r="FM231" i="79"/>
  <c r="EW231" i="79"/>
  <c r="Y231" i="79"/>
  <c r="BE231" i="79"/>
  <c r="AO231" i="79"/>
  <c r="FE231" i="79"/>
  <c r="EO231" i="79"/>
  <c r="DY231" i="79"/>
  <c r="AG231" i="79"/>
  <c r="G124" i="79"/>
  <c r="EN280" i="80"/>
  <c r="BT280" i="80"/>
  <c r="FD280" i="80"/>
  <c r="BD280" i="80"/>
  <c r="X280" i="80"/>
  <c r="DX280" i="80"/>
  <c r="AF280" i="80"/>
  <c r="FL280" i="80"/>
  <c r="P280" i="80"/>
  <c r="AV280" i="80"/>
  <c r="CJ280" i="80"/>
  <c r="AN280" i="80"/>
  <c r="CZ280" i="80"/>
  <c r="DH280" i="80"/>
  <c r="CR280" i="80"/>
  <c r="G41" i="85"/>
  <c r="I15" i="90" s="1"/>
  <c r="D29" i="82"/>
  <c r="G41" i="79"/>
  <c r="G386" i="79" s="1"/>
  <c r="D29" i="35"/>
  <c r="G41" i="80"/>
  <c r="G386" i="80" s="1"/>
  <c r="G17" i="79"/>
  <c r="CA17" i="79" s="1"/>
  <c r="CA411" i="79" s="1"/>
  <c r="D55" i="35"/>
  <c r="G17" i="80"/>
  <c r="EU17" i="80" s="1"/>
  <c r="G45" i="79"/>
  <c r="D33" i="82"/>
  <c r="D71" i="82" s="1"/>
  <c r="DH249" i="79"/>
  <c r="DP249" i="79"/>
  <c r="AF249" i="79"/>
  <c r="DX249" i="79"/>
  <c r="BD249" i="79"/>
  <c r="I212" i="85"/>
  <c r="K116" i="90" s="1"/>
  <c r="I212" i="79"/>
  <c r="I212" i="80"/>
  <c r="H69" i="85"/>
  <c r="J35" i="90" s="1"/>
  <c r="H69" i="80"/>
  <c r="H69" i="79"/>
  <c r="H230" i="85"/>
  <c r="J131" i="90" s="1"/>
  <c r="H230" i="79"/>
  <c r="H230" i="80"/>
  <c r="H99" i="85"/>
  <c r="J51" i="90" s="1"/>
  <c r="H99" i="80"/>
  <c r="H372" i="80"/>
  <c r="CZ372" i="80" s="1"/>
  <c r="H367" i="85"/>
  <c r="J178" i="90" s="1"/>
  <c r="H372" i="79"/>
  <c r="BL372" i="79" s="1"/>
  <c r="DI249" i="80"/>
  <c r="EO249" i="80"/>
  <c r="Q249" i="80"/>
  <c r="DA249" i="80"/>
  <c r="AW249" i="80"/>
  <c r="Y249" i="80"/>
  <c r="BE249" i="80"/>
  <c r="AO249" i="80"/>
  <c r="DQ249" i="80"/>
  <c r="EG249" i="80"/>
  <c r="BM249" i="80"/>
  <c r="FE249" i="80"/>
  <c r="CK249" i="80"/>
  <c r="DY249" i="80"/>
  <c r="FE276" i="79"/>
  <c r="FF276" i="79" s="1"/>
  <c r="EG276" i="79"/>
  <c r="AO276" i="79"/>
  <c r="DI276" i="79"/>
  <c r="DY276" i="79"/>
  <c r="CS276" i="79"/>
  <c r="FM276" i="79"/>
  <c r="DQ276" i="79"/>
  <c r="BU276" i="79"/>
  <c r="BM276" i="79"/>
  <c r="CK276" i="79"/>
  <c r="CC276" i="79"/>
  <c r="Y276" i="79"/>
  <c r="DA276" i="79"/>
  <c r="AW276" i="79"/>
  <c r="EW189" i="80"/>
  <c r="BM189" i="80"/>
  <c r="AG189" i="80"/>
  <c r="AW189" i="80"/>
  <c r="DI249" i="79"/>
  <c r="EO249" i="79"/>
  <c r="EG249" i="79"/>
  <c r="CC249" i="79"/>
  <c r="DA249" i="79"/>
  <c r="FC60" i="80"/>
  <c r="G106" i="79"/>
  <c r="BS106" i="79" s="1"/>
  <c r="G297" i="80"/>
  <c r="EU297" i="80" s="1"/>
  <c r="G297" i="79"/>
  <c r="O297" i="79" s="1"/>
  <c r="G297" i="85"/>
  <c r="I167" i="90" s="1"/>
  <c r="BE189" i="80"/>
  <c r="EG189" i="80"/>
  <c r="CS249" i="79"/>
  <c r="I113" i="85"/>
  <c r="K62" i="90" s="1"/>
  <c r="J309" i="85"/>
  <c r="L173" i="90" s="1"/>
  <c r="J309" i="80"/>
  <c r="J309" i="79"/>
  <c r="J255" i="80"/>
  <c r="J255" i="79"/>
  <c r="J255" i="85"/>
  <c r="L149" i="90" s="1"/>
  <c r="J201" i="80"/>
  <c r="J177" i="80"/>
  <c r="J177" i="79"/>
  <c r="I278" i="80"/>
  <c r="I278" i="85"/>
  <c r="K158" i="90" s="1"/>
  <c r="DA139" i="80"/>
  <c r="I115" i="85"/>
  <c r="K64" i="90" s="1"/>
  <c r="I115" i="80"/>
  <c r="I98" i="85"/>
  <c r="K50" i="90" s="1"/>
  <c r="I98" i="80"/>
  <c r="DY98" i="80" s="1"/>
  <c r="I98" i="79"/>
  <c r="H309" i="85"/>
  <c r="J173" i="90" s="1"/>
  <c r="H309" i="80"/>
  <c r="H309" i="79"/>
  <c r="H276" i="85"/>
  <c r="J156" i="90" s="1"/>
  <c r="H276" i="80"/>
  <c r="H113" i="85"/>
  <c r="J62" i="90" s="1"/>
  <c r="H113" i="79"/>
  <c r="H113" i="80"/>
  <c r="H200" i="80"/>
  <c r="H200" i="85"/>
  <c r="J113" i="90" s="1"/>
  <c r="H200" i="79"/>
  <c r="H182" i="85"/>
  <c r="J101" i="90" s="1"/>
  <c r="H182" i="80"/>
  <c r="K7" i="110"/>
  <c r="FM189" i="80"/>
  <c r="EW249" i="79"/>
  <c r="I374" i="80"/>
  <c r="I369" i="85"/>
  <c r="K180" i="90" s="1"/>
  <c r="J226" i="85"/>
  <c r="L127" i="90" s="1"/>
  <c r="J226" i="79"/>
  <c r="J226" i="80"/>
  <c r="J200" i="85"/>
  <c r="L113" i="90" s="1"/>
  <c r="J200" i="80"/>
  <c r="J187" i="80"/>
  <c r="J187" i="79"/>
  <c r="J187" i="85"/>
  <c r="L104" i="90" s="1"/>
  <c r="I311" i="85"/>
  <c r="K175" i="90" s="1"/>
  <c r="I311" i="79"/>
  <c r="Q311" i="79" s="1"/>
  <c r="I311" i="80"/>
  <c r="Q311" i="80" s="1"/>
  <c r="I277" i="85"/>
  <c r="K157" i="90" s="1"/>
  <c r="I277" i="79"/>
  <c r="I277" i="80"/>
  <c r="I67" i="85"/>
  <c r="K33" i="90" s="1"/>
  <c r="I67" i="79"/>
  <c r="I67" i="80"/>
  <c r="I201" i="85"/>
  <c r="K114" i="90" s="1"/>
  <c r="I201" i="80"/>
  <c r="CS201" i="80" s="1"/>
  <c r="I201" i="79"/>
  <c r="I188" i="85"/>
  <c r="K105" i="90" s="1"/>
  <c r="I188" i="79"/>
  <c r="BM188" i="79" s="1"/>
  <c r="I178" i="85"/>
  <c r="K98" i="90" s="1"/>
  <c r="I178" i="80"/>
  <c r="I178" i="79"/>
  <c r="H270" i="80"/>
  <c r="H270" i="85"/>
  <c r="J153" i="90" s="1"/>
  <c r="DA189" i="80"/>
  <c r="BE249" i="79"/>
  <c r="FM249" i="79"/>
  <c r="CC189" i="80"/>
  <c r="DQ189" i="80"/>
  <c r="BM249" i="79"/>
  <c r="AO188" i="80"/>
  <c r="BU188" i="80"/>
  <c r="DI188" i="80"/>
  <c r="DY188" i="80"/>
  <c r="Q188" i="80"/>
  <c r="Y188" i="80"/>
  <c r="EW227" i="80"/>
  <c r="AG227" i="80"/>
  <c r="G62" i="80"/>
  <c r="AU62" i="80" s="1"/>
  <c r="J280" i="85"/>
  <c r="L160" i="90" s="1"/>
  <c r="J280" i="80"/>
  <c r="H89" i="85"/>
  <c r="J44" i="90" s="1"/>
  <c r="H89" i="79"/>
  <c r="H241" i="85"/>
  <c r="J135" i="90" s="1"/>
  <c r="H241" i="80"/>
  <c r="H241" i="79"/>
  <c r="CD296" i="79"/>
  <c r="AG249" i="79"/>
  <c r="DY249" i="79"/>
  <c r="BT187" i="79"/>
  <c r="FD187" i="79"/>
  <c r="G62" i="79"/>
  <c r="J232" i="80"/>
  <c r="J232" i="79"/>
  <c r="J232" i="85"/>
  <c r="L133" i="90" s="1"/>
  <c r="I306" i="85"/>
  <c r="K170" i="90" s="1"/>
  <c r="I306" i="79"/>
  <c r="I306" i="80"/>
  <c r="I268" i="85"/>
  <c r="K151" i="90" s="1"/>
  <c r="I268" i="80"/>
  <c r="I268" i="79"/>
  <c r="I108" i="85"/>
  <c r="K57" i="90" s="1"/>
  <c r="I108" i="80"/>
  <c r="I108" i="79"/>
  <c r="I244" i="85"/>
  <c r="K138" i="90" s="1"/>
  <c r="I244" i="79"/>
  <c r="I244" i="80"/>
  <c r="I195" i="85"/>
  <c r="K111" i="90" s="1"/>
  <c r="I195" i="80"/>
  <c r="I195" i="79"/>
  <c r="H280" i="79"/>
  <c r="H280" i="85"/>
  <c r="J160" i="90" s="1"/>
  <c r="H141" i="85"/>
  <c r="J81" i="90" s="1"/>
  <c r="H143" i="85"/>
  <c r="H141" i="80"/>
  <c r="C22" i="104"/>
  <c r="BF278" i="79"/>
  <c r="AE87" i="79"/>
  <c r="EE87" i="79"/>
  <c r="EG87" i="79" s="1"/>
  <c r="CQ87" i="79"/>
  <c r="J246" i="85"/>
  <c r="L140" i="90" s="1"/>
  <c r="J246" i="79"/>
  <c r="G16" i="79"/>
  <c r="CI16" i="79" s="1"/>
  <c r="G16" i="80"/>
  <c r="FC16" i="80" s="1"/>
  <c r="G44" i="79"/>
  <c r="G389" i="79" s="1"/>
  <c r="D32" i="35"/>
  <c r="G44" i="80"/>
  <c r="G389" i="80" s="1"/>
  <c r="K90" i="117"/>
  <c r="K88" i="117"/>
  <c r="K89" i="117" s="1"/>
  <c r="G88" i="117"/>
  <c r="G87" i="117"/>
  <c r="H87" i="85"/>
  <c r="J42" i="90" s="1"/>
  <c r="G87" i="80"/>
  <c r="AE87" i="80" s="1"/>
  <c r="BN245" i="79"/>
  <c r="J241" i="85"/>
  <c r="L135" i="90" s="1"/>
  <c r="J241" i="79"/>
  <c r="J123" i="85"/>
  <c r="L69" i="90" s="1"/>
  <c r="J123" i="80"/>
  <c r="J123" i="79"/>
  <c r="I75" i="85"/>
  <c r="I75" i="79"/>
  <c r="I211" i="79"/>
  <c r="I211" i="85"/>
  <c r="K117" i="90" s="1"/>
  <c r="I211" i="80"/>
  <c r="I194" i="80"/>
  <c r="I194" i="79"/>
  <c r="G60" i="85"/>
  <c r="I26" i="90" s="1"/>
  <c r="G60" i="79"/>
  <c r="FC60" i="79" s="1"/>
  <c r="DO96" i="79"/>
  <c r="BS96" i="79"/>
  <c r="H211" i="80"/>
  <c r="H211" i="85"/>
  <c r="J117" i="90" s="1"/>
  <c r="H194" i="85"/>
  <c r="J110" i="90" s="1"/>
  <c r="H194" i="80"/>
  <c r="G104" i="80"/>
  <c r="BC104" i="80" s="1"/>
  <c r="J104" i="80"/>
  <c r="G63" i="79"/>
  <c r="DO63" i="79" s="1"/>
  <c r="G63" i="80"/>
  <c r="CA63" i="80" s="1"/>
  <c r="G68" i="85"/>
  <c r="I34" i="90" s="1"/>
  <c r="G68" i="80"/>
  <c r="EE68" i="80" s="1"/>
  <c r="H103" i="85"/>
  <c r="J52" i="90" s="1"/>
  <c r="E64" i="117"/>
  <c r="FF278" i="79"/>
  <c r="I140" i="85"/>
  <c r="K80" i="90" s="1"/>
  <c r="E32" i="118"/>
  <c r="E43" i="118" s="1"/>
  <c r="F16" i="119"/>
  <c r="AW246" i="80"/>
  <c r="Y246" i="80"/>
  <c r="CK246" i="80"/>
  <c r="H47" i="79"/>
  <c r="H392" i="79" s="1"/>
  <c r="H47" i="80"/>
  <c r="H392" i="80" s="1"/>
  <c r="J184" i="85"/>
  <c r="L102" i="90" s="1"/>
  <c r="J184" i="79"/>
  <c r="I307" i="80"/>
  <c r="I307" i="85"/>
  <c r="K171" i="90" s="1"/>
  <c r="I307" i="79"/>
  <c r="I270" i="85"/>
  <c r="K153" i="90" s="1"/>
  <c r="I270" i="79"/>
  <c r="I270" i="80"/>
  <c r="I255" i="85"/>
  <c r="K149" i="90" s="1"/>
  <c r="I255" i="80"/>
  <c r="I255" i="79"/>
  <c r="I226" i="85"/>
  <c r="K127" i="90" s="1"/>
  <c r="I226" i="80"/>
  <c r="I226" i="79"/>
  <c r="Y399" i="80"/>
  <c r="K42" i="105"/>
  <c r="K43" i="105"/>
  <c r="BU176" i="79"/>
  <c r="EO176" i="79"/>
  <c r="CK176" i="79"/>
  <c r="FE176" i="79"/>
  <c r="AG176" i="79"/>
  <c r="CZ176" i="79"/>
  <c r="DX176" i="79"/>
  <c r="EN176" i="79"/>
  <c r="FD199" i="79"/>
  <c r="DP199" i="79"/>
  <c r="FL199" i="79"/>
  <c r="H189" i="85"/>
  <c r="J106" i="90" s="1"/>
  <c r="H189" i="79"/>
  <c r="EF189" i="79" s="1"/>
  <c r="H189" i="80"/>
  <c r="E54" i="82"/>
  <c r="E54" i="35"/>
  <c r="H16" i="80"/>
  <c r="H410" i="80" s="1"/>
  <c r="H16" i="85"/>
  <c r="J2" i="90" s="1"/>
  <c r="H16" i="79"/>
  <c r="FM176" i="79"/>
  <c r="H150" i="79"/>
  <c r="H150" i="85"/>
  <c r="J88" i="90" s="1"/>
  <c r="H150" i="80"/>
  <c r="H114" i="85"/>
  <c r="J63" i="90" s="1"/>
  <c r="H114" i="80"/>
  <c r="H114" i="79"/>
  <c r="H98" i="85"/>
  <c r="J50" i="90" s="1"/>
  <c r="H98" i="80"/>
  <c r="H98" i="79"/>
  <c r="H68" i="80"/>
  <c r="H247" i="79"/>
  <c r="H247" i="85"/>
  <c r="J141" i="90" s="1"/>
  <c r="H247" i="80"/>
  <c r="H229" i="80"/>
  <c r="H229" i="79"/>
  <c r="H229" i="85"/>
  <c r="J130" i="90" s="1"/>
  <c r="H193" i="85"/>
  <c r="J109" i="90" s="1"/>
  <c r="H193" i="79"/>
  <c r="BE176" i="79"/>
  <c r="FD214" i="80"/>
  <c r="FL176" i="79"/>
  <c r="EU486" i="79"/>
  <c r="BC486" i="79"/>
  <c r="DO486" i="79"/>
  <c r="CQ486" i="79"/>
  <c r="CI486" i="79"/>
  <c r="O486" i="79"/>
  <c r="AE486" i="79"/>
  <c r="W486" i="79"/>
  <c r="AU486" i="79"/>
  <c r="FC486" i="79"/>
  <c r="DG486" i="79"/>
  <c r="BK486" i="79"/>
  <c r="EE486" i="79"/>
  <c r="EM486" i="79"/>
  <c r="CA486" i="79"/>
  <c r="BS486" i="79"/>
  <c r="DW486" i="79"/>
  <c r="I200" i="85"/>
  <c r="K113" i="90" s="1"/>
  <c r="I200" i="80"/>
  <c r="I187" i="85"/>
  <c r="K104" i="90" s="1"/>
  <c r="I187" i="80"/>
  <c r="I187" i="79"/>
  <c r="I177" i="80"/>
  <c r="I177" i="79"/>
  <c r="I177" i="85"/>
  <c r="K97" i="90" s="1"/>
  <c r="H306" i="85"/>
  <c r="J170" i="90" s="1"/>
  <c r="H306" i="79"/>
  <c r="H306" i="80"/>
  <c r="H268" i="85"/>
  <c r="J151" i="90" s="1"/>
  <c r="H268" i="79"/>
  <c r="H268" i="80"/>
  <c r="EV268" i="80" s="1"/>
  <c r="N6" i="118"/>
  <c r="G484" i="79"/>
  <c r="G484" i="80"/>
  <c r="J211" i="80"/>
  <c r="J211" i="85"/>
  <c r="L117" i="90" s="1"/>
  <c r="J211" i="79"/>
  <c r="J70" i="85"/>
  <c r="L36" i="90" s="1"/>
  <c r="J70" i="80"/>
  <c r="J70" i="79"/>
  <c r="J141" i="79"/>
  <c r="J141" i="85"/>
  <c r="L81" i="90" s="1"/>
  <c r="J143" i="85"/>
  <c r="J141" i="80"/>
  <c r="J231" i="80"/>
  <c r="J231" i="85"/>
  <c r="L132" i="90" s="1"/>
  <c r="J231" i="79"/>
  <c r="BL176" i="79"/>
  <c r="BM176" i="79"/>
  <c r="CR193" i="80"/>
  <c r="AV193" i="80"/>
  <c r="DP193" i="80"/>
  <c r="CB193" i="80"/>
  <c r="BT193" i="80"/>
  <c r="BD193" i="80"/>
  <c r="EV193" i="80"/>
  <c r="EX193" i="80" s="1"/>
  <c r="EN193" i="80"/>
  <c r="EF193" i="80"/>
  <c r="X193" i="80"/>
  <c r="P193" i="80"/>
  <c r="FD193" i="80"/>
  <c r="DH193" i="80"/>
  <c r="FL193" i="80"/>
  <c r="AF193" i="80"/>
  <c r="CJ193" i="80"/>
  <c r="CZ193" i="80"/>
  <c r="K35" i="105"/>
  <c r="K46" i="105"/>
  <c r="BC486" i="80"/>
  <c r="H212" i="79"/>
  <c r="J212" i="80"/>
  <c r="L27" i="107"/>
  <c r="L19" i="107"/>
  <c r="DR247" i="80"/>
  <c r="CD278" i="79"/>
  <c r="FF277" i="80"/>
  <c r="O486" i="80"/>
  <c r="DR241" i="80"/>
  <c r="EH277" i="79"/>
  <c r="DJ278" i="80"/>
  <c r="K67" i="105"/>
  <c r="G109" i="80"/>
  <c r="D27" i="35"/>
  <c r="D70" i="35" s="1"/>
  <c r="E35" i="35"/>
  <c r="G39" i="79"/>
  <c r="DI250" i="80"/>
  <c r="DQ250" i="80"/>
  <c r="DA176" i="79"/>
  <c r="DY176" i="79"/>
  <c r="DQ176" i="79"/>
  <c r="CS176" i="79"/>
  <c r="EW176" i="79"/>
  <c r="CC176" i="79"/>
  <c r="EG176" i="79"/>
  <c r="DI176" i="79"/>
  <c r="AW176" i="79"/>
  <c r="FD176" i="79"/>
  <c r="DH176" i="79"/>
  <c r="DP176" i="79"/>
  <c r="CR176" i="79"/>
  <c r="AV176" i="79"/>
  <c r="BT176" i="79"/>
  <c r="CJ176" i="79"/>
  <c r="EF176" i="79"/>
  <c r="EV176" i="79"/>
  <c r="CB176" i="79"/>
  <c r="AF176" i="79"/>
  <c r="BT185" i="79"/>
  <c r="BD185" i="79"/>
  <c r="X185" i="79"/>
  <c r="CJ185" i="79"/>
  <c r="BL185" i="79"/>
  <c r="AN185" i="79"/>
  <c r="EV185" i="79"/>
  <c r="CJ255" i="79"/>
  <c r="CR255" i="79"/>
  <c r="H244" i="85"/>
  <c r="J138" i="90" s="1"/>
  <c r="H244" i="79"/>
  <c r="BD244" i="79" s="1"/>
  <c r="H244" i="80"/>
  <c r="J98" i="79"/>
  <c r="J98" i="80"/>
  <c r="J98" i="85"/>
  <c r="L50" i="90" s="1"/>
  <c r="DG63" i="80"/>
  <c r="J23" i="85"/>
  <c r="L6" i="90" s="1"/>
  <c r="G43" i="35"/>
  <c r="G43" i="82"/>
  <c r="I214" i="79"/>
  <c r="I214" i="85"/>
  <c r="K118" i="90" s="1"/>
  <c r="H214" i="85"/>
  <c r="J118" i="90" s="1"/>
  <c r="H214" i="79"/>
  <c r="G17" i="85"/>
  <c r="I3" i="90" s="1"/>
  <c r="D55" i="82"/>
  <c r="G104" i="85"/>
  <c r="I53" i="90" s="1"/>
  <c r="G104" i="79"/>
  <c r="O104" i="79" s="1"/>
  <c r="J130" i="79"/>
  <c r="G130" i="80"/>
  <c r="G130" i="79"/>
  <c r="CA130" i="79" s="1"/>
  <c r="J23" i="79"/>
  <c r="J399" i="79" s="1"/>
  <c r="I141" i="85"/>
  <c r="K81" i="90" s="1"/>
  <c r="J146" i="85"/>
  <c r="L84" i="90" s="1"/>
  <c r="J146" i="80"/>
  <c r="CQ57" i="79"/>
  <c r="FK57" i="79"/>
  <c r="W57" i="79"/>
  <c r="O57" i="79"/>
  <c r="EM57" i="79"/>
  <c r="DW57" i="79"/>
  <c r="BC57" i="79"/>
  <c r="J108" i="85"/>
  <c r="L57" i="90" s="1"/>
  <c r="J108" i="80"/>
  <c r="I141" i="80"/>
  <c r="J89" i="80"/>
  <c r="J89" i="85"/>
  <c r="L44" i="90" s="1"/>
  <c r="J89" i="79"/>
  <c r="H277" i="80"/>
  <c r="H277" i="85"/>
  <c r="J157" i="90" s="1"/>
  <c r="H232" i="85"/>
  <c r="J133" i="90" s="1"/>
  <c r="H232" i="80"/>
  <c r="G38" i="80"/>
  <c r="G383" i="80" s="1"/>
  <c r="G434" i="80" s="1"/>
  <c r="D26" i="35"/>
  <c r="D69" i="35" s="1"/>
  <c r="G38" i="79"/>
  <c r="G294" i="85"/>
  <c r="I164" i="90" s="1"/>
  <c r="G90" i="85"/>
  <c r="I45" i="90" s="1"/>
  <c r="G90" i="80"/>
  <c r="DO90" i="80" s="1"/>
  <c r="G90" i="79"/>
  <c r="R247" i="79"/>
  <c r="J146" i="79"/>
  <c r="H185" i="80"/>
  <c r="H185" i="85"/>
  <c r="J103" i="90" s="1"/>
  <c r="DO57" i="79"/>
  <c r="G410" i="80"/>
  <c r="I114" i="80"/>
  <c r="I114" i="85"/>
  <c r="K63" i="90" s="1"/>
  <c r="I189" i="79"/>
  <c r="I189" i="85"/>
  <c r="K106" i="90" s="1"/>
  <c r="G130" i="85"/>
  <c r="I76" i="90" s="1"/>
  <c r="G19" i="85"/>
  <c r="G16" i="85"/>
  <c r="I2" i="90" s="1"/>
  <c r="D54" i="82"/>
  <c r="D54" i="35"/>
  <c r="G106" i="85"/>
  <c r="I55" i="90" s="1"/>
  <c r="G106" i="80"/>
  <c r="J99" i="80"/>
  <c r="BK57" i="79"/>
  <c r="DO295" i="79"/>
  <c r="FC295" i="79"/>
  <c r="H307" i="80"/>
  <c r="H307" i="85"/>
  <c r="J171" i="90" s="1"/>
  <c r="D30" i="82"/>
  <c r="D30" i="35"/>
  <c r="G42" i="80"/>
  <c r="G387" i="80" s="1"/>
  <c r="FE176" i="80"/>
  <c r="J23" i="80"/>
  <c r="J399" i="80" s="1"/>
  <c r="J245" i="80"/>
  <c r="CI57" i="79"/>
  <c r="J182" i="79"/>
  <c r="J182" i="85"/>
  <c r="L101" i="90" s="1"/>
  <c r="H210" i="80"/>
  <c r="H210" i="85"/>
  <c r="J115" i="90" s="1"/>
  <c r="G40" i="93"/>
  <c r="E41" i="93" s="1"/>
  <c r="J153" i="85"/>
  <c r="L91" i="90" s="1"/>
  <c r="CS176" i="80"/>
  <c r="Z278" i="79"/>
  <c r="I280" i="79"/>
  <c r="O87" i="79"/>
  <c r="DG87" i="79"/>
  <c r="DW87" i="79"/>
  <c r="EM87" i="79"/>
  <c r="AU87" i="79"/>
  <c r="DO87" i="79"/>
  <c r="BK87" i="79"/>
  <c r="BC87" i="79"/>
  <c r="CI87" i="79"/>
  <c r="CY87" i="79"/>
  <c r="EE60" i="80"/>
  <c r="W60" i="80"/>
  <c r="G26" i="93"/>
  <c r="G37" i="93"/>
  <c r="G25" i="93"/>
  <c r="E14" i="115"/>
  <c r="E16" i="115" s="1"/>
  <c r="E24" i="115" s="1"/>
  <c r="G17" i="93"/>
  <c r="D73" i="117"/>
  <c r="D74" i="117" s="1"/>
  <c r="E18" i="118"/>
  <c r="E23" i="118" s="1"/>
  <c r="E25" i="118" s="1"/>
  <c r="D27" i="119"/>
  <c r="E42" i="115"/>
  <c r="F46" i="119"/>
  <c r="F58" i="119" s="1"/>
  <c r="K12" i="110"/>
  <c r="G34" i="93"/>
  <c r="E93" i="119"/>
  <c r="K37" i="117"/>
  <c r="K38" i="117" s="1"/>
  <c r="K41" i="117" s="1"/>
  <c r="K85" i="117" s="1"/>
  <c r="M34" i="123"/>
  <c r="M50" i="123" s="1"/>
  <c r="F16" i="104"/>
  <c r="I84" i="112"/>
  <c r="I68" i="112"/>
  <c r="I28" i="112"/>
  <c r="F14" i="100"/>
  <c r="J8" i="100"/>
  <c r="G5" i="100"/>
  <c r="H5" i="100" s="1"/>
  <c r="J46" i="100"/>
  <c r="I46" i="100"/>
  <c r="H46" i="100"/>
  <c r="F7" i="100"/>
  <c r="F71" i="160" s="1"/>
  <c r="H22" i="100"/>
  <c r="I22" i="100"/>
  <c r="I29" i="100"/>
  <c r="H29" i="100"/>
  <c r="J29" i="100"/>
  <c r="G31" i="100"/>
  <c r="AG246" i="80"/>
  <c r="AO246" i="80"/>
  <c r="BE193" i="79"/>
  <c r="EG193" i="79"/>
  <c r="DA193" i="79"/>
  <c r="DI246" i="80"/>
  <c r="DQ246" i="80"/>
  <c r="EG246" i="80"/>
  <c r="FM193" i="79"/>
  <c r="BM193" i="79"/>
  <c r="EO193" i="79"/>
  <c r="FM246" i="80"/>
  <c r="CS246" i="80"/>
  <c r="DA246" i="80"/>
  <c r="DQ193" i="79"/>
  <c r="Q193" i="79"/>
  <c r="DI193" i="79"/>
  <c r="CC246" i="80"/>
  <c r="BU246" i="80"/>
  <c r="CS193" i="79"/>
  <c r="EW193" i="79"/>
  <c r="AW193" i="79"/>
  <c r="EO246" i="80"/>
  <c r="Q246" i="80"/>
  <c r="FE246" i="80"/>
  <c r="FE193" i="79"/>
  <c r="CC193" i="79"/>
  <c r="EW246" i="80"/>
  <c r="BE246" i="80"/>
  <c r="DY246" i="80"/>
  <c r="Y193" i="79"/>
  <c r="DY193" i="79"/>
  <c r="BM246" i="80"/>
  <c r="BU193" i="79"/>
  <c r="J115" i="85"/>
  <c r="L64" i="90" s="1"/>
  <c r="J115" i="80"/>
  <c r="J115" i="79"/>
  <c r="J112" i="85"/>
  <c r="L61" i="90" s="1"/>
  <c r="J112" i="79"/>
  <c r="J112" i="80"/>
  <c r="BM250" i="80"/>
  <c r="H37" i="98"/>
  <c r="G37" i="98"/>
  <c r="H67" i="85"/>
  <c r="J33" i="90" s="1"/>
  <c r="H67" i="80"/>
  <c r="H67" i="79"/>
  <c r="H246" i="85"/>
  <c r="J140" i="90" s="1"/>
  <c r="H246" i="80"/>
  <c r="EV246" i="80" s="1"/>
  <c r="H246" i="79"/>
  <c r="H227" i="79"/>
  <c r="H227" i="80"/>
  <c r="H227" i="85"/>
  <c r="J128" i="90" s="1"/>
  <c r="H213" i="79"/>
  <c r="H213" i="80"/>
  <c r="H195" i="80"/>
  <c r="H195" i="79"/>
  <c r="H195" i="85"/>
  <c r="J111" i="90" s="1"/>
  <c r="F42" i="98"/>
  <c r="N5" i="118" s="1"/>
  <c r="G65" i="166" s="1"/>
  <c r="DZ195" i="79"/>
  <c r="J367" i="85"/>
  <c r="L178" i="90" s="1"/>
  <c r="G466" i="79"/>
  <c r="G490" i="79"/>
  <c r="H278" i="85"/>
  <c r="J158" i="90" s="1"/>
  <c r="H278" i="79"/>
  <c r="H278" i="80"/>
  <c r="H140" i="79"/>
  <c r="H140" i="80"/>
  <c r="H140" i="85"/>
  <c r="J80" i="90" s="1"/>
  <c r="H108" i="80"/>
  <c r="H108" i="79"/>
  <c r="H108" i="85"/>
  <c r="J57" i="90" s="1"/>
  <c r="H96" i="79"/>
  <c r="H96" i="85"/>
  <c r="J48" i="90" s="1"/>
  <c r="H96" i="80"/>
  <c r="G470" i="79"/>
  <c r="G470" i="80"/>
  <c r="G478" i="80"/>
  <c r="G478" i="79"/>
  <c r="G489" i="80"/>
  <c r="P147" i="80"/>
  <c r="I248" i="85"/>
  <c r="K142" i="90" s="1"/>
  <c r="I248" i="80"/>
  <c r="EO248" i="80" s="1"/>
  <c r="I248" i="79"/>
  <c r="I230" i="85"/>
  <c r="K131" i="90" s="1"/>
  <c r="I230" i="80"/>
  <c r="I230" i="79"/>
  <c r="I192" i="85"/>
  <c r="K108" i="90" s="1"/>
  <c r="I192" i="80"/>
  <c r="I192" i="79"/>
  <c r="H311" i="85"/>
  <c r="J175" i="90" s="1"/>
  <c r="H311" i="79"/>
  <c r="H311" i="80"/>
  <c r="I13" i="98"/>
  <c r="H13" i="98"/>
  <c r="G13" i="98"/>
  <c r="I305" i="85"/>
  <c r="K169" i="90" s="1"/>
  <c r="I305" i="80"/>
  <c r="I305" i="79"/>
  <c r="I142" i="85"/>
  <c r="K82" i="90" s="1"/>
  <c r="I142" i="80"/>
  <c r="H188" i="79"/>
  <c r="CJ188" i="79" s="1"/>
  <c r="H188" i="80"/>
  <c r="BD188" i="80" s="1"/>
  <c r="H188" i="85"/>
  <c r="J105" i="90" s="1"/>
  <c r="Z307" i="80"/>
  <c r="H213" i="85"/>
  <c r="J119" i="90" s="1"/>
  <c r="J227" i="85"/>
  <c r="L128" i="90" s="1"/>
  <c r="J227" i="80"/>
  <c r="J227" i="79"/>
  <c r="J205" i="85"/>
  <c r="J205" i="80"/>
  <c r="J205" i="79"/>
  <c r="L97" i="107"/>
  <c r="H212" i="85"/>
  <c r="J116" i="90" s="1"/>
  <c r="I92" i="80"/>
  <c r="K41" i="105"/>
  <c r="F35" i="82"/>
  <c r="I8" i="100"/>
  <c r="G43" i="98"/>
  <c r="L42" i="107"/>
  <c r="L95" i="107"/>
  <c r="J108" i="79"/>
  <c r="H11" i="98"/>
  <c r="K8" i="110"/>
  <c r="J244" i="85"/>
  <c r="L138" i="90" s="1"/>
  <c r="J184" i="80"/>
  <c r="DR195" i="79"/>
  <c r="EX195" i="79"/>
  <c r="K31" i="105"/>
  <c r="BV296" i="79"/>
  <c r="I37" i="98"/>
  <c r="F12" i="98"/>
  <c r="G35" i="82"/>
  <c r="J47" i="85"/>
  <c r="L21" i="90" s="1"/>
  <c r="J47" i="80"/>
  <c r="J392" i="80" s="1"/>
  <c r="G35" i="35"/>
  <c r="J47" i="79"/>
  <c r="J392" i="79" s="1"/>
  <c r="FM229" i="80"/>
  <c r="DY229" i="80"/>
  <c r="AW229" i="80"/>
  <c r="CS229" i="80"/>
  <c r="AG229" i="80"/>
  <c r="FE229" i="80"/>
  <c r="CC229" i="80"/>
  <c r="DQ229" i="80"/>
  <c r="DA229" i="80"/>
  <c r="DI229" i="80"/>
  <c r="BE229" i="80"/>
  <c r="BU229" i="80"/>
  <c r="EW229" i="80"/>
  <c r="Q229" i="80"/>
  <c r="CK229" i="80"/>
  <c r="EO229" i="80"/>
  <c r="EG229" i="80"/>
  <c r="CS399" i="80"/>
  <c r="CT23" i="80"/>
  <c r="CT399" i="80" s="1"/>
  <c r="I47" i="85"/>
  <c r="K21" i="90" s="1"/>
  <c r="I47" i="80"/>
  <c r="I392" i="80" s="1"/>
  <c r="E49" i="93"/>
  <c r="G49" i="93" s="1"/>
  <c r="F35" i="35"/>
  <c r="CR371" i="80"/>
  <c r="BL371" i="80"/>
  <c r="AV371" i="80"/>
  <c r="AF371" i="80"/>
  <c r="BD371" i="80"/>
  <c r="X371" i="80"/>
  <c r="BT371" i="80"/>
  <c r="FD371" i="80"/>
  <c r="DH371" i="80"/>
  <c r="DP371" i="80"/>
  <c r="CB371" i="80"/>
  <c r="FL371" i="80"/>
  <c r="DX371" i="80"/>
  <c r="CK227" i="80"/>
  <c r="EG227" i="80"/>
  <c r="AW227" i="80"/>
  <c r="EO227" i="80"/>
  <c r="CS227" i="80"/>
  <c r="BM227" i="80"/>
  <c r="DI227" i="80"/>
  <c r="BU227" i="80"/>
  <c r="DY227" i="80"/>
  <c r="CC227" i="80"/>
  <c r="AO227" i="80"/>
  <c r="FE227" i="80"/>
  <c r="FM227" i="80"/>
  <c r="BE227" i="80"/>
  <c r="Y227" i="80"/>
  <c r="DQ227" i="80"/>
  <c r="EX245" i="79"/>
  <c r="EW176" i="80"/>
  <c r="BM176" i="80"/>
  <c r="AW176" i="80"/>
  <c r="DQ176" i="80"/>
  <c r="DY176" i="80"/>
  <c r="CC176" i="80"/>
  <c r="FM176" i="80"/>
  <c r="BE176" i="80"/>
  <c r="BU176" i="80"/>
  <c r="CK176" i="80"/>
  <c r="EG176" i="80"/>
  <c r="AV176" i="80"/>
  <c r="EN176" i="80"/>
  <c r="DP176" i="80"/>
  <c r="CJ176" i="80"/>
  <c r="AN176" i="80"/>
  <c r="FD176" i="80"/>
  <c r="BL176" i="80"/>
  <c r="CZ176" i="80"/>
  <c r="DX176" i="80"/>
  <c r="DH176" i="80"/>
  <c r="BT176" i="80"/>
  <c r="BD176" i="80"/>
  <c r="CR176" i="80"/>
  <c r="FL176" i="80"/>
  <c r="I147" i="85"/>
  <c r="K85" i="90" s="1"/>
  <c r="I147" i="80"/>
  <c r="I147" i="79"/>
  <c r="Q147" i="79" s="1"/>
  <c r="I112" i="79"/>
  <c r="I112" i="80"/>
  <c r="H205" i="85"/>
  <c r="H205" i="79"/>
  <c r="H205" i="80"/>
  <c r="J276" i="85"/>
  <c r="L156" i="90" s="1"/>
  <c r="J276" i="80"/>
  <c r="Y213" i="80"/>
  <c r="BE213" i="80"/>
  <c r="H254" i="85"/>
  <c r="J148" i="90" s="1"/>
  <c r="H254" i="80"/>
  <c r="H177" i="79"/>
  <c r="J180" i="85"/>
  <c r="L99" i="90" s="1"/>
  <c r="J180" i="79"/>
  <c r="AO250" i="80"/>
  <c r="BK90" i="80"/>
  <c r="I295" i="85"/>
  <c r="K165" i="90" s="1"/>
  <c r="I295" i="79"/>
  <c r="J249" i="85"/>
  <c r="L143" i="90" s="1"/>
  <c r="J249" i="80"/>
  <c r="G46" i="79"/>
  <c r="D34" i="82"/>
  <c r="D34" i="35"/>
  <c r="G46" i="80"/>
  <c r="G46" i="85"/>
  <c r="I20" i="90" s="1"/>
  <c r="J311" i="85"/>
  <c r="L175" i="90" s="1"/>
  <c r="J311" i="79"/>
  <c r="I227" i="85"/>
  <c r="K128" i="90" s="1"/>
  <c r="I227" i="79"/>
  <c r="J278" i="85"/>
  <c r="L158" i="90" s="1"/>
  <c r="H177" i="80"/>
  <c r="J278" i="79"/>
  <c r="I309" i="79"/>
  <c r="AE96" i="80"/>
  <c r="H184" i="79"/>
  <c r="J194" i="80"/>
  <c r="CA57" i="79"/>
  <c r="EE57" i="79"/>
  <c r="FK295" i="79"/>
  <c r="AE295" i="79"/>
  <c r="CA96" i="80"/>
  <c r="J201" i="85"/>
  <c r="L114" i="90" s="1"/>
  <c r="EU57" i="79"/>
  <c r="AU57" i="79"/>
  <c r="CI295" i="79"/>
  <c r="J295" i="79"/>
  <c r="G295" i="80"/>
  <c r="EU96" i="80"/>
  <c r="J245" i="85"/>
  <c r="L139" i="90" s="1"/>
  <c r="H30" i="110"/>
  <c r="CY57" i="79"/>
  <c r="BS57" i="79"/>
  <c r="AM57" i="79"/>
  <c r="FC57" i="79"/>
  <c r="J194" i="79"/>
  <c r="AE57" i="79"/>
  <c r="DG57" i="79"/>
  <c r="G291" i="79"/>
  <c r="G291" i="85"/>
  <c r="I161" i="90" s="1"/>
  <c r="G291" i="80"/>
  <c r="G76" i="119"/>
  <c r="K25" i="105"/>
  <c r="L31" i="107"/>
  <c r="L34" i="107"/>
  <c r="L37" i="107"/>
  <c r="L70" i="107"/>
  <c r="L73" i="107"/>
  <c r="L76" i="107"/>
  <c r="L79" i="107"/>
  <c r="L82" i="107"/>
  <c r="L84" i="107"/>
  <c r="K11" i="110"/>
  <c r="D84" i="117"/>
  <c r="K36" i="105"/>
  <c r="E80" i="115"/>
  <c r="M138" i="99"/>
  <c r="M140" i="99" s="1"/>
  <c r="H57" i="119"/>
  <c r="G25" i="166" s="1"/>
  <c r="I32" i="118"/>
  <c r="I43" i="118" s="1"/>
  <c r="F76" i="119"/>
  <c r="H93" i="119"/>
  <c r="D18" i="118"/>
  <c r="D23" i="118" s="1"/>
  <c r="D25" i="118" s="1"/>
  <c r="E16" i="119"/>
  <c r="L138" i="99"/>
  <c r="I44" i="112"/>
  <c r="K66" i="105"/>
  <c r="L44" i="107"/>
  <c r="L16" i="107"/>
  <c r="K21" i="105"/>
  <c r="F27" i="93"/>
  <c r="E73" i="117"/>
  <c r="E67" i="116"/>
  <c r="G27" i="119"/>
  <c r="D46" i="119"/>
  <c r="F55" i="121"/>
  <c r="K59" i="105"/>
  <c r="K13" i="110"/>
  <c r="K26" i="110"/>
  <c r="I87" i="117"/>
  <c r="G37" i="117"/>
  <c r="G38" i="117" s="1"/>
  <c r="G41" i="117" s="1"/>
  <c r="G85" i="117" s="1"/>
  <c r="K138" i="99"/>
  <c r="D21" i="98" s="1"/>
  <c r="I17" i="112"/>
  <c r="I9" i="112"/>
  <c r="I85" i="112"/>
  <c r="I77" i="112"/>
  <c r="I61" i="112"/>
  <c r="I53" i="112"/>
  <c r="L96" i="107"/>
  <c r="M490" i="101"/>
  <c r="M492" i="101" s="1"/>
  <c r="D45" i="100"/>
  <c r="F45" i="100" s="1"/>
  <c r="G45" i="100" s="1"/>
  <c r="G47" i="100" s="1"/>
  <c r="K490" i="101"/>
  <c r="K492" i="101" s="1"/>
  <c r="L396" i="101"/>
  <c r="D40" i="100" s="1"/>
  <c r="D21" i="100"/>
  <c r="D23" i="100" s="1"/>
  <c r="L490" i="101"/>
  <c r="L492" i="101" s="1"/>
  <c r="M396" i="101"/>
  <c r="M398" i="101" s="1"/>
  <c r="AH195" i="79"/>
  <c r="BN195" i="79"/>
  <c r="EH195" i="79"/>
  <c r="CD195" i="79"/>
  <c r="L9" i="107"/>
  <c r="FN195" i="79"/>
  <c r="EP226" i="79"/>
  <c r="AP278" i="79"/>
  <c r="K26" i="105"/>
  <c r="FF296" i="79"/>
  <c r="J177" i="85"/>
  <c r="L97" i="90" s="1"/>
  <c r="BN307" i="80"/>
  <c r="K39" i="105"/>
  <c r="K58" i="105"/>
  <c r="K65" i="105"/>
  <c r="K63" i="105"/>
  <c r="K22" i="110"/>
  <c r="L66" i="107"/>
  <c r="L43" i="107"/>
  <c r="L87" i="107"/>
  <c r="L28" i="107"/>
  <c r="L23" i="107"/>
  <c r="L15" i="107"/>
  <c r="K16" i="105"/>
  <c r="K48" i="105"/>
  <c r="K71" i="105"/>
  <c r="K74" i="105"/>
  <c r="L35" i="107"/>
  <c r="L38" i="107"/>
  <c r="L71" i="107"/>
  <c r="L74" i="107"/>
  <c r="L80" i="107"/>
  <c r="L83" i="107"/>
  <c r="I30" i="110"/>
  <c r="K6" i="105"/>
  <c r="K79" i="105"/>
  <c r="K12" i="105"/>
  <c r="K92" i="105"/>
  <c r="L67" i="107"/>
  <c r="K54" i="105"/>
  <c r="K75" i="105"/>
  <c r="K20" i="110"/>
  <c r="K28" i="105"/>
  <c r="K13" i="105"/>
  <c r="L10" i="107"/>
  <c r="L29" i="107"/>
  <c r="L24" i="107"/>
  <c r="L88" i="107"/>
  <c r="G16" i="106"/>
  <c r="K13" i="106"/>
  <c r="I8" i="106"/>
  <c r="G15" i="106"/>
  <c r="J13" i="106"/>
  <c r="K7" i="106"/>
  <c r="M7" i="106" s="1"/>
  <c r="J6" i="106"/>
  <c r="M6" i="106" s="1"/>
  <c r="K10" i="106"/>
  <c r="G14" i="106"/>
  <c r="J10" i="106"/>
  <c r="G19" i="106"/>
  <c r="K8" i="106"/>
  <c r="K20" i="106"/>
  <c r="M20" i="106" s="1"/>
  <c r="L92" i="107"/>
  <c r="L32" i="107"/>
  <c r="L68" i="107"/>
  <c r="L77" i="107"/>
  <c r="L85" i="107"/>
  <c r="I45" i="107"/>
  <c r="L41" i="107"/>
  <c r="J45" i="107"/>
  <c r="H45" i="107"/>
  <c r="L64" i="107"/>
  <c r="L91" i="107"/>
  <c r="L60" i="107"/>
  <c r="L89" i="107"/>
  <c r="L20" i="107"/>
  <c r="L93" i="107"/>
  <c r="L61" i="107"/>
  <c r="L90" i="107"/>
  <c r="L18" i="107"/>
  <c r="L65" i="107"/>
  <c r="L11" i="107"/>
  <c r="L63" i="107"/>
  <c r="L94" i="107"/>
  <c r="I13" i="112"/>
  <c r="I108" i="112"/>
  <c r="I100" i="112"/>
  <c r="I69" i="112"/>
  <c r="I76" i="112"/>
  <c r="I52" i="112"/>
  <c r="I45" i="112"/>
  <c r="I37" i="112"/>
  <c r="I29" i="112"/>
  <c r="I105" i="112"/>
  <c r="I97" i="112"/>
  <c r="I89" i="112"/>
  <c r="I36" i="112"/>
  <c r="I20" i="112"/>
  <c r="I109" i="112"/>
  <c r="I101" i="112"/>
  <c r="I73" i="112"/>
  <c r="I57" i="112"/>
  <c r="I16" i="112"/>
  <c r="I8" i="112"/>
  <c r="FM399" i="80"/>
  <c r="FN23" i="80"/>
  <c r="FN399" i="80" s="1"/>
  <c r="DH192" i="80"/>
  <c r="DX192" i="80"/>
  <c r="CZ192" i="80"/>
  <c r="BD192" i="80"/>
  <c r="P192" i="80"/>
  <c r="AF192" i="80"/>
  <c r="BL192" i="80"/>
  <c r="EV192" i="80"/>
  <c r="AV192" i="80"/>
  <c r="CB192" i="80"/>
  <c r="EF192" i="80"/>
  <c r="BT192" i="80"/>
  <c r="AN192" i="80"/>
  <c r="DP192" i="80"/>
  <c r="EN187" i="79"/>
  <c r="CZ187" i="79"/>
  <c r="DH187" i="79"/>
  <c r="EV187" i="79"/>
  <c r="FL187" i="79"/>
  <c r="EF187" i="79"/>
  <c r="CJ187" i="79"/>
  <c r="DP187" i="79"/>
  <c r="AF305" i="80"/>
  <c r="DH305" i="80"/>
  <c r="AV305" i="80"/>
  <c r="X305" i="80"/>
  <c r="EF305" i="80"/>
  <c r="CR305" i="80"/>
  <c r="EV305" i="80"/>
  <c r="BD305" i="80"/>
  <c r="EN305" i="80"/>
  <c r="DP305" i="80"/>
  <c r="BT305" i="80"/>
  <c r="DX305" i="80"/>
  <c r="P305" i="80"/>
  <c r="CZ305" i="80"/>
  <c r="CJ305" i="80"/>
  <c r="CB305" i="80"/>
  <c r="I89" i="85"/>
  <c r="K44" i="90" s="1"/>
  <c r="I89" i="80"/>
  <c r="I89" i="79"/>
  <c r="I245" i="80"/>
  <c r="I245" i="85"/>
  <c r="K139" i="90" s="1"/>
  <c r="I245" i="79"/>
  <c r="BV247" i="79"/>
  <c r="J96" i="80"/>
  <c r="J96" i="85"/>
  <c r="L48" i="90" s="1"/>
  <c r="J254" i="80"/>
  <c r="J254" i="79"/>
  <c r="I150" i="80"/>
  <c r="I150" i="85"/>
  <c r="K88" i="90" s="1"/>
  <c r="I150" i="79"/>
  <c r="I279" i="85"/>
  <c r="K159" i="90" s="1"/>
  <c r="I279" i="79"/>
  <c r="I279" i="80"/>
  <c r="J96" i="79"/>
  <c r="FK297" i="79"/>
  <c r="AU297" i="79"/>
  <c r="W297" i="79"/>
  <c r="DO297" i="79"/>
  <c r="CQ297" i="79"/>
  <c r="DW297" i="79"/>
  <c r="CI297" i="79"/>
  <c r="EM297" i="79"/>
  <c r="EE297" i="79"/>
  <c r="AM297" i="79"/>
  <c r="BS297" i="79"/>
  <c r="BC297" i="79"/>
  <c r="BK297" i="79"/>
  <c r="CY297" i="79"/>
  <c r="CA297" i="79"/>
  <c r="EU297" i="79"/>
  <c r="J247" i="80"/>
  <c r="J247" i="85"/>
  <c r="L141" i="90" s="1"/>
  <c r="I231" i="80"/>
  <c r="I231" i="85"/>
  <c r="K132" i="90" s="1"/>
  <c r="AA18" i="83"/>
  <c r="B20" i="83"/>
  <c r="FK130" i="79"/>
  <c r="J75" i="79"/>
  <c r="J75" i="85"/>
  <c r="H248" i="80"/>
  <c r="H248" i="79"/>
  <c r="H146" i="79"/>
  <c r="H146" i="85"/>
  <c r="J84" i="90" s="1"/>
  <c r="J296" i="80"/>
  <c r="J296" i="85"/>
  <c r="L166" i="90" s="1"/>
  <c r="I206" i="79"/>
  <c r="I180" i="79"/>
  <c r="I180" i="85"/>
  <c r="K99" i="90" s="1"/>
  <c r="O297" i="80"/>
  <c r="J114" i="80"/>
  <c r="J114" i="85"/>
  <c r="L63" i="90" s="1"/>
  <c r="J67" i="79"/>
  <c r="J67" i="85"/>
  <c r="L33" i="90" s="1"/>
  <c r="J213" i="80"/>
  <c r="J213" i="85"/>
  <c r="L119" i="90" s="1"/>
  <c r="I139" i="79"/>
  <c r="I139" i="85"/>
  <c r="K79" i="90" s="1"/>
  <c r="CA295" i="79"/>
  <c r="BK295" i="79"/>
  <c r="EU295" i="79"/>
  <c r="CQ295" i="79"/>
  <c r="G61" i="122"/>
  <c r="K28" i="110"/>
  <c r="G30" i="110"/>
  <c r="K10" i="110"/>
  <c r="D80" i="115"/>
  <c r="C114" i="119"/>
  <c r="C117" i="119" s="1"/>
  <c r="D45" i="116"/>
  <c r="D79" i="116" s="1"/>
  <c r="C18" i="118"/>
  <c r="C23" i="118" s="1"/>
  <c r="C25" i="118" s="1"/>
  <c r="K84" i="105"/>
  <c r="K24" i="110"/>
  <c r="H27" i="119"/>
  <c r="G22" i="166" s="1"/>
  <c r="E45" i="116"/>
  <c r="D14" i="115"/>
  <c r="D16" i="115" s="1"/>
  <c r="D24" i="115" s="1"/>
  <c r="E27" i="119"/>
  <c r="E58" i="119" s="1"/>
  <c r="K11" i="105"/>
  <c r="K47" i="105"/>
  <c r="K62" i="105"/>
  <c r="K72" i="105"/>
  <c r="K87" i="105"/>
  <c r="K21" i="110"/>
  <c r="K27" i="110"/>
  <c r="E84" i="117"/>
  <c r="E55" i="117"/>
  <c r="K50" i="105"/>
  <c r="K19" i="110"/>
  <c r="K25" i="110"/>
  <c r="K83" i="105"/>
  <c r="K23" i="110"/>
  <c r="K29" i="110"/>
  <c r="C16" i="119"/>
  <c r="G16" i="119"/>
  <c r="D34" i="123"/>
  <c r="D50" i="123" s="1"/>
  <c r="K396" i="101"/>
  <c r="D16" i="100" s="1"/>
  <c r="FM188" i="80" l="1"/>
  <c r="CS188" i="80"/>
  <c r="AW188" i="80"/>
  <c r="DA188" i="80"/>
  <c r="EG188" i="80"/>
  <c r="DI189" i="80"/>
  <c r="FN249" i="79"/>
  <c r="CC59" i="80"/>
  <c r="F43" i="35"/>
  <c r="AP277" i="80"/>
  <c r="AP194" i="79"/>
  <c r="FN307" i="80"/>
  <c r="AP307" i="79"/>
  <c r="FF226" i="79"/>
  <c r="H47" i="169"/>
  <c r="EH307" i="79"/>
  <c r="FF270" i="79"/>
  <c r="EP307" i="79"/>
  <c r="FE189" i="80"/>
  <c r="J47" i="169"/>
  <c r="BD348" i="80"/>
  <c r="F14" i="172"/>
  <c r="BD69" i="79"/>
  <c r="BE69" i="79"/>
  <c r="FE67" i="79"/>
  <c r="FD67" i="79"/>
  <c r="CK67" i="80"/>
  <c r="CJ67" i="80"/>
  <c r="Q67" i="80"/>
  <c r="P67" i="80"/>
  <c r="Y249" i="79"/>
  <c r="DH185" i="79"/>
  <c r="CJ194" i="79"/>
  <c r="CK194" i="79"/>
  <c r="I21" i="169"/>
  <c r="H21" i="169"/>
  <c r="H36" i="169" s="1"/>
  <c r="J21" i="169"/>
  <c r="G181" i="79"/>
  <c r="G181" i="85"/>
  <c r="I100" i="90" s="1"/>
  <c r="G181" i="80"/>
  <c r="G36" i="169"/>
  <c r="G77" i="169" s="1"/>
  <c r="CY202" i="79"/>
  <c r="EW69" i="80"/>
  <c r="EV69" i="80"/>
  <c r="J55" i="169"/>
  <c r="J210" i="80"/>
  <c r="J210" i="85"/>
  <c r="L115" i="90" s="1"/>
  <c r="J210" i="79"/>
  <c r="J44" i="160"/>
  <c r="I44" i="160"/>
  <c r="H44" i="160"/>
  <c r="J53" i="160"/>
  <c r="H53" i="160"/>
  <c r="I53" i="160"/>
  <c r="DP185" i="79"/>
  <c r="CB185" i="79"/>
  <c r="FL185" i="79"/>
  <c r="D58" i="119"/>
  <c r="G21" i="106"/>
  <c r="CI202" i="79"/>
  <c r="AU202" i="79"/>
  <c r="Y176" i="80"/>
  <c r="EV176" i="80"/>
  <c r="AO69" i="79"/>
  <c r="AP69" i="79" s="1"/>
  <c r="AN69" i="79"/>
  <c r="F28" i="104"/>
  <c r="M6" i="103"/>
  <c r="E51" i="98"/>
  <c r="EW114" i="79"/>
  <c r="EX114" i="79" s="1"/>
  <c r="BM58" i="80"/>
  <c r="BN58" i="80" s="1"/>
  <c r="CC114" i="79"/>
  <c r="EO114" i="80"/>
  <c r="CA281" i="80"/>
  <c r="CA283" i="80" s="1"/>
  <c r="CA328" i="80" s="1"/>
  <c r="C26" i="167"/>
  <c r="E26" i="167" s="1"/>
  <c r="H55" i="169"/>
  <c r="H210" i="79"/>
  <c r="H5" i="160"/>
  <c r="I5" i="160"/>
  <c r="J5" i="160"/>
  <c r="G26" i="160"/>
  <c r="O134" i="152"/>
  <c r="T11" i="152"/>
  <c r="AH226" i="79"/>
  <c r="I55" i="169"/>
  <c r="I210" i="85"/>
  <c r="K115" i="90" s="1"/>
  <c r="I210" i="80"/>
  <c r="I210" i="79"/>
  <c r="EG210" i="79" s="1"/>
  <c r="I39" i="160"/>
  <c r="H39" i="160"/>
  <c r="G59" i="160"/>
  <c r="J39" i="160"/>
  <c r="C25" i="167"/>
  <c r="E25" i="167" s="1"/>
  <c r="J188" i="80"/>
  <c r="J188" i="79"/>
  <c r="J188" i="85"/>
  <c r="L105" i="90" s="1"/>
  <c r="H16" i="160"/>
  <c r="I16" i="160"/>
  <c r="J16" i="160"/>
  <c r="I206" i="85"/>
  <c r="I206" i="80"/>
  <c r="CD277" i="80"/>
  <c r="BF270" i="79"/>
  <c r="EF348" i="80"/>
  <c r="H206" i="85"/>
  <c r="H206" i="79"/>
  <c r="H206" i="80"/>
  <c r="I42" i="169"/>
  <c r="I200" i="79"/>
  <c r="BN142" i="79"/>
  <c r="DY114" i="80"/>
  <c r="CZ89" i="80"/>
  <c r="W283" i="79"/>
  <c r="W328" i="79" s="1"/>
  <c r="AV348" i="80"/>
  <c r="J206" i="79"/>
  <c r="J207" i="79" s="1"/>
  <c r="J206" i="85"/>
  <c r="J206" i="80"/>
  <c r="J207" i="80" s="1"/>
  <c r="I184" i="79"/>
  <c r="FM184" i="79" s="1"/>
  <c r="I184" i="85"/>
  <c r="K102" i="90" s="1"/>
  <c r="I184" i="80"/>
  <c r="H177" i="85"/>
  <c r="J97" i="90" s="1"/>
  <c r="H42" i="169"/>
  <c r="EE214" i="80"/>
  <c r="AE214" i="80"/>
  <c r="BK214" i="80"/>
  <c r="EM214" i="80"/>
  <c r="AM214" i="80"/>
  <c r="BS214" i="80"/>
  <c r="DG214" i="80"/>
  <c r="O214" i="80"/>
  <c r="W214" i="80"/>
  <c r="CY214" i="80"/>
  <c r="CA214" i="80"/>
  <c r="EU214" i="80"/>
  <c r="CQ214" i="80"/>
  <c r="AU214" i="80"/>
  <c r="CI214" i="80"/>
  <c r="CI215" i="80" s="1"/>
  <c r="DW214" i="80"/>
  <c r="FK214" i="80"/>
  <c r="DO214" i="80"/>
  <c r="BC214" i="80"/>
  <c r="CC58" i="80"/>
  <c r="CY59" i="79"/>
  <c r="AW67" i="80"/>
  <c r="CJ70" i="80"/>
  <c r="CL70" i="80" s="1"/>
  <c r="BM270" i="80"/>
  <c r="BK283" i="79"/>
  <c r="BK328" i="79" s="1"/>
  <c r="FE270" i="80"/>
  <c r="CK270" i="80"/>
  <c r="EM313" i="79"/>
  <c r="DH348" i="80"/>
  <c r="J189" i="85"/>
  <c r="L106" i="90" s="1"/>
  <c r="J189" i="80"/>
  <c r="J189" i="79"/>
  <c r="H20" i="160"/>
  <c r="J20" i="160"/>
  <c r="I20" i="160"/>
  <c r="H19" i="160"/>
  <c r="J19" i="160"/>
  <c r="I19" i="160"/>
  <c r="C17" i="32"/>
  <c r="G207" i="85"/>
  <c r="H184" i="85"/>
  <c r="J102" i="90" s="1"/>
  <c r="H184" i="80"/>
  <c r="J42" i="169"/>
  <c r="J200" i="79"/>
  <c r="J202" i="79" s="1"/>
  <c r="EM214" i="79"/>
  <c r="BS214" i="79"/>
  <c r="CI214" i="79"/>
  <c r="EU214" i="79"/>
  <c r="FC214" i="79"/>
  <c r="AM214" i="79"/>
  <c r="AE214" i="79"/>
  <c r="CY214" i="79"/>
  <c r="CA214" i="79"/>
  <c r="W214" i="79"/>
  <c r="EE214" i="79"/>
  <c r="EE215" i="79" s="1"/>
  <c r="FK214" i="79"/>
  <c r="DG214" i="79"/>
  <c r="DW214" i="79"/>
  <c r="CQ214" i="79"/>
  <c r="O214" i="79"/>
  <c r="BC214" i="79"/>
  <c r="BC215" i="79" s="1"/>
  <c r="BK214" i="79"/>
  <c r="CR185" i="79"/>
  <c r="DH114" i="80"/>
  <c r="DY195" i="80"/>
  <c r="CR182" i="80"/>
  <c r="J56" i="160"/>
  <c r="I56" i="160"/>
  <c r="H56" i="160"/>
  <c r="H7" i="160"/>
  <c r="I7" i="160"/>
  <c r="J7" i="160"/>
  <c r="H201" i="79"/>
  <c r="BD201" i="79" s="1"/>
  <c r="H201" i="85"/>
  <c r="J114" i="90" s="1"/>
  <c r="H201" i="80"/>
  <c r="H202" i="80" s="1"/>
  <c r="G202" i="85"/>
  <c r="C16" i="32"/>
  <c r="AU235" i="80"/>
  <c r="FK235" i="80"/>
  <c r="AO59" i="80"/>
  <c r="DA58" i="80"/>
  <c r="DY89" i="80"/>
  <c r="X89" i="80"/>
  <c r="AF142" i="80"/>
  <c r="DA70" i="80"/>
  <c r="DB70" i="80" s="1"/>
  <c r="FE182" i="80"/>
  <c r="CC270" i="80"/>
  <c r="H49" i="160"/>
  <c r="J49" i="160"/>
  <c r="I49" i="160"/>
  <c r="G9" i="111"/>
  <c r="G12" i="111"/>
  <c r="G16" i="111" s="1"/>
  <c r="J214" i="79"/>
  <c r="J214" i="85"/>
  <c r="L118" i="90" s="1"/>
  <c r="J214" i="80"/>
  <c r="BS235" i="80"/>
  <c r="AF112" i="80"/>
  <c r="Y280" i="80"/>
  <c r="DY99" i="80"/>
  <c r="X114" i="80"/>
  <c r="DI89" i="80"/>
  <c r="DJ89" i="80" s="1"/>
  <c r="FM89" i="80"/>
  <c r="DA182" i="80"/>
  <c r="AF270" i="80"/>
  <c r="AP277" i="79"/>
  <c r="DH296" i="80"/>
  <c r="CD307" i="79"/>
  <c r="AE378" i="79"/>
  <c r="I10" i="100"/>
  <c r="J10" i="100"/>
  <c r="H10" i="100"/>
  <c r="H23" i="160"/>
  <c r="J23" i="160"/>
  <c r="I23" i="160"/>
  <c r="I114" i="107"/>
  <c r="J114" i="107"/>
  <c r="J115" i="107" s="1"/>
  <c r="K114" i="107"/>
  <c r="K115" i="107" s="1"/>
  <c r="G115" i="107"/>
  <c r="F126" i="107" s="1"/>
  <c r="G127" i="107" s="1"/>
  <c r="I47" i="169"/>
  <c r="I205" i="85"/>
  <c r="I205" i="79"/>
  <c r="I205" i="80"/>
  <c r="H178" i="79"/>
  <c r="H178" i="85"/>
  <c r="J98" i="90" s="1"/>
  <c r="H178" i="80"/>
  <c r="W283" i="80"/>
  <c r="W328" i="80" s="1"/>
  <c r="H11" i="160"/>
  <c r="I11" i="160"/>
  <c r="J11" i="160"/>
  <c r="DX307" i="79"/>
  <c r="DY307" i="79"/>
  <c r="FM59" i="80"/>
  <c r="CY215" i="80"/>
  <c r="G13" i="162"/>
  <c r="H13" i="162" s="1"/>
  <c r="G18" i="162"/>
  <c r="H18" i="162" s="1"/>
  <c r="G123" i="162"/>
  <c r="H123" i="162" s="1"/>
  <c r="G165" i="162"/>
  <c r="H165" i="162" s="1"/>
  <c r="G181" i="162"/>
  <c r="H181" i="162" s="1"/>
  <c r="G213" i="162"/>
  <c r="H213" i="162" s="1"/>
  <c r="G229" i="162"/>
  <c r="H229" i="162" s="1"/>
  <c r="G245" i="162"/>
  <c r="H245" i="162" s="1"/>
  <c r="G261" i="162"/>
  <c r="H261" i="162" s="1"/>
  <c r="G277" i="162"/>
  <c r="H277" i="162" s="1"/>
  <c r="G309" i="162"/>
  <c r="H309" i="162" s="1"/>
  <c r="G325" i="162"/>
  <c r="H325" i="162" s="1"/>
  <c r="G364" i="162"/>
  <c r="H364" i="162" s="1"/>
  <c r="G377" i="162"/>
  <c r="H377" i="162" s="1"/>
  <c r="G417" i="162"/>
  <c r="H417" i="162" s="1"/>
  <c r="G443" i="162"/>
  <c r="H443" i="162" s="1"/>
  <c r="G457" i="162"/>
  <c r="H457" i="162" s="1"/>
  <c r="G500" i="162"/>
  <c r="H500" i="162" s="1"/>
  <c r="G514" i="162"/>
  <c r="H514" i="162" s="1"/>
  <c r="G528" i="162"/>
  <c r="H528" i="162" s="1"/>
  <c r="G652" i="162"/>
  <c r="H652" i="162" s="1"/>
  <c r="G667" i="162"/>
  <c r="H667" i="162" s="1"/>
  <c r="G749" i="162"/>
  <c r="H749" i="162" s="1"/>
  <c r="G697" i="162"/>
  <c r="H697" i="162" s="1"/>
  <c r="G613" i="162"/>
  <c r="H613" i="162" s="1"/>
  <c r="J613" i="162" s="1"/>
  <c r="G324" i="162"/>
  <c r="H324" i="162" s="1"/>
  <c r="G101" i="162"/>
  <c r="H101" i="162" s="1"/>
  <c r="G166" i="162"/>
  <c r="H166" i="162" s="1"/>
  <c r="G182" i="162"/>
  <c r="H182" i="162" s="1"/>
  <c r="G214" i="162"/>
  <c r="H214" i="162" s="1"/>
  <c r="G230" i="162"/>
  <c r="H230" i="162" s="1"/>
  <c r="G246" i="162"/>
  <c r="H246" i="162" s="1"/>
  <c r="G262" i="162"/>
  <c r="H262" i="162" s="1"/>
  <c r="G278" i="162"/>
  <c r="H278" i="162" s="1"/>
  <c r="G310" i="162"/>
  <c r="H310" i="162" s="1"/>
  <c r="G326" i="162"/>
  <c r="H326" i="162" s="1"/>
  <c r="G365" i="162"/>
  <c r="H365" i="162" s="1"/>
  <c r="G378" i="162"/>
  <c r="H378" i="162" s="1"/>
  <c r="G405" i="162"/>
  <c r="H405" i="162" s="1"/>
  <c r="G418" i="162"/>
  <c r="H418" i="162" s="1"/>
  <c r="G444" i="162"/>
  <c r="H444" i="162" s="1"/>
  <c r="G458" i="162"/>
  <c r="H458" i="162" s="1"/>
  <c r="G471" i="162"/>
  <c r="G375" i="162"/>
  <c r="H375" i="162" s="1"/>
  <c r="G164" i="162"/>
  <c r="H164" i="162" s="1"/>
  <c r="G442" i="162"/>
  <c r="H442" i="162" s="1"/>
  <c r="G167" i="162"/>
  <c r="H167" i="162" s="1"/>
  <c r="G183" i="162"/>
  <c r="H183" i="162" s="1"/>
  <c r="G199" i="162"/>
  <c r="H199" i="162" s="1"/>
  <c r="G231" i="162"/>
  <c r="H231" i="162" s="1"/>
  <c r="G247" i="162"/>
  <c r="H247" i="162" s="1"/>
  <c r="G263" i="162"/>
  <c r="H263" i="162" s="1"/>
  <c r="G279" i="162"/>
  <c r="H279" i="162" s="1"/>
  <c r="G311" i="162"/>
  <c r="H311" i="162" s="1"/>
  <c r="G366" i="162"/>
  <c r="H366" i="162" s="1"/>
  <c r="G406" i="162"/>
  <c r="H406" i="162" s="1"/>
  <c r="G419" i="162"/>
  <c r="H419" i="162" s="1"/>
  <c r="G431" i="162"/>
  <c r="G445" i="162"/>
  <c r="H445" i="162" s="1"/>
  <c r="G459" i="162"/>
  <c r="H459" i="162" s="1"/>
  <c r="G472" i="162"/>
  <c r="H472" i="162" s="1"/>
  <c r="G488" i="162"/>
  <c r="H488" i="162" s="1"/>
  <c r="G668" i="162"/>
  <c r="H668" i="162" s="1"/>
  <c r="G85" i="162"/>
  <c r="H85" i="162" s="1"/>
  <c r="G104" i="162"/>
  <c r="H104" i="162" s="1"/>
  <c r="G147" i="162"/>
  <c r="H147" i="162" s="1"/>
  <c r="G168" i="162"/>
  <c r="H168" i="162" s="1"/>
  <c r="G184" i="162"/>
  <c r="H184" i="162" s="1"/>
  <c r="G216" i="162"/>
  <c r="H216" i="162" s="1"/>
  <c r="G232" i="162"/>
  <c r="H232" i="162" s="1"/>
  <c r="G248" i="162"/>
  <c r="H248" i="162" s="1"/>
  <c r="G264" i="162"/>
  <c r="H264" i="162" s="1"/>
  <c r="G280" i="162"/>
  <c r="H280" i="162" s="1"/>
  <c r="G296" i="162"/>
  <c r="H296" i="162" s="1"/>
  <c r="G312" i="162"/>
  <c r="H312" i="162" s="1"/>
  <c r="G367" i="162"/>
  <c r="H367" i="162" s="1"/>
  <c r="G379" i="162"/>
  <c r="H379" i="162" s="1"/>
  <c r="G407" i="162"/>
  <c r="H407" i="162" s="1"/>
  <c r="G420" i="162"/>
  <c r="H420" i="162" s="1"/>
  <c r="G446" i="162"/>
  <c r="H446" i="162" s="1"/>
  <c r="G460" i="162"/>
  <c r="H460" i="162" s="1"/>
  <c r="G504" i="162"/>
  <c r="H504" i="162" s="1"/>
  <c r="G669" i="162"/>
  <c r="H669" i="162" s="1"/>
  <c r="G751" i="162"/>
  <c r="H751" i="162" s="1"/>
  <c r="G646" i="162"/>
  <c r="G307" i="162"/>
  <c r="H307" i="162" s="1"/>
  <c r="G455" i="162"/>
  <c r="H455" i="162" s="1"/>
  <c r="G308" i="162"/>
  <c r="H308" i="162" s="1"/>
  <c r="G416" i="162"/>
  <c r="H416" i="162" s="1"/>
  <c r="G69" i="162"/>
  <c r="G105" i="162"/>
  <c r="H105" i="162" s="1"/>
  <c r="G129" i="162"/>
  <c r="H129" i="162" s="1"/>
  <c r="G169" i="162"/>
  <c r="H169" i="162" s="1"/>
  <c r="G185" i="162"/>
  <c r="H185" i="162" s="1"/>
  <c r="G201" i="162"/>
  <c r="H201" i="162" s="1"/>
  <c r="G217" i="162"/>
  <c r="H217" i="162" s="1"/>
  <c r="G233" i="162"/>
  <c r="H233" i="162" s="1"/>
  <c r="G249" i="162"/>
  <c r="H249" i="162" s="1"/>
  <c r="G265" i="162"/>
  <c r="H265" i="162" s="1"/>
  <c r="G281" i="162"/>
  <c r="H281" i="162" s="1"/>
  <c r="G313" i="162"/>
  <c r="H313" i="162" s="1"/>
  <c r="G329" i="162"/>
  <c r="H329" i="162" s="1"/>
  <c r="G368" i="162"/>
  <c r="H368" i="162" s="1"/>
  <c r="G380" i="162"/>
  <c r="H380" i="162" s="1"/>
  <c r="G408" i="162"/>
  <c r="H408" i="162" s="1"/>
  <c r="G447" i="162"/>
  <c r="H447" i="162" s="1"/>
  <c r="G474" i="162"/>
  <c r="H474" i="162" s="1"/>
  <c r="G505" i="162"/>
  <c r="H505" i="162" s="1"/>
  <c r="G573" i="162"/>
  <c r="H573" i="162" s="1"/>
  <c r="G753" i="162"/>
  <c r="H753" i="162" s="1"/>
  <c r="G179" i="162"/>
  <c r="H179" i="162" s="1"/>
  <c r="G404" i="162"/>
  <c r="H404" i="162" s="1"/>
  <c r="G107" i="162"/>
  <c r="H107" i="162" s="1"/>
  <c r="G149" i="162"/>
  <c r="H149" i="162" s="1"/>
  <c r="G186" i="162"/>
  <c r="H186" i="162" s="1"/>
  <c r="G202" i="162"/>
  <c r="H202" i="162" s="1"/>
  <c r="G250" i="162"/>
  <c r="H250" i="162" s="1"/>
  <c r="G266" i="162"/>
  <c r="H266" i="162" s="1"/>
  <c r="G282" i="162"/>
  <c r="H282" i="162" s="1"/>
  <c r="G298" i="162"/>
  <c r="H298" i="162" s="1"/>
  <c r="G314" i="162"/>
  <c r="H314" i="162" s="1"/>
  <c r="G356" i="162"/>
  <c r="G369" i="162"/>
  <c r="H369" i="162" s="1"/>
  <c r="G381" i="162"/>
  <c r="H381" i="162" s="1"/>
  <c r="G421" i="162"/>
  <c r="H421" i="162" s="1"/>
  <c r="G448" i="162"/>
  <c r="H448" i="162" s="1"/>
  <c r="G506" i="162"/>
  <c r="H506" i="162" s="1"/>
  <c r="G518" i="162"/>
  <c r="H518" i="162" s="1"/>
  <c r="G494" i="162"/>
  <c r="H494" i="162" s="1"/>
  <c r="G259" i="162"/>
  <c r="H259" i="162" s="1"/>
  <c r="G228" i="162"/>
  <c r="H228" i="162" s="1"/>
  <c r="G651" i="162"/>
  <c r="G109" i="162"/>
  <c r="H109" i="162" s="1"/>
  <c r="G133" i="162"/>
  <c r="H133" i="162" s="1"/>
  <c r="G187" i="162"/>
  <c r="H187" i="162" s="1"/>
  <c r="G203" i="162"/>
  <c r="H203" i="162" s="1"/>
  <c r="G219" i="162"/>
  <c r="H219" i="162" s="1"/>
  <c r="G251" i="162"/>
  <c r="H251" i="162" s="1"/>
  <c r="G267" i="162"/>
  <c r="H267" i="162" s="1"/>
  <c r="G283" i="162"/>
  <c r="H283" i="162" s="1"/>
  <c r="G315" i="162"/>
  <c r="H315" i="162" s="1"/>
  <c r="G357" i="162"/>
  <c r="H357" i="162" s="1"/>
  <c r="G382" i="162"/>
  <c r="H382" i="162" s="1"/>
  <c r="G409" i="162"/>
  <c r="H409" i="162" s="1"/>
  <c r="G422" i="162"/>
  <c r="H422" i="162" s="1"/>
  <c r="G449" i="162"/>
  <c r="H449" i="162" s="1"/>
  <c r="G463" i="162"/>
  <c r="H463" i="162" s="1"/>
  <c r="G476" i="162"/>
  <c r="H476" i="162" s="1"/>
  <c r="G507" i="162"/>
  <c r="H507" i="162" s="1"/>
  <c r="G244" i="162"/>
  <c r="H244" i="162" s="1"/>
  <c r="G112" i="162"/>
  <c r="H112" i="162" s="1"/>
  <c r="G188" i="162"/>
  <c r="H188" i="162" s="1"/>
  <c r="G204" i="162"/>
  <c r="H204" i="162" s="1"/>
  <c r="G220" i="162"/>
  <c r="H220" i="162" s="1"/>
  <c r="G252" i="162"/>
  <c r="H252" i="162" s="1"/>
  <c r="G268" i="162"/>
  <c r="H268" i="162" s="1"/>
  <c r="G284" i="162"/>
  <c r="H284" i="162" s="1"/>
  <c r="G300" i="162"/>
  <c r="H300" i="162" s="1"/>
  <c r="G316" i="162"/>
  <c r="H316" i="162" s="1"/>
  <c r="G332" i="162"/>
  <c r="H332" i="162" s="1"/>
  <c r="G370" i="162"/>
  <c r="H370" i="162" s="1"/>
  <c r="G383" i="162"/>
  <c r="H383" i="162" s="1"/>
  <c r="G423" i="162"/>
  <c r="H423" i="162" s="1"/>
  <c r="G435" i="162"/>
  <c r="H435" i="162" s="1"/>
  <c r="G464" i="162"/>
  <c r="H464" i="162" s="1"/>
  <c r="G520" i="162"/>
  <c r="H520" i="162" s="1"/>
  <c r="G180" i="162"/>
  <c r="H180" i="162" s="1"/>
  <c r="G113" i="162"/>
  <c r="H113" i="162" s="1"/>
  <c r="G173" i="162"/>
  <c r="H173" i="162" s="1"/>
  <c r="G205" i="162"/>
  <c r="H205" i="162" s="1"/>
  <c r="G237" i="162"/>
  <c r="H237" i="162" s="1"/>
  <c r="G269" i="162"/>
  <c r="H269" i="162" s="1"/>
  <c r="G285" i="162"/>
  <c r="H285" i="162" s="1"/>
  <c r="G317" i="162"/>
  <c r="H317" i="162" s="1"/>
  <c r="G358" i="162"/>
  <c r="H358" i="162" s="1"/>
  <c r="G371" i="162"/>
  <c r="H371" i="162" s="1"/>
  <c r="G384" i="162"/>
  <c r="H384" i="162" s="1"/>
  <c r="G410" i="162"/>
  <c r="H410" i="162" s="1"/>
  <c r="G424" i="162"/>
  <c r="H424" i="162" s="1"/>
  <c r="G436" i="162"/>
  <c r="H436" i="162" s="1"/>
  <c r="G450" i="162"/>
  <c r="H450" i="162" s="1"/>
  <c r="G465" i="162"/>
  <c r="H465" i="162" s="1"/>
  <c r="G323" i="162"/>
  <c r="H323" i="162" s="1"/>
  <c r="G441" i="162"/>
  <c r="H441" i="162" s="1"/>
  <c r="G174" i="162"/>
  <c r="H174" i="162" s="1"/>
  <c r="G190" i="162"/>
  <c r="H190" i="162" s="1"/>
  <c r="G206" i="162"/>
  <c r="H206" i="162" s="1"/>
  <c r="G222" i="162"/>
  <c r="H222" i="162" s="1"/>
  <c r="G270" i="162"/>
  <c r="H270" i="162" s="1"/>
  <c r="G286" i="162"/>
  <c r="H286" i="162" s="1"/>
  <c r="G302" i="162"/>
  <c r="H302" i="162" s="1"/>
  <c r="G318" i="162"/>
  <c r="H318" i="162" s="1"/>
  <c r="G372" i="162"/>
  <c r="H372" i="162" s="1"/>
  <c r="G385" i="162"/>
  <c r="H385" i="162" s="1"/>
  <c r="G411" i="162"/>
  <c r="H411" i="162" s="1"/>
  <c r="G437" i="162"/>
  <c r="H437" i="162" s="1"/>
  <c r="G451" i="162"/>
  <c r="H451" i="162" s="1"/>
  <c r="G509" i="162"/>
  <c r="H509" i="162" s="1"/>
  <c r="G608" i="162"/>
  <c r="G755" i="162"/>
  <c r="H755" i="162" s="1"/>
  <c r="G211" i="162"/>
  <c r="H211" i="162" s="1"/>
  <c r="G99" i="162"/>
  <c r="H99" i="162" s="1"/>
  <c r="G363" i="162"/>
  <c r="H363" i="162" s="1"/>
  <c r="G737" i="162"/>
  <c r="H737" i="162" s="1"/>
  <c r="G57" i="162"/>
  <c r="H57" i="162" s="1"/>
  <c r="G115" i="162"/>
  <c r="H115" i="162" s="1"/>
  <c r="G137" i="162"/>
  <c r="H137" i="162" s="1"/>
  <c r="G175" i="162"/>
  <c r="H175" i="162" s="1"/>
  <c r="G207" i="162"/>
  <c r="H207" i="162" s="1"/>
  <c r="G223" i="162"/>
  <c r="H223" i="162" s="1"/>
  <c r="G271" i="162"/>
  <c r="H271" i="162" s="1"/>
  <c r="G287" i="162"/>
  <c r="H287" i="162" s="1"/>
  <c r="G319" i="162"/>
  <c r="H319" i="162" s="1"/>
  <c r="G359" i="162"/>
  <c r="H359" i="162" s="1"/>
  <c r="G373" i="162"/>
  <c r="H373" i="162" s="1"/>
  <c r="G399" i="162"/>
  <c r="G412" i="162"/>
  <c r="H412" i="162" s="1"/>
  <c r="G425" i="162"/>
  <c r="H425" i="162" s="1"/>
  <c r="G438" i="162"/>
  <c r="H438" i="162" s="1"/>
  <c r="G452" i="162"/>
  <c r="H452" i="162" s="1"/>
  <c r="G466" i="162"/>
  <c r="H466" i="162" s="1"/>
  <c r="G495" i="162"/>
  <c r="H495" i="162" s="1"/>
  <c r="G510" i="162"/>
  <c r="H510" i="162" s="1"/>
  <c r="G523" i="162"/>
  <c r="H523" i="162" s="1"/>
  <c r="G227" i="162"/>
  <c r="H227" i="162" s="1"/>
  <c r="G275" i="162"/>
  <c r="H275" i="162" s="1"/>
  <c r="G403" i="162"/>
  <c r="H403" i="162" s="1"/>
  <c r="G485" i="162"/>
  <c r="H485" i="162" s="1"/>
  <c r="G117" i="162"/>
  <c r="H117" i="162" s="1"/>
  <c r="G139" i="162"/>
  <c r="H139" i="162" s="1"/>
  <c r="G192" i="162"/>
  <c r="H192" i="162" s="1"/>
  <c r="G208" i="162"/>
  <c r="H208" i="162" s="1"/>
  <c r="G224" i="162"/>
  <c r="H224" i="162" s="1"/>
  <c r="G256" i="162"/>
  <c r="H256" i="162" s="1"/>
  <c r="G272" i="162"/>
  <c r="H272" i="162" s="1"/>
  <c r="G288" i="162"/>
  <c r="H288" i="162" s="1"/>
  <c r="G320" i="162"/>
  <c r="H320" i="162" s="1"/>
  <c r="G360" i="162"/>
  <c r="H360" i="162" s="1"/>
  <c r="G386" i="162"/>
  <c r="H386" i="162" s="1"/>
  <c r="G400" i="162"/>
  <c r="H400" i="162" s="1"/>
  <c r="G413" i="162"/>
  <c r="H413" i="162" s="1"/>
  <c r="G453" i="162"/>
  <c r="H453" i="162" s="1"/>
  <c r="G481" i="162"/>
  <c r="H481" i="162" s="1"/>
  <c r="G496" i="162"/>
  <c r="H496" i="162" s="1"/>
  <c r="G511" i="162"/>
  <c r="H511" i="162" s="1"/>
  <c r="G513" i="162"/>
  <c r="H513" i="162" s="1"/>
  <c r="G499" i="162"/>
  <c r="H499" i="162" s="1"/>
  <c r="G177" i="162"/>
  <c r="H177" i="162" s="1"/>
  <c r="G209" i="162"/>
  <c r="H209" i="162" s="1"/>
  <c r="G225" i="162"/>
  <c r="H225" i="162" s="1"/>
  <c r="G273" i="162"/>
  <c r="H273" i="162" s="1"/>
  <c r="G305" i="162"/>
  <c r="H305" i="162" s="1"/>
  <c r="G321" i="162"/>
  <c r="H321" i="162" s="1"/>
  <c r="G361" i="162"/>
  <c r="H361" i="162" s="1"/>
  <c r="G374" i="162"/>
  <c r="H374" i="162" s="1"/>
  <c r="G387" i="162"/>
  <c r="H387" i="162" s="1"/>
  <c r="G401" i="162"/>
  <c r="H401" i="162" s="1"/>
  <c r="G426" i="162"/>
  <c r="H426" i="162" s="1"/>
  <c r="G439" i="162"/>
  <c r="H439" i="162" s="1"/>
  <c r="G454" i="162"/>
  <c r="H454" i="162" s="1"/>
  <c r="G482" i="162"/>
  <c r="H482" i="162" s="1"/>
  <c r="G121" i="162"/>
  <c r="H121" i="162" s="1"/>
  <c r="G17" i="162"/>
  <c r="H17" i="162" s="1"/>
  <c r="G276" i="162"/>
  <c r="H276" i="162" s="1"/>
  <c r="G376" i="162"/>
  <c r="H376" i="162" s="1"/>
  <c r="G97" i="162"/>
  <c r="H97" i="162" s="1"/>
  <c r="G141" i="162"/>
  <c r="H141" i="162" s="1"/>
  <c r="G162" i="162"/>
  <c r="H162" i="162" s="1"/>
  <c r="G194" i="162"/>
  <c r="H194" i="162" s="1"/>
  <c r="G210" i="162"/>
  <c r="H210" i="162" s="1"/>
  <c r="G226" i="162"/>
  <c r="H226" i="162" s="1"/>
  <c r="G258" i="162"/>
  <c r="H258" i="162" s="1"/>
  <c r="G274" i="162"/>
  <c r="H274" i="162" s="1"/>
  <c r="G322" i="162"/>
  <c r="H322" i="162" s="1"/>
  <c r="G362" i="162"/>
  <c r="H362" i="162" s="1"/>
  <c r="G388" i="162"/>
  <c r="H388" i="162" s="1"/>
  <c r="G402" i="162"/>
  <c r="H402" i="162" s="1"/>
  <c r="G414" i="162"/>
  <c r="H414" i="162" s="1"/>
  <c r="G427" i="162"/>
  <c r="H427" i="162" s="1"/>
  <c r="G440" i="162"/>
  <c r="H440" i="162" s="1"/>
  <c r="G498" i="162"/>
  <c r="H498" i="162" s="1"/>
  <c r="G415" i="162"/>
  <c r="H415" i="162" s="1"/>
  <c r="G665" i="162"/>
  <c r="G212" i="162"/>
  <c r="H212" i="162" s="1"/>
  <c r="G260" i="162"/>
  <c r="H260" i="162" s="1"/>
  <c r="G456" i="162"/>
  <c r="H456" i="162" s="1"/>
  <c r="G467" i="162"/>
  <c r="G95" i="162"/>
  <c r="H95" i="162" s="1"/>
  <c r="G8" i="162"/>
  <c r="H8" i="162" s="1"/>
  <c r="G138" i="162"/>
  <c r="H138" i="162" s="1"/>
  <c r="G158" i="162"/>
  <c r="H158" i="162" s="1"/>
  <c r="G83" i="162"/>
  <c r="G111" i="162"/>
  <c r="H111" i="162" s="1"/>
  <c r="G90" i="162"/>
  <c r="H90" i="162" s="1"/>
  <c r="G108" i="162"/>
  <c r="H108" i="162" s="1"/>
  <c r="G93" i="162"/>
  <c r="H93" i="162" s="1"/>
  <c r="G11" i="162"/>
  <c r="H11" i="162" s="1"/>
  <c r="G150" i="162"/>
  <c r="H150" i="162" s="1"/>
  <c r="G7" i="162"/>
  <c r="G334" i="162"/>
  <c r="G159" i="162"/>
  <c r="H159" i="162" s="1"/>
  <c r="G132" i="162"/>
  <c r="H132" i="162" s="1"/>
  <c r="G12" i="162"/>
  <c r="H12" i="162" s="1"/>
  <c r="G16" i="162"/>
  <c r="H16" i="162" s="1"/>
  <c r="G127" i="162"/>
  <c r="H127" i="162" s="1"/>
  <c r="G156" i="162"/>
  <c r="H156" i="162" s="1"/>
  <c r="G124" i="162"/>
  <c r="H124" i="162" s="1"/>
  <c r="G116" i="162"/>
  <c r="H116" i="162" s="1"/>
  <c r="G84" i="162"/>
  <c r="H84" i="162" s="1"/>
  <c r="G63" i="162"/>
  <c r="H63" i="162" s="1"/>
  <c r="G103" i="162"/>
  <c r="H103" i="162" s="1"/>
  <c r="G55" i="162"/>
  <c r="G130" i="162"/>
  <c r="H130" i="162" s="1"/>
  <c r="G106" i="162"/>
  <c r="H106" i="162" s="1"/>
  <c r="G154" i="162"/>
  <c r="H154" i="162" s="1"/>
  <c r="G9" i="162"/>
  <c r="H9" i="162" s="1"/>
  <c r="G118" i="162"/>
  <c r="H118" i="162" s="1"/>
  <c r="G110" i="162"/>
  <c r="H110" i="162" s="1"/>
  <c r="G501" i="162"/>
  <c r="H501" i="162" s="1"/>
  <c r="H41" i="160"/>
  <c r="J41" i="160"/>
  <c r="I41" i="160"/>
  <c r="J178" i="85"/>
  <c r="L98" i="90" s="1"/>
  <c r="J178" i="80"/>
  <c r="J178" i="79"/>
  <c r="O371" i="80"/>
  <c r="DW371" i="80"/>
  <c r="AM371" i="80"/>
  <c r="BC371" i="80"/>
  <c r="AU371" i="80"/>
  <c r="EU371" i="80"/>
  <c r="AE371" i="80"/>
  <c r="CY371" i="80"/>
  <c r="CQ371" i="80"/>
  <c r="DO371" i="80"/>
  <c r="W371" i="80"/>
  <c r="DG371" i="80"/>
  <c r="CI371" i="80"/>
  <c r="FK371" i="80"/>
  <c r="CA371" i="80"/>
  <c r="BS371" i="80"/>
  <c r="FC371" i="80"/>
  <c r="EE371" i="80"/>
  <c r="EM371" i="80"/>
  <c r="BK371" i="80"/>
  <c r="DI182" i="80"/>
  <c r="CI313" i="80"/>
  <c r="CQ313" i="80"/>
  <c r="M295" i="163"/>
  <c r="M391" i="163"/>
  <c r="M542" i="163"/>
  <c r="M566" i="163"/>
  <c r="M607" i="163"/>
  <c r="M623" i="163"/>
  <c r="M563" i="163"/>
  <c r="M626" i="163"/>
  <c r="M346" i="163"/>
  <c r="M536" i="163"/>
  <c r="M591" i="163"/>
  <c r="M497" i="163"/>
  <c r="M508" i="163" s="1"/>
  <c r="M557" i="163"/>
  <c r="M598" i="163"/>
  <c r="M572" i="163"/>
  <c r="M340" i="163"/>
  <c r="M575" i="163"/>
  <c r="M524" i="163"/>
  <c r="M336" i="163"/>
  <c r="M543" i="163"/>
  <c r="M551" i="163"/>
  <c r="M389" i="163"/>
  <c r="M540" i="163"/>
  <c r="M548" i="163"/>
  <c r="M605" i="163"/>
  <c r="M621" i="163"/>
  <c r="M342" i="163"/>
  <c r="M597" i="163"/>
  <c r="M7" i="163"/>
  <c r="M330" i="163"/>
  <c r="M363" i="163"/>
  <c r="M537" i="163"/>
  <c r="M602" i="163"/>
  <c r="M365" i="163"/>
  <c r="M513" i="163"/>
  <c r="M534" i="163"/>
  <c r="M341" i="163"/>
  <c r="M593" i="163"/>
  <c r="M610" i="163"/>
  <c r="M217" i="163"/>
  <c r="M337" i="163"/>
  <c r="M393" i="163"/>
  <c r="M467" i="163"/>
  <c r="M544" i="163"/>
  <c r="M609" i="163"/>
  <c r="M8" i="163"/>
  <c r="M214" i="163"/>
  <c r="M334" i="163"/>
  <c r="M541" i="163"/>
  <c r="M549" i="163"/>
  <c r="M622" i="163"/>
  <c r="M538" i="163"/>
  <c r="M545" i="163"/>
  <c r="M603" i="163"/>
  <c r="M221" i="163"/>
  <c r="M339" i="163"/>
  <c r="M532" i="163"/>
  <c r="M535" i="163"/>
  <c r="M596" i="163"/>
  <c r="M466" i="163"/>
  <c r="J34" i="100"/>
  <c r="H34" i="100"/>
  <c r="I34" i="100"/>
  <c r="H52" i="160"/>
  <c r="I52" i="160"/>
  <c r="J52" i="160"/>
  <c r="J7" i="163"/>
  <c r="I340" i="163"/>
  <c r="K346" i="163"/>
  <c r="J497" i="163"/>
  <c r="J508" i="163" s="1"/>
  <c r="M129" i="166" s="1"/>
  <c r="I129" i="166" s="1"/>
  <c r="K536" i="163"/>
  <c r="J557" i="163"/>
  <c r="J598" i="163"/>
  <c r="K566" i="163"/>
  <c r="I336" i="163"/>
  <c r="J340" i="163"/>
  <c r="K497" i="163"/>
  <c r="K508" i="163" s="1"/>
  <c r="N129" i="166" s="1"/>
  <c r="J129" i="166" s="1"/>
  <c r="J129" i="80" s="1"/>
  <c r="I543" i="163"/>
  <c r="I551" i="163"/>
  <c r="K557" i="163"/>
  <c r="K598" i="163"/>
  <c r="I557" i="163"/>
  <c r="J336" i="163"/>
  <c r="K340" i="163"/>
  <c r="I389" i="163"/>
  <c r="I540" i="163"/>
  <c r="J543" i="163"/>
  <c r="I548" i="163"/>
  <c r="J551" i="163"/>
  <c r="I605" i="163"/>
  <c r="I621" i="163"/>
  <c r="K295" i="163"/>
  <c r="I330" i="163"/>
  <c r="K336" i="163"/>
  <c r="I363" i="163"/>
  <c r="J389" i="163"/>
  <c r="I537" i="163"/>
  <c r="J540" i="163"/>
  <c r="K543" i="163"/>
  <c r="J548" i="163"/>
  <c r="K551" i="163"/>
  <c r="I602" i="163"/>
  <c r="J605" i="163"/>
  <c r="J621" i="163"/>
  <c r="I7" i="163"/>
  <c r="J330" i="163"/>
  <c r="J363" i="163"/>
  <c r="K389" i="163"/>
  <c r="I534" i="163"/>
  <c r="J537" i="163"/>
  <c r="K540" i="163"/>
  <c r="K548" i="163"/>
  <c r="J602" i="163"/>
  <c r="K605" i="163"/>
  <c r="K621" i="163"/>
  <c r="K7" i="163"/>
  <c r="K330" i="163"/>
  <c r="I341" i="163"/>
  <c r="K363" i="163"/>
  <c r="J534" i="163"/>
  <c r="K537" i="163"/>
  <c r="I593" i="163"/>
  <c r="K602" i="163"/>
  <c r="I217" i="163"/>
  <c r="I337" i="163"/>
  <c r="J341" i="163"/>
  <c r="I393" i="163"/>
  <c r="I467" i="163"/>
  <c r="K534" i="163"/>
  <c r="I544" i="163"/>
  <c r="J593" i="163"/>
  <c r="I609" i="163"/>
  <c r="K391" i="163"/>
  <c r="I214" i="163"/>
  <c r="J217" i="163"/>
  <c r="I334" i="163"/>
  <c r="J337" i="163"/>
  <c r="K341" i="163"/>
  <c r="J393" i="163"/>
  <c r="J467" i="163"/>
  <c r="I541" i="163"/>
  <c r="J544" i="163"/>
  <c r="I549" i="163"/>
  <c r="K593" i="163"/>
  <c r="J596" i="163"/>
  <c r="J609" i="163"/>
  <c r="I622" i="163"/>
  <c r="I536" i="163"/>
  <c r="I8" i="163"/>
  <c r="J214" i="163"/>
  <c r="K217" i="163"/>
  <c r="J334" i="163"/>
  <c r="K337" i="163"/>
  <c r="K393" i="163"/>
  <c r="K467" i="163"/>
  <c r="I538" i="163"/>
  <c r="J541" i="163"/>
  <c r="K544" i="163"/>
  <c r="J549" i="163"/>
  <c r="K596" i="163"/>
  <c r="I603" i="163"/>
  <c r="K609" i="163"/>
  <c r="J622" i="163"/>
  <c r="J8" i="163"/>
  <c r="K214" i="163"/>
  <c r="K334" i="163"/>
  <c r="I535" i="163"/>
  <c r="J538" i="163"/>
  <c r="K541" i="163"/>
  <c r="K549" i="163"/>
  <c r="J603" i="163"/>
  <c r="K622" i="163"/>
  <c r="K623" i="163"/>
  <c r="K563" i="163"/>
  <c r="I221" i="163"/>
  <c r="I342" i="163"/>
  <c r="J535" i="163"/>
  <c r="K538" i="163"/>
  <c r="I575" i="163"/>
  <c r="I597" i="163"/>
  <c r="K603" i="163"/>
  <c r="K542" i="163"/>
  <c r="J346" i="163"/>
  <c r="I497" i="163"/>
  <c r="J221" i="163"/>
  <c r="I339" i="163"/>
  <c r="J342" i="163"/>
  <c r="I524" i="163"/>
  <c r="K535" i="163"/>
  <c r="I572" i="163"/>
  <c r="J575" i="163"/>
  <c r="I591" i="163"/>
  <c r="J597" i="163"/>
  <c r="I610" i="163"/>
  <c r="I626" i="163"/>
  <c r="K607" i="163"/>
  <c r="J536" i="163"/>
  <c r="K221" i="163"/>
  <c r="I295" i="163"/>
  <c r="J339" i="163"/>
  <c r="K342" i="163"/>
  <c r="I391" i="163"/>
  <c r="J524" i="163"/>
  <c r="I542" i="163"/>
  <c r="I566" i="163"/>
  <c r="J572" i="163"/>
  <c r="K575" i="163"/>
  <c r="J591" i="163"/>
  <c r="K597" i="163"/>
  <c r="I607" i="163"/>
  <c r="J610" i="163"/>
  <c r="I623" i="163"/>
  <c r="J626" i="163"/>
  <c r="J295" i="163"/>
  <c r="K339" i="163"/>
  <c r="J391" i="163"/>
  <c r="K524" i="163"/>
  <c r="J542" i="163"/>
  <c r="I563" i="163"/>
  <c r="J566" i="163"/>
  <c r="K572" i="163"/>
  <c r="K591" i="163"/>
  <c r="J607" i="163"/>
  <c r="K610" i="163"/>
  <c r="J623" i="163"/>
  <c r="K626" i="163"/>
  <c r="I346" i="163"/>
  <c r="J563" i="163"/>
  <c r="I598" i="163"/>
  <c r="I596" i="163"/>
  <c r="K8" i="163"/>
  <c r="K466" i="163"/>
  <c r="J466" i="163"/>
  <c r="I466" i="163"/>
  <c r="I182" i="79"/>
  <c r="I182" i="85"/>
  <c r="K101" i="90" s="1"/>
  <c r="I182" i="80"/>
  <c r="F124" i="76"/>
  <c r="N474" i="79" s="1"/>
  <c r="N476" i="79" s="1"/>
  <c r="O476" i="79" s="1"/>
  <c r="F125" i="76"/>
  <c r="BL182" i="80"/>
  <c r="EE281" i="80"/>
  <c r="EE283" i="80" s="1"/>
  <c r="EE328" i="80" s="1"/>
  <c r="AN270" i="80"/>
  <c r="CY281" i="80"/>
  <c r="CY283" i="80" s="1"/>
  <c r="CY328" i="80" s="1"/>
  <c r="O313" i="80"/>
  <c r="EE313" i="80"/>
  <c r="EG69" i="79"/>
  <c r="EH69" i="79" s="1"/>
  <c r="G254" i="79"/>
  <c r="G254" i="80"/>
  <c r="G254" i="85"/>
  <c r="I148" i="90" s="1"/>
  <c r="J185" i="85"/>
  <c r="L103" i="90" s="1"/>
  <c r="J185" i="80"/>
  <c r="J185" i="79"/>
  <c r="J212" i="85"/>
  <c r="L116" i="90" s="1"/>
  <c r="J212" i="79"/>
  <c r="CJ182" i="80"/>
  <c r="BK215" i="80"/>
  <c r="W281" i="80"/>
  <c r="AU281" i="80"/>
  <c r="AU283" i="80" s="1"/>
  <c r="AU328" i="80" s="1"/>
  <c r="R46" i="82"/>
  <c r="C18" i="32"/>
  <c r="G215" i="85"/>
  <c r="I185" i="80"/>
  <c r="CK185" i="80" s="1"/>
  <c r="I185" i="85"/>
  <c r="K103" i="90" s="1"/>
  <c r="I185" i="79"/>
  <c r="C101" i="131"/>
  <c r="C237" i="131" s="1"/>
  <c r="B20" i="177"/>
  <c r="B24" i="177" s="1"/>
  <c r="BD295" i="79"/>
  <c r="BE295" i="79"/>
  <c r="EE73" i="79"/>
  <c r="CI73" i="79"/>
  <c r="BS73" i="79"/>
  <c r="DO73" i="79"/>
  <c r="CQ73" i="79"/>
  <c r="FC73" i="79"/>
  <c r="AM73" i="79"/>
  <c r="FK73" i="79"/>
  <c r="BC73" i="79"/>
  <c r="W73" i="79"/>
  <c r="CY73" i="79"/>
  <c r="BK73" i="79"/>
  <c r="O73" i="79"/>
  <c r="EU73" i="79"/>
  <c r="AU73" i="79"/>
  <c r="DG73" i="79"/>
  <c r="AE73" i="79"/>
  <c r="DW73" i="79"/>
  <c r="EM73" i="79"/>
  <c r="CA73" i="79"/>
  <c r="CQ16" i="80"/>
  <c r="DO16" i="80"/>
  <c r="DW96" i="80"/>
  <c r="CZ295" i="79"/>
  <c r="DB295" i="79" s="1"/>
  <c r="FK16" i="80"/>
  <c r="E27" i="167"/>
  <c r="E32" i="167" s="1"/>
  <c r="E35" i="167" s="1"/>
  <c r="E41" i="167" s="1"/>
  <c r="BC16" i="80"/>
  <c r="FC106" i="79"/>
  <c r="DW295" i="79"/>
  <c r="EU63" i="80"/>
  <c r="E79" i="116"/>
  <c r="DG295" i="79"/>
  <c r="EE295" i="79"/>
  <c r="BF195" i="80"/>
  <c r="I25" i="166"/>
  <c r="H25" i="166"/>
  <c r="J25" i="166"/>
  <c r="G29" i="166"/>
  <c r="C58" i="119"/>
  <c r="G100" i="169"/>
  <c r="E11" i="167"/>
  <c r="E14" i="167" s="1"/>
  <c r="B10" i="177" s="1"/>
  <c r="I22" i="166"/>
  <c r="J22" i="166"/>
  <c r="G26" i="166"/>
  <c r="H22" i="166"/>
  <c r="G33" i="166"/>
  <c r="I24" i="166"/>
  <c r="H24" i="166"/>
  <c r="J24" i="166"/>
  <c r="FM87" i="79"/>
  <c r="DQ59" i="80"/>
  <c r="E14" i="172"/>
  <c r="G73" i="85"/>
  <c r="I39" i="90" s="1"/>
  <c r="G73" i="80"/>
  <c r="EM295" i="79"/>
  <c r="BS295" i="79"/>
  <c r="W295" i="79"/>
  <c r="AU295" i="79"/>
  <c r="D20" i="177"/>
  <c r="D24" i="177" s="1"/>
  <c r="AA17" i="177"/>
  <c r="EX241" i="79"/>
  <c r="DQ87" i="79"/>
  <c r="DY87" i="79"/>
  <c r="FN211" i="80"/>
  <c r="J64" i="166"/>
  <c r="I64" i="166"/>
  <c r="H64" i="166"/>
  <c r="CL270" i="79"/>
  <c r="DR270" i="79"/>
  <c r="F15" i="100"/>
  <c r="F70" i="160"/>
  <c r="F72" i="160" s="1"/>
  <c r="F78" i="160" s="1"/>
  <c r="F80" i="160" s="1"/>
  <c r="R241" i="79"/>
  <c r="AH277" i="80"/>
  <c r="CD241" i="79"/>
  <c r="FF307" i="80"/>
  <c r="EV348" i="80"/>
  <c r="DB270" i="79"/>
  <c r="CT70" i="80"/>
  <c r="EX278" i="80"/>
  <c r="BF309" i="79"/>
  <c r="BF307" i="80"/>
  <c r="EH307" i="80"/>
  <c r="H375" i="80"/>
  <c r="H375" i="79"/>
  <c r="EP241" i="79"/>
  <c r="AA17" i="83"/>
  <c r="R6" i="35"/>
  <c r="R49" i="82"/>
  <c r="R53" i="82" s="1"/>
  <c r="R1" i="82"/>
  <c r="R211" i="80"/>
  <c r="EX309" i="80"/>
  <c r="BF241" i="79"/>
  <c r="BN194" i="79"/>
  <c r="BV194" i="79"/>
  <c r="DR278" i="80"/>
  <c r="DR241" i="79"/>
  <c r="AX194" i="79"/>
  <c r="AG59" i="80"/>
  <c r="Q59" i="80"/>
  <c r="Z226" i="79"/>
  <c r="AH194" i="79"/>
  <c r="EX226" i="79"/>
  <c r="AH309" i="80"/>
  <c r="BU59" i="80"/>
  <c r="EG59" i="80"/>
  <c r="AW59" i="80"/>
  <c r="EP307" i="80"/>
  <c r="CI378" i="79"/>
  <c r="AH307" i="80"/>
  <c r="DR226" i="79"/>
  <c r="DB278" i="80"/>
  <c r="EP278" i="80"/>
  <c r="R277" i="80"/>
  <c r="DZ277" i="80"/>
  <c r="CT277" i="80"/>
  <c r="DJ307" i="80"/>
  <c r="CD241" i="80"/>
  <c r="BN278" i="80"/>
  <c r="BF277" i="80"/>
  <c r="EE378" i="79"/>
  <c r="EH194" i="79"/>
  <c r="W378" i="79"/>
  <c r="BS378" i="79"/>
  <c r="R295" i="79"/>
  <c r="R307" i="80"/>
  <c r="DZ307" i="80"/>
  <c r="EW87" i="79"/>
  <c r="Y87" i="79"/>
  <c r="AW87" i="79"/>
  <c r="FF89" i="80"/>
  <c r="CQ378" i="79"/>
  <c r="AM378" i="79"/>
  <c r="EM378" i="79"/>
  <c r="EO87" i="79"/>
  <c r="CS87" i="79"/>
  <c r="Z176" i="79"/>
  <c r="FK378" i="79"/>
  <c r="CA378" i="79"/>
  <c r="FC378" i="79"/>
  <c r="CA375" i="80"/>
  <c r="BC375" i="80"/>
  <c r="DG375" i="80"/>
  <c r="BS375" i="80"/>
  <c r="AU375" i="80"/>
  <c r="DW375" i="80"/>
  <c r="FK375" i="80"/>
  <c r="AM375" i="80"/>
  <c r="W375" i="80"/>
  <c r="EM375" i="80"/>
  <c r="O375" i="80"/>
  <c r="DO375" i="80"/>
  <c r="FC375" i="80"/>
  <c r="AE375" i="80"/>
  <c r="CQ375" i="80"/>
  <c r="BK375" i="80"/>
  <c r="CI375" i="80"/>
  <c r="EE375" i="80"/>
  <c r="EU375" i="80"/>
  <c r="CY375" i="80"/>
  <c r="DA87" i="79"/>
  <c r="DI87" i="79"/>
  <c r="AG87" i="79"/>
  <c r="EH211" i="80"/>
  <c r="AX241" i="79"/>
  <c r="Z195" i="79"/>
  <c r="CD194" i="79"/>
  <c r="CL194" i="79"/>
  <c r="FF194" i="79"/>
  <c r="AP278" i="80"/>
  <c r="R270" i="79"/>
  <c r="FF307" i="79"/>
  <c r="AX307" i="80"/>
  <c r="DB307" i="80"/>
  <c r="CY378" i="79"/>
  <c r="BK378" i="79"/>
  <c r="O378" i="79"/>
  <c r="EM376" i="80"/>
  <c r="AM376" i="80"/>
  <c r="O376" i="80"/>
  <c r="EE376" i="80"/>
  <c r="BK376" i="80"/>
  <c r="AE376" i="80"/>
  <c r="DW376" i="80"/>
  <c r="BC376" i="80"/>
  <c r="BS376" i="80"/>
  <c r="DO376" i="80"/>
  <c r="FK376" i="80"/>
  <c r="CI376" i="80"/>
  <c r="DG376" i="80"/>
  <c r="CY376" i="80"/>
  <c r="FC376" i="80"/>
  <c r="CA376" i="80"/>
  <c r="W376" i="80"/>
  <c r="CQ376" i="80"/>
  <c r="EU376" i="80"/>
  <c r="AU376" i="80"/>
  <c r="AU378" i="80" s="1"/>
  <c r="CK87" i="79"/>
  <c r="Q87" i="79"/>
  <c r="EH99" i="80"/>
  <c r="BU87" i="79"/>
  <c r="Z194" i="79"/>
  <c r="CT270" i="79"/>
  <c r="EP277" i="80"/>
  <c r="BV270" i="79"/>
  <c r="EP270" i="79"/>
  <c r="BV307" i="80"/>
  <c r="BC378" i="79"/>
  <c r="DO378" i="79"/>
  <c r="CI378" i="80"/>
  <c r="EU378" i="79"/>
  <c r="BE87" i="79"/>
  <c r="CD211" i="80"/>
  <c r="Z241" i="80"/>
  <c r="FN241" i="80"/>
  <c r="BF194" i="79"/>
  <c r="AX270" i="79"/>
  <c r="DJ309" i="79"/>
  <c r="CD307" i="80"/>
  <c r="AP307" i="80"/>
  <c r="EX307" i="80"/>
  <c r="AU378" i="79"/>
  <c r="BM87" i="79"/>
  <c r="AX89" i="79"/>
  <c r="D22" i="35"/>
  <c r="G374" i="85" s="1"/>
  <c r="G373" i="85"/>
  <c r="G378" i="80"/>
  <c r="BF58" i="80"/>
  <c r="Z69" i="80"/>
  <c r="CD226" i="79"/>
  <c r="AH270" i="79"/>
  <c r="CJ348" i="80"/>
  <c r="AN348" i="80"/>
  <c r="CR348" i="80"/>
  <c r="FL348" i="80"/>
  <c r="CZ348" i="80"/>
  <c r="DX348" i="80"/>
  <c r="P348" i="80"/>
  <c r="FD348" i="80"/>
  <c r="DP348" i="80"/>
  <c r="BL348" i="80"/>
  <c r="BT348" i="80"/>
  <c r="C14" i="172"/>
  <c r="C7" i="172"/>
  <c r="D7" i="172" s="1"/>
  <c r="E7" i="172" s="1"/>
  <c r="F7" i="172" s="1"/>
  <c r="G7" i="172" s="1"/>
  <c r="G14" i="172"/>
  <c r="BT348" i="79"/>
  <c r="DH348" i="79"/>
  <c r="BD348" i="79"/>
  <c r="CR348" i="79"/>
  <c r="FL348" i="79"/>
  <c r="AN348" i="79"/>
  <c r="CB348" i="79"/>
  <c r="EV348" i="79"/>
  <c r="X348" i="79"/>
  <c r="BL348" i="79"/>
  <c r="EF348" i="79"/>
  <c r="P348" i="79"/>
  <c r="AV348" i="79"/>
  <c r="DP348" i="79"/>
  <c r="FD348" i="79"/>
  <c r="AF348" i="79"/>
  <c r="CZ348" i="79"/>
  <c r="EN348" i="79"/>
  <c r="CJ348" i="79"/>
  <c r="DX348" i="79"/>
  <c r="D14" i="172"/>
  <c r="AP241" i="80"/>
  <c r="FN226" i="79"/>
  <c r="AH141" i="79"/>
  <c r="CL309" i="80"/>
  <c r="FF58" i="80"/>
  <c r="Z199" i="79"/>
  <c r="AX89" i="80"/>
  <c r="FF141" i="79"/>
  <c r="AH241" i="80"/>
  <c r="EP194" i="79"/>
  <c r="DZ278" i="80"/>
  <c r="EH241" i="80"/>
  <c r="Z211" i="80"/>
  <c r="DZ195" i="80"/>
  <c r="BF226" i="79"/>
  <c r="DZ194" i="79"/>
  <c r="EX194" i="79"/>
  <c r="DB194" i="79"/>
  <c r="BV270" i="80"/>
  <c r="DJ270" i="79"/>
  <c r="FN270" i="79"/>
  <c r="AP270" i="79"/>
  <c r="L16" i="171"/>
  <c r="Z309" i="80"/>
  <c r="FF250" i="79"/>
  <c r="DZ231" i="79"/>
  <c r="N16" i="171"/>
  <c r="J16" i="171" s="1"/>
  <c r="J292" i="80" s="1"/>
  <c r="M16" i="171"/>
  <c r="I16" i="171" s="1"/>
  <c r="I292" i="79" s="1"/>
  <c r="R307" i="79"/>
  <c r="BV142" i="79"/>
  <c r="BF241" i="80"/>
  <c r="EH241" i="79"/>
  <c r="BN226" i="79"/>
  <c r="R278" i="80"/>
  <c r="FF278" i="80"/>
  <c r="BV277" i="80"/>
  <c r="Z277" i="80"/>
  <c r="BN277" i="80"/>
  <c r="AX277" i="80"/>
  <c r="BF176" i="79"/>
  <c r="CL247" i="79"/>
  <c r="DJ195" i="79"/>
  <c r="CT226" i="79"/>
  <c r="DJ226" i="79"/>
  <c r="AH245" i="79"/>
  <c r="FN278" i="79"/>
  <c r="EX277" i="80"/>
  <c r="DR277" i="80"/>
  <c r="DH307" i="79"/>
  <c r="DI307" i="79"/>
  <c r="AN296" i="80"/>
  <c r="EG296" i="80"/>
  <c r="EU313" i="80"/>
  <c r="X296" i="80"/>
  <c r="DA296" i="80"/>
  <c r="AW296" i="80"/>
  <c r="AF296" i="80"/>
  <c r="DI296" i="80"/>
  <c r="CS307" i="79"/>
  <c r="CR307" i="79"/>
  <c r="DQ296" i="80"/>
  <c r="BU307" i="79"/>
  <c r="BT307" i="79"/>
  <c r="EO296" i="80"/>
  <c r="DP296" i="80"/>
  <c r="FD296" i="80"/>
  <c r="W313" i="80"/>
  <c r="EN296" i="80"/>
  <c r="BL296" i="80"/>
  <c r="CQ313" i="79"/>
  <c r="CB296" i="80"/>
  <c r="Q296" i="80"/>
  <c r="FM296" i="80"/>
  <c r="AG307" i="79"/>
  <c r="AF307" i="79"/>
  <c r="EF296" i="80"/>
  <c r="Y296" i="80"/>
  <c r="CY313" i="80"/>
  <c r="DY296" i="80"/>
  <c r="BN296" i="79"/>
  <c r="FL296" i="80"/>
  <c r="P296" i="80"/>
  <c r="FL307" i="79"/>
  <c r="FM307" i="79"/>
  <c r="BD307" i="79"/>
  <c r="BE307" i="79"/>
  <c r="BD296" i="80"/>
  <c r="AV307" i="79"/>
  <c r="AW307" i="79"/>
  <c r="CZ296" i="80"/>
  <c r="BU296" i="80"/>
  <c r="DG313" i="79"/>
  <c r="AG296" i="80"/>
  <c r="AO296" i="80"/>
  <c r="EW307" i="79"/>
  <c r="EV307" i="79"/>
  <c r="BM296" i="80"/>
  <c r="BE296" i="80"/>
  <c r="CJ296" i="80"/>
  <c r="Y307" i="79"/>
  <c r="X307" i="79"/>
  <c r="CK296" i="80"/>
  <c r="AV296" i="80"/>
  <c r="DQ307" i="79"/>
  <c r="DP307" i="79"/>
  <c r="BT296" i="80"/>
  <c r="EW296" i="80"/>
  <c r="CK307" i="79"/>
  <c r="CJ307" i="79"/>
  <c r="CC296" i="80"/>
  <c r="EV296" i="80"/>
  <c r="FE296" i="80"/>
  <c r="DX296" i="80"/>
  <c r="BL307" i="79"/>
  <c r="BM307" i="79"/>
  <c r="AN305" i="80"/>
  <c r="EW309" i="79"/>
  <c r="EV309" i="79"/>
  <c r="CJ309" i="79"/>
  <c r="CK309" i="79"/>
  <c r="CI313" i="79"/>
  <c r="DY309" i="79"/>
  <c r="DW313" i="79"/>
  <c r="DX309" i="79"/>
  <c r="DP309" i="79"/>
  <c r="DQ309" i="79"/>
  <c r="BM309" i="79"/>
  <c r="BL309" i="79"/>
  <c r="BK313" i="79"/>
  <c r="BS313" i="79"/>
  <c r="BT309" i="79"/>
  <c r="BU309" i="79"/>
  <c r="CB309" i="79"/>
  <c r="CC309" i="79"/>
  <c r="CA313" i="79"/>
  <c r="EN309" i="79"/>
  <c r="EO309" i="79"/>
  <c r="AN309" i="79"/>
  <c r="AO309" i="79"/>
  <c r="EF309" i="79"/>
  <c r="EG309" i="79"/>
  <c r="AG309" i="79"/>
  <c r="AF309" i="79"/>
  <c r="Y309" i="79"/>
  <c r="X309" i="79"/>
  <c r="EU313" i="79"/>
  <c r="FK313" i="79"/>
  <c r="FM309" i="79"/>
  <c r="FL309" i="79"/>
  <c r="AW309" i="79"/>
  <c r="AV309" i="79"/>
  <c r="CR309" i="79"/>
  <c r="CS309" i="79"/>
  <c r="DO313" i="79"/>
  <c r="CY313" i="79"/>
  <c r="DA309" i="79"/>
  <c r="CZ309" i="79"/>
  <c r="Q309" i="79"/>
  <c r="P309" i="79"/>
  <c r="FE309" i="79"/>
  <c r="FC313" i="79"/>
  <c r="FD309" i="79"/>
  <c r="W313" i="79"/>
  <c r="AH23" i="80"/>
  <c r="AH399" i="80" s="1"/>
  <c r="BV70" i="80"/>
  <c r="CL89" i="80"/>
  <c r="BN70" i="80"/>
  <c r="DZ241" i="80"/>
  <c r="CL241" i="80"/>
  <c r="EP241" i="80"/>
  <c r="BV226" i="79"/>
  <c r="CT278" i="80"/>
  <c r="BN277" i="79"/>
  <c r="FN278" i="80"/>
  <c r="EP23" i="80"/>
  <c r="EP399" i="80" s="1"/>
  <c r="DJ211" i="80"/>
  <c r="FF67" i="79"/>
  <c r="AH278" i="80"/>
  <c r="EH270" i="79"/>
  <c r="AH211" i="80"/>
  <c r="CL241" i="79"/>
  <c r="Z241" i="79"/>
  <c r="EH232" i="79"/>
  <c r="DZ270" i="79"/>
  <c r="Z278" i="80"/>
  <c r="EX58" i="80"/>
  <c r="AE283" i="80"/>
  <c r="AE328" i="80" s="1"/>
  <c r="DB277" i="79"/>
  <c r="CI281" i="80"/>
  <c r="CI283" i="80" s="1"/>
  <c r="CI328" i="80" s="1"/>
  <c r="DI270" i="80"/>
  <c r="DJ270" i="80" s="1"/>
  <c r="AV270" i="80"/>
  <c r="BD270" i="80"/>
  <c r="BF270" i="80" s="1"/>
  <c r="FM270" i="80"/>
  <c r="DY270" i="80"/>
  <c r="EG270" i="80"/>
  <c r="CB270" i="80"/>
  <c r="AX278" i="80"/>
  <c r="CD278" i="80"/>
  <c r="Q270" i="80"/>
  <c r="EF270" i="80"/>
  <c r="EN270" i="80"/>
  <c r="EP270" i="80" s="1"/>
  <c r="CS270" i="80"/>
  <c r="CT270" i="80" s="1"/>
  <c r="Y270" i="80"/>
  <c r="CZ270" i="80"/>
  <c r="X270" i="80"/>
  <c r="FC283" i="80"/>
  <c r="FC328" i="80" s="1"/>
  <c r="AO270" i="80"/>
  <c r="P270" i="80"/>
  <c r="DX270" i="80"/>
  <c r="FK281" i="80"/>
  <c r="FK283" i="80" s="1"/>
  <c r="FK328" i="80" s="1"/>
  <c r="AW270" i="80"/>
  <c r="EW270" i="80"/>
  <c r="EX270" i="80" s="1"/>
  <c r="FL270" i="80"/>
  <c r="DP270" i="80"/>
  <c r="DO281" i="80"/>
  <c r="DO283" i="80" s="1"/>
  <c r="DO328" i="80" s="1"/>
  <c r="BL270" i="80"/>
  <c r="BN270" i="80" s="1"/>
  <c r="CJ270" i="80"/>
  <c r="CL270" i="80" s="1"/>
  <c r="DA270" i="80"/>
  <c r="FD270" i="80"/>
  <c r="EM281" i="80"/>
  <c r="EM283" i="80" s="1"/>
  <c r="EM328" i="80" s="1"/>
  <c r="FC283" i="79"/>
  <c r="FC328" i="79" s="1"/>
  <c r="CY283" i="79"/>
  <c r="CY328" i="79" s="1"/>
  <c r="AG270" i="80"/>
  <c r="AH270" i="80" s="1"/>
  <c r="DQ270" i="80"/>
  <c r="CL278" i="80"/>
  <c r="EU283" i="79"/>
  <c r="EU328" i="79" s="1"/>
  <c r="BS283" i="80"/>
  <c r="BS328" i="80" s="1"/>
  <c r="BV278" i="80"/>
  <c r="EH278" i="80"/>
  <c r="BF278" i="80"/>
  <c r="EU283" i="80"/>
  <c r="EU328" i="80" s="1"/>
  <c r="AH276" i="79"/>
  <c r="AX241" i="80"/>
  <c r="BN193" i="80"/>
  <c r="P211" i="79"/>
  <c r="BT211" i="79"/>
  <c r="BT199" i="79"/>
  <c r="BV199" i="79" s="1"/>
  <c r="CR194" i="80"/>
  <c r="BE211" i="79"/>
  <c r="AE235" i="79"/>
  <c r="Y211" i="79"/>
  <c r="BD211" i="79"/>
  <c r="X211" i="79"/>
  <c r="CS211" i="79"/>
  <c r="DI211" i="79"/>
  <c r="FK215" i="80"/>
  <c r="Q211" i="79"/>
  <c r="BL211" i="79"/>
  <c r="DJ194" i="79"/>
  <c r="EN211" i="79"/>
  <c r="DA211" i="79"/>
  <c r="FF69" i="80"/>
  <c r="BN182" i="80"/>
  <c r="DR141" i="79"/>
  <c r="DB23" i="80"/>
  <c r="DB399" i="80" s="1"/>
  <c r="CT69" i="80"/>
  <c r="EF226" i="80"/>
  <c r="CB226" i="80"/>
  <c r="EG226" i="80"/>
  <c r="EO226" i="80"/>
  <c r="CJ226" i="80"/>
  <c r="CL226" i="80" s="1"/>
  <c r="DX226" i="80"/>
  <c r="BD226" i="80"/>
  <c r="CS194" i="80"/>
  <c r="FL226" i="80"/>
  <c r="CC226" i="80"/>
  <c r="DI194" i="80"/>
  <c r="DA194" i="80"/>
  <c r="CR195" i="79"/>
  <c r="CS195" i="79"/>
  <c r="DP226" i="80"/>
  <c r="DQ226" i="80"/>
  <c r="DP194" i="80"/>
  <c r="AV226" i="80"/>
  <c r="BT226" i="80"/>
  <c r="BM194" i="80"/>
  <c r="DQ194" i="80"/>
  <c r="BC235" i="80"/>
  <c r="CK250" i="80"/>
  <c r="DJ241" i="80"/>
  <c r="DY226" i="80"/>
  <c r="BL194" i="80"/>
  <c r="CL211" i="79"/>
  <c r="DZ176" i="80"/>
  <c r="BU226" i="80"/>
  <c r="AW226" i="80"/>
  <c r="EF194" i="80"/>
  <c r="CR226" i="80"/>
  <c r="FM226" i="80"/>
  <c r="X194" i="80"/>
  <c r="AN195" i="80"/>
  <c r="AO195" i="80"/>
  <c r="FL195" i="80"/>
  <c r="FM195" i="80"/>
  <c r="Y250" i="80"/>
  <c r="Z250" i="80" s="1"/>
  <c r="DH250" i="80"/>
  <c r="DJ250" i="80" s="1"/>
  <c r="CZ194" i="80"/>
  <c r="FM194" i="80"/>
  <c r="FN194" i="80" s="1"/>
  <c r="FE250" i="80"/>
  <c r="CS250" i="80"/>
  <c r="FF199" i="80"/>
  <c r="DI195" i="80"/>
  <c r="DH195" i="80"/>
  <c r="BL195" i="80"/>
  <c r="BM195" i="80"/>
  <c r="CB182" i="80"/>
  <c r="Y182" i="80"/>
  <c r="CC182" i="80"/>
  <c r="DY182" i="80"/>
  <c r="DZ182" i="80" s="1"/>
  <c r="EW182" i="80"/>
  <c r="EX182" i="80" s="1"/>
  <c r="EG182" i="80"/>
  <c r="AW180" i="79"/>
  <c r="AV180" i="79"/>
  <c r="BL211" i="80"/>
  <c r="BM211" i="80"/>
  <c r="CZ185" i="79"/>
  <c r="Q185" i="79"/>
  <c r="R185" i="79" s="1"/>
  <c r="CB245" i="79"/>
  <c r="CD245" i="79" s="1"/>
  <c r="BL250" i="80"/>
  <c r="BN250" i="80" s="1"/>
  <c r="EN226" i="80"/>
  <c r="CK194" i="80"/>
  <c r="CJ194" i="80"/>
  <c r="EG194" i="80"/>
  <c r="BU250" i="80"/>
  <c r="FM250" i="80"/>
  <c r="FN250" i="80" s="1"/>
  <c r="EX199" i="80"/>
  <c r="EG195" i="80"/>
  <c r="EF195" i="80"/>
  <c r="CZ195" i="80"/>
  <c r="DA195" i="80"/>
  <c r="FD211" i="80"/>
  <c r="FE211" i="80"/>
  <c r="CK211" i="80"/>
  <c r="CL211" i="80" s="1"/>
  <c r="EF250" i="80"/>
  <c r="EH250" i="80" s="1"/>
  <c r="EF176" i="80"/>
  <c r="EH176" i="80" s="1"/>
  <c r="EO194" i="80"/>
  <c r="DY250" i="80"/>
  <c r="CJ250" i="80"/>
  <c r="AX231" i="79"/>
  <c r="Q195" i="80"/>
  <c r="P195" i="80"/>
  <c r="Q182" i="80"/>
  <c r="AN182" i="80"/>
  <c r="AG182" i="80"/>
  <c r="CK182" i="80"/>
  <c r="CL182" i="80" s="1"/>
  <c r="AO182" i="80"/>
  <c r="DP211" i="79"/>
  <c r="BU211" i="79"/>
  <c r="FM211" i="79"/>
  <c r="EV211" i="79"/>
  <c r="BE211" i="80"/>
  <c r="BF211" i="80" s="1"/>
  <c r="BC215" i="80"/>
  <c r="AU215" i="80"/>
  <c r="AW211" i="80"/>
  <c r="AX211" i="80" s="1"/>
  <c r="AW249" i="79"/>
  <c r="AX249" i="79" s="1"/>
  <c r="AN249" i="79"/>
  <c r="CR250" i="80"/>
  <c r="DO215" i="79"/>
  <c r="EN250" i="80"/>
  <c r="EP250" i="80" s="1"/>
  <c r="P250" i="80"/>
  <c r="Q250" i="80"/>
  <c r="EN195" i="80"/>
  <c r="EO195" i="80"/>
  <c r="CJ195" i="80"/>
  <c r="CK195" i="80"/>
  <c r="Y195" i="80"/>
  <c r="X195" i="80"/>
  <c r="BT182" i="80"/>
  <c r="EF182" i="80"/>
  <c r="FD182" i="80"/>
  <c r="FF182" i="80" s="1"/>
  <c r="BE182" i="80"/>
  <c r="DY211" i="79"/>
  <c r="AV211" i="79"/>
  <c r="BM211" i="79"/>
  <c r="AO211" i="80"/>
  <c r="AP211" i="80" s="1"/>
  <c r="AM215" i="80"/>
  <c r="W215" i="80"/>
  <c r="BM180" i="79"/>
  <c r="BN180" i="79" s="1"/>
  <c r="BT250" i="80"/>
  <c r="AV250" i="80"/>
  <c r="CB195" i="80"/>
  <c r="CC195" i="80"/>
  <c r="BU195" i="80"/>
  <c r="BT195" i="80"/>
  <c r="AW195" i="80"/>
  <c r="AV195" i="80"/>
  <c r="CZ182" i="80"/>
  <c r="BD182" i="80"/>
  <c r="DH182" i="80"/>
  <c r="DJ182" i="80" s="1"/>
  <c r="CC211" i="79"/>
  <c r="DX211" i="79"/>
  <c r="AW211" i="79"/>
  <c r="DH211" i="79"/>
  <c r="EO211" i="79"/>
  <c r="CZ211" i="79"/>
  <c r="CB211" i="79"/>
  <c r="AF211" i="79"/>
  <c r="AH211" i="79" s="1"/>
  <c r="AN211" i="79"/>
  <c r="CR211" i="79"/>
  <c r="EW211" i="79"/>
  <c r="BS215" i="80"/>
  <c r="BU211" i="80"/>
  <c r="BV211" i="80" s="1"/>
  <c r="EE215" i="80"/>
  <c r="DG235" i="80"/>
  <c r="AN250" i="80"/>
  <c r="AP250" i="80" s="1"/>
  <c r="EE235" i="80"/>
  <c r="AF250" i="80"/>
  <c r="DX250" i="80"/>
  <c r="CL199" i="79"/>
  <c r="EW195" i="80"/>
  <c r="EV195" i="80"/>
  <c r="DP195" i="80"/>
  <c r="DQ195" i="80"/>
  <c r="BN241" i="80"/>
  <c r="CS182" i="80"/>
  <c r="CT182" i="80" s="1"/>
  <c r="X182" i="80"/>
  <c r="AF182" i="80"/>
  <c r="AO211" i="79"/>
  <c r="FE211" i="79"/>
  <c r="DQ211" i="79"/>
  <c r="EN182" i="80"/>
  <c r="DP211" i="80"/>
  <c r="DQ211" i="80"/>
  <c r="DO215" i="80"/>
  <c r="EU215" i="80"/>
  <c r="EW211" i="80"/>
  <c r="EX211" i="80" s="1"/>
  <c r="AE235" i="80"/>
  <c r="AU215" i="79"/>
  <c r="EV250" i="80"/>
  <c r="EX250" i="80" s="1"/>
  <c r="AW250" i="80"/>
  <c r="FL182" i="80"/>
  <c r="FN182" i="80" s="1"/>
  <c r="CR195" i="80"/>
  <c r="CS195" i="80"/>
  <c r="AG195" i="80"/>
  <c r="AF195" i="80"/>
  <c r="AW182" i="80"/>
  <c r="AX182" i="80" s="1"/>
  <c r="EO182" i="80"/>
  <c r="DP182" i="80"/>
  <c r="DQ182" i="80"/>
  <c r="BU182" i="80"/>
  <c r="EF211" i="79"/>
  <c r="EH211" i="79" s="1"/>
  <c r="FL211" i="79"/>
  <c r="FD211" i="79"/>
  <c r="EN211" i="80"/>
  <c r="EM215" i="80"/>
  <c r="EO211" i="80"/>
  <c r="DX211" i="80"/>
  <c r="DY211" i="80"/>
  <c r="P182" i="80"/>
  <c r="EX23" i="80"/>
  <c r="EX399" i="80" s="1"/>
  <c r="DB89" i="80"/>
  <c r="DZ141" i="79"/>
  <c r="FN141" i="79"/>
  <c r="BU373" i="80"/>
  <c r="FF67" i="80"/>
  <c r="EH89" i="80"/>
  <c r="DZ199" i="80"/>
  <c r="BN23" i="80"/>
  <c r="BN399" i="80" s="1"/>
  <c r="DJ23" i="80"/>
  <c r="DJ399" i="80" s="1"/>
  <c r="EH69" i="80"/>
  <c r="CT67" i="80"/>
  <c r="R67" i="79"/>
  <c r="AG70" i="80"/>
  <c r="EM60" i="80"/>
  <c r="DW60" i="80"/>
  <c r="W16" i="79"/>
  <c r="CQ60" i="80"/>
  <c r="FK60" i="80"/>
  <c r="DX139" i="79"/>
  <c r="BU114" i="80"/>
  <c r="BV114" i="80" s="1"/>
  <c r="FM115" i="80"/>
  <c r="FN115" i="80" s="1"/>
  <c r="CC114" i="80"/>
  <c r="CB114" i="80"/>
  <c r="FD69" i="79"/>
  <c r="FF69" i="79" s="1"/>
  <c r="CR58" i="80"/>
  <c r="CT58" i="80" s="1"/>
  <c r="BM114" i="80"/>
  <c r="EN114" i="80"/>
  <c r="EP114" i="80" s="1"/>
  <c r="DI114" i="80"/>
  <c r="DJ114" i="80" s="1"/>
  <c r="DW143" i="79"/>
  <c r="DA114" i="80"/>
  <c r="CS114" i="80"/>
  <c r="AF70" i="80"/>
  <c r="FD114" i="80"/>
  <c r="CI63" i="79"/>
  <c r="BC60" i="80"/>
  <c r="AU60" i="80"/>
  <c r="EU68" i="79"/>
  <c r="EG114" i="80"/>
  <c r="DJ114" i="79"/>
  <c r="AG114" i="80"/>
  <c r="DQ99" i="79"/>
  <c r="DR99" i="79" s="1"/>
  <c r="EG70" i="79"/>
  <c r="EH70" i="79" s="1"/>
  <c r="DX114" i="80"/>
  <c r="DZ114" i="80" s="1"/>
  <c r="Q114" i="80"/>
  <c r="P114" i="80"/>
  <c r="EX141" i="79"/>
  <c r="AN114" i="80"/>
  <c r="FE114" i="80"/>
  <c r="CI60" i="80"/>
  <c r="AF114" i="80"/>
  <c r="AO58" i="80"/>
  <c r="AP58" i="80" s="1"/>
  <c r="CR99" i="79"/>
  <c r="CT99" i="79" s="1"/>
  <c r="AO114" i="80"/>
  <c r="BL114" i="80"/>
  <c r="CR114" i="80"/>
  <c r="FM114" i="80"/>
  <c r="DQ114" i="80"/>
  <c r="CR67" i="79"/>
  <c r="CT67" i="79" s="1"/>
  <c r="EU60" i="80"/>
  <c r="DG60" i="80"/>
  <c r="CA71" i="79"/>
  <c r="EN89" i="80"/>
  <c r="EP89" i="80" s="1"/>
  <c r="CD89" i="80"/>
  <c r="BM67" i="80"/>
  <c r="BN67" i="80" s="1"/>
  <c r="BE114" i="80"/>
  <c r="FL114" i="80"/>
  <c r="CK114" i="80"/>
  <c r="BK60" i="80"/>
  <c r="CQ63" i="79"/>
  <c r="AM60" i="80"/>
  <c r="DO60" i="80"/>
  <c r="X69" i="79"/>
  <c r="Z69" i="79" s="1"/>
  <c r="DX58" i="80"/>
  <c r="DZ58" i="80" s="1"/>
  <c r="DA67" i="80"/>
  <c r="DB67" i="80" s="1"/>
  <c r="DP114" i="80"/>
  <c r="EW114" i="80"/>
  <c r="CY60" i="80"/>
  <c r="O60" i="80"/>
  <c r="Q276" i="80"/>
  <c r="DQ58" i="80"/>
  <c r="DR58" i="80" s="1"/>
  <c r="DP114" i="79"/>
  <c r="DR114" i="79" s="1"/>
  <c r="AG69" i="80"/>
  <c r="AH69" i="80" s="1"/>
  <c r="EX70" i="79"/>
  <c r="AV114" i="80"/>
  <c r="AX114" i="80" s="1"/>
  <c r="AH89" i="80"/>
  <c r="FN89" i="80"/>
  <c r="CZ114" i="80"/>
  <c r="BS60" i="80"/>
  <c r="AE60" i="80"/>
  <c r="CC276" i="80"/>
  <c r="EF114" i="80"/>
  <c r="Y114" i="80"/>
  <c r="Z114" i="80" s="1"/>
  <c r="BD114" i="80"/>
  <c r="AP141" i="79"/>
  <c r="I111" i="112"/>
  <c r="J111" i="112" s="1"/>
  <c r="EX67" i="80"/>
  <c r="CY90" i="80"/>
  <c r="AX141" i="79"/>
  <c r="BM69" i="79"/>
  <c r="BN69" i="79" s="1"/>
  <c r="AF69" i="79"/>
  <c r="AH69" i="79" s="1"/>
  <c r="AM143" i="79"/>
  <c r="R69" i="80"/>
  <c r="BN141" i="79"/>
  <c r="AO87" i="79"/>
  <c r="CC99" i="79"/>
  <c r="CD99" i="79" s="1"/>
  <c r="BT58" i="79"/>
  <c r="DY123" i="80"/>
  <c r="EV99" i="79"/>
  <c r="EX99" i="79" s="1"/>
  <c r="AG58" i="80"/>
  <c r="AH58" i="80" s="1"/>
  <c r="DI67" i="80"/>
  <c r="DJ67" i="80" s="1"/>
  <c r="AO58" i="79"/>
  <c r="Z141" i="79"/>
  <c r="AP176" i="79"/>
  <c r="EX199" i="79"/>
  <c r="BE70" i="80"/>
  <c r="BF70" i="80" s="1"/>
  <c r="R67" i="80"/>
  <c r="CL23" i="80"/>
  <c r="CL399" i="80" s="1"/>
  <c r="DI58" i="80"/>
  <c r="DJ58" i="80" s="1"/>
  <c r="DA114" i="79"/>
  <c r="DB114" i="79" s="1"/>
  <c r="CT89" i="80"/>
  <c r="DA59" i="80"/>
  <c r="FC143" i="79"/>
  <c r="BV89" i="79"/>
  <c r="DR89" i="80"/>
  <c r="CT141" i="79"/>
  <c r="CL67" i="80"/>
  <c r="BS63" i="79"/>
  <c r="DW63" i="79"/>
  <c r="AH67" i="80"/>
  <c r="FM67" i="80"/>
  <c r="FN67" i="80" s="1"/>
  <c r="AV70" i="80"/>
  <c r="AW70" i="80"/>
  <c r="EM63" i="79"/>
  <c r="AE63" i="79"/>
  <c r="EG67" i="80"/>
  <c r="EH67" i="80" s="1"/>
  <c r="DH70" i="80"/>
  <c r="DI70" i="80"/>
  <c r="EV70" i="80"/>
  <c r="EW70" i="80"/>
  <c r="DX70" i="80"/>
  <c r="DY70" i="80"/>
  <c r="AN70" i="80"/>
  <c r="AO70" i="80"/>
  <c r="EE63" i="79"/>
  <c r="DQ70" i="80"/>
  <c r="DP70" i="80"/>
  <c r="Y59" i="80"/>
  <c r="CA63" i="79"/>
  <c r="AN59" i="80"/>
  <c r="AP59" i="80" s="1"/>
  <c r="EW59" i="80"/>
  <c r="DI59" i="80"/>
  <c r="BL59" i="80"/>
  <c r="O63" i="79"/>
  <c r="W63" i="79"/>
  <c r="DG63" i="79"/>
  <c r="EO59" i="80"/>
  <c r="FL69" i="79"/>
  <c r="FN69" i="79" s="1"/>
  <c r="DB69" i="80"/>
  <c r="Q70" i="80"/>
  <c r="P70" i="80"/>
  <c r="AM63" i="79"/>
  <c r="CY63" i="79"/>
  <c r="EU63" i="79"/>
  <c r="CK59" i="80"/>
  <c r="CS59" i="80"/>
  <c r="DY67" i="80"/>
  <c r="DZ67" i="80" s="1"/>
  <c r="Y70" i="80"/>
  <c r="X70" i="80"/>
  <c r="CB70" i="80"/>
  <c r="CC70" i="80"/>
  <c r="CC69" i="79"/>
  <c r="CD69" i="79" s="1"/>
  <c r="DY59" i="80"/>
  <c r="EN67" i="80"/>
  <c r="EP67" i="80" s="1"/>
  <c r="FD70" i="80"/>
  <c r="FE70" i="80"/>
  <c r="FM70" i="80"/>
  <c r="FL70" i="80"/>
  <c r="EH70" i="80"/>
  <c r="BE140" i="79"/>
  <c r="CD67" i="80"/>
  <c r="EP70" i="80"/>
  <c r="FM70" i="79"/>
  <c r="FN70" i="79" s="1"/>
  <c r="DB141" i="79"/>
  <c r="BK143" i="79"/>
  <c r="CL141" i="79"/>
  <c r="DW87" i="80"/>
  <c r="BS71" i="79"/>
  <c r="AU108" i="79"/>
  <c r="CR69" i="79"/>
  <c r="CT69" i="79" s="1"/>
  <c r="AU90" i="80"/>
  <c r="FE87" i="79"/>
  <c r="R141" i="79"/>
  <c r="CA143" i="79"/>
  <c r="DR67" i="79"/>
  <c r="DQ69" i="79"/>
  <c r="DR69" i="79" s="1"/>
  <c r="CC87" i="79"/>
  <c r="BV141" i="79"/>
  <c r="AH67" i="79"/>
  <c r="EV114" i="80"/>
  <c r="CJ114" i="80"/>
  <c r="I32" i="100"/>
  <c r="H32" i="100"/>
  <c r="EO23" i="79"/>
  <c r="EO399" i="79" s="1"/>
  <c r="DX69" i="79"/>
  <c r="DZ69" i="79" s="1"/>
  <c r="EX89" i="80"/>
  <c r="DP115" i="79"/>
  <c r="DR115" i="79" s="1"/>
  <c r="AW142" i="80"/>
  <c r="R114" i="79"/>
  <c r="AX114" i="79"/>
  <c r="FL89" i="79"/>
  <c r="FN89" i="79" s="1"/>
  <c r="AE57" i="80"/>
  <c r="DW17" i="80"/>
  <c r="BL142" i="80"/>
  <c r="EP142" i="79"/>
  <c r="FM23" i="79"/>
  <c r="FM399" i="79" s="1"/>
  <c r="DZ23" i="80"/>
  <c r="DZ399" i="80" s="1"/>
  <c r="CC142" i="80"/>
  <c r="CY62" i="80"/>
  <c r="FE140" i="79"/>
  <c r="W108" i="79"/>
  <c r="CJ115" i="80"/>
  <c r="CL115" i="80" s="1"/>
  <c r="BT114" i="79"/>
  <c r="BV114" i="79" s="1"/>
  <c r="FD23" i="79"/>
  <c r="FD399" i="79" s="1"/>
  <c r="DH23" i="79"/>
  <c r="DH399" i="79" s="1"/>
  <c r="CI17" i="80"/>
  <c r="CI411" i="80" s="1"/>
  <c r="EE108" i="79"/>
  <c r="CZ89" i="79"/>
  <c r="DB89" i="79" s="1"/>
  <c r="W17" i="80"/>
  <c r="W411" i="80" s="1"/>
  <c r="FC108" i="79"/>
  <c r="FE108" i="79" s="1"/>
  <c r="DJ115" i="79"/>
  <c r="AF114" i="79"/>
  <c r="AH114" i="79" s="1"/>
  <c r="CK23" i="79"/>
  <c r="CK399" i="79" s="1"/>
  <c r="EH141" i="79"/>
  <c r="O143" i="79"/>
  <c r="DA69" i="79"/>
  <c r="DB69" i="79" s="1"/>
  <c r="DI69" i="79"/>
  <c r="DJ69" i="79" s="1"/>
  <c r="BU69" i="80"/>
  <c r="BT69" i="80"/>
  <c r="O16" i="79"/>
  <c r="EG140" i="79"/>
  <c r="AG115" i="79"/>
  <c r="AH115" i="79" s="1"/>
  <c r="EV69" i="79"/>
  <c r="EX69" i="79" s="1"/>
  <c r="BT23" i="79"/>
  <c r="BT399" i="79" s="1"/>
  <c r="EP141" i="79"/>
  <c r="BT59" i="80"/>
  <c r="EN69" i="80"/>
  <c r="EO69" i="80"/>
  <c r="AN69" i="80"/>
  <c r="AO69" i="80"/>
  <c r="DI69" i="80"/>
  <c r="DH69" i="80"/>
  <c r="EU16" i="79"/>
  <c r="BE114" i="79"/>
  <c r="BF114" i="79" s="1"/>
  <c r="BE89" i="79"/>
  <c r="BD89" i="79"/>
  <c r="AV69" i="80"/>
  <c r="AW69" i="80"/>
  <c r="CZ70" i="79"/>
  <c r="DB70" i="79" s="1"/>
  <c r="CB69" i="80"/>
  <c r="CC69" i="80"/>
  <c r="BE69" i="80"/>
  <c r="BD69" i="80"/>
  <c r="AG99" i="79"/>
  <c r="AH99" i="79" s="1"/>
  <c r="DY69" i="80"/>
  <c r="DX69" i="80"/>
  <c r="CJ69" i="80"/>
  <c r="CK69" i="80"/>
  <c r="BL69" i="80"/>
  <c r="BM69" i="80"/>
  <c r="BM59" i="80"/>
  <c r="DZ99" i="79"/>
  <c r="BU23" i="79"/>
  <c r="BU399" i="79" s="1"/>
  <c r="FM69" i="80"/>
  <c r="FL69" i="80"/>
  <c r="Z23" i="80"/>
  <c r="Z399" i="80" s="1"/>
  <c r="FN114" i="79"/>
  <c r="CD58" i="80"/>
  <c r="BD23" i="79"/>
  <c r="BD399" i="79" s="1"/>
  <c r="K390" i="80"/>
  <c r="DW143" i="80"/>
  <c r="BF67" i="80"/>
  <c r="AO142" i="80"/>
  <c r="DR89" i="79"/>
  <c r="DP69" i="80"/>
  <c r="DQ69" i="80"/>
  <c r="H68" i="79"/>
  <c r="EN59" i="80"/>
  <c r="G294" i="79"/>
  <c r="EE294" i="79" s="1"/>
  <c r="CA17" i="80"/>
  <c r="DO106" i="79"/>
  <c r="EU106" i="79"/>
  <c r="EV106" i="79" s="1"/>
  <c r="EF59" i="80"/>
  <c r="AU96" i="80"/>
  <c r="AV96" i="80" s="1"/>
  <c r="J124" i="79"/>
  <c r="BD59" i="80"/>
  <c r="J59" i="80"/>
  <c r="Z115" i="79"/>
  <c r="BF142" i="79"/>
  <c r="FN58" i="80"/>
  <c r="Z58" i="80"/>
  <c r="FF99" i="79"/>
  <c r="R89" i="80"/>
  <c r="BN89" i="80"/>
  <c r="I109" i="80"/>
  <c r="CJ59" i="80"/>
  <c r="H59" i="79"/>
  <c r="BT59" i="79" s="1"/>
  <c r="E74" i="117"/>
  <c r="CY106" i="79"/>
  <c r="FK106" i="79"/>
  <c r="BS17" i="80"/>
  <c r="BS411" i="80" s="1"/>
  <c r="BK16" i="79"/>
  <c r="BL16" i="79" s="1"/>
  <c r="EV59" i="80"/>
  <c r="J124" i="80"/>
  <c r="DJ142" i="79"/>
  <c r="CL58" i="80"/>
  <c r="BF141" i="79"/>
  <c r="DG106" i="79"/>
  <c r="EE297" i="80"/>
  <c r="P59" i="80"/>
  <c r="G91" i="85"/>
  <c r="I46" i="90" s="1"/>
  <c r="AE106" i="79"/>
  <c r="EE106" i="79"/>
  <c r="O17" i="80"/>
  <c r="G410" i="79"/>
  <c r="H90" i="80"/>
  <c r="BL90" i="80" s="1"/>
  <c r="DX59" i="80"/>
  <c r="H59" i="85"/>
  <c r="J25" i="90" s="1"/>
  <c r="G43" i="80"/>
  <c r="G388" i="80" s="1"/>
  <c r="X59" i="80"/>
  <c r="G92" i="80"/>
  <c r="G92" i="79"/>
  <c r="Z114" i="79"/>
  <c r="G91" i="79"/>
  <c r="CR59" i="80"/>
  <c r="G58" i="119"/>
  <c r="AE104" i="79"/>
  <c r="W106" i="79"/>
  <c r="AU17" i="80"/>
  <c r="AU411" i="80" s="1"/>
  <c r="DO16" i="79"/>
  <c r="H90" i="79"/>
  <c r="AF59" i="80"/>
  <c r="CD23" i="80"/>
  <c r="CD399" i="80" s="1"/>
  <c r="CZ59" i="80"/>
  <c r="FD59" i="80"/>
  <c r="J59" i="79"/>
  <c r="CD142" i="79"/>
  <c r="G92" i="85"/>
  <c r="I47" i="90" s="1"/>
  <c r="W59" i="79"/>
  <c r="CQ59" i="79"/>
  <c r="G45" i="85"/>
  <c r="I19" i="90" s="1"/>
  <c r="BC104" i="79"/>
  <c r="CA106" i="79"/>
  <c r="DP59" i="80"/>
  <c r="DR59" i="80" s="1"/>
  <c r="DZ99" i="80"/>
  <c r="D31" i="35"/>
  <c r="D37" i="35" s="1"/>
  <c r="G43" i="85"/>
  <c r="I17" i="90" s="1"/>
  <c r="R23" i="80"/>
  <c r="R399" i="80" s="1"/>
  <c r="EX142" i="79"/>
  <c r="AX23" i="80"/>
  <c r="AX399" i="80" s="1"/>
  <c r="EW373" i="79"/>
  <c r="DJ141" i="79"/>
  <c r="DR23" i="80"/>
  <c r="DR399" i="80" s="1"/>
  <c r="BF69" i="79"/>
  <c r="AX99" i="79"/>
  <c r="Z67" i="80"/>
  <c r="AP142" i="79"/>
  <c r="BF89" i="80"/>
  <c r="DZ89" i="80"/>
  <c r="EW276" i="80"/>
  <c r="DA399" i="80"/>
  <c r="CC372" i="79"/>
  <c r="BM276" i="80"/>
  <c r="BV89" i="80"/>
  <c r="Y276" i="80"/>
  <c r="CK276" i="80"/>
  <c r="FM276" i="80"/>
  <c r="BE276" i="80"/>
  <c r="CS276" i="80"/>
  <c r="DY276" i="80"/>
  <c r="BU276" i="80"/>
  <c r="AP23" i="80"/>
  <c r="AP399" i="80" s="1"/>
  <c r="DQ372" i="79"/>
  <c r="CT142" i="79"/>
  <c r="DI276" i="80"/>
  <c r="EO276" i="80"/>
  <c r="AO276" i="80"/>
  <c r="EG276" i="80"/>
  <c r="AW276" i="80"/>
  <c r="DQ276" i="80"/>
  <c r="EH142" i="79"/>
  <c r="AX58" i="80"/>
  <c r="BN99" i="79"/>
  <c r="AX67" i="80"/>
  <c r="AP89" i="80"/>
  <c r="AP67" i="80"/>
  <c r="CD141" i="79"/>
  <c r="DR67" i="80"/>
  <c r="CL69" i="79"/>
  <c r="EH114" i="79"/>
  <c r="BV67" i="80"/>
  <c r="P17" i="118"/>
  <c r="FF23" i="80"/>
  <c r="FF399" i="80" s="1"/>
  <c r="Z89" i="80"/>
  <c r="CT115" i="79"/>
  <c r="EH58" i="80"/>
  <c r="FF114" i="79"/>
  <c r="CJ58" i="79"/>
  <c r="EF58" i="79"/>
  <c r="CK58" i="79"/>
  <c r="DP58" i="79"/>
  <c r="CS58" i="79"/>
  <c r="DY58" i="79"/>
  <c r="BL58" i="79"/>
  <c r="BD58" i="79"/>
  <c r="CC58" i="79"/>
  <c r="Q58" i="79"/>
  <c r="BE58" i="79"/>
  <c r="DI58" i="79"/>
  <c r="AW58" i="79"/>
  <c r="P58" i="79"/>
  <c r="DX58" i="79"/>
  <c r="CB58" i="79"/>
  <c r="EO58" i="79"/>
  <c r="EV58" i="79"/>
  <c r="EN58" i="79"/>
  <c r="FD58" i="79"/>
  <c r="DH58" i="79"/>
  <c r="EW58" i="79"/>
  <c r="AV58" i="79"/>
  <c r="X58" i="79"/>
  <c r="FE58" i="79"/>
  <c r="DQ58" i="79"/>
  <c r="EG58" i="79"/>
  <c r="CR58" i="79"/>
  <c r="DH67" i="79"/>
  <c r="DI67" i="79"/>
  <c r="AV67" i="79"/>
  <c r="AW67" i="79"/>
  <c r="CB89" i="79"/>
  <c r="CC89" i="79"/>
  <c r="AO89" i="79"/>
  <c r="AN89" i="79"/>
  <c r="BE70" i="79"/>
  <c r="BD70" i="79"/>
  <c r="CQ17" i="80"/>
  <c r="CQ411" i="80" s="1"/>
  <c r="DO17" i="80"/>
  <c r="DO411" i="80" s="1"/>
  <c r="DG68" i="79"/>
  <c r="CY16" i="79"/>
  <c r="CZ16" i="79" s="1"/>
  <c r="CZ410" i="79" s="1"/>
  <c r="AE16" i="79"/>
  <c r="AE61" i="80"/>
  <c r="FK96" i="79"/>
  <c r="FM96" i="79" s="1"/>
  <c r="DG96" i="80"/>
  <c r="CS280" i="80"/>
  <c r="CT280" i="80" s="1"/>
  <c r="AF279" i="79"/>
  <c r="CY71" i="80"/>
  <c r="CI96" i="80"/>
  <c r="CK96" i="80" s="1"/>
  <c r="CK59" i="79"/>
  <c r="FD139" i="80"/>
  <c r="FF139" i="80" s="1"/>
  <c r="AH142" i="79"/>
  <c r="DW108" i="79"/>
  <c r="DY108" i="79" s="1"/>
  <c r="DO108" i="79"/>
  <c r="DQ108" i="79" s="1"/>
  <c r="X142" i="80"/>
  <c r="FD142" i="80"/>
  <c r="CK142" i="80"/>
  <c r="CZ99" i="79"/>
  <c r="DB99" i="79" s="1"/>
  <c r="DX23" i="79"/>
  <c r="CZ23" i="79"/>
  <c r="CZ399" i="79" s="1"/>
  <c r="AO23" i="79"/>
  <c r="AO399" i="79" s="1"/>
  <c r="EV142" i="80"/>
  <c r="BU58" i="79"/>
  <c r="FM58" i="79"/>
  <c r="EO67" i="79"/>
  <c r="EN67" i="79"/>
  <c r="BE67" i="79"/>
  <c r="BD67" i="79"/>
  <c r="EG89" i="79"/>
  <c r="EF89" i="79"/>
  <c r="BM89" i="79"/>
  <c r="BL89" i="79"/>
  <c r="CR142" i="80"/>
  <c r="CJ70" i="79"/>
  <c r="CK70" i="79"/>
  <c r="CB142" i="80"/>
  <c r="FL58" i="79"/>
  <c r="BE59" i="80"/>
  <c r="CI68" i="79"/>
  <c r="AM17" i="80"/>
  <c r="AM411" i="80" s="1"/>
  <c r="BC17" i="80"/>
  <c r="BC411" i="80" s="1"/>
  <c r="DW68" i="79"/>
  <c r="EE153" i="80"/>
  <c r="CQ16" i="79"/>
  <c r="CA16" i="79"/>
  <c r="CA410" i="79" s="1"/>
  <c r="DG96" i="79"/>
  <c r="FC96" i="80"/>
  <c r="EH23" i="80"/>
  <c r="EH399" i="80" s="1"/>
  <c r="O71" i="80"/>
  <c r="EU71" i="80"/>
  <c r="DI99" i="79"/>
  <c r="Y58" i="79"/>
  <c r="AO67" i="79"/>
  <c r="AN67" i="79"/>
  <c r="BT67" i="79"/>
  <c r="BU67" i="79"/>
  <c r="P89" i="79"/>
  <c r="Q89" i="79"/>
  <c r="X89" i="79"/>
  <c r="Y89" i="79"/>
  <c r="Y70" i="79"/>
  <c r="X70" i="79"/>
  <c r="DQ142" i="80"/>
  <c r="EG142" i="80"/>
  <c r="CZ142" i="80"/>
  <c r="AN142" i="80"/>
  <c r="BU142" i="80"/>
  <c r="AG142" i="80"/>
  <c r="DA142" i="80"/>
  <c r="DI142" i="80"/>
  <c r="BD142" i="80"/>
  <c r="DP142" i="80"/>
  <c r="EO142" i="80"/>
  <c r="BE142" i="80"/>
  <c r="DY142" i="80"/>
  <c r="EM17" i="80"/>
  <c r="EM411" i="80" s="1"/>
  <c r="FK16" i="79"/>
  <c r="BS16" i="79"/>
  <c r="BS410" i="79" s="1"/>
  <c r="EM16" i="79"/>
  <c r="FF193" i="80"/>
  <c r="EM96" i="79"/>
  <c r="EO96" i="79" s="1"/>
  <c r="O96" i="80"/>
  <c r="Q96" i="80" s="1"/>
  <c r="AO103" i="80"/>
  <c r="AP103" i="80" s="1"/>
  <c r="FE59" i="80"/>
  <c r="BK96" i="79"/>
  <c r="AP70" i="79"/>
  <c r="FM142" i="80"/>
  <c r="CI108" i="79"/>
  <c r="CK108" i="79" s="1"/>
  <c r="P142" i="80"/>
  <c r="Q142" i="80"/>
  <c r="DY114" i="79"/>
  <c r="DZ114" i="79" s="1"/>
  <c r="DH99" i="79"/>
  <c r="AF23" i="79"/>
  <c r="Y23" i="79"/>
  <c r="Y399" i="79" s="1"/>
  <c r="CJ23" i="79"/>
  <c r="EN89" i="79"/>
  <c r="EO89" i="79"/>
  <c r="CC67" i="79"/>
  <c r="CB67" i="79"/>
  <c r="EF67" i="79"/>
  <c r="EG67" i="79"/>
  <c r="AN58" i="79"/>
  <c r="EN70" i="79"/>
  <c r="EO70" i="79"/>
  <c r="DH89" i="79"/>
  <c r="DI89" i="79"/>
  <c r="BM70" i="79"/>
  <c r="BL70" i="79"/>
  <c r="DG17" i="80"/>
  <c r="DG411" i="80" s="1"/>
  <c r="O96" i="79"/>
  <c r="EM96" i="80"/>
  <c r="DW96" i="79"/>
  <c r="DY96" i="79" s="1"/>
  <c r="BU140" i="79"/>
  <c r="BV23" i="80"/>
  <c r="BV399" i="80" s="1"/>
  <c r="AV142" i="80"/>
  <c r="BS108" i="79"/>
  <c r="BT108" i="79" s="1"/>
  <c r="FE142" i="80"/>
  <c r="EN69" i="79"/>
  <c r="EP69" i="79" s="1"/>
  <c r="P69" i="79"/>
  <c r="AV70" i="79"/>
  <c r="AW70" i="79"/>
  <c r="AG58" i="79"/>
  <c r="EW142" i="80"/>
  <c r="DY67" i="79"/>
  <c r="DX67" i="79"/>
  <c r="EW67" i="79"/>
  <c r="EV67" i="79"/>
  <c r="FD70" i="79"/>
  <c r="FE70" i="79"/>
  <c r="EM143" i="79"/>
  <c r="DX89" i="79"/>
  <c r="DY89" i="79"/>
  <c r="DY70" i="79"/>
  <c r="DX70" i="79"/>
  <c r="EW89" i="79"/>
  <c r="EV89" i="79"/>
  <c r="EN142" i="80"/>
  <c r="BK68" i="79"/>
  <c r="W96" i="80"/>
  <c r="CQ96" i="80"/>
  <c r="EM104" i="80"/>
  <c r="FK17" i="80"/>
  <c r="FK411" i="80" s="1"/>
  <c r="DW16" i="79"/>
  <c r="DX16" i="79" s="1"/>
  <c r="DX410" i="79" s="1"/>
  <c r="EE16" i="79"/>
  <c r="AU96" i="79"/>
  <c r="Y98" i="79"/>
  <c r="CI71" i="80"/>
  <c r="FE276" i="80"/>
  <c r="AE108" i="79"/>
  <c r="AG108" i="79" s="1"/>
  <c r="CJ142" i="80"/>
  <c r="FL142" i="80"/>
  <c r="Y142" i="80"/>
  <c r="Q69" i="79"/>
  <c r="AW69" i="79"/>
  <c r="AV69" i="79"/>
  <c r="AV23" i="79"/>
  <c r="EW23" i="79"/>
  <c r="EW399" i="79" s="1"/>
  <c r="AG23" i="79"/>
  <c r="AG399" i="79" s="1"/>
  <c r="AF70" i="79"/>
  <c r="AG70" i="79"/>
  <c r="BM67" i="79"/>
  <c r="BL67" i="79"/>
  <c r="CJ89" i="79"/>
  <c r="CK89" i="79"/>
  <c r="DQ70" i="79"/>
  <c r="DP70" i="79"/>
  <c r="CZ99" i="80"/>
  <c r="DA99" i="80"/>
  <c r="DH142" i="80"/>
  <c r="FC68" i="79"/>
  <c r="AM96" i="80"/>
  <c r="CY17" i="80"/>
  <c r="CY411" i="80" s="1"/>
  <c r="AE17" i="80"/>
  <c r="AE411" i="80" s="1"/>
  <c r="AU16" i="79"/>
  <c r="AU410" i="79" s="1"/>
  <c r="EE96" i="79"/>
  <c r="EG96" i="79" s="1"/>
  <c r="DA276" i="80"/>
  <c r="CQ108" i="79"/>
  <c r="CS108" i="79" s="1"/>
  <c r="FK108" i="79"/>
  <c r="FM108" i="79" s="1"/>
  <c r="BM142" i="80"/>
  <c r="EF142" i="80"/>
  <c r="FM99" i="79"/>
  <c r="FN99" i="79" s="1"/>
  <c r="EN23" i="79"/>
  <c r="AF58" i="79"/>
  <c r="CK67" i="79"/>
  <c r="CJ67" i="79"/>
  <c r="CS89" i="79"/>
  <c r="CR89" i="79"/>
  <c r="BT70" i="79"/>
  <c r="BU70" i="79"/>
  <c r="P70" i="79"/>
  <c r="Q70" i="79"/>
  <c r="CB70" i="79"/>
  <c r="CC70" i="79"/>
  <c r="BT142" i="80"/>
  <c r="BM58" i="79"/>
  <c r="BC108" i="79"/>
  <c r="BE108" i="79" s="1"/>
  <c r="AW23" i="79"/>
  <c r="AW399" i="79" s="1"/>
  <c r="DY23" i="79"/>
  <c r="DY399" i="79" s="1"/>
  <c r="CZ58" i="79"/>
  <c r="DA58" i="79"/>
  <c r="DA67" i="79"/>
  <c r="CZ67" i="79"/>
  <c r="X67" i="79"/>
  <c r="Y67" i="79"/>
  <c r="AF89" i="79"/>
  <c r="AG89" i="79"/>
  <c r="FE89" i="79"/>
  <c r="FD89" i="79"/>
  <c r="CR70" i="79"/>
  <c r="CS70" i="79"/>
  <c r="DI70" i="79"/>
  <c r="DH70" i="79"/>
  <c r="DX142" i="80"/>
  <c r="CS142" i="80"/>
  <c r="AM61" i="79"/>
  <c r="W62" i="80"/>
  <c r="EM62" i="80"/>
  <c r="CY63" i="80"/>
  <c r="W71" i="80"/>
  <c r="DZ141" i="80"/>
  <c r="AX142" i="79"/>
  <c r="EP58" i="80"/>
  <c r="CD114" i="79"/>
  <c r="AP99" i="79"/>
  <c r="EP114" i="79"/>
  <c r="R142" i="79"/>
  <c r="CT114" i="79"/>
  <c r="EH99" i="79"/>
  <c r="BF99" i="79"/>
  <c r="CR23" i="79"/>
  <c r="BK62" i="80"/>
  <c r="DG71" i="80"/>
  <c r="FK62" i="80"/>
  <c r="BC63" i="80"/>
  <c r="CT370" i="79"/>
  <c r="AV59" i="80"/>
  <c r="FC71" i="80"/>
  <c r="CA71" i="80"/>
  <c r="BK71" i="80"/>
  <c r="EU62" i="80"/>
  <c r="FK71" i="80"/>
  <c r="CQ71" i="80"/>
  <c r="DQ23" i="79"/>
  <c r="DQ399" i="79" s="1"/>
  <c r="EV23" i="79"/>
  <c r="CA87" i="80"/>
  <c r="O62" i="80"/>
  <c r="AM71" i="80"/>
  <c r="DO71" i="80"/>
  <c r="AU71" i="80"/>
  <c r="P23" i="79"/>
  <c r="FC87" i="80"/>
  <c r="DW62" i="80"/>
  <c r="DO63" i="80"/>
  <c r="DH59" i="80"/>
  <c r="BS71" i="80"/>
  <c r="AF112" i="79"/>
  <c r="FL23" i="79"/>
  <c r="AN23" i="79"/>
  <c r="DI23" i="79"/>
  <c r="Q23" i="79"/>
  <c r="Q399" i="79" s="1"/>
  <c r="X23" i="79"/>
  <c r="BE23" i="79"/>
  <c r="BL23" i="79"/>
  <c r="DP23" i="79"/>
  <c r="CB23" i="79"/>
  <c r="BM23" i="79"/>
  <c r="BM399" i="79" s="1"/>
  <c r="DA23" i="79"/>
  <c r="FE23" i="79"/>
  <c r="EE71" i="80"/>
  <c r="EM71" i="80"/>
  <c r="BC71" i="80"/>
  <c r="DR142" i="79"/>
  <c r="CL114" i="79"/>
  <c r="DB142" i="79"/>
  <c r="DZ142" i="79"/>
  <c r="FN142" i="79"/>
  <c r="R58" i="80"/>
  <c r="BV58" i="80"/>
  <c r="DB58" i="80"/>
  <c r="AP114" i="79"/>
  <c r="EF23" i="79"/>
  <c r="CS23" i="79"/>
  <c r="CS399" i="79" s="1"/>
  <c r="CC23" i="79"/>
  <c r="CC399" i="79" s="1"/>
  <c r="EO280" i="80"/>
  <c r="EP280" i="80" s="1"/>
  <c r="BN370" i="79"/>
  <c r="Z142" i="79"/>
  <c r="EX115" i="80"/>
  <c r="FN67" i="79"/>
  <c r="CL99" i="79"/>
  <c r="EP99" i="79"/>
  <c r="BV69" i="79"/>
  <c r="AX370" i="79"/>
  <c r="FF142" i="79"/>
  <c r="FF231" i="79"/>
  <c r="BM373" i="79"/>
  <c r="AP231" i="79"/>
  <c r="L121" i="107"/>
  <c r="DW71" i="80"/>
  <c r="EU68" i="80"/>
  <c r="DO68" i="80"/>
  <c r="BK96" i="80"/>
  <c r="BL96" i="80" s="1"/>
  <c r="CL142" i="79"/>
  <c r="BN114" i="79"/>
  <c r="DO96" i="80"/>
  <c r="DQ96" i="80" s="1"/>
  <c r="FK96" i="80"/>
  <c r="O61" i="79"/>
  <c r="FL59" i="80"/>
  <c r="FN59" i="80" s="1"/>
  <c r="FC17" i="79"/>
  <c r="FC411" i="79" s="1"/>
  <c r="CI104" i="80"/>
  <c r="CJ104" i="80" s="1"/>
  <c r="CI61" i="79"/>
  <c r="BK61" i="79"/>
  <c r="EU71" i="79"/>
  <c r="W96" i="79"/>
  <c r="CQ71" i="79"/>
  <c r="W104" i="80"/>
  <c r="Y104" i="80" s="1"/>
  <c r="CQ61" i="79"/>
  <c r="FC71" i="79"/>
  <c r="CY96" i="79"/>
  <c r="CZ96" i="79" s="1"/>
  <c r="EE71" i="79"/>
  <c r="DG61" i="79"/>
  <c r="CB59" i="80"/>
  <c r="CD59" i="80" s="1"/>
  <c r="CY71" i="79"/>
  <c r="CI96" i="79"/>
  <c r="CK96" i="79" s="1"/>
  <c r="AM96" i="79"/>
  <c r="AO96" i="79" s="1"/>
  <c r="BM123" i="80"/>
  <c r="DG71" i="79"/>
  <c r="CQ17" i="79"/>
  <c r="CQ411" i="79" s="1"/>
  <c r="DW61" i="79"/>
  <c r="BK71" i="79"/>
  <c r="FC96" i="79"/>
  <c r="EU96" i="79"/>
  <c r="EW96" i="79" s="1"/>
  <c r="AE71" i="79"/>
  <c r="AE61" i="79"/>
  <c r="FK71" i="79"/>
  <c r="AE96" i="79"/>
  <c r="AF96" i="79" s="1"/>
  <c r="CA96" i="79"/>
  <c r="CK123" i="80"/>
  <c r="R99" i="79"/>
  <c r="EE61" i="79"/>
  <c r="EM71" i="79"/>
  <c r="CA61" i="79"/>
  <c r="CY61" i="79"/>
  <c r="DO71" i="79"/>
  <c r="BC96" i="79"/>
  <c r="Q123" i="80"/>
  <c r="EO59" i="79"/>
  <c r="BV115" i="80"/>
  <c r="DW71" i="79"/>
  <c r="EM61" i="79"/>
  <c r="AU61" i="79"/>
  <c r="DO17" i="79"/>
  <c r="DO411" i="79" s="1"/>
  <c r="EW375" i="79"/>
  <c r="AF279" i="80"/>
  <c r="BT279" i="80"/>
  <c r="DQ375" i="79"/>
  <c r="J150" i="79"/>
  <c r="J150" i="80"/>
  <c r="CQ150" i="80"/>
  <c r="AU150" i="80"/>
  <c r="BK150" i="80"/>
  <c r="CA150" i="80"/>
  <c r="DG150" i="80"/>
  <c r="EM150" i="80"/>
  <c r="CI150" i="80"/>
  <c r="W150" i="80"/>
  <c r="CY150" i="80"/>
  <c r="BS150" i="80"/>
  <c r="BC150" i="80"/>
  <c r="FC150" i="80"/>
  <c r="FK150" i="80"/>
  <c r="AM150" i="80"/>
  <c r="EU150" i="80"/>
  <c r="AE150" i="80"/>
  <c r="DO150" i="80"/>
  <c r="EE150" i="80"/>
  <c r="O150" i="80"/>
  <c r="DW150" i="80"/>
  <c r="DG150" i="79"/>
  <c r="DO150" i="79"/>
  <c r="BC150" i="79"/>
  <c r="AE150" i="79"/>
  <c r="W150" i="79"/>
  <c r="O150" i="79"/>
  <c r="BK150" i="79"/>
  <c r="AU150" i="79"/>
  <c r="CI150" i="79"/>
  <c r="BS150" i="79"/>
  <c r="EE150" i="79"/>
  <c r="EU150" i="79"/>
  <c r="CY150" i="79"/>
  <c r="AM150" i="79"/>
  <c r="DW150" i="79"/>
  <c r="CA150" i="79"/>
  <c r="EM150" i="79"/>
  <c r="CQ150" i="79"/>
  <c r="FK150" i="79"/>
  <c r="FC150" i="79"/>
  <c r="FD112" i="80"/>
  <c r="X99" i="79"/>
  <c r="Y99" i="79"/>
  <c r="CJ139" i="80"/>
  <c r="CL139" i="80" s="1"/>
  <c r="FD108" i="79"/>
  <c r="AG59" i="79"/>
  <c r="J45" i="98"/>
  <c r="J43" i="98"/>
  <c r="Z199" i="80"/>
  <c r="Z250" i="79"/>
  <c r="CB115" i="79"/>
  <c r="CC115" i="79"/>
  <c r="CS115" i="80"/>
  <c r="CR115" i="80"/>
  <c r="DH115" i="80"/>
  <c r="DI115" i="80"/>
  <c r="EV115" i="79"/>
  <c r="EW115" i="79"/>
  <c r="BU115" i="79"/>
  <c r="BT115" i="79"/>
  <c r="AO115" i="80"/>
  <c r="AN115" i="80"/>
  <c r="FL115" i="79"/>
  <c r="FM115" i="79"/>
  <c r="BM115" i="80"/>
  <c r="BL115" i="80"/>
  <c r="AO115" i="79"/>
  <c r="AN115" i="79"/>
  <c r="AV115" i="79"/>
  <c r="AW115" i="79"/>
  <c r="FE115" i="79"/>
  <c r="FD115" i="79"/>
  <c r="AW115" i="80"/>
  <c r="AV115" i="80"/>
  <c r="P115" i="79"/>
  <c r="Q115" i="79"/>
  <c r="FE115" i="80"/>
  <c r="FD115" i="80"/>
  <c r="CJ115" i="79"/>
  <c r="CK115" i="79"/>
  <c r="Q115" i="80"/>
  <c r="P115" i="80"/>
  <c r="BL115" i="79"/>
  <c r="BM115" i="79"/>
  <c r="AF115" i="80"/>
  <c r="AG115" i="80"/>
  <c r="EF115" i="80"/>
  <c r="EG115" i="80"/>
  <c r="DX115" i="79"/>
  <c r="DY115" i="79"/>
  <c r="X115" i="80"/>
  <c r="Y115" i="80"/>
  <c r="BD115" i="80"/>
  <c r="BE115" i="80"/>
  <c r="DX115" i="80"/>
  <c r="DY115" i="80"/>
  <c r="EN115" i="80"/>
  <c r="EO115" i="80"/>
  <c r="BV99" i="79"/>
  <c r="EG115" i="79"/>
  <c r="EF115" i="79"/>
  <c r="FK108" i="80"/>
  <c r="AM108" i="80"/>
  <c r="CI108" i="80"/>
  <c r="FC108" i="80"/>
  <c r="AE108" i="80"/>
  <c r="CQ108" i="80"/>
  <c r="DW108" i="80"/>
  <c r="EM108" i="80"/>
  <c r="BC108" i="80"/>
  <c r="W108" i="80"/>
  <c r="EU108" i="80"/>
  <c r="AU108" i="80"/>
  <c r="CY108" i="80"/>
  <c r="DG108" i="80"/>
  <c r="BK108" i="80"/>
  <c r="CA108" i="80"/>
  <c r="EE108" i="80"/>
  <c r="BS108" i="80"/>
  <c r="DO108" i="80"/>
  <c r="O108" i="80"/>
  <c r="DA115" i="80"/>
  <c r="CZ115" i="80"/>
  <c r="DP115" i="80"/>
  <c r="DQ115" i="80"/>
  <c r="CB115" i="80"/>
  <c r="CC115" i="80"/>
  <c r="DA115" i="79"/>
  <c r="CZ115" i="79"/>
  <c r="BD115" i="79"/>
  <c r="BE115" i="79"/>
  <c r="EO115" i="79"/>
  <c r="EN115" i="79"/>
  <c r="EM108" i="79"/>
  <c r="CY108" i="79"/>
  <c r="BK108" i="79"/>
  <c r="EU108" i="79"/>
  <c r="O108" i="79"/>
  <c r="AM108" i="79"/>
  <c r="DG108" i="79"/>
  <c r="CB108" i="79"/>
  <c r="CC108" i="79"/>
  <c r="X108" i="79"/>
  <c r="Y108" i="79"/>
  <c r="DX108" i="79"/>
  <c r="EF108" i="79"/>
  <c r="EG108" i="79"/>
  <c r="AV108" i="79"/>
  <c r="AW108" i="79"/>
  <c r="FE99" i="80"/>
  <c r="FD99" i="80"/>
  <c r="BE99" i="80"/>
  <c r="BD99" i="80"/>
  <c r="CZ141" i="80"/>
  <c r="DA141" i="80"/>
  <c r="EN141" i="80"/>
  <c r="EM143" i="80"/>
  <c r="EO141" i="80"/>
  <c r="FC113" i="80"/>
  <c r="FD113" i="80" s="1"/>
  <c r="DW113" i="80"/>
  <c r="DX113" i="80" s="1"/>
  <c r="CA113" i="80"/>
  <c r="CC113" i="80" s="1"/>
  <c r="O113" i="80"/>
  <c r="Q113" i="80" s="1"/>
  <c r="DO113" i="80"/>
  <c r="DP113" i="80" s="1"/>
  <c r="CY113" i="80"/>
  <c r="CZ113" i="80" s="1"/>
  <c r="AU113" i="80"/>
  <c r="AW113" i="80" s="1"/>
  <c r="W113" i="80"/>
  <c r="Y113" i="80" s="1"/>
  <c r="AM113" i="80"/>
  <c r="AO113" i="80" s="1"/>
  <c r="EM113" i="80"/>
  <c r="EN113" i="80" s="1"/>
  <c r="CQ113" i="80"/>
  <c r="CR113" i="80" s="1"/>
  <c r="BC113" i="80"/>
  <c r="BE113" i="80" s="1"/>
  <c r="FK113" i="80"/>
  <c r="FL113" i="80" s="1"/>
  <c r="BK113" i="80"/>
  <c r="BS113" i="80"/>
  <c r="BU113" i="80" s="1"/>
  <c r="EE113" i="80"/>
  <c r="EG113" i="80" s="1"/>
  <c r="CI113" i="80"/>
  <c r="CJ113" i="80" s="1"/>
  <c r="DG113" i="80"/>
  <c r="DH113" i="80" s="1"/>
  <c r="EU113" i="80"/>
  <c r="EW113" i="80" s="1"/>
  <c r="AE113" i="80"/>
  <c r="AF113" i="80" s="1"/>
  <c r="CJ99" i="80"/>
  <c r="CK99" i="80"/>
  <c r="FL99" i="80"/>
  <c r="FM99" i="80"/>
  <c r="CB99" i="80"/>
  <c r="CC99" i="80"/>
  <c r="EF141" i="80"/>
  <c r="EG141" i="80"/>
  <c r="EE143" i="80"/>
  <c r="BK143" i="80"/>
  <c r="BM141" i="80"/>
  <c r="BL141" i="80"/>
  <c r="EO99" i="80"/>
  <c r="EN99" i="80"/>
  <c r="X99" i="80"/>
  <c r="Y99" i="80"/>
  <c r="P99" i="80"/>
  <c r="Q99" i="80"/>
  <c r="AF141" i="80"/>
  <c r="AE143" i="80"/>
  <c r="AG141" i="80"/>
  <c r="CI143" i="80"/>
  <c r="CK141" i="80"/>
  <c r="CJ141" i="80"/>
  <c r="EH103" i="79"/>
  <c r="AW99" i="80"/>
  <c r="AV99" i="80"/>
  <c r="AN99" i="80"/>
  <c r="AO99" i="80"/>
  <c r="FE141" i="80"/>
  <c r="FD141" i="80"/>
  <c r="FC143" i="80"/>
  <c r="CB141" i="80"/>
  <c r="CA143" i="80"/>
  <c r="CC141" i="80"/>
  <c r="AN141" i="80"/>
  <c r="AM143" i="80"/>
  <c r="AO141" i="80"/>
  <c r="EW99" i="80"/>
  <c r="EV99" i="80"/>
  <c r="BU141" i="80"/>
  <c r="BS143" i="80"/>
  <c r="BT141" i="80"/>
  <c r="BL99" i="80"/>
  <c r="BM99" i="80"/>
  <c r="AF99" i="80"/>
  <c r="AG99" i="80"/>
  <c r="DO143" i="80"/>
  <c r="DQ141" i="80"/>
  <c r="DP141" i="80"/>
  <c r="AV141" i="80"/>
  <c r="AW141" i="80"/>
  <c r="AU143" i="80"/>
  <c r="Q141" i="80"/>
  <c r="P141" i="80"/>
  <c r="O143" i="80"/>
  <c r="AU113" i="79"/>
  <c r="AW113" i="79" s="1"/>
  <c r="CY113" i="79"/>
  <c r="DA113" i="79" s="1"/>
  <c r="CQ113" i="79"/>
  <c r="CS113" i="79" s="1"/>
  <c r="EU113" i="79"/>
  <c r="EW113" i="79" s="1"/>
  <c r="EM113" i="79"/>
  <c r="EO113" i="79" s="1"/>
  <c r="DG113" i="79"/>
  <c r="DI113" i="79" s="1"/>
  <c r="BC113" i="79"/>
  <c r="BE113" i="79" s="1"/>
  <c r="EE113" i="79"/>
  <c r="EG113" i="79" s="1"/>
  <c r="AM113" i="79"/>
  <c r="AO113" i="79" s="1"/>
  <c r="CA113" i="79"/>
  <c r="CC113" i="79" s="1"/>
  <c r="AE113" i="79"/>
  <c r="AG113" i="79" s="1"/>
  <c r="FK113" i="79"/>
  <c r="FM113" i="79" s="1"/>
  <c r="O113" i="79"/>
  <c r="Q113" i="79" s="1"/>
  <c r="BK113" i="79"/>
  <c r="BM113" i="79" s="1"/>
  <c r="W113" i="79"/>
  <c r="Y113" i="79" s="1"/>
  <c r="FC113" i="79"/>
  <c r="FE113" i="79" s="1"/>
  <c r="DO113" i="79"/>
  <c r="DQ113" i="79" s="1"/>
  <c r="BS113" i="79"/>
  <c r="BT113" i="79" s="1"/>
  <c r="DW113" i="79"/>
  <c r="DY113" i="79" s="1"/>
  <c r="CI113" i="79"/>
  <c r="CK113" i="79" s="1"/>
  <c r="EW141" i="80"/>
  <c r="EV141" i="80"/>
  <c r="EU143" i="80"/>
  <c r="DI99" i="80"/>
  <c r="DH99" i="80"/>
  <c r="BT99" i="80"/>
  <c r="BU99" i="80"/>
  <c r="X141" i="80"/>
  <c r="Y141" i="80"/>
  <c r="W143" i="80"/>
  <c r="DG143" i="80"/>
  <c r="DH141" i="80"/>
  <c r="DI141" i="80"/>
  <c r="BD141" i="80"/>
  <c r="BC143" i="80"/>
  <c r="BE141" i="80"/>
  <c r="DQ99" i="80"/>
  <c r="DP99" i="80"/>
  <c r="CR99" i="80"/>
  <c r="CS99" i="80"/>
  <c r="CS141" i="80"/>
  <c r="CR141" i="80"/>
  <c r="CQ143" i="80"/>
  <c r="FK143" i="80"/>
  <c r="FM141" i="80"/>
  <c r="FL141" i="80"/>
  <c r="CY143" i="80"/>
  <c r="DR370" i="79"/>
  <c r="BV370" i="79"/>
  <c r="FE280" i="80"/>
  <c r="FF280" i="80" s="1"/>
  <c r="DI280" i="80"/>
  <c r="DJ280" i="80" s="1"/>
  <c r="AG280" i="80"/>
  <c r="AH280" i="80" s="1"/>
  <c r="FM280" i="80"/>
  <c r="FN280" i="80" s="1"/>
  <c r="DZ370" i="79"/>
  <c r="FF370" i="79"/>
  <c r="Q280" i="80"/>
  <c r="R280" i="80" s="1"/>
  <c r="DA280" i="80"/>
  <c r="DB280" i="80" s="1"/>
  <c r="CD370" i="79"/>
  <c r="EP370" i="79"/>
  <c r="EO123" i="80"/>
  <c r="EG280" i="80"/>
  <c r="EH280" i="80" s="1"/>
  <c r="BF370" i="79"/>
  <c r="EW280" i="80"/>
  <c r="EX280" i="80" s="1"/>
  <c r="AG372" i="80"/>
  <c r="AO280" i="80"/>
  <c r="AP280" i="80" s="1"/>
  <c r="DQ280" i="80"/>
  <c r="DR280" i="80" s="1"/>
  <c r="BE280" i="80"/>
  <c r="BF280" i="80" s="1"/>
  <c r="BM280" i="80"/>
  <c r="BN280" i="80" s="1"/>
  <c r="DY280" i="80"/>
  <c r="DZ280" i="80" s="1"/>
  <c r="AH370" i="79"/>
  <c r="R370" i="79"/>
  <c r="CC280" i="80"/>
  <c r="CD280" i="80" s="1"/>
  <c r="Z280" i="80"/>
  <c r="CK280" i="80"/>
  <c r="CL280" i="80" s="1"/>
  <c r="AP370" i="79"/>
  <c r="EX370" i="79"/>
  <c r="AW280" i="80"/>
  <c r="AX280" i="80" s="1"/>
  <c r="EH370" i="79"/>
  <c r="DJ370" i="79"/>
  <c r="FN370" i="79"/>
  <c r="CL370" i="79"/>
  <c r="BU280" i="80"/>
  <c r="BV280" i="80" s="1"/>
  <c r="Z370" i="79"/>
  <c r="K8" i="100"/>
  <c r="CR279" i="79"/>
  <c r="EN103" i="79"/>
  <c r="EP103" i="79" s="1"/>
  <c r="DZ373" i="80"/>
  <c r="FM372" i="80"/>
  <c r="DI373" i="79"/>
  <c r="EG373" i="79"/>
  <c r="DQ373" i="79"/>
  <c r="BE373" i="79"/>
  <c r="BF199" i="79"/>
  <c r="CZ103" i="79"/>
  <c r="DB103" i="79" s="1"/>
  <c r="FM373" i="79"/>
  <c r="FE373" i="79"/>
  <c r="CK373" i="79"/>
  <c r="DA373" i="79"/>
  <c r="AW373" i="79"/>
  <c r="Q373" i="79"/>
  <c r="DY373" i="79"/>
  <c r="EO373" i="79"/>
  <c r="AO373" i="79"/>
  <c r="EP199" i="79"/>
  <c r="DQ372" i="80"/>
  <c r="BN199" i="80"/>
  <c r="AV123" i="80"/>
  <c r="AX373" i="80"/>
  <c r="CS373" i="79"/>
  <c r="Y373" i="79"/>
  <c r="BF371" i="80"/>
  <c r="EO372" i="80"/>
  <c r="EN279" i="79"/>
  <c r="DH123" i="80"/>
  <c r="AG373" i="79"/>
  <c r="BU373" i="79"/>
  <c r="DQ103" i="80"/>
  <c r="DR103" i="80" s="1"/>
  <c r="AG372" i="79"/>
  <c r="EW372" i="79"/>
  <c r="CS372" i="79"/>
  <c r="DA372" i="79"/>
  <c r="FM372" i="79"/>
  <c r="EO372" i="79"/>
  <c r="FE372" i="79"/>
  <c r="R276" i="79"/>
  <c r="CK372" i="79"/>
  <c r="EG372" i="79"/>
  <c r="AN279" i="80"/>
  <c r="DI372" i="79"/>
  <c r="EN279" i="80"/>
  <c r="AW372" i="79"/>
  <c r="BU103" i="80"/>
  <c r="BV103" i="80" s="1"/>
  <c r="Q372" i="79"/>
  <c r="CZ279" i="80"/>
  <c r="BU372" i="79"/>
  <c r="Y103" i="80"/>
  <c r="Z103" i="80" s="1"/>
  <c r="BE372" i="79"/>
  <c r="CK373" i="80"/>
  <c r="BM103" i="80"/>
  <c r="BN103" i="80" s="1"/>
  <c r="AO372" i="79"/>
  <c r="CD250" i="79"/>
  <c r="J15" i="98"/>
  <c r="EO103" i="80"/>
  <c r="EP103" i="80" s="1"/>
  <c r="DY372" i="79"/>
  <c r="BM372" i="79"/>
  <c r="J143" i="79"/>
  <c r="DJ249" i="80"/>
  <c r="CZ139" i="80"/>
  <c r="DB139" i="80" s="1"/>
  <c r="FN193" i="80"/>
  <c r="AV139" i="80"/>
  <c r="AX139" i="80" s="1"/>
  <c r="DH139" i="80"/>
  <c r="DJ139" i="80" s="1"/>
  <c r="FE123" i="80"/>
  <c r="DI123" i="80"/>
  <c r="FF249" i="80"/>
  <c r="AW123" i="80"/>
  <c r="CJ147" i="79"/>
  <c r="CT193" i="80"/>
  <c r="BV199" i="80"/>
  <c r="AN112" i="79"/>
  <c r="AP295" i="79"/>
  <c r="CT250" i="79"/>
  <c r="BT374" i="80"/>
  <c r="AO123" i="80"/>
  <c r="BD279" i="79"/>
  <c r="DX139" i="80"/>
  <c r="DZ139" i="80" s="1"/>
  <c r="BD139" i="80"/>
  <c r="BF139" i="80" s="1"/>
  <c r="FL279" i="79"/>
  <c r="EW123" i="80"/>
  <c r="Y123" i="80"/>
  <c r="AV279" i="79"/>
  <c r="EN139" i="80"/>
  <c r="EP139" i="80" s="1"/>
  <c r="DQ123" i="80"/>
  <c r="EX375" i="79"/>
  <c r="BL139" i="80"/>
  <c r="BN139" i="80" s="1"/>
  <c r="AN139" i="80"/>
  <c r="AP139" i="80" s="1"/>
  <c r="AN279" i="79"/>
  <c r="DA123" i="80"/>
  <c r="DB123" i="80" s="1"/>
  <c r="CJ279" i="79"/>
  <c r="EF139" i="80"/>
  <c r="EH139" i="80" s="1"/>
  <c r="CC123" i="80"/>
  <c r="CS123" i="80"/>
  <c r="DP139" i="80"/>
  <c r="DR139" i="80" s="1"/>
  <c r="X139" i="80"/>
  <c r="Z139" i="80" s="1"/>
  <c r="AF139" i="80"/>
  <c r="AH139" i="80" s="1"/>
  <c r="BE123" i="80"/>
  <c r="AP193" i="80"/>
  <c r="CB279" i="79"/>
  <c r="CR139" i="80"/>
  <c r="CT139" i="80" s="1"/>
  <c r="CB139" i="80"/>
  <c r="CD139" i="80" s="1"/>
  <c r="DH279" i="79"/>
  <c r="FM123" i="80"/>
  <c r="DP279" i="79"/>
  <c r="EV279" i="79"/>
  <c r="P139" i="80"/>
  <c r="R139" i="80" s="1"/>
  <c r="EG123" i="80"/>
  <c r="AG123" i="80"/>
  <c r="BT279" i="79"/>
  <c r="BL279" i="79"/>
  <c r="X279" i="79"/>
  <c r="CR112" i="79"/>
  <c r="CZ279" i="79"/>
  <c r="FD279" i="79"/>
  <c r="EV139" i="80"/>
  <c r="EX139" i="80" s="1"/>
  <c r="P279" i="79"/>
  <c r="EF279" i="79"/>
  <c r="BU123" i="80"/>
  <c r="AH193" i="80"/>
  <c r="AG201" i="80"/>
  <c r="AP249" i="80"/>
  <c r="BF276" i="79"/>
  <c r="EW201" i="80"/>
  <c r="Y201" i="80"/>
  <c r="DI201" i="80"/>
  <c r="CC201" i="80"/>
  <c r="CL249" i="80"/>
  <c r="Z193" i="80"/>
  <c r="J143" i="80"/>
  <c r="Z231" i="79"/>
  <c r="F28" i="98"/>
  <c r="F20" i="98" s="1"/>
  <c r="R250" i="79"/>
  <c r="F57" i="98"/>
  <c r="CD199" i="79"/>
  <c r="BV250" i="79"/>
  <c r="EH199" i="80"/>
  <c r="CT199" i="80"/>
  <c r="DJ199" i="80"/>
  <c r="EP193" i="80"/>
  <c r="J120" i="85"/>
  <c r="L66" i="90" s="1"/>
  <c r="DZ193" i="80"/>
  <c r="CT249" i="80"/>
  <c r="FF372" i="79"/>
  <c r="AO372" i="80"/>
  <c r="EP249" i="79"/>
  <c r="BU372" i="80"/>
  <c r="EH371" i="80"/>
  <c r="DA372" i="80"/>
  <c r="EW372" i="80"/>
  <c r="CD371" i="80"/>
  <c r="AW372" i="80"/>
  <c r="DY372" i="80"/>
  <c r="EP231" i="79"/>
  <c r="CS372" i="80"/>
  <c r="EH250" i="79"/>
  <c r="CK372" i="80"/>
  <c r="BM372" i="80"/>
  <c r="BE372" i="80"/>
  <c r="EP249" i="80"/>
  <c r="CC372" i="80"/>
  <c r="Y372" i="80"/>
  <c r="DI372" i="80"/>
  <c r="Q375" i="79"/>
  <c r="CS375" i="79"/>
  <c r="AP375" i="80"/>
  <c r="EP372" i="79"/>
  <c r="CT372" i="79"/>
  <c r="DY375" i="79"/>
  <c r="BU375" i="79"/>
  <c r="EX249" i="80"/>
  <c r="AX372" i="79"/>
  <c r="CD199" i="80"/>
  <c r="DA375" i="79"/>
  <c r="Z372" i="79"/>
  <c r="DJ375" i="80"/>
  <c r="AW375" i="79"/>
  <c r="FE375" i="79"/>
  <c r="DB375" i="80"/>
  <c r="FM375" i="79"/>
  <c r="DI375" i="79"/>
  <c r="EO375" i="79"/>
  <c r="BE375" i="79"/>
  <c r="AO375" i="79"/>
  <c r="BN372" i="79"/>
  <c r="CT296" i="80"/>
  <c r="AV112" i="79"/>
  <c r="CJ112" i="79"/>
  <c r="Z375" i="80"/>
  <c r="AH375" i="80"/>
  <c r="BD112" i="79"/>
  <c r="DP112" i="79"/>
  <c r="CD375" i="80"/>
  <c r="DR375" i="80"/>
  <c r="FN375" i="80"/>
  <c r="DH112" i="79"/>
  <c r="CZ112" i="79"/>
  <c r="FF375" i="80"/>
  <c r="BL112" i="79"/>
  <c r="DZ375" i="80"/>
  <c r="EP375" i="80"/>
  <c r="EX375" i="80"/>
  <c r="BN375" i="80"/>
  <c r="CB112" i="79"/>
  <c r="P112" i="79"/>
  <c r="EH375" i="80"/>
  <c r="R375" i="80"/>
  <c r="AX375" i="80"/>
  <c r="DX112" i="79"/>
  <c r="BT112" i="79"/>
  <c r="CL375" i="80"/>
  <c r="CT375" i="80"/>
  <c r="X112" i="79"/>
  <c r="AX250" i="79"/>
  <c r="EP199" i="80"/>
  <c r="CR279" i="80"/>
  <c r="DY373" i="80"/>
  <c r="AF372" i="80"/>
  <c r="BM373" i="80"/>
  <c r="CJ279" i="80"/>
  <c r="DB374" i="80"/>
  <c r="Y373" i="80"/>
  <c r="EG373" i="80"/>
  <c r="P279" i="80"/>
  <c r="BL372" i="80"/>
  <c r="BN276" i="79"/>
  <c r="EH276" i="79"/>
  <c r="BV249" i="80"/>
  <c r="X279" i="80"/>
  <c r="DR199" i="80"/>
  <c r="EO373" i="80"/>
  <c r="BF249" i="80"/>
  <c r="FL279" i="80"/>
  <c r="DI373" i="80"/>
  <c r="DA373" i="80"/>
  <c r="AG373" i="80"/>
  <c r="AW373" i="80"/>
  <c r="EF279" i="80"/>
  <c r="CS373" i="80"/>
  <c r="CC373" i="80"/>
  <c r="DX279" i="80"/>
  <c r="Q373" i="80"/>
  <c r="Z249" i="80"/>
  <c r="J11" i="98"/>
  <c r="EH231" i="79"/>
  <c r="FM373" i="80"/>
  <c r="BD279" i="80"/>
  <c r="EV279" i="80"/>
  <c r="AO373" i="80"/>
  <c r="DH279" i="80"/>
  <c r="BL279" i="80"/>
  <c r="FE373" i="80"/>
  <c r="EW373" i="80"/>
  <c r="CB279" i="80"/>
  <c r="AV279" i="80"/>
  <c r="BE373" i="80"/>
  <c r="BF375" i="80"/>
  <c r="DP279" i="80"/>
  <c r="M89" i="117"/>
  <c r="BN374" i="80"/>
  <c r="FD139" i="79"/>
  <c r="EF188" i="79"/>
  <c r="DP372" i="79"/>
  <c r="BF193" i="80"/>
  <c r="CB188" i="79"/>
  <c r="AV188" i="79"/>
  <c r="FD372" i="79"/>
  <c r="H87" i="79"/>
  <c r="CB87" i="79" s="1"/>
  <c r="H87" i="80"/>
  <c r="FN250" i="79"/>
  <c r="CL199" i="80"/>
  <c r="EF372" i="79"/>
  <c r="BT372" i="79"/>
  <c r="BV193" i="80"/>
  <c r="BN250" i="79"/>
  <c r="CB372" i="79"/>
  <c r="AN372" i="79"/>
  <c r="AH250" i="79"/>
  <c r="EN372" i="79"/>
  <c r="CZ372" i="79"/>
  <c r="EN139" i="79"/>
  <c r="FL147" i="79"/>
  <c r="BN249" i="80"/>
  <c r="EX250" i="79"/>
  <c r="BF188" i="80"/>
  <c r="J120" i="79"/>
  <c r="BD123" i="79"/>
  <c r="EF246" i="80"/>
  <c r="EH246" i="80" s="1"/>
  <c r="R374" i="80"/>
  <c r="CR246" i="80"/>
  <c r="CT246" i="80" s="1"/>
  <c r="AF246" i="80"/>
  <c r="AH246" i="80" s="1"/>
  <c r="CT374" i="80"/>
  <c r="DP123" i="79"/>
  <c r="DR250" i="79"/>
  <c r="FL123" i="79"/>
  <c r="CC371" i="80"/>
  <c r="FF374" i="80"/>
  <c r="FN199" i="80"/>
  <c r="CB246" i="80"/>
  <c r="CD246" i="80" s="1"/>
  <c r="DY371" i="80"/>
  <c r="DB231" i="79"/>
  <c r="EW103" i="80"/>
  <c r="EX103" i="80" s="1"/>
  <c r="DJ193" i="80"/>
  <c r="DR276" i="79"/>
  <c r="DJ231" i="79"/>
  <c r="CZ123" i="79"/>
  <c r="BT123" i="79"/>
  <c r="CC103" i="80"/>
  <c r="CD103" i="80" s="1"/>
  <c r="EN123" i="79"/>
  <c r="I109" i="79"/>
  <c r="FD374" i="80"/>
  <c r="AP375" i="79"/>
  <c r="CL375" i="79"/>
  <c r="I109" i="85"/>
  <c r="K58" i="90" s="1"/>
  <c r="AX249" i="80"/>
  <c r="BV231" i="79"/>
  <c r="AV374" i="80"/>
  <c r="DZ375" i="79"/>
  <c r="EH375" i="79"/>
  <c r="FL139" i="80"/>
  <c r="FN139" i="80" s="1"/>
  <c r="BT139" i="80"/>
  <c r="BV139" i="80" s="1"/>
  <c r="DI370" i="79"/>
  <c r="BL113" i="80"/>
  <c r="CB374" i="80"/>
  <c r="EP375" i="79"/>
  <c r="CD375" i="79"/>
  <c r="CS370" i="79"/>
  <c r="I151" i="85"/>
  <c r="K89" i="90" s="1"/>
  <c r="DZ276" i="79"/>
  <c r="FL374" i="80"/>
  <c r="BF375" i="79"/>
  <c r="BL188" i="80"/>
  <c r="BN188" i="80" s="1"/>
  <c r="EF374" i="80"/>
  <c r="AX199" i="80"/>
  <c r="Z375" i="79"/>
  <c r="AP276" i="79"/>
  <c r="DR249" i="80"/>
  <c r="R375" i="79"/>
  <c r="X374" i="80"/>
  <c r="AH199" i="80"/>
  <c r="CD193" i="80"/>
  <c r="BF250" i="79"/>
  <c r="R176" i="79"/>
  <c r="DB250" i="79"/>
  <c r="AP250" i="79"/>
  <c r="J7" i="98"/>
  <c r="EH245" i="79"/>
  <c r="BF199" i="80"/>
  <c r="J8" i="98"/>
  <c r="CL250" i="79"/>
  <c r="EP250" i="79"/>
  <c r="AG370" i="79"/>
  <c r="BT372" i="80"/>
  <c r="AN246" i="80"/>
  <c r="AP246" i="80" s="1"/>
  <c r="EN246" i="80"/>
  <c r="EP246" i="80" s="1"/>
  <c r="CK370" i="79"/>
  <c r="X372" i="80"/>
  <c r="EV372" i="80"/>
  <c r="DP372" i="80"/>
  <c r="H73" i="85"/>
  <c r="J39" i="90" s="1"/>
  <c r="FD147" i="79"/>
  <c r="BT103" i="79"/>
  <c r="BV103" i="79" s="1"/>
  <c r="CD231" i="79"/>
  <c r="DJ182" i="79"/>
  <c r="H57" i="79"/>
  <c r="DX57" i="79" s="1"/>
  <c r="DX112" i="80"/>
  <c r="AX371" i="80"/>
  <c r="R371" i="80"/>
  <c r="DJ372" i="79"/>
  <c r="Z371" i="80"/>
  <c r="BT246" i="80"/>
  <c r="BV246" i="80" s="1"/>
  <c r="DX246" i="80"/>
  <c r="DZ246" i="80" s="1"/>
  <c r="Y370" i="79"/>
  <c r="AO370" i="79"/>
  <c r="DH372" i="80"/>
  <c r="AN372" i="80"/>
  <c r="AV372" i="80"/>
  <c r="H73" i="79"/>
  <c r="BL73" i="79" s="1"/>
  <c r="CR147" i="79"/>
  <c r="FE188" i="79"/>
  <c r="AF103" i="79"/>
  <c r="AH103" i="79" s="1"/>
  <c r="CR112" i="80"/>
  <c r="X147" i="79"/>
  <c r="CB112" i="80"/>
  <c r="DX147" i="79"/>
  <c r="BV371" i="80"/>
  <c r="DZ371" i="80"/>
  <c r="AP372" i="79"/>
  <c r="BV372" i="79"/>
  <c r="BF372" i="79"/>
  <c r="FN372" i="79"/>
  <c r="CB372" i="80"/>
  <c r="AP371" i="80"/>
  <c r="DB371" i="80"/>
  <c r="BD246" i="80"/>
  <c r="BF246" i="80" s="1"/>
  <c r="CJ246" i="80"/>
  <c r="CL246" i="80" s="1"/>
  <c r="FE370" i="79"/>
  <c r="DQ370" i="79"/>
  <c r="P372" i="80"/>
  <c r="EF372" i="80"/>
  <c r="EN372" i="80"/>
  <c r="CR188" i="80"/>
  <c r="CT188" i="80" s="1"/>
  <c r="DP147" i="79"/>
  <c r="CC188" i="79"/>
  <c r="G64" i="80"/>
  <c r="BK64" i="80" s="1"/>
  <c r="FL112" i="80"/>
  <c r="BF231" i="79"/>
  <c r="EN147" i="79"/>
  <c r="H57" i="80"/>
  <c r="EV112" i="80"/>
  <c r="BT112" i="80"/>
  <c r="EP276" i="79"/>
  <c r="DJ309" i="80"/>
  <c r="BD147" i="79"/>
  <c r="CT371" i="80"/>
  <c r="FF371" i="80"/>
  <c r="DB372" i="79"/>
  <c r="DZ372" i="79"/>
  <c r="CD372" i="79"/>
  <c r="DP246" i="80"/>
  <c r="DR246" i="80" s="1"/>
  <c r="DH246" i="80"/>
  <c r="DJ246" i="80" s="1"/>
  <c r="CR372" i="80"/>
  <c r="CB147" i="79"/>
  <c r="P147" i="79"/>
  <c r="R147" i="79" s="1"/>
  <c r="I68" i="79"/>
  <c r="EW68" i="79" s="1"/>
  <c r="AO188" i="79"/>
  <c r="G64" i="85"/>
  <c r="I30" i="90" s="1"/>
  <c r="BL112" i="80"/>
  <c r="CD249" i="79"/>
  <c r="BN231" i="79"/>
  <c r="CZ112" i="80"/>
  <c r="EF112" i="80"/>
  <c r="AF147" i="79"/>
  <c r="DJ371" i="80"/>
  <c r="BN371" i="80"/>
  <c r="DR372" i="79"/>
  <c r="EX372" i="79"/>
  <c r="R199" i="80"/>
  <c r="R372" i="79"/>
  <c r="AH249" i="80"/>
  <c r="BU370" i="79"/>
  <c r="FL372" i="80"/>
  <c r="BL246" i="80"/>
  <c r="BN246" i="80" s="1"/>
  <c r="EW370" i="79"/>
  <c r="DX372" i="80"/>
  <c r="AV147" i="79"/>
  <c r="EF147" i="79"/>
  <c r="I68" i="80"/>
  <c r="DY188" i="79"/>
  <c r="G64" i="79"/>
  <c r="FK64" i="79" s="1"/>
  <c r="DI188" i="79"/>
  <c r="CT231" i="79"/>
  <c r="P112" i="80"/>
  <c r="BD112" i="80"/>
  <c r="CZ147" i="79"/>
  <c r="CL371" i="80"/>
  <c r="EP371" i="80"/>
  <c r="EH372" i="79"/>
  <c r="AP199" i="80"/>
  <c r="AV112" i="80"/>
  <c r="CZ246" i="80"/>
  <c r="DB246" i="80" s="1"/>
  <c r="BM370" i="79"/>
  <c r="EV147" i="79"/>
  <c r="AV246" i="80"/>
  <c r="AX246" i="80" s="1"/>
  <c r="AW370" i="79"/>
  <c r="BD372" i="80"/>
  <c r="BT147" i="79"/>
  <c r="FD246" i="80"/>
  <c r="FF246" i="80" s="1"/>
  <c r="FM370" i="79"/>
  <c r="CJ372" i="80"/>
  <c r="FD372" i="80"/>
  <c r="DH147" i="79"/>
  <c r="X103" i="79"/>
  <c r="Z103" i="79" s="1"/>
  <c r="AH231" i="79"/>
  <c r="CL231" i="79"/>
  <c r="DP112" i="80"/>
  <c r="BL147" i="79"/>
  <c r="EX371" i="80"/>
  <c r="AH372" i="79"/>
  <c r="DR231" i="79"/>
  <c r="DY59" i="79"/>
  <c r="AP373" i="80"/>
  <c r="EF123" i="80"/>
  <c r="FL372" i="79"/>
  <c r="EV372" i="79"/>
  <c r="DQ59" i="79"/>
  <c r="DX103" i="79"/>
  <c r="DZ103" i="79" s="1"/>
  <c r="BM311" i="80"/>
  <c r="DZ249" i="79"/>
  <c r="BV276" i="79"/>
  <c r="DY103" i="80"/>
  <c r="DZ103" i="80" s="1"/>
  <c r="EG103" i="80"/>
  <c r="EH103" i="80" s="1"/>
  <c r="R231" i="79"/>
  <c r="Y59" i="79"/>
  <c r="R373" i="80"/>
  <c r="BU59" i="79"/>
  <c r="CJ374" i="80"/>
  <c r="DP374" i="80"/>
  <c r="BD123" i="80"/>
  <c r="AF123" i="80"/>
  <c r="AN123" i="79"/>
  <c r="BL123" i="79"/>
  <c r="BT123" i="80"/>
  <c r="EH373" i="80"/>
  <c r="J35" i="98"/>
  <c r="J36" i="98" s="1"/>
  <c r="DH372" i="79"/>
  <c r="AV372" i="79"/>
  <c r="I151" i="80"/>
  <c r="CR103" i="79"/>
  <c r="CT103" i="79" s="1"/>
  <c r="R193" i="80"/>
  <c r="DR193" i="80"/>
  <c r="DZ249" i="80"/>
  <c r="Q103" i="80"/>
  <c r="R103" i="80" s="1"/>
  <c r="FE103" i="80"/>
  <c r="FF103" i="80" s="1"/>
  <c r="DI59" i="79"/>
  <c r="CT373" i="80"/>
  <c r="FF373" i="80"/>
  <c r="FD103" i="79"/>
  <c r="FF103" i="79" s="1"/>
  <c r="AN374" i="80"/>
  <c r="DX374" i="80"/>
  <c r="P123" i="80"/>
  <c r="AN123" i="80"/>
  <c r="P123" i="79"/>
  <c r="X123" i="79"/>
  <c r="EG372" i="80"/>
  <c r="Q372" i="80"/>
  <c r="AX276" i="79"/>
  <c r="EW59" i="79"/>
  <c r="CL373" i="80"/>
  <c r="AH373" i="80"/>
  <c r="Z373" i="80"/>
  <c r="DH103" i="79"/>
  <c r="DJ103" i="79" s="1"/>
  <c r="CB123" i="80"/>
  <c r="EV123" i="79"/>
  <c r="AF372" i="79"/>
  <c r="X372" i="79"/>
  <c r="AW59" i="79"/>
  <c r="EV188" i="80"/>
  <c r="EX188" i="80" s="1"/>
  <c r="BM59" i="79"/>
  <c r="BD103" i="79"/>
  <c r="BF103" i="79" s="1"/>
  <c r="BL103" i="79"/>
  <c r="BN103" i="79" s="1"/>
  <c r="DB193" i="80"/>
  <c r="CT276" i="79"/>
  <c r="DB249" i="80"/>
  <c r="FM103" i="80"/>
  <c r="FN103" i="80" s="1"/>
  <c r="CS103" i="80"/>
  <c r="CT103" i="80" s="1"/>
  <c r="EX232" i="80"/>
  <c r="DB373" i="80"/>
  <c r="DJ373" i="80"/>
  <c r="CJ103" i="79"/>
  <c r="CL103" i="79" s="1"/>
  <c r="AF374" i="80"/>
  <c r="EN374" i="80"/>
  <c r="BL123" i="80"/>
  <c r="EN123" i="80"/>
  <c r="FD123" i="80"/>
  <c r="DB199" i="80"/>
  <c r="FD123" i="79"/>
  <c r="CJ123" i="79"/>
  <c r="EX373" i="80"/>
  <c r="CD373" i="80"/>
  <c r="DX123" i="79"/>
  <c r="J55" i="98"/>
  <c r="FM59" i="79"/>
  <c r="AN103" i="79"/>
  <c r="AP103" i="79" s="1"/>
  <c r="J130" i="80"/>
  <c r="P372" i="79"/>
  <c r="BD372" i="79"/>
  <c r="Q59" i="79"/>
  <c r="EN188" i="80"/>
  <c r="EP188" i="80" s="1"/>
  <c r="BE59" i="79"/>
  <c r="EG59" i="79"/>
  <c r="EV103" i="79"/>
  <c r="EX103" i="79" s="1"/>
  <c r="DP103" i="79"/>
  <c r="DR103" i="79" s="1"/>
  <c r="CL193" i="80"/>
  <c r="Z249" i="79"/>
  <c r="Z276" i="79"/>
  <c r="R249" i="80"/>
  <c r="AG103" i="80"/>
  <c r="AH103" i="80" s="1"/>
  <c r="DI103" i="80"/>
  <c r="DJ103" i="80" s="1"/>
  <c r="AO59" i="79"/>
  <c r="BV373" i="80"/>
  <c r="DA59" i="79"/>
  <c r="EV374" i="80"/>
  <c r="DH374" i="80"/>
  <c r="CR374" i="80"/>
  <c r="CJ123" i="80"/>
  <c r="DP123" i="80"/>
  <c r="X123" i="80"/>
  <c r="DB103" i="80"/>
  <c r="AW103" i="80"/>
  <c r="AX103" i="80" s="1"/>
  <c r="CB123" i="79"/>
  <c r="DR373" i="80"/>
  <c r="CL371" i="79"/>
  <c r="FN276" i="79"/>
  <c r="EP373" i="80"/>
  <c r="DX123" i="80"/>
  <c r="DX372" i="79"/>
  <c r="EF188" i="80"/>
  <c r="EH188" i="80" s="1"/>
  <c r="FE59" i="79"/>
  <c r="CC59" i="79"/>
  <c r="CB103" i="79"/>
  <c r="CD103" i="79" s="1"/>
  <c r="CD276" i="79"/>
  <c r="DJ276" i="79"/>
  <c r="EH249" i="80"/>
  <c r="CK103" i="80"/>
  <c r="CL103" i="80" s="1"/>
  <c r="BE103" i="80"/>
  <c r="BF103" i="80" s="1"/>
  <c r="EP245" i="79"/>
  <c r="BD374" i="80"/>
  <c r="BL374" i="80"/>
  <c r="P374" i="80"/>
  <c r="FL123" i="80"/>
  <c r="EV123" i="80"/>
  <c r="CR123" i="80"/>
  <c r="FF371" i="79"/>
  <c r="AH371" i="80"/>
  <c r="FN371" i="80"/>
  <c r="Z371" i="79"/>
  <c r="I124" i="79"/>
  <c r="I124" i="80"/>
  <c r="DJ371" i="79"/>
  <c r="FN371" i="79"/>
  <c r="J215" i="80"/>
  <c r="J16" i="85"/>
  <c r="L2" i="90" s="1"/>
  <c r="AX193" i="80"/>
  <c r="J16" i="80"/>
  <c r="J410" i="80" s="1"/>
  <c r="J426" i="80" s="1"/>
  <c r="EX231" i="79"/>
  <c r="AH371" i="79"/>
  <c r="BN371" i="79"/>
  <c r="BF371" i="79"/>
  <c r="G54" i="82"/>
  <c r="G54" i="35"/>
  <c r="AP371" i="79"/>
  <c r="CT371" i="79"/>
  <c r="FN373" i="80"/>
  <c r="BF373" i="80"/>
  <c r="BM113" i="80"/>
  <c r="DZ371" i="79"/>
  <c r="AV123" i="79"/>
  <c r="CR123" i="79"/>
  <c r="DH123" i="79"/>
  <c r="AF123" i="79"/>
  <c r="P23" i="118"/>
  <c r="AV188" i="80"/>
  <c r="AX188" i="80" s="1"/>
  <c r="J129" i="79"/>
  <c r="BV309" i="80"/>
  <c r="DH188" i="80"/>
  <c r="DJ188" i="80" s="1"/>
  <c r="BM248" i="80"/>
  <c r="DB176" i="79"/>
  <c r="BF249" i="79"/>
  <c r="BU98" i="80"/>
  <c r="EF244" i="79"/>
  <c r="I143" i="80"/>
  <c r="BN309" i="80"/>
  <c r="AF188" i="79"/>
  <c r="H143" i="80"/>
  <c r="EO375" i="80"/>
  <c r="DQ98" i="80"/>
  <c r="AP249" i="79"/>
  <c r="DR374" i="80"/>
  <c r="AH182" i="79"/>
  <c r="AH245" i="80"/>
  <c r="EH309" i="80"/>
  <c r="R371" i="79"/>
  <c r="DB371" i="79"/>
  <c r="AX371" i="79"/>
  <c r="CD371" i="79"/>
  <c r="BV371" i="79"/>
  <c r="EX371" i="79"/>
  <c r="EH371" i="79"/>
  <c r="EP371" i="79"/>
  <c r="DH373" i="79"/>
  <c r="BT373" i="79"/>
  <c r="AV373" i="79"/>
  <c r="BD373" i="79"/>
  <c r="CZ373" i="79"/>
  <c r="CJ373" i="79"/>
  <c r="CR373" i="79"/>
  <c r="P373" i="79"/>
  <c r="DX373" i="79"/>
  <c r="X373" i="79"/>
  <c r="EN373" i="79"/>
  <c r="EV373" i="79"/>
  <c r="BL373" i="79"/>
  <c r="FD373" i="79"/>
  <c r="FL373" i="79"/>
  <c r="CB373" i="79"/>
  <c r="AN373" i="79"/>
  <c r="EF373" i="79"/>
  <c r="AF373" i="79"/>
  <c r="DP373" i="79"/>
  <c r="AG113" i="80"/>
  <c r="DB309" i="80"/>
  <c r="CT232" i="80"/>
  <c r="FD244" i="79"/>
  <c r="AN244" i="79"/>
  <c r="FL268" i="80"/>
  <c r="H130" i="80"/>
  <c r="FK17" i="79"/>
  <c r="FK411" i="79" s="1"/>
  <c r="G153" i="85"/>
  <c r="I91" i="90" s="1"/>
  <c r="BK153" i="80"/>
  <c r="BL153" i="80" s="1"/>
  <c r="AE17" i="79"/>
  <c r="AE411" i="79" s="1"/>
  <c r="BC17" i="79"/>
  <c r="BC411" i="79" s="1"/>
  <c r="BK68" i="80"/>
  <c r="BL68" i="80" s="1"/>
  <c r="FC68" i="80"/>
  <c r="FD68" i="80" s="1"/>
  <c r="W68" i="80"/>
  <c r="DO153" i="80"/>
  <c r="DQ153" i="80" s="1"/>
  <c r="W17" i="79"/>
  <c r="W411" i="79" s="1"/>
  <c r="CB139" i="79"/>
  <c r="AV139" i="79"/>
  <c r="W61" i="80"/>
  <c r="FN231" i="79"/>
  <c r="X139" i="79"/>
  <c r="AO375" i="80"/>
  <c r="FM375" i="80"/>
  <c r="EM87" i="80"/>
  <c r="EO87" i="80" s="1"/>
  <c r="CI87" i="80"/>
  <c r="G91" i="80"/>
  <c r="CI91" i="80" s="1"/>
  <c r="EU87" i="80"/>
  <c r="AM87" i="80"/>
  <c r="DX244" i="79"/>
  <c r="CB244" i="79"/>
  <c r="AG188" i="79"/>
  <c r="EO188" i="79"/>
  <c r="G153" i="79"/>
  <c r="AU153" i="79" s="1"/>
  <c r="DW104" i="80"/>
  <c r="DX104" i="80" s="1"/>
  <c r="FK153" i="80"/>
  <c r="BS68" i="80"/>
  <c r="BT68" i="80" s="1"/>
  <c r="CI68" i="80"/>
  <c r="AU68" i="80"/>
  <c r="AV68" i="80" s="1"/>
  <c r="EM153" i="80"/>
  <c r="EN153" i="80" s="1"/>
  <c r="CQ153" i="80"/>
  <c r="CS153" i="80" s="1"/>
  <c r="BS17" i="79"/>
  <c r="BS411" i="79" s="1"/>
  <c r="AN139" i="79"/>
  <c r="BL139" i="79"/>
  <c r="DJ374" i="80"/>
  <c r="EW375" i="80"/>
  <c r="AW375" i="80"/>
  <c r="CQ87" i="80"/>
  <c r="CS87" i="80" s="1"/>
  <c r="DO60" i="79"/>
  <c r="BK87" i="80"/>
  <c r="EE87" i="80"/>
  <c r="CR244" i="79"/>
  <c r="DP244" i="79"/>
  <c r="BU188" i="79"/>
  <c r="I153" i="85"/>
  <c r="K91" i="90" s="1"/>
  <c r="AE68" i="80"/>
  <c r="BK104" i="80"/>
  <c r="BM104" i="80" s="1"/>
  <c r="DG17" i="79"/>
  <c r="DG411" i="79" s="1"/>
  <c r="BC68" i="80"/>
  <c r="BD68" i="80" s="1"/>
  <c r="W153" i="80"/>
  <c r="Y153" i="80" s="1"/>
  <c r="FC153" i="80"/>
  <c r="FD153" i="80" s="1"/>
  <c r="I202" i="80"/>
  <c r="BT139" i="79"/>
  <c r="EF139" i="79"/>
  <c r="CQ61" i="80"/>
  <c r="CJ139" i="79"/>
  <c r="BF374" i="80"/>
  <c r="DZ374" i="80"/>
  <c r="DI375" i="80"/>
  <c r="DA375" i="80"/>
  <c r="AG375" i="80"/>
  <c r="O87" i="80"/>
  <c r="Q87" i="80" s="1"/>
  <c r="DG87" i="80"/>
  <c r="AU87" i="80"/>
  <c r="DO87" i="80"/>
  <c r="DQ87" i="80" s="1"/>
  <c r="BS87" i="80"/>
  <c r="BU87" i="80" s="1"/>
  <c r="EX246" i="80"/>
  <c r="FK87" i="80"/>
  <c r="J153" i="79"/>
  <c r="AF244" i="79"/>
  <c r="AV244" i="79"/>
  <c r="DX268" i="80"/>
  <c r="CK188" i="79"/>
  <c r="CL188" i="79" s="1"/>
  <c r="CQ104" i="80"/>
  <c r="CR104" i="80" s="1"/>
  <c r="AM17" i="79"/>
  <c r="AM411" i="79" s="1"/>
  <c r="CY17" i="79"/>
  <c r="CY411" i="79" s="1"/>
  <c r="EM68" i="80"/>
  <c r="EN68" i="80" s="1"/>
  <c r="AE153" i="80"/>
  <c r="DW153" i="80"/>
  <c r="DX153" i="80" s="1"/>
  <c r="DH139" i="79"/>
  <c r="DP139" i="79"/>
  <c r="O61" i="80"/>
  <c r="AX374" i="80"/>
  <c r="EP374" i="80"/>
  <c r="EH374" i="80"/>
  <c r="CC375" i="80"/>
  <c r="BE375" i="80"/>
  <c r="DH305" i="79"/>
  <c r="BT305" i="79"/>
  <c r="CJ305" i="79"/>
  <c r="BL305" i="79"/>
  <c r="P305" i="79"/>
  <c r="BD305" i="79"/>
  <c r="X305" i="79"/>
  <c r="EN305" i="79"/>
  <c r="AF305" i="79"/>
  <c r="CZ305" i="79"/>
  <c r="AN305" i="79"/>
  <c r="CR305" i="79"/>
  <c r="EV305" i="79"/>
  <c r="EF305" i="79"/>
  <c r="FL305" i="79"/>
  <c r="AV305" i="79"/>
  <c r="DP305" i="79"/>
  <c r="FD305" i="79"/>
  <c r="CB305" i="79"/>
  <c r="BC87" i="80"/>
  <c r="BE87" i="80" s="1"/>
  <c r="E98" i="115"/>
  <c r="F22" i="104"/>
  <c r="CJ244" i="79"/>
  <c r="EN244" i="79"/>
  <c r="CB268" i="80"/>
  <c r="O68" i="80"/>
  <c r="P68" i="80" s="1"/>
  <c r="EU17" i="79"/>
  <c r="EU411" i="79" s="1"/>
  <c r="CY68" i="80"/>
  <c r="CZ68" i="80" s="1"/>
  <c r="CQ68" i="80"/>
  <c r="CR68" i="80" s="1"/>
  <c r="O17" i="79"/>
  <c r="O411" i="79" s="1"/>
  <c r="AM68" i="80"/>
  <c r="CA153" i="80"/>
  <c r="CC153" i="80" s="1"/>
  <c r="EM17" i="79"/>
  <c r="EM411" i="79" s="1"/>
  <c r="AF139" i="79"/>
  <c r="EF68" i="80"/>
  <c r="DW61" i="80"/>
  <c r="EX276" i="79"/>
  <c r="FN309" i="80"/>
  <c r="FN374" i="80"/>
  <c r="CD374" i="80"/>
  <c r="BV374" i="80"/>
  <c r="Q375" i="80"/>
  <c r="DQ375" i="80"/>
  <c r="BU375" i="80"/>
  <c r="CY96" i="80"/>
  <c r="EE96" i="80"/>
  <c r="BC96" i="80"/>
  <c r="BV375" i="79"/>
  <c r="CT375" i="79"/>
  <c r="DR375" i="79"/>
  <c r="DJ375" i="79"/>
  <c r="DB375" i="79"/>
  <c r="FN375" i="79"/>
  <c r="AH375" i="79"/>
  <c r="FF375" i="79"/>
  <c r="BN375" i="79"/>
  <c r="X244" i="79"/>
  <c r="P244" i="79"/>
  <c r="FK68" i="80"/>
  <c r="FL68" i="80" s="1"/>
  <c r="BK17" i="79"/>
  <c r="BK411" i="79" s="1"/>
  <c r="AM153" i="80"/>
  <c r="AN153" i="80" s="1"/>
  <c r="EU153" i="80"/>
  <c r="EW153" i="80" s="1"/>
  <c r="DW68" i="80"/>
  <c r="DX68" i="80" s="1"/>
  <c r="DG153" i="80"/>
  <c r="DH153" i="80" s="1"/>
  <c r="CI17" i="79"/>
  <c r="CI411" i="79" s="1"/>
  <c r="BD139" i="79"/>
  <c r="FL139" i="79"/>
  <c r="EM61" i="80"/>
  <c r="Z374" i="80"/>
  <c r="AP374" i="80"/>
  <c r="BM375" i="80"/>
  <c r="EG375" i="80"/>
  <c r="FE375" i="80"/>
  <c r="CS375" i="80"/>
  <c r="CZ244" i="79"/>
  <c r="H130" i="85"/>
  <c r="J76" i="90" s="1"/>
  <c r="H153" i="85"/>
  <c r="J91" i="90" s="1"/>
  <c r="DW17" i="79"/>
  <c r="DW411" i="79" s="1"/>
  <c r="AU153" i="80"/>
  <c r="AW153" i="80" s="1"/>
  <c r="CA68" i="80"/>
  <c r="DG68" i="80"/>
  <c r="DH68" i="80" s="1"/>
  <c r="CZ139" i="79"/>
  <c r="DY375" i="80"/>
  <c r="CK375" i="80"/>
  <c r="J26" i="98"/>
  <c r="D58" i="98"/>
  <c r="J295" i="80"/>
  <c r="FN226" i="80"/>
  <c r="DR245" i="79"/>
  <c r="EE68" i="79"/>
  <c r="O68" i="79"/>
  <c r="CA68" i="79"/>
  <c r="W68" i="79"/>
  <c r="CY68" i="79"/>
  <c r="DO68" i="79"/>
  <c r="FK68" i="79"/>
  <c r="BS68" i="79"/>
  <c r="BC68" i="79"/>
  <c r="CQ68" i="79"/>
  <c r="AU68" i="79"/>
  <c r="EM68" i="79"/>
  <c r="AE68" i="79"/>
  <c r="AG375" i="79"/>
  <c r="EG375" i="79"/>
  <c r="CK375" i="79"/>
  <c r="CC375" i="79"/>
  <c r="Y375" i="79"/>
  <c r="G18" i="80"/>
  <c r="D56" i="35"/>
  <c r="G18" i="79"/>
  <c r="G18" i="85"/>
  <c r="I4" i="90" s="1"/>
  <c r="D56" i="82"/>
  <c r="BF176" i="80"/>
  <c r="DY96" i="80"/>
  <c r="DX96" i="80"/>
  <c r="DZ250" i="79"/>
  <c r="H60" i="85"/>
  <c r="J26" i="90" s="1"/>
  <c r="H60" i="79"/>
  <c r="FD60" i="79" s="1"/>
  <c r="H60" i="80"/>
  <c r="FL60" i="80" s="1"/>
  <c r="FE123" i="79"/>
  <c r="CC123" i="79"/>
  <c r="Y123" i="79"/>
  <c r="DQ123" i="79"/>
  <c r="BM123" i="79"/>
  <c r="AG123" i="79"/>
  <c r="BE123" i="79"/>
  <c r="EW123" i="79"/>
  <c r="AW123" i="79"/>
  <c r="EO123" i="79"/>
  <c r="AO123" i="79"/>
  <c r="CK123" i="79"/>
  <c r="DI123" i="79"/>
  <c r="Q123" i="79"/>
  <c r="DA123" i="79"/>
  <c r="CS123" i="79"/>
  <c r="DY123" i="79"/>
  <c r="BU123" i="79"/>
  <c r="FM123" i="79"/>
  <c r="EG123" i="79"/>
  <c r="EH123" i="79" s="1"/>
  <c r="J60" i="79"/>
  <c r="J60" i="80"/>
  <c r="J60" i="85"/>
  <c r="L26" i="90" s="1"/>
  <c r="E85" i="117"/>
  <c r="E92" i="117" s="1"/>
  <c r="DY140" i="80"/>
  <c r="CS140" i="80"/>
  <c r="DQ140" i="80"/>
  <c r="AW140" i="80"/>
  <c r="BE140" i="80"/>
  <c r="DI140" i="80"/>
  <c r="AG140" i="80"/>
  <c r="EO140" i="80"/>
  <c r="CK140" i="80"/>
  <c r="AO140" i="80"/>
  <c r="FE140" i="80"/>
  <c r="CC140" i="80"/>
  <c r="Q140" i="80"/>
  <c r="BU140" i="80"/>
  <c r="Y140" i="80"/>
  <c r="BM140" i="80"/>
  <c r="FM140" i="80"/>
  <c r="EG140" i="80"/>
  <c r="DA140" i="80"/>
  <c r="EW140" i="80"/>
  <c r="BF374" i="79"/>
  <c r="CT374" i="79"/>
  <c r="DR374" i="79"/>
  <c r="EH374" i="79"/>
  <c r="BV374" i="79"/>
  <c r="Z374" i="79"/>
  <c r="FF374" i="79"/>
  <c r="EX374" i="79"/>
  <c r="EP374" i="79"/>
  <c r="AP374" i="79"/>
  <c r="R374" i="79"/>
  <c r="AX374" i="79"/>
  <c r="BN374" i="79"/>
  <c r="DB374" i="79"/>
  <c r="DJ374" i="79"/>
  <c r="CD374" i="79"/>
  <c r="FN374" i="79"/>
  <c r="CL374" i="79"/>
  <c r="DZ374" i="79"/>
  <c r="AH374" i="79"/>
  <c r="FN232" i="80"/>
  <c r="EN112" i="79"/>
  <c r="FL112" i="79"/>
  <c r="EF112" i="79"/>
  <c r="FD112" i="79"/>
  <c r="EV112" i="79"/>
  <c r="BU96" i="80"/>
  <c r="BT96" i="80"/>
  <c r="J295" i="85"/>
  <c r="L165" i="90" s="1"/>
  <c r="P103" i="79"/>
  <c r="R103" i="79" s="1"/>
  <c r="FL103" i="79"/>
  <c r="FN103" i="79" s="1"/>
  <c r="AV103" i="79"/>
  <c r="AX103" i="79" s="1"/>
  <c r="X112" i="80"/>
  <c r="EN112" i="80"/>
  <c r="DH112" i="80"/>
  <c r="CJ112" i="80"/>
  <c r="AN112" i="80"/>
  <c r="H124" i="85"/>
  <c r="J70" i="90" s="1"/>
  <c r="H124" i="80"/>
  <c r="H124" i="79"/>
  <c r="EX374" i="80"/>
  <c r="CL374" i="80"/>
  <c r="I89" i="117"/>
  <c r="DB199" i="79"/>
  <c r="G72" i="80"/>
  <c r="G72" i="85"/>
  <c r="I38" i="90" s="1"/>
  <c r="G72" i="79"/>
  <c r="FC61" i="80"/>
  <c r="AU61" i="80"/>
  <c r="CA61" i="80"/>
  <c r="BK61" i="80"/>
  <c r="CY61" i="80"/>
  <c r="DG61" i="80"/>
  <c r="AM61" i="80"/>
  <c r="CI61" i="80"/>
  <c r="BS61" i="80"/>
  <c r="BC61" i="80"/>
  <c r="EU61" i="80"/>
  <c r="FK61" i="80"/>
  <c r="EE61" i="80"/>
  <c r="BC153" i="80"/>
  <c r="CI153" i="80"/>
  <c r="BS153" i="80"/>
  <c r="O153" i="80"/>
  <c r="J57" i="85"/>
  <c r="L23" i="90" s="1"/>
  <c r="J57" i="79"/>
  <c r="J57" i="80"/>
  <c r="CS96" i="79"/>
  <c r="CR96" i="79"/>
  <c r="EG147" i="79"/>
  <c r="DO104" i="79"/>
  <c r="DP104" i="79" s="1"/>
  <c r="J153" i="80"/>
  <c r="I61" i="85"/>
  <c r="K27" i="90" s="1"/>
  <c r="I61" i="80"/>
  <c r="I61" i="79"/>
  <c r="DA147" i="79"/>
  <c r="J202" i="80"/>
  <c r="CL182" i="79"/>
  <c r="W61" i="79"/>
  <c r="FK61" i="79"/>
  <c r="EU61" i="79"/>
  <c r="BC61" i="79"/>
  <c r="BS61" i="79"/>
  <c r="FC61" i="79"/>
  <c r="DA96" i="79"/>
  <c r="I215" i="80"/>
  <c r="EP232" i="80"/>
  <c r="DR309" i="80"/>
  <c r="FD96" i="79"/>
  <c r="FE96" i="79"/>
  <c r="K34" i="100"/>
  <c r="CT245" i="79"/>
  <c r="CS188" i="79"/>
  <c r="R309" i="80"/>
  <c r="CD309" i="80"/>
  <c r="AG96" i="79"/>
  <c r="AW147" i="79"/>
  <c r="DY147" i="79"/>
  <c r="FF176" i="79"/>
  <c r="DZ176" i="79"/>
  <c r="EH193" i="80"/>
  <c r="AH59" i="80"/>
  <c r="EV139" i="79"/>
  <c r="CR139" i="79"/>
  <c r="P139" i="79"/>
  <c r="DI371" i="79"/>
  <c r="CS371" i="79"/>
  <c r="CC371" i="79"/>
  <c r="CK371" i="79"/>
  <c r="AG371" i="79"/>
  <c r="FE371" i="79"/>
  <c r="EO371" i="79"/>
  <c r="BU371" i="79"/>
  <c r="EG371" i="79"/>
  <c r="BM371" i="79"/>
  <c r="Q371" i="79"/>
  <c r="FM371" i="79"/>
  <c r="DY371" i="79"/>
  <c r="AO371" i="79"/>
  <c r="Y371" i="79"/>
  <c r="DA371" i="79"/>
  <c r="BE371" i="79"/>
  <c r="AW371" i="79"/>
  <c r="EW371" i="79"/>
  <c r="DQ371" i="79"/>
  <c r="J61" i="85"/>
  <c r="L27" i="90" s="1"/>
  <c r="J61" i="80"/>
  <c r="J61" i="79"/>
  <c r="I57" i="85"/>
  <c r="K23" i="90" s="1"/>
  <c r="I57" i="79"/>
  <c r="EW57" i="79" s="1"/>
  <c r="I57" i="80"/>
  <c r="EO57" i="80" s="1"/>
  <c r="G125" i="85"/>
  <c r="I71" i="90" s="1"/>
  <c r="G125" i="79"/>
  <c r="G125" i="80"/>
  <c r="BE96" i="79"/>
  <c r="BD96" i="79"/>
  <c r="CC96" i="79"/>
  <c r="CB96" i="79"/>
  <c r="J129" i="85"/>
  <c r="L75" i="90" s="1"/>
  <c r="J130" i="85"/>
  <c r="L76" i="90" s="1"/>
  <c r="CK147" i="79"/>
  <c r="DB276" i="79"/>
  <c r="EX241" i="80"/>
  <c r="CD232" i="80"/>
  <c r="DZ232" i="80"/>
  <c r="CT309" i="80"/>
  <c r="G292" i="80"/>
  <c r="G292" i="85"/>
  <c r="I162" i="90" s="1"/>
  <c r="G292" i="79"/>
  <c r="CI71" i="79"/>
  <c r="AM71" i="79"/>
  <c r="W71" i="79"/>
  <c r="BC71" i="79"/>
  <c r="O71" i="79"/>
  <c r="BM96" i="79"/>
  <c r="BL96" i="79"/>
  <c r="Q371" i="80"/>
  <c r="DQ371" i="80"/>
  <c r="AO371" i="80"/>
  <c r="BU371" i="80"/>
  <c r="DA371" i="80"/>
  <c r="EW371" i="80"/>
  <c r="Y371" i="80"/>
  <c r="AG371" i="80"/>
  <c r="DI371" i="80"/>
  <c r="CS371" i="80"/>
  <c r="AW371" i="80"/>
  <c r="BE371" i="80"/>
  <c r="FE371" i="80"/>
  <c r="EO371" i="80"/>
  <c r="CK371" i="80"/>
  <c r="FM371" i="80"/>
  <c r="BM371" i="80"/>
  <c r="H61" i="85"/>
  <c r="J27" i="90" s="1"/>
  <c r="H61" i="79"/>
  <c r="DP61" i="79" s="1"/>
  <c r="H61" i="80"/>
  <c r="DW57" i="80"/>
  <c r="W57" i="80"/>
  <c r="AU57" i="80"/>
  <c r="CY57" i="80"/>
  <c r="BK57" i="80"/>
  <c r="FK57" i="80"/>
  <c r="EE57" i="80"/>
  <c r="BS57" i="80"/>
  <c r="DG57" i="80"/>
  <c r="CQ57" i="80"/>
  <c r="CA57" i="80"/>
  <c r="O57" i="80"/>
  <c r="BC57" i="80"/>
  <c r="AM57" i="80"/>
  <c r="FC57" i="80"/>
  <c r="CI57" i="80"/>
  <c r="DO57" i="80"/>
  <c r="EU57" i="80"/>
  <c r="AX309" i="80"/>
  <c r="DZ309" i="80"/>
  <c r="FN296" i="79"/>
  <c r="EP309" i="80"/>
  <c r="BF309" i="80"/>
  <c r="AP309" i="80"/>
  <c r="BV245" i="79"/>
  <c r="AH247" i="79"/>
  <c r="DX370" i="80"/>
  <c r="BD370" i="80"/>
  <c r="AF370" i="80"/>
  <c r="AN370" i="80"/>
  <c r="AV370" i="80"/>
  <c r="X370" i="80"/>
  <c r="EV370" i="80"/>
  <c r="BL370" i="80"/>
  <c r="CR370" i="80"/>
  <c r="EN370" i="80"/>
  <c r="CJ370" i="80"/>
  <c r="DH370" i="80"/>
  <c r="FD370" i="80"/>
  <c r="P370" i="80"/>
  <c r="DP370" i="80"/>
  <c r="EF370" i="80"/>
  <c r="FL370" i="80"/>
  <c r="BT370" i="80"/>
  <c r="CB370" i="80"/>
  <c r="CZ370" i="80"/>
  <c r="Q370" i="79"/>
  <c r="DA370" i="79"/>
  <c r="CC370" i="79"/>
  <c r="DY370" i="79"/>
  <c r="EO370" i="79"/>
  <c r="BE370" i="79"/>
  <c r="AF371" i="79"/>
  <c r="AN371" i="79"/>
  <c r="DP371" i="79"/>
  <c r="FL371" i="79"/>
  <c r="AV371" i="79"/>
  <c r="DX371" i="79"/>
  <c r="BL371" i="79"/>
  <c r="FD371" i="79"/>
  <c r="CJ371" i="79"/>
  <c r="X371" i="79"/>
  <c r="CR371" i="79"/>
  <c r="BT371" i="79"/>
  <c r="CB371" i="79"/>
  <c r="EN371" i="79"/>
  <c r="BD371" i="79"/>
  <c r="EF371" i="79"/>
  <c r="P371" i="79"/>
  <c r="CZ371" i="79"/>
  <c r="DH371" i="79"/>
  <c r="EV371" i="79"/>
  <c r="CL276" i="79"/>
  <c r="BN249" i="79"/>
  <c r="DR232" i="80"/>
  <c r="Z180" i="80"/>
  <c r="P375" i="80"/>
  <c r="BL375" i="80"/>
  <c r="CZ375" i="80"/>
  <c r="FD375" i="80"/>
  <c r="AV375" i="80"/>
  <c r="CJ375" i="80"/>
  <c r="EV375" i="80"/>
  <c r="EN375" i="80"/>
  <c r="AF375" i="80"/>
  <c r="BT375" i="80"/>
  <c r="DX375" i="80"/>
  <c r="EF375" i="80"/>
  <c r="BD375" i="80"/>
  <c r="FL375" i="80"/>
  <c r="DP375" i="80"/>
  <c r="X375" i="80"/>
  <c r="CB375" i="80"/>
  <c r="CR375" i="80"/>
  <c r="DH375" i="80"/>
  <c r="AN375" i="80"/>
  <c r="J37" i="98"/>
  <c r="EX182" i="79"/>
  <c r="CD182" i="79"/>
  <c r="P375" i="79"/>
  <c r="CB375" i="79"/>
  <c r="CJ375" i="79"/>
  <c r="EF375" i="79"/>
  <c r="EV375" i="79"/>
  <c r="BL375" i="79"/>
  <c r="BT375" i="79"/>
  <c r="CZ375" i="79"/>
  <c r="X375" i="79"/>
  <c r="BD375" i="79"/>
  <c r="FD375" i="79"/>
  <c r="EN375" i="79"/>
  <c r="AV375" i="79"/>
  <c r="DX375" i="79"/>
  <c r="AF375" i="79"/>
  <c r="DH375" i="79"/>
  <c r="FL375" i="79"/>
  <c r="DP375" i="79"/>
  <c r="AN375" i="79"/>
  <c r="CR375" i="79"/>
  <c r="EX249" i="79"/>
  <c r="EV370" i="79"/>
  <c r="CJ370" i="79"/>
  <c r="EN370" i="79"/>
  <c r="P370" i="79"/>
  <c r="AF370" i="79"/>
  <c r="FD370" i="79"/>
  <c r="EF370" i="79"/>
  <c r="FL370" i="79"/>
  <c r="X370" i="79"/>
  <c r="BD370" i="79"/>
  <c r="CZ370" i="79"/>
  <c r="CB370" i="79"/>
  <c r="BL370" i="79"/>
  <c r="CR370" i="79"/>
  <c r="AV370" i="79"/>
  <c r="DX370" i="79"/>
  <c r="AN370" i="79"/>
  <c r="DP370" i="79"/>
  <c r="DH370" i="79"/>
  <c r="BT370" i="79"/>
  <c r="AH232" i="80"/>
  <c r="EH226" i="79"/>
  <c r="CT180" i="79"/>
  <c r="CK180" i="80"/>
  <c r="CJ180" i="80"/>
  <c r="P245" i="79"/>
  <c r="R245" i="79" s="1"/>
  <c r="FE241" i="80"/>
  <c r="FD241" i="80"/>
  <c r="FD210" i="79"/>
  <c r="FC215" i="79"/>
  <c r="FE210" i="79"/>
  <c r="BT210" i="79"/>
  <c r="BU210" i="79"/>
  <c r="Q180" i="79"/>
  <c r="P180" i="79"/>
  <c r="BD180" i="79"/>
  <c r="BE180" i="79"/>
  <c r="EV180" i="80"/>
  <c r="EW180" i="80"/>
  <c r="EG180" i="80"/>
  <c r="EF180" i="80"/>
  <c r="CQ235" i="80"/>
  <c r="DI176" i="80"/>
  <c r="DJ176" i="80" s="1"/>
  <c r="AO176" i="80"/>
  <c r="AP176" i="80" s="1"/>
  <c r="P176" i="80"/>
  <c r="Q176" i="80"/>
  <c r="X176" i="80"/>
  <c r="Z176" i="80" s="1"/>
  <c r="CC180" i="80"/>
  <c r="CB180" i="80"/>
  <c r="AM235" i="80"/>
  <c r="BF247" i="79"/>
  <c r="DA176" i="80"/>
  <c r="DB176" i="80" s="1"/>
  <c r="FC235" i="79"/>
  <c r="AW199" i="79"/>
  <c r="AV199" i="79"/>
  <c r="DA241" i="80"/>
  <c r="CZ241" i="80"/>
  <c r="BE232" i="79"/>
  <c r="BD232" i="79"/>
  <c r="CS226" i="80"/>
  <c r="DH226" i="80"/>
  <c r="EU215" i="79"/>
  <c r="EV210" i="79"/>
  <c r="EW210" i="79"/>
  <c r="DW215" i="79"/>
  <c r="DX210" i="79"/>
  <c r="DY210" i="79"/>
  <c r="DP180" i="79"/>
  <c r="DQ180" i="79"/>
  <c r="EV180" i="79"/>
  <c r="EW180" i="79"/>
  <c r="CR180" i="80"/>
  <c r="CS180" i="80"/>
  <c r="EN180" i="80"/>
  <c r="EO180" i="80"/>
  <c r="FD194" i="80"/>
  <c r="CB194" i="80"/>
  <c r="CC194" i="80"/>
  <c r="DY194" i="80"/>
  <c r="Q194" i="80"/>
  <c r="EV194" i="80"/>
  <c r="P194" i="80"/>
  <c r="DX194" i="80"/>
  <c r="EN194" i="80"/>
  <c r="AG194" i="80"/>
  <c r="Z232" i="80"/>
  <c r="DP250" i="80"/>
  <c r="DR250" i="80" s="1"/>
  <c r="FD250" i="80"/>
  <c r="BD250" i="80"/>
  <c r="AG250" i="80"/>
  <c r="BE250" i="80"/>
  <c r="DG235" i="79"/>
  <c r="Q249" i="79"/>
  <c r="R249" i="79" s="1"/>
  <c r="BS202" i="79"/>
  <c r="BE226" i="80"/>
  <c r="DI226" i="80"/>
  <c r="FE226" i="80"/>
  <c r="DG215" i="79"/>
  <c r="DI210" i="79"/>
  <c r="BD210" i="79"/>
  <c r="BE210" i="79"/>
  <c r="CB180" i="79"/>
  <c r="CC180" i="79"/>
  <c r="AN180" i="79"/>
  <c r="AO180" i="79"/>
  <c r="AG180" i="80"/>
  <c r="AF180" i="80"/>
  <c r="DQ180" i="80"/>
  <c r="DP180" i="80"/>
  <c r="BE180" i="80"/>
  <c r="BD180" i="80"/>
  <c r="DH194" i="80"/>
  <c r="CL232" i="80"/>
  <c r="DJ245" i="80"/>
  <c r="BV176" i="79"/>
  <c r="FD249" i="79"/>
  <c r="FF249" i="79" s="1"/>
  <c r="DW235" i="80"/>
  <c r="FK235" i="79"/>
  <c r="EE235" i="79"/>
  <c r="BS215" i="79"/>
  <c r="AO226" i="79"/>
  <c r="AN226" i="79"/>
  <c r="AV232" i="79"/>
  <c r="AW232" i="79"/>
  <c r="FK215" i="79"/>
  <c r="FL210" i="79"/>
  <c r="FM210" i="79"/>
  <c r="Q210" i="79"/>
  <c r="P210" i="79"/>
  <c r="O215" i="79"/>
  <c r="EO180" i="79"/>
  <c r="EN180" i="79"/>
  <c r="AW180" i="80"/>
  <c r="AV180" i="80"/>
  <c r="FE180" i="80"/>
  <c r="FD180" i="80"/>
  <c r="FC235" i="80"/>
  <c r="AG176" i="80"/>
  <c r="DB232" i="80"/>
  <c r="FD226" i="80"/>
  <c r="FE194" i="80"/>
  <c r="P226" i="79"/>
  <c r="Q226" i="79"/>
  <c r="BE205" i="79"/>
  <c r="CY235" i="80"/>
  <c r="CB176" i="80"/>
  <c r="CD176" i="80" s="1"/>
  <c r="BT241" i="80"/>
  <c r="BU241" i="80"/>
  <c r="EW232" i="79"/>
  <c r="EV232" i="79"/>
  <c r="AV210" i="79"/>
  <c r="AW210" i="79"/>
  <c r="DP210" i="79"/>
  <c r="DQ210" i="79"/>
  <c r="FE214" i="80"/>
  <c r="FF214" i="80" s="1"/>
  <c r="AX232" i="80"/>
  <c r="FD180" i="79"/>
  <c r="FE180" i="79"/>
  <c r="EF180" i="79"/>
  <c r="EG180" i="79"/>
  <c r="AH180" i="79"/>
  <c r="X201" i="79"/>
  <c r="DX180" i="80"/>
  <c r="DY180" i="80"/>
  <c r="DA180" i="80"/>
  <c r="CZ180" i="80"/>
  <c r="BU249" i="79"/>
  <c r="BT249" i="79"/>
  <c r="BF232" i="80"/>
  <c r="EW194" i="80"/>
  <c r="X180" i="79"/>
  <c r="Y180" i="79"/>
  <c r="W235" i="80"/>
  <c r="FF232" i="80"/>
  <c r="Q180" i="80"/>
  <c r="R180" i="80" s="1"/>
  <c r="BN182" i="79"/>
  <c r="DI232" i="79"/>
  <c r="DH232" i="79"/>
  <c r="W215" i="79"/>
  <c r="X210" i="79"/>
  <c r="Y210" i="79"/>
  <c r="DA210" i="79"/>
  <c r="CY215" i="79"/>
  <c r="CZ210" i="79"/>
  <c r="FL180" i="79"/>
  <c r="FM180" i="79"/>
  <c r="DI180" i="79"/>
  <c r="DH180" i="79"/>
  <c r="CJ180" i="79"/>
  <c r="CK180" i="79"/>
  <c r="BL180" i="80"/>
  <c r="BM180" i="80"/>
  <c r="BU180" i="80"/>
  <c r="BT180" i="80"/>
  <c r="EH232" i="80"/>
  <c r="Y194" i="80"/>
  <c r="CR210" i="79"/>
  <c r="CS210" i="79"/>
  <c r="BU180" i="79"/>
  <c r="BT180" i="79"/>
  <c r="CA235" i="80"/>
  <c r="CQ215" i="79"/>
  <c r="AF176" i="80"/>
  <c r="AO232" i="79"/>
  <c r="AN232" i="79"/>
  <c r="EM215" i="79"/>
  <c r="EN210" i="79"/>
  <c r="EO210" i="79"/>
  <c r="DX180" i="79"/>
  <c r="DY180" i="79"/>
  <c r="CZ180" i="79"/>
  <c r="DA180" i="79"/>
  <c r="DI180" i="80"/>
  <c r="DH180" i="80"/>
  <c r="FM180" i="80"/>
  <c r="FL180" i="80"/>
  <c r="EO176" i="80"/>
  <c r="EP176" i="80" s="1"/>
  <c r="CJ249" i="79"/>
  <c r="CK249" i="79"/>
  <c r="AF194" i="80"/>
  <c r="DI199" i="79"/>
  <c r="DJ199" i="79" s="1"/>
  <c r="DG202" i="79"/>
  <c r="EG199" i="79"/>
  <c r="EH199" i="79" s="1"/>
  <c r="EE202" i="79"/>
  <c r="CB210" i="79"/>
  <c r="CC210" i="79"/>
  <c r="CA215" i="79"/>
  <c r="AO226" i="80"/>
  <c r="AN226" i="80"/>
  <c r="CR232" i="79"/>
  <c r="CS232" i="79"/>
  <c r="Q232" i="79"/>
  <c r="P232" i="79"/>
  <c r="X188" i="80"/>
  <c r="Z188" i="80" s="1"/>
  <c r="BT188" i="80"/>
  <c r="BV188" i="80" s="1"/>
  <c r="BU248" i="80"/>
  <c r="G89" i="117"/>
  <c r="G91" i="117" s="1"/>
  <c r="G92" i="117" s="1"/>
  <c r="BK207" i="79"/>
  <c r="BL206" i="79"/>
  <c r="AN182" i="79"/>
  <c r="AO182" i="79"/>
  <c r="AG226" i="80"/>
  <c r="AF226" i="80"/>
  <c r="AV182" i="79"/>
  <c r="AW182" i="79"/>
  <c r="AE215" i="79"/>
  <c r="AF210" i="79"/>
  <c r="AG210" i="79"/>
  <c r="X226" i="80"/>
  <c r="Y226" i="80"/>
  <c r="BK202" i="79"/>
  <c r="BL199" i="79"/>
  <c r="BM199" i="79"/>
  <c r="BM241" i="79"/>
  <c r="BL241" i="79"/>
  <c r="DP188" i="80"/>
  <c r="DR188" i="80" s="1"/>
  <c r="FD188" i="80"/>
  <c r="FF188" i="80" s="1"/>
  <c r="Y248" i="80"/>
  <c r="DY241" i="79"/>
  <c r="DX241" i="79"/>
  <c r="BM226" i="80"/>
  <c r="BL226" i="80"/>
  <c r="CC248" i="80"/>
  <c r="DQ232" i="79"/>
  <c r="DR232" i="79" s="1"/>
  <c r="DO235" i="79"/>
  <c r="AO194" i="80"/>
  <c r="AN194" i="80"/>
  <c r="CC210" i="80"/>
  <c r="CA215" i="80"/>
  <c r="CK210" i="79"/>
  <c r="CJ210" i="79"/>
  <c r="CI215" i="79"/>
  <c r="EW226" i="80"/>
  <c r="EV226" i="80"/>
  <c r="FL241" i="79"/>
  <c r="FM241" i="79"/>
  <c r="BM210" i="79"/>
  <c r="BL210" i="79"/>
  <c r="BK215" i="79"/>
  <c r="AV194" i="80"/>
  <c r="AW194" i="80"/>
  <c r="CB250" i="80"/>
  <c r="CC250" i="80"/>
  <c r="AO199" i="79"/>
  <c r="AP199" i="79" s="1"/>
  <c r="AM202" i="79"/>
  <c r="Y232" i="79"/>
  <c r="X232" i="79"/>
  <c r="EU235" i="79"/>
  <c r="DA226" i="80"/>
  <c r="CZ226" i="80"/>
  <c r="BU182" i="79"/>
  <c r="BT182" i="79"/>
  <c r="DB182" i="79"/>
  <c r="EU235" i="80"/>
  <c r="O202" i="79"/>
  <c r="P199" i="79"/>
  <c r="Q199" i="79"/>
  <c r="CZ250" i="80"/>
  <c r="DA250" i="80"/>
  <c r="DP182" i="79"/>
  <c r="DQ182" i="79"/>
  <c r="DA232" i="79"/>
  <c r="CZ232" i="79"/>
  <c r="BL232" i="79"/>
  <c r="BM232" i="79"/>
  <c r="BU194" i="80"/>
  <c r="BT194" i="80"/>
  <c r="DQ199" i="79"/>
  <c r="DR199" i="79" s="1"/>
  <c r="DO202" i="79"/>
  <c r="FD182" i="79"/>
  <c r="FE182" i="79"/>
  <c r="AN188" i="80"/>
  <c r="AP188" i="80" s="1"/>
  <c r="CZ188" i="80"/>
  <c r="DB188" i="80" s="1"/>
  <c r="DY232" i="79"/>
  <c r="DX232" i="79"/>
  <c r="P226" i="80"/>
  <c r="Q226" i="80"/>
  <c r="O235" i="79"/>
  <c r="W235" i="79"/>
  <c r="CB232" i="79"/>
  <c r="CC232" i="79"/>
  <c r="AU235" i="79"/>
  <c r="CT182" i="79"/>
  <c r="CJ188" i="80"/>
  <c r="CL188" i="80" s="1"/>
  <c r="BK235" i="80"/>
  <c r="BK235" i="79"/>
  <c r="BU241" i="79"/>
  <c r="BT241" i="79"/>
  <c r="DO207" i="79"/>
  <c r="DP206" i="79"/>
  <c r="AM235" i="79"/>
  <c r="DX199" i="79"/>
  <c r="DY199" i="79"/>
  <c r="DW202" i="79"/>
  <c r="AM215" i="79"/>
  <c r="AN210" i="79"/>
  <c r="AO210" i="79"/>
  <c r="BD194" i="80"/>
  <c r="BE194" i="80"/>
  <c r="EO232" i="79"/>
  <c r="EN232" i="79"/>
  <c r="CK232" i="79"/>
  <c r="CJ232" i="79"/>
  <c r="CI235" i="79"/>
  <c r="AO241" i="79"/>
  <c r="AN241" i="79"/>
  <c r="EH182" i="79"/>
  <c r="AU207" i="79"/>
  <c r="AW205" i="79"/>
  <c r="BS235" i="79"/>
  <c r="BU229" i="79"/>
  <c r="AO229" i="80"/>
  <c r="EH249" i="79"/>
  <c r="DR249" i="79"/>
  <c r="EO229" i="79"/>
  <c r="EM235" i="79"/>
  <c r="AE202" i="79"/>
  <c r="AF199" i="79"/>
  <c r="AG199" i="79"/>
  <c r="EX245" i="80"/>
  <c r="O235" i="80"/>
  <c r="Q232" i="80"/>
  <c r="P232" i="80"/>
  <c r="DB211" i="80"/>
  <c r="DZ245" i="79"/>
  <c r="DB249" i="79"/>
  <c r="CR199" i="79"/>
  <c r="CS199" i="79"/>
  <c r="CQ202" i="79"/>
  <c r="CY235" i="79"/>
  <c r="DA229" i="79"/>
  <c r="CY207" i="79"/>
  <c r="DA205" i="79"/>
  <c r="DJ247" i="79"/>
  <c r="CS229" i="79"/>
  <c r="CQ235" i="79"/>
  <c r="BC235" i="79"/>
  <c r="BE229" i="79"/>
  <c r="CA235" i="79"/>
  <c r="CC229" i="79"/>
  <c r="DW235" i="79"/>
  <c r="DY229" i="79"/>
  <c r="DJ245" i="79"/>
  <c r="G293" i="85"/>
  <c r="I163" i="90" s="1"/>
  <c r="G293" i="79"/>
  <c r="G293" i="80"/>
  <c r="BT96" i="79"/>
  <c r="BU96" i="79"/>
  <c r="CA60" i="79"/>
  <c r="AU60" i="79"/>
  <c r="DW60" i="79"/>
  <c r="BS60" i="79"/>
  <c r="BC60" i="79"/>
  <c r="BK60" i="79"/>
  <c r="EE60" i="79"/>
  <c r="EM60" i="79"/>
  <c r="CI60" i="79"/>
  <c r="O60" i="79"/>
  <c r="AM60" i="79"/>
  <c r="CQ60" i="79"/>
  <c r="AE60" i="79"/>
  <c r="EU60" i="79"/>
  <c r="DG60" i="79"/>
  <c r="CY60" i="79"/>
  <c r="FK60" i="79"/>
  <c r="W60" i="79"/>
  <c r="FE96" i="80"/>
  <c r="FD96" i="80"/>
  <c r="EO306" i="79"/>
  <c r="BU306" i="79"/>
  <c r="BE306" i="79"/>
  <c r="FM306" i="79"/>
  <c r="BM306" i="79"/>
  <c r="DQ306" i="79"/>
  <c r="Q306" i="79"/>
  <c r="DI306" i="79"/>
  <c r="FE306" i="79"/>
  <c r="CC306" i="79"/>
  <c r="EG306" i="79"/>
  <c r="AG306" i="79"/>
  <c r="EW306" i="79"/>
  <c r="Y306" i="79"/>
  <c r="DA306" i="79"/>
  <c r="CK306" i="79"/>
  <c r="AO306" i="79"/>
  <c r="CS306" i="79"/>
  <c r="AW306" i="79"/>
  <c r="DY306" i="79"/>
  <c r="AG98" i="80"/>
  <c r="CC98" i="80"/>
  <c r="BM98" i="80"/>
  <c r="BE98" i="80"/>
  <c r="FE98" i="80"/>
  <c r="Y98" i="80"/>
  <c r="FM98" i="80"/>
  <c r="EW98" i="80"/>
  <c r="Q98" i="80"/>
  <c r="DA98" i="80"/>
  <c r="AW98" i="80"/>
  <c r="DI98" i="80"/>
  <c r="CK98" i="80"/>
  <c r="AO98" i="80"/>
  <c r="CS98" i="80"/>
  <c r="EG98" i="80"/>
  <c r="EO98" i="80"/>
  <c r="DO297" i="80"/>
  <c r="AM297" i="80"/>
  <c r="DG297" i="80"/>
  <c r="CY297" i="80"/>
  <c r="BK297" i="80"/>
  <c r="AE297" i="80"/>
  <c r="AU297" i="80"/>
  <c r="EM297" i="80"/>
  <c r="CI297" i="80"/>
  <c r="FC297" i="80"/>
  <c r="DW297" i="80"/>
  <c r="CA297" i="80"/>
  <c r="FK297" i="80"/>
  <c r="CQ297" i="80"/>
  <c r="BS297" i="80"/>
  <c r="BC297" i="80"/>
  <c r="W297" i="80"/>
  <c r="G436" i="79"/>
  <c r="G390" i="79"/>
  <c r="DQ96" i="79"/>
  <c r="DP96" i="79"/>
  <c r="I60" i="85"/>
  <c r="K26" i="90" s="1"/>
  <c r="I60" i="80"/>
  <c r="DQ60" i="80" s="1"/>
  <c r="I60" i="79"/>
  <c r="AU16" i="80"/>
  <c r="EE16" i="80"/>
  <c r="EF16" i="80" s="1"/>
  <c r="EF410" i="80" s="1"/>
  <c r="DG16" i="80"/>
  <c r="DG410" i="80" s="1"/>
  <c r="AE16" i="80"/>
  <c r="AE410" i="80" s="1"/>
  <c r="DW16" i="80"/>
  <c r="DW410" i="80" s="1"/>
  <c r="BS16" i="80"/>
  <c r="EM16" i="80"/>
  <c r="EU16" i="80"/>
  <c r="EU410" i="80" s="1"/>
  <c r="CI16" i="80"/>
  <c r="CI410" i="80" s="1"/>
  <c r="BK16" i="80"/>
  <c r="BL16" i="80" s="1"/>
  <c r="BL410" i="80" s="1"/>
  <c r="CA16" i="80"/>
  <c r="CA410" i="80" s="1"/>
  <c r="CY16" i="80"/>
  <c r="AM16" i="80"/>
  <c r="O16" i="80"/>
  <c r="O410" i="80" s="1"/>
  <c r="W16" i="80"/>
  <c r="W410" i="80" s="1"/>
  <c r="Y201" i="79"/>
  <c r="Q201" i="79"/>
  <c r="DY201" i="79"/>
  <c r="BU201" i="79"/>
  <c r="BM201" i="79"/>
  <c r="EO201" i="79"/>
  <c r="CC201" i="79"/>
  <c r="FE201" i="79"/>
  <c r="CK201" i="79"/>
  <c r="BE201" i="79"/>
  <c r="CS201" i="79"/>
  <c r="AG201" i="79"/>
  <c r="DA201" i="79"/>
  <c r="AO201" i="79"/>
  <c r="AW201" i="79"/>
  <c r="DI201" i="79"/>
  <c r="FM201" i="79"/>
  <c r="EG201" i="79"/>
  <c r="EW201" i="79"/>
  <c r="DQ201" i="79"/>
  <c r="DW106" i="79"/>
  <c r="BK106" i="79"/>
  <c r="CI106" i="79"/>
  <c r="BC106" i="79"/>
  <c r="EM106" i="79"/>
  <c r="O106" i="79"/>
  <c r="AU106" i="79"/>
  <c r="CQ106" i="79"/>
  <c r="AM106" i="79"/>
  <c r="X230" i="80"/>
  <c r="CR230" i="80"/>
  <c r="AF230" i="80"/>
  <c r="AV230" i="80"/>
  <c r="CB230" i="80"/>
  <c r="CJ230" i="80"/>
  <c r="P230" i="80"/>
  <c r="BD230" i="80"/>
  <c r="AN230" i="80"/>
  <c r="DH230" i="80"/>
  <c r="BT230" i="80"/>
  <c r="EF230" i="80"/>
  <c r="FL230" i="80"/>
  <c r="EN230" i="80"/>
  <c r="EV230" i="80"/>
  <c r="DX230" i="80"/>
  <c r="BL230" i="80"/>
  <c r="DP230" i="80"/>
  <c r="FD230" i="80"/>
  <c r="CZ230" i="80"/>
  <c r="AH249" i="79"/>
  <c r="FC17" i="80"/>
  <c r="FC411" i="80" s="1"/>
  <c r="G411" i="80"/>
  <c r="BK17" i="80"/>
  <c r="BK411" i="80" s="1"/>
  <c r="EE17" i="80"/>
  <c r="EE411" i="80" s="1"/>
  <c r="EE124" i="80"/>
  <c r="FC124" i="80"/>
  <c r="BK124" i="80"/>
  <c r="CI124" i="80"/>
  <c r="BS124" i="80"/>
  <c r="CA124" i="80"/>
  <c r="EM124" i="80"/>
  <c r="CY124" i="80"/>
  <c r="CQ124" i="80"/>
  <c r="BC124" i="80"/>
  <c r="FK124" i="80"/>
  <c r="EU124" i="80"/>
  <c r="DG124" i="80"/>
  <c r="AM124" i="80"/>
  <c r="W124" i="80"/>
  <c r="DO124" i="80"/>
  <c r="AE124" i="80"/>
  <c r="O124" i="80"/>
  <c r="AU124" i="80"/>
  <c r="DW124" i="80"/>
  <c r="CI109" i="79"/>
  <c r="CQ109" i="79"/>
  <c r="FK109" i="79"/>
  <c r="EE109" i="79"/>
  <c r="O109" i="79"/>
  <c r="FC109" i="79"/>
  <c r="DO109" i="79"/>
  <c r="AE109" i="79"/>
  <c r="AU109" i="79"/>
  <c r="W109" i="79"/>
  <c r="CA109" i="79"/>
  <c r="DW109" i="79"/>
  <c r="EM109" i="79"/>
  <c r="BC109" i="79"/>
  <c r="DG109" i="79"/>
  <c r="CY109" i="79"/>
  <c r="BS109" i="79"/>
  <c r="BK109" i="79"/>
  <c r="AM109" i="79"/>
  <c r="EU109" i="79"/>
  <c r="EH176" i="79"/>
  <c r="J68" i="85"/>
  <c r="L34" i="90" s="1"/>
  <c r="J68" i="79"/>
  <c r="J68" i="80"/>
  <c r="AM16" i="79"/>
  <c r="AM410" i="79" s="1"/>
  <c r="DG16" i="79"/>
  <c r="DG410" i="79" s="1"/>
  <c r="FC16" i="79"/>
  <c r="FC410" i="79" s="1"/>
  <c r="BC16" i="79"/>
  <c r="BC410" i="79" s="1"/>
  <c r="EO96" i="80"/>
  <c r="EN96" i="80"/>
  <c r="FL280" i="79"/>
  <c r="DH280" i="79"/>
  <c r="CR280" i="79"/>
  <c r="BT280" i="79"/>
  <c r="CB280" i="79"/>
  <c r="EF280" i="79"/>
  <c r="DX280" i="79"/>
  <c r="EN280" i="79"/>
  <c r="BL280" i="79"/>
  <c r="X280" i="79"/>
  <c r="AV280" i="79"/>
  <c r="FD280" i="79"/>
  <c r="P280" i="79"/>
  <c r="CZ280" i="79"/>
  <c r="CJ280" i="79"/>
  <c r="BD280" i="79"/>
  <c r="AF280" i="79"/>
  <c r="AN280" i="79"/>
  <c r="DP280" i="79"/>
  <c r="EV280" i="79"/>
  <c r="BE201" i="80"/>
  <c r="AW201" i="80"/>
  <c r="EG201" i="80"/>
  <c r="DY201" i="80"/>
  <c r="DQ201" i="80"/>
  <c r="BM201" i="80"/>
  <c r="CK201" i="80"/>
  <c r="DA201" i="80"/>
  <c r="BU201" i="80"/>
  <c r="FM201" i="80"/>
  <c r="AO201" i="80"/>
  <c r="FE201" i="80"/>
  <c r="EO201" i="80"/>
  <c r="Q201" i="80"/>
  <c r="CZ200" i="79"/>
  <c r="AN200" i="79"/>
  <c r="DP200" i="79"/>
  <c r="EF200" i="79"/>
  <c r="DH200" i="79"/>
  <c r="BD200" i="79"/>
  <c r="CR200" i="79"/>
  <c r="X200" i="79"/>
  <c r="AF200" i="79"/>
  <c r="P200" i="79"/>
  <c r="CB200" i="79"/>
  <c r="DX200" i="79"/>
  <c r="BL200" i="79"/>
  <c r="FL200" i="79"/>
  <c r="BT200" i="79"/>
  <c r="FD200" i="79"/>
  <c r="CJ200" i="79"/>
  <c r="AV200" i="79"/>
  <c r="EN200" i="79"/>
  <c r="EV200" i="79"/>
  <c r="FL276" i="80"/>
  <c r="P276" i="80"/>
  <c r="CB276" i="80"/>
  <c r="EN276" i="80"/>
  <c r="AV276" i="80"/>
  <c r="BT276" i="80"/>
  <c r="EV276" i="80"/>
  <c r="BD276" i="80"/>
  <c r="EF276" i="80"/>
  <c r="FD276" i="80"/>
  <c r="DH276" i="80"/>
  <c r="X276" i="80"/>
  <c r="DP276" i="80"/>
  <c r="BL276" i="80"/>
  <c r="CZ276" i="80"/>
  <c r="DX276" i="80"/>
  <c r="CR276" i="80"/>
  <c r="CJ276" i="80"/>
  <c r="AF276" i="80"/>
  <c r="AH276" i="80" s="1"/>
  <c r="AN276" i="80"/>
  <c r="H106" i="85"/>
  <c r="J55" i="90" s="1"/>
  <c r="H106" i="79"/>
  <c r="EF230" i="79"/>
  <c r="DX230" i="79"/>
  <c r="DP230" i="79"/>
  <c r="CJ230" i="79"/>
  <c r="FL230" i="79"/>
  <c r="EN230" i="79"/>
  <c r="CR230" i="79"/>
  <c r="CB230" i="79"/>
  <c r="CZ230" i="79"/>
  <c r="X230" i="79"/>
  <c r="AV230" i="79"/>
  <c r="EV230" i="79"/>
  <c r="BT230" i="79"/>
  <c r="BL230" i="79"/>
  <c r="P230" i="79"/>
  <c r="BD230" i="79"/>
  <c r="DH230" i="79"/>
  <c r="FD230" i="79"/>
  <c r="AF230" i="79"/>
  <c r="AN230" i="79"/>
  <c r="DA212" i="80"/>
  <c r="EW212" i="80"/>
  <c r="Y212" i="80"/>
  <c r="EO212" i="80"/>
  <c r="BM212" i="80"/>
  <c r="BE212" i="80"/>
  <c r="BF212" i="80" s="1"/>
  <c r="DI212" i="80"/>
  <c r="CK212" i="80"/>
  <c r="EG212" i="80"/>
  <c r="BU212" i="80"/>
  <c r="DQ212" i="80"/>
  <c r="DY212" i="80"/>
  <c r="AO212" i="80"/>
  <c r="FE212" i="80"/>
  <c r="FM212" i="80"/>
  <c r="CS212" i="80"/>
  <c r="AW212" i="80"/>
  <c r="Q212" i="80"/>
  <c r="AG212" i="80"/>
  <c r="CC212" i="80"/>
  <c r="AX176" i="80"/>
  <c r="G27" i="93"/>
  <c r="E28" i="93" s="1"/>
  <c r="CL176" i="79"/>
  <c r="AU63" i="80"/>
  <c r="O63" i="80"/>
  <c r="FK63" i="80"/>
  <c r="AM63" i="80"/>
  <c r="FC63" i="80"/>
  <c r="EM63" i="80"/>
  <c r="W63" i="80"/>
  <c r="BS63" i="80"/>
  <c r="EE63" i="80"/>
  <c r="AE63" i="80"/>
  <c r="BK63" i="80"/>
  <c r="CQ63" i="80"/>
  <c r="DW63" i="80"/>
  <c r="CI63" i="80"/>
  <c r="DH96" i="79"/>
  <c r="DI96" i="79"/>
  <c r="DQ374" i="80"/>
  <c r="CK374" i="80"/>
  <c r="Y374" i="80"/>
  <c r="FE374" i="80"/>
  <c r="CC374" i="80"/>
  <c r="DY374" i="80"/>
  <c r="BM374" i="80"/>
  <c r="EG374" i="80"/>
  <c r="DA374" i="80"/>
  <c r="CS374" i="80"/>
  <c r="AW374" i="80"/>
  <c r="EW374" i="80"/>
  <c r="DI374" i="80"/>
  <c r="BU374" i="80"/>
  <c r="AG374" i="80"/>
  <c r="FM374" i="80"/>
  <c r="AO374" i="80"/>
  <c r="EO374" i="80"/>
  <c r="BE374" i="80"/>
  <c r="Q374" i="80"/>
  <c r="I62" i="85"/>
  <c r="I62" i="80"/>
  <c r="I62" i="79"/>
  <c r="EO212" i="79"/>
  <c r="DQ212" i="79"/>
  <c r="BM212" i="79"/>
  <c r="DY212" i="79"/>
  <c r="AW212" i="79"/>
  <c r="FM212" i="79"/>
  <c r="CK212" i="79"/>
  <c r="DI212" i="79"/>
  <c r="CC212" i="79"/>
  <c r="BU212" i="79"/>
  <c r="AO212" i="79"/>
  <c r="AG212" i="79"/>
  <c r="EW212" i="79"/>
  <c r="BE212" i="79"/>
  <c r="FE212" i="79"/>
  <c r="DA212" i="79"/>
  <c r="Y212" i="79"/>
  <c r="CS212" i="79"/>
  <c r="EG212" i="79"/>
  <c r="Q212" i="79"/>
  <c r="DJ249" i="79"/>
  <c r="AU17" i="79"/>
  <c r="AU411" i="79" s="1"/>
  <c r="G411" i="79"/>
  <c r="EE17" i="79"/>
  <c r="EE411" i="79" s="1"/>
  <c r="BK63" i="79"/>
  <c r="BC63" i="79"/>
  <c r="FC63" i="79"/>
  <c r="FK63" i="79"/>
  <c r="AU63" i="79"/>
  <c r="FE268" i="79"/>
  <c r="DI268" i="79"/>
  <c r="AG268" i="79"/>
  <c r="CS268" i="79"/>
  <c r="Y268" i="79"/>
  <c r="EW268" i="79"/>
  <c r="CC268" i="79"/>
  <c r="FM268" i="79"/>
  <c r="EG268" i="79"/>
  <c r="BU268" i="79"/>
  <c r="DQ268" i="79"/>
  <c r="BM268" i="79"/>
  <c r="AW268" i="79"/>
  <c r="AO268" i="79"/>
  <c r="Q268" i="79"/>
  <c r="EO268" i="79"/>
  <c r="DY268" i="79"/>
  <c r="DA268" i="79"/>
  <c r="BE268" i="79"/>
  <c r="CK268" i="79"/>
  <c r="CK178" i="79"/>
  <c r="BM178" i="79"/>
  <c r="FE178" i="79"/>
  <c r="AO178" i="79"/>
  <c r="AW178" i="79"/>
  <c r="Y178" i="79"/>
  <c r="EW178" i="79"/>
  <c r="DY178" i="79"/>
  <c r="CC178" i="79"/>
  <c r="AG178" i="79"/>
  <c r="FM178" i="79"/>
  <c r="Q178" i="79"/>
  <c r="DI178" i="79"/>
  <c r="EG178" i="79"/>
  <c r="BE178" i="79"/>
  <c r="EO178" i="79"/>
  <c r="DQ178" i="79"/>
  <c r="BU178" i="79"/>
  <c r="DA178" i="79"/>
  <c r="CS178" i="79"/>
  <c r="DI311" i="80"/>
  <c r="EG311" i="80"/>
  <c r="FM311" i="80"/>
  <c r="DA311" i="80"/>
  <c r="AO311" i="80"/>
  <c r="BE311" i="80"/>
  <c r="EW311" i="80"/>
  <c r="DY311" i="80"/>
  <c r="DQ311" i="80"/>
  <c r="CS311" i="80"/>
  <c r="CC311" i="80"/>
  <c r="CK311" i="80"/>
  <c r="AG311" i="80"/>
  <c r="EO311" i="80"/>
  <c r="Y311" i="80"/>
  <c r="BU311" i="80"/>
  <c r="AW311" i="80"/>
  <c r="FE311" i="80"/>
  <c r="EF200" i="80"/>
  <c r="AF200" i="80"/>
  <c r="EV200" i="80"/>
  <c r="BT200" i="80"/>
  <c r="FL200" i="80"/>
  <c r="BD200" i="80"/>
  <c r="X200" i="80"/>
  <c r="CB200" i="80"/>
  <c r="CJ200" i="80"/>
  <c r="DP200" i="80"/>
  <c r="FD200" i="80"/>
  <c r="DX200" i="80"/>
  <c r="CR200" i="80"/>
  <c r="DH200" i="80"/>
  <c r="EN200" i="80"/>
  <c r="CZ200" i="80"/>
  <c r="BL200" i="80"/>
  <c r="AN200" i="80"/>
  <c r="P200" i="80"/>
  <c r="AV200" i="80"/>
  <c r="J62" i="85"/>
  <c r="J62" i="80"/>
  <c r="J62" i="79"/>
  <c r="CT249" i="79"/>
  <c r="J104" i="85"/>
  <c r="L53" i="90" s="1"/>
  <c r="J104" i="79"/>
  <c r="P96" i="79"/>
  <c r="Q96" i="79"/>
  <c r="W87" i="80"/>
  <c r="Y87" i="80" s="1"/>
  <c r="CY87" i="80"/>
  <c r="DA87" i="80" s="1"/>
  <c r="FM268" i="80"/>
  <c r="CS268" i="80"/>
  <c r="DY268" i="80"/>
  <c r="CC268" i="80"/>
  <c r="BE268" i="80"/>
  <c r="DI268" i="80"/>
  <c r="FE268" i="80"/>
  <c r="EO268" i="80"/>
  <c r="EG268" i="80"/>
  <c r="DQ268" i="80"/>
  <c r="AG268" i="80"/>
  <c r="BM268" i="80"/>
  <c r="AW268" i="80"/>
  <c r="DA268" i="80"/>
  <c r="CK268" i="80"/>
  <c r="EW268" i="80"/>
  <c r="EX268" i="80" s="1"/>
  <c r="BU268" i="80"/>
  <c r="AO268" i="80"/>
  <c r="Q268" i="80"/>
  <c r="Y268" i="80"/>
  <c r="DQ178" i="80"/>
  <c r="DI178" i="80"/>
  <c r="DY178" i="80"/>
  <c r="FM178" i="80"/>
  <c r="BU178" i="80"/>
  <c r="EW178" i="80"/>
  <c r="BE178" i="80"/>
  <c r="Q178" i="80"/>
  <c r="Y178" i="80"/>
  <c r="AG178" i="80"/>
  <c r="AO178" i="80"/>
  <c r="EG178" i="80"/>
  <c r="EO178" i="80"/>
  <c r="BM178" i="80"/>
  <c r="FE178" i="80"/>
  <c r="CC178" i="80"/>
  <c r="AW178" i="80"/>
  <c r="DA178" i="80"/>
  <c r="CS178" i="80"/>
  <c r="CK178" i="80"/>
  <c r="CS311" i="79"/>
  <c r="BM311" i="79"/>
  <c r="DI311" i="79"/>
  <c r="EO311" i="79"/>
  <c r="BU311" i="79"/>
  <c r="CK311" i="79"/>
  <c r="DY311" i="79"/>
  <c r="AG311" i="79"/>
  <c r="CC311" i="79"/>
  <c r="FE311" i="79"/>
  <c r="EW311" i="79"/>
  <c r="DA311" i="79"/>
  <c r="AW311" i="79"/>
  <c r="AO311" i="79"/>
  <c r="EG311" i="79"/>
  <c r="BE311" i="79"/>
  <c r="DQ311" i="79"/>
  <c r="Y311" i="79"/>
  <c r="FM311" i="79"/>
  <c r="BD113" i="80"/>
  <c r="H62" i="85"/>
  <c r="H62" i="80"/>
  <c r="CZ62" i="80" s="1"/>
  <c r="H62" i="79"/>
  <c r="CR372" i="79"/>
  <c r="CJ372" i="79"/>
  <c r="H104" i="85"/>
  <c r="J53" i="90" s="1"/>
  <c r="H104" i="80"/>
  <c r="H104" i="79"/>
  <c r="AW96" i="79"/>
  <c r="AV96" i="79"/>
  <c r="J87" i="85"/>
  <c r="L42" i="90" s="1"/>
  <c r="J87" i="80"/>
  <c r="J87" i="79"/>
  <c r="EO244" i="80"/>
  <c r="EG244" i="80"/>
  <c r="Y244" i="80"/>
  <c r="BM244" i="80"/>
  <c r="Q244" i="80"/>
  <c r="AG244" i="80"/>
  <c r="CS244" i="80"/>
  <c r="FM244" i="80"/>
  <c r="DI244" i="80"/>
  <c r="CK244" i="80"/>
  <c r="DY244" i="80"/>
  <c r="EW244" i="80"/>
  <c r="DA244" i="80"/>
  <c r="BU244" i="80"/>
  <c r="CC244" i="80"/>
  <c r="BE244" i="80"/>
  <c r="AO244" i="80"/>
  <c r="DQ244" i="80"/>
  <c r="FE244" i="80"/>
  <c r="AW244" i="80"/>
  <c r="BC62" i="80"/>
  <c r="FC62" i="80"/>
  <c r="AE62" i="80"/>
  <c r="BS62" i="80"/>
  <c r="CA62" i="80"/>
  <c r="AM62" i="80"/>
  <c r="EE62" i="80"/>
  <c r="CQ62" i="80"/>
  <c r="DO62" i="80"/>
  <c r="CI62" i="80"/>
  <c r="DG62" i="80"/>
  <c r="CR113" i="79"/>
  <c r="BL113" i="79"/>
  <c r="DX113" i="79"/>
  <c r="AF113" i="79"/>
  <c r="DH113" i="79"/>
  <c r="J109" i="79"/>
  <c r="J109" i="80"/>
  <c r="J109" i="85"/>
  <c r="L58" i="90" s="1"/>
  <c r="D85" i="117"/>
  <c r="D92" i="117" s="1"/>
  <c r="AH176" i="79"/>
  <c r="O104" i="80"/>
  <c r="FC104" i="80"/>
  <c r="CA104" i="80"/>
  <c r="FK104" i="80"/>
  <c r="CY104" i="80"/>
  <c r="AE104" i="80"/>
  <c r="EE104" i="80"/>
  <c r="AM104" i="80"/>
  <c r="DG104" i="80"/>
  <c r="AU104" i="80"/>
  <c r="BS104" i="80"/>
  <c r="EU104" i="80"/>
  <c r="DO104" i="80"/>
  <c r="DI96" i="80"/>
  <c r="DH96" i="80"/>
  <c r="Q244" i="79"/>
  <c r="FM244" i="79"/>
  <c r="EO244" i="79"/>
  <c r="DY244" i="79"/>
  <c r="BE244" i="79"/>
  <c r="BF244" i="79" s="1"/>
  <c r="DI244" i="79"/>
  <c r="BU244" i="79"/>
  <c r="Y244" i="79"/>
  <c r="AW244" i="79"/>
  <c r="AO244" i="79"/>
  <c r="CK244" i="79"/>
  <c r="CS244" i="79"/>
  <c r="EW244" i="79"/>
  <c r="EG244" i="79"/>
  <c r="BM244" i="79"/>
  <c r="DA244" i="79"/>
  <c r="FE244" i="79"/>
  <c r="DQ244" i="79"/>
  <c r="AG244" i="79"/>
  <c r="CC244" i="79"/>
  <c r="DA306" i="80"/>
  <c r="AW306" i="80"/>
  <c r="EW306" i="80"/>
  <c r="FE306" i="80"/>
  <c r="DY306" i="80"/>
  <c r="Y306" i="80"/>
  <c r="EG306" i="80"/>
  <c r="Q306" i="80"/>
  <c r="DQ306" i="80"/>
  <c r="BU306" i="80"/>
  <c r="CS306" i="80"/>
  <c r="DI306" i="80"/>
  <c r="CC306" i="80"/>
  <c r="AO306" i="80"/>
  <c r="AG306" i="80"/>
  <c r="CK306" i="80"/>
  <c r="FM306" i="80"/>
  <c r="BM306" i="80"/>
  <c r="BE306" i="80"/>
  <c r="EO306" i="80"/>
  <c r="FK62" i="79"/>
  <c r="DO62" i="79"/>
  <c r="BK62" i="79"/>
  <c r="CY62" i="79"/>
  <c r="FC62" i="79"/>
  <c r="AM62" i="79"/>
  <c r="CQ62" i="79"/>
  <c r="AE62" i="79"/>
  <c r="EU62" i="79"/>
  <c r="EE62" i="79"/>
  <c r="O62" i="79"/>
  <c r="AU62" i="79"/>
  <c r="CA62" i="79"/>
  <c r="W62" i="79"/>
  <c r="CI62" i="79"/>
  <c r="DW62" i="79"/>
  <c r="EM62" i="79"/>
  <c r="BS62" i="79"/>
  <c r="DG62" i="79"/>
  <c r="BC62" i="79"/>
  <c r="DQ188" i="79"/>
  <c r="EG188" i="79"/>
  <c r="Y188" i="79"/>
  <c r="Q188" i="79"/>
  <c r="BE188" i="79"/>
  <c r="FM188" i="79"/>
  <c r="EW188" i="79"/>
  <c r="AW188" i="79"/>
  <c r="DA188" i="79"/>
  <c r="DA98" i="79"/>
  <c r="AO98" i="79"/>
  <c r="EW98" i="79"/>
  <c r="CS98" i="79"/>
  <c r="DY98" i="79"/>
  <c r="AW98" i="79"/>
  <c r="BU98" i="79"/>
  <c r="BM98" i="79"/>
  <c r="CK98" i="79"/>
  <c r="FE98" i="79"/>
  <c r="FM98" i="79"/>
  <c r="DI98" i="79"/>
  <c r="CC98" i="79"/>
  <c r="AG98" i="79"/>
  <c r="EG98" i="79"/>
  <c r="EO98" i="79"/>
  <c r="DQ98" i="79"/>
  <c r="BE98" i="79"/>
  <c r="Q98" i="79"/>
  <c r="AE297" i="79"/>
  <c r="FC297" i="79"/>
  <c r="DG297" i="79"/>
  <c r="CA124" i="79"/>
  <c r="FK124" i="79"/>
  <c r="CQ124" i="79"/>
  <c r="BS124" i="79"/>
  <c r="CI124" i="79"/>
  <c r="DO124" i="79"/>
  <c r="AE124" i="79"/>
  <c r="W124" i="79"/>
  <c r="EE124" i="79"/>
  <c r="FC124" i="79"/>
  <c r="EM124" i="79"/>
  <c r="BK124" i="79"/>
  <c r="CY124" i="79"/>
  <c r="DG124" i="79"/>
  <c r="EU124" i="79"/>
  <c r="AM124" i="79"/>
  <c r="BC124" i="79"/>
  <c r="AU124" i="79"/>
  <c r="O124" i="79"/>
  <c r="DW124" i="79"/>
  <c r="G38" i="100"/>
  <c r="EF193" i="79"/>
  <c r="EH193" i="79" s="1"/>
  <c r="DX193" i="79"/>
  <c r="DZ193" i="79" s="1"/>
  <c r="BT193" i="79"/>
  <c r="BV193" i="79" s="1"/>
  <c r="DP193" i="79"/>
  <c r="DR193" i="79" s="1"/>
  <c r="EV193" i="79"/>
  <c r="EX193" i="79" s="1"/>
  <c r="P193" i="79"/>
  <c r="R193" i="79" s="1"/>
  <c r="FL193" i="79"/>
  <c r="FN193" i="79" s="1"/>
  <c r="CR193" i="79"/>
  <c r="CT193" i="79" s="1"/>
  <c r="DH193" i="79"/>
  <c r="DJ193" i="79" s="1"/>
  <c r="BD193" i="79"/>
  <c r="BF193" i="79" s="1"/>
  <c r="BL193" i="79"/>
  <c r="BN193" i="79" s="1"/>
  <c r="FD193" i="79"/>
  <c r="FF193" i="79" s="1"/>
  <c r="AF193" i="79"/>
  <c r="AH193" i="79" s="1"/>
  <c r="AN193" i="79"/>
  <c r="AP193" i="79" s="1"/>
  <c r="CB193" i="79"/>
  <c r="CD193" i="79" s="1"/>
  <c r="AV193" i="79"/>
  <c r="AX193" i="79" s="1"/>
  <c r="EN193" i="79"/>
  <c r="EP193" i="79" s="1"/>
  <c r="CZ193" i="79"/>
  <c r="DB193" i="79" s="1"/>
  <c r="CJ193" i="79"/>
  <c r="CL193" i="79" s="1"/>
  <c r="X193" i="79"/>
  <c r="Z193" i="79" s="1"/>
  <c r="CC177" i="79"/>
  <c r="EO177" i="79"/>
  <c r="DI177" i="79"/>
  <c r="BM177" i="79"/>
  <c r="AW177" i="79"/>
  <c r="BU177" i="79"/>
  <c r="AO177" i="79"/>
  <c r="BE177" i="79"/>
  <c r="Y177" i="79"/>
  <c r="EG177" i="79"/>
  <c r="AG177" i="79"/>
  <c r="DA177" i="79"/>
  <c r="DY177" i="79"/>
  <c r="EW177" i="79"/>
  <c r="DQ177" i="79"/>
  <c r="FM177" i="79"/>
  <c r="FE177" i="79"/>
  <c r="Q177" i="79"/>
  <c r="CK177" i="79"/>
  <c r="CS177" i="79"/>
  <c r="FN199" i="79"/>
  <c r="EW255" i="79"/>
  <c r="EX255" i="79" s="1"/>
  <c r="EO255" i="79"/>
  <c r="EP255" i="79" s="1"/>
  <c r="BE255" i="79"/>
  <c r="BF255" i="79" s="1"/>
  <c r="AW255" i="79"/>
  <c r="AX255" i="79" s="1"/>
  <c r="Y255" i="79"/>
  <c r="Z255" i="79" s="1"/>
  <c r="DA255" i="79"/>
  <c r="DB255" i="79" s="1"/>
  <c r="DY255" i="79"/>
  <c r="DZ255" i="79" s="1"/>
  <c r="CK255" i="79"/>
  <c r="CL255" i="79" s="1"/>
  <c r="CS255" i="79"/>
  <c r="CT255" i="79" s="1"/>
  <c r="DI255" i="79"/>
  <c r="DJ255" i="79" s="1"/>
  <c r="BU255" i="79"/>
  <c r="BV255" i="79" s="1"/>
  <c r="AO255" i="79"/>
  <c r="AP255" i="79" s="1"/>
  <c r="FE255" i="79"/>
  <c r="FF255" i="79" s="1"/>
  <c r="CC255" i="79"/>
  <c r="CD255" i="79" s="1"/>
  <c r="BM255" i="79"/>
  <c r="BN255" i="79" s="1"/>
  <c r="EG255" i="79"/>
  <c r="EH255" i="79" s="1"/>
  <c r="DQ255" i="79"/>
  <c r="DR255" i="79" s="1"/>
  <c r="FM255" i="79"/>
  <c r="FN255" i="79" s="1"/>
  <c r="AG255" i="79"/>
  <c r="AH255" i="79" s="1"/>
  <c r="Q255" i="79"/>
  <c r="R255" i="79" s="1"/>
  <c r="F18" i="32"/>
  <c r="J215" i="85"/>
  <c r="AN68" i="80"/>
  <c r="EF268" i="80"/>
  <c r="AF268" i="80"/>
  <c r="BL268" i="80"/>
  <c r="AN268" i="80"/>
  <c r="DP268" i="80"/>
  <c r="X268" i="80"/>
  <c r="BD268" i="80"/>
  <c r="AV268" i="80"/>
  <c r="CJ268" i="80"/>
  <c r="FD268" i="80"/>
  <c r="BT268" i="80"/>
  <c r="DH268" i="80"/>
  <c r="EN268" i="80"/>
  <c r="P268" i="80"/>
  <c r="CR268" i="80"/>
  <c r="CZ268" i="80"/>
  <c r="AW177" i="80"/>
  <c r="Y177" i="80"/>
  <c r="DY177" i="80"/>
  <c r="CK177" i="80"/>
  <c r="FE177" i="80"/>
  <c r="EG177" i="80"/>
  <c r="DA177" i="80"/>
  <c r="FM177" i="80"/>
  <c r="BU177" i="80"/>
  <c r="BM177" i="80"/>
  <c r="EO177" i="80"/>
  <c r="DI177" i="80"/>
  <c r="AO177" i="80"/>
  <c r="BE177" i="80"/>
  <c r="CS177" i="80"/>
  <c r="DQ177" i="80"/>
  <c r="Q177" i="80"/>
  <c r="CC177" i="80"/>
  <c r="EW177" i="80"/>
  <c r="AG177" i="80"/>
  <c r="BM255" i="80"/>
  <c r="BN255" i="80" s="1"/>
  <c r="DI255" i="80"/>
  <c r="DJ255" i="80" s="1"/>
  <c r="EG255" i="80"/>
  <c r="EH255" i="80" s="1"/>
  <c r="BU255" i="80"/>
  <c r="BV255" i="80" s="1"/>
  <c r="EO255" i="80"/>
  <c r="EP255" i="80" s="1"/>
  <c r="BE255" i="80"/>
  <c r="BF255" i="80" s="1"/>
  <c r="DY255" i="80"/>
  <c r="DZ255" i="80" s="1"/>
  <c r="AO255" i="80"/>
  <c r="AP255" i="80" s="1"/>
  <c r="DQ255" i="80"/>
  <c r="DR255" i="80" s="1"/>
  <c r="AW255" i="80"/>
  <c r="AX255" i="80" s="1"/>
  <c r="FM255" i="80"/>
  <c r="FN255" i="80" s="1"/>
  <c r="CS255" i="80"/>
  <c r="CT255" i="80" s="1"/>
  <c r="Y255" i="80"/>
  <c r="Z255" i="80" s="1"/>
  <c r="EW255" i="80"/>
  <c r="EX255" i="80" s="1"/>
  <c r="CK255" i="80"/>
  <c r="CL255" i="80" s="1"/>
  <c r="Q255" i="80"/>
  <c r="R255" i="80" s="1"/>
  <c r="DA255" i="80"/>
  <c r="DB255" i="80" s="1"/>
  <c r="CC255" i="80"/>
  <c r="CD255" i="80" s="1"/>
  <c r="AG255" i="80"/>
  <c r="AH255" i="80" s="1"/>
  <c r="FE255" i="80"/>
  <c r="FF255" i="80" s="1"/>
  <c r="DX268" i="79"/>
  <c r="FD268" i="79"/>
  <c r="DH268" i="79"/>
  <c r="EN268" i="79"/>
  <c r="EF268" i="79"/>
  <c r="CB268" i="79"/>
  <c r="AN268" i="79"/>
  <c r="EV268" i="79"/>
  <c r="CR268" i="79"/>
  <c r="BT268" i="79"/>
  <c r="CJ268" i="79"/>
  <c r="X268" i="79"/>
  <c r="BD268" i="79"/>
  <c r="AV268" i="79"/>
  <c r="FL268" i="79"/>
  <c r="AF268" i="79"/>
  <c r="P268" i="79"/>
  <c r="DP268" i="79"/>
  <c r="BL268" i="79"/>
  <c r="CZ268" i="79"/>
  <c r="CK187" i="79"/>
  <c r="CL187" i="79" s="1"/>
  <c r="DA187" i="79"/>
  <c r="DB187" i="79" s="1"/>
  <c r="CS187" i="79"/>
  <c r="CT187" i="79" s="1"/>
  <c r="EO187" i="79"/>
  <c r="EP187" i="79" s="1"/>
  <c r="CC187" i="79"/>
  <c r="CD187" i="79" s="1"/>
  <c r="DY187" i="79"/>
  <c r="DZ187" i="79" s="1"/>
  <c r="DQ187" i="79"/>
  <c r="DR187" i="79" s="1"/>
  <c r="FE187" i="79"/>
  <c r="FF187" i="79" s="1"/>
  <c r="DI187" i="79"/>
  <c r="DJ187" i="79" s="1"/>
  <c r="EG187" i="79"/>
  <c r="EH187" i="79" s="1"/>
  <c r="EW187" i="79"/>
  <c r="EX187" i="79" s="1"/>
  <c r="FM187" i="79"/>
  <c r="FN187" i="79" s="1"/>
  <c r="AG187" i="79"/>
  <c r="AH187" i="79" s="1"/>
  <c r="BU187" i="79"/>
  <c r="BV187" i="79" s="1"/>
  <c r="AO187" i="79"/>
  <c r="AP187" i="79" s="1"/>
  <c r="AW187" i="79"/>
  <c r="AX187" i="79" s="1"/>
  <c r="Q187" i="79"/>
  <c r="R187" i="79" s="1"/>
  <c r="BM187" i="79"/>
  <c r="BN187" i="79" s="1"/>
  <c r="BE187" i="79"/>
  <c r="BF187" i="79" s="1"/>
  <c r="Y187" i="79"/>
  <c r="Z187" i="79" s="1"/>
  <c r="DX229" i="79"/>
  <c r="CJ229" i="79"/>
  <c r="CL229" i="79" s="1"/>
  <c r="FL229" i="79"/>
  <c r="FN229" i="79" s="1"/>
  <c r="DP229" i="79"/>
  <c r="DR229" i="79" s="1"/>
  <c r="EF229" i="79"/>
  <c r="EH229" i="79" s="1"/>
  <c r="CB229" i="79"/>
  <c r="P229" i="79"/>
  <c r="R229" i="79" s="1"/>
  <c r="EV229" i="79"/>
  <c r="EX229" i="79" s="1"/>
  <c r="AV229" i="79"/>
  <c r="AX229" i="79" s="1"/>
  <c r="X229" i="79"/>
  <c r="Z229" i="79" s="1"/>
  <c r="EN229" i="79"/>
  <c r="CR229" i="79"/>
  <c r="AN229" i="79"/>
  <c r="AP229" i="79" s="1"/>
  <c r="BD229" i="79"/>
  <c r="DH229" i="79"/>
  <c r="DJ229" i="79" s="1"/>
  <c r="FD229" i="79"/>
  <c r="FF229" i="79" s="1"/>
  <c r="AF229" i="79"/>
  <c r="AH229" i="79" s="1"/>
  <c r="BL229" i="79"/>
  <c r="BN229" i="79" s="1"/>
  <c r="BT229" i="79"/>
  <c r="CZ229" i="79"/>
  <c r="FD98" i="79"/>
  <c r="BT98" i="79"/>
  <c r="CZ98" i="79"/>
  <c r="FL98" i="79"/>
  <c r="DX98" i="79"/>
  <c r="BL98" i="79"/>
  <c r="CB98" i="79"/>
  <c r="X98" i="79"/>
  <c r="AN98" i="79"/>
  <c r="EF98" i="79"/>
  <c r="DH98" i="79"/>
  <c r="EV98" i="79"/>
  <c r="CR98" i="79"/>
  <c r="AV98" i="79"/>
  <c r="EN98" i="79"/>
  <c r="BD98" i="79"/>
  <c r="DP98" i="79"/>
  <c r="CJ98" i="79"/>
  <c r="P98" i="79"/>
  <c r="AF98" i="79"/>
  <c r="EV68" i="80"/>
  <c r="DP68" i="80"/>
  <c r="FL212" i="79"/>
  <c r="BD212" i="79"/>
  <c r="BL212" i="79"/>
  <c r="X212" i="79"/>
  <c r="EV212" i="79"/>
  <c r="AN212" i="79"/>
  <c r="DH212" i="79"/>
  <c r="P212" i="79"/>
  <c r="DX212" i="79"/>
  <c r="DP212" i="79"/>
  <c r="AV212" i="79"/>
  <c r="BT212" i="79"/>
  <c r="AF212" i="79"/>
  <c r="EF212" i="79"/>
  <c r="CB212" i="79"/>
  <c r="FD212" i="79"/>
  <c r="CZ212" i="79"/>
  <c r="CR212" i="79"/>
  <c r="CJ212" i="79"/>
  <c r="EN212" i="79"/>
  <c r="BN176" i="79"/>
  <c r="DI187" i="80"/>
  <c r="DJ187" i="80" s="1"/>
  <c r="EW187" i="80"/>
  <c r="EX187" i="80" s="1"/>
  <c r="BU187" i="80"/>
  <c r="BV187" i="80" s="1"/>
  <c r="EG187" i="80"/>
  <c r="EH187" i="80" s="1"/>
  <c r="FM187" i="80"/>
  <c r="FN187" i="80" s="1"/>
  <c r="BE187" i="80"/>
  <c r="BF187" i="80" s="1"/>
  <c r="DA187" i="80"/>
  <c r="DB187" i="80" s="1"/>
  <c r="AW187" i="80"/>
  <c r="AX187" i="80" s="1"/>
  <c r="CS187" i="80"/>
  <c r="CT187" i="80" s="1"/>
  <c r="CC187" i="80"/>
  <c r="CD187" i="80" s="1"/>
  <c r="DQ187" i="80"/>
  <c r="DR187" i="80" s="1"/>
  <c r="CK187" i="80"/>
  <c r="CL187" i="80" s="1"/>
  <c r="BM187" i="80"/>
  <c r="BN187" i="80" s="1"/>
  <c r="DY187" i="80"/>
  <c r="DZ187" i="80" s="1"/>
  <c r="FE187" i="80"/>
  <c r="FF187" i="80" s="1"/>
  <c r="Q187" i="80"/>
  <c r="R187" i="80" s="1"/>
  <c r="AG187" i="80"/>
  <c r="AH187" i="80" s="1"/>
  <c r="EO187" i="80"/>
  <c r="EP187" i="80" s="1"/>
  <c r="Y187" i="80"/>
  <c r="Z187" i="80" s="1"/>
  <c r="AO187" i="80"/>
  <c r="AP187" i="80" s="1"/>
  <c r="FN176" i="79"/>
  <c r="DP229" i="80"/>
  <c r="DR229" i="80" s="1"/>
  <c r="X229" i="80"/>
  <c r="Z229" i="80" s="1"/>
  <c r="CZ229" i="80"/>
  <c r="DB229" i="80" s="1"/>
  <c r="FD229" i="80"/>
  <c r="FF229" i="80" s="1"/>
  <c r="AV229" i="80"/>
  <c r="AX229" i="80" s="1"/>
  <c r="EV229" i="80"/>
  <c r="EX229" i="80" s="1"/>
  <c r="CJ229" i="80"/>
  <c r="CL229" i="80" s="1"/>
  <c r="CR229" i="80"/>
  <c r="CT229" i="80" s="1"/>
  <c r="P229" i="80"/>
  <c r="R229" i="80" s="1"/>
  <c r="EN229" i="80"/>
  <c r="EP229" i="80" s="1"/>
  <c r="BL229" i="80"/>
  <c r="BN229" i="80" s="1"/>
  <c r="BT229" i="80"/>
  <c r="BV229" i="80" s="1"/>
  <c r="AF229" i="80"/>
  <c r="AH229" i="80" s="1"/>
  <c r="BD229" i="80"/>
  <c r="BF229" i="80" s="1"/>
  <c r="CB229" i="80"/>
  <c r="CD229" i="80" s="1"/>
  <c r="FL229" i="80"/>
  <c r="FN229" i="80" s="1"/>
  <c r="DX229" i="80"/>
  <c r="DZ229" i="80" s="1"/>
  <c r="EF229" i="80"/>
  <c r="EH229" i="80" s="1"/>
  <c r="AN229" i="80"/>
  <c r="DH229" i="80"/>
  <c r="DJ229" i="80" s="1"/>
  <c r="BD98" i="80"/>
  <c r="DP98" i="80"/>
  <c r="AN98" i="80"/>
  <c r="DH98" i="80"/>
  <c r="AF98" i="80"/>
  <c r="P98" i="80"/>
  <c r="AV98" i="80"/>
  <c r="BT98" i="80"/>
  <c r="DX98" i="80"/>
  <c r="FD98" i="80"/>
  <c r="CZ98" i="80"/>
  <c r="FL98" i="80"/>
  <c r="EF98" i="80"/>
  <c r="BL98" i="80"/>
  <c r="EN98" i="80"/>
  <c r="EV98" i="80"/>
  <c r="CB98" i="80"/>
  <c r="X98" i="80"/>
  <c r="CJ98" i="80"/>
  <c r="CR98" i="80"/>
  <c r="FL189" i="80"/>
  <c r="FN189" i="80" s="1"/>
  <c r="DP189" i="80"/>
  <c r="DR189" i="80" s="1"/>
  <c r="EV189" i="80"/>
  <c r="EX189" i="80" s="1"/>
  <c r="EF189" i="80"/>
  <c r="EH189" i="80" s="1"/>
  <c r="CR189" i="80"/>
  <c r="CT189" i="80" s="1"/>
  <c r="CJ189" i="80"/>
  <c r="CL189" i="80" s="1"/>
  <c r="AF189" i="80"/>
  <c r="AH189" i="80" s="1"/>
  <c r="BL189" i="80"/>
  <c r="BN189" i="80" s="1"/>
  <c r="DH189" i="80"/>
  <c r="DJ189" i="80" s="1"/>
  <c r="AV189" i="80"/>
  <c r="AX189" i="80" s="1"/>
  <c r="CB189" i="80"/>
  <c r="CD189" i="80" s="1"/>
  <c r="X189" i="80"/>
  <c r="Z189" i="80" s="1"/>
  <c r="CZ189" i="80"/>
  <c r="DB189" i="80" s="1"/>
  <c r="BT189" i="80"/>
  <c r="BV189" i="80" s="1"/>
  <c r="DX189" i="80"/>
  <c r="DZ189" i="80" s="1"/>
  <c r="AN189" i="80"/>
  <c r="AP189" i="80" s="1"/>
  <c r="FD189" i="80"/>
  <c r="FF189" i="80" s="1"/>
  <c r="P189" i="80"/>
  <c r="R189" i="80" s="1"/>
  <c r="BD189" i="80"/>
  <c r="BF189" i="80" s="1"/>
  <c r="EN189" i="80"/>
  <c r="EP189" i="80" s="1"/>
  <c r="CJ68" i="80"/>
  <c r="DR176" i="79"/>
  <c r="P306" i="80"/>
  <c r="X306" i="80"/>
  <c r="BL306" i="80"/>
  <c r="EV306" i="80"/>
  <c r="DH306" i="80"/>
  <c r="FD306" i="80"/>
  <c r="FL306" i="80"/>
  <c r="CR306" i="80"/>
  <c r="DX306" i="80"/>
  <c r="DP306" i="80"/>
  <c r="CJ306" i="80"/>
  <c r="CB306" i="80"/>
  <c r="EF306" i="80"/>
  <c r="AV306" i="80"/>
  <c r="AF306" i="80"/>
  <c r="EN306" i="80"/>
  <c r="AN306" i="80"/>
  <c r="CZ306" i="80"/>
  <c r="BT306" i="80"/>
  <c r="BD306" i="80"/>
  <c r="BT189" i="79"/>
  <c r="EV189" i="79"/>
  <c r="DP189" i="79"/>
  <c r="AV189" i="79"/>
  <c r="DX189" i="79"/>
  <c r="AN189" i="79"/>
  <c r="EN189" i="79"/>
  <c r="X189" i="79"/>
  <c r="CR189" i="79"/>
  <c r="CZ189" i="79"/>
  <c r="AF189" i="79"/>
  <c r="FD189" i="79"/>
  <c r="P189" i="79"/>
  <c r="BD189" i="79"/>
  <c r="FL189" i="79"/>
  <c r="CB189" i="79"/>
  <c r="CJ189" i="79"/>
  <c r="DH189" i="79"/>
  <c r="BL189" i="79"/>
  <c r="FF199" i="79"/>
  <c r="X68" i="80"/>
  <c r="EN306" i="79"/>
  <c r="FL306" i="79"/>
  <c r="BL306" i="79"/>
  <c r="EF306" i="79"/>
  <c r="BD306" i="79"/>
  <c r="CZ306" i="79"/>
  <c r="AN306" i="79"/>
  <c r="P306" i="79"/>
  <c r="BT306" i="79"/>
  <c r="DH306" i="79"/>
  <c r="FD306" i="79"/>
  <c r="CJ306" i="79"/>
  <c r="AF306" i="79"/>
  <c r="EV306" i="79"/>
  <c r="AV306" i="79"/>
  <c r="CB306" i="79"/>
  <c r="X306" i="79"/>
  <c r="DX306" i="79"/>
  <c r="CR306" i="79"/>
  <c r="DP306" i="79"/>
  <c r="E16" i="32"/>
  <c r="I202" i="85"/>
  <c r="EP176" i="79"/>
  <c r="BU200" i="80"/>
  <c r="DA200" i="80"/>
  <c r="Y200" i="80"/>
  <c r="Q200" i="80"/>
  <c r="AW200" i="80"/>
  <c r="DI200" i="80"/>
  <c r="BM200" i="80"/>
  <c r="DY200" i="80"/>
  <c r="DQ200" i="80"/>
  <c r="AO200" i="80"/>
  <c r="FM200" i="80"/>
  <c r="CC200" i="80"/>
  <c r="CS200" i="80"/>
  <c r="CS202" i="80" s="1"/>
  <c r="AG200" i="80"/>
  <c r="EG200" i="80"/>
  <c r="FE200" i="80"/>
  <c r="EO200" i="80"/>
  <c r="CK200" i="80"/>
  <c r="EW200" i="80"/>
  <c r="BE200" i="80"/>
  <c r="H410" i="79"/>
  <c r="AN16" i="79"/>
  <c r="AN410" i="79" s="1"/>
  <c r="F35" i="93"/>
  <c r="E35" i="93"/>
  <c r="DI106" i="79"/>
  <c r="DH106" i="79"/>
  <c r="G383" i="79"/>
  <c r="G434" i="79"/>
  <c r="EU411" i="80"/>
  <c r="DW410" i="79"/>
  <c r="O410" i="79"/>
  <c r="P16" i="79"/>
  <c r="P410" i="79" s="1"/>
  <c r="I92" i="85"/>
  <c r="K47" i="90" s="1"/>
  <c r="F18" i="93"/>
  <c r="E18" i="93"/>
  <c r="BU106" i="79"/>
  <c r="BT106" i="79"/>
  <c r="DX210" i="80"/>
  <c r="AF210" i="80"/>
  <c r="CJ210" i="80"/>
  <c r="CZ210" i="80"/>
  <c r="X210" i="80"/>
  <c r="AN210" i="80"/>
  <c r="CR210" i="80"/>
  <c r="EN210" i="80"/>
  <c r="CB210" i="80"/>
  <c r="BD210" i="80"/>
  <c r="FL210" i="80"/>
  <c r="EF210" i="80"/>
  <c r="BL210" i="80"/>
  <c r="DH210" i="80"/>
  <c r="FD210" i="80"/>
  <c r="P210" i="80"/>
  <c r="DP210" i="80"/>
  <c r="AV210" i="80"/>
  <c r="BT210" i="80"/>
  <c r="EV210" i="80"/>
  <c r="BD104" i="80"/>
  <c r="BE104" i="80"/>
  <c r="O411" i="80"/>
  <c r="EE410" i="79"/>
  <c r="EF16" i="79"/>
  <c r="EF410" i="79" s="1"/>
  <c r="I92" i="79"/>
  <c r="DQ106" i="79"/>
  <c r="DP106" i="79"/>
  <c r="AG280" i="79"/>
  <c r="CC280" i="79"/>
  <c r="BM280" i="79"/>
  <c r="DY280" i="79"/>
  <c r="FM280" i="79"/>
  <c r="EW280" i="79"/>
  <c r="BE280" i="79"/>
  <c r="CS280" i="79"/>
  <c r="DI280" i="79"/>
  <c r="Y280" i="79"/>
  <c r="FE280" i="79"/>
  <c r="BU280" i="79"/>
  <c r="DA280" i="79"/>
  <c r="CK280" i="79"/>
  <c r="EO280" i="79"/>
  <c r="AW280" i="79"/>
  <c r="EG280" i="79"/>
  <c r="DQ280" i="79"/>
  <c r="Q280" i="79"/>
  <c r="AO280" i="79"/>
  <c r="F41" i="93"/>
  <c r="G41" i="93" s="1"/>
  <c r="X104" i="80"/>
  <c r="F54" i="82"/>
  <c r="I16" i="85"/>
  <c r="K2" i="90" s="1"/>
  <c r="I16" i="80"/>
  <c r="FE16" i="80" s="1"/>
  <c r="FE410" i="80" s="1"/>
  <c r="I16" i="79"/>
  <c r="F54" i="35"/>
  <c r="DO410" i="80"/>
  <c r="DP16" i="80"/>
  <c r="DP410" i="80" s="1"/>
  <c r="FC90" i="79"/>
  <c r="BC90" i="79"/>
  <c r="W90" i="79"/>
  <c r="BK90" i="79"/>
  <c r="AE90" i="79"/>
  <c r="FK90" i="79"/>
  <c r="CI90" i="79"/>
  <c r="EE90" i="79"/>
  <c r="AU90" i="79"/>
  <c r="O90" i="79"/>
  <c r="EM90" i="79"/>
  <c r="BS90" i="79"/>
  <c r="EU90" i="79"/>
  <c r="CY90" i="79"/>
  <c r="CQ90" i="79"/>
  <c r="CA90" i="79"/>
  <c r="DO90" i="79"/>
  <c r="DG90" i="79"/>
  <c r="AM90" i="79"/>
  <c r="DW90" i="79"/>
  <c r="I104" i="85"/>
  <c r="K53" i="90" s="1"/>
  <c r="I104" i="79"/>
  <c r="I104" i="80"/>
  <c r="CK214" i="79"/>
  <c r="AG214" i="79"/>
  <c r="DI214" i="79"/>
  <c r="BU214" i="79"/>
  <c r="CC214" i="79"/>
  <c r="CS214" i="79"/>
  <c r="BM214" i="79"/>
  <c r="EG214" i="79"/>
  <c r="BE214" i="79"/>
  <c r="FM214" i="79"/>
  <c r="AW214" i="79"/>
  <c r="FE214" i="79"/>
  <c r="DQ214" i="79"/>
  <c r="AO214" i="79"/>
  <c r="I215" i="79"/>
  <c r="EO214" i="79"/>
  <c r="Y214" i="79"/>
  <c r="Q214" i="79"/>
  <c r="DY214" i="79"/>
  <c r="EW214" i="79"/>
  <c r="DA214" i="79"/>
  <c r="EF153" i="80"/>
  <c r="EG153" i="80"/>
  <c r="CI410" i="79"/>
  <c r="CJ16" i="79"/>
  <c r="CJ410" i="79" s="1"/>
  <c r="AX176" i="79"/>
  <c r="G151" i="85"/>
  <c r="I89" i="90" s="1"/>
  <c r="K46" i="100"/>
  <c r="G256" i="80"/>
  <c r="G256" i="79"/>
  <c r="G256" i="85"/>
  <c r="I150" i="90" s="1"/>
  <c r="DA106" i="79"/>
  <c r="CZ106" i="79"/>
  <c r="FL106" i="79"/>
  <c r="FM106" i="79"/>
  <c r="FD295" i="79"/>
  <c r="FE295" i="79"/>
  <c r="CQ106" i="80"/>
  <c r="CA106" i="80"/>
  <c r="DW106" i="80"/>
  <c r="AU106" i="80"/>
  <c r="O106" i="80"/>
  <c r="EM106" i="80"/>
  <c r="BC106" i="80"/>
  <c r="DO106" i="80"/>
  <c r="BS106" i="80"/>
  <c r="FC106" i="80"/>
  <c r="AE106" i="80"/>
  <c r="CI106" i="80"/>
  <c r="DG106" i="80"/>
  <c r="EU106" i="80"/>
  <c r="CY106" i="80"/>
  <c r="EE106" i="80"/>
  <c r="BK106" i="80"/>
  <c r="FK106" i="80"/>
  <c r="W106" i="80"/>
  <c r="AM106" i="80"/>
  <c r="BD185" i="80"/>
  <c r="FD185" i="80"/>
  <c r="EN185" i="80"/>
  <c r="EF185" i="80"/>
  <c r="AV185" i="80"/>
  <c r="AN185" i="80"/>
  <c r="BT185" i="80"/>
  <c r="P185" i="80"/>
  <c r="DX185" i="80"/>
  <c r="AF185" i="80"/>
  <c r="CB185" i="80"/>
  <c r="BL185" i="80"/>
  <c r="CR185" i="80"/>
  <c r="DH185" i="80"/>
  <c r="FL185" i="80"/>
  <c r="CJ185" i="80"/>
  <c r="CZ185" i="80"/>
  <c r="DP185" i="80"/>
  <c r="EV185" i="80"/>
  <c r="X185" i="80"/>
  <c r="EE90" i="80"/>
  <c r="CI90" i="80"/>
  <c r="FK90" i="80"/>
  <c r="W90" i="80"/>
  <c r="CQ90" i="80"/>
  <c r="CA90" i="80"/>
  <c r="EM90" i="80"/>
  <c r="DG90" i="80"/>
  <c r="AE90" i="80"/>
  <c r="DW90" i="80"/>
  <c r="O90" i="80"/>
  <c r="EU90" i="80"/>
  <c r="BS90" i="80"/>
  <c r="FC90" i="80"/>
  <c r="BC90" i="80"/>
  <c r="AM90" i="80"/>
  <c r="DG104" i="79"/>
  <c r="CQ104" i="79"/>
  <c r="EU104" i="79"/>
  <c r="CA104" i="79"/>
  <c r="CY104" i="79"/>
  <c r="FK104" i="79"/>
  <c r="DW104" i="79"/>
  <c r="FC104" i="79"/>
  <c r="AU104" i="79"/>
  <c r="AM104" i="79"/>
  <c r="W104" i="79"/>
  <c r="BS104" i="79"/>
  <c r="EE104" i="79"/>
  <c r="EM104" i="79"/>
  <c r="CI104" i="79"/>
  <c r="BK104" i="79"/>
  <c r="CZ153" i="80"/>
  <c r="DA153" i="80"/>
  <c r="W410" i="79"/>
  <c r="X16" i="79"/>
  <c r="X410" i="79" s="1"/>
  <c r="CT176" i="79"/>
  <c r="G435" i="79"/>
  <c r="G384" i="79"/>
  <c r="K30" i="110"/>
  <c r="E38" i="93"/>
  <c r="F38" i="93"/>
  <c r="AF106" i="79"/>
  <c r="AG106" i="79"/>
  <c r="EG106" i="79"/>
  <c r="EF106" i="79"/>
  <c r="EN104" i="80"/>
  <c r="EO104" i="80"/>
  <c r="DQ295" i="79"/>
  <c r="DP295" i="79"/>
  <c r="J106" i="85"/>
  <c r="L55" i="90" s="1"/>
  <c r="J106" i="80"/>
  <c r="J106" i="79"/>
  <c r="FK410" i="80"/>
  <c r="FL16" i="80"/>
  <c r="FL410" i="80" s="1"/>
  <c r="J90" i="85"/>
  <c r="L45" i="90" s="1"/>
  <c r="J90" i="79"/>
  <c r="J90" i="80"/>
  <c r="DO410" i="79"/>
  <c r="DP16" i="79"/>
  <c r="DP410" i="79" s="1"/>
  <c r="EU410" i="79"/>
  <c r="EV16" i="79"/>
  <c r="EV410" i="79" s="1"/>
  <c r="P244" i="80"/>
  <c r="DP244" i="80"/>
  <c r="EV244" i="80"/>
  <c r="BT244" i="80"/>
  <c r="BD244" i="80"/>
  <c r="AF244" i="80"/>
  <c r="CB244" i="80"/>
  <c r="AV244" i="80"/>
  <c r="BL244" i="80"/>
  <c r="DH244" i="80"/>
  <c r="FL244" i="80"/>
  <c r="CZ244" i="80"/>
  <c r="EF244" i="80"/>
  <c r="DX244" i="80"/>
  <c r="EN244" i="80"/>
  <c r="CJ244" i="80"/>
  <c r="AN244" i="80"/>
  <c r="X244" i="80"/>
  <c r="FD244" i="80"/>
  <c r="CR244" i="80"/>
  <c r="H109" i="85"/>
  <c r="J58" i="90" s="1"/>
  <c r="H109" i="80"/>
  <c r="H109" i="79"/>
  <c r="X106" i="79"/>
  <c r="Y106" i="79"/>
  <c r="I90" i="85"/>
  <c r="K45" i="90" s="1"/>
  <c r="I90" i="79"/>
  <c r="I90" i="80"/>
  <c r="DQ90" i="80" s="1"/>
  <c r="AW189" i="79"/>
  <c r="EO189" i="79"/>
  <c r="AO189" i="79"/>
  <c r="DA189" i="79"/>
  <c r="DQ189" i="79"/>
  <c r="CS189" i="79"/>
  <c r="Y189" i="79"/>
  <c r="EG189" i="79"/>
  <c r="EH189" i="79" s="1"/>
  <c r="BU189" i="79"/>
  <c r="CK189" i="79"/>
  <c r="DY189" i="79"/>
  <c r="FE189" i="79"/>
  <c r="DI189" i="79"/>
  <c r="Q189" i="79"/>
  <c r="BM189" i="79"/>
  <c r="EW189" i="79"/>
  <c r="CC189" i="79"/>
  <c r="FM189" i="79"/>
  <c r="BE189" i="79"/>
  <c r="AG189" i="79"/>
  <c r="BC410" i="80"/>
  <c r="BD16" i="80"/>
  <c r="BD410" i="80" s="1"/>
  <c r="I130" i="79"/>
  <c r="I130" i="80"/>
  <c r="I130" i="85"/>
  <c r="K76" i="90" s="1"/>
  <c r="CR153" i="80"/>
  <c r="AE410" i="79"/>
  <c r="AF16" i="79"/>
  <c r="AF410" i="79" s="1"/>
  <c r="BL244" i="79"/>
  <c r="EV244" i="79"/>
  <c r="BT244" i="79"/>
  <c r="FL244" i="79"/>
  <c r="DH244" i="79"/>
  <c r="CD176" i="79"/>
  <c r="DJ176" i="79"/>
  <c r="CC106" i="79"/>
  <c r="CB106" i="79"/>
  <c r="FC410" i="80"/>
  <c r="FD16" i="80"/>
  <c r="FD410" i="80" s="1"/>
  <c r="G294" i="80"/>
  <c r="G298" i="85"/>
  <c r="EU130" i="79"/>
  <c r="DO130" i="79"/>
  <c r="FC130" i="79"/>
  <c r="DW130" i="79"/>
  <c r="AE130" i="79"/>
  <c r="BS130" i="79"/>
  <c r="EM130" i="79"/>
  <c r="DG130" i="79"/>
  <c r="CQ130" i="79"/>
  <c r="W130" i="79"/>
  <c r="CY130" i="79"/>
  <c r="CI130" i="79"/>
  <c r="BK130" i="79"/>
  <c r="O130" i="79"/>
  <c r="AM130" i="79"/>
  <c r="EE130" i="79"/>
  <c r="BC130" i="79"/>
  <c r="AU130" i="79"/>
  <c r="FK410" i="79"/>
  <c r="FL16" i="79"/>
  <c r="FL410" i="79" s="1"/>
  <c r="CQ410" i="79"/>
  <c r="CR16" i="79"/>
  <c r="CR410" i="79" s="1"/>
  <c r="EX176" i="79"/>
  <c r="FD106" i="79"/>
  <c r="FE106" i="79"/>
  <c r="AM130" i="80"/>
  <c r="EM130" i="80"/>
  <c r="O130" i="80"/>
  <c r="EU130" i="80"/>
  <c r="BC130" i="80"/>
  <c r="BS130" i="80"/>
  <c r="CI130" i="80"/>
  <c r="W130" i="80"/>
  <c r="AU130" i="80"/>
  <c r="CQ130" i="80"/>
  <c r="AE130" i="80"/>
  <c r="FC130" i="80"/>
  <c r="DG130" i="80"/>
  <c r="FK130" i="80"/>
  <c r="DW130" i="80"/>
  <c r="BK130" i="80"/>
  <c r="EE130" i="80"/>
  <c r="CA130" i="80"/>
  <c r="DO130" i="80"/>
  <c r="CY130" i="80"/>
  <c r="CJ214" i="79"/>
  <c r="EN214" i="79"/>
  <c r="BD214" i="79"/>
  <c r="P214" i="79"/>
  <c r="DH214" i="79"/>
  <c r="DP214" i="79"/>
  <c r="AN214" i="79"/>
  <c r="AF214" i="79"/>
  <c r="DX214" i="79"/>
  <c r="CR214" i="79"/>
  <c r="CZ214" i="79"/>
  <c r="EF214" i="79"/>
  <c r="AV214" i="79"/>
  <c r="FD214" i="79"/>
  <c r="EV214" i="79"/>
  <c r="X214" i="79"/>
  <c r="CB214" i="79"/>
  <c r="BT214" i="79"/>
  <c r="FL214" i="79"/>
  <c r="BL214" i="79"/>
  <c r="BK410" i="79"/>
  <c r="BT16" i="79"/>
  <c r="EM410" i="79"/>
  <c r="EN16" i="79"/>
  <c r="EN410" i="79" s="1"/>
  <c r="AE109" i="80"/>
  <c r="AU109" i="80"/>
  <c r="BC109" i="80"/>
  <c r="BS109" i="80"/>
  <c r="FC109" i="80"/>
  <c r="CQ109" i="80"/>
  <c r="CY109" i="80"/>
  <c r="CI109" i="80"/>
  <c r="DG109" i="80"/>
  <c r="EE109" i="80"/>
  <c r="DO109" i="80"/>
  <c r="FK109" i="80"/>
  <c r="W109" i="80"/>
  <c r="DW109" i="80"/>
  <c r="AM109" i="80"/>
  <c r="O109" i="80"/>
  <c r="EU109" i="80"/>
  <c r="BK109" i="80"/>
  <c r="CA109" i="80"/>
  <c r="EM109" i="80"/>
  <c r="J5" i="100"/>
  <c r="G7" i="100"/>
  <c r="G15" i="100" s="1"/>
  <c r="I5" i="100"/>
  <c r="K29" i="100"/>
  <c r="K22" i="100"/>
  <c r="G39" i="100"/>
  <c r="CR227" i="80"/>
  <c r="CT227" i="80" s="1"/>
  <c r="CB227" i="80"/>
  <c r="CD227" i="80" s="1"/>
  <c r="EV227" i="80"/>
  <c r="EX227" i="80" s="1"/>
  <c r="AN227" i="80"/>
  <c r="AP227" i="80" s="1"/>
  <c r="FL227" i="80"/>
  <c r="FN227" i="80" s="1"/>
  <c r="BT227" i="80"/>
  <c r="BV227" i="80" s="1"/>
  <c r="EN227" i="80"/>
  <c r="EP227" i="80" s="1"/>
  <c r="DH227" i="80"/>
  <c r="DJ227" i="80" s="1"/>
  <c r="DP227" i="80"/>
  <c r="DR227" i="80" s="1"/>
  <c r="BD227" i="80"/>
  <c r="BF227" i="80" s="1"/>
  <c r="AV227" i="80"/>
  <c r="AX227" i="80" s="1"/>
  <c r="BL227" i="80"/>
  <c r="BN227" i="80" s="1"/>
  <c r="P227" i="80"/>
  <c r="R227" i="80" s="1"/>
  <c r="X227" i="80"/>
  <c r="Z227" i="80" s="1"/>
  <c r="DX227" i="80"/>
  <c r="DZ227" i="80" s="1"/>
  <c r="CJ227" i="80"/>
  <c r="CL227" i="80" s="1"/>
  <c r="EF227" i="80"/>
  <c r="EH227" i="80" s="1"/>
  <c r="CZ227" i="80"/>
  <c r="DB227" i="80" s="1"/>
  <c r="FD227" i="80"/>
  <c r="FF227" i="80" s="1"/>
  <c r="AF227" i="80"/>
  <c r="AH227" i="80" s="1"/>
  <c r="CB188" i="80"/>
  <c r="CD188" i="80" s="1"/>
  <c r="P188" i="80"/>
  <c r="R188" i="80" s="1"/>
  <c r="FL188" i="80"/>
  <c r="FN188" i="80" s="1"/>
  <c r="AF188" i="80"/>
  <c r="AH188" i="80" s="1"/>
  <c r="DX188" i="80"/>
  <c r="DZ188" i="80" s="1"/>
  <c r="BU248" i="79"/>
  <c r="EW248" i="79"/>
  <c r="FE248" i="79"/>
  <c r="DY248" i="79"/>
  <c r="CC248" i="79"/>
  <c r="DQ248" i="79"/>
  <c r="DI248" i="79"/>
  <c r="EG248" i="79"/>
  <c r="Q248" i="79"/>
  <c r="BM248" i="79"/>
  <c r="Y248" i="79"/>
  <c r="AW248" i="79"/>
  <c r="CK248" i="79"/>
  <c r="AO248" i="79"/>
  <c r="BE248" i="79"/>
  <c r="CS248" i="79"/>
  <c r="FM248" i="79"/>
  <c r="AG248" i="79"/>
  <c r="EO248" i="79"/>
  <c r="DA248" i="79"/>
  <c r="DX227" i="79"/>
  <c r="CJ227" i="79"/>
  <c r="FL227" i="79"/>
  <c r="CR227" i="79"/>
  <c r="FD227" i="79"/>
  <c r="EN227" i="79"/>
  <c r="CZ227" i="79"/>
  <c r="DH227" i="79"/>
  <c r="BT227" i="79"/>
  <c r="BL227" i="79"/>
  <c r="BD227" i="79"/>
  <c r="DP227" i="79"/>
  <c r="EF227" i="79"/>
  <c r="AF227" i="79"/>
  <c r="EV227" i="79"/>
  <c r="AN227" i="79"/>
  <c r="CB227" i="79"/>
  <c r="P227" i="79"/>
  <c r="AV227" i="79"/>
  <c r="X227" i="79"/>
  <c r="F17" i="32"/>
  <c r="J207" i="85"/>
  <c r="BL188" i="79"/>
  <c r="BN188" i="79" s="1"/>
  <c r="CR188" i="79"/>
  <c r="DP188" i="79"/>
  <c r="CZ188" i="79"/>
  <c r="X188" i="79"/>
  <c r="BT188" i="79"/>
  <c r="DH188" i="79"/>
  <c r="BD188" i="79"/>
  <c r="EN188" i="79"/>
  <c r="EV188" i="79"/>
  <c r="P188" i="79"/>
  <c r="FL188" i="79"/>
  <c r="FD188" i="79"/>
  <c r="DX188" i="79"/>
  <c r="AN188" i="79"/>
  <c r="DA248" i="80"/>
  <c r="EG248" i="80"/>
  <c r="DQ248" i="80"/>
  <c r="BE248" i="80"/>
  <c r="CK248" i="80"/>
  <c r="AG248" i="80"/>
  <c r="DI248" i="80"/>
  <c r="FM248" i="80"/>
  <c r="CS248" i="80"/>
  <c r="DY248" i="80"/>
  <c r="EW248" i="80"/>
  <c r="FE248" i="80"/>
  <c r="AO248" i="80"/>
  <c r="Q248" i="80"/>
  <c r="AW248" i="80"/>
  <c r="DW478" i="79"/>
  <c r="DW480" i="79" s="1"/>
  <c r="FC478" i="79"/>
  <c r="FC480" i="79" s="1"/>
  <c r="BS478" i="79"/>
  <c r="BS480" i="79" s="1"/>
  <c r="FK478" i="79"/>
  <c r="FK480" i="79" s="1"/>
  <c r="DO478" i="79"/>
  <c r="DO480" i="79" s="1"/>
  <c r="EE478" i="79"/>
  <c r="EE480" i="79" s="1"/>
  <c r="AE478" i="79"/>
  <c r="AE480" i="79" s="1"/>
  <c r="CQ478" i="79"/>
  <c r="CQ480" i="79" s="1"/>
  <c r="AM478" i="79"/>
  <c r="AM480" i="79" s="1"/>
  <c r="CA478" i="79"/>
  <c r="CA480" i="79" s="1"/>
  <c r="EU478" i="79"/>
  <c r="EU480" i="79" s="1"/>
  <c r="G483" i="79"/>
  <c r="W478" i="79"/>
  <c r="W480" i="79" s="1"/>
  <c r="AU478" i="79"/>
  <c r="AU480" i="79" s="1"/>
  <c r="BK478" i="79"/>
  <c r="BK480" i="79" s="1"/>
  <c r="O478" i="79"/>
  <c r="O480" i="79" s="1"/>
  <c r="CY478" i="79"/>
  <c r="CY480" i="79" s="1"/>
  <c r="EM478" i="79"/>
  <c r="EM480" i="79" s="1"/>
  <c r="BC478" i="79"/>
  <c r="BC480" i="79" s="1"/>
  <c r="CI478" i="79"/>
  <c r="CI480" i="79" s="1"/>
  <c r="DG478" i="79"/>
  <c r="DG480" i="79" s="1"/>
  <c r="AF246" i="79"/>
  <c r="AH246" i="79" s="1"/>
  <c r="CB246" i="79"/>
  <c r="CD246" i="79" s="1"/>
  <c r="CZ246" i="79"/>
  <c r="DB246" i="79" s="1"/>
  <c r="FL246" i="79"/>
  <c r="FN246" i="79" s="1"/>
  <c r="P246" i="79"/>
  <c r="R246" i="79" s="1"/>
  <c r="CR246" i="79"/>
  <c r="CT246" i="79" s="1"/>
  <c r="EF246" i="79"/>
  <c r="EH246" i="79" s="1"/>
  <c r="FD246" i="79"/>
  <c r="FF246" i="79" s="1"/>
  <c r="AN246" i="79"/>
  <c r="AP246" i="79" s="1"/>
  <c r="EN246" i="79"/>
  <c r="EP246" i="79" s="1"/>
  <c r="DH246" i="79"/>
  <c r="DJ246" i="79" s="1"/>
  <c r="BD246" i="79"/>
  <c r="BF246" i="79" s="1"/>
  <c r="DP246" i="79"/>
  <c r="DR246" i="79" s="1"/>
  <c r="EV246" i="79"/>
  <c r="EX246" i="79" s="1"/>
  <c r="AV246" i="79"/>
  <c r="AX246" i="79" s="1"/>
  <c r="CJ246" i="79"/>
  <c r="CL246" i="79" s="1"/>
  <c r="DX246" i="79"/>
  <c r="DZ246" i="79" s="1"/>
  <c r="BT246" i="79"/>
  <c r="BV246" i="79" s="1"/>
  <c r="X246" i="79"/>
  <c r="Z246" i="79" s="1"/>
  <c r="BL246" i="79"/>
  <c r="BN246" i="79" s="1"/>
  <c r="I143" i="85"/>
  <c r="J13" i="98"/>
  <c r="DY192" i="79"/>
  <c r="DZ192" i="79" s="1"/>
  <c r="EG192" i="79"/>
  <c r="EH192" i="79" s="1"/>
  <c r="BM192" i="79"/>
  <c r="BN192" i="79" s="1"/>
  <c r="AO192" i="79"/>
  <c r="AP192" i="79" s="1"/>
  <c r="DA192" i="79"/>
  <c r="DB192" i="79" s="1"/>
  <c r="FM192" i="79"/>
  <c r="FN192" i="79" s="1"/>
  <c r="DI192" i="79"/>
  <c r="DJ192" i="79" s="1"/>
  <c r="Y192" i="79"/>
  <c r="Z192" i="79" s="1"/>
  <c r="BE192" i="79"/>
  <c r="BF192" i="79" s="1"/>
  <c r="DQ192" i="79"/>
  <c r="DR192" i="79" s="1"/>
  <c r="Q192" i="79"/>
  <c r="R192" i="79" s="1"/>
  <c r="CS192" i="79"/>
  <c r="CT192" i="79" s="1"/>
  <c r="EO192" i="79"/>
  <c r="EP192" i="79" s="1"/>
  <c r="CK192" i="79"/>
  <c r="CL192" i="79" s="1"/>
  <c r="AG192" i="79"/>
  <c r="AH192" i="79" s="1"/>
  <c r="EW192" i="79"/>
  <c r="EX192" i="79" s="1"/>
  <c r="BU192" i="79"/>
  <c r="BV192" i="79" s="1"/>
  <c r="CC192" i="79"/>
  <c r="CD192" i="79" s="1"/>
  <c r="AW192" i="79"/>
  <c r="AX192" i="79" s="1"/>
  <c r="FE192" i="79"/>
  <c r="FF192" i="79" s="1"/>
  <c r="BC478" i="80"/>
  <c r="BC480" i="80" s="1"/>
  <c r="CI478" i="80"/>
  <c r="CI480" i="80" s="1"/>
  <c r="W478" i="80"/>
  <c r="W480" i="80" s="1"/>
  <c r="FC478" i="80"/>
  <c r="FC480" i="80" s="1"/>
  <c r="CA478" i="80"/>
  <c r="CA480" i="80" s="1"/>
  <c r="G483" i="80"/>
  <c r="CQ478" i="80"/>
  <c r="CQ480" i="80" s="1"/>
  <c r="O478" i="80"/>
  <c r="O480" i="80" s="1"/>
  <c r="AM478" i="80"/>
  <c r="AM480" i="80" s="1"/>
  <c r="DW478" i="80"/>
  <c r="DW480" i="80" s="1"/>
  <c r="CY478" i="80"/>
  <c r="CY480" i="80" s="1"/>
  <c r="DG478" i="80"/>
  <c r="DG480" i="80" s="1"/>
  <c r="AE478" i="80"/>
  <c r="AE480" i="80" s="1"/>
  <c r="EU478" i="80"/>
  <c r="EU480" i="80" s="1"/>
  <c r="DO478" i="80"/>
  <c r="DO480" i="80" s="1"/>
  <c r="FK478" i="80"/>
  <c r="FK480" i="80" s="1"/>
  <c r="EM478" i="80"/>
  <c r="EM480" i="80" s="1"/>
  <c r="AU478" i="80"/>
  <c r="AU480" i="80" s="1"/>
  <c r="BS478" i="80"/>
  <c r="BS480" i="80" s="1"/>
  <c r="EE478" i="80"/>
  <c r="EE480" i="80" s="1"/>
  <c r="BK478" i="80"/>
  <c r="BK480" i="80" s="1"/>
  <c r="EM490" i="79"/>
  <c r="BS490" i="79"/>
  <c r="DO490" i="79"/>
  <c r="BK490" i="79"/>
  <c r="DW490" i="79"/>
  <c r="BC490" i="79"/>
  <c r="CY490" i="79"/>
  <c r="AM490" i="79"/>
  <c r="FK490" i="79"/>
  <c r="DG490" i="79"/>
  <c r="AE490" i="79"/>
  <c r="EU490" i="79"/>
  <c r="CQ490" i="79"/>
  <c r="W490" i="79"/>
  <c r="CA490" i="79"/>
  <c r="AU490" i="79"/>
  <c r="O490" i="79"/>
  <c r="FC490" i="79"/>
  <c r="EE490" i="79"/>
  <c r="CI490" i="79"/>
  <c r="P246" i="80"/>
  <c r="R246" i="80" s="1"/>
  <c r="X246" i="80"/>
  <c r="Z246" i="80" s="1"/>
  <c r="FL246" i="80"/>
  <c r="FN246" i="80" s="1"/>
  <c r="FN176" i="80"/>
  <c r="BE192" i="80"/>
  <c r="BF192" i="80" s="1"/>
  <c r="Q192" i="80"/>
  <c r="R192" i="80" s="1"/>
  <c r="DY192" i="80"/>
  <c r="DZ192" i="80" s="1"/>
  <c r="FM192" i="80"/>
  <c r="FN192" i="80" s="1"/>
  <c r="Y192" i="80"/>
  <c r="Z192" i="80" s="1"/>
  <c r="CC192" i="80"/>
  <c r="CD192" i="80" s="1"/>
  <c r="EW192" i="80"/>
  <c r="EX192" i="80" s="1"/>
  <c r="EO192" i="80"/>
  <c r="EP192" i="80" s="1"/>
  <c r="AO192" i="80"/>
  <c r="AP192" i="80" s="1"/>
  <c r="BU192" i="80"/>
  <c r="BV192" i="80" s="1"/>
  <c r="BM192" i="80"/>
  <c r="BN192" i="80" s="1"/>
  <c r="DI192" i="80"/>
  <c r="DJ192" i="80" s="1"/>
  <c r="CK192" i="80"/>
  <c r="CL192" i="80" s="1"/>
  <c r="EG192" i="80"/>
  <c r="EH192" i="80" s="1"/>
  <c r="DA192" i="80"/>
  <c r="DB192" i="80" s="1"/>
  <c r="CS192" i="80"/>
  <c r="CT192" i="80" s="1"/>
  <c r="AG192" i="80"/>
  <c r="AH192" i="80" s="1"/>
  <c r="AW192" i="80"/>
  <c r="AX192" i="80" s="1"/>
  <c r="DQ192" i="80"/>
  <c r="DR192" i="80" s="1"/>
  <c r="FE192" i="80"/>
  <c r="FF192" i="80" s="1"/>
  <c r="G465" i="80"/>
  <c r="DW470" i="80"/>
  <c r="BC470" i="80"/>
  <c r="AU470" i="80"/>
  <c r="DG470" i="80"/>
  <c r="FC470" i="80"/>
  <c r="O470" i="80"/>
  <c r="CI470" i="80"/>
  <c r="DO470" i="80"/>
  <c r="AE470" i="80"/>
  <c r="CY470" i="80"/>
  <c r="CA470" i="80"/>
  <c r="EE470" i="80"/>
  <c r="EU470" i="80"/>
  <c r="FK470" i="80"/>
  <c r="AM470" i="80"/>
  <c r="W470" i="80"/>
  <c r="BK470" i="80"/>
  <c r="BS470" i="80"/>
  <c r="EM470" i="80"/>
  <c r="CQ470" i="80"/>
  <c r="H215" i="80"/>
  <c r="BD213" i="80"/>
  <c r="BF213" i="80" s="1"/>
  <c r="CJ213" i="80"/>
  <c r="BL213" i="80"/>
  <c r="X213" i="80"/>
  <c r="EV213" i="80"/>
  <c r="DX213" i="80"/>
  <c r="AN213" i="80"/>
  <c r="EN213" i="80"/>
  <c r="AV213" i="80"/>
  <c r="AF213" i="80"/>
  <c r="FL213" i="80"/>
  <c r="DH213" i="80"/>
  <c r="CB213" i="80"/>
  <c r="CR213" i="80"/>
  <c r="FD213" i="80"/>
  <c r="EF213" i="80"/>
  <c r="P213" i="80"/>
  <c r="DP213" i="80"/>
  <c r="BT213" i="80"/>
  <c r="CZ213" i="80"/>
  <c r="X311" i="80"/>
  <c r="CZ311" i="80"/>
  <c r="CB311" i="80"/>
  <c r="AF311" i="80"/>
  <c r="AV311" i="80"/>
  <c r="DX311" i="80"/>
  <c r="BT311" i="80"/>
  <c r="P311" i="80"/>
  <c r="R311" i="80" s="1"/>
  <c r="BD311" i="80"/>
  <c r="DH311" i="80"/>
  <c r="FL311" i="80"/>
  <c r="FD311" i="80"/>
  <c r="EV311" i="80"/>
  <c r="DP311" i="80"/>
  <c r="EN311" i="80"/>
  <c r="EF311" i="80"/>
  <c r="AN311" i="80"/>
  <c r="BL311" i="80"/>
  <c r="CR311" i="80"/>
  <c r="CJ311" i="80"/>
  <c r="G466" i="80"/>
  <c r="G490" i="80"/>
  <c r="EM64" i="80"/>
  <c r="FE305" i="79"/>
  <c r="EW305" i="79"/>
  <c r="CC305" i="79"/>
  <c r="Y305" i="79"/>
  <c r="DA305" i="79"/>
  <c r="DI305" i="79"/>
  <c r="FM305" i="79"/>
  <c r="BU305" i="79"/>
  <c r="Q305" i="79"/>
  <c r="CS305" i="79"/>
  <c r="BM305" i="79"/>
  <c r="BE305" i="79"/>
  <c r="AW305" i="79"/>
  <c r="EG305" i="79"/>
  <c r="CK305" i="79"/>
  <c r="DQ305" i="79"/>
  <c r="AG305" i="79"/>
  <c r="EO305" i="79"/>
  <c r="AO305" i="79"/>
  <c r="DY305" i="79"/>
  <c r="DZ305" i="79" s="1"/>
  <c r="BL311" i="79"/>
  <c r="AN311" i="79"/>
  <c r="EN311" i="79"/>
  <c r="CZ311" i="79"/>
  <c r="DP311" i="79"/>
  <c r="BT311" i="79"/>
  <c r="EV311" i="79"/>
  <c r="EF311" i="79"/>
  <c r="CR311" i="79"/>
  <c r="DH311" i="79"/>
  <c r="CJ311" i="79"/>
  <c r="X311" i="79"/>
  <c r="CB311" i="79"/>
  <c r="FD311" i="79"/>
  <c r="BD311" i="79"/>
  <c r="DX311" i="79"/>
  <c r="AF311" i="79"/>
  <c r="AV311" i="79"/>
  <c r="P311" i="79"/>
  <c r="R311" i="79" s="1"/>
  <c r="FL311" i="79"/>
  <c r="EG230" i="79"/>
  <c r="FM230" i="79"/>
  <c r="CK230" i="79"/>
  <c r="DY230" i="79"/>
  <c r="AO230" i="79"/>
  <c r="AG230" i="79"/>
  <c r="EW230" i="79"/>
  <c r="DI230" i="79"/>
  <c r="BU230" i="79"/>
  <c r="BE230" i="79"/>
  <c r="EO230" i="79"/>
  <c r="DA230" i="79"/>
  <c r="Y230" i="79"/>
  <c r="DQ230" i="79"/>
  <c r="CC230" i="79"/>
  <c r="BM230" i="79"/>
  <c r="FE230" i="79"/>
  <c r="AW230" i="79"/>
  <c r="Q230" i="79"/>
  <c r="CS230" i="79"/>
  <c r="DP140" i="80"/>
  <c r="X140" i="80"/>
  <c r="EN140" i="80"/>
  <c r="EF140" i="80"/>
  <c r="AN140" i="80"/>
  <c r="DH140" i="80"/>
  <c r="CZ140" i="80"/>
  <c r="BL140" i="80"/>
  <c r="AV140" i="80"/>
  <c r="CB140" i="80"/>
  <c r="CJ140" i="80"/>
  <c r="FL140" i="80"/>
  <c r="BD140" i="80"/>
  <c r="EV140" i="80"/>
  <c r="DX140" i="80"/>
  <c r="P140" i="80"/>
  <c r="CR140" i="80"/>
  <c r="FD140" i="80"/>
  <c r="BT140" i="80"/>
  <c r="AF140" i="80"/>
  <c r="P213" i="79"/>
  <c r="EN213" i="79"/>
  <c r="BT213" i="79"/>
  <c r="X213" i="79"/>
  <c r="DP213" i="79"/>
  <c r="BL213" i="79"/>
  <c r="FL213" i="79"/>
  <c r="AV213" i="79"/>
  <c r="BD213" i="79"/>
  <c r="H215" i="79"/>
  <c r="FD213" i="79"/>
  <c r="EV213" i="79"/>
  <c r="CZ213" i="79"/>
  <c r="CR213" i="79"/>
  <c r="CJ213" i="79"/>
  <c r="CB213" i="79"/>
  <c r="AN213" i="79"/>
  <c r="EF213" i="79"/>
  <c r="AF213" i="79"/>
  <c r="DH213" i="79"/>
  <c r="DX213" i="79"/>
  <c r="BU305" i="80"/>
  <c r="BV305" i="80" s="1"/>
  <c r="CS305" i="80"/>
  <c r="CT305" i="80" s="1"/>
  <c r="FM305" i="80"/>
  <c r="FN305" i="80" s="1"/>
  <c r="FE305" i="80"/>
  <c r="FF305" i="80" s="1"/>
  <c r="AG305" i="80"/>
  <c r="AH305" i="80" s="1"/>
  <c r="AW305" i="80"/>
  <c r="AX305" i="80" s="1"/>
  <c r="DQ305" i="80"/>
  <c r="DR305" i="80" s="1"/>
  <c r="DI305" i="80"/>
  <c r="DJ305" i="80" s="1"/>
  <c r="Y305" i="80"/>
  <c r="Z305" i="80" s="1"/>
  <c r="AO305" i="80"/>
  <c r="AP305" i="80" s="1"/>
  <c r="CK305" i="80"/>
  <c r="CL305" i="80" s="1"/>
  <c r="EG305" i="80"/>
  <c r="EH305" i="80" s="1"/>
  <c r="DY305" i="80"/>
  <c r="DZ305" i="80" s="1"/>
  <c r="CC305" i="80"/>
  <c r="CD305" i="80" s="1"/>
  <c r="DA305" i="80"/>
  <c r="DB305" i="80" s="1"/>
  <c r="BE305" i="80"/>
  <c r="BF305" i="80" s="1"/>
  <c r="Q305" i="80"/>
  <c r="R305" i="80" s="1"/>
  <c r="EW305" i="80"/>
  <c r="EX305" i="80" s="1"/>
  <c r="EO305" i="80"/>
  <c r="EP305" i="80" s="1"/>
  <c r="BM305" i="80"/>
  <c r="BN305" i="80" s="1"/>
  <c r="CK230" i="80"/>
  <c r="EO230" i="80"/>
  <c r="AO230" i="80"/>
  <c r="CC230" i="80"/>
  <c r="EW230" i="80"/>
  <c r="DY230" i="80"/>
  <c r="BU230" i="80"/>
  <c r="DI230" i="80"/>
  <c r="BM230" i="80"/>
  <c r="Y230" i="80"/>
  <c r="FM230" i="80"/>
  <c r="CS230" i="80"/>
  <c r="DQ230" i="80"/>
  <c r="AW230" i="80"/>
  <c r="AG230" i="80"/>
  <c r="DA230" i="80"/>
  <c r="BE230" i="80"/>
  <c r="FE230" i="80"/>
  <c r="Q230" i="80"/>
  <c r="EG230" i="80"/>
  <c r="CY470" i="79"/>
  <c r="DO470" i="79"/>
  <c r="AE470" i="79"/>
  <c r="EU470" i="79"/>
  <c r="AM470" i="79"/>
  <c r="AU470" i="79"/>
  <c r="W470" i="79"/>
  <c r="G465" i="79"/>
  <c r="CA470" i="79"/>
  <c r="FK470" i="79"/>
  <c r="EM470" i="79"/>
  <c r="DG470" i="79"/>
  <c r="CI470" i="79"/>
  <c r="CQ470" i="79"/>
  <c r="FC470" i="79"/>
  <c r="BC470" i="79"/>
  <c r="BS470" i="79"/>
  <c r="EE470" i="79"/>
  <c r="O470" i="79"/>
  <c r="BK470" i="79"/>
  <c r="DW470" i="79"/>
  <c r="CJ140" i="79"/>
  <c r="EN140" i="79"/>
  <c r="FD140" i="79"/>
  <c r="DP140" i="79"/>
  <c r="CR140" i="79"/>
  <c r="CZ140" i="79"/>
  <c r="BL140" i="79"/>
  <c r="CB140" i="79"/>
  <c r="FL140" i="79"/>
  <c r="AN140" i="79"/>
  <c r="DH140" i="79"/>
  <c r="EF140" i="79"/>
  <c r="DX140" i="79"/>
  <c r="AV140" i="79"/>
  <c r="BD140" i="79"/>
  <c r="EV140" i="79"/>
  <c r="H143" i="79"/>
  <c r="AF140" i="79"/>
  <c r="X140" i="79"/>
  <c r="BT140" i="79"/>
  <c r="P140" i="79"/>
  <c r="I73" i="85"/>
  <c r="K39" i="90" s="1"/>
  <c r="I73" i="80"/>
  <c r="I73" i="79"/>
  <c r="M13" i="106"/>
  <c r="DR176" i="80"/>
  <c r="L153" i="99"/>
  <c r="L140" i="99"/>
  <c r="CZ205" i="79"/>
  <c r="H207" i="79"/>
  <c r="AN205" i="79"/>
  <c r="CB205" i="79"/>
  <c r="EF205" i="79"/>
  <c r="CR205" i="79"/>
  <c r="P205" i="79"/>
  <c r="BT205" i="79"/>
  <c r="CJ205" i="79"/>
  <c r="DX205" i="79"/>
  <c r="AF205" i="79"/>
  <c r="FD205" i="79"/>
  <c r="EV205" i="79"/>
  <c r="DP205" i="79"/>
  <c r="EN205" i="79"/>
  <c r="DH205" i="79"/>
  <c r="X205" i="79"/>
  <c r="AV205" i="79"/>
  <c r="BD205" i="79"/>
  <c r="BL205" i="79"/>
  <c r="FL205" i="79"/>
  <c r="EM291" i="80"/>
  <c r="AM291" i="80"/>
  <c r="O291" i="80"/>
  <c r="BC291" i="80"/>
  <c r="DW291" i="80"/>
  <c r="DO291" i="80"/>
  <c r="CI291" i="80"/>
  <c r="AE291" i="80"/>
  <c r="BS291" i="80"/>
  <c r="W291" i="80"/>
  <c r="AU291" i="80"/>
  <c r="DG291" i="80"/>
  <c r="CY291" i="80"/>
  <c r="EU291" i="80"/>
  <c r="FK291" i="80"/>
  <c r="CQ291" i="80"/>
  <c r="FC291" i="80"/>
  <c r="CA291" i="80"/>
  <c r="EE291" i="80"/>
  <c r="BK291" i="80"/>
  <c r="AF295" i="79"/>
  <c r="AG295" i="79"/>
  <c r="EF177" i="80"/>
  <c r="FL177" i="80"/>
  <c r="DX177" i="80"/>
  <c r="EV177" i="80"/>
  <c r="CR177" i="80"/>
  <c r="DH177" i="80"/>
  <c r="AN177" i="80"/>
  <c r="EN177" i="80"/>
  <c r="BD177" i="80"/>
  <c r="BT177" i="80"/>
  <c r="FD177" i="80"/>
  <c r="DP177" i="80"/>
  <c r="AF177" i="80"/>
  <c r="CJ177" i="80"/>
  <c r="AV177" i="80"/>
  <c r="X177" i="80"/>
  <c r="BL177" i="80"/>
  <c r="CZ177" i="80"/>
  <c r="CB177" i="80"/>
  <c r="P177" i="80"/>
  <c r="AV90" i="80"/>
  <c r="DX177" i="79"/>
  <c r="CJ177" i="79"/>
  <c r="BD177" i="79"/>
  <c r="EF177" i="79"/>
  <c r="AV177" i="79"/>
  <c r="CZ177" i="79"/>
  <c r="EV177" i="79"/>
  <c r="AN177" i="79"/>
  <c r="FL177" i="79"/>
  <c r="P177" i="79"/>
  <c r="X177" i="79"/>
  <c r="CB177" i="79"/>
  <c r="EN177" i="79"/>
  <c r="FD177" i="79"/>
  <c r="BL177" i="79"/>
  <c r="BT177" i="79"/>
  <c r="AF177" i="79"/>
  <c r="DP177" i="79"/>
  <c r="DH177" i="79"/>
  <c r="CR177" i="79"/>
  <c r="CL176" i="80"/>
  <c r="FF176" i="80"/>
  <c r="G391" i="79"/>
  <c r="G437" i="79"/>
  <c r="G50" i="79"/>
  <c r="G413" i="79" s="1"/>
  <c r="I106" i="85"/>
  <c r="K55" i="90" s="1"/>
  <c r="I106" i="80"/>
  <c r="I106" i="79"/>
  <c r="FM295" i="79"/>
  <c r="FL295" i="79"/>
  <c r="CQ410" i="80"/>
  <c r="CR16" i="80"/>
  <c r="CR410" i="80" s="1"/>
  <c r="AW112" i="80"/>
  <c r="CS112" i="80"/>
  <c r="AO112" i="80"/>
  <c r="EG112" i="80"/>
  <c r="AG112" i="80"/>
  <c r="AH112" i="80" s="1"/>
  <c r="DY112" i="80"/>
  <c r="DA112" i="80"/>
  <c r="FM112" i="80"/>
  <c r="DQ112" i="80"/>
  <c r="Y112" i="80"/>
  <c r="BE112" i="80"/>
  <c r="EW112" i="80"/>
  <c r="BU112" i="80"/>
  <c r="BM112" i="80"/>
  <c r="FE112" i="80"/>
  <c r="DI112" i="80"/>
  <c r="CC112" i="80"/>
  <c r="EO112" i="80"/>
  <c r="Q112" i="80"/>
  <c r="CK112" i="80"/>
  <c r="BV176" i="80"/>
  <c r="CA411" i="80"/>
  <c r="AG227" i="79"/>
  <c r="EG227" i="79"/>
  <c r="FE227" i="79"/>
  <c r="CK227" i="79"/>
  <c r="EO227" i="79"/>
  <c r="DY227" i="79"/>
  <c r="BE227" i="79"/>
  <c r="Q227" i="79"/>
  <c r="CC227" i="79"/>
  <c r="AW227" i="79"/>
  <c r="EW227" i="79"/>
  <c r="DA227" i="79"/>
  <c r="AO227" i="79"/>
  <c r="DI227" i="79"/>
  <c r="CS227" i="79"/>
  <c r="Y227" i="79"/>
  <c r="BM227" i="79"/>
  <c r="DQ227" i="79"/>
  <c r="FM227" i="79"/>
  <c r="BU227" i="79"/>
  <c r="AU291" i="79"/>
  <c r="DO291" i="79"/>
  <c r="W291" i="79"/>
  <c r="EM291" i="79"/>
  <c r="BK291" i="79"/>
  <c r="BS291" i="79"/>
  <c r="CY291" i="79"/>
  <c r="AE291" i="79"/>
  <c r="CA291" i="79"/>
  <c r="DW291" i="79"/>
  <c r="BC291" i="79"/>
  <c r="EE291" i="79"/>
  <c r="CI291" i="79"/>
  <c r="DG291" i="79"/>
  <c r="AM291" i="79"/>
  <c r="FK291" i="79"/>
  <c r="O291" i="79"/>
  <c r="FC291" i="79"/>
  <c r="CQ291" i="79"/>
  <c r="EU291" i="79"/>
  <c r="CC96" i="80"/>
  <c r="CB96" i="80"/>
  <c r="BD184" i="79"/>
  <c r="FL184" i="79"/>
  <c r="AN184" i="79"/>
  <c r="AF184" i="79"/>
  <c r="AV184" i="79"/>
  <c r="X184" i="79"/>
  <c r="P184" i="79"/>
  <c r="EF184" i="79"/>
  <c r="BL184" i="79"/>
  <c r="FD184" i="79"/>
  <c r="DH184" i="79"/>
  <c r="EN184" i="79"/>
  <c r="EV184" i="79"/>
  <c r="CB184" i="79"/>
  <c r="BT184" i="79"/>
  <c r="CJ184" i="79"/>
  <c r="CZ184" i="79"/>
  <c r="CR184" i="79"/>
  <c r="DX184" i="79"/>
  <c r="DP184" i="79"/>
  <c r="DA112" i="79"/>
  <c r="DI112" i="79"/>
  <c r="BM112" i="79"/>
  <c r="FM112" i="79"/>
  <c r="CC112" i="79"/>
  <c r="EO112" i="79"/>
  <c r="AW112" i="79"/>
  <c r="AO112" i="79"/>
  <c r="BE112" i="79"/>
  <c r="CS112" i="79"/>
  <c r="DQ112" i="79"/>
  <c r="BU112" i="79"/>
  <c r="Y112" i="79"/>
  <c r="CK112" i="79"/>
  <c r="Q112" i="79"/>
  <c r="AG112" i="79"/>
  <c r="DY112" i="79"/>
  <c r="FE112" i="79"/>
  <c r="EG112" i="79"/>
  <c r="EW112" i="79"/>
  <c r="DW411" i="80"/>
  <c r="D72" i="82"/>
  <c r="D73" i="82" s="1"/>
  <c r="D74" i="82" s="1"/>
  <c r="D37" i="82"/>
  <c r="AN205" i="80"/>
  <c r="H207" i="80"/>
  <c r="DP205" i="80"/>
  <c r="FD205" i="80"/>
  <c r="AV205" i="80"/>
  <c r="EN205" i="80"/>
  <c r="FL205" i="80"/>
  <c r="BD205" i="80"/>
  <c r="BT205" i="80"/>
  <c r="X205" i="80"/>
  <c r="DX205" i="80"/>
  <c r="EV205" i="80"/>
  <c r="CJ205" i="80"/>
  <c r="EF205" i="80"/>
  <c r="BL205" i="80"/>
  <c r="P205" i="80"/>
  <c r="CZ205" i="80"/>
  <c r="CR205" i="80"/>
  <c r="DH205" i="80"/>
  <c r="CB205" i="80"/>
  <c r="AF205" i="80"/>
  <c r="EX176" i="80"/>
  <c r="FC294" i="79"/>
  <c r="CA294" i="79"/>
  <c r="CS96" i="80"/>
  <c r="CR96" i="80"/>
  <c r="H151" i="85"/>
  <c r="J89" i="90" s="1"/>
  <c r="H151" i="79"/>
  <c r="H151" i="80"/>
  <c r="AG96" i="80"/>
  <c r="AF96" i="80"/>
  <c r="AO147" i="79"/>
  <c r="AP147" i="79" s="1"/>
  <c r="EW147" i="79"/>
  <c r="FE147" i="79"/>
  <c r="DI147" i="79"/>
  <c r="DQ147" i="79"/>
  <c r="FM147" i="79"/>
  <c r="BE147" i="79"/>
  <c r="CS147" i="79"/>
  <c r="BM147" i="79"/>
  <c r="Y147" i="79"/>
  <c r="CC147" i="79"/>
  <c r="EO147" i="79"/>
  <c r="AG147" i="79"/>
  <c r="BU147" i="79"/>
  <c r="Q104" i="79"/>
  <c r="P104" i="79"/>
  <c r="DG295" i="80"/>
  <c r="BK295" i="80"/>
  <c r="CY295" i="80"/>
  <c r="CQ295" i="80"/>
  <c r="CA295" i="80"/>
  <c r="FC295" i="80"/>
  <c r="BC295" i="80"/>
  <c r="AU295" i="80"/>
  <c r="DO295" i="80"/>
  <c r="O295" i="80"/>
  <c r="CI295" i="80"/>
  <c r="EU295" i="80"/>
  <c r="FK295" i="80"/>
  <c r="EM295" i="80"/>
  <c r="W295" i="80"/>
  <c r="AM295" i="80"/>
  <c r="DW295" i="80"/>
  <c r="AE295" i="80"/>
  <c r="EE295" i="80"/>
  <c r="CK295" i="79"/>
  <c r="CJ295" i="79"/>
  <c r="K140" i="99"/>
  <c r="CT176" i="80"/>
  <c r="BS295" i="80"/>
  <c r="BU295" i="80" s="1"/>
  <c r="G25" i="79"/>
  <c r="D45" i="82"/>
  <c r="Q45" i="82" s="1"/>
  <c r="G25" i="80"/>
  <c r="G25" i="85"/>
  <c r="I8" i="90" s="1"/>
  <c r="D45" i="35"/>
  <c r="AG104" i="79"/>
  <c r="AF104" i="79"/>
  <c r="EW96" i="80"/>
  <c r="EV96" i="80"/>
  <c r="G391" i="80"/>
  <c r="BU147" i="80"/>
  <c r="BV147" i="80" s="1"/>
  <c r="CS147" i="80"/>
  <c r="CT147" i="80" s="1"/>
  <c r="AW147" i="80"/>
  <c r="AX147" i="80" s="1"/>
  <c r="BE147" i="80"/>
  <c r="BF147" i="80" s="1"/>
  <c r="DI147" i="80"/>
  <c r="DJ147" i="80" s="1"/>
  <c r="EO147" i="80"/>
  <c r="EP147" i="80" s="1"/>
  <c r="AG147" i="80"/>
  <c r="AH147" i="80" s="1"/>
  <c r="EW147" i="80"/>
  <c r="EX147" i="80" s="1"/>
  <c r="FE147" i="80"/>
  <c r="FF147" i="80" s="1"/>
  <c r="CC147" i="80"/>
  <c r="CD147" i="80" s="1"/>
  <c r="Q147" i="80"/>
  <c r="R147" i="80" s="1"/>
  <c r="CK147" i="80"/>
  <c r="CL147" i="80" s="1"/>
  <c r="EG147" i="80"/>
  <c r="EH147" i="80" s="1"/>
  <c r="FM147" i="80"/>
  <c r="FN147" i="80" s="1"/>
  <c r="AO147" i="80"/>
  <c r="AP147" i="80" s="1"/>
  <c r="BM147" i="80"/>
  <c r="BN147" i="80" s="1"/>
  <c r="Y147" i="80"/>
  <c r="Z147" i="80" s="1"/>
  <c r="DY147" i="80"/>
  <c r="DZ147" i="80" s="1"/>
  <c r="DQ147" i="80"/>
  <c r="DR147" i="80" s="1"/>
  <c r="DA147" i="80"/>
  <c r="DB147" i="80" s="1"/>
  <c r="BD104" i="79"/>
  <c r="BE104" i="79"/>
  <c r="AN96" i="80"/>
  <c r="AO96" i="80"/>
  <c r="Y96" i="80"/>
  <c r="X96" i="80"/>
  <c r="D72" i="35"/>
  <c r="D73" i="35" s="1"/>
  <c r="D74" i="35" s="1"/>
  <c r="D17" i="32"/>
  <c r="H207" i="85"/>
  <c r="BN176" i="80"/>
  <c r="L398" i="101"/>
  <c r="D47" i="100"/>
  <c r="D48" i="100" s="1"/>
  <c r="F21" i="100"/>
  <c r="G21" i="100" s="1"/>
  <c r="G23" i="100" s="1"/>
  <c r="D24" i="100"/>
  <c r="F23" i="100"/>
  <c r="G65" i="85"/>
  <c r="I31" i="90" s="1"/>
  <c r="G65" i="80"/>
  <c r="G65" i="79"/>
  <c r="I120" i="85"/>
  <c r="K66" i="90" s="1"/>
  <c r="I120" i="79"/>
  <c r="I120" i="80"/>
  <c r="J121" i="79"/>
  <c r="J121" i="80"/>
  <c r="J121" i="85"/>
  <c r="L67" i="90" s="1"/>
  <c r="I121" i="80"/>
  <c r="I121" i="79"/>
  <c r="I121" i="85"/>
  <c r="K67" i="90" s="1"/>
  <c r="M10" i="106"/>
  <c r="M8" i="106"/>
  <c r="L45" i="107"/>
  <c r="D98" i="115"/>
  <c r="EW295" i="79"/>
  <c r="EV295" i="79"/>
  <c r="AG87" i="80"/>
  <c r="X248" i="79"/>
  <c r="P248" i="79"/>
  <c r="EN248" i="79"/>
  <c r="AF248" i="79"/>
  <c r="DX248" i="79"/>
  <c r="DH248" i="79"/>
  <c r="BL248" i="79"/>
  <c r="CZ248" i="79"/>
  <c r="EF248" i="79"/>
  <c r="FD248" i="79"/>
  <c r="CJ248" i="79"/>
  <c r="DP248" i="79"/>
  <c r="AN248" i="79"/>
  <c r="BD248" i="79"/>
  <c r="EV248" i="79"/>
  <c r="CB248" i="79"/>
  <c r="CR248" i="79"/>
  <c r="BT248" i="79"/>
  <c r="FL248" i="79"/>
  <c r="AV248" i="79"/>
  <c r="I143" i="79"/>
  <c r="BE139" i="79"/>
  <c r="BU139" i="79"/>
  <c r="FM139" i="79"/>
  <c r="CK139" i="79"/>
  <c r="FE139" i="79"/>
  <c r="EW139" i="79"/>
  <c r="DA139" i="79"/>
  <c r="BM139" i="79"/>
  <c r="Q139" i="79"/>
  <c r="DI139" i="79"/>
  <c r="EO139" i="79"/>
  <c r="AO139" i="79"/>
  <c r="CC139" i="79"/>
  <c r="EG139" i="79"/>
  <c r="Y139" i="79"/>
  <c r="AW139" i="79"/>
  <c r="CS139" i="79"/>
  <c r="DY139" i="79"/>
  <c r="DQ139" i="79"/>
  <c r="AG139" i="79"/>
  <c r="CS295" i="79"/>
  <c r="CR295" i="79"/>
  <c r="DY87" i="80"/>
  <c r="X248" i="80"/>
  <c r="CZ248" i="80"/>
  <c r="DH248" i="80"/>
  <c r="BL248" i="80"/>
  <c r="CJ248" i="80"/>
  <c r="P248" i="80"/>
  <c r="FD248" i="80"/>
  <c r="EN248" i="80"/>
  <c r="EP248" i="80" s="1"/>
  <c r="AN248" i="80"/>
  <c r="AV248" i="80"/>
  <c r="DP248" i="80"/>
  <c r="CB248" i="80"/>
  <c r="AF248" i="80"/>
  <c r="BD248" i="80"/>
  <c r="FL248" i="80"/>
  <c r="CR248" i="80"/>
  <c r="EF248" i="80"/>
  <c r="BT248" i="80"/>
  <c r="DX248" i="80"/>
  <c r="EV248" i="80"/>
  <c r="K398" i="101"/>
  <c r="H58" i="119"/>
  <c r="J73" i="85"/>
  <c r="L39" i="90" s="1"/>
  <c r="J73" i="80"/>
  <c r="J73" i="79"/>
  <c r="J92" i="85"/>
  <c r="L47" i="90" s="1"/>
  <c r="J92" i="79"/>
  <c r="J92" i="80"/>
  <c r="BM295" i="79"/>
  <c r="BL295" i="79"/>
  <c r="FE87" i="80"/>
  <c r="FK91" i="79"/>
  <c r="FC91" i="79"/>
  <c r="EU91" i="79"/>
  <c r="CI91" i="79"/>
  <c r="AM91" i="79"/>
  <c r="W91" i="79"/>
  <c r="EE91" i="79"/>
  <c r="DW91" i="79"/>
  <c r="CY91" i="79"/>
  <c r="CA91" i="79"/>
  <c r="O91" i="79"/>
  <c r="BC91" i="79"/>
  <c r="CQ91" i="79"/>
  <c r="DG91" i="79"/>
  <c r="DO91" i="79"/>
  <c r="EM91" i="79"/>
  <c r="G93" i="79"/>
  <c r="AU91" i="79"/>
  <c r="BS91" i="79"/>
  <c r="BK91" i="79"/>
  <c r="AE91" i="79"/>
  <c r="CC130" i="79"/>
  <c r="CB130" i="79"/>
  <c r="CC295" i="79"/>
  <c r="CB295" i="79"/>
  <c r="G93" i="85"/>
  <c r="FL130" i="79"/>
  <c r="FM130" i="79"/>
  <c r="CC279" i="80"/>
  <c r="AW279" i="80"/>
  <c r="DI279" i="80"/>
  <c r="BM279" i="80"/>
  <c r="BU279" i="80"/>
  <c r="AO279" i="80"/>
  <c r="EG279" i="80"/>
  <c r="Y279" i="80"/>
  <c r="Q279" i="80"/>
  <c r="DY279" i="80"/>
  <c r="DA279" i="80"/>
  <c r="DB279" i="80" s="1"/>
  <c r="BE279" i="80"/>
  <c r="FE279" i="80"/>
  <c r="FF279" i="80" s="1"/>
  <c r="CS279" i="80"/>
  <c r="EW279" i="80"/>
  <c r="EO279" i="80"/>
  <c r="DQ279" i="80"/>
  <c r="AG279" i="80"/>
  <c r="CK279" i="80"/>
  <c r="FM279" i="80"/>
  <c r="CK87" i="80"/>
  <c r="O91" i="80"/>
  <c r="B24" i="83"/>
  <c r="AA20" i="83"/>
  <c r="AG279" i="79"/>
  <c r="EO279" i="79"/>
  <c r="DY279" i="79"/>
  <c r="DZ279" i="79" s="1"/>
  <c r="BU279" i="79"/>
  <c r="BE279" i="79"/>
  <c r="Q279" i="79"/>
  <c r="CS279" i="79"/>
  <c r="Y279" i="79"/>
  <c r="DQ279" i="79"/>
  <c r="CK279" i="79"/>
  <c r="FE279" i="79"/>
  <c r="EG279" i="79"/>
  <c r="AW279" i="79"/>
  <c r="DI279" i="79"/>
  <c r="BM279" i="79"/>
  <c r="AO279" i="79"/>
  <c r="DA279" i="79"/>
  <c r="FM279" i="79"/>
  <c r="CC279" i="79"/>
  <c r="EW279" i="79"/>
  <c r="J151" i="85"/>
  <c r="L89" i="90" s="1"/>
  <c r="J151" i="80"/>
  <c r="J151" i="79"/>
  <c r="E17" i="32"/>
  <c r="I207" i="85"/>
  <c r="R59" i="80"/>
  <c r="AW206" i="79"/>
  <c r="DA206" i="79"/>
  <c r="DQ206" i="79"/>
  <c r="AG206" i="79"/>
  <c r="CS206" i="79"/>
  <c r="DY206" i="79"/>
  <c r="Q206" i="79"/>
  <c r="EW206" i="79"/>
  <c r="CC206" i="79"/>
  <c r="Y206" i="79"/>
  <c r="BU206" i="79"/>
  <c r="EG206" i="79"/>
  <c r="BE206" i="79"/>
  <c r="DI206" i="79"/>
  <c r="BM206" i="79"/>
  <c r="AO206" i="79"/>
  <c r="EO206" i="79"/>
  <c r="FE206" i="79"/>
  <c r="CK206" i="79"/>
  <c r="FM206" i="79"/>
  <c r="I207" i="79"/>
  <c r="H92" i="85"/>
  <c r="J47" i="90" s="1"/>
  <c r="H92" i="79"/>
  <c r="H92" i="80"/>
  <c r="CK231" i="80"/>
  <c r="CL231" i="80" s="1"/>
  <c r="AO231" i="80"/>
  <c r="AP231" i="80" s="1"/>
  <c r="BM231" i="80"/>
  <c r="BN231" i="80" s="1"/>
  <c r="DY231" i="80"/>
  <c r="DZ231" i="80" s="1"/>
  <c r="FE231" i="80"/>
  <c r="FF231" i="80" s="1"/>
  <c r="DQ231" i="80"/>
  <c r="DR231" i="80" s="1"/>
  <c r="AW231" i="80"/>
  <c r="AX231" i="80" s="1"/>
  <c r="FM231" i="80"/>
  <c r="FN231" i="80" s="1"/>
  <c r="BU231" i="80"/>
  <c r="BV231" i="80" s="1"/>
  <c r="EW231" i="80"/>
  <c r="EX231" i="80" s="1"/>
  <c r="DI231" i="80"/>
  <c r="DJ231" i="80" s="1"/>
  <c r="AG231" i="80"/>
  <c r="AH231" i="80" s="1"/>
  <c r="DA231" i="80"/>
  <c r="DB231" i="80" s="1"/>
  <c r="Q231" i="80"/>
  <c r="R231" i="80" s="1"/>
  <c r="CC231" i="80"/>
  <c r="CD231" i="80" s="1"/>
  <c r="EO231" i="80"/>
  <c r="EP231" i="80" s="1"/>
  <c r="Y231" i="80"/>
  <c r="Z231" i="80" s="1"/>
  <c r="EG231" i="80"/>
  <c r="EH231" i="80" s="1"/>
  <c r="BE231" i="80"/>
  <c r="BF231" i="80" s="1"/>
  <c r="CS231" i="80"/>
  <c r="CT231" i="80" s="1"/>
  <c r="EX69" i="80" l="1"/>
  <c r="FF270" i="80"/>
  <c r="DJ296" i="80"/>
  <c r="CD270" i="80"/>
  <c r="K49" i="160"/>
  <c r="N557" i="163"/>
  <c r="O557" i="163" s="1"/>
  <c r="K52" i="160"/>
  <c r="BU184" i="79"/>
  <c r="BV184" i="79" s="1"/>
  <c r="N607" i="163"/>
  <c r="O607" i="163" s="1"/>
  <c r="EO184" i="79"/>
  <c r="EP184" i="79" s="1"/>
  <c r="N391" i="163"/>
  <c r="O391" i="163" s="1"/>
  <c r="N593" i="163"/>
  <c r="O593" i="163" s="1"/>
  <c r="K39" i="160"/>
  <c r="N621" i="163"/>
  <c r="O621" i="163" s="1"/>
  <c r="N339" i="163"/>
  <c r="O339" i="163" s="1"/>
  <c r="K7" i="160"/>
  <c r="DI184" i="79"/>
  <c r="DJ184" i="79" s="1"/>
  <c r="K20" i="160"/>
  <c r="DB182" i="80"/>
  <c r="N605" i="163"/>
  <c r="O605" i="163" s="1"/>
  <c r="DZ123" i="80"/>
  <c r="AP270" i="80"/>
  <c r="K41" i="160"/>
  <c r="N346" i="163"/>
  <c r="O346" i="163" s="1"/>
  <c r="N575" i="163"/>
  <c r="O575" i="163" s="1"/>
  <c r="K16" i="160"/>
  <c r="K19" i="160"/>
  <c r="K11" i="160"/>
  <c r="CS184" i="79"/>
  <c r="CT184" i="79" s="1"/>
  <c r="K5" i="160"/>
  <c r="DA184" i="79"/>
  <c r="DB184" i="79" s="1"/>
  <c r="N610" i="163"/>
  <c r="O610" i="163" s="1"/>
  <c r="BF201" i="79"/>
  <c r="DZ307" i="79"/>
  <c r="CS185" i="80"/>
  <c r="CT185" i="80" s="1"/>
  <c r="K23" i="160"/>
  <c r="Q185" i="80"/>
  <c r="R185" i="80" s="1"/>
  <c r="K10" i="100"/>
  <c r="K56" i="160"/>
  <c r="BF295" i="79"/>
  <c r="N563" i="163"/>
  <c r="O563" i="163" s="1"/>
  <c r="N336" i="163"/>
  <c r="O336" i="163" s="1"/>
  <c r="K53" i="160"/>
  <c r="N466" i="163"/>
  <c r="O466" i="163" s="1"/>
  <c r="BU185" i="80"/>
  <c r="BV185" i="80" s="1"/>
  <c r="K44" i="160"/>
  <c r="N548" i="163"/>
  <c r="O548" i="163" s="1"/>
  <c r="BD202" i="79"/>
  <c r="N295" i="163"/>
  <c r="O295" i="163" s="1"/>
  <c r="FM185" i="80"/>
  <c r="FN185" i="80" s="1"/>
  <c r="J215" i="79"/>
  <c r="N389" i="163"/>
  <c r="O389" i="163" s="1"/>
  <c r="N542" i="163"/>
  <c r="O542" i="163" s="1"/>
  <c r="N524" i="163"/>
  <c r="O524" i="163" s="1"/>
  <c r="N538" i="163"/>
  <c r="O538" i="163" s="1"/>
  <c r="N217" i="163"/>
  <c r="O217" i="163" s="1"/>
  <c r="M10" i="163"/>
  <c r="H356" i="162"/>
  <c r="H389" i="162" s="1"/>
  <c r="G119" i="166" s="1"/>
  <c r="G389" i="162"/>
  <c r="I389" i="162" s="1"/>
  <c r="G70" i="162"/>
  <c r="I70" i="162" s="1"/>
  <c r="H69" i="162"/>
  <c r="H70" i="162" s="1"/>
  <c r="G107" i="166" s="1"/>
  <c r="H431" i="162"/>
  <c r="H432" i="162" s="1"/>
  <c r="G127" i="166" s="1"/>
  <c r="G432" i="162"/>
  <c r="I432" i="162" s="1"/>
  <c r="FL214" i="80"/>
  <c r="FM214" i="80"/>
  <c r="EG214" i="80"/>
  <c r="EF214" i="80"/>
  <c r="E18" i="32"/>
  <c r="I215" i="85"/>
  <c r="DA113" i="80"/>
  <c r="CB201" i="79"/>
  <c r="CD201" i="79" s="1"/>
  <c r="FD201" i="79"/>
  <c r="FD202" i="79" s="1"/>
  <c r="AN201" i="79"/>
  <c r="AN202" i="79" s="1"/>
  <c r="P201" i="79"/>
  <c r="BL201" i="79"/>
  <c r="BN201" i="79" s="1"/>
  <c r="EF201" i="79"/>
  <c r="EH201" i="79" s="1"/>
  <c r="DX201" i="79"/>
  <c r="DY214" i="80"/>
  <c r="DX214" i="80"/>
  <c r="D16" i="32"/>
  <c r="H202" i="85"/>
  <c r="W181" i="79"/>
  <c r="AU181" i="79"/>
  <c r="BC181" i="79"/>
  <c r="CQ181" i="79"/>
  <c r="DG181" i="79"/>
  <c r="BK181" i="79"/>
  <c r="AE181" i="79"/>
  <c r="AM181" i="79"/>
  <c r="BS181" i="79"/>
  <c r="CY181" i="79"/>
  <c r="O181" i="79"/>
  <c r="DO181" i="79"/>
  <c r="CI181" i="79"/>
  <c r="CA181" i="79"/>
  <c r="FK181" i="79"/>
  <c r="EM181" i="79"/>
  <c r="DW181" i="79"/>
  <c r="EU181" i="79"/>
  <c r="EE181" i="79"/>
  <c r="FC181" i="79"/>
  <c r="H55" i="162"/>
  <c r="G66" i="162"/>
  <c r="G428" i="162"/>
  <c r="H399" i="162"/>
  <c r="H428" i="162" s="1"/>
  <c r="CJ214" i="80"/>
  <c r="CK214" i="80"/>
  <c r="J181" i="85"/>
  <c r="L100" i="90" s="1"/>
  <c r="J181" i="80"/>
  <c r="J181" i="79"/>
  <c r="FN184" i="79"/>
  <c r="N7" i="163"/>
  <c r="I10" i="163"/>
  <c r="H608" i="162"/>
  <c r="G620" i="162"/>
  <c r="AF178" i="80"/>
  <c r="CR178" i="80"/>
  <c r="CT178" i="80" s="1"/>
  <c r="EV178" i="80"/>
  <c r="EX178" i="80" s="1"/>
  <c r="P178" i="80"/>
  <c r="DP178" i="80"/>
  <c r="DR178" i="80" s="1"/>
  <c r="FL178" i="80"/>
  <c r="FN178" i="80" s="1"/>
  <c r="CB178" i="80"/>
  <c r="CD178" i="80" s="1"/>
  <c r="BL178" i="80"/>
  <c r="BN178" i="80" s="1"/>
  <c r="DH178" i="80"/>
  <c r="DJ178" i="80" s="1"/>
  <c r="AN178" i="80"/>
  <c r="AP178" i="80" s="1"/>
  <c r="CZ178" i="80"/>
  <c r="DB178" i="80" s="1"/>
  <c r="EN178" i="80"/>
  <c r="EP178" i="80" s="1"/>
  <c r="AV178" i="80"/>
  <c r="AX178" i="80" s="1"/>
  <c r="CJ178" i="80"/>
  <c r="CL178" i="80" s="1"/>
  <c r="FD178" i="80"/>
  <c r="FF178" i="80" s="1"/>
  <c r="DX178" i="80"/>
  <c r="DZ178" i="80" s="1"/>
  <c r="X178" i="80"/>
  <c r="BT178" i="80"/>
  <c r="BV178" i="80" s="1"/>
  <c r="EF178" i="80"/>
  <c r="EH178" i="80" s="1"/>
  <c r="BD178" i="80"/>
  <c r="BF178" i="80" s="1"/>
  <c r="AV214" i="80"/>
  <c r="AW214" i="80"/>
  <c r="EW200" i="79"/>
  <c r="Y200" i="79"/>
  <c r="BE200" i="79"/>
  <c r="AW200" i="79"/>
  <c r="AX200" i="79" s="1"/>
  <c r="CS200" i="79"/>
  <c r="CT200" i="79" s="1"/>
  <c r="FE200" i="79"/>
  <c r="AG200" i="79"/>
  <c r="AH200" i="79" s="1"/>
  <c r="DI200" i="79"/>
  <c r="DJ200" i="79" s="1"/>
  <c r="EO200" i="79"/>
  <c r="EO202" i="79" s="1"/>
  <c r="CC200" i="79"/>
  <c r="BM200" i="79"/>
  <c r="BN200" i="79" s="1"/>
  <c r="DQ200" i="79"/>
  <c r="DR200" i="79" s="1"/>
  <c r="DY200" i="79"/>
  <c r="DY202" i="79" s="1"/>
  <c r="BU200" i="79"/>
  <c r="BU202" i="79" s="1"/>
  <c r="Q200" i="79"/>
  <c r="EG200" i="79"/>
  <c r="EH200" i="79" s="1"/>
  <c r="AO200" i="79"/>
  <c r="CK200" i="79"/>
  <c r="CL200" i="79" s="1"/>
  <c r="FM200" i="79"/>
  <c r="FM202" i="79" s="1"/>
  <c r="DA200" i="79"/>
  <c r="DB200" i="79" s="1"/>
  <c r="DY185" i="80"/>
  <c r="DZ185" i="80" s="1"/>
  <c r="R7" i="82"/>
  <c r="R7" i="35"/>
  <c r="R8" i="35" s="1"/>
  <c r="R13" i="35" s="1"/>
  <c r="H181" i="79"/>
  <c r="H181" i="85"/>
  <c r="J100" i="90" s="1"/>
  <c r="H181" i="80"/>
  <c r="FE184" i="79"/>
  <c r="FF184" i="79" s="1"/>
  <c r="AH142" i="80"/>
  <c r="FE185" i="79"/>
  <c r="FF185" i="79" s="1"/>
  <c r="EO185" i="79"/>
  <c r="EP185" i="79" s="1"/>
  <c r="BU185" i="79"/>
  <c r="BV185" i="79" s="1"/>
  <c r="CK185" i="79"/>
  <c r="CL185" i="79" s="1"/>
  <c r="CC185" i="79"/>
  <c r="CD185" i="79" s="1"/>
  <c r="DY185" i="79"/>
  <c r="DZ185" i="79" s="1"/>
  <c r="AW185" i="79"/>
  <c r="AX185" i="79" s="1"/>
  <c r="Y185" i="79"/>
  <c r="Z185" i="79" s="1"/>
  <c r="EW185" i="79"/>
  <c r="EX185" i="79" s="1"/>
  <c r="BM185" i="79"/>
  <c r="BN185" i="79" s="1"/>
  <c r="BE185" i="79"/>
  <c r="BF185" i="79" s="1"/>
  <c r="FM185" i="79"/>
  <c r="FN185" i="79" s="1"/>
  <c r="AO185" i="79"/>
  <c r="AP185" i="79" s="1"/>
  <c r="DQ185" i="79"/>
  <c r="DR185" i="79" s="1"/>
  <c r="BK254" i="80"/>
  <c r="FK254" i="80"/>
  <c r="CQ254" i="80"/>
  <c r="O254" i="80"/>
  <c r="W254" i="80"/>
  <c r="FC254" i="80"/>
  <c r="EM254" i="80"/>
  <c r="BC254" i="80"/>
  <c r="DO254" i="80"/>
  <c r="EU254" i="80"/>
  <c r="AE254" i="80"/>
  <c r="CA254" i="80"/>
  <c r="DW254" i="80"/>
  <c r="DG254" i="80"/>
  <c r="AM254" i="80"/>
  <c r="AU254" i="80"/>
  <c r="EE254" i="80"/>
  <c r="CY254" i="80"/>
  <c r="CI254" i="80"/>
  <c r="BS254" i="80"/>
  <c r="N497" i="163"/>
  <c r="I508" i="163"/>
  <c r="N334" i="163"/>
  <c r="O334" i="163" s="1"/>
  <c r="H66" i="162"/>
  <c r="G105" i="166" s="1"/>
  <c r="J202" i="85"/>
  <c r="F16" i="32"/>
  <c r="CS214" i="80"/>
  <c r="CR214" i="80"/>
  <c r="CQ215" i="80"/>
  <c r="BE184" i="80"/>
  <c r="DI184" i="80"/>
  <c r="DA184" i="80"/>
  <c r="FE184" i="80"/>
  <c r="Y184" i="80"/>
  <c r="FM184" i="80"/>
  <c r="EW184" i="80"/>
  <c r="CS184" i="80"/>
  <c r="EG184" i="80"/>
  <c r="EO184" i="80"/>
  <c r="AO184" i="80"/>
  <c r="Q184" i="80"/>
  <c r="DQ184" i="80"/>
  <c r="AW184" i="80"/>
  <c r="CC184" i="80"/>
  <c r="AG184" i="80"/>
  <c r="BM184" i="80"/>
  <c r="DY184" i="80"/>
  <c r="CK184" i="80"/>
  <c r="BU184" i="80"/>
  <c r="BM185" i="80"/>
  <c r="BN185" i="80" s="1"/>
  <c r="I181" i="79"/>
  <c r="I181" i="85"/>
  <c r="K100" i="90" s="1"/>
  <c r="I181" i="80"/>
  <c r="EM153" i="79"/>
  <c r="DB59" i="80"/>
  <c r="EN201" i="79"/>
  <c r="CY254" i="79"/>
  <c r="CQ254" i="79"/>
  <c r="CA254" i="79"/>
  <c r="EU254" i="79"/>
  <c r="BC254" i="79"/>
  <c r="AM254" i="79"/>
  <c r="O254" i="79"/>
  <c r="DO254" i="79"/>
  <c r="AU254" i="79"/>
  <c r="DW254" i="79"/>
  <c r="BS254" i="79"/>
  <c r="W254" i="79"/>
  <c r="DG254" i="79"/>
  <c r="FK254" i="79"/>
  <c r="FC254" i="79"/>
  <c r="AE254" i="79"/>
  <c r="BK254" i="79"/>
  <c r="CI254" i="79"/>
  <c r="EM254" i="79"/>
  <c r="EE254" i="79"/>
  <c r="N8" i="163"/>
  <c r="O8" i="163" s="1"/>
  <c r="N535" i="163"/>
  <c r="O535" i="163" s="1"/>
  <c r="G647" i="162"/>
  <c r="H646" i="162"/>
  <c r="H647" i="162" s="1"/>
  <c r="G152" i="166" s="1"/>
  <c r="EF178" i="79"/>
  <c r="EH178" i="79" s="1"/>
  <c r="EV178" i="79"/>
  <c r="EX178" i="79" s="1"/>
  <c r="CJ178" i="79"/>
  <c r="CL178" i="79" s="1"/>
  <c r="BT178" i="79"/>
  <c r="BV178" i="79" s="1"/>
  <c r="CZ178" i="79"/>
  <c r="DB178" i="79" s="1"/>
  <c r="AF178" i="79"/>
  <c r="AH178" i="79" s="1"/>
  <c r="BL178" i="79"/>
  <c r="BN178" i="79" s="1"/>
  <c r="AV178" i="79"/>
  <c r="AX178" i="79" s="1"/>
  <c r="CB178" i="79"/>
  <c r="CD178" i="79" s="1"/>
  <c r="DH178" i="79"/>
  <c r="DJ178" i="79" s="1"/>
  <c r="X178" i="79"/>
  <c r="Z178" i="79" s="1"/>
  <c r="DP178" i="79"/>
  <c r="DR178" i="79" s="1"/>
  <c r="FL178" i="79"/>
  <c r="FN178" i="79" s="1"/>
  <c r="FD178" i="79"/>
  <c r="FF178" i="79" s="1"/>
  <c r="AN178" i="79"/>
  <c r="AP178" i="79" s="1"/>
  <c r="EN178" i="79"/>
  <c r="EP178" i="79" s="1"/>
  <c r="DX178" i="79"/>
  <c r="DZ178" i="79" s="1"/>
  <c r="CR178" i="79"/>
  <c r="CT178" i="79" s="1"/>
  <c r="P178" i="79"/>
  <c r="R178" i="79" s="1"/>
  <c r="CS185" i="79"/>
  <c r="CT185" i="79" s="1"/>
  <c r="FD184" i="80"/>
  <c r="EV184" i="80"/>
  <c r="BT184" i="80"/>
  <c r="DX184" i="80"/>
  <c r="CR184" i="80"/>
  <c r="BD184" i="80"/>
  <c r="DH184" i="80"/>
  <c r="AV184" i="80"/>
  <c r="AF184" i="80"/>
  <c r="AH184" i="80" s="1"/>
  <c r="X184" i="80"/>
  <c r="CJ184" i="80"/>
  <c r="CL184" i="80" s="1"/>
  <c r="EN184" i="80"/>
  <c r="CB184" i="80"/>
  <c r="AN184" i="80"/>
  <c r="FL184" i="80"/>
  <c r="BL184" i="80"/>
  <c r="DP184" i="80"/>
  <c r="EF184" i="80"/>
  <c r="P184" i="80"/>
  <c r="CZ184" i="80"/>
  <c r="EW214" i="80"/>
  <c r="EV214" i="80"/>
  <c r="J36" i="169"/>
  <c r="DQ184" i="79"/>
  <c r="DR184" i="79" s="1"/>
  <c r="AV201" i="79"/>
  <c r="AX201" i="79" s="1"/>
  <c r="DW153" i="79"/>
  <c r="EG185" i="80"/>
  <c r="EH185" i="80" s="1"/>
  <c r="DQ185" i="80"/>
  <c r="DR185" i="80" s="1"/>
  <c r="N596" i="163"/>
  <c r="O596" i="163" s="1"/>
  <c r="N214" i="163"/>
  <c r="O214" i="163" s="1"/>
  <c r="N341" i="163"/>
  <c r="O341" i="163" s="1"/>
  <c r="N602" i="163"/>
  <c r="O602" i="163" s="1"/>
  <c r="N540" i="163"/>
  <c r="O540" i="163" s="1"/>
  <c r="H83" i="162"/>
  <c r="H86" i="162" s="1"/>
  <c r="G110" i="166" s="1"/>
  <c r="G86" i="162"/>
  <c r="H651" i="162"/>
  <c r="H660" i="162" s="1"/>
  <c r="G154" i="166" s="1"/>
  <c r="G660" i="162"/>
  <c r="Y205" i="80"/>
  <c r="EO205" i="80"/>
  <c r="BU205" i="80"/>
  <c r="EW205" i="80"/>
  <c r="BE205" i="80"/>
  <c r="Q205" i="80"/>
  <c r="AW205" i="80"/>
  <c r="DI205" i="80"/>
  <c r="FM205" i="80"/>
  <c r="I207" i="80"/>
  <c r="CC205" i="80"/>
  <c r="CS205" i="80"/>
  <c r="AO205" i="80"/>
  <c r="DA205" i="80"/>
  <c r="EG205" i="80"/>
  <c r="BM205" i="80"/>
  <c r="DY205" i="80"/>
  <c r="DQ205" i="80"/>
  <c r="FE205" i="80"/>
  <c r="CK205" i="80"/>
  <c r="CC214" i="80"/>
  <c r="CB214" i="80"/>
  <c r="EW184" i="79"/>
  <c r="EX184" i="79" s="1"/>
  <c r="BM184" i="79"/>
  <c r="BN184" i="79" s="1"/>
  <c r="CK184" i="79"/>
  <c r="CL184" i="79" s="1"/>
  <c r="BE184" i="79"/>
  <c r="BF184" i="79" s="1"/>
  <c r="Q184" i="79"/>
  <c r="R184" i="79" s="1"/>
  <c r="AV206" i="80"/>
  <c r="DX206" i="80"/>
  <c r="FL206" i="80"/>
  <c r="CJ206" i="80"/>
  <c r="EN206" i="80"/>
  <c r="EN207" i="80" s="1"/>
  <c r="CR206" i="80"/>
  <c r="CZ206" i="80"/>
  <c r="AN206" i="80"/>
  <c r="CB206" i="80"/>
  <c r="X206" i="80"/>
  <c r="AF206" i="80"/>
  <c r="P206" i="80"/>
  <c r="BD206" i="80"/>
  <c r="FD206" i="80"/>
  <c r="DP206" i="80"/>
  <c r="EF206" i="80"/>
  <c r="DH206" i="80"/>
  <c r="EV206" i="80"/>
  <c r="BL206" i="80"/>
  <c r="BT206" i="80"/>
  <c r="AF201" i="79"/>
  <c r="AH201" i="79" s="1"/>
  <c r="BT201" i="79"/>
  <c r="BT202" i="79" s="1"/>
  <c r="AG185" i="80"/>
  <c r="AH185" i="80" s="1"/>
  <c r="N598" i="163"/>
  <c r="O598" i="163" s="1"/>
  <c r="Q205" i="79"/>
  <c r="CC205" i="79"/>
  <c r="FE205" i="79"/>
  <c r="AG205" i="79"/>
  <c r="FM205" i="79"/>
  <c r="CK205" i="79"/>
  <c r="CS205" i="79"/>
  <c r="Y205" i="79"/>
  <c r="BU205" i="79"/>
  <c r="AO205" i="79"/>
  <c r="AO207" i="79" s="1"/>
  <c r="DY205" i="79"/>
  <c r="BM205" i="79"/>
  <c r="DI205" i="79"/>
  <c r="DQ205" i="79"/>
  <c r="EG205" i="79"/>
  <c r="EW205" i="79"/>
  <c r="EO205" i="79"/>
  <c r="DA185" i="80"/>
  <c r="DB185" i="80" s="1"/>
  <c r="DA214" i="80"/>
  <c r="CZ214" i="80"/>
  <c r="FD206" i="79"/>
  <c r="X206" i="79"/>
  <c r="BD206" i="79"/>
  <c r="BT206" i="79"/>
  <c r="CR206" i="79"/>
  <c r="P206" i="79"/>
  <c r="FL206" i="79"/>
  <c r="CJ206" i="79"/>
  <c r="AF206" i="79"/>
  <c r="DX206" i="79"/>
  <c r="CB206" i="79"/>
  <c r="EV206" i="79"/>
  <c r="EN206" i="79"/>
  <c r="DH206" i="79"/>
  <c r="EF206" i="79"/>
  <c r="AV206" i="79"/>
  <c r="CZ206" i="79"/>
  <c r="EW185" i="80"/>
  <c r="EX185" i="80" s="1"/>
  <c r="DI185" i="79"/>
  <c r="DJ185" i="79" s="1"/>
  <c r="AG205" i="80"/>
  <c r="BK153" i="79"/>
  <c r="N623" i="163"/>
  <c r="O623" i="163" s="1"/>
  <c r="N597" i="163"/>
  <c r="O597" i="163" s="1"/>
  <c r="N536" i="163"/>
  <c r="O536" i="163" s="1"/>
  <c r="N609" i="163"/>
  <c r="O609" i="163" s="1"/>
  <c r="K10" i="163"/>
  <c r="N340" i="163"/>
  <c r="O340" i="163" s="1"/>
  <c r="Y214" i="80"/>
  <c r="X214" i="80"/>
  <c r="DI185" i="80"/>
  <c r="DJ185" i="80" s="1"/>
  <c r="EG185" i="79"/>
  <c r="EH185" i="79" s="1"/>
  <c r="N626" i="163"/>
  <c r="O626" i="163" s="1"/>
  <c r="N622" i="163"/>
  <c r="O622" i="163" s="1"/>
  <c r="J10" i="163"/>
  <c r="O215" i="80"/>
  <c r="Q214" i="80"/>
  <c r="P214" i="80"/>
  <c r="EF210" i="79"/>
  <c r="EH210" i="79" s="1"/>
  <c r="DH210" i="79"/>
  <c r="DJ210" i="79" s="1"/>
  <c r="FE185" i="80"/>
  <c r="FF185" i="80" s="1"/>
  <c r="CJ201" i="79"/>
  <c r="CL201" i="79" s="1"/>
  <c r="AO185" i="80"/>
  <c r="AP185" i="80" s="1"/>
  <c r="AG184" i="79"/>
  <c r="AH184" i="79" s="1"/>
  <c r="EV201" i="79"/>
  <c r="N544" i="163"/>
  <c r="O544" i="163" s="1"/>
  <c r="M637" i="163"/>
  <c r="G13" i="111"/>
  <c r="G15" i="111"/>
  <c r="DI214" i="80"/>
  <c r="DH214" i="80"/>
  <c r="D18" i="32"/>
  <c r="H215" i="85"/>
  <c r="CC185" i="80"/>
  <c r="CD185" i="80" s="1"/>
  <c r="CR201" i="79"/>
  <c r="CT201" i="79" s="1"/>
  <c r="DP201" i="79"/>
  <c r="DR201" i="79" s="1"/>
  <c r="EO185" i="80"/>
  <c r="EP185" i="80" s="1"/>
  <c r="Y184" i="79"/>
  <c r="Z184" i="79" s="1"/>
  <c r="CL185" i="80"/>
  <c r="N603" i="163"/>
  <c r="O603" i="163" s="1"/>
  <c r="N537" i="163"/>
  <c r="O537" i="163" s="1"/>
  <c r="I467" i="162"/>
  <c r="H467" i="162"/>
  <c r="G131" i="166" s="1"/>
  <c r="DH201" i="79"/>
  <c r="DJ201" i="79" s="1"/>
  <c r="BU214" i="80"/>
  <c r="BT214" i="80"/>
  <c r="H202" i="79"/>
  <c r="AG185" i="79"/>
  <c r="AH185" i="79" s="1"/>
  <c r="EG184" i="79"/>
  <c r="EH184" i="79" s="1"/>
  <c r="EU153" i="79"/>
  <c r="DQ104" i="79"/>
  <c r="P16" i="80"/>
  <c r="P410" i="80" s="1"/>
  <c r="AH178" i="80"/>
  <c r="CL59" i="80"/>
  <c r="N591" i="163"/>
  <c r="O591" i="163" s="1"/>
  <c r="N342" i="163"/>
  <c r="O342" i="163" s="1"/>
  <c r="N467" i="163"/>
  <c r="O467" i="163" s="1"/>
  <c r="AO214" i="80"/>
  <c r="AN214" i="80"/>
  <c r="DW215" i="80"/>
  <c r="I36" i="169"/>
  <c r="FL201" i="79"/>
  <c r="FN201" i="79" s="1"/>
  <c r="CZ201" i="79"/>
  <c r="BD178" i="79"/>
  <c r="BF178" i="79" s="1"/>
  <c r="BE185" i="80"/>
  <c r="BF185" i="80" s="1"/>
  <c r="Z178" i="80"/>
  <c r="BV200" i="79"/>
  <c r="N221" i="163"/>
  <c r="O221" i="163" s="1"/>
  <c r="N549" i="163"/>
  <c r="O549" i="163" s="1"/>
  <c r="N393" i="163"/>
  <c r="O393" i="163" s="1"/>
  <c r="N363" i="163"/>
  <c r="O363" i="163" s="1"/>
  <c r="N551" i="163"/>
  <c r="O551" i="163" s="1"/>
  <c r="I115" i="107"/>
  <c r="L114" i="107"/>
  <c r="AW185" i="80"/>
  <c r="AX185" i="80" s="1"/>
  <c r="EO214" i="80"/>
  <c r="EN214" i="80"/>
  <c r="DG215" i="80"/>
  <c r="BU206" i="80"/>
  <c r="Y206" i="80"/>
  <c r="DA206" i="80"/>
  <c r="EG206" i="80"/>
  <c r="AW206" i="80"/>
  <c r="CC206" i="80"/>
  <c r="DQ206" i="80"/>
  <c r="Q206" i="80"/>
  <c r="FE206" i="80"/>
  <c r="EW206" i="80"/>
  <c r="EO206" i="80"/>
  <c r="AG206" i="80"/>
  <c r="CK206" i="80"/>
  <c r="BM206" i="80"/>
  <c r="CS206" i="80"/>
  <c r="DY206" i="80"/>
  <c r="BE206" i="80"/>
  <c r="DI206" i="80"/>
  <c r="FM206" i="80"/>
  <c r="AO206" i="80"/>
  <c r="DA185" i="79"/>
  <c r="DB185" i="79" s="1"/>
  <c r="AN206" i="79"/>
  <c r="DY184" i="79"/>
  <c r="DZ184" i="79" s="1"/>
  <c r="R178" i="80"/>
  <c r="FF201" i="79"/>
  <c r="N572" i="163"/>
  <c r="O572" i="163" s="1"/>
  <c r="N543" i="163"/>
  <c r="O543" i="163" s="1"/>
  <c r="M326" i="163"/>
  <c r="H334" i="162"/>
  <c r="G111" i="166" s="1"/>
  <c r="I334" i="162"/>
  <c r="AO184" i="79"/>
  <c r="AP184" i="79" s="1"/>
  <c r="BE214" i="80"/>
  <c r="BD214" i="80"/>
  <c r="BM214" i="80"/>
  <c r="BL214" i="80"/>
  <c r="DQ210" i="80"/>
  <c r="DR210" i="80" s="1"/>
  <c r="Q210" i="80"/>
  <c r="R210" i="80" s="1"/>
  <c r="DI210" i="80"/>
  <c r="DJ210" i="80" s="1"/>
  <c r="BE210" i="80"/>
  <c r="BF210" i="80" s="1"/>
  <c r="CK210" i="80"/>
  <c r="CL210" i="80" s="1"/>
  <c r="EO210" i="80"/>
  <c r="EP210" i="80" s="1"/>
  <c r="FM210" i="80"/>
  <c r="FN210" i="80" s="1"/>
  <c r="BM210" i="80"/>
  <c r="BN210" i="80" s="1"/>
  <c r="EG210" i="80"/>
  <c r="EH210" i="80" s="1"/>
  <c r="Y210" i="80"/>
  <c r="Z210" i="80" s="1"/>
  <c r="DA210" i="80"/>
  <c r="DB210" i="80" s="1"/>
  <c r="DY210" i="80"/>
  <c r="DY215" i="80" s="1"/>
  <c r="AG210" i="80"/>
  <c r="AH210" i="80" s="1"/>
  <c r="AW210" i="80"/>
  <c r="AX210" i="80" s="1"/>
  <c r="EW210" i="80"/>
  <c r="EX210" i="80" s="1"/>
  <c r="AO210" i="80"/>
  <c r="AP210" i="80" s="1"/>
  <c r="FE210" i="80"/>
  <c r="FF210" i="80" s="1"/>
  <c r="BU210" i="80"/>
  <c r="BV210" i="80" s="1"/>
  <c r="CS210" i="80"/>
  <c r="CT210" i="80" s="1"/>
  <c r="AW184" i="79"/>
  <c r="AX184" i="79" s="1"/>
  <c r="Y185" i="80"/>
  <c r="Z185" i="80" s="1"/>
  <c r="N566" i="163"/>
  <c r="O566" i="163" s="1"/>
  <c r="N541" i="163"/>
  <c r="O541" i="163" s="1"/>
  <c r="N337" i="163"/>
  <c r="O337" i="163" s="1"/>
  <c r="N534" i="163"/>
  <c r="O534" i="163" s="1"/>
  <c r="N330" i="163"/>
  <c r="O330" i="163" s="1"/>
  <c r="M495" i="163"/>
  <c r="H7" i="162"/>
  <c r="H19" i="162" s="1"/>
  <c r="G97" i="166" s="1"/>
  <c r="G19" i="162"/>
  <c r="H665" i="162"/>
  <c r="H783" i="162" s="1"/>
  <c r="G155" i="166" s="1"/>
  <c r="G783" i="162"/>
  <c r="I783" i="162" s="1"/>
  <c r="H471" i="162"/>
  <c r="H596" i="162" s="1"/>
  <c r="G132" i="166" s="1"/>
  <c r="G596" i="162"/>
  <c r="AV201" i="80"/>
  <c r="AV202" i="80" s="1"/>
  <c r="AF201" i="80"/>
  <c r="AF202" i="80" s="1"/>
  <c r="CJ201" i="80"/>
  <c r="CL201" i="80" s="1"/>
  <c r="DX201" i="80"/>
  <c r="DZ201" i="80" s="1"/>
  <c r="EF201" i="80"/>
  <c r="EH201" i="80" s="1"/>
  <c r="DH201" i="80"/>
  <c r="DJ201" i="80" s="1"/>
  <c r="DP201" i="80"/>
  <c r="DP202" i="80" s="1"/>
  <c r="BT201" i="80"/>
  <c r="BT202" i="80" s="1"/>
  <c r="FL201" i="80"/>
  <c r="FL202" i="80" s="1"/>
  <c r="CB201" i="80"/>
  <c r="CB202" i="80" s="1"/>
  <c r="CZ201" i="80"/>
  <c r="CZ202" i="80" s="1"/>
  <c r="EN201" i="80"/>
  <c r="EN202" i="80" s="1"/>
  <c r="P201" i="80"/>
  <c r="R201" i="80" s="1"/>
  <c r="X201" i="80"/>
  <c r="X202" i="80" s="1"/>
  <c r="BL201" i="80"/>
  <c r="BN201" i="80" s="1"/>
  <c r="BD201" i="80"/>
  <c r="BF201" i="80" s="1"/>
  <c r="AN201" i="80"/>
  <c r="AP201" i="80" s="1"/>
  <c r="EV201" i="80"/>
  <c r="EV202" i="80" s="1"/>
  <c r="FD201" i="80"/>
  <c r="FF201" i="80" s="1"/>
  <c r="CR201" i="80"/>
  <c r="CT201" i="80" s="1"/>
  <c r="CC184" i="79"/>
  <c r="CD184" i="79" s="1"/>
  <c r="DQ214" i="80"/>
  <c r="DP214" i="80"/>
  <c r="AE215" i="80"/>
  <c r="AG214" i="80"/>
  <c r="AF214" i="80"/>
  <c r="F40" i="106"/>
  <c r="F39" i="106"/>
  <c r="CA181" i="80"/>
  <c r="BS181" i="80"/>
  <c r="CY181" i="80"/>
  <c r="BK181" i="80"/>
  <c r="DG181" i="80"/>
  <c r="BC181" i="80"/>
  <c r="O181" i="80"/>
  <c r="AE181" i="80"/>
  <c r="DO181" i="80"/>
  <c r="AU181" i="80"/>
  <c r="W181" i="80"/>
  <c r="FC181" i="80"/>
  <c r="EU181" i="80"/>
  <c r="FK181" i="80"/>
  <c r="EM181" i="80"/>
  <c r="EE181" i="80"/>
  <c r="AM181" i="80"/>
  <c r="CQ181" i="80"/>
  <c r="CI181" i="80"/>
  <c r="DW181" i="80"/>
  <c r="I202" i="79"/>
  <c r="EF96" i="79"/>
  <c r="EF295" i="79"/>
  <c r="EG295" i="79"/>
  <c r="DH295" i="79"/>
  <c r="DI295" i="79"/>
  <c r="I26" i="166"/>
  <c r="DX295" i="79"/>
  <c r="DY295" i="79"/>
  <c r="BT295" i="80"/>
  <c r="BV295" i="80" s="1"/>
  <c r="F41" i="167"/>
  <c r="G41" i="167"/>
  <c r="H41" i="167"/>
  <c r="AX59" i="80"/>
  <c r="P96" i="80"/>
  <c r="AW295" i="79"/>
  <c r="AV295" i="79"/>
  <c r="BU295" i="79"/>
  <c r="BT295" i="79"/>
  <c r="BC73" i="80"/>
  <c r="BD73" i="80" s="1"/>
  <c r="FC73" i="80"/>
  <c r="FD73" i="80" s="1"/>
  <c r="EE73" i="80"/>
  <c r="EF73" i="80" s="1"/>
  <c r="DW73" i="80"/>
  <c r="DX73" i="80" s="1"/>
  <c r="W73" i="80"/>
  <c r="X73" i="80" s="1"/>
  <c r="AE73" i="80"/>
  <c r="AF73" i="80" s="1"/>
  <c r="AM73" i="80"/>
  <c r="AN73" i="80" s="1"/>
  <c r="CA73" i="80"/>
  <c r="CB73" i="80" s="1"/>
  <c r="AU73" i="80"/>
  <c r="AV73" i="80" s="1"/>
  <c r="DO73" i="80"/>
  <c r="DP73" i="80" s="1"/>
  <c r="CI73" i="80"/>
  <c r="CJ73" i="80" s="1"/>
  <c r="FK73" i="80"/>
  <c r="FL73" i="80" s="1"/>
  <c r="CY73" i="80"/>
  <c r="CZ73" i="80" s="1"/>
  <c r="BS73" i="80"/>
  <c r="BT73" i="80" s="1"/>
  <c r="EU73" i="80"/>
  <c r="EV73" i="80" s="1"/>
  <c r="EM73" i="80"/>
  <c r="EN73" i="80" s="1"/>
  <c r="CQ73" i="80"/>
  <c r="CR73" i="80" s="1"/>
  <c r="BK73" i="80"/>
  <c r="BL73" i="80" s="1"/>
  <c r="DG73" i="80"/>
  <c r="DH73" i="80" s="1"/>
  <c r="O73" i="80"/>
  <c r="P73" i="80" s="1"/>
  <c r="I33" i="166"/>
  <c r="I34" i="166" s="1"/>
  <c r="J33" i="166"/>
  <c r="J34" i="166" s="1"/>
  <c r="H33" i="166"/>
  <c r="H34" i="166" s="1"/>
  <c r="G34" i="166"/>
  <c r="AA20" i="177"/>
  <c r="X68" i="79"/>
  <c r="Y295" i="79"/>
  <c r="X295" i="79"/>
  <c r="EO295" i="79"/>
  <c r="EN295" i="79"/>
  <c r="H26" i="166"/>
  <c r="J26" i="166"/>
  <c r="B25" i="177"/>
  <c r="B26" i="177" s="1"/>
  <c r="I25" i="177"/>
  <c r="I26" i="177" s="1"/>
  <c r="E25" i="177"/>
  <c r="E26" i="177" s="1"/>
  <c r="M25" i="177"/>
  <c r="M26" i="177" s="1"/>
  <c r="AA25" i="177"/>
  <c r="F25" i="177"/>
  <c r="F26" i="177" s="1"/>
  <c r="L25" i="177"/>
  <c r="L26" i="177" s="1"/>
  <c r="J25" i="177"/>
  <c r="J26" i="177" s="1"/>
  <c r="K25" i="177"/>
  <c r="K26" i="177" s="1"/>
  <c r="C25" i="177"/>
  <c r="C26" i="177" s="1"/>
  <c r="H25" i="177"/>
  <c r="H26" i="177" s="1"/>
  <c r="G25" i="177"/>
  <c r="G26" i="177" s="1"/>
  <c r="N25" i="177"/>
  <c r="N26" i="177" s="1"/>
  <c r="D25" i="177"/>
  <c r="D26" i="177" s="1"/>
  <c r="I29" i="166"/>
  <c r="I30" i="166" s="1"/>
  <c r="H29" i="166"/>
  <c r="H30" i="166" s="1"/>
  <c r="J29" i="166"/>
  <c r="J30" i="166" s="1"/>
  <c r="G30" i="166"/>
  <c r="G52" i="166" s="1"/>
  <c r="EH59" i="80"/>
  <c r="J292" i="79"/>
  <c r="J292" i="85"/>
  <c r="L162" i="90" s="1"/>
  <c r="FN296" i="80"/>
  <c r="FF211" i="79"/>
  <c r="EH296" i="80"/>
  <c r="BD87" i="80"/>
  <c r="BT68" i="79"/>
  <c r="CL250" i="80"/>
  <c r="BF226" i="80"/>
  <c r="FL87" i="80"/>
  <c r="EF87" i="80"/>
  <c r="BV59" i="80"/>
  <c r="EU378" i="80"/>
  <c r="O378" i="80"/>
  <c r="DG378" i="80"/>
  <c r="DZ226" i="80"/>
  <c r="AE378" i="80"/>
  <c r="DW378" i="80"/>
  <c r="EH114" i="80"/>
  <c r="AX250" i="80"/>
  <c r="FC378" i="80"/>
  <c r="EH270" i="80"/>
  <c r="CY378" i="80"/>
  <c r="DO378" i="80"/>
  <c r="BS378" i="80"/>
  <c r="AX226" i="80"/>
  <c r="AX270" i="80"/>
  <c r="AH114" i="80"/>
  <c r="EM378" i="80"/>
  <c r="BC378" i="80"/>
  <c r="CT194" i="80"/>
  <c r="W378" i="80"/>
  <c r="CA378" i="80"/>
  <c r="R309" i="79"/>
  <c r="AX309" i="79"/>
  <c r="BV307" i="79"/>
  <c r="FK378" i="80"/>
  <c r="AM378" i="80"/>
  <c r="CT226" i="80"/>
  <c r="EE378" i="80"/>
  <c r="AF68" i="79"/>
  <c r="BK378" i="80"/>
  <c r="CQ378" i="80"/>
  <c r="DR194" i="80"/>
  <c r="BF307" i="79"/>
  <c r="I292" i="85"/>
  <c r="K162" i="90" s="1"/>
  <c r="EX59" i="80"/>
  <c r="I292" i="80"/>
  <c r="BV250" i="80"/>
  <c r="CD276" i="80"/>
  <c r="DB194" i="80"/>
  <c r="EP296" i="80"/>
  <c r="CL194" i="80"/>
  <c r="EH226" i="80"/>
  <c r="Z211" i="79"/>
  <c r="R270" i="80"/>
  <c r="CL296" i="80"/>
  <c r="DJ113" i="79"/>
  <c r="AP276" i="80"/>
  <c r="AP114" i="80"/>
  <c r="DJ211" i="79"/>
  <c r="CT195" i="79"/>
  <c r="Z59" i="80"/>
  <c r="BV226" i="80"/>
  <c r="FN307" i="79"/>
  <c r="AH307" i="79"/>
  <c r="AP296" i="80"/>
  <c r="BF211" i="79"/>
  <c r="CD114" i="80"/>
  <c r="CT59" i="80"/>
  <c r="R211" i="79"/>
  <c r="FF59" i="80"/>
  <c r="DJ276" i="80"/>
  <c r="CD226" i="80"/>
  <c r="FF309" i="79"/>
  <c r="R296" i="80"/>
  <c r="FF296" i="80"/>
  <c r="DR270" i="80"/>
  <c r="Z309" i="79"/>
  <c r="DR307" i="79"/>
  <c r="CT276" i="80"/>
  <c r="H16" i="171"/>
  <c r="AX296" i="80"/>
  <c r="BF296" i="80"/>
  <c r="CD296" i="80"/>
  <c r="CL307" i="79"/>
  <c r="Z307" i="79"/>
  <c r="BN296" i="80"/>
  <c r="EX296" i="80"/>
  <c r="EX309" i="79"/>
  <c r="Z296" i="80"/>
  <c r="CT307" i="79"/>
  <c r="BN307" i="79"/>
  <c r="BV296" i="80"/>
  <c r="DB296" i="80"/>
  <c r="DZ296" i="80"/>
  <c r="DR296" i="80"/>
  <c r="AH296" i="80"/>
  <c r="DJ307" i="79"/>
  <c r="BN309" i="79"/>
  <c r="EX307" i="79"/>
  <c r="AX307" i="79"/>
  <c r="EH309" i="79"/>
  <c r="DZ309" i="79"/>
  <c r="W294" i="79"/>
  <c r="EU294" i="79"/>
  <c r="G298" i="79"/>
  <c r="AP309" i="79"/>
  <c r="DG294" i="79"/>
  <c r="CY294" i="79"/>
  <c r="FK294" i="79"/>
  <c r="AM294" i="79"/>
  <c r="O294" i="79"/>
  <c r="BS294" i="79"/>
  <c r="CT309" i="79"/>
  <c r="EP309" i="79"/>
  <c r="BV309" i="79"/>
  <c r="CI294" i="79"/>
  <c r="BC294" i="79"/>
  <c r="DW294" i="79"/>
  <c r="AH309" i="79"/>
  <c r="CL309" i="79"/>
  <c r="CQ294" i="79"/>
  <c r="BK294" i="79"/>
  <c r="AU294" i="79"/>
  <c r="DO294" i="79"/>
  <c r="EM294" i="79"/>
  <c r="AE294" i="79"/>
  <c r="DB309" i="79"/>
  <c r="FN309" i="79"/>
  <c r="CD309" i="79"/>
  <c r="DR309" i="79"/>
  <c r="DP68" i="79"/>
  <c r="DH68" i="79"/>
  <c r="Z194" i="80"/>
  <c r="AN68" i="79"/>
  <c r="FD68" i="79"/>
  <c r="Z270" i="80"/>
  <c r="AP279" i="79"/>
  <c r="CJ68" i="79"/>
  <c r="EN68" i="79"/>
  <c r="BL68" i="79"/>
  <c r="EP211" i="79"/>
  <c r="BV211" i="79"/>
  <c r="FL68" i="79"/>
  <c r="EV68" i="79"/>
  <c r="EX68" i="79" s="1"/>
  <c r="AV68" i="79"/>
  <c r="DX68" i="79"/>
  <c r="R182" i="80"/>
  <c r="CZ68" i="79"/>
  <c r="CR68" i="79"/>
  <c r="P68" i="79"/>
  <c r="BD68" i="79"/>
  <c r="EF68" i="79"/>
  <c r="FF108" i="79"/>
  <c r="R114" i="80"/>
  <c r="EH182" i="80"/>
  <c r="DZ250" i="80"/>
  <c r="EH194" i="80"/>
  <c r="CT250" i="80"/>
  <c r="BN194" i="80"/>
  <c r="EP226" i="80"/>
  <c r="DZ270" i="80"/>
  <c r="FN270" i="80"/>
  <c r="DB270" i="80"/>
  <c r="BV279" i="80"/>
  <c r="R250" i="80"/>
  <c r="CT211" i="79"/>
  <c r="AH250" i="80"/>
  <c r="Z98" i="79"/>
  <c r="BV195" i="80"/>
  <c r="Z195" i="80"/>
  <c r="BN211" i="79"/>
  <c r="DB211" i="79"/>
  <c r="FN211" i="79"/>
  <c r="EP194" i="80"/>
  <c r="EX276" i="80"/>
  <c r="DR114" i="80"/>
  <c r="AX180" i="79"/>
  <c r="FF250" i="80"/>
  <c r="CL195" i="80"/>
  <c r="DR226" i="80"/>
  <c r="AH70" i="80"/>
  <c r="AH182" i="80"/>
  <c r="DJ194" i="80"/>
  <c r="DJ59" i="80"/>
  <c r="Z182" i="80"/>
  <c r="CL114" i="80"/>
  <c r="DJ195" i="80"/>
  <c r="DR182" i="80"/>
  <c r="DR211" i="80"/>
  <c r="AP195" i="80"/>
  <c r="DR195" i="80"/>
  <c r="BN211" i="80"/>
  <c r="CD182" i="80"/>
  <c r="AX195" i="80"/>
  <c r="DR211" i="79"/>
  <c r="CT195" i="80"/>
  <c r="EP195" i="80"/>
  <c r="BN195" i="80"/>
  <c r="DZ211" i="80"/>
  <c r="DZ211" i="79"/>
  <c r="AP211" i="79"/>
  <c r="BV182" i="80"/>
  <c r="FF211" i="80"/>
  <c r="EP182" i="80"/>
  <c r="CD195" i="80"/>
  <c r="AP182" i="80"/>
  <c r="EP211" i="80"/>
  <c r="CD211" i="79"/>
  <c r="BF182" i="80"/>
  <c r="EX211" i="79"/>
  <c r="DB195" i="80"/>
  <c r="AH195" i="80"/>
  <c r="EX195" i="80"/>
  <c r="AX211" i="79"/>
  <c r="R195" i="80"/>
  <c r="EH195" i="80"/>
  <c r="FN195" i="80"/>
  <c r="BF69" i="80"/>
  <c r="BF89" i="79"/>
  <c r="EX114" i="80"/>
  <c r="DP90" i="80"/>
  <c r="DR90" i="80" s="1"/>
  <c r="CZ90" i="80"/>
  <c r="BF70" i="79"/>
  <c r="BN114" i="80"/>
  <c r="DB114" i="80"/>
  <c r="CT114" i="80"/>
  <c r="CJ87" i="79"/>
  <c r="CL87" i="79" s="1"/>
  <c r="BF114" i="80"/>
  <c r="R276" i="80"/>
  <c r="BV58" i="79"/>
  <c r="DI202" i="80"/>
  <c r="BN113" i="79"/>
  <c r="EH276" i="80"/>
  <c r="CD87" i="79"/>
  <c r="Z276" i="80"/>
  <c r="DJ279" i="79"/>
  <c r="FN114" i="80"/>
  <c r="BF279" i="79"/>
  <c r="DB276" i="80"/>
  <c r="AH112" i="79"/>
  <c r="AP112" i="79"/>
  <c r="BV276" i="80"/>
  <c r="AH123" i="80"/>
  <c r="CK104" i="80"/>
  <c r="CL104" i="80" s="1"/>
  <c r="FL96" i="79"/>
  <c r="DX96" i="79"/>
  <c r="DZ96" i="79" s="1"/>
  <c r="AF108" i="79"/>
  <c r="AH108" i="79" s="1"/>
  <c r="BM153" i="80"/>
  <c r="BN153" i="80" s="1"/>
  <c r="FF114" i="80"/>
  <c r="EW106" i="79"/>
  <c r="EX106" i="79" s="1"/>
  <c r="DZ276" i="80"/>
  <c r="AP58" i="79"/>
  <c r="R279" i="80"/>
  <c r="CL142" i="80"/>
  <c r="CT279" i="80"/>
  <c r="AV113" i="79"/>
  <c r="AX113" i="79" s="1"/>
  <c r="EP276" i="80"/>
  <c r="CJ96" i="79"/>
  <c r="CL96" i="79" s="1"/>
  <c r="BN59" i="80"/>
  <c r="Z70" i="80"/>
  <c r="R70" i="80"/>
  <c r="CR59" i="79"/>
  <c r="EH58" i="79"/>
  <c r="CL58" i="79"/>
  <c r="AX70" i="80"/>
  <c r="CD70" i="80"/>
  <c r="DR70" i="80"/>
  <c r="EN87" i="80"/>
  <c r="CR108" i="79"/>
  <c r="CT108" i="79" s="1"/>
  <c r="DZ59" i="80"/>
  <c r="EP59" i="80"/>
  <c r="FC64" i="79"/>
  <c r="FN70" i="80"/>
  <c r="DZ70" i="80"/>
  <c r="CA64" i="80"/>
  <c r="CC64" i="80" s="1"/>
  <c r="FL59" i="79"/>
  <c r="FN59" i="79" s="1"/>
  <c r="FF70" i="80"/>
  <c r="EX70" i="80"/>
  <c r="EU64" i="80"/>
  <c r="DJ70" i="80"/>
  <c r="CJ59" i="79"/>
  <c r="CL59" i="79" s="1"/>
  <c r="BN58" i="79"/>
  <c r="AN59" i="79"/>
  <c r="AP59" i="79" s="1"/>
  <c r="AP70" i="80"/>
  <c r="CD142" i="80"/>
  <c r="K32" i="100"/>
  <c r="FF142" i="80"/>
  <c r="EU91" i="80"/>
  <c r="FM87" i="80"/>
  <c r="AN87" i="80"/>
  <c r="DP108" i="79"/>
  <c r="DR108" i="79" s="1"/>
  <c r="BC91" i="80"/>
  <c r="AH279" i="80"/>
  <c r="AF87" i="80"/>
  <c r="AH87" i="80" s="1"/>
  <c r="BF276" i="80"/>
  <c r="EV87" i="80"/>
  <c r="CB87" i="80"/>
  <c r="EG87" i="80"/>
  <c r="AE91" i="80"/>
  <c r="FD87" i="80"/>
  <c r="FF87" i="80" s="1"/>
  <c r="G50" i="80"/>
  <c r="AV16" i="79"/>
  <c r="AV410" i="79" s="1"/>
  <c r="BN276" i="80"/>
  <c r="AF59" i="79"/>
  <c r="AH59" i="79" s="1"/>
  <c r="FL108" i="79"/>
  <c r="FN108" i="79" s="1"/>
  <c r="BT87" i="80"/>
  <c r="CR87" i="80"/>
  <c r="CT87" i="80" s="1"/>
  <c r="DX87" i="80"/>
  <c r="DZ87" i="80" s="1"/>
  <c r="CS59" i="79"/>
  <c r="CZ87" i="80"/>
  <c r="DB87" i="80" s="1"/>
  <c r="DY68" i="79"/>
  <c r="BN123" i="80"/>
  <c r="CA91" i="80"/>
  <c r="CJ87" i="80"/>
  <c r="CL87" i="80" s="1"/>
  <c r="AW16" i="79"/>
  <c r="AW410" i="79" s="1"/>
  <c r="AW426" i="79" s="1"/>
  <c r="DP96" i="80"/>
  <c r="DR96" i="80" s="1"/>
  <c r="DJ69" i="80"/>
  <c r="DP87" i="80"/>
  <c r="EE91" i="80"/>
  <c r="P113" i="80"/>
  <c r="R113" i="80" s="1"/>
  <c r="EV96" i="79"/>
  <c r="EX96" i="79" s="1"/>
  <c r="AX142" i="80"/>
  <c r="CY410" i="79"/>
  <c r="EG61" i="79"/>
  <c r="Q62" i="80"/>
  <c r="EG143" i="80"/>
  <c r="FM113" i="80"/>
  <c r="FN113" i="80" s="1"/>
  <c r="EP123" i="80"/>
  <c r="DZ69" i="80"/>
  <c r="EN96" i="79"/>
  <c r="EP96" i="79" s="1"/>
  <c r="CK143" i="80"/>
  <c r="DQ113" i="80"/>
  <c r="DR113" i="80" s="1"/>
  <c r="BN142" i="80"/>
  <c r="AV153" i="80"/>
  <c r="AX153" i="80" s="1"/>
  <c r="AW96" i="80"/>
  <c r="AX96" i="80" s="1"/>
  <c r="AN96" i="79"/>
  <c r="AP96" i="79" s="1"/>
  <c r="BD108" i="79"/>
  <c r="BF108" i="79" s="1"/>
  <c r="AX69" i="80"/>
  <c r="BV69" i="80"/>
  <c r="AX276" i="80"/>
  <c r="BF59" i="80"/>
  <c r="Z279" i="79"/>
  <c r="X153" i="80"/>
  <c r="AV59" i="79"/>
  <c r="AX59" i="79" s="1"/>
  <c r="X59" i="79"/>
  <c r="Z59" i="79" s="1"/>
  <c r="FD59" i="79"/>
  <c r="FF59" i="79" s="1"/>
  <c r="EP142" i="80"/>
  <c r="CB16" i="79"/>
  <c r="CB410" i="79" s="1"/>
  <c r="DP59" i="79"/>
  <c r="DR59" i="79" s="1"/>
  <c r="P59" i="79"/>
  <c r="R59" i="79" s="1"/>
  <c r="AP69" i="80"/>
  <c r="AO87" i="80"/>
  <c r="P87" i="80"/>
  <c r="R87" i="80" s="1"/>
  <c r="AG202" i="80"/>
  <c r="EV59" i="79"/>
  <c r="EX59" i="79" s="1"/>
  <c r="DX59" i="79"/>
  <c r="DZ59" i="79" s="1"/>
  <c r="EF59" i="79"/>
  <c r="EH59" i="79" s="1"/>
  <c r="CD188" i="79"/>
  <c r="EH142" i="80"/>
  <c r="EP58" i="79"/>
  <c r="BN69" i="80"/>
  <c r="EX279" i="79"/>
  <c r="CC87" i="80"/>
  <c r="CZ59" i="79"/>
  <c r="DB59" i="79" s="1"/>
  <c r="BL59" i="79"/>
  <c r="BN59" i="79" s="1"/>
  <c r="BD59" i="79"/>
  <c r="BF59" i="79" s="1"/>
  <c r="DR69" i="80"/>
  <c r="CD69" i="80"/>
  <c r="EW87" i="80"/>
  <c r="CD279" i="79"/>
  <c r="DH59" i="79"/>
  <c r="DJ59" i="79" s="1"/>
  <c r="CB59" i="79"/>
  <c r="CD59" i="79" s="1"/>
  <c r="CJ108" i="79"/>
  <c r="CL108" i="79" s="1"/>
  <c r="BU108" i="79"/>
  <c r="BV108" i="79" s="1"/>
  <c r="CJ96" i="80"/>
  <c r="CL96" i="80" s="1"/>
  <c r="CL69" i="80"/>
  <c r="EN59" i="79"/>
  <c r="EP59" i="79" s="1"/>
  <c r="EP69" i="80"/>
  <c r="AP142" i="80"/>
  <c r="BV23" i="79"/>
  <c r="BV399" i="79" s="1"/>
  <c r="FN69" i="80"/>
  <c r="AX69" i="79"/>
  <c r="G24" i="79"/>
  <c r="D44" i="82"/>
  <c r="Q44" i="82" s="1"/>
  <c r="G24" i="85"/>
  <c r="I7" i="90" s="1"/>
  <c r="G24" i="80"/>
  <c r="Z58" i="79"/>
  <c r="D44" i="35"/>
  <c r="Q44" i="35" s="1"/>
  <c r="G298" i="80"/>
  <c r="BM96" i="80"/>
  <c r="EM92" i="79"/>
  <c r="EM93" i="79" s="1"/>
  <c r="CA92" i="79"/>
  <c r="CC92" i="79" s="1"/>
  <c r="AE92" i="79"/>
  <c r="AF92" i="79" s="1"/>
  <c r="FK92" i="79"/>
  <c r="EU92" i="79"/>
  <c r="EW92" i="79" s="1"/>
  <c r="BS92" i="79"/>
  <c r="BU92" i="79" s="1"/>
  <c r="O92" i="79"/>
  <c r="BC92" i="79"/>
  <c r="FC92" i="79"/>
  <c r="FE92" i="79" s="1"/>
  <c r="BK92" i="79"/>
  <c r="BM92" i="79" s="1"/>
  <c r="CY92" i="79"/>
  <c r="DA92" i="79" s="1"/>
  <c r="DO92" i="79"/>
  <c r="DG92" i="79"/>
  <c r="DI92" i="79" s="1"/>
  <c r="W92" i="79"/>
  <c r="AU92" i="79"/>
  <c r="AW92" i="79" s="1"/>
  <c r="EE92" i="79"/>
  <c r="AM92" i="79"/>
  <c r="AM93" i="79" s="1"/>
  <c r="DW92" i="79"/>
  <c r="DW93" i="79" s="1"/>
  <c r="CI92" i="79"/>
  <c r="CI93" i="79" s="1"/>
  <c r="CQ92" i="79"/>
  <c r="G29" i="80"/>
  <c r="G29" i="79"/>
  <c r="G29" i="85"/>
  <c r="I9" i="90" s="1"/>
  <c r="EU92" i="80"/>
  <c r="EW92" i="80" s="1"/>
  <c r="FC92" i="80"/>
  <c r="FE92" i="80" s="1"/>
  <c r="DW92" i="80"/>
  <c r="DY92" i="80" s="1"/>
  <c r="EM92" i="80"/>
  <c r="EO92" i="80" s="1"/>
  <c r="AE92" i="80"/>
  <c r="AG92" i="80" s="1"/>
  <c r="CA92" i="80"/>
  <c r="CC92" i="80" s="1"/>
  <c r="BS92" i="80"/>
  <c r="BU92" i="80" s="1"/>
  <c r="BC92" i="80"/>
  <c r="BE92" i="80" s="1"/>
  <c r="O92" i="80"/>
  <c r="Q92" i="80" s="1"/>
  <c r="CI92" i="80"/>
  <c r="CK92" i="80" s="1"/>
  <c r="EE92" i="80"/>
  <c r="EG92" i="80" s="1"/>
  <c r="CQ92" i="80"/>
  <c r="CS92" i="80" s="1"/>
  <c r="DO92" i="80"/>
  <c r="DQ92" i="80" s="1"/>
  <c r="CY92" i="80"/>
  <c r="DA92" i="80" s="1"/>
  <c r="AU92" i="80"/>
  <c r="AW92" i="80" s="1"/>
  <c r="BK92" i="80"/>
  <c r="BM92" i="80" s="1"/>
  <c r="FK92" i="80"/>
  <c r="FM92" i="80" s="1"/>
  <c r="AM92" i="80"/>
  <c r="AO92" i="80" s="1"/>
  <c r="DG92" i="80"/>
  <c r="DI92" i="80" s="1"/>
  <c r="W92" i="80"/>
  <c r="Y92" i="80" s="1"/>
  <c r="X87" i="80"/>
  <c r="Z87" i="80" s="1"/>
  <c r="G50" i="85"/>
  <c r="DR276" i="80"/>
  <c r="DB58" i="79"/>
  <c r="FN276" i="80"/>
  <c r="DJ99" i="79"/>
  <c r="DI143" i="80"/>
  <c r="DJ142" i="80"/>
  <c r="BF67" i="79"/>
  <c r="DJ58" i="79"/>
  <c r="DB112" i="79"/>
  <c r="AH279" i="79"/>
  <c r="DA143" i="80"/>
  <c r="CL276" i="80"/>
  <c r="FF276" i="80"/>
  <c r="CD112" i="79"/>
  <c r="BL87" i="80"/>
  <c r="BV123" i="80"/>
  <c r="DJ70" i="79"/>
  <c r="EH89" i="79"/>
  <c r="DZ58" i="79"/>
  <c r="AP89" i="79"/>
  <c r="DJ67" i="79"/>
  <c r="FF58" i="79"/>
  <c r="EP67" i="79"/>
  <c r="AX58" i="79"/>
  <c r="BF142" i="80"/>
  <c r="AH58" i="79"/>
  <c r="CL70" i="79"/>
  <c r="CD89" i="79"/>
  <c r="DB142" i="80"/>
  <c r="BN89" i="79"/>
  <c r="DR58" i="79"/>
  <c r="BV142" i="80"/>
  <c r="DZ89" i="79"/>
  <c r="R142" i="80"/>
  <c r="DZ142" i="80"/>
  <c r="DY143" i="80"/>
  <c r="CD70" i="79"/>
  <c r="CL89" i="79"/>
  <c r="EP70" i="79"/>
  <c r="DR142" i="80"/>
  <c r="DB67" i="79"/>
  <c r="R70" i="79"/>
  <c r="EX67" i="79"/>
  <c r="R69" i="79"/>
  <c r="Z70" i="79"/>
  <c r="CD58" i="79"/>
  <c r="BF58" i="79"/>
  <c r="AP279" i="80"/>
  <c r="Q143" i="80"/>
  <c r="FF89" i="79"/>
  <c r="BV70" i="79"/>
  <c r="DZ67" i="79"/>
  <c r="AP67" i="79"/>
  <c r="R58" i="79"/>
  <c r="CJ399" i="79"/>
  <c r="CL23" i="79"/>
  <c r="CL399" i="79" s="1"/>
  <c r="FN142" i="80"/>
  <c r="Z67" i="79"/>
  <c r="BN67" i="79"/>
  <c r="DZ70" i="79"/>
  <c r="FF70" i="79"/>
  <c r="AX70" i="79"/>
  <c r="Z89" i="79"/>
  <c r="DX399" i="79"/>
  <c r="DZ23" i="79"/>
  <c r="DZ399" i="79" s="1"/>
  <c r="AX67" i="79"/>
  <c r="EN399" i="79"/>
  <c r="EP23" i="79"/>
  <c r="EP399" i="79" s="1"/>
  <c r="AF399" i="79"/>
  <c r="AH23" i="79"/>
  <c r="AH399" i="79" s="1"/>
  <c r="CT70" i="79"/>
  <c r="EH67" i="79"/>
  <c r="R89" i="79"/>
  <c r="CT142" i="80"/>
  <c r="DB99" i="80"/>
  <c r="AH70" i="79"/>
  <c r="CD67" i="79"/>
  <c r="CT58" i="79"/>
  <c r="CT89" i="79"/>
  <c r="DR70" i="79"/>
  <c r="BV67" i="79"/>
  <c r="DJ89" i="79"/>
  <c r="EX142" i="80"/>
  <c r="Z142" i="80"/>
  <c r="EX58" i="79"/>
  <c r="AH89" i="79"/>
  <c r="CL67" i="79"/>
  <c r="AV399" i="79"/>
  <c r="AX23" i="79"/>
  <c r="AX399" i="79" s="1"/>
  <c r="EX89" i="79"/>
  <c r="BN70" i="79"/>
  <c r="EP89" i="79"/>
  <c r="FN58" i="79"/>
  <c r="DA399" i="79"/>
  <c r="DB23" i="79"/>
  <c r="DB399" i="79" s="1"/>
  <c r="DI399" i="79"/>
  <c r="DJ23" i="79"/>
  <c r="DJ399" i="79" s="1"/>
  <c r="DJ230" i="80"/>
  <c r="FE153" i="80"/>
  <c r="FF153" i="80" s="1"/>
  <c r="X113" i="79"/>
  <c r="Z113" i="79" s="1"/>
  <c r="AN399" i="79"/>
  <c r="AP23" i="79"/>
  <c r="AP399" i="79" s="1"/>
  <c r="DY113" i="80"/>
  <c r="DZ113" i="80" s="1"/>
  <c r="CB399" i="79"/>
  <c r="CD23" i="79"/>
  <c r="CD399" i="79" s="1"/>
  <c r="FL399" i="79"/>
  <c r="FN23" i="79"/>
  <c r="FN399" i="79" s="1"/>
  <c r="EO113" i="80"/>
  <c r="EP113" i="80" s="1"/>
  <c r="DP399" i="79"/>
  <c r="DR23" i="79"/>
  <c r="DR399" i="79" s="1"/>
  <c r="BL399" i="79"/>
  <c r="BN23" i="79"/>
  <c r="BN399" i="79" s="1"/>
  <c r="P399" i="79"/>
  <c r="R23" i="79"/>
  <c r="R399" i="79" s="1"/>
  <c r="EV399" i="79"/>
  <c r="EX23" i="79"/>
  <c r="EX399" i="79" s="1"/>
  <c r="Z279" i="80"/>
  <c r="BE68" i="79"/>
  <c r="DR244" i="79"/>
  <c r="CC143" i="80"/>
  <c r="DI113" i="80"/>
  <c r="DJ113" i="80" s="1"/>
  <c r="EF399" i="79"/>
  <c r="EH23" i="79"/>
  <c r="EH399" i="79" s="1"/>
  <c r="BE399" i="79"/>
  <c r="BF23" i="79"/>
  <c r="BF399" i="79" s="1"/>
  <c r="EG68" i="79"/>
  <c r="CJ16" i="80"/>
  <c r="CJ410" i="80" s="1"/>
  <c r="BD113" i="79"/>
  <c r="BF113" i="79" s="1"/>
  <c r="X399" i="79"/>
  <c r="Z23" i="79"/>
  <c r="Z399" i="79" s="1"/>
  <c r="FF112" i="80"/>
  <c r="FE399" i="79"/>
  <c r="FF23" i="79"/>
  <c r="FF399" i="79" s="1"/>
  <c r="CR399" i="79"/>
  <c r="CT23" i="79"/>
  <c r="CT399" i="79" s="1"/>
  <c r="CL147" i="79"/>
  <c r="CT123" i="80"/>
  <c r="DR279" i="79"/>
  <c r="CT112" i="79"/>
  <c r="FF123" i="79"/>
  <c r="EP147" i="79"/>
  <c r="AH113" i="79"/>
  <c r="DZ113" i="79"/>
  <c r="CL123" i="80"/>
  <c r="R123" i="80"/>
  <c r="CT113" i="79"/>
  <c r="BE68" i="80"/>
  <c r="BF68" i="80" s="1"/>
  <c r="BT61" i="80"/>
  <c r="FL96" i="80"/>
  <c r="FM96" i="80"/>
  <c r="BM87" i="80"/>
  <c r="DG91" i="80"/>
  <c r="DO91" i="80"/>
  <c r="FK91" i="80"/>
  <c r="EV113" i="80"/>
  <c r="EX113" i="80" s="1"/>
  <c r="Y96" i="79"/>
  <c r="CS113" i="80"/>
  <c r="CT113" i="80" s="1"/>
  <c r="CB113" i="80"/>
  <c r="CD113" i="80" s="1"/>
  <c r="DR115" i="80"/>
  <c r="EM91" i="80"/>
  <c r="W91" i="80"/>
  <c r="BS91" i="80"/>
  <c r="BS93" i="80" s="1"/>
  <c r="CB16" i="80"/>
  <c r="CB410" i="80" s="1"/>
  <c r="EF113" i="79"/>
  <c r="EH113" i="79" s="1"/>
  <c r="X96" i="79"/>
  <c r="AX279" i="80"/>
  <c r="AM91" i="80"/>
  <c r="DB279" i="79"/>
  <c r="G93" i="80"/>
  <c r="DW91" i="80"/>
  <c r="AO68" i="80"/>
  <c r="AP68" i="80" s="1"/>
  <c r="EX99" i="80"/>
  <c r="DB115" i="79"/>
  <c r="CQ91" i="80"/>
  <c r="AU91" i="80"/>
  <c r="CY91" i="80"/>
  <c r="BK91" i="80"/>
  <c r="Q61" i="80"/>
  <c r="AG143" i="80"/>
  <c r="FC91" i="80"/>
  <c r="DH16" i="80"/>
  <c r="DH410" i="80" s="1"/>
  <c r="FD113" i="79"/>
  <c r="FF113" i="79" s="1"/>
  <c r="X57" i="80"/>
  <c r="BD16" i="79"/>
  <c r="BD410" i="79" s="1"/>
  <c r="DZ108" i="79"/>
  <c r="FF115" i="79"/>
  <c r="EH115" i="80"/>
  <c r="R141" i="80"/>
  <c r="R115" i="80"/>
  <c r="AX115" i="80"/>
  <c r="BN115" i="80"/>
  <c r="CT115" i="80"/>
  <c r="BD73" i="79"/>
  <c r="Y150" i="80"/>
  <c r="X150" i="80"/>
  <c r="FM150" i="79"/>
  <c r="FL150" i="79"/>
  <c r="EF150" i="79"/>
  <c r="EG150" i="79"/>
  <c r="BD150" i="79"/>
  <c r="BE150" i="79"/>
  <c r="EV150" i="80"/>
  <c r="EW150" i="80"/>
  <c r="CJ150" i="80"/>
  <c r="CK150" i="80"/>
  <c r="AF150" i="80"/>
  <c r="AG150" i="80"/>
  <c r="CR150" i="79"/>
  <c r="CS150" i="79"/>
  <c r="BU150" i="79"/>
  <c r="BT150" i="79"/>
  <c r="DP150" i="79"/>
  <c r="DQ150" i="79"/>
  <c r="AN150" i="80"/>
  <c r="AO150" i="80"/>
  <c r="EO150" i="80"/>
  <c r="EN150" i="80"/>
  <c r="EN150" i="79"/>
  <c r="EO150" i="79"/>
  <c r="CJ150" i="79"/>
  <c r="CK150" i="79"/>
  <c r="DI150" i="79"/>
  <c r="DH150" i="79"/>
  <c r="FM150" i="80"/>
  <c r="FL150" i="80"/>
  <c r="DH150" i="80"/>
  <c r="DI150" i="80"/>
  <c r="AG150" i="79"/>
  <c r="AF150" i="79"/>
  <c r="CC150" i="79"/>
  <c r="CB150" i="79"/>
  <c r="AV150" i="79"/>
  <c r="AW150" i="79"/>
  <c r="DX150" i="80"/>
  <c r="DY150" i="80"/>
  <c r="FE150" i="80"/>
  <c r="FD150" i="80"/>
  <c r="CB150" i="80"/>
  <c r="CC150" i="80"/>
  <c r="DX150" i="79"/>
  <c r="DY150" i="79"/>
  <c r="BM150" i="79"/>
  <c r="BL150" i="79"/>
  <c r="P150" i="80"/>
  <c r="Q150" i="80"/>
  <c r="BD150" i="80"/>
  <c r="BE150" i="80"/>
  <c r="BM150" i="80"/>
  <c r="BL150" i="80"/>
  <c r="FE150" i="79"/>
  <c r="FD150" i="79"/>
  <c r="AO150" i="79"/>
  <c r="AN150" i="79"/>
  <c r="P150" i="79"/>
  <c r="Q150" i="79"/>
  <c r="EG150" i="80"/>
  <c r="EF150" i="80"/>
  <c r="BT150" i="80"/>
  <c r="BU150" i="80"/>
  <c r="AV150" i="80"/>
  <c r="AW150" i="80"/>
  <c r="EV150" i="79"/>
  <c r="EW150" i="79"/>
  <c r="CZ150" i="79"/>
  <c r="DA150" i="79"/>
  <c r="Y150" i="79"/>
  <c r="X150" i="79"/>
  <c r="DQ150" i="80"/>
  <c r="DP150" i="80"/>
  <c r="DA150" i="80"/>
  <c r="CZ150" i="80"/>
  <c r="CR150" i="80"/>
  <c r="CS150" i="80"/>
  <c r="DY104" i="80"/>
  <c r="DZ104" i="80" s="1"/>
  <c r="W153" i="79"/>
  <c r="X153" i="79" s="1"/>
  <c r="FC153" i="79"/>
  <c r="FE153" i="79" s="1"/>
  <c r="CJ113" i="79"/>
  <c r="CL113" i="79" s="1"/>
  <c r="BT113" i="80"/>
  <c r="BV113" i="80" s="1"/>
  <c r="Y143" i="80"/>
  <c r="BL104" i="80"/>
  <c r="BN104" i="80" s="1"/>
  <c r="AE153" i="79"/>
  <c r="AF153" i="79" s="1"/>
  <c r="AM153" i="79"/>
  <c r="AO153" i="79" s="1"/>
  <c r="EN113" i="79"/>
  <c r="EP113" i="79" s="1"/>
  <c r="AV113" i="80"/>
  <c r="AX113" i="80" s="1"/>
  <c r="BU143" i="80"/>
  <c r="DO153" i="79"/>
  <c r="FK153" i="79"/>
  <c r="O153" i="79"/>
  <c r="P153" i="79" s="1"/>
  <c r="CS104" i="80"/>
  <c r="CT104" i="80" s="1"/>
  <c r="P113" i="79"/>
  <c r="R113" i="79" s="1"/>
  <c r="BS153" i="79"/>
  <c r="BU153" i="79" s="1"/>
  <c r="CQ153" i="79"/>
  <c r="CI153" i="79"/>
  <c r="CK153" i="79" s="1"/>
  <c r="FL113" i="79"/>
  <c r="FN113" i="79" s="1"/>
  <c r="EW143" i="80"/>
  <c r="Z99" i="79"/>
  <c r="BC153" i="79"/>
  <c r="EE153" i="79"/>
  <c r="EF153" i="79" s="1"/>
  <c r="CA153" i="79"/>
  <c r="CB153" i="79" s="1"/>
  <c r="CY153" i="79"/>
  <c r="DA153" i="79" s="1"/>
  <c r="DG153" i="79"/>
  <c r="EV113" i="79"/>
  <c r="EX113" i="79" s="1"/>
  <c r="CS143" i="80"/>
  <c r="CT141" i="80"/>
  <c r="CD141" i="80"/>
  <c r="FN99" i="80"/>
  <c r="BF115" i="79"/>
  <c r="AH115" i="80"/>
  <c r="EX115" i="79"/>
  <c r="CD123" i="80"/>
  <c r="DR141" i="80"/>
  <c r="CL99" i="80"/>
  <c r="CT279" i="79"/>
  <c r="EP279" i="80"/>
  <c r="DO64" i="79"/>
  <c r="BE143" i="80"/>
  <c r="FF141" i="80"/>
  <c r="AP115" i="79"/>
  <c r="BV115" i="79"/>
  <c r="AE64" i="79"/>
  <c r="AG64" i="79" s="1"/>
  <c r="AW143" i="80"/>
  <c r="AX279" i="79"/>
  <c r="CQ64" i="79"/>
  <c r="CS64" i="79" s="1"/>
  <c r="DJ99" i="80"/>
  <c r="CD115" i="80"/>
  <c r="EH115" i="79"/>
  <c r="FF279" i="79"/>
  <c r="AM64" i="79"/>
  <c r="AO64" i="79" s="1"/>
  <c r="BC64" i="79"/>
  <c r="BE64" i="79" s="1"/>
  <c r="FF99" i="80"/>
  <c r="CY64" i="79"/>
  <c r="CZ64" i="79" s="1"/>
  <c r="CL244" i="79"/>
  <c r="FF115" i="80"/>
  <c r="AP115" i="80"/>
  <c r="Q108" i="79"/>
  <c r="P108" i="79"/>
  <c r="DA108" i="80"/>
  <c r="CZ108" i="80"/>
  <c r="AF108" i="80"/>
  <c r="AG108" i="80"/>
  <c r="DI153" i="80"/>
  <c r="DJ153" i="80" s="1"/>
  <c r="EV108" i="79"/>
  <c r="EW108" i="79"/>
  <c r="Q108" i="80"/>
  <c r="P108" i="80"/>
  <c r="AW108" i="80"/>
  <c r="AV108" i="80"/>
  <c r="FD108" i="80"/>
  <c r="FE108" i="80"/>
  <c r="Z115" i="80"/>
  <c r="AX115" i="79"/>
  <c r="BL108" i="79"/>
  <c r="BM108" i="79"/>
  <c r="DQ108" i="80"/>
  <c r="DP108" i="80"/>
  <c r="EV108" i="80"/>
  <c r="EW108" i="80"/>
  <c r="CJ108" i="80"/>
  <c r="CK108" i="80"/>
  <c r="BN115" i="79"/>
  <c r="CZ108" i="79"/>
  <c r="DA108" i="79"/>
  <c r="BU108" i="80"/>
  <c r="BT108" i="80"/>
  <c r="Y108" i="80"/>
  <c r="X108" i="80"/>
  <c r="AN108" i="80"/>
  <c r="AO108" i="80"/>
  <c r="EP115" i="80"/>
  <c r="DZ115" i="79"/>
  <c r="R115" i="79"/>
  <c r="DJ115" i="80"/>
  <c r="EO108" i="79"/>
  <c r="EN108" i="79"/>
  <c r="EF108" i="80"/>
  <c r="EG108" i="80"/>
  <c r="BD108" i="80"/>
  <c r="BE108" i="80"/>
  <c r="FM108" i="80"/>
  <c r="FL108" i="80"/>
  <c r="EP115" i="79"/>
  <c r="CC108" i="80"/>
  <c r="CB108" i="80"/>
  <c r="EN108" i="80"/>
  <c r="EO108" i="80"/>
  <c r="DZ115" i="80"/>
  <c r="DH108" i="79"/>
  <c r="DI108" i="79"/>
  <c r="BL108" i="80"/>
  <c r="BM108" i="80"/>
  <c r="DY108" i="80"/>
  <c r="DX108" i="80"/>
  <c r="AO108" i="79"/>
  <c r="AN108" i="79"/>
  <c r="DB115" i="80"/>
  <c r="DH108" i="80"/>
  <c r="DI108" i="80"/>
  <c r="CR108" i="80"/>
  <c r="CS108" i="80"/>
  <c r="BF115" i="80"/>
  <c r="CL115" i="79"/>
  <c r="FN115" i="79"/>
  <c r="CD115" i="79"/>
  <c r="EH108" i="79"/>
  <c r="Z108" i="79"/>
  <c r="AX108" i="79"/>
  <c r="CD108" i="79"/>
  <c r="BF141" i="80"/>
  <c r="BV99" i="80"/>
  <c r="Z99" i="80"/>
  <c r="AP99" i="80"/>
  <c r="BV141" i="80"/>
  <c r="DB141" i="80"/>
  <c r="AX123" i="80"/>
  <c r="EX141" i="80"/>
  <c r="BF99" i="80"/>
  <c r="DY153" i="80"/>
  <c r="DZ153" i="80" s="1"/>
  <c r="AN113" i="79"/>
  <c r="AP113" i="79" s="1"/>
  <c r="CB113" i="79"/>
  <c r="CD113" i="79" s="1"/>
  <c r="CK113" i="80"/>
  <c r="CL113" i="80" s="1"/>
  <c r="DJ141" i="80"/>
  <c r="CL141" i="80"/>
  <c r="EF113" i="80"/>
  <c r="EH113" i="80" s="1"/>
  <c r="FE143" i="80"/>
  <c r="DQ143" i="80"/>
  <c r="AP141" i="80"/>
  <c r="EP141" i="80"/>
  <c r="X113" i="80"/>
  <c r="Z113" i="80" s="1"/>
  <c r="AN113" i="80"/>
  <c r="AP113" i="80" s="1"/>
  <c r="AO143" i="80"/>
  <c r="FE113" i="80"/>
  <c r="FF113" i="80" s="1"/>
  <c r="AH99" i="80"/>
  <c r="AX99" i="80"/>
  <c r="EP99" i="80"/>
  <c r="EH141" i="80"/>
  <c r="BU113" i="79"/>
  <c r="BV113" i="79" s="1"/>
  <c r="FM143" i="80"/>
  <c r="FN147" i="79"/>
  <c r="BV112" i="79"/>
  <c r="DP153" i="80"/>
  <c r="DR153" i="80" s="1"/>
  <c r="CZ113" i="79"/>
  <c r="DB113" i="79" s="1"/>
  <c r="BM143" i="80"/>
  <c r="EO143" i="80"/>
  <c r="CT99" i="80"/>
  <c r="Z141" i="80"/>
  <c r="BN99" i="80"/>
  <c r="CD99" i="80"/>
  <c r="R99" i="80"/>
  <c r="DP113" i="79"/>
  <c r="DR113" i="79" s="1"/>
  <c r="AH113" i="80"/>
  <c r="AP123" i="80"/>
  <c r="FN141" i="80"/>
  <c r="DR99" i="80"/>
  <c r="AX141" i="80"/>
  <c r="AH141" i="80"/>
  <c r="BN141" i="80"/>
  <c r="Z123" i="80"/>
  <c r="DJ123" i="80"/>
  <c r="EH188" i="79"/>
  <c r="EP230" i="79"/>
  <c r="EH112" i="80"/>
  <c r="DA68" i="79"/>
  <c r="AO68" i="79"/>
  <c r="CC68" i="79"/>
  <c r="EP279" i="79"/>
  <c r="EO68" i="79"/>
  <c r="EP68" i="79" s="1"/>
  <c r="FE68" i="79"/>
  <c r="CS68" i="79"/>
  <c r="BF123" i="80"/>
  <c r="Q68" i="79"/>
  <c r="EH279" i="79"/>
  <c r="DJ147" i="79"/>
  <c r="AG68" i="79"/>
  <c r="DR279" i="80"/>
  <c r="CD279" i="80"/>
  <c r="Y68" i="79"/>
  <c r="Z68" i="79" s="1"/>
  <c r="BM68" i="79"/>
  <c r="BN279" i="79"/>
  <c r="BU68" i="79"/>
  <c r="CK68" i="79"/>
  <c r="FF123" i="80"/>
  <c r="DI68" i="79"/>
  <c r="R279" i="79"/>
  <c r="DQ68" i="79"/>
  <c r="FM68" i="79"/>
  <c r="EX123" i="80"/>
  <c r="AX147" i="79"/>
  <c r="BL62" i="80"/>
  <c r="EH123" i="80"/>
  <c r="CL177" i="79"/>
  <c r="DX62" i="80"/>
  <c r="BN113" i="80"/>
  <c r="EP123" i="79"/>
  <c r="EX123" i="79"/>
  <c r="CT147" i="79"/>
  <c r="CD112" i="80"/>
  <c r="BV279" i="79"/>
  <c r="CL112" i="79"/>
  <c r="AX112" i="80"/>
  <c r="CA64" i="79"/>
  <c r="CC64" i="79" s="1"/>
  <c r="BS64" i="79"/>
  <c r="BT64" i="79" s="1"/>
  <c r="FN305" i="79"/>
  <c r="FN279" i="79"/>
  <c r="CL279" i="79"/>
  <c r="X73" i="79"/>
  <c r="W64" i="79"/>
  <c r="Y64" i="79" s="1"/>
  <c r="O64" i="79"/>
  <c r="Q64" i="79" s="1"/>
  <c r="EE64" i="79"/>
  <c r="EF64" i="79" s="1"/>
  <c r="AV87" i="79"/>
  <c r="AX87" i="79" s="1"/>
  <c r="DP73" i="79"/>
  <c r="BN112" i="79"/>
  <c r="AU64" i="79"/>
  <c r="AW64" i="79" s="1"/>
  <c r="BK64" i="79"/>
  <c r="BL64" i="79" s="1"/>
  <c r="EU64" i="79"/>
  <c r="Z305" i="79"/>
  <c r="CR87" i="79"/>
  <c r="CT87" i="79" s="1"/>
  <c r="CB60" i="80"/>
  <c r="EN73" i="79"/>
  <c r="DZ112" i="79"/>
  <c r="EX112" i="80"/>
  <c r="EF57" i="79"/>
  <c r="CI64" i="79"/>
  <c r="CK64" i="79" s="1"/>
  <c r="DG64" i="79"/>
  <c r="DH64" i="79" s="1"/>
  <c r="EM64" i="79"/>
  <c r="EO64" i="79" s="1"/>
  <c r="FN123" i="80"/>
  <c r="FN248" i="80"/>
  <c r="EX279" i="80"/>
  <c r="DW64" i="79"/>
  <c r="DY64" i="79" s="1"/>
  <c r="AX188" i="79"/>
  <c r="DR123" i="80"/>
  <c r="DY68" i="80"/>
  <c r="DZ68" i="80" s="1"/>
  <c r="CL279" i="80"/>
  <c r="AV62" i="80"/>
  <c r="BF279" i="80"/>
  <c r="DZ279" i="80"/>
  <c r="DJ177" i="79"/>
  <c r="AX112" i="79"/>
  <c r="P62" i="80"/>
  <c r="EH147" i="79"/>
  <c r="N7" i="118"/>
  <c r="G66" i="166" s="1"/>
  <c r="G77" i="166" s="1"/>
  <c r="F50" i="98"/>
  <c r="H56" i="98"/>
  <c r="H57" i="98" s="1"/>
  <c r="I56" i="98"/>
  <c r="I57" i="98" s="1"/>
  <c r="G56" i="98"/>
  <c r="I27" i="98"/>
  <c r="I28" i="98" s="1"/>
  <c r="G27" i="98"/>
  <c r="H27" i="98"/>
  <c r="H28" i="98" s="1"/>
  <c r="D23" i="108" s="1"/>
  <c r="FC64" i="80"/>
  <c r="FE64" i="80" s="1"/>
  <c r="CY64" i="80"/>
  <c r="DA64" i="80" s="1"/>
  <c r="FE68" i="80"/>
  <c r="FF68" i="80" s="1"/>
  <c r="FL87" i="79"/>
  <c r="FN87" i="79" s="1"/>
  <c r="AN87" i="79"/>
  <c r="AP87" i="79" s="1"/>
  <c r="DQ68" i="80"/>
  <c r="DR68" i="80" s="1"/>
  <c r="DX73" i="79"/>
  <c r="EF73" i="79"/>
  <c r="AF57" i="80"/>
  <c r="Z147" i="79"/>
  <c r="DO64" i="80"/>
  <c r="DQ64" i="80" s="1"/>
  <c r="CQ64" i="80"/>
  <c r="CS64" i="80" s="1"/>
  <c r="BC64" i="80"/>
  <c r="BD64" i="80" s="1"/>
  <c r="Y68" i="80"/>
  <c r="Z68" i="80" s="1"/>
  <c r="EW68" i="80"/>
  <c r="EX68" i="80" s="1"/>
  <c r="BL87" i="79"/>
  <c r="BN87" i="79" s="1"/>
  <c r="X87" i="79"/>
  <c r="Z87" i="79" s="1"/>
  <c r="FD87" i="79"/>
  <c r="FF87" i="79" s="1"/>
  <c r="DJ279" i="80"/>
  <c r="AF73" i="79"/>
  <c r="CZ73" i="79"/>
  <c r="BT73" i="79"/>
  <c r="R112" i="80"/>
  <c r="CI64" i="80"/>
  <c r="CK64" i="80" s="1"/>
  <c r="EE64" i="80"/>
  <c r="EF64" i="80" s="1"/>
  <c r="AE64" i="80"/>
  <c r="AF64" i="80" s="1"/>
  <c r="CK68" i="80"/>
  <c r="CL68" i="80" s="1"/>
  <c r="FM68" i="80"/>
  <c r="FN68" i="80" s="1"/>
  <c r="BD87" i="79"/>
  <c r="BF87" i="79" s="1"/>
  <c r="DX87" i="79"/>
  <c r="DZ87" i="79" s="1"/>
  <c r="EN87" i="79"/>
  <c r="EP87" i="79" s="1"/>
  <c r="AV73" i="79"/>
  <c r="FL73" i="79"/>
  <c r="AN73" i="79"/>
  <c r="AU64" i="80"/>
  <c r="AW64" i="80" s="1"/>
  <c r="FK64" i="80"/>
  <c r="FM64" i="80" s="1"/>
  <c r="O64" i="80"/>
  <c r="P64" i="80" s="1"/>
  <c r="BU68" i="80"/>
  <c r="BV68" i="80" s="1"/>
  <c r="BM68" i="80"/>
  <c r="BN68" i="80" s="1"/>
  <c r="AF87" i="79"/>
  <c r="AH87" i="79" s="1"/>
  <c r="BT87" i="79"/>
  <c r="BV87" i="79" s="1"/>
  <c r="EF87" i="79"/>
  <c r="EH87" i="79" s="1"/>
  <c r="FD73" i="79"/>
  <c r="CR73" i="79"/>
  <c r="CB73" i="79"/>
  <c r="BV147" i="79"/>
  <c r="EN57" i="80"/>
  <c r="EP57" i="80" s="1"/>
  <c r="DW64" i="80"/>
  <c r="DX64" i="80" s="1"/>
  <c r="BS64" i="80"/>
  <c r="BU64" i="80" s="1"/>
  <c r="AW68" i="80"/>
  <c r="AX68" i="80" s="1"/>
  <c r="EG68" i="80"/>
  <c r="EH68" i="80" s="1"/>
  <c r="EV87" i="79"/>
  <c r="EX87" i="79" s="1"/>
  <c r="DP87" i="79"/>
  <c r="DR87" i="79" s="1"/>
  <c r="EO68" i="80"/>
  <c r="EP68" i="80" s="1"/>
  <c r="CJ73" i="79"/>
  <c r="DH73" i="79"/>
  <c r="EV73" i="79"/>
  <c r="DG64" i="80"/>
  <c r="DI64" i="80" s="1"/>
  <c r="AM64" i="80"/>
  <c r="AO64" i="80" s="1"/>
  <c r="CS68" i="80"/>
  <c r="CT68" i="80" s="1"/>
  <c r="DA68" i="80"/>
  <c r="DB68" i="80" s="1"/>
  <c r="P87" i="79"/>
  <c r="R87" i="79" s="1"/>
  <c r="CZ87" i="79"/>
  <c r="DB87" i="79" s="1"/>
  <c r="P73" i="79"/>
  <c r="DJ112" i="79"/>
  <c r="W64" i="80"/>
  <c r="X64" i="80" s="1"/>
  <c r="DH87" i="79"/>
  <c r="DJ87" i="79" s="1"/>
  <c r="BL57" i="80"/>
  <c r="FF200" i="79"/>
  <c r="FF202" i="79" s="1"/>
  <c r="FN123" i="79"/>
  <c r="EH279" i="80"/>
  <c r="CZ57" i="79"/>
  <c r="R305" i="79"/>
  <c r="P57" i="79"/>
  <c r="BV123" i="79"/>
  <c r="CD147" i="79"/>
  <c r="FF147" i="79"/>
  <c r="DH57" i="79"/>
  <c r="BT57" i="79"/>
  <c r="EV57" i="79"/>
  <c r="EX57" i="79" s="1"/>
  <c r="DZ188" i="79"/>
  <c r="CR57" i="79"/>
  <c r="BL57" i="79"/>
  <c r="CJ57" i="79"/>
  <c r="BF112" i="80"/>
  <c r="BF112" i="79"/>
  <c r="AN57" i="79"/>
  <c r="FF188" i="79"/>
  <c r="BD57" i="79"/>
  <c r="EN61" i="80"/>
  <c r="DZ147" i="79"/>
  <c r="AG68" i="80"/>
  <c r="DP57" i="79"/>
  <c r="FL57" i="79"/>
  <c r="DB123" i="79"/>
  <c r="BF123" i="79"/>
  <c r="R112" i="79"/>
  <c r="AV57" i="79"/>
  <c r="X57" i="79"/>
  <c r="Z280" i="79"/>
  <c r="R123" i="79"/>
  <c r="AV87" i="80"/>
  <c r="CB57" i="79"/>
  <c r="AF57" i="79"/>
  <c r="BV112" i="80"/>
  <c r="FD57" i="79"/>
  <c r="BN230" i="80"/>
  <c r="DJ280" i="79"/>
  <c r="EN57" i="79"/>
  <c r="CC68" i="80"/>
  <c r="DH87" i="80"/>
  <c r="AG57" i="80"/>
  <c r="FE202" i="79"/>
  <c r="AH230" i="80"/>
  <c r="BV230" i="80"/>
  <c r="EP305" i="79"/>
  <c r="AH123" i="79"/>
  <c r="EP188" i="79"/>
  <c r="EW62" i="80"/>
  <c r="DA62" i="80"/>
  <c r="DB62" i="80" s="1"/>
  <c r="FM57" i="79"/>
  <c r="CS61" i="80"/>
  <c r="Y61" i="80"/>
  <c r="AG61" i="80"/>
  <c r="Y57" i="79"/>
  <c r="BE57" i="79"/>
  <c r="EO61" i="80"/>
  <c r="DY61" i="80"/>
  <c r="DQ61" i="80"/>
  <c r="AW57" i="79"/>
  <c r="BU16" i="79"/>
  <c r="BU410" i="79" s="1"/>
  <c r="BU426" i="79" s="1"/>
  <c r="CC16" i="79"/>
  <c r="CC410" i="79" s="1"/>
  <c r="CC426" i="79" s="1"/>
  <c r="CT306" i="79"/>
  <c r="CS57" i="79"/>
  <c r="BV306" i="79"/>
  <c r="R177" i="80"/>
  <c r="CL189" i="79"/>
  <c r="BN123" i="79"/>
  <c r="DR123" i="79"/>
  <c r="CD123" i="79"/>
  <c r="BV248" i="79"/>
  <c r="R248" i="79"/>
  <c r="DZ123" i="79"/>
  <c r="BV59" i="79"/>
  <c r="BN305" i="79"/>
  <c r="FN112" i="80"/>
  <c r="BF229" i="79"/>
  <c r="Z112" i="79"/>
  <c r="DZ112" i="80"/>
  <c r="CD248" i="80"/>
  <c r="BN279" i="80"/>
  <c r="DR112" i="79"/>
  <c r="EX230" i="79"/>
  <c r="AP230" i="79"/>
  <c r="EH306" i="79"/>
  <c r="EP229" i="79"/>
  <c r="Z268" i="80"/>
  <c r="CL230" i="79"/>
  <c r="EP280" i="79"/>
  <c r="BF280" i="79"/>
  <c r="BN248" i="80"/>
  <c r="FL62" i="80"/>
  <c r="DB311" i="79"/>
  <c r="FE215" i="79"/>
  <c r="CD306" i="79"/>
  <c r="P61" i="80"/>
  <c r="CL212" i="79"/>
  <c r="FN279" i="80"/>
  <c r="EN62" i="80"/>
  <c r="DJ268" i="80"/>
  <c r="CT123" i="79"/>
  <c r="Y62" i="80"/>
  <c r="FF212" i="79"/>
  <c r="BN268" i="80"/>
  <c r="DP61" i="80"/>
  <c r="AF61" i="80"/>
  <c r="FM62" i="80"/>
  <c r="X62" i="80"/>
  <c r="CD98" i="80"/>
  <c r="FN248" i="79"/>
  <c r="EV62" i="80"/>
  <c r="BM62" i="80"/>
  <c r="DB112" i="80"/>
  <c r="DY62" i="80"/>
  <c r="H153" i="79"/>
  <c r="DX61" i="80"/>
  <c r="CR61" i="80"/>
  <c r="X61" i="80"/>
  <c r="CD268" i="79"/>
  <c r="BV227" i="79"/>
  <c r="FN227" i="79"/>
  <c r="EX112" i="79"/>
  <c r="H153" i="80"/>
  <c r="BN230" i="79"/>
  <c r="DB147" i="79"/>
  <c r="DB188" i="79"/>
  <c r="AX311" i="80"/>
  <c r="FF230" i="80"/>
  <c r="DR188" i="79"/>
  <c r="FN189" i="79"/>
  <c r="EP189" i="79"/>
  <c r="Z244" i="79"/>
  <c r="CT305" i="79"/>
  <c r="EP112" i="79"/>
  <c r="DR311" i="80"/>
  <c r="DA61" i="79"/>
  <c r="DJ311" i="80"/>
  <c r="EP244" i="79"/>
  <c r="DQ61" i="79"/>
  <c r="DR61" i="79" s="1"/>
  <c r="AX305" i="79"/>
  <c r="FN230" i="79"/>
  <c r="AH280" i="79"/>
  <c r="CL123" i="79"/>
  <c r="BN147" i="79"/>
  <c r="BN112" i="80"/>
  <c r="BV230" i="79"/>
  <c r="FF244" i="79"/>
  <c r="DR230" i="80"/>
  <c r="DR306" i="79"/>
  <c r="CT230" i="80"/>
  <c r="DB113" i="80"/>
  <c r="FN280" i="79"/>
  <c r="DY215" i="79"/>
  <c r="BN280" i="79"/>
  <c r="CL244" i="80"/>
  <c r="FN177" i="80"/>
  <c r="DJ123" i="79"/>
  <c r="EF61" i="79"/>
  <c r="DB230" i="80"/>
  <c r="BF311" i="79"/>
  <c r="AP305" i="79"/>
  <c r="CD305" i="79"/>
  <c r="AH98" i="80"/>
  <c r="CT244" i="79"/>
  <c r="P61" i="79"/>
  <c r="DH61" i="79"/>
  <c r="CL112" i="80"/>
  <c r="DZ230" i="79"/>
  <c r="CD248" i="79"/>
  <c r="DZ244" i="79"/>
  <c r="CD227" i="79"/>
  <c r="DJ244" i="79"/>
  <c r="EH280" i="79"/>
  <c r="AX306" i="80"/>
  <c r="BF113" i="80"/>
  <c r="AH305" i="79"/>
  <c r="AP188" i="79"/>
  <c r="DJ188" i="79"/>
  <c r="CT268" i="80"/>
  <c r="AH194" i="80"/>
  <c r="Z123" i="79"/>
  <c r="BF147" i="79"/>
  <c r="DR305" i="79"/>
  <c r="FN311" i="80"/>
  <c r="CD311" i="80"/>
  <c r="DB244" i="79"/>
  <c r="R194" i="80"/>
  <c r="AX123" i="79"/>
  <c r="AH147" i="79"/>
  <c r="DJ305" i="79"/>
  <c r="BF268" i="79"/>
  <c r="EF60" i="80"/>
  <c r="CD177" i="79"/>
  <c r="CL311" i="79"/>
  <c r="X60" i="80"/>
  <c r="CR60" i="80"/>
  <c r="DP60" i="80"/>
  <c r="DR60" i="80" s="1"/>
  <c r="AN60" i="80"/>
  <c r="FD60" i="80"/>
  <c r="AP311" i="79"/>
  <c r="CJ60" i="80"/>
  <c r="AV60" i="80"/>
  <c r="P60" i="80"/>
  <c r="BD60" i="80"/>
  <c r="BL60" i="80"/>
  <c r="DX60" i="80"/>
  <c r="AF60" i="80"/>
  <c r="CZ60" i="80"/>
  <c r="EN60" i="80"/>
  <c r="BT60" i="80"/>
  <c r="EV60" i="80"/>
  <c r="DH60" i="80"/>
  <c r="AH188" i="79"/>
  <c r="EP177" i="79"/>
  <c r="DR147" i="79"/>
  <c r="EH177" i="79"/>
  <c r="FF177" i="80"/>
  <c r="BN311" i="80"/>
  <c r="AH212" i="79"/>
  <c r="DB268" i="79"/>
  <c r="CT112" i="80"/>
  <c r="EH305" i="79"/>
  <c r="BV229" i="79"/>
  <c r="DR112" i="80"/>
  <c r="DZ268" i="80"/>
  <c r="EX147" i="79"/>
  <c r="FF227" i="79"/>
  <c r="BF305" i="79"/>
  <c r="DB268" i="80"/>
  <c r="Q60" i="80"/>
  <c r="EH227" i="79"/>
  <c r="AP177" i="80"/>
  <c r="DZ280" i="79"/>
  <c r="DZ212" i="79"/>
  <c r="FN268" i="80"/>
  <c r="R212" i="79"/>
  <c r="DJ112" i="80"/>
  <c r="FN177" i="79"/>
  <c r="EP177" i="80"/>
  <c r="DI61" i="79"/>
  <c r="EO61" i="79"/>
  <c r="CT306" i="80"/>
  <c r="EH244" i="79"/>
  <c r="AP248" i="80"/>
  <c r="DR248" i="79"/>
  <c r="EX305" i="79"/>
  <c r="R244" i="80"/>
  <c r="AP244" i="79"/>
  <c r="BV188" i="79"/>
  <c r="CD212" i="79"/>
  <c r="AX244" i="79"/>
  <c r="CL248" i="80"/>
  <c r="AX311" i="79"/>
  <c r="DB306" i="80"/>
  <c r="DR306" i="80"/>
  <c r="AP123" i="79"/>
  <c r="AO61" i="79"/>
  <c r="EP230" i="80"/>
  <c r="CS61" i="79"/>
  <c r="BM61" i="79"/>
  <c r="CK215" i="79"/>
  <c r="R280" i="79"/>
  <c r="AX98" i="79"/>
  <c r="FF112" i="79"/>
  <c r="BV311" i="80"/>
  <c r="CD280" i="79"/>
  <c r="AX268" i="80"/>
  <c r="DZ311" i="80"/>
  <c r="CT188" i="79"/>
  <c r="EX306" i="79"/>
  <c r="Q61" i="79"/>
  <c r="BV311" i="79"/>
  <c r="AW61" i="79"/>
  <c r="BF306" i="80"/>
  <c r="EX306" i="80"/>
  <c r="FN268" i="79"/>
  <c r="CK61" i="79"/>
  <c r="BV244" i="79"/>
  <c r="AG61" i="79"/>
  <c r="DY61" i="79"/>
  <c r="CD229" i="79"/>
  <c r="FF295" i="79"/>
  <c r="BN306" i="79"/>
  <c r="AG202" i="79"/>
  <c r="R244" i="79"/>
  <c r="BN244" i="79"/>
  <c r="EP268" i="79"/>
  <c r="AP112" i="80"/>
  <c r="DZ177" i="80"/>
  <c r="FF311" i="80"/>
  <c r="CT311" i="80"/>
  <c r="FF189" i="79"/>
  <c r="DJ244" i="80"/>
  <c r="AP232" i="79"/>
  <c r="CL180" i="79"/>
  <c r="AP244" i="80"/>
  <c r="EH311" i="80"/>
  <c r="R214" i="79"/>
  <c r="AX189" i="79"/>
  <c r="DJ268" i="79"/>
  <c r="FF268" i="80"/>
  <c r="DZ311" i="79"/>
  <c r="EH311" i="79"/>
  <c r="BV268" i="79"/>
  <c r="CL268" i="80"/>
  <c r="AH248" i="80"/>
  <c r="EX177" i="80"/>
  <c r="AH96" i="79"/>
  <c r="EP311" i="80"/>
  <c r="FN306" i="80"/>
  <c r="DZ96" i="80"/>
  <c r="DB177" i="79"/>
  <c r="BV214" i="79"/>
  <c r="BF210" i="79"/>
  <c r="CL180" i="80"/>
  <c r="DB244" i="80"/>
  <c r="AW207" i="79"/>
  <c r="AH306" i="79"/>
  <c r="EX244" i="79"/>
  <c r="FM16" i="80"/>
  <c r="FM410" i="80" s="1"/>
  <c r="FM426" i="80" s="1"/>
  <c r="DB106" i="79"/>
  <c r="DZ201" i="79"/>
  <c r="BF98" i="80"/>
  <c r="CD180" i="80"/>
  <c r="BV210" i="79"/>
  <c r="CT96" i="79"/>
  <c r="BV96" i="80"/>
  <c r="BF268" i="80"/>
  <c r="Z180" i="79"/>
  <c r="R226" i="79"/>
  <c r="AP180" i="79"/>
  <c r="DZ194" i="80"/>
  <c r="FF210" i="79"/>
  <c r="DJ106" i="79"/>
  <c r="DB96" i="79"/>
  <c r="DP60" i="79"/>
  <c r="EX180" i="79"/>
  <c r="EX180" i="80"/>
  <c r="EF96" i="80"/>
  <c r="EG96" i="80"/>
  <c r="AG153" i="80"/>
  <c r="AF153" i="80"/>
  <c r="BV189" i="79"/>
  <c r="EX280" i="79"/>
  <c r="DX61" i="79"/>
  <c r="EN61" i="79"/>
  <c r="EP210" i="79"/>
  <c r="DA96" i="80"/>
  <c r="CZ96" i="80"/>
  <c r="FN112" i="79"/>
  <c r="BV177" i="80"/>
  <c r="AN61" i="79"/>
  <c r="AX230" i="80"/>
  <c r="AH140" i="80"/>
  <c r="CD311" i="79"/>
  <c r="DR311" i="79"/>
  <c r="FF305" i="79"/>
  <c r="DI68" i="80"/>
  <c r="DJ68" i="80" s="1"/>
  <c r="DQ57" i="79"/>
  <c r="AF61" i="79"/>
  <c r="EV153" i="80"/>
  <c r="EX153" i="80" s="1"/>
  <c r="CK57" i="79"/>
  <c r="EO57" i="79"/>
  <c r="CD210" i="80"/>
  <c r="DY57" i="79"/>
  <c r="DZ57" i="79" s="1"/>
  <c r="DB229" i="79"/>
  <c r="CB68" i="79"/>
  <c r="Z201" i="79"/>
  <c r="DB311" i="80"/>
  <c r="DI87" i="80"/>
  <c r="CC57" i="79"/>
  <c r="AG57" i="79"/>
  <c r="EH112" i="79"/>
  <c r="DA57" i="79"/>
  <c r="BU57" i="79"/>
  <c r="AO57" i="79"/>
  <c r="BV305" i="79"/>
  <c r="EO153" i="80"/>
  <c r="EP153" i="80" s="1"/>
  <c r="BE16" i="80"/>
  <c r="BE410" i="80" s="1"/>
  <c r="BE426" i="80" s="1"/>
  <c r="BM57" i="79"/>
  <c r="AO153" i="80"/>
  <c r="AP153" i="80" s="1"/>
  <c r="BV280" i="79"/>
  <c r="DZ306" i="79"/>
  <c r="FN306" i="79"/>
  <c r="EP212" i="79"/>
  <c r="Z212" i="79"/>
  <c r="BN268" i="79"/>
  <c r="CL268" i="79"/>
  <c r="CB61" i="79"/>
  <c r="DJ180" i="80"/>
  <c r="EH180" i="79"/>
  <c r="DA57" i="80"/>
  <c r="H29" i="85"/>
  <c r="J9" i="90" s="1"/>
  <c r="H29" i="80"/>
  <c r="H29" i="79"/>
  <c r="BF230" i="79"/>
  <c r="BL61" i="79"/>
  <c r="AW87" i="80"/>
  <c r="G151" i="80"/>
  <c r="DW151" i="80" s="1"/>
  <c r="CS16" i="80"/>
  <c r="CS410" i="80" s="1"/>
  <c r="CS426" i="80" s="1"/>
  <c r="FE57" i="79"/>
  <c r="EH230" i="80"/>
  <c r="CD230" i="80"/>
  <c r="CD230" i="79"/>
  <c r="CL305" i="79"/>
  <c r="AW68" i="79"/>
  <c r="I153" i="79"/>
  <c r="CT189" i="79"/>
  <c r="EH244" i="80"/>
  <c r="Q57" i="79"/>
  <c r="FF280" i="79"/>
  <c r="DH16" i="79"/>
  <c r="DH410" i="79" s="1"/>
  <c r="DR268" i="79"/>
  <c r="AF68" i="80"/>
  <c r="DX16" i="80"/>
  <c r="DX410" i="80" s="1"/>
  <c r="AP210" i="79"/>
  <c r="BN226" i="80"/>
  <c r="Z210" i="79"/>
  <c r="AP226" i="79"/>
  <c r="DR180" i="80"/>
  <c r="FL153" i="80"/>
  <c r="FM153" i="80"/>
  <c r="G151" i="79"/>
  <c r="W151" i="79" s="1"/>
  <c r="BV248" i="80"/>
  <c r="DZ248" i="79"/>
  <c r="EP112" i="80"/>
  <c r="Z112" i="80"/>
  <c r="G438" i="79"/>
  <c r="AX177" i="80"/>
  <c r="AX205" i="79"/>
  <c r="FN230" i="80"/>
  <c r="Q68" i="80"/>
  <c r="R68" i="80" s="1"/>
  <c r="CJ61" i="79"/>
  <c r="I153" i="80"/>
  <c r="Y215" i="79"/>
  <c r="DR280" i="79"/>
  <c r="CB153" i="80"/>
  <c r="CD153" i="80" s="1"/>
  <c r="AV202" i="79"/>
  <c r="CD244" i="79"/>
  <c r="CD268" i="80"/>
  <c r="CZ61" i="79"/>
  <c r="DQ60" i="79"/>
  <c r="Z248" i="80"/>
  <c r="DI57" i="79"/>
  <c r="AH311" i="79"/>
  <c r="DB305" i="79"/>
  <c r="AV61" i="79"/>
  <c r="EO215" i="79"/>
  <c r="AX306" i="79"/>
  <c r="CB68" i="80"/>
  <c r="AH268" i="79"/>
  <c r="AF16" i="80"/>
  <c r="AF410" i="80" s="1"/>
  <c r="AH244" i="79"/>
  <c r="CD177" i="80"/>
  <c r="FD16" i="79"/>
  <c r="FD410" i="79" s="1"/>
  <c r="EG57" i="79"/>
  <c r="CL311" i="80"/>
  <c r="CR61" i="79"/>
  <c r="DR244" i="80"/>
  <c r="FF306" i="80"/>
  <c r="AP200" i="79"/>
  <c r="BF96" i="79"/>
  <c r="BE96" i="80"/>
  <c r="BD96" i="80"/>
  <c r="BN96" i="79"/>
  <c r="FN210" i="79"/>
  <c r="FN241" i="79"/>
  <c r="DG18" i="79"/>
  <c r="CA18" i="79"/>
  <c r="FC18" i="79"/>
  <c r="CY18" i="79"/>
  <c r="AM18" i="79"/>
  <c r="EM18" i="79"/>
  <c r="AU18" i="79"/>
  <c r="G412" i="79"/>
  <c r="BC18" i="79"/>
  <c r="CQ18" i="79"/>
  <c r="FK18" i="79"/>
  <c r="O18" i="79"/>
  <c r="W18" i="79"/>
  <c r="AE18" i="79"/>
  <c r="G19" i="79"/>
  <c r="EU18" i="79"/>
  <c r="DO18" i="79"/>
  <c r="BS18" i="79"/>
  <c r="BK18" i="79"/>
  <c r="DW18" i="79"/>
  <c r="EE18" i="79"/>
  <c r="CI18" i="79"/>
  <c r="CS202" i="79"/>
  <c r="R232" i="80"/>
  <c r="AP182" i="79"/>
  <c r="FF241" i="80"/>
  <c r="BM57" i="80"/>
  <c r="DW18" i="80"/>
  <c r="EE18" i="80"/>
  <c r="EE412" i="80" s="1"/>
  <c r="AM18" i="80"/>
  <c r="EM18" i="80"/>
  <c r="EM412" i="80" s="1"/>
  <c r="AU18" i="80"/>
  <c r="DG18" i="80"/>
  <c r="CI18" i="80"/>
  <c r="W18" i="80"/>
  <c r="O18" i="80"/>
  <c r="BS18" i="80"/>
  <c r="BS412" i="80" s="1"/>
  <c r="FC18" i="80"/>
  <c r="AE18" i="80"/>
  <c r="FK18" i="80"/>
  <c r="BK18" i="80"/>
  <c r="BK412" i="80" s="1"/>
  <c r="CA18" i="80"/>
  <c r="BC18" i="80"/>
  <c r="G412" i="80"/>
  <c r="CY18" i="80"/>
  <c r="CQ18" i="80"/>
  <c r="EU18" i="80"/>
  <c r="EU412" i="80" s="1"/>
  <c r="DO18" i="80"/>
  <c r="G19" i="80"/>
  <c r="DJ180" i="79"/>
  <c r="EX232" i="79"/>
  <c r="AH230" i="79"/>
  <c r="DJ311" i="79"/>
  <c r="EX244" i="80"/>
  <c r="EG215" i="79"/>
  <c r="CL306" i="79"/>
  <c r="EP201" i="79"/>
  <c r="FF96" i="80"/>
  <c r="CC57" i="80"/>
  <c r="CB57" i="80"/>
  <c r="AV57" i="80"/>
  <c r="AW57" i="80"/>
  <c r="AE125" i="79"/>
  <c r="CI125" i="79"/>
  <c r="AM125" i="79"/>
  <c r="DO125" i="79"/>
  <c r="EU125" i="79"/>
  <c r="EE125" i="79"/>
  <c r="W125" i="79"/>
  <c r="AU125" i="79"/>
  <c r="DG125" i="79"/>
  <c r="FC125" i="79"/>
  <c r="BK125" i="79"/>
  <c r="DW125" i="79"/>
  <c r="EM125" i="79"/>
  <c r="BC125" i="79"/>
  <c r="CA125" i="79"/>
  <c r="O125" i="79"/>
  <c r="BS125" i="79"/>
  <c r="CY125" i="79"/>
  <c r="FK125" i="79"/>
  <c r="CQ125" i="79"/>
  <c r="FF96" i="79"/>
  <c r="FM61" i="79"/>
  <c r="FL61" i="79"/>
  <c r="EW61" i="80"/>
  <c r="EV61" i="80"/>
  <c r="CB61" i="80"/>
  <c r="CC61" i="80"/>
  <c r="EE125" i="80"/>
  <c r="FK125" i="80"/>
  <c r="CA125" i="80"/>
  <c r="EM125" i="80"/>
  <c r="AU125" i="80"/>
  <c r="CY125" i="80"/>
  <c r="AM125" i="80"/>
  <c r="W125" i="80"/>
  <c r="DO125" i="80"/>
  <c r="FC125" i="80"/>
  <c r="CQ125" i="80"/>
  <c r="BS125" i="80"/>
  <c r="AE125" i="80"/>
  <c r="EU125" i="80"/>
  <c r="CI125" i="80"/>
  <c r="BC125" i="80"/>
  <c r="O125" i="80"/>
  <c r="BK125" i="80"/>
  <c r="DG125" i="80"/>
  <c r="DW125" i="80"/>
  <c r="EV61" i="79"/>
  <c r="EW61" i="79"/>
  <c r="FE60" i="79"/>
  <c r="FF60" i="79" s="1"/>
  <c r="F28" i="93"/>
  <c r="G28" i="93" s="1"/>
  <c r="BF248" i="79"/>
  <c r="DJ248" i="79"/>
  <c r="AX227" i="79"/>
  <c r="G394" i="79"/>
  <c r="Z230" i="79"/>
  <c r="BN311" i="79"/>
  <c r="EO60" i="80"/>
  <c r="Z244" i="80"/>
  <c r="BM215" i="79"/>
  <c r="EP180" i="79"/>
  <c r="BF180" i="79"/>
  <c r="EV57" i="80"/>
  <c r="EW57" i="80"/>
  <c r="CS57" i="80"/>
  <c r="CR57" i="80"/>
  <c r="CD96" i="79"/>
  <c r="X61" i="79"/>
  <c r="Y61" i="79"/>
  <c r="BD61" i="80"/>
  <c r="BE61" i="80"/>
  <c r="AW61" i="80"/>
  <c r="AV61" i="80"/>
  <c r="CD306" i="80"/>
  <c r="DQ57" i="80"/>
  <c r="DP57" i="80"/>
  <c r="DH57" i="80"/>
  <c r="DI57" i="80"/>
  <c r="DX57" i="80"/>
  <c r="DY57" i="80"/>
  <c r="CQ292" i="79"/>
  <c r="CS292" i="79" s="1"/>
  <c r="AU292" i="79"/>
  <c r="AW292" i="79" s="1"/>
  <c r="EU292" i="79"/>
  <c r="EW292" i="79" s="1"/>
  <c r="DO292" i="79"/>
  <c r="DQ292" i="79" s="1"/>
  <c r="BS292" i="79"/>
  <c r="BU292" i="79" s="1"/>
  <c r="EM292" i="79"/>
  <c r="EO292" i="79" s="1"/>
  <c r="FK292" i="79"/>
  <c r="FM292" i="79" s="1"/>
  <c r="CI292" i="79"/>
  <c r="CK292" i="79" s="1"/>
  <c r="DG292" i="79"/>
  <c r="BK292" i="79"/>
  <c r="BM292" i="79" s="1"/>
  <c r="AM292" i="79"/>
  <c r="AO292" i="79" s="1"/>
  <c r="W292" i="79"/>
  <c r="Y292" i="79" s="1"/>
  <c r="EE292" i="79"/>
  <c r="EG292" i="79" s="1"/>
  <c r="CA292" i="79"/>
  <c r="CC292" i="79" s="1"/>
  <c r="FC292" i="79"/>
  <c r="FE292" i="79" s="1"/>
  <c r="AE292" i="79"/>
  <c r="AG292" i="79" s="1"/>
  <c r="CY292" i="79"/>
  <c r="DA292" i="79" s="1"/>
  <c r="O292" i="79"/>
  <c r="Q292" i="79" s="1"/>
  <c r="DW292" i="79"/>
  <c r="DY292" i="79" s="1"/>
  <c r="BC292" i="79"/>
  <c r="BE292" i="79" s="1"/>
  <c r="J125" i="80"/>
  <c r="J125" i="79"/>
  <c r="J125" i="85"/>
  <c r="L71" i="90" s="1"/>
  <c r="Q153" i="80"/>
  <c r="P153" i="80"/>
  <c r="BU61" i="80"/>
  <c r="FD61" i="80"/>
  <c r="FE61" i="80"/>
  <c r="FM61" i="80"/>
  <c r="FL61" i="80"/>
  <c r="DR230" i="79"/>
  <c r="DB177" i="80"/>
  <c r="Y92" i="79"/>
  <c r="EX311" i="79"/>
  <c r="AX244" i="80"/>
  <c r="DA215" i="79"/>
  <c r="EX98" i="80"/>
  <c r="EH212" i="79"/>
  <c r="AP212" i="79"/>
  <c r="BL202" i="79"/>
  <c r="DZ180" i="79"/>
  <c r="DZ210" i="79"/>
  <c r="BF232" i="79"/>
  <c r="CK57" i="80"/>
  <c r="CJ57" i="80"/>
  <c r="BT57" i="80"/>
  <c r="BU57" i="80"/>
  <c r="H125" i="85"/>
  <c r="J71" i="90" s="1"/>
  <c r="H125" i="80"/>
  <c r="H125" i="79"/>
  <c r="BT153" i="80"/>
  <c r="BU153" i="80"/>
  <c r="CJ61" i="80"/>
  <c r="CK61" i="80"/>
  <c r="DO72" i="79"/>
  <c r="EE72" i="79"/>
  <c r="FK72" i="79"/>
  <c r="DG72" i="79"/>
  <c r="BK72" i="79"/>
  <c r="AM72" i="79"/>
  <c r="CI72" i="79"/>
  <c r="BS72" i="79"/>
  <c r="AE72" i="79"/>
  <c r="FC72" i="79"/>
  <c r="O72" i="79"/>
  <c r="CY72" i="79"/>
  <c r="CA72" i="79"/>
  <c r="DW72" i="79"/>
  <c r="AU72" i="79"/>
  <c r="BC72" i="79"/>
  <c r="CQ72" i="79"/>
  <c r="EM72" i="79"/>
  <c r="EU72" i="79"/>
  <c r="W72" i="79"/>
  <c r="BF230" i="80"/>
  <c r="EX189" i="79"/>
  <c r="DJ306" i="79"/>
  <c r="CL248" i="79"/>
  <c r="BF227" i="79"/>
  <c r="BF177" i="80"/>
  <c r="EH177" i="80"/>
  <c r="BE92" i="79"/>
  <c r="AX230" i="79"/>
  <c r="FF311" i="79"/>
  <c r="BE60" i="80"/>
  <c r="R306" i="79"/>
  <c r="Z306" i="80"/>
  <c r="AH268" i="80"/>
  <c r="DZ199" i="79"/>
  <c r="CD232" i="79"/>
  <c r="DB250" i="80"/>
  <c r="BV180" i="80"/>
  <c r="DZ180" i="80"/>
  <c r="R210" i="79"/>
  <c r="FE57" i="80"/>
  <c r="FD57" i="80"/>
  <c r="EG57" i="80"/>
  <c r="EF57" i="80"/>
  <c r="BS292" i="80"/>
  <c r="FK292" i="80"/>
  <c r="FM292" i="80" s="1"/>
  <c r="CQ292" i="80"/>
  <c r="AE292" i="80"/>
  <c r="AG292" i="80" s="1"/>
  <c r="EM292" i="80"/>
  <c r="CI292" i="80"/>
  <c r="BK292" i="80"/>
  <c r="DW292" i="80"/>
  <c r="FC292" i="80"/>
  <c r="DO292" i="80"/>
  <c r="DQ292" i="80" s="1"/>
  <c r="EU292" i="80"/>
  <c r="EW292" i="80" s="1"/>
  <c r="AM292" i="80"/>
  <c r="DG292" i="80"/>
  <c r="CA292" i="80"/>
  <c r="BC292" i="80"/>
  <c r="O292" i="80"/>
  <c r="W292" i="80"/>
  <c r="CY292" i="80"/>
  <c r="DA292" i="80" s="1"/>
  <c r="EE292" i="80"/>
  <c r="AU292" i="80"/>
  <c r="AW292" i="80" s="1"/>
  <c r="Y57" i="80"/>
  <c r="FE61" i="79"/>
  <c r="FD61" i="79"/>
  <c r="CJ153" i="80"/>
  <c r="CK153" i="80"/>
  <c r="AO61" i="80"/>
  <c r="AN61" i="80"/>
  <c r="AO292" i="80"/>
  <c r="P57" i="80"/>
  <c r="Q57" i="80"/>
  <c r="BL61" i="80"/>
  <c r="BM61" i="80"/>
  <c r="R188" i="79"/>
  <c r="BN244" i="80"/>
  <c r="FF248" i="80"/>
  <c r="DZ227" i="79"/>
  <c r="EX177" i="79"/>
  <c r="DZ230" i="80"/>
  <c r="FF230" i="79"/>
  <c r="BF311" i="80"/>
  <c r="FM16" i="79"/>
  <c r="FM410" i="79" s="1"/>
  <c r="FM426" i="79" s="1"/>
  <c r="DZ244" i="80"/>
  <c r="CL280" i="79"/>
  <c r="AP306" i="80"/>
  <c r="DZ306" i="80"/>
  <c r="EV16" i="80"/>
  <c r="EV410" i="80" s="1"/>
  <c r="X16" i="80"/>
  <c r="X410" i="80" s="1"/>
  <c r="CR202" i="79"/>
  <c r="AH180" i="80"/>
  <c r="AN57" i="80"/>
  <c r="AO57" i="80"/>
  <c r="FL57" i="80"/>
  <c r="FM57" i="80"/>
  <c r="BT61" i="79"/>
  <c r="BU61" i="79"/>
  <c r="CC61" i="79"/>
  <c r="BD153" i="80"/>
  <c r="BE153" i="80"/>
  <c r="DH61" i="80"/>
  <c r="DI61" i="80"/>
  <c r="CQ72" i="80"/>
  <c r="DG72" i="80"/>
  <c r="FK72" i="80"/>
  <c r="CY72" i="80"/>
  <c r="EU72" i="80"/>
  <c r="AE72" i="80"/>
  <c r="EM72" i="80"/>
  <c r="BS72" i="80"/>
  <c r="FC72" i="80"/>
  <c r="CI72" i="80"/>
  <c r="W72" i="80"/>
  <c r="DW72" i="80"/>
  <c r="O72" i="80"/>
  <c r="EE72" i="80"/>
  <c r="DO72" i="80"/>
  <c r="AM72" i="80"/>
  <c r="BC72" i="80"/>
  <c r="BK72" i="80"/>
  <c r="AU72" i="80"/>
  <c r="CA72" i="80"/>
  <c r="BF248" i="80"/>
  <c r="R248" i="80"/>
  <c r="FN311" i="79"/>
  <c r="Z311" i="79"/>
  <c r="AH189" i="79"/>
  <c r="DB280" i="79"/>
  <c r="CT229" i="79"/>
  <c r="Z268" i="79"/>
  <c r="R96" i="80"/>
  <c r="BF194" i="80"/>
  <c r="AX180" i="80"/>
  <c r="CZ57" i="80"/>
  <c r="BE57" i="80"/>
  <c r="BD57" i="80"/>
  <c r="I125" i="79"/>
  <c r="I125" i="85"/>
  <c r="K71" i="90" s="1"/>
  <c r="I125" i="80"/>
  <c r="BD61" i="79"/>
  <c r="BE61" i="79"/>
  <c r="EF61" i="80"/>
  <c r="EG61" i="80"/>
  <c r="CZ61" i="80"/>
  <c r="DA61" i="80"/>
  <c r="EP311" i="79"/>
  <c r="EX311" i="80"/>
  <c r="FF306" i="79"/>
  <c r="EP306" i="79"/>
  <c r="Z311" i="80"/>
  <c r="AP306" i="79"/>
  <c r="AG60" i="80"/>
  <c r="EH96" i="79"/>
  <c r="EX226" i="80"/>
  <c r="CD210" i="79"/>
  <c r="AX232" i="79"/>
  <c r="R306" i="80"/>
  <c r="BF214" i="79"/>
  <c r="DA16" i="79"/>
  <c r="DA410" i="79" s="1"/>
  <c r="DA426" i="79" s="1"/>
  <c r="DQ215" i="79"/>
  <c r="CC215" i="79"/>
  <c r="AX280" i="79"/>
  <c r="CT280" i="79"/>
  <c r="DB306" i="79"/>
  <c r="EP306" i="80"/>
  <c r="DH202" i="79"/>
  <c r="AP229" i="80"/>
  <c r="CK202" i="79"/>
  <c r="DP202" i="79"/>
  <c r="FF268" i="79"/>
  <c r="R268" i="80"/>
  <c r="DJ96" i="79"/>
  <c r="DR96" i="79"/>
  <c r="BV194" i="80"/>
  <c r="Z232" i="79"/>
  <c r="BN210" i="79"/>
  <c r="AH176" i="80"/>
  <c r="CT210" i="79"/>
  <c r="BF180" i="80"/>
  <c r="DR180" i="79"/>
  <c r="AP311" i="80"/>
  <c r="EO62" i="80"/>
  <c r="AW62" i="80"/>
  <c r="CS92" i="79"/>
  <c r="BM16" i="79"/>
  <c r="BM410" i="79" s="1"/>
  <c r="BM426" i="79" s="1"/>
  <c r="CT214" i="79"/>
  <c r="EP244" i="80"/>
  <c r="CD244" i="80"/>
  <c r="EW16" i="79"/>
  <c r="EW410" i="79" s="1"/>
  <c r="EW426" i="79" s="1"/>
  <c r="BU60" i="80"/>
  <c r="EW215" i="79"/>
  <c r="BU215" i="79"/>
  <c r="BM60" i="80"/>
  <c r="BF306" i="79"/>
  <c r="EX212" i="79"/>
  <c r="DZ98" i="79"/>
  <c r="DZ229" i="79"/>
  <c r="R268" i="79"/>
  <c r="CT268" i="79"/>
  <c r="DZ268" i="79"/>
  <c r="EP268" i="80"/>
  <c r="EP96" i="80"/>
  <c r="CL210" i="79"/>
  <c r="DZ241" i="79"/>
  <c r="CT232" i="79"/>
  <c r="FF180" i="80"/>
  <c r="EP180" i="80"/>
  <c r="CS16" i="79"/>
  <c r="CS410" i="79" s="1"/>
  <c r="CS426" i="79" s="1"/>
  <c r="AH244" i="80"/>
  <c r="AW215" i="79"/>
  <c r="EX98" i="79"/>
  <c r="FN98" i="79"/>
  <c r="FM92" i="79"/>
  <c r="CT311" i="79"/>
  <c r="DB248" i="79"/>
  <c r="AH177" i="80"/>
  <c r="CT177" i="80"/>
  <c r="CL230" i="80"/>
  <c r="Z188" i="79"/>
  <c r="EO16" i="79"/>
  <c r="EO410" i="79" s="1"/>
  <c r="EO426" i="79" s="1"/>
  <c r="Z214" i="79"/>
  <c r="CK60" i="80"/>
  <c r="AG16" i="79"/>
  <c r="AG410" i="79" s="1"/>
  <c r="AG426" i="79" s="1"/>
  <c r="DY60" i="80"/>
  <c r="EG60" i="80"/>
  <c r="Y16" i="79"/>
  <c r="Y410" i="79" s="1"/>
  <c r="Y426" i="79" s="1"/>
  <c r="FN106" i="79"/>
  <c r="AH200" i="80"/>
  <c r="DJ306" i="80"/>
  <c r="CT98" i="80"/>
  <c r="AX212" i="79"/>
  <c r="BV268" i="80"/>
  <c r="DJ96" i="80"/>
  <c r="R96" i="79"/>
  <c r="Y202" i="79"/>
  <c r="DB226" i="80"/>
  <c r="BV249" i="79"/>
  <c r="DR210" i="79"/>
  <c r="CT180" i="80"/>
  <c r="DB241" i="80"/>
  <c r="EH180" i="80"/>
  <c r="R180" i="79"/>
  <c r="AX248" i="79"/>
  <c r="AF143" i="80"/>
  <c r="DR177" i="80"/>
  <c r="EG92" i="79"/>
  <c r="R230" i="79"/>
  <c r="AH311" i="80"/>
  <c r="FN188" i="79"/>
  <c r="AP214" i="79"/>
  <c r="DQ92" i="79"/>
  <c r="AW60" i="80"/>
  <c r="CT244" i="80"/>
  <c r="CK16" i="79"/>
  <c r="CK410" i="79" s="1"/>
  <c r="CK426" i="79" s="1"/>
  <c r="AP280" i="79"/>
  <c r="DA60" i="80"/>
  <c r="EW60" i="80"/>
  <c r="DQ202" i="79"/>
  <c r="AP98" i="80"/>
  <c r="EH98" i="79"/>
  <c r="AX268" i="79"/>
  <c r="FF226" i="80"/>
  <c r="Z153" i="80"/>
  <c r="FF244" i="80"/>
  <c r="DQ16" i="79"/>
  <c r="DQ410" i="79" s="1"/>
  <c r="DQ426" i="79" s="1"/>
  <c r="Y60" i="80"/>
  <c r="CZ202" i="79"/>
  <c r="Z306" i="79"/>
  <c r="BV306" i="80"/>
  <c r="CL306" i="80"/>
  <c r="BN306" i="80"/>
  <c r="Z98" i="80"/>
  <c r="FF98" i="79"/>
  <c r="EH268" i="79"/>
  <c r="EH268" i="80"/>
  <c r="AX96" i="79"/>
  <c r="FN180" i="79"/>
  <c r="DB180" i="80"/>
  <c r="AX210" i="79"/>
  <c r="AX199" i="79"/>
  <c r="CT230" i="79"/>
  <c r="DB230" i="79"/>
  <c r="X215" i="80"/>
  <c r="EP214" i="79"/>
  <c r="DR189" i="79"/>
  <c r="EG202" i="79"/>
  <c r="CJ202" i="79"/>
  <c r="AO202" i="79"/>
  <c r="AP241" i="79"/>
  <c r="AP194" i="80"/>
  <c r="AH210" i="79"/>
  <c r="R176" i="80"/>
  <c r="DI215" i="79"/>
  <c r="BF250" i="80"/>
  <c r="DJ227" i="79"/>
  <c r="DZ177" i="79"/>
  <c r="BF189" i="79"/>
  <c r="AP189" i="79"/>
  <c r="BF244" i="80"/>
  <c r="Q215" i="79"/>
  <c r="FM215" i="79"/>
  <c r="AG215" i="79"/>
  <c r="BN212" i="79"/>
  <c r="AW202" i="79"/>
  <c r="FF182" i="79"/>
  <c r="R232" i="79"/>
  <c r="CD194" i="80"/>
  <c r="CD214" i="79"/>
  <c r="AP227" i="79"/>
  <c r="BN177" i="80"/>
  <c r="EX230" i="80"/>
  <c r="EH230" i="79"/>
  <c r="BD215" i="80"/>
  <c r="BV244" i="80"/>
  <c r="BE215" i="79"/>
  <c r="CT200" i="80"/>
  <c r="CT202" i="80" s="1"/>
  <c r="CC202" i="79"/>
  <c r="BE202" i="79"/>
  <c r="CL232" i="79"/>
  <c r="R226" i="80"/>
  <c r="DB232" i="79"/>
  <c r="CD250" i="80"/>
  <c r="AX182" i="79"/>
  <c r="CL249" i="79"/>
  <c r="FF180" i="79"/>
  <c r="CD180" i="79"/>
  <c r="EN202" i="79"/>
  <c r="DJ230" i="79"/>
  <c r="FN244" i="80"/>
  <c r="CD200" i="79"/>
  <c r="DB212" i="79"/>
  <c r="Q202" i="79"/>
  <c r="AX194" i="80"/>
  <c r="DB180" i="79"/>
  <c r="BV180" i="79"/>
  <c r="BV241" i="80"/>
  <c r="FF194" i="80"/>
  <c r="EX210" i="79"/>
  <c r="EX188" i="79"/>
  <c r="EX200" i="80"/>
  <c r="EX194" i="80"/>
  <c r="DR177" i="79"/>
  <c r="R230" i="80"/>
  <c r="AP230" i="80"/>
  <c r="AX177" i="79"/>
  <c r="CL177" i="80"/>
  <c r="DJ177" i="80"/>
  <c r="Z230" i="80"/>
  <c r="EH214" i="79"/>
  <c r="BN189" i="79"/>
  <c r="AO215" i="79"/>
  <c r="DJ212" i="79"/>
  <c r="DI202" i="79"/>
  <c r="EP232" i="79"/>
  <c r="BV182" i="79"/>
  <c r="FN180" i="80"/>
  <c r="BN180" i="80"/>
  <c r="DB210" i="79"/>
  <c r="DJ232" i="79"/>
  <c r="DJ226" i="80"/>
  <c r="CL214" i="79"/>
  <c r="BV241" i="79"/>
  <c r="DZ232" i="79"/>
  <c r="BN232" i="79"/>
  <c r="DJ200" i="80"/>
  <c r="BV212" i="79"/>
  <c r="FN200" i="79"/>
  <c r="DX202" i="79"/>
  <c r="BN241" i="79"/>
  <c r="AP226" i="80"/>
  <c r="DJ248" i="80"/>
  <c r="EH248" i="79"/>
  <c r="DR227" i="79"/>
  <c r="EX214" i="79"/>
  <c r="CT248" i="79"/>
  <c r="AX248" i="80"/>
  <c r="FF214" i="79"/>
  <c r="DR214" i="79"/>
  <c r="CD189" i="79"/>
  <c r="CT212" i="79"/>
  <c r="DR212" i="79"/>
  <c r="R199" i="79"/>
  <c r="Z227" i="79"/>
  <c r="R201" i="79"/>
  <c r="BN199" i="79"/>
  <c r="CT227" i="79"/>
  <c r="BF188" i="79"/>
  <c r="FN244" i="79"/>
  <c r="Z189" i="79"/>
  <c r="CS215" i="79"/>
  <c r="DR182" i="79"/>
  <c r="BF200" i="79"/>
  <c r="BF202" i="79" s="1"/>
  <c r="Z226" i="80"/>
  <c r="AH226" i="80"/>
  <c r="R189" i="79"/>
  <c r="EW202" i="80"/>
  <c r="EP248" i="79"/>
  <c r="DB227" i="79"/>
  <c r="CT199" i="79"/>
  <c r="DZ248" i="80"/>
  <c r="FF248" i="79"/>
  <c r="EX227" i="79"/>
  <c r="Z248" i="79"/>
  <c r="DZ189" i="79"/>
  <c r="EH248" i="80"/>
  <c r="AH199" i="79"/>
  <c r="BV201" i="79"/>
  <c r="BV202" i="79" s="1"/>
  <c r="BN214" i="79"/>
  <c r="DI124" i="79"/>
  <c r="DH124" i="79"/>
  <c r="DP124" i="79"/>
  <c r="DQ124" i="79"/>
  <c r="DH62" i="79"/>
  <c r="DI62" i="79"/>
  <c r="P62" i="79"/>
  <c r="Q62" i="79"/>
  <c r="BL62" i="79"/>
  <c r="BM62" i="79"/>
  <c r="BT104" i="80"/>
  <c r="BU104" i="80"/>
  <c r="CB104" i="80"/>
  <c r="CC104" i="80"/>
  <c r="CJ62" i="80"/>
  <c r="CK62" i="80"/>
  <c r="FE62" i="80"/>
  <c r="FD62" i="80"/>
  <c r="FF212" i="80"/>
  <c r="FE215" i="80"/>
  <c r="EX200" i="79"/>
  <c r="EV202" i="79"/>
  <c r="DH109" i="79"/>
  <c r="DI109" i="79"/>
  <c r="DQ109" i="79"/>
  <c r="DP109" i="79"/>
  <c r="AW124" i="80"/>
  <c r="AV124" i="80"/>
  <c r="FL124" i="80"/>
  <c r="FM124" i="80"/>
  <c r="BM124" i="80"/>
  <c r="BL124" i="80"/>
  <c r="EN106" i="79"/>
  <c r="EO106" i="79"/>
  <c r="EN16" i="80"/>
  <c r="EN410" i="80" s="1"/>
  <c r="EM410" i="80"/>
  <c r="FM60" i="80"/>
  <c r="FN60" i="80" s="1"/>
  <c r="FE60" i="80"/>
  <c r="FL60" i="79"/>
  <c r="FM60" i="79"/>
  <c r="CJ60" i="79"/>
  <c r="CK60" i="79"/>
  <c r="CB60" i="79"/>
  <c r="CC60" i="79"/>
  <c r="EX248" i="79"/>
  <c r="BN248" i="79"/>
  <c r="EP227" i="79"/>
  <c r="DY16" i="79"/>
  <c r="DY410" i="79" s="1"/>
  <c r="DY426" i="79" s="1"/>
  <c r="EH306" i="80"/>
  <c r="DA124" i="79"/>
  <c r="CZ124" i="79"/>
  <c r="CK124" i="79"/>
  <c r="CJ124" i="79"/>
  <c r="BT62" i="79"/>
  <c r="BU62" i="79"/>
  <c r="EF62" i="79"/>
  <c r="EG62" i="79"/>
  <c r="DP62" i="79"/>
  <c r="DQ62" i="79"/>
  <c r="AV104" i="80"/>
  <c r="AW104" i="80"/>
  <c r="FE104" i="80"/>
  <c r="FD104" i="80"/>
  <c r="DQ62" i="80"/>
  <c r="DP62" i="80"/>
  <c r="BE62" i="80"/>
  <c r="BD62" i="80"/>
  <c r="AO215" i="80"/>
  <c r="AP212" i="80"/>
  <c r="BM215" i="80"/>
  <c r="BN212" i="80"/>
  <c r="BD109" i="79"/>
  <c r="BE109" i="79"/>
  <c r="FE109" i="79"/>
  <c r="FD109" i="79"/>
  <c r="P124" i="80"/>
  <c r="Q124" i="80"/>
  <c r="BD124" i="80"/>
  <c r="BE124" i="80"/>
  <c r="FD124" i="80"/>
  <c r="FE124" i="80"/>
  <c r="BE106" i="79"/>
  <c r="BD106" i="79"/>
  <c r="BS19" i="80"/>
  <c r="BS410" i="80"/>
  <c r="BT16" i="80"/>
  <c r="BT410" i="80" s="1"/>
  <c r="CZ60" i="79"/>
  <c r="DA60" i="79"/>
  <c r="EN60" i="79"/>
  <c r="EO60" i="79"/>
  <c r="AP201" i="79"/>
  <c r="EG16" i="79"/>
  <c r="EH16" i="79" s="1"/>
  <c r="EH410" i="79" s="1"/>
  <c r="EH426" i="79" s="1"/>
  <c r="EX268" i="79"/>
  <c r="DR268" i="80"/>
  <c r="DX124" i="79"/>
  <c r="DY124" i="79"/>
  <c r="BL124" i="79"/>
  <c r="BM124" i="79"/>
  <c r="BT124" i="79"/>
  <c r="BU124" i="79"/>
  <c r="EN62" i="79"/>
  <c r="EO62" i="79"/>
  <c r="EV62" i="79"/>
  <c r="EW62" i="79"/>
  <c r="FL62" i="79"/>
  <c r="FM62" i="79"/>
  <c r="DI104" i="80"/>
  <c r="DH104" i="80"/>
  <c r="P104" i="80"/>
  <c r="Q104" i="80"/>
  <c r="CR62" i="80"/>
  <c r="CS62" i="80"/>
  <c r="AO60" i="80"/>
  <c r="CC215" i="80"/>
  <c r="CD212" i="80"/>
  <c r="DZ212" i="80"/>
  <c r="EO215" i="80"/>
  <c r="EP212" i="80"/>
  <c r="P202" i="79"/>
  <c r="R200" i="79"/>
  <c r="EO109" i="79"/>
  <c r="EN109" i="79"/>
  <c r="P109" i="79"/>
  <c r="Q109" i="79"/>
  <c r="AF124" i="80"/>
  <c r="AG124" i="80"/>
  <c r="CS124" i="80"/>
  <c r="CR124" i="80"/>
  <c r="EG124" i="80"/>
  <c r="EF124" i="80"/>
  <c r="CK106" i="79"/>
  <c r="CJ106" i="79"/>
  <c r="EW202" i="79"/>
  <c r="EX201" i="79"/>
  <c r="AN16" i="80"/>
  <c r="AN410" i="80" s="1"/>
  <c r="AM410" i="80"/>
  <c r="DH60" i="79"/>
  <c r="DI60" i="79"/>
  <c r="EG60" i="79"/>
  <c r="EF60" i="79"/>
  <c r="DZ214" i="79"/>
  <c r="DB98" i="79"/>
  <c r="AP268" i="79"/>
  <c r="AP268" i="80"/>
  <c r="Q124" i="79"/>
  <c r="P124" i="79"/>
  <c r="EN124" i="79"/>
  <c r="EO124" i="79"/>
  <c r="CS124" i="79"/>
  <c r="CR124" i="79"/>
  <c r="DX62" i="79"/>
  <c r="DY62" i="79"/>
  <c r="AF62" i="79"/>
  <c r="AG62" i="79"/>
  <c r="AN104" i="80"/>
  <c r="AO104" i="80"/>
  <c r="EF62" i="80"/>
  <c r="EG62" i="80"/>
  <c r="CC60" i="80"/>
  <c r="AH212" i="80"/>
  <c r="DQ215" i="80"/>
  <c r="DR212" i="80"/>
  <c r="Z212" i="80"/>
  <c r="Y215" i="80"/>
  <c r="EW109" i="79"/>
  <c r="EV109" i="79"/>
  <c r="DY109" i="79"/>
  <c r="DX109" i="79"/>
  <c r="EG109" i="79"/>
  <c r="EF109" i="79"/>
  <c r="DQ124" i="80"/>
  <c r="DP124" i="80"/>
  <c r="DA124" i="80"/>
  <c r="CZ124" i="80"/>
  <c r="BL106" i="79"/>
  <c r="BM106" i="79"/>
  <c r="CY410" i="80"/>
  <c r="CZ16" i="80"/>
  <c r="CZ410" i="80" s="1"/>
  <c r="EW60" i="79"/>
  <c r="EV60" i="79"/>
  <c r="BM60" i="79"/>
  <c r="BL60" i="79"/>
  <c r="BV96" i="79"/>
  <c r="DB248" i="80"/>
  <c r="AH248" i="79"/>
  <c r="EH106" i="79"/>
  <c r="DZ200" i="79"/>
  <c r="AV124" i="79"/>
  <c r="AW124" i="79"/>
  <c r="FD124" i="79"/>
  <c r="FE124" i="79"/>
  <c r="FM124" i="79"/>
  <c r="FL124" i="79"/>
  <c r="CJ62" i="79"/>
  <c r="CK62" i="79"/>
  <c r="CR62" i="79"/>
  <c r="CS62" i="79"/>
  <c r="EF104" i="80"/>
  <c r="EG104" i="80"/>
  <c r="AO62" i="80"/>
  <c r="AN62" i="80"/>
  <c r="R212" i="80"/>
  <c r="Q215" i="80"/>
  <c r="BV212" i="80"/>
  <c r="BU215" i="80"/>
  <c r="EX212" i="80"/>
  <c r="EW215" i="80"/>
  <c r="X202" i="79"/>
  <c r="Z200" i="79"/>
  <c r="AN109" i="79"/>
  <c r="AO109" i="79"/>
  <c r="CC109" i="79"/>
  <c r="CB109" i="79"/>
  <c r="FL109" i="79"/>
  <c r="FM109" i="79"/>
  <c r="Y124" i="80"/>
  <c r="X124" i="80"/>
  <c r="EO124" i="80"/>
  <c r="EN124" i="80"/>
  <c r="AN106" i="79"/>
  <c r="AO106" i="79"/>
  <c r="DY106" i="79"/>
  <c r="DX106" i="79"/>
  <c r="AG60" i="79"/>
  <c r="AF60" i="79"/>
  <c r="BE60" i="79"/>
  <c r="BD60" i="79"/>
  <c r="AH227" i="79"/>
  <c r="DJ189" i="79"/>
  <c r="F43" i="93"/>
  <c r="F44" i="93" s="1"/>
  <c r="DR98" i="79"/>
  <c r="BE124" i="79"/>
  <c r="BD124" i="79"/>
  <c r="EF124" i="79"/>
  <c r="EG124" i="79"/>
  <c r="CC124" i="79"/>
  <c r="CB124" i="79"/>
  <c r="CS60" i="80"/>
  <c r="X62" i="79"/>
  <c r="Y62" i="79"/>
  <c r="AN62" i="79"/>
  <c r="AO62" i="79"/>
  <c r="AF104" i="80"/>
  <c r="AG104" i="80"/>
  <c r="BM202" i="79"/>
  <c r="CB62" i="80"/>
  <c r="CC62" i="80"/>
  <c r="AW215" i="80"/>
  <c r="AX212" i="80"/>
  <c r="EG215" i="80"/>
  <c r="EH212" i="80"/>
  <c r="DA215" i="80"/>
  <c r="DB212" i="80"/>
  <c r="BM109" i="79"/>
  <c r="BL109" i="79"/>
  <c r="Y109" i="79"/>
  <c r="X109" i="79"/>
  <c r="CS109" i="79"/>
  <c r="CR109" i="79"/>
  <c r="AN124" i="80"/>
  <c r="AO124" i="80"/>
  <c r="CC124" i="80"/>
  <c r="CB124" i="80"/>
  <c r="CR106" i="79"/>
  <c r="CS106" i="79"/>
  <c r="BK410" i="80"/>
  <c r="EE410" i="80"/>
  <c r="CR60" i="79"/>
  <c r="CS60" i="79"/>
  <c r="BT60" i="79"/>
  <c r="BU60" i="79"/>
  <c r="CT248" i="80"/>
  <c r="DB189" i="79"/>
  <c r="AH106" i="79"/>
  <c r="BF212" i="79"/>
  <c r="AO124" i="79"/>
  <c r="AN124" i="79"/>
  <c r="Y124" i="79"/>
  <c r="X124" i="79"/>
  <c r="CB62" i="79"/>
  <c r="CC62" i="79"/>
  <c r="FD62" i="79"/>
  <c r="FE62" i="79"/>
  <c r="DP104" i="80"/>
  <c r="DQ104" i="80"/>
  <c r="CZ104" i="80"/>
  <c r="DA104" i="80"/>
  <c r="BT62" i="80"/>
  <c r="BU62" i="80"/>
  <c r="DB201" i="79"/>
  <c r="CT212" i="80"/>
  <c r="CS215" i="80"/>
  <c r="CL212" i="80"/>
  <c r="BT109" i="79"/>
  <c r="BU109" i="79"/>
  <c r="AW109" i="79"/>
  <c r="AV109" i="79"/>
  <c r="CK109" i="79"/>
  <c r="CJ109" i="79"/>
  <c r="DI124" i="80"/>
  <c r="DH124" i="80"/>
  <c r="BU124" i="80"/>
  <c r="BT124" i="80"/>
  <c r="AW106" i="79"/>
  <c r="AV106" i="79"/>
  <c r="DI60" i="80"/>
  <c r="AU410" i="80"/>
  <c r="AV16" i="80"/>
  <c r="AV410" i="80" s="1"/>
  <c r="AN60" i="79"/>
  <c r="AO60" i="79"/>
  <c r="DY60" i="79"/>
  <c r="DX60" i="79"/>
  <c r="DG293" i="80"/>
  <c r="CY293" i="80"/>
  <c r="DO293" i="80"/>
  <c r="CQ293" i="80"/>
  <c r="W293" i="80"/>
  <c r="EE293" i="80"/>
  <c r="O293" i="80"/>
  <c r="CI293" i="80"/>
  <c r="FC293" i="80"/>
  <c r="AU293" i="80"/>
  <c r="BS293" i="80"/>
  <c r="EM293" i="80"/>
  <c r="CA293" i="80"/>
  <c r="AM293" i="80"/>
  <c r="AE293" i="80"/>
  <c r="BC293" i="80"/>
  <c r="BK293" i="80"/>
  <c r="DW293" i="80"/>
  <c r="EU293" i="80"/>
  <c r="FK293" i="80"/>
  <c r="AX214" i="79"/>
  <c r="DJ214" i="79"/>
  <c r="CT153" i="80"/>
  <c r="Q16" i="79"/>
  <c r="Q410" i="79" s="1"/>
  <c r="Q426" i="79" s="1"/>
  <c r="AH306" i="80"/>
  <c r="FN212" i="79"/>
  <c r="EW124" i="79"/>
  <c r="EV124" i="79"/>
  <c r="AF124" i="79"/>
  <c r="AG124" i="79"/>
  <c r="BE62" i="79"/>
  <c r="BD62" i="79"/>
  <c r="AV62" i="79"/>
  <c r="AW62" i="79"/>
  <c r="CZ62" i="79"/>
  <c r="DA62" i="79"/>
  <c r="EV104" i="80"/>
  <c r="EW104" i="80"/>
  <c r="FM104" i="80"/>
  <c r="FL104" i="80"/>
  <c r="DH62" i="80"/>
  <c r="DI62" i="80"/>
  <c r="AF62" i="80"/>
  <c r="AG62" i="80"/>
  <c r="FN212" i="80"/>
  <c r="FM215" i="80"/>
  <c r="DJ212" i="80"/>
  <c r="DI215" i="80"/>
  <c r="DA109" i="79"/>
  <c r="CZ109" i="79"/>
  <c r="AG109" i="79"/>
  <c r="AF109" i="79"/>
  <c r="DX124" i="80"/>
  <c r="DY124" i="80"/>
  <c r="EV124" i="80"/>
  <c r="EW124" i="80"/>
  <c r="CJ124" i="80"/>
  <c r="CK124" i="80"/>
  <c r="P106" i="79"/>
  <c r="Q106" i="79"/>
  <c r="Y60" i="79"/>
  <c r="X60" i="79"/>
  <c r="P60" i="79"/>
  <c r="Q60" i="79"/>
  <c r="AW60" i="79"/>
  <c r="AV60" i="79"/>
  <c r="FK293" i="79"/>
  <c r="AM293" i="79"/>
  <c r="CI293" i="79"/>
  <c r="BK293" i="79"/>
  <c r="BK298" i="79" s="1"/>
  <c r="AU293" i="79"/>
  <c r="AU298" i="79" s="1"/>
  <c r="CA293" i="79"/>
  <c r="CA298" i="79" s="1"/>
  <c r="DW293" i="79"/>
  <c r="DG293" i="79"/>
  <c r="O293" i="79"/>
  <c r="O298" i="79" s="1"/>
  <c r="CQ293" i="79"/>
  <c r="CQ298" i="79" s="1"/>
  <c r="EE293" i="79"/>
  <c r="EU293" i="79"/>
  <c r="CY293" i="79"/>
  <c r="BS293" i="79"/>
  <c r="EM293" i="79"/>
  <c r="DO293" i="79"/>
  <c r="FC293" i="79"/>
  <c r="BC293" i="79"/>
  <c r="W293" i="79"/>
  <c r="AE293" i="79"/>
  <c r="EH200" i="80"/>
  <c r="EG202" i="80"/>
  <c r="DR248" i="80"/>
  <c r="AP248" i="79"/>
  <c r="BM90" i="80"/>
  <c r="BN90" i="80" s="1"/>
  <c r="FN295" i="79"/>
  <c r="AW90" i="80"/>
  <c r="AX90" i="80" s="1"/>
  <c r="DB153" i="80"/>
  <c r="DR106" i="79"/>
  <c r="BV106" i="79"/>
  <c r="FF200" i="80"/>
  <c r="FE202" i="80"/>
  <c r="DZ200" i="80"/>
  <c r="DY202" i="80"/>
  <c r="CL98" i="79"/>
  <c r="BV98" i="79"/>
  <c r="BV98" i="80"/>
  <c r="AP98" i="79"/>
  <c r="CL227" i="79"/>
  <c r="FN214" i="79"/>
  <c r="EP98" i="80"/>
  <c r="AX98" i="80"/>
  <c r="BF98" i="79"/>
  <c r="DZ98" i="80"/>
  <c r="AX200" i="80"/>
  <c r="AW202" i="80"/>
  <c r="BN98" i="80"/>
  <c r="R98" i="80"/>
  <c r="EP98" i="79"/>
  <c r="CD98" i="79"/>
  <c r="DA90" i="80"/>
  <c r="EP104" i="80"/>
  <c r="Z104" i="80"/>
  <c r="BE202" i="80"/>
  <c r="BF200" i="80"/>
  <c r="CD200" i="80"/>
  <c r="CC202" i="80"/>
  <c r="R200" i="80"/>
  <c r="Q202" i="80"/>
  <c r="EH98" i="80"/>
  <c r="BN98" i="79"/>
  <c r="DR98" i="80"/>
  <c r="AN207" i="79"/>
  <c r="CT295" i="79"/>
  <c r="BN227" i="79"/>
  <c r="AH214" i="79"/>
  <c r="Q92" i="79"/>
  <c r="FN200" i="80"/>
  <c r="FM202" i="80"/>
  <c r="Z200" i="80"/>
  <c r="Y202" i="80"/>
  <c r="FN98" i="80"/>
  <c r="DJ98" i="80"/>
  <c r="CT98" i="79"/>
  <c r="R227" i="79"/>
  <c r="CK202" i="80"/>
  <c r="CL200" i="80"/>
  <c r="AP200" i="80"/>
  <c r="AO202" i="80"/>
  <c r="DB200" i="80"/>
  <c r="DA202" i="80"/>
  <c r="CL98" i="80"/>
  <c r="DB98" i="80"/>
  <c r="AH98" i="79"/>
  <c r="BN200" i="80"/>
  <c r="BM202" i="80"/>
  <c r="EX248" i="80"/>
  <c r="EP200" i="80"/>
  <c r="EO202" i="80"/>
  <c r="DQ202" i="80"/>
  <c r="DR200" i="80"/>
  <c r="BU202" i="80"/>
  <c r="BV200" i="80"/>
  <c r="FF98" i="80"/>
  <c r="R98" i="79"/>
  <c r="DJ98" i="79"/>
  <c r="AN109" i="80"/>
  <c r="AO109" i="80"/>
  <c r="DA109" i="80"/>
  <c r="CZ109" i="80"/>
  <c r="DA130" i="80"/>
  <c r="CZ130" i="80"/>
  <c r="FD130" i="80"/>
  <c r="FE130" i="80"/>
  <c r="EW130" i="80"/>
  <c r="EV130" i="80"/>
  <c r="DA130" i="79"/>
  <c r="CZ130" i="79"/>
  <c r="FD130" i="79"/>
  <c r="FE130" i="79"/>
  <c r="CR153" i="79"/>
  <c r="CS153" i="79"/>
  <c r="AV104" i="79"/>
  <c r="AW104" i="79"/>
  <c r="DH104" i="79"/>
  <c r="DI104" i="79"/>
  <c r="Q90" i="80"/>
  <c r="P90" i="80"/>
  <c r="FM90" i="80"/>
  <c r="FL90" i="80"/>
  <c r="AN106" i="80"/>
  <c r="AO106" i="80"/>
  <c r="CJ106" i="80"/>
  <c r="CK106" i="80"/>
  <c r="AV106" i="80"/>
  <c r="AW106" i="80"/>
  <c r="AM256" i="79"/>
  <c r="EU256" i="79"/>
  <c r="BC256" i="79"/>
  <c r="DO256" i="79"/>
  <c r="EM256" i="79"/>
  <c r="CQ256" i="79"/>
  <c r="AE256" i="79"/>
  <c r="CI256" i="79"/>
  <c r="FK256" i="79"/>
  <c r="FC256" i="79"/>
  <c r="CY256" i="79"/>
  <c r="CA256" i="79"/>
  <c r="G257" i="79"/>
  <c r="O256" i="79"/>
  <c r="W256" i="79"/>
  <c r="DG256" i="79"/>
  <c r="BS256" i="79"/>
  <c r="BK256" i="79"/>
  <c r="AU256" i="79"/>
  <c r="EE256" i="79"/>
  <c r="DW256" i="79"/>
  <c r="DI90" i="79"/>
  <c r="DH90" i="79"/>
  <c r="Q90" i="79"/>
  <c r="P90" i="79"/>
  <c r="BD90" i="79"/>
  <c r="BE90" i="79"/>
  <c r="AV207" i="79"/>
  <c r="DX109" i="80"/>
  <c r="DY109" i="80"/>
  <c r="CR109" i="80"/>
  <c r="CS109" i="80"/>
  <c r="DQ130" i="80"/>
  <c r="DP130" i="80"/>
  <c r="AF130" i="80"/>
  <c r="AG130" i="80"/>
  <c r="P130" i="80"/>
  <c r="Q130" i="80"/>
  <c r="FF106" i="79"/>
  <c r="AV130" i="79"/>
  <c r="AW130" i="79"/>
  <c r="X130" i="79"/>
  <c r="Y130" i="79"/>
  <c r="DQ130" i="79"/>
  <c r="DP130" i="79"/>
  <c r="CY294" i="80"/>
  <c r="CI294" i="80"/>
  <c r="DO294" i="80"/>
  <c r="CQ294" i="80"/>
  <c r="AU294" i="80"/>
  <c r="FC294" i="80"/>
  <c r="CA294" i="80"/>
  <c r="BK294" i="80"/>
  <c r="DW294" i="80"/>
  <c r="AE294" i="80"/>
  <c r="AM294" i="80"/>
  <c r="DG294" i="80"/>
  <c r="BS294" i="80"/>
  <c r="EM294" i="80"/>
  <c r="EU294" i="80"/>
  <c r="W294" i="80"/>
  <c r="BC294" i="80"/>
  <c r="FK294" i="80"/>
  <c r="O294" i="80"/>
  <c r="EE294" i="80"/>
  <c r="CD106" i="79"/>
  <c r="BE153" i="79"/>
  <c r="BD153" i="79"/>
  <c r="BM104" i="79"/>
  <c r="BL104" i="79"/>
  <c r="FE104" i="79"/>
  <c r="FD104" i="79"/>
  <c r="DX90" i="80"/>
  <c r="DY90" i="80"/>
  <c r="CJ90" i="80"/>
  <c r="CK90" i="80"/>
  <c r="X106" i="80"/>
  <c r="Y106" i="80"/>
  <c r="AG106" i="80"/>
  <c r="AF106" i="80"/>
  <c r="DX106" i="80"/>
  <c r="DY106" i="80"/>
  <c r="BS256" i="80"/>
  <c r="AU256" i="80"/>
  <c r="DW256" i="80"/>
  <c r="AM256" i="80"/>
  <c r="BC256" i="80"/>
  <c r="CA256" i="80"/>
  <c r="DO256" i="80"/>
  <c r="W256" i="80"/>
  <c r="EE256" i="80"/>
  <c r="EM256" i="80"/>
  <c r="AE256" i="80"/>
  <c r="EU256" i="80"/>
  <c r="O256" i="80"/>
  <c r="BK256" i="80"/>
  <c r="FC256" i="80"/>
  <c r="CQ256" i="80"/>
  <c r="CI256" i="80"/>
  <c r="FK256" i="80"/>
  <c r="DG256" i="80"/>
  <c r="G257" i="80"/>
  <c r="CY256" i="80"/>
  <c r="DQ90" i="79"/>
  <c r="DP90" i="79"/>
  <c r="AV90" i="79"/>
  <c r="AW90" i="79"/>
  <c r="FE90" i="79"/>
  <c r="FD90" i="79"/>
  <c r="AO16" i="79"/>
  <c r="DI16" i="79"/>
  <c r="FE16" i="79"/>
  <c r="I410" i="79"/>
  <c r="BE16" i="79"/>
  <c r="BF104" i="80"/>
  <c r="BV87" i="80"/>
  <c r="EX295" i="79"/>
  <c r="X109" i="80"/>
  <c r="Y109" i="80"/>
  <c r="FE109" i="80"/>
  <c r="FD109" i="80"/>
  <c r="CC130" i="80"/>
  <c r="CB130" i="80"/>
  <c r="CS130" i="80"/>
  <c r="CR130" i="80"/>
  <c r="EN130" i="80"/>
  <c r="EO130" i="80"/>
  <c r="BD130" i="79"/>
  <c r="BE130" i="79"/>
  <c r="CR130" i="79"/>
  <c r="CS130" i="79"/>
  <c r="EV130" i="79"/>
  <c r="EW130" i="79"/>
  <c r="DI153" i="79"/>
  <c r="DH153" i="79"/>
  <c r="AV153" i="79"/>
  <c r="AW153" i="79"/>
  <c r="DR295" i="79"/>
  <c r="CJ104" i="79"/>
  <c r="CK104" i="79"/>
  <c r="DY104" i="79"/>
  <c r="DX104" i="79"/>
  <c r="AG90" i="80"/>
  <c r="AF90" i="80"/>
  <c r="EF90" i="80"/>
  <c r="EG90" i="80"/>
  <c r="FL106" i="80"/>
  <c r="FM106" i="80"/>
  <c r="FD106" i="80"/>
  <c r="FE106" i="80"/>
  <c r="CC106" i="80"/>
  <c r="CB106" i="80"/>
  <c r="CC90" i="79"/>
  <c r="CB90" i="79"/>
  <c r="EF90" i="79"/>
  <c r="EG90" i="79"/>
  <c r="I410" i="80"/>
  <c r="AW16" i="80"/>
  <c r="DI16" i="80"/>
  <c r="Y16" i="80"/>
  <c r="EG16" i="80"/>
  <c r="AG16" i="80"/>
  <c r="CC16" i="80"/>
  <c r="DY16" i="80"/>
  <c r="EW16" i="80"/>
  <c r="CK16" i="80"/>
  <c r="Q16" i="80"/>
  <c r="BM16" i="80"/>
  <c r="BU16" i="80"/>
  <c r="EO16" i="80"/>
  <c r="AO16" i="80"/>
  <c r="DA16" i="80"/>
  <c r="EO109" i="80"/>
  <c r="EN109" i="80"/>
  <c r="FM109" i="80"/>
  <c r="FL109" i="80"/>
  <c r="BT109" i="80"/>
  <c r="BU109" i="80"/>
  <c r="EF130" i="80"/>
  <c r="EG130" i="80"/>
  <c r="AV130" i="80"/>
  <c r="AW130" i="80"/>
  <c r="AN130" i="80"/>
  <c r="AO130" i="80"/>
  <c r="EF130" i="79"/>
  <c r="EG130" i="79"/>
  <c r="DI130" i="79"/>
  <c r="DH130" i="79"/>
  <c r="EN153" i="79"/>
  <c r="EO153" i="79"/>
  <c r="EV153" i="79"/>
  <c r="EW153" i="79"/>
  <c r="Z106" i="79"/>
  <c r="EO104" i="79"/>
  <c r="EN104" i="79"/>
  <c r="FM104" i="79"/>
  <c r="FL104" i="79"/>
  <c r="AN90" i="80"/>
  <c r="AO90" i="80"/>
  <c r="DH90" i="80"/>
  <c r="DI90" i="80"/>
  <c r="BM106" i="80"/>
  <c r="BL106" i="80"/>
  <c r="BU106" i="80"/>
  <c r="BT106" i="80"/>
  <c r="CS106" i="80"/>
  <c r="CR106" i="80"/>
  <c r="CS90" i="79"/>
  <c r="CR90" i="79"/>
  <c r="CJ90" i="79"/>
  <c r="CK90" i="79"/>
  <c r="CB109" i="80"/>
  <c r="CC109" i="80"/>
  <c r="DP109" i="80"/>
  <c r="DQ109" i="80"/>
  <c r="BE109" i="80"/>
  <c r="BD109" i="80"/>
  <c r="BT410" i="79"/>
  <c r="BM130" i="80"/>
  <c r="BL130" i="80"/>
  <c r="X130" i="80"/>
  <c r="Y130" i="80"/>
  <c r="AN130" i="79"/>
  <c r="AO130" i="79"/>
  <c r="EN130" i="79"/>
  <c r="EO130" i="79"/>
  <c r="DX153" i="79"/>
  <c r="DY153" i="79"/>
  <c r="BL153" i="79"/>
  <c r="BM153" i="79"/>
  <c r="EF104" i="79"/>
  <c r="EG104" i="79"/>
  <c r="DA104" i="79"/>
  <c r="CZ104" i="79"/>
  <c r="BE90" i="80"/>
  <c r="BD90" i="80"/>
  <c r="EO90" i="80"/>
  <c r="EN90" i="80"/>
  <c r="EF106" i="80"/>
  <c r="EG106" i="80"/>
  <c r="DP106" i="80"/>
  <c r="DQ106" i="80"/>
  <c r="DA90" i="79"/>
  <c r="CZ90" i="79"/>
  <c r="FM90" i="79"/>
  <c r="FL90" i="79"/>
  <c r="FN130" i="79"/>
  <c r="BF104" i="79"/>
  <c r="BL109" i="80"/>
  <c r="BM109" i="80"/>
  <c r="EG109" i="80"/>
  <c r="EF109" i="80"/>
  <c r="AW109" i="80"/>
  <c r="AV109" i="80"/>
  <c r="DB214" i="79"/>
  <c r="DX130" i="80"/>
  <c r="DY130" i="80"/>
  <c r="CJ130" i="80"/>
  <c r="CK130" i="80"/>
  <c r="Q130" i="79"/>
  <c r="P130" i="79"/>
  <c r="BU130" i="79"/>
  <c r="BT130" i="79"/>
  <c r="FF16" i="80"/>
  <c r="FF410" i="80" s="1"/>
  <c r="FF426" i="80" s="1"/>
  <c r="BT104" i="79"/>
  <c r="BU104" i="79"/>
  <c r="CC104" i="79"/>
  <c r="CB104" i="79"/>
  <c r="FE90" i="80"/>
  <c r="FD90" i="80"/>
  <c r="CB90" i="80"/>
  <c r="CC90" i="80"/>
  <c r="DA106" i="80"/>
  <c r="CZ106" i="80"/>
  <c r="BE106" i="80"/>
  <c r="BD106" i="80"/>
  <c r="EV90" i="79"/>
  <c r="EW90" i="79"/>
  <c r="AG90" i="79"/>
  <c r="AF90" i="79"/>
  <c r="DQ16" i="80"/>
  <c r="G18" i="93"/>
  <c r="G35" i="93"/>
  <c r="EW109" i="80"/>
  <c r="EV109" i="80"/>
  <c r="DH109" i="80"/>
  <c r="DI109" i="80"/>
  <c r="AG109" i="80"/>
  <c r="AF109" i="80"/>
  <c r="FM130" i="80"/>
  <c r="FL130" i="80"/>
  <c r="BT130" i="80"/>
  <c r="BU130" i="80"/>
  <c r="BM130" i="79"/>
  <c r="BL130" i="79"/>
  <c r="AF130" i="79"/>
  <c r="AG130" i="79"/>
  <c r="G38" i="93"/>
  <c r="E43" i="93"/>
  <c r="E44" i="93" s="1"/>
  <c r="X104" i="79"/>
  <c r="Y104" i="79"/>
  <c r="EW104" i="79"/>
  <c r="EV104" i="79"/>
  <c r="BT90" i="80"/>
  <c r="BU90" i="80"/>
  <c r="CS90" i="80"/>
  <c r="CR90" i="80"/>
  <c r="EW106" i="80"/>
  <c r="EV106" i="80"/>
  <c r="EO106" i="80"/>
  <c r="EN106" i="80"/>
  <c r="DY90" i="79"/>
  <c r="DX90" i="79"/>
  <c r="BU90" i="79"/>
  <c r="BT90" i="79"/>
  <c r="BL90" i="79"/>
  <c r="BM90" i="79"/>
  <c r="P109" i="80"/>
  <c r="Q109" i="80"/>
  <c r="CK109" i="80"/>
  <c r="CJ109" i="80"/>
  <c r="BL410" i="79"/>
  <c r="DH130" i="80"/>
  <c r="DI130" i="80"/>
  <c r="BD130" i="80"/>
  <c r="BE130" i="80"/>
  <c r="CJ130" i="79"/>
  <c r="CK130" i="79"/>
  <c r="DX130" i="79"/>
  <c r="DY130" i="79"/>
  <c r="FE426" i="80"/>
  <c r="DP153" i="79"/>
  <c r="DQ153" i="79"/>
  <c r="FM153" i="79"/>
  <c r="FL153" i="79"/>
  <c r="AN104" i="79"/>
  <c r="AO104" i="79"/>
  <c r="CS104" i="79"/>
  <c r="CR104" i="79"/>
  <c r="EV90" i="80"/>
  <c r="EW90" i="80"/>
  <c r="X90" i="80"/>
  <c r="Y90" i="80"/>
  <c r="DH106" i="80"/>
  <c r="DI106" i="80"/>
  <c r="Q106" i="80"/>
  <c r="P106" i="80"/>
  <c r="G257" i="85"/>
  <c r="EH153" i="80"/>
  <c r="AO90" i="79"/>
  <c r="AN90" i="79"/>
  <c r="EO90" i="79"/>
  <c r="EN90" i="79"/>
  <c r="Y90" i="79"/>
  <c r="X90" i="79"/>
  <c r="K5" i="100"/>
  <c r="BD64" i="79"/>
  <c r="DQ64" i="79"/>
  <c r="DP64" i="79"/>
  <c r="BV140" i="79"/>
  <c r="BT143" i="79"/>
  <c r="EF143" i="79"/>
  <c r="EH140" i="79"/>
  <c r="DR140" i="79"/>
  <c r="DP143" i="79"/>
  <c r="AH213" i="79"/>
  <c r="AF215" i="79"/>
  <c r="FF213" i="79"/>
  <c r="FD215" i="79"/>
  <c r="BV213" i="79"/>
  <c r="BT215" i="79"/>
  <c r="DZ140" i="80"/>
  <c r="DX143" i="80"/>
  <c r="DB140" i="80"/>
  <c r="CZ143" i="80"/>
  <c r="BM64" i="80"/>
  <c r="BL64" i="80"/>
  <c r="E96" i="131"/>
  <c r="G191" i="79"/>
  <c r="G196" i="79" s="1"/>
  <c r="G237" i="79" s="1"/>
  <c r="G191" i="80"/>
  <c r="G196" i="80" s="1"/>
  <c r="G237" i="80" s="1"/>
  <c r="C20" i="32"/>
  <c r="G191" i="85"/>
  <c r="I107" i="90" s="1"/>
  <c r="EH213" i="80"/>
  <c r="EF215" i="80"/>
  <c r="EN215" i="80"/>
  <c r="EP213" i="80"/>
  <c r="DO481" i="80"/>
  <c r="DO487" i="80"/>
  <c r="DO488" i="80" s="1"/>
  <c r="CQ487" i="80"/>
  <c r="CQ488" i="80" s="1"/>
  <c r="CQ481" i="80"/>
  <c r="BC487" i="79"/>
  <c r="BC488" i="79" s="1"/>
  <c r="BC489" i="79" s="1"/>
  <c r="BC466" i="79" s="1"/>
  <c r="BC301" i="79" s="1"/>
  <c r="BC481" i="79"/>
  <c r="EU481" i="79"/>
  <c r="EU487" i="79"/>
  <c r="EU488" i="79" s="1"/>
  <c r="EU489" i="79" s="1"/>
  <c r="EU466" i="79" s="1"/>
  <c r="EU301" i="79" s="1"/>
  <c r="BS487" i="79"/>
  <c r="BS488" i="79" s="1"/>
  <c r="BS489" i="79" s="1"/>
  <c r="BS466" i="79" s="1"/>
  <c r="BS301" i="79" s="1"/>
  <c r="BS481" i="79"/>
  <c r="Z140" i="79"/>
  <c r="X143" i="79"/>
  <c r="DJ140" i="79"/>
  <c r="DH143" i="79"/>
  <c r="FF140" i="79"/>
  <c r="FD143" i="79"/>
  <c r="EF215" i="79"/>
  <c r="EH213" i="79"/>
  <c r="EN215" i="79"/>
  <c r="EP213" i="79"/>
  <c r="EX140" i="80"/>
  <c r="EV143" i="80"/>
  <c r="DJ140" i="80"/>
  <c r="DH143" i="80"/>
  <c r="FK490" i="80"/>
  <c r="CY490" i="80"/>
  <c r="AM490" i="80"/>
  <c r="DW490" i="80"/>
  <c r="CQ490" i="80"/>
  <c r="AE490" i="80"/>
  <c r="FC490" i="80"/>
  <c r="AU490" i="80"/>
  <c r="O490" i="80"/>
  <c r="EU490" i="80"/>
  <c r="BS490" i="80"/>
  <c r="W490" i="80"/>
  <c r="EM490" i="80"/>
  <c r="BK490" i="80"/>
  <c r="EE490" i="80"/>
  <c r="BC490" i="80"/>
  <c r="DG490" i="80"/>
  <c r="CI490" i="80"/>
  <c r="DO490" i="80"/>
  <c r="CA490" i="80"/>
  <c r="FF213" i="80"/>
  <c r="FD215" i="80"/>
  <c r="AN215" i="80"/>
  <c r="AP213" i="80"/>
  <c r="G301" i="79"/>
  <c r="G302" i="79" s="1"/>
  <c r="G315" i="79" s="1"/>
  <c r="G331" i="79" s="1"/>
  <c r="G301" i="80"/>
  <c r="G302" i="80" s="1"/>
  <c r="G301" i="85"/>
  <c r="I168" i="90" s="1"/>
  <c r="EU487" i="80"/>
  <c r="EU488" i="80" s="1"/>
  <c r="EU481" i="80"/>
  <c r="BS483" i="80"/>
  <c r="BK483" i="80"/>
  <c r="CY483" i="80"/>
  <c r="EM483" i="80"/>
  <c r="AU483" i="80"/>
  <c r="CQ483" i="80"/>
  <c r="AM483" i="80"/>
  <c r="DO483" i="80"/>
  <c r="O483" i="80"/>
  <c r="AE483" i="80"/>
  <c r="DG483" i="80"/>
  <c r="FC483" i="80"/>
  <c r="CA483" i="80"/>
  <c r="DW483" i="80"/>
  <c r="BC483" i="80"/>
  <c r="CI483" i="80"/>
  <c r="W483" i="80"/>
  <c r="FK483" i="80"/>
  <c r="EU483" i="80"/>
  <c r="EE483" i="80"/>
  <c r="EM481" i="79"/>
  <c r="EM487" i="79"/>
  <c r="EM488" i="79" s="1"/>
  <c r="EM489" i="79" s="1"/>
  <c r="EM466" i="79" s="1"/>
  <c r="EM301" i="79" s="1"/>
  <c r="CA481" i="79"/>
  <c r="CA487" i="79"/>
  <c r="CA488" i="79" s="1"/>
  <c r="CA489" i="79" s="1"/>
  <c r="CA466" i="79" s="1"/>
  <c r="CA301" i="79" s="1"/>
  <c r="FC487" i="79"/>
  <c r="FC488" i="79" s="1"/>
  <c r="FC489" i="79" s="1"/>
  <c r="FC466" i="79" s="1"/>
  <c r="FC301" i="79" s="1"/>
  <c r="FC481" i="79"/>
  <c r="AF64" i="79"/>
  <c r="AH140" i="79"/>
  <c r="AF143" i="79"/>
  <c r="AN143" i="79"/>
  <c r="AP140" i="79"/>
  <c r="EN143" i="79"/>
  <c r="EP140" i="79"/>
  <c r="AP213" i="79"/>
  <c r="AN215" i="79"/>
  <c r="BF213" i="79"/>
  <c r="BD215" i="79"/>
  <c r="R213" i="79"/>
  <c r="P215" i="79"/>
  <c r="BD143" i="80"/>
  <c r="BF140" i="80"/>
  <c r="AP140" i="80"/>
  <c r="AN143" i="80"/>
  <c r="CT213" i="80"/>
  <c r="CR215" i="80"/>
  <c r="DX215" i="80"/>
  <c r="DZ213" i="80"/>
  <c r="BK487" i="80"/>
  <c r="BK488" i="80" s="1"/>
  <c r="BK481" i="80"/>
  <c r="AE481" i="80"/>
  <c r="AE487" i="80"/>
  <c r="AE488" i="80" s="1"/>
  <c r="AE489" i="80" s="1"/>
  <c r="AE466" i="80" s="1"/>
  <c r="AE301" i="80" s="1"/>
  <c r="CA487" i="80"/>
  <c r="CA488" i="80" s="1"/>
  <c r="CA481" i="80"/>
  <c r="CY487" i="79"/>
  <c r="CY488" i="79" s="1"/>
  <c r="CY489" i="79" s="1"/>
  <c r="CY466" i="79" s="1"/>
  <c r="CY301" i="79" s="1"/>
  <c r="CY481" i="79"/>
  <c r="AM487" i="79"/>
  <c r="AM488" i="79" s="1"/>
  <c r="AM489" i="79" s="1"/>
  <c r="AM466" i="79" s="1"/>
  <c r="AM301" i="79" s="1"/>
  <c r="AM481" i="79"/>
  <c r="DW481" i="79"/>
  <c r="DW487" i="79"/>
  <c r="DW488" i="79" s="1"/>
  <c r="DW489" i="79" s="1"/>
  <c r="DW466" i="79" s="1"/>
  <c r="DW301" i="79" s="1"/>
  <c r="FN140" i="79"/>
  <c r="FL143" i="79"/>
  <c r="CJ143" i="79"/>
  <c r="CL140" i="79"/>
  <c r="CB215" i="79"/>
  <c r="CD213" i="79"/>
  <c r="AX213" i="79"/>
  <c r="AV215" i="79"/>
  <c r="FN140" i="80"/>
  <c r="FL143" i="80"/>
  <c r="EH140" i="80"/>
  <c r="EF143" i="80"/>
  <c r="EO64" i="80"/>
  <c r="EN64" i="80"/>
  <c r="EW64" i="80"/>
  <c r="EV64" i="80"/>
  <c r="CD213" i="80"/>
  <c r="CB215" i="80"/>
  <c r="EX213" i="80"/>
  <c r="EV215" i="80"/>
  <c r="EE487" i="80"/>
  <c r="EE488" i="80" s="1"/>
  <c r="EE481" i="80"/>
  <c r="DG487" i="80"/>
  <c r="DG488" i="80" s="1"/>
  <c r="DG481" i="80"/>
  <c r="FC481" i="80"/>
  <c r="FC487" i="80"/>
  <c r="FC488" i="80" s="1"/>
  <c r="FC489" i="80" s="1"/>
  <c r="FC466" i="80" s="1"/>
  <c r="FC301" i="80" s="1"/>
  <c r="O481" i="79"/>
  <c r="O487" i="79"/>
  <c r="O488" i="79" s="1"/>
  <c r="O489" i="79" s="1"/>
  <c r="O466" i="79" s="1"/>
  <c r="O301" i="79" s="1"/>
  <c r="CQ481" i="79"/>
  <c r="CQ487" i="79"/>
  <c r="CQ488" i="79" s="1"/>
  <c r="CQ489" i="79" s="1"/>
  <c r="CQ466" i="79" s="1"/>
  <c r="CQ301" i="79" s="1"/>
  <c r="CL295" i="79"/>
  <c r="AH295" i="79"/>
  <c r="EV64" i="79"/>
  <c r="EW64" i="79"/>
  <c r="EX140" i="79"/>
  <c r="EV143" i="79"/>
  <c r="CB143" i="79"/>
  <c r="CD140" i="79"/>
  <c r="CL213" i="79"/>
  <c r="CJ215" i="79"/>
  <c r="FN213" i="79"/>
  <c r="FL215" i="79"/>
  <c r="BT143" i="80"/>
  <c r="BV140" i="80"/>
  <c r="CL140" i="80"/>
  <c r="CJ143" i="80"/>
  <c r="EP140" i="80"/>
  <c r="EN143" i="80"/>
  <c r="CJ64" i="80"/>
  <c r="DB213" i="80"/>
  <c r="CZ215" i="80"/>
  <c r="DH215" i="80"/>
  <c r="DJ213" i="80"/>
  <c r="Z213" i="80"/>
  <c r="BS481" i="80"/>
  <c r="BS487" i="80"/>
  <c r="BS488" i="80" s="1"/>
  <c r="CY487" i="80"/>
  <c r="CY488" i="80" s="1"/>
  <c r="CY481" i="80"/>
  <c r="CY484" i="80" s="1"/>
  <c r="CY465" i="80" s="1"/>
  <c r="CY191" i="80" s="1"/>
  <c r="W487" i="80"/>
  <c r="W488" i="80" s="1"/>
  <c r="W481" i="80"/>
  <c r="BK481" i="79"/>
  <c r="BK487" i="79"/>
  <c r="BK488" i="79" s="1"/>
  <c r="BK489" i="79" s="1"/>
  <c r="BK466" i="79" s="1"/>
  <c r="BK301" i="79" s="1"/>
  <c r="AE481" i="79"/>
  <c r="AE487" i="79"/>
  <c r="AE488" i="79" s="1"/>
  <c r="AE489" i="79" s="1"/>
  <c r="AE466" i="79" s="1"/>
  <c r="AE301" i="79" s="1"/>
  <c r="FD64" i="79"/>
  <c r="FE64" i="79"/>
  <c r="BF140" i="79"/>
  <c r="BD143" i="79"/>
  <c r="BL143" i="79"/>
  <c r="BN140" i="79"/>
  <c r="CT213" i="79"/>
  <c r="CR215" i="79"/>
  <c r="BN213" i="79"/>
  <c r="BL215" i="79"/>
  <c r="FD143" i="80"/>
  <c r="FF140" i="80"/>
  <c r="CB143" i="80"/>
  <c r="CD140" i="80"/>
  <c r="Z140" i="80"/>
  <c r="X143" i="80"/>
  <c r="FL64" i="80"/>
  <c r="BV213" i="80"/>
  <c r="BT215" i="80"/>
  <c r="FL215" i="80"/>
  <c r="FN213" i="80"/>
  <c r="BN213" i="80"/>
  <c r="BL215" i="80"/>
  <c r="AU487" i="80"/>
  <c r="AU488" i="80" s="1"/>
  <c r="AU481" i="80"/>
  <c r="AU484" i="80" s="1"/>
  <c r="AU465" i="80" s="1"/>
  <c r="AU191" i="80" s="1"/>
  <c r="DW487" i="80"/>
  <c r="DW488" i="80" s="1"/>
  <c r="DW489" i="80" s="1"/>
  <c r="DW466" i="80" s="1"/>
  <c r="DW301" i="80" s="1"/>
  <c r="DW481" i="80"/>
  <c r="DW484" i="80" s="1"/>
  <c r="DW465" i="80" s="1"/>
  <c r="DW191" i="80" s="1"/>
  <c r="CI481" i="80"/>
  <c r="CI487" i="80"/>
  <c r="CI488" i="80" s="1"/>
  <c r="AU487" i="79"/>
  <c r="AU488" i="79" s="1"/>
  <c r="AU489" i="79" s="1"/>
  <c r="AU466" i="79" s="1"/>
  <c r="AU301" i="79" s="1"/>
  <c r="AU481" i="79"/>
  <c r="EE487" i="79"/>
  <c r="EE488" i="79" s="1"/>
  <c r="EE489" i="79" s="1"/>
  <c r="EE466" i="79" s="1"/>
  <c r="EE301" i="79" s="1"/>
  <c r="EE481" i="79"/>
  <c r="Y292" i="80"/>
  <c r="AV143" i="79"/>
  <c r="AX140" i="79"/>
  <c r="DB140" i="79"/>
  <c r="CZ143" i="79"/>
  <c r="DZ213" i="79"/>
  <c r="DX215" i="79"/>
  <c r="DB213" i="79"/>
  <c r="CZ215" i="79"/>
  <c r="DR213" i="79"/>
  <c r="DP215" i="79"/>
  <c r="CT140" i="80"/>
  <c r="CR143" i="80"/>
  <c r="AV143" i="80"/>
  <c r="AX140" i="80"/>
  <c r="DP143" i="80"/>
  <c r="DR140" i="80"/>
  <c r="DR213" i="80"/>
  <c r="DP215" i="80"/>
  <c r="AH213" i="80"/>
  <c r="AF215" i="80"/>
  <c r="CJ215" i="80"/>
  <c r="CL213" i="80"/>
  <c r="EM487" i="80"/>
  <c r="EM488" i="80" s="1"/>
  <c r="EM481" i="80"/>
  <c r="AM481" i="80"/>
  <c r="AM487" i="80"/>
  <c r="AM488" i="80" s="1"/>
  <c r="BC481" i="80"/>
  <c r="BC487" i="80"/>
  <c r="BC488" i="80" s="1"/>
  <c r="DG481" i="79"/>
  <c r="DG487" i="79"/>
  <c r="DG488" i="79" s="1"/>
  <c r="DG489" i="79" s="1"/>
  <c r="DG466" i="79" s="1"/>
  <c r="DG301" i="79" s="1"/>
  <c r="W487" i="79"/>
  <c r="W488" i="79" s="1"/>
  <c r="W489" i="79" s="1"/>
  <c r="W466" i="79" s="1"/>
  <c r="W301" i="79" s="1"/>
  <c r="W481" i="79"/>
  <c r="DO481" i="79"/>
  <c r="DO487" i="79"/>
  <c r="DO488" i="79" s="1"/>
  <c r="DO489" i="79" s="1"/>
  <c r="DO466" i="79" s="1"/>
  <c r="DO301" i="79" s="1"/>
  <c r="CS292" i="80"/>
  <c r="FM64" i="79"/>
  <c r="FL64" i="79"/>
  <c r="R140" i="79"/>
  <c r="P143" i="79"/>
  <c r="DZ140" i="79"/>
  <c r="DX143" i="79"/>
  <c r="CT140" i="79"/>
  <c r="CR143" i="79"/>
  <c r="DJ213" i="79"/>
  <c r="DH215" i="79"/>
  <c r="EX213" i="79"/>
  <c r="EV215" i="79"/>
  <c r="Z213" i="79"/>
  <c r="X215" i="79"/>
  <c r="P143" i="80"/>
  <c r="R140" i="80"/>
  <c r="BL143" i="80"/>
  <c r="BN140" i="80"/>
  <c r="DH64" i="80"/>
  <c r="R213" i="80"/>
  <c r="P215" i="80"/>
  <c r="AX213" i="80"/>
  <c r="AV215" i="80"/>
  <c r="FK487" i="80"/>
  <c r="FK488" i="80" s="1"/>
  <c r="FK481" i="80"/>
  <c r="O487" i="80"/>
  <c r="O488" i="80" s="1"/>
  <c r="O481" i="80"/>
  <c r="CI487" i="79"/>
  <c r="CI488" i="79" s="1"/>
  <c r="CI489" i="79" s="1"/>
  <c r="CI466" i="79" s="1"/>
  <c r="CI301" i="79" s="1"/>
  <c r="CI481" i="79"/>
  <c r="CY483" i="79"/>
  <c r="W483" i="79"/>
  <c r="O483" i="79"/>
  <c r="FC483" i="79"/>
  <c r="CQ483" i="79"/>
  <c r="EM483" i="79"/>
  <c r="AU483" i="79"/>
  <c r="DO483" i="79"/>
  <c r="AM483" i="79"/>
  <c r="FK483" i="79"/>
  <c r="DG483" i="79"/>
  <c r="BC483" i="79"/>
  <c r="EU483" i="79"/>
  <c r="CA483" i="79"/>
  <c r="CI483" i="79"/>
  <c r="EE483" i="79"/>
  <c r="DW483" i="79"/>
  <c r="BK483" i="79"/>
  <c r="BS483" i="79"/>
  <c r="AE483" i="79"/>
  <c r="FK481" i="79"/>
  <c r="FK487" i="79"/>
  <c r="FK488" i="79" s="1"/>
  <c r="FK489" i="79" s="1"/>
  <c r="FK466" i="79" s="1"/>
  <c r="FK301" i="79" s="1"/>
  <c r="DR87" i="80"/>
  <c r="AH104" i="79"/>
  <c r="AO73" i="80"/>
  <c r="AP73" i="80" s="1"/>
  <c r="DA73" i="80"/>
  <c r="DB73" i="80" s="1"/>
  <c r="CK73" i="80"/>
  <c r="CL73" i="80" s="1"/>
  <c r="Q73" i="80"/>
  <c r="R73" i="80" s="1"/>
  <c r="BM73" i="80"/>
  <c r="BN73" i="80" s="1"/>
  <c r="AG73" i="80"/>
  <c r="AH73" i="80" s="1"/>
  <c r="DY73" i="80"/>
  <c r="DZ73" i="80" s="1"/>
  <c r="EG73" i="80"/>
  <c r="EH73" i="80" s="1"/>
  <c r="AW73" i="80"/>
  <c r="AX73" i="80" s="1"/>
  <c r="CC73" i="80"/>
  <c r="CD73" i="80" s="1"/>
  <c r="EO73" i="80"/>
  <c r="EP73" i="80" s="1"/>
  <c r="BU73" i="80"/>
  <c r="BV73" i="80" s="1"/>
  <c r="EW73" i="80"/>
  <c r="CS73" i="80"/>
  <c r="CT73" i="80" s="1"/>
  <c r="DQ73" i="80"/>
  <c r="DR73" i="80" s="1"/>
  <c r="FM73" i="80"/>
  <c r="FN73" i="80" s="1"/>
  <c r="BE73" i="80"/>
  <c r="BF73" i="80" s="1"/>
  <c r="FE73" i="80"/>
  <c r="FF73" i="80" s="1"/>
  <c r="AP96" i="80"/>
  <c r="R104" i="79"/>
  <c r="Z96" i="80"/>
  <c r="DR104" i="79"/>
  <c r="FM73" i="79"/>
  <c r="AW73" i="79"/>
  <c r="BE73" i="79"/>
  <c r="CS73" i="79"/>
  <c r="DY73" i="79"/>
  <c r="EW73" i="79"/>
  <c r="BU73" i="79"/>
  <c r="CK73" i="79"/>
  <c r="BM73" i="79"/>
  <c r="BN73" i="79" s="1"/>
  <c r="EO73" i="79"/>
  <c r="Q73" i="79"/>
  <c r="DI73" i="79"/>
  <c r="FE73" i="79"/>
  <c r="CC73" i="79"/>
  <c r="AG73" i="79"/>
  <c r="DA73" i="79"/>
  <c r="AO73" i="79"/>
  <c r="EG73" i="79"/>
  <c r="DQ73" i="79"/>
  <c r="Y73" i="79"/>
  <c r="D57" i="35"/>
  <c r="D38" i="35"/>
  <c r="I25" i="85"/>
  <c r="K8" i="90" s="1"/>
  <c r="F45" i="35"/>
  <c r="I25" i="79"/>
  <c r="I401" i="79" s="1"/>
  <c r="I25" i="80"/>
  <c r="I401" i="80" s="1"/>
  <c r="F45" i="82"/>
  <c r="X295" i="80"/>
  <c r="Y295" i="80"/>
  <c r="BE295" i="80"/>
  <c r="BD295" i="80"/>
  <c r="AF207" i="80"/>
  <c r="AH205" i="80"/>
  <c r="CJ207" i="80"/>
  <c r="CL205" i="80"/>
  <c r="AV207" i="80"/>
  <c r="AX205" i="80"/>
  <c r="CD96" i="80"/>
  <c r="R177" i="79"/>
  <c r="EP205" i="79"/>
  <c r="EN207" i="79"/>
  <c r="P207" i="79"/>
  <c r="R205" i="79"/>
  <c r="EX96" i="80"/>
  <c r="EE25" i="80"/>
  <c r="O25" i="80"/>
  <c r="DW25" i="80"/>
  <c r="AM25" i="80"/>
  <c r="EM25" i="80"/>
  <c r="CA25" i="80"/>
  <c r="DO25" i="80"/>
  <c r="G401" i="80"/>
  <c r="FK25" i="80"/>
  <c r="DG25" i="80"/>
  <c r="BS25" i="80"/>
  <c r="CI25" i="80"/>
  <c r="BC25" i="80"/>
  <c r="W25" i="80"/>
  <c r="FC25" i="80"/>
  <c r="BK25" i="80"/>
  <c r="EU25" i="80"/>
  <c r="AU25" i="80"/>
  <c r="AE25" i="80"/>
  <c r="CQ25" i="80"/>
  <c r="CY25" i="80"/>
  <c r="EO295" i="80"/>
  <c r="EN295" i="80"/>
  <c r="FD295" i="80"/>
  <c r="FE295" i="80"/>
  <c r="CD205" i="80"/>
  <c r="CB207" i="80"/>
  <c r="EX205" i="80"/>
  <c r="EV207" i="80"/>
  <c r="FD207" i="80"/>
  <c r="FF205" i="80"/>
  <c r="AH177" i="79"/>
  <c r="DR205" i="79"/>
  <c r="DP207" i="79"/>
  <c r="CR207" i="79"/>
  <c r="CT205" i="79"/>
  <c r="CB295" i="80"/>
  <c r="CC295" i="80"/>
  <c r="DH207" i="80"/>
  <c r="DJ205" i="80"/>
  <c r="BV177" i="79"/>
  <c r="AP177" i="79"/>
  <c r="FL207" i="79"/>
  <c r="FN205" i="79"/>
  <c r="EV207" i="79"/>
  <c r="EX205" i="79"/>
  <c r="EH205" i="79"/>
  <c r="EF207" i="79"/>
  <c r="DX207" i="80"/>
  <c r="DZ205" i="80"/>
  <c r="EO292" i="80"/>
  <c r="J25" i="85"/>
  <c r="L8" i="90" s="1"/>
  <c r="J25" i="80"/>
  <c r="J401" i="80" s="1"/>
  <c r="G45" i="82"/>
  <c r="J25" i="79"/>
  <c r="J401" i="79" s="1"/>
  <c r="G45" i="35"/>
  <c r="EV295" i="80"/>
  <c r="EW295" i="80"/>
  <c r="CS295" i="80"/>
  <c r="CR295" i="80"/>
  <c r="CR207" i="80"/>
  <c r="CT205" i="80"/>
  <c r="X207" i="80"/>
  <c r="Z205" i="80"/>
  <c r="G33" i="79"/>
  <c r="G33" i="80"/>
  <c r="G33" i="85"/>
  <c r="BN177" i="79"/>
  <c r="BL207" i="79"/>
  <c r="BN205" i="79"/>
  <c r="FF205" i="79"/>
  <c r="FD207" i="79"/>
  <c r="CB207" i="79"/>
  <c r="CD205" i="79"/>
  <c r="FL295" i="80"/>
  <c r="FM295" i="80"/>
  <c r="DP207" i="80"/>
  <c r="DR205" i="80"/>
  <c r="DI292" i="80"/>
  <c r="DW25" i="79"/>
  <c r="BC25" i="79"/>
  <c r="AU25" i="79"/>
  <c r="AE25" i="79"/>
  <c r="DG25" i="79"/>
  <c r="W25" i="79"/>
  <c r="CI25" i="79"/>
  <c r="CA25" i="79"/>
  <c r="EE25" i="79"/>
  <c r="EM25" i="79"/>
  <c r="BK25" i="79"/>
  <c r="O25" i="79"/>
  <c r="BS25" i="79"/>
  <c r="G401" i="79"/>
  <c r="DO25" i="79"/>
  <c r="FK25" i="79"/>
  <c r="CY25" i="79"/>
  <c r="EU25" i="79"/>
  <c r="FC25" i="79"/>
  <c r="AM25" i="79"/>
  <c r="CQ25" i="79"/>
  <c r="EF295" i="80"/>
  <c r="EG295" i="80"/>
  <c r="CJ295" i="80"/>
  <c r="CK295" i="80"/>
  <c r="CZ295" i="80"/>
  <c r="DA295" i="80"/>
  <c r="DB205" i="80"/>
  <c r="CZ207" i="80"/>
  <c r="BV205" i="80"/>
  <c r="BT207" i="80"/>
  <c r="AP205" i="80"/>
  <c r="AN207" i="80"/>
  <c r="FF177" i="79"/>
  <c r="BD207" i="79"/>
  <c r="BF205" i="79"/>
  <c r="AF207" i="79"/>
  <c r="AH205" i="79"/>
  <c r="H25" i="85"/>
  <c r="J8" i="90" s="1"/>
  <c r="E45" i="82"/>
  <c r="E45" i="35"/>
  <c r="H25" i="79"/>
  <c r="H401" i="79" s="1"/>
  <c r="H25" i="80"/>
  <c r="H401" i="80" s="1"/>
  <c r="AG295" i="80"/>
  <c r="AF295" i="80"/>
  <c r="Q295" i="80"/>
  <c r="P295" i="80"/>
  <c r="BL295" i="80"/>
  <c r="BM295" i="80"/>
  <c r="R205" i="80"/>
  <c r="P207" i="80"/>
  <c r="BD207" i="80"/>
  <c r="BF205" i="80"/>
  <c r="D57" i="82"/>
  <c r="D38" i="82"/>
  <c r="Z177" i="80"/>
  <c r="DX207" i="79"/>
  <c r="DZ205" i="79"/>
  <c r="BN295" i="79"/>
  <c r="EG292" i="80"/>
  <c r="BF87" i="80"/>
  <c r="G437" i="80"/>
  <c r="G438" i="80" s="1"/>
  <c r="G394" i="80"/>
  <c r="G413" i="80" s="1"/>
  <c r="DX295" i="80"/>
  <c r="DY295" i="80"/>
  <c r="DQ295" i="80"/>
  <c r="DP295" i="80"/>
  <c r="DH295" i="80"/>
  <c r="DI295" i="80"/>
  <c r="CT96" i="80"/>
  <c r="BL207" i="80"/>
  <c r="BN205" i="80"/>
  <c r="FL207" i="80"/>
  <c r="FN205" i="80"/>
  <c r="CT177" i="79"/>
  <c r="X207" i="79"/>
  <c r="Z205" i="79"/>
  <c r="CJ207" i="79"/>
  <c r="CL205" i="79"/>
  <c r="CZ207" i="79"/>
  <c r="DB205" i="79"/>
  <c r="I129" i="79"/>
  <c r="I129" i="80"/>
  <c r="I129" i="85"/>
  <c r="K75" i="90" s="1"/>
  <c r="AN295" i="80"/>
  <c r="AO295" i="80"/>
  <c r="AW295" i="80"/>
  <c r="AV295" i="80"/>
  <c r="AH96" i="80"/>
  <c r="EH205" i="80"/>
  <c r="EF207" i="80"/>
  <c r="EP205" i="80"/>
  <c r="Z177" i="79"/>
  <c r="BF177" i="79"/>
  <c r="DH207" i="79"/>
  <c r="DJ205" i="79"/>
  <c r="BT207" i="79"/>
  <c r="BV205" i="79"/>
  <c r="F47" i="100"/>
  <c r="DG65" i="79"/>
  <c r="EE65" i="79"/>
  <c r="BC65" i="79"/>
  <c r="W65" i="79"/>
  <c r="AU65" i="79"/>
  <c r="FK65" i="79"/>
  <c r="BK65" i="79"/>
  <c r="BS65" i="79"/>
  <c r="EU65" i="79"/>
  <c r="AE65" i="79"/>
  <c r="CQ65" i="79"/>
  <c r="DO65" i="79"/>
  <c r="CI65" i="79"/>
  <c r="O65" i="79"/>
  <c r="CY65" i="79"/>
  <c r="EM65" i="79"/>
  <c r="DW65" i="79"/>
  <c r="CA65" i="79"/>
  <c r="AM65" i="79"/>
  <c r="FC65" i="79"/>
  <c r="EM65" i="80"/>
  <c r="CY65" i="80"/>
  <c r="DW65" i="80"/>
  <c r="AM65" i="80"/>
  <c r="EE65" i="80"/>
  <c r="AU65" i="80"/>
  <c r="BS65" i="80"/>
  <c r="BK65" i="80"/>
  <c r="W65" i="80"/>
  <c r="DG65" i="80"/>
  <c r="EU65" i="80"/>
  <c r="CQ65" i="80"/>
  <c r="CI65" i="80"/>
  <c r="FC65" i="80"/>
  <c r="FK65" i="80"/>
  <c r="O65" i="80"/>
  <c r="DO65" i="80"/>
  <c r="AE65" i="80"/>
  <c r="CA65" i="80"/>
  <c r="BC65" i="80"/>
  <c r="CD295" i="79"/>
  <c r="H121" i="85"/>
  <c r="J67" i="90" s="1"/>
  <c r="H121" i="79"/>
  <c r="H121" i="80"/>
  <c r="CD130" i="79"/>
  <c r="G121" i="85"/>
  <c r="I67" i="90" s="1"/>
  <c r="G121" i="80"/>
  <c r="G121" i="79"/>
  <c r="DJ206" i="79"/>
  <c r="DI207" i="79"/>
  <c r="DZ206" i="79"/>
  <c r="DY207" i="79"/>
  <c r="W93" i="79"/>
  <c r="FL92" i="80"/>
  <c r="AW143" i="79"/>
  <c r="AX139" i="79"/>
  <c r="BN139" i="79"/>
  <c r="BM143" i="79"/>
  <c r="BF206" i="79"/>
  <c r="BE207" i="79"/>
  <c r="CT206" i="79"/>
  <c r="CS207" i="79"/>
  <c r="AP206" i="79"/>
  <c r="CQ93" i="79"/>
  <c r="Z139" i="79"/>
  <c r="Y143" i="79"/>
  <c r="DB139" i="79"/>
  <c r="DA143" i="79"/>
  <c r="FN206" i="79"/>
  <c r="FM207" i="79"/>
  <c r="EG207" i="79"/>
  <c r="EH206" i="79"/>
  <c r="AH206" i="79"/>
  <c r="AG207" i="79"/>
  <c r="AX206" i="79"/>
  <c r="EP87" i="80"/>
  <c r="BK93" i="79"/>
  <c r="BC93" i="79"/>
  <c r="G22" i="85"/>
  <c r="I5" i="90" s="1"/>
  <c r="D42" i="82"/>
  <c r="G22" i="80"/>
  <c r="G22" i="79"/>
  <c r="D42" i="35"/>
  <c r="AN92" i="80"/>
  <c r="AP92" i="80" s="1"/>
  <c r="EG143" i="79"/>
  <c r="EH139" i="79"/>
  <c r="EX139" i="79"/>
  <c r="EW143" i="79"/>
  <c r="CL206" i="79"/>
  <c r="CK207" i="79"/>
  <c r="DR206" i="79"/>
  <c r="DQ207" i="79"/>
  <c r="AV92" i="80"/>
  <c r="P92" i="80"/>
  <c r="R92" i="80" s="1"/>
  <c r="O93" i="79"/>
  <c r="EU93" i="79"/>
  <c r="CC143" i="79"/>
  <c r="CD139" i="79"/>
  <c r="FF139" i="79"/>
  <c r="FE143" i="79"/>
  <c r="CJ92" i="80"/>
  <c r="CL92" i="80" s="1"/>
  <c r="BV206" i="79"/>
  <c r="BU207" i="79"/>
  <c r="FE207" i="79"/>
  <c r="FF206" i="79"/>
  <c r="Z206" i="79"/>
  <c r="Y207" i="79"/>
  <c r="DB206" i="79"/>
  <c r="DA207" i="79"/>
  <c r="G120" i="80"/>
  <c r="G120" i="85"/>
  <c r="I66" i="90" s="1"/>
  <c r="G120" i="79"/>
  <c r="AG143" i="79"/>
  <c r="AH139" i="79"/>
  <c r="AO143" i="79"/>
  <c r="AP139" i="79"/>
  <c r="CK143" i="79"/>
  <c r="CL139" i="79"/>
  <c r="EO207" i="79"/>
  <c r="EP206" i="79"/>
  <c r="CD206" i="79"/>
  <c r="CC207" i="79"/>
  <c r="H120" i="85"/>
  <c r="J66" i="90" s="1"/>
  <c r="H120" i="79"/>
  <c r="H120" i="80"/>
  <c r="CY93" i="80"/>
  <c r="FK93" i="79"/>
  <c r="DR139" i="79"/>
  <c r="DQ143" i="79"/>
  <c r="EP139" i="79"/>
  <c r="EO143" i="79"/>
  <c r="FN139" i="79"/>
  <c r="FM143" i="79"/>
  <c r="AE93" i="80"/>
  <c r="BD92" i="80"/>
  <c r="BT92" i="80"/>
  <c r="CZ92" i="80"/>
  <c r="EV92" i="80"/>
  <c r="EX92" i="80" s="1"/>
  <c r="BL92" i="80"/>
  <c r="EW207" i="79"/>
  <c r="EX206" i="79"/>
  <c r="DY143" i="79"/>
  <c r="DZ139" i="79"/>
  <c r="DI143" i="79"/>
  <c r="DJ139" i="79"/>
  <c r="BV139" i="79"/>
  <c r="BU143" i="79"/>
  <c r="EN92" i="79"/>
  <c r="CB92" i="79"/>
  <c r="FL92" i="79"/>
  <c r="DP92" i="79"/>
  <c r="CR92" i="79"/>
  <c r="X92" i="79"/>
  <c r="BL92" i="79"/>
  <c r="BD92" i="79"/>
  <c r="EF92" i="79"/>
  <c r="P92" i="79"/>
  <c r="BN206" i="79"/>
  <c r="BM207" i="79"/>
  <c r="R206" i="79"/>
  <c r="Q207" i="79"/>
  <c r="DO93" i="79"/>
  <c r="EE93" i="79"/>
  <c r="CS143" i="79"/>
  <c r="CT139" i="79"/>
  <c r="Q143" i="79"/>
  <c r="R139" i="79"/>
  <c r="BF139" i="79"/>
  <c r="BE143" i="79"/>
  <c r="DR68" i="79" l="1"/>
  <c r="EF202" i="79"/>
  <c r="AF202" i="79"/>
  <c r="EX73" i="80"/>
  <c r="FF68" i="79"/>
  <c r="AG215" i="80"/>
  <c r="I29" i="79"/>
  <c r="I29" i="85"/>
  <c r="K9" i="90" s="1"/>
  <c r="I29" i="80"/>
  <c r="BF184" i="80"/>
  <c r="BE215" i="80"/>
  <c r="EP200" i="79"/>
  <c r="EP202" i="79" s="1"/>
  <c r="DA202" i="79"/>
  <c r="BN214" i="80"/>
  <c r="DR214" i="80"/>
  <c r="EH295" i="79"/>
  <c r="BN184" i="80"/>
  <c r="BF206" i="80"/>
  <c r="BF207" i="80" s="1"/>
  <c r="R9" i="35"/>
  <c r="Q13" i="35" s="1"/>
  <c r="DZ295" i="79"/>
  <c r="AH214" i="80"/>
  <c r="CK215" i="80"/>
  <c r="EH214" i="80"/>
  <c r="DB202" i="79"/>
  <c r="CR202" i="80"/>
  <c r="AX68" i="79"/>
  <c r="AP184" i="80"/>
  <c r="EH202" i="79"/>
  <c r="EP184" i="80"/>
  <c r="EP214" i="80"/>
  <c r="DJ184" i="80"/>
  <c r="EX214" i="80"/>
  <c r="DZ184" i="80"/>
  <c r="FL202" i="79"/>
  <c r="EH184" i="80"/>
  <c r="FD202" i="80"/>
  <c r="DJ206" i="80"/>
  <c r="DJ207" i="80" s="1"/>
  <c r="AX206" i="80"/>
  <c r="AX207" i="80" s="1"/>
  <c r="EX184" i="80"/>
  <c r="R214" i="80"/>
  <c r="AG207" i="80"/>
  <c r="EH206" i="80"/>
  <c r="EH207" i="80" s="1"/>
  <c r="CC207" i="80"/>
  <c r="DR184" i="80"/>
  <c r="EH87" i="80"/>
  <c r="FN201" i="80"/>
  <c r="FN202" i="80" s="1"/>
  <c r="FN87" i="80"/>
  <c r="DI207" i="80"/>
  <c r="DB214" i="80"/>
  <c r="R206" i="80"/>
  <c r="R207" i="80" s="1"/>
  <c r="AW207" i="80"/>
  <c r="CD214" i="80"/>
  <c r="CL202" i="79"/>
  <c r="CL214" i="80"/>
  <c r="BF214" i="80"/>
  <c r="BF215" i="80" s="1"/>
  <c r="EP201" i="80"/>
  <c r="EP202" i="80" s="1"/>
  <c r="DJ202" i="79"/>
  <c r="AX184" i="80"/>
  <c r="DR202" i="79"/>
  <c r="FF184" i="80"/>
  <c r="CL206" i="80"/>
  <c r="CL207" i="80" s="1"/>
  <c r="DX202" i="80"/>
  <c r="AN202" i="80"/>
  <c r="AV92" i="79"/>
  <c r="Y73" i="80"/>
  <c r="Z73" i="80" s="1"/>
  <c r="DG484" i="80"/>
  <c r="DG465" i="80" s="1"/>
  <c r="DG191" i="80" s="1"/>
  <c r="BT153" i="79"/>
  <c r="DG298" i="79"/>
  <c r="DH181" i="80"/>
  <c r="DI181" i="80"/>
  <c r="EF202" i="80"/>
  <c r="DR206" i="80"/>
  <c r="I647" i="162"/>
  <c r="Q254" i="79"/>
  <c r="P254" i="79"/>
  <c r="BU254" i="80"/>
  <c r="BT254" i="80"/>
  <c r="Q254" i="80"/>
  <c r="P254" i="80"/>
  <c r="I66" i="162"/>
  <c r="AN181" i="79"/>
  <c r="AO181" i="79"/>
  <c r="W489" i="80"/>
  <c r="W466" i="80" s="1"/>
  <c r="W301" i="80" s="1"/>
  <c r="AU93" i="79"/>
  <c r="DX181" i="80"/>
  <c r="DY181" i="80"/>
  <c r="BM181" i="80"/>
  <c r="BL181" i="80"/>
  <c r="I596" i="162"/>
  <c r="G131" i="80"/>
  <c r="G131" i="85"/>
  <c r="I77" i="90" s="1"/>
  <c r="G131" i="79"/>
  <c r="BL202" i="80"/>
  <c r="FF206" i="80"/>
  <c r="FM207" i="80"/>
  <c r="Z184" i="80"/>
  <c r="AO254" i="79"/>
  <c r="AN254" i="79"/>
  <c r="DZ210" i="80"/>
  <c r="FN184" i="80"/>
  <c r="CK254" i="80"/>
  <c r="CJ254" i="80"/>
  <c r="CS254" i="80"/>
  <c r="CR254" i="80"/>
  <c r="BD202" i="80"/>
  <c r="AF181" i="79"/>
  <c r="AG181" i="79"/>
  <c r="EX201" i="80"/>
  <c r="AP202" i="80"/>
  <c r="CK181" i="80"/>
  <c r="CJ181" i="80"/>
  <c r="CZ181" i="80"/>
  <c r="DA181" i="80"/>
  <c r="H132" i="166"/>
  <c r="I132" i="166"/>
  <c r="J132" i="166"/>
  <c r="G132" i="80"/>
  <c r="G132" i="85"/>
  <c r="I78" i="90" s="1"/>
  <c r="G132" i="79"/>
  <c r="BE254" i="79"/>
  <c r="BD254" i="79"/>
  <c r="DA254" i="80"/>
  <c r="CZ254" i="80"/>
  <c r="FM254" i="80"/>
  <c r="FL254" i="80"/>
  <c r="BL181" i="79"/>
  <c r="BM181" i="79"/>
  <c r="DH92" i="79"/>
  <c r="BK489" i="80"/>
  <c r="BK466" i="80" s="1"/>
  <c r="BK301" i="80" s="1"/>
  <c r="CZ153" i="79"/>
  <c r="EH202" i="80"/>
  <c r="BN202" i="79"/>
  <c r="CS181" i="80"/>
  <c r="CR181" i="80"/>
  <c r="CT181" i="80" s="1"/>
  <c r="BT181" i="80"/>
  <c r="BU181" i="80"/>
  <c r="EG254" i="79"/>
  <c r="EF254" i="79"/>
  <c r="EV254" i="79"/>
  <c r="EW254" i="79"/>
  <c r="EG254" i="80"/>
  <c r="EF254" i="80"/>
  <c r="BM254" i="80"/>
  <c r="BL254" i="80"/>
  <c r="DH181" i="79"/>
  <c r="DI181" i="79"/>
  <c r="I155" i="166"/>
  <c r="H155" i="166"/>
  <c r="J155" i="166"/>
  <c r="G155" i="79"/>
  <c r="G155" i="85"/>
  <c r="I93" i="90" s="1"/>
  <c r="G155" i="80"/>
  <c r="AH206" i="80"/>
  <c r="AH207" i="80" s="1"/>
  <c r="Q207" i="80"/>
  <c r="EN254" i="79"/>
  <c r="EO254" i="79"/>
  <c r="CB254" i="79"/>
  <c r="CC254" i="79"/>
  <c r="AW254" i="80"/>
  <c r="AV254" i="80"/>
  <c r="FD181" i="79"/>
  <c r="FE181" i="79"/>
  <c r="CR181" i="79"/>
  <c r="CS181" i="79"/>
  <c r="AO181" i="80"/>
  <c r="AN181" i="80"/>
  <c r="CC181" i="80"/>
  <c r="CB181" i="80"/>
  <c r="CL202" i="80"/>
  <c r="EF181" i="80"/>
  <c r="EG181" i="80"/>
  <c r="I19" i="162"/>
  <c r="CD201" i="80"/>
  <c r="CD202" i="80" s="1"/>
  <c r="Z214" i="80"/>
  <c r="Z206" i="80"/>
  <c r="Z207" i="80" s="1"/>
  <c r="BE207" i="80"/>
  <c r="AH201" i="80"/>
  <c r="AH202" i="80" s="1"/>
  <c r="CK254" i="79"/>
  <c r="CJ254" i="79"/>
  <c r="CR254" i="79"/>
  <c r="CS254" i="79"/>
  <c r="AO254" i="80"/>
  <c r="AN254" i="80"/>
  <c r="AX214" i="80"/>
  <c r="EF181" i="79"/>
  <c r="EG181" i="79"/>
  <c r="BD181" i="79"/>
  <c r="BE181" i="79"/>
  <c r="BV201" i="80"/>
  <c r="BV202" i="80" s="1"/>
  <c r="FN214" i="80"/>
  <c r="CJ202" i="80"/>
  <c r="CD206" i="80"/>
  <c r="CD207" i="80" s="1"/>
  <c r="CK207" i="80"/>
  <c r="EW207" i="80"/>
  <c r="CT184" i="80"/>
  <c r="BM254" i="79"/>
  <c r="BL254" i="79"/>
  <c r="CZ254" i="79"/>
  <c r="DA254" i="79"/>
  <c r="DI254" i="80"/>
  <c r="DH254" i="80"/>
  <c r="AP205" i="79"/>
  <c r="AP207" i="79" s="1"/>
  <c r="EW181" i="79"/>
  <c r="EV181" i="79"/>
  <c r="AV181" i="79"/>
  <c r="AW181" i="79"/>
  <c r="CB202" i="79"/>
  <c r="EO181" i="80"/>
  <c r="EN181" i="80"/>
  <c r="H97" i="166"/>
  <c r="I97" i="166"/>
  <c r="J97" i="166"/>
  <c r="G97" i="85"/>
  <c r="I49" i="90" s="1"/>
  <c r="G100" i="166"/>
  <c r="G100" i="85" s="1"/>
  <c r="G97" i="80"/>
  <c r="G97" i="79"/>
  <c r="DZ202" i="80"/>
  <c r="CD202" i="79"/>
  <c r="FM181" i="80"/>
  <c r="FL181" i="80"/>
  <c r="AP214" i="80"/>
  <c r="AP215" i="80" s="1"/>
  <c r="AP206" i="80"/>
  <c r="AP207" i="80" s="1"/>
  <c r="FE207" i="80"/>
  <c r="BU207" i="80"/>
  <c r="DB184" i="80"/>
  <c r="AF254" i="79"/>
  <c r="AG254" i="79"/>
  <c r="DY254" i="80"/>
  <c r="DX254" i="80"/>
  <c r="DY181" i="79"/>
  <c r="DX181" i="79"/>
  <c r="Y181" i="79"/>
  <c r="X181" i="79"/>
  <c r="G127" i="79"/>
  <c r="G127" i="85"/>
  <c r="I73" i="90" s="1"/>
  <c r="G127" i="80"/>
  <c r="EV181" i="80"/>
  <c r="EW181" i="80"/>
  <c r="G111" i="80"/>
  <c r="G111" i="85"/>
  <c r="I60" i="90" s="1"/>
  <c r="G111" i="79"/>
  <c r="DB206" i="80"/>
  <c r="DB207" i="80" s="1"/>
  <c r="DQ207" i="80"/>
  <c r="EO207" i="80"/>
  <c r="R184" i="80"/>
  <c r="BV184" i="80"/>
  <c r="FD254" i="79"/>
  <c r="FE254" i="79"/>
  <c r="CT214" i="80"/>
  <c r="CC254" i="80"/>
  <c r="CB254" i="80"/>
  <c r="EO181" i="79"/>
  <c r="EN181" i="79"/>
  <c r="I107" i="166"/>
  <c r="J107" i="166"/>
  <c r="H107" i="166"/>
  <c r="G107" i="80"/>
  <c r="G107" i="85"/>
  <c r="I56" i="90" s="1"/>
  <c r="G107" i="79"/>
  <c r="FD181" i="80"/>
  <c r="FE181" i="80"/>
  <c r="CT206" i="80"/>
  <c r="CT207" i="80" s="1"/>
  <c r="DY207" i="80"/>
  <c r="Y207" i="80"/>
  <c r="FM254" i="79"/>
  <c r="FL254" i="79"/>
  <c r="AG254" i="80"/>
  <c r="AF254" i="80"/>
  <c r="FL181" i="79"/>
  <c r="FM181" i="79"/>
  <c r="AH68" i="79"/>
  <c r="Y181" i="80"/>
  <c r="X181" i="80"/>
  <c r="EP206" i="80"/>
  <c r="EP207" i="80" s="1"/>
  <c r="BM207" i="80"/>
  <c r="I660" i="162"/>
  <c r="P202" i="80"/>
  <c r="DH254" i="79"/>
  <c r="DI254" i="79"/>
  <c r="DR201" i="80"/>
  <c r="DR202" i="80" s="1"/>
  <c r="EW254" i="80"/>
  <c r="EV254" i="80"/>
  <c r="CC181" i="79"/>
  <c r="CB181" i="79"/>
  <c r="DZ214" i="80"/>
  <c r="DI73" i="80"/>
  <c r="DJ73" i="80" s="1"/>
  <c r="BF202" i="80"/>
  <c r="FN202" i="79"/>
  <c r="AW181" i="80"/>
  <c r="AV181" i="80"/>
  <c r="DH202" i="80"/>
  <c r="BV206" i="80"/>
  <c r="BV207" i="80" s="1"/>
  <c r="EG207" i="80"/>
  <c r="H154" i="166"/>
  <c r="J154" i="166"/>
  <c r="I154" i="166"/>
  <c r="G154" i="85"/>
  <c r="I92" i="90" s="1"/>
  <c r="G154" i="80"/>
  <c r="G154" i="79"/>
  <c r="X254" i="79"/>
  <c r="Y254" i="79"/>
  <c r="DQ254" i="80"/>
  <c r="DP254" i="80"/>
  <c r="J608" i="162"/>
  <c r="J620" i="162" s="1"/>
  <c r="H620" i="162"/>
  <c r="CK181" i="79"/>
  <c r="CJ181" i="79"/>
  <c r="G119" i="85"/>
  <c r="I65" i="90" s="1"/>
  <c r="G119" i="79"/>
  <c r="G119" i="80"/>
  <c r="EE19" i="80"/>
  <c r="AX202" i="79"/>
  <c r="CB92" i="80"/>
  <c r="CD92" i="80" s="1"/>
  <c r="FF207" i="80"/>
  <c r="EU298" i="79"/>
  <c r="EX202" i="80"/>
  <c r="AX295" i="79"/>
  <c r="DP181" i="80"/>
  <c r="DQ181" i="80"/>
  <c r="Z201" i="80"/>
  <c r="Z202" i="80" s="1"/>
  <c r="BN206" i="80"/>
  <c r="BN207" i="80" s="1"/>
  <c r="FN206" i="80"/>
  <c r="FN207" i="80" s="1"/>
  <c r="DA207" i="80"/>
  <c r="I86" i="162"/>
  <c r="BU254" i="79"/>
  <c r="BT254" i="79"/>
  <c r="G105" i="85"/>
  <c r="I54" i="90" s="1"/>
  <c r="G116" i="166"/>
  <c r="G105" i="80"/>
  <c r="G105" i="79"/>
  <c r="BE254" i="80"/>
  <c r="BD254" i="80"/>
  <c r="DQ181" i="79"/>
  <c r="DP181" i="79"/>
  <c r="R202" i="80"/>
  <c r="BN202" i="80"/>
  <c r="AH202" i="79"/>
  <c r="DJ202" i="80"/>
  <c r="AF181" i="80"/>
  <c r="AG181" i="80"/>
  <c r="AX201" i="80"/>
  <c r="AX202" i="80" s="1"/>
  <c r="DB201" i="80"/>
  <c r="DB202" i="80" s="1"/>
  <c r="EX206" i="80"/>
  <c r="EX207" i="80" s="1"/>
  <c r="DZ206" i="80"/>
  <c r="DZ207" i="80" s="1"/>
  <c r="AO207" i="80"/>
  <c r="G110" i="79"/>
  <c r="G110" i="80"/>
  <c r="G110" i="85"/>
  <c r="I59" i="90" s="1"/>
  <c r="DX254" i="79"/>
  <c r="DY254" i="79"/>
  <c r="EO254" i="80"/>
  <c r="EN254" i="80"/>
  <c r="O7" i="163"/>
  <c r="N10" i="163"/>
  <c r="O10" i="163" s="1"/>
  <c r="P181" i="79"/>
  <c r="Q181" i="79"/>
  <c r="CT202" i="79"/>
  <c r="FF202" i="80"/>
  <c r="DG93" i="79"/>
  <c r="DR207" i="80"/>
  <c r="S13" i="35"/>
  <c r="P181" i="80"/>
  <c r="Q181" i="80"/>
  <c r="BV214" i="80"/>
  <c r="BV215" i="80" s="1"/>
  <c r="DJ214" i="80"/>
  <c r="DJ215" i="80" s="1"/>
  <c r="CS207" i="80"/>
  <c r="CD184" i="80"/>
  <c r="AV254" i="79"/>
  <c r="AW254" i="79"/>
  <c r="L129" i="166"/>
  <c r="H129" i="166" s="1"/>
  <c r="G129" i="166"/>
  <c r="FE254" i="80"/>
  <c r="FD254" i="80"/>
  <c r="R9" i="82"/>
  <c r="Q13" i="82" s="1"/>
  <c r="R8" i="82"/>
  <c r="R13" i="82" s="1"/>
  <c r="I428" i="162"/>
  <c r="G126" i="166"/>
  <c r="DA181" i="79"/>
  <c r="CZ181" i="79"/>
  <c r="BE181" i="80"/>
  <c r="BD181" i="80"/>
  <c r="G152" i="85"/>
  <c r="I90" i="90" s="1"/>
  <c r="G152" i="80"/>
  <c r="G152" i="79"/>
  <c r="DP254" i="79"/>
  <c r="DQ254" i="79"/>
  <c r="O497" i="163"/>
  <c r="N508" i="163"/>
  <c r="O508" i="163" s="1"/>
  <c r="Y254" i="80"/>
  <c r="X254" i="80"/>
  <c r="BT181" i="79"/>
  <c r="BU181" i="79"/>
  <c r="BS93" i="79"/>
  <c r="EU298" i="80"/>
  <c r="EV92" i="79"/>
  <c r="EX92" i="79" s="1"/>
  <c r="FK93" i="80"/>
  <c r="R68" i="79"/>
  <c r="DJ68" i="79"/>
  <c r="FC93" i="80"/>
  <c r="DJ295" i="79"/>
  <c r="BT92" i="79"/>
  <c r="BV92" i="79" s="1"/>
  <c r="FD92" i="80"/>
  <c r="FF92" i="80" s="1"/>
  <c r="BK93" i="80"/>
  <c r="AU93" i="80"/>
  <c r="F39" i="100"/>
  <c r="EP295" i="79"/>
  <c r="Z295" i="79"/>
  <c r="BV295" i="79"/>
  <c r="AP87" i="80"/>
  <c r="DZ68" i="79"/>
  <c r="P64" i="79"/>
  <c r="R64" i="79" s="1"/>
  <c r="CR64" i="79"/>
  <c r="CB64" i="80"/>
  <c r="CD64" i="80" s="1"/>
  <c r="FN92" i="80"/>
  <c r="BV68" i="79"/>
  <c r="O489" i="80"/>
  <c r="O466" i="80" s="1"/>
  <c r="O301" i="80" s="1"/>
  <c r="DB60" i="80"/>
  <c r="R45" i="35"/>
  <c r="DB68" i="79"/>
  <c r="BN68" i="79"/>
  <c r="AP68" i="79"/>
  <c r="AX92" i="80"/>
  <c r="CT68" i="79"/>
  <c r="BV92" i="80"/>
  <c r="EH143" i="80"/>
  <c r="H292" i="79"/>
  <c r="BT292" i="79" s="1"/>
  <c r="BV292" i="79" s="1"/>
  <c r="H292" i="80"/>
  <c r="DH292" i="80" s="1"/>
  <c r="DJ292" i="80" s="1"/>
  <c r="H292" i="85"/>
  <c r="J162" i="90" s="1"/>
  <c r="EX87" i="80"/>
  <c r="CL68" i="79"/>
  <c r="BF68" i="79"/>
  <c r="FN68" i="79"/>
  <c r="FE292" i="80"/>
  <c r="EE298" i="79"/>
  <c r="BU292" i="80"/>
  <c r="DO298" i="79"/>
  <c r="BS298" i="79"/>
  <c r="FC298" i="80"/>
  <c r="CY298" i="79"/>
  <c r="G315" i="80"/>
  <c r="G331" i="80" s="1"/>
  <c r="CQ298" i="80"/>
  <c r="BN92" i="80"/>
  <c r="FN96" i="79"/>
  <c r="EH68" i="79"/>
  <c r="BF92" i="80"/>
  <c r="DB90" i="80"/>
  <c r="R61" i="80"/>
  <c r="CT59" i="79"/>
  <c r="FC484" i="80"/>
  <c r="FC465" i="80" s="1"/>
  <c r="FC191" i="80" s="1"/>
  <c r="EM484" i="80"/>
  <c r="EM465" i="80" s="1"/>
  <c r="EM191" i="80" s="1"/>
  <c r="EM489" i="80"/>
  <c r="EM466" i="80" s="1"/>
  <c r="EM301" i="80" s="1"/>
  <c r="EE484" i="80"/>
  <c r="EE465" i="80" s="1"/>
  <c r="EE191" i="80" s="1"/>
  <c r="CD87" i="80"/>
  <c r="AX87" i="80"/>
  <c r="DB92" i="80"/>
  <c r="AX16" i="79"/>
  <c r="AX410" i="79" s="1"/>
  <c r="AX426" i="79" s="1"/>
  <c r="DZ143" i="80"/>
  <c r="DZ73" i="79"/>
  <c r="G79" i="166"/>
  <c r="BE64" i="80"/>
  <c r="BC93" i="80"/>
  <c r="EE93" i="80"/>
  <c r="CR64" i="80"/>
  <c r="CT64" i="80" s="1"/>
  <c r="CC153" i="79"/>
  <c r="CD153" i="79" s="1"/>
  <c r="CY93" i="79"/>
  <c r="AE93" i="79"/>
  <c r="FN62" i="80"/>
  <c r="R62" i="80"/>
  <c r="AN64" i="79"/>
  <c r="AP64" i="79" s="1"/>
  <c r="EP62" i="80"/>
  <c r="CB64" i="79"/>
  <c r="CD64" i="79" s="1"/>
  <c r="AH60" i="80"/>
  <c r="EG153" i="79"/>
  <c r="EH153" i="79" s="1"/>
  <c r="CJ153" i="79"/>
  <c r="CL153" i="79" s="1"/>
  <c r="DA64" i="79"/>
  <c r="DB64" i="79" s="1"/>
  <c r="Q153" i="79"/>
  <c r="R153" i="79" s="1"/>
  <c r="EN92" i="80"/>
  <c r="EP92" i="80" s="1"/>
  <c r="DH92" i="80"/>
  <c r="DJ92" i="80" s="1"/>
  <c r="DX92" i="79"/>
  <c r="DG93" i="80"/>
  <c r="CR92" i="80"/>
  <c r="CT92" i="80" s="1"/>
  <c r="AV64" i="79"/>
  <c r="DP64" i="80"/>
  <c r="DR64" i="80" s="1"/>
  <c r="CD16" i="79"/>
  <c r="CD410" i="79" s="1"/>
  <c r="CD426" i="79" s="1"/>
  <c r="BK19" i="80"/>
  <c r="BV61" i="80"/>
  <c r="CK92" i="79"/>
  <c r="AO92" i="79"/>
  <c r="Z57" i="80"/>
  <c r="R57" i="79"/>
  <c r="EH61" i="79"/>
  <c r="AG92" i="79"/>
  <c r="AH92" i="79" s="1"/>
  <c r="DY92" i="79"/>
  <c r="CZ92" i="79"/>
  <c r="DB92" i="79" s="1"/>
  <c r="EF92" i="80"/>
  <c r="EH92" i="80" s="1"/>
  <c r="FD153" i="79"/>
  <c r="FF153" i="79" s="1"/>
  <c r="CI93" i="80"/>
  <c r="X92" i="80"/>
  <c r="Z92" i="80" s="1"/>
  <c r="DW93" i="80"/>
  <c r="CL143" i="80"/>
  <c r="BF143" i="80"/>
  <c r="AN153" i="79"/>
  <c r="AP153" i="79" s="1"/>
  <c r="CJ92" i="79"/>
  <c r="CA93" i="79"/>
  <c r="BV143" i="80"/>
  <c r="AH143" i="80"/>
  <c r="AM93" i="80"/>
  <c r="BN87" i="80"/>
  <c r="CA93" i="80"/>
  <c r="FD92" i="79"/>
  <c r="FF92" i="79" s="1"/>
  <c r="EO92" i="79"/>
  <c r="EP92" i="79" s="1"/>
  <c r="W24" i="79"/>
  <c r="CA24" i="79"/>
  <c r="BS24" i="79"/>
  <c r="EM24" i="79"/>
  <c r="G400" i="79"/>
  <c r="O24" i="79"/>
  <c r="DO24" i="79"/>
  <c r="CQ24" i="79"/>
  <c r="AM24" i="79"/>
  <c r="BK24" i="79"/>
  <c r="DW24" i="79"/>
  <c r="CI24" i="79"/>
  <c r="EE24" i="79"/>
  <c r="FC24" i="79"/>
  <c r="FK24" i="79"/>
  <c r="AE24" i="79"/>
  <c r="AU24" i="79"/>
  <c r="BC24" i="79"/>
  <c r="DG24" i="79"/>
  <c r="CY24" i="79"/>
  <c r="EU24" i="79"/>
  <c r="D47" i="35"/>
  <c r="D62" i="35" s="1"/>
  <c r="D47" i="82"/>
  <c r="D62" i="82" s="1"/>
  <c r="AN92" i="79"/>
  <c r="EM298" i="80"/>
  <c r="J29" i="85"/>
  <c r="L9" i="90" s="1"/>
  <c r="J29" i="80"/>
  <c r="J30" i="80" s="1"/>
  <c r="J403" i="80" s="1"/>
  <c r="J29" i="79"/>
  <c r="J30" i="79" s="1"/>
  <c r="EU93" i="80"/>
  <c r="J24" i="79"/>
  <c r="J400" i="79" s="1"/>
  <c r="G44" i="82"/>
  <c r="J24" i="80"/>
  <c r="J400" i="80" s="1"/>
  <c r="G44" i="35"/>
  <c r="J24" i="85"/>
  <c r="L7" i="90" s="1"/>
  <c r="DO93" i="80"/>
  <c r="DX92" i="80"/>
  <c r="DZ92" i="80" s="1"/>
  <c r="F44" i="35"/>
  <c r="F44" i="82"/>
  <c r="I24" i="79"/>
  <c r="I400" i="79" s="1"/>
  <c r="I24" i="85"/>
  <c r="K7" i="90" s="1"/>
  <c r="I24" i="80"/>
  <c r="I400" i="80" s="1"/>
  <c r="DY292" i="80"/>
  <c r="W298" i="79"/>
  <c r="H24" i="85"/>
  <c r="J7" i="90" s="1"/>
  <c r="E44" i="82"/>
  <c r="H24" i="80"/>
  <c r="H400" i="80" s="1"/>
  <c r="E44" i="35"/>
  <c r="H24" i="79"/>
  <c r="H400" i="79" s="1"/>
  <c r="DJ92" i="79"/>
  <c r="EX143" i="80"/>
  <c r="EM19" i="80"/>
  <c r="BN96" i="80"/>
  <c r="O93" i="80"/>
  <c r="FC93" i="79"/>
  <c r="BC298" i="79"/>
  <c r="W93" i="80"/>
  <c r="AU29" i="79"/>
  <c r="AU30" i="79" s="1"/>
  <c r="FK29" i="79"/>
  <c r="FK30" i="79" s="1"/>
  <c r="EM29" i="79"/>
  <c r="EM30" i="79" s="1"/>
  <c r="BS29" i="79"/>
  <c r="BS30" i="79" s="1"/>
  <c r="G30" i="79"/>
  <c r="EE29" i="79"/>
  <c r="EE30" i="79" s="1"/>
  <c r="DO29" i="79"/>
  <c r="DO30" i="79" s="1"/>
  <c r="BK29" i="79"/>
  <c r="BK30" i="79" s="1"/>
  <c r="BK403" i="79" s="1"/>
  <c r="BK424" i="79" s="1"/>
  <c r="FC29" i="79"/>
  <c r="FC30" i="79" s="1"/>
  <c r="FC418" i="79" s="1"/>
  <c r="CQ29" i="79"/>
  <c r="CQ30" i="79" s="1"/>
  <c r="AM29" i="79"/>
  <c r="AM30" i="79" s="1"/>
  <c r="AE29" i="79"/>
  <c r="AE30" i="79" s="1"/>
  <c r="CI29" i="79"/>
  <c r="CI30" i="79" s="1"/>
  <c r="DW29" i="79"/>
  <c r="DW30" i="79" s="1"/>
  <c r="W29" i="79"/>
  <c r="W30" i="79" s="1"/>
  <c r="O29" i="79"/>
  <c r="O30" i="79" s="1"/>
  <c r="EU29" i="79"/>
  <c r="EU30" i="79" s="1"/>
  <c r="BC29" i="79"/>
  <c r="BC30" i="79" s="1"/>
  <c r="DG29" i="79"/>
  <c r="DG30" i="79" s="1"/>
  <c r="CA29" i="79"/>
  <c r="CA30" i="79" s="1"/>
  <c r="CY29" i="79"/>
  <c r="CY30" i="79" s="1"/>
  <c r="DW24" i="80"/>
  <c r="DG24" i="80"/>
  <c r="BS24" i="80"/>
  <c r="AM24" i="80"/>
  <c r="CQ24" i="80"/>
  <c r="O24" i="80"/>
  <c r="BK24" i="80"/>
  <c r="EU24" i="80"/>
  <c r="EM24" i="80"/>
  <c r="DO24" i="80"/>
  <c r="AE24" i="80"/>
  <c r="AU24" i="80"/>
  <c r="EE24" i="80"/>
  <c r="BC24" i="80"/>
  <c r="CA24" i="80"/>
  <c r="FK24" i="80"/>
  <c r="W24" i="80"/>
  <c r="FC24" i="80"/>
  <c r="CY24" i="80"/>
  <c r="G400" i="80"/>
  <c r="CI24" i="80"/>
  <c r="DP92" i="80"/>
  <c r="DR92" i="80" s="1"/>
  <c r="AF92" i="80"/>
  <c r="AH92" i="80" s="1"/>
  <c r="Q292" i="80"/>
  <c r="CQ93" i="80"/>
  <c r="EM93" i="80"/>
  <c r="FK29" i="80"/>
  <c r="FK30" i="80" s="1"/>
  <c r="FK403" i="80" s="1"/>
  <c r="FK424" i="80" s="1"/>
  <c r="CA29" i="80"/>
  <c r="CA30" i="80" s="1"/>
  <c r="CA403" i="80" s="1"/>
  <c r="CA418" i="80" s="1"/>
  <c r="AE29" i="80"/>
  <c r="AE30" i="80" s="1"/>
  <c r="AE403" i="80" s="1"/>
  <c r="AE424" i="80" s="1"/>
  <c r="CQ29" i="80"/>
  <c r="CQ30" i="80" s="1"/>
  <c r="CQ403" i="80" s="1"/>
  <c r="CQ418" i="80" s="1"/>
  <c r="AU29" i="80"/>
  <c r="AU30" i="80" s="1"/>
  <c r="AU403" i="80" s="1"/>
  <c r="AU424" i="80" s="1"/>
  <c r="AM29" i="80"/>
  <c r="AM30" i="80" s="1"/>
  <c r="AM403" i="80" s="1"/>
  <c r="AM418" i="80" s="1"/>
  <c r="BK29" i="80"/>
  <c r="BK30" i="80" s="1"/>
  <c r="BK403" i="80" s="1"/>
  <c r="BK418" i="80" s="1"/>
  <c r="EU29" i="80"/>
  <c r="EU30" i="80" s="1"/>
  <c r="EU403" i="80" s="1"/>
  <c r="EU424" i="80" s="1"/>
  <c r="W29" i="80"/>
  <c r="W30" i="80" s="1"/>
  <c r="W403" i="80" s="1"/>
  <c r="W418" i="80" s="1"/>
  <c r="CI29" i="80"/>
  <c r="CI30" i="80" s="1"/>
  <c r="CI403" i="80" s="1"/>
  <c r="CI418" i="80" s="1"/>
  <c r="EM29" i="80"/>
  <c r="EM30" i="80" s="1"/>
  <c r="EM403" i="80" s="1"/>
  <c r="EM418" i="80" s="1"/>
  <c r="DG29" i="80"/>
  <c r="DG30" i="80" s="1"/>
  <c r="DG403" i="80" s="1"/>
  <c r="CY29" i="80"/>
  <c r="CY30" i="80" s="1"/>
  <c r="CY403" i="80" s="1"/>
  <c r="CY424" i="80" s="1"/>
  <c r="G30" i="80"/>
  <c r="G403" i="80" s="1"/>
  <c r="BS29" i="80"/>
  <c r="BS30" i="80" s="1"/>
  <c r="BS403" i="80" s="1"/>
  <c r="FC29" i="80"/>
  <c r="FC30" i="80" s="1"/>
  <c r="FC403" i="80" s="1"/>
  <c r="DO29" i="80"/>
  <c r="DO30" i="80" s="1"/>
  <c r="DO403" i="80" s="1"/>
  <c r="EE29" i="80"/>
  <c r="EE30" i="80" s="1"/>
  <c r="EE403" i="80" s="1"/>
  <c r="EE418" i="80" s="1"/>
  <c r="O29" i="80"/>
  <c r="O30" i="80" s="1"/>
  <c r="O403" i="80" s="1"/>
  <c r="DW29" i="80"/>
  <c r="DW30" i="80" s="1"/>
  <c r="DW403" i="80" s="1"/>
  <c r="BC29" i="80"/>
  <c r="BC30" i="80" s="1"/>
  <c r="BC403" i="80" s="1"/>
  <c r="BC424" i="80" s="1"/>
  <c r="BN62" i="80"/>
  <c r="DR143" i="80"/>
  <c r="FF143" i="80"/>
  <c r="Z143" i="80"/>
  <c r="AH68" i="80"/>
  <c r="BV73" i="79"/>
  <c r="DB61" i="79"/>
  <c r="Z96" i="79"/>
  <c r="J64" i="85"/>
  <c r="L30" i="90" s="1"/>
  <c r="J64" i="79"/>
  <c r="J64" i="80"/>
  <c r="H64" i="79"/>
  <c r="H64" i="85"/>
  <c r="J30" i="90" s="1"/>
  <c r="H64" i="80"/>
  <c r="R143" i="80"/>
  <c r="I64" i="80"/>
  <c r="I64" i="79"/>
  <c r="I64" i="85"/>
  <c r="K30" i="90" s="1"/>
  <c r="Z150" i="80"/>
  <c r="BN143" i="80"/>
  <c r="AP143" i="80"/>
  <c r="BV150" i="79"/>
  <c r="EX150" i="80"/>
  <c r="DB150" i="80"/>
  <c r="FN150" i="79"/>
  <c r="EP150" i="80"/>
  <c r="CD150" i="80"/>
  <c r="FN96" i="80"/>
  <c r="BN108" i="79"/>
  <c r="DI64" i="79"/>
  <c r="DJ64" i="79" s="1"/>
  <c r="AG153" i="79"/>
  <c r="AH153" i="79" s="1"/>
  <c r="Y153" i="79"/>
  <c r="Z153" i="79" s="1"/>
  <c r="CD68" i="79"/>
  <c r="EN64" i="79"/>
  <c r="EP64" i="79" s="1"/>
  <c r="EH60" i="80"/>
  <c r="EU19" i="80"/>
  <c r="AH57" i="80"/>
  <c r="FN143" i="80"/>
  <c r="DJ60" i="80"/>
  <c r="BF73" i="79"/>
  <c r="CT143" i="80"/>
  <c r="DB143" i="80"/>
  <c r="CD143" i="80"/>
  <c r="BF108" i="80"/>
  <c r="DB108" i="80"/>
  <c r="AP108" i="80"/>
  <c r="DZ62" i="80"/>
  <c r="DR108" i="80"/>
  <c r="EH150" i="80"/>
  <c r="AH150" i="79"/>
  <c r="CL150" i="79"/>
  <c r="DR150" i="79"/>
  <c r="CL150" i="80"/>
  <c r="EH150" i="79"/>
  <c r="R73" i="79"/>
  <c r="EH73" i="79"/>
  <c r="AX73" i="79"/>
  <c r="DR150" i="80"/>
  <c r="AP150" i="79"/>
  <c r="DJ150" i="79"/>
  <c r="Z150" i="79"/>
  <c r="BN150" i="79"/>
  <c r="DJ150" i="80"/>
  <c r="BF150" i="80"/>
  <c r="BV150" i="80"/>
  <c r="R150" i="80"/>
  <c r="CD150" i="79"/>
  <c r="FN150" i="80"/>
  <c r="EP150" i="79"/>
  <c r="FF150" i="80"/>
  <c r="AH150" i="80"/>
  <c r="DG151" i="80"/>
  <c r="DI151" i="80" s="1"/>
  <c r="BN150" i="80"/>
  <c r="AH73" i="79"/>
  <c r="EX150" i="79"/>
  <c r="DZ150" i="79"/>
  <c r="DZ150" i="80"/>
  <c r="CY151" i="80"/>
  <c r="DA151" i="80" s="1"/>
  <c r="R150" i="79"/>
  <c r="W151" i="80"/>
  <c r="X151" i="80" s="1"/>
  <c r="AX150" i="80"/>
  <c r="AX150" i="79"/>
  <c r="AP150" i="80"/>
  <c r="CT150" i="79"/>
  <c r="Z73" i="79"/>
  <c r="CT73" i="79"/>
  <c r="DB150" i="79"/>
  <c r="FF150" i="79"/>
  <c r="BF150" i="79"/>
  <c r="FF73" i="79"/>
  <c r="DR73" i="79"/>
  <c r="CT150" i="80"/>
  <c r="CD73" i="79"/>
  <c r="FN108" i="80"/>
  <c r="EX108" i="80"/>
  <c r="DJ108" i="80"/>
  <c r="R108" i="79"/>
  <c r="AP108" i="79"/>
  <c r="CD108" i="80"/>
  <c r="Z108" i="80"/>
  <c r="EX108" i="79"/>
  <c r="CT108" i="80"/>
  <c r="AH108" i="80"/>
  <c r="DB108" i="79"/>
  <c r="BN108" i="80"/>
  <c r="EH108" i="80"/>
  <c r="Q64" i="80"/>
  <c r="R64" i="80" s="1"/>
  <c r="BM64" i="79"/>
  <c r="BN64" i="79" s="1"/>
  <c r="X64" i="79"/>
  <c r="Z64" i="79" s="1"/>
  <c r="BV108" i="80"/>
  <c r="FF108" i="80"/>
  <c r="EP143" i="80"/>
  <c r="AX108" i="80"/>
  <c r="DJ108" i="79"/>
  <c r="EP108" i="79"/>
  <c r="R108" i="80"/>
  <c r="DB73" i="79"/>
  <c r="DZ108" i="80"/>
  <c r="EP108" i="80"/>
  <c r="CL108" i="80"/>
  <c r="DJ143" i="80"/>
  <c r="AX143" i="80"/>
  <c r="BU64" i="79"/>
  <c r="BV64" i="79" s="1"/>
  <c r="EG64" i="79"/>
  <c r="EH64" i="79" s="1"/>
  <c r="CA489" i="80"/>
  <c r="CA466" i="80" s="1"/>
  <c r="CA301" i="80" s="1"/>
  <c r="CA302" i="80" s="1"/>
  <c r="EU484" i="80"/>
  <c r="EU465" i="80" s="1"/>
  <c r="EU191" i="80" s="1"/>
  <c r="EU196" i="80" s="1"/>
  <c r="EP73" i="79"/>
  <c r="EP57" i="79"/>
  <c r="AN64" i="80"/>
  <c r="AP64" i="80" s="1"/>
  <c r="CI489" i="80"/>
  <c r="CI466" i="80" s="1"/>
  <c r="CI301" i="80" s="1"/>
  <c r="AV64" i="80"/>
  <c r="AX64" i="80" s="1"/>
  <c r="Z57" i="79"/>
  <c r="AX62" i="80"/>
  <c r="Z62" i="80"/>
  <c r="BN57" i="80"/>
  <c r="FN16" i="80"/>
  <c r="FN410" i="80" s="1"/>
  <c r="FN426" i="80" s="1"/>
  <c r="EH57" i="79"/>
  <c r="DX64" i="79"/>
  <c r="DZ64" i="79" s="1"/>
  <c r="BN57" i="79"/>
  <c r="CL73" i="79"/>
  <c r="BV16" i="79"/>
  <c r="BV410" i="79" s="1"/>
  <c r="BS426" i="79" s="1"/>
  <c r="AH57" i="79"/>
  <c r="FN57" i="79"/>
  <c r="CJ64" i="79"/>
  <c r="CL64" i="79" s="1"/>
  <c r="DJ87" i="80"/>
  <c r="AX57" i="79"/>
  <c r="AP73" i="79"/>
  <c r="BT64" i="80"/>
  <c r="BV64" i="80" s="1"/>
  <c r="CZ64" i="80"/>
  <c r="DB64" i="80" s="1"/>
  <c r="DJ57" i="79"/>
  <c r="AG64" i="80"/>
  <c r="AH64" i="80" s="1"/>
  <c r="FD64" i="80"/>
  <c r="FF64" i="80" s="1"/>
  <c r="CD60" i="80"/>
  <c r="DZ61" i="80"/>
  <c r="FN73" i="79"/>
  <c r="CY151" i="79"/>
  <c r="DA151" i="79" s="1"/>
  <c r="EX73" i="79"/>
  <c r="DY64" i="80"/>
  <c r="DZ64" i="80" s="1"/>
  <c r="FF57" i="79"/>
  <c r="EG64" i="80"/>
  <c r="EH64" i="80" s="1"/>
  <c r="Y64" i="80"/>
  <c r="Z64" i="80" s="1"/>
  <c r="EP16" i="79"/>
  <c r="EP410" i="79" s="1"/>
  <c r="EP426" i="79" s="1"/>
  <c r="DR57" i="79"/>
  <c r="DJ73" i="79"/>
  <c r="AP60" i="80"/>
  <c r="AP57" i="79"/>
  <c r="BN60" i="80"/>
  <c r="BV57" i="79"/>
  <c r="DB57" i="79"/>
  <c r="E23" i="108"/>
  <c r="J12" i="108" s="1"/>
  <c r="G28" i="98"/>
  <c r="J27" i="98"/>
  <c r="J56" i="98"/>
  <c r="G57" i="98"/>
  <c r="J57" i="98" s="1"/>
  <c r="EP61" i="79"/>
  <c r="P11" i="118"/>
  <c r="N8" i="118"/>
  <c r="CT61" i="80"/>
  <c r="EP61" i="80"/>
  <c r="CL57" i="79"/>
  <c r="CD68" i="80"/>
  <c r="CT57" i="79"/>
  <c r="BF57" i="79"/>
  <c r="R61" i="79"/>
  <c r="CD57" i="79"/>
  <c r="W484" i="80"/>
  <c r="W465" i="80" s="1"/>
  <c r="W191" i="80" s="1"/>
  <c r="W196" i="80" s="1"/>
  <c r="EU489" i="80"/>
  <c r="EU466" i="80" s="1"/>
  <c r="EU301" i="80" s="1"/>
  <c r="O484" i="80"/>
  <c r="O465" i="80" s="1"/>
  <c r="O191" i="80" s="1"/>
  <c r="O196" i="80" s="1"/>
  <c r="CY489" i="80"/>
  <c r="CY466" i="80" s="1"/>
  <c r="CY301" i="80" s="1"/>
  <c r="CY302" i="80" s="1"/>
  <c r="R60" i="80"/>
  <c r="DR61" i="80"/>
  <c r="EX62" i="80"/>
  <c r="Z61" i="80"/>
  <c r="BS151" i="80"/>
  <c r="BT151" i="80" s="1"/>
  <c r="BK151" i="80"/>
  <c r="BM151" i="80" s="1"/>
  <c r="O151" i="80"/>
  <c r="P151" i="80" s="1"/>
  <c r="CI151" i="80"/>
  <c r="CJ151" i="80" s="1"/>
  <c r="Z60" i="80"/>
  <c r="FK151" i="80"/>
  <c r="FL151" i="80" s="1"/>
  <c r="EE151" i="80"/>
  <c r="EF151" i="80" s="1"/>
  <c r="AE151" i="80"/>
  <c r="AG151" i="80" s="1"/>
  <c r="CQ151" i="80"/>
  <c r="CS151" i="80" s="1"/>
  <c r="CA151" i="80"/>
  <c r="CC151" i="80" s="1"/>
  <c r="AU151" i="80"/>
  <c r="AW151" i="80" s="1"/>
  <c r="EU151" i="80"/>
  <c r="EV151" i="80" s="1"/>
  <c r="AX60" i="80"/>
  <c r="BC151" i="80"/>
  <c r="BD151" i="80" s="1"/>
  <c r="EM151" i="80"/>
  <c r="EO151" i="80" s="1"/>
  <c r="BF16" i="80"/>
  <c r="BF410" i="80" s="1"/>
  <c r="BF426" i="80" s="1"/>
  <c r="DO151" i="80"/>
  <c r="DP151" i="80" s="1"/>
  <c r="FC151" i="80"/>
  <c r="FE151" i="80" s="1"/>
  <c r="AH61" i="80"/>
  <c r="AM151" i="80"/>
  <c r="AO151" i="80" s="1"/>
  <c r="DJ61" i="79"/>
  <c r="EP60" i="80"/>
  <c r="DZ61" i="79"/>
  <c r="CL143" i="79"/>
  <c r="BV60" i="80"/>
  <c r="CT16" i="80"/>
  <c r="CT410" i="80" s="1"/>
  <c r="CT426" i="80" s="1"/>
  <c r="AX61" i="79"/>
  <c r="EH92" i="79"/>
  <c r="AP202" i="79"/>
  <c r="CT60" i="80"/>
  <c r="CT61" i="79"/>
  <c r="BN61" i="79"/>
  <c r="FK484" i="79"/>
  <c r="FK465" i="79" s="1"/>
  <c r="FK191" i="79" s="1"/>
  <c r="FK196" i="79" s="1"/>
  <c r="BS489" i="80"/>
  <c r="BS466" i="80" s="1"/>
  <c r="BS301" i="80" s="1"/>
  <c r="BS302" i="80" s="1"/>
  <c r="BK484" i="80"/>
  <c r="BK465" i="80" s="1"/>
  <c r="BK191" i="80" s="1"/>
  <c r="BK196" i="80" s="1"/>
  <c r="FK484" i="80"/>
  <c r="FK465" i="80" s="1"/>
  <c r="FK191" i="80" s="1"/>
  <c r="FK489" i="80"/>
  <c r="FK466" i="80" s="1"/>
  <c r="FK301" i="80" s="1"/>
  <c r="FK302" i="80" s="1"/>
  <c r="DG489" i="80"/>
  <c r="DG466" i="80" s="1"/>
  <c r="DG301" i="80" s="1"/>
  <c r="DG302" i="80" s="1"/>
  <c r="AM489" i="80"/>
  <c r="AM466" i="80" s="1"/>
  <c r="AM301" i="80" s="1"/>
  <c r="AM302" i="80" s="1"/>
  <c r="CI484" i="80"/>
  <c r="CI465" i="80" s="1"/>
  <c r="CI191" i="80" s="1"/>
  <c r="CQ489" i="80"/>
  <c r="CQ466" i="80" s="1"/>
  <c r="CQ301" i="80" s="1"/>
  <c r="AE484" i="80"/>
  <c r="AE465" i="80" s="1"/>
  <c r="AE191" i="80" s="1"/>
  <c r="AE196" i="80" s="1"/>
  <c r="BV143" i="79"/>
  <c r="EH143" i="79"/>
  <c r="CL60" i="80"/>
  <c r="BN16" i="79"/>
  <c r="BN410" i="79" s="1"/>
  <c r="BN426" i="79" s="1"/>
  <c r="P29" i="80"/>
  <c r="P30" i="80" s="1"/>
  <c r="P403" i="80" s="1"/>
  <c r="P418" i="80" s="1"/>
  <c r="CZ29" i="80"/>
  <c r="CZ30" i="80" s="1"/>
  <c r="CZ403" i="80" s="1"/>
  <c r="CZ424" i="80" s="1"/>
  <c r="FD29" i="80"/>
  <c r="FD30" i="80" s="1"/>
  <c r="FD403" i="80" s="1"/>
  <c r="FD424" i="80" s="1"/>
  <c r="EV29" i="80"/>
  <c r="EV30" i="80" s="1"/>
  <c r="EV403" i="80" s="1"/>
  <c r="EV418" i="80" s="1"/>
  <c r="DH29" i="80"/>
  <c r="DH30" i="80" s="1"/>
  <c r="DH403" i="80" s="1"/>
  <c r="DH424" i="80" s="1"/>
  <c r="EP215" i="80"/>
  <c r="BF60" i="80"/>
  <c r="CT92" i="79"/>
  <c r="FF215" i="79"/>
  <c r="EX60" i="80"/>
  <c r="AX207" i="79"/>
  <c r="DW151" i="79"/>
  <c r="DX151" i="79" s="1"/>
  <c r="CA151" i="79"/>
  <c r="CB151" i="79" s="1"/>
  <c r="AE151" i="79"/>
  <c r="AG151" i="79" s="1"/>
  <c r="EP215" i="79"/>
  <c r="FF60" i="80"/>
  <c r="DZ60" i="80"/>
  <c r="EX16" i="79"/>
  <c r="EX410" i="79" s="1"/>
  <c r="EX426" i="79" s="1"/>
  <c r="CL106" i="79"/>
  <c r="AP61" i="79"/>
  <c r="AM151" i="79"/>
  <c r="AN151" i="79" s="1"/>
  <c r="CQ151" i="79"/>
  <c r="CS151" i="79" s="1"/>
  <c r="EE151" i="79"/>
  <c r="EF151" i="79" s="1"/>
  <c r="DG151" i="79"/>
  <c r="DI151" i="79" s="1"/>
  <c r="AU151" i="79"/>
  <c r="AW151" i="79" s="1"/>
  <c r="FC151" i="79"/>
  <c r="FE151" i="79" s="1"/>
  <c r="O151" i="79"/>
  <c r="Q151" i="79" s="1"/>
  <c r="R215" i="79"/>
  <c r="DR57" i="80"/>
  <c r="Z61" i="79"/>
  <c r="CI151" i="79"/>
  <c r="CK151" i="79" s="1"/>
  <c r="BS151" i="79"/>
  <c r="BT151" i="79" s="1"/>
  <c r="BC151" i="79"/>
  <c r="BE151" i="79" s="1"/>
  <c r="EM151" i="79"/>
  <c r="EN151" i="79" s="1"/>
  <c r="DO151" i="79"/>
  <c r="DQ151" i="79" s="1"/>
  <c r="AH61" i="79"/>
  <c r="BK151" i="79"/>
  <c r="BM151" i="79" s="1"/>
  <c r="EU151" i="79"/>
  <c r="EW151" i="79" s="1"/>
  <c r="DB16" i="79"/>
  <c r="DB410" i="79" s="1"/>
  <c r="DB426" i="79" s="1"/>
  <c r="FK151" i="79"/>
  <c r="FM151" i="79" s="1"/>
  <c r="EX143" i="79"/>
  <c r="Z215" i="79"/>
  <c r="CL61" i="79"/>
  <c r="FN143" i="79"/>
  <c r="BV124" i="79"/>
  <c r="FF207" i="79"/>
  <c r="DB215" i="80"/>
  <c r="DP29" i="79"/>
  <c r="DP30" i="79" s="1"/>
  <c r="DP418" i="79" s="1"/>
  <c r="DB57" i="80"/>
  <c r="DR60" i="79"/>
  <c r="R60" i="79"/>
  <c r="Z124" i="80"/>
  <c r="FN124" i="79"/>
  <c r="AP104" i="80"/>
  <c r="CT143" i="79"/>
  <c r="AH153" i="80"/>
  <c r="DJ215" i="79"/>
  <c r="FF215" i="80"/>
  <c r="DZ16" i="79"/>
  <c r="DZ410" i="79" s="1"/>
  <c r="DZ426" i="79" s="1"/>
  <c r="DZ202" i="79"/>
  <c r="BF143" i="79"/>
  <c r="EG410" i="79"/>
  <c r="EG426" i="79" s="1"/>
  <c r="BV153" i="80"/>
  <c r="CD92" i="79"/>
  <c r="CT215" i="79"/>
  <c r="EH109" i="79"/>
  <c r="Z16" i="79"/>
  <c r="Z410" i="79" s="1"/>
  <c r="Z426" i="79" s="1"/>
  <c r="AH124" i="79"/>
  <c r="CD124" i="79"/>
  <c r="FN16" i="79"/>
  <c r="FN410" i="79" s="1"/>
  <c r="EX57" i="80"/>
  <c r="R143" i="79"/>
  <c r="AX92" i="79"/>
  <c r="CT16" i="79"/>
  <c r="CT410" i="79" s="1"/>
  <c r="CT426" i="79" s="1"/>
  <c r="DB109" i="79"/>
  <c r="DB124" i="79"/>
  <c r="Z143" i="79"/>
  <c r="BF106" i="80"/>
  <c r="Z60" i="79"/>
  <c r="FN92" i="79"/>
  <c r="DJ61" i="80"/>
  <c r="FN57" i="80"/>
  <c r="R57" i="80"/>
  <c r="R153" i="80"/>
  <c r="FN104" i="79"/>
  <c r="FF62" i="79"/>
  <c r="AH124" i="80"/>
  <c r="FF124" i="80"/>
  <c r="BF109" i="79"/>
  <c r="FF104" i="80"/>
  <c r="BN124" i="80"/>
  <c r="CL124" i="80"/>
  <c r="BV124" i="80"/>
  <c r="BV62" i="80"/>
  <c r="EH124" i="80"/>
  <c r="AX104" i="80"/>
  <c r="BF96" i="80"/>
  <c r="DB96" i="80"/>
  <c r="EH62" i="80"/>
  <c r="CT124" i="79"/>
  <c r="FF109" i="79"/>
  <c r="BF62" i="80"/>
  <c r="DR62" i="79"/>
  <c r="CD60" i="79"/>
  <c r="H30" i="79"/>
  <c r="EN29" i="79"/>
  <c r="DH29" i="79"/>
  <c r="AF29" i="79"/>
  <c r="P29" i="79"/>
  <c r="EH96" i="80"/>
  <c r="I30" i="79"/>
  <c r="DI29" i="79"/>
  <c r="DI30" i="79" s="1"/>
  <c r="DI418" i="79" s="1"/>
  <c r="DQ29" i="79"/>
  <c r="AO29" i="79"/>
  <c r="AO30" i="79" s="1"/>
  <c r="AO403" i="79" s="1"/>
  <c r="AO424" i="79" s="1"/>
  <c r="Y29" i="79"/>
  <c r="Y30" i="79" s="1"/>
  <c r="Y418" i="79" s="1"/>
  <c r="EO29" i="79"/>
  <c r="EO30" i="79" s="1"/>
  <c r="EO403" i="79" s="1"/>
  <c r="EO424" i="79" s="1"/>
  <c r="CK29" i="79"/>
  <c r="CK30" i="79" s="1"/>
  <c r="CK403" i="79" s="1"/>
  <c r="CK424" i="79" s="1"/>
  <c r="Q29" i="79"/>
  <c r="Q30" i="79" s="1"/>
  <c r="Q403" i="79" s="1"/>
  <c r="Q424" i="79" s="1"/>
  <c r="AG29" i="79"/>
  <c r="AG30" i="79" s="1"/>
  <c r="AG403" i="79" s="1"/>
  <c r="AG424" i="79" s="1"/>
  <c r="Z202" i="79"/>
  <c r="AM298" i="79"/>
  <c r="BF124" i="79"/>
  <c r="F47" i="82"/>
  <c r="F62" i="82" s="1"/>
  <c r="F47" i="35"/>
  <c r="F62" i="35" s="1"/>
  <c r="H30" i="80"/>
  <c r="H403" i="80" s="1"/>
  <c r="DP29" i="80"/>
  <c r="AP130" i="79"/>
  <c r="AN292" i="79"/>
  <c r="AP292" i="79" s="1"/>
  <c r="EV292" i="79"/>
  <c r="EX292" i="79" s="1"/>
  <c r="R106" i="79"/>
  <c r="CT60" i="79"/>
  <c r="FF124" i="79"/>
  <c r="BN106" i="79"/>
  <c r="CL60" i="79"/>
  <c r="EX61" i="79"/>
  <c r="DI29" i="80"/>
  <c r="DA29" i="80"/>
  <c r="EW29" i="80"/>
  <c r="I30" i="80"/>
  <c r="I403" i="80" s="1"/>
  <c r="DY29" i="80"/>
  <c r="DY30" i="80" s="1"/>
  <c r="DY403" i="80" s="1"/>
  <c r="DY418" i="80" s="1"/>
  <c r="BV60" i="79"/>
  <c r="CL215" i="80"/>
  <c r="EH60" i="79"/>
  <c r="CD61" i="79"/>
  <c r="E47" i="35"/>
  <c r="E62" i="35" s="1"/>
  <c r="E47" i="82"/>
  <c r="E62" i="82" s="1"/>
  <c r="AP143" i="79"/>
  <c r="DW298" i="79"/>
  <c r="BT29" i="80"/>
  <c r="FK298" i="80"/>
  <c r="AX124" i="79"/>
  <c r="DB124" i="80"/>
  <c r="DJ104" i="80"/>
  <c r="DJ109" i="79"/>
  <c r="CL62" i="80"/>
  <c r="DB61" i="80"/>
  <c r="CL61" i="80"/>
  <c r="BV57" i="80"/>
  <c r="DJ57" i="80"/>
  <c r="FN153" i="80"/>
  <c r="CL16" i="79"/>
  <c r="CL410" i="79" s="1"/>
  <c r="CL426" i="79" s="1"/>
  <c r="DZ143" i="79"/>
  <c r="R215" i="80"/>
  <c r="DB215" i="79"/>
  <c r="CD90" i="80"/>
  <c r="EP109" i="80"/>
  <c r="BF60" i="79"/>
  <c r="DR124" i="80"/>
  <c r="EP109" i="79"/>
  <c r="CD57" i="80"/>
  <c r="DX29" i="80"/>
  <c r="AF29" i="80"/>
  <c r="CR29" i="80"/>
  <c r="Q29" i="80"/>
  <c r="I12" i="108"/>
  <c r="O298" i="80"/>
  <c r="AH109" i="79"/>
  <c r="AX106" i="79"/>
  <c r="DX292" i="79"/>
  <c r="DZ292" i="79" s="1"/>
  <c r="CQ412" i="80"/>
  <c r="CQ19" i="80"/>
  <c r="FC412" i="80"/>
  <c r="FC19" i="80"/>
  <c r="AM412" i="80"/>
  <c r="AM19" i="80"/>
  <c r="EE412" i="79"/>
  <c r="EE19" i="79"/>
  <c r="W412" i="79"/>
  <c r="W19" i="79"/>
  <c r="AM412" i="79"/>
  <c r="AM19" i="79"/>
  <c r="W424" i="80"/>
  <c r="CT295" i="80"/>
  <c r="EX104" i="79"/>
  <c r="AH60" i="79"/>
  <c r="FF61" i="79"/>
  <c r="FF61" i="80"/>
  <c r="O424" i="80"/>
  <c r="O418" i="80"/>
  <c r="CY412" i="80"/>
  <c r="CY19" i="80"/>
  <c r="DW412" i="79"/>
  <c r="DW19" i="79"/>
  <c r="O19" i="79"/>
  <c r="O412" i="79"/>
  <c r="CY412" i="79"/>
  <c r="CY19" i="79"/>
  <c r="DG418" i="80"/>
  <c r="DG424" i="80"/>
  <c r="O412" i="80"/>
  <c r="O19" i="80"/>
  <c r="DW412" i="80"/>
  <c r="DW19" i="80"/>
  <c r="BK412" i="79"/>
  <c r="BK19" i="79"/>
  <c r="FK412" i="79"/>
  <c r="FK19" i="79"/>
  <c r="FC412" i="79"/>
  <c r="FC19" i="79"/>
  <c r="BK418" i="79"/>
  <c r="BS418" i="80"/>
  <c r="BS424" i="80"/>
  <c r="EH61" i="80"/>
  <c r="DW424" i="80"/>
  <c r="DW418" i="80"/>
  <c r="BC412" i="80"/>
  <c r="BC19" i="80"/>
  <c r="W412" i="80"/>
  <c r="W19" i="80"/>
  <c r="BS412" i="79"/>
  <c r="BS19" i="79"/>
  <c r="CQ412" i="79"/>
  <c r="CQ19" i="79"/>
  <c r="CA412" i="79"/>
  <c r="CA19" i="79"/>
  <c r="DJ62" i="80"/>
  <c r="DB104" i="80"/>
  <c r="CA412" i="80"/>
  <c r="CA19" i="80"/>
  <c r="CI412" i="80"/>
  <c r="CI19" i="80"/>
  <c r="DO412" i="79"/>
  <c r="DO19" i="79"/>
  <c r="BC19" i="79"/>
  <c r="BC412" i="79"/>
  <c r="DG412" i="79"/>
  <c r="DG19" i="79"/>
  <c r="AX143" i="79"/>
  <c r="AX109" i="80"/>
  <c r="FN106" i="80"/>
  <c r="BF130" i="79"/>
  <c r="FF109" i="80"/>
  <c r="AP124" i="79"/>
  <c r="AP106" i="79"/>
  <c r="EH104" i="80"/>
  <c r="BF153" i="80"/>
  <c r="AP61" i="80"/>
  <c r="DZ57" i="80"/>
  <c r="DG412" i="80"/>
  <c r="DG19" i="80"/>
  <c r="EU412" i="79"/>
  <c r="EU19" i="79"/>
  <c r="FC418" i="80"/>
  <c r="FC424" i="80"/>
  <c r="BV90" i="80"/>
  <c r="CD106" i="80"/>
  <c r="DO298" i="80"/>
  <c r="Z109" i="79"/>
  <c r="CD109" i="79"/>
  <c r="R124" i="79"/>
  <c r="DO412" i="80"/>
  <c r="DO19" i="80"/>
  <c r="FK412" i="80"/>
  <c r="FK19" i="80"/>
  <c r="AU412" i="80"/>
  <c r="AU19" i="80"/>
  <c r="AU412" i="79"/>
  <c r="AU19" i="79"/>
  <c r="CY418" i="80"/>
  <c r="FN61" i="80"/>
  <c r="BF61" i="80"/>
  <c r="AE412" i="80"/>
  <c r="AE19" i="80"/>
  <c r="DO418" i="79"/>
  <c r="DO403" i="79"/>
  <c r="DO424" i="79" s="1"/>
  <c r="CI412" i="79"/>
  <c r="CI19" i="79"/>
  <c r="AE412" i="79"/>
  <c r="AE19" i="79"/>
  <c r="EM19" i="79"/>
  <c r="EM412" i="79"/>
  <c r="Q125" i="80"/>
  <c r="P125" i="80"/>
  <c r="EH57" i="80"/>
  <c r="BD125" i="80"/>
  <c r="BE125" i="80"/>
  <c r="Y125" i="80"/>
  <c r="X125" i="80"/>
  <c r="EO125" i="79"/>
  <c r="EN125" i="79"/>
  <c r="EV125" i="79"/>
  <c r="EW125" i="79"/>
  <c r="CD104" i="80"/>
  <c r="EG125" i="79"/>
  <c r="EF125" i="79"/>
  <c r="EX104" i="80"/>
  <c r="CD215" i="79"/>
  <c r="AF292" i="79"/>
  <c r="AH292" i="79" s="1"/>
  <c r="CK125" i="80"/>
  <c r="CJ125" i="80"/>
  <c r="AO125" i="80"/>
  <c r="AN125" i="80"/>
  <c r="CR125" i="79"/>
  <c r="CS125" i="79"/>
  <c r="DY125" i="79"/>
  <c r="DX125" i="79"/>
  <c r="DQ125" i="79"/>
  <c r="DP125" i="79"/>
  <c r="BN92" i="79"/>
  <c r="FF143" i="79"/>
  <c r="CK292" i="80"/>
  <c r="DR215" i="79"/>
  <c r="AX64" i="79"/>
  <c r="EX215" i="80"/>
  <c r="AP215" i="79"/>
  <c r="DR64" i="79"/>
  <c r="FN153" i="79"/>
  <c r="EP106" i="80"/>
  <c r="DG298" i="80"/>
  <c r="EP90" i="80"/>
  <c r="BN106" i="80"/>
  <c r="EP130" i="80"/>
  <c r="AX106" i="80"/>
  <c r="EX124" i="80"/>
  <c r="EX124" i="79"/>
  <c r="DZ60" i="79"/>
  <c r="AX109" i="79"/>
  <c r="CD124" i="80"/>
  <c r="BN109" i="79"/>
  <c r="EP124" i="79"/>
  <c r="EX202" i="79"/>
  <c r="R124" i="80"/>
  <c r="BF61" i="79"/>
  <c r="AP57" i="80"/>
  <c r="FF57" i="80"/>
  <c r="CL57" i="80"/>
  <c r="AX61" i="80"/>
  <c r="CT57" i="80"/>
  <c r="EW125" i="80"/>
  <c r="EV125" i="80"/>
  <c r="DA125" i="80"/>
  <c r="CZ125" i="80"/>
  <c r="CD61" i="80"/>
  <c r="FM125" i="79"/>
  <c r="FL125" i="79"/>
  <c r="BL125" i="79"/>
  <c r="BM125" i="79"/>
  <c r="AO125" i="79"/>
  <c r="AN125" i="79"/>
  <c r="BD125" i="79"/>
  <c r="BE125" i="79"/>
  <c r="DJ130" i="80"/>
  <c r="AU298" i="80"/>
  <c r="EN292" i="79"/>
  <c r="EP292" i="79" s="1"/>
  <c r="CI298" i="79"/>
  <c r="AF125" i="80"/>
  <c r="AG125" i="80"/>
  <c r="AW125" i="80"/>
  <c r="AV125" i="80"/>
  <c r="CZ125" i="79"/>
  <c r="DA125" i="79"/>
  <c r="FD125" i="79"/>
  <c r="FE125" i="79"/>
  <c r="CK125" i="79"/>
  <c r="CJ125" i="79"/>
  <c r="AP62" i="79"/>
  <c r="R207" i="79"/>
  <c r="BM292" i="80"/>
  <c r="AH62" i="80"/>
  <c r="BN215" i="80"/>
  <c r="CD215" i="80"/>
  <c r="EM298" i="79"/>
  <c r="AE298" i="80"/>
  <c r="CI298" i="80"/>
  <c r="AM298" i="80"/>
  <c r="CL62" i="79"/>
  <c r="AH62" i="79"/>
  <c r="EP60" i="79"/>
  <c r="FN60" i="79"/>
  <c r="DJ124" i="79"/>
  <c r="DX125" i="80"/>
  <c r="DY125" i="80"/>
  <c r="BU125" i="80"/>
  <c r="BT125" i="80"/>
  <c r="EO125" i="80"/>
  <c r="EN125" i="80"/>
  <c r="BT125" i="79"/>
  <c r="BU125" i="79"/>
  <c r="DH125" i="79"/>
  <c r="DI125" i="79"/>
  <c r="AG125" i="79"/>
  <c r="AF125" i="79"/>
  <c r="EG125" i="80"/>
  <c r="EF125" i="80"/>
  <c r="BN109" i="80"/>
  <c r="DR104" i="80"/>
  <c r="EX207" i="79"/>
  <c r="AE298" i="79"/>
  <c r="FL292" i="79"/>
  <c r="FN292" i="79" s="1"/>
  <c r="AH143" i="79"/>
  <c r="BE292" i="80"/>
  <c r="Z215" i="80"/>
  <c r="EH215" i="79"/>
  <c r="AP90" i="79"/>
  <c r="CL109" i="80"/>
  <c r="EX106" i="80"/>
  <c r="DJ90" i="80"/>
  <c r="EP104" i="79"/>
  <c r="BC298" i="80"/>
  <c r="DW298" i="80"/>
  <c r="CY298" i="80"/>
  <c r="EX130" i="80"/>
  <c r="FC298" i="79"/>
  <c r="FK298" i="79"/>
  <c r="DZ124" i="80"/>
  <c r="FN104" i="80"/>
  <c r="CA298" i="80"/>
  <c r="W298" i="80"/>
  <c r="AP60" i="79"/>
  <c r="Z124" i="79"/>
  <c r="AP124" i="80"/>
  <c r="EX60" i="79"/>
  <c r="DZ62" i="79"/>
  <c r="DZ124" i="79"/>
  <c r="BV61" i="79"/>
  <c r="CL153" i="80"/>
  <c r="DI125" i="80"/>
  <c r="DH125" i="80"/>
  <c r="CS125" i="80"/>
  <c r="CR125" i="80"/>
  <c r="CB125" i="80"/>
  <c r="CC125" i="80"/>
  <c r="EX61" i="80"/>
  <c r="P125" i="79"/>
  <c r="Q125" i="79"/>
  <c r="AW125" i="79"/>
  <c r="AV125" i="79"/>
  <c r="AX57" i="80"/>
  <c r="DP125" i="80"/>
  <c r="DQ125" i="80"/>
  <c r="R109" i="80"/>
  <c r="BS298" i="80"/>
  <c r="Z92" i="79"/>
  <c r="BF92" i="79"/>
  <c r="BN143" i="79"/>
  <c r="CC292" i="80"/>
  <c r="DR215" i="80"/>
  <c r="AP104" i="79"/>
  <c r="AH16" i="79"/>
  <c r="AH410" i="79" s="1"/>
  <c r="AH426" i="79" s="1"/>
  <c r="BV90" i="79"/>
  <c r="FN90" i="79"/>
  <c r="R16" i="79"/>
  <c r="R410" i="79" s="1"/>
  <c r="R426" i="79" s="1"/>
  <c r="BK298" i="80"/>
  <c r="DR130" i="79"/>
  <c r="CJ292" i="79"/>
  <c r="CL292" i="79" s="1"/>
  <c r="CB292" i="79"/>
  <c r="CD292" i="79" s="1"/>
  <c r="AX60" i="79"/>
  <c r="CT109" i="79"/>
  <c r="FN109" i="79"/>
  <c r="R104" i="80"/>
  <c r="DR62" i="80"/>
  <c r="BF57" i="80"/>
  <c r="BN61" i="80"/>
  <c r="DH292" i="79"/>
  <c r="DI292" i="79"/>
  <c r="BL125" i="80"/>
  <c r="BM125" i="80"/>
  <c r="FD125" i="80"/>
  <c r="FE125" i="80"/>
  <c r="FM125" i="80"/>
  <c r="FL125" i="80"/>
  <c r="FN61" i="79"/>
  <c r="CB125" i="79"/>
  <c r="CC125" i="79"/>
  <c r="X125" i="79"/>
  <c r="Y125" i="79"/>
  <c r="EE298" i="80"/>
  <c r="DZ130" i="80"/>
  <c r="BN153" i="79"/>
  <c r="FF104" i="79"/>
  <c r="DB130" i="79"/>
  <c r="EX109" i="79"/>
  <c r="FN62" i="79"/>
  <c r="BN124" i="79"/>
  <c r="BF124" i="80"/>
  <c r="FF62" i="80"/>
  <c r="BV104" i="80"/>
  <c r="EH130" i="80"/>
  <c r="AX153" i="79"/>
  <c r="CT109" i="80"/>
  <c r="EP124" i="80"/>
  <c r="CT62" i="80"/>
  <c r="EH62" i="79"/>
  <c r="DR92" i="79"/>
  <c r="DJ60" i="79"/>
  <c r="DJ143" i="79"/>
  <c r="EX109" i="80"/>
  <c r="EP130" i="79"/>
  <c r="DJ124" i="80"/>
  <c r="AH104" i="80"/>
  <c r="DZ106" i="79"/>
  <c r="AP109" i="79"/>
  <c r="BN60" i="79"/>
  <c r="EP62" i="79"/>
  <c r="BV62" i="79"/>
  <c r="AX124" i="80"/>
  <c r="R295" i="80"/>
  <c r="BF215" i="79"/>
  <c r="DZ90" i="79"/>
  <c r="DR90" i="79"/>
  <c r="DZ90" i="80"/>
  <c r="Z130" i="79"/>
  <c r="DJ90" i="79"/>
  <c r="FF130" i="79"/>
  <c r="DZ109" i="79"/>
  <c r="EP64" i="80"/>
  <c r="Z90" i="79"/>
  <c r="FN130" i="80"/>
  <c r="FF90" i="80"/>
  <c r="BV130" i="79"/>
  <c r="CT106" i="80"/>
  <c r="CD90" i="79"/>
  <c r="EX130" i="79"/>
  <c r="DR16" i="79"/>
  <c r="DR410" i="79" s="1"/>
  <c r="DR426" i="79" s="1"/>
  <c r="AX62" i="79"/>
  <c r="EH124" i="79"/>
  <c r="AP62" i="80"/>
  <c r="CT124" i="80"/>
  <c r="EP106" i="79"/>
  <c r="DR109" i="79"/>
  <c r="DJ62" i="79"/>
  <c r="G260" i="79"/>
  <c r="G322" i="79" s="1"/>
  <c r="FN215" i="80"/>
  <c r="G260" i="80"/>
  <c r="G322" i="80" s="1"/>
  <c r="BN215" i="79"/>
  <c r="EP207" i="79"/>
  <c r="BV215" i="79"/>
  <c r="EX215" i="79"/>
  <c r="CL215" i="79"/>
  <c r="R202" i="79"/>
  <c r="AH207" i="79"/>
  <c r="BV207" i="79"/>
  <c r="FN215" i="79"/>
  <c r="BN207" i="79"/>
  <c r="CT207" i="79"/>
  <c r="AX215" i="79"/>
  <c r="AX215" i="80"/>
  <c r="AH215" i="79"/>
  <c r="Z207" i="79"/>
  <c r="AH215" i="80"/>
  <c r="CL295" i="80"/>
  <c r="CT215" i="80"/>
  <c r="AH64" i="79"/>
  <c r="R109" i="79"/>
  <c r="EX62" i="79"/>
  <c r="FN124" i="80"/>
  <c r="DR143" i="79"/>
  <c r="DJ109" i="80"/>
  <c r="DB106" i="80"/>
  <c r="EX153" i="79"/>
  <c r="CL90" i="80"/>
  <c r="BF90" i="79"/>
  <c r="CT153" i="79"/>
  <c r="BF106" i="79"/>
  <c r="CL124" i="79"/>
  <c r="DR124" i="79"/>
  <c r="CD143" i="79"/>
  <c r="BF295" i="80"/>
  <c r="DZ215" i="79"/>
  <c r="DB90" i="79"/>
  <c r="BF109" i="80"/>
  <c r="EH90" i="79"/>
  <c r="AH90" i="80"/>
  <c r="DZ106" i="80"/>
  <c r="R130" i="80"/>
  <c r="DZ109" i="80"/>
  <c r="R90" i="79"/>
  <c r="AP106" i="80"/>
  <c r="DJ104" i="79"/>
  <c r="BN62" i="79"/>
  <c r="DR207" i="79"/>
  <c r="FN207" i="79"/>
  <c r="BV130" i="80"/>
  <c r="DB62" i="79"/>
  <c r="BV109" i="79"/>
  <c r="R62" i="79"/>
  <c r="EX90" i="80"/>
  <c r="AH130" i="80"/>
  <c r="CD62" i="80"/>
  <c r="CT62" i="79"/>
  <c r="DB60" i="79"/>
  <c r="CD207" i="79"/>
  <c r="EH104" i="79"/>
  <c r="Z130" i="80"/>
  <c r="DR109" i="80"/>
  <c r="DJ130" i="79"/>
  <c r="DR130" i="80"/>
  <c r="CL109" i="79"/>
  <c r="CD62" i="79"/>
  <c r="CT106" i="79"/>
  <c r="Z62" i="79"/>
  <c r="DB295" i="80"/>
  <c r="EH215" i="80"/>
  <c r="CT104" i="79"/>
  <c r="G43" i="93"/>
  <c r="G44" i="93" s="1"/>
  <c r="BF90" i="80"/>
  <c r="BN130" i="80"/>
  <c r="BV106" i="80"/>
  <c r="CD130" i="80"/>
  <c r="FF90" i="79"/>
  <c r="Z106" i="80"/>
  <c r="R90" i="80"/>
  <c r="BF62" i="79"/>
  <c r="CT64" i="79"/>
  <c r="DZ130" i="79"/>
  <c r="CT90" i="80"/>
  <c r="AH90" i="79"/>
  <c r="CD104" i="79"/>
  <c r="DB109" i="80"/>
  <c r="BF64" i="80"/>
  <c r="BN64" i="80"/>
  <c r="Z104" i="79"/>
  <c r="R130" i="79"/>
  <c r="EH295" i="80"/>
  <c r="FN64" i="79"/>
  <c r="EE484" i="79"/>
  <c r="EE465" i="79" s="1"/>
  <c r="EE191" i="79" s="1"/>
  <c r="EE196" i="79" s="1"/>
  <c r="FF64" i="79"/>
  <c r="DJ106" i="80"/>
  <c r="CL130" i="79"/>
  <c r="EX90" i="79"/>
  <c r="DR106" i="80"/>
  <c r="EP153" i="79"/>
  <c r="AP130" i="80"/>
  <c r="FN109" i="80"/>
  <c r="EH90" i="80"/>
  <c r="DB153" i="79"/>
  <c r="AH106" i="80"/>
  <c r="BV153" i="79"/>
  <c r="AP109" i="80"/>
  <c r="DB143" i="79"/>
  <c r="BC489" i="80"/>
  <c r="BC466" i="80" s="1"/>
  <c r="BC301" i="80" s="1"/>
  <c r="BC302" i="80" s="1"/>
  <c r="AU489" i="80"/>
  <c r="AU466" i="80" s="1"/>
  <c r="AU301" i="80" s="1"/>
  <c r="AU302" i="80" s="1"/>
  <c r="BV104" i="79"/>
  <c r="CL90" i="79"/>
  <c r="AP90" i="80"/>
  <c r="R92" i="79"/>
  <c r="BF207" i="79"/>
  <c r="DR295" i="80"/>
  <c r="BC484" i="80"/>
  <c r="BC465" i="80" s="1"/>
  <c r="BC191" i="80" s="1"/>
  <c r="BC196" i="80" s="1"/>
  <c r="EE489" i="80"/>
  <c r="EE466" i="80" s="1"/>
  <c r="EE301" i="80" s="1"/>
  <c r="Z90" i="80"/>
  <c r="DR153" i="79"/>
  <c r="BN90" i="79"/>
  <c r="DB104" i="79"/>
  <c r="CT90" i="79"/>
  <c r="AX130" i="80"/>
  <c r="AX90" i="79"/>
  <c r="FN90" i="80"/>
  <c r="FF130" i="80"/>
  <c r="CL207" i="79"/>
  <c r="DJ207" i="79"/>
  <c r="BF130" i="80"/>
  <c r="AH130" i="79"/>
  <c r="EH106" i="80"/>
  <c r="FF106" i="80"/>
  <c r="DB130" i="80"/>
  <c r="EP143" i="79"/>
  <c r="EX295" i="80"/>
  <c r="AM484" i="80"/>
  <c r="AM465" i="80" s="1"/>
  <c r="AM191" i="80" s="1"/>
  <c r="AM196" i="80" s="1"/>
  <c r="BS484" i="80"/>
  <c r="BS465" i="80" s="1"/>
  <c r="BS191" i="80" s="1"/>
  <c r="BS196" i="80" s="1"/>
  <c r="CA484" i="80"/>
  <c r="CA465" i="80" s="1"/>
  <c r="CA191" i="80" s="1"/>
  <c r="CA196" i="80" s="1"/>
  <c r="EP90" i="79"/>
  <c r="R106" i="80"/>
  <c r="BN130" i="79"/>
  <c r="CL130" i="80"/>
  <c r="EH109" i="80"/>
  <c r="DZ153" i="79"/>
  <c r="DZ104" i="79"/>
  <c r="CT130" i="79"/>
  <c r="Z109" i="80"/>
  <c r="BN104" i="79"/>
  <c r="BF153" i="79"/>
  <c r="CL106" i="80"/>
  <c r="DZ295" i="80"/>
  <c r="CL64" i="80"/>
  <c r="EX64" i="79"/>
  <c r="DQ410" i="80"/>
  <c r="DR16" i="80"/>
  <c r="DR410" i="80" s="1"/>
  <c r="DR426" i="80" s="1"/>
  <c r="CD109" i="80"/>
  <c r="DA410" i="80"/>
  <c r="DB16" i="80"/>
  <c r="DB410" i="80" s="1"/>
  <c r="DB426" i="80" s="1"/>
  <c r="DY410" i="80"/>
  <c r="DZ16" i="80"/>
  <c r="DZ410" i="80" s="1"/>
  <c r="DZ426" i="80" s="1"/>
  <c r="AP16" i="79"/>
  <c r="AP410" i="79" s="1"/>
  <c r="AP426" i="79" s="1"/>
  <c r="AO410" i="79"/>
  <c r="AX104" i="79"/>
  <c r="EX64" i="80"/>
  <c r="FC426" i="80"/>
  <c r="AO410" i="80"/>
  <c r="AO426" i="80" s="1"/>
  <c r="AP16" i="80"/>
  <c r="AP410" i="80" s="1"/>
  <c r="CC410" i="80"/>
  <c r="CD16" i="80"/>
  <c r="CD410" i="80" s="1"/>
  <c r="CD426" i="80" s="1"/>
  <c r="EO410" i="80"/>
  <c r="EO426" i="80" s="1"/>
  <c r="EP16" i="80"/>
  <c r="EP410" i="80" s="1"/>
  <c r="EP426" i="80" s="1"/>
  <c r="AG410" i="80"/>
  <c r="AH16" i="80"/>
  <c r="AH410" i="80" s="1"/>
  <c r="AH426" i="80" s="1"/>
  <c r="BV16" i="80"/>
  <c r="BV410" i="80" s="1"/>
  <c r="BV426" i="80" s="1"/>
  <c r="BU410" i="80"/>
  <c r="BU426" i="80" s="1"/>
  <c r="EG410" i="80"/>
  <c r="EH16" i="80"/>
  <c r="EH410" i="80" s="1"/>
  <c r="EH426" i="80" s="1"/>
  <c r="DZ207" i="79"/>
  <c r="BN295" i="80"/>
  <c r="EP295" i="80"/>
  <c r="BF64" i="79"/>
  <c r="EH130" i="79"/>
  <c r="BM410" i="80"/>
  <c r="BN16" i="80"/>
  <c r="BN410" i="80" s="1"/>
  <c r="BN426" i="80" s="1"/>
  <c r="Y410" i="80"/>
  <c r="Z16" i="80"/>
  <c r="Z410" i="80" s="1"/>
  <c r="Z426" i="80" s="1"/>
  <c r="BE410" i="79"/>
  <c r="BF16" i="79"/>
  <c r="BF410" i="79" s="1"/>
  <c r="BF426" i="79" s="1"/>
  <c r="AX130" i="79"/>
  <c r="AH109" i="80"/>
  <c r="Q410" i="80"/>
  <c r="R16" i="80"/>
  <c r="R410" i="80" s="1"/>
  <c r="R426" i="80" s="1"/>
  <c r="DI410" i="80"/>
  <c r="DJ16" i="80"/>
  <c r="DJ410" i="80" s="1"/>
  <c r="DJ426" i="80" s="1"/>
  <c r="I426" i="79"/>
  <c r="G426" i="79"/>
  <c r="BV109" i="80"/>
  <c r="CK410" i="80"/>
  <c r="CL16" i="80"/>
  <c r="CL410" i="80" s="1"/>
  <c r="CL426" i="80" s="1"/>
  <c r="AW410" i="80"/>
  <c r="AX16" i="80"/>
  <c r="AX410" i="80" s="1"/>
  <c r="AX426" i="80" s="1"/>
  <c r="CL104" i="79"/>
  <c r="DJ153" i="79"/>
  <c r="CT130" i="80"/>
  <c r="FE410" i="79"/>
  <c r="FF16" i="79"/>
  <c r="FF410" i="79" s="1"/>
  <c r="FF426" i="79" s="1"/>
  <c r="CD295" i="80"/>
  <c r="FN64" i="80"/>
  <c r="EW410" i="80"/>
  <c r="EX16" i="80"/>
  <c r="EX410" i="80" s="1"/>
  <c r="EX426" i="80" s="1"/>
  <c r="G426" i="80"/>
  <c r="I426" i="80"/>
  <c r="DI410" i="79"/>
  <c r="DJ16" i="79"/>
  <c r="DJ410" i="79" s="1"/>
  <c r="DJ426" i="79" s="1"/>
  <c r="CI196" i="80"/>
  <c r="AU196" i="80"/>
  <c r="CI302" i="79"/>
  <c r="DW302" i="80"/>
  <c r="AE484" i="79"/>
  <c r="AE465" i="79" s="1"/>
  <c r="AE191" i="79" s="1"/>
  <c r="O484" i="79"/>
  <c r="O465" i="79" s="1"/>
  <c r="O191" i="79" s="1"/>
  <c r="CY302" i="79"/>
  <c r="CY315" i="79" s="1"/>
  <c r="CY331" i="79" s="1"/>
  <c r="FC302" i="79"/>
  <c r="BC484" i="79"/>
  <c r="BC465" i="79" s="1"/>
  <c r="BC191" i="79" s="1"/>
  <c r="C15" i="32"/>
  <c r="C21" i="32" s="1"/>
  <c r="C24" i="32" s="1"/>
  <c r="G84" i="166" s="1"/>
  <c r="G196" i="85"/>
  <c r="FK302" i="79"/>
  <c r="BK302" i="79"/>
  <c r="BK315" i="79" s="1"/>
  <c r="BK331" i="79" s="1"/>
  <c r="FC302" i="80"/>
  <c r="CA302" i="79"/>
  <c r="CA315" i="79" s="1"/>
  <c r="CA331" i="79" s="1"/>
  <c r="I301" i="85"/>
  <c r="K168" i="90" s="1"/>
  <c r="I302" i="85"/>
  <c r="I301" i="80"/>
  <c r="I302" i="80" s="1"/>
  <c r="I301" i="79"/>
  <c r="I302" i="79" s="1"/>
  <c r="BC302" i="79"/>
  <c r="BC315" i="79" s="1"/>
  <c r="BC331" i="79" s="1"/>
  <c r="H191" i="85"/>
  <c r="J107" i="90" s="1"/>
  <c r="H191" i="80"/>
  <c r="H196" i="80" s="1"/>
  <c r="H191" i="79"/>
  <c r="H196" i="79" s="1"/>
  <c r="D20" i="32"/>
  <c r="O302" i="80"/>
  <c r="O315" i="80" s="1"/>
  <c r="O331" i="80" s="1"/>
  <c r="DO302" i="79"/>
  <c r="DO315" i="79" s="1"/>
  <c r="DO331" i="79" s="1"/>
  <c r="EE302" i="79"/>
  <c r="EE315" i="79" s="1"/>
  <c r="EE331" i="79" s="1"/>
  <c r="BK484" i="79"/>
  <c r="BK465" i="79" s="1"/>
  <c r="BK191" i="79" s="1"/>
  <c r="DG196" i="80"/>
  <c r="FC196" i="80"/>
  <c r="CA484" i="79"/>
  <c r="CA465" i="79" s="1"/>
  <c r="CA191" i="79" s="1"/>
  <c r="EU302" i="80"/>
  <c r="EU315" i="80" s="1"/>
  <c r="EU331" i="80" s="1"/>
  <c r="CQ484" i="80"/>
  <c r="CQ465" i="80" s="1"/>
  <c r="CQ191" i="80" s="1"/>
  <c r="J191" i="85"/>
  <c r="L107" i="90" s="1"/>
  <c r="F20" i="32"/>
  <c r="J191" i="80"/>
  <c r="J196" i="80" s="1"/>
  <c r="J191" i="79"/>
  <c r="J196" i="79" s="1"/>
  <c r="FK196" i="80"/>
  <c r="DO484" i="79"/>
  <c r="DO465" i="79" s="1"/>
  <c r="DO191" i="79" s="1"/>
  <c r="AU484" i="79"/>
  <c r="AU465" i="79" s="1"/>
  <c r="AU191" i="79" s="1"/>
  <c r="DW302" i="79"/>
  <c r="AE302" i="80"/>
  <c r="EM302" i="79"/>
  <c r="EM315" i="79" s="1"/>
  <c r="EM331" i="79" s="1"/>
  <c r="H301" i="85"/>
  <c r="J168" i="90" s="1"/>
  <c r="H301" i="80"/>
  <c r="H302" i="80" s="1"/>
  <c r="H302" i="85"/>
  <c r="H301" i="79"/>
  <c r="H302" i="79" s="1"/>
  <c r="CQ302" i="80"/>
  <c r="CQ315" i="80" s="1"/>
  <c r="CQ331" i="80" s="1"/>
  <c r="I191" i="85"/>
  <c r="K107" i="90" s="1"/>
  <c r="E20" i="32"/>
  <c r="I191" i="80"/>
  <c r="I196" i="80" s="1"/>
  <c r="I191" i="79"/>
  <c r="I196" i="79" s="1"/>
  <c r="W484" i="79"/>
  <c r="W465" i="79" s="1"/>
  <c r="W191" i="79" s="1"/>
  <c r="EM196" i="80"/>
  <c r="AU302" i="79"/>
  <c r="AU315" i="79" s="1"/>
  <c r="AU331" i="79" s="1"/>
  <c r="W302" i="80"/>
  <c r="W315" i="80" s="1"/>
  <c r="W331" i="80" s="1"/>
  <c r="DW484" i="79"/>
  <c r="DW465" i="79" s="1"/>
  <c r="DW191" i="79" s="1"/>
  <c r="EM484" i="79"/>
  <c r="EM465" i="79" s="1"/>
  <c r="EM191" i="79" s="1"/>
  <c r="BS484" i="79"/>
  <c r="BS465" i="79" s="1"/>
  <c r="BS191" i="79" s="1"/>
  <c r="DO489" i="80"/>
  <c r="DO466" i="80" s="1"/>
  <c r="DO301" i="80" s="1"/>
  <c r="DW196" i="80"/>
  <c r="W302" i="79"/>
  <c r="W315" i="79" s="1"/>
  <c r="W331" i="79" s="1"/>
  <c r="EM302" i="80"/>
  <c r="CI302" i="80"/>
  <c r="CI315" i="80" s="1"/>
  <c r="CI331" i="80" s="1"/>
  <c r="CY196" i="80"/>
  <c r="CQ302" i="79"/>
  <c r="CQ315" i="79" s="1"/>
  <c r="CQ331" i="79" s="1"/>
  <c r="EE196" i="80"/>
  <c r="AM484" i="79"/>
  <c r="AM465" i="79" s="1"/>
  <c r="AM191" i="79" s="1"/>
  <c r="G302" i="85"/>
  <c r="BS302" i="79"/>
  <c r="BS315" i="79" s="1"/>
  <c r="BS331" i="79" s="1"/>
  <c r="DO484" i="80"/>
  <c r="DO465" i="80" s="1"/>
  <c r="DO191" i="80" s="1"/>
  <c r="AH295" i="80"/>
  <c r="DJ64" i="80"/>
  <c r="DG302" i="79"/>
  <c r="DG315" i="79" s="1"/>
  <c r="DG331" i="79" s="1"/>
  <c r="CQ484" i="79"/>
  <c r="CQ465" i="79" s="1"/>
  <c r="CQ191" i="79" s="1"/>
  <c r="EE302" i="80"/>
  <c r="EE315" i="80" s="1"/>
  <c r="EE331" i="80" s="1"/>
  <c r="AM302" i="79"/>
  <c r="BK302" i="80"/>
  <c r="J302" i="85"/>
  <c r="J301" i="80"/>
  <c r="J302" i="80" s="1"/>
  <c r="J301" i="79"/>
  <c r="J302" i="79" s="1"/>
  <c r="J301" i="85"/>
  <c r="L168" i="90" s="1"/>
  <c r="EU302" i="79"/>
  <c r="EU315" i="79" s="1"/>
  <c r="EU331" i="79" s="1"/>
  <c r="CI484" i="79"/>
  <c r="CI465" i="79" s="1"/>
  <c r="CI191" i="79" s="1"/>
  <c r="DG484" i="79"/>
  <c r="DG465" i="79" s="1"/>
  <c r="DG191" i="79" s="1"/>
  <c r="AE302" i="79"/>
  <c r="O302" i="79"/>
  <c r="O315" i="79" s="1"/>
  <c r="O331" i="79" s="1"/>
  <c r="CY484" i="79"/>
  <c r="CY465" i="79" s="1"/>
  <c r="CY191" i="79" s="1"/>
  <c r="FC484" i="79"/>
  <c r="FC465" i="79" s="1"/>
  <c r="FC191" i="79" s="1"/>
  <c r="EU484" i="79"/>
  <c r="EU465" i="79" s="1"/>
  <c r="EU191" i="79" s="1"/>
  <c r="DB207" i="79"/>
  <c r="FF295" i="80"/>
  <c r="Z295" i="80"/>
  <c r="AX295" i="80"/>
  <c r="DJ295" i="80"/>
  <c r="DO401" i="79"/>
  <c r="DP25" i="79"/>
  <c r="DP401" i="79" s="1"/>
  <c r="DQ25" i="79"/>
  <c r="DQ401" i="79" s="1"/>
  <c r="CI401" i="79"/>
  <c r="CJ25" i="79"/>
  <c r="CJ401" i="79" s="1"/>
  <c r="CK25" i="79"/>
  <c r="CK401" i="79" s="1"/>
  <c r="FN295" i="80"/>
  <c r="D48" i="35"/>
  <c r="D63" i="35" s="1"/>
  <c r="D64" i="35" s="1"/>
  <c r="D48" i="82"/>
  <c r="D63" i="82" s="1"/>
  <c r="D64" i="82" s="1"/>
  <c r="BK401" i="80"/>
  <c r="BL25" i="80"/>
  <c r="BL401" i="80" s="1"/>
  <c r="BM25" i="80"/>
  <c r="BM401" i="80" s="1"/>
  <c r="W401" i="79"/>
  <c r="X25" i="79"/>
  <c r="X401" i="79" s="1"/>
  <c r="Y25" i="79"/>
  <c r="Y401" i="79" s="1"/>
  <c r="I10" i="90"/>
  <c r="I28" i="90"/>
  <c r="FC401" i="80"/>
  <c r="FD25" i="80"/>
  <c r="FD401" i="80" s="1"/>
  <c r="FE25" i="80"/>
  <c r="FE401" i="80" s="1"/>
  <c r="DO401" i="80"/>
  <c r="DP25" i="80"/>
  <c r="DP401" i="80" s="1"/>
  <c r="DQ25" i="80"/>
  <c r="DQ401" i="80" s="1"/>
  <c r="B10" i="83"/>
  <c r="G165" i="79"/>
  <c r="G165" i="80"/>
  <c r="CQ401" i="79"/>
  <c r="CR25" i="79"/>
  <c r="CR401" i="79" s="1"/>
  <c r="CS25" i="79"/>
  <c r="CS401" i="79" s="1"/>
  <c r="BS401" i="79"/>
  <c r="BT25" i="79"/>
  <c r="BT401" i="79" s="1"/>
  <c r="BU25" i="79"/>
  <c r="BU401" i="79" s="1"/>
  <c r="DG401" i="79"/>
  <c r="DH25" i="79"/>
  <c r="DH401" i="79" s="1"/>
  <c r="DI25" i="79"/>
  <c r="DI401" i="79" s="1"/>
  <c r="EM33" i="80"/>
  <c r="AM33" i="80"/>
  <c r="CI33" i="80"/>
  <c r="G404" i="80"/>
  <c r="G34" i="80"/>
  <c r="BS33" i="80"/>
  <c r="W33" i="80"/>
  <c r="CQ33" i="80"/>
  <c r="CY33" i="80"/>
  <c r="EU33" i="80"/>
  <c r="DW33" i="80"/>
  <c r="BK33" i="80"/>
  <c r="FC33" i="80"/>
  <c r="BC33" i="80"/>
  <c r="FK33" i="80"/>
  <c r="EE33" i="80"/>
  <c r="DG33" i="80"/>
  <c r="AU33" i="80"/>
  <c r="DO33" i="80"/>
  <c r="AE33" i="80"/>
  <c r="CA33" i="80"/>
  <c r="O33" i="80"/>
  <c r="W401" i="80"/>
  <c r="X25" i="80"/>
  <c r="X401" i="80" s="1"/>
  <c r="Y25" i="80"/>
  <c r="Y401" i="80" s="1"/>
  <c r="CA401" i="80"/>
  <c r="CB25" i="80"/>
  <c r="CB401" i="80" s="1"/>
  <c r="CC25" i="80"/>
  <c r="CC401" i="80" s="1"/>
  <c r="AM401" i="79"/>
  <c r="AN25" i="79"/>
  <c r="AN401" i="79" s="1"/>
  <c r="AO25" i="79"/>
  <c r="AO401" i="79" s="1"/>
  <c r="O401" i="79"/>
  <c r="P25" i="79"/>
  <c r="P401" i="79" s="1"/>
  <c r="Q25" i="79"/>
  <c r="Q401" i="79" s="1"/>
  <c r="AE401" i="79"/>
  <c r="AF25" i="79"/>
  <c r="AF401" i="79" s="1"/>
  <c r="AG25" i="79"/>
  <c r="AG401" i="79" s="1"/>
  <c r="AM33" i="79"/>
  <c r="DW33" i="79"/>
  <c r="CA33" i="79"/>
  <c r="O33" i="79"/>
  <c r="EU33" i="79"/>
  <c r="DO33" i="79"/>
  <c r="CQ33" i="79"/>
  <c r="AE33" i="79"/>
  <c r="BK33" i="79"/>
  <c r="G419" i="79"/>
  <c r="CI33" i="79"/>
  <c r="CY33" i="79"/>
  <c r="EE33" i="79"/>
  <c r="G404" i="79"/>
  <c r="G425" i="79" s="1"/>
  <c r="FC33" i="79"/>
  <c r="G34" i="79"/>
  <c r="EM33" i="79"/>
  <c r="DG33" i="79"/>
  <c r="FK33" i="79"/>
  <c r="AU33" i="79"/>
  <c r="BS33" i="79"/>
  <c r="BC33" i="79"/>
  <c r="W33" i="79"/>
  <c r="CY401" i="80"/>
  <c r="CZ25" i="80"/>
  <c r="CZ401" i="80" s="1"/>
  <c r="DA25" i="80"/>
  <c r="DA401" i="80" s="1"/>
  <c r="BC401" i="80"/>
  <c r="BD25" i="80"/>
  <c r="BD401" i="80" s="1"/>
  <c r="BE25" i="80"/>
  <c r="BE401" i="80" s="1"/>
  <c r="EM401" i="80"/>
  <c r="EN25" i="80"/>
  <c r="EN401" i="80" s="1"/>
  <c r="EO25" i="80"/>
  <c r="EO401" i="80" s="1"/>
  <c r="AP295" i="80"/>
  <c r="FC401" i="79"/>
  <c r="FD25" i="79"/>
  <c r="FD401" i="79" s="1"/>
  <c r="FE25" i="79"/>
  <c r="FE401" i="79" s="1"/>
  <c r="BK401" i="79"/>
  <c r="BL25" i="79"/>
  <c r="BL401" i="79" s="1"/>
  <c r="BM25" i="79"/>
  <c r="BM401" i="79" s="1"/>
  <c r="AU401" i="79"/>
  <c r="AV25" i="79"/>
  <c r="AV401" i="79" s="1"/>
  <c r="AW25" i="79"/>
  <c r="AW401" i="79" s="1"/>
  <c r="J33" i="79"/>
  <c r="J33" i="85"/>
  <c r="J33" i="80"/>
  <c r="CQ401" i="80"/>
  <c r="CR25" i="80"/>
  <c r="CR401" i="80" s="1"/>
  <c r="CS25" i="80"/>
  <c r="CS401" i="80" s="1"/>
  <c r="CI401" i="80"/>
  <c r="CJ25" i="80"/>
  <c r="CJ401" i="80" s="1"/>
  <c r="CK25" i="80"/>
  <c r="CK401" i="80" s="1"/>
  <c r="AM401" i="80"/>
  <c r="AN25" i="80"/>
  <c r="AN401" i="80" s="1"/>
  <c r="AO25" i="80"/>
  <c r="AO401" i="80" s="1"/>
  <c r="EH207" i="79"/>
  <c r="EU401" i="79"/>
  <c r="EV25" i="79"/>
  <c r="EV401" i="79" s="1"/>
  <c r="EW25" i="79"/>
  <c r="EW401" i="79" s="1"/>
  <c r="EM401" i="79"/>
  <c r="EN25" i="79"/>
  <c r="EN401" i="79" s="1"/>
  <c r="EO25" i="79"/>
  <c r="EO401" i="79" s="1"/>
  <c r="BC401" i="79"/>
  <c r="BD25" i="79"/>
  <c r="BD401" i="79" s="1"/>
  <c r="BE25" i="79"/>
  <c r="BE401" i="79" s="1"/>
  <c r="I33" i="85"/>
  <c r="I33" i="79"/>
  <c r="I33" i="80"/>
  <c r="AE401" i="80"/>
  <c r="AF25" i="80"/>
  <c r="AF401" i="80" s="1"/>
  <c r="AG25" i="80"/>
  <c r="AG401" i="80" s="1"/>
  <c r="BS401" i="80"/>
  <c r="BT25" i="80"/>
  <c r="BT401" i="80" s="1"/>
  <c r="BU25" i="80"/>
  <c r="BU401" i="80" s="1"/>
  <c r="DY25" i="80"/>
  <c r="DY401" i="80" s="1"/>
  <c r="DX25" i="80"/>
  <c r="DX401" i="80" s="1"/>
  <c r="DW401" i="80"/>
  <c r="CY401" i="79"/>
  <c r="CZ25" i="79"/>
  <c r="CZ401" i="79" s="1"/>
  <c r="DA25" i="79"/>
  <c r="DA401" i="79" s="1"/>
  <c r="EE401" i="79"/>
  <c r="EF25" i="79"/>
  <c r="EF401" i="79" s="1"/>
  <c r="EG25" i="79"/>
  <c r="EG401" i="79" s="1"/>
  <c r="DW401" i="79"/>
  <c r="DX25" i="79"/>
  <c r="DX401" i="79" s="1"/>
  <c r="DY25" i="79"/>
  <c r="DY401" i="79" s="1"/>
  <c r="H33" i="85"/>
  <c r="H33" i="80"/>
  <c r="H33" i="79"/>
  <c r="AU401" i="80"/>
  <c r="AV25" i="80"/>
  <c r="AV401" i="80" s="1"/>
  <c r="AW25" i="80"/>
  <c r="AW401" i="80" s="1"/>
  <c r="DG401" i="80"/>
  <c r="DH25" i="80"/>
  <c r="DH401" i="80" s="1"/>
  <c r="DI25" i="80"/>
  <c r="DI401" i="80" s="1"/>
  <c r="O401" i="80"/>
  <c r="P25" i="80"/>
  <c r="P401" i="80" s="1"/>
  <c r="Q25" i="80"/>
  <c r="Q401" i="80" s="1"/>
  <c r="FK401" i="79"/>
  <c r="FL25" i="79"/>
  <c r="FL401" i="79" s="1"/>
  <c r="FM25" i="79"/>
  <c r="FM401" i="79" s="1"/>
  <c r="CA401" i="79"/>
  <c r="CB25" i="79"/>
  <c r="CB401" i="79" s="1"/>
  <c r="CC25" i="79"/>
  <c r="CC401" i="79" s="1"/>
  <c r="EU401" i="80"/>
  <c r="EV25" i="80"/>
  <c r="EV401" i="80" s="1"/>
  <c r="EW25" i="80"/>
  <c r="EW401" i="80" s="1"/>
  <c r="FK401" i="80"/>
  <c r="FL25" i="80"/>
  <c r="FL401" i="80" s="1"/>
  <c r="FM25" i="80"/>
  <c r="FM401" i="80" s="1"/>
  <c r="EE401" i="80"/>
  <c r="EF25" i="80"/>
  <c r="EF401" i="80" s="1"/>
  <c r="EG25" i="80"/>
  <c r="EG401" i="80" s="1"/>
  <c r="EE121" i="80"/>
  <c r="BK121" i="80"/>
  <c r="W121" i="80"/>
  <c r="BC121" i="80"/>
  <c r="EM121" i="80"/>
  <c r="O121" i="80"/>
  <c r="AE121" i="80"/>
  <c r="FK121" i="80"/>
  <c r="CY121" i="80"/>
  <c r="DW121" i="80"/>
  <c r="DG121" i="80"/>
  <c r="EU121" i="80"/>
  <c r="AU121" i="80"/>
  <c r="CI121" i="80"/>
  <c r="CA121" i="80"/>
  <c r="CQ121" i="80"/>
  <c r="AM121" i="80"/>
  <c r="FC121" i="80"/>
  <c r="BS121" i="80"/>
  <c r="DO121" i="80"/>
  <c r="O121" i="79"/>
  <c r="AM121" i="79"/>
  <c r="DG121" i="79"/>
  <c r="AU121" i="79"/>
  <c r="BS121" i="79"/>
  <c r="EU121" i="79"/>
  <c r="DO121" i="79"/>
  <c r="FK121" i="79"/>
  <c r="CQ121" i="79"/>
  <c r="EM121" i="79"/>
  <c r="DW121" i="79"/>
  <c r="AE121" i="79"/>
  <c r="FC121" i="79"/>
  <c r="CY121" i="79"/>
  <c r="CI121" i="79"/>
  <c r="W121" i="79"/>
  <c r="CA121" i="79"/>
  <c r="BC121" i="79"/>
  <c r="BK121" i="79"/>
  <c r="EE121" i="79"/>
  <c r="Q42" i="82"/>
  <c r="Q46" i="82" s="1"/>
  <c r="D46" i="82"/>
  <c r="Y151" i="79"/>
  <c r="X151" i="79"/>
  <c r="E42" i="82"/>
  <c r="H26" i="85"/>
  <c r="E42" i="35"/>
  <c r="H22" i="80"/>
  <c r="H22" i="85"/>
  <c r="J5" i="90" s="1"/>
  <c r="H22" i="79"/>
  <c r="DG120" i="79"/>
  <c r="CA120" i="79"/>
  <c r="FC120" i="79"/>
  <c r="CQ120" i="79"/>
  <c r="BK120" i="79"/>
  <c r="FK120" i="79"/>
  <c r="AM120" i="79"/>
  <c r="CI120" i="79"/>
  <c r="O120" i="79"/>
  <c r="EM120" i="79"/>
  <c r="AE120" i="79"/>
  <c r="DO120" i="79"/>
  <c r="DW120" i="79"/>
  <c r="W120" i="79"/>
  <c r="AU120" i="79"/>
  <c r="EU120" i="79"/>
  <c r="BC120" i="79"/>
  <c r="CY120" i="79"/>
  <c r="EE120" i="79"/>
  <c r="BS120" i="79"/>
  <c r="D46" i="35"/>
  <c r="Q42" i="35"/>
  <c r="G42" i="82"/>
  <c r="J22" i="85"/>
  <c r="L5" i="90" s="1"/>
  <c r="J26" i="85"/>
  <c r="G42" i="35"/>
  <c r="J22" i="80"/>
  <c r="J22" i="79"/>
  <c r="G26" i="85"/>
  <c r="DY151" i="80"/>
  <c r="DX151" i="80"/>
  <c r="CA120" i="80"/>
  <c r="AM120" i="80"/>
  <c r="EM120" i="80"/>
  <c r="BK120" i="80"/>
  <c r="AE120" i="80"/>
  <c r="AU120" i="80"/>
  <c r="CY120" i="80"/>
  <c r="EE120" i="80"/>
  <c r="DG120" i="80"/>
  <c r="CQ120" i="80"/>
  <c r="FC120" i="80"/>
  <c r="DO120" i="80"/>
  <c r="W120" i="80"/>
  <c r="CI120" i="80"/>
  <c r="O120" i="80"/>
  <c r="BS120" i="80"/>
  <c r="BC120" i="80"/>
  <c r="EU120" i="80"/>
  <c r="FK120" i="80"/>
  <c r="DW120" i="80"/>
  <c r="CI22" i="79"/>
  <c r="EU22" i="79"/>
  <c r="CA22" i="79"/>
  <c r="CY22" i="79"/>
  <c r="AM22" i="79"/>
  <c r="EE22" i="79"/>
  <c r="FK22" i="79"/>
  <c r="W22" i="79"/>
  <c r="AE22" i="79"/>
  <c r="G398" i="79"/>
  <c r="G402" i="79" s="1"/>
  <c r="CQ22" i="79"/>
  <c r="DG22" i="79"/>
  <c r="G26" i="79"/>
  <c r="DO22" i="79"/>
  <c r="FC22" i="79"/>
  <c r="BK22" i="79"/>
  <c r="O22" i="79"/>
  <c r="EM22" i="79"/>
  <c r="BS22" i="79"/>
  <c r="BC22" i="79"/>
  <c r="AU22" i="79"/>
  <c r="DW22" i="79"/>
  <c r="G26" i="80"/>
  <c r="FK22" i="80"/>
  <c r="CI22" i="80"/>
  <c r="DO22" i="80"/>
  <c r="DG22" i="80"/>
  <c r="CA22" i="80"/>
  <c r="AU22" i="80"/>
  <c r="FC22" i="80"/>
  <c r="CQ22" i="80"/>
  <c r="EU22" i="80"/>
  <c r="AM22" i="80"/>
  <c r="EE22" i="80"/>
  <c r="BC22" i="80"/>
  <c r="CY22" i="80"/>
  <c r="BS22" i="80"/>
  <c r="O22" i="80"/>
  <c r="W22" i="80"/>
  <c r="AE22" i="80"/>
  <c r="DW22" i="80"/>
  <c r="BK22" i="80"/>
  <c r="EM22" i="80"/>
  <c r="G398" i="80"/>
  <c r="I26" i="85"/>
  <c r="I22" i="79"/>
  <c r="F42" i="82"/>
  <c r="F46" i="82" s="1"/>
  <c r="I22" i="85"/>
  <c r="K5" i="90" s="1"/>
  <c r="I22" i="80"/>
  <c r="F42" i="35"/>
  <c r="FD292" i="79" l="1"/>
  <c r="FF292" i="79" s="1"/>
  <c r="FK426" i="80"/>
  <c r="BD292" i="79"/>
  <c r="BF292" i="79" s="1"/>
  <c r="BV181" i="79"/>
  <c r="EP181" i="80"/>
  <c r="CL181" i="80"/>
  <c r="Z254" i="80"/>
  <c r="AP254" i="79"/>
  <c r="EP254" i="80"/>
  <c r="R254" i="79"/>
  <c r="DZ181" i="80"/>
  <c r="DJ181" i="80"/>
  <c r="DR254" i="79"/>
  <c r="DR181" i="80"/>
  <c r="BF181" i="80"/>
  <c r="R181" i="80"/>
  <c r="BF254" i="79"/>
  <c r="AH181" i="79"/>
  <c r="DJ254" i="79"/>
  <c r="AP181" i="80"/>
  <c r="AX254" i="79"/>
  <c r="Z181" i="80"/>
  <c r="BN254" i="80"/>
  <c r="AP181" i="79"/>
  <c r="EX181" i="80"/>
  <c r="AH254" i="80"/>
  <c r="FN254" i="80"/>
  <c r="Z181" i="79"/>
  <c r="DB254" i="80"/>
  <c r="EH254" i="79"/>
  <c r="BN181" i="80"/>
  <c r="CT254" i="79"/>
  <c r="BN254" i="79"/>
  <c r="Z254" i="79"/>
  <c r="CL254" i="79"/>
  <c r="CT254" i="80"/>
  <c r="FF254" i="80"/>
  <c r="EX254" i="80"/>
  <c r="EP181" i="79"/>
  <c r="DZ215" i="80"/>
  <c r="BV254" i="79"/>
  <c r="AX181" i="79"/>
  <c r="AH181" i="80"/>
  <c r="FN254" i="79"/>
  <c r="EX181" i="79"/>
  <c r="CD254" i="79"/>
  <c r="EH254" i="80"/>
  <c r="DB181" i="80"/>
  <c r="CL181" i="79"/>
  <c r="EH181" i="80"/>
  <c r="AX181" i="80"/>
  <c r="EH181" i="79"/>
  <c r="EX254" i="79"/>
  <c r="DB181" i="79"/>
  <c r="DZ254" i="79"/>
  <c r="DR181" i="79"/>
  <c r="DR254" i="80"/>
  <c r="DB254" i="79"/>
  <c r="CD181" i="80"/>
  <c r="BV181" i="80"/>
  <c r="H126" i="166"/>
  <c r="I126" i="166"/>
  <c r="J126" i="166"/>
  <c r="G126" i="79"/>
  <c r="G126" i="80"/>
  <c r="G126" i="85"/>
  <c r="I72" i="90" s="1"/>
  <c r="I154" i="85"/>
  <c r="K92" i="90" s="1"/>
  <c r="I154" i="80"/>
  <c r="I154" i="79"/>
  <c r="CY107" i="80"/>
  <c r="O107" i="80"/>
  <c r="EE107" i="80"/>
  <c r="BS107" i="80"/>
  <c r="CQ107" i="80"/>
  <c r="EU107" i="80"/>
  <c r="AM107" i="80"/>
  <c r="DO107" i="80"/>
  <c r="CA107" i="80"/>
  <c r="BK107" i="80"/>
  <c r="DG107" i="80"/>
  <c r="DW107" i="80"/>
  <c r="EM107" i="80"/>
  <c r="AU107" i="80"/>
  <c r="CI107" i="80"/>
  <c r="BC107" i="80"/>
  <c r="W107" i="80"/>
  <c r="AE107" i="80"/>
  <c r="FC107" i="80"/>
  <c r="FK107" i="80"/>
  <c r="BS111" i="79"/>
  <c r="EU111" i="79"/>
  <c r="EM111" i="79"/>
  <c r="BC111" i="79"/>
  <c r="AE111" i="79"/>
  <c r="FK111" i="79"/>
  <c r="CA111" i="79"/>
  <c r="CQ111" i="79"/>
  <c r="AM111" i="79"/>
  <c r="W111" i="79"/>
  <c r="DO111" i="79"/>
  <c r="EE111" i="79"/>
  <c r="CI111" i="79"/>
  <c r="AU111" i="79"/>
  <c r="CY111" i="79"/>
  <c r="DW111" i="79"/>
  <c r="DG111" i="79"/>
  <c r="FC111" i="79"/>
  <c r="BK111" i="79"/>
  <c r="O111" i="79"/>
  <c r="AH254" i="79"/>
  <c r="I100" i="166"/>
  <c r="I100" i="85" s="1"/>
  <c r="I97" i="80"/>
  <c r="I100" i="80" s="1"/>
  <c r="I97" i="79"/>
  <c r="I100" i="79" s="1"/>
  <c r="I97" i="85"/>
  <c r="K49" i="90" s="1"/>
  <c r="H132" i="85"/>
  <c r="J78" i="90" s="1"/>
  <c r="H132" i="79"/>
  <c r="H132" i="80"/>
  <c r="CL254" i="80"/>
  <c r="AM111" i="80"/>
  <c r="CY111" i="80"/>
  <c r="AU111" i="80"/>
  <c r="FK111" i="80"/>
  <c r="EM111" i="80"/>
  <c r="O111" i="80"/>
  <c r="DW111" i="80"/>
  <c r="CI111" i="80"/>
  <c r="CQ111" i="80"/>
  <c r="W111" i="80"/>
  <c r="BK111" i="80"/>
  <c r="DO111" i="80"/>
  <c r="BS111" i="80"/>
  <c r="DG111" i="80"/>
  <c r="EE111" i="80"/>
  <c r="CA111" i="80"/>
  <c r="BC111" i="80"/>
  <c r="FC111" i="80"/>
  <c r="AE111" i="80"/>
  <c r="EU111" i="80"/>
  <c r="BC119" i="80"/>
  <c r="AM119" i="80"/>
  <c r="AE119" i="80"/>
  <c r="CA119" i="80"/>
  <c r="CY119" i="80"/>
  <c r="FC119" i="80"/>
  <c r="BS119" i="80"/>
  <c r="DO119" i="80"/>
  <c r="W119" i="80"/>
  <c r="EU119" i="80"/>
  <c r="AU119" i="80"/>
  <c r="BK119" i="80"/>
  <c r="CI119" i="80"/>
  <c r="EE119" i="80"/>
  <c r="DW119" i="80"/>
  <c r="FK119" i="80"/>
  <c r="CQ119" i="80"/>
  <c r="EM119" i="80"/>
  <c r="DG119" i="80"/>
  <c r="O119" i="80"/>
  <c r="J154" i="80"/>
  <c r="J154" i="79"/>
  <c r="J154" i="85"/>
  <c r="L92" i="90" s="1"/>
  <c r="H107" i="80"/>
  <c r="H107" i="85"/>
  <c r="J56" i="90" s="1"/>
  <c r="H107" i="79"/>
  <c r="H100" i="166"/>
  <c r="H100" i="85" s="1"/>
  <c r="H97" i="79"/>
  <c r="H100" i="79" s="1"/>
  <c r="H97" i="80"/>
  <c r="H100" i="80" s="1"/>
  <c r="H97" i="85"/>
  <c r="J49" i="90" s="1"/>
  <c r="EP254" i="79"/>
  <c r="H154" i="79"/>
  <c r="H154" i="85"/>
  <c r="J92" i="90" s="1"/>
  <c r="H154" i="80"/>
  <c r="BN181" i="79"/>
  <c r="CQ110" i="80"/>
  <c r="DO110" i="80"/>
  <c r="DW110" i="80"/>
  <c r="EE110" i="80"/>
  <c r="BK110" i="80"/>
  <c r="AU110" i="80"/>
  <c r="DG110" i="80"/>
  <c r="CA110" i="80"/>
  <c r="CY110" i="80"/>
  <c r="AM110" i="80"/>
  <c r="BS110" i="80"/>
  <c r="CI110" i="80"/>
  <c r="EM110" i="80"/>
  <c r="FK110" i="80"/>
  <c r="W110" i="80"/>
  <c r="AE110" i="80"/>
  <c r="EU110" i="80"/>
  <c r="FC110" i="80"/>
  <c r="BC110" i="80"/>
  <c r="O110" i="80"/>
  <c r="S13" i="82"/>
  <c r="AU418" i="80"/>
  <c r="AM424" i="80"/>
  <c r="EO29" i="80"/>
  <c r="EO30" i="80" s="1"/>
  <c r="EO403" i="80" s="1"/>
  <c r="FK152" i="79"/>
  <c r="EM152" i="79"/>
  <c r="AM152" i="79"/>
  <c r="CI152" i="79"/>
  <c r="CQ152" i="79"/>
  <c r="W152" i="79"/>
  <c r="FC152" i="79"/>
  <c r="EU152" i="79"/>
  <c r="CY152" i="79"/>
  <c r="BS152" i="79"/>
  <c r="AU152" i="79"/>
  <c r="DO152" i="79"/>
  <c r="BK152" i="79"/>
  <c r="DG152" i="79"/>
  <c r="EE152" i="79"/>
  <c r="O152" i="79"/>
  <c r="BC152" i="79"/>
  <c r="DW152" i="79"/>
  <c r="AE152" i="79"/>
  <c r="CA152" i="79"/>
  <c r="G129" i="85"/>
  <c r="I75" i="90" s="1"/>
  <c r="G129" i="79"/>
  <c r="G129" i="80"/>
  <c r="AE110" i="79"/>
  <c r="BC110" i="79"/>
  <c r="W110" i="79"/>
  <c r="EE110" i="79"/>
  <c r="DG110" i="79"/>
  <c r="CI110" i="79"/>
  <c r="CQ110" i="79"/>
  <c r="FC110" i="79"/>
  <c r="CY110" i="79"/>
  <c r="AU110" i="79"/>
  <c r="FK110" i="79"/>
  <c r="DO110" i="79"/>
  <c r="BK110" i="79"/>
  <c r="EM110" i="79"/>
  <c r="BS110" i="79"/>
  <c r="DW110" i="79"/>
  <c r="AM110" i="79"/>
  <c r="O110" i="79"/>
  <c r="CA110" i="79"/>
  <c r="EU110" i="79"/>
  <c r="BF254" i="80"/>
  <c r="K620" i="162"/>
  <c r="K621" i="162"/>
  <c r="CD254" i="80"/>
  <c r="DW127" i="80"/>
  <c r="DO127" i="80"/>
  <c r="DG127" i="80"/>
  <c r="O127" i="80"/>
  <c r="CY127" i="80"/>
  <c r="BK127" i="80"/>
  <c r="CA127" i="80"/>
  <c r="W127" i="80"/>
  <c r="EE127" i="80"/>
  <c r="AE127" i="80"/>
  <c r="AU127" i="80"/>
  <c r="FC127" i="80"/>
  <c r="EM127" i="80"/>
  <c r="AM127" i="80"/>
  <c r="CI127" i="80"/>
  <c r="FK127" i="80"/>
  <c r="CQ127" i="80"/>
  <c r="EU127" i="80"/>
  <c r="BC127" i="80"/>
  <c r="BS127" i="80"/>
  <c r="FN181" i="80"/>
  <c r="CQ155" i="79"/>
  <c r="CA155" i="79"/>
  <c r="FC155" i="79"/>
  <c r="BK155" i="79"/>
  <c r="BC155" i="79"/>
  <c r="AM155" i="79"/>
  <c r="DW155" i="79"/>
  <c r="CY155" i="79"/>
  <c r="AU155" i="79"/>
  <c r="DO155" i="79"/>
  <c r="EU155" i="79"/>
  <c r="EM155" i="79"/>
  <c r="W155" i="79"/>
  <c r="FK155" i="79"/>
  <c r="O155" i="79"/>
  <c r="CI155" i="79"/>
  <c r="AE155" i="79"/>
  <c r="DG155" i="79"/>
  <c r="BS155" i="79"/>
  <c r="EE155" i="79"/>
  <c r="FK119" i="79"/>
  <c r="DO119" i="79"/>
  <c r="AM119" i="79"/>
  <c r="CQ119" i="79"/>
  <c r="EM119" i="79"/>
  <c r="BK119" i="79"/>
  <c r="O119" i="79"/>
  <c r="EE119" i="79"/>
  <c r="AU119" i="79"/>
  <c r="FC119" i="79"/>
  <c r="BC119" i="79"/>
  <c r="CY119" i="79"/>
  <c r="EU119" i="79"/>
  <c r="AE119" i="79"/>
  <c r="DW119" i="79"/>
  <c r="DG119" i="79"/>
  <c r="BS119" i="79"/>
  <c r="CI119" i="79"/>
  <c r="W119" i="79"/>
  <c r="CA119" i="79"/>
  <c r="EM152" i="80"/>
  <c r="AE152" i="80"/>
  <c r="BC152" i="80"/>
  <c r="EU152" i="80"/>
  <c r="AU152" i="80"/>
  <c r="FC152" i="80"/>
  <c r="FK152" i="80"/>
  <c r="BK152" i="80"/>
  <c r="CI152" i="80"/>
  <c r="CA152" i="80"/>
  <c r="BS152" i="80"/>
  <c r="DO152" i="80"/>
  <c r="DW152" i="80"/>
  <c r="EE152" i="80"/>
  <c r="CQ152" i="80"/>
  <c r="O152" i="80"/>
  <c r="W152" i="80"/>
  <c r="CY152" i="80"/>
  <c r="DG152" i="80"/>
  <c r="AM152" i="80"/>
  <c r="H129" i="85"/>
  <c r="J75" i="90" s="1"/>
  <c r="H129" i="79"/>
  <c r="H129" i="80"/>
  <c r="J155" i="80"/>
  <c r="J155" i="85"/>
  <c r="L93" i="90" s="1"/>
  <c r="J155" i="79"/>
  <c r="CD181" i="79"/>
  <c r="CY105" i="79"/>
  <c r="DO105" i="79"/>
  <c r="AE105" i="79"/>
  <c r="FK105" i="79"/>
  <c r="CA105" i="79"/>
  <c r="CA116" i="79" s="1"/>
  <c r="O105" i="79"/>
  <c r="O116" i="79" s="1"/>
  <c r="W105" i="79"/>
  <c r="W116" i="79" s="1"/>
  <c r="BC105" i="79"/>
  <c r="BC116" i="79" s="1"/>
  <c r="CQ105" i="79"/>
  <c r="EE105" i="79"/>
  <c r="AU105" i="79"/>
  <c r="AM105" i="79"/>
  <c r="DG105" i="79"/>
  <c r="G116" i="79"/>
  <c r="EM105" i="79"/>
  <c r="CI105" i="79"/>
  <c r="EU105" i="79"/>
  <c r="BK105" i="79"/>
  <c r="DW105" i="79"/>
  <c r="FC105" i="79"/>
  <c r="BS105" i="79"/>
  <c r="BK127" i="79"/>
  <c r="BS127" i="79"/>
  <c r="W127" i="79"/>
  <c r="CA127" i="79"/>
  <c r="DG127" i="79"/>
  <c r="CQ127" i="79"/>
  <c r="O127" i="79"/>
  <c r="FC127" i="79"/>
  <c r="AE127" i="79"/>
  <c r="EU127" i="79"/>
  <c r="DO127" i="79"/>
  <c r="FK127" i="79"/>
  <c r="AM127" i="79"/>
  <c r="EE127" i="79"/>
  <c r="EM127" i="79"/>
  <c r="BC127" i="79"/>
  <c r="DW127" i="79"/>
  <c r="AU127" i="79"/>
  <c r="CY127" i="79"/>
  <c r="CI127" i="79"/>
  <c r="CT181" i="79"/>
  <c r="H155" i="85"/>
  <c r="J93" i="90" s="1"/>
  <c r="H155" i="79"/>
  <c r="H155" i="80"/>
  <c r="AO29" i="80"/>
  <c r="AO30" i="80" s="1"/>
  <c r="AO403" i="80" s="1"/>
  <c r="AO424" i="80" s="1"/>
  <c r="CY105" i="80"/>
  <c r="FK105" i="80"/>
  <c r="DG105" i="80"/>
  <c r="DG116" i="80" s="1"/>
  <c r="CQ105" i="80"/>
  <c r="W105" i="80"/>
  <c r="FC105" i="80"/>
  <c r="BS105" i="80"/>
  <c r="EE105" i="80"/>
  <c r="DW105" i="80"/>
  <c r="DW116" i="80" s="1"/>
  <c r="O105" i="80"/>
  <c r="O116" i="80" s="1"/>
  <c r="AU105" i="80"/>
  <c r="AU116" i="80" s="1"/>
  <c r="EU105" i="80"/>
  <c r="AM105" i="80"/>
  <c r="DO105" i="80"/>
  <c r="DO116" i="80" s="1"/>
  <c r="G116" i="80"/>
  <c r="CI105" i="80"/>
  <c r="EM105" i="80"/>
  <c r="EM116" i="80" s="1"/>
  <c r="CA105" i="80"/>
  <c r="BK105" i="80"/>
  <c r="BK116" i="80" s="1"/>
  <c r="BC105" i="80"/>
  <c r="AE105" i="80"/>
  <c r="I155" i="79"/>
  <c r="I155" i="80"/>
  <c r="I155" i="85"/>
  <c r="K93" i="90" s="1"/>
  <c r="FF254" i="79"/>
  <c r="BF181" i="79"/>
  <c r="FF181" i="79"/>
  <c r="J107" i="85"/>
  <c r="L56" i="90" s="1"/>
  <c r="J107" i="80"/>
  <c r="J107" i="79"/>
  <c r="CB29" i="79"/>
  <c r="X292" i="79"/>
  <c r="Z292" i="79" s="1"/>
  <c r="FC315" i="80"/>
  <c r="FC331" i="80" s="1"/>
  <c r="DZ181" i="79"/>
  <c r="O97" i="79"/>
  <c r="EU97" i="79"/>
  <c r="EM97" i="79"/>
  <c r="AU97" i="79"/>
  <c r="FK97" i="79"/>
  <c r="FC97" i="79"/>
  <c r="DW97" i="79"/>
  <c r="G100" i="79"/>
  <c r="CQ97" i="79"/>
  <c r="AE97" i="79"/>
  <c r="DO97" i="79"/>
  <c r="BS97" i="79"/>
  <c r="BK97" i="79"/>
  <c r="BC97" i="79"/>
  <c r="DG97" i="79"/>
  <c r="CY97" i="79"/>
  <c r="CI97" i="79"/>
  <c r="W97" i="79"/>
  <c r="CA97" i="79"/>
  <c r="AM97" i="79"/>
  <c r="EE97" i="79"/>
  <c r="DJ254" i="80"/>
  <c r="AX254" i="80"/>
  <c r="DJ181" i="79"/>
  <c r="BS132" i="79"/>
  <c r="BK132" i="79"/>
  <c r="EE132" i="79"/>
  <c r="O132" i="79"/>
  <c r="FC132" i="79"/>
  <c r="DW132" i="79"/>
  <c r="EU132" i="79"/>
  <c r="CA132" i="79"/>
  <c r="FK132" i="79"/>
  <c r="W132" i="79"/>
  <c r="DG132" i="79"/>
  <c r="CY132" i="79"/>
  <c r="AU132" i="79"/>
  <c r="CQ132" i="79"/>
  <c r="BC132" i="79"/>
  <c r="AE132" i="79"/>
  <c r="AM132" i="79"/>
  <c r="DO132" i="79"/>
  <c r="CI132" i="79"/>
  <c r="EM132" i="79"/>
  <c r="DG131" i="79"/>
  <c r="AM131" i="79"/>
  <c r="CI131" i="79"/>
  <c r="EU131" i="79"/>
  <c r="W131" i="79"/>
  <c r="BS131" i="79"/>
  <c r="CY131" i="79"/>
  <c r="FC131" i="79"/>
  <c r="CA131" i="79"/>
  <c r="FK131" i="79"/>
  <c r="BC131" i="79"/>
  <c r="EE131" i="79"/>
  <c r="CQ131" i="79"/>
  <c r="DW131" i="79"/>
  <c r="AE131" i="79"/>
  <c r="O131" i="79"/>
  <c r="AU131" i="79"/>
  <c r="EM131" i="79"/>
  <c r="DO131" i="79"/>
  <c r="BK131" i="79"/>
  <c r="BU29" i="79"/>
  <c r="BU30" i="79" s="1"/>
  <c r="BU418" i="79" s="1"/>
  <c r="BT29" i="79"/>
  <c r="R181" i="79"/>
  <c r="AE97" i="80"/>
  <c r="O97" i="80"/>
  <c r="W97" i="80"/>
  <c r="AM97" i="80"/>
  <c r="AU97" i="80"/>
  <c r="FK97" i="80"/>
  <c r="BK97" i="80"/>
  <c r="CI97" i="80"/>
  <c r="DW97" i="80"/>
  <c r="CQ97" i="80"/>
  <c r="FC97" i="80"/>
  <c r="BC97" i="80"/>
  <c r="DG97" i="80"/>
  <c r="G100" i="80"/>
  <c r="EU97" i="80"/>
  <c r="CY97" i="80"/>
  <c r="DO97" i="80"/>
  <c r="BS97" i="80"/>
  <c r="CA97" i="80"/>
  <c r="EM97" i="80"/>
  <c r="EE97" i="80"/>
  <c r="FE29" i="80"/>
  <c r="FE30" i="80" s="1"/>
  <c r="FE403" i="80" s="1"/>
  <c r="BK154" i="79"/>
  <c r="AM154" i="79"/>
  <c r="DW154" i="79"/>
  <c r="CY154" i="79"/>
  <c r="EU154" i="79"/>
  <c r="DO154" i="79"/>
  <c r="EE154" i="79"/>
  <c r="AE154" i="79"/>
  <c r="BC154" i="79"/>
  <c r="CA154" i="79"/>
  <c r="CI154" i="79"/>
  <c r="BS154" i="79"/>
  <c r="DG154" i="79"/>
  <c r="FK154" i="79"/>
  <c r="CQ154" i="79"/>
  <c r="FC154" i="79"/>
  <c r="W154" i="79"/>
  <c r="EM154" i="79"/>
  <c r="O154" i="79"/>
  <c r="AU154" i="79"/>
  <c r="FF181" i="80"/>
  <c r="DZ254" i="80"/>
  <c r="AE132" i="80"/>
  <c r="BC132" i="80"/>
  <c r="CY132" i="80"/>
  <c r="DG132" i="80"/>
  <c r="EM132" i="80"/>
  <c r="AU132" i="80"/>
  <c r="BK132" i="80"/>
  <c r="CQ132" i="80"/>
  <c r="O132" i="80"/>
  <c r="BS132" i="80"/>
  <c r="EE132" i="80"/>
  <c r="W132" i="80"/>
  <c r="EU132" i="80"/>
  <c r="FC132" i="80"/>
  <c r="AM132" i="80"/>
  <c r="DW132" i="80"/>
  <c r="CA132" i="80"/>
  <c r="CI132" i="80"/>
  <c r="FK132" i="80"/>
  <c r="DO132" i="80"/>
  <c r="EU131" i="80"/>
  <c r="FK131" i="80"/>
  <c r="FC131" i="80"/>
  <c r="CI131" i="80"/>
  <c r="AE131" i="80"/>
  <c r="AM131" i="80"/>
  <c r="O131" i="80"/>
  <c r="DO131" i="80"/>
  <c r="BC131" i="80"/>
  <c r="W131" i="80"/>
  <c r="BK131" i="80"/>
  <c r="DG131" i="80"/>
  <c r="EM131" i="80"/>
  <c r="CA131" i="80"/>
  <c r="DW131" i="80"/>
  <c r="CQ131" i="80"/>
  <c r="AU131" i="80"/>
  <c r="CY131" i="80"/>
  <c r="EE131" i="80"/>
  <c r="BS131" i="80"/>
  <c r="R254" i="80"/>
  <c r="AN29" i="80"/>
  <c r="AN30" i="80" s="1"/>
  <c r="AN403" i="80" s="1"/>
  <c r="AE154" i="80"/>
  <c r="BS154" i="80"/>
  <c r="FC154" i="80"/>
  <c r="CI154" i="80"/>
  <c r="O154" i="80"/>
  <c r="DG154" i="80"/>
  <c r="AM154" i="80"/>
  <c r="DO154" i="80"/>
  <c r="BC154" i="80"/>
  <c r="AU154" i="80"/>
  <c r="W154" i="80"/>
  <c r="BK154" i="80"/>
  <c r="EM154" i="80"/>
  <c r="CY154" i="80"/>
  <c r="EU154" i="80"/>
  <c r="FK154" i="80"/>
  <c r="DW154" i="80"/>
  <c r="EE154" i="80"/>
  <c r="CQ154" i="80"/>
  <c r="CA154" i="80"/>
  <c r="FK107" i="79"/>
  <c r="AE107" i="79"/>
  <c r="CY107" i="79"/>
  <c r="FC107" i="79"/>
  <c r="BC107" i="79"/>
  <c r="DO107" i="79"/>
  <c r="DG107" i="79"/>
  <c r="W107" i="79"/>
  <c r="AM107" i="79"/>
  <c r="BK107" i="79"/>
  <c r="CQ107" i="79"/>
  <c r="O107" i="79"/>
  <c r="AU107" i="79"/>
  <c r="BS107" i="79"/>
  <c r="DW107" i="79"/>
  <c r="CI107" i="79"/>
  <c r="EE107" i="79"/>
  <c r="EM107" i="79"/>
  <c r="CA107" i="79"/>
  <c r="EU107" i="79"/>
  <c r="AP254" i="80"/>
  <c r="J132" i="85"/>
  <c r="L78" i="90" s="1"/>
  <c r="J132" i="80"/>
  <c r="J132" i="79"/>
  <c r="I107" i="80"/>
  <c r="I107" i="85"/>
  <c r="K56" i="90" s="1"/>
  <c r="I107" i="79"/>
  <c r="FN181" i="79"/>
  <c r="DG155" i="80"/>
  <c r="DO155" i="80"/>
  <c r="FK155" i="80"/>
  <c r="EU155" i="80"/>
  <c r="AU155" i="80"/>
  <c r="EE155" i="80"/>
  <c r="W155" i="80"/>
  <c r="CI155" i="80"/>
  <c r="BK155" i="80"/>
  <c r="O155" i="80"/>
  <c r="AE155" i="80"/>
  <c r="AM155" i="80"/>
  <c r="DW155" i="80"/>
  <c r="CA155" i="80"/>
  <c r="FC155" i="80"/>
  <c r="EM155" i="80"/>
  <c r="BC155" i="80"/>
  <c r="BS155" i="80"/>
  <c r="CY155" i="80"/>
  <c r="CQ155" i="80"/>
  <c r="CC29" i="79"/>
  <c r="CC30" i="79" s="1"/>
  <c r="CC418" i="79" s="1"/>
  <c r="J100" i="166"/>
  <c r="J100" i="85" s="1"/>
  <c r="J97" i="80"/>
  <c r="J100" i="80" s="1"/>
  <c r="J97" i="79"/>
  <c r="J100" i="79" s="1"/>
  <c r="J97" i="85"/>
  <c r="L49" i="90" s="1"/>
  <c r="I132" i="80"/>
  <c r="I132" i="85"/>
  <c r="K78" i="90" s="1"/>
  <c r="I132" i="79"/>
  <c r="BV254" i="80"/>
  <c r="FK418" i="80"/>
  <c r="EU418" i="80"/>
  <c r="DX29" i="79"/>
  <c r="DX30" i="79" s="1"/>
  <c r="BK424" i="80"/>
  <c r="AN29" i="79"/>
  <c r="AN30" i="79" s="1"/>
  <c r="AG29" i="80"/>
  <c r="AG30" i="80" s="1"/>
  <c r="AG403" i="80" s="1"/>
  <c r="AG418" i="80" s="1"/>
  <c r="X29" i="79"/>
  <c r="Z29" i="79" s="1"/>
  <c r="Z30" i="79" s="1"/>
  <c r="EM424" i="80"/>
  <c r="CQ424" i="80"/>
  <c r="AE418" i="80"/>
  <c r="CS29" i="80"/>
  <c r="CS30" i="80" s="1"/>
  <c r="CS403" i="80" s="1"/>
  <c r="CS424" i="80" s="1"/>
  <c r="CS29" i="79"/>
  <c r="CS30" i="79" s="1"/>
  <c r="CS403" i="79" s="1"/>
  <c r="CS424" i="79" s="1"/>
  <c r="BC418" i="80"/>
  <c r="BC315" i="80"/>
  <c r="BC331" i="80" s="1"/>
  <c r="DY29" i="79"/>
  <c r="DY30" i="79" s="1"/>
  <c r="DY403" i="79" s="1"/>
  <c r="DY424" i="79" s="1"/>
  <c r="BM29" i="79"/>
  <c r="BM30" i="79" s="1"/>
  <c r="AV29" i="80"/>
  <c r="AV30" i="80" s="1"/>
  <c r="AV403" i="80" s="1"/>
  <c r="AV424" i="80" s="1"/>
  <c r="CA315" i="80"/>
  <c r="CA331" i="80" s="1"/>
  <c r="F91" i="160"/>
  <c r="F92" i="160" s="1"/>
  <c r="F94" i="160" s="1"/>
  <c r="F42" i="100"/>
  <c r="DG315" i="80"/>
  <c r="DG331" i="80" s="1"/>
  <c r="BS315" i="80"/>
  <c r="BS331" i="80" s="1"/>
  <c r="EF292" i="79"/>
  <c r="EH292" i="79" s="1"/>
  <c r="R46" i="35"/>
  <c r="Q45" i="35"/>
  <c r="Q46" i="35" s="1"/>
  <c r="EF292" i="80"/>
  <c r="EH292" i="80" s="1"/>
  <c r="DX292" i="80"/>
  <c r="DZ292" i="80" s="1"/>
  <c r="EN292" i="80"/>
  <c r="EP292" i="80" s="1"/>
  <c r="BT292" i="80"/>
  <c r="BV292" i="80" s="1"/>
  <c r="CJ292" i="80"/>
  <c r="CL292" i="80" s="1"/>
  <c r="CZ292" i="80"/>
  <c r="DB292" i="80" s="1"/>
  <c r="EV292" i="80"/>
  <c r="EX292" i="80" s="1"/>
  <c r="CB292" i="80"/>
  <c r="CD292" i="80" s="1"/>
  <c r="P292" i="80"/>
  <c r="R292" i="80" s="1"/>
  <c r="CR292" i="80"/>
  <c r="CT292" i="80" s="1"/>
  <c r="FD292" i="80"/>
  <c r="FF292" i="80" s="1"/>
  <c r="AF292" i="80"/>
  <c r="AH292" i="80" s="1"/>
  <c r="CR292" i="79"/>
  <c r="CT292" i="79" s="1"/>
  <c r="AV292" i="79"/>
  <c r="AX292" i="79" s="1"/>
  <c r="P292" i="79"/>
  <c r="R292" i="79" s="1"/>
  <c r="CZ292" i="79"/>
  <c r="DB292" i="79" s="1"/>
  <c r="BL292" i="79"/>
  <c r="BN292" i="79" s="1"/>
  <c r="DP292" i="79"/>
  <c r="DR292" i="79" s="1"/>
  <c r="X292" i="80"/>
  <c r="Z292" i="80" s="1"/>
  <c r="AN292" i="80"/>
  <c r="AP292" i="80" s="1"/>
  <c r="BL292" i="80"/>
  <c r="BN292" i="80" s="1"/>
  <c r="FL292" i="80"/>
  <c r="FN292" i="80" s="1"/>
  <c r="AV292" i="80"/>
  <c r="AX292" i="80" s="1"/>
  <c r="BD292" i="80"/>
  <c r="BF292" i="80" s="1"/>
  <c r="DP292" i="80"/>
  <c r="DR292" i="80" s="1"/>
  <c r="FK315" i="80"/>
  <c r="FK331" i="80" s="1"/>
  <c r="AU315" i="80"/>
  <c r="AU331" i="80" s="1"/>
  <c r="DW315" i="80"/>
  <c r="DW331" i="80" s="1"/>
  <c r="DW315" i="79"/>
  <c r="DW331" i="79" s="1"/>
  <c r="FC315" i="79"/>
  <c r="FC331" i="79" s="1"/>
  <c r="EM315" i="80"/>
  <c r="EM331" i="80" s="1"/>
  <c r="AM315" i="80"/>
  <c r="AM331" i="80" s="1"/>
  <c r="DZ92" i="79"/>
  <c r="G46" i="35"/>
  <c r="E46" i="35"/>
  <c r="E46" i="82"/>
  <c r="R2" i="82" s="1"/>
  <c r="G46" i="82"/>
  <c r="CA426" i="79"/>
  <c r="Y151" i="80"/>
  <c r="Z151" i="80" s="1"/>
  <c r="AU426" i="79"/>
  <c r="F46" i="35"/>
  <c r="AN151" i="80"/>
  <c r="AP151" i="80" s="1"/>
  <c r="BL151" i="80"/>
  <c r="BN151" i="80" s="1"/>
  <c r="CL92" i="79"/>
  <c r="AP92" i="79"/>
  <c r="EF29" i="79"/>
  <c r="EG29" i="79"/>
  <c r="EG30" i="79" s="1"/>
  <c r="EG418" i="79" s="1"/>
  <c r="EE424" i="80"/>
  <c r="EW29" i="79"/>
  <c r="EW30" i="79" s="1"/>
  <c r="EW403" i="79" s="1"/>
  <c r="EW424" i="79" s="1"/>
  <c r="AW29" i="79"/>
  <c r="AW30" i="79" s="1"/>
  <c r="AW403" i="79" s="1"/>
  <c r="AW424" i="79" s="1"/>
  <c r="FD29" i="79"/>
  <c r="FD30" i="79" s="1"/>
  <c r="EV29" i="79"/>
  <c r="EV30" i="79" s="1"/>
  <c r="CZ151" i="80"/>
  <c r="DB151" i="80" s="1"/>
  <c r="G402" i="80"/>
  <c r="G405" i="80" s="1"/>
  <c r="G409" i="80" s="1"/>
  <c r="G414" i="80" s="1"/>
  <c r="FC403" i="79"/>
  <c r="FC424" i="79" s="1"/>
  <c r="AV29" i="79"/>
  <c r="AV30" i="79" s="1"/>
  <c r="FE29" i="79"/>
  <c r="FE30" i="79" s="1"/>
  <c r="FE418" i="79" s="1"/>
  <c r="BM29" i="80"/>
  <c r="BM30" i="80" s="1"/>
  <c r="BM403" i="80" s="1"/>
  <c r="BM424" i="80" s="1"/>
  <c r="BL29" i="80"/>
  <c r="BL30" i="80" s="1"/>
  <c r="BL403" i="80" s="1"/>
  <c r="BL418" i="80" s="1"/>
  <c r="BU29" i="80"/>
  <c r="BU30" i="80" s="1"/>
  <c r="BU403" i="80" s="1"/>
  <c r="BU418" i="80" s="1"/>
  <c r="CJ29" i="80"/>
  <c r="CJ30" i="80" s="1"/>
  <c r="CJ403" i="80" s="1"/>
  <c r="CJ424" i="80" s="1"/>
  <c r="BL29" i="79"/>
  <c r="BL30" i="79" s="1"/>
  <c r="AE315" i="80"/>
  <c r="AE331" i="80" s="1"/>
  <c r="CI315" i="79"/>
  <c r="CI331" i="79" s="1"/>
  <c r="EG29" i="80"/>
  <c r="EG30" i="80" s="1"/>
  <c r="EG403" i="80" s="1"/>
  <c r="EG424" i="80" s="1"/>
  <c r="DQ29" i="80"/>
  <c r="DQ30" i="80" s="1"/>
  <c r="DQ403" i="80" s="1"/>
  <c r="DQ418" i="80" s="1"/>
  <c r="X29" i="80"/>
  <c r="X30" i="80" s="1"/>
  <c r="X403" i="80" s="1"/>
  <c r="CJ29" i="79"/>
  <c r="CJ30" i="79" s="1"/>
  <c r="CZ29" i="79"/>
  <c r="CZ30" i="79" s="1"/>
  <c r="FL29" i="80"/>
  <c r="FL30" i="80" s="1"/>
  <c r="FL403" i="80" s="1"/>
  <c r="FL418" i="80" s="1"/>
  <c r="CB24" i="80"/>
  <c r="CC24" i="80"/>
  <c r="CC400" i="80" s="1"/>
  <c r="CA400" i="80"/>
  <c r="BM24" i="80"/>
  <c r="BM400" i="80" s="1"/>
  <c r="BL24" i="80"/>
  <c r="BK400" i="80"/>
  <c r="CA418" i="79"/>
  <c r="CA403" i="79"/>
  <c r="CA424" i="79" s="1"/>
  <c r="AE418" i="79"/>
  <c r="AE403" i="79"/>
  <c r="AE424" i="79" s="1"/>
  <c r="BS418" i="79"/>
  <c r="BS403" i="79"/>
  <c r="BS424" i="79" s="1"/>
  <c r="G47" i="82"/>
  <c r="G62" i="82" s="1"/>
  <c r="G47" i="35"/>
  <c r="G62" i="35" s="1"/>
  <c r="EU400" i="79"/>
  <c r="EW24" i="79"/>
  <c r="EW400" i="79" s="1"/>
  <c r="EV24" i="79"/>
  <c r="EF24" i="79"/>
  <c r="EE400" i="79"/>
  <c r="EG24" i="79"/>
  <c r="EG400" i="79" s="1"/>
  <c r="CY315" i="80"/>
  <c r="CY331" i="80" s="1"/>
  <c r="EF29" i="80"/>
  <c r="EF30" i="80" s="1"/>
  <c r="EF403" i="80" s="1"/>
  <c r="FM29" i="80"/>
  <c r="FM30" i="80" s="1"/>
  <c r="FM403" i="80" s="1"/>
  <c r="BE24" i="80"/>
  <c r="BE400" i="80" s="1"/>
  <c r="BD24" i="80"/>
  <c r="BC400" i="80"/>
  <c r="O400" i="80"/>
  <c r="P24" i="80"/>
  <c r="Q24" i="80"/>
  <c r="Q400" i="80" s="1"/>
  <c r="DG403" i="79"/>
  <c r="DG424" i="79" s="1"/>
  <c r="DG418" i="79"/>
  <c r="AM418" i="79"/>
  <c r="AM403" i="79"/>
  <c r="AM424" i="79" s="1"/>
  <c r="EM403" i="79"/>
  <c r="EM424" i="79" s="1"/>
  <c r="EM418" i="79"/>
  <c r="CZ24" i="79"/>
  <c r="DA24" i="79"/>
  <c r="DA400" i="79" s="1"/>
  <c r="CY400" i="79"/>
  <c r="CK24" i="79"/>
  <c r="CK400" i="79" s="1"/>
  <c r="CI400" i="79"/>
  <c r="CJ24" i="79"/>
  <c r="EM400" i="79"/>
  <c r="EN24" i="79"/>
  <c r="EO24" i="79"/>
  <c r="EO400" i="79" s="1"/>
  <c r="DH24" i="79"/>
  <c r="DI24" i="79"/>
  <c r="DI400" i="79" s="1"/>
  <c r="DG400" i="79"/>
  <c r="FL29" i="79"/>
  <c r="FL30" i="79" s="1"/>
  <c r="CB29" i="80"/>
  <c r="CB30" i="80" s="1"/>
  <c r="CB403" i="80" s="1"/>
  <c r="DO418" i="80"/>
  <c r="DO424" i="80"/>
  <c r="AU400" i="80"/>
  <c r="AV24" i="80"/>
  <c r="AW24" i="80"/>
  <c r="AW400" i="80" s="1"/>
  <c r="AM400" i="80"/>
  <c r="AN24" i="80"/>
  <c r="AO24" i="80"/>
  <c r="AO400" i="80" s="1"/>
  <c r="EU418" i="79"/>
  <c r="EU403" i="79"/>
  <c r="EU424" i="79" s="1"/>
  <c r="AU403" i="79"/>
  <c r="AU424" i="79" s="1"/>
  <c r="AU418" i="79"/>
  <c r="BC400" i="79"/>
  <c r="BD24" i="79"/>
  <c r="BE24" i="79"/>
  <c r="BE400" i="79" s="1"/>
  <c r="BK400" i="79"/>
  <c r="BM24" i="79"/>
  <c r="BM400" i="79" s="1"/>
  <c r="BL24" i="79"/>
  <c r="CB24" i="79"/>
  <c r="CA400" i="79"/>
  <c r="CC24" i="79"/>
  <c r="CC400" i="79" s="1"/>
  <c r="CI424" i="80"/>
  <c r="CK29" i="80"/>
  <c r="CK30" i="80" s="1"/>
  <c r="CK403" i="80" s="1"/>
  <c r="CK418" i="80" s="1"/>
  <c r="Y29" i="80"/>
  <c r="Y30" i="80" s="1"/>
  <c r="Y403" i="80" s="1"/>
  <c r="Y418" i="80" s="1"/>
  <c r="FM29" i="79"/>
  <c r="FM30" i="79" s="1"/>
  <c r="FM403" i="79" s="1"/>
  <c r="FM424" i="79" s="1"/>
  <c r="CR29" i="79"/>
  <c r="CR30" i="79" s="1"/>
  <c r="BD29" i="80"/>
  <c r="BD30" i="80" s="1"/>
  <c r="BD403" i="80" s="1"/>
  <c r="BD418" i="80" s="1"/>
  <c r="CY400" i="80"/>
  <c r="DA24" i="80"/>
  <c r="DA400" i="80" s="1"/>
  <c r="CZ24" i="80"/>
  <c r="AF24" i="80"/>
  <c r="AE400" i="80"/>
  <c r="AG24" i="80"/>
  <c r="AG400" i="80" s="1"/>
  <c r="BU24" i="80"/>
  <c r="BU400" i="80" s="1"/>
  <c r="BT24" i="80"/>
  <c r="BS400" i="80"/>
  <c r="O418" i="79"/>
  <c r="O403" i="79"/>
  <c r="O424" i="79" s="1"/>
  <c r="AU400" i="79"/>
  <c r="AV24" i="79"/>
  <c r="AW24" i="79"/>
  <c r="AW400" i="79" s="1"/>
  <c r="AN24" i="79"/>
  <c r="AO24" i="79"/>
  <c r="AO400" i="79" s="1"/>
  <c r="AM400" i="79"/>
  <c r="Y24" i="79"/>
  <c r="Y400" i="79" s="1"/>
  <c r="W400" i="79"/>
  <c r="X24" i="79"/>
  <c r="CI400" i="80"/>
  <c r="CJ24" i="80"/>
  <c r="CJ400" i="80" s="1"/>
  <c r="CK24" i="80"/>
  <c r="CK400" i="80" s="1"/>
  <c r="EG24" i="80"/>
  <c r="EG400" i="80" s="1"/>
  <c r="EE400" i="80"/>
  <c r="EF24" i="80"/>
  <c r="CR24" i="80"/>
  <c r="CQ400" i="80"/>
  <c r="CS24" i="80"/>
  <c r="CS400" i="80" s="1"/>
  <c r="CQ418" i="79"/>
  <c r="CQ403" i="79"/>
  <c r="CQ424" i="79" s="1"/>
  <c r="FK418" i="79"/>
  <c r="FK403" i="79"/>
  <c r="FK424" i="79" s="1"/>
  <c r="BS400" i="79"/>
  <c r="BU24" i="79"/>
  <c r="BU400" i="79" s="1"/>
  <c r="BT24" i="79"/>
  <c r="BT400" i="79" s="1"/>
  <c r="DH151" i="80"/>
  <c r="DJ151" i="80" s="1"/>
  <c r="CA424" i="80"/>
  <c r="CC29" i="80"/>
  <c r="CC30" i="80" s="1"/>
  <c r="CC403" i="80" s="1"/>
  <c r="AW29" i="80"/>
  <c r="AW30" i="80" s="1"/>
  <c r="AW403" i="80" s="1"/>
  <c r="BE29" i="79"/>
  <c r="BE30" i="79" s="1"/>
  <c r="BE403" i="79" s="1"/>
  <c r="BE424" i="79" s="1"/>
  <c r="FD24" i="80"/>
  <c r="FC400" i="80"/>
  <c r="FE24" i="80"/>
  <c r="FE400" i="80" s="1"/>
  <c r="DP24" i="80"/>
  <c r="DO400" i="80"/>
  <c r="DQ24" i="80"/>
  <c r="DQ400" i="80" s="1"/>
  <c r="DH24" i="80"/>
  <c r="DI24" i="80"/>
  <c r="DI400" i="80" s="1"/>
  <c r="DG400" i="80"/>
  <c r="W403" i="79"/>
  <c r="W424" i="79" s="1"/>
  <c r="W418" i="79"/>
  <c r="J403" i="79"/>
  <c r="J424" i="79" s="1"/>
  <c r="J418" i="79"/>
  <c r="AG24" i="79"/>
  <c r="AG400" i="79" s="1"/>
  <c r="AE400" i="79"/>
  <c r="AF24" i="79"/>
  <c r="CS24" i="79"/>
  <c r="CS400" i="79" s="1"/>
  <c r="CQ400" i="79"/>
  <c r="CR24" i="79"/>
  <c r="EN29" i="80"/>
  <c r="EN30" i="80" s="1"/>
  <c r="EN403" i="80" s="1"/>
  <c r="BC418" i="79"/>
  <c r="BC403" i="79"/>
  <c r="BC424" i="79" s="1"/>
  <c r="DX24" i="79"/>
  <c r="DX400" i="79" s="1"/>
  <c r="DW400" i="79"/>
  <c r="DY24" i="79"/>
  <c r="DY400" i="79" s="1"/>
  <c r="AM315" i="79"/>
  <c r="AM331" i="79" s="1"/>
  <c r="DH418" i="80"/>
  <c r="BE29" i="80"/>
  <c r="DA29" i="79"/>
  <c r="DA30" i="79" s="1"/>
  <c r="BD29" i="79"/>
  <c r="BD30" i="79" s="1"/>
  <c r="G424" i="80"/>
  <c r="G418" i="80"/>
  <c r="X24" i="80"/>
  <c r="Y24" i="80"/>
  <c r="Y400" i="80" s="1"/>
  <c r="W400" i="80"/>
  <c r="EO24" i="80"/>
  <c r="EO400" i="80" s="1"/>
  <c r="EN24" i="80"/>
  <c r="EM400" i="80"/>
  <c r="DY24" i="80"/>
  <c r="DY400" i="80" s="1"/>
  <c r="DW400" i="80"/>
  <c r="DX24" i="80"/>
  <c r="DW418" i="79"/>
  <c r="DW403" i="79"/>
  <c r="DW424" i="79" s="1"/>
  <c r="EE403" i="79"/>
  <c r="EE424" i="79" s="1"/>
  <c r="EE418" i="79"/>
  <c r="J418" i="80"/>
  <c r="J424" i="80"/>
  <c r="FK400" i="79"/>
  <c r="FM24" i="79"/>
  <c r="FM400" i="79" s="1"/>
  <c r="FL24" i="79"/>
  <c r="DO400" i="79"/>
  <c r="DQ24" i="79"/>
  <c r="DQ400" i="79" s="1"/>
  <c r="DP24" i="79"/>
  <c r="FK400" i="80"/>
  <c r="FM24" i="80"/>
  <c r="FM400" i="80" s="1"/>
  <c r="FL24" i="80"/>
  <c r="EW24" i="80"/>
  <c r="EW400" i="80" s="1"/>
  <c r="EU400" i="80"/>
  <c r="EV24" i="80"/>
  <c r="CY418" i="79"/>
  <c r="CY403" i="79"/>
  <c r="CY424" i="79" s="1"/>
  <c r="CI403" i="79"/>
  <c r="CI424" i="79" s="1"/>
  <c r="CI418" i="79"/>
  <c r="G403" i="79"/>
  <c r="G424" i="79" s="1"/>
  <c r="G418" i="79"/>
  <c r="G420" i="79" s="1"/>
  <c r="FE24" i="79"/>
  <c r="FE400" i="79" s="1"/>
  <c r="FD24" i="79"/>
  <c r="FC400" i="79"/>
  <c r="Q24" i="79"/>
  <c r="Q400" i="79" s="1"/>
  <c r="O400" i="79"/>
  <c r="P24" i="79"/>
  <c r="BV426" i="79"/>
  <c r="D49" i="35"/>
  <c r="AF151" i="80"/>
  <c r="AH151" i="80" s="1"/>
  <c r="BC426" i="80"/>
  <c r="CR151" i="80"/>
  <c r="CT151" i="80" s="1"/>
  <c r="Q151" i="80"/>
  <c r="R151" i="80" s="1"/>
  <c r="AV151" i="80"/>
  <c r="AX151" i="80" s="1"/>
  <c r="BL151" i="79"/>
  <c r="BN151" i="79" s="1"/>
  <c r="BU151" i="80"/>
  <c r="BV151" i="80" s="1"/>
  <c r="CZ151" i="79"/>
  <c r="DB151" i="79" s="1"/>
  <c r="DQ151" i="80"/>
  <c r="DR151" i="80" s="1"/>
  <c r="AO151" i="79"/>
  <c r="AP151" i="79" s="1"/>
  <c r="CY426" i="79"/>
  <c r="EV424" i="80"/>
  <c r="CQ426" i="80"/>
  <c r="EW151" i="80"/>
  <c r="EX151" i="80" s="1"/>
  <c r="CK151" i="80"/>
  <c r="CL151" i="80" s="1"/>
  <c r="CR151" i="79"/>
  <c r="CT151" i="79" s="1"/>
  <c r="AV151" i="79"/>
  <c r="AX151" i="79" s="1"/>
  <c r="BD151" i="79"/>
  <c r="BF151" i="79" s="1"/>
  <c r="BE151" i="80"/>
  <c r="BF151" i="80" s="1"/>
  <c r="CC151" i="79"/>
  <c r="CD151" i="79" s="1"/>
  <c r="EM426" i="79"/>
  <c r="BU403" i="79"/>
  <c r="BU424" i="79" s="1"/>
  <c r="FM151" i="80"/>
  <c r="FN151" i="80" s="1"/>
  <c r="CK418" i="79"/>
  <c r="G66" i="79"/>
  <c r="G66" i="80"/>
  <c r="G66" i="85"/>
  <c r="I32" i="90" s="1"/>
  <c r="C23" i="108"/>
  <c r="J28" i="98"/>
  <c r="CB151" i="80"/>
  <c r="CD151" i="80" s="1"/>
  <c r="AE426" i="79"/>
  <c r="FD151" i="80"/>
  <c r="FF151" i="80" s="1"/>
  <c r="FD151" i="79"/>
  <c r="FF151" i="79" s="1"/>
  <c r="AF151" i="79"/>
  <c r="AH151" i="79" s="1"/>
  <c r="FL151" i="79"/>
  <c r="FN151" i="79" s="1"/>
  <c r="EN151" i="80"/>
  <c r="EP151" i="80" s="1"/>
  <c r="EG151" i="80"/>
  <c r="EH151" i="80" s="1"/>
  <c r="EO151" i="79"/>
  <c r="EP151" i="79" s="1"/>
  <c r="AG418" i="79"/>
  <c r="P424" i="80"/>
  <c r="CQ426" i="79"/>
  <c r="CZ418" i="80"/>
  <c r="BM191" i="80"/>
  <c r="BM196" i="80" s="1"/>
  <c r="DY424" i="80"/>
  <c r="DH151" i="79"/>
  <c r="DJ151" i="79" s="1"/>
  <c r="BK426" i="79"/>
  <c r="DY151" i="79"/>
  <c r="DZ151" i="79" s="1"/>
  <c r="BU151" i="79"/>
  <c r="BV151" i="79" s="1"/>
  <c r="DP151" i="79"/>
  <c r="DR151" i="79" s="1"/>
  <c r="FD418" i="80"/>
  <c r="CJ151" i="79"/>
  <c r="CL151" i="79" s="1"/>
  <c r="Y403" i="79"/>
  <c r="Y424" i="79" s="1"/>
  <c r="EG151" i="79"/>
  <c r="EH151" i="79" s="1"/>
  <c r="EV151" i="79"/>
  <c r="EX151" i="79" s="1"/>
  <c r="Q418" i="79"/>
  <c r="EU426" i="79"/>
  <c r="EO418" i="79"/>
  <c r="DI403" i="79"/>
  <c r="DI424" i="79" s="1"/>
  <c r="AO418" i="79"/>
  <c r="DW426" i="79"/>
  <c r="AG301" i="79"/>
  <c r="AG302" i="79" s="1"/>
  <c r="P151" i="79"/>
  <c r="R151" i="79" s="1"/>
  <c r="DP403" i="79"/>
  <c r="DP424" i="79" s="1"/>
  <c r="EE426" i="79"/>
  <c r="DZ125" i="80"/>
  <c r="EX125" i="79"/>
  <c r="W426" i="79"/>
  <c r="FN426" i="79"/>
  <c r="FK426" i="79"/>
  <c r="DO426" i="79"/>
  <c r="Z125" i="80"/>
  <c r="BV125" i="80"/>
  <c r="CI426" i="79"/>
  <c r="BN125" i="80"/>
  <c r="AP125" i="79"/>
  <c r="DZ125" i="79"/>
  <c r="DJ125" i="80"/>
  <c r="FF125" i="80"/>
  <c r="EX125" i="80"/>
  <c r="CT125" i="79"/>
  <c r="AP125" i="80"/>
  <c r="Q30" i="80"/>
  <c r="Q403" i="80" s="1"/>
  <c r="R29" i="80"/>
  <c r="R30" i="80" s="1"/>
  <c r="R403" i="80" s="1"/>
  <c r="BS426" i="80"/>
  <c r="I418" i="80"/>
  <c r="I424" i="80"/>
  <c r="DI30" i="80"/>
  <c r="DI403" i="80" s="1"/>
  <c r="DJ29" i="80"/>
  <c r="DJ30" i="80" s="1"/>
  <c r="DJ403" i="80" s="1"/>
  <c r="H418" i="80"/>
  <c r="H424" i="80"/>
  <c r="DR29" i="79"/>
  <c r="DR30" i="79" s="1"/>
  <c r="DQ30" i="79"/>
  <c r="EP125" i="80"/>
  <c r="AX125" i="80"/>
  <c r="R125" i="80"/>
  <c r="DH30" i="79"/>
  <c r="DJ29" i="79"/>
  <c r="DJ30" i="79" s="1"/>
  <c r="CB30" i="79"/>
  <c r="CD29" i="79"/>
  <c r="CD30" i="79" s="1"/>
  <c r="EF30" i="79"/>
  <c r="AH125" i="79"/>
  <c r="CL125" i="79"/>
  <c r="AH125" i="80"/>
  <c r="EW30" i="80"/>
  <c r="EW403" i="80" s="1"/>
  <c r="EX29" i="80"/>
  <c r="EX30" i="80" s="1"/>
  <c r="EX403" i="80" s="1"/>
  <c r="I403" i="79"/>
  <c r="I424" i="79" s="1"/>
  <c r="I418" i="79"/>
  <c r="BT30" i="80"/>
  <c r="BT403" i="80" s="1"/>
  <c r="BT30" i="79"/>
  <c r="BV29" i="79"/>
  <c r="BV30" i="79" s="1"/>
  <c r="EN30" i="79"/>
  <c r="EP29" i="79"/>
  <c r="EP30" i="79" s="1"/>
  <c r="CZ301" i="80"/>
  <c r="CZ302" i="80" s="1"/>
  <c r="O426" i="79"/>
  <c r="CD125" i="80"/>
  <c r="BF125" i="79"/>
  <c r="DB125" i="80"/>
  <c r="CR30" i="80"/>
  <c r="CR403" i="80" s="1"/>
  <c r="AF30" i="80"/>
  <c r="AF403" i="80" s="1"/>
  <c r="P30" i="79"/>
  <c r="R29" i="79"/>
  <c r="R30" i="79" s="1"/>
  <c r="H403" i="79"/>
  <c r="H424" i="79" s="1"/>
  <c r="H418" i="79"/>
  <c r="FN125" i="80"/>
  <c r="AX125" i="79"/>
  <c r="DX30" i="80"/>
  <c r="DX403" i="80" s="1"/>
  <c r="DZ29" i="80"/>
  <c r="DZ30" i="80" s="1"/>
  <c r="DZ403" i="80" s="1"/>
  <c r="DA30" i="80"/>
  <c r="DA403" i="80" s="1"/>
  <c r="DB29" i="80"/>
  <c r="DB30" i="80" s="1"/>
  <c r="DB403" i="80" s="1"/>
  <c r="DP30" i="80"/>
  <c r="DP403" i="80" s="1"/>
  <c r="AF30" i="79"/>
  <c r="AH29" i="79"/>
  <c r="AH30" i="79" s="1"/>
  <c r="X30" i="79"/>
  <c r="CJ301" i="80"/>
  <c r="CJ302" i="80" s="1"/>
  <c r="CT125" i="80"/>
  <c r="DJ125" i="79"/>
  <c r="EP125" i="79"/>
  <c r="EH125" i="79"/>
  <c r="BV125" i="79"/>
  <c r="FF125" i="79"/>
  <c r="EH125" i="80"/>
  <c r="DR125" i="79"/>
  <c r="Z125" i="79"/>
  <c r="R125" i="79"/>
  <c r="DB125" i="79"/>
  <c r="BN125" i="79"/>
  <c r="BF125" i="80"/>
  <c r="BU301" i="80"/>
  <c r="BU302" i="80" s="1"/>
  <c r="CD125" i="79"/>
  <c r="FN125" i="79"/>
  <c r="AE315" i="79"/>
  <c r="AE331" i="79" s="1"/>
  <c r="DA301" i="80"/>
  <c r="DA302" i="80" s="1"/>
  <c r="Y301" i="80"/>
  <c r="Y302" i="80" s="1"/>
  <c r="DR125" i="80"/>
  <c r="BL301" i="80"/>
  <c r="BL302" i="80" s="1"/>
  <c r="BK315" i="80"/>
  <c r="BK331" i="80" s="1"/>
  <c r="DJ292" i="79"/>
  <c r="EF301" i="80"/>
  <c r="EF302" i="80" s="1"/>
  <c r="EM426" i="80"/>
  <c r="D49" i="82"/>
  <c r="Q50" i="82" s="1"/>
  <c r="EO301" i="80"/>
  <c r="EO302" i="80" s="1"/>
  <c r="FL301" i="80"/>
  <c r="FL302" i="80" s="1"/>
  <c r="FK315" i="79"/>
  <c r="FK331" i="79" s="1"/>
  <c r="CL125" i="80"/>
  <c r="Q301" i="79"/>
  <c r="Q302" i="79" s="1"/>
  <c r="BU301" i="79"/>
  <c r="BU302" i="79" s="1"/>
  <c r="Y301" i="79"/>
  <c r="Y302" i="79" s="1"/>
  <c r="EW301" i="79"/>
  <c r="EW302" i="79" s="1"/>
  <c r="DI301" i="79"/>
  <c r="DI302" i="79" s="1"/>
  <c r="AO301" i="79"/>
  <c r="AO302" i="79" s="1"/>
  <c r="CS301" i="79"/>
  <c r="CS302" i="79" s="1"/>
  <c r="AW301" i="79"/>
  <c r="AW302" i="79" s="1"/>
  <c r="P301" i="79"/>
  <c r="P302" i="79" s="1"/>
  <c r="CK301" i="80"/>
  <c r="CK302" i="80" s="1"/>
  <c r="CZ191" i="80"/>
  <c r="CZ196" i="80" s="1"/>
  <c r="AF191" i="80"/>
  <c r="AF196" i="80" s="1"/>
  <c r="EN191" i="80"/>
  <c r="EN196" i="80" s="1"/>
  <c r="BL191" i="80"/>
  <c r="DX191" i="80"/>
  <c r="DX196" i="80" s="1"/>
  <c r="AN191" i="80"/>
  <c r="AN196" i="80" s="1"/>
  <c r="DH191" i="80"/>
  <c r="DH196" i="80" s="1"/>
  <c r="AN301" i="79"/>
  <c r="AN302" i="79" s="1"/>
  <c r="EO301" i="79"/>
  <c r="EO302" i="79" s="1"/>
  <c r="BT301" i="79"/>
  <c r="BT302" i="79" s="1"/>
  <c r="AF301" i="79"/>
  <c r="AF302" i="79" s="1"/>
  <c r="DH301" i="79"/>
  <c r="DH302" i="79" s="1"/>
  <c r="EG301" i="79"/>
  <c r="EG302" i="79" s="1"/>
  <c r="EF191" i="80"/>
  <c r="EF196" i="80" s="1"/>
  <c r="X301" i="80"/>
  <c r="X302" i="80" s="1"/>
  <c r="FM301" i="80"/>
  <c r="FM302" i="80" s="1"/>
  <c r="EN301" i="79"/>
  <c r="EN302" i="79" s="1"/>
  <c r="X301" i="79"/>
  <c r="X302" i="79" s="1"/>
  <c r="DX301" i="79"/>
  <c r="DX302" i="79" s="1"/>
  <c r="EF301" i="79"/>
  <c r="EF302" i="79" s="1"/>
  <c r="EV301" i="79"/>
  <c r="EV302" i="79" s="1"/>
  <c r="CR301" i="79"/>
  <c r="CR302" i="79" s="1"/>
  <c r="CC301" i="80"/>
  <c r="CC302" i="80" s="1"/>
  <c r="FM191" i="79"/>
  <c r="FM196" i="79" s="1"/>
  <c r="DG426" i="79"/>
  <c r="DI426" i="79"/>
  <c r="DI426" i="80"/>
  <c r="DG426" i="80"/>
  <c r="Y426" i="80"/>
  <c r="W426" i="80"/>
  <c r="AG426" i="80"/>
  <c r="AE426" i="80"/>
  <c r="DY301" i="80"/>
  <c r="DY302" i="80" s="1"/>
  <c r="AW426" i="80"/>
  <c r="AU426" i="80"/>
  <c r="AO426" i="79"/>
  <c r="AM426" i="79"/>
  <c r="DQ426" i="80"/>
  <c r="DO426" i="80"/>
  <c r="Q426" i="80"/>
  <c r="O426" i="80"/>
  <c r="BM426" i="80"/>
  <c r="BK426" i="80"/>
  <c r="CK426" i="80"/>
  <c r="CI426" i="80"/>
  <c r="AH25" i="79"/>
  <c r="AH401" i="79" s="1"/>
  <c r="BT301" i="80"/>
  <c r="BT302" i="80" s="1"/>
  <c r="BM301" i="80"/>
  <c r="BM302" i="80" s="1"/>
  <c r="EG301" i="80"/>
  <c r="EG302" i="80" s="1"/>
  <c r="AV301" i="79"/>
  <c r="AV302" i="79" s="1"/>
  <c r="CS301" i="80"/>
  <c r="CS302" i="80" s="1"/>
  <c r="CZ301" i="79"/>
  <c r="CZ302" i="79" s="1"/>
  <c r="EW426" i="80"/>
  <c r="EU426" i="80"/>
  <c r="FE426" i="79"/>
  <c r="FC426" i="79"/>
  <c r="EG426" i="80"/>
  <c r="EE426" i="80"/>
  <c r="DY426" i="80"/>
  <c r="DW426" i="80"/>
  <c r="EN301" i="80"/>
  <c r="EN302" i="80" s="1"/>
  <c r="DI301" i="80"/>
  <c r="DI302" i="80" s="1"/>
  <c r="AG301" i="80"/>
  <c r="AG302" i="80" s="1"/>
  <c r="EW301" i="80"/>
  <c r="EW302" i="80" s="1"/>
  <c r="DP301" i="79"/>
  <c r="DP302" i="79" s="1"/>
  <c r="CB301" i="79"/>
  <c r="CB302" i="79" s="1"/>
  <c r="BE426" i="79"/>
  <c r="BC426" i="79"/>
  <c r="CC426" i="80"/>
  <c r="CA426" i="80"/>
  <c r="DA426" i="80"/>
  <c r="CY426" i="80"/>
  <c r="AM426" i="80"/>
  <c r="AP426" i="80"/>
  <c r="AP25" i="79"/>
  <c r="AP401" i="79" s="1"/>
  <c r="BK84" i="80"/>
  <c r="BK237" i="80"/>
  <c r="AF301" i="80"/>
  <c r="AV191" i="79"/>
  <c r="AV196" i="79" s="1"/>
  <c r="AU196" i="79"/>
  <c r="AW191" i="79"/>
  <c r="AW196" i="79" s="1"/>
  <c r="FK84" i="80"/>
  <c r="FK237" i="80"/>
  <c r="CQ196" i="80"/>
  <c r="CS191" i="80"/>
  <c r="CS196" i="80" s="1"/>
  <c r="CR191" i="80"/>
  <c r="CR196" i="80" s="1"/>
  <c r="FK237" i="79"/>
  <c r="FK84" i="79"/>
  <c r="FM301" i="79"/>
  <c r="FM302" i="79" s="1"/>
  <c r="BE191" i="79"/>
  <c r="BE196" i="79" s="1"/>
  <c r="BC196" i="79"/>
  <c r="BD191" i="79"/>
  <c r="BD196" i="79" s="1"/>
  <c r="CJ301" i="79"/>
  <c r="BE191" i="80"/>
  <c r="CR191" i="79"/>
  <c r="CR196" i="79" s="1"/>
  <c r="CS191" i="79"/>
  <c r="CS196" i="79" s="1"/>
  <c r="CQ196" i="79"/>
  <c r="AE84" i="80"/>
  <c r="AE237" i="80"/>
  <c r="AO191" i="80"/>
  <c r="DI191" i="80"/>
  <c r="DI196" i="80" s="1"/>
  <c r="EE84" i="79"/>
  <c r="EE237" i="79"/>
  <c r="FE301" i="79"/>
  <c r="FE302" i="79" s="1"/>
  <c r="Q191" i="79"/>
  <c r="Q196" i="79" s="1"/>
  <c r="P191" i="79"/>
  <c r="P196" i="79" s="1"/>
  <c r="O196" i="79"/>
  <c r="DX301" i="80"/>
  <c r="CK301" i="79"/>
  <c r="CK302" i="79" s="1"/>
  <c r="AU84" i="80"/>
  <c r="AU237" i="80"/>
  <c r="DG196" i="79"/>
  <c r="DH191" i="79"/>
  <c r="DH196" i="79" s="1"/>
  <c r="DI191" i="79"/>
  <c r="DI196" i="79" s="1"/>
  <c r="EO191" i="80"/>
  <c r="AM237" i="80"/>
  <c r="AM84" i="80"/>
  <c r="BL191" i="79"/>
  <c r="BL196" i="79" s="1"/>
  <c r="BM191" i="79"/>
  <c r="BM196" i="79" s="1"/>
  <c r="BK196" i="79"/>
  <c r="DQ301" i="79"/>
  <c r="DQ302" i="79" s="1"/>
  <c r="FL191" i="79"/>
  <c r="CC301" i="79"/>
  <c r="CC302" i="79" s="1"/>
  <c r="P191" i="80"/>
  <c r="BU191" i="80"/>
  <c r="AV191" i="80"/>
  <c r="EU196" i="79"/>
  <c r="EV191" i="79"/>
  <c r="EV196" i="79" s="1"/>
  <c r="EW191" i="79"/>
  <c r="EW196" i="79" s="1"/>
  <c r="CJ191" i="79"/>
  <c r="CJ196" i="79" s="1"/>
  <c r="CI196" i="79"/>
  <c r="CK191" i="79"/>
  <c r="CK196" i="79" s="1"/>
  <c r="AM196" i="79"/>
  <c r="AN191" i="79"/>
  <c r="AN196" i="79" s="1"/>
  <c r="AO191" i="79"/>
  <c r="AO196" i="79" s="1"/>
  <c r="AG191" i="80"/>
  <c r="EM237" i="80"/>
  <c r="EM84" i="80"/>
  <c r="EV301" i="80"/>
  <c r="FC84" i="80"/>
  <c r="FC237" i="80"/>
  <c r="AN301" i="80"/>
  <c r="P301" i="80"/>
  <c r="CA84" i="80"/>
  <c r="CA237" i="80"/>
  <c r="Q191" i="80"/>
  <c r="Q196" i="80" s="1"/>
  <c r="BS84" i="80"/>
  <c r="BS237" i="80"/>
  <c r="BE301" i="80"/>
  <c r="BE302" i="80" s="1"/>
  <c r="AW191" i="80"/>
  <c r="AW196" i="80" s="1"/>
  <c r="FC196" i="79"/>
  <c r="FD191" i="79"/>
  <c r="FD196" i="79" s="1"/>
  <c r="FE191" i="79"/>
  <c r="FE196" i="79" s="1"/>
  <c r="EE237" i="80"/>
  <c r="EE84" i="80"/>
  <c r="DW84" i="80"/>
  <c r="DW237" i="80"/>
  <c r="DW196" i="79"/>
  <c r="DY191" i="79"/>
  <c r="DY196" i="79" s="1"/>
  <c r="DX191" i="79"/>
  <c r="DX196" i="79" s="1"/>
  <c r="X191" i="79"/>
  <c r="X196" i="79" s="1"/>
  <c r="Y191" i="79"/>
  <c r="W196" i="79"/>
  <c r="DY301" i="79"/>
  <c r="DY302" i="79" s="1"/>
  <c r="DO196" i="79"/>
  <c r="DQ191" i="79"/>
  <c r="DQ196" i="79" s="1"/>
  <c r="DP191" i="79"/>
  <c r="DP196" i="79" s="1"/>
  <c r="FD191" i="80"/>
  <c r="AV301" i="80"/>
  <c r="Q301" i="80"/>
  <c r="Q302" i="80" s="1"/>
  <c r="EV191" i="80"/>
  <c r="CB191" i="80"/>
  <c r="BM301" i="79"/>
  <c r="BM302" i="79" s="1"/>
  <c r="FD301" i="79"/>
  <c r="BT191" i="80"/>
  <c r="BT196" i="80" s="1"/>
  <c r="CY196" i="79"/>
  <c r="DA191" i="79"/>
  <c r="DA196" i="79" s="1"/>
  <c r="CZ191" i="79"/>
  <c r="CZ196" i="79" s="1"/>
  <c r="C22" i="7"/>
  <c r="G331" i="85" s="1"/>
  <c r="G315" i="85"/>
  <c r="EG191" i="80"/>
  <c r="CY84" i="80"/>
  <c r="CY237" i="80"/>
  <c r="DY191" i="80"/>
  <c r="DY196" i="80" s="1"/>
  <c r="DO302" i="80"/>
  <c r="DO315" i="80" s="1"/>
  <c r="DO331" i="80" s="1"/>
  <c r="DQ301" i="80"/>
  <c r="DQ302" i="80" s="1"/>
  <c r="DP301" i="80"/>
  <c r="DP302" i="80" s="1"/>
  <c r="I196" i="85"/>
  <c r="E15" i="32"/>
  <c r="CR301" i="80"/>
  <c r="W237" i="80"/>
  <c r="W84" i="80"/>
  <c r="CA196" i="79"/>
  <c r="CC191" i="79"/>
  <c r="CC196" i="79" s="1"/>
  <c r="CB191" i="79"/>
  <c r="CB196" i="79" s="1"/>
  <c r="FE191" i="80"/>
  <c r="FE196" i="80" s="1"/>
  <c r="AW301" i="80"/>
  <c r="AW302" i="80" s="1"/>
  <c r="AO301" i="80"/>
  <c r="AO302" i="80" s="1"/>
  <c r="EW191" i="80"/>
  <c r="EW196" i="80" s="1"/>
  <c r="CC191" i="80"/>
  <c r="CC196" i="80" s="1"/>
  <c r="BL301" i="79"/>
  <c r="O237" i="80"/>
  <c r="O84" i="80"/>
  <c r="AG191" i="79"/>
  <c r="AG196" i="79" s="1"/>
  <c r="AF191" i="79"/>
  <c r="AF196" i="79" s="1"/>
  <c r="AE196" i="79"/>
  <c r="BD301" i="80"/>
  <c r="CK191" i="80"/>
  <c r="CK196" i="80" s="1"/>
  <c r="DB25" i="79"/>
  <c r="DB401" i="79" s="1"/>
  <c r="DA191" i="80"/>
  <c r="DA196" i="80" s="1"/>
  <c r="BS196" i="79"/>
  <c r="BT191" i="79"/>
  <c r="BT196" i="79" s="1"/>
  <c r="BU191" i="79"/>
  <c r="DH301" i="80"/>
  <c r="X191" i="80"/>
  <c r="FL191" i="80"/>
  <c r="F15" i="32"/>
  <c r="J196" i="85"/>
  <c r="CB301" i="80"/>
  <c r="BE301" i="79"/>
  <c r="BE302" i="79" s="1"/>
  <c r="EU237" i="80"/>
  <c r="EU84" i="80"/>
  <c r="FD301" i="80"/>
  <c r="EF191" i="79"/>
  <c r="FL301" i="79"/>
  <c r="G237" i="85"/>
  <c r="DA301" i="79"/>
  <c r="DA302" i="79" s="1"/>
  <c r="BC84" i="80"/>
  <c r="BC237" i="80"/>
  <c r="CJ191" i="80"/>
  <c r="DZ25" i="79"/>
  <c r="DZ401" i="79" s="1"/>
  <c r="DP191" i="80"/>
  <c r="DP196" i="80" s="1"/>
  <c r="DQ191" i="80"/>
  <c r="DO196" i="80"/>
  <c r="EM196" i="79"/>
  <c r="EO191" i="79"/>
  <c r="EO196" i="79" s="1"/>
  <c r="EN191" i="79"/>
  <c r="EN196" i="79" s="1"/>
  <c r="Y191" i="80"/>
  <c r="Y196" i="80" s="1"/>
  <c r="FM191" i="80"/>
  <c r="FM196" i="80" s="1"/>
  <c r="DG84" i="80"/>
  <c r="DG237" i="80"/>
  <c r="H196" i="85"/>
  <c r="D15" i="32"/>
  <c r="BD301" i="79"/>
  <c r="FE301" i="80"/>
  <c r="FE302" i="80" s="1"/>
  <c r="EG191" i="79"/>
  <c r="EG196" i="79" s="1"/>
  <c r="G84" i="85"/>
  <c r="I40" i="90" s="1"/>
  <c r="G84" i="80"/>
  <c r="G84" i="79"/>
  <c r="BD191" i="80"/>
  <c r="BD196" i="80" s="1"/>
  <c r="CI84" i="80"/>
  <c r="CI237" i="80"/>
  <c r="CT25" i="79"/>
  <c r="CT401" i="79" s="1"/>
  <c r="FN25" i="80"/>
  <c r="FN401" i="80" s="1"/>
  <c r="BF25" i="80"/>
  <c r="BF401" i="80" s="1"/>
  <c r="BV25" i="79"/>
  <c r="BV401" i="79" s="1"/>
  <c r="BF25" i="79"/>
  <c r="BF401" i="79" s="1"/>
  <c r="EX25" i="79"/>
  <c r="EX401" i="79" s="1"/>
  <c r="L10" i="90"/>
  <c r="L28" i="90"/>
  <c r="W34" i="79"/>
  <c r="W419" i="79"/>
  <c r="W404" i="79"/>
  <c r="W425" i="79" s="1"/>
  <c r="Y33" i="79"/>
  <c r="X33" i="79"/>
  <c r="FC34" i="79"/>
  <c r="FC419" i="79"/>
  <c r="FC420" i="79" s="1"/>
  <c r="FC404" i="79"/>
  <c r="FC425" i="79" s="1"/>
  <c r="FE33" i="79"/>
  <c r="FD33" i="79"/>
  <c r="CQ419" i="79"/>
  <c r="CR33" i="79"/>
  <c r="CQ404" i="79"/>
  <c r="CQ425" i="79" s="1"/>
  <c r="CQ34" i="79"/>
  <c r="CS33" i="79"/>
  <c r="AE404" i="80"/>
  <c r="AF33" i="80"/>
  <c r="AG33" i="80"/>
  <c r="AE34" i="80"/>
  <c r="BK404" i="80"/>
  <c r="BK34" i="80"/>
  <c r="BM33" i="80"/>
  <c r="BL33" i="80"/>
  <c r="G425" i="80"/>
  <c r="G419" i="80"/>
  <c r="G420" i="80" s="1"/>
  <c r="CL25" i="79"/>
  <c r="CL401" i="79" s="1"/>
  <c r="G48" i="35"/>
  <c r="G63" i="35" s="1"/>
  <c r="G48" i="82"/>
  <c r="G63" i="82" s="1"/>
  <c r="CC33" i="80"/>
  <c r="CA404" i="80"/>
  <c r="CB33" i="80"/>
  <c r="CA34" i="80"/>
  <c r="FC404" i="80"/>
  <c r="FC34" i="80"/>
  <c r="FE33" i="80"/>
  <c r="FD33" i="80"/>
  <c r="DJ25" i="80"/>
  <c r="DJ401" i="80" s="1"/>
  <c r="CT25" i="80"/>
  <c r="CT401" i="80" s="1"/>
  <c r="J419" i="79"/>
  <c r="J404" i="79"/>
  <c r="J425" i="79" s="1"/>
  <c r="J34" i="79"/>
  <c r="BC34" i="79"/>
  <c r="BC404" i="79"/>
  <c r="BC425" i="79" s="1"/>
  <c r="BE33" i="79"/>
  <c r="BD33" i="79"/>
  <c r="BC419" i="79"/>
  <c r="DO419" i="79"/>
  <c r="DO420" i="79" s="1"/>
  <c r="DO34" i="79"/>
  <c r="DQ33" i="79"/>
  <c r="DP33" i="79"/>
  <c r="DO404" i="79"/>
  <c r="DO425" i="79" s="1"/>
  <c r="DO404" i="80"/>
  <c r="DQ33" i="80"/>
  <c r="DO34" i="80"/>
  <c r="DP33" i="80"/>
  <c r="DW404" i="80"/>
  <c r="DW34" i="80"/>
  <c r="DX33" i="80"/>
  <c r="DY33" i="80"/>
  <c r="CK33" i="80"/>
  <c r="CJ33" i="80"/>
  <c r="CI34" i="80"/>
  <c r="CI404" i="80"/>
  <c r="Z151" i="79"/>
  <c r="CD25" i="79"/>
  <c r="CD401" i="79" s="1"/>
  <c r="H419" i="79"/>
  <c r="H404" i="79"/>
  <c r="H425" i="79" s="1"/>
  <c r="H34" i="79"/>
  <c r="BV25" i="80"/>
  <c r="BV401" i="80" s="1"/>
  <c r="AP25" i="80"/>
  <c r="AP401" i="80" s="1"/>
  <c r="AX25" i="79"/>
  <c r="AX401" i="79" s="1"/>
  <c r="FF25" i="79"/>
  <c r="FF401" i="79" s="1"/>
  <c r="BS34" i="79"/>
  <c r="BS419" i="79"/>
  <c r="BS420" i="79" s="1"/>
  <c r="BT33" i="79"/>
  <c r="BU33" i="79"/>
  <c r="BS404" i="79"/>
  <c r="BS425" i="79" s="1"/>
  <c r="EE404" i="79"/>
  <c r="EE425" i="79" s="1"/>
  <c r="EE34" i="79"/>
  <c r="EE419" i="79"/>
  <c r="EF33" i="79"/>
  <c r="EG33" i="79"/>
  <c r="EU419" i="79"/>
  <c r="EU404" i="79"/>
  <c r="EU425" i="79" s="1"/>
  <c r="EU34" i="79"/>
  <c r="EV33" i="79"/>
  <c r="EW33" i="79"/>
  <c r="Z25" i="80"/>
  <c r="Z401" i="80" s="1"/>
  <c r="AU404" i="80"/>
  <c r="AV33" i="80"/>
  <c r="AW33" i="80"/>
  <c r="AU34" i="80"/>
  <c r="EU404" i="80"/>
  <c r="EU34" i="80"/>
  <c r="EV33" i="80"/>
  <c r="EW33" i="80"/>
  <c r="AM404" i="80"/>
  <c r="AM34" i="80"/>
  <c r="AO33" i="80"/>
  <c r="AN33" i="80"/>
  <c r="DR25" i="80"/>
  <c r="DR401" i="80" s="1"/>
  <c r="EH25" i="80"/>
  <c r="EH401" i="80" s="1"/>
  <c r="E48" i="35"/>
  <c r="E63" i="35" s="1"/>
  <c r="E64" i="35" s="1"/>
  <c r="E65" i="35" s="1"/>
  <c r="H32" i="171" s="1"/>
  <c r="E48" i="82"/>
  <c r="E63" i="82" s="1"/>
  <c r="E64" i="82" s="1"/>
  <c r="E65" i="82" s="1"/>
  <c r="E87" i="82" s="1"/>
  <c r="I404" i="80"/>
  <c r="I34" i="80"/>
  <c r="EP25" i="79"/>
  <c r="EP401" i="79" s="1"/>
  <c r="EP25" i="80"/>
  <c r="EP401" i="80" s="1"/>
  <c r="DB25" i="80"/>
  <c r="DB401" i="80" s="1"/>
  <c r="AU34" i="79"/>
  <c r="AU419" i="79"/>
  <c r="AU404" i="79"/>
  <c r="AU425" i="79" s="1"/>
  <c r="AW33" i="79"/>
  <c r="AV33" i="79"/>
  <c r="CY34" i="79"/>
  <c r="CY419" i="79"/>
  <c r="CY404" i="79"/>
  <c r="CY425" i="79" s="1"/>
  <c r="CZ33" i="79"/>
  <c r="DA33" i="79"/>
  <c r="O34" i="79"/>
  <c r="O404" i="79"/>
  <c r="O425" i="79" s="1"/>
  <c r="P33" i="79"/>
  <c r="O419" i="79"/>
  <c r="O420" i="79" s="1"/>
  <c r="Q33" i="79"/>
  <c r="R25" i="79"/>
  <c r="R401" i="79" s="1"/>
  <c r="DG404" i="80"/>
  <c r="DI33" i="80"/>
  <c r="DG34" i="80"/>
  <c r="DH33" i="80"/>
  <c r="CY404" i="80"/>
  <c r="CY34" i="80"/>
  <c r="DA33" i="80"/>
  <c r="CZ33" i="80"/>
  <c r="EO33" i="80"/>
  <c r="EM34" i="80"/>
  <c r="EN33" i="80"/>
  <c r="EM404" i="80"/>
  <c r="DZ165" i="80"/>
  <c r="EW165" i="80"/>
  <c r="FM165" i="80"/>
  <c r="EN165" i="80"/>
  <c r="AH165" i="80"/>
  <c r="R165" i="80"/>
  <c r="CY165" i="80"/>
  <c r="CD165" i="80"/>
  <c r="FF165" i="80"/>
  <c r="AX165" i="80"/>
  <c r="CI165" i="80"/>
  <c r="BC165" i="80"/>
  <c r="CZ165" i="80"/>
  <c r="EH165" i="80"/>
  <c r="DX165" i="80"/>
  <c r="CB165" i="80"/>
  <c r="DR165" i="80"/>
  <c r="X165" i="80"/>
  <c r="CA165" i="80"/>
  <c r="Z165" i="80"/>
  <c r="EV165" i="80"/>
  <c r="AM165" i="80"/>
  <c r="CT165" i="80"/>
  <c r="EG165" i="80"/>
  <c r="DI165" i="80"/>
  <c r="AG165" i="80"/>
  <c r="EO165" i="80"/>
  <c r="EP165" i="80"/>
  <c r="CK165" i="80"/>
  <c r="CC165" i="80"/>
  <c r="BN165" i="80"/>
  <c r="DO165" i="80"/>
  <c r="DW165" i="80"/>
  <c r="BM165" i="80"/>
  <c r="DA165" i="80"/>
  <c r="H165" i="80"/>
  <c r="P165" i="80"/>
  <c r="W165" i="80"/>
  <c r="DG165" i="80"/>
  <c r="DH165" i="80"/>
  <c r="AN165" i="80"/>
  <c r="CR165" i="80"/>
  <c r="BV165" i="80"/>
  <c r="AP165" i="80"/>
  <c r="Y165" i="80"/>
  <c r="EM165" i="80"/>
  <c r="BU165" i="80"/>
  <c r="CJ165" i="80"/>
  <c r="FK165" i="80"/>
  <c r="EU165" i="80"/>
  <c r="CQ165" i="80"/>
  <c r="AW165" i="80"/>
  <c r="DP165" i="80"/>
  <c r="DJ165" i="80"/>
  <c r="BT165" i="80"/>
  <c r="CL165" i="80"/>
  <c r="BF165" i="80"/>
  <c r="AV165" i="80"/>
  <c r="DQ165" i="80"/>
  <c r="DB165" i="80"/>
  <c r="AE165" i="80"/>
  <c r="BD165" i="80"/>
  <c r="I165" i="80"/>
  <c r="O165" i="80"/>
  <c r="BS165" i="80"/>
  <c r="FC165" i="80"/>
  <c r="BK165" i="80"/>
  <c r="FL165" i="80"/>
  <c r="J165" i="80"/>
  <c r="DY165" i="80"/>
  <c r="FD165" i="80"/>
  <c r="CS165" i="80"/>
  <c r="EX165" i="80"/>
  <c r="FN165" i="80"/>
  <c r="Q165" i="80"/>
  <c r="AU165" i="80"/>
  <c r="EE165" i="80"/>
  <c r="EF165" i="80"/>
  <c r="AF165" i="80"/>
  <c r="BL165" i="80"/>
  <c r="FE165" i="80"/>
  <c r="AO165" i="80"/>
  <c r="BE165" i="80"/>
  <c r="Z25" i="79"/>
  <c r="Z401" i="79" s="1"/>
  <c r="DZ151" i="80"/>
  <c r="EX25" i="80"/>
  <c r="EX401" i="80" s="1"/>
  <c r="H404" i="80"/>
  <c r="H34" i="80"/>
  <c r="EH25" i="79"/>
  <c r="EH401" i="79" s="1"/>
  <c r="I419" i="79"/>
  <c r="I34" i="79"/>
  <c r="I404" i="79"/>
  <c r="I425" i="79" s="1"/>
  <c r="FK404" i="79"/>
  <c r="FK425" i="79" s="1"/>
  <c r="FK419" i="79"/>
  <c r="FK420" i="79" s="1"/>
  <c r="FK34" i="79"/>
  <c r="FL33" i="79"/>
  <c r="FM33" i="79"/>
  <c r="CI34" i="79"/>
  <c r="CI419" i="79"/>
  <c r="CI420" i="79" s="1"/>
  <c r="CI404" i="79"/>
  <c r="CI425" i="79" s="1"/>
  <c r="CK33" i="79"/>
  <c r="CJ33" i="79"/>
  <c r="CA419" i="79"/>
  <c r="CA420" i="79" s="1"/>
  <c r="CA404" i="79"/>
  <c r="CA425" i="79" s="1"/>
  <c r="CA34" i="79"/>
  <c r="CB33" i="79"/>
  <c r="CC33" i="79"/>
  <c r="EE34" i="80"/>
  <c r="EE404" i="80"/>
  <c r="EF33" i="80"/>
  <c r="EG33" i="80"/>
  <c r="CS33" i="80"/>
  <c r="CR33" i="80"/>
  <c r="CQ34" i="80"/>
  <c r="CQ404" i="80"/>
  <c r="DJ25" i="79"/>
  <c r="DJ401" i="79" s="1"/>
  <c r="DJ165" i="79"/>
  <c r="FM165" i="79"/>
  <c r="EH165" i="79"/>
  <c r="FK165" i="79"/>
  <c r="BT165" i="79"/>
  <c r="FE165" i="79"/>
  <c r="BF165" i="79"/>
  <c r="P165" i="79"/>
  <c r="BU165" i="79"/>
  <c r="AN165" i="79"/>
  <c r="CZ165" i="79"/>
  <c r="EF165" i="79"/>
  <c r="AF165" i="79"/>
  <c r="EN165" i="79"/>
  <c r="CS165" i="79"/>
  <c r="BN165" i="79"/>
  <c r="DG165" i="79"/>
  <c r="AH165" i="79"/>
  <c r="X165" i="79"/>
  <c r="FN165" i="79"/>
  <c r="DW165" i="79"/>
  <c r="FD165" i="79"/>
  <c r="I165" i="79"/>
  <c r="EO165" i="79"/>
  <c r="DQ165" i="79"/>
  <c r="FL165" i="79"/>
  <c r="CQ165" i="79"/>
  <c r="CY165" i="79"/>
  <c r="Q165" i="79"/>
  <c r="DO165" i="79"/>
  <c r="DR165" i="79"/>
  <c r="EX165" i="79"/>
  <c r="R165" i="79"/>
  <c r="BS165" i="79"/>
  <c r="Z165" i="79"/>
  <c r="CB165" i="79"/>
  <c r="BD165" i="79"/>
  <c r="BK165" i="79"/>
  <c r="AG165" i="79"/>
  <c r="BE165" i="79"/>
  <c r="DI165" i="79"/>
  <c r="EW165" i="79"/>
  <c r="DP165" i="79"/>
  <c r="W165" i="79"/>
  <c r="O165" i="79"/>
  <c r="AU165" i="79"/>
  <c r="EM165" i="79"/>
  <c r="EV165" i="79"/>
  <c r="DZ165" i="79"/>
  <c r="EU165" i="79"/>
  <c r="CC165" i="79"/>
  <c r="FC165" i="79"/>
  <c r="DY165" i="79"/>
  <c r="CA165" i="79"/>
  <c r="AE165" i="79"/>
  <c r="CD165" i="79"/>
  <c r="AM165" i="79"/>
  <c r="DH165" i="79"/>
  <c r="AP165" i="79"/>
  <c r="BM165" i="79"/>
  <c r="J165" i="79"/>
  <c r="BC165" i="79"/>
  <c r="H165" i="79"/>
  <c r="DX165" i="79"/>
  <c r="CT165" i="79"/>
  <c r="CL165" i="79"/>
  <c r="CJ165" i="79"/>
  <c r="EP165" i="79"/>
  <c r="FF165" i="79"/>
  <c r="AO165" i="79"/>
  <c r="BV165" i="79"/>
  <c r="DB165" i="79"/>
  <c r="Y165" i="79"/>
  <c r="EG165" i="79"/>
  <c r="AW165" i="79"/>
  <c r="DA165" i="79"/>
  <c r="CI165" i="79"/>
  <c r="EE165" i="79"/>
  <c r="AV165" i="79"/>
  <c r="CR165" i="79"/>
  <c r="AX165" i="79"/>
  <c r="CK165" i="79"/>
  <c r="BL165" i="79"/>
  <c r="D65" i="82"/>
  <c r="R65" i="82"/>
  <c r="R87" i="82" s="1"/>
  <c r="Q65" i="82"/>
  <c r="DR25" i="79"/>
  <c r="DR401" i="79" s="1"/>
  <c r="FN25" i="79"/>
  <c r="FN401" i="79" s="1"/>
  <c r="R25" i="80"/>
  <c r="R401" i="80" s="1"/>
  <c r="AX25" i="80"/>
  <c r="AX401" i="80" s="1"/>
  <c r="J28" i="90"/>
  <c r="J10" i="90"/>
  <c r="F48" i="82"/>
  <c r="F63" i="82" s="1"/>
  <c r="F64" i="82" s="1"/>
  <c r="F65" i="82" s="1"/>
  <c r="F87" i="82" s="1"/>
  <c r="F48" i="35"/>
  <c r="F63" i="35" s="1"/>
  <c r="F64" i="35" s="1"/>
  <c r="I32" i="171" s="1"/>
  <c r="CL25" i="80"/>
  <c r="CL401" i="80" s="1"/>
  <c r="DG34" i="79"/>
  <c r="DG404" i="79"/>
  <c r="DG425" i="79" s="1"/>
  <c r="DH33" i="79"/>
  <c r="DI33" i="79"/>
  <c r="DG419" i="79"/>
  <c r="DW34" i="79"/>
  <c r="DW419" i="79"/>
  <c r="DW404" i="79"/>
  <c r="DW425" i="79" s="1"/>
  <c r="DY33" i="79"/>
  <c r="DX33" i="79"/>
  <c r="FK34" i="80"/>
  <c r="FK404" i="80"/>
  <c r="FL33" i="80"/>
  <c r="FM33" i="80"/>
  <c r="W404" i="80"/>
  <c r="W34" i="80"/>
  <c r="X33" i="80"/>
  <c r="Y33" i="80"/>
  <c r="M25" i="83"/>
  <c r="M26" i="83" s="1"/>
  <c r="K25" i="83"/>
  <c r="K26" i="83" s="1"/>
  <c r="N25" i="83"/>
  <c r="N26" i="83" s="1"/>
  <c r="R25" i="83"/>
  <c r="R26" i="83" s="1"/>
  <c r="B25" i="83"/>
  <c r="B26" i="83" s="1"/>
  <c r="O25" i="83"/>
  <c r="O26" i="83" s="1"/>
  <c r="S25" i="83"/>
  <c r="S26" i="83" s="1"/>
  <c r="Q25" i="83"/>
  <c r="Q26" i="83" s="1"/>
  <c r="W25" i="83"/>
  <c r="W26" i="83" s="1"/>
  <c r="L25" i="83"/>
  <c r="L26" i="83" s="1"/>
  <c r="T25" i="83"/>
  <c r="T26" i="83" s="1"/>
  <c r="X25" i="83"/>
  <c r="X26" i="83" s="1"/>
  <c r="D25" i="83"/>
  <c r="D26" i="83" s="1"/>
  <c r="Z25" i="83"/>
  <c r="Z26" i="83" s="1"/>
  <c r="Y25" i="83"/>
  <c r="Y26" i="83" s="1"/>
  <c r="J25" i="83"/>
  <c r="J26" i="83" s="1"/>
  <c r="I25" i="83"/>
  <c r="I26" i="83" s="1"/>
  <c r="AA25" i="83"/>
  <c r="C25" i="83"/>
  <c r="C26" i="83" s="1"/>
  <c r="P25" i="83"/>
  <c r="P26" i="83" s="1"/>
  <c r="H25" i="83"/>
  <c r="H26" i="83" s="1"/>
  <c r="F25" i="83"/>
  <c r="F26" i="83" s="1"/>
  <c r="V25" i="83"/>
  <c r="V26" i="83" s="1"/>
  <c r="G25" i="83"/>
  <c r="G26" i="83" s="1"/>
  <c r="E25" i="83"/>
  <c r="E26" i="83" s="1"/>
  <c r="U25" i="83"/>
  <c r="U26" i="83" s="1"/>
  <c r="FF25" i="80"/>
  <c r="FF401" i="80" s="1"/>
  <c r="D65" i="35"/>
  <c r="Q65" i="35"/>
  <c r="R65" i="35"/>
  <c r="R87" i="35" s="1"/>
  <c r="AE34" i="79"/>
  <c r="AE404" i="79"/>
  <c r="AE425" i="79" s="1"/>
  <c r="AG33" i="79"/>
  <c r="AE419" i="79"/>
  <c r="AF33" i="79"/>
  <c r="DZ25" i="80"/>
  <c r="DZ401" i="80" s="1"/>
  <c r="AH25" i="80"/>
  <c r="AH401" i="80" s="1"/>
  <c r="K28" i="90"/>
  <c r="K10" i="90"/>
  <c r="J404" i="80"/>
  <c r="J34" i="80"/>
  <c r="BN25" i="79"/>
  <c r="BN401" i="79" s="1"/>
  <c r="EM34" i="79"/>
  <c r="EM419" i="79"/>
  <c r="EO33" i="79"/>
  <c r="EM404" i="79"/>
  <c r="EM425" i="79" s="1"/>
  <c r="EN33" i="79"/>
  <c r="BK419" i="79"/>
  <c r="BK420" i="79" s="1"/>
  <c r="BK34" i="79"/>
  <c r="BK404" i="79"/>
  <c r="BK425" i="79" s="1"/>
  <c r="BL33" i="79"/>
  <c r="BM33" i="79"/>
  <c r="AM419" i="79"/>
  <c r="AM420" i="79" s="1"/>
  <c r="AM34" i="79"/>
  <c r="AM404" i="79"/>
  <c r="AM425" i="79" s="1"/>
  <c r="AO33" i="79"/>
  <c r="AN33" i="79"/>
  <c r="CD25" i="80"/>
  <c r="CD401" i="80" s="1"/>
  <c r="O404" i="80"/>
  <c r="Q33" i="80"/>
  <c r="O34" i="80"/>
  <c r="P33" i="80"/>
  <c r="BC34" i="80"/>
  <c r="BC404" i="80"/>
  <c r="BD33" i="80"/>
  <c r="BE33" i="80"/>
  <c r="BS34" i="80"/>
  <c r="BS404" i="80"/>
  <c r="BT33" i="80"/>
  <c r="BU33" i="80"/>
  <c r="BN25" i="80"/>
  <c r="BN401" i="80" s="1"/>
  <c r="FD121" i="79"/>
  <c r="FE121" i="79"/>
  <c r="CJ121" i="80"/>
  <c r="CK121" i="80"/>
  <c r="BM121" i="79"/>
  <c r="BL121" i="79"/>
  <c r="DX121" i="79"/>
  <c r="DY121" i="79"/>
  <c r="DH121" i="79"/>
  <c r="DI121" i="79"/>
  <c r="AV121" i="80"/>
  <c r="AW121" i="80"/>
  <c r="EN121" i="80"/>
  <c r="EO121" i="80"/>
  <c r="CB121" i="80"/>
  <c r="CC121" i="80"/>
  <c r="EF121" i="79"/>
  <c r="EG121" i="79"/>
  <c r="AG121" i="79"/>
  <c r="AF121" i="79"/>
  <c r="AW121" i="79"/>
  <c r="AV121" i="79"/>
  <c r="P121" i="80"/>
  <c r="Q121" i="80"/>
  <c r="BE121" i="79"/>
  <c r="BD121" i="79"/>
  <c r="EO121" i="79"/>
  <c r="EN121" i="79"/>
  <c r="AO121" i="79"/>
  <c r="AN121" i="79"/>
  <c r="DP121" i="80"/>
  <c r="DQ121" i="80"/>
  <c r="EW121" i="80"/>
  <c r="EV121" i="80"/>
  <c r="BD121" i="80"/>
  <c r="BE121" i="80"/>
  <c r="BT121" i="79"/>
  <c r="BU121" i="79"/>
  <c r="CC121" i="79"/>
  <c r="CB121" i="79"/>
  <c r="CS121" i="79"/>
  <c r="CR121" i="79"/>
  <c r="Q121" i="79"/>
  <c r="P121" i="79"/>
  <c r="BT121" i="80"/>
  <c r="BU121" i="80"/>
  <c r="DH121" i="80"/>
  <c r="DI121" i="80"/>
  <c r="X121" i="80"/>
  <c r="Y121" i="80"/>
  <c r="AF121" i="80"/>
  <c r="AG121" i="80"/>
  <c r="X121" i="79"/>
  <c r="Y121" i="79"/>
  <c r="FL121" i="79"/>
  <c r="FM121" i="79"/>
  <c r="FD121" i="80"/>
  <c r="FE121" i="80"/>
  <c r="DY121" i="80"/>
  <c r="DX121" i="80"/>
  <c r="BM121" i="80"/>
  <c r="BL121" i="80"/>
  <c r="CJ121" i="79"/>
  <c r="CK121" i="79"/>
  <c r="DP121" i="79"/>
  <c r="DQ121" i="79"/>
  <c r="AN121" i="80"/>
  <c r="AO121" i="80"/>
  <c r="CZ121" i="80"/>
  <c r="DA121" i="80"/>
  <c r="EF121" i="80"/>
  <c r="EG121" i="80"/>
  <c r="DA121" i="79"/>
  <c r="CZ121" i="79"/>
  <c r="EV121" i="79"/>
  <c r="EW121" i="79"/>
  <c r="CR121" i="80"/>
  <c r="CS121" i="80"/>
  <c r="FM121" i="80"/>
  <c r="FL121" i="80"/>
  <c r="DW398" i="79"/>
  <c r="DW26" i="79"/>
  <c r="DX22" i="79"/>
  <c r="DY22" i="79"/>
  <c r="DO398" i="79"/>
  <c r="DQ22" i="79"/>
  <c r="DP22" i="79"/>
  <c r="DO26" i="79"/>
  <c r="FM120" i="80"/>
  <c r="FL120" i="80"/>
  <c r="EO120" i="80"/>
  <c r="EN120" i="80"/>
  <c r="EW120" i="79"/>
  <c r="EV120" i="79"/>
  <c r="BS26" i="80"/>
  <c r="BS398" i="80"/>
  <c r="BT22" i="80"/>
  <c r="BU22" i="80"/>
  <c r="AW22" i="80"/>
  <c r="AV22" i="80"/>
  <c r="AU26" i="80"/>
  <c r="AU398" i="80"/>
  <c r="AU402" i="80" s="1"/>
  <c r="AU405" i="80" s="1"/>
  <c r="AU409" i="80" s="1"/>
  <c r="AW22" i="79"/>
  <c r="AU398" i="79"/>
  <c r="AU402" i="79" s="1"/>
  <c r="AU26" i="79"/>
  <c r="AV22" i="79"/>
  <c r="L43" i="79"/>
  <c r="L37" i="79"/>
  <c r="L38" i="79"/>
  <c r="L47" i="79"/>
  <c r="L45" i="79"/>
  <c r="L41" i="79"/>
  <c r="L48" i="79"/>
  <c r="L40" i="79"/>
  <c r="L42" i="79"/>
  <c r="G52" i="79"/>
  <c r="L46" i="79"/>
  <c r="L44" i="79"/>
  <c r="L39" i="79"/>
  <c r="AO22" i="79"/>
  <c r="AM26" i="79"/>
  <c r="AM398" i="79"/>
  <c r="AM402" i="79" s="1"/>
  <c r="AN22" i="79"/>
  <c r="EV120" i="80"/>
  <c r="EW120" i="80"/>
  <c r="CS120" i="80"/>
  <c r="CR120" i="80"/>
  <c r="AN120" i="80"/>
  <c r="AO120" i="80"/>
  <c r="G52" i="85"/>
  <c r="J26" i="80"/>
  <c r="J398" i="80"/>
  <c r="J402" i="80" s="1"/>
  <c r="AV120" i="79"/>
  <c r="AW120" i="79"/>
  <c r="AN120" i="79"/>
  <c r="AO120" i="79"/>
  <c r="H398" i="80"/>
  <c r="H402" i="80" s="1"/>
  <c r="H26" i="80"/>
  <c r="AE26" i="80"/>
  <c r="AG22" i="80"/>
  <c r="AE398" i="80"/>
  <c r="AF22" i="80"/>
  <c r="BC26" i="79"/>
  <c r="BC398" i="79"/>
  <c r="BD22" i="79"/>
  <c r="BE22" i="79"/>
  <c r="X120" i="79"/>
  <c r="Y120" i="79"/>
  <c r="FM120" i="79"/>
  <c r="FL120" i="79"/>
  <c r="R2" i="35"/>
  <c r="CY26" i="79"/>
  <c r="CZ22" i="79"/>
  <c r="CY398" i="79"/>
  <c r="CY402" i="79" s="1"/>
  <c r="DA22" i="79"/>
  <c r="DI120" i="80"/>
  <c r="DH120" i="80"/>
  <c r="CB120" i="80"/>
  <c r="CC120" i="80"/>
  <c r="EM26" i="80"/>
  <c r="EO22" i="80"/>
  <c r="EM398" i="80"/>
  <c r="EN22" i="80"/>
  <c r="DI22" i="80"/>
  <c r="DH22" i="80"/>
  <c r="DG26" i="80"/>
  <c r="DG398" i="80"/>
  <c r="DG402" i="80" s="1"/>
  <c r="EG120" i="80"/>
  <c r="EF120" i="80"/>
  <c r="DY120" i="79"/>
  <c r="DX120" i="79"/>
  <c r="BM120" i="79"/>
  <c r="BL120" i="79"/>
  <c r="I398" i="79"/>
  <c r="I402" i="79" s="1"/>
  <c r="I26" i="79"/>
  <c r="CA26" i="80"/>
  <c r="CC22" i="80"/>
  <c r="CB22" i="80"/>
  <c r="CA398" i="80"/>
  <c r="DG398" i="79"/>
  <c r="DH22" i="79"/>
  <c r="DI22" i="79"/>
  <c r="DG26" i="79"/>
  <c r="BC398" i="80"/>
  <c r="BC402" i="80" s="1"/>
  <c r="BE22" i="80"/>
  <c r="BC26" i="80"/>
  <c r="BD22" i="80"/>
  <c r="CB22" i="79"/>
  <c r="CA398" i="79"/>
  <c r="CA402" i="79" s="1"/>
  <c r="CA26" i="79"/>
  <c r="CC22" i="79"/>
  <c r="BU120" i="80"/>
  <c r="BT120" i="80"/>
  <c r="EE398" i="80"/>
  <c r="EE402" i="80" s="1"/>
  <c r="EF22" i="80"/>
  <c r="EE26" i="80"/>
  <c r="EG22" i="80"/>
  <c r="DO398" i="80"/>
  <c r="DO402" i="80" s="1"/>
  <c r="DO26" i="80"/>
  <c r="DQ22" i="80"/>
  <c r="DP22" i="80"/>
  <c r="EO22" i="79"/>
  <c r="EM26" i="79"/>
  <c r="EM398" i="79"/>
  <c r="EN22" i="79"/>
  <c r="CS120" i="79"/>
  <c r="CR120" i="79"/>
  <c r="CY398" i="80"/>
  <c r="CY402" i="80" s="1"/>
  <c r="CY26" i="80"/>
  <c r="CZ22" i="80"/>
  <c r="DA22" i="80"/>
  <c r="BE120" i="80"/>
  <c r="BD120" i="80"/>
  <c r="BT22" i="79"/>
  <c r="BU22" i="79"/>
  <c r="BS398" i="79"/>
  <c r="BS402" i="79" s="1"/>
  <c r="BS26" i="79"/>
  <c r="CQ26" i="79"/>
  <c r="CS22" i="79"/>
  <c r="CQ398" i="79"/>
  <c r="CR22" i="79"/>
  <c r="BL22" i="80"/>
  <c r="BK398" i="80"/>
  <c r="BK402" i="80" s="1"/>
  <c r="BM22" i="80"/>
  <c r="BK26" i="80"/>
  <c r="EU398" i="79"/>
  <c r="EW22" i="79"/>
  <c r="EU26" i="79"/>
  <c r="EV22" i="79"/>
  <c r="Q120" i="80"/>
  <c r="P120" i="80"/>
  <c r="CZ120" i="80"/>
  <c r="DA120" i="80"/>
  <c r="BU120" i="79"/>
  <c r="BT120" i="79"/>
  <c r="DP120" i="79"/>
  <c r="DQ120" i="79"/>
  <c r="DX22" i="80"/>
  <c r="DY22" i="80"/>
  <c r="DW398" i="80"/>
  <c r="DW26" i="80"/>
  <c r="AM26" i="80"/>
  <c r="AN22" i="80"/>
  <c r="AM398" i="80"/>
  <c r="AO22" i="80"/>
  <c r="CI398" i="80"/>
  <c r="CK22" i="80"/>
  <c r="CJ22" i="80"/>
  <c r="CI26" i="80"/>
  <c r="O398" i="79"/>
  <c r="P22" i="79"/>
  <c r="O26" i="79"/>
  <c r="Q22" i="79"/>
  <c r="AG22" i="79"/>
  <c r="AF22" i="79"/>
  <c r="AE398" i="79"/>
  <c r="AE402" i="79" s="1"/>
  <c r="AE26" i="79"/>
  <c r="CI26" i="79"/>
  <c r="CI398" i="79"/>
  <c r="CI402" i="79" s="1"/>
  <c r="CJ22" i="79"/>
  <c r="CK22" i="79"/>
  <c r="CJ120" i="80"/>
  <c r="CK120" i="80"/>
  <c r="AV120" i="80"/>
  <c r="AW120" i="80"/>
  <c r="EF120" i="79"/>
  <c r="EG120" i="79"/>
  <c r="AG120" i="79"/>
  <c r="AF120" i="79"/>
  <c r="FE120" i="79"/>
  <c r="FD120" i="79"/>
  <c r="R50" i="82"/>
  <c r="D50" i="82"/>
  <c r="FK398" i="80"/>
  <c r="FK26" i="80"/>
  <c r="FL22" i="80"/>
  <c r="FM22" i="80"/>
  <c r="BK398" i="79"/>
  <c r="BK26" i="79"/>
  <c r="BL22" i="79"/>
  <c r="BM22" i="79"/>
  <c r="W26" i="79"/>
  <c r="X22" i="79"/>
  <c r="W398" i="79"/>
  <c r="Y22" i="79"/>
  <c r="Y120" i="80"/>
  <c r="X120" i="80"/>
  <c r="AG120" i="80"/>
  <c r="AF120" i="80"/>
  <c r="DA120" i="79"/>
  <c r="CZ120" i="79"/>
  <c r="EN120" i="79"/>
  <c r="EO120" i="79"/>
  <c r="CB120" i="79"/>
  <c r="CC120" i="79"/>
  <c r="Q49" i="82"/>
  <c r="S46" i="82"/>
  <c r="I398" i="80"/>
  <c r="I402" i="80" s="1"/>
  <c r="I26" i="80"/>
  <c r="W398" i="80"/>
  <c r="W26" i="80"/>
  <c r="X22" i="80"/>
  <c r="Y22" i="80"/>
  <c r="CS22" i="80"/>
  <c r="CR22" i="80"/>
  <c r="CQ398" i="80"/>
  <c r="CQ402" i="80" s="1"/>
  <c r="CQ26" i="80"/>
  <c r="L42" i="80"/>
  <c r="L44" i="80"/>
  <c r="G52" i="80"/>
  <c r="L45" i="80"/>
  <c r="L43" i="80"/>
  <c r="L37" i="80"/>
  <c r="L47" i="80"/>
  <c r="L41" i="80"/>
  <c r="L40" i="80"/>
  <c r="L48" i="80"/>
  <c r="L39" i="80"/>
  <c r="L38" i="80"/>
  <c r="L46" i="80"/>
  <c r="FD22" i="79"/>
  <c r="FC26" i="79"/>
  <c r="FC398" i="79"/>
  <c r="FE22" i="79"/>
  <c r="FM22" i="79"/>
  <c r="FK26" i="79"/>
  <c r="FL22" i="79"/>
  <c r="FK398" i="79"/>
  <c r="FK402" i="79" s="1"/>
  <c r="DY120" i="80"/>
  <c r="DX120" i="80"/>
  <c r="DQ120" i="80"/>
  <c r="DP120" i="80"/>
  <c r="BL120" i="80"/>
  <c r="BM120" i="80"/>
  <c r="D50" i="35"/>
  <c r="D53" i="35"/>
  <c r="D58" i="35" s="1"/>
  <c r="BE120" i="79"/>
  <c r="BD120" i="79"/>
  <c r="Q120" i="79"/>
  <c r="P120" i="79"/>
  <c r="DI120" i="79"/>
  <c r="DH120" i="79"/>
  <c r="H398" i="79"/>
  <c r="H402" i="79" s="1"/>
  <c r="H26" i="79"/>
  <c r="EU398" i="80"/>
  <c r="EW22" i="80"/>
  <c r="EU26" i="80"/>
  <c r="EV22" i="80"/>
  <c r="Q22" i="80"/>
  <c r="O398" i="80"/>
  <c r="P22" i="80"/>
  <c r="O26" i="80"/>
  <c r="FD22" i="80"/>
  <c r="FC26" i="80"/>
  <c r="FE22" i="80"/>
  <c r="FC398" i="80"/>
  <c r="FC402" i="80" s="1"/>
  <c r="EG22" i="79"/>
  <c r="EE26" i="79"/>
  <c r="EE398" i="79"/>
  <c r="EF22" i="79"/>
  <c r="FD120" i="80"/>
  <c r="FE120" i="80"/>
  <c r="J26" i="79"/>
  <c r="J398" i="79"/>
  <c r="J402" i="79" s="1"/>
  <c r="CJ120" i="79"/>
  <c r="CK120" i="79"/>
  <c r="AP29" i="79" l="1"/>
  <c r="AP30" i="79" s="1"/>
  <c r="FF29" i="80"/>
  <c r="FF30" i="80" s="1"/>
  <c r="FF403" i="80" s="1"/>
  <c r="CC403" i="79"/>
  <c r="CC424" i="79" s="1"/>
  <c r="AH29" i="80"/>
  <c r="AH30" i="80" s="1"/>
  <c r="AH403" i="80" s="1"/>
  <c r="AG424" i="80"/>
  <c r="AO418" i="80"/>
  <c r="AP29" i="80"/>
  <c r="AP30" i="80" s="1"/>
  <c r="AP403" i="80" s="1"/>
  <c r="CT29" i="80"/>
  <c r="CT30" i="80" s="1"/>
  <c r="CT403" i="80" s="1"/>
  <c r="CS418" i="79"/>
  <c r="DR29" i="80"/>
  <c r="DR30" i="80" s="1"/>
  <c r="DR403" i="80" s="1"/>
  <c r="CS418" i="80"/>
  <c r="BL154" i="80"/>
  <c r="EW154" i="80"/>
  <c r="EV154" i="80"/>
  <c r="CR154" i="79"/>
  <c r="CS154" i="79"/>
  <c r="CQ100" i="79"/>
  <c r="CR97" i="79"/>
  <c r="CR100" i="79" s="1"/>
  <c r="CS97" i="79"/>
  <c r="CS100" i="79" s="1"/>
  <c r="FM107" i="80"/>
  <c r="FL107" i="80"/>
  <c r="Q97" i="80"/>
  <c r="Q100" i="80" s="1"/>
  <c r="P97" i="80"/>
  <c r="P100" i="80" s="1"/>
  <c r="O100" i="80"/>
  <c r="BD155" i="80"/>
  <c r="BE155" i="80"/>
  <c r="DI155" i="80"/>
  <c r="DH155" i="80"/>
  <c r="DJ155" i="80" s="1"/>
  <c r="AV107" i="79"/>
  <c r="AW107" i="79"/>
  <c r="DX154" i="80"/>
  <c r="DY154" i="80"/>
  <c r="AG154" i="80"/>
  <c r="AF154" i="80"/>
  <c r="EG132" i="80"/>
  <c r="EF132" i="80"/>
  <c r="X154" i="79"/>
  <c r="Y154" i="79"/>
  <c r="BL154" i="79"/>
  <c r="BM154" i="79"/>
  <c r="BL97" i="80"/>
  <c r="BL100" i="80" s="1"/>
  <c r="BK100" i="80"/>
  <c r="BM97" i="80"/>
  <c r="CK132" i="79"/>
  <c r="CJ132" i="79"/>
  <c r="EF132" i="79"/>
  <c r="EG132" i="79"/>
  <c r="DO100" i="79"/>
  <c r="DP97" i="79"/>
  <c r="DP100" i="79" s="1"/>
  <c r="DQ97" i="79"/>
  <c r="DQ100" i="79" s="1"/>
  <c r="AM116" i="80"/>
  <c r="AU116" i="79"/>
  <c r="Q155" i="79"/>
  <c r="P155" i="79"/>
  <c r="AO107" i="80"/>
  <c r="AN107" i="80"/>
  <c r="CC97" i="80"/>
  <c r="CC100" i="80" s="1"/>
  <c r="CA100" i="80"/>
  <c r="CB97" i="80"/>
  <c r="CB100" i="80" s="1"/>
  <c r="DX97" i="79"/>
  <c r="DX100" i="79" s="1"/>
  <c r="DY97" i="79"/>
  <c r="DY100" i="79" s="1"/>
  <c r="DW100" i="79"/>
  <c r="EO132" i="80"/>
  <c r="EN132" i="80"/>
  <c r="BS116" i="80"/>
  <c r="DZ29" i="79"/>
  <c r="DZ30" i="79" s="1"/>
  <c r="EN155" i="80"/>
  <c r="EO155" i="80"/>
  <c r="Q107" i="79"/>
  <c r="P107" i="79"/>
  <c r="FM154" i="80"/>
  <c r="FL154" i="80"/>
  <c r="BU132" i="80"/>
  <c r="BT132" i="80"/>
  <c r="FD154" i="79"/>
  <c r="FE154" i="79"/>
  <c r="FM97" i="80"/>
  <c r="FM100" i="80" s="1"/>
  <c r="FL97" i="80"/>
  <c r="FL100" i="80" s="1"/>
  <c r="FK100" i="80"/>
  <c r="DQ132" i="79"/>
  <c r="DP132" i="79"/>
  <c r="BM132" i="79"/>
  <c r="AG97" i="79"/>
  <c r="AG100" i="79" s="1"/>
  <c r="AF97" i="79"/>
  <c r="AF100" i="79" s="1"/>
  <c r="AE100" i="79"/>
  <c r="EU116" i="80"/>
  <c r="EE116" i="79"/>
  <c r="FM155" i="79"/>
  <c r="FL155" i="79"/>
  <c r="EW107" i="80"/>
  <c r="EV107" i="80"/>
  <c r="EX107" i="80" s="1"/>
  <c r="EG97" i="80"/>
  <c r="EG100" i="80" s="1"/>
  <c r="EF97" i="80"/>
  <c r="EE100" i="80"/>
  <c r="AO132" i="79"/>
  <c r="AN132" i="79"/>
  <c r="BT107" i="80"/>
  <c r="BU107" i="80"/>
  <c r="DX155" i="80"/>
  <c r="DY155" i="80"/>
  <c r="EF107" i="80"/>
  <c r="EG107" i="80"/>
  <c r="X107" i="79"/>
  <c r="Y107" i="79"/>
  <c r="FE97" i="79"/>
  <c r="FE100" i="79" s="1"/>
  <c r="FD97" i="79"/>
  <c r="FC100" i="79"/>
  <c r="BS116" i="79"/>
  <c r="AW155" i="79"/>
  <c r="AV155" i="79"/>
  <c r="DA107" i="80"/>
  <c r="CZ107" i="80"/>
  <c r="DG402" i="79"/>
  <c r="DG405" i="79" s="1"/>
  <c r="DG409" i="79" s="1"/>
  <c r="P155" i="80"/>
  <c r="Q155" i="80"/>
  <c r="DQ107" i="79"/>
  <c r="DP107" i="79"/>
  <c r="AW154" i="80"/>
  <c r="AV154" i="80"/>
  <c r="DQ132" i="80"/>
  <c r="DP132" i="80"/>
  <c r="DI132" i="80"/>
  <c r="DH132" i="80"/>
  <c r="CB154" i="79"/>
  <c r="CC154" i="79"/>
  <c r="DA97" i="80"/>
  <c r="DA100" i="80" s="1"/>
  <c r="CZ97" i="80"/>
  <c r="CZ100" i="80" s="1"/>
  <c r="CY100" i="80"/>
  <c r="DA132" i="79"/>
  <c r="CZ132" i="79"/>
  <c r="AN97" i="79"/>
  <c r="AN100" i="79" s="1"/>
  <c r="AO97" i="79"/>
  <c r="AO100" i="79" s="1"/>
  <c r="AM100" i="79"/>
  <c r="AV97" i="79"/>
  <c r="AV100" i="79" s="1"/>
  <c r="AW97" i="79"/>
  <c r="AW100" i="79" s="1"/>
  <c r="AU100" i="79"/>
  <c r="FC116" i="80"/>
  <c r="FC116" i="79"/>
  <c r="FK116" i="79"/>
  <c r="DA155" i="79"/>
  <c r="CZ155" i="79"/>
  <c r="BD107" i="80"/>
  <c r="BE107" i="80"/>
  <c r="FE155" i="80"/>
  <c r="FD155" i="80"/>
  <c r="BL107" i="79"/>
  <c r="BM107" i="79"/>
  <c r="DA154" i="80"/>
  <c r="CZ154" i="80"/>
  <c r="EN97" i="80"/>
  <c r="EN100" i="80" s="1"/>
  <c r="EM100" i="80"/>
  <c r="EO97" i="80"/>
  <c r="AG132" i="79"/>
  <c r="AF132" i="79"/>
  <c r="EO155" i="79"/>
  <c r="EN155" i="79"/>
  <c r="BM132" i="80"/>
  <c r="BL132" i="80"/>
  <c r="AW132" i="80"/>
  <c r="AV132" i="80"/>
  <c r="EE116" i="80"/>
  <c r="AF107" i="80"/>
  <c r="AG107" i="80"/>
  <c r="DI107" i="79"/>
  <c r="DH107" i="79"/>
  <c r="DQ97" i="80"/>
  <c r="DQ100" i="80" s="1"/>
  <c r="DP97" i="80"/>
  <c r="DP100" i="80" s="1"/>
  <c r="DO100" i="80"/>
  <c r="BM155" i="80"/>
  <c r="BL155" i="80"/>
  <c r="BD107" i="79"/>
  <c r="BE107" i="79"/>
  <c r="BD154" i="80"/>
  <c r="BE154" i="80"/>
  <c r="FM132" i="80"/>
  <c r="FL132" i="80"/>
  <c r="DA132" i="80"/>
  <c r="CZ132" i="80"/>
  <c r="BD154" i="79"/>
  <c r="BE154" i="79"/>
  <c r="EW97" i="80"/>
  <c r="EW100" i="80" s="1"/>
  <c r="EV97" i="80"/>
  <c r="EU100" i="80"/>
  <c r="DI132" i="79"/>
  <c r="DH132" i="79"/>
  <c r="CB97" i="79"/>
  <c r="CB100" i="79" s="1"/>
  <c r="CA100" i="79"/>
  <c r="CC97" i="79"/>
  <c r="EN97" i="79"/>
  <c r="EN100" i="79" s="1"/>
  <c r="EO97" i="79"/>
  <c r="EM100" i="79"/>
  <c r="AE116" i="80"/>
  <c r="W116" i="80"/>
  <c r="DW116" i="79"/>
  <c r="AE116" i="79"/>
  <c r="DY155" i="79"/>
  <c r="DX155" i="79"/>
  <c r="BL132" i="79"/>
  <c r="CJ107" i="80"/>
  <c r="CK107" i="80"/>
  <c r="BM154" i="80"/>
  <c r="CR107" i="79"/>
  <c r="CS107" i="79"/>
  <c r="EO154" i="80"/>
  <c r="EN154" i="80"/>
  <c r="P107" i="80"/>
  <c r="Q107" i="80"/>
  <c r="EE405" i="80"/>
  <c r="EE409" i="80" s="1"/>
  <c r="CK155" i="80"/>
  <c r="CJ155" i="80"/>
  <c r="EV107" i="79"/>
  <c r="EW107" i="79"/>
  <c r="FD107" i="79"/>
  <c r="FE107" i="79"/>
  <c r="DQ154" i="80"/>
  <c r="DP154" i="80"/>
  <c r="CK132" i="80"/>
  <c r="CJ132" i="80"/>
  <c r="BE132" i="80"/>
  <c r="BD132" i="80"/>
  <c r="AF154" i="79"/>
  <c r="AG154" i="79"/>
  <c r="X132" i="79"/>
  <c r="Y132" i="79"/>
  <c r="Y97" i="79"/>
  <c r="Y100" i="79" s="1"/>
  <c r="W100" i="79"/>
  <c r="X97" i="79"/>
  <c r="EW97" i="79"/>
  <c r="EW100" i="79" s="1"/>
  <c r="EV97" i="79"/>
  <c r="EU100" i="79"/>
  <c r="BC116" i="80"/>
  <c r="CQ116" i="80"/>
  <c r="BK116" i="79"/>
  <c r="DO116" i="79"/>
  <c r="AO155" i="79"/>
  <c r="AN155" i="79"/>
  <c r="AV107" i="80"/>
  <c r="AW107" i="80"/>
  <c r="AN97" i="80"/>
  <c r="AN100" i="80" s="1"/>
  <c r="AO97" i="80"/>
  <c r="AM100" i="80"/>
  <c r="FE107" i="80"/>
  <c r="FD107" i="80"/>
  <c r="AN155" i="80"/>
  <c r="AO155" i="80"/>
  <c r="BT154" i="79"/>
  <c r="BU154" i="79"/>
  <c r="AG155" i="80"/>
  <c r="AF155" i="80"/>
  <c r="AF97" i="80"/>
  <c r="AF100" i="80" s="1"/>
  <c r="AG97" i="80"/>
  <c r="AG100" i="80" s="1"/>
  <c r="AE100" i="80"/>
  <c r="AV132" i="79"/>
  <c r="AW132" i="79"/>
  <c r="EF97" i="79"/>
  <c r="EF100" i="79" s="1"/>
  <c r="EG97" i="79"/>
  <c r="EG100" i="79" s="1"/>
  <c r="EE100" i="79"/>
  <c r="FL97" i="79"/>
  <c r="FL100" i="79" s="1"/>
  <c r="FM97" i="79"/>
  <c r="FM100" i="79" s="1"/>
  <c r="FK100" i="79"/>
  <c r="X107" i="80"/>
  <c r="Y107" i="80"/>
  <c r="Y155" i="80"/>
  <c r="X155" i="80"/>
  <c r="CC107" i="79"/>
  <c r="CB107" i="79"/>
  <c r="CZ107" i="79"/>
  <c r="DA107" i="79"/>
  <c r="AO154" i="80"/>
  <c r="AN154" i="80"/>
  <c r="CC132" i="80"/>
  <c r="CB132" i="80"/>
  <c r="AG132" i="80"/>
  <c r="AF132" i="80"/>
  <c r="EF154" i="79"/>
  <c r="EG154" i="79"/>
  <c r="DH97" i="80"/>
  <c r="DH100" i="80" s="1"/>
  <c r="DG100" i="80"/>
  <c r="DI97" i="80"/>
  <c r="DI100" i="80" s="1"/>
  <c r="FL132" i="79"/>
  <c r="FM132" i="79"/>
  <c r="CJ97" i="79"/>
  <c r="CJ100" i="79" s="1"/>
  <c r="CI100" i="79"/>
  <c r="CK97" i="79"/>
  <c r="CK100" i="79" s="1"/>
  <c r="P97" i="79"/>
  <c r="P100" i="79" s="1"/>
  <c r="Q97" i="79"/>
  <c r="O100" i="79"/>
  <c r="EU116" i="79"/>
  <c r="CY116" i="79"/>
  <c r="BE155" i="79"/>
  <c r="BD155" i="79"/>
  <c r="EN107" i="80"/>
  <c r="EO107" i="80"/>
  <c r="BT132" i="79"/>
  <c r="BU132" i="79"/>
  <c r="DQ155" i="79"/>
  <c r="DP155" i="79"/>
  <c r="EF155" i="80"/>
  <c r="EG155" i="80"/>
  <c r="EO107" i="79"/>
  <c r="EN107" i="79"/>
  <c r="AG107" i="79"/>
  <c r="AF107" i="79"/>
  <c r="DH154" i="80"/>
  <c r="DI154" i="80"/>
  <c r="DY132" i="80"/>
  <c r="DX132" i="80"/>
  <c r="DP154" i="79"/>
  <c r="DQ154" i="79"/>
  <c r="BE97" i="80"/>
  <c r="BE100" i="80" s="1"/>
  <c r="BC100" i="80"/>
  <c r="BD97" i="80"/>
  <c r="CB132" i="79"/>
  <c r="CC132" i="79"/>
  <c r="CD132" i="79" s="1"/>
  <c r="CZ97" i="79"/>
  <c r="CZ100" i="79" s="1"/>
  <c r="DA97" i="79"/>
  <c r="DA100" i="79" s="1"/>
  <c r="CY100" i="79"/>
  <c r="CA116" i="80"/>
  <c r="FK116" i="80"/>
  <c r="CI116" i="79"/>
  <c r="EG155" i="79"/>
  <c r="EF155" i="79"/>
  <c r="BM155" i="79"/>
  <c r="BL155" i="79"/>
  <c r="DX107" i="80"/>
  <c r="DY107" i="80"/>
  <c r="FK126" i="80"/>
  <c r="BC126" i="80"/>
  <c r="W126" i="80"/>
  <c r="CA126" i="80"/>
  <c r="O126" i="80"/>
  <c r="EM126" i="80"/>
  <c r="CI126" i="80"/>
  <c r="EU126" i="80"/>
  <c r="DW126" i="80"/>
  <c r="CY126" i="80"/>
  <c r="AM126" i="80"/>
  <c r="DG126" i="80"/>
  <c r="BS126" i="80"/>
  <c r="BK126" i="80"/>
  <c r="DO126" i="80"/>
  <c r="AE126" i="80"/>
  <c r="FC126" i="80"/>
  <c r="EE126" i="80"/>
  <c r="CQ126" i="80"/>
  <c r="AU126" i="80"/>
  <c r="Q132" i="80"/>
  <c r="P132" i="80"/>
  <c r="CQ116" i="79"/>
  <c r="Y155" i="79"/>
  <c r="X155" i="79"/>
  <c r="CS132" i="80"/>
  <c r="CR132" i="80"/>
  <c r="FL154" i="79"/>
  <c r="FM154" i="79"/>
  <c r="EE420" i="79"/>
  <c r="AN107" i="79"/>
  <c r="AO107" i="79"/>
  <c r="Y97" i="80"/>
  <c r="Y100" i="80" s="1"/>
  <c r="X97" i="80"/>
  <c r="X100" i="80" s="1"/>
  <c r="W100" i="80"/>
  <c r="EW155" i="79"/>
  <c r="EV155" i="79"/>
  <c r="Y154" i="80"/>
  <c r="X154" i="80"/>
  <c r="CJ154" i="79"/>
  <c r="CK154" i="79"/>
  <c r="W420" i="79"/>
  <c r="AW155" i="80"/>
  <c r="AV155" i="80"/>
  <c r="EF107" i="79"/>
  <c r="EG107" i="79"/>
  <c r="FM107" i="79"/>
  <c r="FL107" i="79"/>
  <c r="Q154" i="80"/>
  <c r="P154" i="80"/>
  <c r="AO132" i="80"/>
  <c r="AN132" i="80"/>
  <c r="EV154" i="79"/>
  <c r="EW154" i="79"/>
  <c r="FE97" i="80"/>
  <c r="FE100" i="80" s="1"/>
  <c r="FC100" i="80"/>
  <c r="FD97" i="80"/>
  <c r="FD100" i="80" s="1"/>
  <c r="EW132" i="79"/>
  <c r="EV132" i="79"/>
  <c r="DI97" i="79"/>
  <c r="DI100" i="79" s="1"/>
  <c r="DG100" i="79"/>
  <c r="DH97" i="79"/>
  <c r="CY116" i="80"/>
  <c r="EM116" i="79"/>
  <c r="BU155" i="79"/>
  <c r="BT155" i="79"/>
  <c r="FE155" i="79"/>
  <c r="FD155" i="79"/>
  <c r="EM129" i="80"/>
  <c r="DG129" i="80"/>
  <c r="EE129" i="80"/>
  <c r="CQ129" i="80"/>
  <c r="O129" i="80"/>
  <c r="EU129" i="80"/>
  <c r="AE129" i="80"/>
  <c r="CA129" i="80"/>
  <c r="BC129" i="80"/>
  <c r="AU129" i="80"/>
  <c r="FC129" i="80"/>
  <c r="FK129" i="80"/>
  <c r="DO129" i="80"/>
  <c r="BK129" i="80"/>
  <c r="CY129" i="80"/>
  <c r="CI129" i="80"/>
  <c r="W129" i="80"/>
  <c r="DW129" i="80"/>
  <c r="BS129" i="80"/>
  <c r="AM129" i="80"/>
  <c r="DH107" i="80"/>
  <c r="DI107" i="80"/>
  <c r="AE126" i="79"/>
  <c r="CA126" i="79"/>
  <c r="FC126" i="79"/>
  <c r="BK126" i="79"/>
  <c r="DG126" i="79"/>
  <c r="AU126" i="79"/>
  <c r="AM126" i="79"/>
  <c r="O126" i="79"/>
  <c r="FK126" i="79"/>
  <c r="CI126" i="79"/>
  <c r="BC126" i="79"/>
  <c r="CY126" i="79"/>
  <c r="W126" i="79"/>
  <c r="CQ126" i="79"/>
  <c r="EU126" i="79"/>
  <c r="EE126" i="79"/>
  <c r="EM126" i="79"/>
  <c r="DW126" i="79"/>
  <c r="DO126" i="79"/>
  <c r="BS126" i="79"/>
  <c r="CR107" i="80"/>
  <c r="CS107" i="80"/>
  <c r="DH154" i="79"/>
  <c r="DI154" i="79"/>
  <c r="DW420" i="79"/>
  <c r="AV418" i="80"/>
  <c r="CR155" i="80"/>
  <c r="CS155" i="80"/>
  <c r="EV155" i="80"/>
  <c r="EW155" i="80"/>
  <c r="CK107" i="79"/>
  <c r="CJ107" i="79"/>
  <c r="CC154" i="80"/>
  <c r="CB154" i="80"/>
  <c r="CK154" i="80"/>
  <c r="CJ154" i="80"/>
  <c r="FE132" i="80"/>
  <c r="FD132" i="80"/>
  <c r="AV154" i="79"/>
  <c r="AW154" i="79"/>
  <c r="CZ154" i="79"/>
  <c r="DA154" i="79"/>
  <c r="CS97" i="80"/>
  <c r="CS100" i="80" s="1"/>
  <c r="CQ100" i="80"/>
  <c r="CR97" i="80"/>
  <c r="CR100" i="80" s="1"/>
  <c r="DY132" i="79"/>
  <c r="DX132" i="79"/>
  <c r="BD97" i="79"/>
  <c r="BD100" i="79" s="1"/>
  <c r="BC100" i="79"/>
  <c r="BE97" i="79"/>
  <c r="BE100" i="79" s="1"/>
  <c r="CI116" i="80"/>
  <c r="DI155" i="79"/>
  <c r="DH155" i="79"/>
  <c r="CC155" i="79"/>
  <c r="CB155" i="79"/>
  <c r="AU129" i="79"/>
  <c r="W129" i="79"/>
  <c r="DO129" i="79"/>
  <c r="AE129" i="79"/>
  <c r="CY129" i="79"/>
  <c r="CQ129" i="79"/>
  <c r="FC129" i="79"/>
  <c r="BK129" i="79"/>
  <c r="FK129" i="79"/>
  <c r="EE129" i="79"/>
  <c r="O129" i="79"/>
  <c r="AM129" i="79"/>
  <c r="BS129" i="79"/>
  <c r="EU129" i="79"/>
  <c r="CI129" i="79"/>
  <c r="DG129" i="79"/>
  <c r="CA129" i="79"/>
  <c r="DW129" i="79"/>
  <c r="BC129" i="79"/>
  <c r="EM129" i="79"/>
  <c r="BM107" i="80"/>
  <c r="BL107" i="80"/>
  <c r="J126" i="85"/>
  <c r="L72" i="90" s="1"/>
  <c r="J126" i="79"/>
  <c r="J126" i="80"/>
  <c r="CC155" i="80"/>
  <c r="CB155" i="80"/>
  <c r="BD132" i="79"/>
  <c r="BE132" i="79"/>
  <c r="CS132" i="79"/>
  <c r="CR132" i="79"/>
  <c r="DA155" i="80"/>
  <c r="CZ155" i="80"/>
  <c r="FM155" i="80"/>
  <c r="FL155" i="80"/>
  <c r="DX107" i="79"/>
  <c r="DY107" i="79"/>
  <c r="CS154" i="80"/>
  <c r="CR154" i="80"/>
  <c r="FE154" i="80"/>
  <c r="FD154" i="80"/>
  <c r="EW132" i="80"/>
  <c r="EV132" i="80"/>
  <c r="P154" i="79"/>
  <c r="Q154" i="79"/>
  <c r="DX154" i="79"/>
  <c r="DY154" i="79"/>
  <c r="DW100" i="80"/>
  <c r="DY97" i="80"/>
  <c r="DY100" i="80" s="1"/>
  <c r="DX97" i="80"/>
  <c r="DX100" i="80" s="1"/>
  <c r="FE132" i="79"/>
  <c r="FD132" i="79"/>
  <c r="BK100" i="79"/>
  <c r="BM97" i="79"/>
  <c r="BM100" i="79" s="1"/>
  <c r="BL97" i="79"/>
  <c r="DG116" i="79"/>
  <c r="AG155" i="79"/>
  <c r="AF155" i="79"/>
  <c r="CS155" i="79"/>
  <c r="CR155" i="79"/>
  <c r="CB107" i="80"/>
  <c r="CC107" i="80"/>
  <c r="I126" i="79"/>
  <c r="I126" i="80"/>
  <c r="I126" i="85"/>
  <c r="K72" i="90" s="1"/>
  <c r="AV97" i="80"/>
  <c r="AV100" i="80" s="1"/>
  <c r="AW97" i="80"/>
  <c r="AU100" i="80"/>
  <c r="BS100" i="80"/>
  <c r="BU97" i="80"/>
  <c r="BU100" i="80" s="1"/>
  <c r="BT97" i="80"/>
  <c r="BT100" i="80" s="1"/>
  <c r="DG420" i="79"/>
  <c r="BU155" i="80"/>
  <c r="BT155" i="80"/>
  <c r="DP155" i="80"/>
  <c r="DQ155" i="80"/>
  <c r="BU107" i="79"/>
  <c r="BT107" i="79"/>
  <c r="EG154" i="80"/>
  <c r="EF154" i="80"/>
  <c r="BU154" i="80"/>
  <c r="BT154" i="80"/>
  <c r="Y132" i="80"/>
  <c r="X132" i="80"/>
  <c r="EO154" i="79"/>
  <c r="EN154" i="79"/>
  <c r="AN154" i="79"/>
  <c r="AO154" i="79"/>
  <c r="CK97" i="80"/>
  <c r="CK100" i="80" s="1"/>
  <c r="CJ97" i="80"/>
  <c r="CJ100" i="80" s="1"/>
  <c r="CI100" i="80"/>
  <c r="EN132" i="79"/>
  <c r="EO132" i="79"/>
  <c r="P132" i="79"/>
  <c r="Q132" i="79"/>
  <c r="BU97" i="79"/>
  <c r="BU100" i="79" s="1"/>
  <c r="BS100" i="79"/>
  <c r="BT97" i="79"/>
  <c r="BT100" i="79" s="1"/>
  <c r="AM116" i="79"/>
  <c r="CK155" i="79"/>
  <c r="CJ155" i="79"/>
  <c r="DQ107" i="80"/>
  <c r="DP107" i="80"/>
  <c r="H126" i="80"/>
  <c r="H126" i="79"/>
  <c r="H126" i="85"/>
  <c r="J72" i="90" s="1"/>
  <c r="BS402" i="80"/>
  <c r="AU420" i="79"/>
  <c r="D53" i="82"/>
  <c r="D58" i="82" s="1"/>
  <c r="W402" i="79"/>
  <c r="W405" i="79" s="1"/>
  <c r="W409" i="79" s="1"/>
  <c r="EU402" i="79"/>
  <c r="EU405" i="79" s="1"/>
  <c r="EU409" i="79" s="1"/>
  <c r="EU402" i="80"/>
  <c r="EU405" i="80" s="1"/>
  <c r="EU409" i="80" s="1"/>
  <c r="AM402" i="80"/>
  <c r="AM405" i="80" s="1"/>
  <c r="AM409" i="80" s="1"/>
  <c r="EM402" i="79"/>
  <c r="BC402" i="79"/>
  <c r="BC405" i="79" s="1"/>
  <c r="BC409" i="79" s="1"/>
  <c r="BC420" i="79"/>
  <c r="DY418" i="79"/>
  <c r="EM402" i="80"/>
  <c r="EM405" i="80" s="1"/>
  <c r="EM409" i="80" s="1"/>
  <c r="DQ424" i="80"/>
  <c r="DW402" i="79"/>
  <c r="DW402" i="80"/>
  <c r="DW405" i="80" s="1"/>
  <c r="DW409" i="80" s="1"/>
  <c r="CQ402" i="79"/>
  <c r="BD424" i="80"/>
  <c r="R50" i="35"/>
  <c r="AA22" i="177" s="1"/>
  <c r="AW418" i="79"/>
  <c r="Q49" i="35"/>
  <c r="Q53" i="35" s="1"/>
  <c r="S46" i="35"/>
  <c r="Q50" i="35"/>
  <c r="Q19" i="35" s="1"/>
  <c r="R49" i="35"/>
  <c r="R53" i="35" s="1"/>
  <c r="R1" i="35"/>
  <c r="R3" i="35" s="1"/>
  <c r="R35" i="35" s="1"/>
  <c r="EH29" i="79"/>
  <c r="EH30" i="79" s="1"/>
  <c r="EH403" i="79" s="1"/>
  <c r="EH424" i="79" s="1"/>
  <c r="BN29" i="79"/>
  <c r="BN30" i="79" s="1"/>
  <c r="BN403" i="79" s="1"/>
  <c r="BN424" i="79" s="1"/>
  <c r="EG403" i="79"/>
  <c r="EG424" i="79" s="1"/>
  <c r="J420" i="79"/>
  <c r="J421" i="79" s="1"/>
  <c r="J452" i="79" s="1"/>
  <c r="AX29" i="79"/>
  <c r="AX30" i="79" s="1"/>
  <c r="AX403" i="79" s="1"/>
  <c r="AX424" i="79" s="1"/>
  <c r="FN29" i="80"/>
  <c r="FN30" i="80" s="1"/>
  <c r="FN403" i="80" s="1"/>
  <c r="FN424" i="80" s="1"/>
  <c r="AX29" i="80"/>
  <c r="AX30" i="80" s="1"/>
  <c r="AX403" i="80" s="1"/>
  <c r="AX418" i="80" s="1"/>
  <c r="BF29" i="80"/>
  <c r="BF30" i="80" s="1"/>
  <c r="BF403" i="80" s="1"/>
  <c r="BF418" i="80" s="1"/>
  <c r="BM418" i="80"/>
  <c r="CJ418" i="80"/>
  <c r="G64" i="82"/>
  <c r="G65" i="82" s="1"/>
  <c r="G87" i="82" s="1"/>
  <c r="BU424" i="80"/>
  <c r="G64" i="35"/>
  <c r="CL29" i="79"/>
  <c r="CL30" i="79" s="1"/>
  <c r="CL418" i="79" s="1"/>
  <c r="BV29" i="80"/>
  <c r="BV30" i="80" s="1"/>
  <c r="BV403" i="80" s="1"/>
  <c r="BV418" i="80" s="1"/>
  <c r="FE403" i="79"/>
  <c r="FE424" i="79" s="1"/>
  <c r="FF29" i="79"/>
  <c r="FF30" i="79" s="1"/>
  <c r="FF403" i="79" s="1"/>
  <c r="FF424" i="79" s="1"/>
  <c r="EW418" i="79"/>
  <c r="BL424" i="80"/>
  <c r="BN29" i="80"/>
  <c r="BN30" i="80" s="1"/>
  <c r="BN403" i="80" s="1"/>
  <c r="BN418" i="80" s="1"/>
  <c r="EX29" i="79"/>
  <c r="EX30" i="79" s="1"/>
  <c r="EX403" i="79" s="1"/>
  <c r="EX424" i="79" s="1"/>
  <c r="BF29" i="79"/>
  <c r="BF30" i="79" s="1"/>
  <c r="BF418" i="79" s="1"/>
  <c r="I40" i="166"/>
  <c r="I44" i="166"/>
  <c r="H40" i="166"/>
  <c r="H44" i="166"/>
  <c r="G405" i="79"/>
  <c r="G409" i="79" s="1"/>
  <c r="G414" i="79" s="1"/>
  <c r="BE418" i="79"/>
  <c r="BK402" i="79"/>
  <c r="BK405" i="79" s="1"/>
  <c r="BK409" i="79" s="1"/>
  <c r="CY420" i="79"/>
  <c r="CI402" i="80"/>
  <c r="CI405" i="80" s="1"/>
  <c r="CI409" i="80" s="1"/>
  <c r="BE30" i="80"/>
  <c r="BE403" i="80" s="1"/>
  <c r="BE424" i="80" s="1"/>
  <c r="Z29" i="80"/>
  <c r="Z30" i="80" s="1"/>
  <c r="Z403" i="80" s="1"/>
  <c r="Z424" i="80" s="1"/>
  <c r="FC402" i="79"/>
  <c r="FC405" i="79" s="1"/>
  <c r="FC409" i="79" s="1"/>
  <c r="AE402" i="80"/>
  <c r="AE405" i="80" s="1"/>
  <c r="AE409" i="80" s="1"/>
  <c r="AE420" i="79"/>
  <c r="EP29" i="80"/>
  <c r="EP30" i="80" s="1"/>
  <c r="EP403" i="80" s="1"/>
  <c r="EP424" i="80" s="1"/>
  <c r="FL424" i="80"/>
  <c r="Y424" i="80"/>
  <c r="CY405" i="80"/>
  <c r="CY409" i="80" s="1"/>
  <c r="CD29" i="80"/>
  <c r="CD30" i="80" s="1"/>
  <c r="CD403" i="80" s="1"/>
  <c r="CD418" i="80" s="1"/>
  <c r="O402" i="80"/>
  <c r="O405" i="80" s="1"/>
  <c r="O409" i="80" s="1"/>
  <c r="FK405" i="79"/>
  <c r="FK409" i="79" s="1"/>
  <c r="FK402" i="80"/>
  <c r="FK405" i="80" s="1"/>
  <c r="FK409" i="80" s="1"/>
  <c r="EM420" i="79"/>
  <c r="EE402" i="79"/>
  <c r="EE405" i="79" s="1"/>
  <c r="EE409" i="79" s="1"/>
  <c r="CI405" i="79"/>
  <c r="CI409" i="79" s="1"/>
  <c r="CQ405" i="79"/>
  <c r="CQ409" i="79" s="1"/>
  <c r="CT29" i="79"/>
  <c r="CT30" i="79" s="1"/>
  <c r="CT418" i="79" s="1"/>
  <c r="O402" i="79"/>
  <c r="O405" i="79" s="1"/>
  <c r="O409" i="79" s="1"/>
  <c r="EH29" i="80"/>
  <c r="EH30" i="80" s="1"/>
  <c r="EH403" i="80" s="1"/>
  <c r="EH418" i="80" s="1"/>
  <c r="CA402" i="80"/>
  <c r="CA405" i="80" s="1"/>
  <c r="CA409" i="80" s="1"/>
  <c r="DB29" i="79"/>
  <c r="DB30" i="79" s="1"/>
  <c r="DB403" i="79" s="1"/>
  <c r="DB424" i="79" s="1"/>
  <c r="EG418" i="80"/>
  <c r="BL418" i="79"/>
  <c r="BL403" i="79"/>
  <c r="BL424" i="79" s="1"/>
  <c r="CK424" i="80"/>
  <c r="CL29" i="80"/>
  <c r="CL30" i="80" s="1"/>
  <c r="CL403" i="80" s="1"/>
  <c r="CL424" i="80" s="1"/>
  <c r="BV24" i="79"/>
  <c r="BV400" i="79" s="1"/>
  <c r="P400" i="79"/>
  <c r="R24" i="79"/>
  <c r="R400" i="79" s="1"/>
  <c r="AF400" i="79"/>
  <c r="AH24" i="79"/>
  <c r="AH400" i="79" s="1"/>
  <c r="EF400" i="80"/>
  <c r="EH24" i="80"/>
  <c r="EH400" i="80" s="1"/>
  <c r="DO402" i="79"/>
  <c r="DH400" i="80"/>
  <c r="DJ24" i="80"/>
  <c r="DJ400" i="80" s="1"/>
  <c r="AV400" i="80"/>
  <c r="AX24" i="80"/>
  <c r="AX400" i="80" s="1"/>
  <c r="DH400" i="79"/>
  <c r="DJ24" i="79"/>
  <c r="DJ400" i="79" s="1"/>
  <c r="DP400" i="79"/>
  <c r="DR24" i="79"/>
  <c r="DR400" i="79" s="1"/>
  <c r="EN400" i="80"/>
  <c r="EP24" i="80"/>
  <c r="EP400" i="80" s="1"/>
  <c r="DA403" i="79"/>
  <c r="DA424" i="79" s="1"/>
  <c r="DA418" i="79"/>
  <c r="BT400" i="80"/>
  <c r="BV24" i="80"/>
  <c r="BV400" i="80" s="1"/>
  <c r="CB400" i="79"/>
  <c r="CD24" i="79"/>
  <c r="CD400" i="79" s="1"/>
  <c r="CZ400" i="79"/>
  <c r="DB24" i="79"/>
  <c r="DB400" i="79" s="1"/>
  <c r="P400" i="80"/>
  <c r="R24" i="80"/>
  <c r="R400" i="80" s="1"/>
  <c r="BL400" i="80"/>
  <c r="BN24" i="80"/>
  <c r="BN400" i="80" s="1"/>
  <c r="W402" i="80"/>
  <c r="W405" i="80" s="1"/>
  <c r="W409" i="80" s="1"/>
  <c r="EU420" i="79"/>
  <c r="FN29" i="79"/>
  <c r="FN30" i="79" s="1"/>
  <c r="FN418" i="79" s="1"/>
  <c r="AN400" i="79"/>
  <c r="AP24" i="79"/>
  <c r="AP400" i="79" s="1"/>
  <c r="BL400" i="79"/>
  <c r="BN24" i="79"/>
  <c r="BN400" i="79" s="1"/>
  <c r="EN400" i="79"/>
  <c r="EP24" i="79"/>
  <c r="EP400" i="79" s="1"/>
  <c r="DP400" i="80"/>
  <c r="DR24" i="80"/>
  <c r="DR400" i="80" s="1"/>
  <c r="FL400" i="79"/>
  <c r="FN24" i="79"/>
  <c r="FN400" i="79" s="1"/>
  <c r="CR400" i="79"/>
  <c r="CT24" i="79"/>
  <c r="CT400" i="79" s="1"/>
  <c r="AV400" i="79"/>
  <c r="AX24" i="79"/>
  <c r="AX400" i="79" s="1"/>
  <c r="CB424" i="80"/>
  <c r="CB418" i="80"/>
  <c r="CJ400" i="79"/>
  <c r="CL24" i="79"/>
  <c r="CL400" i="79" s="1"/>
  <c r="BD400" i="80"/>
  <c r="BF24" i="80"/>
  <c r="BF400" i="80" s="1"/>
  <c r="EF400" i="79"/>
  <c r="EH24" i="79"/>
  <c r="EH400" i="79" s="1"/>
  <c r="FD400" i="79"/>
  <c r="FF24" i="79"/>
  <c r="FF400" i="79" s="1"/>
  <c r="EN424" i="80"/>
  <c r="EN418" i="80"/>
  <c r="FM418" i="79"/>
  <c r="DX400" i="80"/>
  <c r="DZ24" i="80"/>
  <c r="DZ400" i="80" s="1"/>
  <c r="X400" i="80"/>
  <c r="Z24" i="80"/>
  <c r="Z400" i="80" s="1"/>
  <c r="CL24" i="80"/>
  <c r="CL400" i="80" s="1"/>
  <c r="X400" i="79"/>
  <c r="Z24" i="79"/>
  <c r="Z400" i="79" s="1"/>
  <c r="AF400" i="80"/>
  <c r="AH24" i="80"/>
  <c r="AH400" i="80" s="1"/>
  <c r="AN400" i="80"/>
  <c r="AP24" i="80"/>
  <c r="AP400" i="80" s="1"/>
  <c r="EV400" i="79"/>
  <c r="EX24" i="79"/>
  <c r="EX400" i="79" s="1"/>
  <c r="CB400" i="80"/>
  <c r="CD24" i="80"/>
  <c r="CD400" i="80" s="1"/>
  <c r="EV400" i="80"/>
  <c r="EX24" i="80"/>
  <c r="EX400" i="80" s="1"/>
  <c r="CQ420" i="79"/>
  <c r="FL400" i="80"/>
  <c r="FN24" i="80"/>
  <c r="FN400" i="80" s="1"/>
  <c r="FD400" i="80"/>
  <c r="FF24" i="80"/>
  <c r="FF400" i="80" s="1"/>
  <c r="CR400" i="80"/>
  <c r="CT24" i="80"/>
  <c r="CT400" i="80" s="1"/>
  <c r="CZ400" i="80"/>
  <c r="DB24" i="80"/>
  <c r="DB400" i="80" s="1"/>
  <c r="BD400" i="79"/>
  <c r="BF24" i="79"/>
  <c r="BF400" i="79" s="1"/>
  <c r="DZ24" i="79"/>
  <c r="DZ400" i="79" s="1"/>
  <c r="BS405" i="79"/>
  <c r="BS409" i="79" s="1"/>
  <c r="DO405" i="80"/>
  <c r="DO409" i="80" s="1"/>
  <c r="CQ405" i="80"/>
  <c r="CQ409" i="80" s="1"/>
  <c r="I37" i="100"/>
  <c r="H37" i="100"/>
  <c r="I420" i="79"/>
  <c r="I421" i="79" s="1"/>
  <c r="I452" i="79" s="1"/>
  <c r="H51" i="160"/>
  <c r="H47" i="160"/>
  <c r="H55" i="160"/>
  <c r="I51" i="160"/>
  <c r="I47" i="160"/>
  <c r="I55" i="160"/>
  <c r="H14" i="160"/>
  <c r="H18" i="160"/>
  <c r="H22" i="160"/>
  <c r="I18" i="160"/>
  <c r="I22" i="160"/>
  <c r="I14" i="160"/>
  <c r="G17" i="98"/>
  <c r="H13" i="100"/>
  <c r="H17" i="98"/>
  <c r="I13" i="100"/>
  <c r="H12" i="108"/>
  <c r="F23" i="108"/>
  <c r="CQ66" i="80"/>
  <c r="CQ77" i="80" s="1"/>
  <c r="AM66" i="80"/>
  <c r="AM77" i="80" s="1"/>
  <c r="DW66" i="80"/>
  <c r="DW77" i="80" s="1"/>
  <c r="FC66" i="80"/>
  <c r="FC77" i="80" s="1"/>
  <c r="AE66" i="80"/>
  <c r="AE77" i="80" s="1"/>
  <c r="BC66" i="80"/>
  <c r="BC77" i="80" s="1"/>
  <c r="DG66" i="80"/>
  <c r="DG77" i="80" s="1"/>
  <c r="CI66" i="80"/>
  <c r="CI77" i="80" s="1"/>
  <c r="CA66" i="80"/>
  <c r="CA77" i="80" s="1"/>
  <c r="EM66" i="80"/>
  <c r="EM77" i="80" s="1"/>
  <c r="O66" i="80"/>
  <c r="O77" i="80" s="1"/>
  <c r="CY66" i="80"/>
  <c r="CY77" i="80" s="1"/>
  <c r="FK66" i="80"/>
  <c r="FK77" i="80" s="1"/>
  <c r="DO66" i="80"/>
  <c r="DO77" i="80" s="1"/>
  <c r="BS66" i="80"/>
  <c r="BS77" i="80" s="1"/>
  <c r="AU66" i="80"/>
  <c r="AU77" i="80" s="1"/>
  <c r="G77" i="80"/>
  <c r="G79" i="80" s="1"/>
  <c r="W66" i="80"/>
  <c r="W77" i="80" s="1"/>
  <c r="EE66" i="80"/>
  <c r="EE77" i="80" s="1"/>
  <c r="EU66" i="80"/>
  <c r="EU77" i="80" s="1"/>
  <c r="BK66" i="80"/>
  <c r="BK77" i="80" s="1"/>
  <c r="G77" i="85"/>
  <c r="CQ66" i="79"/>
  <c r="CQ77" i="79" s="1"/>
  <c r="DW66" i="79"/>
  <c r="DW77" i="79" s="1"/>
  <c r="EU66" i="79"/>
  <c r="EU77" i="79" s="1"/>
  <c r="BC66" i="79"/>
  <c r="BC77" i="79" s="1"/>
  <c r="BK66" i="79"/>
  <c r="BK77" i="79" s="1"/>
  <c r="EE66" i="79"/>
  <c r="EE77" i="79" s="1"/>
  <c r="CA66" i="79"/>
  <c r="CA77" i="79" s="1"/>
  <c r="W66" i="79"/>
  <c r="W77" i="79" s="1"/>
  <c r="CI66" i="79"/>
  <c r="CI77" i="79" s="1"/>
  <c r="FK66" i="79"/>
  <c r="FK77" i="79" s="1"/>
  <c r="O66" i="79"/>
  <c r="O77" i="79" s="1"/>
  <c r="CY66" i="79"/>
  <c r="CY77" i="79" s="1"/>
  <c r="DO66" i="79"/>
  <c r="DO77" i="79" s="1"/>
  <c r="AE66" i="79"/>
  <c r="AE77" i="79" s="1"/>
  <c r="DG66" i="79"/>
  <c r="DG77" i="79" s="1"/>
  <c r="G77" i="79"/>
  <c r="G79" i="79" s="1"/>
  <c r="EM66" i="79"/>
  <c r="EM77" i="79" s="1"/>
  <c r="BS66" i="79"/>
  <c r="BS77" i="79" s="1"/>
  <c r="AM66" i="79"/>
  <c r="AM77" i="79" s="1"/>
  <c r="FC66" i="79"/>
  <c r="FC77" i="79" s="1"/>
  <c r="AU66" i="79"/>
  <c r="AU77" i="79" s="1"/>
  <c r="H420" i="79"/>
  <c r="H421" i="79" s="1"/>
  <c r="H452" i="79" s="1"/>
  <c r="BN191" i="80"/>
  <c r="BN196" i="80" s="1"/>
  <c r="H430" i="79"/>
  <c r="EP301" i="79"/>
  <c r="EP302" i="79" s="1"/>
  <c r="H405" i="79"/>
  <c r="H409" i="79" s="1"/>
  <c r="I405" i="79"/>
  <c r="I409" i="79" s="1"/>
  <c r="I405" i="80"/>
  <c r="I409" i="80" s="1"/>
  <c r="BL196" i="80"/>
  <c r="AH301" i="79"/>
  <c r="AH302" i="79" s="1"/>
  <c r="H47" i="98"/>
  <c r="BV301" i="80"/>
  <c r="BV302" i="80" s="1"/>
  <c r="G47" i="98"/>
  <c r="DB301" i="80"/>
  <c r="DB302" i="80" s="1"/>
  <c r="DP424" i="80"/>
  <c r="DP418" i="80"/>
  <c r="AF418" i="80"/>
  <c r="AF424" i="80"/>
  <c r="X424" i="80"/>
  <c r="X418" i="80"/>
  <c r="CB418" i="79"/>
  <c r="CB403" i="79"/>
  <c r="CB424" i="79" s="1"/>
  <c r="CR403" i="79"/>
  <c r="CR424" i="79" s="1"/>
  <c r="CR418" i="79"/>
  <c r="DJ424" i="80"/>
  <c r="DJ418" i="80"/>
  <c r="DB418" i="80"/>
  <c r="DB424" i="80"/>
  <c r="AP418" i="79"/>
  <c r="AP403" i="79"/>
  <c r="AP424" i="79" s="1"/>
  <c r="BT424" i="80"/>
  <c r="BT418" i="80"/>
  <c r="BM403" i="79"/>
  <c r="BM424" i="79" s="1"/>
  <c r="BM418" i="79"/>
  <c r="EF418" i="80"/>
  <c r="EF424" i="80"/>
  <c r="DJ403" i="79"/>
  <c r="DJ424" i="79" s="1"/>
  <c r="DJ418" i="79"/>
  <c r="FL403" i="79"/>
  <c r="FL424" i="79" s="1"/>
  <c r="FL418" i="79"/>
  <c r="DI418" i="80"/>
  <c r="DI424" i="80"/>
  <c r="DA418" i="80"/>
  <c r="DA424" i="80"/>
  <c r="AN403" i="79"/>
  <c r="AN424" i="79" s="1"/>
  <c r="AN418" i="79"/>
  <c r="CZ418" i="79"/>
  <c r="CZ403" i="79"/>
  <c r="CZ424" i="79" s="1"/>
  <c r="EO418" i="80"/>
  <c r="EO424" i="80"/>
  <c r="AW418" i="80"/>
  <c r="AW424" i="80"/>
  <c r="DH418" i="79"/>
  <c r="DH403" i="79"/>
  <c r="DH424" i="79" s="1"/>
  <c r="Z403" i="79"/>
  <c r="Z424" i="79" s="1"/>
  <c r="Z418" i="79"/>
  <c r="DZ424" i="80"/>
  <c r="DZ418" i="80"/>
  <c r="R403" i="79"/>
  <c r="R424" i="79" s="1"/>
  <c r="R418" i="79"/>
  <c r="DZ403" i="79"/>
  <c r="DZ424" i="79" s="1"/>
  <c r="DZ418" i="79"/>
  <c r="AP424" i="80"/>
  <c r="AP418" i="80"/>
  <c r="BD403" i="79"/>
  <c r="BD424" i="79" s="1"/>
  <c r="BD418" i="79"/>
  <c r="EV418" i="79"/>
  <c r="EV403" i="79"/>
  <c r="EV424" i="79" s="1"/>
  <c r="AU405" i="79"/>
  <c r="AU409" i="79" s="1"/>
  <c r="X403" i="79"/>
  <c r="X424" i="79" s="1"/>
  <c r="X418" i="79"/>
  <c r="DX424" i="80"/>
  <c r="DX418" i="80"/>
  <c r="P403" i="79"/>
  <c r="P424" i="79" s="1"/>
  <c r="P418" i="79"/>
  <c r="DX403" i="79"/>
  <c r="DX424" i="79" s="1"/>
  <c r="DX418" i="79"/>
  <c r="AN424" i="80"/>
  <c r="AN418" i="80"/>
  <c r="EP403" i="79"/>
  <c r="EP424" i="79" s="1"/>
  <c r="EP418" i="79"/>
  <c r="EX424" i="80"/>
  <c r="EX418" i="80"/>
  <c r="CC424" i="80"/>
  <c r="CC418" i="80"/>
  <c r="DQ418" i="79"/>
  <c r="DQ403" i="79"/>
  <c r="DQ424" i="79" s="1"/>
  <c r="FN301" i="80"/>
  <c r="FN302" i="80" s="1"/>
  <c r="AH403" i="79"/>
  <c r="AH424" i="79" s="1"/>
  <c r="AH418" i="79"/>
  <c r="CT424" i="80"/>
  <c r="CT418" i="80"/>
  <c r="EN418" i="79"/>
  <c r="EN403" i="79"/>
  <c r="EN424" i="79" s="1"/>
  <c r="AV418" i="79"/>
  <c r="AV403" i="79"/>
  <c r="AV424" i="79" s="1"/>
  <c r="EW418" i="80"/>
  <c r="EW424" i="80"/>
  <c r="FF418" i="80"/>
  <c r="FF424" i="80"/>
  <c r="DR403" i="79"/>
  <c r="DR424" i="79" s="1"/>
  <c r="DR418" i="79"/>
  <c r="AF403" i="79"/>
  <c r="AF424" i="79" s="1"/>
  <c r="AF418" i="79"/>
  <c r="FM418" i="80"/>
  <c r="FM424" i="80"/>
  <c r="CJ418" i="79"/>
  <c r="CJ403" i="79"/>
  <c r="CJ424" i="79" s="1"/>
  <c r="CR424" i="80"/>
  <c r="CR418" i="80"/>
  <c r="BV403" i="79"/>
  <c r="BV424" i="79" s="1"/>
  <c r="BV418" i="79"/>
  <c r="EF403" i="79"/>
  <c r="EF424" i="79" s="1"/>
  <c r="EF418" i="79"/>
  <c r="FE418" i="80"/>
  <c r="FE424" i="80"/>
  <c r="R418" i="80"/>
  <c r="R424" i="80"/>
  <c r="EX301" i="79"/>
  <c r="EX302" i="79" s="1"/>
  <c r="DR418" i="80"/>
  <c r="DR424" i="80"/>
  <c r="AH424" i="80"/>
  <c r="AH418" i="80"/>
  <c r="BT403" i="79"/>
  <c r="BT424" i="79" s="1"/>
  <c r="BT418" i="79"/>
  <c r="CD418" i="79"/>
  <c r="CD403" i="79"/>
  <c r="CD424" i="79" s="1"/>
  <c r="FD418" i="79"/>
  <c r="FD403" i="79"/>
  <c r="FD424" i="79" s="1"/>
  <c r="Q418" i="80"/>
  <c r="Q424" i="80"/>
  <c r="DR33" i="79"/>
  <c r="DR404" i="79" s="1"/>
  <c r="DR425" i="79" s="1"/>
  <c r="EP301" i="80"/>
  <c r="EP302" i="80" s="1"/>
  <c r="J405" i="80"/>
  <c r="J409" i="80" s="1"/>
  <c r="R301" i="79"/>
  <c r="R302" i="79" s="1"/>
  <c r="BK405" i="80"/>
  <c r="BK409" i="80" s="1"/>
  <c r="BC405" i="80"/>
  <c r="BC409" i="80" s="1"/>
  <c r="EX120" i="80"/>
  <c r="BV301" i="79"/>
  <c r="BV302" i="79" s="1"/>
  <c r="E49" i="35"/>
  <c r="E53" i="35" s="1"/>
  <c r="CA405" i="79"/>
  <c r="CA409" i="79" s="1"/>
  <c r="EM405" i="79"/>
  <c r="EM409" i="79" s="1"/>
  <c r="Z301" i="79"/>
  <c r="Z302" i="79" s="1"/>
  <c r="AP301" i="79"/>
  <c r="AP302" i="79" s="1"/>
  <c r="AX301" i="79"/>
  <c r="AX302" i="79" s="1"/>
  <c r="CL301" i="80"/>
  <c r="CL302" i="80" s="1"/>
  <c r="R120" i="79"/>
  <c r="CT22" i="80"/>
  <c r="H405" i="80"/>
  <c r="H409" i="80" s="1"/>
  <c r="Z301" i="80"/>
  <c r="Z302" i="80" s="1"/>
  <c r="EH33" i="79"/>
  <c r="EH404" i="79" s="1"/>
  <c r="EH425" i="79" s="1"/>
  <c r="DG405" i="80"/>
  <c r="DG409" i="80" s="1"/>
  <c r="FC405" i="80"/>
  <c r="FC409" i="80" s="1"/>
  <c r="EH301" i="79"/>
  <c r="EH302" i="79" s="1"/>
  <c r="CY405" i="79"/>
  <c r="CY409" i="79" s="1"/>
  <c r="DO405" i="79"/>
  <c r="DO409" i="79" s="1"/>
  <c r="DJ191" i="80"/>
  <c r="DJ196" i="80" s="1"/>
  <c r="DJ301" i="79"/>
  <c r="DJ302" i="79" s="1"/>
  <c r="DR191" i="79"/>
  <c r="DR196" i="79" s="1"/>
  <c r="DB33" i="79"/>
  <c r="DB419" i="79" s="1"/>
  <c r="DR301" i="79"/>
  <c r="DR302" i="79" s="1"/>
  <c r="BF22" i="79"/>
  <c r="BF398" i="79" s="1"/>
  <c r="AX33" i="80"/>
  <c r="AX34" i="80" s="1"/>
  <c r="AH33" i="80"/>
  <c r="AH34" i="80" s="1"/>
  <c r="BV121" i="80"/>
  <c r="CD301" i="79"/>
  <c r="CD302" i="79" s="1"/>
  <c r="EH301" i="80"/>
  <c r="EH302" i="80" s="1"/>
  <c r="CT301" i="79"/>
  <c r="CT302" i="79" s="1"/>
  <c r="DZ120" i="79"/>
  <c r="DJ121" i="79"/>
  <c r="CL121" i="80"/>
  <c r="FN33" i="80"/>
  <c r="FN404" i="80" s="1"/>
  <c r="DJ33" i="80"/>
  <c r="DJ34" i="80" s="1"/>
  <c r="AX33" i="79"/>
  <c r="AX419" i="79" s="1"/>
  <c r="EP191" i="79"/>
  <c r="EP196" i="79" s="1"/>
  <c r="DZ191" i="80"/>
  <c r="DZ196" i="80" s="1"/>
  <c r="CT191" i="79"/>
  <c r="CT196" i="79" s="1"/>
  <c r="EP33" i="79"/>
  <c r="EP34" i="79" s="1"/>
  <c r="DR33" i="80"/>
  <c r="DR404" i="80" s="1"/>
  <c r="CD191" i="79"/>
  <c r="CD196" i="79" s="1"/>
  <c r="AX22" i="79"/>
  <c r="DB121" i="79"/>
  <c r="CD121" i="79"/>
  <c r="CL33" i="79"/>
  <c r="CL419" i="79" s="1"/>
  <c r="DJ191" i="79"/>
  <c r="DJ196" i="79" s="1"/>
  <c r="BN301" i="80"/>
  <c r="BN302" i="80" s="1"/>
  <c r="CD120" i="79"/>
  <c r="AH120" i="80"/>
  <c r="BV120" i="79"/>
  <c r="AH120" i="79"/>
  <c r="AP22" i="80"/>
  <c r="AP398" i="80" s="1"/>
  <c r="EX22" i="79"/>
  <c r="EX398" i="79" s="1"/>
  <c r="AH33" i="79"/>
  <c r="AH419" i="79" s="1"/>
  <c r="EM84" i="79"/>
  <c r="EM237" i="79"/>
  <c r="DB301" i="79"/>
  <c r="DB302" i="79" s="1"/>
  <c r="EX191" i="80"/>
  <c r="EX196" i="80" s="1"/>
  <c r="EV196" i="80"/>
  <c r="BV191" i="80"/>
  <c r="BV196" i="80" s="1"/>
  <c r="BU196" i="80"/>
  <c r="DG84" i="79"/>
  <c r="DG237" i="79"/>
  <c r="BF120" i="80"/>
  <c r="CT120" i="79"/>
  <c r="EH120" i="80"/>
  <c r="Z121" i="80"/>
  <c r="DZ121" i="79"/>
  <c r="FF33" i="79"/>
  <c r="FF404" i="79" s="1"/>
  <c r="FF425" i="79" s="1"/>
  <c r="DO84" i="80"/>
  <c r="DO237" i="80"/>
  <c r="DH302" i="80"/>
  <c r="DJ301" i="80"/>
  <c r="DJ302" i="80" s="1"/>
  <c r="CY84" i="79"/>
  <c r="CY237" i="79"/>
  <c r="W237" i="79"/>
  <c r="W84" i="79"/>
  <c r="FC237" i="79"/>
  <c r="FC84" i="79"/>
  <c r="P302" i="80"/>
  <c r="R301" i="80"/>
  <c r="R302" i="80" s="1"/>
  <c r="CI237" i="79"/>
  <c r="CI84" i="79"/>
  <c r="P196" i="80"/>
  <c r="R191" i="80"/>
  <c r="R196" i="80" s="1"/>
  <c r="BF191" i="79"/>
  <c r="BF196" i="79" s="1"/>
  <c r="AF302" i="80"/>
  <c r="AH301" i="80"/>
  <c r="AH302" i="80" s="1"/>
  <c r="DR191" i="80"/>
  <c r="DR196" i="80" s="1"/>
  <c r="DQ196" i="80"/>
  <c r="G260" i="85"/>
  <c r="C13" i="7"/>
  <c r="G322" i="85" s="1"/>
  <c r="BV191" i="79"/>
  <c r="BV196" i="79" s="1"/>
  <c r="BU196" i="79"/>
  <c r="EH191" i="80"/>
  <c r="EH196" i="80" s="1"/>
  <c r="EG196" i="80"/>
  <c r="DB191" i="79"/>
  <c r="DB196" i="79" s="1"/>
  <c r="AV302" i="80"/>
  <c r="AX301" i="80"/>
  <c r="AX302" i="80" s="1"/>
  <c r="Z191" i="79"/>
  <c r="Z196" i="79" s="1"/>
  <c r="Y196" i="79"/>
  <c r="DB191" i="80"/>
  <c r="DB196" i="80" s="1"/>
  <c r="AN302" i="80"/>
  <c r="AP301" i="80"/>
  <c r="AP302" i="80" s="1"/>
  <c r="AG196" i="80"/>
  <c r="AH191" i="80"/>
  <c r="AH196" i="80" s="1"/>
  <c r="BC237" i="79"/>
  <c r="BC84" i="79"/>
  <c r="CQ237" i="80"/>
  <c r="CQ84" i="80"/>
  <c r="BV33" i="80"/>
  <c r="BV404" i="80" s="1"/>
  <c r="FN33" i="79"/>
  <c r="FN404" i="79" s="1"/>
  <c r="FN425" i="79" s="1"/>
  <c r="BN33" i="80"/>
  <c r="BN404" i="80" s="1"/>
  <c r="CB302" i="80"/>
  <c r="CD301" i="80"/>
  <c r="CD302" i="80" s="1"/>
  <c r="BD302" i="80"/>
  <c r="BF301" i="80"/>
  <c r="BF302" i="80" s="1"/>
  <c r="BL302" i="79"/>
  <c r="BN301" i="79"/>
  <c r="BN302" i="79" s="1"/>
  <c r="DR301" i="80"/>
  <c r="DR302" i="80" s="1"/>
  <c r="FF191" i="80"/>
  <c r="FF196" i="80" s="1"/>
  <c r="FD196" i="80"/>
  <c r="AP191" i="79"/>
  <c r="AP196" i="79" s="1"/>
  <c r="EX191" i="79"/>
  <c r="EX196" i="79" s="1"/>
  <c r="FL196" i="79"/>
  <c r="FN191" i="79"/>
  <c r="FN196" i="79" s="1"/>
  <c r="CQ84" i="79"/>
  <c r="CQ237" i="79"/>
  <c r="CT33" i="79"/>
  <c r="CT419" i="79" s="1"/>
  <c r="BD302" i="79"/>
  <c r="BF301" i="79"/>
  <c r="BF302" i="79" s="1"/>
  <c r="FL302" i="79"/>
  <c r="FN301" i="79"/>
  <c r="FN302" i="79" s="1"/>
  <c r="BS84" i="79"/>
  <c r="BS237" i="79"/>
  <c r="AE84" i="79"/>
  <c r="AE237" i="79"/>
  <c r="CA84" i="79"/>
  <c r="CA237" i="79"/>
  <c r="EP191" i="80"/>
  <c r="EP196" i="80" s="1"/>
  <c r="EO196" i="80"/>
  <c r="DX302" i="80"/>
  <c r="DZ301" i="80"/>
  <c r="DZ302" i="80" s="1"/>
  <c r="EP120" i="79"/>
  <c r="CL22" i="80"/>
  <c r="CL398" i="80" s="1"/>
  <c r="DB33" i="80"/>
  <c r="DB404" i="80" s="1"/>
  <c r="CL33" i="80"/>
  <c r="CL404" i="80" s="1"/>
  <c r="CJ196" i="80"/>
  <c r="CL191" i="80"/>
  <c r="CL196" i="80" s="1"/>
  <c r="EF196" i="79"/>
  <c r="EH191" i="79"/>
  <c r="EH196" i="79" s="1"/>
  <c r="AH191" i="79"/>
  <c r="AH196" i="79" s="1"/>
  <c r="FD302" i="79"/>
  <c r="FF301" i="79"/>
  <c r="FF302" i="79" s="1"/>
  <c r="EV302" i="80"/>
  <c r="EX301" i="80"/>
  <c r="EX302" i="80" s="1"/>
  <c r="BN191" i="79"/>
  <c r="BN196" i="79" s="1"/>
  <c r="R191" i="79"/>
  <c r="R196" i="79" s="1"/>
  <c r="AP191" i="80"/>
  <c r="AP196" i="80" s="1"/>
  <c r="AO196" i="80"/>
  <c r="AX191" i="79"/>
  <c r="AX196" i="79" s="1"/>
  <c r="R120" i="80"/>
  <c r="FD302" i="80"/>
  <c r="FF301" i="80"/>
  <c r="FF302" i="80" s="1"/>
  <c r="FL196" i="80"/>
  <c r="FN191" i="80"/>
  <c r="FN196" i="80" s="1"/>
  <c r="DW84" i="79"/>
  <c r="DW237" i="79"/>
  <c r="FF191" i="79"/>
  <c r="FF196" i="79" s="1"/>
  <c r="DZ301" i="79"/>
  <c r="DZ302" i="79" s="1"/>
  <c r="AM237" i="79"/>
  <c r="AM84" i="79"/>
  <c r="EU84" i="79"/>
  <c r="EU237" i="79"/>
  <c r="BK84" i="79"/>
  <c r="BK237" i="79"/>
  <c r="O84" i="79"/>
  <c r="O237" i="79"/>
  <c r="BF191" i="80"/>
  <c r="BF196" i="80" s="1"/>
  <c r="BE196" i="80"/>
  <c r="R22" i="80"/>
  <c r="R398" i="80" s="1"/>
  <c r="E49" i="82"/>
  <c r="E53" i="82" s="1"/>
  <c r="BV120" i="80"/>
  <c r="EP22" i="80"/>
  <c r="DZ121" i="80"/>
  <c r="AP121" i="79"/>
  <c r="AP33" i="79"/>
  <c r="AP419" i="79" s="1"/>
  <c r="Z191" i="80"/>
  <c r="Z196" i="80" s="1"/>
  <c r="X196" i="80"/>
  <c r="CR302" i="80"/>
  <c r="CT301" i="80"/>
  <c r="CT302" i="80" s="1"/>
  <c r="CD191" i="80"/>
  <c r="CD196" i="80" s="1"/>
  <c r="CB196" i="80"/>
  <c r="DO237" i="79"/>
  <c r="DO84" i="79"/>
  <c r="DZ191" i="79"/>
  <c r="DZ196" i="79" s="1"/>
  <c r="CL191" i="79"/>
  <c r="CL196" i="79" s="1"/>
  <c r="AX191" i="80"/>
  <c r="AX196" i="80" s="1"/>
  <c r="AV196" i="80"/>
  <c r="CJ302" i="79"/>
  <c r="CL301" i="79"/>
  <c r="CL302" i="79" s="1"/>
  <c r="CT191" i="80"/>
  <c r="CT196" i="80" s="1"/>
  <c r="AU237" i="79"/>
  <c r="AU84" i="79"/>
  <c r="AH22" i="79"/>
  <c r="AH398" i="79" s="1"/>
  <c r="DZ22" i="80"/>
  <c r="DJ22" i="80"/>
  <c r="DJ398" i="80" s="1"/>
  <c r="Z121" i="79"/>
  <c r="EH121" i="79"/>
  <c r="AX121" i="80"/>
  <c r="CD33" i="79"/>
  <c r="CD419" i="79" s="1"/>
  <c r="BV33" i="79"/>
  <c r="BV34" i="79" s="1"/>
  <c r="J405" i="79"/>
  <c r="J409" i="79" s="1"/>
  <c r="R121" i="80"/>
  <c r="BN33" i="79"/>
  <c r="BN404" i="79" s="1"/>
  <c r="BN425" i="79" s="1"/>
  <c r="CT33" i="80"/>
  <c r="CT404" i="80" s="1"/>
  <c r="EX33" i="80"/>
  <c r="EX34" i="80" s="1"/>
  <c r="BF33" i="79"/>
  <c r="BF404" i="79" s="1"/>
  <c r="BF425" i="79" s="1"/>
  <c r="BN22" i="80"/>
  <c r="BN398" i="80" s="1"/>
  <c r="CT121" i="80"/>
  <c r="AH121" i="80"/>
  <c r="Z33" i="80"/>
  <c r="Z404" i="80" s="1"/>
  <c r="CL120" i="80"/>
  <c r="BN120" i="80"/>
  <c r="DB22" i="79"/>
  <c r="DB398" i="79" s="1"/>
  <c r="G49" i="82"/>
  <c r="FF22" i="80"/>
  <c r="EH22" i="79"/>
  <c r="EH398" i="79" s="1"/>
  <c r="FF121" i="80"/>
  <c r="CD121" i="80"/>
  <c r="FF121" i="79"/>
  <c r="DZ33" i="79"/>
  <c r="DZ419" i="79" s="1"/>
  <c r="EX33" i="79"/>
  <c r="EX34" i="79" s="1"/>
  <c r="CL120" i="79"/>
  <c r="AX120" i="80"/>
  <c r="EP22" i="79"/>
  <c r="CD120" i="80"/>
  <c r="FN121" i="79"/>
  <c r="AP33" i="80"/>
  <c r="AP34" i="80" s="1"/>
  <c r="Q404" i="80"/>
  <c r="Q34" i="80"/>
  <c r="J419" i="80"/>
  <c r="J420" i="80" s="1"/>
  <c r="J421" i="80" s="1"/>
  <c r="J452" i="80" s="1"/>
  <c r="J425" i="80"/>
  <c r="DI404" i="79"/>
  <c r="DI425" i="79" s="1"/>
  <c r="DI34" i="79"/>
  <c r="DI419" i="79"/>
  <c r="DI420" i="79" s="1"/>
  <c r="CS404" i="80"/>
  <c r="CS34" i="80"/>
  <c r="Z120" i="80"/>
  <c r="FF120" i="79"/>
  <c r="DJ120" i="80"/>
  <c r="AH22" i="80"/>
  <c r="BS405" i="80"/>
  <c r="BS409" i="80" s="1"/>
  <c r="EP120" i="80"/>
  <c r="DB121" i="80"/>
  <c r="BN121" i="79"/>
  <c r="BE404" i="80"/>
  <c r="BE34" i="80"/>
  <c r="O419" i="80"/>
  <c r="O420" i="80" s="1"/>
  <c r="O425" i="80"/>
  <c r="FL34" i="80"/>
  <c r="FL404" i="80"/>
  <c r="EG404" i="80"/>
  <c r="EG34" i="80"/>
  <c r="FM419" i="79"/>
  <c r="FM34" i="79"/>
  <c r="FM404" i="79"/>
  <c r="FM425" i="79" s="1"/>
  <c r="EM419" i="80"/>
  <c r="EM420" i="80" s="1"/>
  <c r="EM425" i="80"/>
  <c r="CY419" i="80"/>
  <c r="CY420" i="80" s="1"/>
  <c r="CY425" i="80"/>
  <c r="Q419" i="79"/>
  <c r="Q420" i="79" s="1"/>
  <c r="Q421" i="79" s="1"/>
  <c r="Q452" i="79" s="1"/>
  <c r="Q34" i="79"/>
  <c r="Q404" i="79"/>
  <c r="Q425" i="79" s="1"/>
  <c r="AM419" i="80"/>
  <c r="AM420" i="80" s="1"/>
  <c r="AM425" i="80"/>
  <c r="AW404" i="80"/>
  <c r="AW34" i="80"/>
  <c r="DY404" i="80"/>
  <c r="DY34" i="80"/>
  <c r="DO425" i="80"/>
  <c r="DO419" i="80"/>
  <c r="DO420" i="80" s="1"/>
  <c r="FD404" i="80"/>
  <c r="FD34" i="80"/>
  <c r="AG34" i="80"/>
  <c r="AG404" i="80"/>
  <c r="X419" i="79"/>
  <c r="X34" i="79"/>
  <c r="X404" i="79"/>
  <c r="X425" i="79" s="1"/>
  <c r="R121" i="79"/>
  <c r="BD404" i="80"/>
  <c r="BD34" i="80"/>
  <c r="BM34" i="79"/>
  <c r="BM419" i="79"/>
  <c r="BM404" i="79"/>
  <c r="BM425" i="79" s="1"/>
  <c r="EO34" i="79"/>
  <c r="EO404" i="79"/>
  <c r="EO425" i="79" s="1"/>
  <c r="EO419" i="79"/>
  <c r="EO420" i="79" s="1"/>
  <c r="EO421" i="79" s="1"/>
  <c r="EO452" i="79" s="1"/>
  <c r="FK419" i="80"/>
  <c r="FK420" i="80" s="1"/>
  <c r="FK425" i="80"/>
  <c r="EF404" i="80"/>
  <c r="EF34" i="80"/>
  <c r="EN404" i="80"/>
  <c r="EN34" i="80"/>
  <c r="F49" i="35"/>
  <c r="AV404" i="80"/>
  <c r="AV34" i="80"/>
  <c r="DX34" i="80"/>
  <c r="DX404" i="80"/>
  <c r="BD34" i="79"/>
  <c r="BD419" i="79"/>
  <c r="BD404" i="79"/>
  <c r="BD425" i="79" s="1"/>
  <c r="FE404" i="80"/>
  <c r="FE34" i="80"/>
  <c r="AF404" i="80"/>
  <c r="AF34" i="80"/>
  <c r="Y419" i="79"/>
  <c r="Y420" i="79" s="1"/>
  <c r="Y421" i="79" s="1"/>
  <c r="Y452" i="79" s="1"/>
  <c r="Y404" i="79"/>
  <c r="Y425" i="79" s="1"/>
  <c r="Y34" i="79"/>
  <c r="BC425" i="80"/>
  <c r="BC419" i="80"/>
  <c r="BC420" i="80" s="1"/>
  <c r="BL419" i="79"/>
  <c r="BL404" i="79"/>
  <c r="BL425" i="79" s="1"/>
  <c r="BL34" i="79"/>
  <c r="Y404" i="80"/>
  <c r="Y34" i="80"/>
  <c r="CQ419" i="80"/>
  <c r="CQ420" i="80" s="1"/>
  <c r="CQ425" i="80"/>
  <c r="EE425" i="80"/>
  <c r="EE419" i="80"/>
  <c r="EE420" i="80" s="1"/>
  <c r="FL404" i="79"/>
  <c r="FL425" i="79" s="1"/>
  <c r="FL34" i="79"/>
  <c r="FL419" i="79"/>
  <c r="DH34" i="80"/>
  <c r="DH404" i="80"/>
  <c r="P419" i="79"/>
  <c r="P404" i="79"/>
  <c r="P425" i="79" s="1"/>
  <c r="P34" i="79"/>
  <c r="EW404" i="80"/>
  <c r="EW34" i="80"/>
  <c r="AU419" i="80"/>
  <c r="AU420" i="80" s="1"/>
  <c r="AU425" i="80"/>
  <c r="BU419" i="79"/>
  <c r="BU420" i="79" s="1"/>
  <c r="BU421" i="79" s="1"/>
  <c r="BU452" i="79" s="1"/>
  <c r="BU34" i="79"/>
  <c r="BU404" i="79"/>
  <c r="BU425" i="79" s="1"/>
  <c r="CI425" i="80"/>
  <c r="CI419" i="80"/>
  <c r="CI420" i="80" s="1"/>
  <c r="BE404" i="79"/>
  <c r="BE425" i="79" s="1"/>
  <c r="BE34" i="79"/>
  <c r="BE419" i="79"/>
  <c r="BL404" i="80"/>
  <c r="BL34" i="80"/>
  <c r="AE425" i="80"/>
  <c r="AE419" i="80"/>
  <c r="AE420" i="80" s="1"/>
  <c r="FD404" i="79"/>
  <c r="FD425" i="79" s="1"/>
  <c r="FD34" i="79"/>
  <c r="FD419" i="79"/>
  <c r="AP120" i="79"/>
  <c r="AP22" i="79"/>
  <c r="AP398" i="79" s="1"/>
  <c r="DW405" i="79"/>
  <c r="DW409" i="79" s="1"/>
  <c r="AP121" i="80"/>
  <c r="BU404" i="80"/>
  <c r="BU34" i="80"/>
  <c r="AN419" i="79"/>
  <c r="AN34" i="79"/>
  <c r="AN404" i="79"/>
  <c r="AN425" i="79" s="1"/>
  <c r="AF34" i="79"/>
  <c r="AF404" i="79"/>
  <c r="AF425" i="79" s="1"/>
  <c r="AF419" i="79"/>
  <c r="X404" i="80"/>
  <c r="X34" i="80"/>
  <c r="H40" i="98"/>
  <c r="F389" i="85"/>
  <c r="H10" i="98"/>
  <c r="I149" i="79"/>
  <c r="Q87" i="82"/>
  <c r="S87" i="82" s="1"/>
  <c r="S65" i="82"/>
  <c r="CJ34" i="79"/>
  <c r="CJ419" i="79"/>
  <c r="CJ404" i="79"/>
  <c r="CJ425" i="79" s="1"/>
  <c r="H419" i="80"/>
  <c r="H420" i="80" s="1"/>
  <c r="H421" i="80" s="1"/>
  <c r="H425" i="80"/>
  <c r="H430" i="80" s="1"/>
  <c r="G49" i="35"/>
  <c r="EO404" i="80"/>
  <c r="EO34" i="80"/>
  <c r="EV404" i="80"/>
  <c r="EV34" i="80"/>
  <c r="EG419" i="79"/>
  <c r="EG420" i="79" s="1"/>
  <c r="EG421" i="79" s="1"/>
  <c r="EG452" i="79" s="1"/>
  <c r="EG34" i="79"/>
  <c r="EG404" i="79"/>
  <c r="EG425" i="79" s="1"/>
  <c r="BT34" i="79"/>
  <c r="BT419" i="79"/>
  <c r="BT404" i="79"/>
  <c r="BT425" i="79" s="1"/>
  <c r="DW425" i="80"/>
  <c r="DW419" i="80"/>
  <c r="DW420" i="80" s="1"/>
  <c r="DP419" i="79"/>
  <c r="DP420" i="79" s="1"/>
  <c r="DP421" i="79" s="1"/>
  <c r="DP34" i="79"/>
  <c r="DP404" i="79"/>
  <c r="DP425" i="79" s="1"/>
  <c r="DP430" i="79" s="1"/>
  <c r="FC419" i="80"/>
  <c r="FC420" i="80" s="1"/>
  <c r="FC425" i="80"/>
  <c r="BM404" i="80"/>
  <c r="BM34" i="80"/>
  <c r="FE419" i="79"/>
  <c r="FE420" i="79" s="1"/>
  <c r="FE421" i="79" s="1"/>
  <c r="FE452" i="79" s="1"/>
  <c r="FE404" i="79"/>
  <c r="FE425" i="79" s="1"/>
  <c r="FE34" i="79"/>
  <c r="EX22" i="80"/>
  <c r="BF120" i="79"/>
  <c r="DZ120" i="80"/>
  <c r="EH120" i="79"/>
  <c r="AE405" i="79"/>
  <c r="AE409" i="79" s="1"/>
  <c r="DR120" i="79"/>
  <c r="AP120" i="80"/>
  <c r="AM405" i="79"/>
  <c r="AM409" i="79" s="1"/>
  <c r="AX22" i="80"/>
  <c r="AX398" i="80" s="1"/>
  <c r="BN121" i="80"/>
  <c r="CT121" i="79"/>
  <c r="BF121" i="80"/>
  <c r="EP121" i="79"/>
  <c r="BT404" i="80"/>
  <c r="BT34" i="80"/>
  <c r="P404" i="80"/>
  <c r="P34" i="80"/>
  <c r="AO34" i="79"/>
  <c r="AO419" i="79"/>
  <c r="AO420" i="79" s="1"/>
  <c r="AO421" i="79" s="1"/>
  <c r="AO452" i="79" s="1"/>
  <c r="AO404" i="79"/>
  <c r="AO425" i="79" s="1"/>
  <c r="DX419" i="79"/>
  <c r="DX404" i="79"/>
  <c r="DX425" i="79" s="1"/>
  <c r="DX34" i="79"/>
  <c r="DJ33" i="79"/>
  <c r="CK34" i="79"/>
  <c r="CK404" i="79"/>
  <c r="CK425" i="79" s="1"/>
  <c r="CK419" i="79"/>
  <c r="CK420" i="79" s="1"/>
  <c r="CK421" i="79" s="1"/>
  <c r="CK452" i="79" s="1"/>
  <c r="DI404" i="80"/>
  <c r="DI34" i="80"/>
  <c r="AV404" i="79"/>
  <c r="AV425" i="79" s="1"/>
  <c r="AV34" i="79"/>
  <c r="AV419" i="79"/>
  <c r="EF34" i="79"/>
  <c r="EF419" i="79"/>
  <c r="EF404" i="79"/>
  <c r="EF425" i="79" s="1"/>
  <c r="CJ404" i="80"/>
  <c r="CJ34" i="80"/>
  <c r="DQ34" i="79"/>
  <c r="DQ419" i="79"/>
  <c r="DQ404" i="79"/>
  <c r="DQ425" i="79" s="1"/>
  <c r="CS419" i="79"/>
  <c r="CS420" i="79" s="1"/>
  <c r="CS404" i="79"/>
  <c r="CS425" i="79" s="1"/>
  <c r="CS34" i="79"/>
  <c r="DR22" i="79"/>
  <c r="DR398" i="79" s="1"/>
  <c r="BS425" i="80"/>
  <c r="BS419" i="80"/>
  <c r="BS420" i="80" s="1"/>
  <c r="AG419" i="79"/>
  <c r="AG420" i="79" s="1"/>
  <c r="AG404" i="79"/>
  <c r="AG425" i="79" s="1"/>
  <c r="AG34" i="79"/>
  <c r="W419" i="80"/>
  <c r="W420" i="80" s="1"/>
  <c r="W425" i="80"/>
  <c r="DY419" i="79"/>
  <c r="DY404" i="79"/>
  <c r="DY425" i="79" s="1"/>
  <c r="DY34" i="79"/>
  <c r="CR404" i="80"/>
  <c r="CR34" i="80"/>
  <c r="CC34" i="79"/>
  <c r="CC419" i="79"/>
  <c r="CC420" i="79" s="1"/>
  <c r="CC421" i="79" s="1"/>
  <c r="CC452" i="79" s="1"/>
  <c r="CC404" i="79"/>
  <c r="CC425" i="79" s="1"/>
  <c r="CZ404" i="80"/>
  <c r="CZ34" i="80"/>
  <c r="DG419" i="80"/>
  <c r="DG420" i="80" s="1"/>
  <c r="DG425" i="80"/>
  <c r="AW404" i="79"/>
  <c r="AW425" i="79" s="1"/>
  <c r="AW419" i="79"/>
  <c r="AW34" i="79"/>
  <c r="I425" i="80"/>
  <c r="I419" i="80"/>
  <c r="I420" i="80" s="1"/>
  <c r="I421" i="80" s="1"/>
  <c r="I452" i="80" s="1"/>
  <c r="AN404" i="80"/>
  <c r="AN34" i="80"/>
  <c r="EU425" i="80"/>
  <c r="EU419" i="80"/>
  <c r="EU420" i="80" s="1"/>
  <c r="EW34" i="79"/>
  <c r="EW419" i="79"/>
  <c r="EW404" i="79"/>
  <c r="EW425" i="79" s="1"/>
  <c r="DP34" i="80"/>
  <c r="DP404" i="80"/>
  <c r="CD33" i="80"/>
  <c r="CB404" i="80"/>
  <c r="CB34" i="80"/>
  <c r="BK419" i="80"/>
  <c r="BK420" i="80" s="1"/>
  <c r="BK425" i="80"/>
  <c r="CK404" i="80"/>
  <c r="CK34" i="80"/>
  <c r="CA419" i="80"/>
  <c r="CA420" i="80" s="1"/>
  <c r="CA425" i="80"/>
  <c r="CB419" i="79"/>
  <c r="CB404" i="79"/>
  <c r="CB425" i="79" s="1"/>
  <c r="CB34" i="79"/>
  <c r="DA404" i="80"/>
  <c r="DA34" i="80"/>
  <c r="DA419" i="79"/>
  <c r="DA404" i="79"/>
  <c r="DA425" i="79" s="1"/>
  <c r="DA34" i="79"/>
  <c r="AO404" i="80"/>
  <c r="AO34" i="80"/>
  <c r="EV34" i="79"/>
  <c r="EV419" i="79"/>
  <c r="EV404" i="79"/>
  <c r="EV425" i="79" s="1"/>
  <c r="FF22" i="79"/>
  <c r="CT22" i="79"/>
  <c r="FN120" i="79"/>
  <c r="BV22" i="80"/>
  <c r="EH121" i="80"/>
  <c r="CL121" i="79"/>
  <c r="DR121" i="80"/>
  <c r="BF121" i="79"/>
  <c r="BF33" i="80"/>
  <c r="R33" i="80"/>
  <c r="EN419" i="79"/>
  <c r="EN404" i="79"/>
  <c r="EN425" i="79" s="1"/>
  <c r="EN34" i="79"/>
  <c r="F49" i="82"/>
  <c r="Q87" i="35"/>
  <c r="S87" i="35" s="1"/>
  <c r="S65" i="35"/>
  <c r="FM34" i="80"/>
  <c r="FM404" i="80"/>
  <c r="DH34" i="79"/>
  <c r="DH419" i="79"/>
  <c r="DH404" i="79"/>
  <c r="DH425" i="79" s="1"/>
  <c r="EH33" i="80"/>
  <c r="EP33" i="80"/>
  <c r="R33" i="79"/>
  <c r="CZ419" i="79"/>
  <c r="CZ404" i="79"/>
  <c r="CZ425" i="79" s="1"/>
  <c r="CZ34" i="79"/>
  <c r="E389" i="85"/>
  <c r="G40" i="98"/>
  <c r="G10" i="98"/>
  <c r="DZ33" i="80"/>
  <c r="DQ34" i="80"/>
  <c r="DQ404" i="80"/>
  <c r="FF33" i="80"/>
  <c r="CC34" i="80"/>
  <c r="CC404" i="80"/>
  <c r="CR404" i="79"/>
  <c r="CR425" i="79" s="1"/>
  <c r="CR34" i="79"/>
  <c r="CR419" i="79"/>
  <c r="Z33" i="79"/>
  <c r="DJ22" i="79"/>
  <c r="DJ398" i="79" s="1"/>
  <c r="FN120" i="80"/>
  <c r="DJ120" i="79"/>
  <c r="Z22" i="79"/>
  <c r="BV22" i="79"/>
  <c r="BV398" i="79" s="1"/>
  <c r="EH22" i="80"/>
  <c r="CD22" i="79"/>
  <c r="CD398" i="79" s="1"/>
  <c r="Z120" i="79"/>
  <c r="EX120" i="79"/>
  <c r="EX121" i="80"/>
  <c r="AX121" i="79"/>
  <c r="EX121" i="79"/>
  <c r="DB120" i="80"/>
  <c r="FN121" i="80"/>
  <c r="DB120" i="79"/>
  <c r="DR121" i="79"/>
  <c r="BV121" i="79"/>
  <c r="AH121" i="79"/>
  <c r="DR120" i="80"/>
  <c r="BN120" i="79"/>
  <c r="AX120" i="79"/>
  <c r="EP121" i="80"/>
  <c r="FF120" i="80"/>
  <c r="CT120" i="80"/>
  <c r="DJ121" i="80"/>
  <c r="EW26" i="80"/>
  <c r="EW398" i="80"/>
  <c r="EW402" i="80" s="1"/>
  <c r="AA22" i="83"/>
  <c r="R29" i="82"/>
  <c r="R31" i="82"/>
  <c r="R34" i="82"/>
  <c r="R25" i="82"/>
  <c r="R72" i="82"/>
  <c r="R19" i="82"/>
  <c r="R21" i="82" s="1"/>
  <c r="R22" i="82" s="1"/>
  <c r="R36" i="82"/>
  <c r="R85" i="82"/>
  <c r="R26" i="82"/>
  <c r="R71" i="82"/>
  <c r="R69" i="82"/>
  <c r="R33" i="82"/>
  <c r="R30" i="82"/>
  <c r="AE44" i="79"/>
  <c r="AE45" i="79"/>
  <c r="AE43" i="79"/>
  <c r="AE46" i="79"/>
  <c r="AE48" i="79"/>
  <c r="AE41" i="79"/>
  <c r="AE40" i="79"/>
  <c r="AE39" i="79"/>
  <c r="AE47" i="79"/>
  <c r="AE42" i="79"/>
  <c r="AE37" i="79"/>
  <c r="AE38" i="79"/>
  <c r="FC47" i="79"/>
  <c r="FC45" i="79"/>
  <c r="FC38" i="79"/>
  <c r="FC43" i="79"/>
  <c r="FC44" i="79"/>
  <c r="FC41" i="79"/>
  <c r="FC48" i="79"/>
  <c r="FC42" i="79"/>
  <c r="FC37" i="79"/>
  <c r="FC40" i="79"/>
  <c r="FC46" i="79"/>
  <c r="FC39" i="79"/>
  <c r="EG398" i="79"/>
  <c r="EG402" i="79" s="1"/>
  <c r="EG26" i="79"/>
  <c r="FL26" i="79"/>
  <c r="FL398" i="79"/>
  <c r="FL402" i="79" s="1"/>
  <c r="FD398" i="79"/>
  <c r="FD26" i="79"/>
  <c r="CR398" i="80"/>
  <c r="CR26" i="80"/>
  <c r="BL398" i="79"/>
  <c r="BL26" i="79"/>
  <c r="FK46" i="80"/>
  <c r="FK43" i="80"/>
  <c r="FK41" i="80"/>
  <c r="FK44" i="80"/>
  <c r="FK38" i="80"/>
  <c r="FK39" i="80"/>
  <c r="FK48" i="80"/>
  <c r="FK37" i="80"/>
  <c r="FK45" i="80"/>
  <c r="FK47" i="80"/>
  <c r="FK40" i="80"/>
  <c r="FK42" i="80"/>
  <c r="D59" i="82"/>
  <c r="AF398" i="79"/>
  <c r="AF26" i="79"/>
  <c r="DY26" i="80"/>
  <c r="DY398" i="80"/>
  <c r="DY402" i="80" s="1"/>
  <c r="DA398" i="80"/>
  <c r="DA402" i="80" s="1"/>
  <c r="DA26" i="80"/>
  <c r="R4" i="82"/>
  <c r="Q35" i="82" s="1"/>
  <c r="R3" i="82"/>
  <c r="R35" i="82" s="1"/>
  <c r="EN26" i="79"/>
  <c r="EN398" i="79"/>
  <c r="DQ26" i="80"/>
  <c r="DQ398" i="80"/>
  <c r="DQ402" i="80" s="1"/>
  <c r="DG41" i="79"/>
  <c r="DG47" i="79"/>
  <c r="DG46" i="79"/>
  <c r="DG48" i="79"/>
  <c r="DG43" i="79"/>
  <c r="DG45" i="79"/>
  <c r="DG37" i="79"/>
  <c r="DG42" i="79"/>
  <c r="DG38" i="79"/>
  <c r="DG40" i="79"/>
  <c r="DG44" i="79"/>
  <c r="DG39" i="79"/>
  <c r="CZ398" i="79"/>
  <c r="CZ26" i="79"/>
  <c r="BD26" i="79"/>
  <c r="BD398" i="79"/>
  <c r="AE42" i="80"/>
  <c r="AE47" i="80"/>
  <c r="AE41" i="80"/>
  <c r="AE46" i="80"/>
  <c r="AE44" i="80"/>
  <c r="AE45" i="80"/>
  <c r="AE43" i="80"/>
  <c r="AE37" i="80"/>
  <c r="AE38" i="80"/>
  <c r="AE48" i="80"/>
  <c r="AE40" i="80"/>
  <c r="AE39" i="80"/>
  <c r="AM46" i="79"/>
  <c r="AM48" i="79"/>
  <c r="AM37" i="79"/>
  <c r="AM39" i="79"/>
  <c r="AM44" i="79"/>
  <c r="AM42" i="79"/>
  <c r="AM47" i="79"/>
  <c r="AM41" i="79"/>
  <c r="AM40" i="79"/>
  <c r="AM43" i="79"/>
  <c r="AM45" i="79"/>
  <c r="AM38" i="79"/>
  <c r="AV398" i="79"/>
  <c r="AV26" i="79"/>
  <c r="AU47" i="80"/>
  <c r="AU44" i="80"/>
  <c r="AU39" i="80"/>
  <c r="AU46" i="80"/>
  <c r="AU38" i="80"/>
  <c r="AU45" i="80"/>
  <c r="AU41" i="80"/>
  <c r="AU48" i="80"/>
  <c r="AU37" i="80"/>
  <c r="AU42" i="80"/>
  <c r="AU40" i="80"/>
  <c r="AU43" i="80"/>
  <c r="DQ398" i="79"/>
  <c r="DQ402" i="79" s="1"/>
  <c r="DQ26" i="79"/>
  <c r="Q26" i="80"/>
  <c r="Q398" i="80"/>
  <c r="Q402" i="80" s="1"/>
  <c r="FM398" i="80"/>
  <c r="FM402" i="80" s="1"/>
  <c r="FM26" i="80"/>
  <c r="P26" i="79"/>
  <c r="P398" i="79"/>
  <c r="FC38" i="80"/>
  <c r="FC37" i="80"/>
  <c r="FC42" i="80"/>
  <c r="FC46" i="80"/>
  <c r="FC39" i="80"/>
  <c r="FC45" i="80"/>
  <c r="FC40" i="80"/>
  <c r="FC47" i="80"/>
  <c r="FC48" i="80"/>
  <c r="FC43" i="80"/>
  <c r="FC41" i="80"/>
  <c r="FC44" i="80"/>
  <c r="M48" i="80"/>
  <c r="FL398" i="80"/>
  <c r="FL26" i="80"/>
  <c r="FD398" i="80"/>
  <c r="FD26" i="80"/>
  <c r="D59" i="35"/>
  <c r="FK40" i="79"/>
  <c r="FK39" i="79"/>
  <c r="FK42" i="79"/>
  <c r="FK48" i="79"/>
  <c r="FK46" i="79"/>
  <c r="FK44" i="79"/>
  <c r="FK38" i="79"/>
  <c r="FK47" i="79"/>
  <c r="FK45" i="79"/>
  <c r="FK37" i="79"/>
  <c r="FK41" i="79"/>
  <c r="FK43" i="79"/>
  <c r="CS26" i="80"/>
  <c r="CS398" i="80"/>
  <c r="CS402" i="80" s="1"/>
  <c r="BK42" i="79"/>
  <c r="BK48" i="79"/>
  <c r="BK40" i="79"/>
  <c r="BK45" i="79"/>
  <c r="BK46" i="79"/>
  <c r="BK38" i="79"/>
  <c r="BK43" i="79"/>
  <c r="BK37" i="79"/>
  <c r="BK41" i="79"/>
  <c r="BK44" i="79"/>
  <c r="BK47" i="79"/>
  <c r="BK39" i="79"/>
  <c r="Q19" i="82"/>
  <c r="Q26" i="82"/>
  <c r="Q30" i="82"/>
  <c r="Q69" i="82"/>
  <c r="Q25" i="82"/>
  <c r="Q29" i="82"/>
  <c r="Q71" i="82"/>
  <c r="Q33" i="82"/>
  <c r="Q72" i="82"/>
  <c r="Q31" i="82"/>
  <c r="Q85" i="82"/>
  <c r="Q36" i="82"/>
  <c r="S50" i="82"/>
  <c r="Q34" i="82"/>
  <c r="CK26" i="79"/>
  <c r="CK398" i="79"/>
  <c r="CK402" i="79" s="1"/>
  <c r="AG398" i="79"/>
  <c r="AG402" i="79" s="1"/>
  <c r="AG26" i="79"/>
  <c r="EV26" i="79"/>
  <c r="EV398" i="79"/>
  <c r="CS398" i="79"/>
  <c r="CS402" i="79" s="1"/>
  <c r="CS26" i="79"/>
  <c r="CZ398" i="80"/>
  <c r="CZ26" i="80"/>
  <c r="DO42" i="80"/>
  <c r="DO43" i="80"/>
  <c r="DO46" i="80"/>
  <c r="DO39" i="80"/>
  <c r="DO48" i="80"/>
  <c r="DO40" i="80"/>
  <c r="DO44" i="80"/>
  <c r="DO47" i="80"/>
  <c r="DO38" i="80"/>
  <c r="DO37" i="80"/>
  <c r="DO45" i="80"/>
  <c r="DO41" i="80"/>
  <c r="CB398" i="79"/>
  <c r="CB26" i="79"/>
  <c r="CB26" i="80"/>
  <c r="CB398" i="80"/>
  <c r="CY46" i="79"/>
  <c r="CY41" i="79"/>
  <c r="CY40" i="79"/>
  <c r="CY48" i="79"/>
  <c r="CY47" i="79"/>
  <c r="CY42" i="79"/>
  <c r="CY37" i="79"/>
  <c r="CY38" i="79"/>
  <c r="CY45" i="79"/>
  <c r="CY39" i="79"/>
  <c r="CY44" i="79"/>
  <c r="CY43" i="79"/>
  <c r="AO398" i="79"/>
  <c r="AO402" i="79" s="1"/>
  <c r="AO26" i="79"/>
  <c r="AU41" i="79"/>
  <c r="AU40" i="79"/>
  <c r="AU38" i="79"/>
  <c r="AU47" i="79"/>
  <c r="AU42" i="79"/>
  <c r="AU45" i="79"/>
  <c r="AU44" i="79"/>
  <c r="AU48" i="79"/>
  <c r="AU43" i="79"/>
  <c r="AU39" i="79"/>
  <c r="AU37" i="79"/>
  <c r="AU46" i="79"/>
  <c r="AV398" i="80"/>
  <c r="AV26" i="80"/>
  <c r="DX398" i="80"/>
  <c r="DX26" i="80"/>
  <c r="BL398" i="80"/>
  <c r="BL26" i="80"/>
  <c r="CQ48" i="79"/>
  <c r="CQ38" i="79"/>
  <c r="CQ41" i="79"/>
  <c r="CQ45" i="79"/>
  <c r="CQ37" i="79"/>
  <c r="CQ47" i="79"/>
  <c r="CQ44" i="79"/>
  <c r="CQ43" i="79"/>
  <c r="CQ46" i="79"/>
  <c r="CQ40" i="79"/>
  <c r="CQ42" i="79"/>
  <c r="CQ39" i="79"/>
  <c r="CY37" i="80"/>
  <c r="CY38" i="80"/>
  <c r="CY39" i="80"/>
  <c r="CY43" i="80"/>
  <c r="CY46" i="80"/>
  <c r="CY42" i="80"/>
  <c r="CY47" i="80"/>
  <c r="CY40" i="80"/>
  <c r="CY41" i="80"/>
  <c r="CY45" i="80"/>
  <c r="CY44" i="80"/>
  <c r="CY48" i="80"/>
  <c r="DI398" i="79"/>
  <c r="DI402" i="79" s="1"/>
  <c r="DI26" i="79"/>
  <c r="CC398" i="80"/>
  <c r="CC402" i="80" s="1"/>
  <c r="CC26" i="80"/>
  <c r="EO26" i="80"/>
  <c r="EO398" i="80"/>
  <c r="EO402" i="80" s="1"/>
  <c r="AW26" i="80"/>
  <c r="AW398" i="80"/>
  <c r="AW402" i="80" s="1"/>
  <c r="DY398" i="79"/>
  <c r="DY402" i="79" s="1"/>
  <c r="DY26" i="79"/>
  <c r="Y398" i="80"/>
  <c r="Y402" i="80" s="1"/>
  <c r="Y26" i="80"/>
  <c r="CJ26" i="79"/>
  <c r="CJ398" i="79"/>
  <c r="AO398" i="80"/>
  <c r="AO402" i="80" s="1"/>
  <c r="AO26" i="80"/>
  <c r="O47" i="80"/>
  <c r="O41" i="80"/>
  <c r="O48" i="80"/>
  <c r="O42" i="80"/>
  <c r="O40" i="80"/>
  <c r="O43" i="80"/>
  <c r="O45" i="80"/>
  <c r="O38" i="80"/>
  <c r="O44" i="80"/>
  <c r="O39" i="80"/>
  <c r="O46" i="80"/>
  <c r="O37" i="80"/>
  <c r="R36" i="35"/>
  <c r="R69" i="35"/>
  <c r="R25" i="35"/>
  <c r="R26" i="35"/>
  <c r="R85" i="35"/>
  <c r="R33" i="35"/>
  <c r="R72" i="35"/>
  <c r="CL22" i="79"/>
  <c r="Q398" i="79"/>
  <c r="Q402" i="79" s="1"/>
  <c r="Q26" i="79"/>
  <c r="EU41" i="79"/>
  <c r="EU40" i="79"/>
  <c r="EU47" i="79"/>
  <c r="EU44" i="79"/>
  <c r="EU48" i="79"/>
  <c r="EU38" i="79"/>
  <c r="EU43" i="79"/>
  <c r="EU46" i="79"/>
  <c r="EU45" i="79"/>
  <c r="EU37" i="79"/>
  <c r="EU42" i="79"/>
  <c r="EU39" i="79"/>
  <c r="BS40" i="79"/>
  <c r="BS45" i="79"/>
  <c r="BS42" i="79"/>
  <c r="BS47" i="79"/>
  <c r="BS41" i="79"/>
  <c r="BS37" i="79"/>
  <c r="BS39" i="79"/>
  <c r="BS38" i="79"/>
  <c r="BS48" i="79"/>
  <c r="BS44" i="79"/>
  <c r="BS46" i="79"/>
  <c r="BS43" i="79"/>
  <c r="EM41" i="79"/>
  <c r="EM37" i="79"/>
  <c r="EM48" i="79"/>
  <c r="EM45" i="79"/>
  <c r="EM46" i="79"/>
  <c r="EM38" i="79"/>
  <c r="EM42" i="79"/>
  <c r="EM47" i="79"/>
  <c r="EM43" i="79"/>
  <c r="EM39" i="79"/>
  <c r="EM44" i="79"/>
  <c r="EM40" i="79"/>
  <c r="BD398" i="80"/>
  <c r="BD26" i="80"/>
  <c r="DH26" i="79"/>
  <c r="DH398" i="79"/>
  <c r="CA48" i="80"/>
  <c r="CA37" i="80"/>
  <c r="CA46" i="80"/>
  <c r="CA38" i="80"/>
  <c r="CA44" i="80"/>
  <c r="CA41" i="80"/>
  <c r="CA42" i="80"/>
  <c r="CA47" i="80"/>
  <c r="CA40" i="80"/>
  <c r="CA39" i="80"/>
  <c r="CA43" i="80"/>
  <c r="CA45" i="80"/>
  <c r="EM46" i="80"/>
  <c r="EM44" i="80"/>
  <c r="EM48" i="80"/>
  <c r="EM47" i="80"/>
  <c r="EM41" i="80"/>
  <c r="EM42" i="80"/>
  <c r="EM45" i="80"/>
  <c r="EM39" i="80"/>
  <c r="EM37" i="80"/>
  <c r="EM40" i="80"/>
  <c r="EM43" i="80"/>
  <c r="EM38" i="80"/>
  <c r="BC46" i="79"/>
  <c r="BC48" i="79"/>
  <c r="BC47" i="79"/>
  <c r="BC43" i="79"/>
  <c r="BC40" i="79"/>
  <c r="BC37" i="79"/>
  <c r="BC42" i="79"/>
  <c r="BC41" i="79"/>
  <c r="BC38" i="79"/>
  <c r="BC44" i="79"/>
  <c r="BC45" i="79"/>
  <c r="BC39" i="79"/>
  <c r="AW26" i="79"/>
  <c r="AW398" i="79"/>
  <c r="AW402" i="79" s="1"/>
  <c r="DZ22" i="79"/>
  <c r="Y26" i="79"/>
  <c r="Y398" i="79"/>
  <c r="Y402" i="79" s="1"/>
  <c r="Q53" i="82"/>
  <c r="S49" i="82"/>
  <c r="FE398" i="79"/>
  <c r="FE402" i="79" s="1"/>
  <c r="FE26" i="79"/>
  <c r="X398" i="80"/>
  <c r="X26" i="80"/>
  <c r="X26" i="79"/>
  <c r="X398" i="79"/>
  <c r="R22" i="79"/>
  <c r="CI37" i="80"/>
  <c r="CI45" i="80"/>
  <c r="CI40" i="80"/>
  <c r="CI43" i="80"/>
  <c r="CI42" i="80"/>
  <c r="CI38" i="80"/>
  <c r="CI41" i="80"/>
  <c r="CI44" i="80"/>
  <c r="CI46" i="80"/>
  <c r="CI39" i="80"/>
  <c r="CI48" i="80"/>
  <c r="CI47" i="80"/>
  <c r="AN26" i="80"/>
  <c r="AN398" i="80"/>
  <c r="EW398" i="79"/>
  <c r="EW402" i="79" s="1"/>
  <c r="EW26" i="79"/>
  <c r="DB22" i="80"/>
  <c r="EO398" i="79"/>
  <c r="EO402" i="79" s="1"/>
  <c r="EO26" i="79"/>
  <c r="EG26" i="80"/>
  <c r="EG398" i="80"/>
  <c r="EG402" i="80" s="1"/>
  <c r="BC45" i="80"/>
  <c r="BC47" i="80"/>
  <c r="BC39" i="80"/>
  <c r="BC42" i="80"/>
  <c r="BC44" i="80"/>
  <c r="BC48" i="80"/>
  <c r="BC43" i="80"/>
  <c r="BC40" i="80"/>
  <c r="BC41" i="80"/>
  <c r="BC38" i="80"/>
  <c r="BC46" i="80"/>
  <c r="BC37" i="80"/>
  <c r="DG37" i="80"/>
  <c r="DG42" i="80"/>
  <c r="DG39" i="80"/>
  <c r="DG43" i="80"/>
  <c r="DG38" i="80"/>
  <c r="DG44" i="80"/>
  <c r="DG47" i="80"/>
  <c r="DG48" i="80"/>
  <c r="DG45" i="80"/>
  <c r="DG40" i="80"/>
  <c r="DG46" i="80"/>
  <c r="DG41" i="80"/>
  <c r="BU398" i="80"/>
  <c r="BU402" i="80" s="1"/>
  <c r="BU26" i="80"/>
  <c r="DX398" i="79"/>
  <c r="DX402" i="79" s="1"/>
  <c r="DX26" i="79"/>
  <c r="FM26" i="79"/>
  <c r="FM398" i="79"/>
  <c r="FM402" i="79" s="1"/>
  <c r="FN22" i="79"/>
  <c r="Z22" i="80"/>
  <c r="P398" i="80"/>
  <c r="P26" i="80"/>
  <c r="EV398" i="80"/>
  <c r="EV26" i="80"/>
  <c r="EF26" i="79"/>
  <c r="EF398" i="79"/>
  <c r="EF402" i="79" s="1"/>
  <c r="EU43" i="80"/>
  <c r="EU37" i="80"/>
  <c r="EU45" i="80"/>
  <c r="EU47" i="80"/>
  <c r="EU39" i="80"/>
  <c r="EU46" i="80"/>
  <c r="EU40" i="80"/>
  <c r="EU41" i="80"/>
  <c r="EU42" i="80"/>
  <c r="EU38" i="80"/>
  <c r="EU48" i="80"/>
  <c r="EU44" i="80"/>
  <c r="CQ42" i="80"/>
  <c r="CQ48" i="80"/>
  <c r="CQ39" i="80"/>
  <c r="CQ47" i="80"/>
  <c r="CQ45" i="80"/>
  <c r="CQ38" i="80"/>
  <c r="CQ46" i="80"/>
  <c r="CQ37" i="80"/>
  <c r="CQ44" i="80"/>
  <c r="CQ40" i="80"/>
  <c r="CQ41" i="80"/>
  <c r="CQ43" i="80"/>
  <c r="W47" i="80"/>
  <c r="W38" i="80"/>
  <c r="W42" i="80"/>
  <c r="W46" i="80"/>
  <c r="W45" i="80"/>
  <c r="W44" i="80"/>
  <c r="W40" i="80"/>
  <c r="W48" i="80"/>
  <c r="W43" i="80"/>
  <c r="W39" i="80"/>
  <c r="W41" i="80"/>
  <c r="W37" i="80"/>
  <c r="W43" i="79"/>
  <c r="W38" i="79"/>
  <c r="W42" i="79"/>
  <c r="W40" i="79"/>
  <c r="W48" i="79"/>
  <c r="W39" i="79"/>
  <c r="W45" i="79"/>
  <c r="W46" i="79"/>
  <c r="W47" i="79"/>
  <c r="W41" i="79"/>
  <c r="W37" i="79"/>
  <c r="W44" i="79"/>
  <c r="FN22" i="80"/>
  <c r="CI43" i="79"/>
  <c r="CI40" i="79"/>
  <c r="CI47" i="79"/>
  <c r="CI41" i="79"/>
  <c r="CI48" i="79"/>
  <c r="CI45" i="79"/>
  <c r="CI38" i="79"/>
  <c r="CI37" i="79"/>
  <c r="CI46" i="79"/>
  <c r="CI44" i="79"/>
  <c r="CI39" i="79"/>
  <c r="CI42" i="79"/>
  <c r="O48" i="79"/>
  <c r="O37" i="79"/>
  <c r="O44" i="79"/>
  <c r="O38" i="79"/>
  <c r="O40" i="79"/>
  <c r="O45" i="79"/>
  <c r="O46" i="79"/>
  <c r="O43" i="79"/>
  <c r="O47" i="79"/>
  <c r="O42" i="79"/>
  <c r="O39" i="79"/>
  <c r="O41" i="79"/>
  <c r="AM39" i="80"/>
  <c r="AM38" i="80"/>
  <c r="AM43" i="80"/>
  <c r="AM44" i="80"/>
  <c r="AM40" i="80"/>
  <c r="AM41" i="80"/>
  <c r="AM45" i="80"/>
  <c r="AM47" i="80"/>
  <c r="AM37" i="80"/>
  <c r="AM42" i="80"/>
  <c r="AM46" i="80"/>
  <c r="AM48" i="80"/>
  <c r="EE40" i="80"/>
  <c r="EE38" i="80"/>
  <c r="EE44" i="80"/>
  <c r="EE48" i="80"/>
  <c r="EE37" i="80"/>
  <c r="EE43" i="80"/>
  <c r="EE41" i="80"/>
  <c r="EE45" i="80"/>
  <c r="EE46" i="80"/>
  <c r="EE47" i="80"/>
  <c r="EE42" i="80"/>
  <c r="EE39" i="80"/>
  <c r="CC398" i="79"/>
  <c r="CC402" i="79" s="1"/>
  <c r="CC26" i="79"/>
  <c r="BE398" i="80"/>
  <c r="BE402" i="80" s="1"/>
  <c r="BE26" i="80"/>
  <c r="DH26" i="80"/>
  <c r="DH398" i="80"/>
  <c r="DA26" i="79"/>
  <c r="DA398" i="79"/>
  <c r="DA402" i="79" s="1"/>
  <c r="AF398" i="80"/>
  <c r="AF26" i="80"/>
  <c r="AN26" i="79"/>
  <c r="AN398" i="79"/>
  <c r="M48" i="79"/>
  <c r="BT398" i="80"/>
  <c r="BT26" i="80"/>
  <c r="DO46" i="79"/>
  <c r="DO42" i="79"/>
  <c r="DO48" i="79"/>
  <c r="DO45" i="79"/>
  <c r="DO40" i="79"/>
  <c r="DO41" i="79"/>
  <c r="DO47" i="79"/>
  <c r="DO37" i="79"/>
  <c r="DO43" i="79"/>
  <c r="DO38" i="79"/>
  <c r="DO39" i="79"/>
  <c r="DO44" i="79"/>
  <c r="DW46" i="79"/>
  <c r="DW41" i="79"/>
  <c r="DW45" i="79"/>
  <c r="DW47" i="79"/>
  <c r="DW38" i="79"/>
  <c r="DW39" i="79"/>
  <c r="DW44" i="79"/>
  <c r="DW43" i="79"/>
  <c r="DW48" i="79"/>
  <c r="DW40" i="79"/>
  <c r="DW37" i="79"/>
  <c r="DW42" i="79"/>
  <c r="FE398" i="80"/>
  <c r="FE402" i="80" s="1"/>
  <c r="FE26" i="80"/>
  <c r="BM26" i="79"/>
  <c r="BM398" i="79"/>
  <c r="BM402" i="79" s="1"/>
  <c r="CJ398" i="80"/>
  <c r="CJ402" i="80" s="1"/>
  <c r="CJ26" i="80"/>
  <c r="DW37" i="80"/>
  <c r="DW47" i="80"/>
  <c r="DW38" i="80"/>
  <c r="DW40" i="80"/>
  <c r="DW48" i="80"/>
  <c r="DW43" i="80"/>
  <c r="DW44" i="80"/>
  <c r="DW41" i="80"/>
  <c r="DW45" i="80"/>
  <c r="DW46" i="80"/>
  <c r="DW39" i="80"/>
  <c r="DW42" i="80"/>
  <c r="BK46" i="80"/>
  <c r="BK45" i="80"/>
  <c r="BK44" i="80"/>
  <c r="BK38" i="80"/>
  <c r="BK42" i="80"/>
  <c r="BK48" i="80"/>
  <c r="BK39" i="80"/>
  <c r="BK43" i="80"/>
  <c r="BK37" i="80"/>
  <c r="BK41" i="80"/>
  <c r="BK47" i="80"/>
  <c r="BK40" i="80"/>
  <c r="BU26" i="79"/>
  <c r="BU398" i="79"/>
  <c r="BU402" i="79" s="1"/>
  <c r="DP26" i="80"/>
  <c r="DP398" i="80"/>
  <c r="EF398" i="80"/>
  <c r="EF26" i="80"/>
  <c r="CA48" i="79"/>
  <c r="CA38" i="79"/>
  <c r="CA47" i="79"/>
  <c r="CA46" i="79"/>
  <c r="CA41" i="79"/>
  <c r="CA37" i="79"/>
  <c r="CA44" i="79"/>
  <c r="CA39" i="79"/>
  <c r="CA42" i="79"/>
  <c r="CA43" i="79"/>
  <c r="CA40" i="79"/>
  <c r="CA45" i="79"/>
  <c r="DI398" i="80"/>
  <c r="DI402" i="80" s="1"/>
  <c r="DI26" i="80"/>
  <c r="EE41" i="79"/>
  <c r="EE47" i="79"/>
  <c r="EE48" i="79"/>
  <c r="EE46" i="79"/>
  <c r="EE45" i="79"/>
  <c r="EE40" i="79"/>
  <c r="EE38" i="79"/>
  <c r="EE39" i="79"/>
  <c r="EE44" i="79"/>
  <c r="EE43" i="79"/>
  <c r="EE37" i="79"/>
  <c r="EE42" i="79"/>
  <c r="BN22" i="79"/>
  <c r="CK398" i="80"/>
  <c r="CK402" i="80" s="1"/>
  <c r="CK26" i="80"/>
  <c r="BM398" i="80"/>
  <c r="BM402" i="80" s="1"/>
  <c r="BM26" i="80"/>
  <c r="CR398" i="79"/>
  <c r="CR26" i="79"/>
  <c r="BT398" i="79"/>
  <c r="BT402" i="79" s="1"/>
  <c r="BT26" i="79"/>
  <c r="DR22" i="80"/>
  <c r="BF22" i="80"/>
  <c r="CD22" i="80"/>
  <c r="EN26" i="80"/>
  <c r="EN398" i="80"/>
  <c r="BE26" i="79"/>
  <c r="BE398" i="79"/>
  <c r="BE402" i="79" s="1"/>
  <c r="AG398" i="80"/>
  <c r="AG402" i="80" s="1"/>
  <c r="AG26" i="80"/>
  <c r="G79" i="85"/>
  <c r="BS41" i="80"/>
  <c r="BS43" i="80"/>
  <c r="BS38" i="80"/>
  <c r="BS39" i="80"/>
  <c r="BS46" i="80"/>
  <c r="BS48" i="80"/>
  <c r="BS44" i="80"/>
  <c r="BS45" i="80"/>
  <c r="BS37" i="80"/>
  <c r="BS42" i="80"/>
  <c r="BS40" i="80"/>
  <c r="BS47" i="80"/>
  <c r="DP26" i="79"/>
  <c r="DP398" i="79"/>
  <c r="AX132" i="80" l="1"/>
  <c r="AX132" i="79"/>
  <c r="AH132" i="79"/>
  <c r="AX155" i="79"/>
  <c r="FF155" i="80"/>
  <c r="CD154" i="80"/>
  <c r="AX107" i="79"/>
  <c r="EX154" i="80"/>
  <c r="DJ132" i="80"/>
  <c r="G65" i="35"/>
  <c r="FF107" i="79"/>
  <c r="EP107" i="80"/>
  <c r="FN107" i="80"/>
  <c r="DZ132" i="79"/>
  <c r="DY420" i="79"/>
  <c r="DY421" i="79" s="1"/>
  <c r="DY452" i="79" s="1"/>
  <c r="DB132" i="79"/>
  <c r="CD132" i="80"/>
  <c r="EH132" i="79"/>
  <c r="CL132" i="79"/>
  <c r="Z97" i="80"/>
  <c r="Z100" i="80" s="1"/>
  <c r="G50" i="35"/>
  <c r="BN154" i="80"/>
  <c r="CT155" i="79"/>
  <c r="BV155" i="80"/>
  <c r="AP155" i="80"/>
  <c r="EX132" i="79"/>
  <c r="EH132" i="80"/>
  <c r="CT97" i="80"/>
  <c r="CT100" i="80" s="1"/>
  <c r="AH154" i="80"/>
  <c r="CT154" i="79"/>
  <c r="DB402" i="79"/>
  <c r="BN132" i="80"/>
  <c r="AP132" i="79"/>
  <c r="EH155" i="80"/>
  <c r="BF107" i="79"/>
  <c r="CT107" i="79"/>
  <c r="R154" i="79"/>
  <c r="FF132" i="80"/>
  <c r="BV132" i="79"/>
  <c r="DR154" i="80"/>
  <c r="FN154" i="80"/>
  <c r="AP107" i="80"/>
  <c r="FN154" i="79"/>
  <c r="BF154" i="79"/>
  <c r="EH107" i="80"/>
  <c r="EP154" i="79"/>
  <c r="CL155" i="80"/>
  <c r="DB154" i="80"/>
  <c r="Z132" i="80"/>
  <c r="DZ107" i="79"/>
  <c r="Z155" i="79"/>
  <c r="BN107" i="79"/>
  <c r="DB155" i="80"/>
  <c r="DZ154" i="80"/>
  <c r="R132" i="79"/>
  <c r="FN132" i="79"/>
  <c r="CD154" i="79"/>
  <c r="AH155" i="80"/>
  <c r="CT107" i="80"/>
  <c r="BF403" i="79"/>
  <c r="BF424" i="79" s="1"/>
  <c r="BF155" i="80"/>
  <c r="EX418" i="79"/>
  <c r="CT155" i="80"/>
  <c r="Z154" i="80"/>
  <c r="AX154" i="80"/>
  <c r="DZ154" i="79"/>
  <c r="EX154" i="79"/>
  <c r="CT132" i="79"/>
  <c r="FF155" i="79"/>
  <c r="EX155" i="79"/>
  <c r="R107" i="79"/>
  <c r="AX418" i="79"/>
  <c r="AH107" i="80"/>
  <c r="BF132" i="79"/>
  <c r="R154" i="80"/>
  <c r="CL154" i="80"/>
  <c r="BV107" i="80"/>
  <c r="FF154" i="80"/>
  <c r="CD155" i="80"/>
  <c r="FN107" i="79"/>
  <c r="DB107" i="79"/>
  <c r="AP155" i="79"/>
  <c r="BF132" i="80"/>
  <c r="EP154" i="80"/>
  <c r="BF154" i="80"/>
  <c r="DB107" i="80"/>
  <c r="DR132" i="79"/>
  <c r="EP132" i="80"/>
  <c r="EP418" i="80"/>
  <c r="DZ107" i="80"/>
  <c r="BF107" i="80"/>
  <c r="CT154" i="80"/>
  <c r="DJ97" i="80"/>
  <c r="DJ100" i="80" s="1"/>
  <c r="Z155" i="80"/>
  <c r="BN107" i="80"/>
  <c r="BF155" i="79"/>
  <c r="Z107" i="80"/>
  <c r="DJ132" i="79"/>
  <c r="BN155" i="80"/>
  <c r="BV154" i="80"/>
  <c r="EX155" i="80"/>
  <c r="DJ154" i="80"/>
  <c r="DR132" i="80"/>
  <c r="CL107" i="79"/>
  <c r="AP154" i="80"/>
  <c r="R155" i="79"/>
  <c r="BN154" i="79"/>
  <c r="DR107" i="80"/>
  <c r="DR155" i="80"/>
  <c r="CD107" i="80"/>
  <c r="DJ107" i="80"/>
  <c r="EH107" i="79"/>
  <c r="AP107" i="79"/>
  <c r="EX107" i="79"/>
  <c r="DZ155" i="79"/>
  <c r="EP155" i="80"/>
  <c r="Z154" i="79"/>
  <c r="FF97" i="80"/>
  <c r="FF100" i="80" s="1"/>
  <c r="AH155" i="79"/>
  <c r="EX132" i="80"/>
  <c r="AX155" i="80"/>
  <c r="DZ132" i="80"/>
  <c r="CD107" i="79"/>
  <c r="Z132" i="79"/>
  <c r="AX97" i="79"/>
  <c r="AX100" i="79" s="1"/>
  <c r="BV97" i="79"/>
  <c r="BV100" i="79" s="1"/>
  <c r="BV97" i="80"/>
  <c r="BV100" i="80" s="1"/>
  <c r="AX107" i="80"/>
  <c r="AH107" i="79"/>
  <c r="DR107" i="79"/>
  <c r="BV132" i="80"/>
  <c r="CD97" i="80"/>
  <c r="CD100" i="80" s="1"/>
  <c r="FF132" i="79"/>
  <c r="R132" i="80"/>
  <c r="EP107" i="79"/>
  <c r="EH154" i="80"/>
  <c r="DZ97" i="80"/>
  <c r="DZ100" i="80" s="1"/>
  <c r="R155" i="80"/>
  <c r="DZ155" i="80"/>
  <c r="AH97" i="79"/>
  <c r="AH100" i="79" s="1"/>
  <c r="EP132" i="79"/>
  <c r="BV107" i="79"/>
  <c r="FN155" i="80"/>
  <c r="EH97" i="79"/>
  <c r="EH100" i="79" s="1"/>
  <c r="CL107" i="80"/>
  <c r="EP155" i="79"/>
  <c r="Q30" i="35"/>
  <c r="P402" i="79"/>
  <c r="Q34" i="35"/>
  <c r="AP154" i="79"/>
  <c r="EG129" i="79"/>
  <c r="EF129" i="79"/>
  <c r="DJ154" i="79"/>
  <c r="FL126" i="79"/>
  <c r="FM126" i="79"/>
  <c r="DA129" i="80"/>
  <c r="CZ129" i="80"/>
  <c r="DH126" i="80"/>
  <c r="DI126" i="80"/>
  <c r="DR154" i="79"/>
  <c r="DR155" i="79"/>
  <c r="BV154" i="79"/>
  <c r="CL132" i="80"/>
  <c r="DJ107" i="79"/>
  <c r="EP97" i="80"/>
  <c r="EP100" i="80" s="1"/>
  <c r="EO100" i="80"/>
  <c r="FN155" i="79"/>
  <c r="FF154" i="79"/>
  <c r="Q31" i="35"/>
  <c r="FL129" i="79"/>
  <c r="FM129" i="79"/>
  <c r="P126" i="79"/>
  <c r="Q126" i="79"/>
  <c r="BL129" i="80"/>
  <c r="BM129" i="80"/>
  <c r="BV155" i="79"/>
  <c r="AP132" i="80"/>
  <c r="CT132" i="80"/>
  <c r="AN126" i="80"/>
  <c r="AO126" i="80"/>
  <c r="EH155" i="79"/>
  <c r="FN132" i="80"/>
  <c r="DZ97" i="79"/>
  <c r="DZ100" i="79" s="1"/>
  <c r="R97" i="80"/>
  <c r="R100" i="80" s="1"/>
  <c r="CZ126" i="80"/>
  <c r="DA126" i="80"/>
  <c r="FD129" i="80"/>
  <c r="FE129" i="80"/>
  <c r="DA129" i="79"/>
  <c r="CZ129" i="79"/>
  <c r="BT126" i="79"/>
  <c r="BU126" i="79"/>
  <c r="BL126" i="79"/>
  <c r="BM126" i="79"/>
  <c r="AV129" i="80"/>
  <c r="AW129" i="80"/>
  <c r="EP97" i="79"/>
  <c r="EP100" i="79" s="1"/>
  <c r="EO100" i="79"/>
  <c r="DI126" i="79"/>
  <c r="DH126" i="79"/>
  <c r="EX97" i="79"/>
  <c r="EX100" i="79" s="1"/>
  <c r="EV100" i="79"/>
  <c r="DJ97" i="79"/>
  <c r="DJ100" i="79" s="1"/>
  <c r="DH100" i="79"/>
  <c r="Q33" i="35"/>
  <c r="EO129" i="79"/>
  <c r="EN129" i="79"/>
  <c r="AF129" i="79"/>
  <c r="AG129" i="79"/>
  <c r="DP126" i="79"/>
  <c r="DQ126" i="79"/>
  <c r="FD126" i="79"/>
  <c r="FE126" i="79"/>
  <c r="BD129" i="80"/>
  <c r="BE129" i="80"/>
  <c r="EN126" i="80"/>
  <c r="EO126" i="80"/>
  <c r="FF107" i="80"/>
  <c r="Z97" i="79"/>
  <c r="Z100" i="79" s="1"/>
  <c r="X100" i="79"/>
  <c r="FL129" i="80"/>
  <c r="FM129" i="80"/>
  <c r="Q72" i="35"/>
  <c r="BD129" i="79"/>
  <c r="BE129" i="79"/>
  <c r="DP129" i="79"/>
  <c r="DQ129" i="79"/>
  <c r="DY126" i="79"/>
  <c r="DX126" i="79"/>
  <c r="CC126" i="79"/>
  <c r="CB126" i="79"/>
  <c r="CC129" i="80"/>
  <c r="CB129" i="80"/>
  <c r="P126" i="80"/>
  <c r="Q126" i="80"/>
  <c r="DB97" i="79"/>
  <c r="DB100" i="79" s="1"/>
  <c r="CT97" i="79"/>
  <c r="CT100" i="79" s="1"/>
  <c r="BM129" i="79"/>
  <c r="BL129" i="79"/>
  <c r="AO126" i="79"/>
  <c r="AN126" i="79"/>
  <c r="CR129" i="79"/>
  <c r="CS129" i="79"/>
  <c r="CT129" i="79" s="1"/>
  <c r="EW126" i="80"/>
  <c r="EV126" i="80"/>
  <c r="BN97" i="79"/>
  <c r="BN100" i="79" s="1"/>
  <c r="BL100" i="79"/>
  <c r="DX129" i="79"/>
  <c r="DY129" i="79"/>
  <c r="X129" i="79"/>
  <c r="Y129" i="79"/>
  <c r="EO126" i="79"/>
  <c r="EN126" i="79"/>
  <c r="AG126" i="79"/>
  <c r="AF126" i="79"/>
  <c r="AG129" i="80"/>
  <c r="AF129" i="80"/>
  <c r="AW126" i="80"/>
  <c r="AV126" i="80"/>
  <c r="CB126" i="80"/>
  <c r="CC126" i="80"/>
  <c r="AP97" i="80"/>
  <c r="AP100" i="80" s="1"/>
  <c r="AO100" i="80"/>
  <c r="AP97" i="79"/>
  <c r="AP100" i="79" s="1"/>
  <c r="BN132" i="79"/>
  <c r="BE420" i="79"/>
  <c r="BE421" i="79" s="1"/>
  <c r="BE452" i="79" s="1"/>
  <c r="CB129" i="79"/>
  <c r="CC129" i="79"/>
  <c r="AW129" i="79"/>
  <c r="AV129" i="79"/>
  <c r="EF126" i="79"/>
  <c r="EG126" i="79"/>
  <c r="EW129" i="80"/>
  <c r="EV129" i="80"/>
  <c r="CR126" i="80"/>
  <c r="CS126" i="80"/>
  <c r="Y126" i="80"/>
  <c r="X126" i="80"/>
  <c r="AH97" i="80"/>
  <c r="AH100" i="80" s="1"/>
  <c r="BN97" i="80"/>
  <c r="BN100" i="80" s="1"/>
  <c r="BM100" i="80"/>
  <c r="DP129" i="80"/>
  <c r="DQ129" i="80"/>
  <c r="S50" i="35"/>
  <c r="DI421" i="79"/>
  <c r="DI452" i="79" s="1"/>
  <c r="DH129" i="79"/>
  <c r="DI129" i="79"/>
  <c r="CD155" i="79"/>
  <c r="DB154" i="79"/>
  <c r="EW126" i="79"/>
  <c r="EV126" i="79"/>
  <c r="P129" i="80"/>
  <c r="Q129" i="80"/>
  <c r="EF126" i="80"/>
  <c r="EG126" i="80"/>
  <c r="BE126" i="80"/>
  <c r="BD126" i="80"/>
  <c r="EH154" i="79"/>
  <c r="FF97" i="79"/>
  <c r="FF100" i="79" s="1"/>
  <c r="FD100" i="79"/>
  <c r="CD97" i="79"/>
  <c r="CD100" i="79" s="1"/>
  <c r="CC100" i="79"/>
  <c r="CJ126" i="80"/>
  <c r="CK126" i="80"/>
  <c r="AX97" i="80"/>
  <c r="AX100" i="80" s="1"/>
  <c r="AW100" i="80"/>
  <c r="CJ129" i="79"/>
  <c r="CK129" i="79"/>
  <c r="CS126" i="79"/>
  <c r="CR126" i="79"/>
  <c r="AN129" i="80"/>
  <c r="AO129" i="80"/>
  <c r="CR129" i="80"/>
  <c r="CS129" i="80"/>
  <c r="FD126" i="80"/>
  <c r="FE126" i="80"/>
  <c r="FM126" i="80"/>
  <c r="FL126" i="80"/>
  <c r="EX97" i="80"/>
  <c r="EX100" i="80" s="1"/>
  <c r="EV100" i="80"/>
  <c r="EH97" i="80"/>
  <c r="EH100" i="80" s="1"/>
  <c r="EF100" i="80"/>
  <c r="Q29" i="35"/>
  <c r="S29" i="35" s="1"/>
  <c r="Q36" i="35"/>
  <c r="Q69" i="35"/>
  <c r="CL97" i="80"/>
  <c r="CL100" i="80" s="1"/>
  <c r="EW129" i="79"/>
  <c r="EV129" i="79"/>
  <c r="DJ155" i="79"/>
  <c r="AX154" i="79"/>
  <c r="X126" i="79"/>
  <c r="Y126" i="79"/>
  <c r="BT129" i="80"/>
  <c r="BU129" i="80"/>
  <c r="EF129" i="80"/>
  <c r="EG129" i="80"/>
  <c r="AF126" i="80"/>
  <c r="AG126" i="80"/>
  <c r="AH132" i="80"/>
  <c r="AH154" i="79"/>
  <c r="DR97" i="80"/>
  <c r="DR100" i="80" s="1"/>
  <c r="Z107" i="79"/>
  <c r="FN97" i="80"/>
  <c r="FN100" i="80" s="1"/>
  <c r="Q26" i="35"/>
  <c r="BT129" i="79"/>
  <c r="BU129" i="79"/>
  <c r="CZ126" i="79"/>
  <c r="DA126" i="79"/>
  <c r="DX129" i="80"/>
  <c r="DY129" i="80"/>
  <c r="DH129" i="80"/>
  <c r="DI129" i="80"/>
  <c r="DQ126" i="80"/>
  <c r="DP126" i="80"/>
  <c r="BF97" i="80"/>
  <c r="BF100" i="80" s="1"/>
  <c r="BD100" i="80"/>
  <c r="R97" i="79"/>
  <c r="R100" i="79" s="1"/>
  <c r="Q100" i="79"/>
  <c r="FE129" i="79"/>
  <c r="FD129" i="79"/>
  <c r="Q25" i="35"/>
  <c r="AO129" i="79"/>
  <c r="AN129" i="79"/>
  <c r="BD126" i="79"/>
  <c r="BE126" i="79"/>
  <c r="X129" i="80"/>
  <c r="Y129" i="80"/>
  <c r="EN129" i="80"/>
  <c r="EO129" i="80"/>
  <c r="BL126" i="80"/>
  <c r="BM126" i="80"/>
  <c r="AV126" i="79"/>
  <c r="AW126" i="79"/>
  <c r="DY126" i="80"/>
  <c r="DX126" i="80"/>
  <c r="Q85" i="35"/>
  <c r="CL155" i="79"/>
  <c r="P129" i="79"/>
  <c r="Q129" i="79"/>
  <c r="BF97" i="79"/>
  <c r="BF100" i="79" s="1"/>
  <c r="CK126" i="79"/>
  <c r="CJ126" i="79"/>
  <c r="CJ129" i="80"/>
  <c r="CK129" i="80"/>
  <c r="CL154" i="79"/>
  <c r="BU126" i="80"/>
  <c r="BT126" i="80"/>
  <c r="BN155" i="79"/>
  <c r="CL97" i="79"/>
  <c r="CL100" i="79" s="1"/>
  <c r="FN97" i="79"/>
  <c r="FN100" i="79" s="1"/>
  <c r="R107" i="80"/>
  <c r="DB132" i="80"/>
  <c r="DB155" i="79"/>
  <c r="DB97" i="80"/>
  <c r="DB100" i="80" s="1"/>
  <c r="DR97" i="79"/>
  <c r="DR100" i="79" s="1"/>
  <c r="R34" i="35"/>
  <c r="R29" i="35"/>
  <c r="R30" i="35"/>
  <c r="R19" i="35"/>
  <c r="R21" i="35" s="1"/>
  <c r="R22" i="35" s="1"/>
  <c r="AA38" i="177" s="1"/>
  <c r="R31" i="35"/>
  <c r="R71" i="35"/>
  <c r="AG421" i="79"/>
  <c r="AG452" i="79" s="1"/>
  <c r="AW420" i="79"/>
  <c r="AW421" i="79" s="1"/>
  <c r="AW452" i="79" s="1"/>
  <c r="DJ402" i="80"/>
  <c r="CS421" i="79"/>
  <c r="CS452" i="79" s="1"/>
  <c r="EP26" i="80"/>
  <c r="CJ402" i="79"/>
  <c r="CJ405" i="79" s="1"/>
  <c r="CJ409" i="79" s="1"/>
  <c r="AV402" i="80"/>
  <c r="AV405" i="80" s="1"/>
  <c r="AV409" i="80" s="1"/>
  <c r="CL403" i="79"/>
  <c r="CL424" i="79" s="1"/>
  <c r="FN418" i="80"/>
  <c r="AN402" i="79"/>
  <c r="AN405" i="79" s="1"/>
  <c r="AN409" i="79" s="1"/>
  <c r="Q71" i="35"/>
  <c r="S30" i="82"/>
  <c r="CL402" i="80"/>
  <c r="CL405" i="80" s="1"/>
  <c r="CL406" i="80" s="1"/>
  <c r="CL450" i="80" s="1"/>
  <c r="EH424" i="80"/>
  <c r="EN402" i="80"/>
  <c r="EN405" i="80" s="1"/>
  <c r="EN409" i="80" s="1"/>
  <c r="FD402" i="80"/>
  <c r="FD405" i="80" s="1"/>
  <c r="FD409" i="80" s="1"/>
  <c r="S49" i="35"/>
  <c r="BN418" i="79"/>
  <c r="EN402" i="79"/>
  <c r="EN405" i="79" s="1"/>
  <c r="EN409" i="79" s="1"/>
  <c r="EW420" i="79"/>
  <c r="EW421" i="79" s="1"/>
  <c r="EW452" i="79" s="1"/>
  <c r="BL430" i="79"/>
  <c r="EH418" i="79"/>
  <c r="AX424" i="80"/>
  <c r="R4" i="35"/>
  <c r="Q35" i="35" s="1"/>
  <c r="EX402" i="79"/>
  <c r="BN424" i="80"/>
  <c r="BF424" i="80"/>
  <c r="BE418" i="80"/>
  <c r="DX402" i="80"/>
  <c r="DX405" i="80" s="1"/>
  <c r="DX409" i="80" s="1"/>
  <c r="BN402" i="80"/>
  <c r="BN405" i="80" s="1"/>
  <c r="BN409" i="80" s="1"/>
  <c r="DJ402" i="79"/>
  <c r="Z418" i="80"/>
  <c r="BV26" i="80"/>
  <c r="AH26" i="80"/>
  <c r="CT403" i="79"/>
  <c r="CT424" i="79" s="1"/>
  <c r="EH26" i="80"/>
  <c r="EF402" i="80"/>
  <c r="EF405" i="80" s="1"/>
  <c r="EF409" i="80" s="1"/>
  <c r="CZ402" i="80"/>
  <c r="CZ405" i="80" s="1"/>
  <c r="CZ409" i="80" s="1"/>
  <c r="AV402" i="79"/>
  <c r="AV405" i="79" s="1"/>
  <c r="AV406" i="79" s="1"/>
  <c r="EX26" i="80"/>
  <c r="BV402" i="79"/>
  <c r="FF26" i="79"/>
  <c r="FN403" i="79"/>
  <c r="FN424" i="79" s="1"/>
  <c r="EV402" i="79"/>
  <c r="EV405" i="79" s="1"/>
  <c r="EV409" i="79" s="1"/>
  <c r="CZ402" i="79"/>
  <c r="CZ405" i="79" s="1"/>
  <c r="CZ409" i="79" s="1"/>
  <c r="EH402" i="79"/>
  <c r="EH405" i="79" s="1"/>
  <c r="EH409" i="79" s="1"/>
  <c r="AX26" i="79"/>
  <c r="DH402" i="80"/>
  <c r="DH405" i="80" s="1"/>
  <c r="DH406" i="80" s="1"/>
  <c r="AP402" i="80"/>
  <c r="CL418" i="80"/>
  <c r="DP402" i="80"/>
  <c r="DP405" i="80" s="1"/>
  <c r="DP409" i="80" s="1"/>
  <c r="BD402" i="79"/>
  <c r="BD405" i="79" s="1"/>
  <c r="BD409" i="79" s="1"/>
  <c r="X402" i="80"/>
  <c r="X405" i="80" s="1"/>
  <c r="X409" i="80" s="1"/>
  <c r="DR402" i="79"/>
  <c r="DR405" i="79" s="1"/>
  <c r="CD402" i="79"/>
  <c r="FL402" i="80"/>
  <c r="FL405" i="80" s="1"/>
  <c r="FL409" i="80" s="1"/>
  <c r="FD402" i="79"/>
  <c r="FD405" i="79" s="1"/>
  <c r="FD409" i="79" s="1"/>
  <c r="DH402" i="79"/>
  <c r="DH405" i="79" s="1"/>
  <c r="DH409" i="79" s="1"/>
  <c r="CT26" i="80"/>
  <c r="FF418" i="79"/>
  <c r="DB418" i="79"/>
  <c r="DB420" i="79" s="1"/>
  <c r="DB421" i="79" s="1"/>
  <c r="DB452" i="79" s="1"/>
  <c r="BV424" i="80"/>
  <c r="EV402" i="80"/>
  <c r="EV405" i="80" s="1"/>
  <c r="EV406" i="80" s="1"/>
  <c r="BL420" i="79"/>
  <c r="BL421" i="79" s="1"/>
  <c r="BL452" i="79" s="1"/>
  <c r="CB402" i="80"/>
  <c r="CB405" i="80" s="1"/>
  <c r="CB409" i="80" s="1"/>
  <c r="AH402" i="79"/>
  <c r="P402" i="80"/>
  <c r="P405" i="80" s="1"/>
  <c r="P409" i="80" s="1"/>
  <c r="BL402" i="80"/>
  <c r="BL405" i="80" s="1"/>
  <c r="BL409" i="80" s="1"/>
  <c r="FM420" i="79"/>
  <c r="FM421" i="79" s="1"/>
  <c r="FM452" i="79" s="1"/>
  <c r="BT402" i="80"/>
  <c r="BT405" i="80" s="1"/>
  <c r="BT409" i="80" s="1"/>
  <c r="AF402" i="80"/>
  <c r="AF405" i="80" s="1"/>
  <c r="AF409" i="80" s="1"/>
  <c r="CT26" i="79"/>
  <c r="CR402" i="79"/>
  <c r="CR405" i="79" s="1"/>
  <c r="CR409" i="79" s="1"/>
  <c r="R402" i="80"/>
  <c r="Z26" i="79"/>
  <c r="AX402" i="80"/>
  <c r="DA420" i="79"/>
  <c r="DA421" i="79" s="1"/>
  <c r="DA452" i="79" s="1"/>
  <c r="BL402" i="79"/>
  <c r="BL405" i="79" s="1"/>
  <c r="BL409" i="79" s="1"/>
  <c r="AF402" i="79"/>
  <c r="AF405" i="79" s="1"/>
  <c r="AF406" i="79" s="1"/>
  <c r="BD402" i="80"/>
  <c r="BD405" i="80" s="1"/>
  <c r="BD409" i="80" s="1"/>
  <c r="CR402" i="80"/>
  <c r="CR405" i="80" s="1"/>
  <c r="CR409" i="80" s="1"/>
  <c r="X402" i="79"/>
  <c r="X405" i="79" s="1"/>
  <c r="X409" i="79" s="1"/>
  <c r="AP402" i="79"/>
  <c r="CD424" i="80"/>
  <c r="DB26" i="79"/>
  <c r="AN402" i="80"/>
  <c r="AN405" i="80" s="1"/>
  <c r="AN409" i="80" s="1"/>
  <c r="CB402" i="79"/>
  <c r="CB405" i="79" s="1"/>
  <c r="CB409" i="79" s="1"/>
  <c r="DP402" i="79"/>
  <c r="DP405" i="79" s="1"/>
  <c r="DP409" i="79" s="1"/>
  <c r="EP26" i="79"/>
  <c r="FF26" i="80"/>
  <c r="DZ26" i="80"/>
  <c r="CB430" i="79"/>
  <c r="BF402" i="79"/>
  <c r="BF405" i="79" s="1"/>
  <c r="BF409" i="79" s="1"/>
  <c r="EH34" i="79"/>
  <c r="EH419" i="79"/>
  <c r="EV420" i="79"/>
  <c r="EV421" i="79" s="1"/>
  <c r="EV452" i="79" s="1"/>
  <c r="AV420" i="79"/>
  <c r="AV421" i="79" s="1"/>
  <c r="AV452" i="79" s="1"/>
  <c r="DX420" i="79"/>
  <c r="DX421" i="79" s="1"/>
  <c r="DX452" i="79" s="1"/>
  <c r="H406" i="79"/>
  <c r="H450" i="79" s="1"/>
  <c r="AX404" i="80"/>
  <c r="CJ420" i="79"/>
  <c r="CJ421" i="79" s="1"/>
  <c r="CJ452" i="79" s="1"/>
  <c r="EP419" i="79"/>
  <c r="EP420" i="79" s="1"/>
  <c r="EP421" i="79" s="1"/>
  <c r="EP452" i="79" s="1"/>
  <c r="AH26" i="79"/>
  <c r="EN430" i="79"/>
  <c r="EF430" i="79"/>
  <c r="FD430" i="79"/>
  <c r="DX430" i="79"/>
  <c r="EN420" i="79"/>
  <c r="EN421" i="79" s="1"/>
  <c r="EN452" i="79" s="1"/>
  <c r="CB420" i="79"/>
  <c r="CB421" i="79" s="1"/>
  <c r="CB452" i="79" s="1"/>
  <c r="BT420" i="79"/>
  <c r="BT421" i="79" s="1"/>
  <c r="BT452" i="79" s="1"/>
  <c r="E50" i="82"/>
  <c r="E85" i="82" s="1"/>
  <c r="E19" i="82" s="1"/>
  <c r="E21" i="82" s="1"/>
  <c r="E22" i="82" s="1"/>
  <c r="E84" i="82" s="1"/>
  <c r="EV430" i="79"/>
  <c r="FN34" i="79"/>
  <c r="BU405" i="79"/>
  <c r="BU409" i="79" s="1"/>
  <c r="DZ420" i="79"/>
  <c r="DZ421" i="79" s="1"/>
  <c r="DZ452" i="79" s="1"/>
  <c r="G421" i="79"/>
  <c r="I406" i="80"/>
  <c r="I450" i="80" s="1"/>
  <c r="DR34" i="79"/>
  <c r="I149" i="80"/>
  <c r="I406" i="79"/>
  <c r="I450" i="79" s="1"/>
  <c r="BN26" i="80"/>
  <c r="EO405" i="79"/>
  <c r="EO409" i="79" s="1"/>
  <c r="FD420" i="79"/>
  <c r="FD421" i="79" s="1"/>
  <c r="FD452" i="79" s="1"/>
  <c r="DA405" i="79"/>
  <c r="DA409" i="79" s="1"/>
  <c r="J406" i="80"/>
  <c r="J450" i="80" s="1"/>
  <c r="CT398" i="80"/>
  <c r="CT402" i="80" s="1"/>
  <c r="CT405" i="80" s="1"/>
  <c r="CT409" i="80" s="1"/>
  <c r="DI405" i="80"/>
  <c r="DI409" i="80" s="1"/>
  <c r="I149" i="85"/>
  <c r="K87" i="90" s="1"/>
  <c r="P420" i="79"/>
  <c r="P421" i="79" s="1"/>
  <c r="P452" i="79" s="1"/>
  <c r="DH430" i="79"/>
  <c r="BV34" i="80"/>
  <c r="CZ430" i="79"/>
  <c r="CL34" i="79"/>
  <c r="H406" i="80"/>
  <c r="CL404" i="79"/>
  <c r="CL425" i="79" s="1"/>
  <c r="CK405" i="80"/>
  <c r="CK409" i="80" s="1"/>
  <c r="AP26" i="79"/>
  <c r="AG405" i="80"/>
  <c r="AG409" i="80" s="1"/>
  <c r="Q405" i="80"/>
  <c r="Q409" i="80" s="1"/>
  <c r="DR419" i="79"/>
  <c r="DR420" i="79" s="1"/>
  <c r="DR421" i="79" s="1"/>
  <c r="DR452" i="79" s="1"/>
  <c r="CR430" i="79"/>
  <c r="AX398" i="79"/>
  <c r="AX402" i="79" s="1"/>
  <c r="EG405" i="80"/>
  <c r="EG409" i="80" s="1"/>
  <c r="AV430" i="79"/>
  <c r="CR420" i="79"/>
  <c r="CR421" i="79" s="1"/>
  <c r="CR452" i="79" s="1"/>
  <c r="EP398" i="79"/>
  <c r="EP402" i="79" s="1"/>
  <c r="AN430" i="79"/>
  <c r="X430" i="79"/>
  <c r="CD420" i="79"/>
  <c r="CD421" i="79" s="1"/>
  <c r="CD452" i="79" s="1"/>
  <c r="EF420" i="79"/>
  <c r="EF421" i="79" s="1"/>
  <c r="EF452" i="79" s="1"/>
  <c r="DR34" i="80"/>
  <c r="CL26" i="80"/>
  <c r="CJ430" i="79"/>
  <c r="DQ420" i="79"/>
  <c r="DQ421" i="79" s="1"/>
  <c r="DQ452" i="79" s="1"/>
  <c r="BM405" i="80"/>
  <c r="BM406" i="80" s="1"/>
  <c r="BM450" i="80" s="1"/>
  <c r="BM48" i="80" s="1"/>
  <c r="BM393" i="80" s="1"/>
  <c r="AF420" i="79"/>
  <c r="AF421" i="79" s="1"/>
  <c r="AF452" i="79" s="1"/>
  <c r="DY405" i="80"/>
  <c r="DY409" i="80" s="1"/>
  <c r="BE405" i="80"/>
  <c r="BE409" i="80" s="1"/>
  <c r="DH420" i="79"/>
  <c r="DH421" i="79" s="1"/>
  <c r="DH452" i="79" s="1"/>
  <c r="FL420" i="79"/>
  <c r="FL421" i="79" s="1"/>
  <c r="FL452" i="79" s="1"/>
  <c r="Y405" i="80"/>
  <c r="Y409" i="80" s="1"/>
  <c r="BE405" i="79"/>
  <c r="BE409" i="79" s="1"/>
  <c r="EO405" i="80"/>
  <c r="EO409" i="80" s="1"/>
  <c r="CK405" i="79"/>
  <c r="CK409" i="79" s="1"/>
  <c r="CZ420" i="79"/>
  <c r="CZ421" i="79" s="1"/>
  <c r="CZ452" i="79" s="1"/>
  <c r="BD420" i="79"/>
  <c r="BD421" i="79" s="1"/>
  <c r="BD452" i="79" s="1"/>
  <c r="AH420" i="79"/>
  <c r="AH421" i="79" s="1"/>
  <c r="AH452" i="79" s="1"/>
  <c r="BT430" i="79"/>
  <c r="R26" i="80"/>
  <c r="P430" i="79"/>
  <c r="EW405" i="80"/>
  <c r="EW409" i="80" s="1"/>
  <c r="AX420" i="79"/>
  <c r="AX421" i="79" s="1"/>
  <c r="AX452" i="79" s="1"/>
  <c r="BF26" i="79"/>
  <c r="CT420" i="79"/>
  <c r="CT421" i="79" s="1"/>
  <c r="CT452" i="79" s="1"/>
  <c r="BM420" i="79"/>
  <c r="BM421" i="79" s="1"/>
  <c r="BM452" i="79" s="1"/>
  <c r="FE405" i="79"/>
  <c r="FE409" i="79" s="1"/>
  <c r="CC405" i="79"/>
  <c r="CC406" i="79" s="1"/>
  <c r="CC450" i="79" s="1"/>
  <c r="CC48" i="79" s="1"/>
  <c r="CC393" i="79" s="1"/>
  <c r="DX405" i="79"/>
  <c r="DX406" i="79" s="1"/>
  <c r="BV398" i="80"/>
  <c r="BV402" i="80" s="1"/>
  <c r="BV405" i="80" s="1"/>
  <c r="FN419" i="79"/>
  <c r="FN420" i="79" s="1"/>
  <c r="FN421" i="79" s="1"/>
  <c r="FN452" i="79" s="1"/>
  <c r="EP404" i="79"/>
  <c r="EP425" i="79" s="1"/>
  <c r="EX419" i="79"/>
  <c r="EX420" i="79" s="1"/>
  <c r="EX421" i="79" s="1"/>
  <c r="EX452" i="79" s="1"/>
  <c r="CL34" i="80"/>
  <c r="FL430" i="79"/>
  <c r="X420" i="79"/>
  <c r="X421" i="79" s="1"/>
  <c r="X452" i="79" s="1"/>
  <c r="FF34" i="79"/>
  <c r="AN420" i="79"/>
  <c r="AN421" i="79" s="1"/>
  <c r="AN452" i="79" s="1"/>
  <c r="FF419" i="79"/>
  <c r="FL405" i="79"/>
  <c r="FL409" i="79" s="1"/>
  <c r="AH34" i="79"/>
  <c r="AX34" i="79"/>
  <c r="AO405" i="79"/>
  <c r="AO409" i="79" s="1"/>
  <c r="CL420" i="79"/>
  <c r="CL421" i="79" s="1"/>
  <c r="CL452" i="79" s="1"/>
  <c r="AH404" i="79"/>
  <c r="AH425" i="79" s="1"/>
  <c r="AX404" i="79"/>
  <c r="AX425" i="79" s="1"/>
  <c r="BD430" i="79"/>
  <c r="DB34" i="79"/>
  <c r="AG405" i="79"/>
  <c r="AG409" i="79" s="1"/>
  <c r="BT405" i="79"/>
  <c r="BT409" i="79" s="1"/>
  <c r="E50" i="35"/>
  <c r="AF430" i="79"/>
  <c r="BN34" i="79"/>
  <c r="DB404" i="79"/>
  <c r="DB425" i="79" s="1"/>
  <c r="AP420" i="79"/>
  <c r="AP421" i="79" s="1"/>
  <c r="AP452" i="79" s="1"/>
  <c r="BN419" i="79"/>
  <c r="S36" i="82"/>
  <c r="CS405" i="80"/>
  <c r="CS409" i="80" s="1"/>
  <c r="DJ404" i="80"/>
  <c r="DJ405" i="80" s="1"/>
  <c r="EX26" i="79"/>
  <c r="EH26" i="79"/>
  <c r="S33" i="82"/>
  <c r="DQ405" i="80"/>
  <c r="DQ409" i="80" s="1"/>
  <c r="DJ26" i="80"/>
  <c r="FF398" i="80"/>
  <c r="FF402" i="80" s="1"/>
  <c r="FE405" i="80"/>
  <c r="FE406" i="80" s="1"/>
  <c r="FE450" i="80" s="1"/>
  <c r="S72" i="82"/>
  <c r="AW405" i="80"/>
  <c r="AW409" i="80" s="1"/>
  <c r="BU405" i="80"/>
  <c r="BU409" i="80" s="1"/>
  <c r="DR26" i="79"/>
  <c r="CT398" i="79"/>
  <c r="CT402" i="79" s="1"/>
  <c r="BV404" i="79"/>
  <c r="BV425" i="79" s="1"/>
  <c r="BM405" i="79"/>
  <c r="BM409" i="79" s="1"/>
  <c r="BV419" i="79"/>
  <c r="BV420" i="79" s="1"/>
  <c r="BV421" i="79" s="1"/>
  <c r="BV452" i="79" s="1"/>
  <c r="AP26" i="80"/>
  <c r="EF405" i="79"/>
  <c r="EF409" i="79" s="1"/>
  <c r="J406" i="79"/>
  <c r="J450" i="79" s="1"/>
  <c r="FN34" i="80"/>
  <c r="DB34" i="80"/>
  <c r="AW405" i="79"/>
  <c r="AW409" i="79" s="1"/>
  <c r="CC405" i="80"/>
  <c r="CC406" i="80" s="1"/>
  <c r="CC450" i="80" s="1"/>
  <c r="DZ398" i="80"/>
  <c r="DZ402" i="80" s="1"/>
  <c r="BF34" i="79"/>
  <c r="CT34" i="79"/>
  <c r="EX404" i="79"/>
  <c r="EX425" i="79" s="1"/>
  <c r="FM405" i="79"/>
  <c r="FM406" i="79" s="1"/>
  <c r="FM450" i="79" s="1"/>
  <c r="FM48" i="79" s="1"/>
  <c r="FM393" i="79" s="1"/>
  <c r="BF419" i="79"/>
  <c r="BF420" i="79" s="1"/>
  <c r="BF421" i="79" s="1"/>
  <c r="BF452" i="79" s="1"/>
  <c r="CT404" i="79"/>
  <c r="CT425" i="79" s="1"/>
  <c r="AP404" i="80"/>
  <c r="DI405" i="79"/>
  <c r="DI409" i="79" s="1"/>
  <c r="AH398" i="80"/>
  <c r="AH402" i="80" s="1"/>
  <c r="EP398" i="80"/>
  <c r="EP402" i="80" s="1"/>
  <c r="DZ404" i="79"/>
  <c r="DZ425" i="79" s="1"/>
  <c r="Y405" i="79"/>
  <c r="Y406" i="79" s="1"/>
  <c r="Y450" i="79" s="1"/>
  <c r="Q405" i="79"/>
  <c r="Q406" i="79" s="1"/>
  <c r="Q450" i="79" s="1"/>
  <c r="AH404" i="80"/>
  <c r="AH419" i="80" s="1"/>
  <c r="AH420" i="80" s="1"/>
  <c r="AH421" i="80" s="1"/>
  <c r="AH452" i="80" s="1"/>
  <c r="BN34" i="80"/>
  <c r="CS405" i="79"/>
  <c r="CS406" i="79" s="1"/>
  <c r="CS450" i="79" s="1"/>
  <c r="Z34" i="80"/>
  <c r="S85" i="82"/>
  <c r="S72" i="35"/>
  <c r="S30" i="35"/>
  <c r="AP34" i="79"/>
  <c r="AP404" i="79"/>
  <c r="AP425" i="79" s="1"/>
  <c r="CT34" i="80"/>
  <c r="CJ405" i="80"/>
  <c r="CJ409" i="80" s="1"/>
  <c r="DZ34" i="79"/>
  <c r="EX404" i="80"/>
  <c r="EX425" i="80" s="1"/>
  <c r="DA405" i="80"/>
  <c r="DA409" i="80" s="1"/>
  <c r="DQ405" i="79"/>
  <c r="DQ409" i="79" s="1"/>
  <c r="EW405" i="79"/>
  <c r="EW409" i="79" s="1"/>
  <c r="CD34" i="79"/>
  <c r="CD404" i="79"/>
  <c r="CD425" i="79" s="1"/>
  <c r="FF398" i="79"/>
  <c r="FF402" i="79" s="1"/>
  <c r="FF405" i="79" s="1"/>
  <c r="FF409" i="79" s="1"/>
  <c r="BV26" i="79"/>
  <c r="EG405" i="79"/>
  <c r="EG409" i="79" s="1"/>
  <c r="DY405" i="79"/>
  <c r="DY409" i="79" s="1"/>
  <c r="Z398" i="79"/>
  <c r="Z402" i="79" s="1"/>
  <c r="AX26" i="80"/>
  <c r="P405" i="79"/>
  <c r="P409" i="79" s="1"/>
  <c r="G53" i="82"/>
  <c r="G50" i="82"/>
  <c r="G85" i="82" s="1"/>
  <c r="G19" i="82" s="1"/>
  <c r="G21" i="82" s="1"/>
  <c r="G22" i="82" s="1"/>
  <c r="G84" i="82" s="1"/>
  <c r="AO405" i="80"/>
  <c r="AO409" i="80" s="1"/>
  <c r="FM405" i="80"/>
  <c r="FM409" i="80" s="1"/>
  <c r="S34" i="35"/>
  <c r="EX398" i="80"/>
  <c r="EX402" i="80" s="1"/>
  <c r="DQ419" i="80"/>
  <c r="DQ420" i="80" s="1"/>
  <c r="DQ421" i="80" s="1"/>
  <c r="DQ452" i="80" s="1"/>
  <c r="DQ425" i="80"/>
  <c r="CK419" i="80"/>
  <c r="CK420" i="80" s="1"/>
  <c r="CK421" i="80" s="1"/>
  <c r="CK452" i="80" s="1"/>
  <c r="CK425" i="80"/>
  <c r="AN419" i="80"/>
  <c r="AN420" i="80" s="1"/>
  <c r="AN421" i="80" s="1"/>
  <c r="AN425" i="80"/>
  <c r="AN430" i="80" s="1"/>
  <c r="CR425" i="80"/>
  <c r="CR430" i="80" s="1"/>
  <c r="CR419" i="80"/>
  <c r="CR420" i="80" s="1"/>
  <c r="CR421" i="80" s="1"/>
  <c r="EO419" i="80"/>
  <c r="EO420" i="80" s="1"/>
  <c r="EO421" i="80" s="1"/>
  <c r="EO452" i="80" s="1"/>
  <c r="EO425" i="80"/>
  <c r="F28" i="82"/>
  <c r="I40" i="79"/>
  <c r="I385" i="79" s="1"/>
  <c r="I40" i="80"/>
  <c r="I385" i="80" s="1"/>
  <c r="I40" i="85"/>
  <c r="K14" i="90" s="1"/>
  <c r="F28" i="35"/>
  <c r="EW419" i="80"/>
  <c r="EW420" i="80" s="1"/>
  <c r="EW421" i="80" s="1"/>
  <c r="EW452" i="80" s="1"/>
  <c r="EW425" i="80"/>
  <c r="FM419" i="80"/>
  <c r="FM420" i="80" s="1"/>
  <c r="FM421" i="80" s="1"/>
  <c r="FM452" i="80" s="1"/>
  <c r="FM425" i="80"/>
  <c r="R404" i="80"/>
  <c r="R34" i="80"/>
  <c r="CL425" i="80"/>
  <c r="CL419" i="80"/>
  <c r="G53" i="35"/>
  <c r="Y425" i="80"/>
  <c r="Y419" i="80"/>
  <c r="Y420" i="80" s="1"/>
  <c r="Y421" i="80" s="1"/>
  <c r="Y452" i="80" s="1"/>
  <c r="F53" i="35"/>
  <c r="FN419" i="80"/>
  <c r="FN425" i="80"/>
  <c r="BF404" i="80"/>
  <c r="BF34" i="80"/>
  <c r="AO419" i="80"/>
  <c r="AO420" i="80" s="1"/>
  <c r="AO421" i="80" s="1"/>
  <c r="AO452" i="80" s="1"/>
  <c r="AO425" i="80"/>
  <c r="CZ419" i="80"/>
  <c r="CZ420" i="80" s="1"/>
  <c r="CZ421" i="80" s="1"/>
  <c r="CZ425" i="80"/>
  <c r="CZ430" i="80" s="1"/>
  <c r="DJ419" i="79"/>
  <c r="DJ420" i="79" s="1"/>
  <c r="DJ421" i="79" s="1"/>
  <c r="DJ452" i="79" s="1"/>
  <c r="DJ34" i="79"/>
  <c r="DJ404" i="79"/>
  <c r="DJ425" i="79" s="1"/>
  <c r="I44" i="79"/>
  <c r="I389" i="79" s="1"/>
  <c r="F32" i="35"/>
  <c r="F32" i="82"/>
  <c r="I44" i="85"/>
  <c r="K18" i="90" s="1"/>
  <c r="I44" i="80"/>
  <c r="I389" i="80" s="1"/>
  <c r="DX419" i="80"/>
  <c r="DX420" i="80" s="1"/>
  <c r="DX421" i="80" s="1"/>
  <c r="DX425" i="80"/>
  <c r="DX430" i="80" s="1"/>
  <c r="BD419" i="80"/>
  <c r="BD420" i="80" s="1"/>
  <c r="BD421" i="80" s="1"/>
  <c r="BD425" i="80"/>
  <c r="BD430" i="80" s="1"/>
  <c r="BN425" i="80"/>
  <c r="BN419" i="80"/>
  <c r="BN420" i="80" s="1"/>
  <c r="BN421" i="80" s="1"/>
  <c r="BN452" i="80" s="1"/>
  <c r="S31" i="82"/>
  <c r="DJ26" i="79"/>
  <c r="EP404" i="80"/>
  <c r="EP34" i="80"/>
  <c r="CJ419" i="80"/>
  <c r="CJ420" i="80" s="1"/>
  <c r="CJ421" i="80" s="1"/>
  <c r="CJ425" i="80"/>
  <c r="CJ430" i="80" s="1"/>
  <c r="P425" i="80"/>
  <c r="P430" i="80" s="1"/>
  <c r="P419" i="80"/>
  <c r="P420" i="80" s="1"/>
  <c r="P421" i="80" s="1"/>
  <c r="H452" i="80"/>
  <c r="G421" i="80"/>
  <c r="X419" i="80"/>
  <c r="X420" i="80" s="1"/>
  <c r="X421" i="80" s="1"/>
  <c r="X425" i="80"/>
  <c r="X430" i="80" s="1"/>
  <c r="BU425" i="80"/>
  <c r="BU419" i="80"/>
  <c r="BU420" i="80" s="1"/>
  <c r="BU421" i="80" s="1"/>
  <c r="BU452" i="80" s="1"/>
  <c r="AF425" i="80"/>
  <c r="AF430" i="80" s="1"/>
  <c r="AF419" i="80"/>
  <c r="AF420" i="80" s="1"/>
  <c r="AF421" i="80" s="1"/>
  <c r="EN419" i="80"/>
  <c r="EN420" i="80" s="1"/>
  <c r="EN421" i="80" s="1"/>
  <c r="EN425" i="80"/>
  <c r="EN430" i="80" s="1"/>
  <c r="DY419" i="80"/>
  <c r="DY420" i="80" s="1"/>
  <c r="DY421" i="80" s="1"/>
  <c r="DY452" i="80" s="1"/>
  <c r="DY425" i="80"/>
  <c r="BE425" i="80"/>
  <c r="BE419" i="80"/>
  <c r="R419" i="79"/>
  <c r="R420" i="79" s="1"/>
  <c r="R421" i="79" s="1"/>
  <c r="R452" i="79" s="1"/>
  <c r="R34" i="79"/>
  <c r="R404" i="79"/>
  <c r="R425" i="79" s="1"/>
  <c r="H40" i="80"/>
  <c r="H385" i="80" s="1"/>
  <c r="E28" i="35"/>
  <c r="H40" i="85"/>
  <c r="J14" i="90" s="1"/>
  <c r="H40" i="79"/>
  <c r="H385" i="79" s="1"/>
  <c r="E28" i="82"/>
  <c r="CB419" i="80"/>
  <c r="CB420" i="80" s="1"/>
  <c r="CB421" i="80" s="1"/>
  <c r="CB425" i="80"/>
  <c r="CB430" i="80" s="1"/>
  <c r="DP452" i="79"/>
  <c r="DH419" i="80"/>
  <c r="DH420" i="80" s="1"/>
  <c r="DH421" i="80" s="1"/>
  <c r="DH425" i="80"/>
  <c r="DH430" i="80" s="1"/>
  <c r="AG425" i="80"/>
  <c r="AG419" i="80"/>
  <c r="AG420" i="80" s="1"/>
  <c r="AG421" i="80" s="1"/>
  <c r="AG452" i="80" s="1"/>
  <c r="EG419" i="80"/>
  <c r="EG420" i="80" s="1"/>
  <c r="EG421" i="80" s="1"/>
  <c r="EG452" i="80" s="1"/>
  <c r="EG425" i="80"/>
  <c r="CT419" i="80"/>
  <c r="CT420" i="80" s="1"/>
  <c r="CT421" i="80" s="1"/>
  <c r="CT452" i="80" s="1"/>
  <c r="CT425" i="80"/>
  <c r="DR425" i="80"/>
  <c r="DR419" i="80"/>
  <c r="DR420" i="80" s="1"/>
  <c r="DR421" i="80" s="1"/>
  <c r="DR452" i="80" s="1"/>
  <c r="CC419" i="80"/>
  <c r="CC420" i="80" s="1"/>
  <c r="CC421" i="80" s="1"/>
  <c r="CC452" i="80" s="1"/>
  <c r="CC425" i="80"/>
  <c r="E32" i="35"/>
  <c r="E32" i="82"/>
  <c r="H44" i="80"/>
  <c r="H389" i="80" s="1"/>
  <c r="H44" i="85"/>
  <c r="J18" i="90" s="1"/>
  <c r="H44" i="79"/>
  <c r="H389" i="79" s="1"/>
  <c r="EH404" i="80"/>
  <c r="EH34" i="80"/>
  <c r="F53" i="82"/>
  <c r="F50" i="82"/>
  <c r="F85" i="82" s="1"/>
  <c r="F19" i="82" s="1"/>
  <c r="F21" i="82" s="1"/>
  <c r="F22" i="82" s="1"/>
  <c r="F84" i="82" s="1"/>
  <c r="CD34" i="80"/>
  <c r="CD404" i="80"/>
  <c r="DI419" i="80"/>
  <c r="DI420" i="80" s="1"/>
  <c r="DI421" i="80" s="1"/>
  <c r="DI452" i="80" s="1"/>
  <c r="DI425" i="80"/>
  <c r="BT419" i="80"/>
  <c r="BT420" i="80" s="1"/>
  <c r="BT421" i="80" s="1"/>
  <c r="BT425" i="80"/>
  <c r="BT430" i="80" s="1"/>
  <c r="CS425" i="80"/>
  <c r="CS419" i="80"/>
  <c r="CS420" i="80" s="1"/>
  <c r="CS421" i="80" s="1"/>
  <c r="CS452" i="80" s="1"/>
  <c r="Z419" i="80"/>
  <c r="Z425" i="80"/>
  <c r="H308" i="85"/>
  <c r="J172" i="90" s="1"/>
  <c r="H308" i="80"/>
  <c r="H308" i="79"/>
  <c r="S71" i="82"/>
  <c r="Z404" i="79"/>
  <c r="Z425" i="79" s="1"/>
  <c r="Z419" i="79"/>
  <c r="Z420" i="79" s="1"/>
  <c r="Z421" i="79" s="1"/>
  <c r="Z452" i="79" s="1"/>
  <c r="Z34" i="79"/>
  <c r="DP419" i="80"/>
  <c r="DP420" i="80" s="1"/>
  <c r="DP421" i="80" s="1"/>
  <c r="DP425" i="80"/>
  <c r="DP430" i="80" s="1"/>
  <c r="EV419" i="80"/>
  <c r="EV420" i="80" s="1"/>
  <c r="EV421" i="80" s="1"/>
  <c r="EV425" i="80"/>
  <c r="EV430" i="80" s="1"/>
  <c r="BL419" i="80"/>
  <c r="BL420" i="80" s="1"/>
  <c r="BL421" i="80" s="1"/>
  <c r="BL425" i="80"/>
  <c r="BL430" i="80" s="1"/>
  <c r="BV419" i="80"/>
  <c r="BV420" i="80" s="1"/>
  <c r="BV421" i="80" s="1"/>
  <c r="BV452" i="80" s="1"/>
  <c r="BV425" i="80"/>
  <c r="J149" i="85"/>
  <c r="L87" i="90" s="1"/>
  <c r="J149" i="80"/>
  <c r="J149" i="79"/>
  <c r="FE419" i="80"/>
  <c r="FE420" i="80" s="1"/>
  <c r="FE421" i="80" s="1"/>
  <c r="FE452" i="80" s="1"/>
  <c r="FE425" i="80"/>
  <c r="AV425" i="80"/>
  <c r="AV430" i="80" s="1"/>
  <c r="AV419" i="80"/>
  <c r="AV420" i="80" s="1"/>
  <c r="AV421" i="80" s="1"/>
  <c r="AW419" i="80"/>
  <c r="AW420" i="80" s="1"/>
  <c r="AW421" i="80" s="1"/>
  <c r="AW452" i="80" s="1"/>
  <c r="AW425" i="80"/>
  <c r="FL419" i="80"/>
  <c r="FL420" i="80" s="1"/>
  <c r="FL421" i="80" s="1"/>
  <c r="FL425" i="80"/>
  <c r="FL430" i="80" s="1"/>
  <c r="Q425" i="80"/>
  <c r="Q419" i="80"/>
  <c r="Q420" i="80" s="1"/>
  <c r="Q421" i="80" s="1"/>
  <c r="Q452" i="80" s="1"/>
  <c r="DB425" i="80"/>
  <c r="DB419" i="80"/>
  <c r="DB420" i="80" s="1"/>
  <c r="DB421" i="80" s="1"/>
  <c r="DB452" i="80" s="1"/>
  <c r="DZ404" i="80"/>
  <c r="DZ34" i="80"/>
  <c r="S34" i="82"/>
  <c r="FF404" i="80"/>
  <c r="FF34" i="80"/>
  <c r="DA419" i="80"/>
  <c r="DA420" i="80" s="1"/>
  <c r="DA421" i="80" s="1"/>
  <c r="DA452" i="80" s="1"/>
  <c r="DA425" i="80"/>
  <c r="BM419" i="80"/>
  <c r="BM420" i="80" s="1"/>
  <c r="BM421" i="80" s="1"/>
  <c r="BM452" i="80" s="1"/>
  <c r="BM425" i="80"/>
  <c r="I308" i="79"/>
  <c r="I308" i="85"/>
  <c r="K172" i="90" s="1"/>
  <c r="I308" i="80"/>
  <c r="EF419" i="80"/>
  <c r="EF420" i="80" s="1"/>
  <c r="EF421" i="80" s="1"/>
  <c r="EF425" i="80"/>
  <c r="EF430" i="80" s="1"/>
  <c r="FD419" i="80"/>
  <c r="FD420" i="80" s="1"/>
  <c r="FD421" i="80" s="1"/>
  <c r="FD425" i="80"/>
  <c r="FD430" i="80" s="1"/>
  <c r="CD26" i="79"/>
  <c r="EH398" i="80"/>
  <c r="EH402" i="80" s="1"/>
  <c r="BS383" i="80"/>
  <c r="BS434" i="80" s="1"/>
  <c r="EE391" i="79"/>
  <c r="EE437" i="79"/>
  <c r="CA435" i="79"/>
  <c r="CA384" i="79"/>
  <c r="DW389" i="79"/>
  <c r="DO389" i="79"/>
  <c r="DO436" i="79"/>
  <c r="DO390" i="79"/>
  <c r="W434" i="79"/>
  <c r="W383" i="79"/>
  <c r="W388" i="80"/>
  <c r="EU385" i="80"/>
  <c r="CI382" i="80"/>
  <c r="CI50" i="80"/>
  <c r="BK383" i="80"/>
  <c r="BK434" i="80" s="1"/>
  <c r="EE388" i="79"/>
  <c r="EE392" i="79"/>
  <c r="EF47" i="79"/>
  <c r="EF392" i="79" s="1"/>
  <c r="EG47" i="79"/>
  <c r="EG392" i="79" s="1"/>
  <c r="CA382" i="79"/>
  <c r="CA50" i="79"/>
  <c r="BL47" i="80"/>
  <c r="BL392" i="80" s="1"/>
  <c r="BM47" i="80"/>
  <c r="BM392" i="80" s="1"/>
  <c r="BK392" i="80"/>
  <c r="BK389" i="80"/>
  <c r="EE384" i="80"/>
  <c r="EE435" i="80" s="1"/>
  <c r="EE393" i="80"/>
  <c r="AM386" i="80"/>
  <c r="O384" i="79"/>
  <c r="O435" i="79"/>
  <c r="O389" i="79"/>
  <c r="CI382" i="79"/>
  <c r="CI50" i="79"/>
  <c r="W437" i="79"/>
  <c r="W391" i="79"/>
  <c r="W385" i="80"/>
  <c r="CQ388" i="80"/>
  <c r="EU389" i="80"/>
  <c r="EU384" i="80"/>
  <c r="EU435" i="80" s="1"/>
  <c r="Z398" i="80"/>
  <c r="Z402" i="80" s="1"/>
  <c r="Z405" i="80" s="1"/>
  <c r="Z26" i="80"/>
  <c r="BS393" i="80"/>
  <c r="CD26" i="80"/>
  <c r="CD398" i="80"/>
  <c r="CD402" i="80" s="1"/>
  <c r="EE389" i="79"/>
  <c r="EE386" i="79"/>
  <c r="CA386" i="79"/>
  <c r="BK386" i="80"/>
  <c r="BK390" i="80"/>
  <c r="BK436" i="80" s="1"/>
  <c r="DW389" i="80"/>
  <c r="DW387" i="79"/>
  <c r="DY47" i="79"/>
  <c r="DY392" i="79" s="1"/>
  <c r="DW392" i="79"/>
  <c r="DX47" i="79"/>
  <c r="DX392" i="79" s="1"/>
  <c r="DO388" i="79"/>
  <c r="DO437" i="79"/>
  <c r="DO391" i="79"/>
  <c r="EE387" i="80"/>
  <c r="EE389" i="80"/>
  <c r="AM385" i="80"/>
  <c r="O387" i="79"/>
  <c r="O382" i="79"/>
  <c r="O50" i="79"/>
  <c r="CI383" i="79"/>
  <c r="CI434" i="79"/>
  <c r="W436" i="79"/>
  <c r="W390" i="79"/>
  <c r="W389" i="80"/>
  <c r="CQ386" i="80"/>
  <c r="CQ384" i="80"/>
  <c r="CQ435" i="80" s="1"/>
  <c r="EW47" i="80"/>
  <c r="EW392" i="80" s="1"/>
  <c r="EU392" i="80"/>
  <c r="EV47" i="80"/>
  <c r="EV392" i="80" s="1"/>
  <c r="FN26" i="79"/>
  <c r="FN398" i="79"/>
  <c r="FN402" i="79" s="1"/>
  <c r="DG390" i="80"/>
  <c r="DG436" i="80" s="1"/>
  <c r="DG50" i="80"/>
  <c r="DG382" i="80"/>
  <c r="BC388" i="80"/>
  <c r="CI383" i="80"/>
  <c r="CI434" i="80" s="1"/>
  <c r="S53" i="82"/>
  <c r="BC434" i="79"/>
  <c r="BC383" i="79"/>
  <c r="BC391" i="79"/>
  <c r="BC437" i="79"/>
  <c r="EM385" i="80"/>
  <c r="EM389" i="80"/>
  <c r="CA384" i="80"/>
  <c r="CA435" i="80" s="1"/>
  <c r="CA382" i="80"/>
  <c r="CA50" i="80"/>
  <c r="EM389" i="79"/>
  <c r="EM393" i="79"/>
  <c r="BS437" i="79"/>
  <c r="BS391" i="79"/>
  <c r="BS387" i="79"/>
  <c r="EU391" i="79"/>
  <c r="EU437" i="79"/>
  <c r="O389" i="80"/>
  <c r="O392" i="80"/>
  <c r="P47" i="80"/>
  <c r="P392" i="80" s="1"/>
  <c r="Q47" i="80"/>
  <c r="Q392" i="80" s="1"/>
  <c r="CY393" i="80"/>
  <c r="CY388" i="80"/>
  <c r="CQ387" i="79"/>
  <c r="CQ386" i="79"/>
  <c r="AU437" i="79"/>
  <c r="AU391" i="79"/>
  <c r="AW47" i="79"/>
  <c r="AW392" i="79" s="1"/>
  <c r="AU392" i="79"/>
  <c r="AV47" i="79"/>
  <c r="AV392" i="79" s="1"/>
  <c r="CY392" i="79"/>
  <c r="CZ47" i="79"/>
  <c r="CZ392" i="79" s="1"/>
  <c r="DA47" i="79"/>
  <c r="DA392" i="79" s="1"/>
  <c r="DO389" i="80"/>
  <c r="S26" i="82"/>
  <c r="BK382" i="79"/>
  <c r="BK50" i="79"/>
  <c r="S53" i="35"/>
  <c r="FK386" i="79"/>
  <c r="FK387" i="79"/>
  <c r="FC385" i="80"/>
  <c r="S26" i="35"/>
  <c r="AU390" i="80"/>
  <c r="AU436" i="80" s="1"/>
  <c r="AM389" i="79"/>
  <c r="AE385" i="80"/>
  <c r="AE386" i="80"/>
  <c r="DG387" i="79"/>
  <c r="FK385" i="80"/>
  <c r="FK386" i="80"/>
  <c r="FC391" i="79"/>
  <c r="FC437" i="79"/>
  <c r="FC434" i="79"/>
  <c r="FC383" i="79"/>
  <c r="AG47" i="79"/>
  <c r="AG392" i="79" s="1"/>
  <c r="AE392" i="79"/>
  <c r="AF47" i="79"/>
  <c r="AF392" i="79" s="1"/>
  <c r="AE389" i="79"/>
  <c r="R27" i="82"/>
  <c r="R37" i="82" s="1"/>
  <c r="AA39" i="83"/>
  <c r="AA38" i="83"/>
  <c r="R84" i="82"/>
  <c r="R70" i="82"/>
  <c r="R73" i="82" s="1"/>
  <c r="R74" i="82" s="1"/>
  <c r="R83" i="82" s="1"/>
  <c r="DW388" i="80"/>
  <c r="DW382" i="79"/>
  <c r="DW50" i="79"/>
  <c r="DW390" i="79"/>
  <c r="DW436" i="79"/>
  <c r="DO382" i="79"/>
  <c r="DO50" i="79"/>
  <c r="EE383" i="80"/>
  <c r="EE434" i="80" s="1"/>
  <c r="AM389" i="80"/>
  <c r="FN398" i="80"/>
  <c r="FN402" i="80" s="1"/>
  <c r="FN405" i="80" s="1"/>
  <c r="FN26" i="80"/>
  <c r="CQ393" i="80"/>
  <c r="DG393" i="80"/>
  <c r="BC393" i="80"/>
  <c r="CI387" i="80"/>
  <c r="BC386" i="79"/>
  <c r="EM382" i="80"/>
  <c r="EM50" i="80"/>
  <c r="EM391" i="80"/>
  <c r="EM437" i="80" s="1"/>
  <c r="CA385" i="80"/>
  <c r="CA393" i="80"/>
  <c r="EM384" i="79"/>
  <c r="EM435" i="79"/>
  <c r="EM382" i="79"/>
  <c r="EM50" i="79"/>
  <c r="BS389" i="79"/>
  <c r="BS436" i="79"/>
  <c r="BS390" i="79"/>
  <c r="EU388" i="79"/>
  <c r="R70" i="35"/>
  <c r="O383" i="80"/>
  <c r="O434" i="80" s="1"/>
  <c r="CY389" i="80"/>
  <c r="CY384" i="80"/>
  <c r="CY435" i="80" s="1"/>
  <c r="CQ385" i="79"/>
  <c r="CQ383" i="79"/>
  <c r="CQ434" i="79"/>
  <c r="AU382" i="79"/>
  <c r="AU50" i="79"/>
  <c r="AU383" i="79"/>
  <c r="AU434" i="79"/>
  <c r="CY388" i="79"/>
  <c r="CY393" i="79"/>
  <c r="DO385" i="80"/>
  <c r="S19" i="82"/>
  <c r="Q21" i="82"/>
  <c r="BK388" i="79"/>
  <c r="FK50" i="79"/>
  <c r="FK382" i="79"/>
  <c r="FK384" i="79"/>
  <c r="FK435" i="79"/>
  <c r="FC390" i="80"/>
  <c r="FC436" i="80" s="1"/>
  <c r="S33" i="35"/>
  <c r="S71" i="35"/>
  <c r="AU383" i="80"/>
  <c r="AU434" i="80" s="1"/>
  <c r="AM383" i="79"/>
  <c r="AM434" i="79"/>
  <c r="AM435" i="79"/>
  <c r="AM384" i="79"/>
  <c r="AE393" i="80"/>
  <c r="AE392" i="80"/>
  <c r="AF47" i="80"/>
  <c r="AF392" i="80" s="1"/>
  <c r="AG47" i="80"/>
  <c r="AG392" i="80" s="1"/>
  <c r="DG382" i="79"/>
  <c r="DG50" i="79"/>
  <c r="FK392" i="80"/>
  <c r="FL47" i="80"/>
  <c r="FL392" i="80" s="1"/>
  <c r="FM47" i="80"/>
  <c r="FM392" i="80" s="1"/>
  <c r="FK388" i="80"/>
  <c r="FC385" i="79"/>
  <c r="FC436" i="79"/>
  <c r="FC390" i="79"/>
  <c r="AE435" i="79"/>
  <c r="AE384" i="79"/>
  <c r="EG47" i="80"/>
  <c r="EG392" i="80" s="1"/>
  <c r="EF47" i="80"/>
  <c r="EF392" i="80" s="1"/>
  <c r="EE392" i="80"/>
  <c r="AM393" i="80"/>
  <c r="O392" i="79"/>
  <c r="P47" i="79"/>
  <c r="P392" i="79" s="1"/>
  <c r="Q47" i="79"/>
  <c r="Q392" i="79" s="1"/>
  <c r="O393" i="79"/>
  <c r="CI436" i="79"/>
  <c r="CI390" i="79"/>
  <c r="W384" i="79"/>
  <c r="W435" i="79"/>
  <c r="W390" i="80"/>
  <c r="W436" i="80" s="1"/>
  <c r="CQ385" i="80"/>
  <c r="EU393" i="80"/>
  <c r="EU390" i="80"/>
  <c r="EU436" i="80" s="1"/>
  <c r="BT47" i="80"/>
  <c r="BT392" i="80" s="1"/>
  <c r="BS392" i="80"/>
  <c r="BU47" i="80"/>
  <c r="BU392" i="80" s="1"/>
  <c r="BS384" i="80"/>
  <c r="BS435" i="80" s="1"/>
  <c r="EE383" i="79"/>
  <c r="EE434" i="79"/>
  <c r="CA385" i="79"/>
  <c r="CB47" i="79"/>
  <c r="CB392" i="79" s="1"/>
  <c r="CA392" i="79"/>
  <c r="CC47" i="79"/>
  <c r="CC392" i="79" s="1"/>
  <c r="BK388" i="80"/>
  <c r="DW393" i="80"/>
  <c r="DW385" i="79"/>
  <c r="DW386" i="79"/>
  <c r="DO392" i="79"/>
  <c r="DP47" i="79"/>
  <c r="DP392" i="79" s="1"/>
  <c r="DQ47" i="79"/>
  <c r="DQ392" i="79" s="1"/>
  <c r="EE391" i="80"/>
  <c r="EE437" i="80" s="1"/>
  <c r="EE385" i="80"/>
  <c r="AM391" i="80"/>
  <c r="AM437" i="80" s="1"/>
  <c r="AM388" i="80"/>
  <c r="O388" i="79"/>
  <c r="CI393" i="79"/>
  <c r="W393" i="79"/>
  <c r="W50" i="80"/>
  <c r="W382" i="80"/>
  <c r="W391" i="80"/>
  <c r="W437" i="80" s="1"/>
  <c r="CQ389" i="80"/>
  <c r="CQ387" i="80"/>
  <c r="EU383" i="80"/>
  <c r="EU434" i="80" s="1"/>
  <c r="EU50" i="80"/>
  <c r="EU382" i="80"/>
  <c r="DI47" i="80"/>
  <c r="DI392" i="80" s="1"/>
  <c r="DG392" i="80"/>
  <c r="DH47" i="80"/>
  <c r="DH392" i="80" s="1"/>
  <c r="BC389" i="80"/>
  <c r="CI392" i="80"/>
  <c r="CJ47" i="80"/>
  <c r="CJ392" i="80" s="1"/>
  <c r="CK47" i="80"/>
  <c r="CK392" i="80" s="1"/>
  <c r="CI388" i="80"/>
  <c r="BC387" i="79"/>
  <c r="EM384" i="80"/>
  <c r="EM435" i="80" s="1"/>
  <c r="CA392" i="80"/>
  <c r="CC47" i="80"/>
  <c r="CC392" i="80" s="1"/>
  <c r="CB47" i="80"/>
  <c r="CB392" i="80" s="1"/>
  <c r="EM388" i="79"/>
  <c r="EM386" i="79"/>
  <c r="BS393" i="79"/>
  <c r="BS385" i="79"/>
  <c r="EU383" i="79"/>
  <c r="EU434" i="79"/>
  <c r="O390" i="80"/>
  <c r="O436" i="80" s="1"/>
  <c r="CY390" i="80"/>
  <c r="CY436" i="80" s="1"/>
  <c r="CY383" i="80"/>
  <c r="CY434" i="80" s="1"/>
  <c r="CQ391" i="79"/>
  <c r="CQ437" i="79"/>
  <c r="CQ393" i="79"/>
  <c r="AU435" i="79"/>
  <c r="AU384" i="79"/>
  <c r="AU385" i="79"/>
  <c r="CY389" i="79"/>
  <c r="CY385" i="79"/>
  <c r="DO386" i="80"/>
  <c r="DO393" i="80"/>
  <c r="BK434" i="79"/>
  <c r="BK383" i="79"/>
  <c r="FK436" i="79"/>
  <c r="FK390" i="79"/>
  <c r="FK385" i="79"/>
  <c r="FC384" i="80"/>
  <c r="FC435" i="80" s="1"/>
  <c r="S19" i="35"/>
  <c r="Q21" i="35"/>
  <c r="AU388" i="80"/>
  <c r="AU391" i="80"/>
  <c r="AU437" i="80" s="1"/>
  <c r="AM436" i="79"/>
  <c r="AM390" i="79"/>
  <c r="AM382" i="79"/>
  <c r="AM50" i="79"/>
  <c r="AE383" i="80"/>
  <c r="AE434" i="80" s="1"/>
  <c r="AE387" i="80"/>
  <c r="DG436" i="79"/>
  <c r="DG390" i="79"/>
  <c r="FK390" i="80"/>
  <c r="FK436" i="80" s="1"/>
  <c r="FK391" i="80"/>
  <c r="FK437" i="80" s="1"/>
  <c r="FC50" i="79"/>
  <c r="FC382" i="79"/>
  <c r="FE47" i="79"/>
  <c r="FE392" i="79" s="1"/>
  <c r="FD47" i="79"/>
  <c r="FD392" i="79" s="1"/>
  <c r="FC392" i="79"/>
  <c r="AE385" i="79"/>
  <c r="BF398" i="80"/>
  <c r="BF402" i="80" s="1"/>
  <c r="BF26" i="80"/>
  <c r="EE385" i="79"/>
  <c r="CA388" i="79"/>
  <c r="BK384" i="80"/>
  <c r="BK435" i="80" s="1"/>
  <c r="DW387" i="80"/>
  <c r="DW393" i="79"/>
  <c r="DO386" i="79"/>
  <c r="EE390" i="80"/>
  <c r="EE436" i="80" s="1"/>
  <c r="W385" i="79"/>
  <c r="W386" i="80"/>
  <c r="CQ382" i="80"/>
  <c r="CQ50" i="80"/>
  <c r="EU387" i="80"/>
  <c r="EU388" i="80"/>
  <c r="DG389" i="80"/>
  <c r="BC382" i="80"/>
  <c r="BC50" i="80"/>
  <c r="BC387" i="80"/>
  <c r="DB398" i="80"/>
  <c r="DB402" i="80" s="1"/>
  <c r="DB405" i="80" s="1"/>
  <c r="DB26" i="80"/>
  <c r="CI393" i="80"/>
  <c r="CI385" i="80"/>
  <c r="BC382" i="79"/>
  <c r="BC50" i="79"/>
  <c r="EM390" i="80"/>
  <c r="EM436" i="80" s="1"/>
  <c r="CA387" i="80"/>
  <c r="EN47" i="79"/>
  <c r="EN392" i="79" s="1"/>
  <c r="EM392" i="79"/>
  <c r="EO47" i="79"/>
  <c r="EO392" i="79" s="1"/>
  <c r="BS434" i="79"/>
  <c r="BS383" i="79"/>
  <c r="EU393" i="79"/>
  <c r="O388" i="80"/>
  <c r="CY386" i="80"/>
  <c r="CY382" i="80"/>
  <c r="CY50" i="80"/>
  <c r="CQ388" i="79"/>
  <c r="AU388" i="79"/>
  <c r="AU386" i="79"/>
  <c r="CY384" i="79"/>
  <c r="CY435" i="79"/>
  <c r="CY386" i="79"/>
  <c r="DO384" i="80"/>
  <c r="DO435" i="80" s="1"/>
  <c r="BK391" i="79"/>
  <c r="BK437" i="79"/>
  <c r="FM47" i="79"/>
  <c r="FM392" i="79" s="1"/>
  <c r="FK392" i="79"/>
  <c r="FL47" i="79"/>
  <c r="FL392" i="79" s="1"/>
  <c r="FC389" i="80"/>
  <c r="FC391" i="80"/>
  <c r="FC437" i="80" s="1"/>
  <c r="S25" i="35"/>
  <c r="AU385" i="80"/>
  <c r="AU384" i="80"/>
  <c r="AU435" i="80" s="1"/>
  <c r="AM388" i="79"/>
  <c r="AM393" i="79"/>
  <c r="AE50" i="80"/>
  <c r="AE382" i="80"/>
  <c r="DG435" i="79"/>
  <c r="DG384" i="79"/>
  <c r="DG388" i="79"/>
  <c r="FK50" i="80"/>
  <c r="FK382" i="80"/>
  <c r="FC387" i="79"/>
  <c r="AE386" i="79"/>
  <c r="EE435" i="79"/>
  <c r="EE384" i="79"/>
  <c r="BK382" i="80"/>
  <c r="BK50" i="80"/>
  <c r="CA434" i="79"/>
  <c r="CA383" i="79"/>
  <c r="DW385" i="80"/>
  <c r="DW437" i="79"/>
  <c r="DW391" i="79"/>
  <c r="AM387" i="80"/>
  <c r="AM383" i="80"/>
  <c r="AM434" i="80" s="1"/>
  <c r="O437" i="79"/>
  <c r="O391" i="79"/>
  <c r="CI387" i="79"/>
  <c r="CI386" i="79"/>
  <c r="W389" i="79"/>
  <c r="W387" i="80"/>
  <c r="BS387" i="80"/>
  <c r="BS388" i="80"/>
  <c r="DR398" i="80"/>
  <c r="DR402" i="80" s="1"/>
  <c r="DR405" i="80" s="1"/>
  <c r="DR26" i="80"/>
  <c r="EE436" i="79"/>
  <c r="EE390" i="79"/>
  <c r="CA387" i="79"/>
  <c r="CA393" i="79"/>
  <c r="BK393" i="80"/>
  <c r="DW384" i="80"/>
  <c r="DW435" i="80" s="1"/>
  <c r="DW383" i="80"/>
  <c r="DW434" i="80" s="1"/>
  <c r="DW388" i="79"/>
  <c r="DO385" i="79"/>
  <c r="EE386" i="80"/>
  <c r="AM382" i="80"/>
  <c r="AM50" i="80"/>
  <c r="AM384" i="80"/>
  <c r="AM435" i="80" s="1"/>
  <c r="O390" i="79"/>
  <c r="O436" i="79"/>
  <c r="CI384" i="79"/>
  <c r="CI435" i="79"/>
  <c r="CI392" i="79"/>
  <c r="CJ47" i="79"/>
  <c r="CJ392" i="79" s="1"/>
  <c r="CK47" i="79"/>
  <c r="CK392" i="79" s="1"/>
  <c r="W50" i="79"/>
  <c r="W382" i="79"/>
  <c r="W387" i="79"/>
  <c r="W384" i="80"/>
  <c r="W435" i="80" s="1"/>
  <c r="W383" i="80"/>
  <c r="W434" i="80" s="1"/>
  <c r="CQ391" i="80"/>
  <c r="CQ437" i="80" s="1"/>
  <c r="EU386" i="80"/>
  <c r="DG386" i="80"/>
  <c r="DG383" i="80"/>
  <c r="DG434" i="80" s="1"/>
  <c r="BC391" i="80"/>
  <c r="BC437" i="80" s="1"/>
  <c r="BC384" i="80"/>
  <c r="BC435" i="80" s="1"/>
  <c r="CI384" i="80"/>
  <c r="CI435" i="80" s="1"/>
  <c r="CI390" i="80"/>
  <c r="CI436" i="80" s="1"/>
  <c r="BC384" i="79"/>
  <c r="BC435" i="79"/>
  <c r="BC385" i="79"/>
  <c r="EM387" i="80"/>
  <c r="CA386" i="80"/>
  <c r="EM387" i="79"/>
  <c r="BS435" i="79"/>
  <c r="BS384" i="79"/>
  <c r="EU384" i="79"/>
  <c r="EU435" i="79"/>
  <c r="EU389" i="79"/>
  <c r="O385" i="80"/>
  <c r="CY385" i="80"/>
  <c r="CQ389" i="79"/>
  <c r="AU393" i="79"/>
  <c r="CY436" i="79"/>
  <c r="CY390" i="79"/>
  <c r="CY437" i="79"/>
  <c r="CY391" i="79"/>
  <c r="DO390" i="80"/>
  <c r="DO436" i="80" s="1"/>
  <c r="DO391" i="80"/>
  <c r="DO437" i="80" s="1"/>
  <c r="S29" i="82"/>
  <c r="BK435" i="79"/>
  <c r="BK384" i="79"/>
  <c r="BK390" i="79"/>
  <c r="BK436" i="79"/>
  <c r="FK434" i="79"/>
  <c r="FK383" i="79"/>
  <c r="FC386" i="80"/>
  <c r="FC387" i="80"/>
  <c r="S85" i="35"/>
  <c r="AU387" i="80"/>
  <c r="AU389" i="80"/>
  <c r="AM385" i="79"/>
  <c r="AM391" i="79"/>
  <c r="AM437" i="79"/>
  <c r="AE388" i="80"/>
  <c r="DG389" i="79"/>
  <c r="DG393" i="79"/>
  <c r="FK393" i="80"/>
  <c r="FC393" i="79"/>
  <c r="AE393" i="79"/>
  <c r="CA437" i="79"/>
  <c r="CA391" i="79"/>
  <c r="BK391" i="80"/>
  <c r="BK437" i="80" s="1"/>
  <c r="BS385" i="80"/>
  <c r="BS386" i="80"/>
  <c r="EE387" i="79"/>
  <c r="DY47" i="80"/>
  <c r="DY392" i="80" s="1"/>
  <c r="DW392" i="80"/>
  <c r="DX47" i="80"/>
  <c r="DX392" i="80" s="1"/>
  <c r="AN47" i="80"/>
  <c r="AN392" i="80" s="1"/>
  <c r="AO47" i="80"/>
  <c r="AO392" i="80" s="1"/>
  <c r="AM392" i="80"/>
  <c r="O385" i="79"/>
  <c r="CI389" i="79"/>
  <c r="CI385" i="79"/>
  <c r="W386" i="79"/>
  <c r="W392" i="80"/>
  <c r="X47" i="80"/>
  <c r="X392" i="80" s="1"/>
  <c r="Y47" i="80"/>
  <c r="Y392" i="80" s="1"/>
  <c r="BD47" i="80"/>
  <c r="BD392" i="80" s="1"/>
  <c r="BC392" i="80"/>
  <c r="BE47" i="80"/>
  <c r="BE392" i="80" s="1"/>
  <c r="DZ398" i="79"/>
  <c r="DZ402" i="79" s="1"/>
  <c r="DZ26" i="79"/>
  <c r="BC390" i="79"/>
  <c r="BC436" i="79"/>
  <c r="BC388" i="79"/>
  <c r="EM386" i="80"/>
  <c r="CA390" i="80"/>
  <c r="CA436" i="80" s="1"/>
  <c r="CA389" i="80"/>
  <c r="EM434" i="79"/>
  <c r="EM383" i="79"/>
  <c r="BS382" i="79"/>
  <c r="BS50" i="79"/>
  <c r="EU387" i="79"/>
  <c r="EU392" i="79"/>
  <c r="EW47" i="79"/>
  <c r="EW392" i="79" s="1"/>
  <c r="EV47" i="79"/>
  <c r="EV392" i="79" s="1"/>
  <c r="CL398" i="79"/>
  <c r="CL402" i="79" s="1"/>
  <c r="CL26" i="79"/>
  <c r="O382" i="80"/>
  <c r="O50" i="80"/>
  <c r="O387" i="80"/>
  <c r="CY392" i="80"/>
  <c r="DA47" i="80"/>
  <c r="DA392" i="80" s="1"/>
  <c r="CZ47" i="80"/>
  <c r="CZ392" i="80" s="1"/>
  <c r="CR47" i="79"/>
  <c r="CR392" i="79" s="1"/>
  <c r="CS47" i="79"/>
  <c r="CS392" i="79" s="1"/>
  <c r="CQ392" i="79"/>
  <c r="AU389" i="79"/>
  <c r="CY383" i="79"/>
  <c r="CY434" i="79"/>
  <c r="DO50" i="80"/>
  <c r="DO382" i="80"/>
  <c r="DO388" i="80"/>
  <c r="S25" i="82"/>
  <c r="BK392" i="79"/>
  <c r="BM47" i="79"/>
  <c r="BM392" i="79" s="1"/>
  <c r="BL47" i="79"/>
  <c r="BL392" i="79" s="1"/>
  <c r="BK385" i="79"/>
  <c r="FK389" i="79"/>
  <c r="FC388" i="80"/>
  <c r="FC382" i="80"/>
  <c r="FC50" i="80"/>
  <c r="AU50" i="80"/>
  <c r="AU382" i="80"/>
  <c r="AW47" i="80"/>
  <c r="AW392" i="80" s="1"/>
  <c r="AU392" i="80"/>
  <c r="AV47" i="80"/>
  <c r="AV392" i="80" s="1"/>
  <c r="AM386" i="79"/>
  <c r="AE390" i="80"/>
  <c r="AE436" i="80" s="1"/>
  <c r="DG437" i="79"/>
  <c r="DG391" i="79"/>
  <c r="FK384" i="80"/>
  <c r="FK435" i="80" s="1"/>
  <c r="FC386" i="79"/>
  <c r="AE434" i="79"/>
  <c r="AE383" i="79"/>
  <c r="AE391" i="79"/>
  <c r="AE437" i="79"/>
  <c r="BS391" i="80"/>
  <c r="BS437" i="80" s="1"/>
  <c r="CA390" i="79"/>
  <c r="CA436" i="79"/>
  <c r="DW391" i="80"/>
  <c r="DW437" i="80" s="1"/>
  <c r="EE388" i="80"/>
  <c r="CQ383" i="80"/>
  <c r="CQ434" i="80" s="1"/>
  <c r="BC383" i="80"/>
  <c r="BC434" i="80" s="1"/>
  <c r="CI391" i="80"/>
  <c r="CI437" i="80" s="1"/>
  <c r="BS390" i="80"/>
  <c r="BS436" i="80" s="1"/>
  <c r="BN398" i="79"/>
  <c r="BN402" i="79" s="1"/>
  <c r="BN405" i="79" s="1"/>
  <c r="BN26" i="79"/>
  <c r="EE382" i="79"/>
  <c r="EE50" i="79"/>
  <c r="EE393" i="79"/>
  <c r="CA389" i="79"/>
  <c r="BK385" i="80"/>
  <c r="DW390" i="80"/>
  <c r="DW436" i="80" s="1"/>
  <c r="DW382" i="80"/>
  <c r="DW50" i="80"/>
  <c r="DW435" i="79"/>
  <c r="DW384" i="79"/>
  <c r="DO384" i="79"/>
  <c r="DO435" i="79"/>
  <c r="DO393" i="79"/>
  <c r="EE50" i="80"/>
  <c r="EE382" i="80"/>
  <c r="AM390" i="80"/>
  <c r="AM436" i="80" s="1"/>
  <c r="O386" i="79"/>
  <c r="O434" i="79"/>
  <c r="O383" i="79"/>
  <c r="CI437" i="79"/>
  <c r="CI391" i="79"/>
  <c r="CI388" i="79"/>
  <c r="Y47" i="79"/>
  <c r="Y392" i="79" s="1"/>
  <c r="X47" i="79"/>
  <c r="X392" i="79" s="1"/>
  <c r="W392" i="79"/>
  <c r="W388" i="79"/>
  <c r="W393" i="80"/>
  <c r="CQ390" i="80"/>
  <c r="CQ436" i="80" s="1"/>
  <c r="EU391" i="80"/>
  <c r="EU437" i="80" s="1"/>
  <c r="DG391" i="80"/>
  <c r="DG437" i="80" s="1"/>
  <c r="DG384" i="80"/>
  <c r="DG435" i="80" s="1"/>
  <c r="BC386" i="80"/>
  <c r="BC390" i="80"/>
  <c r="BC436" i="80" s="1"/>
  <c r="CI389" i="80"/>
  <c r="R398" i="79"/>
  <c r="R402" i="79" s="1"/>
  <c r="R26" i="79"/>
  <c r="BC392" i="79"/>
  <c r="BE47" i="79"/>
  <c r="BE392" i="79" s="1"/>
  <c r="BD47" i="79"/>
  <c r="BD392" i="79" s="1"/>
  <c r="EM383" i="80"/>
  <c r="EM434" i="80" s="1"/>
  <c r="EO47" i="80"/>
  <c r="EO392" i="80" s="1"/>
  <c r="EM392" i="80"/>
  <c r="EN47" i="80"/>
  <c r="EN392" i="80" s="1"/>
  <c r="CA383" i="80"/>
  <c r="CA434" i="80" s="1"/>
  <c r="EM391" i="79"/>
  <c r="EM437" i="79"/>
  <c r="BS386" i="79"/>
  <c r="EU382" i="79"/>
  <c r="EU50" i="79"/>
  <c r="EU385" i="79"/>
  <c r="O391" i="80"/>
  <c r="O437" i="80" s="1"/>
  <c r="O393" i="80"/>
  <c r="CY387" i="80"/>
  <c r="CQ384" i="79"/>
  <c r="CQ435" i="79"/>
  <c r="CQ382" i="79"/>
  <c r="CQ50" i="79"/>
  <c r="AU390" i="79"/>
  <c r="AU436" i="79"/>
  <c r="CY50" i="79"/>
  <c r="CY382" i="79"/>
  <c r="DO383" i="80"/>
  <c r="DO434" i="80" s="1"/>
  <c r="DO387" i="80"/>
  <c r="S69" i="82"/>
  <c r="BK389" i="79"/>
  <c r="BK393" i="79"/>
  <c r="FK388" i="79"/>
  <c r="FK391" i="79"/>
  <c r="FK437" i="79"/>
  <c r="FC393" i="80"/>
  <c r="FC383" i="80"/>
  <c r="FC434" i="80" s="1"/>
  <c r="S36" i="35"/>
  <c r="S31" i="35"/>
  <c r="AU393" i="80"/>
  <c r="AM392" i="79"/>
  <c r="AN47" i="79"/>
  <c r="AN392" i="79" s="1"/>
  <c r="AO47" i="79"/>
  <c r="AO392" i="79" s="1"/>
  <c r="AE389" i="80"/>
  <c r="DG385" i="79"/>
  <c r="DH47" i="79"/>
  <c r="DH392" i="79" s="1"/>
  <c r="DG392" i="79"/>
  <c r="DI47" i="79"/>
  <c r="DI392" i="79" s="1"/>
  <c r="FK383" i="80"/>
  <c r="FK434" i="80" s="1"/>
  <c r="FC389" i="79"/>
  <c r="AE382" i="79"/>
  <c r="AE50" i="79"/>
  <c r="AE388" i="79"/>
  <c r="BS382" i="80"/>
  <c r="BS50" i="80"/>
  <c r="BK387" i="80"/>
  <c r="DG388" i="80"/>
  <c r="BS389" i="80"/>
  <c r="DW386" i="80"/>
  <c r="DW383" i="79"/>
  <c r="DW434" i="79"/>
  <c r="DO434" i="79"/>
  <c r="DO383" i="79"/>
  <c r="DO387" i="79"/>
  <c r="CR47" i="80"/>
  <c r="CR392" i="80" s="1"/>
  <c r="CS47" i="80"/>
  <c r="CS392" i="80" s="1"/>
  <c r="CQ392" i="80"/>
  <c r="DG385" i="80"/>
  <c r="DG387" i="80"/>
  <c r="BC385" i="80"/>
  <c r="CI386" i="80"/>
  <c r="BC389" i="79"/>
  <c r="BC393" i="79"/>
  <c r="EM388" i="80"/>
  <c r="EM393" i="80"/>
  <c r="CA388" i="80"/>
  <c r="CA391" i="80"/>
  <c r="CA437" i="80" s="1"/>
  <c r="EM385" i="79"/>
  <c r="EM390" i="79"/>
  <c r="EM436" i="79"/>
  <c r="BS388" i="79"/>
  <c r="BU47" i="79"/>
  <c r="BU392" i="79" s="1"/>
  <c r="BS392" i="79"/>
  <c r="BT47" i="79"/>
  <c r="BT392" i="79" s="1"/>
  <c r="EU390" i="79"/>
  <c r="EU436" i="79"/>
  <c r="EU386" i="79"/>
  <c r="O384" i="80"/>
  <c r="O435" i="80" s="1"/>
  <c r="O386" i="80"/>
  <c r="CY391" i="80"/>
  <c r="CY437" i="80" s="1"/>
  <c r="CQ436" i="79"/>
  <c r="CQ390" i="79"/>
  <c r="AU387" i="79"/>
  <c r="CY387" i="79"/>
  <c r="DO392" i="80"/>
  <c r="DP47" i="80"/>
  <c r="DP392" i="80" s="1"/>
  <c r="DQ47" i="80"/>
  <c r="DQ392" i="80" s="1"/>
  <c r="BK386" i="79"/>
  <c r="BK387" i="79"/>
  <c r="FK393" i="79"/>
  <c r="FC392" i="80"/>
  <c r="FE47" i="80"/>
  <c r="FE392" i="80" s="1"/>
  <c r="FD47" i="80"/>
  <c r="FD392" i="80" s="1"/>
  <c r="S69" i="35"/>
  <c r="AU386" i="80"/>
  <c r="AM387" i="79"/>
  <c r="AE384" i="80"/>
  <c r="AE435" i="80" s="1"/>
  <c r="AE391" i="80"/>
  <c r="AE437" i="80" s="1"/>
  <c r="DG434" i="79"/>
  <c r="DG383" i="79"/>
  <c r="DG386" i="79"/>
  <c r="FK387" i="80"/>
  <c r="FK389" i="80"/>
  <c r="FC384" i="79"/>
  <c r="FC435" i="79"/>
  <c r="FC388" i="79"/>
  <c r="AE387" i="79"/>
  <c r="AE436" i="79"/>
  <c r="AE390" i="79"/>
  <c r="FN420" i="80" l="1"/>
  <c r="FN421" i="80" s="1"/>
  <c r="FN452" i="80" s="1"/>
  <c r="AP126" i="79"/>
  <c r="EH126" i="80"/>
  <c r="J22" i="160"/>
  <c r="K22" i="160" s="1"/>
  <c r="I17" i="98"/>
  <c r="J17" i="98" s="1"/>
  <c r="J14" i="160"/>
  <c r="K14" i="160" s="1"/>
  <c r="J18" i="160"/>
  <c r="K18" i="160" s="1"/>
  <c r="I47" i="98"/>
  <c r="J47" i="98" s="1"/>
  <c r="J40" i="166"/>
  <c r="J40" i="85" s="1"/>
  <c r="L14" i="90" s="1"/>
  <c r="J37" i="100"/>
  <c r="K37" i="100" s="1"/>
  <c r="J55" i="160"/>
  <c r="K55" i="160" s="1"/>
  <c r="J32" i="171"/>
  <c r="J308" i="79" s="1"/>
  <c r="J44" i="166"/>
  <c r="G32" i="82" s="1"/>
  <c r="I40" i="98"/>
  <c r="J40" i="98" s="1"/>
  <c r="J47" i="160"/>
  <c r="K47" i="160" s="1"/>
  <c r="G389" i="85"/>
  <c r="J51" i="160"/>
  <c r="K51" i="160" s="1"/>
  <c r="I10" i="98"/>
  <c r="J10" i="98" s="1"/>
  <c r="J13" i="100"/>
  <c r="K13" i="100" s="1"/>
  <c r="Z126" i="79"/>
  <c r="FF126" i="80"/>
  <c r="AX126" i="80"/>
  <c r="EX129" i="80"/>
  <c r="EH129" i="80"/>
  <c r="R84" i="35"/>
  <c r="AP129" i="79"/>
  <c r="R27" i="35"/>
  <c r="R37" i="35" s="1"/>
  <c r="R57" i="35" s="1"/>
  <c r="AA39" i="177"/>
  <c r="DR129" i="80"/>
  <c r="CD126" i="79"/>
  <c r="AP126" i="80"/>
  <c r="CL126" i="79"/>
  <c r="BF126" i="79"/>
  <c r="FN126" i="80"/>
  <c r="EP129" i="79"/>
  <c r="R126" i="79"/>
  <c r="DZ126" i="80"/>
  <c r="Z126" i="80"/>
  <c r="CD129" i="80"/>
  <c r="EX129" i="79"/>
  <c r="DZ129" i="79"/>
  <c r="FF129" i="80"/>
  <c r="BV126" i="80"/>
  <c r="DR129" i="79"/>
  <c r="R129" i="79"/>
  <c r="EP126" i="79"/>
  <c r="BV126" i="79"/>
  <c r="CT129" i="80"/>
  <c r="FN129" i="80"/>
  <c r="BN129" i="80"/>
  <c r="DJ126" i="80"/>
  <c r="DZ129" i="80"/>
  <c r="EH126" i="79"/>
  <c r="DZ126" i="79"/>
  <c r="DB126" i="79"/>
  <c r="AX129" i="79"/>
  <c r="AH126" i="79"/>
  <c r="DR126" i="79"/>
  <c r="AX129" i="80"/>
  <c r="BN126" i="79"/>
  <c r="BF126" i="80"/>
  <c r="BN129" i="79"/>
  <c r="AP129" i="80"/>
  <c r="Z129" i="79"/>
  <c r="CT126" i="79"/>
  <c r="R126" i="80"/>
  <c r="DB129" i="80"/>
  <c r="CL129" i="79"/>
  <c r="R129" i="80"/>
  <c r="CD126" i="80"/>
  <c r="EP129" i="80"/>
  <c r="CT126" i="80"/>
  <c r="EP126" i="80"/>
  <c r="DB126" i="80"/>
  <c r="FN126" i="79"/>
  <c r="CL129" i="80"/>
  <c r="AH126" i="80"/>
  <c r="Z129" i="80"/>
  <c r="DJ129" i="80"/>
  <c r="CL126" i="80"/>
  <c r="EX126" i="80"/>
  <c r="EH129" i="79"/>
  <c r="CD129" i="79"/>
  <c r="DJ126" i="79"/>
  <c r="FF126" i="79"/>
  <c r="FN129" i="79"/>
  <c r="BV129" i="80"/>
  <c r="EX126" i="79"/>
  <c r="BF129" i="79"/>
  <c r="BF129" i="80"/>
  <c r="AX405" i="80"/>
  <c r="AX409" i="80" s="1"/>
  <c r="FF129" i="79"/>
  <c r="BV129" i="79"/>
  <c r="AH129" i="79"/>
  <c r="R405" i="80"/>
  <c r="R409" i="80" s="1"/>
  <c r="AX126" i="79"/>
  <c r="DJ129" i="79"/>
  <c r="BN126" i="80"/>
  <c r="AH129" i="80"/>
  <c r="DB129" i="79"/>
  <c r="FN405" i="79"/>
  <c r="FN406" i="79" s="1"/>
  <c r="FN450" i="79" s="1"/>
  <c r="DR126" i="80"/>
  <c r="R73" i="35"/>
  <c r="R74" i="35" s="1"/>
  <c r="R83" i="35" s="1"/>
  <c r="BE420" i="80"/>
  <c r="BE421" i="80" s="1"/>
  <c r="BE452" i="80" s="1"/>
  <c r="CL420" i="80"/>
  <c r="CL421" i="80" s="1"/>
  <c r="CL452" i="80" s="1"/>
  <c r="EH420" i="79"/>
  <c r="EH421" i="79" s="1"/>
  <c r="EH452" i="79" s="1"/>
  <c r="AP405" i="80"/>
  <c r="AP406" i="80" s="1"/>
  <c r="AP450" i="80" s="1"/>
  <c r="J308" i="85"/>
  <c r="L172" i="90" s="1"/>
  <c r="BN420" i="79"/>
  <c r="BN421" i="79" s="1"/>
  <c r="BN452" i="79" s="1"/>
  <c r="J40" i="79"/>
  <c r="J385" i="79" s="1"/>
  <c r="J40" i="80"/>
  <c r="J385" i="80" s="1"/>
  <c r="G28" i="82"/>
  <c r="Z420" i="80"/>
  <c r="Z421" i="80" s="1"/>
  <c r="Z452" i="80" s="1"/>
  <c r="FF420" i="79"/>
  <c r="FF421" i="79" s="1"/>
  <c r="FF452" i="79" s="1"/>
  <c r="DR409" i="79"/>
  <c r="DR406" i="79"/>
  <c r="DR450" i="79" s="1"/>
  <c r="AV409" i="79"/>
  <c r="FM308" i="79"/>
  <c r="J88" i="166"/>
  <c r="J37" i="166"/>
  <c r="J38" i="166"/>
  <c r="J42" i="166"/>
  <c r="J46" i="166"/>
  <c r="J105" i="166"/>
  <c r="J111" i="166"/>
  <c r="J45" i="166"/>
  <c r="J110" i="166"/>
  <c r="J48" i="166"/>
  <c r="J43" i="166"/>
  <c r="J41" i="166"/>
  <c r="H88" i="166"/>
  <c r="H38" i="166"/>
  <c r="H42" i="166"/>
  <c r="H46" i="166"/>
  <c r="H105" i="166"/>
  <c r="H111" i="166"/>
  <c r="H48" i="166"/>
  <c r="H37" i="166"/>
  <c r="H41" i="166"/>
  <c r="H43" i="166"/>
  <c r="H45" i="166"/>
  <c r="H110" i="166"/>
  <c r="I88" i="166"/>
  <c r="I38" i="166"/>
  <c r="I42" i="166"/>
  <c r="I46" i="166"/>
  <c r="I105" i="166"/>
  <c r="I111" i="166"/>
  <c r="I48" i="166"/>
  <c r="I37" i="166"/>
  <c r="I41" i="166"/>
  <c r="I43" i="166"/>
  <c r="I45" i="166"/>
  <c r="I110" i="166"/>
  <c r="FE409" i="80"/>
  <c r="AX425" i="80"/>
  <c r="AX419" i="80"/>
  <c r="AX420" i="80" s="1"/>
  <c r="AX421" i="80" s="1"/>
  <c r="AX452" i="80" s="1"/>
  <c r="EN406" i="80"/>
  <c r="EN450" i="80" s="1"/>
  <c r="AW406" i="80"/>
  <c r="AW450" i="80" s="1"/>
  <c r="AW48" i="80" s="1"/>
  <c r="AW393" i="80" s="1"/>
  <c r="CL405" i="79"/>
  <c r="CL406" i="79" s="1"/>
  <c r="CL450" i="79" s="1"/>
  <c r="BU406" i="79"/>
  <c r="BU450" i="79" s="1"/>
  <c r="BU48" i="79" s="1"/>
  <c r="BU393" i="79" s="1"/>
  <c r="AF406" i="80"/>
  <c r="AF450" i="80" s="1"/>
  <c r="J35" i="100"/>
  <c r="K632" i="163"/>
  <c r="K634" i="163"/>
  <c r="I35" i="100"/>
  <c r="J634" i="163"/>
  <c r="J632" i="163"/>
  <c r="H35" i="100"/>
  <c r="I632" i="163"/>
  <c r="I634" i="163"/>
  <c r="I40" i="160"/>
  <c r="I48" i="160"/>
  <c r="I58" i="160"/>
  <c r="I43" i="160"/>
  <c r="I46" i="160"/>
  <c r="I54" i="160"/>
  <c r="I57" i="160"/>
  <c r="I50" i="160"/>
  <c r="J50" i="160"/>
  <c r="J58" i="160"/>
  <c r="J40" i="160"/>
  <c r="J48" i="160"/>
  <c r="J43" i="160"/>
  <c r="J46" i="160"/>
  <c r="J54" i="160"/>
  <c r="J57" i="160"/>
  <c r="H40" i="160"/>
  <c r="H48" i="160"/>
  <c r="H43" i="160"/>
  <c r="H46" i="160"/>
  <c r="H54" i="160"/>
  <c r="H57" i="160"/>
  <c r="H50" i="160"/>
  <c r="H58" i="160"/>
  <c r="DW421" i="79"/>
  <c r="I24" i="160"/>
  <c r="I17" i="160"/>
  <c r="I13" i="160"/>
  <c r="I6" i="160"/>
  <c r="I25" i="160"/>
  <c r="I15" i="160"/>
  <c r="I10" i="160"/>
  <c r="I9" i="160"/>
  <c r="I21" i="160"/>
  <c r="J17" i="160"/>
  <c r="J9" i="160"/>
  <c r="J13" i="160"/>
  <c r="J6" i="160"/>
  <c r="J24" i="160"/>
  <c r="J15" i="160"/>
  <c r="J25" i="160"/>
  <c r="J10" i="160"/>
  <c r="J21" i="160"/>
  <c r="H11" i="100"/>
  <c r="H9" i="160"/>
  <c r="H13" i="160"/>
  <c r="H15" i="160"/>
  <c r="H25" i="160"/>
  <c r="H21" i="160"/>
  <c r="H6" i="160"/>
  <c r="H24" i="160"/>
  <c r="H17" i="160"/>
  <c r="H10" i="160"/>
  <c r="I16" i="98"/>
  <c r="J11" i="100"/>
  <c r="H16" i="98"/>
  <c r="I11" i="100"/>
  <c r="EH406" i="79"/>
  <c r="EH450" i="79" s="1"/>
  <c r="CK406" i="80"/>
  <c r="CK450" i="80" s="1"/>
  <c r="CK48" i="80" s="1"/>
  <c r="CK393" i="80" s="1"/>
  <c r="BE406" i="79"/>
  <c r="BE450" i="79" s="1"/>
  <c r="BE48" i="79" s="1"/>
  <c r="BE393" i="79" s="1"/>
  <c r="DX409" i="79"/>
  <c r="BM409" i="80"/>
  <c r="Y409" i="79"/>
  <c r="DA40" i="80"/>
  <c r="DA385" i="80" s="1"/>
  <c r="EO406" i="79"/>
  <c r="EO450" i="79" s="1"/>
  <c r="EO88" i="79" s="1"/>
  <c r="G9" i="98"/>
  <c r="G12" i="98" s="1"/>
  <c r="L17" i="166" s="1"/>
  <c r="G16" i="98"/>
  <c r="EW406" i="79"/>
  <c r="EW450" i="79" s="1"/>
  <c r="EW88" i="79" s="1"/>
  <c r="AG406" i="80"/>
  <c r="AG450" i="80" s="1"/>
  <c r="AG48" i="80" s="1"/>
  <c r="AG393" i="80" s="1"/>
  <c r="DA406" i="79"/>
  <c r="DA450" i="79" s="1"/>
  <c r="DA48" i="79" s="1"/>
  <c r="DA393" i="79" s="1"/>
  <c r="AN406" i="79"/>
  <c r="AN450" i="79" s="1"/>
  <c r="G406" i="80"/>
  <c r="BN406" i="80"/>
  <c r="BN450" i="80" s="1"/>
  <c r="DI406" i="80"/>
  <c r="DI450" i="80" s="1"/>
  <c r="DI88" i="80" s="1"/>
  <c r="BF405" i="80"/>
  <c r="BF409" i="80" s="1"/>
  <c r="BD406" i="79"/>
  <c r="BD450" i="79" s="1"/>
  <c r="CS409" i="79"/>
  <c r="AF409" i="79"/>
  <c r="BL406" i="79"/>
  <c r="BL450" i="79" s="1"/>
  <c r="CC409" i="79"/>
  <c r="Y406" i="80"/>
  <c r="Y450" i="80" s="1"/>
  <c r="Y88" i="80" s="1"/>
  <c r="EF406" i="79"/>
  <c r="EF450" i="79" s="1"/>
  <c r="DH409" i="80"/>
  <c r="AO406" i="79"/>
  <c r="AO450" i="79" s="1"/>
  <c r="AO48" i="79" s="1"/>
  <c r="AO393" i="79" s="1"/>
  <c r="EM421" i="79"/>
  <c r="EV406" i="79"/>
  <c r="EV450" i="79" s="1"/>
  <c r="CS406" i="80"/>
  <c r="CS450" i="80" s="1"/>
  <c r="CS48" i="80" s="1"/>
  <c r="CS393" i="80" s="1"/>
  <c r="CA421" i="79"/>
  <c r="EW44" i="79"/>
  <c r="EW389" i="79" s="1"/>
  <c r="Q44" i="79"/>
  <c r="Q389" i="79" s="1"/>
  <c r="Q406" i="80"/>
  <c r="Q450" i="80" s="1"/>
  <c r="Q48" i="80" s="1"/>
  <c r="Q393" i="80" s="1"/>
  <c r="DY406" i="80"/>
  <c r="DY450" i="80" s="1"/>
  <c r="DY88" i="80" s="1"/>
  <c r="CY421" i="79"/>
  <c r="CC44" i="79"/>
  <c r="CC389" i="79" s="1"/>
  <c r="FM44" i="79"/>
  <c r="FM389" i="79" s="1"/>
  <c r="DJ419" i="80"/>
  <c r="DJ420" i="80" s="1"/>
  <c r="DJ421" i="80" s="1"/>
  <c r="DJ452" i="80" s="1"/>
  <c r="AW406" i="79"/>
  <c r="AW450" i="79" s="1"/>
  <c r="AW88" i="79" s="1"/>
  <c r="AM421" i="79"/>
  <c r="H450" i="80"/>
  <c r="AV406" i="80"/>
  <c r="AV450" i="80" s="1"/>
  <c r="BD406" i="80"/>
  <c r="BD450" i="80" s="1"/>
  <c r="FE406" i="79"/>
  <c r="FE450" i="79" s="1"/>
  <c r="FE88" i="79" s="1"/>
  <c r="DP406" i="80"/>
  <c r="DP450" i="80" s="1"/>
  <c r="BE406" i="80"/>
  <c r="BE450" i="80" s="1"/>
  <c r="BE48" i="80" s="1"/>
  <c r="BE393" i="80" s="1"/>
  <c r="DA44" i="79"/>
  <c r="DA389" i="79" s="1"/>
  <c r="EF406" i="80"/>
  <c r="EF450" i="80" s="1"/>
  <c r="X406" i="79"/>
  <c r="X450" i="79" s="1"/>
  <c r="AG406" i="79"/>
  <c r="AG450" i="79" s="1"/>
  <c r="AG48" i="79" s="1"/>
  <c r="AG393" i="79" s="1"/>
  <c r="CL409" i="80"/>
  <c r="FD406" i="79"/>
  <c r="FD450" i="79" s="1"/>
  <c r="AN406" i="80"/>
  <c r="AN450" i="80" s="1"/>
  <c r="CR406" i="80"/>
  <c r="CR450" i="80" s="1"/>
  <c r="EU421" i="79"/>
  <c r="DA406" i="80"/>
  <c r="DA450" i="80" s="1"/>
  <c r="DA48" i="80" s="1"/>
  <c r="DA393" i="80" s="1"/>
  <c r="DO421" i="79"/>
  <c r="H21" i="100"/>
  <c r="H23" i="100" s="1"/>
  <c r="DY40" i="80"/>
  <c r="DY385" i="80" s="1"/>
  <c r="CK40" i="80"/>
  <c r="CK385" i="80" s="1"/>
  <c r="AW40" i="80"/>
  <c r="AW385" i="80" s="1"/>
  <c r="EG406" i="80"/>
  <c r="EG450" i="80" s="1"/>
  <c r="EG88" i="80" s="1"/>
  <c r="BT406" i="79"/>
  <c r="BT450" i="79" s="1"/>
  <c r="BM40" i="80"/>
  <c r="BM385" i="80" s="1"/>
  <c r="CJ406" i="79"/>
  <c r="CJ450" i="79" s="1"/>
  <c r="EH405" i="80"/>
  <c r="EH409" i="80" s="1"/>
  <c r="CQ421" i="79"/>
  <c r="Q40" i="80"/>
  <c r="Q385" i="80" s="1"/>
  <c r="EO40" i="80"/>
  <c r="EO385" i="80" s="1"/>
  <c r="FD406" i="80"/>
  <c r="FD450" i="80" s="1"/>
  <c r="DY406" i="79"/>
  <c r="DY450" i="79" s="1"/>
  <c r="DY48" i="79" s="1"/>
  <c r="DY393" i="79" s="1"/>
  <c r="AO40" i="80"/>
  <c r="AO385" i="80" s="1"/>
  <c r="DX406" i="80"/>
  <c r="DX450" i="80" s="1"/>
  <c r="CC40" i="80"/>
  <c r="CC385" i="80" s="1"/>
  <c r="DI40" i="80"/>
  <c r="DI385" i="80" s="1"/>
  <c r="AW44" i="79"/>
  <c r="AW389" i="79" s="1"/>
  <c r="DI44" i="79"/>
  <c r="DI389" i="79" s="1"/>
  <c r="EO406" i="80"/>
  <c r="EO450" i="80" s="1"/>
  <c r="EO88" i="80" s="1"/>
  <c r="CK44" i="79"/>
  <c r="CK389" i="79" s="1"/>
  <c r="DH406" i="79"/>
  <c r="DH450" i="79" s="1"/>
  <c r="AO44" i="79"/>
  <c r="AO389" i="79" s="1"/>
  <c r="G13" i="154"/>
  <c r="BE44" i="79"/>
  <c r="BE389" i="79" s="1"/>
  <c r="I7" i="111"/>
  <c r="FE44" i="79"/>
  <c r="FE389" i="79" s="1"/>
  <c r="EW406" i="80"/>
  <c r="EW450" i="80" s="1"/>
  <c r="EW88" i="80" s="1"/>
  <c r="EO44" i="79"/>
  <c r="EO389" i="79" s="1"/>
  <c r="FD44" i="79"/>
  <c r="FD389" i="79" s="1"/>
  <c r="CS44" i="79"/>
  <c r="CS389" i="79" s="1"/>
  <c r="BU44" i="79"/>
  <c r="BU389" i="79" s="1"/>
  <c r="CR406" i="79"/>
  <c r="CR450" i="79" s="1"/>
  <c r="Q409" i="79"/>
  <c r="Y44" i="79"/>
  <c r="Y389" i="79" s="1"/>
  <c r="E387" i="85"/>
  <c r="BM44" i="79"/>
  <c r="BM389" i="79" s="1"/>
  <c r="AF40" i="79"/>
  <c r="AF385" i="79" s="1"/>
  <c r="CK406" i="79"/>
  <c r="CK450" i="79" s="1"/>
  <c r="CK48" i="79" s="1"/>
  <c r="CK393" i="79" s="1"/>
  <c r="G406" i="79"/>
  <c r="FF405" i="80"/>
  <c r="FF409" i="80" s="1"/>
  <c r="CB406" i="79"/>
  <c r="CB450" i="79" s="1"/>
  <c r="CI421" i="79"/>
  <c r="AU421" i="79"/>
  <c r="CB406" i="80"/>
  <c r="CB450" i="80" s="1"/>
  <c r="BU406" i="80"/>
  <c r="BU450" i="80" s="1"/>
  <c r="BU48" i="80" s="1"/>
  <c r="BU393" i="80" s="1"/>
  <c r="AE421" i="79"/>
  <c r="CB44" i="79"/>
  <c r="CB389" i="79" s="1"/>
  <c r="BC421" i="79"/>
  <c r="DY44" i="79"/>
  <c r="DY389" i="79" s="1"/>
  <c r="BV405" i="79"/>
  <c r="BV409" i="79" s="1"/>
  <c r="DQ40" i="79"/>
  <c r="DQ385" i="79" s="1"/>
  <c r="CC409" i="80"/>
  <c r="FL406" i="79"/>
  <c r="FL450" i="79" s="1"/>
  <c r="DZ405" i="79"/>
  <c r="DZ409" i="79" s="1"/>
  <c r="DA40" i="79"/>
  <c r="DA385" i="79" s="1"/>
  <c r="FE40" i="79"/>
  <c r="FE385" i="79" s="1"/>
  <c r="BM40" i="79"/>
  <c r="BM385" i="79" s="1"/>
  <c r="AO40" i="79"/>
  <c r="AO385" i="79" s="1"/>
  <c r="BL406" i="80"/>
  <c r="CZ40" i="79"/>
  <c r="CZ385" i="79" s="1"/>
  <c r="FK421" i="79"/>
  <c r="FL406" i="80"/>
  <c r="FL450" i="80" s="1"/>
  <c r="CK40" i="79"/>
  <c r="CK385" i="79" s="1"/>
  <c r="CS40" i="79"/>
  <c r="CS385" i="79" s="1"/>
  <c r="BU40" i="79"/>
  <c r="BU385" i="79" s="1"/>
  <c r="CC40" i="79"/>
  <c r="CC385" i="79" s="1"/>
  <c r="CR44" i="79"/>
  <c r="CR389" i="79" s="1"/>
  <c r="EW40" i="79"/>
  <c r="EW385" i="79" s="1"/>
  <c r="Y40" i="79"/>
  <c r="Y385" i="79" s="1"/>
  <c r="EG40" i="79"/>
  <c r="EG385" i="79" s="1"/>
  <c r="AG40" i="79"/>
  <c r="AG385" i="79" s="1"/>
  <c r="DY40" i="79"/>
  <c r="DY385" i="79" s="1"/>
  <c r="EO40" i="79"/>
  <c r="EO385" i="79" s="1"/>
  <c r="DI40" i="79"/>
  <c r="DI385" i="79" s="1"/>
  <c r="P406" i="80"/>
  <c r="P450" i="80" s="1"/>
  <c r="AW40" i="79"/>
  <c r="AW385" i="79" s="1"/>
  <c r="Q40" i="79"/>
  <c r="Q385" i="79" s="1"/>
  <c r="BE40" i="79"/>
  <c r="BE385" i="79" s="1"/>
  <c r="FM40" i="79"/>
  <c r="FM385" i="79" s="1"/>
  <c r="AO406" i="80"/>
  <c r="AO450" i="80" s="1"/>
  <c r="AO88" i="80" s="1"/>
  <c r="EP405" i="80"/>
  <c r="EP409" i="80" s="1"/>
  <c r="R405" i="79"/>
  <c r="R406" i="79" s="1"/>
  <c r="R450" i="79" s="1"/>
  <c r="CJ44" i="79"/>
  <c r="CJ389" i="79" s="1"/>
  <c r="BU40" i="80"/>
  <c r="BU385" i="80" s="1"/>
  <c r="DQ40" i="80"/>
  <c r="DQ385" i="80" s="1"/>
  <c r="AG44" i="79"/>
  <c r="AG389" i="79" s="1"/>
  <c r="EN44" i="79"/>
  <c r="EN389" i="79" s="1"/>
  <c r="BM44" i="80"/>
  <c r="BM389" i="80" s="1"/>
  <c r="EG406" i="79"/>
  <c r="EG450" i="79" s="1"/>
  <c r="EG48" i="79" s="1"/>
  <c r="EG393" i="79" s="1"/>
  <c r="EN406" i="79"/>
  <c r="EN450" i="79" s="1"/>
  <c r="EE421" i="79"/>
  <c r="AH425" i="80"/>
  <c r="EP405" i="79"/>
  <c r="EP409" i="79" s="1"/>
  <c r="I12" i="111"/>
  <c r="DB405" i="79"/>
  <c r="DB409" i="79" s="1"/>
  <c r="AH405" i="79"/>
  <c r="AH406" i="79" s="1"/>
  <c r="AH450" i="79" s="1"/>
  <c r="EG44" i="79"/>
  <c r="EG389" i="79" s="1"/>
  <c r="BV409" i="80"/>
  <c r="BV406" i="80"/>
  <c r="BV450" i="80" s="1"/>
  <c r="CD405" i="80"/>
  <c r="CD409" i="80" s="1"/>
  <c r="AH405" i="80"/>
  <c r="AH406" i="80" s="1"/>
  <c r="DH44" i="79"/>
  <c r="DH389" i="79" s="1"/>
  <c r="EV44" i="79"/>
  <c r="EV389" i="79" s="1"/>
  <c r="H45" i="100"/>
  <c r="H47" i="100" s="1"/>
  <c r="AX405" i="79"/>
  <c r="CZ406" i="79"/>
  <c r="CZ450" i="79" s="1"/>
  <c r="CJ40" i="79"/>
  <c r="CJ385" i="79" s="1"/>
  <c r="CZ406" i="80"/>
  <c r="CZ450" i="80" s="1"/>
  <c r="FD40" i="79"/>
  <c r="FD385" i="79" s="1"/>
  <c r="FM409" i="79"/>
  <c r="BT40" i="79"/>
  <c r="BT385" i="79" s="1"/>
  <c r="AF44" i="79"/>
  <c r="AF389" i="79" s="1"/>
  <c r="EF40" i="79"/>
  <c r="EF385" i="79" s="1"/>
  <c r="H46" i="98"/>
  <c r="DP40" i="79"/>
  <c r="DP385" i="79" s="1"/>
  <c r="X40" i="79"/>
  <c r="X385" i="79" s="1"/>
  <c r="CB40" i="79"/>
  <c r="CB385" i="79" s="1"/>
  <c r="EN40" i="79"/>
  <c r="EN385" i="79" s="1"/>
  <c r="FL40" i="79"/>
  <c r="FL385" i="79" s="1"/>
  <c r="CR40" i="79"/>
  <c r="CR385" i="79" s="1"/>
  <c r="DQ406" i="80"/>
  <c r="DQ450" i="80" s="1"/>
  <c r="DQ48" i="80" s="1"/>
  <c r="DQ393" i="80" s="1"/>
  <c r="I46" i="98"/>
  <c r="BL40" i="79"/>
  <c r="BL385" i="79" s="1"/>
  <c r="P40" i="79"/>
  <c r="P385" i="79" s="1"/>
  <c r="G46" i="98"/>
  <c r="EV40" i="79"/>
  <c r="EV385" i="79" s="1"/>
  <c r="EV409" i="80"/>
  <c r="DZ405" i="80"/>
  <c r="DZ409" i="80" s="1"/>
  <c r="DJ425" i="80"/>
  <c r="AP425" i="80"/>
  <c r="X406" i="80"/>
  <c r="X450" i="80" s="1"/>
  <c r="DH40" i="79"/>
  <c r="DH385" i="79" s="1"/>
  <c r="BT44" i="79"/>
  <c r="BT389" i="79" s="1"/>
  <c r="P44" i="79"/>
  <c r="P389" i="79" s="1"/>
  <c r="EX419" i="80"/>
  <c r="EX420" i="80" s="1"/>
  <c r="EX421" i="80" s="1"/>
  <c r="EX452" i="80" s="1"/>
  <c r="G14" i="154"/>
  <c r="I9" i="111"/>
  <c r="G39" i="98"/>
  <c r="E19" i="35"/>
  <c r="I10" i="111"/>
  <c r="G9" i="110"/>
  <c r="G14" i="110" s="1"/>
  <c r="G35" i="110" s="1"/>
  <c r="L96" i="169" s="1"/>
  <c r="G41" i="98"/>
  <c r="DQ44" i="80"/>
  <c r="DQ389" i="80" s="1"/>
  <c r="AP419" i="80"/>
  <c r="AP420" i="80" s="1"/>
  <c r="AP421" i="80" s="1"/>
  <c r="AP452" i="80" s="1"/>
  <c r="DJ406" i="80"/>
  <c r="DJ450" i="80" s="1"/>
  <c r="DJ409" i="80"/>
  <c r="BL44" i="79"/>
  <c r="BL389" i="79" s="1"/>
  <c r="BM308" i="79"/>
  <c r="CR308" i="79"/>
  <c r="DP44" i="79"/>
  <c r="DP389" i="79" s="1"/>
  <c r="BS421" i="79"/>
  <c r="CT405" i="79"/>
  <c r="Q44" i="80"/>
  <c r="Q389" i="80" s="1"/>
  <c r="EW44" i="80"/>
  <c r="EW389" i="80" s="1"/>
  <c r="BU44" i="80"/>
  <c r="BU389" i="80" s="1"/>
  <c r="DI44" i="80"/>
  <c r="DI389" i="80" s="1"/>
  <c r="FL308" i="79"/>
  <c r="DX40" i="79"/>
  <c r="DX385" i="79" s="1"/>
  <c r="AG44" i="80"/>
  <c r="AG389" i="80" s="1"/>
  <c r="FM44" i="80"/>
  <c r="FM389" i="80" s="1"/>
  <c r="BD44" i="79"/>
  <c r="BD389" i="79" s="1"/>
  <c r="DY44" i="80"/>
  <c r="DY389" i="80" s="1"/>
  <c r="CK44" i="80"/>
  <c r="CK389" i="80" s="1"/>
  <c r="AO44" i="80"/>
  <c r="AO389" i="80" s="1"/>
  <c r="CC44" i="80"/>
  <c r="CC389" i="80" s="1"/>
  <c r="DA44" i="80"/>
  <c r="DA389" i="80" s="1"/>
  <c r="BM406" i="79"/>
  <c r="BM450" i="79" s="1"/>
  <c r="BM48" i="79" s="1"/>
  <c r="BM393" i="79" s="1"/>
  <c r="CT406" i="80"/>
  <c r="CT450" i="80" s="1"/>
  <c r="AW44" i="80"/>
  <c r="AW389" i="80" s="1"/>
  <c r="EO44" i="80"/>
  <c r="EO389" i="80" s="1"/>
  <c r="AX406" i="80"/>
  <c r="AX450" i="80" s="1"/>
  <c r="DG438" i="79"/>
  <c r="P406" i="79"/>
  <c r="P450" i="79" s="1"/>
  <c r="CJ406" i="80"/>
  <c r="CD405" i="79"/>
  <c r="BF406" i="79"/>
  <c r="BF450" i="79" s="1"/>
  <c r="FM40" i="80"/>
  <c r="FM385" i="80" s="1"/>
  <c r="DI406" i="79"/>
  <c r="DI450" i="79" s="1"/>
  <c r="DI48" i="79" s="1"/>
  <c r="DI393" i="79" s="1"/>
  <c r="DP406" i="79"/>
  <c r="DP450" i="79" s="1"/>
  <c r="CJ308" i="79"/>
  <c r="FL44" i="79"/>
  <c r="FL389" i="79" s="1"/>
  <c r="FM406" i="80"/>
  <c r="FM450" i="80" s="1"/>
  <c r="FM48" i="80" s="1"/>
  <c r="FM393" i="80" s="1"/>
  <c r="BT406" i="80"/>
  <c r="BT450" i="80" s="1"/>
  <c r="DQ406" i="79"/>
  <c r="DQ450" i="79" s="1"/>
  <c r="DQ48" i="79" s="1"/>
  <c r="DQ393" i="79" s="1"/>
  <c r="DH308" i="79"/>
  <c r="EX405" i="80"/>
  <c r="EX405" i="79"/>
  <c r="BC438" i="80"/>
  <c r="Z405" i="79"/>
  <c r="DG421" i="79"/>
  <c r="AP405" i="79"/>
  <c r="DO438" i="80"/>
  <c r="BL308" i="79"/>
  <c r="AP47" i="80"/>
  <c r="AP392" i="80" s="1"/>
  <c r="DQ44" i="79"/>
  <c r="DQ389" i="79" s="1"/>
  <c r="BE308" i="79"/>
  <c r="EF44" i="79"/>
  <c r="EF389" i="79" s="1"/>
  <c r="BE40" i="80"/>
  <c r="BE385" i="80" s="1"/>
  <c r="DA308" i="80"/>
  <c r="BD40" i="79"/>
  <c r="BD385" i="79" s="1"/>
  <c r="EG308" i="80"/>
  <c r="Y308" i="80"/>
  <c r="AV40" i="79"/>
  <c r="AV385" i="79" s="1"/>
  <c r="CZ44" i="79"/>
  <c r="CZ389" i="79" s="1"/>
  <c r="AG308" i="80"/>
  <c r="EG308" i="79"/>
  <c r="AO308" i="80"/>
  <c r="DI308" i="79"/>
  <c r="FE308" i="80"/>
  <c r="DI308" i="80"/>
  <c r="CK308" i="79"/>
  <c r="BE44" i="80"/>
  <c r="BE389" i="80" s="1"/>
  <c r="Y44" i="80"/>
  <c r="Y389" i="80" s="1"/>
  <c r="EG40" i="80"/>
  <c r="EG385" i="80" s="1"/>
  <c r="FF406" i="79"/>
  <c r="FF450" i="79" s="1"/>
  <c r="AN308" i="79"/>
  <c r="EG44" i="80"/>
  <c r="EG389" i="80" s="1"/>
  <c r="DA308" i="79"/>
  <c r="X308" i="79"/>
  <c r="AV44" i="79"/>
  <c r="AV389" i="79" s="1"/>
  <c r="Y40" i="80"/>
  <c r="Y385" i="80" s="1"/>
  <c r="FM308" i="80"/>
  <c r="BF47" i="79"/>
  <c r="BF392" i="79" s="1"/>
  <c r="CS308" i="80"/>
  <c r="EW308" i="80"/>
  <c r="AP47" i="79"/>
  <c r="AP392" i="79" s="1"/>
  <c r="O394" i="80"/>
  <c r="O413" i="80" s="1"/>
  <c r="O414" i="80" s="1"/>
  <c r="CS40" i="80"/>
  <c r="CS385" i="80" s="1"/>
  <c r="AG40" i="80"/>
  <c r="AG385" i="80" s="1"/>
  <c r="EF452" i="80"/>
  <c r="AW308" i="80"/>
  <c r="DZ419" i="80"/>
  <c r="DZ420" i="80" s="1"/>
  <c r="DZ421" i="80" s="1"/>
  <c r="DZ452" i="80" s="1"/>
  <c r="DZ425" i="80"/>
  <c r="FL452" i="80"/>
  <c r="FK421" i="80"/>
  <c r="EV308" i="79"/>
  <c r="DP308" i="79"/>
  <c r="BE308" i="80"/>
  <c r="EW308" i="79"/>
  <c r="CB308" i="79"/>
  <c r="J21" i="100"/>
  <c r="I9" i="98"/>
  <c r="I12" i="98" s="1"/>
  <c r="N17" i="166" s="1"/>
  <c r="J17" i="166" s="1"/>
  <c r="K7" i="111"/>
  <c r="I9" i="110"/>
  <c r="I14" i="110" s="1"/>
  <c r="I35" i="110" s="1"/>
  <c r="N96" i="169" s="1"/>
  <c r="J96" i="169" s="1"/>
  <c r="I14" i="154"/>
  <c r="I41" i="98"/>
  <c r="G387" i="85"/>
  <c r="K9" i="111"/>
  <c r="J45" i="100"/>
  <c r="J47" i="100" s="1"/>
  <c r="I13" i="154"/>
  <c r="K12" i="111"/>
  <c r="G19" i="35"/>
  <c r="I39" i="98"/>
  <c r="K10" i="111"/>
  <c r="FD308" i="79"/>
  <c r="EO308" i="80"/>
  <c r="DO438" i="79"/>
  <c r="CY438" i="79"/>
  <c r="FE40" i="80"/>
  <c r="FE385" i="80" s="1"/>
  <c r="EV452" i="80"/>
  <c r="DH452" i="80"/>
  <c r="EN452" i="80"/>
  <c r="O421" i="79"/>
  <c r="BD452" i="80"/>
  <c r="Y308" i="79"/>
  <c r="AN452" i="80"/>
  <c r="X44" i="79"/>
  <c r="X389" i="79" s="1"/>
  <c r="AN44" i="79"/>
  <c r="AN389" i="79" s="1"/>
  <c r="CS308" i="79"/>
  <c r="CC308" i="79"/>
  <c r="CB452" i="80"/>
  <c r="Q308" i="79"/>
  <c r="P308" i="79"/>
  <c r="BT308" i="79"/>
  <c r="R406" i="80"/>
  <c r="R450" i="80" s="1"/>
  <c r="AX47" i="80"/>
  <c r="AX392" i="80" s="1"/>
  <c r="EX47" i="79"/>
  <c r="EX392" i="79" s="1"/>
  <c r="DR47" i="79"/>
  <c r="DR392" i="79" s="1"/>
  <c r="EX47" i="80"/>
  <c r="EX392" i="80" s="1"/>
  <c r="AV452" i="80"/>
  <c r="FE308" i="79"/>
  <c r="AW308" i="79"/>
  <c r="CC308" i="80"/>
  <c r="AF308" i="79"/>
  <c r="BU308" i="80"/>
  <c r="P452" i="80"/>
  <c r="DX452" i="80"/>
  <c r="AV308" i="79"/>
  <c r="CZ308" i="79"/>
  <c r="AO308" i="79"/>
  <c r="CK308" i="80"/>
  <c r="EE394" i="79"/>
  <c r="AN40" i="79"/>
  <c r="AN385" i="79" s="1"/>
  <c r="AU438" i="79"/>
  <c r="EW40" i="80"/>
  <c r="EW385" i="80" s="1"/>
  <c r="DX44" i="79"/>
  <c r="DX389" i="79" s="1"/>
  <c r="BM308" i="80"/>
  <c r="Q308" i="80"/>
  <c r="CD425" i="80"/>
  <c r="CD419" i="80"/>
  <c r="CD420" i="80" s="1"/>
  <c r="CD421" i="80" s="1"/>
  <c r="CD452" i="80" s="1"/>
  <c r="EH425" i="80"/>
  <c r="EH419" i="80"/>
  <c r="EH420" i="80" s="1"/>
  <c r="EH421" i="80" s="1"/>
  <c r="EH452" i="80" s="1"/>
  <c r="DJ405" i="79"/>
  <c r="DY308" i="80"/>
  <c r="EP419" i="80"/>
  <c r="EP420" i="80" s="1"/>
  <c r="EP421" i="80" s="1"/>
  <c r="EP452" i="80" s="1"/>
  <c r="EP425" i="80"/>
  <c r="BF419" i="80"/>
  <c r="BF420" i="80" s="1"/>
  <c r="BF421" i="80" s="1"/>
  <c r="BF452" i="80" s="1"/>
  <c r="BF425" i="80"/>
  <c r="BU308" i="79"/>
  <c r="DQ308" i="79"/>
  <c r="FE44" i="80"/>
  <c r="FE389" i="80" s="1"/>
  <c r="AH47" i="80"/>
  <c r="AH392" i="80" s="1"/>
  <c r="AM438" i="79"/>
  <c r="FD452" i="80"/>
  <c r="BT452" i="80"/>
  <c r="BS421" i="80"/>
  <c r="W421" i="79"/>
  <c r="DP452" i="80"/>
  <c r="DO421" i="80"/>
  <c r="AG308" i="79"/>
  <c r="EN308" i="79"/>
  <c r="CR452" i="80"/>
  <c r="CQ421" i="80"/>
  <c r="X452" i="80"/>
  <c r="CJ452" i="80"/>
  <c r="CZ452" i="80"/>
  <c r="CY421" i="80"/>
  <c r="CL47" i="80"/>
  <c r="CL392" i="80" s="1"/>
  <c r="CS44" i="80"/>
  <c r="CS389" i="80" s="1"/>
  <c r="EF308" i="79"/>
  <c r="FF419" i="80"/>
  <c r="FF420" i="80" s="1"/>
  <c r="FF421" i="80" s="1"/>
  <c r="FF452" i="80" s="1"/>
  <c r="FF425" i="80"/>
  <c r="BL452" i="80"/>
  <c r="BK421" i="80"/>
  <c r="DX308" i="79"/>
  <c r="EO308" i="79"/>
  <c r="AE421" i="80"/>
  <c r="AF452" i="80"/>
  <c r="DY308" i="79"/>
  <c r="F387" i="85"/>
  <c r="J9" i="111"/>
  <c r="H39" i="98"/>
  <c r="J10" i="111"/>
  <c r="I45" i="100"/>
  <c r="J7" i="111"/>
  <c r="H41" i="98"/>
  <c r="F19" i="35"/>
  <c r="J12" i="111"/>
  <c r="H9" i="98"/>
  <c r="H13" i="154"/>
  <c r="H14" i="154"/>
  <c r="H9" i="110"/>
  <c r="I21" i="100"/>
  <c r="R419" i="80"/>
  <c r="R420" i="80" s="1"/>
  <c r="R421" i="80" s="1"/>
  <c r="R452" i="80" s="1"/>
  <c r="R425" i="80"/>
  <c r="BD308" i="79"/>
  <c r="DQ308" i="80"/>
  <c r="EH47" i="80"/>
  <c r="EH392" i="80" s="1"/>
  <c r="FN47" i="79"/>
  <c r="FN392" i="79" s="1"/>
  <c r="BN47" i="80"/>
  <c r="BN392" i="80" s="1"/>
  <c r="DZ47" i="79"/>
  <c r="DZ392" i="79" s="1"/>
  <c r="EP47" i="79"/>
  <c r="EP392" i="79" s="1"/>
  <c r="CY251" i="80"/>
  <c r="CY52" i="80"/>
  <c r="CY79" i="80" s="1"/>
  <c r="FN409" i="80"/>
  <c r="FN406" i="80"/>
  <c r="FN450" i="80" s="1"/>
  <c r="CY394" i="79"/>
  <c r="DO394" i="80"/>
  <c r="DO413" i="80" s="1"/>
  <c r="DO414" i="80" s="1"/>
  <c r="FK438" i="79"/>
  <c r="CT47" i="80"/>
  <c r="CT392" i="80" s="1"/>
  <c r="DW438" i="79"/>
  <c r="AE413" i="79"/>
  <c r="AE414" i="79" s="1"/>
  <c r="AE251" i="79"/>
  <c r="AE52" i="79"/>
  <c r="AE79" i="79" s="1"/>
  <c r="CQ394" i="79"/>
  <c r="EP47" i="80"/>
  <c r="EP392" i="80" s="1"/>
  <c r="Z47" i="79"/>
  <c r="Z392" i="79" s="1"/>
  <c r="DW251" i="80"/>
  <c r="DW52" i="80"/>
  <c r="DW79" i="80" s="1"/>
  <c r="AU394" i="80"/>
  <c r="AU413" i="80" s="1"/>
  <c r="AU414" i="80" s="1"/>
  <c r="BS251" i="79"/>
  <c r="BS413" i="79"/>
  <c r="BS414" i="79" s="1"/>
  <c r="BS52" i="79"/>
  <c r="BS79" i="79" s="1"/>
  <c r="DZ47" i="80"/>
  <c r="DZ392" i="80" s="1"/>
  <c r="W438" i="80"/>
  <c r="BS438" i="79"/>
  <c r="DB409" i="80"/>
  <c r="DB406" i="80"/>
  <c r="DB450" i="80" s="1"/>
  <c r="BC251" i="80"/>
  <c r="BC52" i="80"/>
  <c r="BC79" i="80" s="1"/>
  <c r="FC413" i="79"/>
  <c r="FC414" i="79" s="1"/>
  <c r="FC251" i="79"/>
  <c r="FC52" i="79"/>
  <c r="FC79" i="79" s="1"/>
  <c r="BK438" i="79"/>
  <c r="CY438" i="80"/>
  <c r="EU438" i="80"/>
  <c r="EE438" i="79"/>
  <c r="AU438" i="80"/>
  <c r="FK413" i="79"/>
  <c r="FK414" i="79" s="1"/>
  <c r="FK251" i="79"/>
  <c r="FK52" i="79"/>
  <c r="FK79" i="79" s="1"/>
  <c r="AU394" i="79"/>
  <c r="R38" i="35"/>
  <c r="AA30" i="177" s="1"/>
  <c r="AA31" i="177" s="1"/>
  <c r="EM413" i="79"/>
  <c r="EM414" i="79" s="1"/>
  <c r="EM251" i="79"/>
  <c r="EM52" i="79"/>
  <c r="EM79" i="79" s="1"/>
  <c r="DO394" i="79"/>
  <c r="CA394" i="80"/>
  <c r="CA413" i="80" s="1"/>
  <c r="CA414" i="80" s="1"/>
  <c r="DG251" i="80"/>
  <c r="DG52" i="80"/>
  <c r="DG79" i="80" s="1"/>
  <c r="CI251" i="80"/>
  <c r="CI52" i="80"/>
  <c r="CI79" i="80" s="1"/>
  <c r="EE438" i="80"/>
  <c r="DJ47" i="79"/>
  <c r="DJ392" i="79" s="1"/>
  <c r="AV450" i="79"/>
  <c r="BV47" i="79"/>
  <c r="BV392" i="79" s="1"/>
  <c r="AE394" i="79"/>
  <c r="DW394" i="80"/>
  <c r="DW413" i="80" s="1"/>
  <c r="DW414" i="80" s="1"/>
  <c r="EE413" i="79"/>
  <c r="EE414" i="79" s="1"/>
  <c r="EE251" i="79"/>
  <c r="EE52" i="79"/>
  <c r="EE79" i="79" s="1"/>
  <c r="CQ438" i="80"/>
  <c r="DB47" i="80"/>
  <c r="DB392" i="80" s="1"/>
  <c r="O251" i="80"/>
  <c r="O52" i="80"/>
  <c r="O79" i="80" s="1"/>
  <c r="BS394" i="79"/>
  <c r="Z47" i="80"/>
  <c r="Z392" i="80" s="1"/>
  <c r="CL47" i="79"/>
  <c r="CL392" i="79" s="1"/>
  <c r="BC394" i="80"/>
  <c r="BC413" i="80" s="1"/>
  <c r="BC414" i="80" s="1"/>
  <c r="W251" i="80"/>
  <c r="W52" i="80"/>
  <c r="W79" i="80" s="1"/>
  <c r="R47" i="79"/>
  <c r="R392" i="79" s="1"/>
  <c r="DG413" i="79"/>
  <c r="DG414" i="79" s="1"/>
  <c r="DG251" i="79"/>
  <c r="DG52" i="79"/>
  <c r="DG79" i="79" s="1"/>
  <c r="EM394" i="79"/>
  <c r="DW251" i="79"/>
  <c r="DW413" i="79"/>
  <c r="DW414" i="79" s="1"/>
  <c r="DW52" i="79"/>
  <c r="DW79" i="79" s="1"/>
  <c r="BK251" i="79"/>
  <c r="BK413" i="79"/>
  <c r="BK414" i="79" s="1"/>
  <c r="BK52" i="79"/>
  <c r="BK79" i="79" s="1"/>
  <c r="DB47" i="79"/>
  <c r="DB392" i="79" s="1"/>
  <c r="CI438" i="79"/>
  <c r="Z409" i="80"/>
  <c r="Z406" i="80"/>
  <c r="Z450" i="80" s="1"/>
  <c r="BK438" i="80"/>
  <c r="CI394" i="80"/>
  <c r="CI413" i="80" s="1"/>
  <c r="CI414" i="80" s="1"/>
  <c r="DW394" i="79"/>
  <c r="BK394" i="79"/>
  <c r="DH450" i="80"/>
  <c r="AM251" i="80"/>
  <c r="AM52" i="80"/>
  <c r="AM79" i="80" s="1"/>
  <c r="CA438" i="79"/>
  <c r="BK394" i="80"/>
  <c r="BK413" i="80" s="1"/>
  <c r="BK414" i="80" s="1"/>
  <c r="CY394" i="80"/>
  <c r="CY413" i="80" s="1"/>
  <c r="CY414" i="80" s="1"/>
  <c r="BC394" i="79"/>
  <c r="R57" i="82"/>
  <c r="R38" i="82"/>
  <c r="AA23" i="83" s="1"/>
  <c r="AA24" i="83" s="1"/>
  <c r="AA26" i="83" s="1"/>
  <c r="FF47" i="79"/>
  <c r="FF392" i="79" s="1"/>
  <c r="AM413" i="79"/>
  <c r="AM414" i="79" s="1"/>
  <c r="AM251" i="79"/>
  <c r="AM52" i="79"/>
  <c r="AM79" i="79" s="1"/>
  <c r="EU438" i="79"/>
  <c r="EU394" i="80"/>
  <c r="EU413" i="80" s="1"/>
  <c r="EU414" i="80" s="1"/>
  <c r="EV450" i="80"/>
  <c r="CI413" i="79"/>
  <c r="CI414" i="79" s="1"/>
  <c r="CI251" i="79"/>
  <c r="CI52" i="79"/>
  <c r="CI79" i="79" s="1"/>
  <c r="CA251" i="79"/>
  <c r="CA413" i="79"/>
  <c r="CA414" i="79" s="1"/>
  <c r="CA52" i="79"/>
  <c r="CA79" i="79" s="1"/>
  <c r="Q88" i="79"/>
  <c r="EE394" i="80"/>
  <c r="EE413" i="80" s="1"/>
  <c r="EE414" i="80" s="1"/>
  <c r="FF47" i="80"/>
  <c r="FF392" i="80" s="1"/>
  <c r="DR47" i="80"/>
  <c r="DR392" i="80" s="1"/>
  <c r="FK438" i="80"/>
  <c r="FC438" i="80"/>
  <c r="CY251" i="79"/>
  <c r="CY413" i="79"/>
  <c r="CY414" i="79" s="1"/>
  <c r="CY52" i="79"/>
  <c r="CY79" i="79" s="1"/>
  <c r="CA438" i="80"/>
  <c r="EM438" i="80"/>
  <c r="EE251" i="80"/>
  <c r="EE52" i="80"/>
  <c r="EE79" i="80" s="1"/>
  <c r="AE438" i="79"/>
  <c r="DO251" i="80"/>
  <c r="DO52" i="80"/>
  <c r="DO79" i="80" s="1"/>
  <c r="CT47" i="79"/>
  <c r="CT392" i="79" s="1"/>
  <c r="W394" i="79"/>
  <c r="AM394" i="80"/>
  <c r="AM413" i="80" s="1"/>
  <c r="AM414" i="80" s="1"/>
  <c r="DR409" i="80"/>
  <c r="DR406" i="80"/>
  <c r="DR450" i="80" s="1"/>
  <c r="FK394" i="80"/>
  <c r="FK413" i="80" s="1"/>
  <c r="FK414" i="80" s="1"/>
  <c r="AE394" i="80"/>
  <c r="AE413" i="80" s="1"/>
  <c r="AE414" i="80" s="1"/>
  <c r="Y88" i="79"/>
  <c r="AM394" i="79"/>
  <c r="DJ47" i="80"/>
  <c r="DJ392" i="80" s="1"/>
  <c r="EU251" i="80"/>
  <c r="EU52" i="80"/>
  <c r="EU79" i="80" s="1"/>
  <c r="Y48" i="79"/>
  <c r="Y393" i="79" s="1"/>
  <c r="CD47" i="79"/>
  <c r="CD392" i="79" s="1"/>
  <c r="CC88" i="80"/>
  <c r="CI394" i="79"/>
  <c r="CA394" i="79"/>
  <c r="BK251" i="80"/>
  <c r="BK52" i="80"/>
  <c r="BK79" i="80" s="1"/>
  <c r="FC438" i="79"/>
  <c r="FE88" i="80"/>
  <c r="DX450" i="79"/>
  <c r="BF47" i="80"/>
  <c r="BF392" i="80" s="1"/>
  <c r="W413" i="79"/>
  <c r="W414" i="79" s="1"/>
  <c r="W251" i="79"/>
  <c r="W52" i="79"/>
  <c r="W79" i="79" s="1"/>
  <c r="AM438" i="80"/>
  <c r="FK251" i="80"/>
  <c r="FK52" i="80"/>
  <c r="FK79" i="80" s="1"/>
  <c r="AE251" i="80"/>
  <c r="AE52" i="80"/>
  <c r="AE79" i="80" s="1"/>
  <c r="CQ251" i="80"/>
  <c r="CQ52" i="80"/>
  <c r="CQ79" i="80" s="1"/>
  <c r="FN47" i="80"/>
  <c r="FN392" i="80" s="1"/>
  <c r="Q22" i="82"/>
  <c r="S21" i="82"/>
  <c r="AH47" i="79"/>
  <c r="AH392" i="79" s="1"/>
  <c r="AX47" i="79"/>
  <c r="AX392" i="79" s="1"/>
  <c r="DG394" i="80"/>
  <c r="DG413" i="80" s="1"/>
  <c r="DG414" i="80" s="1"/>
  <c r="FM88" i="79"/>
  <c r="BS438" i="80"/>
  <c r="AU251" i="80"/>
  <c r="AU52" i="80"/>
  <c r="AU79" i="80" s="1"/>
  <c r="CS88" i="79"/>
  <c r="BC413" i="79"/>
  <c r="BC414" i="79" s="1"/>
  <c r="BC251" i="79"/>
  <c r="BC52" i="79"/>
  <c r="BC79" i="79" s="1"/>
  <c r="BM88" i="80"/>
  <c r="DG394" i="79"/>
  <c r="AF450" i="79"/>
  <c r="BS251" i="80"/>
  <c r="BS52" i="80"/>
  <c r="BS79" i="80" s="1"/>
  <c r="EU413" i="79"/>
  <c r="EU414" i="79" s="1"/>
  <c r="EU251" i="79"/>
  <c r="EU52" i="79"/>
  <c r="EU79" i="79" s="1"/>
  <c r="O438" i="79"/>
  <c r="BN409" i="79"/>
  <c r="BN406" i="79"/>
  <c r="BN450" i="79" s="1"/>
  <c r="FC251" i="80"/>
  <c r="FC52" i="80"/>
  <c r="FC79" i="80" s="1"/>
  <c r="EM438" i="79"/>
  <c r="DG438" i="80"/>
  <c r="DW438" i="80"/>
  <c r="CQ394" i="80"/>
  <c r="CQ413" i="80" s="1"/>
  <c r="CQ414" i="80" s="1"/>
  <c r="CS48" i="79"/>
  <c r="CS393" i="79" s="1"/>
  <c r="BV47" i="80"/>
  <c r="BV392" i="80" s="1"/>
  <c r="Q48" i="79"/>
  <c r="Q393" i="79" s="1"/>
  <c r="CQ438" i="79"/>
  <c r="EM251" i="80"/>
  <c r="EM52" i="80"/>
  <c r="EM79" i="80" s="1"/>
  <c r="BC438" i="79"/>
  <c r="O251" i="79"/>
  <c r="O413" i="79"/>
  <c r="O414" i="79" s="1"/>
  <c r="O52" i="79"/>
  <c r="O79" i="79" s="1"/>
  <c r="W438" i="79"/>
  <c r="Q22" i="35"/>
  <c r="S21" i="35"/>
  <c r="BS394" i="80"/>
  <c r="BS413" i="80" s="1"/>
  <c r="BS414" i="80" s="1"/>
  <c r="FE48" i="80"/>
  <c r="FE393" i="80" s="1"/>
  <c r="CQ413" i="79"/>
  <c r="CQ414" i="79" s="1"/>
  <c r="CQ251" i="79"/>
  <c r="CQ52" i="79"/>
  <c r="CQ79" i="79" s="1"/>
  <c r="EU394" i="79"/>
  <c r="FC394" i="80"/>
  <c r="FC413" i="80" s="1"/>
  <c r="FC414" i="80" s="1"/>
  <c r="BN47" i="79"/>
  <c r="BN392" i="79" s="1"/>
  <c r="FC394" i="79"/>
  <c r="AE438" i="80"/>
  <c r="CD47" i="80"/>
  <c r="CD392" i="80" s="1"/>
  <c r="W394" i="80"/>
  <c r="W413" i="80" s="1"/>
  <c r="W414" i="80" s="1"/>
  <c r="FK394" i="79"/>
  <c r="AU413" i="79"/>
  <c r="AU414" i="79" s="1"/>
  <c r="AU251" i="79"/>
  <c r="AU52" i="79"/>
  <c r="AU79" i="79" s="1"/>
  <c r="O438" i="80"/>
  <c r="CC48" i="80"/>
  <c r="CC393" i="80" s="1"/>
  <c r="EM394" i="80"/>
  <c r="EM413" i="80" s="1"/>
  <c r="EM414" i="80" s="1"/>
  <c r="DO413" i="79"/>
  <c r="DO414" i="79" s="1"/>
  <c r="DO251" i="79"/>
  <c r="DO52" i="79"/>
  <c r="DO79" i="79" s="1"/>
  <c r="R47" i="80"/>
  <c r="R392" i="80" s="1"/>
  <c r="CA251" i="80"/>
  <c r="CA52" i="80"/>
  <c r="CA79" i="80" s="1"/>
  <c r="CI438" i="80"/>
  <c r="FN409" i="79"/>
  <c r="O394" i="79"/>
  <c r="EH47" i="79"/>
  <c r="EH392" i="79" s="1"/>
  <c r="CC88" i="79"/>
  <c r="CI421" i="80" l="1"/>
  <c r="G28" i="35"/>
  <c r="BK421" i="79"/>
  <c r="J44" i="79"/>
  <c r="J389" i="79" s="1"/>
  <c r="J308" i="80"/>
  <c r="AP409" i="80"/>
  <c r="W421" i="80"/>
  <c r="G32" i="35"/>
  <c r="J44" i="85"/>
  <c r="L18" i="90" s="1"/>
  <c r="J44" i="80"/>
  <c r="J389" i="80" s="1"/>
  <c r="DY88" i="79"/>
  <c r="CL409" i="79"/>
  <c r="AW88" i="80"/>
  <c r="EW48" i="79"/>
  <c r="EW393" i="79" s="1"/>
  <c r="BU88" i="79"/>
  <c r="AA23" i="177"/>
  <c r="AA24" i="177" s="1"/>
  <c r="AA26" i="177" s="1"/>
  <c r="AU421" i="80"/>
  <c r="FC421" i="79"/>
  <c r="M17" i="171"/>
  <c r="I17" i="171" s="1"/>
  <c r="N17" i="171"/>
  <c r="J17" i="171" s="1"/>
  <c r="N18" i="171"/>
  <c r="J18" i="171" s="1"/>
  <c r="J294" i="79" s="1"/>
  <c r="L17" i="171"/>
  <c r="DI48" i="80"/>
  <c r="DI393" i="80" s="1"/>
  <c r="M18" i="171"/>
  <c r="I18" i="171" s="1"/>
  <c r="L18" i="171"/>
  <c r="FN308" i="79"/>
  <c r="BE88" i="79"/>
  <c r="H96" i="169"/>
  <c r="H256" i="80" s="1"/>
  <c r="J116" i="166"/>
  <c r="I116" i="166"/>
  <c r="H17" i="166"/>
  <c r="H17" i="80" s="1"/>
  <c r="H116" i="166"/>
  <c r="AO48" i="80"/>
  <c r="AO393" i="80" s="1"/>
  <c r="K13" i="160"/>
  <c r="CK88" i="80"/>
  <c r="K58" i="160"/>
  <c r="N632" i="163"/>
  <c r="O632" i="163" s="1"/>
  <c r="K46" i="160"/>
  <c r="CI406" i="80"/>
  <c r="K17" i="160"/>
  <c r="N634" i="163"/>
  <c r="O634" i="163" s="1"/>
  <c r="AG88" i="80"/>
  <c r="K54" i="160"/>
  <c r="K15" i="160"/>
  <c r="DA88" i="79"/>
  <c r="K24" i="160"/>
  <c r="K6" i="160"/>
  <c r="K9" i="160"/>
  <c r="K25" i="160"/>
  <c r="K40" i="160"/>
  <c r="K10" i="160"/>
  <c r="K50" i="160"/>
  <c r="K57" i="160"/>
  <c r="K43" i="160"/>
  <c r="K48" i="160"/>
  <c r="K21" i="160"/>
  <c r="DY48" i="80"/>
  <c r="DY393" i="80" s="1"/>
  <c r="FF44" i="79"/>
  <c r="FF389" i="79" s="1"/>
  <c r="K11" i="100"/>
  <c r="EO48" i="79"/>
  <c r="EO393" i="79" s="1"/>
  <c r="EG48" i="80"/>
  <c r="EG393" i="80" s="1"/>
  <c r="DA88" i="80"/>
  <c r="BF406" i="80"/>
  <c r="BF450" i="80" s="1"/>
  <c r="EW48" i="80"/>
  <c r="EW393" i="80" s="1"/>
  <c r="EP406" i="79"/>
  <c r="EP450" i="79" s="1"/>
  <c r="Z40" i="79"/>
  <c r="Z385" i="79" s="1"/>
  <c r="AG88" i="79"/>
  <c r="DZ406" i="79"/>
  <c r="DZ450" i="79" s="1"/>
  <c r="BU88" i="80"/>
  <c r="C21" i="108"/>
  <c r="H8" i="108" s="1"/>
  <c r="Y48" i="80"/>
  <c r="Y393" i="80" s="1"/>
  <c r="BK406" i="80"/>
  <c r="CS88" i="80"/>
  <c r="CK88" i="79"/>
  <c r="CD44" i="79"/>
  <c r="CD389" i="79" s="1"/>
  <c r="FE48" i="79"/>
  <c r="FE393" i="79" s="1"/>
  <c r="AW48" i="79"/>
  <c r="AW393" i="79" s="1"/>
  <c r="DZ44" i="79"/>
  <c r="DZ389" i="79" s="1"/>
  <c r="R409" i="79"/>
  <c r="Q88" i="80"/>
  <c r="AO88" i="79"/>
  <c r="CD406" i="80"/>
  <c r="CD450" i="80" s="1"/>
  <c r="DG421" i="80"/>
  <c r="DJ44" i="79"/>
  <c r="DJ389" i="79" s="1"/>
  <c r="BE88" i="80"/>
  <c r="EO48" i="80"/>
  <c r="EO393" i="80" s="1"/>
  <c r="EG88" i="79"/>
  <c r="EH44" i="79"/>
  <c r="EH389" i="79" s="1"/>
  <c r="EE406" i="79"/>
  <c r="EP406" i="80"/>
  <c r="EP450" i="80" s="1"/>
  <c r="BV406" i="79"/>
  <c r="EH406" i="80"/>
  <c r="EH450" i="80" s="1"/>
  <c r="FF406" i="80"/>
  <c r="FF450" i="80" s="1"/>
  <c r="CT44" i="79"/>
  <c r="CT389" i="79" s="1"/>
  <c r="AM421" i="80"/>
  <c r="AP44" i="79"/>
  <c r="AP389" i="79" s="1"/>
  <c r="CQ406" i="80"/>
  <c r="EX44" i="79"/>
  <c r="EX389" i="79" s="1"/>
  <c r="AH44" i="79"/>
  <c r="AH389" i="79" s="1"/>
  <c r="BN44" i="79"/>
  <c r="BN389" i="79" s="1"/>
  <c r="DJ40" i="79"/>
  <c r="DJ385" i="79" s="1"/>
  <c r="DB406" i="79"/>
  <c r="EP44" i="79"/>
  <c r="EP389" i="79" s="1"/>
  <c r="CT40" i="79"/>
  <c r="CT385" i="79" s="1"/>
  <c r="AH40" i="79"/>
  <c r="AH385" i="79" s="1"/>
  <c r="FF40" i="79"/>
  <c r="FF385" i="79" s="1"/>
  <c r="FN40" i="79"/>
  <c r="FN385" i="79" s="1"/>
  <c r="FN44" i="79"/>
  <c r="FN389" i="79" s="1"/>
  <c r="DR44" i="79"/>
  <c r="DR389" i="79" s="1"/>
  <c r="CL40" i="79"/>
  <c r="CL385" i="79" s="1"/>
  <c r="DB40" i="79"/>
  <c r="DB385" i="79" s="1"/>
  <c r="BL450" i="80"/>
  <c r="BL88" i="80" s="1"/>
  <c r="CT308" i="79"/>
  <c r="CL44" i="79"/>
  <c r="CL389" i="79" s="1"/>
  <c r="CJ450" i="80"/>
  <c r="AM406" i="80"/>
  <c r="DQ88" i="80"/>
  <c r="R44" i="79"/>
  <c r="R389" i="79" s="1"/>
  <c r="AE406" i="79"/>
  <c r="EU421" i="80"/>
  <c r="EX40" i="79"/>
  <c r="EX385" i="79" s="1"/>
  <c r="DI88" i="79"/>
  <c r="DZ406" i="80"/>
  <c r="DZ450" i="80" s="1"/>
  <c r="EH308" i="79"/>
  <c r="EH40" i="79"/>
  <c r="EH385" i="79" s="1"/>
  <c r="CD40" i="79"/>
  <c r="CD385" i="79" s="1"/>
  <c r="BF44" i="79"/>
  <c r="BF389" i="79" s="1"/>
  <c r="DG406" i="80"/>
  <c r="DR40" i="79"/>
  <c r="DR385" i="79" s="1"/>
  <c r="BN40" i="79"/>
  <c r="BN385" i="79" s="1"/>
  <c r="AH409" i="79"/>
  <c r="E34" i="35"/>
  <c r="E72" i="35" s="1"/>
  <c r="E34" i="82"/>
  <c r="E72" i="82" s="1"/>
  <c r="H46" i="80"/>
  <c r="H391" i="80" s="1"/>
  <c r="H437" i="80" s="1"/>
  <c r="H46" i="79"/>
  <c r="FL46" i="79" s="1"/>
  <c r="H46" i="85"/>
  <c r="J20" i="90" s="1"/>
  <c r="AP40" i="79"/>
  <c r="AP385" i="79" s="1"/>
  <c r="M12" i="111"/>
  <c r="H110" i="80"/>
  <c r="CB110" i="80" s="1"/>
  <c r="H110" i="79"/>
  <c r="EF110" i="79" s="1"/>
  <c r="H110" i="85"/>
  <c r="J59" i="90" s="1"/>
  <c r="AH450" i="80"/>
  <c r="AE406" i="80"/>
  <c r="DZ40" i="79"/>
  <c r="DZ385" i="79" s="1"/>
  <c r="AX44" i="79"/>
  <c r="AX389" i="79" s="1"/>
  <c r="AH409" i="80"/>
  <c r="AX409" i="79"/>
  <c r="AX406" i="79"/>
  <c r="BC406" i="79"/>
  <c r="EP40" i="79"/>
  <c r="EP385" i="79" s="1"/>
  <c r="BS406" i="80"/>
  <c r="BV40" i="79"/>
  <c r="BV385" i="79" s="1"/>
  <c r="AX40" i="79"/>
  <c r="AX385" i="79" s="1"/>
  <c r="R40" i="79"/>
  <c r="R385" i="79" s="1"/>
  <c r="J46" i="98"/>
  <c r="J16" i="98"/>
  <c r="DO406" i="79"/>
  <c r="G42" i="98"/>
  <c r="L65" i="166" s="1"/>
  <c r="H88" i="85"/>
  <c r="J43" i="90" s="1"/>
  <c r="H88" i="80"/>
  <c r="H88" i="79"/>
  <c r="H105" i="85"/>
  <c r="J54" i="90" s="1"/>
  <c r="H105" i="79"/>
  <c r="EV105" i="79" s="1"/>
  <c r="H105" i="80"/>
  <c r="CZ105" i="80" s="1"/>
  <c r="H111" i="79"/>
  <c r="AN111" i="79" s="1"/>
  <c r="H111" i="80"/>
  <c r="DH111" i="80" s="1"/>
  <c r="H111" i="85"/>
  <c r="J60" i="90" s="1"/>
  <c r="H41" i="80"/>
  <c r="H386" i="80" s="1"/>
  <c r="H41" i="85"/>
  <c r="J15" i="90" s="1"/>
  <c r="H41" i="79"/>
  <c r="H386" i="79" s="1"/>
  <c r="E29" i="82"/>
  <c r="E29" i="35"/>
  <c r="H376" i="79"/>
  <c r="H378" i="79" s="1"/>
  <c r="H379" i="79" s="1"/>
  <c r="H449" i="79" s="1"/>
  <c r="H371" i="85"/>
  <c r="J182" i="90" s="1"/>
  <c r="E21" i="35"/>
  <c r="H376" i="80"/>
  <c r="H378" i="80" s="1"/>
  <c r="H379" i="80" s="1"/>
  <c r="H449" i="80" s="1"/>
  <c r="I13" i="111"/>
  <c r="DQ88" i="79"/>
  <c r="AU406" i="80"/>
  <c r="H43" i="85"/>
  <c r="J17" i="90" s="1"/>
  <c r="H43" i="79"/>
  <c r="H388" i="79" s="1"/>
  <c r="E31" i="35"/>
  <c r="E31" i="82"/>
  <c r="H43" i="80"/>
  <c r="H388" i="80" s="1"/>
  <c r="H38" i="80"/>
  <c r="H383" i="80" s="1"/>
  <c r="H434" i="80" s="1"/>
  <c r="E26" i="82"/>
  <c r="E69" i="82" s="1"/>
  <c r="H38" i="85"/>
  <c r="J12" i="90" s="1"/>
  <c r="H38" i="79"/>
  <c r="P38" i="79" s="1"/>
  <c r="E26" i="35"/>
  <c r="E69" i="35" s="1"/>
  <c r="O406" i="80"/>
  <c r="BN308" i="79"/>
  <c r="E25" i="35"/>
  <c r="H37" i="80"/>
  <c r="H382" i="80" s="1"/>
  <c r="E25" i="82"/>
  <c r="H37" i="79"/>
  <c r="H382" i="79" s="1"/>
  <c r="H37" i="85"/>
  <c r="J11" i="90" s="1"/>
  <c r="H45" i="80"/>
  <c r="H390" i="80" s="1"/>
  <c r="H436" i="80" s="1"/>
  <c r="H45" i="79"/>
  <c r="DH45" i="79" s="1"/>
  <c r="E33" i="35"/>
  <c r="E71" i="35" s="1"/>
  <c r="E33" i="82"/>
  <c r="E71" i="82" s="1"/>
  <c r="H45" i="85"/>
  <c r="J19" i="90" s="1"/>
  <c r="Z44" i="79"/>
  <c r="Z389" i="79" s="1"/>
  <c r="E30" i="82"/>
  <c r="H42" i="85"/>
  <c r="J16" i="90" s="1"/>
  <c r="H42" i="80"/>
  <c r="H387" i="80" s="1"/>
  <c r="E30" i="35"/>
  <c r="H42" i="79"/>
  <c r="H387" i="79" s="1"/>
  <c r="DB44" i="79"/>
  <c r="DB389" i="79" s="1"/>
  <c r="BV44" i="79"/>
  <c r="BV389" i="79" s="1"/>
  <c r="K35" i="100"/>
  <c r="E36" i="82"/>
  <c r="H48" i="85"/>
  <c r="J22" i="90" s="1"/>
  <c r="H48" i="80"/>
  <c r="H393" i="80" s="1"/>
  <c r="E36" i="35"/>
  <c r="H48" i="79"/>
  <c r="H393" i="79" s="1"/>
  <c r="CL308" i="79"/>
  <c r="DJ308" i="79"/>
  <c r="CT406" i="79"/>
  <c r="CT409" i="79"/>
  <c r="DB308" i="79"/>
  <c r="J41" i="98"/>
  <c r="BM88" i="79"/>
  <c r="BF40" i="79"/>
  <c r="BF385" i="79" s="1"/>
  <c r="Z308" i="79"/>
  <c r="EX409" i="79"/>
  <c r="EX406" i="79"/>
  <c r="CD409" i="79"/>
  <c r="CD406" i="79"/>
  <c r="FC406" i="79"/>
  <c r="BF308" i="79"/>
  <c r="EX406" i="80"/>
  <c r="EX409" i="80"/>
  <c r="FM88" i="80"/>
  <c r="AP409" i="79"/>
  <c r="AP406" i="79"/>
  <c r="Z409" i="79"/>
  <c r="Z406" i="79"/>
  <c r="J23" i="100"/>
  <c r="AP308" i="79"/>
  <c r="CI406" i="79"/>
  <c r="AX308" i="79"/>
  <c r="CY406" i="80"/>
  <c r="DW421" i="80"/>
  <c r="BV308" i="79"/>
  <c r="I42" i="98"/>
  <c r="N65" i="166" s="1"/>
  <c r="J65" i="166" s="1"/>
  <c r="DO406" i="80"/>
  <c r="FC421" i="80"/>
  <c r="R308" i="79"/>
  <c r="I38" i="79"/>
  <c r="I38" i="85"/>
  <c r="K12" i="90" s="1"/>
  <c r="I38" i="80"/>
  <c r="F26" i="82"/>
  <c r="F69" i="82" s="1"/>
  <c r="F26" i="35"/>
  <c r="F69" i="35" s="1"/>
  <c r="J13" i="111"/>
  <c r="M7" i="111"/>
  <c r="I111" i="79"/>
  <c r="I111" i="85"/>
  <c r="K60" i="90" s="1"/>
  <c r="I111" i="80"/>
  <c r="CR308" i="80"/>
  <c r="CT308" i="80" s="1"/>
  <c r="CR40" i="80"/>
  <c r="CR44" i="80"/>
  <c r="P308" i="80"/>
  <c r="R308" i="80" s="1"/>
  <c r="P40" i="80"/>
  <c r="P44" i="80"/>
  <c r="AV308" i="80"/>
  <c r="AX308" i="80" s="1"/>
  <c r="AV40" i="80"/>
  <c r="AV44" i="80"/>
  <c r="CA421" i="80"/>
  <c r="EN308" i="80"/>
  <c r="EP308" i="80" s="1"/>
  <c r="EN40" i="80"/>
  <c r="EN44" i="80"/>
  <c r="FF308" i="79"/>
  <c r="J105" i="85"/>
  <c r="L54" i="90" s="1"/>
  <c r="J105" i="79"/>
  <c r="J105" i="80"/>
  <c r="FK406" i="80"/>
  <c r="I376" i="80"/>
  <c r="I376" i="79"/>
  <c r="I371" i="85"/>
  <c r="K182" i="90" s="1"/>
  <c r="F21" i="35"/>
  <c r="BL308" i="80"/>
  <c r="BN308" i="80" s="1"/>
  <c r="BL40" i="80"/>
  <c r="BL44" i="80"/>
  <c r="CZ308" i="80"/>
  <c r="DB308" i="80" s="1"/>
  <c r="CZ40" i="80"/>
  <c r="CZ44" i="80"/>
  <c r="EP308" i="79"/>
  <c r="BT308" i="80"/>
  <c r="BV308" i="80" s="1"/>
  <c r="BT40" i="80"/>
  <c r="BT44" i="80"/>
  <c r="O421" i="80"/>
  <c r="CB308" i="80"/>
  <c r="CD308" i="80" s="1"/>
  <c r="CB40" i="80"/>
  <c r="CB44" i="80"/>
  <c r="J41" i="80"/>
  <c r="J386" i="80" s="1"/>
  <c r="G29" i="35"/>
  <c r="G29" i="82"/>
  <c r="J41" i="79"/>
  <c r="J386" i="79" s="1"/>
  <c r="J41" i="85"/>
  <c r="L15" i="90" s="1"/>
  <c r="J38" i="80"/>
  <c r="J383" i="80" s="1"/>
  <c r="J434" i="80" s="1"/>
  <c r="G26" i="35"/>
  <c r="G69" i="35" s="1"/>
  <c r="J38" i="79"/>
  <c r="J38" i="85"/>
  <c r="L12" i="90" s="1"/>
  <c r="G26" i="82"/>
  <c r="G69" i="82" s="1"/>
  <c r="J256" i="85"/>
  <c r="L150" i="90" s="1"/>
  <c r="J256" i="79"/>
  <c r="J256" i="80"/>
  <c r="CD308" i="79"/>
  <c r="H12" i="98"/>
  <c r="M17" i="166" s="1"/>
  <c r="I17" i="166" s="1"/>
  <c r="J9" i="98"/>
  <c r="J12" i="98" s="1"/>
  <c r="I105" i="80"/>
  <c r="I105" i="79"/>
  <c r="I105" i="85"/>
  <c r="K54" i="90" s="1"/>
  <c r="I47" i="100"/>
  <c r="K47" i="100" s="1"/>
  <c r="K45" i="100"/>
  <c r="F34" i="35"/>
  <c r="F72" i="35" s="1"/>
  <c r="I46" i="79"/>
  <c r="I46" i="85"/>
  <c r="K20" i="90" s="1"/>
  <c r="I46" i="80"/>
  <c r="F34" i="82"/>
  <c r="F72" i="82" s="1"/>
  <c r="AN308" i="80"/>
  <c r="AP308" i="80" s="1"/>
  <c r="AN40" i="80"/>
  <c r="AN44" i="80"/>
  <c r="DH308" i="80"/>
  <c r="DJ308" i="80" s="1"/>
  <c r="DH40" i="80"/>
  <c r="DH44" i="80"/>
  <c r="J45" i="79"/>
  <c r="G33" i="35"/>
  <c r="G71" i="35" s="1"/>
  <c r="G33" i="82"/>
  <c r="G71" i="82" s="1"/>
  <c r="J45" i="80"/>
  <c r="J390" i="80" s="1"/>
  <c r="J436" i="80" s="1"/>
  <c r="J45" i="85"/>
  <c r="L19" i="90" s="1"/>
  <c r="J42" i="80"/>
  <c r="J387" i="80" s="1"/>
  <c r="J42" i="85"/>
  <c r="L16" i="90" s="1"/>
  <c r="J42" i="79"/>
  <c r="J387" i="79" s="1"/>
  <c r="G30" i="82"/>
  <c r="G30" i="35"/>
  <c r="J88" i="80"/>
  <c r="J88" i="79"/>
  <c r="J88" i="85"/>
  <c r="L43" i="90" s="1"/>
  <c r="H149" i="79"/>
  <c r="H149" i="85"/>
  <c r="J87" i="90" s="1"/>
  <c r="H149" i="80"/>
  <c r="F31" i="35"/>
  <c r="I43" i="79"/>
  <c r="F31" i="82"/>
  <c r="I43" i="85"/>
  <c r="K17" i="90" s="1"/>
  <c r="I43" i="80"/>
  <c r="I110" i="79"/>
  <c r="I110" i="80"/>
  <c r="I110" i="85"/>
  <c r="K59" i="90" s="1"/>
  <c r="I37" i="80"/>
  <c r="F25" i="35"/>
  <c r="I37" i="79"/>
  <c r="I37" i="85"/>
  <c r="K11" i="90" s="1"/>
  <c r="F25" i="82"/>
  <c r="M10" i="111"/>
  <c r="CJ308" i="80"/>
  <c r="CL308" i="80" s="1"/>
  <c r="CJ40" i="80"/>
  <c r="CJ44" i="80"/>
  <c r="AH308" i="79"/>
  <c r="K13" i="111"/>
  <c r="J110" i="80"/>
  <c r="J110" i="79"/>
  <c r="J110" i="85"/>
  <c r="L59" i="90" s="1"/>
  <c r="EE421" i="80"/>
  <c r="I48" i="80"/>
  <c r="I393" i="80" s="1"/>
  <c r="I48" i="85"/>
  <c r="K22" i="90" s="1"/>
  <c r="F36" i="35"/>
  <c r="F36" i="82"/>
  <c r="I48" i="79"/>
  <c r="I393" i="79" s="1"/>
  <c r="F30" i="35"/>
  <c r="F30" i="82"/>
  <c r="I42" i="80"/>
  <c r="I42" i="85"/>
  <c r="K16" i="90" s="1"/>
  <c r="I42" i="79"/>
  <c r="I41" i="85"/>
  <c r="K15" i="90" s="1"/>
  <c r="F29" i="82"/>
  <c r="I41" i="79"/>
  <c r="I41" i="80"/>
  <c r="F29" i="35"/>
  <c r="AF308" i="80"/>
  <c r="AH308" i="80" s="1"/>
  <c r="AF40" i="80"/>
  <c r="AF44" i="80"/>
  <c r="DP308" i="80"/>
  <c r="DR308" i="80" s="1"/>
  <c r="DP40" i="80"/>
  <c r="DP44" i="80"/>
  <c r="BC421" i="80"/>
  <c r="EV308" i="80"/>
  <c r="EX308" i="80" s="1"/>
  <c r="EV40" i="80"/>
  <c r="EV44" i="80"/>
  <c r="E21" i="108"/>
  <c r="DR308" i="79"/>
  <c r="EF308" i="80"/>
  <c r="EH308" i="80" s="1"/>
  <c r="EF44" i="80"/>
  <c r="EF40" i="80"/>
  <c r="I23" i="100"/>
  <c r="K21" i="100"/>
  <c r="K23" i="100" s="1"/>
  <c r="I45" i="79"/>
  <c r="F33" i="82"/>
  <c r="F71" i="82" s="1"/>
  <c r="F33" i="35"/>
  <c r="F71" i="35" s="1"/>
  <c r="I45" i="85"/>
  <c r="K19" i="90" s="1"/>
  <c r="I45" i="80"/>
  <c r="H42" i="98"/>
  <c r="M65" i="166" s="1"/>
  <c r="I65" i="166" s="1"/>
  <c r="J39" i="98"/>
  <c r="X308" i="80"/>
  <c r="Z308" i="80" s="1"/>
  <c r="X40" i="80"/>
  <c r="X44" i="80"/>
  <c r="G149" i="80"/>
  <c r="G149" i="85"/>
  <c r="I87" i="90" s="1"/>
  <c r="G149" i="79"/>
  <c r="DJ409" i="79"/>
  <c r="DJ406" i="79"/>
  <c r="BD308" i="80"/>
  <c r="BF308" i="80" s="1"/>
  <c r="BD44" i="80"/>
  <c r="BD40" i="80"/>
  <c r="G34" i="82"/>
  <c r="G72" i="82" s="1"/>
  <c r="J46" i="80"/>
  <c r="J391" i="80" s="1"/>
  <c r="J437" i="80" s="1"/>
  <c r="J46" i="79"/>
  <c r="G34" i="35"/>
  <c r="G72" i="35" s="1"/>
  <c r="J46" i="85"/>
  <c r="L20" i="90" s="1"/>
  <c r="G36" i="35"/>
  <c r="J48" i="79"/>
  <c r="J393" i="79" s="1"/>
  <c r="G36" i="82"/>
  <c r="J48" i="80"/>
  <c r="J393" i="80" s="1"/>
  <c r="J48" i="85"/>
  <c r="L22" i="90" s="1"/>
  <c r="G25" i="35"/>
  <c r="J37" i="85"/>
  <c r="L11" i="90" s="1"/>
  <c r="G25" i="82"/>
  <c r="J37" i="79"/>
  <c r="J382" i="79" s="1"/>
  <c r="J37" i="80"/>
  <c r="J382" i="80" s="1"/>
  <c r="EX308" i="79"/>
  <c r="FD308" i="80"/>
  <c r="FF308" i="80" s="1"/>
  <c r="FD44" i="80"/>
  <c r="FD40" i="80"/>
  <c r="H14" i="110"/>
  <c r="K9" i="110"/>
  <c r="I88" i="79"/>
  <c r="I88" i="80"/>
  <c r="I88" i="85"/>
  <c r="K43" i="90" s="1"/>
  <c r="M9" i="111"/>
  <c r="DZ308" i="79"/>
  <c r="DX308" i="80"/>
  <c r="DZ308" i="80" s="1"/>
  <c r="DX44" i="80"/>
  <c r="DX40" i="80"/>
  <c r="EM421" i="80"/>
  <c r="J376" i="79"/>
  <c r="J378" i="79" s="1"/>
  <c r="J379" i="79" s="1"/>
  <c r="J449" i="79" s="1"/>
  <c r="G21" i="35"/>
  <c r="J371" i="85"/>
  <c r="L182" i="90" s="1"/>
  <c r="J376" i="80"/>
  <c r="J378" i="80" s="1"/>
  <c r="J379" i="80" s="1"/>
  <c r="J449" i="80" s="1"/>
  <c r="G31" i="35"/>
  <c r="J43" i="80"/>
  <c r="J388" i="80" s="1"/>
  <c r="J43" i="85"/>
  <c r="L17" i="90" s="1"/>
  <c r="G31" i="82"/>
  <c r="J43" i="79"/>
  <c r="J388" i="79" s="1"/>
  <c r="J111" i="79"/>
  <c r="J111" i="80"/>
  <c r="J111" i="85"/>
  <c r="L60" i="90" s="1"/>
  <c r="FL308" i="80"/>
  <c r="FN308" i="80" s="1"/>
  <c r="FL44" i="80"/>
  <c r="FL40" i="80"/>
  <c r="BT88" i="80"/>
  <c r="BT48" i="80"/>
  <c r="CB88" i="80"/>
  <c r="CB48" i="80"/>
  <c r="CB88" i="79"/>
  <c r="CB48" i="79"/>
  <c r="DO257" i="80"/>
  <c r="DO260" i="80" s="1"/>
  <c r="DO322" i="80" s="1"/>
  <c r="EV88" i="80"/>
  <c r="EV48" i="80"/>
  <c r="CZ88" i="80"/>
  <c r="CZ48" i="80"/>
  <c r="DX88" i="80"/>
  <c r="DX48" i="80"/>
  <c r="CZ88" i="79"/>
  <c r="CZ48" i="79"/>
  <c r="AE257" i="79"/>
  <c r="AE260" i="79" s="1"/>
  <c r="AE322" i="79" s="1"/>
  <c r="BC257" i="79"/>
  <c r="BC260" i="79" s="1"/>
  <c r="BC322" i="79" s="1"/>
  <c r="DH88" i="80"/>
  <c r="DH48" i="80"/>
  <c r="O257" i="80"/>
  <c r="O260" i="80" s="1"/>
  <c r="O322" i="80" s="1"/>
  <c r="DG257" i="80"/>
  <c r="DG260" i="80" s="1"/>
  <c r="DG322" i="80" s="1"/>
  <c r="CQ257" i="80"/>
  <c r="CQ260" i="80" s="1"/>
  <c r="CQ322" i="80" s="1"/>
  <c r="DW257" i="79"/>
  <c r="DW260" i="79" s="1"/>
  <c r="DW322" i="79" s="1"/>
  <c r="DP88" i="80"/>
  <c r="DP48" i="80"/>
  <c r="FC257" i="80"/>
  <c r="FC260" i="80" s="1"/>
  <c r="FC322" i="80" s="1"/>
  <c r="BS257" i="80"/>
  <c r="BS260" i="80" s="1"/>
  <c r="BS322" i="80" s="1"/>
  <c r="Q70" i="82"/>
  <c r="Q84" i="82"/>
  <c r="S84" i="82" s="1"/>
  <c r="Q27" i="82"/>
  <c r="S22" i="82"/>
  <c r="CR88" i="80"/>
  <c r="CR48" i="80"/>
  <c r="CJ88" i="79"/>
  <c r="CJ48" i="79"/>
  <c r="EV88" i="79"/>
  <c r="EV48" i="79"/>
  <c r="EF88" i="79"/>
  <c r="EF48" i="79"/>
  <c r="AV88" i="80"/>
  <c r="AV48" i="80"/>
  <c r="CI257" i="80"/>
  <c r="CI260" i="80" s="1"/>
  <c r="CI322" i="80" s="1"/>
  <c r="EM257" i="79"/>
  <c r="EM260" i="79" s="1"/>
  <c r="EM322" i="79" s="1"/>
  <c r="CI257" i="79"/>
  <c r="CI260" i="79" s="1"/>
  <c r="CI322" i="79" s="1"/>
  <c r="EU257" i="79"/>
  <c r="EU260" i="79" s="1"/>
  <c r="EU322" i="79" s="1"/>
  <c r="AU257" i="80"/>
  <c r="AU260" i="80" s="1"/>
  <c r="AU322" i="80" s="1"/>
  <c r="DH88" i="79"/>
  <c r="DH48" i="79"/>
  <c r="AN88" i="79"/>
  <c r="AN48" i="79"/>
  <c r="EU257" i="80"/>
  <c r="EU260" i="80" s="1"/>
  <c r="EU322" i="80" s="1"/>
  <c r="EF88" i="80"/>
  <c r="EF48" i="80"/>
  <c r="AM257" i="79"/>
  <c r="AM260" i="79" s="1"/>
  <c r="AM322" i="79" s="1"/>
  <c r="AM257" i="80"/>
  <c r="AM260" i="80" s="1"/>
  <c r="AM322" i="80" s="1"/>
  <c r="EN88" i="79"/>
  <c r="EN105" i="79"/>
  <c r="EN48" i="79"/>
  <c r="P88" i="79"/>
  <c r="P48" i="79"/>
  <c r="FD88" i="80"/>
  <c r="FD48" i="80"/>
  <c r="BL88" i="79"/>
  <c r="BL38" i="79"/>
  <c r="BL48" i="79"/>
  <c r="CR88" i="79"/>
  <c r="CR48" i="79"/>
  <c r="AF88" i="79"/>
  <c r="AF48" i="79"/>
  <c r="W257" i="79"/>
  <c r="W260" i="79" s="1"/>
  <c r="W322" i="79" s="1"/>
  <c r="EE257" i="80"/>
  <c r="EE260" i="80" s="1"/>
  <c r="EE322" i="80" s="1"/>
  <c r="H256" i="85"/>
  <c r="J150" i="90" s="1"/>
  <c r="BK257" i="79"/>
  <c r="BK260" i="79" s="1"/>
  <c r="BK322" i="79" s="1"/>
  <c r="DG257" i="79"/>
  <c r="DG260" i="79" s="1"/>
  <c r="DG322" i="79" s="1"/>
  <c r="X88" i="79"/>
  <c r="X48" i="79"/>
  <c r="O406" i="79"/>
  <c r="BK406" i="79"/>
  <c r="BS257" i="79"/>
  <c r="BS260" i="79" s="1"/>
  <c r="BS322" i="79" s="1"/>
  <c r="P88" i="80"/>
  <c r="P48" i="80"/>
  <c r="BD88" i="80"/>
  <c r="BD48" i="80"/>
  <c r="CQ257" i="79"/>
  <c r="CQ260" i="79" s="1"/>
  <c r="CQ322" i="79" s="1"/>
  <c r="FD88" i="79"/>
  <c r="FD48" i="79"/>
  <c r="FK406" i="79"/>
  <c r="FL88" i="80"/>
  <c r="FL48" i="80"/>
  <c r="DX88" i="79"/>
  <c r="DX48" i="79"/>
  <c r="BK257" i="80"/>
  <c r="BK260" i="80" s="1"/>
  <c r="BK322" i="80" s="1"/>
  <c r="W406" i="80"/>
  <c r="AV88" i="79"/>
  <c r="AV38" i="79"/>
  <c r="AV48" i="79"/>
  <c r="FC257" i="79"/>
  <c r="FC260" i="79" s="1"/>
  <c r="FC322" i="79" s="1"/>
  <c r="DW257" i="80"/>
  <c r="DW260" i="80" s="1"/>
  <c r="DW322" i="80" s="1"/>
  <c r="FK257" i="80"/>
  <c r="FK260" i="80" s="1"/>
  <c r="FK322" i="80" s="1"/>
  <c r="AN88" i="80"/>
  <c r="AN48" i="80"/>
  <c r="FL88" i="79"/>
  <c r="FL48" i="79"/>
  <c r="BT88" i="79"/>
  <c r="BT48" i="79"/>
  <c r="X88" i="80"/>
  <c r="X48" i="80"/>
  <c r="CA257" i="79"/>
  <c r="CA260" i="79" s="1"/>
  <c r="CA322" i="79" s="1"/>
  <c r="W257" i="80"/>
  <c r="W260" i="80" s="1"/>
  <c r="W322" i="80" s="1"/>
  <c r="EE257" i="79"/>
  <c r="EE260" i="79" s="1"/>
  <c r="EE322" i="79" s="1"/>
  <c r="R82" i="35"/>
  <c r="FK257" i="79"/>
  <c r="FK260" i="79" s="1"/>
  <c r="FK322" i="79" s="1"/>
  <c r="BC257" i="80"/>
  <c r="BC260" i="80" s="1"/>
  <c r="BC322" i="80" s="1"/>
  <c r="CY257" i="80"/>
  <c r="CY260" i="80" s="1"/>
  <c r="CY322" i="80" s="1"/>
  <c r="CA257" i="80"/>
  <c r="CA260" i="80" s="1"/>
  <c r="CA322" i="80" s="1"/>
  <c r="DO257" i="79"/>
  <c r="DO260" i="79" s="1"/>
  <c r="DO322" i="79" s="1"/>
  <c r="AU257" i="79"/>
  <c r="AU260" i="79" s="1"/>
  <c r="AU322" i="79" s="1"/>
  <c r="BD88" i="79"/>
  <c r="BD48" i="79"/>
  <c r="Q70" i="35"/>
  <c r="S22" i="35"/>
  <c r="Q84" i="35"/>
  <c r="S84" i="35" s="1"/>
  <c r="Q27" i="35"/>
  <c r="O257" i="79"/>
  <c r="O260" i="79" s="1"/>
  <c r="O322" i="79" s="1"/>
  <c r="EM257" i="80"/>
  <c r="EM260" i="80" s="1"/>
  <c r="EM322" i="80" s="1"/>
  <c r="AE257" i="80"/>
  <c r="AE260" i="80" s="1"/>
  <c r="AE322" i="80" s="1"/>
  <c r="DP88" i="79"/>
  <c r="DP48" i="79"/>
  <c r="CY257" i="79"/>
  <c r="CY260" i="79" s="1"/>
  <c r="CY322" i="79" s="1"/>
  <c r="EN88" i="80"/>
  <c r="EN48" i="80"/>
  <c r="R82" i="82"/>
  <c r="AA30" i="83"/>
  <c r="AA31" i="83" s="1"/>
  <c r="AF88" i="80"/>
  <c r="AF48" i="80"/>
  <c r="G22" i="35" l="1"/>
  <c r="H256" i="79"/>
  <c r="DX38" i="79"/>
  <c r="H18" i="171"/>
  <c r="H17" i="171"/>
  <c r="BL105" i="79"/>
  <c r="H9" i="108"/>
  <c r="L82" i="169" s="1"/>
  <c r="H65" i="166"/>
  <c r="H65" i="80" s="1"/>
  <c r="BC406" i="80"/>
  <c r="CA406" i="80"/>
  <c r="CR45" i="79"/>
  <c r="CR436" i="79" s="1"/>
  <c r="EN110" i="80"/>
  <c r="EF110" i="80"/>
  <c r="AF37" i="80"/>
  <c r="AF382" i="80" s="1"/>
  <c r="DX45" i="79"/>
  <c r="DX390" i="79" s="1"/>
  <c r="FD41" i="79"/>
  <c r="FD386" i="79" s="1"/>
  <c r="BT45" i="79"/>
  <c r="BT390" i="79" s="1"/>
  <c r="DW406" i="79"/>
  <c r="J294" i="80"/>
  <c r="J294" i="85"/>
  <c r="L164" i="90" s="1"/>
  <c r="EF376" i="80"/>
  <c r="EF378" i="80" s="1"/>
  <c r="EF379" i="80" s="1"/>
  <c r="CB105" i="79"/>
  <c r="X105" i="80"/>
  <c r="DX42" i="79"/>
  <c r="DX387" i="79" s="1"/>
  <c r="AV41" i="79"/>
  <c r="AV386" i="79" s="1"/>
  <c r="DW406" i="80"/>
  <c r="CR41" i="79"/>
  <c r="CR386" i="79" s="1"/>
  <c r="CZ38" i="80"/>
  <c r="CZ383" i="80" s="1"/>
  <c r="CZ434" i="80" s="1"/>
  <c r="X38" i="80"/>
  <c r="X383" i="80" s="1"/>
  <c r="X434" i="80" s="1"/>
  <c r="AV105" i="79"/>
  <c r="P38" i="80"/>
  <c r="P383" i="80" s="1"/>
  <c r="P434" i="80" s="1"/>
  <c r="X105" i="79"/>
  <c r="EV38" i="80"/>
  <c r="EV383" i="80" s="1"/>
  <c r="EV434" i="80" s="1"/>
  <c r="CB38" i="80"/>
  <c r="CB383" i="80" s="1"/>
  <c r="CB434" i="80" s="1"/>
  <c r="EM406" i="79"/>
  <c r="J65" i="79"/>
  <c r="EN38" i="80"/>
  <c r="EN383" i="80" s="1"/>
  <c r="EN434" i="80" s="1"/>
  <c r="P43" i="80"/>
  <c r="P388" i="80" s="1"/>
  <c r="CR105" i="79"/>
  <c r="AN105" i="79"/>
  <c r="CZ105" i="79"/>
  <c r="DX105" i="79"/>
  <c r="BD42" i="79"/>
  <c r="BD387" i="79" s="1"/>
  <c r="X43" i="80"/>
  <c r="X388" i="80" s="1"/>
  <c r="FD105" i="79"/>
  <c r="AF42" i="79"/>
  <c r="AF387" i="79" s="1"/>
  <c r="CJ105" i="79"/>
  <c r="FL42" i="79"/>
  <c r="FL387" i="79" s="1"/>
  <c r="FL38" i="80"/>
  <c r="FL383" i="80" s="1"/>
  <c r="FL434" i="80" s="1"/>
  <c r="EF38" i="80"/>
  <c r="EF383" i="80" s="1"/>
  <c r="EF434" i="80" s="1"/>
  <c r="EF105" i="79"/>
  <c r="CR38" i="80"/>
  <c r="CR383" i="80" s="1"/>
  <c r="CR434" i="80" s="1"/>
  <c r="DH38" i="80"/>
  <c r="DH383" i="80" s="1"/>
  <c r="DH434" i="80" s="1"/>
  <c r="DX38" i="80"/>
  <c r="DX383" i="80" s="1"/>
  <c r="DX434" i="80" s="1"/>
  <c r="DP105" i="79"/>
  <c r="FD38" i="80"/>
  <c r="FD383" i="80" s="1"/>
  <c r="FD434" i="80" s="1"/>
  <c r="I65" i="80"/>
  <c r="BD105" i="79"/>
  <c r="BD38" i="80"/>
  <c r="BD383" i="80" s="1"/>
  <c r="BD434" i="80" s="1"/>
  <c r="DP38" i="80"/>
  <c r="DP383" i="80" s="1"/>
  <c r="DP434" i="80" s="1"/>
  <c r="BT38" i="80"/>
  <c r="BT383" i="80" s="1"/>
  <c r="BT434" i="80" s="1"/>
  <c r="AF41" i="79"/>
  <c r="AF386" i="79" s="1"/>
  <c r="AF38" i="80"/>
  <c r="AF383" i="80" s="1"/>
  <c r="AF434" i="80" s="1"/>
  <c r="BT42" i="79"/>
  <c r="BT387" i="79" s="1"/>
  <c r="FL105" i="79"/>
  <c r="AF105" i="79"/>
  <c r="P105" i="79"/>
  <c r="DH105" i="79"/>
  <c r="AV38" i="80"/>
  <c r="AV383" i="80" s="1"/>
  <c r="AV434" i="80" s="1"/>
  <c r="EV42" i="79"/>
  <c r="EV387" i="79" s="1"/>
  <c r="BT105" i="79"/>
  <c r="DP42" i="79"/>
  <c r="DP387" i="79" s="1"/>
  <c r="AN38" i="80"/>
  <c r="AN383" i="80" s="1"/>
  <c r="AN434" i="80" s="1"/>
  <c r="AV42" i="79"/>
  <c r="AV387" i="79" s="1"/>
  <c r="FD42" i="79"/>
  <c r="FD387" i="79" s="1"/>
  <c r="CZ111" i="80"/>
  <c r="AV45" i="79"/>
  <c r="AV436" i="79" s="1"/>
  <c r="AF45" i="79"/>
  <c r="AF436" i="79" s="1"/>
  <c r="BD45" i="79"/>
  <c r="BD390" i="79" s="1"/>
  <c r="FD46" i="79"/>
  <c r="FD391" i="79" s="1"/>
  <c r="FD45" i="79"/>
  <c r="FD390" i="79" s="1"/>
  <c r="EN45" i="79"/>
  <c r="EN436" i="79" s="1"/>
  <c r="DP46" i="79"/>
  <c r="DP437" i="79" s="1"/>
  <c r="DP45" i="79"/>
  <c r="DP436" i="79" s="1"/>
  <c r="X45" i="79"/>
  <c r="X436" i="79" s="1"/>
  <c r="EF45" i="79"/>
  <c r="EF436" i="79" s="1"/>
  <c r="FL45" i="79"/>
  <c r="FL436" i="79" s="1"/>
  <c r="CZ45" i="79"/>
  <c r="CZ436" i="79" s="1"/>
  <c r="BD46" i="79"/>
  <c r="BD437" i="79" s="1"/>
  <c r="P45" i="79"/>
  <c r="P436" i="79" s="1"/>
  <c r="BL45" i="79"/>
  <c r="BL390" i="79" s="1"/>
  <c r="EF46" i="79"/>
  <c r="EF391" i="79" s="1"/>
  <c r="CR46" i="79"/>
  <c r="CR391" i="79" s="1"/>
  <c r="BL38" i="80"/>
  <c r="BL383" i="80" s="1"/>
  <c r="BL434" i="80" s="1"/>
  <c r="EE406" i="80"/>
  <c r="BL105" i="80"/>
  <c r="EM406" i="80"/>
  <c r="AN37" i="80"/>
  <c r="AN382" i="80" s="1"/>
  <c r="X37" i="80"/>
  <c r="X382" i="80" s="1"/>
  <c r="BD105" i="80"/>
  <c r="CB105" i="80"/>
  <c r="DX105" i="80"/>
  <c r="FL105" i="80"/>
  <c r="BL37" i="80"/>
  <c r="BL382" i="80" s="1"/>
  <c r="FL37" i="80"/>
  <c r="EN105" i="80"/>
  <c r="AN105" i="80"/>
  <c r="BL48" i="80"/>
  <c r="BN48" i="80" s="1"/>
  <c r="BN393" i="80" s="1"/>
  <c r="P105" i="80"/>
  <c r="AF105" i="80"/>
  <c r="BD37" i="80"/>
  <c r="BD382" i="80" s="1"/>
  <c r="CR105" i="80"/>
  <c r="EN37" i="80"/>
  <c r="EN382" i="80" s="1"/>
  <c r="FD37" i="80"/>
  <c r="FD382" i="80" s="1"/>
  <c r="AV376" i="79"/>
  <c r="AV378" i="79" s="1"/>
  <c r="AV379" i="79" s="1"/>
  <c r="DX111" i="79"/>
  <c r="P111" i="79"/>
  <c r="FL111" i="79"/>
  <c r="BD376" i="79"/>
  <c r="BD378" i="79" s="1"/>
  <c r="BD379" i="79" s="1"/>
  <c r="P376" i="79"/>
  <c r="P378" i="79" s="1"/>
  <c r="P379" i="79" s="1"/>
  <c r="BT111" i="79"/>
  <c r="EV376" i="79"/>
  <c r="EV378" i="79" s="1"/>
  <c r="EV379" i="79" s="1"/>
  <c r="CR376" i="79"/>
  <c r="CR378" i="79" s="1"/>
  <c r="CR379" i="79" s="1"/>
  <c r="FC406" i="80"/>
  <c r="EN46" i="79"/>
  <c r="EN391" i="79" s="1"/>
  <c r="AF46" i="79"/>
  <c r="AF437" i="79" s="1"/>
  <c r="DX376" i="80"/>
  <c r="DX378" i="80" s="1"/>
  <c r="DX379" i="80" s="1"/>
  <c r="CJ46" i="79"/>
  <c r="CJ437" i="79" s="1"/>
  <c r="EN45" i="80"/>
  <c r="EN390" i="80" s="1"/>
  <c r="EN436" i="80" s="1"/>
  <c r="X46" i="79"/>
  <c r="X391" i="79" s="1"/>
  <c r="BV450" i="79"/>
  <c r="BV48" i="79" s="1"/>
  <c r="BV393" i="79" s="1"/>
  <c r="BS406" i="79"/>
  <c r="DX46" i="79"/>
  <c r="DX391" i="79" s="1"/>
  <c r="BL45" i="80"/>
  <c r="BL390" i="80" s="1"/>
  <c r="BL436" i="80" s="1"/>
  <c r="AN46" i="79"/>
  <c r="AN391" i="79" s="1"/>
  <c r="CB41" i="80"/>
  <c r="CB386" i="80" s="1"/>
  <c r="AV46" i="79"/>
  <c r="AV391" i="79" s="1"/>
  <c r="EV46" i="79"/>
  <c r="EV391" i="79" s="1"/>
  <c r="CZ46" i="79"/>
  <c r="CZ391" i="79" s="1"/>
  <c r="BL46" i="79"/>
  <c r="BL437" i="79" s="1"/>
  <c r="DH46" i="79"/>
  <c r="DH437" i="79" s="1"/>
  <c r="CZ41" i="80"/>
  <c r="CZ386" i="80" s="1"/>
  <c r="CB46" i="79"/>
  <c r="CB391" i="79" s="1"/>
  <c r="P46" i="79"/>
  <c r="P437" i="79" s="1"/>
  <c r="X376" i="80"/>
  <c r="X378" i="80" s="1"/>
  <c r="X379" i="80" s="1"/>
  <c r="X41" i="80"/>
  <c r="X386" i="80" s="1"/>
  <c r="BT46" i="79"/>
  <c r="BT437" i="79" s="1"/>
  <c r="CB42" i="79"/>
  <c r="CB387" i="79" s="1"/>
  <c r="X110" i="79"/>
  <c r="H17" i="85"/>
  <c r="J3" i="90" s="1"/>
  <c r="CR42" i="79"/>
  <c r="CR387" i="79" s="1"/>
  <c r="FD105" i="80"/>
  <c r="EF105" i="80"/>
  <c r="DH42" i="79"/>
  <c r="DH387" i="79" s="1"/>
  <c r="DP105" i="80"/>
  <c r="DH37" i="80"/>
  <c r="DH382" i="80" s="1"/>
  <c r="CZ37" i="80"/>
  <c r="CZ382" i="80" s="1"/>
  <c r="BT37" i="80"/>
  <c r="BT382" i="80" s="1"/>
  <c r="X42" i="79"/>
  <c r="X387" i="79" s="1"/>
  <c r="BL42" i="79"/>
  <c r="BL387" i="79" s="1"/>
  <c r="EF42" i="79"/>
  <c r="EF387" i="79" s="1"/>
  <c r="CR37" i="80"/>
  <c r="CR382" i="80" s="1"/>
  <c r="P42" i="79"/>
  <c r="P387" i="79" s="1"/>
  <c r="EN42" i="79"/>
  <c r="EN387" i="79" s="1"/>
  <c r="EF37" i="80"/>
  <c r="EF382" i="80" s="1"/>
  <c r="AV37" i="80"/>
  <c r="AV382" i="80" s="1"/>
  <c r="DH105" i="80"/>
  <c r="DX37" i="80"/>
  <c r="DX382" i="80" s="1"/>
  <c r="EV105" i="80"/>
  <c r="BT105" i="80"/>
  <c r="AN42" i="79"/>
  <c r="AN387" i="79" s="1"/>
  <c r="P37" i="80"/>
  <c r="P382" i="80" s="1"/>
  <c r="AV105" i="80"/>
  <c r="CJ42" i="79"/>
  <c r="CJ387" i="79" s="1"/>
  <c r="DP37" i="80"/>
  <c r="DP382" i="80" s="1"/>
  <c r="H294" i="85"/>
  <c r="J164" i="90" s="1"/>
  <c r="H294" i="79"/>
  <c r="H294" i="80"/>
  <c r="DX111" i="80"/>
  <c r="CB111" i="80"/>
  <c r="AF110" i="80"/>
  <c r="CR37" i="79"/>
  <c r="CR382" i="79" s="1"/>
  <c r="AN110" i="80"/>
  <c r="AF38" i="79"/>
  <c r="AF434" i="79" s="1"/>
  <c r="DP37" i="79"/>
  <c r="DP382" i="79" s="1"/>
  <c r="DB450" i="79"/>
  <c r="DB88" i="79" s="1"/>
  <c r="CY406" i="79"/>
  <c r="X37" i="79"/>
  <c r="X382" i="79" s="1"/>
  <c r="P37" i="79"/>
  <c r="P382" i="79" s="1"/>
  <c r="EV111" i="80"/>
  <c r="EN111" i="80"/>
  <c r="X111" i="80"/>
  <c r="CJ38" i="80"/>
  <c r="CJ383" i="80" s="1"/>
  <c r="CJ434" i="80" s="1"/>
  <c r="AN111" i="80"/>
  <c r="FL110" i="80"/>
  <c r="BL46" i="80"/>
  <c r="BL391" i="80" s="1"/>
  <c r="BL437" i="80" s="1"/>
  <c r="AF37" i="79"/>
  <c r="AF382" i="79" s="1"/>
  <c r="FD110" i="80"/>
  <c r="AV110" i="80"/>
  <c r="CJ38" i="79"/>
  <c r="CJ434" i="79" s="1"/>
  <c r="CB110" i="79"/>
  <c r="EF43" i="79"/>
  <c r="EF388" i="79" s="1"/>
  <c r="EN46" i="80"/>
  <c r="EN391" i="80" s="1"/>
  <c r="EN437" i="80" s="1"/>
  <c r="DX37" i="79"/>
  <c r="DX382" i="79" s="1"/>
  <c r="FL111" i="80"/>
  <c r="FD37" i="79"/>
  <c r="FD382" i="79" s="1"/>
  <c r="CR38" i="79"/>
  <c r="CR383" i="79" s="1"/>
  <c r="EN38" i="79"/>
  <c r="EN434" i="79" s="1"/>
  <c r="AV111" i="80"/>
  <c r="EF38" i="79"/>
  <c r="EF383" i="79" s="1"/>
  <c r="EV38" i="79"/>
  <c r="EV434" i="79" s="1"/>
  <c r="CJ37" i="79"/>
  <c r="CJ382" i="79" s="1"/>
  <c r="DP110" i="80"/>
  <c r="CZ38" i="79"/>
  <c r="CZ383" i="79" s="1"/>
  <c r="CZ46" i="80"/>
  <c r="CZ391" i="80" s="1"/>
  <c r="CZ437" i="80" s="1"/>
  <c r="EV46" i="80"/>
  <c r="EV391" i="80" s="1"/>
  <c r="EV437" i="80" s="1"/>
  <c r="BD43" i="79"/>
  <c r="BD388" i="79" s="1"/>
  <c r="DP38" i="79"/>
  <c r="DP383" i="79" s="1"/>
  <c r="FL38" i="79"/>
  <c r="FL383" i="79" s="1"/>
  <c r="AV37" i="79"/>
  <c r="AV382" i="79" s="1"/>
  <c r="BD110" i="80"/>
  <c r="X38" i="79"/>
  <c r="X434" i="79" s="1"/>
  <c r="BL37" i="79"/>
  <c r="BL382" i="79" s="1"/>
  <c r="AN37" i="79"/>
  <c r="AN382" i="79" s="1"/>
  <c r="DH37" i="79"/>
  <c r="DH382" i="79" s="1"/>
  <c r="EV37" i="79"/>
  <c r="EV382" i="79" s="1"/>
  <c r="CR110" i="80"/>
  <c r="DP111" i="80"/>
  <c r="BT38" i="79"/>
  <c r="BT383" i="79" s="1"/>
  <c r="P111" i="80"/>
  <c r="FD111" i="80"/>
  <c r="EN37" i="79"/>
  <c r="EN382" i="79" s="1"/>
  <c r="AN38" i="79"/>
  <c r="AN383" i="79" s="1"/>
  <c r="DH38" i="79"/>
  <c r="DH383" i="79" s="1"/>
  <c r="EF37" i="79"/>
  <c r="EF382" i="79" s="1"/>
  <c r="DX110" i="80"/>
  <c r="CB37" i="79"/>
  <c r="CB382" i="79" s="1"/>
  <c r="BT111" i="80"/>
  <c r="BD37" i="79"/>
  <c r="BD382" i="79" s="1"/>
  <c r="FD38" i="79"/>
  <c r="FD383" i="79" s="1"/>
  <c r="BL111" i="80"/>
  <c r="BD38" i="79"/>
  <c r="BD434" i="79" s="1"/>
  <c r="X110" i="80"/>
  <c r="BT37" i="79"/>
  <c r="BT382" i="79" s="1"/>
  <c r="FL37" i="79"/>
  <c r="FL382" i="79" s="1"/>
  <c r="P110" i="80"/>
  <c r="DH110" i="80"/>
  <c r="CZ37" i="79"/>
  <c r="CZ382" i="79" s="1"/>
  <c r="EV110" i="80"/>
  <c r="CB38" i="79"/>
  <c r="CB383" i="79" s="1"/>
  <c r="BT110" i="80"/>
  <c r="BD111" i="80"/>
  <c r="CJ37" i="80"/>
  <c r="CJ382" i="80" s="1"/>
  <c r="AF111" i="80"/>
  <c r="BL110" i="80"/>
  <c r="EN110" i="79"/>
  <c r="EF111" i="80"/>
  <c r="EV110" i="79"/>
  <c r="CR111" i="80"/>
  <c r="CZ110" i="80"/>
  <c r="X46" i="80"/>
  <c r="X391" i="80" s="1"/>
  <c r="X437" i="80" s="1"/>
  <c r="FL46" i="80"/>
  <c r="FL391" i="80" s="1"/>
  <c r="FL437" i="80" s="1"/>
  <c r="BD46" i="80"/>
  <c r="BD391" i="80" s="1"/>
  <c r="BD437" i="80" s="1"/>
  <c r="P46" i="80"/>
  <c r="P391" i="80" s="1"/>
  <c r="P437" i="80" s="1"/>
  <c r="CJ110" i="80"/>
  <c r="CR110" i="79"/>
  <c r="BL110" i="79"/>
  <c r="H17" i="79"/>
  <c r="EN17" i="79" s="1"/>
  <c r="CB46" i="80"/>
  <c r="CB391" i="80" s="1"/>
  <c r="CB437" i="80" s="1"/>
  <c r="BT46" i="80"/>
  <c r="BT391" i="80" s="1"/>
  <c r="BT437" i="80" s="1"/>
  <c r="DP110" i="79"/>
  <c r="BD110" i="79"/>
  <c r="AN46" i="80"/>
  <c r="AN391" i="80" s="1"/>
  <c r="AN437" i="80" s="1"/>
  <c r="CJ111" i="80"/>
  <c r="BL43" i="79"/>
  <c r="BL388" i="79" s="1"/>
  <c r="DP46" i="80"/>
  <c r="DP391" i="80" s="1"/>
  <c r="DP437" i="80" s="1"/>
  <c r="CZ43" i="79"/>
  <c r="CZ388" i="79" s="1"/>
  <c r="CB43" i="79"/>
  <c r="CB388" i="79" s="1"/>
  <c r="AV110" i="79"/>
  <c r="CJ105" i="80"/>
  <c r="AF110" i="79"/>
  <c r="CR43" i="79"/>
  <c r="CR388" i="79" s="1"/>
  <c r="P110" i="79"/>
  <c r="EN43" i="79"/>
  <c r="EN388" i="79" s="1"/>
  <c r="CJ110" i="79"/>
  <c r="DH46" i="80"/>
  <c r="DH391" i="80" s="1"/>
  <c r="DH437" i="80" s="1"/>
  <c r="CZ110" i="79"/>
  <c r="BT110" i="79"/>
  <c r="FD110" i="79"/>
  <c r="X43" i="79"/>
  <c r="X388" i="79" s="1"/>
  <c r="CJ88" i="80"/>
  <c r="CL88" i="80" s="1"/>
  <c r="FD46" i="80"/>
  <c r="FD391" i="80" s="1"/>
  <c r="FD437" i="80" s="1"/>
  <c r="DH43" i="79"/>
  <c r="DH388" i="79" s="1"/>
  <c r="EV43" i="79"/>
  <c r="EV388" i="79" s="1"/>
  <c r="CR46" i="80"/>
  <c r="CR391" i="80" s="1"/>
  <c r="CR437" i="80" s="1"/>
  <c r="DX110" i="79"/>
  <c r="FD43" i="79"/>
  <c r="FD388" i="79" s="1"/>
  <c r="AF46" i="80"/>
  <c r="AF391" i="80" s="1"/>
  <c r="AF437" i="80" s="1"/>
  <c r="BT43" i="79"/>
  <c r="BT388" i="79" s="1"/>
  <c r="FL43" i="79"/>
  <c r="FL388" i="79" s="1"/>
  <c r="AV43" i="79"/>
  <c r="AV388" i="79" s="1"/>
  <c r="CJ46" i="80"/>
  <c r="CJ391" i="80" s="1"/>
  <c r="CJ437" i="80" s="1"/>
  <c r="AN43" i="79"/>
  <c r="AN388" i="79" s="1"/>
  <c r="AN110" i="79"/>
  <c r="E55" i="35"/>
  <c r="R55" i="35" s="1"/>
  <c r="DX46" i="80"/>
  <c r="DX391" i="80" s="1"/>
  <c r="DX437" i="80" s="1"/>
  <c r="CJ48" i="80"/>
  <c r="CL48" i="80" s="1"/>
  <c r="CL393" i="80" s="1"/>
  <c r="P43" i="79"/>
  <c r="P388" i="79" s="1"/>
  <c r="DH110" i="79"/>
  <c r="E55" i="82"/>
  <c r="Q55" i="82" s="1"/>
  <c r="DP43" i="79"/>
  <c r="DP388" i="79" s="1"/>
  <c r="FL110" i="79"/>
  <c r="DX43" i="79"/>
  <c r="DX388" i="79" s="1"/>
  <c r="AF43" i="79"/>
  <c r="AF388" i="79" s="1"/>
  <c r="EF46" i="80"/>
  <c r="EF391" i="80" s="1"/>
  <c r="EF437" i="80" s="1"/>
  <c r="AV46" i="80"/>
  <c r="AV391" i="80" s="1"/>
  <c r="AV437" i="80" s="1"/>
  <c r="CJ43" i="79"/>
  <c r="CJ388" i="79" s="1"/>
  <c r="CJ45" i="79"/>
  <c r="CJ436" i="79" s="1"/>
  <c r="EV45" i="79"/>
  <c r="EV436" i="79" s="1"/>
  <c r="AN45" i="79"/>
  <c r="AN390" i="79" s="1"/>
  <c r="CR111" i="79"/>
  <c r="DH376" i="79"/>
  <c r="DH378" i="79" s="1"/>
  <c r="DH379" i="79" s="1"/>
  <c r="EV111" i="79"/>
  <c r="CJ111" i="79"/>
  <c r="X376" i="79"/>
  <c r="X378" i="79" s="1"/>
  <c r="X379" i="79" s="1"/>
  <c r="DP376" i="79"/>
  <c r="DP378" i="79" s="1"/>
  <c r="DP379" i="79" s="1"/>
  <c r="AV111" i="79"/>
  <c r="X111" i="79"/>
  <c r="AF376" i="79"/>
  <c r="AF378" i="79" s="1"/>
  <c r="AF379" i="79" s="1"/>
  <c r="EN111" i="79"/>
  <c r="DH111" i="79"/>
  <c r="CJ376" i="79"/>
  <c r="CJ378" i="79" s="1"/>
  <c r="CJ379" i="79" s="1"/>
  <c r="BT376" i="79"/>
  <c r="BT378" i="79" s="1"/>
  <c r="BT379" i="79" s="1"/>
  <c r="FD111" i="79"/>
  <c r="AF111" i="79"/>
  <c r="BL376" i="79"/>
  <c r="BL378" i="79" s="1"/>
  <c r="BL379" i="79" s="1"/>
  <c r="EN376" i="79"/>
  <c r="EN378" i="79" s="1"/>
  <c r="EN379" i="79" s="1"/>
  <c r="FL376" i="79"/>
  <c r="FL378" i="79" s="1"/>
  <c r="FL379" i="79" s="1"/>
  <c r="BL111" i="79"/>
  <c r="EF376" i="79"/>
  <c r="EF378" i="79" s="1"/>
  <c r="EF379" i="79" s="1"/>
  <c r="CB376" i="79"/>
  <c r="CB378" i="79" s="1"/>
  <c r="CB379" i="79" s="1"/>
  <c r="DX376" i="79"/>
  <c r="DX378" i="79" s="1"/>
  <c r="DX379" i="79" s="1"/>
  <c r="AN376" i="79"/>
  <c r="AN378" i="79" s="1"/>
  <c r="AN379" i="79" s="1"/>
  <c r="EF111" i="79"/>
  <c r="CZ111" i="79"/>
  <c r="CB111" i="79"/>
  <c r="H437" i="79"/>
  <c r="H391" i="79"/>
  <c r="DP111" i="79"/>
  <c r="BD111" i="79"/>
  <c r="FD376" i="79"/>
  <c r="FD378" i="79" s="1"/>
  <c r="FD379" i="79" s="1"/>
  <c r="CZ376" i="79"/>
  <c r="CZ378" i="79" s="1"/>
  <c r="CZ379" i="79" s="1"/>
  <c r="AF45" i="80"/>
  <c r="AF390" i="80" s="1"/>
  <c r="AF436" i="80" s="1"/>
  <c r="X45" i="80"/>
  <c r="X390" i="80" s="1"/>
  <c r="X436" i="80" s="1"/>
  <c r="P376" i="80"/>
  <c r="P378" i="80" s="1"/>
  <c r="P379" i="80" s="1"/>
  <c r="CB45" i="80"/>
  <c r="CB390" i="80" s="1"/>
  <c r="CB436" i="80" s="1"/>
  <c r="BT41" i="80"/>
  <c r="BT386" i="80" s="1"/>
  <c r="BT376" i="80"/>
  <c r="BT378" i="80" s="1"/>
  <c r="BT379" i="80" s="1"/>
  <c r="CJ41" i="80"/>
  <c r="CJ386" i="80" s="1"/>
  <c r="FD41" i="80"/>
  <c r="FD386" i="80" s="1"/>
  <c r="DP45" i="80"/>
  <c r="DP390" i="80" s="1"/>
  <c r="DP436" i="80" s="1"/>
  <c r="DH41" i="80"/>
  <c r="DH386" i="80" s="1"/>
  <c r="DH376" i="80"/>
  <c r="DH378" i="80" s="1"/>
  <c r="DH379" i="80" s="1"/>
  <c r="DX41" i="80"/>
  <c r="DX386" i="80" s="1"/>
  <c r="CZ376" i="80"/>
  <c r="CZ378" i="80" s="1"/>
  <c r="CZ379" i="80" s="1"/>
  <c r="EV41" i="80"/>
  <c r="EV386" i="80" s="1"/>
  <c r="CB376" i="80"/>
  <c r="CB378" i="80" s="1"/>
  <c r="CB379" i="80" s="1"/>
  <c r="FL376" i="80"/>
  <c r="FL378" i="80" s="1"/>
  <c r="FL379" i="80" s="1"/>
  <c r="AF41" i="80"/>
  <c r="AF386" i="80" s="1"/>
  <c r="AN376" i="80"/>
  <c r="AN378" i="80" s="1"/>
  <c r="AN379" i="80" s="1"/>
  <c r="FL41" i="80"/>
  <c r="FL386" i="80" s="1"/>
  <c r="FD376" i="80"/>
  <c r="FD378" i="80" s="1"/>
  <c r="FD379" i="80" s="1"/>
  <c r="DH45" i="80"/>
  <c r="DH390" i="80" s="1"/>
  <c r="DH436" i="80" s="1"/>
  <c r="DX45" i="80"/>
  <c r="DX390" i="80" s="1"/>
  <c r="DX436" i="80" s="1"/>
  <c r="BD376" i="80"/>
  <c r="BD378" i="80" s="1"/>
  <c r="BD379" i="80" s="1"/>
  <c r="BL41" i="80"/>
  <c r="BL386" i="80" s="1"/>
  <c r="P41" i="80"/>
  <c r="P386" i="80" s="1"/>
  <c r="EN376" i="80"/>
  <c r="EN378" i="80" s="1"/>
  <c r="EN379" i="80" s="1"/>
  <c r="P45" i="80"/>
  <c r="P390" i="80" s="1"/>
  <c r="P436" i="80" s="1"/>
  <c r="AV376" i="80"/>
  <c r="AV378" i="80" s="1"/>
  <c r="AV379" i="80" s="1"/>
  <c r="CR41" i="80"/>
  <c r="CR386" i="80" s="1"/>
  <c r="CR376" i="80"/>
  <c r="CR378" i="80" s="1"/>
  <c r="CR379" i="80" s="1"/>
  <c r="DP376" i="80"/>
  <c r="DP378" i="80" s="1"/>
  <c r="DP379" i="80" s="1"/>
  <c r="AN41" i="80"/>
  <c r="AN386" i="80" s="1"/>
  <c r="AF376" i="80"/>
  <c r="AF378" i="80" s="1"/>
  <c r="AF379" i="80" s="1"/>
  <c r="EN41" i="80"/>
  <c r="EN386" i="80" s="1"/>
  <c r="BD41" i="80"/>
  <c r="BD386" i="80" s="1"/>
  <c r="BL376" i="80"/>
  <c r="BL378" i="80" s="1"/>
  <c r="BL379" i="80" s="1"/>
  <c r="CJ376" i="80"/>
  <c r="CJ378" i="80" s="1"/>
  <c r="CJ379" i="80" s="1"/>
  <c r="CJ45" i="80"/>
  <c r="CJ390" i="80" s="1"/>
  <c r="CJ436" i="80" s="1"/>
  <c r="CZ45" i="80"/>
  <c r="CZ390" i="80" s="1"/>
  <c r="CZ436" i="80" s="1"/>
  <c r="EV376" i="80"/>
  <c r="EV378" i="80" s="1"/>
  <c r="EV379" i="80" s="1"/>
  <c r="AX450" i="79"/>
  <c r="AX48" i="79" s="1"/>
  <c r="AX393" i="79" s="1"/>
  <c r="AU406" i="79"/>
  <c r="FL45" i="80"/>
  <c r="FL390" i="80" s="1"/>
  <c r="FL436" i="80" s="1"/>
  <c r="EF41" i="80"/>
  <c r="EF386" i="80" s="1"/>
  <c r="AV45" i="80"/>
  <c r="AV390" i="80" s="1"/>
  <c r="AV436" i="80" s="1"/>
  <c r="CR45" i="80"/>
  <c r="CR390" i="80" s="1"/>
  <c r="CR436" i="80" s="1"/>
  <c r="AN45" i="80"/>
  <c r="AN390" i="80" s="1"/>
  <c r="AN436" i="80" s="1"/>
  <c r="BD45" i="80"/>
  <c r="BD390" i="80" s="1"/>
  <c r="BD436" i="80" s="1"/>
  <c r="FD45" i="80"/>
  <c r="FD390" i="80" s="1"/>
  <c r="FD436" i="80" s="1"/>
  <c r="EF45" i="80"/>
  <c r="EF390" i="80" s="1"/>
  <c r="EF436" i="80" s="1"/>
  <c r="AV41" i="80"/>
  <c r="AV386" i="80" s="1"/>
  <c r="DP41" i="80"/>
  <c r="DP386" i="80" s="1"/>
  <c r="EV45" i="80"/>
  <c r="EV390" i="80" s="1"/>
  <c r="EV436" i="80" s="1"/>
  <c r="BT45" i="80"/>
  <c r="BT390" i="80" s="1"/>
  <c r="BT436" i="80" s="1"/>
  <c r="DX42" i="80"/>
  <c r="DX387" i="80" s="1"/>
  <c r="CB37" i="80"/>
  <c r="CB382" i="80" s="1"/>
  <c r="CZ42" i="79"/>
  <c r="CZ387" i="79" s="1"/>
  <c r="EV37" i="80"/>
  <c r="EV382" i="80" s="1"/>
  <c r="CB41" i="79"/>
  <c r="CB386" i="79" s="1"/>
  <c r="J42" i="98"/>
  <c r="EV43" i="80"/>
  <c r="EV388" i="80" s="1"/>
  <c r="EF42" i="80"/>
  <c r="EF387" i="80" s="1"/>
  <c r="CJ41" i="79"/>
  <c r="CJ386" i="79" s="1"/>
  <c r="DP43" i="80"/>
  <c r="DP388" i="80" s="1"/>
  <c r="H390" i="79"/>
  <c r="H436" i="79"/>
  <c r="H293" i="80"/>
  <c r="H293" i="85"/>
  <c r="J163" i="90" s="1"/>
  <c r="H293" i="79"/>
  <c r="FL41" i="79"/>
  <c r="FL386" i="79" s="1"/>
  <c r="DX41" i="79"/>
  <c r="DX386" i="79" s="1"/>
  <c r="CJ42" i="80"/>
  <c r="CJ387" i="80" s="1"/>
  <c r="FD42" i="80"/>
  <c r="FD387" i="80" s="1"/>
  <c r="AN41" i="79"/>
  <c r="AN386" i="79" s="1"/>
  <c r="AV42" i="80"/>
  <c r="AV387" i="80" s="1"/>
  <c r="CR42" i="80"/>
  <c r="CR387" i="80" s="1"/>
  <c r="DH42" i="80"/>
  <c r="DH387" i="80" s="1"/>
  <c r="CZ42" i="80"/>
  <c r="CZ387" i="80" s="1"/>
  <c r="CB42" i="80"/>
  <c r="CB387" i="80" s="1"/>
  <c r="AN43" i="80"/>
  <c r="AN388" i="80" s="1"/>
  <c r="FL43" i="80"/>
  <c r="FL388" i="80" s="1"/>
  <c r="BD43" i="80"/>
  <c r="BD388" i="80" s="1"/>
  <c r="BL43" i="80"/>
  <c r="BL388" i="80" s="1"/>
  <c r="FD43" i="80"/>
  <c r="FD388" i="80" s="1"/>
  <c r="EN41" i="79"/>
  <c r="EN386" i="79" s="1"/>
  <c r="EF43" i="80"/>
  <c r="EF388" i="80" s="1"/>
  <c r="DH41" i="79"/>
  <c r="DH386" i="79" s="1"/>
  <c r="E22" i="35"/>
  <c r="H373" i="85"/>
  <c r="AF42" i="80"/>
  <c r="AF387" i="80" s="1"/>
  <c r="AN42" i="80"/>
  <c r="AN387" i="80" s="1"/>
  <c r="BD42" i="80"/>
  <c r="BD387" i="80" s="1"/>
  <c r="P42" i="80"/>
  <c r="P387" i="80" s="1"/>
  <c r="DP42" i="80"/>
  <c r="DP387" i="80" s="1"/>
  <c r="DX43" i="80"/>
  <c r="DX388" i="80" s="1"/>
  <c r="CZ43" i="80"/>
  <c r="CZ388" i="80" s="1"/>
  <c r="EV42" i="80"/>
  <c r="EV387" i="80" s="1"/>
  <c r="CB45" i="79"/>
  <c r="CB436" i="79" s="1"/>
  <c r="CB43" i="80"/>
  <c r="CB388" i="80" s="1"/>
  <c r="BT43" i="80"/>
  <c r="BT388" i="80" s="1"/>
  <c r="H434" i="79"/>
  <c r="H383" i="79"/>
  <c r="EN42" i="80"/>
  <c r="EN387" i="80" s="1"/>
  <c r="DP41" i="79"/>
  <c r="DP386" i="79" s="1"/>
  <c r="BD41" i="79"/>
  <c r="BD386" i="79" s="1"/>
  <c r="X41" i="79"/>
  <c r="X386" i="79" s="1"/>
  <c r="BL41" i="79"/>
  <c r="BL386" i="79" s="1"/>
  <c r="P41" i="79"/>
  <c r="P386" i="79" s="1"/>
  <c r="EF41" i="79"/>
  <c r="EF386" i="79" s="1"/>
  <c r="CR43" i="80"/>
  <c r="CR388" i="80" s="1"/>
  <c r="DH43" i="80"/>
  <c r="DH388" i="80" s="1"/>
  <c r="FL42" i="80"/>
  <c r="FL387" i="80" s="1"/>
  <c r="BL42" i="80"/>
  <c r="BL387" i="80" s="1"/>
  <c r="EV41" i="79"/>
  <c r="EV386" i="79" s="1"/>
  <c r="CZ41" i="79"/>
  <c r="CZ386" i="79" s="1"/>
  <c r="BT42" i="80"/>
  <c r="BT387" i="80" s="1"/>
  <c r="H116" i="80"/>
  <c r="AF43" i="80"/>
  <c r="AF388" i="80" s="1"/>
  <c r="EN43" i="80"/>
  <c r="EN388" i="80" s="1"/>
  <c r="X42" i="80"/>
  <c r="BT41" i="79"/>
  <c r="BT386" i="79" s="1"/>
  <c r="CJ43" i="80"/>
  <c r="CJ388" i="80" s="1"/>
  <c r="AV43" i="80"/>
  <c r="AV388" i="80" s="1"/>
  <c r="H116" i="79"/>
  <c r="CT450" i="79"/>
  <c r="CT48" i="79" s="1"/>
  <c r="CT393" i="79" s="1"/>
  <c r="CQ406" i="79"/>
  <c r="EX450" i="80"/>
  <c r="EX88" i="80" s="1"/>
  <c r="EU406" i="80"/>
  <c r="CD450" i="79"/>
  <c r="CA406" i="79"/>
  <c r="EX450" i="79"/>
  <c r="EX48" i="79" s="1"/>
  <c r="EX393" i="79" s="1"/>
  <c r="EU406" i="79"/>
  <c r="Z450" i="79"/>
  <c r="W406" i="79"/>
  <c r="AP450" i="79"/>
  <c r="AM406" i="79"/>
  <c r="J116" i="80"/>
  <c r="DX385" i="80"/>
  <c r="DZ40" i="80"/>
  <c r="DZ385" i="80" s="1"/>
  <c r="Y37" i="79"/>
  <c r="Y382" i="79" s="1"/>
  <c r="FE37" i="79"/>
  <c r="FE382" i="79" s="1"/>
  <c r="CC37" i="79"/>
  <c r="CC382" i="79" s="1"/>
  <c r="EO37" i="79"/>
  <c r="EO382" i="79" s="1"/>
  <c r="DA37" i="79"/>
  <c r="DA382" i="79" s="1"/>
  <c r="BM37" i="79"/>
  <c r="BM382" i="79" s="1"/>
  <c r="BE37" i="79"/>
  <c r="BE382" i="79" s="1"/>
  <c r="DQ37" i="79"/>
  <c r="DQ382" i="79" s="1"/>
  <c r="CS37" i="79"/>
  <c r="CS382" i="79" s="1"/>
  <c r="I382" i="79"/>
  <c r="AG37" i="79"/>
  <c r="AG382" i="79" s="1"/>
  <c r="DY37" i="79"/>
  <c r="DY382" i="79" s="1"/>
  <c r="EW37" i="79"/>
  <c r="EW382" i="79" s="1"/>
  <c r="CK37" i="79"/>
  <c r="CK382" i="79" s="1"/>
  <c r="BU37" i="79"/>
  <c r="BU382" i="79" s="1"/>
  <c r="Q37" i="79"/>
  <c r="Q382" i="79" s="1"/>
  <c r="FM37" i="79"/>
  <c r="FM382" i="79" s="1"/>
  <c r="EG37" i="79"/>
  <c r="EG382" i="79" s="1"/>
  <c r="DI37" i="79"/>
  <c r="DI382" i="79" s="1"/>
  <c r="AO37" i="79"/>
  <c r="AO382" i="79" s="1"/>
  <c r="AW37" i="79"/>
  <c r="AW382" i="79" s="1"/>
  <c r="BL389" i="80"/>
  <c r="BN44" i="80"/>
  <c r="BN389" i="80" s="1"/>
  <c r="CR385" i="80"/>
  <c r="CT40" i="80"/>
  <c r="CT385" i="80" s="1"/>
  <c r="FL389" i="80"/>
  <c r="FN44" i="80"/>
  <c r="FN389" i="80" s="1"/>
  <c r="DX389" i="80"/>
  <c r="DZ44" i="80"/>
  <c r="DZ389" i="80" s="1"/>
  <c r="DJ450" i="79"/>
  <c r="DG406" i="79"/>
  <c r="EV385" i="80"/>
  <c r="EX40" i="80"/>
  <c r="EX385" i="80" s="1"/>
  <c r="CJ389" i="80"/>
  <c r="CL44" i="80"/>
  <c r="CL389" i="80" s="1"/>
  <c r="I388" i="79"/>
  <c r="FM43" i="79"/>
  <c r="FM388" i="79" s="1"/>
  <c r="AG43" i="79"/>
  <c r="AG388" i="79" s="1"/>
  <c r="FE43" i="79"/>
  <c r="FE388" i="79" s="1"/>
  <c r="Y43" i="79"/>
  <c r="Y388" i="79" s="1"/>
  <c r="BM43" i="79"/>
  <c r="BM388" i="79" s="1"/>
  <c r="BU43" i="79"/>
  <c r="BU388" i="79" s="1"/>
  <c r="Q43" i="79"/>
  <c r="Q388" i="79" s="1"/>
  <c r="DA43" i="79"/>
  <c r="DA388" i="79" s="1"/>
  <c r="BE43" i="79"/>
  <c r="BE388" i="79" s="1"/>
  <c r="DY43" i="79"/>
  <c r="DY388" i="79" s="1"/>
  <c r="CC43" i="79"/>
  <c r="CC388" i="79" s="1"/>
  <c r="EO43" i="79"/>
  <c r="EO388" i="79" s="1"/>
  <c r="DQ43" i="79"/>
  <c r="DQ388" i="79" s="1"/>
  <c r="AW43" i="79"/>
  <c r="AW388" i="79" s="1"/>
  <c r="CS43" i="79"/>
  <c r="CS388" i="79" s="1"/>
  <c r="EW43" i="79"/>
  <c r="EW388" i="79" s="1"/>
  <c r="AO43" i="79"/>
  <c r="AO388" i="79" s="1"/>
  <c r="DI43" i="79"/>
  <c r="DI388" i="79" s="1"/>
  <c r="EG43" i="79"/>
  <c r="EG388" i="79" s="1"/>
  <c r="CK43" i="79"/>
  <c r="CK388" i="79" s="1"/>
  <c r="I116" i="79"/>
  <c r="EG105" i="79"/>
  <c r="BM105" i="79"/>
  <c r="DY105" i="79"/>
  <c r="DQ105" i="79"/>
  <c r="CS105" i="79"/>
  <c r="FE105" i="79"/>
  <c r="CC105" i="79"/>
  <c r="AG105" i="79"/>
  <c r="DA105" i="79"/>
  <c r="Y105" i="79"/>
  <c r="FM105" i="79"/>
  <c r="EO105" i="79"/>
  <c r="EP105" i="79" s="1"/>
  <c r="BU105" i="79"/>
  <c r="BE105" i="79"/>
  <c r="CK105" i="79"/>
  <c r="DI105" i="79"/>
  <c r="EW105" i="79"/>
  <c r="Q105" i="79"/>
  <c r="AO105" i="79"/>
  <c r="AW105" i="79"/>
  <c r="BT389" i="80"/>
  <c r="BV44" i="80"/>
  <c r="BV389" i="80" s="1"/>
  <c r="BL385" i="80"/>
  <c r="BN40" i="80"/>
  <c r="BN385" i="80" s="1"/>
  <c r="J116" i="79"/>
  <c r="AV389" i="80"/>
  <c r="AX44" i="80"/>
  <c r="AX389" i="80" s="1"/>
  <c r="FL385" i="80"/>
  <c r="FN40" i="80"/>
  <c r="FN385" i="80" s="1"/>
  <c r="EV389" i="80"/>
  <c r="EX44" i="80"/>
  <c r="EX389" i="80" s="1"/>
  <c r="AF385" i="80"/>
  <c r="AH40" i="80"/>
  <c r="AH385" i="80" s="1"/>
  <c r="I387" i="79"/>
  <c r="CK42" i="79"/>
  <c r="CK387" i="79" s="1"/>
  <c r="AW42" i="79"/>
  <c r="AW387" i="79" s="1"/>
  <c r="BM42" i="79"/>
  <c r="BM387" i="79" s="1"/>
  <c r="EO42" i="79"/>
  <c r="EO387" i="79" s="1"/>
  <c r="DA42" i="79"/>
  <c r="DA387" i="79" s="1"/>
  <c r="AO42" i="79"/>
  <c r="AO387" i="79" s="1"/>
  <c r="BE42" i="79"/>
  <c r="BE387" i="79" s="1"/>
  <c r="FM42" i="79"/>
  <c r="FM387" i="79" s="1"/>
  <c r="CC42" i="79"/>
  <c r="CC387" i="79" s="1"/>
  <c r="DY42" i="79"/>
  <c r="DY387" i="79" s="1"/>
  <c r="CS42" i="79"/>
  <c r="CS387" i="79" s="1"/>
  <c r="EG42" i="79"/>
  <c r="EG387" i="79" s="1"/>
  <c r="DI42" i="79"/>
  <c r="DI387" i="79" s="1"/>
  <c r="BU42" i="79"/>
  <c r="BU387" i="79" s="1"/>
  <c r="EW42" i="79"/>
  <c r="EW387" i="79" s="1"/>
  <c r="AG42" i="79"/>
  <c r="AG387" i="79" s="1"/>
  <c r="DQ42" i="79"/>
  <c r="DQ387" i="79" s="1"/>
  <c r="Q42" i="79"/>
  <c r="Q387" i="79" s="1"/>
  <c r="FE42" i="79"/>
  <c r="FE387" i="79" s="1"/>
  <c r="Y42" i="79"/>
  <c r="Y387" i="79" s="1"/>
  <c r="H35" i="110"/>
  <c r="M96" i="169" s="1"/>
  <c r="K14" i="110"/>
  <c r="I65" i="85"/>
  <c r="K31" i="90" s="1"/>
  <c r="EF385" i="80"/>
  <c r="EH40" i="80"/>
  <c r="EH385" i="80" s="1"/>
  <c r="I387" i="80"/>
  <c r="BE42" i="80"/>
  <c r="BE387" i="80" s="1"/>
  <c r="DI42" i="80"/>
  <c r="DI387" i="80" s="1"/>
  <c r="BU42" i="80"/>
  <c r="BU387" i="80" s="1"/>
  <c r="EW42" i="80"/>
  <c r="EW387" i="80" s="1"/>
  <c r="AW42" i="80"/>
  <c r="AW387" i="80" s="1"/>
  <c r="DY42" i="80"/>
  <c r="DY387" i="80" s="1"/>
  <c r="CS42" i="80"/>
  <c r="CS387" i="80" s="1"/>
  <c r="DA42" i="80"/>
  <c r="DA387" i="80" s="1"/>
  <c r="DQ42" i="80"/>
  <c r="DQ387" i="80" s="1"/>
  <c r="EO42" i="80"/>
  <c r="EO387" i="80" s="1"/>
  <c r="FE42" i="80"/>
  <c r="FE387" i="80" s="1"/>
  <c r="Y42" i="80"/>
  <c r="Y387" i="80" s="1"/>
  <c r="BM42" i="80"/>
  <c r="BM387" i="80" s="1"/>
  <c r="Q42" i="80"/>
  <c r="Q387" i="80" s="1"/>
  <c r="EG42" i="80"/>
  <c r="EG387" i="80" s="1"/>
  <c r="AO42" i="80"/>
  <c r="AO387" i="80" s="1"/>
  <c r="FM42" i="80"/>
  <c r="FM387" i="80" s="1"/>
  <c r="AG42" i="80"/>
  <c r="AG387" i="80" s="1"/>
  <c r="CC42" i="80"/>
  <c r="CC387" i="80" s="1"/>
  <c r="CK42" i="80"/>
  <c r="CK387" i="80" s="1"/>
  <c r="CJ385" i="80"/>
  <c r="CL40" i="80"/>
  <c r="CL385" i="80" s="1"/>
  <c r="BU37" i="80"/>
  <c r="BU382" i="80" s="1"/>
  <c r="DQ37" i="80"/>
  <c r="DQ382" i="80" s="1"/>
  <c r="CS37" i="80"/>
  <c r="CS382" i="80" s="1"/>
  <c r="AO37" i="80"/>
  <c r="AO382" i="80" s="1"/>
  <c r="DA37" i="80"/>
  <c r="DA382" i="80" s="1"/>
  <c r="EO37" i="80"/>
  <c r="EO382" i="80" s="1"/>
  <c r="FM37" i="80"/>
  <c r="FM382" i="80" s="1"/>
  <c r="CC37" i="80"/>
  <c r="CC382" i="80" s="1"/>
  <c r="Q37" i="80"/>
  <c r="Q382" i="80" s="1"/>
  <c r="I382" i="80"/>
  <c r="DI37" i="80"/>
  <c r="DI382" i="80" s="1"/>
  <c r="EG37" i="80"/>
  <c r="EG382" i="80" s="1"/>
  <c r="DY37" i="80"/>
  <c r="DY382" i="80" s="1"/>
  <c r="BM37" i="80"/>
  <c r="BM382" i="80" s="1"/>
  <c r="EW37" i="80"/>
  <c r="EW382" i="80" s="1"/>
  <c r="AG37" i="80"/>
  <c r="AG382" i="80" s="1"/>
  <c r="AW37" i="80"/>
  <c r="AW382" i="80" s="1"/>
  <c r="Y37" i="80"/>
  <c r="Y382" i="80" s="1"/>
  <c r="FE37" i="80"/>
  <c r="FE382" i="80" s="1"/>
  <c r="BE37" i="80"/>
  <c r="BE382" i="80" s="1"/>
  <c r="CK37" i="80"/>
  <c r="CK382" i="80" s="1"/>
  <c r="J436" i="79"/>
  <c r="J390" i="79"/>
  <c r="I391" i="80"/>
  <c r="I437" i="80" s="1"/>
  <c r="DA46" i="80"/>
  <c r="DA391" i="80" s="1"/>
  <c r="DA437" i="80" s="1"/>
  <c r="BE46" i="80"/>
  <c r="BE391" i="80" s="1"/>
  <c r="BE437" i="80" s="1"/>
  <c r="EW46" i="80"/>
  <c r="EW391" i="80" s="1"/>
  <c r="EW437" i="80" s="1"/>
  <c r="DI46" i="80"/>
  <c r="DI391" i="80" s="1"/>
  <c r="DI437" i="80" s="1"/>
  <c r="DQ46" i="80"/>
  <c r="DQ391" i="80" s="1"/>
  <c r="DQ437" i="80" s="1"/>
  <c r="CC46" i="80"/>
  <c r="CC391" i="80" s="1"/>
  <c r="CC437" i="80" s="1"/>
  <c r="FM46" i="80"/>
  <c r="FM391" i="80" s="1"/>
  <c r="FM437" i="80" s="1"/>
  <c r="DY46" i="80"/>
  <c r="DY391" i="80" s="1"/>
  <c r="DY437" i="80" s="1"/>
  <c r="EG46" i="80"/>
  <c r="EG391" i="80" s="1"/>
  <c r="EG437" i="80" s="1"/>
  <c r="Y46" i="80"/>
  <c r="Y391" i="80" s="1"/>
  <c r="Y437" i="80" s="1"/>
  <c r="CS46" i="80"/>
  <c r="CS391" i="80" s="1"/>
  <c r="CS437" i="80" s="1"/>
  <c r="BU46" i="80"/>
  <c r="BU391" i="80" s="1"/>
  <c r="BU437" i="80" s="1"/>
  <c r="Q46" i="80"/>
  <c r="Q391" i="80" s="1"/>
  <c r="Q437" i="80" s="1"/>
  <c r="AW46" i="80"/>
  <c r="AW391" i="80" s="1"/>
  <c r="AW437" i="80" s="1"/>
  <c r="AO46" i="80"/>
  <c r="AO391" i="80" s="1"/>
  <c r="AO437" i="80" s="1"/>
  <c r="AG46" i="80"/>
  <c r="AG391" i="80" s="1"/>
  <c r="AG437" i="80" s="1"/>
  <c r="EO46" i="80"/>
  <c r="EO391" i="80" s="1"/>
  <c r="EO437" i="80" s="1"/>
  <c r="CK46" i="80"/>
  <c r="CK391" i="80" s="1"/>
  <c r="CK437" i="80" s="1"/>
  <c r="FE46" i="80"/>
  <c r="FE391" i="80" s="1"/>
  <c r="FE437" i="80" s="1"/>
  <c r="BM46" i="80"/>
  <c r="BM391" i="80" s="1"/>
  <c r="BM437" i="80" s="1"/>
  <c r="BT385" i="80"/>
  <c r="BV40" i="80"/>
  <c r="BV385" i="80" s="1"/>
  <c r="AV385" i="80"/>
  <c r="AX40" i="80"/>
  <c r="AX385" i="80" s="1"/>
  <c r="EW111" i="80"/>
  <c r="FM111" i="80"/>
  <c r="DI111" i="80"/>
  <c r="DJ111" i="80" s="1"/>
  <c r="EO111" i="80"/>
  <c r="DA111" i="80"/>
  <c r="BE111" i="80"/>
  <c r="AW111" i="80"/>
  <c r="CC111" i="80"/>
  <c r="Y111" i="80"/>
  <c r="EG111" i="80"/>
  <c r="AO111" i="80"/>
  <c r="Q111" i="80"/>
  <c r="FE111" i="80"/>
  <c r="AG111" i="80"/>
  <c r="BU111" i="80"/>
  <c r="DQ111" i="80"/>
  <c r="DY111" i="80"/>
  <c r="CS111" i="80"/>
  <c r="BM111" i="80"/>
  <c r="CK111" i="80"/>
  <c r="I383" i="80"/>
  <c r="I434" i="80" s="1"/>
  <c r="FM38" i="80"/>
  <c r="FM383" i="80" s="1"/>
  <c r="FM434" i="80" s="1"/>
  <c r="BU38" i="80"/>
  <c r="BU383" i="80" s="1"/>
  <c r="BU434" i="80" s="1"/>
  <c r="BE38" i="80"/>
  <c r="BE383" i="80" s="1"/>
  <c r="BE434" i="80" s="1"/>
  <c r="AG38" i="80"/>
  <c r="AG383" i="80" s="1"/>
  <c r="AG434" i="80" s="1"/>
  <c r="EG38" i="80"/>
  <c r="EG383" i="80" s="1"/>
  <c r="EG434" i="80" s="1"/>
  <c r="CK38" i="80"/>
  <c r="CK383" i="80" s="1"/>
  <c r="CK434" i="80" s="1"/>
  <c r="FE38" i="80"/>
  <c r="FE383" i="80" s="1"/>
  <c r="FE434" i="80" s="1"/>
  <c r="DI38" i="80"/>
  <c r="DI383" i="80" s="1"/>
  <c r="DI434" i="80" s="1"/>
  <c r="BM38" i="80"/>
  <c r="BM383" i="80" s="1"/>
  <c r="BM434" i="80" s="1"/>
  <c r="DY38" i="80"/>
  <c r="DY383" i="80" s="1"/>
  <c r="DY434" i="80" s="1"/>
  <c r="DA38" i="80"/>
  <c r="DA383" i="80" s="1"/>
  <c r="DA434" i="80" s="1"/>
  <c r="CC38" i="80"/>
  <c r="CC383" i="80" s="1"/>
  <c r="CC434" i="80" s="1"/>
  <c r="CS38" i="80"/>
  <c r="CS383" i="80" s="1"/>
  <c r="CS434" i="80" s="1"/>
  <c r="AO38" i="80"/>
  <c r="AO383" i="80" s="1"/>
  <c r="AO434" i="80" s="1"/>
  <c r="DQ38" i="80"/>
  <c r="DQ383" i="80" s="1"/>
  <c r="DQ434" i="80" s="1"/>
  <c r="EW38" i="80"/>
  <c r="EW383" i="80" s="1"/>
  <c r="EW434" i="80" s="1"/>
  <c r="EO38" i="80"/>
  <c r="EO383" i="80" s="1"/>
  <c r="EO434" i="80" s="1"/>
  <c r="Q38" i="80"/>
  <c r="Q383" i="80" s="1"/>
  <c r="Q434" i="80" s="1"/>
  <c r="AW38" i="80"/>
  <c r="AW383" i="80" s="1"/>
  <c r="AW434" i="80" s="1"/>
  <c r="Y38" i="80"/>
  <c r="Y383" i="80" s="1"/>
  <c r="Y434" i="80" s="1"/>
  <c r="FD385" i="80"/>
  <c r="FF40" i="80"/>
  <c r="FF385" i="80" s="1"/>
  <c r="J437" i="79"/>
  <c r="J391" i="79"/>
  <c r="DO149" i="79"/>
  <c r="EE149" i="79"/>
  <c r="DW149" i="79"/>
  <c r="FC149" i="79"/>
  <c r="W149" i="79"/>
  <c r="BC149" i="79"/>
  <c r="BS149" i="79"/>
  <c r="AE149" i="79"/>
  <c r="O149" i="79"/>
  <c r="EU149" i="79"/>
  <c r="BK149" i="79"/>
  <c r="CY149" i="79"/>
  <c r="CA149" i="79"/>
  <c r="CI149" i="79"/>
  <c r="AM149" i="79"/>
  <c r="DG149" i="79"/>
  <c r="AU149" i="79"/>
  <c r="FK149" i="79"/>
  <c r="EM149" i="79"/>
  <c r="CQ149" i="79"/>
  <c r="I390" i="80"/>
  <c r="I436" i="80" s="1"/>
  <c r="DQ45" i="80"/>
  <c r="DQ390" i="80" s="1"/>
  <c r="DQ436" i="80" s="1"/>
  <c r="AW45" i="80"/>
  <c r="AW390" i="80" s="1"/>
  <c r="AW436" i="80" s="1"/>
  <c r="DA45" i="80"/>
  <c r="DA390" i="80" s="1"/>
  <c r="DA436" i="80" s="1"/>
  <c r="BE45" i="80"/>
  <c r="BE390" i="80" s="1"/>
  <c r="BE436" i="80" s="1"/>
  <c r="BM45" i="80"/>
  <c r="BM390" i="80" s="1"/>
  <c r="BM436" i="80" s="1"/>
  <c r="EO45" i="80"/>
  <c r="EO390" i="80" s="1"/>
  <c r="EO436" i="80" s="1"/>
  <c r="FE45" i="80"/>
  <c r="FE390" i="80" s="1"/>
  <c r="FE436" i="80" s="1"/>
  <c r="CS45" i="80"/>
  <c r="CS390" i="80" s="1"/>
  <c r="CS436" i="80" s="1"/>
  <c r="FM45" i="80"/>
  <c r="FM390" i="80" s="1"/>
  <c r="FM436" i="80" s="1"/>
  <c r="CC45" i="80"/>
  <c r="CC390" i="80" s="1"/>
  <c r="CC436" i="80" s="1"/>
  <c r="DY45" i="80"/>
  <c r="DY390" i="80" s="1"/>
  <c r="DY436" i="80" s="1"/>
  <c r="Q45" i="80"/>
  <c r="Q390" i="80" s="1"/>
  <c r="Q436" i="80" s="1"/>
  <c r="DI45" i="80"/>
  <c r="DI390" i="80" s="1"/>
  <c r="DI436" i="80" s="1"/>
  <c r="CK45" i="80"/>
  <c r="CK390" i="80" s="1"/>
  <c r="CK436" i="80" s="1"/>
  <c r="EG45" i="80"/>
  <c r="EG390" i="80" s="1"/>
  <c r="EG436" i="80" s="1"/>
  <c r="Y45" i="80"/>
  <c r="Y390" i="80" s="1"/>
  <c r="Y436" i="80" s="1"/>
  <c r="AG45" i="80"/>
  <c r="AG390" i="80" s="1"/>
  <c r="AG436" i="80" s="1"/>
  <c r="EW45" i="80"/>
  <c r="EW390" i="80" s="1"/>
  <c r="EW436" i="80" s="1"/>
  <c r="AO45" i="80"/>
  <c r="AO390" i="80" s="1"/>
  <c r="AO436" i="80" s="1"/>
  <c r="BU45" i="80"/>
  <c r="BU390" i="80" s="1"/>
  <c r="BU436" i="80" s="1"/>
  <c r="EF389" i="80"/>
  <c r="EH44" i="80"/>
  <c r="EH389" i="80" s="1"/>
  <c r="DH389" i="80"/>
  <c r="DJ44" i="80"/>
  <c r="DJ389" i="80" s="1"/>
  <c r="I116" i="80"/>
  <c r="EW105" i="80"/>
  <c r="AO105" i="80"/>
  <c r="CK105" i="80"/>
  <c r="CC105" i="80"/>
  <c r="BU105" i="80"/>
  <c r="EG105" i="80"/>
  <c r="Q105" i="80"/>
  <c r="DA105" i="80"/>
  <c r="DB105" i="80" s="1"/>
  <c r="EO105" i="80"/>
  <c r="AW105" i="80"/>
  <c r="FE105" i="80"/>
  <c r="BM105" i="80"/>
  <c r="Y105" i="80"/>
  <c r="Z105" i="80" s="1"/>
  <c r="DQ105" i="80"/>
  <c r="AG105" i="80"/>
  <c r="DY105" i="80"/>
  <c r="CS105" i="80"/>
  <c r="BE105" i="80"/>
  <c r="FM105" i="80"/>
  <c r="DI105" i="80"/>
  <c r="I373" i="85"/>
  <c r="FD389" i="80"/>
  <c r="FF44" i="80"/>
  <c r="FF389" i="80" s="1"/>
  <c r="DP389" i="80"/>
  <c r="DR44" i="80"/>
  <c r="DR389" i="80" s="1"/>
  <c r="I386" i="80"/>
  <c r="AW41" i="80"/>
  <c r="AW386" i="80" s="1"/>
  <c r="DY41" i="80"/>
  <c r="DY386" i="80" s="1"/>
  <c r="CC41" i="80"/>
  <c r="CC386" i="80" s="1"/>
  <c r="CS41" i="80"/>
  <c r="CS386" i="80" s="1"/>
  <c r="DA41" i="80"/>
  <c r="DA386" i="80" s="1"/>
  <c r="EW41" i="80"/>
  <c r="EW386" i="80" s="1"/>
  <c r="AG41" i="80"/>
  <c r="AG386" i="80" s="1"/>
  <c r="EG41" i="80"/>
  <c r="EG386" i="80" s="1"/>
  <c r="DQ41" i="80"/>
  <c r="DQ386" i="80" s="1"/>
  <c r="Y41" i="80"/>
  <c r="Y386" i="80" s="1"/>
  <c r="BU41" i="80"/>
  <c r="BU386" i="80" s="1"/>
  <c r="AO41" i="80"/>
  <c r="AO386" i="80" s="1"/>
  <c r="BE41" i="80"/>
  <c r="BE386" i="80" s="1"/>
  <c r="FE41" i="80"/>
  <c r="FE386" i="80" s="1"/>
  <c r="Q41" i="80"/>
  <c r="Q386" i="80" s="1"/>
  <c r="DI41" i="80"/>
  <c r="DI386" i="80" s="1"/>
  <c r="EO41" i="80"/>
  <c r="EO386" i="80" s="1"/>
  <c r="BM41" i="80"/>
  <c r="BM386" i="80" s="1"/>
  <c r="CK41" i="80"/>
  <c r="CK386" i="80" s="1"/>
  <c r="FM41" i="80"/>
  <c r="FM386" i="80" s="1"/>
  <c r="I294" i="80"/>
  <c r="I294" i="85"/>
  <c r="K164" i="90" s="1"/>
  <c r="I294" i="79"/>
  <c r="BE110" i="80"/>
  <c r="CK110" i="80"/>
  <c r="DI110" i="80"/>
  <c r="AW110" i="80"/>
  <c r="FE110" i="80"/>
  <c r="EW110" i="80"/>
  <c r="AO110" i="80"/>
  <c r="CS110" i="80"/>
  <c r="AG110" i="80"/>
  <c r="DY110" i="80"/>
  <c r="EO110" i="80"/>
  <c r="BU110" i="80"/>
  <c r="Q110" i="80"/>
  <c r="DQ110" i="80"/>
  <c r="CC110" i="80"/>
  <c r="CD110" i="80" s="1"/>
  <c r="Y110" i="80"/>
  <c r="EG110" i="80"/>
  <c r="DA110" i="80"/>
  <c r="BM110" i="80"/>
  <c r="FM110" i="80"/>
  <c r="DH385" i="80"/>
  <c r="DJ40" i="80"/>
  <c r="DJ385" i="80" s="1"/>
  <c r="BM46" i="79"/>
  <c r="CC46" i="79"/>
  <c r="FM46" i="79"/>
  <c r="FN46" i="79" s="1"/>
  <c r="CK46" i="79"/>
  <c r="DI46" i="79"/>
  <c r="DA46" i="79"/>
  <c r="AG46" i="79"/>
  <c r="EO46" i="79"/>
  <c r="AW46" i="79"/>
  <c r="Q46" i="79"/>
  <c r="Y46" i="79"/>
  <c r="BE46" i="79"/>
  <c r="FE46" i="79"/>
  <c r="I391" i="79"/>
  <c r="DY46" i="79"/>
  <c r="AO46" i="79"/>
  <c r="I437" i="79"/>
  <c r="EG46" i="79"/>
  <c r="EW46" i="79"/>
  <c r="DQ46" i="79"/>
  <c r="CS46" i="79"/>
  <c r="BU46" i="79"/>
  <c r="P389" i="80"/>
  <c r="R44" i="80"/>
  <c r="R389" i="80" s="1"/>
  <c r="DY111" i="79"/>
  <c r="EW111" i="79"/>
  <c r="AO111" i="79"/>
  <c r="DQ111" i="79"/>
  <c r="EO111" i="79"/>
  <c r="CS111" i="79"/>
  <c r="BM111" i="79"/>
  <c r="BE111" i="79"/>
  <c r="CK111" i="79"/>
  <c r="Y111" i="79"/>
  <c r="FM111" i="79"/>
  <c r="BU111" i="79"/>
  <c r="DI111" i="79"/>
  <c r="CC111" i="79"/>
  <c r="Q111" i="79"/>
  <c r="AG111" i="79"/>
  <c r="EG111" i="79"/>
  <c r="FE111" i="79"/>
  <c r="DA111" i="79"/>
  <c r="AW111" i="79"/>
  <c r="CC38" i="79"/>
  <c r="DI38" i="79"/>
  <c r="AG38" i="79"/>
  <c r="EO38" i="79"/>
  <c r="DA38" i="79"/>
  <c r="AO38" i="79"/>
  <c r="FE38" i="79"/>
  <c r="BE38" i="79"/>
  <c r="AW38" i="79"/>
  <c r="EW38" i="79"/>
  <c r="Y38" i="79"/>
  <c r="BM38" i="79"/>
  <c r="BN38" i="79" s="1"/>
  <c r="EG38" i="79"/>
  <c r="BU38" i="79"/>
  <c r="DQ38" i="79"/>
  <c r="FM38" i="79"/>
  <c r="I434" i="79"/>
  <c r="I383" i="79"/>
  <c r="CS38" i="79"/>
  <c r="Q38" i="79"/>
  <c r="R38" i="79" s="1"/>
  <c r="DY38" i="79"/>
  <c r="DZ38" i="79" s="1"/>
  <c r="CK38" i="79"/>
  <c r="J373" i="85"/>
  <c r="EM149" i="80"/>
  <c r="BS149" i="80"/>
  <c r="CQ149" i="80"/>
  <c r="AM149" i="80"/>
  <c r="FC149" i="80"/>
  <c r="BK149" i="80"/>
  <c r="AU149" i="80"/>
  <c r="W149" i="80"/>
  <c r="EE149" i="80"/>
  <c r="DW149" i="80"/>
  <c r="EU149" i="80"/>
  <c r="CY149" i="80"/>
  <c r="FK149" i="80"/>
  <c r="BC149" i="80"/>
  <c r="AE149" i="80"/>
  <c r="O149" i="80"/>
  <c r="DO149" i="80"/>
  <c r="DG149" i="80"/>
  <c r="CA149" i="80"/>
  <c r="CI149" i="80"/>
  <c r="DP385" i="80"/>
  <c r="DR40" i="80"/>
  <c r="DR385" i="80" s="1"/>
  <c r="I386" i="79"/>
  <c r="AW41" i="79"/>
  <c r="AW386" i="79" s="1"/>
  <c r="BM41" i="79"/>
  <c r="BM386" i="79" s="1"/>
  <c r="DI41" i="79"/>
  <c r="DI386" i="79" s="1"/>
  <c r="Y41" i="79"/>
  <c r="Y386" i="79" s="1"/>
  <c r="CS41" i="79"/>
  <c r="CS386" i="79" s="1"/>
  <c r="AO41" i="79"/>
  <c r="AO386" i="79" s="1"/>
  <c r="CC41" i="79"/>
  <c r="CC386" i="79" s="1"/>
  <c r="AG41" i="79"/>
  <c r="AG386" i="79" s="1"/>
  <c r="DA41" i="79"/>
  <c r="DA386" i="79" s="1"/>
  <c r="FM41" i="79"/>
  <c r="FM386" i="79" s="1"/>
  <c r="BU41" i="79"/>
  <c r="BU386" i="79" s="1"/>
  <c r="Q41" i="79"/>
  <c r="Q386" i="79" s="1"/>
  <c r="CK41" i="79"/>
  <c r="CK386" i="79" s="1"/>
  <c r="EO41" i="79"/>
  <c r="EO386" i="79" s="1"/>
  <c r="EG41" i="79"/>
  <c r="EG386" i="79" s="1"/>
  <c r="DY41" i="79"/>
  <c r="DY386" i="79" s="1"/>
  <c r="BE41" i="79"/>
  <c r="BE386" i="79" s="1"/>
  <c r="FE41" i="79"/>
  <c r="FE386" i="79" s="1"/>
  <c r="EW41" i="79"/>
  <c r="EW386" i="79" s="1"/>
  <c r="DQ41" i="79"/>
  <c r="DQ386" i="79" s="1"/>
  <c r="BU110" i="79"/>
  <c r="CK110" i="79"/>
  <c r="Q110" i="79"/>
  <c r="DQ110" i="79"/>
  <c r="CS110" i="79"/>
  <c r="DY110" i="79"/>
  <c r="FM110" i="79"/>
  <c r="BM110" i="79"/>
  <c r="FE110" i="79"/>
  <c r="CC110" i="79"/>
  <c r="DI110" i="79"/>
  <c r="BE110" i="79"/>
  <c r="DA110" i="79"/>
  <c r="AO110" i="79"/>
  <c r="Y110" i="79"/>
  <c r="EW110" i="79"/>
  <c r="AG110" i="79"/>
  <c r="EG110" i="79"/>
  <c r="EH110" i="79" s="1"/>
  <c r="EO110" i="79"/>
  <c r="AW110" i="79"/>
  <c r="D21" i="108"/>
  <c r="J434" i="79"/>
  <c r="J383" i="79"/>
  <c r="CB389" i="80"/>
  <c r="CD44" i="80"/>
  <c r="CD389" i="80" s="1"/>
  <c r="CZ389" i="80"/>
  <c r="DB44" i="80"/>
  <c r="DB389" i="80" s="1"/>
  <c r="I378" i="79"/>
  <c r="I379" i="79" s="1"/>
  <c r="DI376" i="79"/>
  <c r="DI378" i="79" s="1"/>
  <c r="DI379" i="79" s="1"/>
  <c r="DI449" i="79" s="1"/>
  <c r="DI275" i="79" s="1"/>
  <c r="EG376" i="79"/>
  <c r="EG378" i="79" s="1"/>
  <c r="EG379" i="79" s="1"/>
  <c r="EG449" i="79" s="1"/>
  <c r="EG275" i="79" s="1"/>
  <c r="Y376" i="79"/>
  <c r="Y378" i="79" s="1"/>
  <c r="Y379" i="79" s="1"/>
  <c r="Y449" i="79" s="1"/>
  <c r="Y275" i="79" s="1"/>
  <c r="FM376" i="79"/>
  <c r="FM378" i="79" s="1"/>
  <c r="FM379" i="79" s="1"/>
  <c r="FM449" i="79" s="1"/>
  <c r="FM275" i="79" s="1"/>
  <c r="EO376" i="79"/>
  <c r="EO378" i="79" s="1"/>
  <c r="EO379" i="79" s="1"/>
  <c r="EO449" i="79" s="1"/>
  <c r="EO275" i="79" s="1"/>
  <c r="AG376" i="79"/>
  <c r="AG378" i="79" s="1"/>
  <c r="AG379" i="79" s="1"/>
  <c r="AG449" i="79" s="1"/>
  <c r="AG275" i="79" s="1"/>
  <c r="CK376" i="79"/>
  <c r="CK378" i="79" s="1"/>
  <c r="CK379" i="79" s="1"/>
  <c r="CK449" i="79" s="1"/>
  <c r="CK275" i="79" s="1"/>
  <c r="BU376" i="79"/>
  <c r="BU378" i="79" s="1"/>
  <c r="BU379" i="79" s="1"/>
  <c r="BU449" i="79" s="1"/>
  <c r="BU275" i="79" s="1"/>
  <c r="DY376" i="79"/>
  <c r="DY378" i="79" s="1"/>
  <c r="DY379" i="79" s="1"/>
  <c r="DY449" i="79" s="1"/>
  <c r="DY275" i="79" s="1"/>
  <c r="DA376" i="79"/>
  <c r="DA378" i="79" s="1"/>
  <c r="DA379" i="79" s="1"/>
  <c r="DA449" i="79" s="1"/>
  <c r="DA275" i="79" s="1"/>
  <c r="DQ376" i="79"/>
  <c r="DQ378" i="79" s="1"/>
  <c r="DQ379" i="79" s="1"/>
  <c r="DQ449" i="79" s="1"/>
  <c r="DQ275" i="79" s="1"/>
  <c r="CS376" i="79"/>
  <c r="CS378" i="79" s="1"/>
  <c r="CS379" i="79" s="1"/>
  <c r="CS449" i="79" s="1"/>
  <c r="CS275" i="79" s="1"/>
  <c r="BE376" i="79"/>
  <c r="BE378" i="79" s="1"/>
  <c r="BE379" i="79" s="1"/>
  <c r="BE449" i="79" s="1"/>
  <c r="BE275" i="79" s="1"/>
  <c r="FE376" i="79"/>
  <c r="FE378" i="79" s="1"/>
  <c r="FE379" i="79" s="1"/>
  <c r="FE449" i="79" s="1"/>
  <c r="FE275" i="79" s="1"/>
  <c r="AW376" i="79"/>
  <c r="AW378" i="79" s="1"/>
  <c r="AW379" i="79" s="1"/>
  <c r="AW449" i="79" s="1"/>
  <c r="AW275" i="79" s="1"/>
  <c r="AO376" i="79"/>
  <c r="AO378" i="79" s="1"/>
  <c r="AO379" i="79" s="1"/>
  <c r="AO449" i="79" s="1"/>
  <c r="AO275" i="79" s="1"/>
  <c r="EW376" i="79"/>
  <c r="EW378" i="79" s="1"/>
  <c r="EW379" i="79" s="1"/>
  <c r="EW449" i="79" s="1"/>
  <c r="EW275" i="79" s="1"/>
  <c r="BM376" i="79"/>
  <c r="BM378" i="79" s="1"/>
  <c r="BM379" i="79" s="1"/>
  <c r="BM449" i="79" s="1"/>
  <c r="BM275" i="79" s="1"/>
  <c r="Q376" i="79"/>
  <c r="Q378" i="79" s="1"/>
  <c r="Q379" i="79" s="1"/>
  <c r="Q449" i="79" s="1"/>
  <c r="Q275" i="79" s="1"/>
  <c r="CC376" i="79"/>
  <c r="CC378" i="79" s="1"/>
  <c r="CC379" i="79" s="1"/>
  <c r="CC449" i="79" s="1"/>
  <c r="CC275" i="79" s="1"/>
  <c r="EN389" i="80"/>
  <c r="EP44" i="80"/>
  <c r="EP389" i="80" s="1"/>
  <c r="P385" i="80"/>
  <c r="R40" i="80"/>
  <c r="R385" i="80" s="1"/>
  <c r="BD385" i="80"/>
  <c r="BF40" i="80"/>
  <c r="BF385" i="80" s="1"/>
  <c r="X389" i="80"/>
  <c r="Z44" i="80"/>
  <c r="Z389" i="80" s="1"/>
  <c r="J8" i="108"/>
  <c r="J9" i="108"/>
  <c r="J293" i="85"/>
  <c r="L163" i="90" s="1"/>
  <c r="J293" i="79"/>
  <c r="J293" i="80"/>
  <c r="I388" i="80"/>
  <c r="AG43" i="80"/>
  <c r="AG388" i="80" s="1"/>
  <c r="BU43" i="80"/>
  <c r="BU388" i="80" s="1"/>
  <c r="DI43" i="80"/>
  <c r="DI388" i="80" s="1"/>
  <c r="DQ43" i="80"/>
  <c r="DQ388" i="80" s="1"/>
  <c r="AW43" i="80"/>
  <c r="AW388" i="80" s="1"/>
  <c r="AO43" i="80"/>
  <c r="AO388" i="80" s="1"/>
  <c r="DA43" i="80"/>
  <c r="DA388" i="80" s="1"/>
  <c r="FE43" i="80"/>
  <c r="FE388" i="80" s="1"/>
  <c r="BE43" i="80"/>
  <c r="BE388" i="80" s="1"/>
  <c r="BM43" i="80"/>
  <c r="BM388" i="80" s="1"/>
  <c r="EW43" i="80"/>
  <c r="EW388" i="80" s="1"/>
  <c r="CK43" i="80"/>
  <c r="CK388" i="80" s="1"/>
  <c r="EO43" i="80"/>
  <c r="EO388" i="80" s="1"/>
  <c r="Q43" i="80"/>
  <c r="Q388" i="80" s="1"/>
  <c r="CS43" i="80"/>
  <c r="CS388" i="80" s="1"/>
  <c r="DY43" i="80"/>
  <c r="DY388" i="80" s="1"/>
  <c r="CC43" i="80"/>
  <c r="CC388" i="80" s="1"/>
  <c r="EG43" i="80"/>
  <c r="EG388" i="80" s="1"/>
  <c r="FM43" i="80"/>
  <c r="FM388" i="80" s="1"/>
  <c r="Y43" i="80"/>
  <c r="Y388" i="80" s="1"/>
  <c r="AN389" i="80"/>
  <c r="AP44" i="80"/>
  <c r="AP389" i="80" s="1"/>
  <c r="CB385" i="80"/>
  <c r="CD40" i="80"/>
  <c r="CD385" i="80" s="1"/>
  <c r="CZ385" i="80"/>
  <c r="DB40" i="80"/>
  <c r="DB385" i="80" s="1"/>
  <c r="I378" i="80"/>
  <c r="I379" i="80" s="1"/>
  <c r="FM376" i="80"/>
  <c r="FM378" i="80" s="1"/>
  <c r="FM379" i="80" s="1"/>
  <c r="FM449" i="80" s="1"/>
  <c r="FM275" i="80" s="1"/>
  <c r="Y376" i="80"/>
  <c r="Y378" i="80" s="1"/>
  <c r="Y379" i="80" s="1"/>
  <c r="Y449" i="80" s="1"/>
  <c r="Y275" i="80" s="1"/>
  <c r="DI376" i="80"/>
  <c r="DI378" i="80" s="1"/>
  <c r="DI379" i="80" s="1"/>
  <c r="DI449" i="80" s="1"/>
  <c r="DI275" i="80" s="1"/>
  <c r="EO376" i="80"/>
  <c r="EO378" i="80" s="1"/>
  <c r="EO379" i="80" s="1"/>
  <c r="EO449" i="80" s="1"/>
  <c r="EO275" i="80" s="1"/>
  <c r="BE376" i="80"/>
  <c r="BE378" i="80" s="1"/>
  <c r="BE379" i="80" s="1"/>
  <c r="BE449" i="80" s="1"/>
  <c r="BE275" i="80" s="1"/>
  <c r="CK376" i="80"/>
  <c r="CK378" i="80" s="1"/>
  <c r="CK379" i="80" s="1"/>
  <c r="CK449" i="80" s="1"/>
  <c r="CK275" i="80" s="1"/>
  <c r="EW376" i="80"/>
  <c r="EW378" i="80" s="1"/>
  <c r="EW379" i="80" s="1"/>
  <c r="EW449" i="80" s="1"/>
  <c r="EW275" i="80" s="1"/>
  <c r="DA376" i="80"/>
  <c r="DA378" i="80" s="1"/>
  <c r="DA379" i="80" s="1"/>
  <c r="DA449" i="80" s="1"/>
  <c r="DA275" i="80" s="1"/>
  <c r="CC376" i="80"/>
  <c r="CC378" i="80" s="1"/>
  <c r="CC379" i="80" s="1"/>
  <c r="CC449" i="80" s="1"/>
  <c r="CC275" i="80" s="1"/>
  <c r="DY376" i="80"/>
  <c r="DY378" i="80" s="1"/>
  <c r="DY379" i="80" s="1"/>
  <c r="DY449" i="80" s="1"/>
  <c r="DY275" i="80" s="1"/>
  <c r="BU376" i="80"/>
  <c r="BU378" i="80" s="1"/>
  <c r="BU379" i="80" s="1"/>
  <c r="BU449" i="80" s="1"/>
  <c r="BU275" i="80" s="1"/>
  <c r="AW376" i="80"/>
  <c r="AW378" i="80" s="1"/>
  <c r="AW379" i="80" s="1"/>
  <c r="AW449" i="80" s="1"/>
  <c r="AW275" i="80" s="1"/>
  <c r="AO376" i="80"/>
  <c r="AO378" i="80" s="1"/>
  <c r="AO379" i="80" s="1"/>
  <c r="AO449" i="80" s="1"/>
  <c r="AO275" i="80" s="1"/>
  <c r="BM376" i="80"/>
  <c r="BM378" i="80" s="1"/>
  <c r="BM379" i="80" s="1"/>
  <c r="BM449" i="80" s="1"/>
  <c r="BM275" i="80" s="1"/>
  <c r="EG376" i="80"/>
  <c r="EG378" i="80" s="1"/>
  <c r="EG379" i="80" s="1"/>
  <c r="EG449" i="80" s="1"/>
  <c r="EG275" i="80" s="1"/>
  <c r="Q376" i="80"/>
  <c r="Q378" i="80" s="1"/>
  <c r="Q379" i="80" s="1"/>
  <c r="Q449" i="80" s="1"/>
  <c r="Q275" i="80" s="1"/>
  <c r="CS376" i="80"/>
  <c r="CS378" i="80" s="1"/>
  <c r="CS379" i="80" s="1"/>
  <c r="CS449" i="80" s="1"/>
  <c r="CS275" i="80" s="1"/>
  <c r="FE376" i="80"/>
  <c r="FE378" i="80" s="1"/>
  <c r="FE379" i="80" s="1"/>
  <c r="FE449" i="80" s="1"/>
  <c r="FE275" i="80" s="1"/>
  <c r="AG376" i="80"/>
  <c r="AG378" i="80" s="1"/>
  <c r="AG379" i="80" s="1"/>
  <c r="AG449" i="80" s="1"/>
  <c r="AG275" i="80" s="1"/>
  <c r="DQ376" i="80"/>
  <c r="DQ378" i="80" s="1"/>
  <c r="DQ379" i="80" s="1"/>
  <c r="DQ449" i="80" s="1"/>
  <c r="DQ275" i="80" s="1"/>
  <c r="EN385" i="80"/>
  <c r="EP40" i="80"/>
  <c r="EP385" i="80" s="1"/>
  <c r="I293" i="79"/>
  <c r="I293" i="80"/>
  <c r="I293" i="85"/>
  <c r="K163" i="90" s="1"/>
  <c r="BD389" i="80"/>
  <c r="BF44" i="80"/>
  <c r="BF389" i="80" s="1"/>
  <c r="X385" i="80"/>
  <c r="Z40" i="80"/>
  <c r="Z385" i="80" s="1"/>
  <c r="FM45" i="79"/>
  <c r="EO45" i="79"/>
  <c r="CC45" i="79"/>
  <c r="AG45" i="79"/>
  <c r="EW45" i="79"/>
  <c r="I436" i="79"/>
  <c r="DY45" i="79"/>
  <c r="AO45" i="79"/>
  <c r="Q45" i="79"/>
  <c r="DI45" i="79"/>
  <c r="BE45" i="79"/>
  <c r="FE45" i="79"/>
  <c r="AW45" i="79"/>
  <c r="EG45" i="79"/>
  <c r="DA45" i="79"/>
  <c r="DQ45" i="79"/>
  <c r="CK45" i="79"/>
  <c r="BU45" i="79"/>
  <c r="Y45" i="79"/>
  <c r="I390" i="79"/>
  <c r="CS45" i="79"/>
  <c r="BM45" i="79"/>
  <c r="J17" i="85"/>
  <c r="L3" i="90" s="1"/>
  <c r="G55" i="82"/>
  <c r="J17" i="80"/>
  <c r="J411" i="80" s="1"/>
  <c r="J427" i="80" s="1"/>
  <c r="G55" i="35"/>
  <c r="J17" i="79"/>
  <c r="J411" i="79" s="1"/>
  <c r="J427" i="79" s="1"/>
  <c r="AF389" i="80"/>
  <c r="AH44" i="80"/>
  <c r="AH389" i="80" s="1"/>
  <c r="AN385" i="80"/>
  <c r="AP40" i="80"/>
  <c r="AP385" i="80" s="1"/>
  <c r="CR389" i="80"/>
  <c r="CT44" i="80"/>
  <c r="CT389" i="80" s="1"/>
  <c r="M13" i="111"/>
  <c r="AV393" i="79"/>
  <c r="DP393" i="79"/>
  <c r="DR48" i="79"/>
  <c r="DR393" i="79" s="1"/>
  <c r="X393" i="80"/>
  <c r="Z48" i="80"/>
  <c r="Z393" i="80" s="1"/>
  <c r="AN393" i="80"/>
  <c r="AP48" i="80"/>
  <c r="AP393" i="80" s="1"/>
  <c r="AV383" i="79"/>
  <c r="AV434" i="79"/>
  <c r="FD393" i="79"/>
  <c r="FF48" i="79"/>
  <c r="FF393" i="79" s="1"/>
  <c r="CR393" i="79"/>
  <c r="EN393" i="79"/>
  <c r="EP48" i="79"/>
  <c r="EP393" i="79" s="1"/>
  <c r="S70" i="82"/>
  <c r="Q73" i="82"/>
  <c r="DX393" i="80"/>
  <c r="DZ48" i="80"/>
  <c r="DZ393" i="80" s="1"/>
  <c r="DB88" i="80"/>
  <c r="EV393" i="80"/>
  <c r="AF393" i="80"/>
  <c r="AH48" i="80"/>
  <c r="AH393" i="80" s="1"/>
  <c r="S27" i="35"/>
  <c r="Q37" i="35"/>
  <c r="BF88" i="79"/>
  <c r="DX393" i="79"/>
  <c r="DZ48" i="79"/>
  <c r="DZ393" i="79" s="1"/>
  <c r="FL382" i="80"/>
  <c r="BD393" i="80"/>
  <c r="BF48" i="80"/>
  <c r="BF393" i="80" s="1"/>
  <c r="P393" i="80"/>
  <c r="R48" i="80"/>
  <c r="R393" i="80" s="1"/>
  <c r="BL393" i="79"/>
  <c r="BN48" i="79"/>
  <c r="BN393" i="79" s="1"/>
  <c r="CL88" i="79"/>
  <c r="CT88" i="80"/>
  <c r="DR88" i="80"/>
  <c r="CZ393" i="80"/>
  <c r="DB48" i="80"/>
  <c r="DB393" i="80" s="1"/>
  <c r="AH88" i="80"/>
  <c r="DH393" i="80"/>
  <c r="DJ48" i="80"/>
  <c r="DJ393" i="80" s="1"/>
  <c r="CZ393" i="79"/>
  <c r="CB393" i="79"/>
  <c r="FL393" i="80"/>
  <c r="FN48" i="80"/>
  <c r="FN393" i="80" s="1"/>
  <c r="BL434" i="79"/>
  <c r="BL383" i="79"/>
  <c r="EF393" i="79"/>
  <c r="EH48" i="79"/>
  <c r="EH393" i="79" s="1"/>
  <c r="EN393" i="80"/>
  <c r="EP48" i="80"/>
  <c r="EP393" i="80" s="1"/>
  <c r="EP88" i="80"/>
  <c r="FN88" i="79"/>
  <c r="DX436" i="79"/>
  <c r="BF88" i="80"/>
  <c r="EP88" i="79"/>
  <c r="EF393" i="80"/>
  <c r="EH48" i="80"/>
  <c r="EH393" i="80" s="1"/>
  <c r="EH88" i="80"/>
  <c r="DH390" i="79"/>
  <c r="DH436" i="79"/>
  <c r="AX88" i="80"/>
  <c r="BV88" i="80"/>
  <c r="BN88" i="79"/>
  <c r="S70" i="35"/>
  <c r="Q73" i="35"/>
  <c r="Z88" i="80"/>
  <c r="BT393" i="79"/>
  <c r="FL393" i="79"/>
  <c r="FN48" i="79"/>
  <c r="FN393" i="79" s="1"/>
  <c r="R88" i="80"/>
  <c r="AF393" i="79"/>
  <c r="AH48" i="79"/>
  <c r="AH393" i="79" s="1"/>
  <c r="P383" i="79"/>
  <c r="P434" i="79"/>
  <c r="DJ88" i="80"/>
  <c r="DZ88" i="80"/>
  <c r="BT393" i="80"/>
  <c r="BV48" i="80"/>
  <c r="BV393" i="80" s="1"/>
  <c r="AP88" i="80"/>
  <c r="DX383" i="79"/>
  <c r="DX434" i="79"/>
  <c r="DZ88" i="79"/>
  <c r="FF88" i="79"/>
  <c r="CR256" i="79"/>
  <c r="X256" i="79"/>
  <c r="EN256" i="79"/>
  <c r="DH256" i="79"/>
  <c r="EF256" i="79"/>
  <c r="FD256" i="79"/>
  <c r="EV256" i="79"/>
  <c r="CB256" i="79"/>
  <c r="AF256" i="79"/>
  <c r="AV256" i="79"/>
  <c r="BT256" i="79"/>
  <c r="CJ256" i="79"/>
  <c r="P256" i="79"/>
  <c r="FL256" i="79"/>
  <c r="DX256" i="79"/>
  <c r="BD256" i="79"/>
  <c r="CZ256" i="79"/>
  <c r="BL256" i="79"/>
  <c r="DP256" i="79"/>
  <c r="AN256" i="79"/>
  <c r="AH88" i="79"/>
  <c r="P393" i="79"/>
  <c r="R48" i="79"/>
  <c r="R393" i="79" s="1"/>
  <c r="R88" i="79"/>
  <c r="AN393" i="79"/>
  <c r="EH88" i="79"/>
  <c r="EV393" i="79"/>
  <c r="CD88" i="80"/>
  <c r="FN88" i="80"/>
  <c r="FD393" i="80"/>
  <c r="FF48" i="80"/>
  <c r="FF393" i="80" s="1"/>
  <c r="BD393" i="79"/>
  <c r="BF48" i="79"/>
  <c r="BF393" i="79" s="1"/>
  <c r="BN88" i="80"/>
  <c r="X256" i="80"/>
  <c r="BT256" i="80"/>
  <c r="CR256" i="80"/>
  <c r="CZ256" i="80"/>
  <c r="EV256" i="80"/>
  <c r="CB256" i="80"/>
  <c r="DX256" i="80"/>
  <c r="CJ256" i="80"/>
  <c r="AF256" i="80"/>
  <c r="BL256" i="80"/>
  <c r="AV256" i="80"/>
  <c r="AN256" i="80"/>
  <c r="EF256" i="80"/>
  <c r="EN256" i="80"/>
  <c r="FL256" i="80"/>
  <c r="DP256" i="80"/>
  <c r="BD256" i="80"/>
  <c r="P256" i="80"/>
  <c r="FD256" i="80"/>
  <c r="DH256" i="80"/>
  <c r="CJ393" i="79"/>
  <c r="CL48" i="79"/>
  <c r="CL393" i="79" s="1"/>
  <c r="S27" i="82"/>
  <c r="Q37" i="82"/>
  <c r="DP393" i="80"/>
  <c r="DR48" i="80"/>
  <c r="DR393" i="80" s="1"/>
  <c r="DR88" i="79"/>
  <c r="FL437" i="79"/>
  <c r="FL391" i="79"/>
  <c r="X393" i="79"/>
  <c r="FF88" i="80"/>
  <c r="DH393" i="79"/>
  <c r="AV393" i="80"/>
  <c r="AX48" i="80"/>
  <c r="AX393" i="80" s="1"/>
  <c r="CR393" i="80"/>
  <c r="CT48" i="80"/>
  <c r="CT393" i="80" s="1"/>
  <c r="CB17" i="80"/>
  <c r="DH17" i="80"/>
  <c r="P17" i="80"/>
  <c r="CR17" i="80"/>
  <c r="EN17" i="80"/>
  <c r="DX17" i="80"/>
  <c r="X17" i="80"/>
  <c r="AV17" i="80"/>
  <c r="EF17" i="80"/>
  <c r="AF17" i="80"/>
  <c r="DP17" i="80"/>
  <c r="BL17" i="80"/>
  <c r="BT17" i="80"/>
  <c r="CJ17" i="80"/>
  <c r="CZ17" i="80"/>
  <c r="FD17" i="80"/>
  <c r="EV17" i="80"/>
  <c r="FL17" i="80"/>
  <c r="H411" i="80"/>
  <c r="BD17" i="80"/>
  <c r="AN17" i="80"/>
  <c r="CB393" i="80"/>
  <c r="CD48" i="80"/>
  <c r="CD393" i="80" s="1"/>
  <c r="DJ110" i="80" l="1"/>
  <c r="BL65" i="80"/>
  <c r="AF65" i="80"/>
  <c r="BD391" i="79"/>
  <c r="BN110" i="80"/>
  <c r="BN105" i="79"/>
  <c r="CT88" i="79"/>
  <c r="N82" i="169"/>
  <c r="J82" i="169" s="1"/>
  <c r="FN105" i="79"/>
  <c r="H82" i="169"/>
  <c r="I96" i="169"/>
  <c r="I256" i="80" s="1"/>
  <c r="FD436" i="79"/>
  <c r="EH110" i="80"/>
  <c r="CR390" i="79"/>
  <c r="EP110" i="80"/>
  <c r="BV88" i="79"/>
  <c r="CT45" i="79"/>
  <c r="DB48" i="79"/>
  <c r="DB393" i="79" s="1"/>
  <c r="EF116" i="80"/>
  <c r="BT436" i="79"/>
  <c r="FN45" i="79"/>
  <c r="FN390" i="79" s="1"/>
  <c r="DZ45" i="79"/>
  <c r="DZ436" i="79" s="1"/>
  <c r="EV390" i="79"/>
  <c r="FF105" i="79"/>
  <c r="AX110" i="80"/>
  <c r="AN116" i="79"/>
  <c r="CB434" i="79"/>
  <c r="FF45" i="79"/>
  <c r="FF390" i="79" s="1"/>
  <c r="DH116" i="80"/>
  <c r="CR434" i="79"/>
  <c r="DJ105" i="80"/>
  <c r="DJ116" i="80" s="1"/>
  <c r="BN105" i="80"/>
  <c r="AN437" i="79"/>
  <c r="DR110" i="79"/>
  <c r="P391" i="79"/>
  <c r="FF111" i="80"/>
  <c r="FD437" i="79"/>
  <c r="CB437" i="79"/>
  <c r="AP110" i="80"/>
  <c r="EP111" i="80"/>
  <c r="BD436" i="79"/>
  <c r="FL390" i="79"/>
  <c r="BF45" i="79"/>
  <c r="BF436" i="79" s="1"/>
  <c r="AH111" i="79"/>
  <c r="AF383" i="79"/>
  <c r="CT38" i="79"/>
  <c r="CT383" i="79" s="1"/>
  <c r="EN116" i="80"/>
  <c r="DP434" i="79"/>
  <c r="BD383" i="79"/>
  <c r="DZ105" i="79"/>
  <c r="CB390" i="79"/>
  <c r="EP111" i="79"/>
  <c r="BV105" i="80"/>
  <c r="R105" i="79"/>
  <c r="DH434" i="79"/>
  <c r="DB45" i="79"/>
  <c r="DB390" i="79" s="1"/>
  <c r="DB110" i="79"/>
  <c r="CT110" i="79"/>
  <c r="BF38" i="79"/>
  <c r="BF434" i="79" s="1"/>
  <c r="BF46" i="79"/>
  <c r="BF437" i="79" s="1"/>
  <c r="DR38" i="79"/>
  <c r="DR434" i="79" s="1"/>
  <c r="Z46" i="79"/>
  <c r="Z437" i="79" s="1"/>
  <c r="EV437" i="79"/>
  <c r="EF434" i="79"/>
  <c r="X437" i="79"/>
  <c r="EN390" i="79"/>
  <c r="EH38" i="79"/>
  <c r="EH434" i="79" s="1"/>
  <c r="CL111" i="80"/>
  <c r="CZ116" i="80"/>
  <c r="DP390" i="79"/>
  <c r="EF437" i="79"/>
  <c r="BL393" i="80"/>
  <c r="EH46" i="79"/>
  <c r="BF105" i="80"/>
  <c r="DB111" i="80"/>
  <c r="CR437" i="79"/>
  <c r="DR45" i="79"/>
  <c r="DR436" i="79" s="1"/>
  <c r="X390" i="79"/>
  <c r="AP111" i="80"/>
  <c r="AV116" i="79"/>
  <c r="DH391" i="79"/>
  <c r="Z45" i="79"/>
  <c r="Z436" i="79" s="1"/>
  <c r="CT46" i="79"/>
  <c r="CT391" i="79" s="1"/>
  <c r="DX116" i="79"/>
  <c r="AV390" i="79"/>
  <c r="CT105" i="79"/>
  <c r="R55" i="82"/>
  <c r="S55" i="82" s="1"/>
  <c r="X383" i="79"/>
  <c r="CZ65" i="80"/>
  <c r="BV111" i="80"/>
  <c r="H65" i="85"/>
  <c r="J31" i="90" s="1"/>
  <c r="BL391" i="79"/>
  <c r="CR65" i="80"/>
  <c r="AN65" i="80"/>
  <c r="EF390" i="79"/>
  <c r="AV65" i="80"/>
  <c r="FD65" i="80"/>
  <c r="DR105" i="79"/>
  <c r="BF37" i="79"/>
  <c r="BF382" i="79" s="1"/>
  <c r="DP65" i="80"/>
  <c r="X65" i="80"/>
  <c r="BT65" i="80"/>
  <c r="H65" i="79"/>
  <c r="BL65" i="79" s="1"/>
  <c r="CJ65" i="80"/>
  <c r="CB65" i="80"/>
  <c r="EF65" i="80"/>
  <c r="EN116" i="79"/>
  <c r="CL37" i="79"/>
  <c r="CL382" i="79" s="1"/>
  <c r="P65" i="80"/>
  <c r="DH65" i="80"/>
  <c r="EV65" i="80"/>
  <c r="DB110" i="80"/>
  <c r="DZ110" i="80"/>
  <c r="EN65" i="80"/>
  <c r="BD65" i="80"/>
  <c r="DX65" i="80"/>
  <c r="FL65" i="80"/>
  <c r="CL105" i="79"/>
  <c r="DP116" i="79"/>
  <c r="CJ383" i="79"/>
  <c r="Z41" i="80"/>
  <c r="Z386" i="80" s="1"/>
  <c r="P390" i="79"/>
  <c r="EP45" i="79"/>
  <c r="EP436" i="79" s="1"/>
  <c r="EP38" i="79"/>
  <c r="EP383" i="79" s="1"/>
  <c r="AX46" i="79"/>
  <c r="AX437" i="79" s="1"/>
  <c r="EX105" i="80"/>
  <c r="R45" i="79"/>
  <c r="R436" i="79" s="1"/>
  <c r="J65" i="85"/>
  <c r="L31" i="90" s="1"/>
  <c r="EP105" i="80"/>
  <c r="EH42" i="79"/>
  <c r="EH387" i="79" s="1"/>
  <c r="EN383" i="79"/>
  <c r="R110" i="80"/>
  <c r="AF116" i="80"/>
  <c r="EH45" i="79"/>
  <c r="EH436" i="79" s="1"/>
  <c r="FF46" i="79"/>
  <c r="FF391" i="79" s="1"/>
  <c r="J65" i="80"/>
  <c r="CZ390" i="79"/>
  <c r="CJ390" i="79"/>
  <c r="AH45" i="79"/>
  <c r="AH436" i="79" s="1"/>
  <c r="FN111" i="79"/>
  <c r="AH111" i="80"/>
  <c r="I65" i="79"/>
  <c r="EG65" i="79" s="1"/>
  <c r="AF391" i="79"/>
  <c r="FF111" i="79"/>
  <c r="DB105" i="79"/>
  <c r="EH105" i="79"/>
  <c r="CZ434" i="79"/>
  <c r="AF390" i="79"/>
  <c r="DB38" i="79"/>
  <c r="DB434" i="79" s="1"/>
  <c r="BN46" i="79"/>
  <c r="BN437" i="79" s="1"/>
  <c r="CT105" i="80"/>
  <c r="R111" i="80"/>
  <c r="AH105" i="79"/>
  <c r="CZ116" i="79"/>
  <c r="EV116" i="80"/>
  <c r="FF42" i="79"/>
  <c r="FF387" i="79" s="1"/>
  <c r="CL45" i="79"/>
  <c r="CL436" i="79" s="1"/>
  <c r="BF111" i="79"/>
  <c r="DZ105" i="80"/>
  <c r="EF116" i="79"/>
  <c r="FL116" i="79"/>
  <c r="Z38" i="79"/>
  <c r="Z434" i="79" s="1"/>
  <c r="AH46" i="79"/>
  <c r="AH437" i="79" s="1"/>
  <c r="FF110" i="80"/>
  <c r="AH105" i="80"/>
  <c r="BF105" i="79"/>
  <c r="CJ116" i="80"/>
  <c r="CB116" i="79"/>
  <c r="AN116" i="80"/>
  <c r="AN436" i="79"/>
  <c r="AV437" i="79"/>
  <c r="EP45" i="80"/>
  <c r="EP390" i="80" s="1"/>
  <c r="EP436" i="80" s="1"/>
  <c r="DP391" i="79"/>
  <c r="BL436" i="79"/>
  <c r="EH105" i="80"/>
  <c r="BN45" i="79"/>
  <c r="BN390" i="79" s="1"/>
  <c r="DR46" i="79"/>
  <c r="AP105" i="80"/>
  <c r="CD43" i="79"/>
  <c r="CD388" i="79" s="1"/>
  <c r="EV116" i="79"/>
  <c r="P116" i="80"/>
  <c r="CR116" i="80"/>
  <c r="EX105" i="79"/>
  <c r="DZ111" i="79"/>
  <c r="CJ393" i="80"/>
  <c r="R105" i="80"/>
  <c r="EV383" i="79"/>
  <c r="X116" i="79"/>
  <c r="CD105" i="80"/>
  <c r="CB116" i="80"/>
  <c r="BT116" i="79"/>
  <c r="BD116" i="79"/>
  <c r="BT434" i="79"/>
  <c r="DZ42" i="80"/>
  <c r="DZ387" i="80" s="1"/>
  <c r="DB38" i="80"/>
  <c r="DB383" i="80" s="1"/>
  <c r="DB434" i="80" s="1"/>
  <c r="DR111" i="79"/>
  <c r="CJ116" i="79"/>
  <c r="BD116" i="80"/>
  <c r="DB37" i="79"/>
  <c r="DB382" i="79" s="1"/>
  <c r="R42" i="80"/>
  <c r="R387" i="80" s="1"/>
  <c r="AH110" i="80"/>
  <c r="BF110" i="80"/>
  <c r="FN105" i="80"/>
  <c r="DH116" i="79"/>
  <c r="P116" i="79"/>
  <c r="DB43" i="79"/>
  <c r="DB388" i="79" s="1"/>
  <c r="BF38" i="80"/>
  <c r="BF383" i="80" s="1"/>
  <c r="BF434" i="80" s="1"/>
  <c r="DZ42" i="79"/>
  <c r="DZ387" i="79" s="1"/>
  <c r="AX105" i="80"/>
  <c r="CL110" i="79"/>
  <c r="AV116" i="80"/>
  <c r="EN437" i="79"/>
  <c r="EP46" i="79"/>
  <c r="EP391" i="79" s="1"/>
  <c r="DR110" i="80"/>
  <c r="BN41" i="80"/>
  <c r="BN386" i="80" s="1"/>
  <c r="FD116" i="80"/>
  <c r="EX88" i="79"/>
  <c r="CL45" i="80"/>
  <c r="CL390" i="80" s="1"/>
  <c r="CL436" i="80" s="1"/>
  <c r="DX437" i="79"/>
  <c r="R111" i="79"/>
  <c r="DZ46" i="79"/>
  <c r="DZ391" i="79" s="1"/>
  <c r="FN111" i="80"/>
  <c r="AH46" i="80"/>
  <c r="AH391" i="80" s="1"/>
  <c r="AH437" i="80" s="1"/>
  <c r="AX38" i="80"/>
  <c r="AX383" i="80" s="1"/>
  <c r="AX434" i="80" s="1"/>
  <c r="Z110" i="79"/>
  <c r="AH38" i="79"/>
  <c r="AH383" i="79" s="1"/>
  <c r="CJ391" i="79"/>
  <c r="FD434" i="79"/>
  <c r="FN110" i="79"/>
  <c r="Z111" i="80"/>
  <c r="R37" i="79"/>
  <c r="R382" i="79" s="1"/>
  <c r="DZ110" i="79"/>
  <c r="CL46" i="79"/>
  <c r="CL437" i="79" s="1"/>
  <c r="CT37" i="80"/>
  <c r="CT382" i="80" s="1"/>
  <c r="BF110" i="79"/>
  <c r="FF38" i="79"/>
  <c r="FF434" i="79" s="1"/>
  <c r="FF105" i="80"/>
  <c r="CL105" i="80"/>
  <c r="CD37" i="79"/>
  <c r="CD382" i="79" s="1"/>
  <c r="BL116" i="79"/>
  <c r="BT116" i="80"/>
  <c r="X116" i="80"/>
  <c r="FL116" i="80"/>
  <c r="DX116" i="80"/>
  <c r="EP110" i="79"/>
  <c r="CL38" i="79"/>
  <c r="CL434" i="79" s="1"/>
  <c r="R46" i="79"/>
  <c r="R391" i="79" s="1"/>
  <c r="BT391" i="79"/>
  <c r="BV43" i="79"/>
  <c r="BV388" i="79" s="1"/>
  <c r="CD88" i="79"/>
  <c r="CD45" i="79"/>
  <c r="CD390" i="79" s="1"/>
  <c r="R110" i="79"/>
  <c r="BV38" i="79"/>
  <c r="BV383" i="79" s="1"/>
  <c r="Z110" i="80"/>
  <c r="CT110" i="80"/>
  <c r="FN38" i="80"/>
  <c r="FN383" i="80" s="1"/>
  <c r="FN434" i="80" s="1"/>
  <c r="BV45" i="79"/>
  <c r="BV110" i="79"/>
  <c r="FN41" i="80"/>
  <c r="FN386" i="80" s="1"/>
  <c r="AH41" i="79"/>
  <c r="AH386" i="79" s="1"/>
  <c r="CL42" i="80"/>
  <c r="CL387" i="80" s="1"/>
  <c r="R42" i="79"/>
  <c r="R387" i="79" s="1"/>
  <c r="BN110" i="79"/>
  <c r="BN111" i="79"/>
  <c r="CT111" i="80"/>
  <c r="DJ41" i="80"/>
  <c r="DJ386" i="80" s="1"/>
  <c r="CZ437" i="79"/>
  <c r="DZ41" i="79"/>
  <c r="DZ386" i="79" s="1"/>
  <c r="CD48" i="79"/>
  <c r="CD393" i="79" s="1"/>
  <c r="BV46" i="79"/>
  <c r="BV437" i="79" s="1"/>
  <c r="DB46" i="79"/>
  <c r="DB437" i="79" s="1"/>
  <c r="FN110" i="80"/>
  <c r="BV110" i="80"/>
  <c r="DR105" i="80"/>
  <c r="DZ111" i="80"/>
  <c r="BV105" i="79"/>
  <c r="EH41" i="80"/>
  <c r="EH386" i="80" s="1"/>
  <c r="FL434" i="79"/>
  <c r="CD38" i="79"/>
  <c r="CD383" i="79" s="1"/>
  <c r="BV45" i="80"/>
  <c r="BV390" i="80" s="1"/>
  <c r="BV436" i="80" s="1"/>
  <c r="FN38" i="79"/>
  <c r="FN383" i="79" s="1"/>
  <c r="BV111" i="79"/>
  <c r="AP376" i="80"/>
  <c r="AP378" i="80" s="1"/>
  <c r="AP379" i="80" s="1"/>
  <c r="AP449" i="80" s="1"/>
  <c r="BL116" i="80"/>
  <c r="AF116" i="79"/>
  <c r="DP116" i="80"/>
  <c r="FN43" i="79"/>
  <c r="FN388" i="79" s="1"/>
  <c r="FN37" i="80"/>
  <c r="FN382" i="80" s="1"/>
  <c r="BN46" i="80"/>
  <c r="BN391" i="80" s="1"/>
  <c r="BN437" i="80" s="1"/>
  <c r="FN46" i="80"/>
  <c r="FN391" i="80" s="1"/>
  <c r="FN437" i="80" s="1"/>
  <c r="BV376" i="79"/>
  <c r="BV378" i="79" s="1"/>
  <c r="BV379" i="79" s="1"/>
  <c r="BV449" i="79" s="1"/>
  <c r="FL17" i="79"/>
  <c r="FL411" i="79" s="1"/>
  <c r="DP17" i="79"/>
  <c r="DP411" i="79" s="1"/>
  <c r="BV38" i="80"/>
  <c r="BV383" i="80" s="1"/>
  <c r="BV434" i="80" s="1"/>
  <c r="R38" i="80"/>
  <c r="R383" i="80" s="1"/>
  <c r="R434" i="80" s="1"/>
  <c r="BV37" i="79"/>
  <c r="BV382" i="79" s="1"/>
  <c r="R43" i="80"/>
  <c r="R388" i="80" s="1"/>
  <c r="DR111" i="80"/>
  <c r="CD111" i="80"/>
  <c r="BF111" i="80"/>
  <c r="BL294" i="80"/>
  <c r="X294" i="80"/>
  <c r="DP294" i="80"/>
  <c r="DX294" i="80"/>
  <c r="FL294" i="80"/>
  <c r="BT294" i="80"/>
  <c r="CB294" i="80"/>
  <c r="CJ294" i="80"/>
  <c r="P294" i="80"/>
  <c r="BD294" i="80"/>
  <c r="AV294" i="80"/>
  <c r="EF294" i="80"/>
  <c r="FD294" i="80"/>
  <c r="CZ294" i="80"/>
  <c r="AF294" i="80"/>
  <c r="CR294" i="80"/>
  <c r="EV294" i="80"/>
  <c r="DH294" i="80"/>
  <c r="AN294" i="80"/>
  <c r="EN294" i="80"/>
  <c r="Z42" i="80"/>
  <c r="Z387" i="80" s="1"/>
  <c r="FD116" i="79"/>
  <c r="FL294" i="79"/>
  <c r="DP294" i="79"/>
  <c r="CZ294" i="79"/>
  <c r="DH294" i="79"/>
  <c r="AF294" i="79"/>
  <c r="CJ294" i="79"/>
  <c r="BL294" i="79"/>
  <c r="BT294" i="79"/>
  <c r="FD294" i="79"/>
  <c r="CR294" i="79"/>
  <c r="X294" i="79"/>
  <c r="AV294" i="79"/>
  <c r="EF294" i="79"/>
  <c r="P294" i="79"/>
  <c r="CB294" i="79"/>
  <c r="DX294" i="79"/>
  <c r="EN294" i="79"/>
  <c r="BD294" i="79"/>
  <c r="EV294" i="79"/>
  <c r="AN294" i="79"/>
  <c r="AP42" i="79"/>
  <c r="AP387" i="79" s="1"/>
  <c r="CR116" i="79"/>
  <c r="BN111" i="80"/>
  <c r="Q55" i="35"/>
  <c r="S55" i="35" s="1"/>
  <c r="DR38" i="80"/>
  <c r="DR383" i="80" s="1"/>
  <c r="DR434" i="80" s="1"/>
  <c r="AX376" i="79"/>
  <c r="AX378" i="79" s="1"/>
  <c r="AX379" i="79" s="1"/>
  <c r="AX449" i="79" s="1"/>
  <c r="AN434" i="79"/>
  <c r="EH111" i="80"/>
  <c r="AX43" i="79"/>
  <c r="AX388" i="79" s="1"/>
  <c r="DJ46" i="80"/>
  <c r="DJ391" i="80" s="1"/>
  <c r="DJ437" i="80" s="1"/>
  <c r="AX42" i="79"/>
  <c r="AX387" i="79" s="1"/>
  <c r="EX45" i="80"/>
  <c r="EX390" i="80" s="1"/>
  <c r="EX436" i="80" s="1"/>
  <c r="CT111" i="79"/>
  <c r="AH110" i="79"/>
  <c r="AX38" i="79"/>
  <c r="AX434" i="79" s="1"/>
  <c r="AX105" i="79"/>
  <c r="X387" i="80"/>
  <c r="DJ42" i="80"/>
  <c r="DJ387" i="80" s="1"/>
  <c r="AP48" i="79"/>
  <c r="AP393" i="79" s="1"/>
  <c r="AX88" i="79"/>
  <c r="AX45" i="79"/>
  <c r="AX390" i="79" s="1"/>
  <c r="AX111" i="79"/>
  <c r="CL110" i="80"/>
  <c r="AX111" i="80"/>
  <c r="FF43" i="80"/>
  <c r="FF388" i="80" s="1"/>
  <c r="CL376" i="79"/>
  <c r="CL378" i="79" s="1"/>
  <c r="CL379" i="79" s="1"/>
  <c r="CL449" i="79" s="1"/>
  <c r="R43" i="79"/>
  <c r="R388" i="79" s="1"/>
  <c r="BN43" i="79"/>
  <c r="BN388" i="79" s="1"/>
  <c r="AP105" i="79"/>
  <c r="AP43" i="79"/>
  <c r="AP388" i="79" s="1"/>
  <c r="EX38" i="80"/>
  <c r="EX383" i="80" s="1"/>
  <c r="EX434" i="80" s="1"/>
  <c r="AX110" i="79"/>
  <c r="DB111" i="79"/>
  <c r="DR43" i="79"/>
  <c r="DR388" i="79" s="1"/>
  <c r="FF110" i="79"/>
  <c r="AP37" i="80"/>
  <c r="AP382" i="80" s="1"/>
  <c r="FN37" i="79"/>
  <c r="FN382" i="79" s="1"/>
  <c r="AP38" i="79"/>
  <c r="AP434" i="79" s="1"/>
  <c r="AX43" i="80"/>
  <c r="AX388" i="80" s="1"/>
  <c r="CL42" i="79"/>
  <c r="CL387" i="79" s="1"/>
  <c r="FD17" i="79"/>
  <c r="FD411" i="79" s="1"/>
  <c r="EF17" i="79"/>
  <c r="EF411" i="79" s="1"/>
  <c r="DB41" i="79"/>
  <c r="DB386" i="79" s="1"/>
  <c r="CD42" i="79"/>
  <c r="CD387" i="79" s="1"/>
  <c r="EP37" i="79"/>
  <c r="EP382" i="79" s="1"/>
  <c r="BN42" i="80"/>
  <c r="BN387" i="80" s="1"/>
  <c r="DR41" i="80"/>
  <c r="DR386" i="80" s="1"/>
  <c r="BF41" i="79"/>
  <c r="BF386" i="79" s="1"/>
  <c r="EX37" i="80"/>
  <c r="EX382" i="80" s="1"/>
  <c r="CJ17" i="79"/>
  <c r="CJ411" i="79" s="1"/>
  <c r="X17" i="79"/>
  <c r="X411" i="79" s="1"/>
  <c r="AX42" i="80"/>
  <c r="AX387" i="80" s="1"/>
  <c r="CD45" i="80"/>
  <c r="CD390" i="80" s="1"/>
  <c r="CD436" i="80" s="1"/>
  <c r="AV17" i="79"/>
  <c r="AV411" i="79" s="1"/>
  <c r="AN17" i="79"/>
  <c r="AN411" i="79" s="1"/>
  <c r="DX17" i="79"/>
  <c r="DX411" i="79" s="1"/>
  <c r="EX43" i="79"/>
  <c r="EX388" i="79" s="1"/>
  <c r="DZ37" i="79"/>
  <c r="DZ382" i="79" s="1"/>
  <c r="CL111" i="79"/>
  <c r="BT17" i="79"/>
  <c r="BT411" i="79" s="1"/>
  <c r="EV17" i="79"/>
  <c r="EV411" i="79" s="1"/>
  <c r="CR17" i="79"/>
  <c r="CR411" i="79" s="1"/>
  <c r="EP41" i="80"/>
  <c r="EP386" i="80" s="1"/>
  <c r="DZ41" i="80"/>
  <c r="DZ386" i="80" s="1"/>
  <c r="BL17" i="79"/>
  <c r="BL411" i="79" s="1"/>
  <c r="CB17" i="79"/>
  <c r="CB411" i="79" s="1"/>
  <c r="AF17" i="79"/>
  <c r="AF411" i="79" s="1"/>
  <c r="DZ38" i="80"/>
  <c r="DZ383" i="80" s="1"/>
  <c r="DZ434" i="80" s="1"/>
  <c r="BD17" i="79"/>
  <c r="BD411" i="79" s="1"/>
  <c r="H411" i="79"/>
  <c r="P17" i="79"/>
  <c r="P411" i="79" s="1"/>
  <c r="DR42" i="79"/>
  <c r="DR387" i="79" s="1"/>
  <c r="CZ17" i="79"/>
  <c r="CZ411" i="79" s="1"/>
  <c r="DH17" i="79"/>
  <c r="DH411" i="79" s="1"/>
  <c r="EX37" i="79"/>
  <c r="EX382" i="79" s="1"/>
  <c r="EX46" i="79"/>
  <c r="EX437" i="79" s="1"/>
  <c r="EX111" i="79"/>
  <c r="AH37" i="80"/>
  <c r="AH382" i="80" s="1"/>
  <c r="BF376" i="79"/>
  <c r="BF378" i="79" s="1"/>
  <c r="BF379" i="79" s="1"/>
  <c r="BF449" i="79" s="1"/>
  <c r="EX45" i="79"/>
  <c r="EX436" i="79" s="1"/>
  <c r="DR43" i="80"/>
  <c r="DR388" i="80" s="1"/>
  <c r="AP46" i="80"/>
  <c r="AP391" i="80" s="1"/>
  <c r="AP437" i="80" s="1"/>
  <c r="AX41" i="80"/>
  <c r="AX386" i="80" s="1"/>
  <c r="AX37" i="79"/>
  <c r="AX382" i="79" s="1"/>
  <c r="DZ46" i="80"/>
  <c r="DZ391" i="80" s="1"/>
  <c r="DZ437" i="80" s="1"/>
  <c r="AX41" i="79"/>
  <c r="AX386" i="79" s="1"/>
  <c r="BF43" i="79"/>
  <c r="BF388" i="79" s="1"/>
  <c r="EX110" i="79"/>
  <c r="EX38" i="79"/>
  <c r="EX434" i="79" s="1"/>
  <c r="EH37" i="80"/>
  <c r="EH382" i="80" s="1"/>
  <c r="FF38" i="80"/>
  <c r="FF383" i="80" s="1"/>
  <c r="FF434" i="80" s="1"/>
  <c r="EP376" i="79"/>
  <c r="EP378" i="79" s="1"/>
  <c r="EP379" i="79" s="1"/>
  <c r="EP449" i="79" s="1"/>
  <c r="AX376" i="80"/>
  <c r="AX378" i="80" s="1"/>
  <c r="AX379" i="80" s="1"/>
  <c r="AX449" i="80" s="1"/>
  <c r="DR41" i="79"/>
  <c r="DR386" i="79" s="1"/>
  <c r="AP43" i="80"/>
  <c r="AP388" i="80" s="1"/>
  <c r="EP41" i="79"/>
  <c r="EP386" i="79" s="1"/>
  <c r="BF376" i="80"/>
  <c r="BF378" i="80" s="1"/>
  <c r="BF379" i="80" s="1"/>
  <c r="BF449" i="80" s="1"/>
  <c r="FN45" i="80"/>
  <c r="FN390" i="80" s="1"/>
  <c r="FN436" i="80" s="1"/>
  <c r="CD37" i="80"/>
  <c r="CD382" i="80" s="1"/>
  <c r="FF37" i="80"/>
  <c r="FF382" i="80" s="1"/>
  <c r="AH45" i="80"/>
  <c r="AH390" i="80" s="1"/>
  <c r="AH436" i="80" s="1"/>
  <c r="DZ43" i="80"/>
  <c r="DZ388" i="80" s="1"/>
  <c r="EH111" i="79"/>
  <c r="BV41" i="80"/>
  <c r="BV386" i="80" s="1"/>
  <c r="DJ43" i="79"/>
  <c r="DJ388" i="79" s="1"/>
  <c r="DJ88" i="79"/>
  <c r="EP43" i="80"/>
  <c r="EP388" i="80" s="1"/>
  <c r="Z376" i="80"/>
  <c r="Z378" i="80" s="1"/>
  <c r="Z379" i="80" s="1"/>
  <c r="Z449" i="80" s="1"/>
  <c r="DZ376" i="80"/>
  <c r="DZ378" i="80" s="1"/>
  <c r="DZ379" i="80" s="1"/>
  <c r="DZ449" i="80" s="1"/>
  <c r="DZ43" i="79"/>
  <c r="DZ388" i="79" s="1"/>
  <c r="DJ38" i="79"/>
  <c r="DJ434" i="79" s="1"/>
  <c r="AX37" i="80"/>
  <c r="AX382" i="80" s="1"/>
  <c r="EH42" i="80"/>
  <c r="EH387" i="80" s="1"/>
  <c r="FN43" i="80"/>
  <c r="FN388" i="80" s="1"/>
  <c r="EH46" i="80"/>
  <c r="EH391" i="80" s="1"/>
  <c r="EH437" i="80" s="1"/>
  <c r="EH45" i="80"/>
  <c r="EH390" i="80" s="1"/>
  <c r="EH436" i="80" s="1"/>
  <c r="BN41" i="79"/>
  <c r="BN386" i="79" s="1"/>
  <c r="EP46" i="80"/>
  <c r="EP391" i="80" s="1"/>
  <c r="EP437" i="80" s="1"/>
  <c r="EX43" i="80"/>
  <c r="EX388" i="80" s="1"/>
  <c r="R37" i="80"/>
  <c r="R382" i="80" s="1"/>
  <c r="DJ110" i="79"/>
  <c r="BN37" i="79"/>
  <c r="BN382" i="79" s="1"/>
  <c r="DJ46" i="79"/>
  <c r="DJ391" i="79" s="1"/>
  <c r="BN42" i="79"/>
  <c r="BN387" i="79" s="1"/>
  <c r="CL41" i="80"/>
  <c r="CL386" i="80" s="1"/>
  <c r="DB46" i="80"/>
  <c r="DB391" i="80" s="1"/>
  <c r="DB437" i="80" s="1"/>
  <c r="BV37" i="80"/>
  <c r="BV382" i="80" s="1"/>
  <c r="DJ48" i="79"/>
  <c r="DJ393" i="79" s="1"/>
  <c r="AH38" i="80"/>
  <c r="AH383" i="80" s="1"/>
  <c r="AH434" i="80" s="1"/>
  <c r="FF45" i="80"/>
  <c r="FF390" i="80" s="1"/>
  <c r="FF436" i="80" s="1"/>
  <c r="DJ111" i="79"/>
  <c r="CD41" i="80"/>
  <c r="CD386" i="80" s="1"/>
  <c r="Z38" i="80"/>
  <c r="Z383" i="80" s="1"/>
  <c r="Z434" i="80" s="1"/>
  <c r="DJ45" i="79"/>
  <c r="DJ436" i="79" s="1"/>
  <c r="AH43" i="79"/>
  <c r="AH388" i="79" s="1"/>
  <c r="DB376" i="80"/>
  <c r="DB378" i="80" s="1"/>
  <c r="DB379" i="80" s="1"/>
  <c r="DB449" i="80" s="1"/>
  <c r="CT42" i="79"/>
  <c r="CT387" i="79" s="1"/>
  <c r="CT42" i="80"/>
  <c r="CT387" i="80" s="1"/>
  <c r="CD38" i="80"/>
  <c r="CD383" i="80" s="1"/>
  <c r="CD434" i="80" s="1"/>
  <c r="Z37" i="79"/>
  <c r="Z382" i="79" s="1"/>
  <c r="AF293" i="79"/>
  <c r="FL293" i="79"/>
  <c r="DH293" i="79"/>
  <c r="CB293" i="79"/>
  <c r="EN293" i="79"/>
  <c r="EF293" i="79"/>
  <c r="P293" i="79"/>
  <c r="AN293" i="79"/>
  <c r="CJ293" i="79"/>
  <c r="EV293" i="79"/>
  <c r="BL293" i="79"/>
  <c r="BD293" i="79"/>
  <c r="CR293" i="79"/>
  <c r="DP293" i="79"/>
  <c r="AV293" i="79"/>
  <c r="DX293" i="79"/>
  <c r="X293" i="79"/>
  <c r="FD293" i="79"/>
  <c r="CZ293" i="79"/>
  <c r="BT293" i="79"/>
  <c r="BD293" i="80"/>
  <c r="DX293" i="80"/>
  <c r="AN293" i="80"/>
  <c r="CR293" i="80"/>
  <c r="AV293" i="80"/>
  <c r="EN293" i="80"/>
  <c r="CB293" i="80"/>
  <c r="FL293" i="80"/>
  <c r="X293" i="80"/>
  <c r="FD293" i="80"/>
  <c r="DH293" i="80"/>
  <c r="CZ293" i="80"/>
  <c r="CJ293" i="80"/>
  <c r="BT293" i="80"/>
  <c r="P293" i="80"/>
  <c r="EV293" i="80"/>
  <c r="EF293" i="80"/>
  <c r="DP293" i="80"/>
  <c r="AF293" i="80"/>
  <c r="BL293" i="80"/>
  <c r="CD376" i="79"/>
  <c r="CD378" i="79" s="1"/>
  <c r="CD379" i="79" s="1"/>
  <c r="CD449" i="79" s="1"/>
  <c r="EH41" i="79"/>
  <c r="EH386" i="79" s="1"/>
  <c r="Z105" i="79"/>
  <c r="FN376" i="80"/>
  <c r="FN378" i="80" s="1"/>
  <c r="FN379" i="80" s="1"/>
  <c r="FN449" i="80" s="1"/>
  <c r="H374" i="85"/>
  <c r="CD111" i="79"/>
  <c r="EP42" i="79"/>
  <c r="EP387" i="79" s="1"/>
  <c r="CD41" i="79"/>
  <c r="CD386" i="79" s="1"/>
  <c r="BN37" i="80"/>
  <c r="BN382" i="80" s="1"/>
  <c r="Z45" i="80"/>
  <c r="Z390" i="80" s="1"/>
  <c r="Z436" i="80" s="1"/>
  <c r="AP42" i="80"/>
  <c r="AP387" i="80" s="1"/>
  <c r="AP41" i="80"/>
  <c r="AP386" i="80" s="1"/>
  <c r="AH376" i="79"/>
  <c r="AH378" i="79" s="1"/>
  <c r="AH379" i="79" s="1"/>
  <c r="AH449" i="79" s="1"/>
  <c r="DJ37" i="79"/>
  <c r="DJ382" i="79" s="1"/>
  <c r="EP38" i="80"/>
  <c r="EP383" i="80" s="1"/>
  <c r="EP434" i="80" s="1"/>
  <c r="Z88" i="79"/>
  <c r="EH43" i="79"/>
  <c r="EH388" i="79" s="1"/>
  <c r="CT43" i="79"/>
  <c r="CT388" i="79" s="1"/>
  <c r="Z48" i="79"/>
  <c r="Z393" i="79" s="1"/>
  <c r="CD46" i="80"/>
  <c r="CD391" i="80" s="1"/>
  <c r="CD437" i="80" s="1"/>
  <c r="Z376" i="79"/>
  <c r="Z378" i="79" s="1"/>
  <c r="Z379" i="79" s="1"/>
  <c r="Z449" i="79" s="1"/>
  <c r="CT45" i="80"/>
  <c r="CT390" i="80" s="1"/>
  <c r="CT436" i="80" s="1"/>
  <c r="AH37" i="79"/>
  <c r="AH382" i="79" s="1"/>
  <c r="DJ376" i="80"/>
  <c r="DJ378" i="80" s="1"/>
  <c r="DJ379" i="80" s="1"/>
  <c r="DJ449" i="80" s="1"/>
  <c r="EX42" i="80"/>
  <c r="EX387" i="80" s="1"/>
  <c r="BF45" i="80"/>
  <c r="BF390" i="80" s="1"/>
  <c r="BF436" i="80" s="1"/>
  <c r="Z42" i="79"/>
  <c r="Z387" i="79" s="1"/>
  <c r="FN42" i="79"/>
  <c r="FN387" i="79" s="1"/>
  <c r="CT41" i="80"/>
  <c r="CT386" i="80" s="1"/>
  <c r="FF376" i="79"/>
  <c r="FF378" i="79" s="1"/>
  <c r="FF379" i="79" s="1"/>
  <c r="FF449" i="79" s="1"/>
  <c r="AX46" i="80"/>
  <c r="AX391" i="80" s="1"/>
  <c r="AX437" i="80" s="1"/>
  <c r="CD110" i="79"/>
  <c r="Z111" i="79"/>
  <c r="CD46" i="79"/>
  <c r="CD437" i="79" s="1"/>
  <c r="BV43" i="80"/>
  <c r="BV388" i="80" s="1"/>
  <c r="FF43" i="79"/>
  <c r="FF388" i="79" s="1"/>
  <c r="EP37" i="80"/>
  <c r="EP382" i="80" s="1"/>
  <c r="R45" i="80"/>
  <c r="R390" i="80" s="1"/>
  <c r="R436" i="80" s="1"/>
  <c r="AH42" i="79"/>
  <c r="AH387" i="79" s="1"/>
  <c r="R376" i="80"/>
  <c r="R378" i="80" s="1"/>
  <c r="R379" i="80" s="1"/>
  <c r="R449" i="80" s="1"/>
  <c r="DJ43" i="80"/>
  <c r="DJ388" i="80" s="1"/>
  <c r="DJ105" i="79"/>
  <c r="AP37" i="79"/>
  <c r="AP382" i="79" s="1"/>
  <c r="BN38" i="80"/>
  <c r="BN383" i="80" s="1"/>
  <c r="BN434" i="80" s="1"/>
  <c r="BN43" i="80"/>
  <c r="BN388" i="80" s="1"/>
  <c r="CD105" i="79"/>
  <c r="BF37" i="80"/>
  <c r="BF382" i="80" s="1"/>
  <c r="R376" i="79"/>
  <c r="R378" i="79" s="1"/>
  <c r="R379" i="79" s="1"/>
  <c r="R449" i="79" s="1"/>
  <c r="AP376" i="79"/>
  <c r="AP378" i="79" s="1"/>
  <c r="AP379" i="79" s="1"/>
  <c r="AP449" i="79" s="1"/>
  <c r="EX111" i="80"/>
  <c r="AP46" i="79"/>
  <c r="AP391" i="79" s="1"/>
  <c r="EX110" i="80"/>
  <c r="R46" i="80"/>
  <c r="R391" i="80" s="1"/>
  <c r="R437" i="80" s="1"/>
  <c r="EP376" i="80"/>
  <c r="EP378" i="80" s="1"/>
  <c r="EP379" i="80" s="1"/>
  <c r="EP449" i="80" s="1"/>
  <c r="DB37" i="80"/>
  <c r="DB382" i="80" s="1"/>
  <c r="DZ45" i="80"/>
  <c r="DZ390" i="80" s="1"/>
  <c r="DZ436" i="80" s="1"/>
  <c r="DB43" i="80"/>
  <c r="DB388" i="80" s="1"/>
  <c r="Z41" i="79"/>
  <c r="Z386" i="79" s="1"/>
  <c r="DJ38" i="80"/>
  <c r="DJ383" i="80" s="1"/>
  <c r="DJ434" i="80" s="1"/>
  <c r="DR46" i="80"/>
  <c r="DR391" i="80" s="1"/>
  <c r="DR437" i="80" s="1"/>
  <c r="EP42" i="80"/>
  <c r="EP387" i="80" s="1"/>
  <c r="EX48" i="80"/>
  <c r="EX393" i="80" s="1"/>
  <c r="AP88" i="79"/>
  <c r="AP110" i="79"/>
  <c r="CL41" i="79"/>
  <c r="CL386" i="79" s="1"/>
  <c r="CD42" i="80"/>
  <c r="CD387" i="80" s="1"/>
  <c r="BF42" i="79"/>
  <c r="BF387" i="79" s="1"/>
  <c r="AP45" i="80"/>
  <c r="AP390" i="80" s="1"/>
  <c r="AP436" i="80" s="1"/>
  <c r="EX41" i="80"/>
  <c r="EX386" i="80" s="1"/>
  <c r="AH376" i="80"/>
  <c r="AH378" i="80" s="1"/>
  <c r="AH379" i="80" s="1"/>
  <c r="AH449" i="80" s="1"/>
  <c r="AH42" i="80"/>
  <c r="AH387" i="80" s="1"/>
  <c r="FN376" i="79"/>
  <c r="FN378" i="79" s="1"/>
  <c r="FN379" i="79" s="1"/>
  <c r="FN449" i="79" s="1"/>
  <c r="EX376" i="80"/>
  <c r="EX378" i="80" s="1"/>
  <c r="EX379" i="80" s="1"/>
  <c r="EX449" i="80" s="1"/>
  <c r="DR376" i="79"/>
  <c r="DR378" i="79" s="1"/>
  <c r="DR379" i="79" s="1"/>
  <c r="DR449" i="79" s="1"/>
  <c r="BV42" i="80"/>
  <c r="BV387" i="80" s="1"/>
  <c r="AP41" i="79"/>
  <c r="AP386" i="79" s="1"/>
  <c r="R41" i="79"/>
  <c r="R386" i="79" s="1"/>
  <c r="CT41" i="79"/>
  <c r="CT386" i="79" s="1"/>
  <c r="CT376" i="79"/>
  <c r="CT378" i="79" s="1"/>
  <c r="CT379" i="79" s="1"/>
  <c r="CT449" i="79" s="1"/>
  <c r="BV46" i="80"/>
  <c r="BV391" i="80" s="1"/>
  <c r="BV437" i="80" s="1"/>
  <c r="DZ37" i="80"/>
  <c r="DZ382" i="80" s="1"/>
  <c r="EX42" i="79"/>
  <c r="EX387" i="79" s="1"/>
  <c r="AP45" i="79"/>
  <c r="AP436" i="79" s="1"/>
  <c r="CT37" i="79"/>
  <c r="CT382" i="79" s="1"/>
  <c r="BV376" i="80"/>
  <c r="BV378" i="80" s="1"/>
  <c r="BV379" i="80" s="1"/>
  <c r="BV449" i="80" s="1"/>
  <c r="CL37" i="80"/>
  <c r="CL382" i="80" s="1"/>
  <c r="FF42" i="80"/>
  <c r="FF387" i="80" s="1"/>
  <c r="FF41" i="80"/>
  <c r="FF386" i="80" s="1"/>
  <c r="BV42" i="79"/>
  <c r="BV387" i="79" s="1"/>
  <c r="DB45" i="80"/>
  <c r="DB390" i="80" s="1"/>
  <c r="DB436" i="80" s="1"/>
  <c r="CT43" i="80"/>
  <c r="CT388" i="80" s="1"/>
  <c r="AX45" i="80"/>
  <c r="AX390" i="80" s="1"/>
  <c r="AX436" i="80" s="1"/>
  <c r="DR376" i="80"/>
  <c r="DR378" i="80" s="1"/>
  <c r="DR379" i="80" s="1"/>
  <c r="DR449" i="80" s="1"/>
  <c r="AP111" i="79"/>
  <c r="FF46" i="80"/>
  <c r="FF391" i="80" s="1"/>
  <c r="FF437" i="80" s="1"/>
  <c r="CD376" i="80"/>
  <c r="CD378" i="80" s="1"/>
  <c r="CD379" i="80" s="1"/>
  <c r="CD449" i="80" s="1"/>
  <c r="FF376" i="80"/>
  <c r="FF378" i="80" s="1"/>
  <c r="FF379" i="80" s="1"/>
  <c r="FF449" i="80" s="1"/>
  <c r="CT376" i="80"/>
  <c r="CT378" i="80" s="1"/>
  <c r="CT379" i="80" s="1"/>
  <c r="CT449" i="80" s="1"/>
  <c r="FN42" i="80"/>
  <c r="FN387" i="80" s="1"/>
  <c r="Z43" i="80"/>
  <c r="Z388" i="80" s="1"/>
  <c r="BF42" i="80"/>
  <c r="BF387" i="80" s="1"/>
  <c r="BF41" i="80"/>
  <c r="BF386" i="80" s="1"/>
  <c r="FN41" i="79"/>
  <c r="FN386" i="79" s="1"/>
  <c r="DJ37" i="80"/>
  <c r="DJ382" i="80" s="1"/>
  <c r="DB41" i="80"/>
  <c r="DB386" i="80" s="1"/>
  <c r="DR45" i="80"/>
  <c r="DR390" i="80" s="1"/>
  <c r="DR436" i="80" s="1"/>
  <c r="DJ376" i="79"/>
  <c r="DJ378" i="79" s="1"/>
  <c r="DJ379" i="79" s="1"/>
  <c r="DJ449" i="79" s="1"/>
  <c r="CL43" i="80"/>
  <c r="CL388" i="80" s="1"/>
  <c r="DR37" i="79"/>
  <c r="DR382" i="79" s="1"/>
  <c r="FF41" i="79"/>
  <c r="FF386" i="79" s="1"/>
  <c r="EX376" i="79"/>
  <c r="EX378" i="79" s="1"/>
  <c r="EX379" i="79" s="1"/>
  <c r="EX449" i="79" s="1"/>
  <c r="AP38" i="80"/>
  <c r="AP383" i="80" s="1"/>
  <c r="AP434" i="80" s="1"/>
  <c r="EX46" i="80"/>
  <c r="EX391" i="80" s="1"/>
  <c r="EX437" i="80" s="1"/>
  <c r="CL38" i="80"/>
  <c r="CL383" i="80" s="1"/>
  <c r="CL434" i="80" s="1"/>
  <c r="DR42" i="80"/>
  <c r="DR387" i="80" s="1"/>
  <c r="CT46" i="80"/>
  <c r="CT391" i="80" s="1"/>
  <c r="CT437" i="80" s="1"/>
  <c r="DZ376" i="79"/>
  <c r="DZ378" i="79" s="1"/>
  <c r="DZ379" i="79" s="1"/>
  <c r="DZ449" i="79" s="1"/>
  <c r="DJ45" i="80"/>
  <c r="DJ390" i="80" s="1"/>
  <c r="DJ436" i="80" s="1"/>
  <c r="Z43" i="79"/>
  <c r="Z388" i="79" s="1"/>
  <c r="DB42" i="80"/>
  <c r="DB387" i="80" s="1"/>
  <c r="CL43" i="79"/>
  <c r="CL388" i="79" s="1"/>
  <c r="BN376" i="80"/>
  <c r="BN378" i="80" s="1"/>
  <c r="BN379" i="80" s="1"/>
  <c r="BN449" i="80" s="1"/>
  <c r="R41" i="80"/>
  <c r="R386" i="80" s="1"/>
  <c r="FE116" i="80"/>
  <c r="CK116" i="80"/>
  <c r="Z37" i="80"/>
  <c r="Z382" i="80" s="1"/>
  <c r="CL46" i="80"/>
  <c r="CL391" i="80" s="1"/>
  <c r="CL437" i="80" s="1"/>
  <c r="DJ42" i="79"/>
  <c r="DJ387" i="79" s="1"/>
  <c r="AH43" i="80"/>
  <c r="AH388" i="80" s="1"/>
  <c r="BE116" i="80"/>
  <c r="DR37" i="80"/>
  <c r="DR382" i="80" s="1"/>
  <c r="DB376" i="79"/>
  <c r="DB378" i="79" s="1"/>
  <c r="DB379" i="79" s="1"/>
  <c r="DB449" i="79" s="1"/>
  <c r="AH41" i="80"/>
  <c r="AH386" i="80" s="1"/>
  <c r="BN45" i="80"/>
  <c r="BN390" i="80" s="1"/>
  <c r="BN436" i="80" s="1"/>
  <c r="BF43" i="80"/>
  <c r="BF388" i="80" s="1"/>
  <c r="DJ41" i="79"/>
  <c r="DJ386" i="79" s="1"/>
  <c r="EP43" i="79"/>
  <c r="EP388" i="79" s="1"/>
  <c r="EX41" i="79"/>
  <c r="EX386" i="79" s="1"/>
  <c r="DB42" i="79"/>
  <c r="DB387" i="79" s="1"/>
  <c r="EH376" i="79"/>
  <c r="EH378" i="79" s="1"/>
  <c r="EH379" i="79" s="1"/>
  <c r="EH449" i="79" s="1"/>
  <c r="BN376" i="79"/>
  <c r="BN378" i="79" s="1"/>
  <c r="BN379" i="79" s="1"/>
  <c r="BN449" i="79" s="1"/>
  <c r="CL376" i="80"/>
  <c r="CL378" i="80" s="1"/>
  <c r="CL379" i="80" s="1"/>
  <c r="CL449" i="80" s="1"/>
  <c r="AG116" i="80"/>
  <c r="Q116" i="80"/>
  <c r="BV41" i="79"/>
  <c r="BV386" i="79" s="1"/>
  <c r="CD43" i="80"/>
  <c r="CD388" i="80" s="1"/>
  <c r="BF46" i="80"/>
  <c r="BF391" i="80" s="1"/>
  <c r="BF437" i="80" s="1"/>
  <c r="FF37" i="79"/>
  <c r="FF382" i="79" s="1"/>
  <c r="EH38" i="80"/>
  <c r="EH383" i="80" s="1"/>
  <c r="EH434" i="80" s="1"/>
  <c r="DQ116" i="80"/>
  <c r="EG116" i="80"/>
  <c r="CT38" i="80"/>
  <c r="CT383" i="80" s="1"/>
  <c r="CT434" i="80" s="1"/>
  <c r="Z46" i="80"/>
  <c r="Z391" i="80" s="1"/>
  <c r="Z437" i="80" s="1"/>
  <c r="EH37" i="79"/>
  <c r="EH382" i="79" s="1"/>
  <c r="CS390" i="79"/>
  <c r="CS436" i="79"/>
  <c r="AW390" i="79"/>
  <c r="AW436" i="79"/>
  <c r="EW436" i="79"/>
  <c r="EW390" i="79"/>
  <c r="FM149" i="80"/>
  <c r="FL149" i="80"/>
  <c r="FD149" i="80"/>
  <c r="FE149" i="80"/>
  <c r="DQ434" i="79"/>
  <c r="DQ383" i="79"/>
  <c r="FE383" i="79"/>
  <c r="FE434" i="79"/>
  <c r="EW437" i="79"/>
  <c r="EW391" i="79"/>
  <c r="Y391" i="79"/>
  <c r="Y437" i="79"/>
  <c r="FM437" i="79"/>
  <c r="FM391" i="79"/>
  <c r="DI116" i="80"/>
  <c r="BM116" i="80"/>
  <c r="CC116" i="80"/>
  <c r="FL149" i="79"/>
  <c r="FM149" i="79"/>
  <c r="EW149" i="79"/>
  <c r="EV149" i="79"/>
  <c r="EF149" i="79"/>
  <c r="EG149" i="79"/>
  <c r="EW116" i="79"/>
  <c r="DA116" i="79"/>
  <c r="EG116" i="79"/>
  <c r="FE436" i="79"/>
  <c r="FE390" i="79"/>
  <c r="AG390" i="79"/>
  <c r="AG436" i="79"/>
  <c r="CJ149" i="80"/>
  <c r="CK149" i="80"/>
  <c r="DA149" i="80"/>
  <c r="CZ149" i="80"/>
  <c r="AO149" i="80"/>
  <c r="AN149" i="80"/>
  <c r="CK434" i="79"/>
  <c r="CK383" i="79"/>
  <c r="BU434" i="79"/>
  <c r="BU383" i="79"/>
  <c r="AO383" i="79"/>
  <c r="AO434" i="79"/>
  <c r="EG437" i="79"/>
  <c r="EG391" i="79"/>
  <c r="Q437" i="79"/>
  <c r="Q391" i="79"/>
  <c r="CC391" i="79"/>
  <c r="CC437" i="79"/>
  <c r="DA294" i="79"/>
  <c r="Q294" i="79"/>
  <c r="BM294" i="79"/>
  <c r="EO294" i="79"/>
  <c r="Y294" i="79"/>
  <c r="CS294" i="79"/>
  <c r="CC294" i="79"/>
  <c r="AG294" i="79"/>
  <c r="EW294" i="79"/>
  <c r="AO294" i="79"/>
  <c r="CK294" i="79"/>
  <c r="FE294" i="79"/>
  <c r="BU294" i="79"/>
  <c r="FM294" i="79"/>
  <c r="DQ294" i="79"/>
  <c r="BE294" i="79"/>
  <c r="DY294" i="79"/>
  <c r="EG294" i="79"/>
  <c r="DI294" i="79"/>
  <c r="AW294" i="79"/>
  <c r="FM116" i="80"/>
  <c r="AW149" i="79"/>
  <c r="AV149" i="79"/>
  <c r="Q149" i="79"/>
  <c r="P149" i="79"/>
  <c r="DP149" i="79"/>
  <c r="DQ149" i="79"/>
  <c r="DI116" i="79"/>
  <c r="AG116" i="79"/>
  <c r="Y436" i="79"/>
  <c r="Y390" i="79"/>
  <c r="BE390" i="79"/>
  <c r="BE436" i="79"/>
  <c r="CC436" i="79"/>
  <c r="CC390" i="79"/>
  <c r="CB149" i="80"/>
  <c r="CC149" i="80"/>
  <c r="EV149" i="80"/>
  <c r="EW149" i="80"/>
  <c r="CR149" i="80"/>
  <c r="CS149" i="80"/>
  <c r="DY434" i="79"/>
  <c r="DY383" i="79"/>
  <c r="EG434" i="79"/>
  <c r="EG383" i="79"/>
  <c r="DA434" i="79"/>
  <c r="DA383" i="79"/>
  <c r="AW437" i="79"/>
  <c r="AW391" i="79"/>
  <c r="BM391" i="79"/>
  <c r="BM437" i="79"/>
  <c r="AW116" i="80"/>
  <c r="AO116" i="80"/>
  <c r="DI149" i="79"/>
  <c r="DH149" i="79"/>
  <c r="AG149" i="79"/>
  <c r="AF149" i="79"/>
  <c r="CK116" i="79"/>
  <c r="CC116" i="79"/>
  <c r="EH376" i="80"/>
  <c r="EH378" i="80" s="1"/>
  <c r="EH379" i="80" s="1"/>
  <c r="EH449" i="80" s="1"/>
  <c r="BU436" i="79"/>
  <c r="BU390" i="79"/>
  <c r="DI436" i="79"/>
  <c r="DI390" i="79"/>
  <c r="EO390" i="79"/>
  <c r="EO436" i="79"/>
  <c r="DH149" i="80"/>
  <c r="DI149" i="80"/>
  <c r="DY149" i="80"/>
  <c r="DX149" i="80"/>
  <c r="BT149" i="80"/>
  <c r="BU149" i="80"/>
  <c r="Q434" i="79"/>
  <c r="Q383" i="79"/>
  <c r="BM434" i="79"/>
  <c r="BM383" i="79"/>
  <c r="EO434" i="79"/>
  <c r="EO383" i="79"/>
  <c r="AO391" i="79"/>
  <c r="AO437" i="79"/>
  <c r="EO437" i="79"/>
  <c r="EO391" i="79"/>
  <c r="DA294" i="80"/>
  <c r="DQ294" i="80"/>
  <c r="DI294" i="80"/>
  <c r="EW294" i="80"/>
  <c r="AO294" i="80"/>
  <c r="BU294" i="80"/>
  <c r="AG294" i="80"/>
  <c r="Y294" i="80"/>
  <c r="AW294" i="80"/>
  <c r="EG294" i="80"/>
  <c r="CS294" i="80"/>
  <c r="CC294" i="80"/>
  <c r="BM294" i="80"/>
  <c r="Q294" i="80"/>
  <c r="EO294" i="80"/>
  <c r="DY294" i="80"/>
  <c r="FM294" i="80"/>
  <c r="BE294" i="80"/>
  <c r="FE294" i="80"/>
  <c r="CK294" i="80"/>
  <c r="CS116" i="80"/>
  <c r="EO116" i="80"/>
  <c r="EW116" i="80"/>
  <c r="AN149" i="79"/>
  <c r="AO149" i="79"/>
  <c r="BU149" i="79"/>
  <c r="BT149" i="79"/>
  <c r="BM65" i="80"/>
  <c r="BN65" i="80" s="1"/>
  <c r="DA65" i="80"/>
  <c r="DB65" i="80" s="1"/>
  <c r="CS65" i="80"/>
  <c r="BU65" i="80"/>
  <c r="FM65" i="80"/>
  <c r="EO65" i="80"/>
  <c r="DY65" i="80"/>
  <c r="AG65" i="80"/>
  <c r="AH65" i="80" s="1"/>
  <c r="FE65" i="80"/>
  <c r="FF65" i="80" s="1"/>
  <c r="AW65" i="80"/>
  <c r="CK65" i="80"/>
  <c r="DI65" i="80"/>
  <c r="Q65" i="80"/>
  <c r="CC65" i="80"/>
  <c r="CD65" i="80" s="1"/>
  <c r="EG65" i="80"/>
  <c r="DQ65" i="80"/>
  <c r="AO65" i="80"/>
  <c r="EW65" i="80"/>
  <c r="Y65" i="80"/>
  <c r="BE65" i="80"/>
  <c r="BE116" i="79"/>
  <c r="FE116" i="79"/>
  <c r="EH43" i="80"/>
  <c r="EH388" i="80" s="1"/>
  <c r="CK390" i="79"/>
  <c r="CK436" i="79"/>
  <c r="Q436" i="79"/>
  <c r="Q390" i="79"/>
  <c r="FM390" i="79"/>
  <c r="FM436" i="79"/>
  <c r="I17" i="80"/>
  <c r="F55" i="35"/>
  <c r="F55" i="82"/>
  <c r="I17" i="85"/>
  <c r="K3" i="90" s="1"/>
  <c r="I17" i="79"/>
  <c r="DQ149" i="80"/>
  <c r="DP149" i="80"/>
  <c r="EF149" i="80"/>
  <c r="EG149" i="80"/>
  <c r="EN149" i="80"/>
  <c r="EO149" i="80"/>
  <c r="CS434" i="79"/>
  <c r="CS383" i="79"/>
  <c r="Y383" i="79"/>
  <c r="Y434" i="79"/>
  <c r="AG383" i="79"/>
  <c r="AG434" i="79"/>
  <c r="DY437" i="79"/>
  <c r="DY391" i="79"/>
  <c r="AG391" i="79"/>
  <c r="AG437" i="79"/>
  <c r="DY116" i="80"/>
  <c r="DA116" i="80"/>
  <c r="CJ149" i="79"/>
  <c r="CK149" i="79"/>
  <c r="BD149" i="79"/>
  <c r="BE149" i="79"/>
  <c r="BU116" i="79"/>
  <c r="CS116" i="79"/>
  <c r="DQ390" i="79"/>
  <c r="DQ436" i="79"/>
  <c r="AO390" i="79"/>
  <c r="AO436" i="79"/>
  <c r="Y293" i="80"/>
  <c r="CC293" i="80"/>
  <c r="AW293" i="80"/>
  <c r="BM293" i="80"/>
  <c r="DA293" i="80"/>
  <c r="DI293" i="80"/>
  <c r="AO293" i="80"/>
  <c r="AG293" i="80"/>
  <c r="EW293" i="80"/>
  <c r="CK293" i="80"/>
  <c r="FM293" i="80"/>
  <c r="CS293" i="80"/>
  <c r="Q293" i="80"/>
  <c r="DY293" i="80"/>
  <c r="BU293" i="80"/>
  <c r="EG293" i="80"/>
  <c r="EO293" i="80"/>
  <c r="FE293" i="80"/>
  <c r="DQ293" i="80"/>
  <c r="BE293" i="80"/>
  <c r="I449" i="80"/>
  <c r="G379" i="80"/>
  <c r="I449" i="79"/>
  <c r="G379" i="79"/>
  <c r="I8" i="108"/>
  <c r="I9" i="108"/>
  <c r="F21" i="108"/>
  <c r="Q149" i="80"/>
  <c r="P149" i="80"/>
  <c r="Y149" i="80"/>
  <c r="X149" i="80"/>
  <c r="J374" i="85"/>
  <c r="EW383" i="79"/>
  <c r="EW434" i="79"/>
  <c r="DI383" i="79"/>
  <c r="DI434" i="79"/>
  <c r="BU437" i="79"/>
  <c r="BU391" i="79"/>
  <c r="DA391" i="79"/>
  <c r="DA437" i="79"/>
  <c r="CB149" i="79"/>
  <c r="CC149" i="79"/>
  <c r="X149" i="79"/>
  <c r="Y149" i="79"/>
  <c r="AW116" i="79"/>
  <c r="EO116" i="79"/>
  <c r="DQ116" i="79"/>
  <c r="DA390" i="79"/>
  <c r="DA436" i="79"/>
  <c r="DY390" i="79"/>
  <c r="DY436" i="79"/>
  <c r="AG293" i="79"/>
  <c r="DY293" i="79"/>
  <c r="CK293" i="79"/>
  <c r="DQ293" i="79"/>
  <c r="DI293" i="79"/>
  <c r="AO293" i="79"/>
  <c r="Q293" i="79"/>
  <c r="CS293" i="79"/>
  <c r="FM293" i="79"/>
  <c r="EG293" i="79"/>
  <c r="EW293" i="79"/>
  <c r="CC293" i="79"/>
  <c r="Y293" i="79"/>
  <c r="AW293" i="79"/>
  <c r="BM293" i="79"/>
  <c r="EO293" i="79"/>
  <c r="BE293" i="79"/>
  <c r="BU293" i="79"/>
  <c r="DA293" i="79"/>
  <c r="FE293" i="79"/>
  <c r="AF149" i="80"/>
  <c r="AG149" i="80"/>
  <c r="AV149" i="80"/>
  <c r="AW149" i="80"/>
  <c r="AW434" i="79"/>
  <c r="AW383" i="79"/>
  <c r="CC383" i="79"/>
  <c r="CC434" i="79"/>
  <c r="CS437" i="79"/>
  <c r="CS391" i="79"/>
  <c r="FE437" i="79"/>
  <c r="FE391" i="79"/>
  <c r="DI437" i="79"/>
  <c r="DI391" i="79"/>
  <c r="CR149" i="79"/>
  <c r="CS149" i="79"/>
  <c r="DA149" i="79"/>
  <c r="CZ149" i="79"/>
  <c r="FD149" i="79"/>
  <c r="FE149" i="79"/>
  <c r="AO116" i="79"/>
  <c r="FM116" i="79"/>
  <c r="DY116" i="79"/>
  <c r="BM390" i="79"/>
  <c r="BM436" i="79"/>
  <c r="EG390" i="79"/>
  <c r="EG436" i="79"/>
  <c r="BE149" i="80"/>
  <c r="BD149" i="80"/>
  <c r="BM149" i="80"/>
  <c r="BL149" i="80"/>
  <c r="FM434" i="79"/>
  <c r="FM383" i="79"/>
  <c r="BE383" i="79"/>
  <c r="BE434" i="79"/>
  <c r="DQ437" i="79"/>
  <c r="DQ391" i="79"/>
  <c r="BE437" i="79"/>
  <c r="BE391" i="79"/>
  <c r="CK437" i="79"/>
  <c r="CK391" i="79"/>
  <c r="I374" i="85"/>
  <c r="Y116" i="80"/>
  <c r="BU116" i="80"/>
  <c r="EN149" i="79"/>
  <c r="EO149" i="79"/>
  <c r="BL149" i="79"/>
  <c r="BM149" i="79"/>
  <c r="DX149" i="79"/>
  <c r="DY149" i="79"/>
  <c r="Q116" i="79"/>
  <c r="Y116" i="79"/>
  <c r="BM116" i="79"/>
  <c r="X449" i="80"/>
  <c r="FD449" i="80"/>
  <c r="EN411" i="79"/>
  <c r="Q57" i="35"/>
  <c r="S57" i="35" s="1"/>
  <c r="Q38" i="35"/>
  <c r="S37" i="35"/>
  <c r="AF449" i="79"/>
  <c r="CJ411" i="80"/>
  <c r="DX411" i="80"/>
  <c r="EN449" i="80"/>
  <c r="BL449" i="80"/>
  <c r="AN449" i="80"/>
  <c r="CR449" i="80"/>
  <c r="FL449" i="80"/>
  <c r="CZ449" i="80"/>
  <c r="FL449" i="79"/>
  <c r="AV449" i="80"/>
  <c r="EN449" i="79"/>
  <c r="BL411" i="80"/>
  <c r="P449" i="79"/>
  <c r="CB449" i="79"/>
  <c r="BN434" i="79"/>
  <c r="BN383" i="79"/>
  <c r="CZ449" i="79"/>
  <c r="CJ449" i="80"/>
  <c r="DH449" i="79"/>
  <c r="BT449" i="79"/>
  <c r="DZ434" i="79"/>
  <c r="DZ383" i="79"/>
  <c r="DR437" i="79"/>
  <c r="DR391" i="79"/>
  <c r="BD411" i="80"/>
  <c r="P411" i="80"/>
  <c r="FD449" i="79"/>
  <c r="AF449" i="80"/>
  <c r="CT390" i="79"/>
  <c r="CT436" i="79"/>
  <c r="Q74" i="35"/>
  <c r="S73" i="35"/>
  <c r="AN449" i="79"/>
  <c r="BV390" i="79"/>
  <c r="BV436" i="79"/>
  <c r="CJ449" i="79"/>
  <c r="AN411" i="80"/>
  <c r="CB449" i="80"/>
  <c r="CR449" i="79"/>
  <c r="AV449" i="79"/>
  <c r="BL449" i="79"/>
  <c r="CR411" i="80"/>
  <c r="DH411" i="80"/>
  <c r="R383" i="79"/>
  <c r="R434" i="79"/>
  <c r="DX449" i="80"/>
  <c r="DP449" i="80"/>
  <c r="CZ411" i="80"/>
  <c r="BD449" i="80"/>
  <c r="EN411" i="80"/>
  <c r="EF449" i="79"/>
  <c r="DH449" i="80"/>
  <c r="EV411" i="80"/>
  <c r="CB411" i="80"/>
  <c r="BT449" i="80"/>
  <c r="X449" i="79"/>
  <c r="H242" i="79"/>
  <c r="H242" i="80"/>
  <c r="H242" i="85"/>
  <c r="J136" i="90" s="1"/>
  <c r="EF449" i="80"/>
  <c r="X411" i="80"/>
  <c r="EH437" i="79"/>
  <c r="EH391" i="79"/>
  <c r="BT411" i="80"/>
  <c r="EV449" i="79"/>
  <c r="DP411" i="80"/>
  <c r="FL411" i="80"/>
  <c r="AF411" i="80"/>
  <c r="EF411" i="80"/>
  <c r="FD411" i="80"/>
  <c r="AV411" i="80"/>
  <c r="FN437" i="79"/>
  <c r="FN391" i="79"/>
  <c r="S37" i="82"/>
  <c r="Q38" i="82"/>
  <c r="Q57" i="82"/>
  <c r="S57" i="82" s="1"/>
  <c r="DJ437" i="79"/>
  <c r="EV449" i="80"/>
  <c r="DP449" i="79"/>
  <c r="P449" i="80"/>
  <c r="DX449" i="79"/>
  <c r="S73" i="82"/>
  <c r="Q74" i="82"/>
  <c r="BD449" i="79"/>
  <c r="DJ293" i="80" l="1"/>
  <c r="CD294" i="79"/>
  <c r="I256" i="79"/>
  <c r="I256" i="85"/>
  <c r="K150" i="90" s="1"/>
  <c r="FN434" i="79"/>
  <c r="BF383" i="79"/>
  <c r="BF390" i="79"/>
  <c r="EH383" i="79"/>
  <c r="FN436" i="79"/>
  <c r="M82" i="169"/>
  <c r="I82" i="169" s="1"/>
  <c r="I242" i="80" s="1"/>
  <c r="BN391" i="79"/>
  <c r="EW65" i="79"/>
  <c r="EH390" i="79"/>
  <c r="H17" i="170"/>
  <c r="H19" i="170" s="1"/>
  <c r="H23" i="170"/>
  <c r="DZ390" i="79"/>
  <c r="CT434" i="79"/>
  <c r="Z391" i="79"/>
  <c r="I23" i="170"/>
  <c r="I17" i="170"/>
  <c r="I19" i="170" s="1"/>
  <c r="G23" i="170"/>
  <c r="G17" i="170"/>
  <c r="G19" i="170" s="1"/>
  <c r="R390" i="79"/>
  <c r="I59" i="169"/>
  <c r="I61" i="169"/>
  <c r="I65" i="169"/>
  <c r="I64" i="169"/>
  <c r="I62" i="169"/>
  <c r="I60" i="169"/>
  <c r="J61" i="169"/>
  <c r="J65" i="169"/>
  <c r="J59" i="169"/>
  <c r="J62" i="169"/>
  <c r="J60" i="169"/>
  <c r="J64" i="169"/>
  <c r="H61" i="169"/>
  <c r="H65" i="169"/>
  <c r="H59" i="169"/>
  <c r="H62" i="169"/>
  <c r="H64" i="169"/>
  <c r="H60" i="169"/>
  <c r="J39" i="166"/>
  <c r="J50" i="166" s="1"/>
  <c r="H39" i="166"/>
  <c r="H50" i="166" s="1"/>
  <c r="I39" i="166"/>
  <c r="I50" i="166" s="1"/>
  <c r="DZ116" i="79"/>
  <c r="Z116" i="80"/>
  <c r="R116" i="79"/>
  <c r="AP65" i="80"/>
  <c r="DJ65" i="80"/>
  <c r="BV65" i="80"/>
  <c r="DQ65" i="79"/>
  <c r="CT437" i="79"/>
  <c r="BF65" i="80"/>
  <c r="FF436" i="79"/>
  <c r="FF293" i="80"/>
  <c r="BN116" i="80"/>
  <c r="EP116" i="80"/>
  <c r="BN436" i="79"/>
  <c r="DB436" i="79"/>
  <c r="CI379" i="79"/>
  <c r="EP116" i="79"/>
  <c r="CL390" i="79"/>
  <c r="DR65" i="80"/>
  <c r="BF116" i="79"/>
  <c r="DR383" i="79"/>
  <c r="DZ65" i="80"/>
  <c r="DB383" i="79"/>
  <c r="DR390" i="79"/>
  <c r="R65" i="80"/>
  <c r="FN65" i="80"/>
  <c r="BF391" i="79"/>
  <c r="Z65" i="80"/>
  <c r="CT65" i="80"/>
  <c r="FE65" i="79"/>
  <c r="DA65" i="79"/>
  <c r="AP116" i="80"/>
  <c r="EO65" i="79"/>
  <c r="BU65" i="79"/>
  <c r="BE65" i="79"/>
  <c r="BT65" i="79"/>
  <c r="Y65" i="79"/>
  <c r="AW65" i="79"/>
  <c r="DY65" i="79"/>
  <c r="Q65" i="79"/>
  <c r="CK65" i="79"/>
  <c r="AG65" i="79"/>
  <c r="BM65" i="79"/>
  <c r="BN65" i="79" s="1"/>
  <c r="DI65" i="79"/>
  <c r="CC65" i="79"/>
  <c r="FD65" i="79"/>
  <c r="BV116" i="80"/>
  <c r="AO65" i="79"/>
  <c r="CS65" i="79"/>
  <c r="FM65" i="79"/>
  <c r="EV65" i="79"/>
  <c r="AN65" i="79"/>
  <c r="DB116" i="80"/>
  <c r="H33" i="100"/>
  <c r="I513" i="163"/>
  <c r="I545" i="163"/>
  <c r="I532" i="163"/>
  <c r="DB116" i="79"/>
  <c r="J33" i="100"/>
  <c r="K513" i="163"/>
  <c r="K545" i="163"/>
  <c r="K532" i="163"/>
  <c r="EH65" i="80"/>
  <c r="EH294" i="80"/>
  <c r="CL383" i="79"/>
  <c r="I33" i="100"/>
  <c r="J513" i="163"/>
  <c r="J532" i="163"/>
  <c r="J545" i="163"/>
  <c r="EP65" i="80"/>
  <c r="AH116" i="79"/>
  <c r="Z390" i="79"/>
  <c r="DR293" i="80"/>
  <c r="EH116" i="80"/>
  <c r="DR116" i="79"/>
  <c r="FN116" i="79"/>
  <c r="AX116" i="80"/>
  <c r="CT116" i="79"/>
  <c r="DZ116" i="80"/>
  <c r="AU379" i="79"/>
  <c r="FF437" i="79"/>
  <c r="J42" i="160"/>
  <c r="J45" i="160"/>
  <c r="H45" i="160"/>
  <c r="H42" i="160"/>
  <c r="I45" i="160"/>
  <c r="I42" i="160"/>
  <c r="BD65" i="79"/>
  <c r="CJ65" i="79"/>
  <c r="EF65" i="79"/>
  <c r="EH65" i="79" s="1"/>
  <c r="X65" i="79"/>
  <c r="FL65" i="79"/>
  <c r="EN65" i="79"/>
  <c r="CL65" i="80"/>
  <c r="CZ65" i="79"/>
  <c r="DP65" i="79"/>
  <c r="DH65" i="79"/>
  <c r="EX65" i="80"/>
  <c r="AX65" i="80"/>
  <c r="CB65" i="79"/>
  <c r="CR65" i="79"/>
  <c r="P65" i="79"/>
  <c r="DX65" i="79"/>
  <c r="AF65" i="79"/>
  <c r="AV65" i="79"/>
  <c r="J12" i="160"/>
  <c r="J8" i="160"/>
  <c r="H8" i="160"/>
  <c r="H12" i="160"/>
  <c r="I8" i="160"/>
  <c r="I12" i="160"/>
  <c r="AP390" i="79"/>
  <c r="Z383" i="79"/>
  <c r="I14" i="98"/>
  <c r="I19" i="98" s="1"/>
  <c r="N18" i="166" s="1"/>
  <c r="J18" i="166" s="1"/>
  <c r="J19" i="166" s="1"/>
  <c r="J9" i="100"/>
  <c r="G14" i="98"/>
  <c r="G19" i="98" s="1"/>
  <c r="L18" i="166" s="1"/>
  <c r="H9" i="100"/>
  <c r="EP434" i="79"/>
  <c r="EP390" i="79"/>
  <c r="H14" i="98"/>
  <c r="H19" i="98" s="1"/>
  <c r="M18" i="166" s="1"/>
  <c r="I18" i="166" s="1"/>
  <c r="I19" i="166" s="1"/>
  <c r="I9" i="100"/>
  <c r="EH116" i="79"/>
  <c r="W379" i="79"/>
  <c r="FF383" i="79"/>
  <c r="AM379" i="79"/>
  <c r="FN293" i="79"/>
  <c r="CL294" i="80"/>
  <c r="R294" i="79"/>
  <c r="R116" i="80"/>
  <c r="AP383" i="79"/>
  <c r="CT294" i="80"/>
  <c r="FF116" i="79"/>
  <c r="AX391" i="79"/>
  <c r="DZ293" i="80"/>
  <c r="DZ294" i="80"/>
  <c r="AE379" i="79"/>
  <c r="DR293" i="79"/>
  <c r="EP294" i="80"/>
  <c r="FF116" i="80"/>
  <c r="CD294" i="80"/>
  <c r="AX436" i="79"/>
  <c r="AU379" i="80"/>
  <c r="CD436" i="79"/>
  <c r="AM379" i="80"/>
  <c r="AH391" i="79"/>
  <c r="BS379" i="79"/>
  <c r="DW379" i="80"/>
  <c r="FN294" i="79"/>
  <c r="AH390" i="79"/>
  <c r="AH294" i="80"/>
  <c r="CD116" i="80"/>
  <c r="AH116" i="80"/>
  <c r="FF294" i="79"/>
  <c r="EP294" i="79"/>
  <c r="BK379" i="79"/>
  <c r="EP437" i="79"/>
  <c r="EX294" i="79"/>
  <c r="DB294" i="79"/>
  <c r="DB293" i="79"/>
  <c r="R293" i="80"/>
  <c r="DZ437" i="79"/>
  <c r="BV434" i="79"/>
  <c r="R294" i="80"/>
  <c r="BN294" i="80"/>
  <c r="BF116" i="80"/>
  <c r="W379" i="80"/>
  <c r="AP293" i="79"/>
  <c r="EM379" i="79"/>
  <c r="BV294" i="79"/>
  <c r="AH434" i="79"/>
  <c r="FN116" i="80"/>
  <c r="DR116" i="80"/>
  <c r="BV294" i="80"/>
  <c r="EX391" i="79"/>
  <c r="DZ293" i="79"/>
  <c r="BN293" i="80"/>
  <c r="CT293" i="80"/>
  <c r="DB294" i="80"/>
  <c r="DZ294" i="79"/>
  <c r="CA379" i="80"/>
  <c r="BV391" i="79"/>
  <c r="AP437" i="79"/>
  <c r="CL116" i="79"/>
  <c r="BV116" i="79"/>
  <c r="EH293" i="79"/>
  <c r="CL294" i="79"/>
  <c r="CL116" i="80"/>
  <c r="R437" i="79"/>
  <c r="DR294" i="79"/>
  <c r="EU379" i="80"/>
  <c r="BC379" i="80"/>
  <c r="CD391" i="79"/>
  <c r="DG379" i="79"/>
  <c r="FN294" i="80"/>
  <c r="BN294" i="79"/>
  <c r="EE379" i="80"/>
  <c r="CL391" i="79"/>
  <c r="CQ379" i="80"/>
  <c r="R293" i="79"/>
  <c r="BN116" i="79"/>
  <c r="CT116" i="80"/>
  <c r="AX293" i="79"/>
  <c r="AH293" i="80"/>
  <c r="AP293" i="80"/>
  <c r="BF294" i="79"/>
  <c r="CT294" i="79"/>
  <c r="FF294" i="80"/>
  <c r="AP294" i="80"/>
  <c r="AH294" i="79"/>
  <c r="EX383" i="79"/>
  <c r="BC379" i="79"/>
  <c r="DJ383" i="79"/>
  <c r="EX294" i="80"/>
  <c r="CD434" i="79"/>
  <c r="CD293" i="80"/>
  <c r="DR294" i="80"/>
  <c r="Z294" i="79"/>
  <c r="BN293" i="79"/>
  <c r="DB391" i="79"/>
  <c r="EH293" i="80"/>
  <c r="CQ379" i="79"/>
  <c r="AX294" i="80"/>
  <c r="AX383" i="79"/>
  <c r="DJ293" i="79"/>
  <c r="EH294" i="79"/>
  <c r="DB293" i="80"/>
  <c r="AE379" i="80"/>
  <c r="DJ294" i="80"/>
  <c r="BF294" i="80"/>
  <c r="AX294" i="79"/>
  <c r="Z294" i="80"/>
  <c r="DJ294" i="79"/>
  <c r="AP294" i="79"/>
  <c r="EX390" i="79"/>
  <c r="EX116" i="80"/>
  <c r="DJ116" i="79"/>
  <c r="AX116" i="79"/>
  <c r="Z116" i="79"/>
  <c r="CD293" i="79"/>
  <c r="DO379" i="79"/>
  <c r="CY379" i="80"/>
  <c r="BV293" i="79"/>
  <c r="BF293" i="80"/>
  <c r="EX116" i="79"/>
  <c r="FN293" i="80"/>
  <c r="BF293" i="79"/>
  <c r="EU379" i="79"/>
  <c r="FK379" i="80"/>
  <c r="EP293" i="79"/>
  <c r="CT293" i="79"/>
  <c r="CY379" i="79"/>
  <c r="EX293" i="80"/>
  <c r="Z293" i="80"/>
  <c r="FK379" i="79"/>
  <c r="DW379" i="79"/>
  <c r="BS379" i="80"/>
  <c r="DJ390" i="79"/>
  <c r="EP293" i="80"/>
  <c r="BV293" i="80"/>
  <c r="EX293" i="79"/>
  <c r="DO379" i="80"/>
  <c r="FF293" i="79"/>
  <c r="O379" i="79"/>
  <c r="BK379" i="80"/>
  <c r="AH149" i="79"/>
  <c r="R149" i="79"/>
  <c r="AP116" i="79"/>
  <c r="CL293" i="79"/>
  <c r="O379" i="80"/>
  <c r="AH293" i="79"/>
  <c r="AX293" i="80"/>
  <c r="DG379" i="80"/>
  <c r="CA379" i="79"/>
  <c r="CL293" i="80"/>
  <c r="Z293" i="79"/>
  <c r="CI379" i="80"/>
  <c r="H30" i="100"/>
  <c r="H31" i="100" s="1"/>
  <c r="I17" i="106"/>
  <c r="I18" i="106"/>
  <c r="G44" i="98"/>
  <c r="I15" i="106"/>
  <c r="E386" i="85"/>
  <c r="I16" i="106"/>
  <c r="I14" i="106"/>
  <c r="I19" i="106"/>
  <c r="H6" i="100"/>
  <c r="CD116" i="79"/>
  <c r="EE379" i="79"/>
  <c r="FC379" i="79"/>
  <c r="DB149" i="80"/>
  <c r="DZ149" i="80"/>
  <c r="EM379" i="80"/>
  <c r="FC379" i="80"/>
  <c r="EP149" i="80"/>
  <c r="CL149" i="79"/>
  <c r="EH149" i="80"/>
  <c r="EX149" i="79"/>
  <c r="AX149" i="79"/>
  <c r="BN149" i="79"/>
  <c r="DR149" i="80"/>
  <c r="AP149" i="80"/>
  <c r="FF149" i="80"/>
  <c r="FF149" i="79"/>
  <c r="AP149" i="79"/>
  <c r="CD149" i="80"/>
  <c r="EP149" i="79"/>
  <c r="CT149" i="79"/>
  <c r="CT149" i="80"/>
  <c r="EH149" i="79"/>
  <c r="J242" i="79"/>
  <c r="J242" i="85"/>
  <c r="L136" i="90" s="1"/>
  <c r="J242" i="80"/>
  <c r="DJ149" i="80"/>
  <c r="DJ149" i="79"/>
  <c r="EX149" i="80"/>
  <c r="DZ149" i="79"/>
  <c r="AX149" i="80"/>
  <c r="BF149" i="79"/>
  <c r="BV149" i="80"/>
  <c r="FN149" i="79"/>
  <c r="Z149" i="79"/>
  <c r="R149" i="80"/>
  <c r="BV149" i="79"/>
  <c r="BF149" i="80"/>
  <c r="I411" i="80"/>
  <c r="AW17" i="80"/>
  <c r="EW17" i="80"/>
  <c r="DI17" i="80"/>
  <c r="EG17" i="80"/>
  <c r="DA17" i="80"/>
  <c r="BE17" i="80"/>
  <c r="BU17" i="80"/>
  <c r="CS17" i="80"/>
  <c r="CC17" i="80"/>
  <c r="AO17" i="80"/>
  <c r="BM17" i="80"/>
  <c r="DY17" i="80"/>
  <c r="AG17" i="80"/>
  <c r="DQ17" i="80"/>
  <c r="CK17" i="80"/>
  <c r="FM17" i="80"/>
  <c r="Q17" i="80"/>
  <c r="FE17" i="80"/>
  <c r="Y17" i="80"/>
  <c r="EO17" i="80"/>
  <c r="EG256" i="79"/>
  <c r="EH256" i="79" s="1"/>
  <c r="DA256" i="79"/>
  <c r="DB256" i="79" s="1"/>
  <c r="CC256" i="79"/>
  <c r="CD256" i="79" s="1"/>
  <c r="Y256" i="79"/>
  <c r="Z256" i="79" s="1"/>
  <c r="EO256" i="79"/>
  <c r="EP256" i="79" s="1"/>
  <c r="CS256" i="79"/>
  <c r="CT256" i="79" s="1"/>
  <c r="Q256" i="79"/>
  <c r="R256" i="79" s="1"/>
  <c r="AW256" i="79"/>
  <c r="AX256" i="79" s="1"/>
  <c r="CK256" i="79"/>
  <c r="CL256" i="79" s="1"/>
  <c r="FE256" i="79"/>
  <c r="FF256" i="79" s="1"/>
  <c r="DQ256" i="79"/>
  <c r="DR256" i="79" s="1"/>
  <c r="AG256" i="79"/>
  <c r="AH256" i="79" s="1"/>
  <c r="BU256" i="79"/>
  <c r="BV256" i="79" s="1"/>
  <c r="DI256" i="79"/>
  <c r="DJ256" i="79" s="1"/>
  <c r="EW256" i="79"/>
  <c r="EX256" i="79" s="1"/>
  <c r="BE256" i="79"/>
  <c r="BF256" i="79" s="1"/>
  <c r="DY256" i="79"/>
  <c r="DZ256" i="79" s="1"/>
  <c r="FM256" i="79"/>
  <c r="FN256" i="79" s="1"/>
  <c r="BM256" i="79"/>
  <c r="BN256" i="79" s="1"/>
  <c r="AO256" i="79"/>
  <c r="AP256" i="79" s="1"/>
  <c r="K14" i="106"/>
  <c r="I44" i="98"/>
  <c r="J6" i="100"/>
  <c r="J30" i="100"/>
  <c r="J31" i="100" s="1"/>
  <c r="K17" i="106"/>
  <c r="G386" i="85"/>
  <c r="K18" i="106"/>
  <c r="K16" i="106"/>
  <c r="K15" i="106"/>
  <c r="K19" i="106"/>
  <c r="J19" i="106"/>
  <c r="H44" i="98"/>
  <c r="H49" i="98" s="1"/>
  <c r="M66" i="166" s="1"/>
  <c r="I66" i="166" s="1"/>
  <c r="F386" i="85"/>
  <c r="J17" i="106"/>
  <c r="I30" i="100"/>
  <c r="J18" i="106"/>
  <c r="J16" i="106"/>
  <c r="J15" i="106"/>
  <c r="J14" i="106"/>
  <c r="I6" i="100"/>
  <c r="AG256" i="80"/>
  <c r="AH256" i="80" s="1"/>
  <c r="EG256" i="80"/>
  <c r="EH256" i="80" s="1"/>
  <c r="DI256" i="80"/>
  <c r="DJ256" i="80" s="1"/>
  <c r="CS256" i="80"/>
  <c r="CT256" i="80" s="1"/>
  <c r="FE256" i="80"/>
  <c r="FF256" i="80" s="1"/>
  <c r="FM256" i="80"/>
  <c r="FN256" i="80" s="1"/>
  <c r="EO256" i="80"/>
  <c r="EP256" i="80" s="1"/>
  <c r="BU256" i="80"/>
  <c r="BV256" i="80" s="1"/>
  <c r="AW256" i="80"/>
  <c r="AX256" i="80" s="1"/>
  <c r="EW256" i="80"/>
  <c r="EX256" i="80" s="1"/>
  <c r="CK256" i="80"/>
  <c r="CL256" i="80" s="1"/>
  <c r="DY256" i="80"/>
  <c r="DZ256" i="80" s="1"/>
  <c r="Q256" i="80"/>
  <c r="R256" i="80" s="1"/>
  <c r="Y256" i="80"/>
  <c r="Z256" i="80" s="1"/>
  <c r="DA256" i="80"/>
  <c r="DB256" i="80" s="1"/>
  <c r="CC256" i="80"/>
  <c r="CD256" i="80" s="1"/>
  <c r="DQ256" i="80"/>
  <c r="DR256" i="80" s="1"/>
  <c r="AO256" i="80"/>
  <c r="AP256" i="80" s="1"/>
  <c r="BE256" i="80"/>
  <c r="BF256" i="80" s="1"/>
  <c r="BM256" i="80"/>
  <c r="BN256" i="80" s="1"/>
  <c r="Z149" i="80"/>
  <c r="BE17" i="79"/>
  <c r="Y17" i="79"/>
  <c r="Q17" i="79"/>
  <c r="BU17" i="79"/>
  <c r="FM17" i="79"/>
  <c r="AG17" i="79"/>
  <c r="DI17" i="79"/>
  <c r="EG17" i="79"/>
  <c r="AO17" i="79"/>
  <c r="EW17" i="79"/>
  <c r="BM17" i="79"/>
  <c r="DQ17" i="79"/>
  <c r="EO17" i="79"/>
  <c r="CS17" i="79"/>
  <c r="DY17" i="79"/>
  <c r="I411" i="79"/>
  <c r="FE17" i="79"/>
  <c r="CC17" i="79"/>
  <c r="DA17" i="79"/>
  <c r="AW17" i="79"/>
  <c r="CK17" i="79"/>
  <c r="DB149" i="79"/>
  <c r="BN149" i="80"/>
  <c r="AH149" i="80"/>
  <c r="CD149" i="79"/>
  <c r="DR149" i="79"/>
  <c r="CL149" i="80"/>
  <c r="FN149" i="80"/>
  <c r="S74" i="82"/>
  <c r="Q83" i="82"/>
  <c r="S83" i="82" s="1"/>
  <c r="EN242" i="80"/>
  <c r="CB242" i="80"/>
  <c r="X242" i="80"/>
  <c r="DP242" i="80"/>
  <c r="DH242" i="80"/>
  <c r="CJ242" i="80"/>
  <c r="AF242" i="80"/>
  <c r="EV242" i="80"/>
  <c r="BT242" i="80"/>
  <c r="EF242" i="80"/>
  <c r="CR242" i="80"/>
  <c r="BL242" i="80"/>
  <c r="DX242" i="80"/>
  <c r="FL242" i="80"/>
  <c r="FD242" i="80"/>
  <c r="BD242" i="80"/>
  <c r="P242" i="80"/>
  <c r="CZ242" i="80"/>
  <c r="AV242" i="80"/>
  <c r="AN242" i="80"/>
  <c r="C22" i="108"/>
  <c r="BL275" i="79"/>
  <c r="BN275" i="79" s="1"/>
  <c r="BT275" i="79"/>
  <c r="BV275" i="79" s="1"/>
  <c r="CJ275" i="80"/>
  <c r="CL275" i="80" s="1"/>
  <c r="CR275" i="79"/>
  <c r="CT275" i="79" s="1"/>
  <c r="DX275" i="79"/>
  <c r="DZ275" i="79" s="1"/>
  <c r="EF275" i="80"/>
  <c r="EH275" i="80" s="1"/>
  <c r="X275" i="79"/>
  <c r="Z275" i="79" s="1"/>
  <c r="EF275" i="79"/>
  <c r="EH275" i="79" s="1"/>
  <c r="Q83" i="35"/>
  <c r="S83" i="35" s="1"/>
  <c r="S74" i="35"/>
  <c r="AF275" i="80"/>
  <c r="AH275" i="80" s="1"/>
  <c r="CZ275" i="79"/>
  <c r="DB275" i="79" s="1"/>
  <c r="AN275" i="80"/>
  <c r="AP275" i="80" s="1"/>
  <c r="DH275" i="79"/>
  <c r="DJ275" i="79" s="1"/>
  <c r="CB275" i="79"/>
  <c r="CD275" i="79" s="1"/>
  <c r="P275" i="79"/>
  <c r="R275" i="79" s="1"/>
  <c r="EN275" i="79"/>
  <c r="EP275" i="79" s="1"/>
  <c r="BD275" i="80"/>
  <c r="BF275" i="80" s="1"/>
  <c r="CJ275" i="79"/>
  <c r="CL275" i="79" s="1"/>
  <c r="FD275" i="79"/>
  <c r="FF275" i="79" s="1"/>
  <c r="CB275" i="80"/>
  <c r="CD275" i="80" s="1"/>
  <c r="AF275" i="79"/>
  <c r="AH275" i="79" s="1"/>
  <c r="X275" i="80"/>
  <c r="Z275" i="80" s="1"/>
  <c r="P275" i="80"/>
  <c r="R275" i="80" s="1"/>
  <c r="DP275" i="79"/>
  <c r="DR275" i="79" s="1"/>
  <c r="Q82" i="82"/>
  <c r="S82" i="82" s="1"/>
  <c r="S38" i="82"/>
  <c r="BT275" i="80"/>
  <c r="BV275" i="80" s="1"/>
  <c r="DH275" i="80"/>
  <c r="DJ275" i="80" s="1"/>
  <c r="DP275" i="80"/>
  <c r="DR275" i="80" s="1"/>
  <c r="AN275" i="79"/>
  <c r="AP275" i="79" s="1"/>
  <c r="FL275" i="79"/>
  <c r="FN275" i="79" s="1"/>
  <c r="EN275" i="80"/>
  <c r="EP275" i="80" s="1"/>
  <c r="Q82" i="35"/>
  <c r="S82" i="35" s="1"/>
  <c r="S38" i="35"/>
  <c r="DX275" i="80"/>
  <c r="DZ275" i="80" s="1"/>
  <c r="BD275" i="79"/>
  <c r="BF275" i="79" s="1"/>
  <c r="CZ275" i="80"/>
  <c r="DB275" i="80" s="1"/>
  <c r="FL275" i="80"/>
  <c r="FN275" i="80" s="1"/>
  <c r="CR275" i="80"/>
  <c r="CT275" i="80" s="1"/>
  <c r="AV275" i="79"/>
  <c r="AX275" i="79" s="1"/>
  <c r="EV275" i="80"/>
  <c r="EX275" i="80" s="1"/>
  <c r="EV275" i="79"/>
  <c r="EX275" i="79" s="1"/>
  <c r="AN242" i="79"/>
  <c r="EN242" i="79"/>
  <c r="DH242" i="79"/>
  <c r="BD242" i="79"/>
  <c r="DX242" i="79"/>
  <c r="EV242" i="79"/>
  <c r="FD242" i="79"/>
  <c r="BT242" i="79"/>
  <c r="CZ242" i="79"/>
  <c r="X242" i="79"/>
  <c r="CJ242" i="79"/>
  <c r="EF242" i="79"/>
  <c r="FL242" i="79"/>
  <c r="P242" i="79"/>
  <c r="BL242" i="79"/>
  <c r="CB242" i="79"/>
  <c r="CR242" i="79"/>
  <c r="AF242" i="79"/>
  <c r="AV242" i="79"/>
  <c r="DP242" i="79"/>
  <c r="AV275" i="80"/>
  <c r="AX275" i="80" s="1"/>
  <c r="BL275" i="80"/>
  <c r="BN275" i="80" s="1"/>
  <c r="FD275" i="80"/>
  <c r="FF275" i="80" s="1"/>
  <c r="I52" i="166" l="1"/>
  <c r="J52" i="166"/>
  <c r="EX65" i="79"/>
  <c r="DR65" i="79"/>
  <c r="H18" i="166"/>
  <c r="H19" i="166" s="1"/>
  <c r="CL65" i="79"/>
  <c r="EP65" i="79"/>
  <c r="DB65" i="79"/>
  <c r="DZ65" i="79"/>
  <c r="R65" i="79"/>
  <c r="AP65" i="79"/>
  <c r="Z65" i="79"/>
  <c r="BF65" i="79"/>
  <c r="DJ65" i="79"/>
  <c r="FF65" i="79"/>
  <c r="I20" i="98"/>
  <c r="I21" i="98" s="1"/>
  <c r="AX65" i="79"/>
  <c r="BV65" i="79"/>
  <c r="H20" i="98"/>
  <c r="AH65" i="79"/>
  <c r="CD65" i="79"/>
  <c r="G20" i="98"/>
  <c r="G21" i="98" s="1"/>
  <c r="CT65" i="79"/>
  <c r="FN65" i="79"/>
  <c r="K637" i="163"/>
  <c r="N148" i="166" s="1"/>
  <c r="J148" i="166" s="1"/>
  <c r="J148" i="80" s="1"/>
  <c r="J59" i="160"/>
  <c r="J60" i="160" s="1"/>
  <c r="J61" i="160" s="1"/>
  <c r="N71" i="166" s="1"/>
  <c r="J71" i="166" s="1"/>
  <c r="J637" i="163"/>
  <c r="M148" i="166" s="1"/>
  <c r="I148" i="166" s="1"/>
  <c r="N532" i="163"/>
  <c r="O532" i="163" s="1"/>
  <c r="N545" i="163"/>
  <c r="O545" i="163" s="1"/>
  <c r="N513" i="163"/>
  <c r="I637" i="163"/>
  <c r="G49" i="98"/>
  <c r="L66" i="166" s="1"/>
  <c r="I49" i="98"/>
  <c r="N66" i="166" s="1"/>
  <c r="J66" i="166" s="1"/>
  <c r="K12" i="160"/>
  <c r="J26" i="160"/>
  <c r="K42" i="160"/>
  <c r="H59" i="160"/>
  <c r="H60" i="160" s="1"/>
  <c r="K8" i="160"/>
  <c r="H26" i="160"/>
  <c r="J19" i="98"/>
  <c r="I59" i="160"/>
  <c r="I60" i="160" s="1"/>
  <c r="I61" i="160" s="1"/>
  <c r="M71" i="166" s="1"/>
  <c r="I71" i="166" s="1"/>
  <c r="I26" i="160"/>
  <c r="K45" i="160"/>
  <c r="H7" i="100"/>
  <c r="K6" i="100"/>
  <c r="K9" i="100"/>
  <c r="H225" i="79"/>
  <c r="H225" i="80"/>
  <c r="H225" i="85"/>
  <c r="J126" i="90" s="1"/>
  <c r="H221" i="79"/>
  <c r="H221" i="80"/>
  <c r="H221" i="85"/>
  <c r="J122" i="90" s="1"/>
  <c r="M16" i="106"/>
  <c r="H275" i="80"/>
  <c r="H275" i="79"/>
  <c r="H275" i="85"/>
  <c r="J155" i="90" s="1"/>
  <c r="I21" i="106"/>
  <c r="I39" i="106" s="1"/>
  <c r="I242" i="79"/>
  <c r="Q242" i="79" s="1"/>
  <c r="R242" i="79" s="1"/>
  <c r="H224" i="85"/>
  <c r="J125" i="90" s="1"/>
  <c r="H224" i="79"/>
  <c r="H224" i="80"/>
  <c r="H219" i="79"/>
  <c r="H219" i="85"/>
  <c r="J120" i="90" s="1"/>
  <c r="H219" i="80"/>
  <c r="H222" i="79"/>
  <c r="H222" i="85"/>
  <c r="J123" i="90" s="1"/>
  <c r="H222" i="80"/>
  <c r="H271" i="85"/>
  <c r="H269" i="79"/>
  <c r="H269" i="85"/>
  <c r="J152" i="90" s="1"/>
  <c r="H269" i="80"/>
  <c r="I242" i="85"/>
  <c r="K136" i="90" s="1"/>
  <c r="E27" i="35"/>
  <c r="H39" i="80"/>
  <c r="E27" i="82"/>
  <c r="H50" i="85"/>
  <c r="H39" i="85"/>
  <c r="J13" i="90" s="1"/>
  <c r="H39" i="79"/>
  <c r="H220" i="85"/>
  <c r="J121" i="90" s="1"/>
  <c r="H220" i="79"/>
  <c r="H220" i="80"/>
  <c r="M15" i="106"/>
  <c r="K30" i="100"/>
  <c r="K33" i="100"/>
  <c r="J7" i="100"/>
  <c r="M19" i="106"/>
  <c r="M17" i="106"/>
  <c r="AW411" i="79"/>
  <c r="AW427" i="79" s="1"/>
  <c r="AX17" i="79"/>
  <c r="AX411" i="79" s="1"/>
  <c r="AX427" i="79" s="1"/>
  <c r="DQ411" i="79"/>
  <c r="DQ427" i="79" s="1"/>
  <c r="DR17" i="79"/>
  <c r="DR411" i="79" s="1"/>
  <c r="DR427" i="79" s="1"/>
  <c r="BU411" i="79"/>
  <c r="BU427" i="79" s="1"/>
  <c r="BV17" i="79"/>
  <c r="BV411" i="79" s="1"/>
  <c r="BV427" i="79" s="1"/>
  <c r="I31" i="100"/>
  <c r="K31" i="100" s="1"/>
  <c r="FM242" i="80"/>
  <c r="FN242" i="80" s="1"/>
  <c r="CS242" i="80"/>
  <c r="CT242" i="80" s="1"/>
  <c r="DI242" i="80"/>
  <c r="DJ242" i="80" s="1"/>
  <c r="EG242" i="80"/>
  <c r="EH242" i="80" s="1"/>
  <c r="DA242" i="80"/>
  <c r="DB242" i="80" s="1"/>
  <c r="CK242" i="80"/>
  <c r="CL242" i="80" s="1"/>
  <c r="Y242" i="80"/>
  <c r="Z242" i="80" s="1"/>
  <c r="EW242" i="80"/>
  <c r="EX242" i="80" s="1"/>
  <c r="Q242" i="80"/>
  <c r="R242" i="80" s="1"/>
  <c r="CC242" i="80"/>
  <c r="CD242" i="80" s="1"/>
  <c r="AW242" i="80"/>
  <c r="AX242" i="80" s="1"/>
  <c r="AG242" i="80"/>
  <c r="AH242" i="80" s="1"/>
  <c r="BM242" i="80"/>
  <c r="BN242" i="80" s="1"/>
  <c r="EO242" i="80"/>
  <c r="EP242" i="80" s="1"/>
  <c r="BU242" i="80"/>
  <c r="BV242" i="80" s="1"/>
  <c r="AO242" i="80"/>
  <c r="AP242" i="80" s="1"/>
  <c r="DY242" i="80"/>
  <c r="DZ242" i="80" s="1"/>
  <c r="FE242" i="80"/>
  <c r="FF242" i="80" s="1"/>
  <c r="DQ242" i="80"/>
  <c r="DR242" i="80" s="1"/>
  <c r="BE242" i="80"/>
  <c r="BF242" i="80" s="1"/>
  <c r="J275" i="80"/>
  <c r="J275" i="85"/>
  <c r="L155" i="90" s="1"/>
  <c r="J275" i="79"/>
  <c r="DQ411" i="80"/>
  <c r="DQ427" i="80" s="1"/>
  <c r="DR17" i="80"/>
  <c r="DR411" i="80" s="1"/>
  <c r="DR427" i="80" s="1"/>
  <c r="BE411" i="80"/>
  <c r="BE427" i="80" s="1"/>
  <c r="BF17" i="80"/>
  <c r="BF411" i="80" s="1"/>
  <c r="BF427" i="80" s="1"/>
  <c r="DA411" i="79"/>
  <c r="DA427" i="79" s="1"/>
  <c r="DB17" i="79"/>
  <c r="DB411" i="79" s="1"/>
  <c r="DB427" i="79" s="1"/>
  <c r="BM411" i="79"/>
  <c r="BM427" i="79" s="1"/>
  <c r="BN17" i="79"/>
  <c r="BN411" i="79" s="1"/>
  <c r="BN427" i="79" s="1"/>
  <c r="Q411" i="79"/>
  <c r="Q427" i="79" s="1"/>
  <c r="R17" i="79"/>
  <c r="R411" i="79" s="1"/>
  <c r="R427" i="79" s="1"/>
  <c r="I222" i="80"/>
  <c r="I222" i="85"/>
  <c r="K123" i="90" s="1"/>
  <c r="I222" i="79"/>
  <c r="H50" i="98"/>
  <c r="J44" i="98"/>
  <c r="J49" i="98" s="1"/>
  <c r="J224" i="79"/>
  <c r="J224" i="85"/>
  <c r="L125" i="90" s="1"/>
  <c r="J224" i="80"/>
  <c r="J225" i="80"/>
  <c r="J225" i="79"/>
  <c r="J225" i="85"/>
  <c r="L126" i="90" s="1"/>
  <c r="AG411" i="80"/>
  <c r="AG427" i="80" s="1"/>
  <c r="AH17" i="80"/>
  <c r="AH411" i="80" s="1"/>
  <c r="AH427" i="80" s="1"/>
  <c r="DA411" i="80"/>
  <c r="DA427" i="80" s="1"/>
  <c r="DB17" i="80"/>
  <c r="DB411" i="80" s="1"/>
  <c r="DB427" i="80" s="1"/>
  <c r="CC411" i="79"/>
  <c r="CC427" i="79" s="1"/>
  <c r="CD17" i="79"/>
  <c r="CD411" i="79" s="1"/>
  <c r="CD427" i="79" s="1"/>
  <c r="EW411" i="79"/>
  <c r="EW427" i="79" s="1"/>
  <c r="EX17" i="79"/>
  <c r="EX411" i="79" s="1"/>
  <c r="EX427" i="79" s="1"/>
  <c r="Y411" i="79"/>
  <c r="Y427" i="79" s="1"/>
  <c r="Z17" i="79"/>
  <c r="Z411" i="79" s="1"/>
  <c r="Z427" i="79" s="1"/>
  <c r="F27" i="82"/>
  <c r="I39" i="85"/>
  <c r="K13" i="90" s="1"/>
  <c r="I39" i="79"/>
  <c r="F27" i="35"/>
  <c r="I39" i="80"/>
  <c r="I225" i="80"/>
  <c r="I225" i="85"/>
  <c r="K126" i="90" s="1"/>
  <c r="I225" i="79"/>
  <c r="J220" i="85"/>
  <c r="L121" i="90" s="1"/>
  <c r="J220" i="79"/>
  <c r="J220" i="80"/>
  <c r="E22" i="108"/>
  <c r="EO411" i="80"/>
  <c r="EO427" i="80" s="1"/>
  <c r="EP17" i="80"/>
  <c r="EP411" i="80" s="1"/>
  <c r="EP427" i="80" s="1"/>
  <c r="DY411" i="80"/>
  <c r="DY427" i="80" s="1"/>
  <c r="DZ17" i="80"/>
  <c r="DZ411" i="80" s="1"/>
  <c r="DZ427" i="80" s="1"/>
  <c r="EG411" i="80"/>
  <c r="EG427" i="80" s="1"/>
  <c r="EH17" i="80"/>
  <c r="EH411" i="80" s="1"/>
  <c r="EH427" i="80" s="1"/>
  <c r="FE411" i="79"/>
  <c r="FE427" i="79" s="1"/>
  <c r="FF17" i="79"/>
  <c r="FF411" i="79" s="1"/>
  <c r="FF427" i="79" s="1"/>
  <c r="AO411" i="79"/>
  <c r="AO427" i="79" s="1"/>
  <c r="AP17" i="79"/>
  <c r="AP411" i="79" s="1"/>
  <c r="AP427" i="79" s="1"/>
  <c r="BE411" i="79"/>
  <c r="BE427" i="79" s="1"/>
  <c r="BF17" i="79"/>
  <c r="BF411" i="79" s="1"/>
  <c r="BF427" i="79" s="1"/>
  <c r="I7" i="100"/>
  <c r="I269" i="85"/>
  <c r="K152" i="90" s="1"/>
  <c r="I269" i="79"/>
  <c r="I269" i="80"/>
  <c r="Y411" i="80"/>
  <c r="Y427" i="80" s="1"/>
  <c r="Z17" i="80"/>
  <c r="Z411" i="80" s="1"/>
  <c r="Z427" i="80" s="1"/>
  <c r="BM411" i="80"/>
  <c r="BM427" i="80" s="1"/>
  <c r="BN17" i="80"/>
  <c r="BN411" i="80" s="1"/>
  <c r="BN427" i="80" s="1"/>
  <c r="DI411" i="80"/>
  <c r="DI427" i="80" s="1"/>
  <c r="DJ17" i="80"/>
  <c r="DJ411" i="80" s="1"/>
  <c r="DJ427" i="80" s="1"/>
  <c r="I427" i="79"/>
  <c r="G427" i="79"/>
  <c r="EG411" i="79"/>
  <c r="EG427" i="79" s="1"/>
  <c r="EH17" i="79"/>
  <c r="EH411" i="79" s="1"/>
  <c r="EH427" i="79" s="1"/>
  <c r="J21" i="106"/>
  <c r="M14" i="106"/>
  <c r="M18" i="106"/>
  <c r="I275" i="85"/>
  <c r="K155" i="90" s="1"/>
  <c r="I275" i="80"/>
  <c r="I275" i="79"/>
  <c r="J219" i="85"/>
  <c r="L120" i="90" s="1"/>
  <c r="J219" i="80"/>
  <c r="J219" i="79"/>
  <c r="FE411" i="80"/>
  <c r="FE427" i="80" s="1"/>
  <c r="FF17" i="80"/>
  <c r="FF411" i="80" s="1"/>
  <c r="FF427" i="80" s="1"/>
  <c r="AO411" i="80"/>
  <c r="AO427" i="80" s="1"/>
  <c r="AP17" i="80"/>
  <c r="AP411" i="80" s="1"/>
  <c r="AP427" i="80" s="1"/>
  <c r="EW411" i="80"/>
  <c r="EW427" i="80" s="1"/>
  <c r="EX17" i="80"/>
  <c r="EX411" i="80" s="1"/>
  <c r="EX427" i="80" s="1"/>
  <c r="DY411" i="79"/>
  <c r="DY427" i="79" s="1"/>
  <c r="DZ17" i="79"/>
  <c r="DZ411" i="79" s="1"/>
  <c r="DZ427" i="79" s="1"/>
  <c r="DI411" i="79"/>
  <c r="DI427" i="79" s="1"/>
  <c r="DJ17" i="79"/>
  <c r="DJ411" i="79" s="1"/>
  <c r="DJ427" i="79" s="1"/>
  <c r="I220" i="79"/>
  <c r="I220" i="80"/>
  <c r="I220" i="85"/>
  <c r="K121" i="90" s="1"/>
  <c r="I219" i="85"/>
  <c r="K120" i="90" s="1"/>
  <c r="I219" i="80"/>
  <c r="I219" i="79"/>
  <c r="J222" i="80"/>
  <c r="J222" i="79"/>
  <c r="J222" i="85"/>
  <c r="L123" i="90" s="1"/>
  <c r="J221" i="79"/>
  <c r="J221" i="85"/>
  <c r="L122" i="90" s="1"/>
  <c r="J221" i="80"/>
  <c r="J50" i="85"/>
  <c r="J39" i="79"/>
  <c r="G27" i="82"/>
  <c r="J39" i="85"/>
  <c r="L13" i="90" s="1"/>
  <c r="J39" i="80"/>
  <c r="G27" i="35"/>
  <c r="K21" i="106"/>
  <c r="K39" i="106" s="1"/>
  <c r="N21" i="171" s="1"/>
  <c r="J21" i="171" s="1"/>
  <c r="Q411" i="80"/>
  <c r="Q427" i="80" s="1"/>
  <c r="R17" i="80"/>
  <c r="R411" i="80" s="1"/>
  <c r="CC411" i="80"/>
  <c r="CC427" i="80" s="1"/>
  <c r="CD17" i="80"/>
  <c r="CD411" i="80" s="1"/>
  <c r="CD427" i="80" s="1"/>
  <c r="AW411" i="80"/>
  <c r="AW427" i="80" s="1"/>
  <c r="AX17" i="80"/>
  <c r="AX411" i="80" s="1"/>
  <c r="AX427" i="80" s="1"/>
  <c r="CS411" i="79"/>
  <c r="CS427" i="79" s="1"/>
  <c r="CT17" i="79"/>
  <c r="CT411" i="79" s="1"/>
  <c r="CT427" i="79" s="1"/>
  <c r="AG411" i="79"/>
  <c r="AG427" i="79" s="1"/>
  <c r="AH17" i="79"/>
  <c r="AH411" i="79" s="1"/>
  <c r="AH427" i="79" s="1"/>
  <c r="J14" i="98"/>
  <c r="I221" i="85"/>
  <c r="K122" i="90" s="1"/>
  <c r="I221" i="79"/>
  <c r="I221" i="80"/>
  <c r="FM411" i="80"/>
  <c r="FM427" i="80" s="1"/>
  <c r="FN17" i="80"/>
  <c r="FN411" i="80" s="1"/>
  <c r="FN427" i="80" s="1"/>
  <c r="CS411" i="80"/>
  <c r="CS427" i="80" s="1"/>
  <c r="CT17" i="80"/>
  <c r="CT411" i="80" s="1"/>
  <c r="CT427" i="80" s="1"/>
  <c r="G427" i="80"/>
  <c r="I427" i="80"/>
  <c r="CK411" i="79"/>
  <c r="CK427" i="79" s="1"/>
  <c r="CL17" i="79"/>
  <c r="CL411" i="79" s="1"/>
  <c r="CL427" i="79" s="1"/>
  <c r="EO411" i="79"/>
  <c r="EO427" i="79" s="1"/>
  <c r="EP17" i="79"/>
  <c r="EP411" i="79" s="1"/>
  <c r="EP427" i="79" s="1"/>
  <c r="FM411" i="79"/>
  <c r="FM427" i="79" s="1"/>
  <c r="FN17" i="79"/>
  <c r="FN411" i="79" s="1"/>
  <c r="FN427" i="79" s="1"/>
  <c r="I224" i="80"/>
  <c r="I224" i="79"/>
  <c r="I224" i="85"/>
  <c r="K125" i="90" s="1"/>
  <c r="J269" i="79"/>
  <c r="J271" i="79" s="1"/>
  <c r="J269" i="80"/>
  <c r="J271" i="80" s="1"/>
  <c r="J271" i="85"/>
  <c r="J269" i="85"/>
  <c r="L152" i="90" s="1"/>
  <c r="CK411" i="80"/>
  <c r="CK427" i="80" s="1"/>
  <c r="CL17" i="80"/>
  <c r="CL411" i="80" s="1"/>
  <c r="CL427" i="80" s="1"/>
  <c r="BU411" i="80"/>
  <c r="BU427" i="80" s="1"/>
  <c r="BV17" i="80"/>
  <c r="BV411" i="80" s="1"/>
  <c r="BV427" i="80" s="1"/>
  <c r="H11" i="108"/>
  <c r="H10" i="108"/>
  <c r="E56" i="82"/>
  <c r="H18" i="85"/>
  <c r="J4" i="90" s="1"/>
  <c r="E56" i="35"/>
  <c r="H18" i="79"/>
  <c r="H18" i="80"/>
  <c r="L21" i="171" l="1"/>
  <c r="L83" i="169"/>
  <c r="H66" i="166"/>
  <c r="L148" i="166"/>
  <c r="G148" i="166"/>
  <c r="G156" i="166" s="1"/>
  <c r="H52" i="166"/>
  <c r="I27" i="160"/>
  <c r="I28" i="160" s="1"/>
  <c r="M91" i="166" s="1"/>
  <c r="I91" i="166" s="1"/>
  <c r="I93" i="166" s="1"/>
  <c r="J27" i="160"/>
  <c r="J28" i="160" s="1"/>
  <c r="N91" i="166" s="1"/>
  <c r="J91" i="166" s="1"/>
  <c r="J93" i="166" s="1"/>
  <c r="I50" i="98"/>
  <c r="I51" i="98" s="1"/>
  <c r="O513" i="163"/>
  <c r="N637" i="163"/>
  <c r="O637" i="163" s="1"/>
  <c r="G50" i="98"/>
  <c r="G51" i="98" s="1"/>
  <c r="H27" i="160"/>
  <c r="K26" i="160"/>
  <c r="H61" i="160"/>
  <c r="L71" i="166" s="1"/>
  <c r="K60" i="160"/>
  <c r="K59" i="160"/>
  <c r="K7" i="100"/>
  <c r="BM242" i="79"/>
  <c r="BN242" i="79" s="1"/>
  <c r="DW427" i="80"/>
  <c r="BC427" i="80"/>
  <c r="AG242" i="79"/>
  <c r="AH242" i="79" s="1"/>
  <c r="AW242" i="79"/>
  <c r="AX242" i="79" s="1"/>
  <c r="AU427" i="79"/>
  <c r="DA242" i="79"/>
  <c r="DB242" i="79" s="1"/>
  <c r="FE242" i="79"/>
  <c r="FF242" i="79" s="1"/>
  <c r="CC242" i="79"/>
  <c r="CD242" i="79" s="1"/>
  <c r="EG242" i="79"/>
  <c r="EH242" i="79" s="1"/>
  <c r="DQ242" i="79"/>
  <c r="DR242" i="79" s="1"/>
  <c r="DY242" i="79"/>
  <c r="DZ242" i="79" s="1"/>
  <c r="CK242" i="79"/>
  <c r="CL242" i="79" s="1"/>
  <c r="EO242" i="79"/>
  <c r="EP242" i="79" s="1"/>
  <c r="BU242" i="79"/>
  <c r="BV242" i="79" s="1"/>
  <c r="CS242" i="79"/>
  <c r="CT242" i="79" s="1"/>
  <c r="Y242" i="79"/>
  <c r="Z242" i="79" s="1"/>
  <c r="AO242" i="79"/>
  <c r="AP242" i="79" s="1"/>
  <c r="EW242" i="79"/>
  <c r="EX242" i="79" s="1"/>
  <c r="BE242" i="79"/>
  <c r="BF242" i="79" s="1"/>
  <c r="DI242" i="79"/>
  <c r="DJ242" i="79" s="1"/>
  <c r="FM242" i="79"/>
  <c r="FN242" i="79" s="1"/>
  <c r="EU427" i="80"/>
  <c r="W427" i="80"/>
  <c r="FC427" i="80"/>
  <c r="W427" i="79"/>
  <c r="AU427" i="80"/>
  <c r="BK427" i="79"/>
  <c r="AE427" i="79"/>
  <c r="BC427" i="79"/>
  <c r="CY427" i="80"/>
  <c r="H271" i="79"/>
  <c r="BT269" i="79"/>
  <c r="BT271" i="79" s="1"/>
  <c r="EF269" i="79"/>
  <c r="EF271" i="79" s="1"/>
  <c r="CB269" i="79"/>
  <c r="CB271" i="79" s="1"/>
  <c r="AV269" i="79"/>
  <c r="AV271" i="79" s="1"/>
  <c r="X269" i="79"/>
  <c r="X271" i="79" s="1"/>
  <c r="AN269" i="79"/>
  <c r="AN271" i="79" s="1"/>
  <c r="CZ269" i="79"/>
  <c r="CZ271" i="79" s="1"/>
  <c r="AF269" i="79"/>
  <c r="AF271" i="79" s="1"/>
  <c r="DP269" i="79"/>
  <c r="DP271" i="79" s="1"/>
  <c r="BD269" i="79"/>
  <c r="BD271" i="79" s="1"/>
  <c r="EV269" i="79"/>
  <c r="EV271" i="79" s="1"/>
  <c r="CR269" i="79"/>
  <c r="CR271" i="79" s="1"/>
  <c r="FL269" i="79"/>
  <c r="FL271" i="79" s="1"/>
  <c r="EN269" i="79"/>
  <c r="EN271" i="79" s="1"/>
  <c r="BL269" i="79"/>
  <c r="BL271" i="79" s="1"/>
  <c r="CJ269" i="79"/>
  <c r="CJ271" i="79" s="1"/>
  <c r="DX269" i="79"/>
  <c r="DX271" i="79" s="1"/>
  <c r="DH269" i="79"/>
  <c r="DH271" i="79" s="1"/>
  <c r="P269" i="79"/>
  <c r="P271" i="79" s="1"/>
  <c r="FD269" i="79"/>
  <c r="FD271" i="79" s="1"/>
  <c r="CZ224" i="80"/>
  <c r="EV224" i="80"/>
  <c r="CR224" i="80"/>
  <c r="CJ224" i="80"/>
  <c r="CB224" i="80"/>
  <c r="DP224" i="80"/>
  <c r="DX224" i="80"/>
  <c r="BL224" i="80"/>
  <c r="EF224" i="80"/>
  <c r="AN224" i="80"/>
  <c r="DH224" i="80"/>
  <c r="EN224" i="80"/>
  <c r="AV224" i="80"/>
  <c r="FD224" i="80"/>
  <c r="AF224" i="80"/>
  <c r="P224" i="80"/>
  <c r="X224" i="80"/>
  <c r="BD224" i="80"/>
  <c r="BT224" i="80"/>
  <c r="FL224" i="80"/>
  <c r="E70" i="82"/>
  <c r="E73" i="82" s="1"/>
  <c r="E74" i="82" s="1"/>
  <c r="E83" i="82" s="1"/>
  <c r="E37" i="82"/>
  <c r="FD224" i="79"/>
  <c r="CR224" i="79"/>
  <c r="BD224" i="79"/>
  <c r="AN224" i="79"/>
  <c r="BL224" i="79"/>
  <c r="DH224" i="79"/>
  <c r="AV224" i="79"/>
  <c r="EV224" i="79"/>
  <c r="AF224" i="79"/>
  <c r="DX224" i="79"/>
  <c r="CZ224" i="79"/>
  <c r="CJ224" i="79"/>
  <c r="DP224" i="79"/>
  <c r="FL224" i="79"/>
  <c r="P224" i="79"/>
  <c r="CB224" i="79"/>
  <c r="X224" i="79"/>
  <c r="EF224" i="79"/>
  <c r="EN224" i="79"/>
  <c r="BT224" i="79"/>
  <c r="DG427" i="80"/>
  <c r="CJ39" i="80"/>
  <c r="H50" i="80"/>
  <c r="X39" i="80"/>
  <c r="P39" i="80"/>
  <c r="CZ39" i="80"/>
  <c r="EN39" i="80"/>
  <c r="FL39" i="80"/>
  <c r="CR39" i="80"/>
  <c r="AV39" i="80"/>
  <c r="BL39" i="80"/>
  <c r="BT39" i="80"/>
  <c r="EV39" i="80"/>
  <c r="BD39" i="80"/>
  <c r="AF39" i="80"/>
  <c r="CB39" i="80"/>
  <c r="DX39" i="80"/>
  <c r="AN39" i="80"/>
  <c r="DH39" i="80"/>
  <c r="FD39" i="80"/>
  <c r="H384" i="80"/>
  <c r="EF39" i="80"/>
  <c r="DP39" i="80"/>
  <c r="CJ222" i="80"/>
  <c r="EF222" i="80"/>
  <c r="X222" i="80"/>
  <c r="DH222" i="80"/>
  <c r="DP222" i="80"/>
  <c r="AV222" i="80"/>
  <c r="BD222" i="80"/>
  <c r="P222" i="80"/>
  <c r="BT222" i="80"/>
  <c r="AF222" i="80"/>
  <c r="FL222" i="80"/>
  <c r="EN222" i="80"/>
  <c r="CZ222" i="80"/>
  <c r="BL222" i="80"/>
  <c r="DX222" i="80"/>
  <c r="AN222" i="80"/>
  <c r="CB222" i="80"/>
  <c r="FD222" i="80"/>
  <c r="CR222" i="80"/>
  <c r="EV222" i="80"/>
  <c r="DG427" i="79"/>
  <c r="EE427" i="79"/>
  <c r="DX220" i="80"/>
  <c r="BL220" i="80"/>
  <c r="CB220" i="80"/>
  <c r="BT220" i="80"/>
  <c r="AF220" i="80"/>
  <c r="EN220" i="80"/>
  <c r="CZ220" i="80"/>
  <c r="FL220" i="80"/>
  <c r="CR220" i="80"/>
  <c r="AV220" i="80"/>
  <c r="FD220" i="80"/>
  <c r="DP220" i="80"/>
  <c r="X220" i="80"/>
  <c r="EF220" i="80"/>
  <c r="BD220" i="80"/>
  <c r="EV220" i="80"/>
  <c r="AN220" i="80"/>
  <c r="DH220" i="80"/>
  <c r="CJ220" i="80"/>
  <c r="P220" i="80"/>
  <c r="E70" i="35"/>
  <c r="E73" i="35" s="1"/>
  <c r="E74" i="35" s="1"/>
  <c r="H74" i="169" s="1"/>
  <c r="E37" i="35"/>
  <c r="AF221" i="80"/>
  <c r="EN221" i="80"/>
  <c r="FL221" i="80"/>
  <c r="EV221" i="80"/>
  <c r="AN221" i="80"/>
  <c r="CJ221" i="80"/>
  <c r="CB221" i="80"/>
  <c r="P221" i="80"/>
  <c r="CZ221" i="80"/>
  <c r="FD221" i="80"/>
  <c r="BD221" i="80"/>
  <c r="DX221" i="80"/>
  <c r="CR221" i="80"/>
  <c r="DH221" i="80"/>
  <c r="EF221" i="80"/>
  <c r="X221" i="80"/>
  <c r="BT221" i="80"/>
  <c r="AV221" i="80"/>
  <c r="BL221" i="80"/>
  <c r="DP221" i="80"/>
  <c r="DH220" i="79"/>
  <c r="P220" i="79"/>
  <c r="CJ220" i="79"/>
  <c r="BL220" i="79"/>
  <c r="BT220" i="79"/>
  <c r="CR220" i="79"/>
  <c r="DX220" i="79"/>
  <c r="EN220" i="79"/>
  <c r="EV220" i="79"/>
  <c r="BD220" i="79"/>
  <c r="X220" i="79"/>
  <c r="CB220" i="79"/>
  <c r="FD220" i="79"/>
  <c r="AF220" i="79"/>
  <c r="AN220" i="79"/>
  <c r="AV220" i="79"/>
  <c r="EF220" i="79"/>
  <c r="CZ220" i="79"/>
  <c r="DP220" i="79"/>
  <c r="FL220" i="79"/>
  <c r="DP222" i="79"/>
  <c r="FL222" i="79"/>
  <c r="BD222" i="79"/>
  <c r="AV222" i="79"/>
  <c r="DX222" i="79"/>
  <c r="P222" i="79"/>
  <c r="EN222" i="79"/>
  <c r="BT222" i="79"/>
  <c r="DH222" i="79"/>
  <c r="CJ222" i="79"/>
  <c r="FD222" i="79"/>
  <c r="CB222" i="79"/>
  <c r="EF222" i="79"/>
  <c r="BL222" i="79"/>
  <c r="EV222" i="79"/>
  <c r="X222" i="79"/>
  <c r="AN222" i="79"/>
  <c r="AF222" i="79"/>
  <c r="CR222" i="79"/>
  <c r="CZ222" i="79"/>
  <c r="DX221" i="79"/>
  <c r="X221" i="79"/>
  <c r="AF221" i="79"/>
  <c r="FL221" i="79"/>
  <c r="CZ221" i="79"/>
  <c r="EV221" i="79"/>
  <c r="EF221" i="79"/>
  <c r="P221" i="79"/>
  <c r="EN221" i="79"/>
  <c r="CJ221" i="79"/>
  <c r="FD221" i="79"/>
  <c r="AN221" i="79"/>
  <c r="BT221" i="79"/>
  <c r="CR221" i="79"/>
  <c r="DH221" i="79"/>
  <c r="DP221" i="79"/>
  <c r="BD221" i="79"/>
  <c r="BL221" i="79"/>
  <c r="CB221" i="79"/>
  <c r="AV221" i="79"/>
  <c r="DO427" i="80"/>
  <c r="AN219" i="80"/>
  <c r="CB219" i="80"/>
  <c r="CR219" i="80"/>
  <c r="AV219" i="80"/>
  <c r="X219" i="80"/>
  <c r="EN219" i="80"/>
  <c r="BL219" i="80"/>
  <c r="CJ219" i="80"/>
  <c r="AF219" i="80"/>
  <c r="BD219" i="80"/>
  <c r="DH219" i="80"/>
  <c r="FD219" i="80"/>
  <c r="FL219" i="80"/>
  <c r="EF219" i="80"/>
  <c r="BT219" i="80"/>
  <c r="P219" i="80"/>
  <c r="DP219" i="80"/>
  <c r="CZ219" i="80"/>
  <c r="EV219" i="80"/>
  <c r="DX219" i="80"/>
  <c r="P225" i="80"/>
  <c r="BT225" i="80"/>
  <c r="FD225" i="80"/>
  <c r="DP225" i="80"/>
  <c r="FL225" i="80"/>
  <c r="DX225" i="80"/>
  <c r="DH225" i="80"/>
  <c r="EV225" i="80"/>
  <c r="EN225" i="80"/>
  <c r="CZ225" i="80"/>
  <c r="BL225" i="80"/>
  <c r="AV225" i="80"/>
  <c r="EF225" i="80"/>
  <c r="X225" i="80"/>
  <c r="CB225" i="80"/>
  <c r="AN225" i="80"/>
  <c r="CR225" i="80"/>
  <c r="CJ225" i="80"/>
  <c r="AF225" i="80"/>
  <c r="BD225" i="80"/>
  <c r="X39" i="79"/>
  <c r="CJ39" i="79"/>
  <c r="AN39" i="79"/>
  <c r="FD39" i="79"/>
  <c r="EF39" i="79"/>
  <c r="DH39" i="79"/>
  <c r="FL39" i="79"/>
  <c r="CB39" i="79"/>
  <c r="H384" i="79"/>
  <c r="H394" i="79" s="1"/>
  <c r="H395" i="79" s="1"/>
  <c r="H447" i="79" s="1"/>
  <c r="DP39" i="79"/>
  <c r="CR39" i="79"/>
  <c r="P39" i="79"/>
  <c r="H435" i="79"/>
  <c r="H438" i="79" s="1"/>
  <c r="H439" i="79" s="1"/>
  <c r="H448" i="79" s="1"/>
  <c r="DX39" i="79"/>
  <c r="H50" i="79"/>
  <c r="H413" i="79" s="1"/>
  <c r="AV39" i="79"/>
  <c r="CZ39" i="79"/>
  <c r="BL39" i="79"/>
  <c r="EN39" i="79"/>
  <c r="BD39" i="79"/>
  <c r="EV39" i="79"/>
  <c r="BT39" i="79"/>
  <c r="AF39" i="79"/>
  <c r="H271" i="80"/>
  <c r="X269" i="80"/>
  <c r="X271" i="80" s="1"/>
  <c r="BD269" i="80"/>
  <c r="BD271" i="80" s="1"/>
  <c r="P269" i="80"/>
  <c r="P271" i="80" s="1"/>
  <c r="BT269" i="80"/>
  <c r="BT271" i="80" s="1"/>
  <c r="FL269" i="80"/>
  <c r="FL271" i="80" s="1"/>
  <c r="FD269" i="80"/>
  <c r="FD271" i="80" s="1"/>
  <c r="DP269" i="80"/>
  <c r="DP271" i="80" s="1"/>
  <c r="CZ269" i="80"/>
  <c r="CZ271" i="80" s="1"/>
  <c r="CJ269" i="80"/>
  <c r="CJ271" i="80" s="1"/>
  <c r="AN269" i="80"/>
  <c r="AN271" i="80" s="1"/>
  <c r="CB269" i="80"/>
  <c r="CB271" i="80" s="1"/>
  <c r="DH269" i="80"/>
  <c r="DH271" i="80" s="1"/>
  <c r="EV269" i="80"/>
  <c r="EV271" i="80" s="1"/>
  <c r="CR269" i="80"/>
  <c r="CR271" i="80" s="1"/>
  <c r="EN269" i="80"/>
  <c r="EN271" i="80" s="1"/>
  <c r="DX269" i="80"/>
  <c r="DX271" i="80" s="1"/>
  <c r="EF269" i="80"/>
  <c r="EF271" i="80" s="1"/>
  <c r="AF269" i="80"/>
  <c r="AF271" i="80" s="1"/>
  <c r="BL269" i="80"/>
  <c r="BL271" i="80" s="1"/>
  <c r="AV269" i="80"/>
  <c r="AV271" i="80" s="1"/>
  <c r="AF219" i="79"/>
  <c r="DP219" i="79"/>
  <c r="BT219" i="79"/>
  <c r="X219" i="79"/>
  <c r="EF219" i="79"/>
  <c r="CZ219" i="79"/>
  <c r="FD219" i="79"/>
  <c r="P219" i="79"/>
  <c r="EN219" i="79"/>
  <c r="FL219" i="79"/>
  <c r="CR219" i="79"/>
  <c r="DX219" i="79"/>
  <c r="DH219" i="79"/>
  <c r="CB219" i="79"/>
  <c r="CJ219" i="79"/>
  <c r="AN219" i="79"/>
  <c r="BD219" i="79"/>
  <c r="AV219" i="79"/>
  <c r="EV219" i="79"/>
  <c r="BL219" i="79"/>
  <c r="CR225" i="79"/>
  <c r="CB225" i="79"/>
  <c r="BL225" i="79"/>
  <c r="DP225" i="79"/>
  <c r="DX225" i="79"/>
  <c r="AF225" i="79"/>
  <c r="FL225" i="79"/>
  <c r="AV225" i="79"/>
  <c r="P225" i="79"/>
  <c r="EF225" i="79"/>
  <c r="BD225" i="79"/>
  <c r="EV225" i="79"/>
  <c r="CZ225" i="79"/>
  <c r="EN225" i="79"/>
  <c r="AN225" i="79"/>
  <c r="X225" i="79"/>
  <c r="BT225" i="79"/>
  <c r="DH225" i="79"/>
  <c r="CJ225" i="79"/>
  <c r="FD225" i="79"/>
  <c r="AM427" i="80"/>
  <c r="EU427" i="79"/>
  <c r="BS427" i="79"/>
  <c r="J148" i="79"/>
  <c r="J148" i="85"/>
  <c r="L86" i="90" s="1"/>
  <c r="BS427" i="80"/>
  <c r="FC427" i="79"/>
  <c r="FK427" i="80"/>
  <c r="CY427" i="79"/>
  <c r="EM427" i="79"/>
  <c r="CQ427" i="80"/>
  <c r="FK427" i="79"/>
  <c r="AE427" i="80"/>
  <c r="EE427" i="80"/>
  <c r="O427" i="80"/>
  <c r="CQ427" i="79"/>
  <c r="R427" i="80"/>
  <c r="DW427" i="79"/>
  <c r="O427" i="79"/>
  <c r="J71" i="80"/>
  <c r="J71" i="79"/>
  <c r="J71" i="85"/>
  <c r="L37" i="90" s="1"/>
  <c r="CI427" i="79"/>
  <c r="BK427" i="80"/>
  <c r="DO427" i="79"/>
  <c r="AM427" i="79"/>
  <c r="EM427" i="80"/>
  <c r="CA427" i="80"/>
  <c r="CA427" i="79"/>
  <c r="CI427" i="80"/>
  <c r="G70" i="82"/>
  <c r="G73" i="82" s="1"/>
  <c r="G74" i="82" s="1"/>
  <c r="G83" i="82" s="1"/>
  <c r="G37" i="82"/>
  <c r="I271" i="85"/>
  <c r="CC225" i="80"/>
  <c r="Q225" i="80"/>
  <c r="EG225" i="80"/>
  <c r="AG225" i="80"/>
  <c r="EO225" i="80"/>
  <c r="FE225" i="80"/>
  <c r="BE225" i="80"/>
  <c r="AO225" i="80"/>
  <c r="FM225" i="80"/>
  <c r="BM225" i="80"/>
  <c r="CS225" i="80"/>
  <c r="DY225" i="80"/>
  <c r="DQ225" i="80"/>
  <c r="DI225" i="80"/>
  <c r="AW225" i="80"/>
  <c r="DA225" i="80"/>
  <c r="EW225" i="80"/>
  <c r="BU225" i="80"/>
  <c r="Y225" i="80"/>
  <c r="CK225" i="80"/>
  <c r="J384" i="79"/>
  <c r="J394" i="79" s="1"/>
  <c r="J435" i="79"/>
  <c r="J438" i="79" s="1"/>
  <c r="J439" i="79" s="1"/>
  <c r="J448" i="79" s="1"/>
  <c r="J50" i="79"/>
  <c r="J413" i="79" s="1"/>
  <c r="DY219" i="79"/>
  <c r="DA219" i="79"/>
  <c r="Q219" i="79"/>
  <c r="EW219" i="79"/>
  <c r="FM219" i="79"/>
  <c r="CS219" i="79"/>
  <c r="EO219" i="79"/>
  <c r="CK219" i="79"/>
  <c r="FE219" i="79"/>
  <c r="AW219" i="79"/>
  <c r="BU219" i="79"/>
  <c r="DI219" i="79"/>
  <c r="CC219" i="79"/>
  <c r="BM219" i="79"/>
  <c r="DQ219" i="79"/>
  <c r="Y219" i="79"/>
  <c r="EG219" i="79"/>
  <c r="AG219" i="79"/>
  <c r="AO219" i="79"/>
  <c r="BE219" i="79"/>
  <c r="J11" i="108"/>
  <c r="J10" i="108"/>
  <c r="Y39" i="80"/>
  <c r="DY39" i="80"/>
  <c r="CC39" i="80"/>
  <c r="I50" i="80"/>
  <c r="EG39" i="80"/>
  <c r="AW39" i="80"/>
  <c r="DQ39" i="80"/>
  <c r="BM39" i="80"/>
  <c r="BU39" i="80"/>
  <c r="AO39" i="80"/>
  <c r="AG39" i="80"/>
  <c r="EW39" i="80"/>
  <c r="BE39" i="80"/>
  <c r="FM39" i="80"/>
  <c r="EO39" i="80"/>
  <c r="CS39" i="80"/>
  <c r="CK39" i="80"/>
  <c r="DI39" i="80"/>
  <c r="DA39" i="80"/>
  <c r="I384" i="80"/>
  <c r="FE39" i="80"/>
  <c r="Q39" i="80"/>
  <c r="D22" i="108"/>
  <c r="DA219" i="80"/>
  <c r="DY219" i="80"/>
  <c r="CK219" i="80"/>
  <c r="CS219" i="80"/>
  <c r="BM219" i="80"/>
  <c r="DQ219" i="80"/>
  <c r="AO219" i="80"/>
  <c r="FM219" i="80"/>
  <c r="CC219" i="80"/>
  <c r="BE219" i="80"/>
  <c r="AG219" i="80"/>
  <c r="DI219" i="80"/>
  <c r="EG219" i="80"/>
  <c r="FE219" i="80"/>
  <c r="Y219" i="80"/>
  <c r="BU219" i="80"/>
  <c r="Q219" i="80"/>
  <c r="AW219" i="80"/>
  <c r="EW219" i="80"/>
  <c r="EO219" i="80"/>
  <c r="J18" i="80"/>
  <c r="J18" i="85"/>
  <c r="L4" i="90" s="1"/>
  <c r="J18" i="79"/>
  <c r="G56" i="35"/>
  <c r="G56" i="82"/>
  <c r="I50" i="85"/>
  <c r="F70" i="35"/>
  <c r="F73" i="35" s="1"/>
  <c r="I74" i="169" s="1"/>
  <c r="F37" i="35"/>
  <c r="EO222" i="79"/>
  <c r="CK222" i="79"/>
  <c r="CC222" i="79"/>
  <c r="BE222" i="79"/>
  <c r="BM222" i="79"/>
  <c r="AG222" i="79"/>
  <c r="FM222" i="79"/>
  <c r="AO222" i="79"/>
  <c r="DQ222" i="79"/>
  <c r="EG222" i="79"/>
  <c r="AW222" i="79"/>
  <c r="FE222" i="79"/>
  <c r="DI222" i="79"/>
  <c r="DA222" i="79"/>
  <c r="Y222" i="79"/>
  <c r="Q222" i="79"/>
  <c r="EW222" i="79"/>
  <c r="CS222" i="79"/>
  <c r="BU222" i="79"/>
  <c r="DY222" i="79"/>
  <c r="J297" i="80"/>
  <c r="J297" i="79"/>
  <c r="J297" i="85"/>
  <c r="L167" i="90" s="1"/>
  <c r="J66" i="79"/>
  <c r="J66" i="80"/>
  <c r="J66" i="85"/>
  <c r="L32" i="90" s="1"/>
  <c r="I384" i="79"/>
  <c r="I394" i="79" s="1"/>
  <c r="AW39" i="79"/>
  <c r="DA39" i="79"/>
  <c r="I50" i="79"/>
  <c r="I413" i="79" s="1"/>
  <c r="CK39" i="79"/>
  <c r="DY39" i="79"/>
  <c r="BE39" i="79"/>
  <c r="Q39" i="79"/>
  <c r="CS39" i="79"/>
  <c r="EW39" i="79"/>
  <c r="CC39" i="79"/>
  <c r="FE39" i="79"/>
  <c r="FM39" i="79"/>
  <c r="AG39" i="79"/>
  <c r="EG39" i="79"/>
  <c r="DQ39" i="79"/>
  <c r="EO39" i="79"/>
  <c r="Y39" i="79"/>
  <c r="DI39" i="79"/>
  <c r="BM39" i="79"/>
  <c r="I435" i="79"/>
  <c r="I438" i="79" s="1"/>
  <c r="I439" i="79" s="1"/>
  <c r="BU39" i="79"/>
  <c r="AO39" i="79"/>
  <c r="DA224" i="79"/>
  <c r="DY224" i="79"/>
  <c r="DQ224" i="79"/>
  <c r="EG224" i="79"/>
  <c r="Y224" i="79"/>
  <c r="BE224" i="79"/>
  <c r="AG224" i="79"/>
  <c r="CK224" i="79"/>
  <c r="EW224" i="79"/>
  <c r="AO224" i="79"/>
  <c r="DI224" i="79"/>
  <c r="AW224" i="79"/>
  <c r="Q224" i="79"/>
  <c r="BM224" i="79"/>
  <c r="CC224" i="79"/>
  <c r="FE224" i="79"/>
  <c r="FM224" i="79"/>
  <c r="CS224" i="79"/>
  <c r="EO224" i="79"/>
  <c r="BU224" i="79"/>
  <c r="G70" i="35"/>
  <c r="G73" i="35" s="1"/>
  <c r="G37" i="35"/>
  <c r="G38" i="35" s="1"/>
  <c r="DQ220" i="80"/>
  <c r="DI220" i="80"/>
  <c r="CK220" i="80"/>
  <c r="EW220" i="80"/>
  <c r="FE220" i="80"/>
  <c r="FF220" i="80" s="1"/>
  <c r="DA220" i="80"/>
  <c r="AG220" i="80"/>
  <c r="CS220" i="80"/>
  <c r="EO220" i="80"/>
  <c r="CC220" i="80"/>
  <c r="DY220" i="80"/>
  <c r="Q220" i="80"/>
  <c r="AW220" i="80"/>
  <c r="AO220" i="80"/>
  <c r="EG220" i="80"/>
  <c r="Y220" i="80"/>
  <c r="BE220" i="80"/>
  <c r="BU220" i="80"/>
  <c r="BM220" i="80"/>
  <c r="FM220" i="80"/>
  <c r="CS269" i="80"/>
  <c r="Y269" i="80"/>
  <c r="Q269" i="80"/>
  <c r="FE269" i="80"/>
  <c r="FM269" i="80"/>
  <c r="BE269" i="80"/>
  <c r="AG269" i="80"/>
  <c r="AW269" i="80"/>
  <c r="BU269" i="80"/>
  <c r="DQ269" i="80"/>
  <c r="AO269" i="80"/>
  <c r="EW269" i="80"/>
  <c r="CC269" i="80"/>
  <c r="BM269" i="80"/>
  <c r="DY269" i="80"/>
  <c r="EO269" i="80"/>
  <c r="CK269" i="80"/>
  <c r="EG269" i="80"/>
  <c r="DA269" i="80"/>
  <c r="I271" i="80"/>
  <c r="DI269" i="80"/>
  <c r="AO222" i="80"/>
  <c r="BM222" i="80"/>
  <c r="EO222" i="80"/>
  <c r="Q222" i="80"/>
  <c r="CS222" i="80"/>
  <c r="DY222" i="80"/>
  <c r="BE222" i="80"/>
  <c r="FE222" i="80"/>
  <c r="AG222" i="80"/>
  <c r="DI222" i="80"/>
  <c r="Y222" i="80"/>
  <c r="CC222" i="80"/>
  <c r="EW222" i="80"/>
  <c r="EG222" i="80"/>
  <c r="DA222" i="80"/>
  <c r="BU222" i="80"/>
  <c r="AW222" i="80"/>
  <c r="FM222" i="80"/>
  <c r="CK222" i="80"/>
  <c r="DQ222" i="80"/>
  <c r="BM224" i="80"/>
  <c r="EO224" i="80"/>
  <c r="CC224" i="80"/>
  <c r="AO224" i="80"/>
  <c r="CS224" i="80"/>
  <c r="BE224" i="80"/>
  <c r="AW224" i="80"/>
  <c r="DQ224" i="80"/>
  <c r="Y224" i="80"/>
  <c r="BU224" i="80"/>
  <c r="DI224" i="80"/>
  <c r="DY224" i="80"/>
  <c r="FE224" i="80"/>
  <c r="AG224" i="80"/>
  <c r="FM224" i="80"/>
  <c r="EG224" i="80"/>
  <c r="DA224" i="80"/>
  <c r="CK224" i="80"/>
  <c r="EW224" i="80"/>
  <c r="Q224" i="80"/>
  <c r="CK221" i="80"/>
  <c r="BE221" i="80"/>
  <c r="AG221" i="80"/>
  <c r="EW221" i="80"/>
  <c r="FM221" i="80"/>
  <c r="EG221" i="80"/>
  <c r="BU221" i="80"/>
  <c r="CC221" i="80"/>
  <c r="DY221" i="80"/>
  <c r="DI221" i="80"/>
  <c r="DQ221" i="80"/>
  <c r="AW221" i="80"/>
  <c r="EO221" i="80"/>
  <c r="AO221" i="80"/>
  <c r="CS221" i="80"/>
  <c r="BM221" i="80"/>
  <c r="FE221" i="80"/>
  <c r="Q221" i="80"/>
  <c r="Y221" i="80"/>
  <c r="DA221" i="80"/>
  <c r="J384" i="80"/>
  <c r="J50" i="80"/>
  <c r="AW220" i="79"/>
  <c r="CS220" i="79"/>
  <c r="Y220" i="79"/>
  <c r="FE220" i="79"/>
  <c r="DA220" i="79"/>
  <c r="BM220" i="79"/>
  <c r="CC220" i="79"/>
  <c r="EW220" i="79"/>
  <c r="CK220" i="79"/>
  <c r="EO220" i="79"/>
  <c r="AO220" i="79"/>
  <c r="DI220" i="79"/>
  <c r="DY220" i="79"/>
  <c r="AG220" i="79"/>
  <c r="Q220" i="79"/>
  <c r="FM220" i="79"/>
  <c r="BE220" i="79"/>
  <c r="DQ220" i="79"/>
  <c r="EG220" i="79"/>
  <c r="BU220" i="79"/>
  <c r="J39" i="106"/>
  <c r="M21" i="171" s="1"/>
  <c r="I21" i="171" s="1"/>
  <c r="M21" i="106"/>
  <c r="DA269" i="79"/>
  <c r="AW269" i="79"/>
  <c r="AG269" i="79"/>
  <c r="EO269" i="79"/>
  <c r="CC269" i="79"/>
  <c r="Q269" i="79"/>
  <c r="FE269" i="79"/>
  <c r="BU269" i="79"/>
  <c r="BM269" i="79"/>
  <c r="Y269" i="79"/>
  <c r="EG269" i="79"/>
  <c r="CS269" i="79"/>
  <c r="DI269" i="79"/>
  <c r="DQ269" i="79"/>
  <c r="BE269" i="79"/>
  <c r="AO269" i="79"/>
  <c r="FM269" i="79"/>
  <c r="EW269" i="79"/>
  <c r="I271" i="79"/>
  <c r="CK269" i="79"/>
  <c r="DY269" i="79"/>
  <c r="AG225" i="79"/>
  <c r="Y225" i="79"/>
  <c r="CK225" i="79"/>
  <c r="CL225" i="79" s="1"/>
  <c r="BU225" i="79"/>
  <c r="EW225" i="79"/>
  <c r="AW225" i="79"/>
  <c r="BM225" i="79"/>
  <c r="EG225" i="79"/>
  <c r="DA225" i="79"/>
  <c r="DI225" i="79"/>
  <c r="DY225" i="79"/>
  <c r="BE225" i="79"/>
  <c r="Q225" i="79"/>
  <c r="CC225" i="79"/>
  <c r="DQ225" i="79"/>
  <c r="CS225" i="79"/>
  <c r="FE225" i="79"/>
  <c r="AO225" i="79"/>
  <c r="EO225" i="79"/>
  <c r="FM225" i="79"/>
  <c r="F70" i="82"/>
  <c r="F73" i="82" s="1"/>
  <c r="F74" i="82" s="1"/>
  <c r="F83" i="82" s="1"/>
  <c r="F37" i="82"/>
  <c r="DQ221" i="79"/>
  <c r="FM221" i="79"/>
  <c r="DA221" i="79"/>
  <c r="AW221" i="79"/>
  <c r="BM221" i="79"/>
  <c r="CS221" i="79"/>
  <c r="BE221" i="79"/>
  <c r="EG221" i="79"/>
  <c r="FE221" i="79"/>
  <c r="CK221" i="79"/>
  <c r="EW221" i="79"/>
  <c r="EO221" i="79"/>
  <c r="Q221" i="79"/>
  <c r="AG221" i="79"/>
  <c r="AO221" i="79"/>
  <c r="DI221" i="79"/>
  <c r="CC221" i="79"/>
  <c r="Y221" i="79"/>
  <c r="BU221" i="79"/>
  <c r="DY221" i="79"/>
  <c r="H19" i="85"/>
  <c r="BD18" i="80"/>
  <c r="EN18" i="80"/>
  <c r="CJ18" i="80"/>
  <c r="EF18" i="80"/>
  <c r="AV18" i="80"/>
  <c r="FL18" i="80"/>
  <c r="AN18" i="80"/>
  <c r="CZ18" i="80"/>
  <c r="CR18" i="80"/>
  <c r="DX18" i="80"/>
  <c r="P18" i="80"/>
  <c r="CB18" i="80"/>
  <c r="BT18" i="80"/>
  <c r="H412" i="80"/>
  <c r="DP18" i="80"/>
  <c r="AF18" i="80"/>
  <c r="BL18" i="80"/>
  <c r="EV18" i="80"/>
  <c r="X18" i="80"/>
  <c r="FD18" i="80"/>
  <c r="DH18" i="80"/>
  <c r="H19" i="80"/>
  <c r="H15" i="108"/>
  <c r="I102" i="107"/>
  <c r="I104" i="107" s="1"/>
  <c r="CR18" i="79"/>
  <c r="AN18" i="79"/>
  <c r="BL18" i="79"/>
  <c r="X18" i="79"/>
  <c r="H412" i="79"/>
  <c r="AF18" i="79"/>
  <c r="EV18" i="79"/>
  <c r="FD18" i="79"/>
  <c r="CB18" i="79"/>
  <c r="EN18" i="79"/>
  <c r="FL18" i="79"/>
  <c r="BD18" i="79"/>
  <c r="AV18" i="79"/>
  <c r="P18" i="79"/>
  <c r="CZ18" i="79"/>
  <c r="DX18" i="79"/>
  <c r="DP18" i="79"/>
  <c r="DH18" i="79"/>
  <c r="BT18" i="79"/>
  <c r="EF18" i="79"/>
  <c r="CJ18" i="79"/>
  <c r="H19" i="79"/>
  <c r="R56" i="35"/>
  <c r="R58" i="35" s="1"/>
  <c r="R59" i="35" s="1"/>
  <c r="Q56" i="35"/>
  <c r="Q56" i="82"/>
  <c r="R56" i="82"/>
  <c r="R58" i="82" s="1"/>
  <c r="R59" i="82" s="1"/>
  <c r="J102" i="107"/>
  <c r="J104" i="107" s="1"/>
  <c r="G74" i="35" l="1"/>
  <c r="DZ222" i="79"/>
  <c r="AA40" i="177"/>
  <c r="AA36" i="177"/>
  <c r="H21" i="171"/>
  <c r="N83" i="169"/>
  <c r="J83" i="169" s="1"/>
  <c r="H83" i="169"/>
  <c r="FN225" i="80"/>
  <c r="BF221" i="80"/>
  <c r="DZ220" i="80"/>
  <c r="G158" i="166"/>
  <c r="H148" i="166"/>
  <c r="H148" i="80" s="1"/>
  <c r="H71" i="166"/>
  <c r="CT222" i="79"/>
  <c r="EH221" i="79"/>
  <c r="CT220" i="80"/>
  <c r="J91" i="80"/>
  <c r="J93" i="80" s="1"/>
  <c r="DJ221" i="79"/>
  <c r="DZ220" i="79"/>
  <c r="R225" i="79"/>
  <c r="BV225" i="79"/>
  <c r="FN221" i="80"/>
  <c r="AP220" i="80"/>
  <c r="FF222" i="79"/>
  <c r="BF222" i="79"/>
  <c r="CT225" i="79"/>
  <c r="AP220" i="79"/>
  <c r="BN221" i="80"/>
  <c r="DR224" i="79"/>
  <c r="CT224" i="80"/>
  <c r="FF222" i="80"/>
  <c r="DJ224" i="80"/>
  <c r="BV224" i="80"/>
  <c r="EH222" i="80"/>
  <c r="H66" i="80"/>
  <c r="H66" i="79"/>
  <c r="H66" i="85"/>
  <c r="J32" i="90" s="1"/>
  <c r="AH220" i="79"/>
  <c r="AX221" i="80"/>
  <c r="DR219" i="80"/>
  <c r="Z219" i="79"/>
  <c r="DZ221" i="79"/>
  <c r="EP221" i="79"/>
  <c r="DJ220" i="79"/>
  <c r="CL220" i="80"/>
  <c r="EH220" i="79"/>
  <c r="BN225" i="79"/>
  <c r="CT221" i="80"/>
  <c r="BF221" i="79"/>
  <c r="EX220" i="79"/>
  <c r="AP221" i="80"/>
  <c r="K61" i="160"/>
  <c r="DB224" i="79"/>
  <c r="AP222" i="80"/>
  <c r="BF224" i="79"/>
  <c r="DB224" i="80"/>
  <c r="Z224" i="80"/>
  <c r="EH224" i="80"/>
  <c r="R222" i="80"/>
  <c r="EP224" i="79"/>
  <c r="K27" i="160"/>
  <c r="H28" i="160"/>
  <c r="L91" i="166" s="1"/>
  <c r="Z220" i="79"/>
  <c r="EX222" i="79"/>
  <c r="EP222" i="79"/>
  <c r="AP225" i="79"/>
  <c r="AH221" i="80"/>
  <c r="AX224" i="80"/>
  <c r="EP222" i="80"/>
  <c r="EH219" i="80"/>
  <c r="CD224" i="80"/>
  <c r="DB222" i="80"/>
  <c r="Z222" i="79"/>
  <c r="H414" i="79"/>
  <c r="H415" i="79" s="1"/>
  <c r="H451" i="79" s="1"/>
  <c r="EH222" i="79"/>
  <c r="AH221" i="79"/>
  <c r="EX222" i="80"/>
  <c r="AX224" i="79"/>
  <c r="DZ225" i="79"/>
  <c r="DB225" i="79"/>
  <c r="DJ222" i="80"/>
  <c r="EP219" i="80"/>
  <c r="H52" i="80"/>
  <c r="CD221" i="79"/>
  <c r="FF221" i="79"/>
  <c r="DR220" i="79"/>
  <c r="CD221" i="80"/>
  <c r="CL220" i="79"/>
  <c r="Z220" i="80"/>
  <c r="EH221" i="80"/>
  <c r="AH220" i="80"/>
  <c r="R224" i="79"/>
  <c r="R221" i="79"/>
  <c r="EX221" i="80"/>
  <c r="CD222" i="80"/>
  <c r="AX220" i="80"/>
  <c r="EX225" i="79"/>
  <c r="CL224" i="80"/>
  <c r="EP224" i="80"/>
  <c r="FN219" i="80"/>
  <c r="CT225" i="80"/>
  <c r="BN221" i="79"/>
  <c r="DJ224" i="79"/>
  <c r="CD225" i="80"/>
  <c r="BF219" i="80"/>
  <c r="DJ219" i="79"/>
  <c r="CD219" i="80"/>
  <c r="Z225" i="80"/>
  <c r="BV221" i="79"/>
  <c r="DB221" i="79"/>
  <c r="BV220" i="79"/>
  <c r="FF220" i="79"/>
  <c r="AH224" i="80"/>
  <c r="BN222" i="80"/>
  <c r="CT219" i="79"/>
  <c r="AX225" i="80"/>
  <c r="BF225" i="80"/>
  <c r="AX222" i="80"/>
  <c r="FF224" i="79"/>
  <c r="DR222" i="79"/>
  <c r="DZ224" i="80"/>
  <c r="BF220" i="80"/>
  <c r="AH224" i="79"/>
  <c r="AP222" i="79"/>
  <c r="EX219" i="79"/>
  <c r="DR225" i="80"/>
  <c r="BV221" i="80"/>
  <c r="R219" i="80"/>
  <c r="AH225" i="80"/>
  <c r="Z224" i="79"/>
  <c r="FN225" i="79"/>
  <c r="DB220" i="80"/>
  <c r="DJ222" i="79"/>
  <c r="DB221" i="80"/>
  <c r="Z225" i="79"/>
  <c r="FN220" i="80"/>
  <c r="EX220" i="80"/>
  <c r="CT224" i="79"/>
  <c r="DZ224" i="79"/>
  <c r="EX221" i="79"/>
  <c r="CL222" i="79"/>
  <c r="BN219" i="79"/>
  <c r="FF221" i="80"/>
  <c r="AH219" i="80"/>
  <c r="CT220" i="79"/>
  <c r="R224" i="80"/>
  <c r="AX225" i="79"/>
  <c r="BF222" i="80"/>
  <c r="FN222" i="79"/>
  <c r="DZ222" i="80"/>
  <c r="AH222" i="79"/>
  <c r="EH225" i="80"/>
  <c r="CT221" i="79"/>
  <c r="EP221" i="80"/>
  <c r="BN224" i="80"/>
  <c r="EH224" i="79"/>
  <c r="AP219" i="80"/>
  <c r="DZ219" i="79"/>
  <c r="R220" i="79"/>
  <c r="CT222" i="80"/>
  <c r="BV224" i="79"/>
  <c r="BN222" i="79"/>
  <c r="Z219" i="80"/>
  <c r="J91" i="79"/>
  <c r="J93" i="79" s="1"/>
  <c r="DJ225" i="79"/>
  <c r="DB220" i="79"/>
  <c r="DR221" i="80"/>
  <c r="FN224" i="80"/>
  <c r="CL222" i="80"/>
  <c r="Z222" i="80"/>
  <c r="R220" i="80"/>
  <c r="AP224" i="79"/>
  <c r="FF225" i="79"/>
  <c r="DJ221" i="80"/>
  <c r="BF224" i="80"/>
  <c r="FN222" i="80"/>
  <c r="BN220" i="80"/>
  <c r="FN224" i="79"/>
  <c r="J93" i="85"/>
  <c r="Z221" i="79"/>
  <c r="CL221" i="79"/>
  <c r="DZ221" i="80"/>
  <c r="CL221" i="80"/>
  <c r="BV220" i="80"/>
  <c r="CL224" i="79"/>
  <c r="DR221" i="79"/>
  <c r="DR225" i="79"/>
  <c r="EP220" i="79"/>
  <c r="AP224" i="80"/>
  <c r="BV222" i="80"/>
  <c r="DR220" i="80"/>
  <c r="R222" i="79"/>
  <c r="EP225" i="80"/>
  <c r="CD225" i="79"/>
  <c r="BF220" i="79"/>
  <c r="AX220" i="79"/>
  <c r="EX224" i="80"/>
  <c r="AX222" i="79"/>
  <c r="CD222" i="79"/>
  <c r="EP219" i="79"/>
  <c r="DB225" i="80"/>
  <c r="DJ219" i="80"/>
  <c r="CT219" i="80"/>
  <c r="EH225" i="79"/>
  <c r="DJ220" i="80"/>
  <c r="EX219" i="80"/>
  <c r="CD219" i="79"/>
  <c r="DJ225" i="80"/>
  <c r="BF219" i="79"/>
  <c r="DB222" i="79"/>
  <c r="AH219" i="79"/>
  <c r="DB219" i="79"/>
  <c r="AP221" i="79"/>
  <c r="FN220" i="79"/>
  <c r="EH220" i="80"/>
  <c r="BV219" i="80"/>
  <c r="AX219" i="79"/>
  <c r="J91" i="85"/>
  <c r="L46" i="90" s="1"/>
  <c r="CD220" i="79"/>
  <c r="BN225" i="80"/>
  <c r="EP225" i="79"/>
  <c r="BN220" i="79"/>
  <c r="DR224" i="80"/>
  <c r="DR222" i="80"/>
  <c r="AX221" i="79"/>
  <c r="Z221" i="80"/>
  <c r="BV222" i="79"/>
  <c r="BN219" i="80"/>
  <c r="DR219" i="79"/>
  <c r="AH225" i="79"/>
  <c r="R221" i="80"/>
  <c r="EX224" i="79"/>
  <c r="FN221" i="79"/>
  <c r="FF224" i="80"/>
  <c r="FN219" i="79"/>
  <c r="FF225" i="80"/>
  <c r="H52" i="79"/>
  <c r="EP220" i="80"/>
  <c r="CD224" i="79"/>
  <c r="BD384" i="79"/>
  <c r="BD394" i="79" s="1"/>
  <c r="BD395" i="79" s="1"/>
  <c r="BD447" i="79" s="1"/>
  <c r="BD50" i="79"/>
  <c r="BD413" i="79" s="1"/>
  <c r="BD435" i="79"/>
  <c r="BD438" i="79" s="1"/>
  <c r="BD439" i="79" s="1"/>
  <c r="BD448" i="79" s="1"/>
  <c r="P384" i="79"/>
  <c r="P394" i="79" s="1"/>
  <c r="P395" i="79" s="1"/>
  <c r="P447" i="79" s="1"/>
  <c r="P435" i="79"/>
  <c r="P438" i="79" s="1"/>
  <c r="P439" i="79" s="1"/>
  <c r="P448" i="79" s="1"/>
  <c r="P50" i="79"/>
  <c r="P413" i="79" s="1"/>
  <c r="FD384" i="79"/>
  <c r="FD394" i="79" s="1"/>
  <c r="FD395" i="79" s="1"/>
  <c r="FD447" i="79" s="1"/>
  <c r="FD435" i="79"/>
  <c r="FD438" i="79" s="1"/>
  <c r="FD439" i="79" s="1"/>
  <c r="FD448" i="79" s="1"/>
  <c r="FD50" i="79"/>
  <c r="FD413" i="79" s="1"/>
  <c r="DX50" i="80"/>
  <c r="DX384" i="80"/>
  <c r="CR384" i="80"/>
  <c r="CR50" i="80"/>
  <c r="AH222" i="80"/>
  <c r="CD220" i="80"/>
  <c r="CL219" i="80"/>
  <c r="EN384" i="79"/>
  <c r="EN394" i="79" s="1"/>
  <c r="EN395" i="79" s="1"/>
  <c r="EN447" i="79" s="1"/>
  <c r="EN435" i="79"/>
  <c r="EN438" i="79" s="1"/>
  <c r="EN439" i="79" s="1"/>
  <c r="EN448" i="79" s="1"/>
  <c r="EN50" i="79"/>
  <c r="EN413" i="79" s="1"/>
  <c r="CR50" i="79"/>
  <c r="CR413" i="79" s="1"/>
  <c r="CR435" i="79"/>
  <c r="CR438" i="79" s="1"/>
  <c r="CR439" i="79" s="1"/>
  <c r="CR448" i="79" s="1"/>
  <c r="CR384" i="79"/>
  <c r="CR394" i="79" s="1"/>
  <c r="CR395" i="79" s="1"/>
  <c r="CR447" i="79" s="1"/>
  <c r="AN435" i="79"/>
  <c r="AN438" i="79" s="1"/>
  <c r="AN439" i="79" s="1"/>
  <c r="AN448" i="79" s="1"/>
  <c r="AN50" i="79"/>
  <c r="AN413" i="79" s="1"/>
  <c r="AN384" i="79"/>
  <c r="AN394" i="79" s="1"/>
  <c r="AN395" i="79" s="1"/>
  <c r="AN447" i="79" s="1"/>
  <c r="CB384" i="80"/>
  <c r="CB50" i="80"/>
  <c r="FL50" i="80"/>
  <c r="FL384" i="80"/>
  <c r="AX219" i="80"/>
  <c r="DZ219" i="80"/>
  <c r="BL384" i="79"/>
  <c r="BL394" i="79" s="1"/>
  <c r="BL395" i="79" s="1"/>
  <c r="BL447" i="79" s="1"/>
  <c r="BL435" i="79"/>
  <c r="BL438" i="79" s="1"/>
  <c r="BL439" i="79" s="1"/>
  <c r="BL448" i="79" s="1"/>
  <c r="BL50" i="79"/>
  <c r="BL413" i="79" s="1"/>
  <c r="DP384" i="79"/>
  <c r="DP394" i="79" s="1"/>
  <c r="DP395" i="79" s="1"/>
  <c r="DP447" i="79" s="1"/>
  <c r="DP435" i="79"/>
  <c r="DP438" i="79" s="1"/>
  <c r="DP439" i="79" s="1"/>
  <c r="DP448" i="79" s="1"/>
  <c r="DP50" i="79"/>
  <c r="DP413" i="79" s="1"/>
  <c r="CJ435" i="79"/>
  <c r="CJ438" i="79" s="1"/>
  <c r="CJ439" i="79" s="1"/>
  <c r="CJ448" i="79" s="1"/>
  <c r="CJ384" i="79"/>
  <c r="CJ394" i="79" s="1"/>
  <c r="CJ395" i="79" s="1"/>
  <c r="CJ447" i="79" s="1"/>
  <c r="CJ50" i="79"/>
  <c r="CJ413" i="79" s="1"/>
  <c r="DP384" i="80"/>
  <c r="DP50" i="80"/>
  <c r="AF384" i="80"/>
  <c r="AF50" i="80"/>
  <c r="EN50" i="80"/>
  <c r="EN384" i="80"/>
  <c r="BN224" i="79"/>
  <c r="DB219" i="80"/>
  <c r="AP219" i="79"/>
  <c r="BV219" i="79"/>
  <c r="R219" i="79"/>
  <c r="CL225" i="80"/>
  <c r="DZ225" i="80"/>
  <c r="CZ435" i="79"/>
  <c r="CZ438" i="79" s="1"/>
  <c r="CZ439" i="79" s="1"/>
  <c r="CZ448" i="79" s="1"/>
  <c r="CZ50" i="79"/>
  <c r="CZ413" i="79" s="1"/>
  <c r="CZ384" i="79"/>
  <c r="CZ394" i="79" s="1"/>
  <c r="CZ395" i="79" s="1"/>
  <c r="CZ447" i="79" s="1"/>
  <c r="X384" i="79"/>
  <c r="X394" i="79" s="1"/>
  <c r="X395" i="79" s="1"/>
  <c r="X447" i="79" s="1"/>
  <c r="X435" i="79"/>
  <c r="X438" i="79" s="1"/>
  <c r="X439" i="79" s="1"/>
  <c r="X448" i="79" s="1"/>
  <c r="X50" i="79"/>
  <c r="X413" i="79" s="1"/>
  <c r="EF384" i="80"/>
  <c r="EF50" i="80"/>
  <c r="BD384" i="80"/>
  <c r="BD50" i="80"/>
  <c r="CZ50" i="80"/>
  <c r="CZ384" i="80"/>
  <c r="AV384" i="79"/>
  <c r="AV394" i="79" s="1"/>
  <c r="AV395" i="79" s="1"/>
  <c r="AV447" i="79" s="1"/>
  <c r="AV435" i="79"/>
  <c r="AV438" i="79" s="1"/>
  <c r="AV439" i="79" s="1"/>
  <c r="AV448" i="79" s="1"/>
  <c r="AV50" i="79"/>
  <c r="AV413" i="79" s="1"/>
  <c r="CB435" i="79"/>
  <c r="CB438" i="79" s="1"/>
  <c r="CB439" i="79" s="1"/>
  <c r="CB448" i="79" s="1"/>
  <c r="CB384" i="79"/>
  <c r="CB394" i="79" s="1"/>
  <c r="CB395" i="79" s="1"/>
  <c r="CB447" i="79" s="1"/>
  <c r="CB50" i="79"/>
  <c r="CB413" i="79" s="1"/>
  <c r="H435" i="80"/>
  <c r="H438" i="80" s="1"/>
  <c r="H439" i="80" s="1"/>
  <c r="H448" i="80" s="1"/>
  <c r="H394" i="80"/>
  <c r="EV384" i="80"/>
  <c r="EV50" i="80"/>
  <c r="P384" i="80"/>
  <c r="P50" i="80"/>
  <c r="BF225" i="79"/>
  <c r="EH219" i="79"/>
  <c r="FF219" i="79"/>
  <c r="BV225" i="80"/>
  <c r="R225" i="80"/>
  <c r="AF384" i="79"/>
  <c r="AF394" i="79" s="1"/>
  <c r="AF395" i="79" s="1"/>
  <c r="AF447" i="79" s="1"/>
  <c r="AF435" i="79"/>
  <c r="AF438" i="79" s="1"/>
  <c r="AF439" i="79" s="1"/>
  <c r="AF448" i="79" s="1"/>
  <c r="AF50" i="79"/>
  <c r="AF413" i="79" s="1"/>
  <c r="FL384" i="79"/>
  <c r="FL394" i="79" s="1"/>
  <c r="FL395" i="79" s="1"/>
  <c r="FL447" i="79" s="1"/>
  <c r="FL435" i="79"/>
  <c r="FL438" i="79" s="1"/>
  <c r="FL439" i="79" s="1"/>
  <c r="FL448" i="79" s="1"/>
  <c r="FL50" i="79"/>
  <c r="FL413" i="79" s="1"/>
  <c r="E57" i="35"/>
  <c r="E58" i="35" s="1"/>
  <c r="E59" i="35" s="1"/>
  <c r="G22" i="170" s="1"/>
  <c r="G29" i="170" s="1"/>
  <c r="E38" i="35"/>
  <c r="H91" i="169" s="1"/>
  <c r="FD50" i="80"/>
  <c r="FD384" i="80"/>
  <c r="BT384" i="80"/>
  <c r="BT50" i="80"/>
  <c r="X384" i="80"/>
  <c r="X50" i="80"/>
  <c r="E57" i="82"/>
  <c r="E58" i="82" s="1"/>
  <c r="E59" i="82" s="1"/>
  <c r="E86" i="82" s="1"/>
  <c r="E38" i="82"/>
  <c r="E82" i="82" s="1"/>
  <c r="FF219" i="80"/>
  <c r="CL219" i="79"/>
  <c r="EX225" i="80"/>
  <c r="BT435" i="79"/>
  <c r="BT438" i="79" s="1"/>
  <c r="BT439" i="79" s="1"/>
  <c r="BT448" i="79" s="1"/>
  <c r="BT384" i="79"/>
  <c r="BT394" i="79" s="1"/>
  <c r="BT395" i="79" s="1"/>
  <c r="BT447" i="79" s="1"/>
  <c r="BT50" i="79"/>
  <c r="BT413" i="79" s="1"/>
  <c r="DX384" i="79"/>
  <c r="DX394" i="79" s="1"/>
  <c r="DX395" i="79" s="1"/>
  <c r="DX447" i="79" s="1"/>
  <c r="DX435" i="79"/>
  <c r="DX438" i="79" s="1"/>
  <c r="DX439" i="79" s="1"/>
  <c r="DX448" i="79" s="1"/>
  <c r="DX50" i="79"/>
  <c r="DX413" i="79" s="1"/>
  <c r="DH435" i="79"/>
  <c r="DH438" i="79" s="1"/>
  <c r="DH439" i="79" s="1"/>
  <c r="DH448" i="79" s="1"/>
  <c r="DH384" i="79"/>
  <c r="DH394" i="79" s="1"/>
  <c r="DH395" i="79" s="1"/>
  <c r="DH447" i="79" s="1"/>
  <c r="DH50" i="79"/>
  <c r="DH413" i="79" s="1"/>
  <c r="E385" i="85"/>
  <c r="DH384" i="80"/>
  <c r="DH50" i="80"/>
  <c r="BL50" i="80"/>
  <c r="BL384" i="80"/>
  <c r="AP225" i="80"/>
  <c r="EV435" i="79"/>
  <c r="EV438" i="79" s="1"/>
  <c r="EV439" i="79" s="1"/>
  <c r="EV448" i="79" s="1"/>
  <c r="EV50" i="79"/>
  <c r="EV413" i="79" s="1"/>
  <c r="EV384" i="79"/>
  <c r="EV394" i="79" s="1"/>
  <c r="EV395" i="79" s="1"/>
  <c r="EV447" i="79" s="1"/>
  <c r="EF384" i="79"/>
  <c r="EF394" i="79" s="1"/>
  <c r="EF395" i="79" s="1"/>
  <c r="EF447" i="79" s="1"/>
  <c r="EF50" i="79"/>
  <c r="EF413" i="79" s="1"/>
  <c r="EF435" i="79"/>
  <c r="EF438" i="79" s="1"/>
  <c r="EF439" i="79" s="1"/>
  <c r="EF448" i="79" s="1"/>
  <c r="AN50" i="80"/>
  <c r="AN384" i="80"/>
  <c r="AV50" i="80"/>
  <c r="AV384" i="80"/>
  <c r="CJ384" i="80"/>
  <c r="CJ50" i="80"/>
  <c r="H51" i="98"/>
  <c r="J51" i="98" s="1"/>
  <c r="J50" i="98"/>
  <c r="J412" i="80"/>
  <c r="J19" i="80"/>
  <c r="J52" i="80" s="1"/>
  <c r="I10" i="108"/>
  <c r="I11" i="108"/>
  <c r="F22" i="108"/>
  <c r="DJ39" i="80"/>
  <c r="DI384" i="80"/>
  <c r="DI50" i="80"/>
  <c r="AO384" i="80"/>
  <c r="AP39" i="80"/>
  <c r="AO50" i="80"/>
  <c r="DZ39" i="80"/>
  <c r="DY384" i="80"/>
  <c r="DY50" i="80"/>
  <c r="AO271" i="79"/>
  <c r="AP269" i="79"/>
  <c r="AP271" i="79" s="1"/>
  <c r="CK271" i="80"/>
  <c r="CL269" i="80"/>
  <c r="CL271" i="80" s="1"/>
  <c r="EW384" i="79"/>
  <c r="EW394" i="79" s="1"/>
  <c r="EX39" i="79"/>
  <c r="EW50" i="79"/>
  <c r="EW413" i="79" s="1"/>
  <c r="EW435" i="79"/>
  <c r="EW438" i="79" s="1"/>
  <c r="EW439" i="79" s="1"/>
  <c r="EW448" i="79" s="1"/>
  <c r="BE271" i="79"/>
  <c r="BF269" i="79"/>
  <c r="BF271" i="79" s="1"/>
  <c r="FE271" i="79"/>
  <c r="FF269" i="79"/>
  <c r="FF271" i="79" s="1"/>
  <c r="I297" i="80"/>
  <c r="I297" i="85"/>
  <c r="K167" i="90" s="1"/>
  <c r="I297" i="79"/>
  <c r="EO271" i="80"/>
  <c r="EP269" i="80"/>
  <c r="EP271" i="80" s="1"/>
  <c r="AW271" i="80"/>
  <c r="AX269" i="80"/>
  <c r="AX271" i="80" s="1"/>
  <c r="EO435" i="79"/>
  <c r="EO438" i="79" s="1"/>
  <c r="EO439" i="79" s="1"/>
  <c r="EO448" i="79" s="1"/>
  <c r="EP39" i="79"/>
  <c r="EO50" i="79"/>
  <c r="EO413" i="79" s="1"/>
  <c r="EO384" i="79"/>
  <c r="EO394" i="79" s="1"/>
  <c r="CT39" i="79"/>
  <c r="CS435" i="79"/>
  <c r="CS438" i="79" s="1"/>
  <c r="CS439" i="79" s="1"/>
  <c r="CS384" i="79"/>
  <c r="CS394" i="79" s="1"/>
  <c r="CS50" i="79"/>
  <c r="CS413" i="79" s="1"/>
  <c r="I395" i="79"/>
  <c r="I429" i="79"/>
  <c r="G429" i="79"/>
  <c r="F56" i="35"/>
  <c r="I18" i="80"/>
  <c r="F56" i="82"/>
  <c r="I18" i="85"/>
  <c r="K4" i="90" s="1"/>
  <c r="I18" i="79"/>
  <c r="CK384" i="80"/>
  <c r="CK50" i="80"/>
  <c r="CL39" i="80"/>
  <c r="BU384" i="80"/>
  <c r="BU50" i="80"/>
  <c r="BV39" i="80"/>
  <c r="Z39" i="80"/>
  <c r="Y384" i="80"/>
  <c r="Y50" i="80"/>
  <c r="BU271" i="79"/>
  <c r="BV269" i="79"/>
  <c r="BV271" i="79" s="1"/>
  <c r="BU271" i="80"/>
  <c r="BV269" i="80"/>
  <c r="BV271" i="80" s="1"/>
  <c r="CS271" i="80"/>
  <c r="CT269" i="80"/>
  <c r="CT271" i="80" s="1"/>
  <c r="Z39" i="79"/>
  <c r="Y435" i="79"/>
  <c r="Y438" i="79" s="1"/>
  <c r="Y439" i="79" s="1"/>
  <c r="Y448" i="79" s="1"/>
  <c r="Y50" i="79"/>
  <c r="Y413" i="79" s="1"/>
  <c r="Y384" i="79"/>
  <c r="Y394" i="79" s="1"/>
  <c r="AX39" i="79"/>
  <c r="AW384" i="79"/>
  <c r="AW394" i="79" s="1"/>
  <c r="AW435" i="79"/>
  <c r="AW438" i="79" s="1"/>
  <c r="AW439" i="79" s="1"/>
  <c r="AW50" i="79"/>
  <c r="AW413" i="79" s="1"/>
  <c r="DQ271" i="79"/>
  <c r="DR269" i="79"/>
  <c r="DR271" i="79" s="1"/>
  <c r="Q271" i="79"/>
  <c r="R269" i="79"/>
  <c r="R271" i="79" s="1"/>
  <c r="DY271" i="80"/>
  <c r="DZ269" i="80"/>
  <c r="DZ271" i="80" s="1"/>
  <c r="AG271" i="80"/>
  <c r="AH269" i="80"/>
  <c r="AH271" i="80" s="1"/>
  <c r="DQ384" i="79"/>
  <c r="DQ394" i="79" s="1"/>
  <c r="DQ435" i="79"/>
  <c r="DQ438" i="79" s="1"/>
  <c r="DQ439" i="79" s="1"/>
  <c r="DQ50" i="79"/>
  <c r="DQ413" i="79" s="1"/>
  <c r="DR39" i="79"/>
  <c r="Q384" i="79"/>
  <c r="Q394" i="79" s="1"/>
  <c r="Q50" i="79"/>
  <c r="Q413" i="79" s="1"/>
  <c r="R39" i="79"/>
  <c r="Q435" i="79"/>
  <c r="Q438" i="79" s="1"/>
  <c r="Q439" i="79" s="1"/>
  <c r="CT39" i="80"/>
  <c r="CS50" i="80"/>
  <c r="CS384" i="80"/>
  <c r="BN39" i="80"/>
  <c r="BM384" i="80"/>
  <c r="BM50" i="80"/>
  <c r="J15" i="108"/>
  <c r="DY271" i="79"/>
  <c r="DZ269" i="79"/>
  <c r="DZ271" i="79" s="1"/>
  <c r="DI271" i="79"/>
  <c r="DJ269" i="79"/>
  <c r="DJ271" i="79" s="1"/>
  <c r="CC271" i="79"/>
  <c r="CD269" i="79"/>
  <c r="CD271" i="79" s="1"/>
  <c r="BM271" i="80"/>
  <c r="BN269" i="80"/>
  <c r="BN271" i="80" s="1"/>
  <c r="BE271" i="80"/>
  <c r="BF269" i="80"/>
  <c r="BF271" i="80" s="1"/>
  <c r="AO384" i="79"/>
  <c r="AO394" i="79" s="1"/>
  <c r="AO435" i="79"/>
  <c r="AO438" i="79" s="1"/>
  <c r="AO439" i="79" s="1"/>
  <c r="AO448" i="79" s="1"/>
  <c r="AP39" i="79"/>
  <c r="AO50" i="79"/>
  <c r="AO413" i="79" s="1"/>
  <c r="EH39" i="79"/>
  <c r="EG384" i="79"/>
  <c r="EG394" i="79" s="1"/>
  <c r="EG435" i="79"/>
  <c r="EG438" i="79" s="1"/>
  <c r="EG439" i="79" s="1"/>
  <c r="EG448" i="79" s="1"/>
  <c r="EG50" i="79"/>
  <c r="EG413" i="79" s="1"/>
  <c r="BF39" i="79"/>
  <c r="BE384" i="79"/>
  <c r="BE394" i="79" s="1"/>
  <c r="BE50" i="79"/>
  <c r="BE413" i="79" s="1"/>
  <c r="BE435" i="79"/>
  <c r="BE438" i="79" s="1"/>
  <c r="BE439" i="79" s="1"/>
  <c r="BE448" i="79" s="1"/>
  <c r="EP39" i="80"/>
  <c r="EO50" i="80"/>
  <c r="EO384" i="80"/>
  <c r="DR39" i="80"/>
  <c r="DQ384" i="80"/>
  <c r="DQ50" i="80"/>
  <c r="CK271" i="79"/>
  <c r="CL269" i="79"/>
  <c r="CL271" i="79" s="1"/>
  <c r="CS271" i="79"/>
  <c r="CT269" i="79"/>
  <c r="CT271" i="79" s="1"/>
  <c r="EO271" i="79"/>
  <c r="EP269" i="79"/>
  <c r="EP271" i="79" s="1"/>
  <c r="DI271" i="80"/>
  <c r="DJ269" i="80"/>
  <c r="DJ271" i="80" s="1"/>
  <c r="CC271" i="80"/>
  <c r="CD269" i="80"/>
  <c r="CD271" i="80" s="1"/>
  <c r="FM271" i="80"/>
  <c r="FN269" i="80"/>
  <c r="FN271" i="80" s="1"/>
  <c r="BU435" i="79"/>
  <c r="BU438" i="79" s="1"/>
  <c r="BU439" i="79" s="1"/>
  <c r="BU448" i="79" s="1"/>
  <c r="BU384" i="79"/>
  <c r="BU394" i="79" s="1"/>
  <c r="BU50" i="79"/>
  <c r="BU413" i="79" s="1"/>
  <c r="BV39" i="79"/>
  <c r="AH39" i="79"/>
  <c r="AG384" i="79"/>
  <c r="AG394" i="79" s="1"/>
  <c r="AG50" i="79"/>
  <c r="AG413" i="79" s="1"/>
  <c r="AG435" i="79"/>
  <c r="AG438" i="79" s="1"/>
  <c r="AG439" i="79" s="1"/>
  <c r="DY435" i="79"/>
  <c r="DY438" i="79" s="1"/>
  <c r="DY439" i="79" s="1"/>
  <c r="DY448" i="79" s="1"/>
  <c r="DY384" i="79"/>
  <c r="DY394" i="79" s="1"/>
  <c r="DZ39" i="79"/>
  <c r="DY50" i="79"/>
  <c r="DY413" i="79" s="1"/>
  <c r="I91" i="169"/>
  <c r="F57" i="35"/>
  <c r="Q384" i="80"/>
  <c r="Q50" i="80"/>
  <c r="R39" i="80"/>
  <c r="FN39" i="80"/>
  <c r="FM384" i="80"/>
  <c r="FM50" i="80"/>
  <c r="AW50" i="80"/>
  <c r="AX39" i="80"/>
  <c r="AW384" i="80"/>
  <c r="G148" i="80"/>
  <c r="G148" i="85"/>
  <c r="I86" i="90" s="1"/>
  <c r="G148" i="79"/>
  <c r="J395" i="79"/>
  <c r="J447" i="79" s="1"/>
  <c r="J429" i="79"/>
  <c r="F38" i="82"/>
  <c r="F82" i="82" s="1"/>
  <c r="F57" i="82"/>
  <c r="EG271" i="79"/>
  <c r="EH269" i="79"/>
  <c r="EH271" i="79" s="1"/>
  <c r="AG271" i="79"/>
  <c r="AH269" i="79"/>
  <c r="AH271" i="79" s="1"/>
  <c r="EW271" i="80"/>
  <c r="EX269" i="80"/>
  <c r="EX271" i="80" s="1"/>
  <c r="FE271" i="80"/>
  <c r="FF269" i="80"/>
  <c r="FF271" i="80" s="1"/>
  <c r="G57" i="35"/>
  <c r="G58" i="35" s="1"/>
  <c r="J91" i="169"/>
  <c r="I448" i="79"/>
  <c r="G439" i="79"/>
  <c r="FN39" i="79"/>
  <c r="FM384" i="79"/>
  <c r="FM394" i="79" s="1"/>
  <c r="FM435" i="79"/>
  <c r="FM438" i="79" s="1"/>
  <c r="FM439" i="79" s="1"/>
  <c r="FM448" i="79" s="1"/>
  <c r="FM50" i="79"/>
  <c r="FM413" i="79" s="1"/>
  <c r="CK384" i="79"/>
  <c r="CK394" i="79" s="1"/>
  <c r="CL39" i="79"/>
  <c r="CK50" i="79"/>
  <c r="CK413" i="79" s="1"/>
  <c r="CK435" i="79"/>
  <c r="CK438" i="79" s="1"/>
  <c r="CK439" i="79" s="1"/>
  <c r="CK448" i="79" s="1"/>
  <c r="F385" i="85"/>
  <c r="J52" i="85"/>
  <c r="J19" i="85"/>
  <c r="FE384" i="80"/>
  <c r="FF39" i="80"/>
  <c r="FE50" i="80"/>
  <c r="BE50" i="80"/>
  <c r="BF39" i="80"/>
  <c r="BE384" i="80"/>
  <c r="EG384" i="80"/>
  <c r="EG50" i="80"/>
  <c r="EH39" i="80"/>
  <c r="I148" i="80"/>
  <c r="I148" i="79"/>
  <c r="I148" i="85"/>
  <c r="K86" i="90" s="1"/>
  <c r="G38" i="82"/>
  <c r="G82" i="82" s="1"/>
  <c r="G57" i="82"/>
  <c r="G58" i="82" s="1"/>
  <c r="G59" i="82" s="1"/>
  <c r="G86" i="82" s="1"/>
  <c r="EW271" i="79"/>
  <c r="EX269" i="79"/>
  <c r="EX271" i="79" s="1"/>
  <c r="Y271" i="79"/>
  <c r="Z269" i="79"/>
  <c r="Z271" i="79" s="1"/>
  <c r="AW271" i="79"/>
  <c r="AX269" i="79"/>
  <c r="AX271" i="79" s="1"/>
  <c r="DA271" i="80"/>
  <c r="DB269" i="80"/>
  <c r="DB271" i="80" s="1"/>
  <c r="AO271" i="80"/>
  <c r="AP269" i="80"/>
  <c r="AP271" i="80" s="1"/>
  <c r="Q271" i="80"/>
  <c r="R269" i="80"/>
  <c r="R271" i="80" s="1"/>
  <c r="BN39" i="79"/>
  <c r="BM50" i="79"/>
  <c r="BM413" i="79" s="1"/>
  <c r="BM384" i="79"/>
  <c r="BM394" i="79" s="1"/>
  <c r="BM435" i="79"/>
  <c r="BM438" i="79" s="1"/>
  <c r="BM439" i="79" s="1"/>
  <c r="BM448" i="79" s="1"/>
  <c r="FE435" i="79"/>
  <c r="FE438" i="79" s="1"/>
  <c r="FE439" i="79" s="1"/>
  <c r="FE448" i="79" s="1"/>
  <c r="FE384" i="79"/>
  <c r="FE394" i="79" s="1"/>
  <c r="FF39" i="79"/>
  <c r="FE50" i="79"/>
  <c r="FE413" i="79" s="1"/>
  <c r="J412" i="79"/>
  <c r="J19" i="79"/>
  <c r="J52" i="79" s="1"/>
  <c r="I435" i="80"/>
  <c r="I438" i="80" s="1"/>
  <c r="I439" i="80" s="1"/>
  <c r="I394" i="80"/>
  <c r="EW384" i="80"/>
  <c r="EW50" i="80"/>
  <c r="EX39" i="80"/>
  <c r="FM271" i="79"/>
  <c r="FN269" i="79"/>
  <c r="FN271" i="79" s="1"/>
  <c r="BM271" i="79"/>
  <c r="BN269" i="79"/>
  <c r="BN271" i="79" s="1"/>
  <c r="DA271" i="79"/>
  <c r="DB269" i="79"/>
  <c r="DB271" i="79" s="1"/>
  <c r="J394" i="80"/>
  <c r="J435" i="80"/>
  <c r="J438" i="80" s="1"/>
  <c r="J439" i="80" s="1"/>
  <c r="J448" i="80" s="1"/>
  <c r="EG271" i="80"/>
  <c r="EH269" i="80"/>
  <c r="EH271" i="80" s="1"/>
  <c r="DQ271" i="80"/>
  <c r="DR269" i="80"/>
  <c r="DR271" i="80" s="1"/>
  <c r="Y271" i="80"/>
  <c r="Z269" i="80"/>
  <c r="Z271" i="80" s="1"/>
  <c r="DI384" i="79"/>
  <c r="DI394" i="79" s="1"/>
  <c r="DI435" i="79"/>
  <c r="DI438" i="79" s="1"/>
  <c r="DI439" i="79" s="1"/>
  <c r="DI448" i="79" s="1"/>
  <c r="DI50" i="79"/>
  <c r="DI413" i="79" s="1"/>
  <c r="DJ39" i="79"/>
  <c r="CD39" i="79"/>
  <c r="CC384" i="79"/>
  <c r="CC394" i="79" s="1"/>
  <c r="CC435" i="79"/>
  <c r="CC438" i="79" s="1"/>
  <c r="CC439" i="79" s="1"/>
  <c r="CC448" i="79" s="1"/>
  <c r="CC50" i="79"/>
  <c r="CC413" i="79" s="1"/>
  <c r="DB39" i="79"/>
  <c r="DA384" i="79"/>
  <c r="DA394" i="79" s="1"/>
  <c r="DA435" i="79"/>
  <c r="DA438" i="79" s="1"/>
  <c r="DA439" i="79" s="1"/>
  <c r="DA50" i="79"/>
  <c r="DA413" i="79" s="1"/>
  <c r="I66" i="79"/>
  <c r="I66" i="80"/>
  <c r="I66" i="85"/>
  <c r="K32" i="90" s="1"/>
  <c r="H21" i="98"/>
  <c r="J21" i="98" s="1"/>
  <c r="J20" i="98"/>
  <c r="DB39" i="80"/>
  <c r="DA384" i="80"/>
  <c r="DA50" i="80"/>
  <c r="AG384" i="80"/>
  <c r="AH39" i="80"/>
  <c r="AG50" i="80"/>
  <c r="CC384" i="80"/>
  <c r="CD39" i="80"/>
  <c r="CC50" i="80"/>
  <c r="I126" i="107"/>
  <c r="M15" i="171" s="1"/>
  <c r="I15" i="171" s="1"/>
  <c r="I22" i="171" s="1"/>
  <c r="J126" i="107"/>
  <c r="N15" i="171" s="1"/>
  <c r="J15" i="171" s="1"/>
  <c r="J22" i="171" s="1"/>
  <c r="EV412" i="79"/>
  <c r="EV19" i="79"/>
  <c r="P412" i="79"/>
  <c r="P19" i="79"/>
  <c r="H243" i="80"/>
  <c r="H243" i="79"/>
  <c r="H243" i="85"/>
  <c r="J137" i="90" s="1"/>
  <c r="EF412" i="80"/>
  <c r="EF19" i="80"/>
  <c r="H52" i="85"/>
  <c r="CJ412" i="79"/>
  <c r="CJ19" i="79"/>
  <c r="AV412" i="79"/>
  <c r="AV19" i="79"/>
  <c r="X412" i="80"/>
  <c r="X19" i="80"/>
  <c r="P412" i="80"/>
  <c r="P19" i="80"/>
  <c r="CJ412" i="80"/>
  <c r="CJ19" i="80"/>
  <c r="CZ412" i="79"/>
  <c r="CZ19" i="79"/>
  <c r="BT412" i="80"/>
  <c r="BT19" i="80"/>
  <c r="R86" i="35"/>
  <c r="FD412" i="80"/>
  <c r="FD19" i="80"/>
  <c r="CB412" i="80"/>
  <c r="CB19" i="80"/>
  <c r="AA40" i="83"/>
  <c r="R86" i="82"/>
  <c r="AA36" i="83"/>
  <c r="EF412" i="79"/>
  <c r="EF19" i="79"/>
  <c r="BD412" i="79"/>
  <c r="BD19" i="79"/>
  <c r="X412" i="79"/>
  <c r="X19" i="79"/>
  <c r="EV412" i="80"/>
  <c r="EV19" i="80"/>
  <c r="DX412" i="80"/>
  <c r="DX19" i="80"/>
  <c r="EN412" i="80"/>
  <c r="EN19" i="80"/>
  <c r="DH412" i="80"/>
  <c r="DH19" i="80"/>
  <c r="AF412" i="79"/>
  <c r="AF19" i="79"/>
  <c r="S56" i="82"/>
  <c r="Q58" i="82"/>
  <c r="BT412" i="79"/>
  <c r="BT19" i="79"/>
  <c r="FL412" i="79"/>
  <c r="FL19" i="79"/>
  <c r="BL412" i="79"/>
  <c r="BL19" i="79"/>
  <c r="BL412" i="80"/>
  <c r="BL19" i="80"/>
  <c r="CR412" i="80"/>
  <c r="CR19" i="80"/>
  <c r="BD412" i="80"/>
  <c r="BD19" i="80"/>
  <c r="DH412" i="79"/>
  <c r="DH19" i="79"/>
  <c r="EN412" i="79"/>
  <c r="EN19" i="79"/>
  <c r="AN412" i="79"/>
  <c r="AN19" i="79"/>
  <c r="AF412" i="80"/>
  <c r="AF19" i="80"/>
  <c r="CZ412" i="80"/>
  <c r="CZ19" i="80"/>
  <c r="S56" i="35"/>
  <c r="Q58" i="35"/>
  <c r="DP412" i="79"/>
  <c r="DP19" i="79"/>
  <c r="CB412" i="79"/>
  <c r="CB19" i="79"/>
  <c r="CR412" i="79"/>
  <c r="CR19" i="79"/>
  <c r="DP412" i="80"/>
  <c r="DP19" i="80"/>
  <c r="AN412" i="80"/>
  <c r="AN19" i="80"/>
  <c r="AV412" i="80"/>
  <c r="AV19" i="80"/>
  <c r="H102" i="107"/>
  <c r="DX412" i="79"/>
  <c r="DX19" i="79"/>
  <c r="FD412" i="79"/>
  <c r="FD19" i="79"/>
  <c r="FL412" i="80"/>
  <c r="FL19" i="80"/>
  <c r="J74" i="169" l="1"/>
  <c r="G385" i="85"/>
  <c r="AA42" i="177"/>
  <c r="AA43" i="177" s="1"/>
  <c r="H297" i="85"/>
  <c r="J167" i="90" s="1"/>
  <c r="H297" i="79"/>
  <c r="H297" i="80"/>
  <c r="H148" i="85"/>
  <c r="J86" i="90" s="1"/>
  <c r="M83" i="169"/>
  <c r="I83" i="169" s="1"/>
  <c r="G31" i="170"/>
  <c r="H148" i="79"/>
  <c r="H63" i="169"/>
  <c r="H223" i="80" s="1"/>
  <c r="H68" i="169"/>
  <c r="H228" i="79" s="1"/>
  <c r="I63" i="166"/>
  <c r="H63" i="166"/>
  <c r="J63" i="166"/>
  <c r="H119" i="166"/>
  <c r="H152" i="166"/>
  <c r="H156" i="166" s="1"/>
  <c r="H127" i="166"/>
  <c r="H127" i="85" s="1"/>
  <c r="J73" i="90" s="1"/>
  <c r="H131" i="166"/>
  <c r="H131" i="80" s="1"/>
  <c r="H91" i="166"/>
  <c r="H93" i="166" s="1"/>
  <c r="EF414" i="79"/>
  <c r="EF415" i="79" s="1"/>
  <c r="EF451" i="79" s="1"/>
  <c r="EN66" i="79"/>
  <c r="EV66" i="79"/>
  <c r="CZ66" i="79"/>
  <c r="X66" i="79"/>
  <c r="EF66" i="79"/>
  <c r="BL66" i="79"/>
  <c r="DP66" i="79"/>
  <c r="AV66" i="79"/>
  <c r="CB66" i="79"/>
  <c r="AN66" i="79"/>
  <c r="DX66" i="79"/>
  <c r="P66" i="79"/>
  <c r="CJ66" i="79"/>
  <c r="BT66" i="79"/>
  <c r="AF66" i="79"/>
  <c r="FD66" i="79"/>
  <c r="CR66" i="79"/>
  <c r="FL66" i="79"/>
  <c r="DH66" i="79"/>
  <c r="BD66" i="79"/>
  <c r="AV52" i="79"/>
  <c r="DP66" i="80"/>
  <c r="X66" i="80"/>
  <c r="EV66" i="80"/>
  <c r="EN66" i="80"/>
  <c r="CJ66" i="80"/>
  <c r="AF66" i="80"/>
  <c r="EF66" i="80"/>
  <c r="BD66" i="80"/>
  <c r="AN66" i="80"/>
  <c r="FL66" i="80"/>
  <c r="CR66" i="80"/>
  <c r="BT66" i="80"/>
  <c r="P66" i="80"/>
  <c r="CB66" i="80"/>
  <c r="DX66" i="80"/>
  <c r="CZ66" i="80"/>
  <c r="AV66" i="80"/>
  <c r="DH66" i="80"/>
  <c r="FD66" i="80"/>
  <c r="BL66" i="80"/>
  <c r="AV52" i="80"/>
  <c r="BT52" i="80"/>
  <c r="P52" i="79"/>
  <c r="H36" i="100"/>
  <c r="H40" i="100" s="1"/>
  <c r="I190" i="163"/>
  <c r="I365" i="163"/>
  <c r="I470" i="163"/>
  <c r="I188" i="163"/>
  <c r="K28" i="160"/>
  <c r="DX52" i="79"/>
  <c r="H71" i="80"/>
  <c r="H71" i="79"/>
  <c r="H71" i="85"/>
  <c r="J37" i="90" s="1"/>
  <c r="DH52" i="79"/>
  <c r="P414" i="79"/>
  <c r="P415" i="79" s="1"/>
  <c r="P451" i="79" s="1"/>
  <c r="DH414" i="79"/>
  <c r="DH415" i="79" s="1"/>
  <c r="DH451" i="79" s="1"/>
  <c r="H12" i="100"/>
  <c r="DH52" i="80"/>
  <c r="BL52" i="79"/>
  <c r="BL414" i="79"/>
  <c r="BL415" i="79" s="1"/>
  <c r="BL451" i="79" s="1"/>
  <c r="BD414" i="79"/>
  <c r="BD415" i="79" s="1"/>
  <c r="BD451" i="79" s="1"/>
  <c r="BD52" i="79"/>
  <c r="DP52" i="80"/>
  <c r="DX52" i="80"/>
  <c r="EF52" i="79"/>
  <c r="AF52" i="80"/>
  <c r="AV414" i="79"/>
  <c r="AV415" i="79" s="1"/>
  <c r="AV451" i="79" s="1"/>
  <c r="FL52" i="79"/>
  <c r="DX414" i="79"/>
  <c r="DX415" i="79" s="1"/>
  <c r="DX451" i="79" s="1"/>
  <c r="EV52" i="80"/>
  <c r="BL52" i="80"/>
  <c r="EN414" i="79"/>
  <c r="EN415" i="79" s="1"/>
  <c r="EN451" i="79" s="1"/>
  <c r="X414" i="79"/>
  <c r="X415" i="79" s="1"/>
  <c r="X451" i="79" s="1"/>
  <c r="CB52" i="80"/>
  <c r="X52" i="79"/>
  <c r="EN52" i="79"/>
  <c r="FD52" i="80"/>
  <c r="FL52" i="80"/>
  <c r="DP414" i="79"/>
  <c r="DP415" i="79" s="1"/>
  <c r="DP451" i="79" s="1"/>
  <c r="FD414" i="79"/>
  <c r="FD415" i="79" s="1"/>
  <c r="FD451" i="79" s="1"/>
  <c r="CB414" i="79"/>
  <c r="CB415" i="79" s="1"/>
  <c r="CB451" i="79" s="1"/>
  <c r="E388" i="85"/>
  <c r="G91" i="105"/>
  <c r="CJ52" i="80"/>
  <c r="G17" i="105"/>
  <c r="H274" i="85"/>
  <c r="J154" i="90" s="1"/>
  <c r="FD52" i="79"/>
  <c r="CR52" i="79"/>
  <c r="CR414" i="79"/>
  <c r="CR415" i="79" s="1"/>
  <c r="CR451" i="79" s="1"/>
  <c r="AN52" i="80"/>
  <c r="CZ414" i="79"/>
  <c r="CZ415" i="79" s="1"/>
  <c r="CZ451" i="79" s="1"/>
  <c r="EV52" i="79"/>
  <c r="CZ52" i="79"/>
  <c r="BD52" i="80"/>
  <c r="CB52" i="79"/>
  <c r="AF52" i="79"/>
  <c r="P52" i="80"/>
  <c r="AF414" i="79"/>
  <c r="AF415" i="79" s="1"/>
  <c r="AF451" i="79" s="1"/>
  <c r="CR52" i="80"/>
  <c r="EF52" i="80"/>
  <c r="DP52" i="79"/>
  <c r="EN52" i="80"/>
  <c r="CJ435" i="80"/>
  <c r="CJ438" i="80" s="1"/>
  <c r="CJ439" i="80" s="1"/>
  <c r="CJ448" i="80" s="1"/>
  <c r="CJ394" i="80"/>
  <c r="AV435" i="80"/>
  <c r="AV438" i="80" s="1"/>
  <c r="AV439" i="80" s="1"/>
  <c r="AV448" i="80" s="1"/>
  <c r="AV394" i="80"/>
  <c r="H234" i="85"/>
  <c r="J134" i="90" s="1"/>
  <c r="H234" i="79"/>
  <c r="FD234" i="79" s="1"/>
  <c r="H234" i="80"/>
  <c r="X435" i="80"/>
  <c r="X438" i="80" s="1"/>
  <c r="X439" i="80" s="1"/>
  <c r="X448" i="80" s="1"/>
  <c r="X394" i="80"/>
  <c r="FL414" i="79"/>
  <c r="FL415" i="79" s="1"/>
  <c r="FL451" i="79" s="1"/>
  <c r="BD435" i="80"/>
  <c r="BD438" i="80" s="1"/>
  <c r="BD439" i="80" s="1"/>
  <c r="BD448" i="80" s="1"/>
  <c r="BD394" i="80"/>
  <c r="EN394" i="80"/>
  <c r="EN435" i="80"/>
  <c r="EN438" i="80" s="1"/>
  <c r="EN439" i="80" s="1"/>
  <c r="EN448" i="80" s="1"/>
  <c r="BT52" i="79"/>
  <c r="BT414" i="79"/>
  <c r="BT415" i="79" s="1"/>
  <c r="BT451" i="79" s="1"/>
  <c r="AN435" i="80"/>
  <c r="AN438" i="80" s="1"/>
  <c r="AN439" i="80" s="1"/>
  <c r="AN448" i="80" s="1"/>
  <c r="AN394" i="80"/>
  <c r="BT435" i="80"/>
  <c r="BT438" i="80" s="1"/>
  <c r="BT439" i="80" s="1"/>
  <c r="BT448" i="80" s="1"/>
  <c r="BT394" i="80"/>
  <c r="FL394" i="80"/>
  <c r="FL435" i="80"/>
  <c r="FL438" i="80" s="1"/>
  <c r="FL439" i="80" s="1"/>
  <c r="FL448" i="80" s="1"/>
  <c r="X52" i="80"/>
  <c r="AN52" i="79"/>
  <c r="BL435" i="80"/>
  <c r="BL438" i="80" s="1"/>
  <c r="BL439" i="80" s="1"/>
  <c r="BL448" i="80" s="1"/>
  <c r="BL394" i="80"/>
  <c r="FD435" i="80"/>
  <c r="FD438" i="80" s="1"/>
  <c r="FD439" i="80" s="1"/>
  <c r="FD448" i="80" s="1"/>
  <c r="FD394" i="80"/>
  <c r="P435" i="80"/>
  <c r="P438" i="80" s="1"/>
  <c r="P439" i="80" s="1"/>
  <c r="P448" i="80" s="1"/>
  <c r="P394" i="80"/>
  <c r="EF435" i="80"/>
  <c r="EF438" i="80" s="1"/>
  <c r="EF439" i="80" s="1"/>
  <c r="EF448" i="80" s="1"/>
  <c r="EF394" i="80"/>
  <c r="CR435" i="80"/>
  <c r="CR438" i="80" s="1"/>
  <c r="CR439" i="80" s="1"/>
  <c r="CR448" i="80" s="1"/>
  <c r="CR394" i="80"/>
  <c r="CZ52" i="80"/>
  <c r="AF394" i="80"/>
  <c r="AF435" i="80"/>
  <c r="AF438" i="80" s="1"/>
  <c r="AF439" i="80" s="1"/>
  <c r="AF448" i="80" s="1"/>
  <c r="DX435" i="80"/>
  <c r="DX438" i="80" s="1"/>
  <c r="DX439" i="80" s="1"/>
  <c r="DX448" i="80" s="1"/>
  <c r="DX394" i="80"/>
  <c r="AN414" i="79"/>
  <c r="AN415" i="79" s="1"/>
  <c r="AN451" i="79" s="1"/>
  <c r="CJ52" i="79"/>
  <c r="EV414" i="79"/>
  <c r="EV415" i="79" s="1"/>
  <c r="EV451" i="79" s="1"/>
  <c r="E384" i="85"/>
  <c r="G5" i="154"/>
  <c r="G6" i="154" s="1"/>
  <c r="D35" i="154" s="1"/>
  <c r="L92" i="169" s="1"/>
  <c r="EV435" i="80"/>
  <c r="EV438" i="80" s="1"/>
  <c r="EV439" i="80" s="1"/>
  <c r="EV448" i="80" s="1"/>
  <c r="EV394" i="80"/>
  <c r="CB435" i="80"/>
  <c r="CB438" i="80" s="1"/>
  <c r="CB439" i="80" s="1"/>
  <c r="CB448" i="80" s="1"/>
  <c r="CB394" i="80"/>
  <c r="CJ414" i="79"/>
  <c r="CJ415" i="79" s="1"/>
  <c r="CJ451" i="79" s="1"/>
  <c r="DH394" i="80"/>
  <c r="DH435" i="80"/>
  <c r="DH438" i="80" s="1"/>
  <c r="DH439" i="80" s="1"/>
  <c r="DH448" i="80" s="1"/>
  <c r="H395" i="80"/>
  <c r="H447" i="80" s="1"/>
  <c r="H413" i="80"/>
  <c r="H414" i="80" s="1"/>
  <c r="H415" i="80" s="1"/>
  <c r="H451" i="80" s="1"/>
  <c r="CZ435" i="80"/>
  <c r="CZ438" i="80" s="1"/>
  <c r="CZ439" i="80" s="1"/>
  <c r="CZ448" i="80" s="1"/>
  <c r="CZ394" i="80"/>
  <c r="DP394" i="80"/>
  <c r="DP435" i="80"/>
  <c r="DP438" i="80" s="1"/>
  <c r="DP439" i="80" s="1"/>
  <c r="DP448" i="80" s="1"/>
  <c r="AA42" i="83"/>
  <c r="AA45" i="83" s="1"/>
  <c r="DA394" i="80"/>
  <c r="DA435" i="80"/>
  <c r="DA438" i="80" s="1"/>
  <c r="DA439" i="80" s="1"/>
  <c r="FF50" i="80"/>
  <c r="FF384" i="80"/>
  <c r="CL384" i="79"/>
  <c r="CL394" i="79" s="1"/>
  <c r="CL50" i="79"/>
  <c r="CL413" i="79" s="1"/>
  <c r="CL435" i="79"/>
  <c r="CL438" i="79" s="1"/>
  <c r="CL439" i="79" s="1"/>
  <c r="I5" i="154"/>
  <c r="I6" i="154" s="1"/>
  <c r="F35" i="154" s="1"/>
  <c r="N92" i="169" s="1"/>
  <c r="J92" i="169" s="1"/>
  <c r="G384" i="85"/>
  <c r="DO148" i="79"/>
  <c r="EU148" i="79"/>
  <c r="CI148" i="79"/>
  <c r="O148" i="79"/>
  <c r="DW148" i="79"/>
  <c r="AM148" i="79"/>
  <c r="BS148" i="79"/>
  <c r="CY148" i="79"/>
  <c r="DG148" i="79"/>
  <c r="AE148" i="79"/>
  <c r="EE148" i="79"/>
  <c r="BK148" i="79"/>
  <c r="EM148" i="79"/>
  <c r="AU148" i="79"/>
  <c r="FC148" i="79"/>
  <c r="G156" i="79"/>
  <c r="G158" i="79" s="1"/>
  <c r="CA148" i="79"/>
  <c r="FK148" i="79"/>
  <c r="BC148" i="79"/>
  <c r="W148" i="79"/>
  <c r="CQ148" i="79"/>
  <c r="FM435" i="80"/>
  <c r="FM438" i="80" s="1"/>
  <c r="FM439" i="80" s="1"/>
  <c r="FM394" i="80"/>
  <c r="BV384" i="79"/>
  <c r="BV394" i="79" s="1"/>
  <c r="BS429" i="79" s="1"/>
  <c r="BV435" i="79"/>
  <c r="BV438" i="79" s="1"/>
  <c r="BV439" i="79" s="1"/>
  <c r="BV50" i="79"/>
  <c r="BV413" i="79" s="1"/>
  <c r="DR50" i="80"/>
  <c r="DR384" i="80"/>
  <c r="BE429" i="79"/>
  <c r="BE395" i="79"/>
  <c r="BE447" i="79" s="1"/>
  <c r="CS394" i="80"/>
  <c r="CS435" i="80"/>
  <c r="CS438" i="80" s="1"/>
  <c r="CS439" i="80" s="1"/>
  <c r="CS448" i="80" s="1"/>
  <c r="AW448" i="79"/>
  <c r="Z50" i="80"/>
  <c r="Z384" i="80"/>
  <c r="CS18" i="79"/>
  <c r="CC18" i="79"/>
  <c r="I412" i="79"/>
  <c r="FE18" i="79"/>
  <c r="DA18" i="79"/>
  <c r="DI18" i="79"/>
  <c r="Q18" i="79"/>
  <c r="AO18" i="79"/>
  <c r="AG18" i="79"/>
  <c r="BM18" i="79"/>
  <c r="CK18" i="79"/>
  <c r="EW18" i="79"/>
  <c r="EO18" i="79"/>
  <c r="BU18" i="79"/>
  <c r="FM18" i="79"/>
  <c r="AW18" i="79"/>
  <c r="DQ18" i="79"/>
  <c r="EG18" i="79"/>
  <c r="Y18" i="79"/>
  <c r="BE18" i="79"/>
  <c r="I19" i="79"/>
  <c r="I52" i="79" s="1"/>
  <c r="DY18" i="79"/>
  <c r="DJ384" i="80"/>
  <c r="DJ50" i="80"/>
  <c r="DB384" i="80"/>
  <c r="DB50" i="80"/>
  <c r="DA395" i="79"/>
  <c r="DA429" i="79"/>
  <c r="I448" i="80"/>
  <c r="G439" i="80"/>
  <c r="BM429" i="79"/>
  <c r="BM395" i="79"/>
  <c r="BM447" i="79" s="1"/>
  <c r="EH384" i="80"/>
  <c r="EH50" i="80"/>
  <c r="FE394" i="80"/>
  <c r="FE435" i="80"/>
  <c r="FE438" i="80" s="1"/>
  <c r="FE439" i="80" s="1"/>
  <c r="FE448" i="80" s="1"/>
  <c r="CK429" i="79"/>
  <c r="CK395" i="79"/>
  <c r="CK447" i="79" s="1"/>
  <c r="FN50" i="80"/>
  <c r="FN384" i="80"/>
  <c r="DZ384" i="79"/>
  <c r="DZ394" i="79" s="1"/>
  <c r="DW429" i="79" s="1"/>
  <c r="DZ435" i="79"/>
  <c r="DZ438" i="79" s="1"/>
  <c r="DZ439" i="79" s="1"/>
  <c r="DZ50" i="79"/>
  <c r="DZ413" i="79" s="1"/>
  <c r="EO435" i="80"/>
  <c r="EO438" i="80" s="1"/>
  <c r="EO439" i="80" s="1"/>
  <c r="EO448" i="80" s="1"/>
  <c r="EO394" i="80"/>
  <c r="BF435" i="79"/>
  <c r="BF438" i="79" s="1"/>
  <c r="BF439" i="79" s="1"/>
  <c r="BF50" i="79"/>
  <c r="BF413" i="79" s="1"/>
  <c r="BF384" i="79"/>
  <c r="BF394" i="79" s="1"/>
  <c r="BC429" i="79" s="1"/>
  <c r="AO429" i="79"/>
  <c r="AO395" i="79"/>
  <c r="DQ448" i="79"/>
  <c r="AW395" i="79"/>
  <c r="AW447" i="79" s="1"/>
  <c r="AW429" i="79"/>
  <c r="BV384" i="80"/>
  <c r="BV50" i="80"/>
  <c r="CS429" i="79"/>
  <c r="CS395" i="79"/>
  <c r="CS447" i="79" s="1"/>
  <c r="DY394" i="80"/>
  <c r="DY435" i="80"/>
  <c r="DY438" i="80" s="1"/>
  <c r="DY439" i="80" s="1"/>
  <c r="DY448" i="80" s="1"/>
  <c r="CD384" i="80"/>
  <c r="CD50" i="80"/>
  <c r="DB384" i="79"/>
  <c r="DB394" i="79" s="1"/>
  <c r="DB435" i="79"/>
  <c r="DB438" i="79" s="1"/>
  <c r="DB439" i="79" s="1"/>
  <c r="DB448" i="79" s="1"/>
  <c r="DB50" i="79"/>
  <c r="DB413" i="79" s="1"/>
  <c r="DI429" i="79"/>
  <c r="DI395" i="79"/>
  <c r="DI447" i="79" s="1"/>
  <c r="J395" i="80"/>
  <c r="J447" i="80" s="1"/>
  <c r="J429" i="80"/>
  <c r="J413" i="80"/>
  <c r="J414" i="80" s="1"/>
  <c r="J415" i="80" s="1"/>
  <c r="J451" i="80" s="1"/>
  <c r="G156" i="85"/>
  <c r="R384" i="80"/>
  <c r="R50" i="80"/>
  <c r="DY395" i="79"/>
  <c r="DY447" i="79" s="1"/>
  <c r="DY429" i="79"/>
  <c r="BU395" i="79"/>
  <c r="BU447" i="79" s="1"/>
  <c r="BU429" i="79"/>
  <c r="CT50" i="80"/>
  <c r="CT384" i="80"/>
  <c r="DQ395" i="79"/>
  <c r="DQ447" i="79" s="1"/>
  <c r="DQ429" i="79"/>
  <c r="AX435" i="79"/>
  <c r="AX438" i="79" s="1"/>
  <c r="AX439" i="79" s="1"/>
  <c r="AX448" i="79" s="1"/>
  <c r="AX50" i="79"/>
  <c r="AX413" i="79" s="1"/>
  <c r="AX384" i="79"/>
  <c r="AX394" i="79" s="1"/>
  <c r="AU429" i="79" s="1"/>
  <c r="F58" i="82"/>
  <c r="F59" i="82" s="1"/>
  <c r="F86" i="82" s="1"/>
  <c r="CS448" i="79"/>
  <c r="DZ384" i="80"/>
  <c r="DZ50" i="80"/>
  <c r="CC435" i="80"/>
  <c r="CC438" i="80" s="1"/>
  <c r="CC439" i="80" s="1"/>
  <c r="CC394" i="80"/>
  <c r="J428" i="79"/>
  <c r="J430" i="79" s="1"/>
  <c r="J414" i="79"/>
  <c r="J415" i="79" s="1"/>
  <c r="J451" i="79" s="1"/>
  <c r="BN50" i="79"/>
  <c r="BN413" i="79" s="1"/>
  <c r="BN384" i="79"/>
  <c r="BN394" i="79" s="1"/>
  <c r="BN435" i="79"/>
  <c r="BN438" i="79" s="1"/>
  <c r="BN439" i="79" s="1"/>
  <c r="BN448" i="79" s="1"/>
  <c r="EG394" i="80"/>
  <c r="EG435" i="80"/>
  <c r="EG438" i="80" s="1"/>
  <c r="EG439" i="80" s="1"/>
  <c r="EG448" i="80" s="1"/>
  <c r="EU148" i="80"/>
  <c r="CA148" i="80"/>
  <c r="DW148" i="80"/>
  <c r="AU148" i="80"/>
  <c r="CQ148" i="80"/>
  <c r="BC148" i="80"/>
  <c r="AM148" i="80"/>
  <c r="CI148" i="80"/>
  <c r="O148" i="80"/>
  <c r="CY148" i="80"/>
  <c r="G156" i="80"/>
  <c r="G158" i="80" s="1"/>
  <c r="FC148" i="80"/>
  <c r="BK148" i="80"/>
  <c r="BS148" i="80"/>
  <c r="FK148" i="80"/>
  <c r="EM148" i="80"/>
  <c r="DG148" i="80"/>
  <c r="AE148" i="80"/>
  <c r="EE148" i="80"/>
  <c r="W148" i="80"/>
  <c r="DO148" i="80"/>
  <c r="EP384" i="80"/>
  <c r="EP50" i="80"/>
  <c r="J243" i="85"/>
  <c r="L137" i="90" s="1"/>
  <c r="J243" i="79"/>
  <c r="J243" i="80"/>
  <c r="Q448" i="79"/>
  <c r="Y429" i="79"/>
  <c r="Y395" i="79"/>
  <c r="Y447" i="79" s="1"/>
  <c r="BU435" i="80"/>
  <c r="BU438" i="80" s="1"/>
  <c r="BU439" i="80" s="1"/>
  <c r="BU448" i="80" s="1"/>
  <c r="BU394" i="80"/>
  <c r="DA18" i="80"/>
  <c r="BM18" i="80"/>
  <c r="FM18" i="80"/>
  <c r="CS18" i="80"/>
  <c r="DI18" i="80"/>
  <c r="CK18" i="80"/>
  <c r="FE18" i="80"/>
  <c r="DQ18" i="80"/>
  <c r="BE18" i="80"/>
  <c r="EG18" i="80"/>
  <c r="AW18" i="80"/>
  <c r="EW18" i="80"/>
  <c r="BU18" i="80"/>
  <c r="I19" i="80"/>
  <c r="I52" i="80" s="1"/>
  <c r="AO18" i="80"/>
  <c r="Y18" i="80"/>
  <c r="I412" i="80"/>
  <c r="AG18" i="80"/>
  <c r="Q18" i="80"/>
  <c r="EO18" i="80"/>
  <c r="DY18" i="80"/>
  <c r="CC18" i="80"/>
  <c r="CT384" i="79"/>
  <c r="CT394" i="79" s="1"/>
  <c r="CQ429" i="79" s="1"/>
  <c r="CT435" i="79"/>
  <c r="CT438" i="79" s="1"/>
  <c r="CT439" i="79" s="1"/>
  <c r="CT448" i="79" s="1"/>
  <c r="CT50" i="79"/>
  <c r="CT413" i="79" s="1"/>
  <c r="I15" i="108"/>
  <c r="L15" i="108" s="1"/>
  <c r="I71" i="80"/>
  <c r="I71" i="79"/>
  <c r="I71" i="85"/>
  <c r="K37" i="90" s="1"/>
  <c r="J234" i="79"/>
  <c r="J234" i="80"/>
  <c r="J234" i="85"/>
  <c r="L134" i="90" s="1"/>
  <c r="BE435" i="80"/>
  <c r="BE438" i="80" s="1"/>
  <c r="BE439" i="80" s="1"/>
  <c r="BE448" i="80" s="1"/>
  <c r="BE394" i="80"/>
  <c r="I234" i="79"/>
  <c r="BM234" i="79" s="1"/>
  <c r="I234" i="80"/>
  <c r="I234" i="85"/>
  <c r="K134" i="90" s="1"/>
  <c r="FM395" i="79"/>
  <c r="FM447" i="79" s="1"/>
  <c r="FM429" i="79"/>
  <c r="AW435" i="80"/>
  <c r="AW438" i="80" s="1"/>
  <c r="AW439" i="80" s="1"/>
  <c r="AW394" i="80"/>
  <c r="Q435" i="80"/>
  <c r="Q438" i="80" s="1"/>
  <c r="Q439" i="80" s="1"/>
  <c r="Q394" i="80"/>
  <c r="AG448" i="79"/>
  <c r="EG429" i="79"/>
  <c r="EG395" i="79"/>
  <c r="R384" i="79"/>
  <c r="R394" i="79" s="1"/>
  <c r="O429" i="79" s="1"/>
  <c r="R435" i="79"/>
  <c r="R438" i="79" s="1"/>
  <c r="R439" i="79" s="1"/>
  <c r="R448" i="79" s="1"/>
  <c r="R50" i="79"/>
  <c r="R413" i="79" s="1"/>
  <c r="CL50" i="80"/>
  <c r="CL384" i="80"/>
  <c r="F58" i="35"/>
  <c r="H22" i="170" s="1"/>
  <c r="H29" i="170" s="1"/>
  <c r="H31" i="170" s="1"/>
  <c r="EO395" i="79"/>
  <c r="EO447" i="79" s="1"/>
  <c r="EO429" i="79"/>
  <c r="BE297" i="79"/>
  <c r="CS297" i="79"/>
  <c r="EG297" i="79"/>
  <c r="Y297" i="79"/>
  <c r="EO297" i="79"/>
  <c r="BU297" i="79"/>
  <c r="FM297" i="79"/>
  <c r="AO297" i="79"/>
  <c r="AW297" i="79"/>
  <c r="DI297" i="79"/>
  <c r="DY297" i="79"/>
  <c r="EW297" i="79"/>
  <c r="DQ297" i="79"/>
  <c r="CC297" i="79"/>
  <c r="BM297" i="79"/>
  <c r="Q297" i="79"/>
  <c r="FE297" i="79"/>
  <c r="DA297" i="79"/>
  <c r="CK297" i="79"/>
  <c r="AG297" i="79"/>
  <c r="AP50" i="80"/>
  <c r="AP384" i="80"/>
  <c r="AH384" i="80"/>
  <c r="AH50" i="80"/>
  <c r="BU66" i="80"/>
  <c r="AO66" i="80"/>
  <c r="DA66" i="80"/>
  <c r="DQ66" i="80"/>
  <c r="FE66" i="80"/>
  <c r="BE66" i="80"/>
  <c r="AG66" i="80"/>
  <c r="CK66" i="80"/>
  <c r="AW66" i="80"/>
  <c r="EW66" i="80"/>
  <c r="Y66" i="80"/>
  <c r="DI66" i="80"/>
  <c r="FM66" i="80"/>
  <c r="EO66" i="80"/>
  <c r="CS66" i="80"/>
  <c r="Q66" i="80"/>
  <c r="CC66" i="80"/>
  <c r="BM66" i="80"/>
  <c r="DY66" i="80"/>
  <c r="EG66" i="80"/>
  <c r="CC395" i="79"/>
  <c r="CC429" i="79"/>
  <c r="EX384" i="80"/>
  <c r="EX50" i="80"/>
  <c r="FF435" i="79"/>
  <c r="FF438" i="79" s="1"/>
  <c r="FF439" i="79" s="1"/>
  <c r="FF448" i="79" s="1"/>
  <c r="FF384" i="79"/>
  <c r="FF394" i="79" s="1"/>
  <c r="FF50" i="79"/>
  <c r="FF413" i="79" s="1"/>
  <c r="BF50" i="80"/>
  <c r="BF384" i="80"/>
  <c r="FN384" i="79"/>
  <c r="FN394" i="79" s="1"/>
  <c r="FN435" i="79"/>
  <c r="FN438" i="79" s="1"/>
  <c r="FN439" i="79" s="1"/>
  <c r="FN50" i="79"/>
  <c r="FN413" i="79" s="1"/>
  <c r="AX384" i="80"/>
  <c r="AX50" i="80"/>
  <c r="EH50" i="79"/>
  <c r="EH413" i="79" s="1"/>
  <c r="EH384" i="79"/>
  <c r="EH394" i="79" s="1"/>
  <c r="EH435" i="79"/>
  <c r="EH438" i="79" s="1"/>
  <c r="EH439" i="79" s="1"/>
  <c r="AO435" i="80"/>
  <c r="AO438" i="80" s="1"/>
  <c r="AO439" i="80" s="1"/>
  <c r="AO394" i="80"/>
  <c r="J428" i="80"/>
  <c r="DA448" i="79"/>
  <c r="I395" i="80"/>
  <c r="I413" i="80"/>
  <c r="I429" i="80"/>
  <c r="G429" i="80"/>
  <c r="AG394" i="80"/>
  <c r="AG435" i="80"/>
  <c r="AG438" i="80" s="1"/>
  <c r="AG439" i="80" s="1"/>
  <c r="AG448" i="80" s="1"/>
  <c r="Q66" i="79"/>
  <c r="Y66" i="79"/>
  <c r="Z66" i="79" s="1"/>
  <c r="DA66" i="79"/>
  <c r="DI66" i="79"/>
  <c r="BE66" i="79"/>
  <c r="BU66" i="79"/>
  <c r="CC66" i="79"/>
  <c r="EO66" i="79"/>
  <c r="FE66" i="79"/>
  <c r="BM66" i="79"/>
  <c r="DY66" i="79"/>
  <c r="EG66" i="79"/>
  <c r="AW66" i="79"/>
  <c r="AG66" i="79"/>
  <c r="DQ66" i="79"/>
  <c r="FM66" i="79"/>
  <c r="EW66" i="79"/>
  <c r="CS66" i="79"/>
  <c r="CK66" i="79"/>
  <c r="AO66" i="79"/>
  <c r="CD50" i="79"/>
  <c r="CD413" i="79" s="1"/>
  <c r="CD384" i="79"/>
  <c r="CD394" i="79" s="1"/>
  <c r="CA429" i="79" s="1"/>
  <c r="CD435" i="79"/>
  <c r="CD438" i="79" s="1"/>
  <c r="CD439" i="79" s="1"/>
  <c r="FE429" i="79"/>
  <c r="FE395" i="79"/>
  <c r="FE447" i="79" s="1"/>
  <c r="AG429" i="79"/>
  <c r="AG395" i="79"/>
  <c r="AG447" i="79" s="1"/>
  <c r="BM435" i="80"/>
  <c r="BM438" i="80" s="1"/>
  <c r="BM439" i="80" s="1"/>
  <c r="BM448" i="80" s="1"/>
  <c r="BM394" i="80"/>
  <c r="Q429" i="79"/>
  <c r="Q395" i="79"/>
  <c r="Q447" i="79" s="1"/>
  <c r="Z384" i="79"/>
  <c r="Z394" i="79" s="1"/>
  <c r="Z435" i="79"/>
  <c r="Z438" i="79" s="1"/>
  <c r="Z439" i="79" s="1"/>
  <c r="Z50" i="79"/>
  <c r="Z413" i="79" s="1"/>
  <c r="CK394" i="80"/>
  <c r="CK435" i="80"/>
  <c r="CK438" i="80" s="1"/>
  <c r="CK439" i="80" s="1"/>
  <c r="EP435" i="79"/>
  <c r="EP438" i="79" s="1"/>
  <c r="EP439" i="79" s="1"/>
  <c r="EP384" i="79"/>
  <c r="EP394" i="79" s="1"/>
  <c r="EP50" i="79"/>
  <c r="EP413" i="79" s="1"/>
  <c r="BU297" i="80"/>
  <c r="BE297" i="80"/>
  <c r="Q297" i="80"/>
  <c r="FE297" i="80"/>
  <c r="CC297" i="80"/>
  <c r="EG297" i="80"/>
  <c r="CK297" i="80"/>
  <c r="AW297" i="80"/>
  <c r="EW297" i="80"/>
  <c r="BM297" i="80"/>
  <c r="DA297" i="80"/>
  <c r="AG297" i="80"/>
  <c r="AO297" i="80"/>
  <c r="CS297" i="80"/>
  <c r="DY297" i="80"/>
  <c r="FM297" i="80"/>
  <c r="Y297" i="80"/>
  <c r="DI297" i="80"/>
  <c r="DQ297" i="80"/>
  <c r="EO297" i="80"/>
  <c r="EX435" i="79"/>
  <c r="EX438" i="79" s="1"/>
  <c r="EX439" i="79" s="1"/>
  <c r="EX384" i="79"/>
  <c r="EX394" i="79" s="1"/>
  <c r="EX50" i="79"/>
  <c r="EX413" i="79" s="1"/>
  <c r="DJ435" i="79"/>
  <c r="DJ438" i="79" s="1"/>
  <c r="DJ439" i="79" s="1"/>
  <c r="DJ384" i="79"/>
  <c r="DJ394" i="79" s="1"/>
  <c r="DG429" i="79" s="1"/>
  <c r="DJ50" i="79"/>
  <c r="DJ413" i="79" s="1"/>
  <c r="EW435" i="80"/>
  <c r="EW438" i="80" s="1"/>
  <c r="EW439" i="80" s="1"/>
  <c r="EW448" i="80" s="1"/>
  <c r="EW394" i="80"/>
  <c r="H5" i="154"/>
  <c r="H6" i="154" s="1"/>
  <c r="E35" i="154" s="1"/>
  <c r="M92" i="169" s="1"/>
  <c r="I92" i="169" s="1"/>
  <c r="F384" i="85"/>
  <c r="AH435" i="79"/>
  <c r="AH438" i="79" s="1"/>
  <c r="AH439" i="79" s="1"/>
  <c r="AH448" i="79" s="1"/>
  <c r="AH384" i="79"/>
  <c r="AH394" i="79" s="1"/>
  <c r="AH50" i="79"/>
  <c r="AH413" i="79" s="1"/>
  <c r="DQ435" i="80"/>
  <c r="DQ438" i="80" s="1"/>
  <c r="DQ439" i="80" s="1"/>
  <c r="DQ448" i="80" s="1"/>
  <c r="DQ394" i="80"/>
  <c r="AP384" i="79"/>
  <c r="AP394" i="79" s="1"/>
  <c r="AP435" i="79"/>
  <c r="AP438" i="79" s="1"/>
  <c r="AP439" i="79" s="1"/>
  <c r="AP50" i="79"/>
  <c r="AP413" i="79" s="1"/>
  <c r="BN384" i="80"/>
  <c r="BN50" i="80"/>
  <c r="DR384" i="79"/>
  <c r="DR394" i="79" s="1"/>
  <c r="DR435" i="79"/>
  <c r="DR438" i="79" s="1"/>
  <c r="DR439" i="79" s="1"/>
  <c r="DR448" i="79" s="1"/>
  <c r="DR50" i="79"/>
  <c r="DR413" i="79" s="1"/>
  <c r="Y435" i="80"/>
  <c r="Y438" i="80" s="1"/>
  <c r="Y439" i="80" s="1"/>
  <c r="Y448" i="80" s="1"/>
  <c r="Y394" i="80"/>
  <c r="I19" i="85"/>
  <c r="I447" i="79"/>
  <c r="G395" i="79"/>
  <c r="EW429" i="79"/>
  <c r="EW395" i="79"/>
  <c r="DI435" i="80"/>
  <c r="DI438" i="80" s="1"/>
  <c r="DI439" i="80" s="1"/>
  <c r="DI394" i="80"/>
  <c r="I291" i="85"/>
  <c r="K161" i="90" s="1"/>
  <c r="I291" i="80"/>
  <c r="EG291" i="80" s="1"/>
  <c r="I298" i="85"/>
  <c r="I291" i="79"/>
  <c r="I298" i="79" s="1"/>
  <c r="J291" i="80"/>
  <c r="J298" i="80" s="1"/>
  <c r="J291" i="79"/>
  <c r="J298" i="79" s="1"/>
  <c r="J291" i="85"/>
  <c r="L161" i="90" s="1"/>
  <c r="J298" i="85"/>
  <c r="L102" i="107"/>
  <c r="H104" i="107"/>
  <c r="H126" i="107" s="1"/>
  <c r="L15" i="171" s="1"/>
  <c r="S58" i="82"/>
  <c r="Q59" i="82"/>
  <c r="CJ243" i="80"/>
  <c r="CB243" i="80"/>
  <c r="CZ243" i="80"/>
  <c r="FD243" i="80"/>
  <c r="BL243" i="80"/>
  <c r="AF243" i="80"/>
  <c r="BT243" i="80"/>
  <c r="EF243" i="80"/>
  <c r="EN243" i="80"/>
  <c r="DP243" i="80"/>
  <c r="CR243" i="80"/>
  <c r="P243" i="80"/>
  <c r="DH243" i="80"/>
  <c r="BD243" i="80"/>
  <c r="DX243" i="80"/>
  <c r="AV243" i="80"/>
  <c r="X243" i="80"/>
  <c r="EV243" i="80"/>
  <c r="FL243" i="80"/>
  <c r="AN243" i="80"/>
  <c r="S58" i="35"/>
  <c r="Q59" i="35"/>
  <c r="AF243" i="79"/>
  <c r="AN243" i="79"/>
  <c r="FL243" i="79"/>
  <c r="DP243" i="79"/>
  <c r="BT243" i="79"/>
  <c r="EN243" i="79"/>
  <c r="BD243" i="79"/>
  <c r="FD243" i="79"/>
  <c r="CB243" i="79"/>
  <c r="DH243" i="79"/>
  <c r="CR243" i="79"/>
  <c r="P243" i="79"/>
  <c r="EV243" i="79"/>
  <c r="DX243" i="79"/>
  <c r="AV243" i="79"/>
  <c r="BL243" i="79"/>
  <c r="CZ243" i="79"/>
  <c r="X243" i="79"/>
  <c r="CJ243" i="79"/>
  <c r="EF243" i="79"/>
  <c r="G59" i="35" l="1"/>
  <c r="BF66" i="79"/>
  <c r="EF234" i="80"/>
  <c r="R66" i="79"/>
  <c r="AA45" i="177"/>
  <c r="BV66" i="79"/>
  <c r="BT297" i="80"/>
  <c r="BV297" i="80" s="1"/>
  <c r="BD297" i="80"/>
  <c r="BF297" i="80" s="1"/>
  <c r="X297" i="80"/>
  <c r="Z297" i="80" s="1"/>
  <c r="CJ297" i="80"/>
  <c r="CL297" i="80" s="1"/>
  <c r="EN297" i="80"/>
  <c r="EP297" i="80" s="1"/>
  <c r="CR297" i="80"/>
  <c r="CT297" i="80" s="1"/>
  <c r="FD297" i="80"/>
  <c r="FF297" i="80" s="1"/>
  <c r="P297" i="80"/>
  <c r="R297" i="80" s="1"/>
  <c r="AN297" i="80"/>
  <c r="AP297" i="80" s="1"/>
  <c r="AF297" i="80"/>
  <c r="AH297" i="80" s="1"/>
  <c r="DX297" i="80"/>
  <c r="DZ297" i="80" s="1"/>
  <c r="BL297" i="80"/>
  <c r="BN297" i="80" s="1"/>
  <c r="CB297" i="80"/>
  <c r="CD297" i="80" s="1"/>
  <c r="EV297" i="80"/>
  <c r="EX297" i="80" s="1"/>
  <c r="FL297" i="80"/>
  <c r="FN297" i="80" s="1"/>
  <c r="AV297" i="80"/>
  <c r="AX297" i="80" s="1"/>
  <c r="DP297" i="80"/>
  <c r="DR297" i="80" s="1"/>
  <c r="CZ297" i="80"/>
  <c r="DB297" i="80" s="1"/>
  <c r="DH297" i="80"/>
  <c r="DJ297" i="80" s="1"/>
  <c r="EF297" i="80"/>
  <c r="EH297" i="80" s="1"/>
  <c r="BD297" i="79"/>
  <c r="BF297" i="79" s="1"/>
  <c r="DP297" i="79"/>
  <c r="DR297" i="79" s="1"/>
  <c r="X297" i="79"/>
  <c r="Z297" i="79" s="1"/>
  <c r="FD297" i="79"/>
  <c r="FF297" i="79" s="1"/>
  <c r="DX297" i="79"/>
  <c r="DZ297" i="79" s="1"/>
  <c r="EV297" i="79"/>
  <c r="EX297" i="79" s="1"/>
  <c r="CB297" i="79"/>
  <c r="CD297" i="79" s="1"/>
  <c r="DH297" i="79"/>
  <c r="DJ297" i="79" s="1"/>
  <c r="BT297" i="79"/>
  <c r="BV297" i="79" s="1"/>
  <c r="AV297" i="79"/>
  <c r="AX297" i="79" s="1"/>
  <c r="AN297" i="79"/>
  <c r="AP297" i="79" s="1"/>
  <c r="BL297" i="79"/>
  <c r="BN297" i="79" s="1"/>
  <c r="EF297" i="79"/>
  <c r="EH297" i="79" s="1"/>
  <c r="AF297" i="79"/>
  <c r="AH297" i="79" s="1"/>
  <c r="CZ297" i="79"/>
  <c r="DB297" i="79" s="1"/>
  <c r="P297" i="79"/>
  <c r="R297" i="79" s="1"/>
  <c r="CJ297" i="79"/>
  <c r="CL297" i="79" s="1"/>
  <c r="EN297" i="79"/>
  <c r="EP297" i="79" s="1"/>
  <c r="CR297" i="79"/>
  <c r="CT297" i="79" s="1"/>
  <c r="FL297" i="79"/>
  <c r="FN297" i="79" s="1"/>
  <c r="AP66" i="79"/>
  <c r="EX66" i="79"/>
  <c r="R66" i="80"/>
  <c r="FN66" i="79"/>
  <c r="H15" i="171"/>
  <c r="H22" i="171" s="1"/>
  <c r="H75" i="169"/>
  <c r="H77" i="169" s="1"/>
  <c r="DR66" i="79"/>
  <c r="AH66" i="79"/>
  <c r="FN66" i="80"/>
  <c r="DJ66" i="80"/>
  <c r="Z66" i="80"/>
  <c r="I63" i="169"/>
  <c r="I68" i="169"/>
  <c r="H92" i="169"/>
  <c r="H252" i="85" s="1"/>
  <c r="J146" i="90" s="1"/>
  <c r="DJ66" i="79"/>
  <c r="DZ66" i="79"/>
  <c r="DB66" i="79"/>
  <c r="I131" i="166"/>
  <c r="I119" i="166"/>
  <c r="I127" i="166"/>
  <c r="I152" i="166"/>
  <c r="I156" i="166" s="1"/>
  <c r="I158" i="166" s="1"/>
  <c r="H158" i="166"/>
  <c r="CL66" i="80"/>
  <c r="CD66" i="80"/>
  <c r="H119" i="85"/>
  <c r="J65" i="90" s="1"/>
  <c r="G158" i="85"/>
  <c r="BN66" i="80"/>
  <c r="CT66" i="79"/>
  <c r="BV66" i="80"/>
  <c r="EP66" i="79"/>
  <c r="CD66" i="79"/>
  <c r="EP66" i="80"/>
  <c r="BF66" i="80"/>
  <c r="EH66" i="79"/>
  <c r="DB66" i="80"/>
  <c r="CL66" i="79"/>
  <c r="EH66" i="80"/>
  <c r="DZ66" i="80"/>
  <c r="CT66" i="80"/>
  <c r="H131" i="85"/>
  <c r="J77" i="90" s="1"/>
  <c r="DR66" i="80"/>
  <c r="AP66" i="80"/>
  <c r="BN66" i="79"/>
  <c r="AX66" i="80"/>
  <c r="FF66" i="80"/>
  <c r="EX66" i="80"/>
  <c r="H152" i="79"/>
  <c r="H156" i="79" s="1"/>
  <c r="H158" i="79" s="1"/>
  <c r="H274" i="80"/>
  <c r="H281" i="80" s="1"/>
  <c r="H283" i="80" s="1"/>
  <c r="H328" i="80" s="1"/>
  <c r="FF66" i="79"/>
  <c r="EV234" i="80"/>
  <c r="H274" i="79"/>
  <c r="H281" i="79" s="1"/>
  <c r="H283" i="79" s="1"/>
  <c r="H328" i="79" s="1"/>
  <c r="AX66" i="79"/>
  <c r="AH66" i="80"/>
  <c r="J190" i="163"/>
  <c r="J365" i="163"/>
  <c r="J470" i="163"/>
  <c r="J188" i="163"/>
  <c r="H223" i="85"/>
  <c r="J124" i="90" s="1"/>
  <c r="H223" i="79"/>
  <c r="CB223" i="79" s="1"/>
  <c r="I326" i="163"/>
  <c r="I495" i="163"/>
  <c r="I12" i="100"/>
  <c r="I14" i="100" s="1"/>
  <c r="I16" i="100" s="1"/>
  <c r="I36" i="100"/>
  <c r="H127" i="79"/>
  <c r="DX127" i="79" s="1"/>
  <c r="H91" i="80"/>
  <c r="H93" i="85"/>
  <c r="H91" i="79"/>
  <c r="H91" i="85"/>
  <c r="J46" i="90" s="1"/>
  <c r="BL71" i="79"/>
  <c r="EN71" i="79"/>
  <c r="FL71" i="79"/>
  <c r="P71" i="79"/>
  <c r="DX71" i="79"/>
  <c r="DP71" i="79"/>
  <c r="AN71" i="79"/>
  <c r="CR71" i="79"/>
  <c r="BT71" i="79"/>
  <c r="CB71" i="79"/>
  <c r="CJ71" i="79"/>
  <c r="EF71" i="79"/>
  <c r="EV71" i="79"/>
  <c r="DH71" i="79"/>
  <c r="BD71" i="79"/>
  <c r="CZ71" i="79"/>
  <c r="AF71" i="79"/>
  <c r="AV71" i="79"/>
  <c r="FD71" i="79"/>
  <c r="X71" i="79"/>
  <c r="EV71" i="80"/>
  <c r="BT71" i="80"/>
  <c r="X71" i="80"/>
  <c r="EN71" i="80"/>
  <c r="AN71" i="80"/>
  <c r="CZ71" i="80"/>
  <c r="CJ71" i="80"/>
  <c r="CB71" i="80"/>
  <c r="DP71" i="80"/>
  <c r="AF71" i="80"/>
  <c r="FD71" i="80"/>
  <c r="CR71" i="80"/>
  <c r="DH71" i="80"/>
  <c r="DX71" i="80"/>
  <c r="P71" i="80"/>
  <c r="BL71" i="80"/>
  <c r="BD71" i="80"/>
  <c r="EF71" i="80"/>
  <c r="FL71" i="80"/>
  <c r="AV71" i="80"/>
  <c r="H152" i="85"/>
  <c r="J90" i="90" s="1"/>
  <c r="H152" i="80"/>
  <c r="H156" i="80" s="1"/>
  <c r="H158" i="80" s="1"/>
  <c r="H127" i="80"/>
  <c r="H14" i="100"/>
  <c r="H16" i="100" s="1"/>
  <c r="H119" i="79"/>
  <c r="CR119" i="79" s="1"/>
  <c r="H119" i="80"/>
  <c r="H228" i="85"/>
  <c r="J129" i="90" s="1"/>
  <c r="G93" i="105"/>
  <c r="L34" i="171" s="1"/>
  <c r="H131" i="79"/>
  <c r="DH131" i="79" s="1"/>
  <c r="H228" i="80"/>
  <c r="H235" i="80" s="1"/>
  <c r="H237" i="80" s="1"/>
  <c r="H38" i="100"/>
  <c r="H39" i="100" s="1"/>
  <c r="L72" i="166" s="1"/>
  <c r="AA43" i="83"/>
  <c r="P234" i="80"/>
  <c r="DX234" i="80"/>
  <c r="FE291" i="80"/>
  <c r="FE298" i="80" s="1"/>
  <c r="DQ234" i="80"/>
  <c r="EW234" i="80"/>
  <c r="BL234" i="80"/>
  <c r="AN234" i="80"/>
  <c r="CJ234" i="80"/>
  <c r="DP234" i="79"/>
  <c r="Q291" i="79"/>
  <c r="Q298" i="79" s="1"/>
  <c r="AN234" i="79"/>
  <c r="DP413" i="80"/>
  <c r="DP414" i="80" s="1"/>
  <c r="DP415" i="80" s="1"/>
  <c r="DP451" i="80" s="1"/>
  <c r="DP395" i="80"/>
  <c r="DP447" i="80" s="1"/>
  <c r="H251" i="85"/>
  <c r="J145" i="90" s="1"/>
  <c r="H251" i="80"/>
  <c r="H251" i="79"/>
  <c r="AF413" i="80"/>
  <c r="AF414" i="80" s="1"/>
  <c r="AF415" i="80" s="1"/>
  <c r="AF451" i="80" s="1"/>
  <c r="AF395" i="80"/>
  <c r="AF447" i="80" s="1"/>
  <c r="FL395" i="80"/>
  <c r="FL447" i="80" s="1"/>
  <c r="FL413" i="80"/>
  <c r="FL414" i="80" s="1"/>
  <c r="FL415" i="80" s="1"/>
  <c r="FL451" i="80" s="1"/>
  <c r="EN413" i="80"/>
  <c r="EN414" i="80" s="1"/>
  <c r="EN415" i="80" s="1"/>
  <c r="EN451" i="80" s="1"/>
  <c r="EN223" i="80" s="1"/>
  <c r="EN395" i="80"/>
  <c r="EN447" i="80" s="1"/>
  <c r="CZ413" i="80"/>
  <c r="CZ414" i="80" s="1"/>
  <c r="CZ415" i="80" s="1"/>
  <c r="CZ451" i="80" s="1"/>
  <c r="CZ228" i="80" s="1"/>
  <c r="CZ395" i="80"/>
  <c r="CZ447" i="80" s="1"/>
  <c r="CB395" i="80"/>
  <c r="CB447" i="80" s="1"/>
  <c r="CB413" i="80"/>
  <c r="CB414" i="80" s="1"/>
  <c r="CB415" i="80" s="1"/>
  <c r="CB451" i="80" s="1"/>
  <c r="FD395" i="80"/>
  <c r="FD447" i="80" s="1"/>
  <c r="FD413" i="80"/>
  <c r="FD414" i="80" s="1"/>
  <c r="FD415" i="80" s="1"/>
  <c r="FD451" i="80" s="1"/>
  <c r="BT413" i="80"/>
  <c r="BT414" i="80" s="1"/>
  <c r="BT415" i="80" s="1"/>
  <c r="BT451" i="80" s="1"/>
  <c r="BT395" i="80"/>
  <c r="BT447" i="80" s="1"/>
  <c r="BD413" i="80"/>
  <c r="BD414" i="80" s="1"/>
  <c r="BD415" i="80" s="1"/>
  <c r="BD451" i="80" s="1"/>
  <c r="BD152" i="80" s="1"/>
  <c r="BD395" i="80"/>
  <c r="BD447" i="80" s="1"/>
  <c r="AV413" i="80"/>
  <c r="AV414" i="80" s="1"/>
  <c r="AV415" i="80" s="1"/>
  <c r="AV451" i="80" s="1"/>
  <c r="AV223" i="80" s="1"/>
  <c r="AV395" i="80"/>
  <c r="AV447" i="80" s="1"/>
  <c r="CZ234" i="80"/>
  <c r="CB234" i="80"/>
  <c r="CR395" i="80"/>
  <c r="CR447" i="80" s="1"/>
  <c r="CR413" i="80"/>
  <c r="CR414" i="80" s="1"/>
  <c r="CR415" i="80" s="1"/>
  <c r="CR451" i="80" s="1"/>
  <c r="FD234" i="80"/>
  <c r="BT234" i="80"/>
  <c r="BD234" i="80"/>
  <c r="AV234" i="80"/>
  <c r="EV395" i="80"/>
  <c r="EV447" i="80" s="1"/>
  <c r="EV413" i="80"/>
  <c r="EV414" i="80" s="1"/>
  <c r="EV415" i="80" s="1"/>
  <c r="EV451" i="80" s="1"/>
  <c r="EV223" i="80" s="1"/>
  <c r="CR234" i="80"/>
  <c r="BL395" i="80"/>
  <c r="BL447" i="80" s="1"/>
  <c r="BL413" i="80"/>
  <c r="BL414" i="80" s="1"/>
  <c r="BL415" i="80" s="1"/>
  <c r="BL451" i="80" s="1"/>
  <c r="AN395" i="80"/>
  <c r="AN447" i="80" s="1"/>
  <c r="AN413" i="80"/>
  <c r="AN414" i="80" s="1"/>
  <c r="AN415" i="80" s="1"/>
  <c r="AN451" i="80" s="1"/>
  <c r="CJ413" i="80"/>
  <c r="CJ414" i="80" s="1"/>
  <c r="CJ415" i="80" s="1"/>
  <c r="CJ451" i="80" s="1"/>
  <c r="CJ395" i="80"/>
  <c r="CJ447" i="80" s="1"/>
  <c r="X413" i="80"/>
  <c r="X414" i="80" s="1"/>
  <c r="X415" i="80" s="1"/>
  <c r="X451" i="80" s="1"/>
  <c r="X395" i="80"/>
  <c r="X447" i="80" s="1"/>
  <c r="DH234" i="80"/>
  <c r="DX413" i="80"/>
  <c r="DX414" i="80" s="1"/>
  <c r="DX415" i="80" s="1"/>
  <c r="DX451" i="80" s="1"/>
  <c r="DX395" i="80"/>
  <c r="DX447" i="80" s="1"/>
  <c r="EF413" i="80"/>
  <c r="EF414" i="80" s="1"/>
  <c r="EF415" i="80" s="1"/>
  <c r="EF451" i="80" s="1"/>
  <c r="EF395" i="80"/>
  <c r="EF447" i="80" s="1"/>
  <c r="X234" i="80"/>
  <c r="DH413" i="80"/>
  <c r="DH414" i="80" s="1"/>
  <c r="DH415" i="80" s="1"/>
  <c r="DH451" i="80" s="1"/>
  <c r="DH131" i="80" s="1"/>
  <c r="DH395" i="80"/>
  <c r="DH447" i="80" s="1"/>
  <c r="DP234" i="80"/>
  <c r="H63" i="80"/>
  <c r="H63" i="85"/>
  <c r="J29" i="90" s="1"/>
  <c r="H63" i="79"/>
  <c r="AF234" i="80"/>
  <c r="P395" i="80"/>
  <c r="P447" i="80" s="1"/>
  <c r="P413" i="80"/>
  <c r="P414" i="80" s="1"/>
  <c r="P415" i="80" s="1"/>
  <c r="P451" i="80" s="1"/>
  <c r="FL234" i="80"/>
  <c r="EN234" i="80"/>
  <c r="AF234" i="79"/>
  <c r="X234" i="79"/>
  <c r="DX234" i="79"/>
  <c r="BT234" i="79"/>
  <c r="CZ234" i="79"/>
  <c r="BD234" i="79"/>
  <c r="CJ234" i="79"/>
  <c r="P234" i="79"/>
  <c r="DH234" i="79"/>
  <c r="CR234" i="79"/>
  <c r="EN234" i="79"/>
  <c r="EV234" i="79"/>
  <c r="EF234" i="79"/>
  <c r="BL234" i="79"/>
  <c r="BN234" i="79" s="1"/>
  <c r="AV234" i="79"/>
  <c r="CB234" i="79"/>
  <c r="FL234" i="79"/>
  <c r="I298" i="80"/>
  <c r="AO291" i="80"/>
  <c r="AO298" i="80" s="1"/>
  <c r="EO291" i="79"/>
  <c r="EO298" i="79" s="1"/>
  <c r="CS291" i="80"/>
  <c r="CS298" i="80" s="1"/>
  <c r="AG291" i="80"/>
  <c r="AG298" i="80" s="1"/>
  <c r="DI291" i="80"/>
  <c r="DI298" i="80" s="1"/>
  <c r="DQ291" i="80"/>
  <c r="DQ298" i="80" s="1"/>
  <c r="BE291" i="80"/>
  <c r="BE298" i="80" s="1"/>
  <c r="BM291" i="80"/>
  <c r="BM298" i="80" s="1"/>
  <c r="EO291" i="80"/>
  <c r="EO298" i="80" s="1"/>
  <c r="DY291" i="80"/>
  <c r="DY298" i="80" s="1"/>
  <c r="FM291" i="80"/>
  <c r="FM298" i="80" s="1"/>
  <c r="Q291" i="80"/>
  <c r="Q298" i="80" s="1"/>
  <c r="DA291" i="80"/>
  <c r="DA298" i="80" s="1"/>
  <c r="EW291" i="80"/>
  <c r="EW298" i="80" s="1"/>
  <c r="AW291" i="80"/>
  <c r="AW298" i="80" s="1"/>
  <c r="BU291" i="80"/>
  <c r="BU298" i="80" s="1"/>
  <c r="CK291" i="80"/>
  <c r="CK298" i="80" s="1"/>
  <c r="Y291" i="80"/>
  <c r="Y298" i="80" s="1"/>
  <c r="Y291" i="79"/>
  <c r="Y298" i="79" s="1"/>
  <c r="EG298" i="80"/>
  <c r="AG234" i="80"/>
  <c r="CC291" i="80"/>
  <c r="CC298" i="80" s="1"/>
  <c r="EW291" i="79"/>
  <c r="EW298" i="79" s="1"/>
  <c r="CS291" i="79"/>
  <c r="CS298" i="79" s="1"/>
  <c r="DI291" i="79"/>
  <c r="DI298" i="79" s="1"/>
  <c r="Y234" i="80"/>
  <c r="DY234" i="80"/>
  <c r="DQ291" i="79"/>
  <c r="DQ298" i="79" s="1"/>
  <c r="CC291" i="79"/>
  <c r="CC298" i="79" s="1"/>
  <c r="AW291" i="79"/>
  <c r="AW298" i="79" s="1"/>
  <c r="FM291" i="79"/>
  <c r="FM298" i="79" s="1"/>
  <c r="EG291" i="79"/>
  <c r="EG298" i="79" s="1"/>
  <c r="BE234" i="80"/>
  <c r="BU291" i="79"/>
  <c r="BU298" i="79" s="1"/>
  <c r="CK291" i="79"/>
  <c r="CK298" i="79" s="1"/>
  <c r="AG291" i="79"/>
  <c r="AG298" i="79" s="1"/>
  <c r="FE291" i="79"/>
  <c r="FE298" i="79" s="1"/>
  <c r="DA291" i="79"/>
  <c r="DA298" i="79" s="1"/>
  <c r="CY439" i="79"/>
  <c r="CQ439" i="79"/>
  <c r="J430" i="80"/>
  <c r="AO291" i="79"/>
  <c r="AO298" i="79" s="1"/>
  <c r="DY291" i="79"/>
  <c r="DY298" i="79" s="1"/>
  <c r="BE291" i="79"/>
  <c r="BE298" i="79" s="1"/>
  <c r="Q234" i="79"/>
  <c r="AW234" i="79"/>
  <c r="CS234" i="79"/>
  <c r="DQ234" i="79"/>
  <c r="CS234" i="80"/>
  <c r="BM291" i="79"/>
  <c r="BM298" i="79" s="1"/>
  <c r="EG234" i="80"/>
  <c r="BK439" i="79"/>
  <c r="CK234" i="79"/>
  <c r="BU234" i="79"/>
  <c r="FC439" i="79"/>
  <c r="FE234" i="79"/>
  <c r="FF234" i="79" s="1"/>
  <c r="DA234" i="79"/>
  <c r="AG234" i="79"/>
  <c r="EX448" i="79"/>
  <c r="EU439" i="79"/>
  <c r="CD448" i="79"/>
  <c r="CA439" i="79"/>
  <c r="BE412" i="80"/>
  <c r="BE428" i="80" s="1"/>
  <c r="BE19" i="80"/>
  <c r="BE52" i="80" s="1"/>
  <c r="BF18" i="80"/>
  <c r="EG148" i="80"/>
  <c r="EF148" i="80"/>
  <c r="EE156" i="80"/>
  <c r="EE158" i="80" s="1"/>
  <c r="DW156" i="80"/>
  <c r="DW158" i="80" s="1"/>
  <c r="DY148" i="80"/>
  <c r="DX148" i="80"/>
  <c r="EW412" i="79"/>
  <c r="EW19" i="79"/>
  <c r="EW52" i="79" s="1"/>
  <c r="EX18" i="79"/>
  <c r="AH429" i="79"/>
  <c r="AH395" i="79"/>
  <c r="AE429" i="79"/>
  <c r="I447" i="80"/>
  <c r="G395" i="80"/>
  <c r="AO448" i="80"/>
  <c r="AO234" i="80" s="1"/>
  <c r="EG447" i="79"/>
  <c r="CT429" i="79"/>
  <c r="CT395" i="79"/>
  <c r="AO412" i="80"/>
  <c r="AO428" i="80" s="1"/>
  <c r="AO19" i="80"/>
  <c r="AO52" i="80" s="1"/>
  <c r="AP18" i="80"/>
  <c r="FE412" i="80"/>
  <c r="FE428" i="80" s="1"/>
  <c r="FE19" i="80"/>
  <c r="FE52" i="80" s="1"/>
  <c r="FF18" i="80"/>
  <c r="BU234" i="80"/>
  <c r="DG156" i="80"/>
  <c r="DG158" i="80" s="1"/>
  <c r="DH148" i="80"/>
  <c r="DI148" i="80"/>
  <c r="P148" i="80"/>
  <c r="Q148" i="80"/>
  <c r="O156" i="80"/>
  <c r="O158" i="80" s="1"/>
  <c r="EU156" i="80"/>
  <c r="EU158" i="80" s="1"/>
  <c r="EW148" i="80"/>
  <c r="EV148" i="80"/>
  <c r="CC395" i="80"/>
  <c r="CC447" i="80" s="1"/>
  <c r="CC413" i="80"/>
  <c r="CC429" i="80"/>
  <c r="AX395" i="79"/>
  <c r="AX429" i="79"/>
  <c r="BV435" i="80"/>
  <c r="BV438" i="80" s="1"/>
  <c r="BV439" i="80" s="1"/>
  <c r="BV394" i="80"/>
  <c r="BF429" i="79"/>
  <c r="BF395" i="79"/>
  <c r="FN435" i="80"/>
  <c r="FN438" i="80" s="1"/>
  <c r="FN439" i="80" s="1"/>
  <c r="FN448" i="80" s="1"/>
  <c r="FN394" i="80"/>
  <c r="EG412" i="79"/>
  <c r="EG19" i="79"/>
  <c r="EG52" i="79" s="1"/>
  <c r="EH18" i="79"/>
  <c r="BM412" i="79"/>
  <c r="BM19" i="79"/>
  <c r="BM52" i="79" s="1"/>
  <c r="BN18" i="79"/>
  <c r="CC412" i="79"/>
  <c r="CC19" i="79"/>
  <c r="CC52" i="79" s="1"/>
  <c r="CD18" i="79"/>
  <c r="FM413" i="80"/>
  <c r="FM395" i="80"/>
  <c r="FM447" i="80" s="1"/>
  <c r="FM429" i="80"/>
  <c r="FC156" i="79"/>
  <c r="FC158" i="79" s="1"/>
  <c r="FD148" i="79"/>
  <c r="FE148" i="79"/>
  <c r="BS156" i="79"/>
  <c r="BS158" i="79" s="1"/>
  <c r="BU148" i="79"/>
  <c r="BT148" i="79"/>
  <c r="AG413" i="80"/>
  <c r="AG429" i="80"/>
  <c r="AG395" i="80"/>
  <c r="DP148" i="79"/>
  <c r="DO156" i="79"/>
  <c r="DO158" i="79" s="1"/>
  <c r="DQ148" i="79"/>
  <c r="BN435" i="80"/>
  <c r="BN438" i="80" s="1"/>
  <c r="BN439" i="80" s="1"/>
  <c r="BN394" i="80"/>
  <c r="DJ395" i="79"/>
  <c r="DJ429" i="79"/>
  <c r="Z448" i="79"/>
  <c r="W439" i="79"/>
  <c r="EH448" i="79"/>
  <c r="EE439" i="79"/>
  <c r="FN448" i="79"/>
  <c r="FK439" i="79"/>
  <c r="EX435" i="80"/>
  <c r="EX438" i="80" s="1"/>
  <c r="EX439" i="80" s="1"/>
  <c r="EX394" i="80"/>
  <c r="EU429" i="80" s="1"/>
  <c r="CC412" i="80"/>
  <c r="CC428" i="80" s="1"/>
  <c r="CC19" i="80"/>
  <c r="CC52" i="80" s="1"/>
  <c r="CD18" i="80"/>
  <c r="CK412" i="80"/>
  <c r="CK428" i="80" s="1"/>
  <c r="CK19" i="80"/>
  <c r="CK52" i="80" s="1"/>
  <c r="CL18" i="80"/>
  <c r="EO148" i="80"/>
  <c r="EM156" i="80"/>
  <c r="EM158" i="80" s="1"/>
  <c r="EN148" i="80"/>
  <c r="CJ148" i="80"/>
  <c r="CI156" i="80"/>
  <c r="CI158" i="80" s="1"/>
  <c r="CK148" i="80"/>
  <c r="CC448" i="80"/>
  <c r="CC234" i="80" s="1"/>
  <c r="DB395" i="79"/>
  <c r="DB447" i="79" s="1"/>
  <c r="DB429" i="79"/>
  <c r="DB394" i="80"/>
  <c r="CY429" i="80" s="1"/>
  <c r="DB435" i="80"/>
  <c r="DB438" i="80" s="1"/>
  <c r="DB439" i="80" s="1"/>
  <c r="DB448" i="80" s="1"/>
  <c r="DQ412" i="79"/>
  <c r="DQ19" i="79"/>
  <c r="DQ52" i="79" s="1"/>
  <c r="DR18" i="79"/>
  <c r="AG19" i="79"/>
  <c r="AG52" i="79" s="1"/>
  <c r="AG412" i="79"/>
  <c r="AH18" i="79"/>
  <c r="CS412" i="79"/>
  <c r="CS19" i="79"/>
  <c r="CS52" i="79" s="1"/>
  <c r="CT18" i="79"/>
  <c r="FM448" i="80"/>
  <c r="FM234" i="80" s="1"/>
  <c r="AU156" i="79"/>
  <c r="AU158" i="79" s="1"/>
  <c r="AW148" i="79"/>
  <c r="AV148" i="79"/>
  <c r="AO148" i="79"/>
  <c r="AM156" i="79"/>
  <c r="AM158" i="79" s="1"/>
  <c r="AN148" i="79"/>
  <c r="J251" i="79"/>
  <c r="J251" i="85"/>
  <c r="L145" i="90" s="1"/>
  <c r="J251" i="80"/>
  <c r="DA448" i="80"/>
  <c r="DA234" i="80" s="1"/>
  <c r="FF429" i="79"/>
  <c r="FC429" i="79"/>
  <c r="FF395" i="79"/>
  <c r="FF435" i="80"/>
  <c r="FF438" i="80" s="1"/>
  <c r="FF439" i="80" s="1"/>
  <c r="FF394" i="80"/>
  <c r="DI395" i="80"/>
  <c r="DI447" i="80" s="1"/>
  <c r="DI413" i="80"/>
  <c r="DI429" i="80"/>
  <c r="I52" i="85"/>
  <c r="I251" i="80"/>
  <c r="I251" i="85"/>
  <c r="K145" i="90" s="1"/>
  <c r="I251" i="79"/>
  <c r="Q251" i="79" s="1"/>
  <c r="DJ448" i="79"/>
  <c r="DG439" i="79"/>
  <c r="Z429" i="79"/>
  <c r="Z395" i="79"/>
  <c r="EE429" i="79"/>
  <c r="EH395" i="79"/>
  <c r="EH447" i="79" s="1"/>
  <c r="EH429" i="79"/>
  <c r="FK429" i="79"/>
  <c r="FN429" i="79"/>
  <c r="FN395" i="79"/>
  <c r="AH435" i="80"/>
  <c r="AH438" i="80" s="1"/>
  <c r="AH439" i="80" s="1"/>
  <c r="AH394" i="80"/>
  <c r="AE429" i="80" s="1"/>
  <c r="AP435" i="80"/>
  <c r="AP438" i="80" s="1"/>
  <c r="AP439" i="80" s="1"/>
  <c r="AP448" i="80" s="1"/>
  <c r="AP394" i="80"/>
  <c r="AM429" i="80" s="1"/>
  <c r="H91" i="105"/>
  <c r="F388" i="85"/>
  <c r="H17" i="105"/>
  <c r="AE439" i="79"/>
  <c r="DY412" i="80"/>
  <c r="DY428" i="80" s="1"/>
  <c r="DY19" i="80"/>
  <c r="DY52" i="80" s="1"/>
  <c r="DZ18" i="80"/>
  <c r="BU19" i="80"/>
  <c r="BU52" i="80" s="1"/>
  <c r="BU412" i="80"/>
  <c r="BU428" i="80" s="1"/>
  <c r="BV18" i="80"/>
  <c r="DI412" i="80"/>
  <c r="DI19" i="80"/>
  <c r="DI52" i="80" s="1"/>
  <c r="DJ18" i="80"/>
  <c r="W429" i="79"/>
  <c r="EP435" i="80"/>
  <c r="EP438" i="80" s="1"/>
  <c r="EP439" i="80" s="1"/>
  <c r="EP394" i="80"/>
  <c r="FL148" i="80"/>
  <c r="FM148" i="80"/>
  <c r="FK156" i="80"/>
  <c r="FK158" i="80" s="1"/>
  <c r="AM156" i="80"/>
  <c r="AM158" i="80" s="1"/>
  <c r="AN148" i="80"/>
  <c r="AO148" i="80"/>
  <c r="EG413" i="80"/>
  <c r="EG429" i="80"/>
  <c r="EG395" i="80"/>
  <c r="EG447" i="80" s="1"/>
  <c r="BF448" i="79"/>
  <c r="BC439" i="79"/>
  <c r="AW19" i="79"/>
  <c r="AW52" i="79" s="1"/>
  <c r="AW412" i="79"/>
  <c r="AX18" i="79"/>
  <c r="AO412" i="79"/>
  <c r="AO19" i="79"/>
  <c r="AO52" i="79" s="1"/>
  <c r="AP18" i="79"/>
  <c r="Z435" i="80"/>
  <c r="Z438" i="80" s="1"/>
  <c r="Z439" i="80" s="1"/>
  <c r="Z394" i="80"/>
  <c r="CS148" i="79"/>
  <c r="CR148" i="79"/>
  <c r="CQ156" i="79"/>
  <c r="CQ158" i="79" s="1"/>
  <c r="EN148" i="79"/>
  <c r="EO148" i="79"/>
  <c r="EM156" i="79"/>
  <c r="EM158" i="79" s="1"/>
  <c r="DX148" i="79"/>
  <c r="DW156" i="79"/>
  <c r="DW158" i="79" s="1"/>
  <c r="DY148" i="79"/>
  <c r="J252" i="79"/>
  <c r="J252" i="80"/>
  <c r="J252" i="85"/>
  <c r="L146" i="90" s="1"/>
  <c r="DA413" i="80"/>
  <c r="DA395" i="80"/>
  <c r="DA429" i="80"/>
  <c r="EW395" i="80"/>
  <c r="EW429" i="80"/>
  <c r="EW413" i="80"/>
  <c r="CK448" i="80"/>
  <c r="CK234" i="80" s="1"/>
  <c r="DA19" i="80"/>
  <c r="DA52" i="80" s="1"/>
  <c r="DA412" i="80"/>
  <c r="DB18" i="80"/>
  <c r="CB148" i="79"/>
  <c r="CA156" i="79"/>
  <c r="CA158" i="79" s="1"/>
  <c r="CC148" i="79"/>
  <c r="DI448" i="80"/>
  <c r="DI234" i="80" s="1"/>
  <c r="Y413" i="80"/>
  <c r="Y429" i="80"/>
  <c r="Y395" i="80"/>
  <c r="AP448" i="79"/>
  <c r="AM439" i="79"/>
  <c r="BF435" i="80"/>
  <c r="BF438" i="80" s="1"/>
  <c r="BF439" i="80" s="1"/>
  <c r="BF448" i="80" s="1"/>
  <c r="BF394" i="80"/>
  <c r="BC429" i="80" s="1"/>
  <c r="CC447" i="79"/>
  <c r="CL435" i="80"/>
  <c r="CL438" i="80" s="1"/>
  <c r="CL439" i="80" s="1"/>
  <c r="CL448" i="80" s="1"/>
  <c r="CL394" i="80"/>
  <c r="AW71" i="79"/>
  <c r="AO71" i="79"/>
  <c r="BU71" i="79"/>
  <c r="Q71" i="79"/>
  <c r="EO71" i="79"/>
  <c r="BE71" i="79"/>
  <c r="DY71" i="79"/>
  <c r="Y71" i="79"/>
  <c r="EG71" i="79"/>
  <c r="DA71" i="79"/>
  <c r="CK71" i="79"/>
  <c r="CS71" i="79"/>
  <c r="CC71" i="79"/>
  <c r="DQ71" i="79"/>
  <c r="EW71" i="79"/>
  <c r="DI71" i="79"/>
  <c r="BM71" i="79"/>
  <c r="FE71" i="79"/>
  <c r="AG71" i="79"/>
  <c r="FM71" i="79"/>
  <c r="EO412" i="80"/>
  <c r="EO428" i="80" s="1"/>
  <c r="EO19" i="80"/>
  <c r="EO52" i="80" s="1"/>
  <c r="EP18" i="80"/>
  <c r="EW412" i="80"/>
  <c r="EW19" i="80"/>
  <c r="EW52" i="80" s="1"/>
  <c r="EX18" i="80"/>
  <c r="CS19" i="80"/>
  <c r="CS52" i="80" s="1"/>
  <c r="CS412" i="80"/>
  <c r="CS428" i="80" s="1"/>
  <c r="CT18" i="80"/>
  <c r="BU148" i="80"/>
  <c r="BS156" i="80"/>
  <c r="BS158" i="80" s="1"/>
  <c r="BT148" i="80"/>
  <c r="BC156" i="80"/>
  <c r="BC158" i="80" s="1"/>
  <c r="BD148" i="80"/>
  <c r="BE148" i="80"/>
  <c r="CD435" i="80"/>
  <c r="CD438" i="80" s="1"/>
  <c r="CD439" i="80" s="1"/>
  <c r="CD448" i="80" s="1"/>
  <c r="CD394" i="80"/>
  <c r="DY395" i="80"/>
  <c r="DY413" i="80"/>
  <c r="DY429" i="80"/>
  <c r="EO429" i="80"/>
  <c r="EO395" i="80"/>
  <c r="EO413" i="80"/>
  <c r="DJ435" i="80"/>
  <c r="DJ438" i="80" s="1"/>
  <c r="DJ439" i="80" s="1"/>
  <c r="DJ448" i="80" s="1"/>
  <c r="DJ394" i="80"/>
  <c r="FM19" i="79"/>
  <c r="FM52" i="79" s="1"/>
  <c r="FM412" i="79"/>
  <c r="FN18" i="79"/>
  <c r="Q412" i="79"/>
  <c r="Q19" i="79"/>
  <c r="Q52" i="79" s="1"/>
  <c r="R18" i="79"/>
  <c r="DR435" i="80"/>
  <c r="DR438" i="80" s="1"/>
  <c r="DR439" i="80" s="1"/>
  <c r="DR448" i="80" s="1"/>
  <c r="DR394" i="80"/>
  <c r="W156" i="79"/>
  <c r="W158" i="79" s="1"/>
  <c r="Y148" i="79"/>
  <c r="X148" i="79"/>
  <c r="BM148" i="79"/>
  <c r="BL148" i="79"/>
  <c r="BK156" i="79"/>
  <c r="BK158" i="79" s="1"/>
  <c r="Q148" i="79"/>
  <c r="O156" i="79"/>
  <c r="O158" i="79" s="1"/>
  <c r="P148" i="79"/>
  <c r="CL448" i="79"/>
  <c r="CI439" i="79"/>
  <c r="DH148" i="79"/>
  <c r="DI148" i="79"/>
  <c r="DG156" i="79"/>
  <c r="DG158" i="79" s="1"/>
  <c r="EW447" i="79"/>
  <c r="AP395" i="79"/>
  <c r="AP447" i="79" s="1"/>
  <c r="AP429" i="79"/>
  <c r="AM429" i="79"/>
  <c r="I63" i="80"/>
  <c r="I63" i="85"/>
  <c r="K29" i="90" s="1"/>
  <c r="I63" i="79"/>
  <c r="BE63" i="79" s="1"/>
  <c r="EM429" i="79"/>
  <c r="EP395" i="79"/>
  <c r="EP429" i="79"/>
  <c r="Q413" i="80"/>
  <c r="Q429" i="80"/>
  <c r="Q395" i="80"/>
  <c r="Q447" i="80" s="1"/>
  <c r="BE234" i="79"/>
  <c r="EW234" i="79"/>
  <c r="EO234" i="79"/>
  <c r="EG234" i="79"/>
  <c r="Y234" i="79"/>
  <c r="FM234" i="79"/>
  <c r="DY234" i="79"/>
  <c r="CC234" i="79"/>
  <c r="BE71" i="80"/>
  <c r="DY71" i="80"/>
  <c r="BM71" i="80"/>
  <c r="EO71" i="80"/>
  <c r="CC71" i="80"/>
  <c r="FM71" i="80"/>
  <c r="DA71" i="80"/>
  <c r="FE71" i="80"/>
  <c r="CK71" i="80"/>
  <c r="Y71" i="80"/>
  <c r="Q71" i="80"/>
  <c r="AW71" i="80"/>
  <c r="EG71" i="80"/>
  <c r="AO71" i="80"/>
  <c r="BU71" i="80"/>
  <c r="CS71" i="80"/>
  <c r="AG71" i="80"/>
  <c r="DQ71" i="80"/>
  <c r="DI71" i="80"/>
  <c r="EW71" i="80"/>
  <c r="Q19" i="80"/>
  <c r="Q52" i="80" s="1"/>
  <c r="Q412" i="80"/>
  <c r="Q428" i="80" s="1"/>
  <c r="R18" i="80"/>
  <c r="AW412" i="80"/>
  <c r="AW19" i="80"/>
  <c r="AW52" i="80" s="1"/>
  <c r="AX18" i="80"/>
  <c r="FM412" i="80"/>
  <c r="FM428" i="80" s="1"/>
  <c r="FM19" i="80"/>
  <c r="FM52" i="80" s="1"/>
  <c r="FN18" i="80"/>
  <c r="O439" i="79"/>
  <c r="DQ148" i="80"/>
  <c r="DP148" i="80"/>
  <c r="DO156" i="80"/>
  <c r="DO158" i="80" s="1"/>
  <c r="BL148" i="80"/>
  <c r="BM148" i="80"/>
  <c r="BK156" i="80"/>
  <c r="BK158" i="80" s="1"/>
  <c r="CS148" i="80"/>
  <c r="CR148" i="80"/>
  <c r="CQ156" i="80"/>
  <c r="CQ158" i="80" s="1"/>
  <c r="BN395" i="79"/>
  <c r="BN429" i="79"/>
  <c r="BK429" i="79"/>
  <c r="DZ394" i="80"/>
  <c r="DZ435" i="80"/>
  <c r="DZ438" i="80" s="1"/>
  <c r="DZ439" i="80" s="1"/>
  <c r="DO439" i="79"/>
  <c r="EO234" i="80"/>
  <c r="FE234" i="80"/>
  <c r="DI234" i="79"/>
  <c r="DY412" i="79"/>
  <c r="DY19" i="79"/>
  <c r="DY52" i="79" s="1"/>
  <c r="DZ18" i="79"/>
  <c r="BU19" i="79"/>
  <c r="BU52" i="79" s="1"/>
  <c r="BU412" i="79"/>
  <c r="BV18" i="79"/>
  <c r="DI19" i="79"/>
  <c r="DI52" i="79" s="1"/>
  <c r="DI412" i="79"/>
  <c r="DJ18" i="79"/>
  <c r="AU439" i="79"/>
  <c r="BE148" i="79"/>
  <c r="BD148" i="79"/>
  <c r="BC156" i="79"/>
  <c r="BC158" i="79" s="1"/>
  <c r="EG148" i="79"/>
  <c r="EF148" i="79"/>
  <c r="EE156" i="79"/>
  <c r="EE158" i="79" s="1"/>
  <c r="CJ148" i="79"/>
  <c r="CK148" i="79"/>
  <c r="CI156" i="79"/>
  <c r="CI158" i="79" s="1"/>
  <c r="AO447" i="79"/>
  <c r="DQ413" i="80"/>
  <c r="DQ429" i="80"/>
  <c r="DQ395" i="80"/>
  <c r="DQ447" i="80" s="1"/>
  <c r="G35" i="154"/>
  <c r="EU429" i="79"/>
  <c r="EX395" i="79"/>
  <c r="EX447" i="79" s="1"/>
  <c r="EX429" i="79"/>
  <c r="EP448" i="79"/>
  <c r="EM439" i="79"/>
  <c r="I91" i="80"/>
  <c r="I91" i="79"/>
  <c r="I91" i="85"/>
  <c r="K46" i="90" s="1"/>
  <c r="Q448" i="80"/>
  <c r="Q234" i="80" s="1"/>
  <c r="BE429" i="80"/>
  <c r="BE395" i="80"/>
  <c r="BE447" i="80" s="1"/>
  <c r="BE413" i="80"/>
  <c r="I243" i="79"/>
  <c r="I243" i="80"/>
  <c r="I243" i="85"/>
  <c r="K137" i="90" s="1"/>
  <c r="AG412" i="80"/>
  <c r="AG428" i="80" s="1"/>
  <c r="AG19" i="80"/>
  <c r="AG52" i="80" s="1"/>
  <c r="AH18" i="80"/>
  <c r="EG412" i="80"/>
  <c r="EG19" i="80"/>
  <c r="EG52" i="80" s="1"/>
  <c r="EH18" i="80"/>
  <c r="BM19" i="80"/>
  <c r="BM52" i="80" s="1"/>
  <c r="BM412" i="80"/>
  <c r="BN18" i="80"/>
  <c r="X148" i="80"/>
  <c r="W156" i="80"/>
  <c r="W158" i="80" s="1"/>
  <c r="Y148" i="80"/>
  <c r="FC156" i="80"/>
  <c r="FC158" i="80" s="1"/>
  <c r="FD148" i="80"/>
  <c r="FE148" i="80"/>
  <c r="AU156" i="80"/>
  <c r="AU158" i="80" s="1"/>
  <c r="AW148" i="80"/>
  <c r="AV148" i="80"/>
  <c r="CT394" i="80"/>
  <c r="CT435" i="80"/>
  <c r="CT438" i="80" s="1"/>
  <c r="CT439" i="80" s="1"/>
  <c r="CT448" i="80" s="1"/>
  <c r="FE429" i="80"/>
  <c r="FE413" i="80"/>
  <c r="FE395" i="80"/>
  <c r="CY429" i="79"/>
  <c r="EO412" i="79"/>
  <c r="EO19" i="79"/>
  <c r="EO52" i="79" s="1"/>
  <c r="EP18" i="79"/>
  <c r="DA412" i="79"/>
  <c r="DA19" i="79"/>
  <c r="DA52" i="79" s="1"/>
  <c r="DB18" i="79"/>
  <c r="FK156" i="79"/>
  <c r="FK158" i="79" s="1"/>
  <c r="FL148" i="79"/>
  <c r="FM148" i="79"/>
  <c r="AE156" i="79"/>
  <c r="AE158" i="79" s="1"/>
  <c r="AF148" i="79"/>
  <c r="AG148" i="79"/>
  <c r="EV148" i="79"/>
  <c r="EU156" i="79"/>
  <c r="EU158" i="79" s="1"/>
  <c r="EW148" i="79"/>
  <c r="CI429" i="79"/>
  <c r="CL429" i="79"/>
  <c r="CL395" i="79"/>
  <c r="BM413" i="80"/>
  <c r="BM395" i="80"/>
  <c r="BM447" i="80" s="1"/>
  <c r="BM429" i="80"/>
  <c r="AW429" i="80"/>
  <c r="AW413" i="80"/>
  <c r="AW395" i="80"/>
  <c r="G428" i="80"/>
  <c r="G430" i="80" s="1"/>
  <c r="H431" i="80" s="1"/>
  <c r="I428" i="80"/>
  <c r="I430" i="80" s="1"/>
  <c r="R394" i="80"/>
  <c r="R435" i="80"/>
  <c r="R438" i="80" s="1"/>
  <c r="R439" i="80" s="1"/>
  <c r="R448" i="80" s="1"/>
  <c r="DZ448" i="79"/>
  <c r="DW439" i="79"/>
  <c r="BE19" i="79"/>
  <c r="BE52" i="79" s="1"/>
  <c r="BE412" i="79"/>
  <c r="BF18" i="79"/>
  <c r="FE412" i="79"/>
  <c r="FE19" i="79"/>
  <c r="FE52" i="79" s="1"/>
  <c r="FF18" i="79"/>
  <c r="BV448" i="79"/>
  <c r="BS439" i="79"/>
  <c r="DR429" i="79"/>
  <c r="DO429" i="79"/>
  <c r="DR395" i="79"/>
  <c r="CK413" i="80"/>
  <c r="CK429" i="80"/>
  <c r="CK395" i="80"/>
  <c r="BM234" i="80"/>
  <c r="CD429" i="79"/>
  <c r="CD395" i="79"/>
  <c r="CD447" i="79" s="1"/>
  <c r="I414" i="80"/>
  <c r="I415" i="80" s="1"/>
  <c r="AO429" i="80"/>
  <c r="AO413" i="80"/>
  <c r="AO395" i="80"/>
  <c r="AO447" i="80" s="1"/>
  <c r="AX435" i="80"/>
  <c r="AX438" i="80" s="1"/>
  <c r="AX439" i="80" s="1"/>
  <c r="AX448" i="80" s="1"/>
  <c r="AX394" i="80"/>
  <c r="R429" i="79"/>
  <c r="R395" i="79"/>
  <c r="AW448" i="80"/>
  <c r="AW234" i="80" s="1"/>
  <c r="Y412" i="80"/>
  <c r="Y19" i="80"/>
  <c r="Y52" i="80" s="1"/>
  <c r="Z18" i="80"/>
  <c r="DQ412" i="80"/>
  <c r="DQ428" i="80" s="1"/>
  <c r="DQ19" i="80"/>
  <c r="DQ52" i="80" s="1"/>
  <c r="DR18" i="80"/>
  <c r="BU429" i="80"/>
  <c r="BU395" i="80"/>
  <c r="BU447" i="80" s="1"/>
  <c r="BU413" i="80"/>
  <c r="AG148" i="80"/>
  <c r="AE156" i="80"/>
  <c r="AE158" i="80" s="1"/>
  <c r="AF148" i="80"/>
  <c r="CZ148" i="80"/>
  <c r="DA148" i="80"/>
  <c r="CY156" i="80"/>
  <c r="CY158" i="80" s="1"/>
  <c r="CA156" i="80"/>
  <c r="CA158" i="80" s="1"/>
  <c r="CB148" i="80"/>
  <c r="CC148" i="80"/>
  <c r="DZ429" i="79"/>
  <c r="DZ395" i="79"/>
  <c r="EH394" i="80"/>
  <c r="EH435" i="80"/>
  <c r="EH438" i="80" s="1"/>
  <c r="EH439" i="80" s="1"/>
  <c r="DA447" i="79"/>
  <c r="Y412" i="79"/>
  <c r="Y19" i="79"/>
  <c r="Y52" i="79" s="1"/>
  <c r="Z18" i="79"/>
  <c r="CK412" i="79"/>
  <c r="CK19" i="79"/>
  <c r="CK52" i="79" s="1"/>
  <c r="CL18" i="79"/>
  <c r="I414" i="79"/>
  <c r="I415" i="79" s="1"/>
  <c r="G428" i="79"/>
  <c r="G430" i="79" s="1"/>
  <c r="H431" i="79" s="1"/>
  <c r="I428" i="79"/>
  <c r="I430" i="79" s="1"/>
  <c r="CS395" i="80"/>
  <c r="CS429" i="80"/>
  <c r="CS413" i="80"/>
  <c r="BV395" i="79"/>
  <c r="BV429" i="79"/>
  <c r="CZ148" i="79"/>
  <c r="DA148" i="79"/>
  <c r="CY156" i="79"/>
  <c r="CY158" i="79" s="1"/>
  <c r="J63" i="85"/>
  <c r="L29" i="90" s="1"/>
  <c r="J63" i="79"/>
  <c r="J63" i="80"/>
  <c r="AO234" i="79"/>
  <c r="DX228" i="79"/>
  <c r="DX152" i="79"/>
  <c r="CR228" i="79"/>
  <c r="CR152" i="79"/>
  <c r="AV152" i="79"/>
  <c r="AV228" i="79"/>
  <c r="EF228" i="79"/>
  <c r="EF152" i="79"/>
  <c r="FD228" i="79"/>
  <c r="FD152" i="79"/>
  <c r="CZ228" i="79"/>
  <c r="CZ152" i="79"/>
  <c r="Q86" i="35"/>
  <c r="S86" i="35" s="1"/>
  <c r="S59" i="35"/>
  <c r="S59" i="82"/>
  <c r="Q86" i="82"/>
  <c r="S86" i="82" s="1"/>
  <c r="DP152" i="79"/>
  <c r="DP228" i="79"/>
  <c r="BT228" i="79"/>
  <c r="BT152" i="79"/>
  <c r="L104" i="107"/>
  <c r="FL228" i="79"/>
  <c r="FL152" i="79"/>
  <c r="CJ228" i="79"/>
  <c r="CJ152" i="79"/>
  <c r="CB228" i="79"/>
  <c r="CB152" i="79"/>
  <c r="EV152" i="79"/>
  <c r="EV228" i="79"/>
  <c r="EN152" i="79"/>
  <c r="EN228" i="79"/>
  <c r="AN228" i="79"/>
  <c r="AN152" i="79"/>
  <c r="DH152" i="79"/>
  <c r="DH228" i="79"/>
  <c r="AF228" i="79"/>
  <c r="AF152" i="79"/>
  <c r="P228" i="79"/>
  <c r="P152" i="79"/>
  <c r="X228" i="79"/>
  <c r="X152" i="79"/>
  <c r="BL228" i="79"/>
  <c r="BL152" i="79"/>
  <c r="BD228" i="79"/>
  <c r="BD152" i="79"/>
  <c r="I22" i="170" l="1"/>
  <c r="J12" i="100"/>
  <c r="J14" i="100" s="1"/>
  <c r="J36" i="100"/>
  <c r="I17" i="105"/>
  <c r="G388" i="85"/>
  <c r="I91" i="105"/>
  <c r="K91" i="105" s="1"/>
  <c r="K188" i="163"/>
  <c r="J119" i="166"/>
  <c r="K470" i="163"/>
  <c r="N470" i="163" s="1"/>
  <c r="O470" i="163" s="1"/>
  <c r="J127" i="166"/>
  <c r="K190" i="163"/>
  <c r="N190" i="163" s="1"/>
  <c r="O190" i="163" s="1"/>
  <c r="J152" i="166"/>
  <c r="K365" i="163"/>
  <c r="J131" i="166"/>
  <c r="J63" i="169"/>
  <c r="J68" i="169"/>
  <c r="BD223" i="79"/>
  <c r="CR274" i="80"/>
  <c r="DH127" i="79"/>
  <c r="FD127" i="79"/>
  <c r="DP274" i="80"/>
  <c r="CL71" i="80"/>
  <c r="FF71" i="79"/>
  <c r="AF274" i="80"/>
  <c r="CL71" i="79"/>
  <c r="DX223" i="79"/>
  <c r="DX235" i="79" s="1"/>
  <c r="H34" i="171"/>
  <c r="H37" i="171" s="1"/>
  <c r="I75" i="169"/>
  <c r="AV274" i="80"/>
  <c r="BF71" i="80"/>
  <c r="H252" i="80"/>
  <c r="CB252" i="80" s="1"/>
  <c r="H252" i="79"/>
  <c r="DH252" i="79" s="1"/>
  <c r="DX119" i="79"/>
  <c r="H281" i="85"/>
  <c r="H72" i="166"/>
  <c r="H77" i="166" s="1"/>
  <c r="L128" i="166"/>
  <c r="L122" i="166"/>
  <c r="DJ71" i="80"/>
  <c r="FE414" i="80"/>
  <c r="FE415" i="80" s="1"/>
  <c r="FE451" i="80" s="1"/>
  <c r="FE228" i="80" s="1"/>
  <c r="Z71" i="80"/>
  <c r="CZ223" i="79"/>
  <c r="CZ235" i="79" s="1"/>
  <c r="DP223" i="79"/>
  <c r="DP235" i="79" s="1"/>
  <c r="CR223" i="79"/>
  <c r="CR235" i="79" s="1"/>
  <c r="EV223" i="79"/>
  <c r="EV235" i="79" s="1"/>
  <c r="AF223" i="79"/>
  <c r="AF235" i="79" s="1"/>
  <c r="X223" i="79"/>
  <c r="X235" i="79" s="1"/>
  <c r="AN223" i="79"/>
  <c r="AN235" i="79" s="1"/>
  <c r="CJ223" i="79"/>
  <c r="CJ235" i="79" s="1"/>
  <c r="FD274" i="80"/>
  <c r="FD281" i="80" s="1"/>
  <c r="FD283" i="80" s="1"/>
  <c r="FD328" i="80" s="1"/>
  <c r="AH71" i="80"/>
  <c r="X119" i="79"/>
  <c r="DP119" i="79"/>
  <c r="P119" i="79"/>
  <c r="CZ119" i="79"/>
  <c r="CR274" i="79"/>
  <c r="CR281" i="79" s="1"/>
  <c r="CR283" i="79" s="1"/>
  <c r="CR328" i="79" s="1"/>
  <c r="EF119" i="79"/>
  <c r="FL119" i="79"/>
  <c r="BD119" i="79"/>
  <c r="DH119" i="79"/>
  <c r="CJ119" i="79"/>
  <c r="BT119" i="79"/>
  <c r="EF274" i="79"/>
  <c r="EF281" i="79" s="1"/>
  <c r="EF283" i="79" s="1"/>
  <c r="EF328" i="79" s="1"/>
  <c r="AV119" i="79"/>
  <c r="CB119" i="79"/>
  <c r="BL119" i="79"/>
  <c r="EN119" i="79"/>
  <c r="AF119" i="79"/>
  <c r="AN119" i="79"/>
  <c r="EV119" i="79"/>
  <c r="FD119" i="79"/>
  <c r="P223" i="79"/>
  <c r="P235" i="79" s="1"/>
  <c r="FF71" i="80"/>
  <c r="AP71" i="79"/>
  <c r="FL223" i="79"/>
  <c r="FL235" i="79" s="1"/>
  <c r="BT223" i="79"/>
  <c r="BT235" i="79" s="1"/>
  <c r="FD223" i="79"/>
  <c r="FD235" i="79" s="1"/>
  <c r="AV223" i="79"/>
  <c r="H235" i="79"/>
  <c r="H237" i="79" s="1"/>
  <c r="FN71" i="80"/>
  <c r="BL223" i="79"/>
  <c r="BL235" i="79" s="1"/>
  <c r="EN223" i="79"/>
  <c r="EN235" i="79" s="1"/>
  <c r="EF223" i="79"/>
  <c r="DH223" i="79"/>
  <c r="DH235" i="79" s="1"/>
  <c r="BF71" i="79"/>
  <c r="EV274" i="79"/>
  <c r="EV281" i="79" s="1"/>
  <c r="EV283" i="79" s="1"/>
  <c r="EV328" i="79" s="1"/>
  <c r="CB274" i="79"/>
  <c r="CB281" i="79" s="1"/>
  <c r="CB283" i="79" s="1"/>
  <c r="CB328" i="79" s="1"/>
  <c r="BT274" i="79"/>
  <c r="BT281" i="79" s="1"/>
  <c r="BT283" i="79" s="1"/>
  <c r="BT328" i="79" s="1"/>
  <c r="BV71" i="80"/>
  <c r="X274" i="79"/>
  <c r="X281" i="79" s="1"/>
  <c r="X283" i="79" s="1"/>
  <c r="X328" i="79" s="1"/>
  <c r="P274" i="79"/>
  <c r="P281" i="79" s="1"/>
  <c r="P283" i="79" s="1"/>
  <c r="P328" i="79" s="1"/>
  <c r="FD274" i="79"/>
  <c r="FD281" i="79" s="1"/>
  <c r="FD283" i="79" s="1"/>
  <c r="FD328" i="79" s="1"/>
  <c r="DJ71" i="79"/>
  <c r="CZ274" i="79"/>
  <c r="CZ281" i="79" s="1"/>
  <c r="CZ283" i="79" s="1"/>
  <c r="CZ328" i="79" s="1"/>
  <c r="EH71" i="80"/>
  <c r="EX71" i="79"/>
  <c r="DZ71" i="79"/>
  <c r="CJ274" i="79"/>
  <c r="CJ281" i="79" s="1"/>
  <c r="CJ283" i="79" s="1"/>
  <c r="CJ328" i="79" s="1"/>
  <c r="AF274" i="79"/>
  <c r="AF281" i="79" s="1"/>
  <c r="AF283" i="79" s="1"/>
  <c r="AF328" i="79" s="1"/>
  <c r="DX274" i="79"/>
  <c r="EX71" i="80"/>
  <c r="DR71" i="79"/>
  <c r="AN274" i="79"/>
  <c r="AN281" i="79" s="1"/>
  <c r="AN283" i="79" s="1"/>
  <c r="AN328" i="79" s="1"/>
  <c r="FL274" i="79"/>
  <c r="FL281" i="79" s="1"/>
  <c r="FL283" i="79" s="1"/>
  <c r="FL328" i="79" s="1"/>
  <c r="EN274" i="79"/>
  <c r="EN281" i="79" s="1"/>
  <c r="EN283" i="79" s="1"/>
  <c r="EN328" i="79" s="1"/>
  <c r="BD274" i="79"/>
  <c r="BD281" i="79" s="1"/>
  <c r="BD283" i="79" s="1"/>
  <c r="BD328" i="79" s="1"/>
  <c r="BL274" i="79"/>
  <c r="BL281" i="79" s="1"/>
  <c r="BL283" i="79" s="1"/>
  <c r="BL328" i="79" s="1"/>
  <c r="DH274" i="79"/>
  <c r="DH281" i="79" s="1"/>
  <c r="DH283" i="79" s="1"/>
  <c r="DH328" i="79" s="1"/>
  <c r="DP274" i="79"/>
  <c r="DP281" i="79" s="1"/>
  <c r="DP283" i="79" s="1"/>
  <c r="DP328" i="79" s="1"/>
  <c r="AV274" i="79"/>
  <c r="AV281" i="79" s="1"/>
  <c r="AV283" i="79" s="1"/>
  <c r="AV328" i="79" s="1"/>
  <c r="DR71" i="80"/>
  <c r="CR119" i="80"/>
  <c r="J326" i="163"/>
  <c r="M122" i="166" s="1"/>
  <c r="I122" i="166" s="1"/>
  <c r="J495" i="163"/>
  <c r="M128" i="166" s="1"/>
  <c r="I128" i="166" s="1"/>
  <c r="EP71" i="79"/>
  <c r="AV228" i="80"/>
  <c r="AV235" i="80" s="1"/>
  <c r="AH71" i="79"/>
  <c r="BV71" i="79"/>
  <c r="AF119" i="80"/>
  <c r="N365" i="163"/>
  <c r="O365" i="163" s="1"/>
  <c r="AF223" i="80"/>
  <c r="DB71" i="80"/>
  <c r="BN71" i="79"/>
  <c r="AX71" i="79"/>
  <c r="AP71" i="80"/>
  <c r="CD71" i="79"/>
  <c r="D19" i="32"/>
  <c r="D21" i="32" s="1"/>
  <c r="D24" i="32" s="1"/>
  <c r="H84" i="166" s="1"/>
  <c r="DZ71" i="80"/>
  <c r="BT127" i="79"/>
  <c r="CZ127" i="79"/>
  <c r="AF127" i="79"/>
  <c r="AN127" i="79"/>
  <c r="X127" i="79"/>
  <c r="EV127" i="79"/>
  <c r="EF127" i="79"/>
  <c r="AV127" i="79"/>
  <c r="BD127" i="79"/>
  <c r="P127" i="79"/>
  <c r="DP127" i="79"/>
  <c r="EN127" i="79"/>
  <c r="CJ127" i="79"/>
  <c r="FL127" i="79"/>
  <c r="CB127" i="79"/>
  <c r="BL127" i="79"/>
  <c r="CR127" i="79"/>
  <c r="H156" i="85"/>
  <c r="EH71" i="79"/>
  <c r="AF131" i="79"/>
  <c r="AV119" i="80"/>
  <c r="AF228" i="80"/>
  <c r="CB131" i="79"/>
  <c r="AV127" i="80"/>
  <c r="Z71" i="79"/>
  <c r="X131" i="79"/>
  <c r="EV131" i="79"/>
  <c r="BD131" i="79"/>
  <c r="AF131" i="80"/>
  <c r="AV152" i="80"/>
  <c r="AV156" i="80" s="1"/>
  <c r="AV158" i="80" s="1"/>
  <c r="CR131" i="79"/>
  <c r="CD71" i="80"/>
  <c r="P131" i="79"/>
  <c r="AF127" i="80"/>
  <c r="AV131" i="80"/>
  <c r="FD131" i="79"/>
  <c r="AN91" i="79"/>
  <c r="AN93" i="79" s="1"/>
  <c r="CB91" i="79"/>
  <c r="CB93" i="79" s="1"/>
  <c r="H93" i="79"/>
  <c r="CJ91" i="79"/>
  <c r="CJ93" i="79" s="1"/>
  <c r="FL91" i="79"/>
  <c r="FL93" i="79" s="1"/>
  <c r="DH91" i="79"/>
  <c r="DH93" i="79" s="1"/>
  <c r="CZ91" i="79"/>
  <c r="CZ93" i="79" s="1"/>
  <c r="X91" i="79"/>
  <c r="X93" i="79" s="1"/>
  <c r="P91" i="79"/>
  <c r="P93" i="79" s="1"/>
  <c r="BT91" i="79"/>
  <c r="BT93" i="79" s="1"/>
  <c r="DP91" i="79"/>
  <c r="DP93" i="79" s="1"/>
  <c r="EF91" i="79"/>
  <c r="EF93" i="79" s="1"/>
  <c r="EN91" i="79"/>
  <c r="EN93" i="79" s="1"/>
  <c r="CR91" i="79"/>
  <c r="CR93" i="79" s="1"/>
  <c r="BL91" i="79"/>
  <c r="BL93" i="79" s="1"/>
  <c r="EV91" i="79"/>
  <c r="EV93" i="79" s="1"/>
  <c r="DX91" i="79"/>
  <c r="DX93" i="79" s="1"/>
  <c r="AF91" i="79"/>
  <c r="AF93" i="79" s="1"/>
  <c r="BD91" i="79"/>
  <c r="BD93" i="79" s="1"/>
  <c r="AV91" i="79"/>
  <c r="AV93" i="79" s="1"/>
  <c r="FD91" i="79"/>
  <c r="FD93" i="79" s="1"/>
  <c r="AF152" i="80"/>
  <c r="AF156" i="80" s="1"/>
  <c r="AF158" i="80" s="1"/>
  <c r="EN131" i="79"/>
  <c r="R71" i="80"/>
  <c r="BN71" i="80"/>
  <c r="DP127" i="80"/>
  <c r="BT131" i="79"/>
  <c r="DP131" i="79"/>
  <c r="FN71" i="79"/>
  <c r="R71" i="79"/>
  <c r="X91" i="80"/>
  <c r="X93" i="80" s="1"/>
  <c r="DH91" i="80"/>
  <c r="DH93" i="80" s="1"/>
  <c r="AN91" i="80"/>
  <c r="AN93" i="80" s="1"/>
  <c r="CJ91" i="80"/>
  <c r="CJ93" i="80" s="1"/>
  <c r="BT91" i="80"/>
  <c r="BT93" i="80" s="1"/>
  <c r="CB91" i="80"/>
  <c r="CB93" i="80" s="1"/>
  <c r="EV91" i="80"/>
  <c r="EV93" i="80" s="1"/>
  <c r="DP91" i="80"/>
  <c r="DP93" i="80" s="1"/>
  <c r="FD91" i="80"/>
  <c r="FD93" i="80" s="1"/>
  <c r="BD91" i="80"/>
  <c r="BD93" i="80" s="1"/>
  <c r="AV91" i="80"/>
  <c r="AV93" i="80" s="1"/>
  <c r="CR91" i="80"/>
  <c r="CR93" i="80" s="1"/>
  <c r="H93" i="80"/>
  <c r="BL91" i="80"/>
  <c r="BL93" i="80" s="1"/>
  <c r="AF91" i="80"/>
  <c r="AF93" i="80" s="1"/>
  <c r="CZ91" i="80"/>
  <c r="CZ93" i="80" s="1"/>
  <c r="P91" i="80"/>
  <c r="P93" i="80" s="1"/>
  <c r="EN91" i="80"/>
  <c r="EN93" i="80" s="1"/>
  <c r="DX91" i="80"/>
  <c r="DX93" i="80" s="1"/>
  <c r="EF91" i="80"/>
  <c r="EF93" i="80" s="1"/>
  <c r="FL91" i="80"/>
  <c r="FL93" i="80" s="1"/>
  <c r="AX71" i="80"/>
  <c r="EP71" i="80"/>
  <c r="CT71" i="79"/>
  <c r="CT71" i="80"/>
  <c r="DB71" i="79"/>
  <c r="I15" i="100"/>
  <c r="D30" i="154"/>
  <c r="G15" i="154" s="1"/>
  <c r="G19" i="154" s="1"/>
  <c r="D39" i="154" s="1"/>
  <c r="L93" i="169" s="1"/>
  <c r="H15" i="100"/>
  <c r="K14" i="100"/>
  <c r="K12" i="100"/>
  <c r="K15" i="100" s="1"/>
  <c r="X119" i="80"/>
  <c r="DH127" i="80"/>
  <c r="EV119" i="80"/>
  <c r="FD228" i="80"/>
  <c r="X228" i="80"/>
  <c r="X274" i="80"/>
  <c r="X281" i="80" s="1"/>
  <c r="X283" i="80" s="1"/>
  <c r="X328" i="80" s="1"/>
  <c r="DH223" i="80"/>
  <c r="BL131" i="79"/>
  <c r="EV274" i="80"/>
  <c r="EV281" i="80" s="1"/>
  <c r="EV283" i="80" s="1"/>
  <c r="EV328" i="80" s="1"/>
  <c r="FD119" i="80"/>
  <c r="X131" i="80"/>
  <c r="CZ131" i="79"/>
  <c r="EF131" i="79"/>
  <c r="DP119" i="80"/>
  <c r="DH119" i="80"/>
  <c r="FD152" i="80"/>
  <c r="FD156" i="80" s="1"/>
  <c r="FD158" i="80" s="1"/>
  <c r="EV152" i="80"/>
  <c r="EV156" i="80" s="1"/>
  <c r="EV158" i="80" s="1"/>
  <c r="X127" i="80"/>
  <c r="DP152" i="80"/>
  <c r="DP156" i="80" s="1"/>
  <c r="DP158" i="80" s="1"/>
  <c r="FD131" i="80"/>
  <c r="CJ131" i="79"/>
  <c r="DH228" i="80"/>
  <c r="EV131" i="80"/>
  <c r="FD127" i="80"/>
  <c r="DH152" i="80"/>
  <c r="DH156" i="80" s="1"/>
  <c r="DH158" i="80" s="1"/>
  <c r="EV127" i="80"/>
  <c r="FD223" i="80"/>
  <c r="X223" i="80"/>
  <c r="AN131" i="79"/>
  <c r="FL131" i="79"/>
  <c r="AV131" i="79"/>
  <c r="DP228" i="80"/>
  <c r="DH274" i="80"/>
  <c r="DH281" i="80" s="1"/>
  <c r="DH283" i="80" s="1"/>
  <c r="DH328" i="80" s="1"/>
  <c r="DX131" i="79"/>
  <c r="DP131" i="80"/>
  <c r="EV228" i="80"/>
  <c r="EV235" i="80" s="1"/>
  <c r="DP223" i="80"/>
  <c r="X152" i="80"/>
  <c r="X156" i="80" s="1"/>
  <c r="X158" i="80" s="1"/>
  <c r="CY395" i="79"/>
  <c r="DQ251" i="79"/>
  <c r="AP234" i="79"/>
  <c r="DY414" i="80"/>
  <c r="DY415" i="80" s="1"/>
  <c r="DY451" i="80" s="1"/>
  <c r="DY228" i="80" s="1"/>
  <c r="BD274" i="80"/>
  <c r="BD281" i="80" s="1"/>
  <c r="BD283" i="80" s="1"/>
  <c r="BD328" i="80" s="1"/>
  <c r="DH251" i="80"/>
  <c r="CZ119" i="80"/>
  <c r="AV63" i="80"/>
  <c r="AF63" i="80"/>
  <c r="DP63" i="80"/>
  <c r="CZ251" i="80"/>
  <c r="BL63" i="80"/>
  <c r="EN119" i="80"/>
  <c r="EN131" i="80"/>
  <c r="CB63" i="80"/>
  <c r="EN127" i="80"/>
  <c r="EN228" i="80"/>
  <c r="EN235" i="80" s="1"/>
  <c r="CR228" i="80"/>
  <c r="CR131" i="80"/>
  <c r="DR234" i="80"/>
  <c r="CR223" i="80"/>
  <c r="CR152" i="80"/>
  <c r="CR156" i="80" s="1"/>
  <c r="CR158" i="80" s="1"/>
  <c r="BU414" i="80"/>
  <c r="BU415" i="80" s="1"/>
  <c r="BU451" i="80" s="1"/>
  <c r="BU152" i="80" s="1"/>
  <c r="BU156" i="80" s="1"/>
  <c r="BU158" i="80" s="1"/>
  <c r="EN274" i="80"/>
  <c r="EN281" i="80" s="1"/>
  <c r="EN283" i="80" s="1"/>
  <c r="EN328" i="80" s="1"/>
  <c r="CR127" i="80"/>
  <c r="EN152" i="80"/>
  <c r="EN156" i="80" s="1"/>
  <c r="EN158" i="80" s="1"/>
  <c r="AX234" i="79"/>
  <c r="CJ63" i="80"/>
  <c r="DR234" i="79"/>
  <c r="CT234" i="79"/>
  <c r="EH234" i="79"/>
  <c r="AH234" i="79"/>
  <c r="BL251" i="80"/>
  <c r="BD119" i="80"/>
  <c r="EV63" i="80"/>
  <c r="CZ63" i="80"/>
  <c r="CZ274" i="80"/>
  <c r="CZ281" i="80" s="1"/>
  <c r="CZ283" i="80" s="1"/>
  <c r="CZ328" i="80" s="1"/>
  <c r="EF251" i="80"/>
  <c r="DH63" i="80"/>
  <c r="X251" i="80"/>
  <c r="AN251" i="80"/>
  <c r="BT251" i="80"/>
  <c r="EF63" i="80"/>
  <c r="X63" i="80"/>
  <c r="CB251" i="80"/>
  <c r="CR251" i="80"/>
  <c r="AN63" i="80"/>
  <c r="BT63" i="80"/>
  <c r="BD223" i="80"/>
  <c r="CZ131" i="80"/>
  <c r="EO414" i="80"/>
  <c r="EO415" i="80" s="1"/>
  <c r="EO451" i="80" s="1"/>
  <c r="EO152" i="80" s="1"/>
  <c r="EO156" i="80" s="1"/>
  <c r="EO158" i="80" s="1"/>
  <c r="CR63" i="80"/>
  <c r="BD127" i="80"/>
  <c r="DX251" i="80"/>
  <c r="BD251" i="80"/>
  <c r="CZ152" i="80"/>
  <c r="CZ156" i="80" s="1"/>
  <c r="CZ158" i="80" s="1"/>
  <c r="EN251" i="80"/>
  <c r="P63" i="80"/>
  <c r="CJ251" i="80"/>
  <c r="EV251" i="80"/>
  <c r="FD63" i="80"/>
  <c r="FL63" i="80"/>
  <c r="BD131" i="80"/>
  <c r="DX63" i="80"/>
  <c r="BD63" i="80"/>
  <c r="CZ127" i="80"/>
  <c r="EN63" i="80"/>
  <c r="P251" i="80"/>
  <c r="BD228" i="80"/>
  <c r="CZ223" i="80"/>
  <c r="CZ235" i="80" s="1"/>
  <c r="AF251" i="80"/>
  <c r="AV251" i="80"/>
  <c r="DP251" i="80"/>
  <c r="R234" i="79"/>
  <c r="P63" i="79"/>
  <c r="BD63" i="79"/>
  <c r="CJ63" i="79"/>
  <c r="AF63" i="79"/>
  <c r="EV63" i="79"/>
  <c r="DH63" i="79"/>
  <c r="FD63" i="79"/>
  <c r="BT63" i="79"/>
  <c r="X63" i="79"/>
  <c r="AN63" i="79"/>
  <c r="FL63" i="79"/>
  <c r="DX63" i="79"/>
  <c r="BL63" i="79"/>
  <c r="EF63" i="79"/>
  <c r="CR63" i="79"/>
  <c r="AV63" i="79"/>
  <c r="DP63" i="79"/>
  <c r="EN63" i="79"/>
  <c r="CB63" i="79"/>
  <c r="CZ63" i="79"/>
  <c r="BD251" i="79"/>
  <c r="AF251" i="79"/>
  <c r="AN251" i="79"/>
  <c r="X251" i="79"/>
  <c r="EN251" i="79"/>
  <c r="DP251" i="79"/>
  <c r="BT251" i="79"/>
  <c r="CR251" i="79"/>
  <c r="EF251" i="79"/>
  <c r="AV251" i="79"/>
  <c r="CB251" i="79"/>
  <c r="FD251" i="79"/>
  <c r="DH251" i="79"/>
  <c r="EV251" i="79"/>
  <c r="FL251" i="79"/>
  <c r="P251" i="79"/>
  <c r="CZ251" i="79"/>
  <c r="DX251" i="79"/>
  <c r="CJ251" i="79"/>
  <c r="BL251" i="79"/>
  <c r="AO414" i="80"/>
  <c r="AO415" i="80" s="1"/>
  <c r="AO451" i="80" s="1"/>
  <c r="AO228" i="80" s="1"/>
  <c r="FD251" i="80"/>
  <c r="CD234" i="79"/>
  <c r="DB234" i="79"/>
  <c r="FL251" i="80"/>
  <c r="BF234" i="80"/>
  <c r="EX148" i="79"/>
  <c r="CL234" i="79"/>
  <c r="CK414" i="80"/>
  <c r="CK415" i="80" s="1"/>
  <c r="CK451" i="80" s="1"/>
  <c r="CK152" i="80" s="1"/>
  <c r="CK156" i="80" s="1"/>
  <c r="CK158" i="80" s="1"/>
  <c r="BE414" i="80"/>
  <c r="BE415" i="80" s="1"/>
  <c r="BE451" i="80" s="1"/>
  <c r="BE152" i="80" s="1"/>
  <c r="BE156" i="80" s="1"/>
  <c r="BE158" i="80" s="1"/>
  <c r="CC430" i="80"/>
  <c r="CS414" i="80"/>
  <c r="CS415" i="80" s="1"/>
  <c r="CS451" i="80" s="1"/>
  <c r="CS152" i="80" s="1"/>
  <c r="CS156" i="80" s="1"/>
  <c r="CS158" i="80" s="1"/>
  <c r="AG430" i="80"/>
  <c r="FM430" i="80"/>
  <c r="EX234" i="79"/>
  <c r="DQ430" i="80"/>
  <c r="AP148" i="80"/>
  <c r="EX148" i="80"/>
  <c r="Q430" i="80"/>
  <c r="FN234" i="79"/>
  <c r="Z148" i="80"/>
  <c r="R148" i="79"/>
  <c r="CL234" i="80"/>
  <c r="CD148" i="80"/>
  <c r="CA439" i="80"/>
  <c r="BV234" i="79"/>
  <c r="CT234" i="80"/>
  <c r="DQ63" i="79"/>
  <c r="CT148" i="80"/>
  <c r="BN148" i="79"/>
  <c r="AP148" i="79"/>
  <c r="DZ148" i="80"/>
  <c r="AH148" i="80"/>
  <c r="Z148" i="79"/>
  <c r="BV148" i="80"/>
  <c r="FN148" i="79"/>
  <c r="EP234" i="79"/>
  <c r="DJ148" i="80"/>
  <c r="J431" i="79"/>
  <c r="AW63" i="79"/>
  <c r="CD148" i="79"/>
  <c r="FN148" i="80"/>
  <c r="EH148" i="79"/>
  <c r="BF234" i="79"/>
  <c r="EP148" i="79"/>
  <c r="CY439" i="80"/>
  <c r="AX148" i="79"/>
  <c r="DB148" i="79"/>
  <c r="AX234" i="80"/>
  <c r="DJ148" i="79"/>
  <c r="CT148" i="79"/>
  <c r="Q414" i="80"/>
  <c r="Q415" i="80" s="1"/>
  <c r="Q451" i="80" s="1"/>
  <c r="Q152" i="80" s="1"/>
  <c r="Q156" i="80" s="1"/>
  <c r="Q158" i="80" s="1"/>
  <c r="DJ234" i="80"/>
  <c r="CI439" i="80"/>
  <c r="DB234" i="80"/>
  <c r="Z234" i="79"/>
  <c r="CQ439" i="80"/>
  <c r="CK63" i="79"/>
  <c r="BV447" i="79"/>
  <c r="BS395" i="79"/>
  <c r="EE429" i="80"/>
  <c r="EH395" i="80"/>
  <c r="EH413" i="80"/>
  <c r="EH429" i="80"/>
  <c r="DR412" i="80"/>
  <c r="DR19" i="80"/>
  <c r="DR52" i="80" s="1"/>
  <c r="R447" i="79"/>
  <c r="O395" i="79"/>
  <c r="I451" i="80"/>
  <c r="G415" i="80"/>
  <c r="FE447" i="80"/>
  <c r="BM428" i="80"/>
  <c r="BM430" i="80" s="1"/>
  <c r="BM414" i="80"/>
  <c r="BM415" i="80" s="1"/>
  <c r="BM451" i="80" s="1"/>
  <c r="R234" i="80"/>
  <c r="DZ412" i="79"/>
  <c r="DZ19" i="79"/>
  <c r="DZ52" i="79" s="1"/>
  <c r="FN19" i="80"/>
  <c r="FN52" i="80" s="1"/>
  <c r="FN412" i="80"/>
  <c r="FN412" i="79"/>
  <c r="FN19" i="79"/>
  <c r="FN52" i="79" s="1"/>
  <c r="EX412" i="80"/>
  <c r="EX19" i="80"/>
  <c r="EX52" i="80" s="1"/>
  <c r="AW428" i="79"/>
  <c r="AW430" i="79" s="1"/>
  <c r="AW414" i="79"/>
  <c r="AW415" i="79" s="1"/>
  <c r="AW451" i="79" s="1"/>
  <c r="EP448" i="80"/>
  <c r="EP234" i="80" s="1"/>
  <c r="EM439" i="80"/>
  <c r="DZ412" i="80"/>
  <c r="DZ19" i="80"/>
  <c r="DZ52" i="80" s="1"/>
  <c r="FN447" i="79"/>
  <c r="FK395" i="79"/>
  <c r="AH412" i="79"/>
  <c r="AH19" i="79"/>
  <c r="AH52" i="79" s="1"/>
  <c r="BK429" i="80"/>
  <c r="BN395" i="80"/>
  <c r="BN429" i="80"/>
  <c r="BN413" i="80"/>
  <c r="AG447" i="80"/>
  <c r="CC428" i="79"/>
  <c r="CC430" i="79" s="1"/>
  <c r="CC414" i="79"/>
  <c r="CC415" i="79" s="1"/>
  <c r="CC451" i="79" s="1"/>
  <c r="CC414" i="80"/>
  <c r="CC415" i="80" s="1"/>
  <c r="EH148" i="80"/>
  <c r="CK428" i="79"/>
  <c r="CK430" i="79" s="1"/>
  <c r="CK414" i="79"/>
  <c r="CK415" i="79" s="1"/>
  <c r="CK451" i="79" s="1"/>
  <c r="DZ447" i="79"/>
  <c r="DW395" i="79"/>
  <c r="DB148" i="80"/>
  <c r="DB412" i="79"/>
  <c r="DB19" i="79"/>
  <c r="DB52" i="79" s="1"/>
  <c r="EG243" i="80"/>
  <c r="EH243" i="80" s="1"/>
  <c r="FM243" i="80"/>
  <c r="FN243" i="80" s="1"/>
  <c r="BE243" i="80"/>
  <c r="BF243" i="80" s="1"/>
  <c r="CS243" i="80"/>
  <c r="CT243" i="80" s="1"/>
  <c r="DI243" i="80"/>
  <c r="DJ243" i="80" s="1"/>
  <c r="FE243" i="80"/>
  <c r="FF243" i="80" s="1"/>
  <c r="CK243" i="80"/>
  <c r="CL243" i="80" s="1"/>
  <c r="DQ243" i="80"/>
  <c r="DR243" i="80" s="1"/>
  <c r="EW243" i="80"/>
  <c r="EX243" i="80" s="1"/>
  <c r="Y243" i="80"/>
  <c r="Z243" i="80" s="1"/>
  <c r="AO243" i="80"/>
  <c r="AP243" i="80" s="1"/>
  <c r="EO243" i="80"/>
  <c r="EP243" i="80" s="1"/>
  <c r="DA243" i="80"/>
  <c r="DB243" i="80" s="1"/>
  <c r="Q243" i="80"/>
  <c r="R243" i="80" s="1"/>
  <c r="BU243" i="80"/>
  <c r="BV243" i="80" s="1"/>
  <c r="AW243" i="80"/>
  <c r="AX243" i="80" s="1"/>
  <c r="DY243" i="80"/>
  <c r="DZ243" i="80" s="1"/>
  <c r="CC243" i="80"/>
  <c r="CD243" i="80" s="1"/>
  <c r="BM243" i="80"/>
  <c r="BN243" i="80" s="1"/>
  <c r="AG243" i="80"/>
  <c r="AH243" i="80" s="1"/>
  <c r="I93" i="85"/>
  <c r="DZ448" i="80"/>
  <c r="DZ234" i="80" s="1"/>
  <c r="DW439" i="80"/>
  <c r="FM428" i="79"/>
  <c r="FM430" i="79" s="1"/>
  <c r="FM414" i="79"/>
  <c r="FM415" i="79" s="1"/>
  <c r="FM451" i="79" s="1"/>
  <c r="BC439" i="80"/>
  <c r="I127" i="79"/>
  <c r="I127" i="85"/>
  <c r="K73" i="90" s="1"/>
  <c r="I127" i="80"/>
  <c r="DI251" i="80"/>
  <c r="DI63" i="80"/>
  <c r="AG428" i="79"/>
  <c r="AG430" i="79" s="1"/>
  <c r="AG414" i="79"/>
  <c r="AG415" i="79" s="1"/>
  <c r="AG451" i="79" s="1"/>
  <c r="BN448" i="80"/>
  <c r="BN234" i="80" s="1"/>
  <c r="BK439" i="80"/>
  <c r="BN412" i="79"/>
  <c r="BN19" i="79"/>
  <c r="BN52" i="79" s="1"/>
  <c r="BF447" i="79"/>
  <c r="BC395" i="79"/>
  <c r="CC63" i="80"/>
  <c r="CC251" i="80"/>
  <c r="AO430" i="80"/>
  <c r="EX412" i="79"/>
  <c r="EX19" i="79"/>
  <c r="EX52" i="79" s="1"/>
  <c r="Z412" i="79"/>
  <c r="Z19" i="79"/>
  <c r="Z52" i="79" s="1"/>
  <c r="AX413" i="80"/>
  <c r="AX429" i="80"/>
  <c r="AX395" i="80"/>
  <c r="AX447" i="80" s="1"/>
  <c r="FF412" i="79"/>
  <c r="FF19" i="79"/>
  <c r="FF52" i="79" s="1"/>
  <c r="BM63" i="80"/>
  <c r="BM251" i="80"/>
  <c r="AH148" i="79"/>
  <c r="FF148" i="80"/>
  <c r="EH412" i="80"/>
  <c r="EH19" i="80"/>
  <c r="EH52" i="80" s="1"/>
  <c r="EO243" i="79"/>
  <c r="EP243" i="79" s="1"/>
  <c r="EW243" i="79"/>
  <c r="EX243" i="79" s="1"/>
  <c r="DA243" i="79"/>
  <c r="DB243" i="79" s="1"/>
  <c r="DQ243" i="79"/>
  <c r="DR243" i="79" s="1"/>
  <c r="AO243" i="79"/>
  <c r="AP243" i="79" s="1"/>
  <c r="DI243" i="79"/>
  <c r="DJ243" i="79" s="1"/>
  <c r="FM243" i="79"/>
  <c r="FN243" i="79" s="1"/>
  <c r="DY243" i="79"/>
  <c r="DZ243" i="79" s="1"/>
  <c r="FE243" i="79"/>
  <c r="FF243" i="79" s="1"/>
  <c r="Q243" i="79"/>
  <c r="R243" i="79" s="1"/>
  <c r="BE243" i="79"/>
  <c r="BF243" i="79" s="1"/>
  <c r="CC243" i="79"/>
  <c r="CD243" i="79" s="1"/>
  <c r="BM243" i="79"/>
  <c r="BN243" i="79" s="1"/>
  <c r="EG243" i="79"/>
  <c r="EH243" i="79" s="1"/>
  <c r="AW243" i="79"/>
  <c r="AX243" i="79" s="1"/>
  <c r="AG243" i="79"/>
  <c r="AH243" i="79" s="1"/>
  <c r="CK243" i="79"/>
  <c r="CL243" i="79" s="1"/>
  <c r="Y243" i="79"/>
  <c r="Z243" i="79" s="1"/>
  <c r="CS243" i="79"/>
  <c r="CT243" i="79" s="1"/>
  <c r="BU243" i="79"/>
  <c r="BV243" i="79" s="1"/>
  <c r="I252" i="80"/>
  <c r="I252" i="79"/>
  <c r="I252" i="85"/>
  <c r="K146" i="90" s="1"/>
  <c r="CL148" i="79"/>
  <c r="DJ412" i="79"/>
  <c r="DJ19" i="79"/>
  <c r="DJ52" i="79" s="1"/>
  <c r="DY428" i="79"/>
  <c r="DY430" i="79" s="1"/>
  <c r="DY414" i="79"/>
  <c r="DY415" i="79" s="1"/>
  <c r="DY451" i="79" s="1"/>
  <c r="DW429" i="80"/>
  <c r="DZ429" i="80"/>
  <c r="DZ395" i="80"/>
  <c r="DZ447" i="80" s="1"/>
  <c r="DZ413" i="80"/>
  <c r="BN148" i="80"/>
  <c r="EW428" i="80"/>
  <c r="EW430" i="80" s="1"/>
  <c r="EW414" i="80"/>
  <c r="EW415" i="80" s="1"/>
  <c r="EW451" i="80" s="1"/>
  <c r="Z429" i="80"/>
  <c r="Z413" i="80"/>
  <c r="Z395" i="80"/>
  <c r="Z447" i="80" s="1"/>
  <c r="W429" i="80"/>
  <c r="DJ19" i="80"/>
  <c r="DJ52" i="80" s="1"/>
  <c r="DJ412" i="80"/>
  <c r="DY430" i="80"/>
  <c r="H93" i="105"/>
  <c r="M34" i="171" s="1"/>
  <c r="I34" i="171" s="1"/>
  <c r="I37" i="171" s="1"/>
  <c r="I39" i="171" s="1"/>
  <c r="K17" i="105"/>
  <c r="I119" i="80"/>
  <c r="I119" i="79"/>
  <c r="I119" i="85"/>
  <c r="K65" i="90" s="1"/>
  <c r="AW251" i="79"/>
  <c r="BM251" i="79"/>
  <c r="CS251" i="79"/>
  <c r="DY251" i="79"/>
  <c r="DI251" i="79"/>
  <c r="FE251" i="79"/>
  <c r="BU251" i="79"/>
  <c r="Y63" i="79"/>
  <c r="FM251" i="79"/>
  <c r="AG251" i="79"/>
  <c r="FM63" i="80"/>
  <c r="FM251" i="80"/>
  <c r="CT447" i="79"/>
  <c r="CQ395" i="79"/>
  <c r="BF412" i="80"/>
  <c r="BF19" i="80"/>
  <c r="BF52" i="80" s="1"/>
  <c r="CS447" i="80"/>
  <c r="Z412" i="80"/>
  <c r="Z19" i="80"/>
  <c r="Z52" i="80" s="1"/>
  <c r="R395" i="80"/>
  <c r="R413" i="80"/>
  <c r="R429" i="80"/>
  <c r="CL447" i="79"/>
  <c r="CI395" i="79"/>
  <c r="DA414" i="79"/>
  <c r="DA415" i="79" s="1"/>
  <c r="DA451" i="79" s="1"/>
  <c r="DA428" i="79"/>
  <c r="DA430" i="79" s="1"/>
  <c r="AG91" i="79"/>
  <c r="CC91" i="79"/>
  <c r="DI91" i="79"/>
  <c r="CK91" i="79"/>
  <c r="BU91" i="79"/>
  <c r="AO91" i="79"/>
  <c r="FM91" i="79"/>
  <c r="I93" i="79"/>
  <c r="CS91" i="79"/>
  <c r="BE91" i="79"/>
  <c r="Q91" i="79"/>
  <c r="DQ91" i="79"/>
  <c r="BM91" i="79"/>
  <c r="Y91" i="79"/>
  <c r="AW91" i="79"/>
  <c r="DA91" i="79"/>
  <c r="EW91" i="79"/>
  <c r="DY91" i="79"/>
  <c r="EO91" i="79"/>
  <c r="FE91" i="79"/>
  <c r="EG91" i="79"/>
  <c r="AM395" i="79"/>
  <c r="DI414" i="79"/>
  <c r="DI415" i="79" s="1"/>
  <c r="DI451" i="79" s="1"/>
  <c r="DI428" i="79"/>
  <c r="DI430" i="79" s="1"/>
  <c r="DJ234" i="79"/>
  <c r="AX412" i="80"/>
  <c r="AX19" i="80"/>
  <c r="AX52" i="80" s="1"/>
  <c r="EP447" i="79"/>
  <c r="EM395" i="79"/>
  <c r="EU395" i="79"/>
  <c r="DR429" i="80"/>
  <c r="DR395" i="80"/>
  <c r="DR413" i="80"/>
  <c r="DJ395" i="80"/>
  <c r="DJ413" i="80"/>
  <c r="DG429" i="80"/>
  <c r="DJ429" i="80"/>
  <c r="DY447" i="80"/>
  <c r="EP412" i="80"/>
  <c r="EP19" i="80"/>
  <c r="EP52" i="80" s="1"/>
  <c r="CL429" i="80"/>
  <c r="CL395" i="80"/>
  <c r="CL447" i="80" s="1"/>
  <c r="CL413" i="80"/>
  <c r="CI429" i="80"/>
  <c r="DA447" i="80"/>
  <c r="DZ148" i="79"/>
  <c r="Z448" i="80"/>
  <c r="Z234" i="80" s="1"/>
  <c r="W439" i="80"/>
  <c r="CK251" i="79"/>
  <c r="I131" i="80"/>
  <c r="I131" i="79"/>
  <c r="I131" i="85"/>
  <c r="K77" i="90" s="1"/>
  <c r="I228" i="80"/>
  <c r="I228" i="79"/>
  <c r="I228" i="85"/>
  <c r="K129" i="90" s="1"/>
  <c r="FK439" i="80"/>
  <c r="DR19" i="79"/>
  <c r="DR52" i="79" s="1"/>
  <c r="DR412" i="79"/>
  <c r="CD234" i="80"/>
  <c r="Y251" i="79"/>
  <c r="EO251" i="79"/>
  <c r="AG63" i="79"/>
  <c r="DO439" i="80"/>
  <c r="AG414" i="80"/>
  <c r="AG415" i="80" s="1"/>
  <c r="AG451" i="80" s="1"/>
  <c r="BV148" i="79"/>
  <c r="FM414" i="80"/>
  <c r="FM415" i="80" s="1"/>
  <c r="FM451" i="80" s="1"/>
  <c r="BM428" i="79"/>
  <c r="BM430" i="79" s="1"/>
  <c r="BM414" i="79"/>
  <c r="BM415" i="79" s="1"/>
  <c r="BM451" i="79" s="1"/>
  <c r="BS429" i="80"/>
  <c r="BV395" i="80"/>
  <c r="BV413" i="80"/>
  <c r="BV429" i="80"/>
  <c r="AH447" i="79"/>
  <c r="AE395" i="79"/>
  <c r="EW428" i="79"/>
  <c r="EW430" i="79" s="1"/>
  <c r="EW414" i="79"/>
  <c r="EW415" i="79" s="1"/>
  <c r="EW451" i="79" s="1"/>
  <c r="I431" i="79"/>
  <c r="Y414" i="79"/>
  <c r="Y415" i="79" s="1"/>
  <c r="Y451" i="79" s="1"/>
  <c r="Y428" i="79"/>
  <c r="Y430" i="79" s="1"/>
  <c r="AO251" i="80"/>
  <c r="AO63" i="80"/>
  <c r="CK447" i="80"/>
  <c r="FE428" i="79"/>
  <c r="FE430" i="79" s="1"/>
  <c r="FE414" i="79"/>
  <c r="FE415" i="79" s="1"/>
  <c r="FE451" i="79" s="1"/>
  <c r="I431" i="80"/>
  <c r="EP412" i="79"/>
  <c r="EP19" i="79"/>
  <c r="EP52" i="79" s="1"/>
  <c r="EG428" i="80"/>
  <c r="EG430" i="80" s="1"/>
  <c r="EG414" i="80"/>
  <c r="EG415" i="80" s="1"/>
  <c r="EG451" i="80" s="1"/>
  <c r="AW91" i="80"/>
  <c r="DI91" i="80"/>
  <c r="DQ91" i="80"/>
  <c r="BE91" i="80"/>
  <c r="CC91" i="80"/>
  <c r="DA91" i="80"/>
  <c r="EO91" i="80"/>
  <c r="I93" i="80"/>
  <c r="FM91" i="80"/>
  <c r="EW91" i="80"/>
  <c r="BM91" i="80"/>
  <c r="Q91" i="80"/>
  <c r="FE91" i="80"/>
  <c r="CK91" i="80"/>
  <c r="EG91" i="80"/>
  <c r="BU91" i="80"/>
  <c r="AG91" i="80"/>
  <c r="CS91" i="80"/>
  <c r="DY91" i="80"/>
  <c r="Y91" i="80"/>
  <c r="AO91" i="80"/>
  <c r="DQ63" i="80"/>
  <c r="DQ251" i="80"/>
  <c r="AO63" i="79"/>
  <c r="AO251" i="79"/>
  <c r="EW251" i="79"/>
  <c r="EW63" i="79"/>
  <c r="CA429" i="80"/>
  <c r="CD429" i="80"/>
  <c r="CD413" i="80"/>
  <c r="CD395" i="80"/>
  <c r="Y447" i="80"/>
  <c r="AP412" i="79"/>
  <c r="AP19" i="79"/>
  <c r="AP52" i="79" s="1"/>
  <c r="DI414" i="80"/>
  <c r="DI415" i="80" s="1"/>
  <c r="DI451" i="80" s="1"/>
  <c r="DI428" i="80"/>
  <c r="DI430" i="80" s="1"/>
  <c r="AP429" i="80"/>
  <c r="AP413" i="80"/>
  <c r="AP395" i="80"/>
  <c r="FF429" i="80"/>
  <c r="FC429" i="80"/>
  <c r="FF413" i="80"/>
  <c r="FF395" i="80"/>
  <c r="FF447" i="80" s="1"/>
  <c r="FN234" i="80"/>
  <c r="CL148" i="80"/>
  <c r="CL19" i="80"/>
  <c r="CL52" i="80" s="1"/>
  <c r="CL412" i="80"/>
  <c r="EX395" i="80"/>
  <c r="EX447" i="80" s="1"/>
  <c r="EX429" i="80"/>
  <c r="EX413" i="80"/>
  <c r="EH412" i="79"/>
  <c r="EH19" i="79"/>
  <c r="EH52" i="79" s="1"/>
  <c r="BV448" i="80"/>
  <c r="BV234" i="80" s="1"/>
  <c r="BS439" i="80"/>
  <c r="FF412" i="80"/>
  <c r="FF19" i="80"/>
  <c r="FF52" i="80" s="1"/>
  <c r="EE395" i="79"/>
  <c r="BE430" i="80"/>
  <c r="Y428" i="80"/>
  <c r="Y430" i="80" s="1"/>
  <c r="Y414" i="80"/>
  <c r="Y415" i="80" s="1"/>
  <c r="Y451" i="80" s="1"/>
  <c r="BF412" i="79"/>
  <c r="BF19" i="79"/>
  <c r="BF52" i="79" s="1"/>
  <c r="CQ429" i="80"/>
  <c r="CT395" i="80"/>
  <c r="CT447" i="80" s="1"/>
  <c r="CT429" i="80"/>
  <c r="CT413" i="80"/>
  <c r="AH412" i="80"/>
  <c r="AH19" i="80"/>
  <c r="AH52" i="80" s="1"/>
  <c r="BE63" i="80"/>
  <c r="BE251" i="80"/>
  <c r="DO429" i="80"/>
  <c r="BV412" i="79"/>
  <c r="BV19" i="79"/>
  <c r="BV52" i="79" s="1"/>
  <c r="BN447" i="79"/>
  <c r="BK395" i="79"/>
  <c r="DR148" i="80"/>
  <c r="AW414" i="80"/>
  <c r="AW415" i="80" s="1"/>
  <c r="AW451" i="80" s="1"/>
  <c r="AW428" i="80"/>
  <c r="AW430" i="80" s="1"/>
  <c r="O429" i="80"/>
  <c r="BU63" i="79"/>
  <c r="CS63" i="79"/>
  <c r="Q63" i="79"/>
  <c r="DI63" i="79"/>
  <c r="EO63" i="79"/>
  <c r="BM63" i="79"/>
  <c r="FM63" i="79"/>
  <c r="DY63" i="79"/>
  <c r="FE63" i="79"/>
  <c r="R412" i="79"/>
  <c r="R19" i="79"/>
  <c r="R52" i="79" s="1"/>
  <c r="CT19" i="80"/>
  <c r="CT52" i="80" s="1"/>
  <c r="CT412" i="80"/>
  <c r="EO430" i="80"/>
  <c r="CA395" i="79"/>
  <c r="EW447" i="80"/>
  <c r="BV412" i="80"/>
  <c r="BV19" i="80"/>
  <c r="BV52" i="80" s="1"/>
  <c r="I152" i="80"/>
  <c r="I156" i="80" s="1"/>
  <c r="I158" i="80" s="1"/>
  <c r="I152" i="79"/>
  <c r="I156" i="79" s="1"/>
  <c r="I158" i="79" s="1"/>
  <c r="I152" i="85"/>
  <c r="K90" i="90" s="1"/>
  <c r="FF448" i="80"/>
  <c r="FF234" i="80" s="1"/>
  <c r="FC439" i="80"/>
  <c r="CT412" i="79"/>
  <c r="CT19" i="79"/>
  <c r="CT52" i="79" s="1"/>
  <c r="DQ428" i="79"/>
  <c r="DQ430" i="79" s="1"/>
  <c r="DQ414" i="79"/>
  <c r="DQ415" i="79" s="1"/>
  <c r="DQ451" i="79" s="1"/>
  <c r="EX448" i="80"/>
  <c r="EX234" i="80" s="1"/>
  <c r="EU439" i="80"/>
  <c r="BE251" i="79"/>
  <c r="EG251" i="79"/>
  <c r="EG63" i="79"/>
  <c r="I451" i="79"/>
  <c r="G415" i="79"/>
  <c r="DA251" i="79"/>
  <c r="DA63" i="79"/>
  <c r="BU63" i="80"/>
  <c r="BU251" i="80"/>
  <c r="AU439" i="80"/>
  <c r="BE414" i="79"/>
  <c r="BE415" i="79" s="1"/>
  <c r="BE451" i="79" s="1"/>
  <c r="BE428" i="79"/>
  <c r="BE430" i="79" s="1"/>
  <c r="AW447" i="80"/>
  <c r="EO428" i="79"/>
  <c r="EO430" i="79" s="1"/>
  <c r="EO414" i="79"/>
  <c r="EO415" i="79" s="1"/>
  <c r="EO451" i="79" s="1"/>
  <c r="AX148" i="80"/>
  <c r="BU414" i="79"/>
  <c r="BU415" i="79" s="1"/>
  <c r="BU451" i="79" s="1"/>
  <c r="BU428" i="79"/>
  <c r="BU430" i="79" s="1"/>
  <c r="R412" i="80"/>
  <c r="R19" i="80"/>
  <c r="R52" i="80" s="1"/>
  <c r="DZ234" i="79"/>
  <c r="Q63" i="80"/>
  <c r="Q251" i="80"/>
  <c r="EO447" i="80"/>
  <c r="CS430" i="80"/>
  <c r="CC63" i="79"/>
  <c r="CC251" i="79"/>
  <c r="DB412" i="80"/>
  <c r="DB19" i="80"/>
  <c r="DB52" i="80" s="1"/>
  <c r="AO428" i="79"/>
  <c r="AO430" i="79" s="1"/>
  <c r="AO414" i="79"/>
  <c r="AO415" i="79" s="1"/>
  <c r="AO451" i="79" s="1"/>
  <c r="EG63" i="80"/>
  <c r="EG251" i="80"/>
  <c r="BU430" i="80"/>
  <c r="I223" i="80"/>
  <c r="I223" i="79"/>
  <c r="I223" i="85"/>
  <c r="K124" i="90" s="1"/>
  <c r="I274" i="85"/>
  <c r="K154" i="90" s="1"/>
  <c r="I274" i="79"/>
  <c r="I281" i="79" s="1"/>
  <c r="I283" i="79" s="1"/>
  <c r="I328" i="79" s="1"/>
  <c r="I274" i="80"/>
  <c r="I281" i="80" s="1"/>
  <c r="I283" i="80" s="1"/>
  <c r="I328" i="80" s="1"/>
  <c r="AH395" i="80"/>
  <c r="AH447" i="80" s="1"/>
  <c r="AH429" i="80"/>
  <c r="AH413" i="80"/>
  <c r="Z447" i="79"/>
  <c r="W395" i="79"/>
  <c r="FC395" i="79"/>
  <c r="FF447" i="79"/>
  <c r="CK430" i="80"/>
  <c r="FF148" i="79"/>
  <c r="CD412" i="79"/>
  <c r="CD19" i="79"/>
  <c r="CD52" i="79" s="1"/>
  <c r="EG428" i="79"/>
  <c r="EG430" i="79" s="1"/>
  <c r="EG414" i="79"/>
  <c r="EG415" i="79" s="1"/>
  <c r="EG451" i="79" s="1"/>
  <c r="AX447" i="79"/>
  <c r="AU395" i="79"/>
  <c r="FE430" i="80"/>
  <c r="AM439" i="80"/>
  <c r="AU429" i="80"/>
  <c r="CL412" i="79"/>
  <c r="CL19" i="79"/>
  <c r="CL52" i="79" s="1"/>
  <c r="EH448" i="80"/>
  <c r="EH234" i="80" s="1"/>
  <c r="EE439" i="80"/>
  <c r="DR447" i="79"/>
  <c r="DO395" i="79"/>
  <c r="BN412" i="80"/>
  <c r="BN19" i="80"/>
  <c r="BN52" i="80" s="1"/>
  <c r="O439" i="80"/>
  <c r="DQ414" i="80"/>
  <c r="DQ415" i="80" s="1"/>
  <c r="DQ451" i="80" s="1"/>
  <c r="BF148" i="79"/>
  <c r="Q414" i="79"/>
  <c r="Q415" i="79" s="1"/>
  <c r="Q451" i="79" s="1"/>
  <c r="Q428" i="79"/>
  <c r="Q430" i="79" s="1"/>
  <c r="BF148" i="80"/>
  <c r="BF395" i="80"/>
  <c r="BF429" i="80"/>
  <c r="BF413" i="80"/>
  <c r="DG439" i="80"/>
  <c r="DA428" i="80"/>
  <c r="DA430" i="80" s="1"/>
  <c r="DA414" i="80"/>
  <c r="DA415" i="80" s="1"/>
  <c r="DA451" i="80" s="1"/>
  <c r="AX412" i="79"/>
  <c r="AX19" i="79"/>
  <c r="AX52" i="79" s="1"/>
  <c r="EP395" i="80"/>
  <c r="EP447" i="80" s="1"/>
  <c r="EP413" i="80"/>
  <c r="EP429" i="80"/>
  <c r="EM429" i="80"/>
  <c r="I40" i="100"/>
  <c r="I38" i="100"/>
  <c r="AH448" i="80"/>
  <c r="AH234" i="80" s="1"/>
  <c r="AE439" i="80"/>
  <c r="CS414" i="79"/>
  <c r="CS415" i="79" s="1"/>
  <c r="CS451" i="79" s="1"/>
  <c r="CS428" i="79"/>
  <c r="CS430" i="79" s="1"/>
  <c r="DB429" i="80"/>
  <c r="DB395" i="80"/>
  <c r="DB447" i="80" s="1"/>
  <c r="DB413" i="80"/>
  <c r="EP148" i="80"/>
  <c r="CD412" i="80"/>
  <c r="CD19" i="80"/>
  <c r="CD52" i="80" s="1"/>
  <c r="DG395" i="79"/>
  <c r="DJ447" i="79"/>
  <c r="DR148" i="79"/>
  <c r="FK429" i="80"/>
  <c r="FN395" i="80"/>
  <c r="FN429" i="80"/>
  <c r="FN413" i="80"/>
  <c r="R148" i="80"/>
  <c r="AP412" i="80"/>
  <c r="AP19" i="80"/>
  <c r="AP52" i="80" s="1"/>
  <c r="AP234" i="80"/>
  <c r="J431" i="80"/>
  <c r="CB156" i="79"/>
  <c r="CB158" i="79" s="1"/>
  <c r="DX228" i="80"/>
  <c r="DX152" i="80"/>
  <c r="DX131" i="80"/>
  <c r="DX119" i="80"/>
  <c r="DX274" i="80"/>
  <c r="DX127" i="80"/>
  <c r="DX223" i="80"/>
  <c r="EF156" i="79"/>
  <c r="EF158" i="79" s="1"/>
  <c r="DP281" i="80"/>
  <c r="DP283" i="80" s="1"/>
  <c r="DP328" i="80" s="1"/>
  <c r="BL156" i="79"/>
  <c r="BL158" i="79" s="1"/>
  <c r="X156" i="79"/>
  <c r="X158" i="79" s="1"/>
  <c r="P156" i="79"/>
  <c r="P158" i="79" s="1"/>
  <c r="CB235" i="79"/>
  <c r="H237" i="85"/>
  <c r="AV156" i="79"/>
  <c r="AV158" i="79" s="1"/>
  <c r="AF281" i="80"/>
  <c r="AF283" i="80" s="1"/>
  <c r="AF328" i="80" s="1"/>
  <c r="AF156" i="79"/>
  <c r="AF158" i="79" s="1"/>
  <c r="EN156" i="79"/>
  <c r="EN158" i="79" s="1"/>
  <c r="DP156" i="79"/>
  <c r="DP158" i="79" s="1"/>
  <c r="BL119" i="80"/>
  <c r="BL228" i="80"/>
  <c r="BL223" i="80"/>
  <c r="BL274" i="80"/>
  <c r="BL127" i="80"/>
  <c r="BL131" i="80"/>
  <c r="BL152" i="80"/>
  <c r="D19" i="7"/>
  <c r="H328" i="85" s="1"/>
  <c r="H283" i="85"/>
  <c r="EF235" i="79"/>
  <c r="DX281" i="79"/>
  <c r="DX283" i="79" s="1"/>
  <c r="DX328" i="79" s="1"/>
  <c r="H158" i="85"/>
  <c r="EV156" i="79"/>
  <c r="EV158" i="79" s="1"/>
  <c r="AN127" i="80"/>
  <c r="AN228" i="80"/>
  <c r="AN274" i="80"/>
  <c r="AN119" i="80"/>
  <c r="AN223" i="80"/>
  <c r="AN152" i="80"/>
  <c r="AN131" i="80"/>
  <c r="K126" i="107"/>
  <c r="AV281" i="80"/>
  <c r="AV283" i="80" s="1"/>
  <c r="AV328" i="80" s="1"/>
  <c r="BT274" i="80"/>
  <c r="BT228" i="80"/>
  <c r="BT223" i="80"/>
  <c r="BT131" i="80"/>
  <c r="BT119" i="80"/>
  <c r="BT152" i="80"/>
  <c r="BT127" i="80"/>
  <c r="CR156" i="79"/>
  <c r="CR158" i="79" s="1"/>
  <c r="AN156" i="79"/>
  <c r="AN158" i="79" s="1"/>
  <c r="P119" i="80"/>
  <c r="P228" i="80"/>
  <c r="P274" i="80"/>
  <c r="P152" i="80"/>
  <c r="P127" i="80"/>
  <c r="P131" i="80"/>
  <c r="P223" i="80"/>
  <c r="BT156" i="79"/>
  <c r="BT158" i="79" s="1"/>
  <c r="FD156" i="79"/>
  <c r="FD158" i="79" s="1"/>
  <c r="CJ228" i="80"/>
  <c r="CJ223" i="80"/>
  <c r="CJ131" i="80"/>
  <c r="CJ274" i="80"/>
  <c r="CJ127" i="80"/>
  <c r="CJ152" i="80"/>
  <c r="CJ119" i="80"/>
  <c r="FL131" i="80"/>
  <c r="FL223" i="80"/>
  <c r="FL228" i="80"/>
  <c r="FL119" i="80"/>
  <c r="FL152" i="80"/>
  <c r="FL274" i="80"/>
  <c r="FL127" i="80"/>
  <c r="BD156" i="79"/>
  <c r="BD158" i="79" s="1"/>
  <c r="BD156" i="80"/>
  <c r="BD158" i="80" s="1"/>
  <c r="CJ156" i="79"/>
  <c r="CJ158" i="79" s="1"/>
  <c r="FL156" i="79"/>
  <c r="FL158" i="79" s="1"/>
  <c r="CR281" i="80"/>
  <c r="CR283" i="80" s="1"/>
  <c r="CR328" i="80" s="1"/>
  <c r="EF131" i="80"/>
  <c r="EF228" i="80"/>
  <c r="EF127" i="80"/>
  <c r="EF119" i="80"/>
  <c r="EF223" i="80"/>
  <c r="EF274" i="80"/>
  <c r="EF152" i="80"/>
  <c r="DX156" i="79"/>
  <c r="DX158" i="79" s="1"/>
  <c r="DH156" i="79"/>
  <c r="DH158" i="79" s="1"/>
  <c r="CB152" i="80"/>
  <c r="CB127" i="80"/>
  <c r="CB223" i="80"/>
  <c r="CB228" i="80"/>
  <c r="CB119" i="80"/>
  <c r="CB274" i="80"/>
  <c r="CB131" i="80"/>
  <c r="BD235" i="79"/>
  <c r="CZ156" i="79"/>
  <c r="CZ158" i="79" s="1"/>
  <c r="AV235" i="79"/>
  <c r="I93" i="105" l="1"/>
  <c r="N34" i="171" s="1"/>
  <c r="J34" i="171" s="1"/>
  <c r="J156" i="166"/>
  <c r="J152" i="79"/>
  <c r="J156" i="79" s="1"/>
  <c r="J158" i="79" s="1"/>
  <c r="J152" i="80"/>
  <c r="J156" i="80" s="1"/>
  <c r="J158" i="80" s="1"/>
  <c r="J152" i="85"/>
  <c r="L90" i="90" s="1"/>
  <c r="J127" i="80"/>
  <c r="J127" i="85"/>
  <c r="L73" i="90" s="1"/>
  <c r="J127" i="79"/>
  <c r="J119" i="79"/>
  <c r="J119" i="85"/>
  <c r="L65" i="90" s="1"/>
  <c r="J119" i="80"/>
  <c r="K326" i="163"/>
  <c r="N122" i="166" s="1"/>
  <c r="J122" i="166" s="1"/>
  <c r="J122" i="80" s="1"/>
  <c r="J310" i="85"/>
  <c r="L174" i="90" s="1"/>
  <c r="J310" i="80"/>
  <c r="J313" i="80" s="1"/>
  <c r="J315" i="80" s="1"/>
  <c r="J331" i="80" s="1"/>
  <c r="J38" i="100"/>
  <c r="J39" i="100" s="1"/>
  <c r="N72" i="166" s="1"/>
  <c r="J72" i="166" s="1"/>
  <c r="J40" i="100"/>
  <c r="K40" i="100" s="1"/>
  <c r="J16" i="100"/>
  <c r="F30" i="154" s="1"/>
  <c r="I15" i="154" s="1"/>
  <c r="I19" i="154" s="1"/>
  <c r="I21" i="154" s="1"/>
  <c r="J15" i="100"/>
  <c r="I29" i="170"/>
  <c r="J274" i="79"/>
  <c r="J281" i="79" s="1"/>
  <c r="J283" i="79" s="1"/>
  <c r="J328" i="79" s="1"/>
  <c r="J274" i="85"/>
  <c r="L154" i="90" s="1"/>
  <c r="J274" i="80"/>
  <c r="J281" i="80" s="1"/>
  <c r="J283" i="80" s="1"/>
  <c r="J328" i="80" s="1"/>
  <c r="J228" i="80"/>
  <c r="J228" i="85"/>
  <c r="L129" i="90" s="1"/>
  <c r="J228" i="79"/>
  <c r="J223" i="79"/>
  <c r="J223" i="85"/>
  <c r="L124" i="90" s="1"/>
  <c r="J75" i="169"/>
  <c r="J223" i="80"/>
  <c r="J235" i="80" s="1"/>
  <c r="J237" i="80" s="1"/>
  <c r="N188" i="163"/>
  <c r="O188" i="163" s="1"/>
  <c r="J131" i="85"/>
  <c r="L77" i="90" s="1"/>
  <c r="J131" i="79"/>
  <c r="J131" i="80"/>
  <c r="K495" i="163"/>
  <c r="N128" i="166" s="1"/>
  <c r="J128" i="166" s="1"/>
  <c r="K36" i="100"/>
  <c r="K39" i="100" s="1"/>
  <c r="CR252" i="80"/>
  <c r="DP252" i="79"/>
  <c r="H310" i="80"/>
  <c r="H310" i="79"/>
  <c r="H310" i="85"/>
  <c r="J174" i="90" s="1"/>
  <c r="FD235" i="80"/>
  <c r="EV252" i="80"/>
  <c r="BT252" i="80"/>
  <c r="CZ252" i="80"/>
  <c r="DH252" i="80"/>
  <c r="DP252" i="80"/>
  <c r="AN252" i="80"/>
  <c r="AF252" i="80"/>
  <c r="BD252" i="80"/>
  <c r="DX252" i="80"/>
  <c r="H39" i="171"/>
  <c r="FE152" i="80"/>
  <c r="FE156" i="80" s="1"/>
  <c r="FE158" i="80" s="1"/>
  <c r="P252" i="80"/>
  <c r="AV252" i="80"/>
  <c r="FD252" i="80"/>
  <c r="X252" i="80"/>
  <c r="FL252" i="80"/>
  <c r="I77" i="169"/>
  <c r="X235" i="80"/>
  <c r="X84" i="80" s="1"/>
  <c r="H93" i="169"/>
  <c r="H97" i="169" s="1"/>
  <c r="FD252" i="79"/>
  <c r="CZ252" i="79"/>
  <c r="CB252" i="79"/>
  <c r="CR252" i="79"/>
  <c r="BT252" i="79"/>
  <c r="AN252" i="79"/>
  <c r="EV252" i="79"/>
  <c r="P252" i="79"/>
  <c r="CJ252" i="79"/>
  <c r="AF252" i="79"/>
  <c r="BD252" i="79"/>
  <c r="EN252" i="80"/>
  <c r="CJ252" i="80"/>
  <c r="BL252" i="80"/>
  <c r="EF252" i="80"/>
  <c r="EN252" i="79"/>
  <c r="FL252" i="79"/>
  <c r="DX252" i="79"/>
  <c r="X252" i="79"/>
  <c r="EF252" i="79"/>
  <c r="AV252" i="79"/>
  <c r="BL252" i="79"/>
  <c r="I133" i="166"/>
  <c r="G122" i="166"/>
  <c r="H122" i="166"/>
  <c r="H122" i="85" s="1"/>
  <c r="J68" i="90" s="1"/>
  <c r="H128" i="166"/>
  <c r="H128" i="85" s="1"/>
  <c r="J74" i="90" s="1"/>
  <c r="G128" i="166"/>
  <c r="H79" i="166"/>
  <c r="H72" i="79"/>
  <c r="CR72" i="79" s="1"/>
  <c r="H72" i="80"/>
  <c r="CB72" i="80" s="1"/>
  <c r="H72" i="85"/>
  <c r="J38" i="90" s="1"/>
  <c r="AF235" i="80"/>
  <c r="AF237" i="80" s="1"/>
  <c r="DB251" i="79"/>
  <c r="BU228" i="80"/>
  <c r="EX63" i="79"/>
  <c r="DP235" i="80"/>
  <c r="DP84" i="80" s="1"/>
  <c r="G21" i="154"/>
  <c r="H84" i="80"/>
  <c r="DH235" i="80"/>
  <c r="DH84" i="80" s="1"/>
  <c r="N495" i="163"/>
  <c r="O495" i="163" s="1"/>
  <c r="CD63" i="79"/>
  <c r="N326" i="163"/>
  <c r="O326" i="163" s="1"/>
  <c r="EO228" i="80"/>
  <c r="AO152" i="80"/>
  <c r="AO156" i="80" s="1"/>
  <c r="AO158" i="80" s="1"/>
  <c r="DY127" i="80"/>
  <c r="DY152" i="80"/>
  <c r="DY156" i="80" s="1"/>
  <c r="DY158" i="80" s="1"/>
  <c r="EH251" i="79"/>
  <c r="DB63" i="79"/>
  <c r="CR235" i="80"/>
  <c r="CR84" i="80" s="1"/>
  <c r="Q119" i="80"/>
  <c r="EO223" i="80"/>
  <c r="Q131" i="80"/>
  <c r="DR63" i="79"/>
  <c r="FN63" i="79"/>
  <c r="FN251" i="79"/>
  <c r="AO119" i="80"/>
  <c r="EO119" i="80"/>
  <c r="EH63" i="79"/>
  <c r="BE228" i="80"/>
  <c r="EX251" i="79"/>
  <c r="BF63" i="79"/>
  <c r="AP63" i="79"/>
  <c r="BD235" i="80"/>
  <c r="BD237" i="80" s="1"/>
  <c r="AO127" i="80"/>
  <c r="DZ251" i="79"/>
  <c r="CD251" i="79"/>
  <c r="AP251" i="79"/>
  <c r="CK119" i="80"/>
  <c r="CK228" i="80"/>
  <c r="CK127" i="80"/>
  <c r="CL63" i="79"/>
  <c r="R251" i="79"/>
  <c r="BF251" i="79"/>
  <c r="G431" i="79"/>
  <c r="CT63" i="79"/>
  <c r="BU119" i="80"/>
  <c r="AX63" i="79"/>
  <c r="AU395" i="80"/>
  <c r="CS228" i="80"/>
  <c r="W395" i="80"/>
  <c r="BE119" i="80"/>
  <c r="DR251" i="79"/>
  <c r="AO274" i="80"/>
  <c r="AO281" i="80" s="1"/>
  <c r="AO283" i="80" s="1"/>
  <c r="AO328" i="80" s="1"/>
  <c r="BU131" i="80"/>
  <c r="CL251" i="79"/>
  <c r="DY119" i="80"/>
  <c r="CK131" i="80"/>
  <c r="AO131" i="80"/>
  <c r="CS119" i="80"/>
  <c r="CT251" i="79"/>
  <c r="Q228" i="80"/>
  <c r="EO131" i="80"/>
  <c r="R63" i="79"/>
  <c r="BN251" i="79"/>
  <c r="FF63" i="79"/>
  <c r="BV63" i="79"/>
  <c r="EM395" i="80"/>
  <c r="BV251" i="79"/>
  <c r="FE131" i="80"/>
  <c r="I235" i="80"/>
  <c r="I237" i="80" s="1"/>
  <c r="BE131" i="80"/>
  <c r="I281" i="85"/>
  <c r="BN63" i="79"/>
  <c r="AW127" i="80"/>
  <c r="AW223" i="80"/>
  <c r="AW152" i="80"/>
  <c r="AW274" i="80"/>
  <c r="AW228" i="80"/>
  <c r="AW131" i="80"/>
  <c r="AW119" i="80"/>
  <c r="AG93" i="80"/>
  <c r="AH91" i="80"/>
  <c r="AH93" i="80" s="1"/>
  <c r="FM93" i="80"/>
  <c r="FN91" i="80"/>
  <c r="FN93" i="80" s="1"/>
  <c r="AW93" i="80"/>
  <c r="AX91" i="80"/>
  <c r="AX93" i="80" s="1"/>
  <c r="AG131" i="80"/>
  <c r="AG127" i="80"/>
  <c r="AG152" i="80"/>
  <c r="AG156" i="80" s="1"/>
  <c r="AG158" i="80" s="1"/>
  <c r="AG119" i="80"/>
  <c r="AG274" i="80"/>
  <c r="AG281" i="80" s="1"/>
  <c r="AG283" i="80" s="1"/>
  <c r="AG328" i="80" s="1"/>
  <c r="AG223" i="80"/>
  <c r="AG228" i="80"/>
  <c r="DY63" i="80"/>
  <c r="DZ63" i="80" s="1"/>
  <c r="DY251" i="80"/>
  <c r="DZ251" i="80" s="1"/>
  <c r="Y93" i="79"/>
  <c r="Z91" i="79"/>
  <c r="Z93" i="79" s="1"/>
  <c r="AO93" i="79"/>
  <c r="AP91" i="79"/>
  <c r="AP93" i="79" s="1"/>
  <c r="BE223" i="80"/>
  <c r="CQ395" i="80"/>
  <c r="DY131" i="79"/>
  <c r="DY152" i="79"/>
  <c r="DY127" i="79"/>
  <c r="DY119" i="79"/>
  <c r="DY274" i="79"/>
  <c r="DY228" i="79"/>
  <c r="DY223" i="79"/>
  <c r="Z428" i="79"/>
  <c r="Z430" i="79" s="1"/>
  <c r="Z414" i="79"/>
  <c r="Z415" i="79" s="1"/>
  <c r="W428" i="79"/>
  <c r="W430" i="79" s="1"/>
  <c r="FE274" i="80"/>
  <c r="CS223" i="80"/>
  <c r="CC152" i="79"/>
  <c r="CC156" i="79" s="1"/>
  <c r="CC158" i="79" s="1"/>
  <c r="CC274" i="79"/>
  <c r="CC228" i="79"/>
  <c r="CC223" i="79"/>
  <c r="CC131" i="79"/>
  <c r="CC119" i="79"/>
  <c r="CC127" i="79"/>
  <c r="DZ428" i="80"/>
  <c r="DZ430" i="80" s="1"/>
  <c r="DZ414" i="80"/>
  <c r="DZ415" i="80" s="1"/>
  <c r="DW428" i="80"/>
  <c r="DW430" i="80" s="1"/>
  <c r="DX431" i="80" s="1"/>
  <c r="FK428" i="79"/>
  <c r="FK430" i="79" s="1"/>
  <c r="FN428" i="79"/>
  <c r="FN430" i="79" s="1"/>
  <c r="FN414" i="79"/>
  <c r="FN415" i="79" s="1"/>
  <c r="FN414" i="80"/>
  <c r="FN415" i="80" s="1"/>
  <c r="FK428" i="80"/>
  <c r="FK430" i="80" s="1"/>
  <c r="FN428" i="80"/>
  <c r="FN430" i="80" s="1"/>
  <c r="FC395" i="80"/>
  <c r="EO63" i="80"/>
  <c r="EP63" i="80" s="1"/>
  <c r="EO251" i="80"/>
  <c r="EP251" i="80" s="1"/>
  <c r="CI428" i="79"/>
  <c r="CI430" i="79" s="1"/>
  <c r="CL428" i="79"/>
  <c r="CL430" i="79" s="1"/>
  <c r="CL414" i="79"/>
  <c r="CL415" i="79" s="1"/>
  <c r="BE119" i="79"/>
  <c r="BE228" i="79"/>
  <c r="BE274" i="79"/>
  <c r="BE281" i="79" s="1"/>
  <c r="BE283" i="79" s="1"/>
  <c r="BE328" i="79" s="1"/>
  <c r="BE223" i="79"/>
  <c r="BE152" i="79"/>
  <c r="BE156" i="79" s="1"/>
  <c r="BE158" i="79" s="1"/>
  <c r="BE127" i="79"/>
  <c r="BE131" i="79"/>
  <c r="DQ228" i="79"/>
  <c r="DQ127" i="79"/>
  <c r="DQ119" i="79"/>
  <c r="DQ152" i="79"/>
  <c r="DQ131" i="79"/>
  <c r="DQ274" i="79"/>
  <c r="DQ223" i="79"/>
  <c r="EP63" i="79"/>
  <c r="BU223" i="80"/>
  <c r="FF428" i="80"/>
  <c r="FF430" i="80" s="1"/>
  <c r="FF414" i="80"/>
  <c r="FF415" i="80" s="1"/>
  <c r="FC428" i="80"/>
  <c r="FC430" i="80" s="1"/>
  <c r="FD431" i="80" s="1"/>
  <c r="DI228" i="80"/>
  <c r="DI274" i="80"/>
  <c r="DI223" i="80"/>
  <c r="DI127" i="80"/>
  <c r="DI152" i="80"/>
  <c r="DI156" i="80" s="1"/>
  <c r="DI158" i="80" s="1"/>
  <c r="DI119" i="80"/>
  <c r="DI131" i="80"/>
  <c r="BU93" i="80"/>
  <c r="BV91" i="80"/>
  <c r="BV93" i="80" s="1"/>
  <c r="EG119" i="80"/>
  <c r="EG274" i="80"/>
  <c r="EG281" i="80" s="1"/>
  <c r="EG283" i="80" s="1"/>
  <c r="EG328" i="80" s="1"/>
  <c r="EG127" i="80"/>
  <c r="EG228" i="80"/>
  <c r="EG223" i="80"/>
  <c r="EG152" i="80"/>
  <c r="EG156" i="80" s="1"/>
  <c r="EG158" i="80" s="1"/>
  <c r="EG131" i="80"/>
  <c r="Y119" i="79"/>
  <c r="Y127" i="79"/>
  <c r="Y274" i="79"/>
  <c r="Y281" i="79" s="1"/>
  <c r="Y283" i="79" s="1"/>
  <c r="Y328" i="79" s="1"/>
  <c r="Y228" i="79"/>
  <c r="Y152" i="79"/>
  <c r="Y156" i="79" s="1"/>
  <c r="Y158" i="79" s="1"/>
  <c r="Y131" i="79"/>
  <c r="Y223" i="79"/>
  <c r="EG93" i="79"/>
  <c r="EH91" i="79"/>
  <c r="EH93" i="79" s="1"/>
  <c r="BM93" i="79"/>
  <c r="BN91" i="79"/>
  <c r="BN93" i="79" s="1"/>
  <c r="BU93" i="79"/>
  <c r="BV91" i="79"/>
  <c r="BV93" i="79" s="1"/>
  <c r="CS251" i="80"/>
  <c r="CT251" i="80" s="1"/>
  <c r="CS63" i="80"/>
  <c r="CT63" i="80" s="1"/>
  <c r="K93" i="105"/>
  <c r="EW274" i="80"/>
  <c r="EW281" i="80" s="1"/>
  <c r="EW283" i="80" s="1"/>
  <c r="EW328" i="80" s="1"/>
  <c r="EW152" i="80"/>
  <c r="EW156" i="80" s="1"/>
  <c r="EW158" i="80" s="1"/>
  <c r="EW228" i="80"/>
  <c r="EW127" i="80"/>
  <c r="EW131" i="80"/>
  <c r="EW119" i="80"/>
  <c r="EW223" i="80"/>
  <c r="DY131" i="80"/>
  <c r="CS127" i="80"/>
  <c r="Q274" i="80"/>
  <c r="Q281" i="80" s="1"/>
  <c r="Q283" i="80" s="1"/>
  <c r="Q328" i="80" s="1"/>
  <c r="FE63" i="80"/>
  <c r="FF63" i="80" s="1"/>
  <c r="FE251" i="80"/>
  <c r="FF251" i="80" s="1"/>
  <c r="EW131" i="79"/>
  <c r="EW119" i="79"/>
  <c r="EW223" i="79"/>
  <c r="EW127" i="79"/>
  <c r="EW152" i="79"/>
  <c r="EW156" i="79" s="1"/>
  <c r="EW158" i="79" s="1"/>
  <c r="EW228" i="79"/>
  <c r="EW274" i="79"/>
  <c r="EW281" i="79" s="1"/>
  <c r="EW283" i="79" s="1"/>
  <c r="EW328" i="79" s="1"/>
  <c r="BV447" i="80"/>
  <c r="BV251" i="80" s="1"/>
  <c r="BS395" i="80"/>
  <c r="AH63" i="79"/>
  <c r="FE93" i="79"/>
  <c r="FF91" i="79"/>
  <c r="FF93" i="79" s="1"/>
  <c r="DQ93" i="79"/>
  <c r="DR91" i="79"/>
  <c r="DR93" i="79" s="1"/>
  <c r="CK93" i="79"/>
  <c r="CL91" i="79"/>
  <c r="CL93" i="79" s="1"/>
  <c r="AH251" i="79"/>
  <c r="BN428" i="79"/>
  <c r="BN430" i="79" s="1"/>
  <c r="BN414" i="79"/>
  <c r="BN415" i="79" s="1"/>
  <c r="BK428" i="79"/>
  <c r="BK430" i="79" s="1"/>
  <c r="FM127" i="79"/>
  <c r="FM223" i="79"/>
  <c r="FM152" i="79"/>
  <c r="FM156" i="79" s="1"/>
  <c r="FM158" i="79" s="1"/>
  <c r="FM228" i="79"/>
  <c r="FM119" i="79"/>
  <c r="FM131" i="79"/>
  <c r="FM274" i="79"/>
  <c r="FM281" i="79" s="1"/>
  <c r="FM283" i="79" s="1"/>
  <c r="FM328" i="79" s="1"/>
  <c r="AH428" i="79"/>
  <c r="AH430" i="79" s="1"/>
  <c r="AH414" i="79"/>
  <c r="AH415" i="79" s="1"/>
  <c r="AE428" i="79"/>
  <c r="AE430" i="79" s="1"/>
  <c r="AP428" i="80"/>
  <c r="AP430" i="80" s="1"/>
  <c r="AP414" i="80"/>
  <c r="AP415" i="80" s="1"/>
  <c r="AM428" i="80"/>
  <c r="AM430" i="80" s="1"/>
  <c r="CS127" i="79"/>
  <c r="CS131" i="79"/>
  <c r="CS274" i="79"/>
  <c r="CS228" i="79"/>
  <c r="CS152" i="79"/>
  <c r="CS119" i="79"/>
  <c r="CS223" i="79"/>
  <c r="AO223" i="80"/>
  <c r="AO235" i="80" s="1"/>
  <c r="Y127" i="80"/>
  <c r="Y274" i="80"/>
  <c r="Y281" i="80" s="1"/>
  <c r="Y283" i="80" s="1"/>
  <c r="Y328" i="80" s="1"/>
  <c r="Y119" i="80"/>
  <c r="Y131" i="80"/>
  <c r="Y228" i="80"/>
  <c r="Y223" i="80"/>
  <c r="Y152" i="80"/>
  <c r="BU274" i="80"/>
  <c r="BU281" i="80" s="1"/>
  <c r="BU283" i="80" s="1"/>
  <c r="BU328" i="80" s="1"/>
  <c r="AP447" i="80"/>
  <c r="AM395" i="80"/>
  <c r="AP428" i="79"/>
  <c r="AP430" i="79" s="1"/>
  <c r="AP414" i="79"/>
  <c r="AP415" i="79" s="1"/>
  <c r="AM428" i="79"/>
  <c r="AM430" i="79" s="1"/>
  <c r="CK93" i="80"/>
  <c r="CL91" i="80"/>
  <c r="CL93" i="80" s="1"/>
  <c r="DA93" i="80"/>
  <c r="DB91" i="80"/>
  <c r="DB93" i="80" s="1"/>
  <c r="CI395" i="80"/>
  <c r="EP251" i="79"/>
  <c r="EO93" i="79"/>
  <c r="EP91" i="79"/>
  <c r="EP93" i="79" s="1"/>
  <c r="Q93" i="79"/>
  <c r="R91" i="79"/>
  <c r="R93" i="79" s="1"/>
  <c r="DI93" i="79"/>
  <c r="DJ91" i="79"/>
  <c r="DJ93" i="79" s="1"/>
  <c r="BE127" i="80"/>
  <c r="R447" i="80"/>
  <c r="R63" i="80" s="1"/>
  <c r="O395" i="80"/>
  <c r="AX251" i="79"/>
  <c r="DJ428" i="80"/>
  <c r="DJ430" i="80" s="1"/>
  <c r="DJ414" i="80"/>
  <c r="DJ415" i="80" s="1"/>
  <c r="DG428" i="80"/>
  <c r="DG430" i="80" s="1"/>
  <c r="DY223" i="80"/>
  <c r="DY235" i="80" s="1"/>
  <c r="DJ428" i="79"/>
  <c r="DJ430" i="79" s="1"/>
  <c r="DJ414" i="79"/>
  <c r="DJ415" i="79" s="1"/>
  <c r="DG428" i="79"/>
  <c r="DG430" i="79" s="1"/>
  <c r="FC428" i="79"/>
  <c r="FC430" i="79" s="1"/>
  <c r="FF428" i="79"/>
  <c r="FF430" i="79" s="1"/>
  <c r="FF414" i="79"/>
  <c r="FF415" i="79" s="1"/>
  <c r="EX428" i="79"/>
  <c r="EX430" i="79" s="1"/>
  <c r="EX414" i="79"/>
  <c r="EX415" i="79" s="1"/>
  <c r="EU428" i="79"/>
  <c r="EU430" i="79" s="1"/>
  <c r="FE223" i="80"/>
  <c r="CS131" i="80"/>
  <c r="AE395" i="80"/>
  <c r="AW223" i="79"/>
  <c r="AW152" i="79"/>
  <c r="AW156" i="79" s="1"/>
  <c r="AW158" i="79" s="1"/>
  <c r="AW119" i="79"/>
  <c r="AW127" i="79"/>
  <c r="AW131" i="79"/>
  <c r="AW274" i="79"/>
  <c r="AW228" i="79"/>
  <c r="DZ428" i="79"/>
  <c r="DZ430" i="79" s="1"/>
  <c r="DZ414" i="79"/>
  <c r="DZ415" i="79" s="1"/>
  <c r="DW428" i="79"/>
  <c r="DW430" i="79" s="1"/>
  <c r="EH447" i="80"/>
  <c r="EH63" i="80" s="1"/>
  <c r="EE395" i="80"/>
  <c r="I156" i="85"/>
  <c r="BF447" i="80"/>
  <c r="BF251" i="80" s="1"/>
  <c r="BC395" i="80"/>
  <c r="DB428" i="80"/>
  <c r="DB430" i="80" s="1"/>
  <c r="DB414" i="80"/>
  <c r="DB415" i="80" s="1"/>
  <c r="CY428" i="80"/>
  <c r="CY430" i="80" s="1"/>
  <c r="EO228" i="79"/>
  <c r="EO274" i="79"/>
  <c r="EO281" i="79" s="1"/>
  <c r="EO283" i="79" s="1"/>
  <c r="EO328" i="79" s="1"/>
  <c r="EO152" i="79"/>
  <c r="EO156" i="79" s="1"/>
  <c r="EO158" i="79" s="1"/>
  <c r="EO119" i="79"/>
  <c r="EO127" i="79"/>
  <c r="EO131" i="79"/>
  <c r="EO223" i="79"/>
  <c r="CK274" i="80"/>
  <c r="CK281" i="80" s="1"/>
  <c r="CK283" i="80" s="1"/>
  <c r="CK328" i="80" s="1"/>
  <c r="CQ428" i="79"/>
  <c r="CQ430" i="79" s="1"/>
  <c r="CR431" i="79" s="1"/>
  <c r="CT428" i="79"/>
  <c r="CT430" i="79" s="1"/>
  <c r="CT414" i="79"/>
  <c r="CT415" i="79" s="1"/>
  <c r="BV428" i="80"/>
  <c r="BV430" i="80" s="1"/>
  <c r="BV414" i="80"/>
  <c r="BV415" i="80" s="1"/>
  <c r="BS428" i="80"/>
  <c r="BS430" i="80" s="1"/>
  <c r="R428" i="79"/>
  <c r="R430" i="79" s="1"/>
  <c r="R414" i="79"/>
  <c r="R415" i="79" s="1"/>
  <c r="O428" i="79"/>
  <c r="O430" i="79" s="1"/>
  <c r="AH428" i="80"/>
  <c r="AH430" i="80" s="1"/>
  <c r="AH414" i="80"/>
  <c r="AH415" i="80" s="1"/>
  <c r="AE428" i="80"/>
  <c r="AE430" i="80" s="1"/>
  <c r="AO93" i="80"/>
  <c r="AP91" i="80"/>
  <c r="AP93" i="80" s="1"/>
  <c r="FE93" i="80"/>
  <c r="FF91" i="80"/>
  <c r="FF93" i="80" s="1"/>
  <c r="CC93" i="80"/>
  <c r="CD91" i="80"/>
  <c r="CD93" i="80" s="1"/>
  <c r="CK63" i="80"/>
  <c r="CL63" i="80" s="1"/>
  <c r="CK251" i="80"/>
  <c r="CL251" i="80" s="1"/>
  <c r="BM131" i="79"/>
  <c r="BM119" i="79"/>
  <c r="BM228" i="79"/>
  <c r="BM223" i="79"/>
  <c r="BM152" i="79"/>
  <c r="BM156" i="79" s="1"/>
  <c r="BM158" i="79" s="1"/>
  <c r="BM274" i="79"/>
  <c r="BM127" i="79"/>
  <c r="Z251" i="79"/>
  <c r="I235" i="79"/>
  <c r="I237" i="79" s="1"/>
  <c r="DJ447" i="80"/>
  <c r="DJ63" i="80" s="1"/>
  <c r="DG395" i="80"/>
  <c r="AX428" i="80"/>
  <c r="AX430" i="80" s="1"/>
  <c r="AX414" i="80"/>
  <c r="AX415" i="80" s="1"/>
  <c r="AU428" i="80"/>
  <c r="AU430" i="80" s="1"/>
  <c r="DY93" i="79"/>
  <c r="DZ91" i="79"/>
  <c r="DZ93" i="79" s="1"/>
  <c r="BE93" i="79"/>
  <c r="BF91" i="79"/>
  <c r="BF93" i="79" s="1"/>
  <c r="CC93" i="79"/>
  <c r="CD91" i="79"/>
  <c r="CD93" i="79" s="1"/>
  <c r="BC428" i="80"/>
  <c r="BC430" i="80" s="1"/>
  <c r="BF414" i="80"/>
  <c r="BF415" i="80" s="1"/>
  <c r="BF428" i="80"/>
  <c r="BF430" i="80" s="1"/>
  <c r="Z63" i="79"/>
  <c r="FE127" i="80"/>
  <c r="CK223" i="79"/>
  <c r="CK228" i="79"/>
  <c r="CK127" i="79"/>
  <c r="CK119" i="79"/>
  <c r="CK131" i="79"/>
  <c r="CK274" i="79"/>
  <c r="CK152" i="79"/>
  <c r="CS274" i="80"/>
  <c r="AG63" i="80"/>
  <c r="AH63" i="80" s="1"/>
  <c r="AG251" i="80"/>
  <c r="AH251" i="80" s="1"/>
  <c r="Q127" i="80"/>
  <c r="BU228" i="79"/>
  <c r="BU223" i="79"/>
  <c r="BU152" i="79"/>
  <c r="BU156" i="79" s="1"/>
  <c r="BU158" i="79" s="1"/>
  <c r="BU131" i="79"/>
  <c r="BU127" i="79"/>
  <c r="BU119" i="79"/>
  <c r="BU274" i="79"/>
  <c r="BU281" i="79" s="1"/>
  <c r="BU283" i="79" s="1"/>
  <c r="BU328" i="79" s="1"/>
  <c r="EG93" i="80"/>
  <c r="EH91" i="80"/>
  <c r="EH93" i="80" s="1"/>
  <c r="CD414" i="80"/>
  <c r="CD415" i="80" s="1"/>
  <c r="CD451" i="80" s="1"/>
  <c r="CA428" i="80"/>
  <c r="CA430" i="80" s="1"/>
  <c r="CD428" i="80"/>
  <c r="CD430" i="80" s="1"/>
  <c r="EO274" i="80"/>
  <c r="EO281" i="80" s="1"/>
  <c r="EO283" i="80" s="1"/>
  <c r="EO328" i="80" s="1"/>
  <c r="EH428" i="79"/>
  <c r="EH430" i="79" s="1"/>
  <c r="EH414" i="79"/>
  <c r="EH415" i="79" s="1"/>
  <c r="EE428" i="79"/>
  <c r="EE430" i="79" s="1"/>
  <c r="Y63" i="80"/>
  <c r="Z63" i="80" s="1"/>
  <c r="Y251" i="80"/>
  <c r="Z251" i="80" s="1"/>
  <c r="Y93" i="80"/>
  <c r="Z91" i="80"/>
  <c r="Z93" i="80" s="1"/>
  <c r="Q93" i="80"/>
  <c r="R91" i="80"/>
  <c r="R93" i="80" s="1"/>
  <c r="BE93" i="80"/>
  <c r="BF91" i="80"/>
  <c r="BF93" i="80" s="1"/>
  <c r="EM428" i="79"/>
  <c r="EM430" i="79" s="1"/>
  <c r="EP428" i="79"/>
  <c r="EP430" i="79" s="1"/>
  <c r="EP414" i="79"/>
  <c r="EP415" i="79" s="1"/>
  <c r="EP414" i="80"/>
  <c r="EP415" i="80" s="1"/>
  <c r="EP428" i="80"/>
  <c r="EP430" i="80" s="1"/>
  <c r="EM428" i="80"/>
  <c r="EM430" i="80" s="1"/>
  <c r="EW93" i="79"/>
  <c r="EX91" i="79"/>
  <c r="EX93" i="79" s="1"/>
  <c r="CS93" i="79"/>
  <c r="CT91" i="79"/>
  <c r="CT93" i="79" s="1"/>
  <c r="AG93" i="79"/>
  <c r="AH91" i="79"/>
  <c r="AH93" i="79" s="1"/>
  <c r="EH428" i="80"/>
  <c r="EH430" i="80" s="1"/>
  <c r="EH414" i="80"/>
  <c r="EH415" i="80" s="1"/>
  <c r="EE428" i="80"/>
  <c r="EE430" i="80" s="1"/>
  <c r="EF431" i="80" s="1"/>
  <c r="Q223" i="80"/>
  <c r="CD428" i="79"/>
  <c r="CD430" i="79" s="1"/>
  <c r="CD414" i="79"/>
  <c r="CD415" i="79" s="1"/>
  <c r="CA428" i="79"/>
  <c r="CA430" i="79" s="1"/>
  <c r="DJ63" i="79"/>
  <c r="BF428" i="79"/>
  <c r="BF430" i="79" s="1"/>
  <c r="BF414" i="79"/>
  <c r="BF415" i="79" s="1"/>
  <c r="BC428" i="79"/>
  <c r="BC430" i="79" s="1"/>
  <c r="EO93" i="80"/>
  <c r="EP91" i="80"/>
  <c r="EP93" i="80" s="1"/>
  <c r="AX428" i="79"/>
  <c r="AX430" i="79" s="1"/>
  <c r="AX414" i="79"/>
  <c r="AX415" i="79" s="1"/>
  <c r="AU428" i="79"/>
  <c r="AU430" i="79" s="1"/>
  <c r="EU395" i="80"/>
  <c r="EO127" i="80"/>
  <c r="DZ63" i="79"/>
  <c r="BV428" i="79"/>
  <c r="BV430" i="79" s="1"/>
  <c r="BV414" i="79"/>
  <c r="BV415" i="79" s="1"/>
  <c r="BV451" i="79" s="1"/>
  <c r="BS428" i="79"/>
  <c r="BS430" i="79" s="1"/>
  <c r="BU127" i="80"/>
  <c r="CD447" i="80"/>
  <c r="CA395" i="80"/>
  <c r="DY93" i="80"/>
  <c r="DZ91" i="80"/>
  <c r="DZ93" i="80" s="1"/>
  <c r="BM93" i="80"/>
  <c r="BN91" i="80"/>
  <c r="BN93" i="80" s="1"/>
  <c r="DQ93" i="80"/>
  <c r="DR91" i="80"/>
  <c r="DR93" i="80" s="1"/>
  <c r="G431" i="80"/>
  <c r="FM223" i="80"/>
  <c r="FM152" i="80"/>
  <c r="FM156" i="80" s="1"/>
  <c r="FM158" i="80" s="1"/>
  <c r="FM228" i="80"/>
  <c r="FM274" i="80"/>
  <c r="FM281" i="80" s="1"/>
  <c r="FM283" i="80" s="1"/>
  <c r="FM328" i="80" s="1"/>
  <c r="FM119" i="80"/>
  <c r="FM131" i="80"/>
  <c r="FM127" i="80"/>
  <c r="DR414" i="79"/>
  <c r="DR415" i="79" s="1"/>
  <c r="DR428" i="79"/>
  <c r="DR430" i="79" s="1"/>
  <c r="DO428" i="79"/>
  <c r="DO430" i="79" s="1"/>
  <c r="E19" i="32"/>
  <c r="E21" i="32" s="1"/>
  <c r="E24" i="32" s="1"/>
  <c r="I84" i="166" s="1"/>
  <c r="CY395" i="80"/>
  <c r="DR447" i="80"/>
  <c r="DR63" i="80" s="1"/>
  <c r="DO395" i="80"/>
  <c r="DA93" i="79"/>
  <c r="DB91" i="79"/>
  <c r="DB93" i="79" s="1"/>
  <c r="BE274" i="80"/>
  <c r="DA119" i="79"/>
  <c r="DA228" i="79"/>
  <c r="DA127" i="79"/>
  <c r="DA223" i="79"/>
  <c r="DA274" i="79"/>
  <c r="DA281" i="79" s="1"/>
  <c r="DA283" i="79" s="1"/>
  <c r="DA328" i="79" s="1"/>
  <c r="DA152" i="79"/>
  <c r="DA131" i="79"/>
  <c r="Z428" i="80"/>
  <c r="Z430" i="80" s="1"/>
  <c r="Z414" i="80"/>
  <c r="Z415" i="80" s="1"/>
  <c r="W428" i="80"/>
  <c r="W430" i="80" s="1"/>
  <c r="X431" i="80" s="1"/>
  <c r="FF251" i="79"/>
  <c r="Y252" i="79"/>
  <c r="Z252" i="79" s="1"/>
  <c r="DI252" i="79"/>
  <c r="DJ252" i="79" s="1"/>
  <c r="FM252" i="79"/>
  <c r="DQ252" i="79"/>
  <c r="DR252" i="79" s="1"/>
  <c r="BU252" i="79"/>
  <c r="BE252" i="79"/>
  <c r="EW252" i="79"/>
  <c r="EX252" i="79" s="1"/>
  <c r="CC252" i="79"/>
  <c r="DA252" i="79"/>
  <c r="DB252" i="79" s="1"/>
  <c r="FE252" i="79"/>
  <c r="BM252" i="79"/>
  <c r="EO252" i="79"/>
  <c r="EG252" i="79"/>
  <c r="EH252" i="79" s="1"/>
  <c r="AW252" i="79"/>
  <c r="Q252" i="79"/>
  <c r="CK252" i="79"/>
  <c r="AG252" i="79"/>
  <c r="CS252" i="79"/>
  <c r="AO252" i="79"/>
  <c r="DY252" i="79"/>
  <c r="AG131" i="79"/>
  <c r="AG274" i="79"/>
  <c r="AG281" i="79" s="1"/>
  <c r="AG283" i="79" s="1"/>
  <c r="AG328" i="79" s="1"/>
  <c r="AG152" i="79"/>
  <c r="AG156" i="79" s="1"/>
  <c r="AG158" i="79" s="1"/>
  <c r="AG228" i="79"/>
  <c r="AG119" i="79"/>
  <c r="AG223" i="79"/>
  <c r="AG127" i="79"/>
  <c r="E30" i="154"/>
  <c r="K16" i="100"/>
  <c r="EX428" i="80"/>
  <c r="EX430" i="80" s="1"/>
  <c r="EX414" i="80"/>
  <c r="EX415" i="80" s="1"/>
  <c r="EU428" i="80"/>
  <c r="EU430" i="80" s="1"/>
  <c r="EV431" i="80" s="1"/>
  <c r="BM228" i="80"/>
  <c r="BM131" i="80"/>
  <c r="BM152" i="80"/>
  <c r="BM156" i="80" s="1"/>
  <c r="BM158" i="80" s="1"/>
  <c r="BM119" i="80"/>
  <c r="BM274" i="80"/>
  <c r="BM281" i="80" s="1"/>
  <c r="BM283" i="80" s="1"/>
  <c r="BM328" i="80" s="1"/>
  <c r="BM127" i="80"/>
  <c r="BM223" i="80"/>
  <c r="BK428" i="80"/>
  <c r="BK430" i="80" s="1"/>
  <c r="BN428" i="80"/>
  <c r="BN430" i="80" s="1"/>
  <c r="BN414" i="80"/>
  <c r="BN415" i="80" s="1"/>
  <c r="CT414" i="80"/>
  <c r="CT415" i="80" s="1"/>
  <c r="CQ428" i="80"/>
  <c r="CQ430" i="80" s="1"/>
  <c r="CT428" i="80"/>
  <c r="CT430" i="80" s="1"/>
  <c r="CL428" i="80"/>
  <c r="CL430" i="80" s="1"/>
  <c r="CL414" i="80"/>
  <c r="CL415" i="80" s="1"/>
  <c r="CI428" i="80"/>
  <c r="CI430" i="80" s="1"/>
  <c r="FN447" i="80"/>
  <c r="FK395" i="80"/>
  <c r="I39" i="100"/>
  <c r="M72" i="166" s="1"/>
  <c r="DA131" i="80"/>
  <c r="DA119" i="80"/>
  <c r="DA274" i="80"/>
  <c r="DA281" i="80" s="1"/>
  <c r="DA283" i="80" s="1"/>
  <c r="DA328" i="80" s="1"/>
  <c r="DA228" i="80"/>
  <c r="DA152" i="80"/>
  <c r="DA127" i="80"/>
  <c r="DA223" i="80"/>
  <c r="Q127" i="79"/>
  <c r="Q152" i="79"/>
  <c r="Q156" i="79" s="1"/>
  <c r="Q158" i="79" s="1"/>
  <c r="Q119" i="79"/>
  <c r="Q131" i="79"/>
  <c r="Q274" i="79"/>
  <c r="Q281" i="79" s="1"/>
  <c r="Q283" i="79" s="1"/>
  <c r="Q328" i="79" s="1"/>
  <c r="Q228" i="79"/>
  <c r="Q223" i="79"/>
  <c r="DQ152" i="80"/>
  <c r="DQ156" i="80" s="1"/>
  <c r="DQ158" i="80" s="1"/>
  <c r="DQ274" i="80"/>
  <c r="DQ281" i="80" s="1"/>
  <c r="DQ283" i="80" s="1"/>
  <c r="DQ328" i="80" s="1"/>
  <c r="DQ131" i="80"/>
  <c r="DQ228" i="80"/>
  <c r="DQ223" i="80"/>
  <c r="DQ119" i="80"/>
  <c r="DQ127" i="80"/>
  <c r="EG119" i="79"/>
  <c r="EG274" i="79"/>
  <c r="EG223" i="79"/>
  <c r="EG127" i="79"/>
  <c r="EG131" i="79"/>
  <c r="EG152" i="79"/>
  <c r="EG156" i="79" s="1"/>
  <c r="EG158" i="79" s="1"/>
  <c r="EG228" i="79"/>
  <c r="AO274" i="79"/>
  <c r="AO223" i="79"/>
  <c r="AO119" i="79"/>
  <c r="AO152" i="79"/>
  <c r="AO127" i="79"/>
  <c r="AO228" i="79"/>
  <c r="AO131" i="79"/>
  <c r="R428" i="80"/>
  <c r="R430" i="80" s="1"/>
  <c r="R414" i="80"/>
  <c r="R415" i="80" s="1"/>
  <c r="O428" i="80"/>
  <c r="O430" i="80" s="1"/>
  <c r="AW63" i="80"/>
  <c r="AX63" i="80" s="1"/>
  <c r="AW251" i="80"/>
  <c r="AX251" i="80" s="1"/>
  <c r="CK223" i="80"/>
  <c r="EW251" i="80"/>
  <c r="EX251" i="80" s="1"/>
  <c r="EW63" i="80"/>
  <c r="EX63" i="80" s="1"/>
  <c r="CS93" i="80"/>
  <c r="CT91" i="80"/>
  <c r="CT93" i="80" s="1"/>
  <c r="EW93" i="80"/>
  <c r="EX91" i="80"/>
  <c r="EX93" i="80" s="1"/>
  <c r="DI93" i="80"/>
  <c r="DJ91" i="80"/>
  <c r="DJ93" i="80" s="1"/>
  <c r="FE223" i="79"/>
  <c r="FE152" i="79"/>
  <c r="FE131" i="79"/>
  <c r="FE127" i="79"/>
  <c r="FE228" i="79"/>
  <c r="FE119" i="79"/>
  <c r="FE274" i="79"/>
  <c r="DA63" i="80"/>
  <c r="DB63" i="80" s="1"/>
  <c r="DA251" i="80"/>
  <c r="DB251" i="80" s="1"/>
  <c r="DW395" i="80"/>
  <c r="DI228" i="79"/>
  <c r="DI119" i="79"/>
  <c r="DI274" i="79"/>
  <c r="DI152" i="79"/>
  <c r="DI127" i="79"/>
  <c r="DI131" i="79"/>
  <c r="DI223" i="79"/>
  <c r="AW93" i="79"/>
  <c r="AX91" i="79"/>
  <c r="AX93" i="79" s="1"/>
  <c r="FM93" i="79"/>
  <c r="FN91" i="79"/>
  <c r="FN93" i="79" s="1"/>
  <c r="DJ251" i="79"/>
  <c r="DY274" i="80"/>
  <c r="DY281" i="80" s="1"/>
  <c r="DY283" i="80" s="1"/>
  <c r="DY328" i="80" s="1"/>
  <c r="CS252" i="80"/>
  <c r="CT252" i="80" s="1"/>
  <c r="EW252" i="80"/>
  <c r="EX252" i="80" s="1"/>
  <c r="EO252" i="80"/>
  <c r="FM252" i="80"/>
  <c r="DQ252" i="80"/>
  <c r="DR252" i="80" s="1"/>
  <c r="Q252" i="80"/>
  <c r="AO252" i="80"/>
  <c r="AP252" i="80" s="1"/>
  <c r="AW252" i="80"/>
  <c r="DY252" i="80"/>
  <c r="DZ252" i="80" s="1"/>
  <c r="EG252" i="80"/>
  <c r="CK252" i="80"/>
  <c r="CL252" i="80" s="1"/>
  <c r="AG252" i="80"/>
  <c r="BU252" i="80"/>
  <c r="DA252" i="80"/>
  <c r="DB252" i="80" s="1"/>
  <c r="Y252" i="80"/>
  <c r="Z252" i="80" s="1"/>
  <c r="CC252" i="80"/>
  <c r="CD252" i="80" s="1"/>
  <c r="DI252" i="80"/>
  <c r="DJ252" i="80" s="1"/>
  <c r="FE252" i="80"/>
  <c r="FF252" i="80" s="1"/>
  <c r="BM252" i="80"/>
  <c r="BE252" i="80"/>
  <c r="BF252" i="80" s="1"/>
  <c r="FE119" i="80"/>
  <c r="DB428" i="79"/>
  <c r="DB430" i="79" s="1"/>
  <c r="DB414" i="79"/>
  <c r="DB415" i="79" s="1"/>
  <c r="CY428" i="79"/>
  <c r="CY430" i="79" s="1"/>
  <c r="CC451" i="80"/>
  <c r="BN447" i="80"/>
  <c r="BN63" i="80" s="1"/>
  <c r="BK395" i="80"/>
  <c r="DR414" i="80"/>
  <c r="DR415" i="80" s="1"/>
  <c r="DR428" i="80"/>
  <c r="DR430" i="80" s="1"/>
  <c r="DO428" i="80"/>
  <c r="DO430" i="80" s="1"/>
  <c r="CR84" i="79"/>
  <c r="CR237" i="79"/>
  <c r="DX84" i="79"/>
  <c r="DX237" i="79"/>
  <c r="CJ310" i="80"/>
  <c r="DX310" i="80"/>
  <c r="DP310" i="80"/>
  <c r="FD310" i="80"/>
  <c r="BT310" i="80"/>
  <c r="BL310" i="80"/>
  <c r="P310" i="80"/>
  <c r="FL310" i="80"/>
  <c r="CR310" i="80"/>
  <c r="EN310" i="80"/>
  <c r="BD310" i="80"/>
  <c r="H313" i="80"/>
  <c r="AF310" i="80"/>
  <c r="AN310" i="80"/>
  <c r="CB310" i="80"/>
  <c r="EV310" i="80"/>
  <c r="AV310" i="80"/>
  <c r="EF310" i="80"/>
  <c r="DH310" i="80"/>
  <c r="X310" i="80"/>
  <c r="CZ310" i="80"/>
  <c r="CB235" i="80"/>
  <c r="DX156" i="80"/>
  <c r="DX158" i="80" s="1"/>
  <c r="FD237" i="80"/>
  <c r="FD84" i="80"/>
  <c r="EF156" i="80"/>
  <c r="EF158" i="80" s="1"/>
  <c r="AV237" i="79"/>
  <c r="AV84" i="79"/>
  <c r="CB310" i="79"/>
  <c r="CZ310" i="79"/>
  <c r="P310" i="79"/>
  <c r="DH310" i="79"/>
  <c r="EN310" i="79"/>
  <c r="H313" i="79"/>
  <c r="AF310" i="79"/>
  <c r="EF310" i="79"/>
  <c r="DX310" i="79"/>
  <c r="BD310" i="79"/>
  <c r="BT310" i="79"/>
  <c r="DP310" i="79"/>
  <c r="FD310" i="79"/>
  <c r="AN310" i="79"/>
  <c r="CR310" i="79"/>
  <c r="BL310" i="79"/>
  <c r="EV310" i="79"/>
  <c r="AV310" i="79"/>
  <c r="CJ310" i="79"/>
  <c r="X310" i="79"/>
  <c r="FL310" i="79"/>
  <c r="EF235" i="80"/>
  <c r="EN84" i="80"/>
  <c r="EN237" i="80"/>
  <c r="CJ156" i="80"/>
  <c r="CJ158" i="80" s="1"/>
  <c r="EV237" i="79"/>
  <c r="EV84" i="79"/>
  <c r="BT156" i="80"/>
  <c r="BT158" i="80" s="1"/>
  <c r="P84" i="79"/>
  <c r="P237" i="79"/>
  <c r="FL237" i="79"/>
  <c r="FL84" i="79"/>
  <c r="DP84" i="79"/>
  <c r="DP237" i="79"/>
  <c r="DX235" i="80"/>
  <c r="H313" i="85"/>
  <c r="FL281" i="80"/>
  <c r="FL283" i="80" s="1"/>
  <c r="FL328" i="80" s="1"/>
  <c r="P156" i="80"/>
  <c r="P158" i="80" s="1"/>
  <c r="BL156" i="80"/>
  <c r="BL158" i="80" s="1"/>
  <c r="EN84" i="79"/>
  <c r="EN237" i="79"/>
  <c r="DH84" i="79"/>
  <c r="DH237" i="79"/>
  <c r="CB156" i="80"/>
  <c r="CB158" i="80" s="1"/>
  <c r="FL156" i="80"/>
  <c r="FL158" i="80" s="1"/>
  <c r="CJ281" i="80"/>
  <c r="CJ283" i="80" s="1"/>
  <c r="CJ328" i="80" s="1"/>
  <c r="P281" i="80"/>
  <c r="P283" i="80" s="1"/>
  <c r="P328" i="80" s="1"/>
  <c r="H291" i="80"/>
  <c r="H291" i="85"/>
  <c r="J161" i="90" s="1"/>
  <c r="H291" i="79"/>
  <c r="AN156" i="80"/>
  <c r="AN158" i="80" s="1"/>
  <c r="X237" i="79"/>
  <c r="X84" i="79"/>
  <c r="P235" i="80"/>
  <c r="BT237" i="79"/>
  <c r="BT84" i="79"/>
  <c r="BL237" i="79"/>
  <c r="BL84" i="79"/>
  <c r="EF281" i="80"/>
  <c r="EF283" i="80" s="1"/>
  <c r="EF328" i="80" s="1"/>
  <c r="AF84" i="79"/>
  <c r="AF237" i="79"/>
  <c r="FL235" i="80"/>
  <c r="AV84" i="80"/>
  <c r="AV237" i="80"/>
  <c r="BT235" i="80"/>
  <c r="BL281" i="80"/>
  <c r="BL283" i="80" s="1"/>
  <c r="BL328" i="80" s="1"/>
  <c r="CZ84" i="79"/>
  <c r="CZ237" i="79"/>
  <c r="DX281" i="80"/>
  <c r="DX283" i="80" s="1"/>
  <c r="DX328" i="80" s="1"/>
  <c r="FD84" i="79"/>
  <c r="FD237" i="79"/>
  <c r="BD84" i="79"/>
  <c r="BD237" i="79"/>
  <c r="CB281" i="80"/>
  <c r="CB283" i="80" s="1"/>
  <c r="CB328" i="80" s="1"/>
  <c r="CZ84" i="80"/>
  <c r="CZ237" i="80"/>
  <c r="CJ235" i="80"/>
  <c r="BT281" i="80"/>
  <c r="BT283" i="80" s="1"/>
  <c r="BT328" i="80" s="1"/>
  <c r="AN281" i="80"/>
  <c r="AN283" i="80" s="1"/>
  <c r="AN328" i="80" s="1"/>
  <c r="EV84" i="80"/>
  <c r="EV237" i="80"/>
  <c r="CJ237" i="79"/>
  <c r="CJ84" i="79"/>
  <c r="CB84" i="79"/>
  <c r="CB237" i="79"/>
  <c r="AN237" i="79"/>
  <c r="AN84" i="79"/>
  <c r="AN235" i="80"/>
  <c r="EF237" i="79"/>
  <c r="EF84" i="79"/>
  <c r="BL235" i="80"/>
  <c r="X237" i="80" l="1"/>
  <c r="J37" i="171"/>
  <c r="J310" i="79"/>
  <c r="J313" i="79" s="1"/>
  <c r="J315" i="79" s="1"/>
  <c r="J331" i="79" s="1"/>
  <c r="AX252" i="79"/>
  <c r="F39" i="154"/>
  <c r="N93" i="169" s="1"/>
  <c r="J93" i="169" s="1"/>
  <c r="J235" i="79"/>
  <c r="J237" i="79" s="1"/>
  <c r="BV252" i="80"/>
  <c r="CD252" i="79"/>
  <c r="EH252" i="80"/>
  <c r="J77" i="166"/>
  <c r="J79" i="166" s="1"/>
  <c r="J72" i="80"/>
  <c r="J77" i="80" s="1"/>
  <c r="J79" i="80" s="1"/>
  <c r="J72" i="85"/>
  <c r="L38" i="90" s="1"/>
  <c r="J72" i="79"/>
  <c r="J77" i="79" s="1"/>
  <c r="J79" i="79" s="1"/>
  <c r="J77" i="169"/>
  <c r="J237" i="85" s="1"/>
  <c r="F19" i="32"/>
  <c r="F21" i="32" s="1"/>
  <c r="F24" i="32" s="1"/>
  <c r="J84" i="166" s="1"/>
  <c r="K38" i="100"/>
  <c r="J133" i="166"/>
  <c r="J133" i="85" s="1"/>
  <c r="J122" i="79"/>
  <c r="J122" i="85"/>
  <c r="L68" i="90" s="1"/>
  <c r="I31" i="170"/>
  <c r="J281" i="85"/>
  <c r="J128" i="80"/>
  <c r="J133" i="80" s="1"/>
  <c r="J128" i="79"/>
  <c r="J128" i="85"/>
  <c r="L74" i="90" s="1"/>
  <c r="J158" i="166"/>
  <c r="J158" i="85" s="1"/>
  <c r="J156" i="85"/>
  <c r="DZ252" i="79"/>
  <c r="EF72" i="80"/>
  <c r="AV72" i="80"/>
  <c r="AV77" i="80" s="1"/>
  <c r="AV79" i="80" s="1"/>
  <c r="EP252" i="80"/>
  <c r="BF252" i="79"/>
  <c r="AF72" i="80"/>
  <c r="CZ72" i="80"/>
  <c r="I135" i="166"/>
  <c r="AH252" i="79"/>
  <c r="FD72" i="80"/>
  <c r="BN252" i="80"/>
  <c r="J253" i="85"/>
  <c r="L147" i="90" s="1"/>
  <c r="J253" i="80"/>
  <c r="J257" i="80" s="1"/>
  <c r="J260" i="80" s="1"/>
  <c r="J322" i="80" s="1"/>
  <c r="AP252" i="79"/>
  <c r="BN252" i="79"/>
  <c r="H128" i="80"/>
  <c r="EF72" i="79"/>
  <c r="EF77" i="79" s="1"/>
  <c r="EF79" i="79" s="1"/>
  <c r="CZ72" i="79"/>
  <c r="CZ77" i="79" s="1"/>
  <c r="CZ79" i="79" s="1"/>
  <c r="CB72" i="79"/>
  <c r="CB77" i="79" s="1"/>
  <c r="CB79" i="79" s="1"/>
  <c r="FN252" i="79"/>
  <c r="H77" i="79"/>
  <c r="H79" i="79" s="1"/>
  <c r="X72" i="79"/>
  <c r="AN72" i="79"/>
  <c r="AN77" i="79" s="1"/>
  <c r="AN79" i="79" s="1"/>
  <c r="FF252" i="79"/>
  <c r="FD72" i="79"/>
  <c r="AX252" i="80"/>
  <c r="FL72" i="79"/>
  <c r="DP72" i="79"/>
  <c r="DP77" i="79" s="1"/>
  <c r="DP79" i="79" s="1"/>
  <c r="AF72" i="79"/>
  <c r="AF77" i="79" s="1"/>
  <c r="AF79" i="79" s="1"/>
  <c r="R252" i="80"/>
  <c r="CJ72" i="79"/>
  <c r="CJ77" i="79" s="1"/>
  <c r="CJ79" i="79" s="1"/>
  <c r="BL72" i="79"/>
  <c r="BL77" i="79" s="1"/>
  <c r="BL79" i="79" s="1"/>
  <c r="BT72" i="79"/>
  <c r="CL252" i="79"/>
  <c r="EN72" i="79"/>
  <c r="EN77" i="79" s="1"/>
  <c r="EN79" i="79" s="1"/>
  <c r="AV72" i="79"/>
  <c r="AV77" i="79" s="1"/>
  <c r="AV79" i="79" s="1"/>
  <c r="BD72" i="79"/>
  <c r="BD77" i="79" s="1"/>
  <c r="BD79" i="79" s="1"/>
  <c r="DX72" i="79"/>
  <c r="DX77" i="79" s="1"/>
  <c r="DX79" i="79" s="1"/>
  <c r="AH252" i="80"/>
  <c r="P72" i="79"/>
  <c r="P77" i="79" s="1"/>
  <c r="P79" i="79" s="1"/>
  <c r="EV72" i="79"/>
  <c r="EV77" i="79" s="1"/>
  <c r="EV79" i="79" s="1"/>
  <c r="DH72" i="79"/>
  <c r="DH77" i="79" s="1"/>
  <c r="DH79" i="79" s="1"/>
  <c r="CT252" i="79"/>
  <c r="BV252" i="79"/>
  <c r="FN252" i="80"/>
  <c r="H100" i="169"/>
  <c r="EP252" i="79"/>
  <c r="R252" i="79"/>
  <c r="H122" i="80"/>
  <c r="G133" i="166"/>
  <c r="G135" i="166" s="1"/>
  <c r="BD84" i="80"/>
  <c r="DP237" i="80"/>
  <c r="AF84" i="80"/>
  <c r="I72" i="166"/>
  <c r="I77" i="166" s="1"/>
  <c r="BU235" i="80"/>
  <c r="BU84" i="80" s="1"/>
  <c r="H133" i="166"/>
  <c r="H135" i="166" s="1"/>
  <c r="H161" i="166" s="1"/>
  <c r="H77" i="80"/>
  <c r="H79" i="80" s="1"/>
  <c r="EV72" i="80"/>
  <c r="EV77" i="80" s="1"/>
  <c r="EV79" i="80" s="1"/>
  <c r="EN72" i="80"/>
  <c r="EN77" i="80" s="1"/>
  <c r="EN79" i="80" s="1"/>
  <c r="BL72" i="80"/>
  <c r="BL77" i="80" s="1"/>
  <c r="BL79" i="80" s="1"/>
  <c r="P72" i="80"/>
  <c r="P77" i="80" s="1"/>
  <c r="P79" i="80" s="1"/>
  <c r="DP72" i="80"/>
  <c r="DP77" i="80" s="1"/>
  <c r="DP79" i="80" s="1"/>
  <c r="BD72" i="80"/>
  <c r="BD77" i="80" s="1"/>
  <c r="BD79" i="80" s="1"/>
  <c r="AN72" i="80"/>
  <c r="AN77" i="80" s="1"/>
  <c r="AN79" i="80" s="1"/>
  <c r="X72" i="80"/>
  <c r="DH72" i="80"/>
  <c r="CJ72" i="80"/>
  <c r="CJ77" i="80" s="1"/>
  <c r="CJ79" i="80" s="1"/>
  <c r="FL72" i="80"/>
  <c r="CR72" i="80"/>
  <c r="CR77" i="80" s="1"/>
  <c r="CR79" i="80" s="1"/>
  <c r="BT72" i="80"/>
  <c r="BT77" i="80" s="1"/>
  <c r="BT79" i="80" s="1"/>
  <c r="DX72" i="80"/>
  <c r="DX77" i="80" s="1"/>
  <c r="DX79" i="80" s="1"/>
  <c r="H122" i="79"/>
  <c r="H128" i="79"/>
  <c r="H84" i="85"/>
  <c r="J40" i="90" s="1"/>
  <c r="H84" i="79"/>
  <c r="DH237" i="80"/>
  <c r="CR237" i="80"/>
  <c r="EO235" i="80"/>
  <c r="EO237" i="80" s="1"/>
  <c r="BE235" i="80"/>
  <c r="BE237" i="80" s="1"/>
  <c r="BV274" i="79"/>
  <c r="BV281" i="79" s="1"/>
  <c r="BV283" i="79" s="1"/>
  <c r="BV328" i="79" s="1"/>
  <c r="Q235" i="80"/>
  <c r="Q237" i="80" s="1"/>
  <c r="CA415" i="80"/>
  <c r="FF431" i="79"/>
  <c r="CT431" i="80"/>
  <c r="FN431" i="79"/>
  <c r="CS235" i="80"/>
  <c r="CS84" i="80" s="1"/>
  <c r="BV119" i="79"/>
  <c r="BV431" i="79"/>
  <c r="FE431" i="80"/>
  <c r="DY431" i="80"/>
  <c r="FM235" i="79"/>
  <c r="FM84" i="79" s="1"/>
  <c r="AG235" i="80"/>
  <c r="AG237" i="80" s="1"/>
  <c r="BM235" i="79"/>
  <c r="BM237" i="79" s="1"/>
  <c r="FM235" i="80"/>
  <c r="FM237" i="80" s="1"/>
  <c r="AP431" i="79"/>
  <c r="EW235" i="79"/>
  <c r="EW237" i="79" s="1"/>
  <c r="BM235" i="80"/>
  <c r="BM84" i="80" s="1"/>
  <c r="DJ431" i="80"/>
  <c r="AH431" i="79"/>
  <c r="DA235" i="80"/>
  <c r="DA84" i="80" s="1"/>
  <c r="BF431" i="80"/>
  <c r="BV152" i="79"/>
  <c r="BV156" i="79" s="1"/>
  <c r="BV158" i="79" s="1"/>
  <c r="Q235" i="79"/>
  <c r="Q84" i="79" s="1"/>
  <c r="R431" i="80"/>
  <c r="DB431" i="79"/>
  <c r="BV223" i="79"/>
  <c r="BV127" i="79"/>
  <c r="BF431" i="79"/>
  <c r="AX431" i="79"/>
  <c r="EX431" i="79"/>
  <c r="CZ431" i="79"/>
  <c r="DA431" i="79"/>
  <c r="DI235" i="79"/>
  <c r="P431" i="80"/>
  <c r="Q431" i="80"/>
  <c r="CL431" i="80"/>
  <c r="EX431" i="80"/>
  <c r="DO415" i="79"/>
  <c r="DR451" i="79"/>
  <c r="DR223" i="79" s="1"/>
  <c r="CD63" i="80"/>
  <c r="CD251" i="80"/>
  <c r="BF451" i="79"/>
  <c r="BC415" i="79"/>
  <c r="EN431" i="79"/>
  <c r="EO431" i="79"/>
  <c r="CK281" i="79"/>
  <c r="CK283" i="79" s="1"/>
  <c r="CK328" i="79" s="1"/>
  <c r="AF431" i="80"/>
  <c r="AG431" i="80"/>
  <c r="BV431" i="80"/>
  <c r="AW235" i="79"/>
  <c r="DH431" i="79"/>
  <c r="DI431" i="79"/>
  <c r="AH451" i="79"/>
  <c r="AH228" i="79" s="1"/>
  <c r="AE415" i="79"/>
  <c r="DI235" i="80"/>
  <c r="CJ431" i="79"/>
  <c r="CK431" i="79"/>
  <c r="FL431" i="80"/>
  <c r="FM431" i="80"/>
  <c r="FE281" i="80"/>
  <c r="FE283" i="80" s="1"/>
  <c r="FE328" i="80" s="1"/>
  <c r="EH251" i="80"/>
  <c r="DP431" i="80"/>
  <c r="DQ431" i="80"/>
  <c r="DB451" i="79"/>
  <c r="DB152" i="79" s="1"/>
  <c r="DB156" i="79" s="1"/>
  <c r="DB158" i="79" s="1"/>
  <c r="CY415" i="79"/>
  <c r="FE156" i="79"/>
  <c r="FE158" i="79" s="1"/>
  <c r="G128" i="80"/>
  <c r="G128" i="79"/>
  <c r="G128" i="85"/>
  <c r="I74" i="90" s="1"/>
  <c r="R451" i="80"/>
  <c r="R223" i="80" s="1"/>
  <c r="O415" i="80"/>
  <c r="AO281" i="79"/>
  <c r="AO283" i="79" s="1"/>
  <c r="AO328" i="79" s="1"/>
  <c r="DA156" i="80"/>
  <c r="DA158" i="80" s="1"/>
  <c r="FN251" i="80"/>
  <c r="FN63" i="80"/>
  <c r="G122" i="85"/>
  <c r="I68" i="90" s="1"/>
  <c r="G122" i="80"/>
  <c r="G122" i="79"/>
  <c r="AG235" i="79"/>
  <c r="EG431" i="79"/>
  <c r="EF431" i="79"/>
  <c r="BC415" i="80"/>
  <c r="BF451" i="80"/>
  <c r="BF127" i="80" s="1"/>
  <c r="AV431" i="80"/>
  <c r="AW431" i="80"/>
  <c r="BM281" i="79"/>
  <c r="BM283" i="79" s="1"/>
  <c r="BM328" i="79" s="1"/>
  <c r="AE415" i="80"/>
  <c r="AH451" i="80"/>
  <c r="AH127" i="80" s="1"/>
  <c r="CQ415" i="79"/>
  <c r="CT451" i="79"/>
  <c r="CT274" i="79" s="1"/>
  <c r="CT281" i="79" s="1"/>
  <c r="CT283" i="79" s="1"/>
  <c r="CT328" i="79" s="1"/>
  <c r="AW281" i="79"/>
  <c r="AW283" i="79" s="1"/>
  <c r="AW328" i="79" s="1"/>
  <c r="DJ451" i="79"/>
  <c r="DJ228" i="79" s="1"/>
  <c r="DG415" i="79"/>
  <c r="Y156" i="80"/>
  <c r="Y158" i="80" s="1"/>
  <c r="AN431" i="80"/>
  <c r="AO431" i="80"/>
  <c r="EW235" i="80"/>
  <c r="Y235" i="79"/>
  <c r="DQ281" i="79"/>
  <c r="DQ283" i="79" s="1"/>
  <c r="DQ328" i="79" s="1"/>
  <c r="BS415" i="79"/>
  <c r="FN451" i="80"/>
  <c r="FN223" i="80" s="1"/>
  <c r="FK415" i="80"/>
  <c r="Y431" i="79"/>
  <c r="X431" i="79"/>
  <c r="DY156" i="79"/>
  <c r="DY158" i="79" s="1"/>
  <c r="BN251" i="80"/>
  <c r="DR431" i="80"/>
  <c r="I128" i="79"/>
  <c r="I128" i="80"/>
  <c r="I128" i="85"/>
  <c r="K74" i="90" s="1"/>
  <c r="EG235" i="79"/>
  <c r="CR431" i="80"/>
  <c r="CS431" i="80"/>
  <c r="I122" i="80"/>
  <c r="I122" i="79"/>
  <c r="I122" i="85"/>
  <c r="K68" i="90" s="1"/>
  <c r="I133" i="85"/>
  <c r="EH451" i="80"/>
  <c r="EH223" i="80" s="1"/>
  <c r="EE415" i="80"/>
  <c r="EH451" i="79"/>
  <c r="EH223" i="79" s="1"/>
  <c r="EE415" i="79"/>
  <c r="BU235" i="79"/>
  <c r="BV228" i="79"/>
  <c r="BD431" i="80"/>
  <c r="BE431" i="80"/>
  <c r="AU415" i="80"/>
  <c r="AX451" i="80"/>
  <c r="AX131" i="80" s="1"/>
  <c r="AH431" i="80"/>
  <c r="CT431" i="79"/>
  <c r="I158" i="85"/>
  <c r="EV431" i="79"/>
  <c r="EW431" i="79"/>
  <c r="DJ431" i="79"/>
  <c r="AP451" i="80"/>
  <c r="AP223" i="80" s="1"/>
  <c r="AM415" i="80"/>
  <c r="FE235" i="80"/>
  <c r="BM431" i="79"/>
  <c r="BL431" i="79"/>
  <c r="FF451" i="80"/>
  <c r="FF274" i="80" s="1"/>
  <c r="FF281" i="80" s="1"/>
  <c r="FF283" i="80" s="1"/>
  <c r="FF328" i="80" s="1"/>
  <c r="FC415" i="80"/>
  <c r="FN451" i="79"/>
  <c r="FN119" i="79" s="1"/>
  <c r="FK415" i="79"/>
  <c r="W415" i="79"/>
  <c r="Z451" i="79"/>
  <c r="Z223" i="79" s="1"/>
  <c r="AW235" i="80"/>
  <c r="E19" i="7"/>
  <c r="I328" i="85" s="1"/>
  <c r="I283" i="85"/>
  <c r="BV63" i="80"/>
  <c r="DO415" i="80"/>
  <c r="DR451" i="80"/>
  <c r="CT451" i="80"/>
  <c r="CT223" i="80" s="1"/>
  <c r="CQ415" i="80"/>
  <c r="DA235" i="79"/>
  <c r="CK235" i="80"/>
  <c r="CB431" i="79"/>
  <c r="CC431" i="79"/>
  <c r="EH431" i="80"/>
  <c r="EO431" i="80"/>
  <c r="EN431" i="80"/>
  <c r="EH431" i="79"/>
  <c r="AX431" i="80"/>
  <c r="P431" i="79"/>
  <c r="Q431" i="79"/>
  <c r="EX451" i="79"/>
  <c r="EU415" i="79"/>
  <c r="AO431" i="79"/>
  <c r="AN431" i="79"/>
  <c r="Y235" i="80"/>
  <c r="AP431" i="80"/>
  <c r="BN451" i="79"/>
  <c r="BN274" i="79" s="1"/>
  <c r="BN281" i="79" s="1"/>
  <c r="BN283" i="79" s="1"/>
  <c r="BN328" i="79" s="1"/>
  <c r="BK415" i="79"/>
  <c r="FF431" i="80"/>
  <c r="DQ156" i="79"/>
  <c r="DQ158" i="79" s="1"/>
  <c r="Z431" i="79"/>
  <c r="AW281" i="80"/>
  <c r="AW283" i="80" s="1"/>
  <c r="AW328" i="80" s="1"/>
  <c r="FE281" i="79"/>
  <c r="FE283" i="79" s="1"/>
  <c r="FE328" i="79" s="1"/>
  <c r="AO235" i="79"/>
  <c r="DQ235" i="80"/>
  <c r="BN451" i="80"/>
  <c r="BN223" i="80" s="1"/>
  <c r="BK415" i="80"/>
  <c r="Z451" i="80"/>
  <c r="W415" i="80"/>
  <c r="I237" i="85"/>
  <c r="BT431" i="79"/>
  <c r="BU431" i="79"/>
  <c r="AV431" i="79"/>
  <c r="AW431" i="79"/>
  <c r="CD451" i="79"/>
  <c r="CD119" i="79" s="1"/>
  <c r="CA415" i="79"/>
  <c r="DY237" i="80"/>
  <c r="DY84" i="80"/>
  <c r="EP431" i="80"/>
  <c r="CK235" i="79"/>
  <c r="O415" i="79"/>
  <c r="R451" i="79"/>
  <c r="AO84" i="80"/>
  <c r="AO237" i="80"/>
  <c r="EO235" i="79"/>
  <c r="DI431" i="80"/>
  <c r="DH431" i="80"/>
  <c r="AM415" i="79"/>
  <c r="AP451" i="79"/>
  <c r="AP228" i="79" s="1"/>
  <c r="CS156" i="79"/>
  <c r="CS158" i="79" s="1"/>
  <c r="BN431" i="79"/>
  <c r="EG235" i="80"/>
  <c r="BE235" i="79"/>
  <c r="FL431" i="79"/>
  <c r="FM431" i="79"/>
  <c r="CC235" i="79"/>
  <c r="AW156" i="80"/>
  <c r="AW158" i="80" s="1"/>
  <c r="EG431" i="80"/>
  <c r="DJ251" i="80"/>
  <c r="DI156" i="79"/>
  <c r="DI158" i="79" s="1"/>
  <c r="BN431" i="80"/>
  <c r="H15" i="154"/>
  <c r="H19" i="154" s="1"/>
  <c r="G30" i="154"/>
  <c r="Z431" i="80"/>
  <c r="BE281" i="80"/>
  <c r="BE283" i="80" s="1"/>
  <c r="BE328" i="80" s="1"/>
  <c r="I84" i="85"/>
  <c r="K40" i="90" s="1"/>
  <c r="I84" i="80"/>
  <c r="I84" i="79"/>
  <c r="AX451" i="79"/>
  <c r="AU415" i="79"/>
  <c r="CD431" i="79"/>
  <c r="EP451" i="80"/>
  <c r="EP127" i="80" s="1"/>
  <c r="EM415" i="80"/>
  <c r="CD431" i="80"/>
  <c r="R431" i="79"/>
  <c r="CZ431" i="80"/>
  <c r="DA431" i="80"/>
  <c r="DY431" i="79"/>
  <c r="DX431" i="79"/>
  <c r="FF451" i="79"/>
  <c r="FF127" i="79" s="1"/>
  <c r="FC415" i="79"/>
  <c r="DG415" i="80"/>
  <c r="DJ451" i="80"/>
  <c r="CS235" i="79"/>
  <c r="EW431" i="80"/>
  <c r="I310" i="79"/>
  <c r="I310" i="85"/>
  <c r="K174" i="90" s="1"/>
  <c r="I310" i="80"/>
  <c r="CC281" i="79"/>
  <c r="CC283" i="79" s="1"/>
  <c r="CC328" i="79" s="1"/>
  <c r="DY235" i="79"/>
  <c r="DR251" i="80"/>
  <c r="CC127" i="80"/>
  <c r="CD127" i="80" s="1"/>
  <c r="CC223" i="80"/>
  <c r="CD223" i="80" s="1"/>
  <c r="CC152" i="80"/>
  <c r="CC119" i="80"/>
  <c r="CD119" i="80" s="1"/>
  <c r="CC131" i="80"/>
  <c r="CD131" i="80" s="1"/>
  <c r="CC228" i="80"/>
  <c r="CC274" i="80"/>
  <c r="DI281" i="79"/>
  <c r="DI283" i="79" s="1"/>
  <c r="DI328" i="79" s="1"/>
  <c r="FE235" i="79"/>
  <c r="AO156" i="79"/>
  <c r="AO158" i="79" s="1"/>
  <c r="CJ431" i="80"/>
  <c r="CK431" i="80"/>
  <c r="BL431" i="80"/>
  <c r="BM431" i="80"/>
  <c r="DP431" i="79"/>
  <c r="DQ431" i="79"/>
  <c r="EP451" i="79"/>
  <c r="EM415" i="79"/>
  <c r="CB431" i="80"/>
  <c r="CC431" i="80"/>
  <c r="CS281" i="80"/>
  <c r="CS283" i="80" s="1"/>
  <c r="CS328" i="80" s="1"/>
  <c r="BT431" i="80"/>
  <c r="BU431" i="80"/>
  <c r="DB451" i="80"/>
  <c r="DB223" i="80" s="1"/>
  <c r="CY415" i="80"/>
  <c r="DW415" i="79"/>
  <c r="DZ451" i="79"/>
  <c r="DZ228" i="79" s="1"/>
  <c r="CS281" i="79"/>
  <c r="CS283" i="79" s="1"/>
  <c r="CS328" i="79" s="1"/>
  <c r="DQ235" i="79"/>
  <c r="CL451" i="79"/>
  <c r="CL131" i="79" s="1"/>
  <c r="CI415" i="79"/>
  <c r="DZ451" i="80"/>
  <c r="DW415" i="80"/>
  <c r="DY281" i="79"/>
  <c r="DY283" i="79" s="1"/>
  <c r="DY328" i="79" s="1"/>
  <c r="R251" i="80"/>
  <c r="BF63" i="80"/>
  <c r="EG281" i="79"/>
  <c r="EG283" i="79" s="1"/>
  <c r="EG328" i="79" s="1"/>
  <c r="CL451" i="80"/>
  <c r="CI415" i="80"/>
  <c r="EU415" i="80"/>
  <c r="EX451" i="80"/>
  <c r="DA156" i="79"/>
  <c r="DA158" i="79" s="1"/>
  <c r="DR431" i="79"/>
  <c r="BE431" i="79"/>
  <c r="BD431" i="79"/>
  <c r="EP431" i="79"/>
  <c r="BV131" i="79"/>
  <c r="CK156" i="79"/>
  <c r="CK158" i="79" s="1"/>
  <c r="Y431" i="80"/>
  <c r="BV451" i="80"/>
  <c r="BV127" i="80" s="1"/>
  <c r="BS415" i="80"/>
  <c r="DB431" i="80"/>
  <c r="DZ431" i="79"/>
  <c r="FE431" i="79"/>
  <c r="FD431" i="79"/>
  <c r="AP63" i="80"/>
  <c r="AP251" i="80"/>
  <c r="AF431" i="79"/>
  <c r="AG431" i="79"/>
  <c r="DI281" i="80"/>
  <c r="DI283" i="80" s="1"/>
  <c r="DI328" i="80" s="1"/>
  <c r="CL431" i="79"/>
  <c r="FN431" i="80"/>
  <c r="DZ431" i="80"/>
  <c r="CS431" i="79"/>
  <c r="D22" i="7"/>
  <c r="H331" i="85" s="1"/>
  <c r="H315" i="85"/>
  <c r="BD313" i="79"/>
  <c r="CZ313" i="79"/>
  <c r="AV313" i="80"/>
  <c r="CR313" i="80"/>
  <c r="CJ313" i="80"/>
  <c r="FD77" i="80"/>
  <c r="FD79" i="80" s="1"/>
  <c r="EF77" i="80"/>
  <c r="EF79" i="80" s="1"/>
  <c r="CZ77" i="80"/>
  <c r="CZ79" i="80" s="1"/>
  <c r="FD77" i="79"/>
  <c r="FD79" i="79" s="1"/>
  <c r="EV313" i="79"/>
  <c r="DX313" i="79"/>
  <c r="CB313" i="79"/>
  <c r="EV313" i="80"/>
  <c r="FL313" i="80"/>
  <c r="AV313" i="79"/>
  <c r="AN237" i="80"/>
  <c r="AN84" i="80"/>
  <c r="X77" i="80"/>
  <c r="X79" i="80" s="1"/>
  <c r="X77" i="79"/>
  <c r="X79" i="79" s="1"/>
  <c r="BL313" i="79"/>
  <c r="EF313" i="79"/>
  <c r="CB313" i="80"/>
  <c r="P313" i="80"/>
  <c r="BT84" i="80"/>
  <c r="BT237" i="80"/>
  <c r="H298" i="85"/>
  <c r="DH77" i="80"/>
  <c r="DH79" i="80" s="1"/>
  <c r="FL77" i="80"/>
  <c r="FL79" i="80" s="1"/>
  <c r="FL77" i="79"/>
  <c r="FL79" i="79" s="1"/>
  <c r="CR313" i="79"/>
  <c r="AF313" i="79"/>
  <c r="AN313" i="80"/>
  <c r="BL313" i="80"/>
  <c r="P237" i="80"/>
  <c r="P84" i="80"/>
  <c r="CB291" i="79"/>
  <c r="CZ291" i="79"/>
  <c r="BL291" i="79"/>
  <c r="AN291" i="79"/>
  <c r="BT291" i="79"/>
  <c r="P291" i="79"/>
  <c r="CR291" i="79"/>
  <c r="EN291" i="79"/>
  <c r="CJ291" i="79"/>
  <c r="DX291" i="79"/>
  <c r="EF291" i="79"/>
  <c r="AV291" i="79"/>
  <c r="DP291" i="79"/>
  <c r="AF291" i="79"/>
  <c r="FL291" i="79"/>
  <c r="BD291" i="79"/>
  <c r="FD291" i="79"/>
  <c r="DH291" i="79"/>
  <c r="EV291" i="79"/>
  <c r="H298" i="79"/>
  <c r="H315" i="79" s="1"/>
  <c r="H331" i="79" s="1"/>
  <c r="X291" i="79"/>
  <c r="BT77" i="79"/>
  <c r="BT79" i="79" s="1"/>
  <c r="AN313" i="79"/>
  <c r="CZ313" i="80"/>
  <c r="AF313" i="80"/>
  <c r="BT313" i="80"/>
  <c r="BL237" i="80"/>
  <c r="BL84" i="80"/>
  <c r="AF77" i="80"/>
  <c r="AF79" i="80" s="1"/>
  <c r="DX84" i="80"/>
  <c r="DX237" i="80"/>
  <c r="FL313" i="79"/>
  <c r="FD313" i="79"/>
  <c r="EN313" i="79"/>
  <c r="X313" i="80"/>
  <c r="FD313" i="80"/>
  <c r="CJ237" i="80"/>
  <c r="CJ84" i="80"/>
  <c r="FL237" i="80"/>
  <c r="FL84" i="80"/>
  <c r="AF291" i="80"/>
  <c r="DH291" i="80"/>
  <c r="P291" i="80"/>
  <c r="CJ291" i="80"/>
  <c r="X291" i="80"/>
  <c r="EN291" i="80"/>
  <c r="FL291" i="80"/>
  <c r="CB291" i="80"/>
  <c r="AN291" i="80"/>
  <c r="EV291" i="80"/>
  <c r="BL291" i="80"/>
  <c r="CR291" i="80"/>
  <c r="BD291" i="80"/>
  <c r="FD291" i="80"/>
  <c r="EF291" i="80"/>
  <c r="H298" i="80"/>
  <c r="H315" i="80" s="1"/>
  <c r="H331" i="80" s="1"/>
  <c r="AV291" i="80"/>
  <c r="CZ291" i="80"/>
  <c r="BT291" i="80"/>
  <c r="DX291" i="80"/>
  <c r="DP291" i="80"/>
  <c r="CB77" i="80"/>
  <c r="CB79" i="80" s="1"/>
  <c r="CR77" i="79"/>
  <c r="CR79" i="79" s="1"/>
  <c r="EF84" i="80"/>
  <c r="EF237" i="80"/>
  <c r="X313" i="79"/>
  <c r="DP313" i="79"/>
  <c r="DH313" i="79"/>
  <c r="DH313" i="80"/>
  <c r="BD313" i="80"/>
  <c r="DP313" i="80"/>
  <c r="CJ313" i="79"/>
  <c r="BT313" i="79"/>
  <c r="P313" i="79"/>
  <c r="CB84" i="80"/>
  <c r="CB237" i="80"/>
  <c r="EF313" i="80"/>
  <c r="EN313" i="80"/>
  <c r="DX313" i="80"/>
  <c r="J133" i="79" l="1"/>
  <c r="J39" i="171"/>
  <c r="J313" i="85"/>
  <c r="J97" i="169"/>
  <c r="J257" i="85" s="1"/>
  <c r="J253" i="79"/>
  <c r="J257" i="79" s="1"/>
  <c r="J260" i="79" s="1"/>
  <c r="J322" i="79" s="1"/>
  <c r="F19" i="7"/>
  <c r="J328" i="85" s="1"/>
  <c r="J283" i="85"/>
  <c r="J135" i="166"/>
  <c r="J84" i="80"/>
  <c r="J135" i="80" s="1"/>
  <c r="J161" i="80" s="1"/>
  <c r="J167" i="80" s="1"/>
  <c r="J325" i="80" s="1"/>
  <c r="J334" i="80" s="1"/>
  <c r="J84" i="79"/>
  <c r="J135" i="79" s="1"/>
  <c r="J161" i="79" s="1"/>
  <c r="J167" i="79" s="1"/>
  <c r="J325" i="79" s="1"/>
  <c r="J84" i="85"/>
  <c r="L40" i="90" s="1"/>
  <c r="H133" i="80"/>
  <c r="H135" i="80" s="1"/>
  <c r="H161" i="80" s="1"/>
  <c r="H167" i="80" s="1"/>
  <c r="H325" i="80" s="1"/>
  <c r="BU237" i="80"/>
  <c r="F96" i="167"/>
  <c r="F98" i="167" s="1"/>
  <c r="H167" i="85" s="1"/>
  <c r="J95" i="90" s="1"/>
  <c r="F40" i="167"/>
  <c r="F42" i="167" s="1"/>
  <c r="D16" i="7" s="1"/>
  <c r="H325" i="85" s="1"/>
  <c r="F123" i="167"/>
  <c r="F125" i="167" s="1"/>
  <c r="I79" i="166"/>
  <c r="FM237" i="79"/>
  <c r="G161" i="166"/>
  <c r="H133" i="85"/>
  <c r="H133" i="79"/>
  <c r="H135" i="79" s="1"/>
  <c r="H161" i="79" s="1"/>
  <c r="H167" i="79" s="1"/>
  <c r="H325" i="79" s="1"/>
  <c r="I72" i="80"/>
  <c r="EW72" i="80" s="1"/>
  <c r="I72" i="79"/>
  <c r="AO72" i="79" s="1"/>
  <c r="I72" i="85"/>
  <c r="K38" i="90" s="1"/>
  <c r="EO84" i="80"/>
  <c r="H135" i="85"/>
  <c r="BE84" i="80"/>
  <c r="AP119" i="79"/>
  <c r="AX127" i="80"/>
  <c r="BV235" i="79"/>
  <c r="BV237" i="79" s="1"/>
  <c r="AP152" i="79"/>
  <c r="AP156" i="79" s="1"/>
  <c r="AP158" i="79" s="1"/>
  <c r="Q84" i="80"/>
  <c r="CT131" i="79"/>
  <c r="AX274" i="80"/>
  <c r="AX281" i="80" s="1"/>
  <c r="AX283" i="80" s="1"/>
  <c r="AX328" i="80" s="1"/>
  <c r="EH274" i="79"/>
  <c r="EH281" i="79" s="1"/>
  <c r="EH283" i="79" s="1"/>
  <c r="EH328" i="79" s="1"/>
  <c r="FC431" i="80"/>
  <c r="BM84" i="79"/>
  <c r="FM84" i="80"/>
  <c r="EH131" i="79"/>
  <c r="CS237" i="80"/>
  <c r="AX223" i="80"/>
  <c r="AX152" i="80"/>
  <c r="AX156" i="80" s="1"/>
  <c r="AX158" i="80" s="1"/>
  <c r="AX228" i="80"/>
  <c r="EW84" i="79"/>
  <c r="DW431" i="80"/>
  <c r="EU431" i="80"/>
  <c r="BM237" i="80"/>
  <c r="Q237" i="79"/>
  <c r="DZ119" i="79"/>
  <c r="BS431" i="80"/>
  <c r="W431" i="80"/>
  <c r="Z131" i="79"/>
  <c r="BC431" i="79"/>
  <c r="DR228" i="79"/>
  <c r="DR235" i="79" s="1"/>
  <c r="AG84" i="80"/>
  <c r="CY431" i="80"/>
  <c r="I135" i="85"/>
  <c r="DJ152" i="79"/>
  <c r="DJ156" i="79" s="1"/>
  <c r="DJ158" i="79" s="1"/>
  <c r="DJ274" i="79"/>
  <c r="DJ281" i="79" s="1"/>
  <c r="DJ283" i="79" s="1"/>
  <c r="DJ328" i="79" s="1"/>
  <c r="CD274" i="79"/>
  <c r="CD281" i="79" s="1"/>
  <c r="CD283" i="79" s="1"/>
  <c r="CD328" i="79" s="1"/>
  <c r="DA237" i="80"/>
  <c r="FF228" i="79"/>
  <c r="DR127" i="79"/>
  <c r="CL152" i="79"/>
  <c r="CL156" i="79" s="1"/>
  <c r="CL158" i="79" s="1"/>
  <c r="CL223" i="79"/>
  <c r="CL228" i="79"/>
  <c r="FC431" i="79"/>
  <c r="AX119" i="80"/>
  <c r="EU431" i="79"/>
  <c r="CQ431" i="80"/>
  <c r="DJ223" i="79"/>
  <c r="DJ235" i="79" s="1"/>
  <c r="AU431" i="79"/>
  <c r="I133" i="80"/>
  <c r="I135" i="80" s="1"/>
  <c r="AM431" i="80"/>
  <c r="CL274" i="79"/>
  <c r="CL281" i="79" s="1"/>
  <c r="CL283" i="79" s="1"/>
  <c r="CL328" i="79" s="1"/>
  <c r="O431" i="79"/>
  <c r="AE431" i="79"/>
  <c r="Z119" i="79"/>
  <c r="CL127" i="79"/>
  <c r="CA431" i="79"/>
  <c r="CY431" i="79"/>
  <c r="BS431" i="79"/>
  <c r="AM431" i="79"/>
  <c r="CT274" i="80"/>
  <c r="CT281" i="80" s="1"/>
  <c r="CT283" i="80" s="1"/>
  <c r="CT328" i="80" s="1"/>
  <c r="CI431" i="80"/>
  <c r="FF223" i="80"/>
  <c r="CT127" i="80"/>
  <c r="DG431" i="80"/>
  <c r="AE431" i="80"/>
  <c r="EX274" i="80"/>
  <c r="EX281" i="80" s="1"/>
  <c r="EX283" i="80" s="1"/>
  <c r="EX328" i="80" s="1"/>
  <c r="EX119" i="80"/>
  <c r="EX131" i="80"/>
  <c r="EX152" i="80"/>
  <c r="EX156" i="80" s="1"/>
  <c r="EX158" i="80" s="1"/>
  <c r="DB274" i="80"/>
  <c r="DB281" i="80" s="1"/>
  <c r="DB283" i="80" s="1"/>
  <c r="DB328" i="80" s="1"/>
  <c r="DB131" i="80"/>
  <c r="DB119" i="80"/>
  <c r="DB228" i="80"/>
  <c r="DB235" i="80" s="1"/>
  <c r="DB127" i="80"/>
  <c r="CC235" i="80"/>
  <c r="CD228" i="80"/>
  <c r="CD235" i="80" s="1"/>
  <c r="I313" i="85"/>
  <c r="DJ223" i="80"/>
  <c r="DJ152" i="80"/>
  <c r="DJ156" i="80" s="1"/>
  <c r="DJ158" i="80" s="1"/>
  <c r="AX152" i="79"/>
  <c r="AX156" i="79" s="1"/>
  <c r="AX158" i="79" s="1"/>
  <c r="AX127" i="79"/>
  <c r="AX119" i="79"/>
  <c r="AX131" i="79"/>
  <c r="DQ84" i="80"/>
  <c r="DQ237" i="80"/>
  <c r="EX131" i="79"/>
  <c r="EX119" i="79"/>
  <c r="EX127" i="79"/>
  <c r="EX228" i="79"/>
  <c r="EX152" i="79"/>
  <c r="EX156" i="79" s="1"/>
  <c r="EX158" i="79" s="1"/>
  <c r="EX274" i="79"/>
  <c r="EX281" i="79" s="1"/>
  <c r="EX283" i="79" s="1"/>
  <c r="EX328" i="79" s="1"/>
  <c r="EX223" i="79"/>
  <c r="FN223" i="79"/>
  <c r="FN152" i="79"/>
  <c r="FN156" i="79" s="1"/>
  <c r="FN158" i="79" s="1"/>
  <c r="FN131" i="79"/>
  <c r="FN228" i="79"/>
  <c r="FN127" i="79"/>
  <c r="FN274" i="79"/>
  <c r="FN281" i="79" s="1"/>
  <c r="FN283" i="79" s="1"/>
  <c r="FN328" i="79" s="1"/>
  <c r="CL119" i="79"/>
  <c r="W431" i="79"/>
  <c r="EE431" i="79"/>
  <c r="DI84" i="80"/>
  <c r="DI237" i="80"/>
  <c r="AW84" i="79"/>
  <c r="AW237" i="79"/>
  <c r="EM431" i="79"/>
  <c r="FN127" i="80"/>
  <c r="EP274" i="79"/>
  <c r="EP281" i="79" s="1"/>
  <c r="EP283" i="79" s="1"/>
  <c r="EP328" i="79" s="1"/>
  <c r="EP152" i="79"/>
  <c r="EP156" i="79" s="1"/>
  <c r="EP158" i="79" s="1"/>
  <c r="EP228" i="79"/>
  <c r="EP119" i="79"/>
  <c r="EP131" i="79"/>
  <c r="EP127" i="79"/>
  <c r="EP223" i="79"/>
  <c r="DY84" i="79"/>
  <c r="DY237" i="79"/>
  <c r="BN119" i="79"/>
  <c r="FK431" i="79"/>
  <c r="AP131" i="79"/>
  <c r="AP127" i="79"/>
  <c r="R127" i="79"/>
  <c r="R274" i="79"/>
  <c r="R281" i="79" s="1"/>
  <c r="R283" i="79" s="1"/>
  <c r="R328" i="79" s="1"/>
  <c r="R152" i="79"/>
  <c r="R156" i="79" s="1"/>
  <c r="R158" i="79" s="1"/>
  <c r="R131" i="79"/>
  <c r="R228" i="79"/>
  <c r="R119" i="79"/>
  <c r="R223" i="79"/>
  <c r="EM431" i="80"/>
  <c r="DR131" i="79"/>
  <c r="FE237" i="80"/>
  <c r="FE84" i="80"/>
  <c r="I133" i="79"/>
  <c r="I135" i="79" s="1"/>
  <c r="Y84" i="79"/>
  <c r="Y237" i="79"/>
  <c r="DJ119" i="79"/>
  <c r="DJ127" i="79"/>
  <c r="DJ131" i="79"/>
  <c r="DB228" i="79"/>
  <c r="DB119" i="79"/>
  <c r="DB127" i="79"/>
  <c r="DB131" i="79"/>
  <c r="DB223" i="79"/>
  <c r="DB274" i="79"/>
  <c r="DB281" i="79" s="1"/>
  <c r="DB283" i="79" s="1"/>
  <c r="DB328" i="79" s="1"/>
  <c r="EX127" i="80"/>
  <c r="EH119" i="79"/>
  <c r="Q310" i="79"/>
  <c r="FE310" i="79"/>
  <c r="BM310" i="79"/>
  <c r="EW310" i="79"/>
  <c r="DQ310" i="79"/>
  <c r="AW310" i="79"/>
  <c r="CC310" i="79"/>
  <c r="BU310" i="79"/>
  <c r="EO310" i="79"/>
  <c r="EG310" i="79"/>
  <c r="AO310" i="79"/>
  <c r="CS310" i="79"/>
  <c r="Y310" i="79"/>
  <c r="AG310" i="79"/>
  <c r="DA310" i="79"/>
  <c r="FM310" i="79"/>
  <c r="BE310" i="79"/>
  <c r="CK310" i="79"/>
  <c r="DI310" i="79"/>
  <c r="DY310" i="79"/>
  <c r="I313" i="79"/>
  <c r="I315" i="79" s="1"/>
  <c r="I331" i="79" s="1"/>
  <c r="BE237" i="79"/>
  <c r="BE84" i="79"/>
  <c r="BN228" i="79"/>
  <c r="BN152" i="79"/>
  <c r="BN156" i="79" s="1"/>
  <c r="BN158" i="79" s="1"/>
  <c r="BU84" i="79"/>
  <c r="BU237" i="79"/>
  <c r="EX228" i="80"/>
  <c r="R274" i="80"/>
  <c r="R281" i="80" s="1"/>
  <c r="R283" i="80" s="1"/>
  <c r="R328" i="80" s="1"/>
  <c r="R131" i="80"/>
  <c r="R228" i="80"/>
  <c r="R235" i="80" s="1"/>
  <c r="R127" i="80"/>
  <c r="R119" i="80"/>
  <c r="R152" i="80"/>
  <c r="R156" i="80" s="1"/>
  <c r="R158" i="80" s="1"/>
  <c r="BF223" i="79"/>
  <c r="BF152" i="79"/>
  <c r="BF156" i="79" s="1"/>
  <c r="BF158" i="79" s="1"/>
  <c r="BF119" i="79"/>
  <c r="BF228" i="79"/>
  <c r="BF131" i="79"/>
  <c r="BF274" i="79"/>
  <c r="BF281" i="79" s="1"/>
  <c r="BF283" i="79" s="1"/>
  <c r="BF328" i="79" s="1"/>
  <c r="BF127" i="79"/>
  <c r="AP223" i="79"/>
  <c r="AP235" i="79" s="1"/>
  <c r="CL127" i="80"/>
  <c r="CL119" i="80"/>
  <c r="CL152" i="80"/>
  <c r="CL156" i="80" s="1"/>
  <c r="CL158" i="80" s="1"/>
  <c r="CL228" i="80"/>
  <c r="CL274" i="80"/>
  <c r="CL281" i="80" s="1"/>
  <c r="CL283" i="80" s="1"/>
  <c r="CL328" i="80" s="1"/>
  <c r="CL131" i="80"/>
  <c r="BN131" i="79"/>
  <c r="DO431" i="79"/>
  <c r="CC156" i="80"/>
  <c r="CC158" i="80" s="1"/>
  <c r="CD152" i="80"/>
  <c r="CD156" i="80" s="1"/>
  <c r="CD158" i="80" s="1"/>
  <c r="EX223" i="80"/>
  <c r="FF131" i="79"/>
  <c r="FF119" i="79"/>
  <c r="FF223" i="79"/>
  <c r="E39" i="154"/>
  <c r="M93" i="169" s="1"/>
  <c r="H21" i="154"/>
  <c r="DR119" i="79"/>
  <c r="CD228" i="79"/>
  <c r="CD127" i="79"/>
  <c r="CD152" i="79"/>
  <c r="CD156" i="79" s="1"/>
  <c r="CD158" i="79" s="1"/>
  <c r="AO237" i="79"/>
  <c r="AO84" i="79"/>
  <c r="CD223" i="79"/>
  <c r="BN223" i="79"/>
  <c r="AW84" i="80"/>
  <c r="AW237" i="80"/>
  <c r="FF127" i="80"/>
  <c r="FF131" i="80"/>
  <c r="FF228" i="80"/>
  <c r="FF152" i="80"/>
  <c r="FF156" i="80" s="1"/>
  <c r="FF158" i="80" s="1"/>
  <c r="AP152" i="80"/>
  <c r="AP156" i="80" s="1"/>
  <c r="AP158" i="80" s="1"/>
  <c r="AP119" i="80"/>
  <c r="AP274" i="80"/>
  <c r="AP281" i="80" s="1"/>
  <c r="AP283" i="80" s="1"/>
  <c r="AP328" i="80" s="1"/>
  <c r="AP127" i="80"/>
  <c r="AP131" i="80"/>
  <c r="AP228" i="80"/>
  <c r="AP235" i="80" s="1"/>
  <c r="EW84" i="80"/>
  <c r="EW237" i="80"/>
  <c r="AX274" i="79"/>
  <c r="AX281" i="79" s="1"/>
  <c r="AX283" i="79" s="1"/>
  <c r="AX328" i="79" s="1"/>
  <c r="DO431" i="80"/>
  <c r="FK431" i="80"/>
  <c r="AH223" i="79"/>
  <c r="AH235" i="79" s="1"/>
  <c r="AH131" i="79"/>
  <c r="AH119" i="79"/>
  <c r="AH274" i="79"/>
  <c r="AH281" i="79" s="1"/>
  <c r="AH283" i="79" s="1"/>
  <c r="AH328" i="79" s="1"/>
  <c r="AH127" i="79"/>
  <c r="AH152" i="79"/>
  <c r="AH156" i="79" s="1"/>
  <c r="AH158" i="79" s="1"/>
  <c r="DZ127" i="80"/>
  <c r="DZ131" i="80"/>
  <c r="DZ152" i="80"/>
  <c r="DZ156" i="80" s="1"/>
  <c r="DZ158" i="80" s="1"/>
  <c r="DZ223" i="80"/>
  <c r="DZ119" i="80"/>
  <c r="DZ228" i="80"/>
  <c r="DZ274" i="80"/>
  <c r="DZ281" i="80" s="1"/>
  <c r="DZ283" i="80" s="1"/>
  <c r="DZ328" i="80" s="1"/>
  <c r="CQ431" i="79"/>
  <c r="DJ274" i="80"/>
  <c r="DJ281" i="80" s="1"/>
  <c r="DJ283" i="80" s="1"/>
  <c r="DJ328" i="80" s="1"/>
  <c r="AX223" i="79"/>
  <c r="FE84" i="79"/>
  <c r="FE237" i="79"/>
  <c r="DW431" i="79"/>
  <c r="EE431" i="80"/>
  <c r="EG84" i="80"/>
  <c r="EG237" i="80"/>
  <c r="Z223" i="80"/>
  <c r="Z119" i="80"/>
  <c r="Z127" i="80"/>
  <c r="Z228" i="80"/>
  <c r="Z131" i="80"/>
  <c r="Z274" i="80"/>
  <c r="Z281" i="80" s="1"/>
  <c r="Z283" i="80" s="1"/>
  <c r="Z328" i="80" s="1"/>
  <c r="FF274" i="79"/>
  <c r="FF281" i="79" s="1"/>
  <c r="FF283" i="79" s="1"/>
  <c r="FF328" i="79" s="1"/>
  <c r="DR152" i="79"/>
  <c r="DR156" i="79" s="1"/>
  <c r="DR158" i="79" s="1"/>
  <c r="Y237" i="80"/>
  <c r="Y84" i="80"/>
  <c r="CT131" i="80"/>
  <c r="CT228" i="80"/>
  <c r="CT235" i="80" s="1"/>
  <c r="CT119" i="80"/>
  <c r="CT152" i="80"/>
  <c r="CT156" i="80" s="1"/>
  <c r="CT158" i="80" s="1"/>
  <c r="Z127" i="79"/>
  <c r="Z228" i="79"/>
  <c r="Z235" i="79" s="1"/>
  <c r="Z152" i="79"/>
  <c r="Z156" i="79" s="1"/>
  <c r="Z158" i="79" s="1"/>
  <c r="Z274" i="79"/>
  <c r="Z281" i="79" s="1"/>
  <c r="Z283" i="79" s="1"/>
  <c r="Z328" i="79" s="1"/>
  <c r="DJ131" i="80"/>
  <c r="EH127" i="79"/>
  <c r="EH152" i="79"/>
  <c r="EH156" i="79" s="1"/>
  <c r="EH158" i="79" s="1"/>
  <c r="EH228" i="79"/>
  <c r="EH235" i="79" s="1"/>
  <c r="FN119" i="80"/>
  <c r="FN228" i="80"/>
  <c r="FN235" i="80" s="1"/>
  <c r="FN152" i="80"/>
  <c r="FN156" i="80" s="1"/>
  <c r="FN158" i="80" s="1"/>
  <c r="FN274" i="80"/>
  <c r="FN281" i="80" s="1"/>
  <c r="FN283" i="80" s="1"/>
  <c r="FN328" i="80" s="1"/>
  <c r="AU431" i="80"/>
  <c r="AG237" i="79"/>
  <c r="AG84" i="79"/>
  <c r="DB152" i="80"/>
  <c r="DB156" i="80" s="1"/>
  <c r="DB158" i="80" s="1"/>
  <c r="BC128" i="79"/>
  <c r="CI128" i="79"/>
  <c r="EE128" i="79"/>
  <c r="CQ128" i="79"/>
  <c r="EU128" i="79"/>
  <c r="DO128" i="79"/>
  <c r="BK128" i="79"/>
  <c r="FC128" i="79"/>
  <c r="CY128" i="79"/>
  <c r="O128" i="79"/>
  <c r="AU128" i="79"/>
  <c r="AE128" i="79"/>
  <c r="DW128" i="79"/>
  <c r="BS128" i="79"/>
  <c r="AM128" i="79"/>
  <c r="DG128" i="79"/>
  <c r="CA128" i="79"/>
  <c r="EM128" i="79"/>
  <c r="FK128" i="79"/>
  <c r="W128" i="79"/>
  <c r="BN127" i="79"/>
  <c r="O431" i="80"/>
  <c r="FN131" i="80"/>
  <c r="BV228" i="80"/>
  <c r="BV119" i="80"/>
  <c r="BV131" i="80"/>
  <c r="BV152" i="80"/>
  <c r="BV156" i="80" s="1"/>
  <c r="BV158" i="80" s="1"/>
  <c r="BV223" i="80"/>
  <c r="BV274" i="80"/>
  <c r="BV281" i="80" s="1"/>
  <c r="BV283" i="80" s="1"/>
  <c r="BV328" i="80" s="1"/>
  <c r="DY72" i="79"/>
  <c r="EW72" i="79"/>
  <c r="DQ72" i="79"/>
  <c r="DA72" i="79"/>
  <c r="DI72" i="79"/>
  <c r="Y72" i="79"/>
  <c r="AG72" i="79"/>
  <c r="EG72" i="79"/>
  <c r="FM72" i="79"/>
  <c r="EO72" i="79"/>
  <c r="DZ131" i="79"/>
  <c r="DZ223" i="79"/>
  <c r="DZ235" i="79" s="1"/>
  <c r="EP119" i="80"/>
  <c r="EP228" i="80"/>
  <c r="EP223" i="80"/>
  <c r="EP152" i="80"/>
  <c r="EP156" i="80" s="1"/>
  <c r="EP158" i="80" s="1"/>
  <c r="EP131" i="80"/>
  <c r="EP274" i="80"/>
  <c r="EP281" i="80" s="1"/>
  <c r="EP283" i="80" s="1"/>
  <c r="EP328" i="80" s="1"/>
  <c r="DR274" i="80"/>
  <c r="DR281" i="80" s="1"/>
  <c r="DR283" i="80" s="1"/>
  <c r="DR328" i="80" s="1"/>
  <c r="DR119" i="80"/>
  <c r="DR152" i="80"/>
  <c r="DR156" i="80" s="1"/>
  <c r="DR158" i="80" s="1"/>
  <c r="DR131" i="80"/>
  <c r="DR127" i="80"/>
  <c r="DR223" i="80"/>
  <c r="CT119" i="79"/>
  <c r="CT127" i="79"/>
  <c r="CT223" i="79"/>
  <c r="BF223" i="80"/>
  <c r="BF131" i="80"/>
  <c r="BF119" i="80"/>
  <c r="BF228" i="80"/>
  <c r="BF152" i="80"/>
  <c r="BF156" i="80" s="1"/>
  <c r="BF158" i="80" s="1"/>
  <c r="G133" i="85"/>
  <c r="BK128" i="80"/>
  <c r="O128" i="80"/>
  <c r="EM128" i="80"/>
  <c r="AE128" i="80"/>
  <c r="CQ128" i="80"/>
  <c r="EE128" i="80"/>
  <c r="AU128" i="80"/>
  <c r="DW128" i="80"/>
  <c r="EU128" i="80"/>
  <c r="CY128" i="80"/>
  <c r="W128" i="80"/>
  <c r="DO128" i="80"/>
  <c r="BS128" i="80"/>
  <c r="AM128" i="80"/>
  <c r="CA128" i="80"/>
  <c r="FC128" i="80"/>
  <c r="BC128" i="80"/>
  <c r="FK128" i="80"/>
  <c r="CI128" i="80"/>
  <c r="DG128" i="80"/>
  <c r="CI431" i="79"/>
  <c r="CL223" i="80"/>
  <c r="DQ84" i="79"/>
  <c r="DQ237" i="79"/>
  <c r="BK431" i="80"/>
  <c r="DJ127" i="80"/>
  <c r="CT228" i="79"/>
  <c r="EO84" i="79"/>
  <c r="EO237" i="79"/>
  <c r="CK237" i="79"/>
  <c r="CK84" i="79"/>
  <c r="BN152" i="80"/>
  <c r="BN156" i="80" s="1"/>
  <c r="BN158" i="80" s="1"/>
  <c r="BN274" i="80"/>
  <c r="BN281" i="80" s="1"/>
  <c r="BN283" i="80" s="1"/>
  <c r="BN328" i="80" s="1"/>
  <c r="BN119" i="80"/>
  <c r="BN228" i="80"/>
  <c r="BN235" i="80" s="1"/>
  <c r="CK237" i="80"/>
  <c r="CK84" i="80"/>
  <c r="CD131" i="79"/>
  <c r="EH152" i="80"/>
  <c r="EH156" i="80" s="1"/>
  <c r="EH158" i="80" s="1"/>
  <c r="EH127" i="80"/>
  <c r="EH131" i="80"/>
  <c r="EH274" i="80"/>
  <c r="EH281" i="80" s="1"/>
  <c r="EH283" i="80" s="1"/>
  <c r="EH328" i="80" s="1"/>
  <c r="EH228" i="80"/>
  <c r="EH235" i="80" s="1"/>
  <c r="EH119" i="80"/>
  <c r="DZ152" i="79"/>
  <c r="DZ156" i="79" s="1"/>
  <c r="DZ158" i="79" s="1"/>
  <c r="DR274" i="79"/>
  <c r="DR281" i="79" s="1"/>
  <c r="DR283" i="79" s="1"/>
  <c r="DR328" i="79" s="1"/>
  <c r="EE122" i="79"/>
  <c r="DW122" i="79"/>
  <c r="DO122" i="79"/>
  <c r="EU122" i="79"/>
  <c r="FC122" i="79"/>
  <c r="CI122" i="79"/>
  <c r="BC122" i="79"/>
  <c r="BK122" i="79"/>
  <c r="CY122" i="79"/>
  <c r="CQ122" i="79"/>
  <c r="FK122" i="79"/>
  <c r="O122" i="79"/>
  <c r="AE122" i="79"/>
  <c r="W122" i="79"/>
  <c r="AU122" i="79"/>
  <c r="EM122" i="79"/>
  <c r="CA122" i="79"/>
  <c r="G133" i="79"/>
  <c r="G135" i="79" s="1"/>
  <c r="G161" i="79" s="1"/>
  <c r="G167" i="79" s="1"/>
  <c r="G325" i="79" s="1"/>
  <c r="G334" i="79" s="1"/>
  <c r="AM122" i="79"/>
  <c r="DG122" i="79"/>
  <c r="BS122" i="79"/>
  <c r="FF152" i="79"/>
  <c r="FF156" i="79" s="1"/>
  <c r="FF158" i="79" s="1"/>
  <c r="DG431" i="79"/>
  <c r="DI84" i="79"/>
  <c r="DI237" i="79"/>
  <c r="BN127" i="80"/>
  <c r="DZ274" i="79"/>
  <c r="DZ281" i="79" s="1"/>
  <c r="DZ283" i="79" s="1"/>
  <c r="DZ328" i="79" s="1"/>
  <c r="CA431" i="80"/>
  <c r="CC281" i="80"/>
  <c r="CC283" i="80" s="1"/>
  <c r="CC328" i="80" s="1"/>
  <c r="CD274" i="80"/>
  <c r="CD281" i="80" s="1"/>
  <c r="CD283" i="80" s="1"/>
  <c r="CD328" i="80" s="1"/>
  <c r="BM310" i="80"/>
  <c r="BE310" i="80"/>
  <c r="FE310" i="80"/>
  <c r="BU310" i="80"/>
  <c r="CK310" i="80"/>
  <c r="EG310" i="80"/>
  <c r="AO310" i="80"/>
  <c r="FM310" i="80"/>
  <c r="AW310" i="80"/>
  <c r="EO310" i="80"/>
  <c r="AG310" i="80"/>
  <c r="DA310" i="80"/>
  <c r="Y310" i="80"/>
  <c r="CC310" i="80"/>
  <c r="DQ310" i="80"/>
  <c r="DI310" i="80"/>
  <c r="EW310" i="80"/>
  <c r="DY310" i="80"/>
  <c r="I313" i="80"/>
  <c r="I315" i="80" s="1"/>
  <c r="I331" i="80" s="1"/>
  <c r="CS310" i="80"/>
  <c r="Q310" i="80"/>
  <c r="CS237" i="79"/>
  <c r="CS84" i="79"/>
  <c r="BF274" i="80"/>
  <c r="BF281" i="80" s="1"/>
  <c r="BF283" i="80" s="1"/>
  <c r="BF328" i="80" s="1"/>
  <c r="CC84" i="79"/>
  <c r="CC237" i="79"/>
  <c r="CT152" i="79"/>
  <c r="CT156" i="79" s="1"/>
  <c r="CT158" i="79" s="1"/>
  <c r="DR228" i="80"/>
  <c r="DJ119" i="80"/>
  <c r="DA237" i="79"/>
  <c r="DA84" i="79"/>
  <c r="BK431" i="79"/>
  <c r="BC431" i="80"/>
  <c r="EG84" i="79"/>
  <c r="EG237" i="79"/>
  <c r="Z152" i="80"/>
  <c r="Z156" i="80" s="1"/>
  <c r="Z158" i="80" s="1"/>
  <c r="AH131" i="80"/>
  <c r="AH228" i="80"/>
  <c r="AH223" i="80"/>
  <c r="AH152" i="80"/>
  <c r="AH156" i="80" s="1"/>
  <c r="AH158" i="80" s="1"/>
  <c r="AH274" i="80"/>
  <c r="AH281" i="80" s="1"/>
  <c r="AH283" i="80" s="1"/>
  <c r="AH328" i="80" s="1"/>
  <c r="AH119" i="80"/>
  <c r="EU122" i="80"/>
  <c r="BK122" i="80"/>
  <c r="FC122" i="80"/>
  <c r="AU122" i="80"/>
  <c r="CA122" i="80"/>
  <c r="FK122" i="80"/>
  <c r="AE122" i="80"/>
  <c r="EM122" i="80"/>
  <c r="CI122" i="80"/>
  <c r="EE122" i="80"/>
  <c r="DW122" i="80"/>
  <c r="AM122" i="80"/>
  <c r="CY122" i="80"/>
  <c r="W122" i="80"/>
  <c r="BC122" i="80"/>
  <c r="O122" i="80"/>
  <c r="DO122" i="80"/>
  <c r="BS122" i="80"/>
  <c r="DG122" i="80"/>
  <c r="CQ122" i="80"/>
  <c r="G133" i="80"/>
  <c r="G135" i="80" s="1"/>
  <c r="G161" i="80" s="1"/>
  <c r="G167" i="80" s="1"/>
  <c r="G325" i="80" s="1"/>
  <c r="G334" i="80" s="1"/>
  <c r="AP274" i="79"/>
  <c r="AP281" i="79" s="1"/>
  <c r="AP283" i="79" s="1"/>
  <c r="AP328" i="79" s="1"/>
  <c r="DZ127" i="79"/>
  <c r="DJ228" i="80"/>
  <c r="AX228" i="79"/>
  <c r="FF119" i="80"/>
  <c r="BN131" i="80"/>
  <c r="FN291" i="80"/>
  <c r="FN298" i="80" s="1"/>
  <c r="FL298" i="80"/>
  <c r="FL315" i="80" s="1"/>
  <c r="FL331" i="80" s="1"/>
  <c r="EN298" i="80"/>
  <c r="EN315" i="80" s="1"/>
  <c r="EN331" i="80" s="1"/>
  <c r="EP291" i="80"/>
  <c r="EP298" i="80" s="1"/>
  <c r="H253" i="79"/>
  <c r="H253" i="85"/>
  <c r="J147" i="90" s="1"/>
  <c r="H253" i="80"/>
  <c r="DR291" i="80"/>
  <c r="DR298" i="80" s="1"/>
  <c r="DP298" i="80"/>
  <c r="DP315" i="80" s="1"/>
  <c r="DP331" i="80" s="1"/>
  <c r="BD298" i="80"/>
  <c r="BD315" i="80" s="1"/>
  <c r="BD331" i="80" s="1"/>
  <c r="BF291" i="80"/>
  <c r="BF298" i="80" s="1"/>
  <c r="X298" i="80"/>
  <c r="X315" i="80" s="1"/>
  <c r="X331" i="80" s="1"/>
  <c r="Z291" i="80"/>
  <c r="Z298" i="80" s="1"/>
  <c r="FN291" i="79"/>
  <c r="FN298" i="79" s="1"/>
  <c r="FL298" i="79"/>
  <c r="FL315" i="79" s="1"/>
  <c r="FL331" i="79" s="1"/>
  <c r="CR298" i="79"/>
  <c r="CR315" i="79" s="1"/>
  <c r="CR331" i="79" s="1"/>
  <c r="CT291" i="79"/>
  <c r="CT298" i="79" s="1"/>
  <c r="BD298" i="79"/>
  <c r="BD315" i="79" s="1"/>
  <c r="BD331" i="79" s="1"/>
  <c r="BF291" i="79"/>
  <c r="BF298" i="79" s="1"/>
  <c r="DZ291" i="80"/>
  <c r="DZ298" i="80" s="1"/>
  <c r="DX298" i="80"/>
  <c r="DX315" i="80" s="1"/>
  <c r="DX331" i="80" s="1"/>
  <c r="CT291" i="80"/>
  <c r="CT298" i="80" s="1"/>
  <c r="CR298" i="80"/>
  <c r="CR315" i="80" s="1"/>
  <c r="CR331" i="80" s="1"/>
  <c r="CJ298" i="80"/>
  <c r="CJ315" i="80" s="1"/>
  <c r="CJ331" i="80" s="1"/>
  <c r="CL291" i="80"/>
  <c r="CL298" i="80" s="1"/>
  <c r="AF298" i="79"/>
  <c r="AF315" i="79" s="1"/>
  <c r="AF331" i="79" s="1"/>
  <c r="AH291" i="79"/>
  <c r="AH298" i="79" s="1"/>
  <c r="R291" i="79"/>
  <c r="R298" i="79" s="1"/>
  <c r="P298" i="79"/>
  <c r="P315" i="79" s="1"/>
  <c r="P331" i="79" s="1"/>
  <c r="EN298" i="79"/>
  <c r="EN315" i="79" s="1"/>
  <c r="EN331" i="79" s="1"/>
  <c r="EP291" i="79"/>
  <c r="EP298" i="79" s="1"/>
  <c r="BV291" i="80"/>
  <c r="BV298" i="80" s="1"/>
  <c r="BT298" i="80"/>
  <c r="BT315" i="80" s="1"/>
  <c r="BT331" i="80" s="1"/>
  <c r="BN291" i="80"/>
  <c r="BN298" i="80" s="1"/>
  <c r="BL298" i="80"/>
  <c r="BL315" i="80" s="1"/>
  <c r="BL331" i="80" s="1"/>
  <c r="P298" i="80"/>
  <c r="P315" i="80" s="1"/>
  <c r="P331" i="80" s="1"/>
  <c r="R291" i="80"/>
  <c r="R298" i="80" s="1"/>
  <c r="X298" i="79"/>
  <c r="X315" i="79" s="1"/>
  <c r="X331" i="79" s="1"/>
  <c r="Z291" i="79"/>
  <c r="Z298" i="79" s="1"/>
  <c r="DR291" i="79"/>
  <c r="DR298" i="79" s="1"/>
  <c r="DP298" i="79"/>
  <c r="DP315" i="79" s="1"/>
  <c r="DP331" i="79" s="1"/>
  <c r="BV291" i="79"/>
  <c r="BV298" i="79" s="1"/>
  <c r="BT298" i="79"/>
  <c r="BT315" i="79" s="1"/>
  <c r="BT331" i="79" s="1"/>
  <c r="H161" i="85"/>
  <c r="CJ298" i="79"/>
  <c r="CJ315" i="79" s="1"/>
  <c r="CJ331" i="79" s="1"/>
  <c r="CL291" i="79"/>
  <c r="CL298" i="79" s="1"/>
  <c r="CZ298" i="80"/>
  <c r="CZ315" i="80" s="1"/>
  <c r="CZ331" i="80" s="1"/>
  <c r="DB291" i="80"/>
  <c r="DB298" i="80" s="1"/>
  <c r="EX291" i="80"/>
  <c r="EX298" i="80" s="1"/>
  <c r="EV298" i="80"/>
  <c r="EV315" i="80" s="1"/>
  <c r="EV331" i="80" s="1"/>
  <c r="DJ291" i="80"/>
  <c r="DJ298" i="80" s="1"/>
  <c r="DH298" i="80"/>
  <c r="DH315" i="80" s="1"/>
  <c r="DH331" i="80" s="1"/>
  <c r="AX291" i="79"/>
  <c r="AX298" i="79" s="1"/>
  <c r="AV298" i="79"/>
  <c r="AV315" i="79" s="1"/>
  <c r="AV331" i="79" s="1"/>
  <c r="AP291" i="79"/>
  <c r="AP298" i="79" s="1"/>
  <c r="AN298" i="79"/>
  <c r="AN315" i="79" s="1"/>
  <c r="AN331" i="79" s="1"/>
  <c r="FD298" i="79"/>
  <c r="FD315" i="79" s="1"/>
  <c r="FD331" i="79" s="1"/>
  <c r="FF291" i="79"/>
  <c r="FF298" i="79" s="1"/>
  <c r="CB298" i="79"/>
  <c r="CB315" i="79" s="1"/>
  <c r="CB331" i="79" s="1"/>
  <c r="CD291" i="79"/>
  <c r="CD298" i="79" s="1"/>
  <c r="FF291" i="80"/>
  <c r="FF298" i="80" s="1"/>
  <c r="FD298" i="80"/>
  <c r="FD315" i="80" s="1"/>
  <c r="FD331" i="80" s="1"/>
  <c r="AV298" i="80"/>
  <c r="AV315" i="80" s="1"/>
  <c r="AV331" i="80" s="1"/>
  <c r="AX291" i="80"/>
  <c r="AX298" i="80" s="1"/>
  <c r="AN298" i="80"/>
  <c r="AN315" i="80" s="1"/>
  <c r="AN331" i="80" s="1"/>
  <c r="AP291" i="80"/>
  <c r="AP298" i="80" s="1"/>
  <c r="AH291" i="80"/>
  <c r="AH298" i="80" s="1"/>
  <c r="AF298" i="80"/>
  <c r="AF315" i="80" s="1"/>
  <c r="AF331" i="80" s="1"/>
  <c r="EX291" i="79"/>
  <c r="EX298" i="79" s="1"/>
  <c r="EV298" i="79"/>
  <c r="EV315" i="79" s="1"/>
  <c r="EV331" i="79" s="1"/>
  <c r="EH291" i="79"/>
  <c r="EH298" i="79" s="1"/>
  <c r="EF298" i="79"/>
  <c r="EF315" i="79" s="1"/>
  <c r="EF331" i="79" s="1"/>
  <c r="BN291" i="79"/>
  <c r="BN298" i="79" s="1"/>
  <c r="BL298" i="79"/>
  <c r="BL315" i="79" s="1"/>
  <c r="BL331" i="79" s="1"/>
  <c r="EF298" i="80"/>
  <c r="EF315" i="80" s="1"/>
  <c r="EF331" i="80" s="1"/>
  <c r="EH291" i="80"/>
  <c r="EH298" i="80" s="1"/>
  <c r="CB298" i="80"/>
  <c r="CB315" i="80" s="1"/>
  <c r="CB331" i="80" s="1"/>
  <c r="CD291" i="80"/>
  <c r="CD298" i="80" s="1"/>
  <c r="DH298" i="79"/>
  <c r="DH315" i="79" s="1"/>
  <c r="DH331" i="79" s="1"/>
  <c r="DJ291" i="79"/>
  <c r="DJ298" i="79" s="1"/>
  <c r="DX298" i="79"/>
  <c r="DX315" i="79" s="1"/>
  <c r="DX331" i="79" s="1"/>
  <c r="DZ291" i="79"/>
  <c r="DZ298" i="79" s="1"/>
  <c r="DB291" i="79"/>
  <c r="DB298" i="79" s="1"/>
  <c r="CZ298" i="79"/>
  <c r="CZ315" i="79" s="1"/>
  <c r="CZ331" i="79" s="1"/>
  <c r="J100" i="169" l="1"/>
  <c r="J315" i="85"/>
  <c r="F22" i="7"/>
  <c r="J331" i="85" s="1"/>
  <c r="J334" i="79"/>
  <c r="J161" i="166"/>
  <c r="J135" i="85"/>
  <c r="EG72" i="80"/>
  <c r="I77" i="79"/>
  <c r="I79" i="79" s="1"/>
  <c r="BU72" i="79"/>
  <c r="BU77" i="79" s="1"/>
  <c r="BU79" i="79" s="1"/>
  <c r="CS72" i="79"/>
  <c r="CK72" i="79"/>
  <c r="CC72" i="79"/>
  <c r="Q72" i="79"/>
  <c r="Q77" i="79" s="1"/>
  <c r="Q79" i="79" s="1"/>
  <c r="BE72" i="79"/>
  <c r="BE77" i="79" s="1"/>
  <c r="BE79" i="79" s="1"/>
  <c r="CK72" i="80"/>
  <c r="CL72" i="80" s="1"/>
  <c r="CL77" i="80" s="1"/>
  <c r="CL79" i="80" s="1"/>
  <c r="FE72" i="79"/>
  <c r="FE77" i="79" s="1"/>
  <c r="FE79" i="79" s="1"/>
  <c r="AW72" i="80"/>
  <c r="BM72" i="79"/>
  <c r="BM77" i="79" s="1"/>
  <c r="BM79" i="79" s="1"/>
  <c r="DA72" i="80"/>
  <c r="DA77" i="80" s="1"/>
  <c r="DA79" i="80" s="1"/>
  <c r="AW72" i="79"/>
  <c r="Q72" i="80"/>
  <c r="DQ72" i="80"/>
  <c r="DQ77" i="80" s="1"/>
  <c r="DQ79" i="80" s="1"/>
  <c r="CS72" i="80"/>
  <c r="CS77" i="80" s="1"/>
  <c r="CS79" i="80" s="1"/>
  <c r="AG72" i="80"/>
  <c r="AG77" i="80" s="1"/>
  <c r="AG79" i="80" s="1"/>
  <c r="BU72" i="80"/>
  <c r="BU77" i="80" s="1"/>
  <c r="BU79" i="80" s="1"/>
  <c r="FE72" i="80"/>
  <c r="FE77" i="80" s="1"/>
  <c r="FE79" i="80" s="1"/>
  <c r="DY72" i="80"/>
  <c r="DY77" i="80" s="1"/>
  <c r="DY79" i="80" s="1"/>
  <c r="FM72" i="80"/>
  <c r="FM77" i="80" s="1"/>
  <c r="FM79" i="80" s="1"/>
  <c r="DI72" i="80"/>
  <c r="CC72" i="80"/>
  <c r="CC77" i="80" s="1"/>
  <c r="CC79" i="80" s="1"/>
  <c r="I77" i="80"/>
  <c r="I79" i="80" s="1"/>
  <c r="I161" i="80" s="1"/>
  <c r="I167" i="80" s="1"/>
  <c r="I325" i="80" s="1"/>
  <c r="Y72" i="80"/>
  <c r="Y77" i="80" s="1"/>
  <c r="Y79" i="80" s="1"/>
  <c r="BE72" i="80"/>
  <c r="BF72" i="80" s="1"/>
  <c r="BF77" i="80" s="1"/>
  <c r="BF79" i="80" s="1"/>
  <c r="AO72" i="80"/>
  <c r="AO77" i="80" s="1"/>
  <c r="AO79" i="80" s="1"/>
  <c r="BM72" i="80"/>
  <c r="BM77" i="80" s="1"/>
  <c r="BM79" i="80" s="1"/>
  <c r="EO72" i="80"/>
  <c r="EO77" i="80" s="1"/>
  <c r="EO79" i="80" s="1"/>
  <c r="I93" i="169"/>
  <c r="I97" i="169" s="1"/>
  <c r="E96" i="167"/>
  <c r="E98" i="167" s="1"/>
  <c r="E40" i="167"/>
  <c r="E42" i="167" s="1"/>
  <c r="E123" i="167"/>
  <c r="E125" i="167" s="1"/>
  <c r="I161" i="166"/>
  <c r="BV84" i="79"/>
  <c r="AX235" i="80"/>
  <c r="AX237" i="80" s="1"/>
  <c r="AX235" i="79"/>
  <c r="AX84" i="79" s="1"/>
  <c r="FF235" i="79"/>
  <c r="FF84" i="79" s="1"/>
  <c r="FF235" i="80"/>
  <c r="FF84" i="80" s="1"/>
  <c r="BF235" i="80"/>
  <c r="BF84" i="80" s="1"/>
  <c r="CD235" i="79"/>
  <c r="CD237" i="79" s="1"/>
  <c r="CL235" i="79"/>
  <c r="CL84" i="79" s="1"/>
  <c r="DJ235" i="80"/>
  <c r="DJ84" i="80" s="1"/>
  <c r="BV235" i="80"/>
  <c r="BV237" i="80" s="1"/>
  <c r="DJ237" i="79"/>
  <c r="DJ84" i="79"/>
  <c r="FN235" i="79"/>
  <c r="FN84" i="79" s="1"/>
  <c r="AH235" i="80"/>
  <c r="AH84" i="80" s="1"/>
  <c r="DR235" i="80"/>
  <c r="DR84" i="80" s="1"/>
  <c r="DB235" i="79"/>
  <c r="DB84" i="79" s="1"/>
  <c r="EP235" i="79"/>
  <c r="AP84" i="79"/>
  <c r="AP237" i="79"/>
  <c r="DZ237" i="79"/>
  <c r="DZ84" i="79"/>
  <c r="EH237" i="79"/>
  <c r="EH84" i="79"/>
  <c r="O133" i="80"/>
  <c r="O135" i="80" s="1"/>
  <c r="O161" i="80" s="1"/>
  <c r="O167" i="80" s="1"/>
  <c r="O325" i="80" s="1"/>
  <c r="O334" i="80" s="1"/>
  <c r="Q122" i="80"/>
  <c r="P122" i="80"/>
  <c r="EO122" i="80"/>
  <c r="EN122" i="80"/>
  <c r="EM133" i="80"/>
  <c r="EM135" i="80" s="1"/>
  <c r="EM161" i="80" s="1"/>
  <c r="EM167" i="80" s="1"/>
  <c r="EM325" i="80" s="1"/>
  <c r="EM334" i="80" s="1"/>
  <c r="DY313" i="80"/>
  <c r="DY315" i="80" s="1"/>
  <c r="DY331" i="80" s="1"/>
  <c r="DZ310" i="80"/>
  <c r="DZ313" i="80" s="1"/>
  <c r="DZ315" i="80" s="1"/>
  <c r="DZ331" i="80" s="1"/>
  <c r="EO313" i="80"/>
  <c r="EO315" i="80" s="1"/>
  <c r="EO331" i="80" s="1"/>
  <c r="EP310" i="80"/>
  <c r="EP313" i="80" s="1"/>
  <c r="EP315" i="80" s="1"/>
  <c r="EP331" i="80" s="1"/>
  <c r="BE313" i="80"/>
  <c r="BE315" i="80" s="1"/>
  <c r="BE331" i="80" s="1"/>
  <c r="BF310" i="80"/>
  <c r="BF313" i="80" s="1"/>
  <c r="BF315" i="80" s="1"/>
  <c r="BF331" i="80" s="1"/>
  <c r="AN122" i="79"/>
  <c r="AM133" i="79"/>
  <c r="AM135" i="79" s="1"/>
  <c r="AM161" i="79" s="1"/>
  <c r="AM167" i="79" s="1"/>
  <c r="AM325" i="79" s="1"/>
  <c r="AM334" i="79" s="1"/>
  <c r="AO122" i="79"/>
  <c r="FL122" i="79"/>
  <c r="FM122" i="79"/>
  <c r="FK133" i="79"/>
  <c r="FK135" i="79" s="1"/>
  <c r="FK161" i="79" s="1"/>
  <c r="FK167" i="79" s="1"/>
  <c r="FK325" i="79" s="1"/>
  <c r="FK334" i="79" s="1"/>
  <c r="DP122" i="79"/>
  <c r="DQ122" i="79"/>
  <c r="DO133" i="79"/>
  <c r="DO135" i="79" s="1"/>
  <c r="DO161" i="79" s="1"/>
  <c r="DO167" i="79" s="1"/>
  <c r="DO325" i="79" s="1"/>
  <c r="DO334" i="79" s="1"/>
  <c r="CK128" i="80"/>
  <c r="CJ128" i="80"/>
  <c r="Y128" i="80"/>
  <c r="X128" i="80"/>
  <c r="EN128" i="80"/>
  <c r="EO128" i="80"/>
  <c r="DR84" i="79"/>
  <c r="DR237" i="79"/>
  <c r="DI77" i="79"/>
  <c r="DI79" i="79" s="1"/>
  <c r="DJ72" i="79"/>
  <c r="DJ77" i="79" s="1"/>
  <c r="DJ79" i="79" s="1"/>
  <c r="FL128" i="79"/>
  <c r="FM128" i="79"/>
  <c r="AV128" i="79"/>
  <c r="AW128" i="79"/>
  <c r="EF128" i="79"/>
  <c r="EG128" i="79"/>
  <c r="FM313" i="79"/>
  <c r="FM315" i="79" s="1"/>
  <c r="FM331" i="79" s="1"/>
  <c r="FN310" i="79"/>
  <c r="FN313" i="79" s="1"/>
  <c r="FN315" i="79" s="1"/>
  <c r="FN331" i="79" s="1"/>
  <c r="BU313" i="79"/>
  <c r="BU315" i="79" s="1"/>
  <c r="BU331" i="79" s="1"/>
  <c r="BV310" i="79"/>
  <c r="BV313" i="79" s="1"/>
  <c r="BV315" i="79" s="1"/>
  <c r="BV331" i="79" s="1"/>
  <c r="I315" i="85"/>
  <c r="E22" i="7"/>
  <c r="I331" i="85" s="1"/>
  <c r="BD122" i="80"/>
  <c r="BE122" i="80"/>
  <c r="BC133" i="80"/>
  <c r="BC135" i="80" s="1"/>
  <c r="BC161" i="80" s="1"/>
  <c r="BC167" i="80" s="1"/>
  <c r="BC325" i="80" s="1"/>
  <c r="BC334" i="80" s="1"/>
  <c r="AF122" i="80"/>
  <c r="AE133" i="80"/>
  <c r="AE135" i="80" s="1"/>
  <c r="AE161" i="80" s="1"/>
  <c r="AE167" i="80" s="1"/>
  <c r="AE325" i="80" s="1"/>
  <c r="AE334" i="80" s="1"/>
  <c r="AG122" i="80"/>
  <c r="EW313" i="80"/>
  <c r="EW315" i="80" s="1"/>
  <c r="EW331" i="80" s="1"/>
  <c r="EX310" i="80"/>
  <c r="EX313" i="80" s="1"/>
  <c r="EX315" i="80" s="1"/>
  <c r="EX331" i="80" s="1"/>
  <c r="AW313" i="80"/>
  <c r="AW315" i="80" s="1"/>
  <c r="AW331" i="80" s="1"/>
  <c r="AX310" i="80"/>
  <c r="AX313" i="80" s="1"/>
  <c r="AX315" i="80" s="1"/>
  <c r="AX331" i="80" s="1"/>
  <c r="BM313" i="80"/>
  <c r="BM315" i="80" s="1"/>
  <c r="BM331" i="80" s="1"/>
  <c r="BN310" i="80"/>
  <c r="BN313" i="80" s="1"/>
  <c r="BN315" i="80" s="1"/>
  <c r="BN331" i="80" s="1"/>
  <c r="CQ133" i="79"/>
  <c r="CQ135" i="79" s="1"/>
  <c r="CQ161" i="79" s="1"/>
  <c r="CQ167" i="79" s="1"/>
  <c r="CQ325" i="79" s="1"/>
  <c r="CQ334" i="79" s="1"/>
  <c r="CS122" i="79"/>
  <c r="CR122" i="79"/>
  <c r="DY122" i="79"/>
  <c r="DX122" i="79"/>
  <c r="DW133" i="79"/>
  <c r="DW135" i="79" s="1"/>
  <c r="DW161" i="79" s="1"/>
  <c r="DW167" i="79" s="1"/>
  <c r="DW325" i="79" s="1"/>
  <c r="DW334" i="79" s="1"/>
  <c r="FL128" i="80"/>
  <c r="FM128" i="80"/>
  <c r="DA128" i="80"/>
  <c r="CZ128" i="80"/>
  <c r="Q128" i="80"/>
  <c r="P128" i="80"/>
  <c r="DA77" i="79"/>
  <c r="DA79" i="79" s="1"/>
  <c r="DB72" i="79"/>
  <c r="DB77" i="79" s="1"/>
  <c r="DB79" i="79" s="1"/>
  <c r="EN128" i="79"/>
  <c r="EO128" i="79"/>
  <c r="P128" i="79"/>
  <c r="Q128" i="79"/>
  <c r="CK128" i="79"/>
  <c r="CJ128" i="79"/>
  <c r="FN237" i="80"/>
  <c r="FN84" i="80"/>
  <c r="Z84" i="79"/>
  <c r="Z237" i="79"/>
  <c r="EX235" i="80"/>
  <c r="DA313" i="79"/>
  <c r="DA315" i="79" s="1"/>
  <c r="DA331" i="79" s="1"/>
  <c r="DB310" i="79"/>
  <c r="DB313" i="79" s="1"/>
  <c r="DB315" i="79" s="1"/>
  <c r="DB331" i="79" s="1"/>
  <c r="CC313" i="79"/>
  <c r="CC315" i="79" s="1"/>
  <c r="CC331" i="79" s="1"/>
  <c r="CD310" i="79"/>
  <c r="CD313" i="79" s="1"/>
  <c r="CD315" i="79" s="1"/>
  <c r="CD331" i="79" s="1"/>
  <c r="X122" i="80"/>
  <c r="W133" i="80"/>
  <c r="W135" i="80" s="1"/>
  <c r="W161" i="80" s="1"/>
  <c r="W167" i="80" s="1"/>
  <c r="W325" i="80" s="1"/>
  <c r="W334" i="80" s="1"/>
  <c r="Y122" i="80"/>
  <c r="FK133" i="80"/>
  <c r="FK135" i="80" s="1"/>
  <c r="FK161" i="80" s="1"/>
  <c r="FK167" i="80" s="1"/>
  <c r="FK325" i="80" s="1"/>
  <c r="FK334" i="80" s="1"/>
  <c r="FM122" i="80"/>
  <c r="FL122" i="80"/>
  <c r="DI313" i="80"/>
  <c r="DI315" i="80" s="1"/>
  <c r="DI331" i="80" s="1"/>
  <c r="DJ310" i="80"/>
  <c r="DJ313" i="80" s="1"/>
  <c r="DJ315" i="80" s="1"/>
  <c r="DJ331" i="80" s="1"/>
  <c r="FM313" i="80"/>
  <c r="FM315" i="80" s="1"/>
  <c r="FM331" i="80" s="1"/>
  <c r="FN310" i="80"/>
  <c r="FN313" i="80" s="1"/>
  <c r="FN315" i="80" s="1"/>
  <c r="FN331" i="80" s="1"/>
  <c r="CC122" i="79"/>
  <c r="CB122" i="79"/>
  <c r="CA133" i="79"/>
  <c r="CA135" i="79" s="1"/>
  <c r="CA161" i="79" s="1"/>
  <c r="CA167" i="79" s="1"/>
  <c r="CA325" i="79" s="1"/>
  <c r="CA334" i="79" s="1"/>
  <c r="CZ122" i="79"/>
  <c r="DA122" i="79"/>
  <c r="CY133" i="79"/>
  <c r="CY135" i="79" s="1"/>
  <c r="CY161" i="79" s="1"/>
  <c r="CY167" i="79" s="1"/>
  <c r="CY325" i="79" s="1"/>
  <c r="CY334" i="79" s="1"/>
  <c r="EF122" i="79"/>
  <c r="EG122" i="79"/>
  <c r="EE133" i="79"/>
  <c r="EE135" i="79" s="1"/>
  <c r="EE161" i="79" s="1"/>
  <c r="EE167" i="79" s="1"/>
  <c r="EE325" i="79" s="1"/>
  <c r="EE334" i="79" s="1"/>
  <c r="BD128" i="80"/>
  <c r="BE128" i="80"/>
  <c r="EW128" i="80"/>
  <c r="EV128" i="80"/>
  <c r="BM128" i="80"/>
  <c r="BL128" i="80"/>
  <c r="CS77" i="79"/>
  <c r="CS79" i="79" s="1"/>
  <c r="CT72" i="79"/>
  <c r="CT77" i="79" s="1"/>
  <c r="CT79" i="79" s="1"/>
  <c r="EO77" i="79"/>
  <c r="EO79" i="79" s="1"/>
  <c r="EP72" i="79"/>
  <c r="EP77" i="79" s="1"/>
  <c r="EP79" i="79" s="1"/>
  <c r="DQ77" i="79"/>
  <c r="DQ79" i="79" s="1"/>
  <c r="DR72" i="79"/>
  <c r="DR77" i="79" s="1"/>
  <c r="DR79" i="79" s="1"/>
  <c r="CB128" i="79"/>
  <c r="CC128" i="79"/>
  <c r="CZ128" i="79"/>
  <c r="DA128" i="79"/>
  <c r="BD128" i="79"/>
  <c r="BE128" i="79"/>
  <c r="EW77" i="80"/>
  <c r="EW79" i="80" s="1"/>
  <c r="EX72" i="80"/>
  <c r="EX77" i="80" s="1"/>
  <c r="EX79" i="80" s="1"/>
  <c r="AH84" i="79"/>
  <c r="AH237" i="79"/>
  <c r="AG313" i="79"/>
  <c r="AG315" i="79" s="1"/>
  <c r="AG331" i="79" s="1"/>
  <c r="AH310" i="79"/>
  <c r="AH313" i="79" s="1"/>
  <c r="AH315" i="79" s="1"/>
  <c r="AH331" i="79" s="1"/>
  <c r="AW313" i="79"/>
  <c r="AW315" i="79" s="1"/>
  <c r="AW331" i="79" s="1"/>
  <c r="AX310" i="79"/>
  <c r="AX313" i="79" s="1"/>
  <c r="AX315" i="79" s="1"/>
  <c r="AX331" i="79" s="1"/>
  <c r="CD237" i="80"/>
  <c r="CD84" i="80"/>
  <c r="CZ122" i="80"/>
  <c r="DA122" i="80"/>
  <c r="CY133" i="80"/>
  <c r="CY135" i="80" s="1"/>
  <c r="CY161" i="80" s="1"/>
  <c r="CY167" i="80" s="1"/>
  <c r="CY325" i="80" s="1"/>
  <c r="CY334" i="80" s="1"/>
  <c r="CA133" i="80"/>
  <c r="CA135" i="80" s="1"/>
  <c r="CA161" i="80" s="1"/>
  <c r="CA167" i="80" s="1"/>
  <c r="CA325" i="80" s="1"/>
  <c r="CA334" i="80" s="1"/>
  <c r="CB122" i="80"/>
  <c r="CC122" i="80"/>
  <c r="DQ313" i="80"/>
  <c r="DQ315" i="80" s="1"/>
  <c r="DQ331" i="80" s="1"/>
  <c r="DR310" i="80"/>
  <c r="DR313" i="80" s="1"/>
  <c r="DR315" i="80" s="1"/>
  <c r="DR331" i="80" s="1"/>
  <c r="AO313" i="80"/>
  <c r="AO315" i="80" s="1"/>
  <c r="AO331" i="80" s="1"/>
  <c r="AP310" i="80"/>
  <c r="AP313" i="80" s="1"/>
  <c r="AP315" i="80" s="1"/>
  <c r="AP331" i="80" s="1"/>
  <c r="EN122" i="79"/>
  <c r="EM133" i="79"/>
  <c r="EM135" i="79" s="1"/>
  <c r="EM161" i="79" s="1"/>
  <c r="EM167" i="79" s="1"/>
  <c r="EM325" i="79" s="1"/>
  <c r="EM334" i="79" s="1"/>
  <c r="EO122" i="79"/>
  <c r="BL122" i="79"/>
  <c r="BK133" i="79"/>
  <c r="BK135" i="79" s="1"/>
  <c r="BK161" i="79" s="1"/>
  <c r="BK167" i="79" s="1"/>
  <c r="BK325" i="79" s="1"/>
  <c r="BK334" i="79" s="1"/>
  <c r="BM122" i="79"/>
  <c r="FE128" i="80"/>
  <c r="FD128" i="80"/>
  <c r="DY128" i="80"/>
  <c r="DX128" i="80"/>
  <c r="CK77" i="79"/>
  <c r="CK79" i="79" s="1"/>
  <c r="CL72" i="79"/>
  <c r="CL77" i="79" s="1"/>
  <c r="CL79" i="79" s="1"/>
  <c r="FM77" i="79"/>
  <c r="FM79" i="79" s="1"/>
  <c r="FN72" i="79"/>
  <c r="FN77" i="79" s="1"/>
  <c r="FN79" i="79" s="1"/>
  <c r="EW77" i="79"/>
  <c r="EW79" i="79" s="1"/>
  <c r="EX72" i="79"/>
  <c r="EX77" i="79" s="1"/>
  <c r="EX79" i="79" s="1"/>
  <c r="DI128" i="79"/>
  <c r="DH128" i="79"/>
  <c r="FE128" i="79"/>
  <c r="FD128" i="79"/>
  <c r="G39" i="154"/>
  <c r="Y313" i="79"/>
  <c r="Y315" i="79" s="1"/>
  <c r="Y331" i="79" s="1"/>
  <c r="Z310" i="79"/>
  <c r="Z313" i="79" s="1"/>
  <c r="Z315" i="79" s="1"/>
  <c r="Z331" i="79" s="1"/>
  <c r="DQ313" i="79"/>
  <c r="DQ315" i="79" s="1"/>
  <c r="DQ331" i="79" s="1"/>
  <c r="DR310" i="79"/>
  <c r="DR313" i="79" s="1"/>
  <c r="DR315" i="79" s="1"/>
  <c r="DR331" i="79" s="1"/>
  <c r="EX235" i="79"/>
  <c r="CC237" i="80"/>
  <c r="CC84" i="80"/>
  <c r="CR122" i="80"/>
  <c r="CQ133" i="80"/>
  <c r="CQ135" i="80" s="1"/>
  <c r="CQ161" i="80" s="1"/>
  <c r="CQ167" i="80" s="1"/>
  <c r="CQ325" i="80" s="1"/>
  <c r="CQ334" i="80" s="1"/>
  <c r="CS122" i="80"/>
  <c r="AO122" i="80"/>
  <c r="AN122" i="80"/>
  <c r="AM133" i="80"/>
  <c r="AM135" i="80" s="1"/>
  <c r="AM161" i="80" s="1"/>
  <c r="AM167" i="80" s="1"/>
  <c r="AM325" i="80" s="1"/>
  <c r="AM334" i="80" s="1"/>
  <c r="AV122" i="80"/>
  <c r="AW122" i="80"/>
  <c r="AU133" i="80"/>
  <c r="AU135" i="80" s="1"/>
  <c r="AU161" i="80" s="1"/>
  <c r="AU167" i="80" s="1"/>
  <c r="AU325" i="80" s="1"/>
  <c r="AU334" i="80" s="1"/>
  <c r="CC313" i="80"/>
  <c r="CC315" i="80" s="1"/>
  <c r="CC331" i="80" s="1"/>
  <c r="CD310" i="80"/>
  <c r="CD313" i="80" s="1"/>
  <c r="CD315" i="80" s="1"/>
  <c r="CD331" i="80" s="1"/>
  <c r="EG313" i="80"/>
  <c r="EG315" i="80" s="1"/>
  <c r="EG331" i="80" s="1"/>
  <c r="EH310" i="80"/>
  <c r="EH313" i="80" s="1"/>
  <c r="EH315" i="80" s="1"/>
  <c r="EH331" i="80" s="1"/>
  <c r="AV122" i="79"/>
  <c r="AW122" i="79"/>
  <c r="AU133" i="79"/>
  <c r="AU135" i="79" s="1"/>
  <c r="AU161" i="79" s="1"/>
  <c r="AU167" i="79" s="1"/>
  <c r="AU325" i="79" s="1"/>
  <c r="AU334" i="79" s="1"/>
  <c r="BD122" i="79"/>
  <c r="BE122" i="79"/>
  <c r="BC133" i="79"/>
  <c r="BC135" i="79" s="1"/>
  <c r="BC161" i="79" s="1"/>
  <c r="BC167" i="79" s="1"/>
  <c r="BC325" i="79" s="1"/>
  <c r="BC334" i="79" s="1"/>
  <c r="CB128" i="80"/>
  <c r="CC128" i="80"/>
  <c r="AW128" i="80"/>
  <c r="AV128" i="80"/>
  <c r="CT235" i="79"/>
  <c r="EP235" i="80"/>
  <c r="CC77" i="79"/>
  <c r="CC79" i="79" s="1"/>
  <c r="CD72" i="79"/>
  <c r="CD77" i="79" s="1"/>
  <c r="CD79" i="79" s="1"/>
  <c r="AO77" i="79"/>
  <c r="AO79" i="79" s="1"/>
  <c r="AP72" i="79"/>
  <c r="AP77" i="79" s="1"/>
  <c r="AP79" i="79" s="1"/>
  <c r="DY77" i="79"/>
  <c r="DY79" i="79" s="1"/>
  <c r="DZ72" i="79"/>
  <c r="DZ77" i="79" s="1"/>
  <c r="DZ79" i="79" s="1"/>
  <c r="AO128" i="79"/>
  <c r="AN128" i="79"/>
  <c r="BM128" i="79"/>
  <c r="BL128" i="79"/>
  <c r="DZ235" i="80"/>
  <c r="I161" i="79"/>
  <c r="I167" i="79" s="1"/>
  <c r="I325" i="79" s="1"/>
  <c r="DY313" i="79"/>
  <c r="DY315" i="79" s="1"/>
  <c r="DY331" i="79" s="1"/>
  <c r="DZ310" i="79"/>
  <c r="DZ313" i="79" s="1"/>
  <c r="DZ315" i="79" s="1"/>
  <c r="DZ331" i="79" s="1"/>
  <c r="CS313" i="79"/>
  <c r="CS315" i="79" s="1"/>
  <c r="CS331" i="79" s="1"/>
  <c r="CT310" i="79"/>
  <c r="CT313" i="79" s="1"/>
  <c r="CT315" i="79" s="1"/>
  <c r="CT331" i="79" s="1"/>
  <c r="EW313" i="79"/>
  <c r="EW315" i="79" s="1"/>
  <c r="EW331" i="79" s="1"/>
  <c r="EX310" i="79"/>
  <c r="EX313" i="79" s="1"/>
  <c r="EX315" i="79" s="1"/>
  <c r="EX331" i="79" s="1"/>
  <c r="DI122" i="80"/>
  <c r="DH122" i="80"/>
  <c r="DG133" i="80"/>
  <c r="DG135" i="80" s="1"/>
  <c r="DG161" i="80" s="1"/>
  <c r="DG167" i="80" s="1"/>
  <c r="DG325" i="80" s="1"/>
  <c r="DG334" i="80" s="1"/>
  <c r="DY122" i="80"/>
  <c r="DW133" i="80"/>
  <c r="DW135" i="80" s="1"/>
  <c r="DW161" i="80" s="1"/>
  <c r="DW167" i="80" s="1"/>
  <c r="DW325" i="80" s="1"/>
  <c r="DW334" i="80" s="1"/>
  <c r="DX122" i="80"/>
  <c r="FC133" i="80"/>
  <c r="FC135" i="80" s="1"/>
  <c r="FC161" i="80" s="1"/>
  <c r="FC167" i="80" s="1"/>
  <c r="FC325" i="80" s="1"/>
  <c r="FC334" i="80" s="1"/>
  <c r="FD122" i="80"/>
  <c r="FE122" i="80"/>
  <c r="Q313" i="80"/>
  <c r="Q315" i="80" s="1"/>
  <c r="Q331" i="80" s="1"/>
  <c r="R310" i="80"/>
  <c r="R313" i="80" s="1"/>
  <c r="R315" i="80" s="1"/>
  <c r="R331" i="80" s="1"/>
  <c r="Y313" i="80"/>
  <c r="Y315" i="80" s="1"/>
  <c r="Y331" i="80" s="1"/>
  <c r="Z310" i="80"/>
  <c r="Z313" i="80" s="1"/>
  <c r="Z315" i="80" s="1"/>
  <c r="Z331" i="80" s="1"/>
  <c r="CK313" i="80"/>
  <c r="CK315" i="80" s="1"/>
  <c r="CK331" i="80" s="1"/>
  <c r="CL310" i="80"/>
  <c r="CL313" i="80" s="1"/>
  <c r="CL315" i="80" s="1"/>
  <c r="CL331" i="80" s="1"/>
  <c r="X122" i="79"/>
  <c r="Y122" i="79"/>
  <c r="W133" i="79"/>
  <c r="W135" i="79" s="1"/>
  <c r="W161" i="79" s="1"/>
  <c r="W167" i="79" s="1"/>
  <c r="W325" i="79" s="1"/>
  <c r="W334" i="79" s="1"/>
  <c r="CK122" i="79"/>
  <c r="CJ122" i="79"/>
  <c r="CI133" i="79"/>
  <c r="CI135" i="79" s="1"/>
  <c r="CI161" i="79" s="1"/>
  <c r="CI167" i="79" s="1"/>
  <c r="CI325" i="79" s="1"/>
  <c r="CI334" i="79" s="1"/>
  <c r="AO128" i="80"/>
  <c r="AN128" i="80"/>
  <c r="EF128" i="80"/>
  <c r="EG128" i="80"/>
  <c r="R72" i="79"/>
  <c r="R77" i="79" s="1"/>
  <c r="R79" i="79" s="1"/>
  <c r="EG77" i="79"/>
  <c r="EG79" i="79" s="1"/>
  <c r="EH72" i="79"/>
  <c r="EH77" i="79" s="1"/>
  <c r="EH79" i="79" s="1"/>
  <c r="BU128" i="79"/>
  <c r="BT128" i="79"/>
  <c r="DQ128" i="79"/>
  <c r="DP128" i="79"/>
  <c r="CT84" i="80"/>
  <c r="CT237" i="80"/>
  <c r="Z235" i="80"/>
  <c r="AW77" i="80"/>
  <c r="AW79" i="80" s="1"/>
  <c r="AX72" i="80"/>
  <c r="AX77" i="80" s="1"/>
  <c r="AX79" i="80" s="1"/>
  <c r="Q77" i="80"/>
  <c r="Q79" i="80" s="1"/>
  <c r="R72" i="80"/>
  <c r="R77" i="80" s="1"/>
  <c r="R79" i="80" s="1"/>
  <c r="EG77" i="80"/>
  <c r="EG79" i="80" s="1"/>
  <c r="EH72" i="80"/>
  <c r="EH77" i="80" s="1"/>
  <c r="EH79" i="80" s="1"/>
  <c r="DI313" i="79"/>
  <c r="DI315" i="79" s="1"/>
  <c r="DI331" i="79" s="1"/>
  <c r="DJ310" i="79"/>
  <c r="DJ313" i="79" s="1"/>
  <c r="DJ315" i="79" s="1"/>
  <c r="DJ331" i="79" s="1"/>
  <c r="AO313" i="79"/>
  <c r="AO315" i="79" s="1"/>
  <c r="AO331" i="79" s="1"/>
  <c r="AP310" i="79"/>
  <c r="AP313" i="79" s="1"/>
  <c r="AP315" i="79" s="1"/>
  <c r="AP331" i="79" s="1"/>
  <c r="BM313" i="79"/>
  <c r="BM315" i="79" s="1"/>
  <c r="BM331" i="79" s="1"/>
  <c r="BN310" i="79"/>
  <c r="BN313" i="79" s="1"/>
  <c r="BN315" i="79" s="1"/>
  <c r="BN331" i="79" s="1"/>
  <c r="DB84" i="80"/>
  <c r="DB237" i="80"/>
  <c r="BT122" i="80"/>
  <c r="BS133" i="80"/>
  <c r="BS135" i="80" s="1"/>
  <c r="BS161" i="80" s="1"/>
  <c r="BS167" i="80" s="1"/>
  <c r="BS325" i="80" s="1"/>
  <c r="BS334" i="80" s="1"/>
  <c r="BU122" i="80"/>
  <c r="EG122" i="80"/>
  <c r="EE133" i="80"/>
  <c r="EE135" i="80" s="1"/>
  <c r="EE161" i="80" s="1"/>
  <c r="EE167" i="80" s="1"/>
  <c r="EE325" i="80" s="1"/>
  <c r="EE334" i="80" s="1"/>
  <c r="EF122" i="80"/>
  <c r="BM122" i="80"/>
  <c r="BK133" i="80"/>
  <c r="BK135" i="80" s="1"/>
  <c r="BK161" i="80" s="1"/>
  <c r="BK167" i="80" s="1"/>
  <c r="BK325" i="80" s="1"/>
  <c r="BK334" i="80" s="1"/>
  <c r="BL122" i="80"/>
  <c r="CS313" i="80"/>
  <c r="CS315" i="80" s="1"/>
  <c r="CS331" i="80" s="1"/>
  <c r="CT310" i="80"/>
  <c r="CT313" i="80" s="1"/>
  <c r="CT315" i="80" s="1"/>
  <c r="CT331" i="80" s="1"/>
  <c r="DA313" i="80"/>
  <c r="DA315" i="80" s="1"/>
  <c r="DA331" i="80" s="1"/>
  <c r="DB310" i="80"/>
  <c r="DB313" i="80" s="1"/>
  <c r="DB315" i="80" s="1"/>
  <c r="DB331" i="80" s="1"/>
  <c r="BU313" i="80"/>
  <c r="BU315" i="80" s="1"/>
  <c r="BU331" i="80" s="1"/>
  <c r="BV310" i="80"/>
  <c r="BV313" i="80" s="1"/>
  <c r="BV315" i="80" s="1"/>
  <c r="BV331" i="80" s="1"/>
  <c r="BU122" i="79"/>
  <c r="BS133" i="79"/>
  <c r="BS135" i="79" s="1"/>
  <c r="BS161" i="79" s="1"/>
  <c r="BS167" i="79" s="1"/>
  <c r="BS325" i="79" s="1"/>
  <c r="BS334" i="79" s="1"/>
  <c r="BT122" i="79"/>
  <c r="AG122" i="79"/>
  <c r="AE133" i="79"/>
  <c r="AE135" i="79" s="1"/>
  <c r="AE161" i="79" s="1"/>
  <c r="AE167" i="79" s="1"/>
  <c r="AE325" i="79" s="1"/>
  <c r="AE334" i="79" s="1"/>
  <c r="AF122" i="79"/>
  <c r="FC133" i="79"/>
  <c r="FC135" i="79" s="1"/>
  <c r="FC161" i="79" s="1"/>
  <c r="FC167" i="79" s="1"/>
  <c r="FC325" i="79" s="1"/>
  <c r="FC334" i="79" s="1"/>
  <c r="FE122" i="79"/>
  <c r="FD122" i="79"/>
  <c r="EH84" i="80"/>
  <c r="EH237" i="80"/>
  <c r="BT128" i="80"/>
  <c r="BU128" i="80"/>
  <c r="CS128" i="80"/>
  <c r="CR128" i="80"/>
  <c r="G135" i="85"/>
  <c r="AW77" i="79"/>
  <c r="AW79" i="79" s="1"/>
  <c r="AX72" i="79"/>
  <c r="AX77" i="79" s="1"/>
  <c r="AX79" i="79" s="1"/>
  <c r="AG77" i="79"/>
  <c r="AG79" i="79" s="1"/>
  <c r="AH72" i="79"/>
  <c r="AH77" i="79" s="1"/>
  <c r="AH79" i="79" s="1"/>
  <c r="DY128" i="79"/>
  <c r="DX128" i="79"/>
  <c r="EV128" i="79"/>
  <c r="EW128" i="79"/>
  <c r="AP237" i="80"/>
  <c r="AP84" i="80"/>
  <c r="R237" i="80"/>
  <c r="R84" i="80"/>
  <c r="CK313" i="79"/>
  <c r="CK315" i="79" s="1"/>
  <c r="CK331" i="79" s="1"/>
  <c r="CL310" i="79"/>
  <c r="CL313" i="79" s="1"/>
  <c r="CL315" i="79" s="1"/>
  <c r="CL331" i="79" s="1"/>
  <c r="EG313" i="79"/>
  <c r="EG315" i="79" s="1"/>
  <c r="EG331" i="79" s="1"/>
  <c r="EH310" i="79"/>
  <c r="EH313" i="79" s="1"/>
  <c r="EH315" i="79" s="1"/>
  <c r="EH331" i="79" s="1"/>
  <c r="FE313" i="79"/>
  <c r="FE315" i="79" s="1"/>
  <c r="FE331" i="79" s="1"/>
  <c r="FF310" i="79"/>
  <c r="FF313" i="79" s="1"/>
  <c r="FF315" i="79" s="1"/>
  <c r="FF331" i="79" s="1"/>
  <c r="DO133" i="80"/>
  <c r="DO135" i="80" s="1"/>
  <c r="DO161" i="80" s="1"/>
  <c r="DO167" i="80" s="1"/>
  <c r="DO325" i="80" s="1"/>
  <c r="DO334" i="80" s="1"/>
  <c r="DQ122" i="80"/>
  <c r="DP122" i="80"/>
  <c r="CK122" i="80"/>
  <c r="CJ122" i="80"/>
  <c r="CI133" i="80"/>
  <c r="CI135" i="80" s="1"/>
  <c r="CI161" i="80" s="1"/>
  <c r="CI167" i="80" s="1"/>
  <c r="CI325" i="80" s="1"/>
  <c r="CI334" i="80" s="1"/>
  <c r="EU133" i="80"/>
  <c r="EU135" i="80" s="1"/>
  <c r="EU161" i="80" s="1"/>
  <c r="EU167" i="80" s="1"/>
  <c r="EU325" i="80" s="1"/>
  <c r="EU334" i="80" s="1"/>
  <c r="EW122" i="80"/>
  <c r="EV122" i="80"/>
  <c r="AG313" i="80"/>
  <c r="AG315" i="80" s="1"/>
  <c r="AG331" i="80" s="1"/>
  <c r="AH310" i="80"/>
  <c r="AH313" i="80" s="1"/>
  <c r="AH315" i="80" s="1"/>
  <c r="AH331" i="80" s="1"/>
  <c r="FE313" i="80"/>
  <c r="FE315" i="80" s="1"/>
  <c r="FE331" i="80" s="1"/>
  <c r="FF310" i="80"/>
  <c r="FF313" i="80" s="1"/>
  <c r="FF315" i="80" s="1"/>
  <c r="FF331" i="80" s="1"/>
  <c r="DG133" i="79"/>
  <c r="DG135" i="79" s="1"/>
  <c r="DG161" i="79" s="1"/>
  <c r="DG167" i="79" s="1"/>
  <c r="DG325" i="79" s="1"/>
  <c r="DG334" i="79" s="1"/>
  <c r="DI122" i="79"/>
  <c r="DH122" i="79"/>
  <c r="Q122" i="79"/>
  <c r="P122" i="79"/>
  <c r="O133" i="79"/>
  <c r="O135" i="79" s="1"/>
  <c r="O161" i="79" s="1"/>
  <c r="O167" i="79" s="1"/>
  <c r="O325" i="79" s="1"/>
  <c r="O334" i="79" s="1"/>
  <c r="EW122" i="79"/>
  <c r="EV122" i="79"/>
  <c r="EU133" i="79"/>
  <c r="EU135" i="79" s="1"/>
  <c r="EU161" i="79" s="1"/>
  <c r="EU167" i="79" s="1"/>
  <c r="EU325" i="79" s="1"/>
  <c r="EU334" i="79" s="1"/>
  <c r="BN84" i="80"/>
  <c r="BN237" i="80"/>
  <c r="DI128" i="80"/>
  <c r="DH128" i="80"/>
  <c r="DP128" i="80"/>
  <c r="DQ128" i="80"/>
  <c r="AF128" i="80"/>
  <c r="AG128" i="80"/>
  <c r="Y77" i="79"/>
  <c r="Y79" i="79" s="1"/>
  <c r="Z72" i="79"/>
  <c r="Z77" i="79" s="1"/>
  <c r="Z79" i="79" s="1"/>
  <c r="Y128" i="79"/>
  <c r="X128" i="79"/>
  <c r="AF128" i="79"/>
  <c r="AG128" i="79"/>
  <c r="CR128" i="79"/>
  <c r="CS128" i="79"/>
  <c r="DI77" i="80"/>
  <c r="DI79" i="80" s="1"/>
  <c r="DJ72" i="80"/>
  <c r="DJ77" i="80" s="1"/>
  <c r="DJ79" i="80" s="1"/>
  <c r="CL235" i="80"/>
  <c r="BF235" i="79"/>
  <c r="BN235" i="79"/>
  <c r="BE313" i="79"/>
  <c r="BE315" i="79" s="1"/>
  <c r="BE331" i="79" s="1"/>
  <c r="BF310" i="79"/>
  <c r="BF313" i="79" s="1"/>
  <c r="BF315" i="79" s="1"/>
  <c r="BF331" i="79" s="1"/>
  <c r="EO313" i="79"/>
  <c r="EO315" i="79" s="1"/>
  <c r="EO331" i="79" s="1"/>
  <c r="EP310" i="79"/>
  <c r="EP313" i="79" s="1"/>
  <c r="EP315" i="79" s="1"/>
  <c r="EP331" i="79" s="1"/>
  <c r="Q313" i="79"/>
  <c r="Q315" i="79" s="1"/>
  <c r="Q331" i="79" s="1"/>
  <c r="R310" i="79"/>
  <c r="R313" i="79" s="1"/>
  <c r="R315" i="79" s="1"/>
  <c r="R331" i="79" s="1"/>
  <c r="R235" i="79"/>
  <c r="EV253" i="79"/>
  <c r="CZ253" i="79"/>
  <c r="EF253" i="79"/>
  <c r="BT253" i="79"/>
  <c r="BD253" i="79"/>
  <c r="AF253" i="79"/>
  <c r="AN253" i="79"/>
  <c r="X253" i="79"/>
  <c r="CJ253" i="79"/>
  <c r="EN253" i="79"/>
  <c r="AV253" i="79"/>
  <c r="FL253" i="79"/>
  <c r="P253" i="79"/>
  <c r="FD253" i="79"/>
  <c r="CB253" i="79"/>
  <c r="BL253" i="79"/>
  <c r="DX253" i="79"/>
  <c r="DP253" i="79"/>
  <c r="CR253" i="79"/>
  <c r="DH253" i="79"/>
  <c r="H257" i="79"/>
  <c r="H260" i="79" s="1"/>
  <c r="H322" i="79" s="1"/>
  <c r="H334" i="79" s="1"/>
  <c r="H339" i="79" s="1"/>
  <c r="H257" i="85"/>
  <c r="EV253" i="80"/>
  <c r="AV253" i="80"/>
  <c r="EN253" i="80"/>
  <c r="P253" i="80"/>
  <c r="CR253" i="80"/>
  <c r="AF253" i="80"/>
  <c r="DX253" i="80"/>
  <c r="FL253" i="80"/>
  <c r="X253" i="80"/>
  <c r="AN253" i="80"/>
  <c r="EF253" i="80"/>
  <c r="CJ253" i="80"/>
  <c r="DH253" i="80"/>
  <c r="BD253" i="80"/>
  <c r="DP253" i="80"/>
  <c r="BT253" i="80"/>
  <c r="BL253" i="80"/>
  <c r="CB253" i="80"/>
  <c r="FD253" i="80"/>
  <c r="CZ253" i="80"/>
  <c r="H257" i="80"/>
  <c r="H260" i="80" s="1"/>
  <c r="H322" i="80" s="1"/>
  <c r="H334" i="80" s="1"/>
  <c r="H339" i="80" s="1"/>
  <c r="J260" i="85" l="1"/>
  <c r="F13" i="7"/>
  <c r="J322" i="85" s="1"/>
  <c r="CK77" i="80"/>
  <c r="CK79" i="80" s="1"/>
  <c r="FF72" i="79"/>
  <c r="FF77" i="79" s="1"/>
  <c r="FF79" i="79" s="1"/>
  <c r="BV72" i="79"/>
  <c r="BV77" i="79" s="1"/>
  <c r="BV79" i="79" s="1"/>
  <c r="H40" i="167"/>
  <c r="H42" i="167" s="1"/>
  <c r="F16" i="7" s="1"/>
  <c r="H96" i="167"/>
  <c r="H98" i="167" s="1"/>
  <c r="J167" i="85" s="1"/>
  <c r="L95" i="90" s="1"/>
  <c r="H123" i="167"/>
  <c r="H125" i="167" s="1"/>
  <c r="J161" i="85"/>
  <c r="BF72" i="79"/>
  <c r="BF77" i="79" s="1"/>
  <c r="BF79" i="79" s="1"/>
  <c r="DB72" i="80"/>
  <c r="DB77" i="80" s="1"/>
  <c r="DB79" i="80" s="1"/>
  <c r="BN72" i="79"/>
  <c r="BN77" i="79" s="1"/>
  <c r="BN79" i="79" s="1"/>
  <c r="AP72" i="80"/>
  <c r="AP77" i="80" s="1"/>
  <c r="AP79" i="80" s="1"/>
  <c r="BE77" i="80"/>
  <c r="BE79" i="80" s="1"/>
  <c r="DR72" i="80"/>
  <c r="DR77" i="80" s="1"/>
  <c r="DR79" i="80" s="1"/>
  <c r="Z72" i="80"/>
  <c r="Z77" i="80" s="1"/>
  <c r="Z79" i="80" s="1"/>
  <c r="BV72" i="80"/>
  <c r="BV77" i="80" s="1"/>
  <c r="BV79" i="80" s="1"/>
  <c r="FF72" i="80"/>
  <c r="FF77" i="80" s="1"/>
  <c r="FF79" i="80" s="1"/>
  <c r="AH72" i="80"/>
  <c r="AH77" i="80" s="1"/>
  <c r="AH79" i="80" s="1"/>
  <c r="DZ72" i="80"/>
  <c r="DZ77" i="80" s="1"/>
  <c r="DZ79" i="80" s="1"/>
  <c r="CT72" i="80"/>
  <c r="CT77" i="80" s="1"/>
  <c r="CT79" i="80" s="1"/>
  <c r="EP72" i="80"/>
  <c r="EP77" i="80" s="1"/>
  <c r="EP79" i="80" s="1"/>
  <c r="FN72" i="80"/>
  <c r="FN77" i="80" s="1"/>
  <c r="FN79" i="80" s="1"/>
  <c r="BN72" i="80"/>
  <c r="BN77" i="80" s="1"/>
  <c r="BN79" i="80" s="1"/>
  <c r="CD72" i="80"/>
  <c r="CD77" i="80" s="1"/>
  <c r="CD79" i="80" s="1"/>
  <c r="I100" i="169"/>
  <c r="G123" i="167"/>
  <c r="G125" i="167" s="1"/>
  <c r="G96" i="167"/>
  <c r="G98" i="167" s="1"/>
  <c r="I167" i="85" s="1"/>
  <c r="K95" i="90" s="1"/>
  <c r="G40" i="167"/>
  <c r="G42" i="167" s="1"/>
  <c r="DJ237" i="80"/>
  <c r="AX237" i="79"/>
  <c r="FF237" i="79"/>
  <c r="AX84" i="80"/>
  <c r="EW133" i="79"/>
  <c r="EW135" i="79" s="1"/>
  <c r="EW161" i="79" s="1"/>
  <c r="EW167" i="79" s="1"/>
  <c r="EW325" i="79" s="1"/>
  <c r="EG133" i="79"/>
  <c r="EG135" i="79" s="1"/>
  <c r="EG161" i="79" s="1"/>
  <c r="EG167" i="79" s="1"/>
  <c r="EG325" i="79" s="1"/>
  <c r="FF237" i="80"/>
  <c r="Q133" i="79"/>
  <c r="Q135" i="79" s="1"/>
  <c r="Q161" i="79" s="1"/>
  <c r="Q167" i="79" s="1"/>
  <c r="Q325" i="79" s="1"/>
  <c r="CL237" i="79"/>
  <c r="CD84" i="79"/>
  <c r="FE133" i="80"/>
  <c r="FE135" i="80" s="1"/>
  <c r="FE161" i="80" s="1"/>
  <c r="FE167" i="80" s="1"/>
  <c r="FE325" i="80" s="1"/>
  <c r="AH237" i="80"/>
  <c r="FN237" i="79"/>
  <c r="BM133" i="80"/>
  <c r="BM135" i="80" s="1"/>
  <c r="BM161" i="80" s="1"/>
  <c r="BM167" i="80" s="1"/>
  <c r="BM325" i="80" s="1"/>
  <c r="AP128" i="79"/>
  <c r="AW133" i="79"/>
  <c r="AW135" i="79" s="1"/>
  <c r="AW161" i="79" s="1"/>
  <c r="AW167" i="79" s="1"/>
  <c r="AW325" i="79" s="1"/>
  <c r="AX128" i="79"/>
  <c r="BF128" i="79"/>
  <c r="FM133" i="80"/>
  <c r="FM135" i="80" s="1"/>
  <c r="FM161" i="80" s="1"/>
  <c r="FM167" i="80" s="1"/>
  <c r="FM325" i="80" s="1"/>
  <c r="EW133" i="80"/>
  <c r="EW135" i="80" s="1"/>
  <c r="EW161" i="80" s="1"/>
  <c r="EW167" i="80" s="1"/>
  <c r="EW325" i="80" s="1"/>
  <c r="DB237" i="79"/>
  <c r="BV84" i="80"/>
  <c r="BF237" i="80"/>
  <c r="EP128" i="79"/>
  <c r="R128" i="80"/>
  <c r="DI133" i="79"/>
  <c r="DI135" i="79" s="1"/>
  <c r="DI161" i="79" s="1"/>
  <c r="DI167" i="79" s="1"/>
  <c r="DI325" i="79" s="1"/>
  <c r="Z128" i="79"/>
  <c r="DR237" i="80"/>
  <c r="CK133" i="80"/>
  <c r="CK135" i="80" s="1"/>
  <c r="CK161" i="80" s="1"/>
  <c r="CK167" i="80" s="1"/>
  <c r="CK325" i="80" s="1"/>
  <c r="AP128" i="80"/>
  <c r="BN128" i="79"/>
  <c r="AH128" i="79"/>
  <c r="CK133" i="79"/>
  <c r="CK135" i="79" s="1"/>
  <c r="CK161" i="79" s="1"/>
  <c r="CK167" i="79" s="1"/>
  <c r="CK325" i="79" s="1"/>
  <c r="DA133" i="80"/>
  <c r="DA135" i="80" s="1"/>
  <c r="DA161" i="80" s="1"/>
  <c r="DA167" i="80" s="1"/>
  <c r="DA325" i="80" s="1"/>
  <c r="FE133" i="79"/>
  <c r="FE135" i="79" s="1"/>
  <c r="FE161" i="79" s="1"/>
  <c r="FE167" i="79" s="1"/>
  <c r="FE325" i="79" s="1"/>
  <c r="Y133" i="80"/>
  <c r="Y135" i="80" s="1"/>
  <c r="Y161" i="80" s="1"/>
  <c r="Y167" i="80" s="1"/>
  <c r="Y325" i="80" s="1"/>
  <c r="BV128" i="79"/>
  <c r="AG133" i="79"/>
  <c r="AG135" i="79" s="1"/>
  <c r="AG161" i="79" s="1"/>
  <c r="AG167" i="79" s="1"/>
  <c r="AG325" i="79" s="1"/>
  <c r="EX128" i="79"/>
  <c r="CT128" i="79"/>
  <c r="DR122" i="80"/>
  <c r="FF128" i="79"/>
  <c r="DB128" i="80"/>
  <c r="DQ133" i="80"/>
  <c r="DQ135" i="80" s="1"/>
  <c r="DQ161" i="80" s="1"/>
  <c r="DQ167" i="80" s="1"/>
  <c r="DQ325" i="80" s="1"/>
  <c r="EH128" i="80"/>
  <c r="CS133" i="80"/>
  <c r="CS135" i="80" s="1"/>
  <c r="CS161" i="80" s="1"/>
  <c r="CS167" i="80" s="1"/>
  <c r="CS325" i="80" s="1"/>
  <c r="BM133" i="79"/>
  <c r="BM135" i="79" s="1"/>
  <c r="BM161" i="79" s="1"/>
  <c r="BM167" i="79" s="1"/>
  <c r="BM325" i="79" s="1"/>
  <c r="EP128" i="80"/>
  <c r="EG133" i="80"/>
  <c r="EG135" i="80" s="1"/>
  <c r="EG161" i="80" s="1"/>
  <c r="EG167" i="80" s="1"/>
  <c r="EG325" i="80" s="1"/>
  <c r="CD128" i="80"/>
  <c r="DA133" i="79"/>
  <c r="DA135" i="79" s="1"/>
  <c r="DA161" i="79" s="1"/>
  <c r="DA167" i="79" s="1"/>
  <c r="DA325" i="79" s="1"/>
  <c r="FN128" i="80"/>
  <c r="EH128" i="79"/>
  <c r="Z128" i="80"/>
  <c r="EP237" i="79"/>
  <c r="EP84" i="79"/>
  <c r="DZ128" i="80"/>
  <c r="R128" i="79"/>
  <c r="BF128" i="80"/>
  <c r="BN122" i="80"/>
  <c r="BL133" i="80"/>
  <c r="BL135" i="80" s="1"/>
  <c r="BL161" i="80" s="1"/>
  <c r="BL167" i="80" s="1"/>
  <c r="BL325" i="80" s="1"/>
  <c r="R84" i="79"/>
  <c r="R237" i="79"/>
  <c r="BN84" i="79"/>
  <c r="BN237" i="79"/>
  <c r="AF133" i="79"/>
  <c r="AF135" i="79" s="1"/>
  <c r="AF161" i="79" s="1"/>
  <c r="AF167" i="79" s="1"/>
  <c r="AF325" i="79" s="1"/>
  <c r="AH122" i="79"/>
  <c r="Y133" i="79"/>
  <c r="Y135" i="79" s="1"/>
  <c r="Y161" i="79" s="1"/>
  <c r="Y167" i="79" s="1"/>
  <c r="Y325" i="79" s="1"/>
  <c r="DI133" i="80"/>
  <c r="DI135" i="80" s="1"/>
  <c r="DI161" i="80" s="1"/>
  <c r="DI167" i="80" s="1"/>
  <c r="DI325" i="80" s="1"/>
  <c r="BD133" i="79"/>
  <c r="BD135" i="79" s="1"/>
  <c r="BD161" i="79" s="1"/>
  <c r="BD167" i="79" s="1"/>
  <c r="BD325" i="79" s="1"/>
  <c r="BF122" i="79"/>
  <c r="AN133" i="80"/>
  <c r="AN135" i="80" s="1"/>
  <c r="AN161" i="80" s="1"/>
  <c r="AN167" i="80" s="1"/>
  <c r="AN325" i="80" s="1"/>
  <c r="AP122" i="80"/>
  <c r="DJ128" i="79"/>
  <c r="BL133" i="79"/>
  <c r="BL135" i="79" s="1"/>
  <c r="BL161" i="79" s="1"/>
  <c r="BL167" i="79" s="1"/>
  <c r="BL325" i="79" s="1"/>
  <c r="BN122" i="79"/>
  <c r="CC133" i="80"/>
  <c r="CC135" i="80" s="1"/>
  <c r="CC161" i="80" s="1"/>
  <c r="CC167" i="80" s="1"/>
  <c r="CC325" i="80" s="1"/>
  <c r="EX128" i="80"/>
  <c r="EH122" i="79"/>
  <c r="EF133" i="79"/>
  <c r="EF135" i="79" s="1"/>
  <c r="EF161" i="79" s="1"/>
  <c r="EF167" i="79" s="1"/>
  <c r="EF325" i="79" s="1"/>
  <c r="AF133" i="80"/>
  <c r="AF135" i="80" s="1"/>
  <c r="AF161" i="80" s="1"/>
  <c r="AF167" i="80" s="1"/>
  <c r="AF325" i="80" s="1"/>
  <c r="FN122" i="79"/>
  <c r="FL133" i="79"/>
  <c r="FL135" i="79" s="1"/>
  <c r="FL161" i="79" s="1"/>
  <c r="FL167" i="79" s="1"/>
  <c r="FL325" i="79" s="1"/>
  <c r="CL84" i="80"/>
  <c r="CL237" i="80"/>
  <c r="BT133" i="80"/>
  <c r="BT135" i="80" s="1"/>
  <c r="BT161" i="80" s="1"/>
  <c r="BT167" i="80" s="1"/>
  <c r="BT325" i="80" s="1"/>
  <c r="BV122" i="80"/>
  <c r="BF237" i="79"/>
  <c r="BF84" i="79"/>
  <c r="DH133" i="79"/>
  <c r="DH135" i="79" s="1"/>
  <c r="DH161" i="79" s="1"/>
  <c r="DH167" i="79" s="1"/>
  <c r="DH325" i="79" s="1"/>
  <c r="DJ122" i="79"/>
  <c r="DP133" i="80"/>
  <c r="DP135" i="80" s="1"/>
  <c r="DP161" i="80" s="1"/>
  <c r="DP167" i="80" s="1"/>
  <c r="DP325" i="80" s="1"/>
  <c r="BV128" i="80"/>
  <c r="EF133" i="80"/>
  <c r="EF135" i="80" s="1"/>
  <c r="EF161" i="80" s="1"/>
  <c r="EF167" i="80" s="1"/>
  <c r="EF325" i="80" s="1"/>
  <c r="EH122" i="80"/>
  <c r="X133" i="79"/>
  <c r="X135" i="79" s="1"/>
  <c r="X161" i="79" s="1"/>
  <c r="X167" i="79" s="1"/>
  <c r="X325" i="79" s="1"/>
  <c r="Z122" i="79"/>
  <c r="FD133" i="80"/>
  <c r="FD135" i="80" s="1"/>
  <c r="FD161" i="80" s="1"/>
  <c r="FD167" i="80" s="1"/>
  <c r="FD325" i="80" s="1"/>
  <c r="FF122" i="80"/>
  <c r="AO133" i="80"/>
  <c r="AO135" i="80" s="1"/>
  <c r="AO161" i="80" s="1"/>
  <c r="AO167" i="80" s="1"/>
  <c r="AO325" i="80" s="1"/>
  <c r="EO133" i="79"/>
  <c r="EO135" i="79" s="1"/>
  <c r="EO161" i="79" s="1"/>
  <c r="EO167" i="79" s="1"/>
  <c r="EO325" i="79" s="1"/>
  <c r="CB133" i="80"/>
  <c r="CB135" i="80" s="1"/>
  <c r="CB161" i="80" s="1"/>
  <c r="CB167" i="80" s="1"/>
  <c r="CB325" i="80" s="1"/>
  <c r="CD122" i="80"/>
  <c r="X133" i="80"/>
  <c r="X135" i="80" s="1"/>
  <c r="X161" i="80" s="1"/>
  <c r="X167" i="80" s="1"/>
  <c r="X325" i="80" s="1"/>
  <c r="Z122" i="80"/>
  <c r="CL128" i="80"/>
  <c r="AO133" i="79"/>
  <c r="AO135" i="79" s="1"/>
  <c r="AO161" i="79" s="1"/>
  <c r="AO167" i="79" s="1"/>
  <c r="AO325" i="79" s="1"/>
  <c r="BE133" i="80"/>
  <c r="BE135" i="80" s="1"/>
  <c r="BE161" i="80" s="1"/>
  <c r="BE167" i="80" s="1"/>
  <c r="BE325" i="80" s="1"/>
  <c r="G161" i="85"/>
  <c r="C16" i="7"/>
  <c r="G167" i="85"/>
  <c r="I95" i="90" s="1"/>
  <c r="BT133" i="79"/>
  <c r="BT135" i="79" s="1"/>
  <c r="BT161" i="79" s="1"/>
  <c r="BT167" i="79" s="1"/>
  <c r="BT325" i="79" s="1"/>
  <c r="BV122" i="79"/>
  <c r="DX133" i="80"/>
  <c r="DX135" i="80" s="1"/>
  <c r="DX161" i="80" s="1"/>
  <c r="DX167" i="80" s="1"/>
  <c r="DX325" i="80" s="1"/>
  <c r="DZ237" i="80"/>
  <c r="DZ84" i="80"/>
  <c r="AV133" i="79"/>
  <c r="AV135" i="79" s="1"/>
  <c r="AV161" i="79" s="1"/>
  <c r="AV167" i="79" s="1"/>
  <c r="AV325" i="79" s="1"/>
  <c r="AX122" i="79"/>
  <c r="EP122" i="79"/>
  <c r="EN133" i="79"/>
  <c r="EN135" i="79" s="1"/>
  <c r="EN161" i="79" s="1"/>
  <c r="EN167" i="79" s="1"/>
  <c r="EN325" i="79" s="1"/>
  <c r="CZ133" i="79"/>
  <c r="CZ135" i="79" s="1"/>
  <c r="CZ161" i="79" s="1"/>
  <c r="CZ167" i="79" s="1"/>
  <c r="CZ325" i="79" s="1"/>
  <c r="DB122" i="79"/>
  <c r="DZ122" i="79"/>
  <c r="DX133" i="79"/>
  <c r="DX135" i="79" s="1"/>
  <c r="DX161" i="79" s="1"/>
  <c r="DX167" i="79" s="1"/>
  <c r="DX325" i="79" s="1"/>
  <c r="BF122" i="80"/>
  <c r="BD133" i="80"/>
  <c r="BD135" i="80" s="1"/>
  <c r="BD161" i="80" s="1"/>
  <c r="BD167" i="80" s="1"/>
  <c r="BD325" i="80" s="1"/>
  <c r="AP122" i="79"/>
  <c r="AN133" i="79"/>
  <c r="AN135" i="79" s="1"/>
  <c r="AN161" i="79" s="1"/>
  <c r="AN167" i="79" s="1"/>
  <c r="AN325" i="79" s="1"/>
  <c r="EV133" i="80"/>
  <c r="EV135" i="80" s="1"/>
  <c r="EV161" i="80" s="1"/>
  <c r="EV167" i="80" s="1"/>
  <c r="EV325" i="80" s="1"/>
  <c r="EX122" i="80"/>
  <c r="AH128" i="80"/>
  <c r="EV133" i="79"/>
  <c r="EV135" i="79" s="1"/>
  <c r="EV161" i="79" s="1"/>
  <c r="EV167" i="79" s="1"/>
  <c r="EV325" i="79" s="1"/>
  <c r="EX122" i="79"/>
  <c r="FF122" i="79"/>
  <c r="BU133" i="80"/>
  <c r="BU135" i="80" s="1"/>
  <c r="BU161" i="80" s="1"/>
  <c r="BU167" i="80" s="1"/>
  <c r="BU325" i="80" s="1"/>
  <c r="Z84" i="80"/>
  <c r="Z237" i="80"/>
  <c r="CR133" i="80"/>
  <c r="CR135" i="80" s="1"/>
  <c r="CR161" i="80" s="1"/>
  <c r="CR167" i="80" s="1"/>
  <c r="CR325" i="80" s="1"/>
  <c r="CT122" i="80"/>
  <c r="FL133" i="80"/>
  <c r="FL135" i="80" s="1"/>
  <c r="FL161" i="80" s="1"/>
  <c r="FL167" i="80" s="1"/>
  <c r="FL325" i="80" s="1"/>
  <c r="FN122" i="80"/>
  <c r="DY133" i="79"/>
  <c r="DY135" i="79" s="1"/>
  <c r="DY161" i="79" s="1"/>
  <c r="DY167" i="79" s="1"/>
  <c r="DY325" i="79" s="1"/>
  <c r="FN128" i="79"/>
  <c r="DQ133" i="79"/>
  <c r="DQ135" i="79" s="1"/>
  <c r="DQ161" i="79" s="1"/>
  <c r="DQ167" i="79" s="1"/>
  <c r="DQ325" i="79" s="1"/>
  <c r="EP122" i="80"/>
  <c r="EN133" i="80"/>
  <c r="EN135" i="80" s="1"/>
  <c r="EN161" i="80" s="1"/>
  <c r="EN167" i="80" s="1"/>
  <c r="EN325" i="80" s="1"/>
  <c r="DR128" i="80"/>
  <c r="I161" i="85"/>
  <c r="DZ128" i="79"/>
  <c r="FD133" i="79"/>
  <c r="FD135" i="79" s="1"/>
  <c r="FD161" i="79" s="1"/>
  <c r="FD167" i="79" s="1"/>
  <c r="FD325" i="79" s="1"/>
  <c r="BU133" i="79"/>
  <c r="BU135" i="79" s="1"/>
  <c r="BU161" i="79" s="1"/>
  <c r="BU167" i="79" s="1"/>
  <c r="BU325" i="79" s="1"/>
  <c r="CJ133" i="79"/>
  <c r="CJ135" i="79" s="1"/>
  <c r="CJ161" i="79" s="1"/>
  <c r="CJ167" i="79" s="1"/>
  <c r="CJ325" i="79" s="1"/>
  <c r="CL122" i="79"/>
  <c r="DZ122" i="80"/>
  <c r="DY133" i="80"/>
  <c r="DY135" i="80" s="1"/>
  <c r="DY161" i="80" s="1"/>
  <c r="DY167" i="80" s="1"/>
  <c r="DY325" i="80" s="1"/>
  <c r="EP237" i="80"/>
  <c r="EP84" i="80"/>
  <c r="AW133" i="80"/>
  <c r="AW135" i="80" s="1"/>
  <c r="AW161" i="80" s="1"/>
  <c r="AW167" i="80" s="1"/>
  <c r="AW325" i="80" s="1"/>
  <c r="EX237" i="79"/>
  <c r="EX84" i="79"/>
  <c r="FF128" i="80"/>
  <c r="DB122" i="80"/>
  <c r="CZ133" i="80"/>
  <c r="CZ135" i="80" s="1"/>
  <c r="CZ161" i="80" s="1"/>
  <c r="CZ167" i="80" s="1"/>
  <c r="CZ325" i="80" s="1"/>
  <c r="DB128" i="79"/>
  <c r="CB133" i="79"/>
  <c r="CB135" i="79" s="1"/>
  <c r="CB161" i="79" s="1"/>
  <c r="CB167" i="79" s="1"/>
  <c r="CB325" i="79" s="1"/>
  <c r="CD122" i="79"/>
  <c r="EX84" i="80"/>
  <c r="EX237" i="80"/>
  <c r="CT122" i="79"/>
  <c r="CR133" i="79"/>
  <c r="CR135" i="79" s="1"/>
  <c r="CR161" i="79" s="1"/>
  <c r="CR167" i="79" s="1"/>
  <c r="CR325" i="79" s="1"/>
  <c r="DP133" i="79"/>
  <c r="DP135" i="79" s="1"/>
  <c r="DP161" i="79" s="1"/>
  <c r="DP167" i="79" s="1"/>
  <c r="DP325" i="79" s="1"/>
  <c r="DR122" i="79"/>
  <c r="EO133" i="80"/>
  <c r="EO135" i="80" s="1"/>
  <c r="EO161" i="80" s="1"/>
  <c r="EO167" i="80" s="1"/>
  <c r="EO325" i="80" s="1"/>
  <c r="CT84" i="79"/>
  <c r="CT237" i="79"/>
  <c r="AX122" i="80"/>
  <c r="AV133" i="80"/>
  <c r="AV135" i="80" s="1"/>
  <c r="AV161" i="80" s="1"/>
  <c r="AV167" i="80" s="1"/>
  <c r="AV325" i="80" s="1"/>
  <c r="CC133" i="79"/>
  <c r="CC135" i="79" s="1"/>
  <c r="CC161" i="79" s="1"/>
  <c r="CC167" i="79" s="1"/>
  <c r="CC325" i="79" s="1"/>
  <c r="CS133" i="79"/>
  <c r="CS135" i="79" s="1"/>
  <c r="CS161" i="79" s="1"/>
  <c r="CS167" i="79" s="1"/>
  <c r="CS325" i="79" s="1"/>
  <c r="AH122" i="80"/>
  <c r="AG133" i="80"/>
  <c r="AG135" i="80" s="1"/>
  <c r="AG161" i="80" s="1"/>
  <c r="AG167" i="80" s="1"/>
  <c r="AG325" i="80" s="1"/>
  <c r="R122" i="80"/>
  <c r="P133" i="80"/>
  <c r="P135" i="80" s="1"/>
  <c r="P161" i="80" s="1"/>
  <c r="P167" i="80" s="1"/>
  <c r="P325" i="80" s="1"/>
  <c r="DJ128" i="80"/>
  <c r="P133" i="79"/>
  <c r="P135" i="79" s="1"/>
  <c r="P161" i="79" s="1"/>
  <c r="P167" i="79" s="1"/>
  <c r="P325" i="79" s="1"/>
  <c r="R122" i="79"/>
  <c r="CJ133" i="80"/>
  <c r="CJ135" i="80" s="1"/>
  <c r="CJ161" i="80" s="1"/>
  <c r="CJ167" i="80" s="1"/>
  <c r="CJ325" i="80" s="1"/>
  <c r="CL122" i="80"/>
  <c r="CT128" i="80"/>
  <c r="DR128" i="79"/>
  <c r="DJ122" i="80"/>
  <c r="DH133" i="80"/>
  <c r="DH135" i="80" s="1"/>
  <c r="DH161" i="80" s="1"/>
  <c r="DH167" i="80" s="1"/>
  <c r="DH325" i="80" s="1"/>
  <c r="AX128" i="80"/>
  <c r="BE133" i="79"/>
  <c r="BE135" i="79" s="1"/>
  <c r="BE161" i="79" s="1"/>
  <c r="BE167" i="79" s="1"/>
  <c r="BE325" i="79" s="1"/>
  <c r="I253" i="79"/>
  <c r="I253" i="80"/>
  <c r="I253" i="85"/>
  <c r="K147" i="90" s="1"/>
  <c r="CD128" i="79"/>
  <c r="BN128" i="80"/>
  <c r="CL128" i="79"/>
  <c r="FM133" i="79"/>
  <c r="FM135" i="79" s="1"/>
  <c r="FM161" i="79" s="1"/>
  <c r="FM167" i="79" s="1"/>
  <c r="FM325" i="79" s="1"/>
  <c r="Q133" i="80"/>
  <c r="Q135" i="80" s="1"/>
  <c r="Q161" i="80" s="1"/>
  <c r="Q167" i="80" s="1"/>
  <c r="Q325" i="80" s="1"/>
  <c r="CB257" i="80"/>
  <c r="CB260" i="80" s="1"/>
  <c r="CB322" i="80" s="1"/>
  <c r="AN257" i="80"/>
  <c r="AN260" i="80" s="1"/>
  <c r="AN322" i="80" s="1"/>
  <c r="AV257" i="80"/>
  <c r="AV260" i="80" s="1"/>
  <c r="AV322" i="80" s="1"/>
  <c r="CB257" i="79"/>
  <c r="CB260" i="79" s="1"/>
  <c r="CB322" i="79" s="1"/>
  <c r="AN257" i="79"/>
  <c r="AN260" i="79" s="1"/>
  <c r="AN322" i="79" s="1"/>
  <c r="BL257" i="80"/>
  <c r="BL260" i="80" s="1"/>
  <c r="BL322" i="80" s="1"/>
  <c r="X257" i="80"/>
  <c r="X260" i="80" s="1"/>
  <c r="X322" i="80" s="1"/>
  <c r="EV257" i="80"/>
  <c r="EV260" i="80" s="1"/>
  <c r="EV322" i="80" s="1"/>
  <c r="FD257" i="79"/>
  <c r="FD260" i="79" s="1"/>
  <c r="FD322" i="79" s="1"/>
  <c r="AF257" i="79"/>
  <c r="AF260" i="79" s="1"/>
  <c r="AF322" i="79" s="1"/>
  <c r="BT257" i="80"/>
  <c r="BT260" i="80" s="1"/>
  <c r="BT322" i="80" s="1"/>
  <c r="FL257" i="80"/>
  <c r="FL260" i="80" s="1"/>
  <c r="FL322" i="80" s="1"/>
  <c r="D13" i="7"/>
  <c r="H260" i="85"/>
  <c r="P257" i="79"/>
  <c r="P260" i="79" s="1"/>
  <c r="P322" i="79" s="1"/>
  <c r="BD257" i="79"/>
  <c r="BD260" i="79" s="1"/>
  <c r="BD322" i="79" s="1"/>
  <c r="DP257" i="80"/>
  <c r="DP260" i="80" s="1"/>
  <c r="DP322" i="80" s="1"/>
  <c r="DX257" i="80"/>
  <c r="DX260" i="80" s="1"/>
  <c r="DX322" i="80" s="1"/>
  <c r="DH257" i="79"/>
  <c r="DH260" i="79" s="1"/>
  <c r="DH322" i="79" s="1"/>
  <c r="FL257" i="79"/>
  <c r="FL260" i="79" s="1"/>
  <c r="FL322" i="79" s="1"/>
  <c r="BT257" i="79"/>
  <c r="BT260" i="79" s="1"/>
  <c r="BT322" i="79" s="1"/>
  <c r="BD257" i="80"/>
  <c r="BD260" i="80" s="1"/>
  <c r="BD322" i="80" s="1"/>
  <c r="AF257" i="80"/>
  <c r="AF260" i="80" s="1"/>
  <c r="AF322" i="80" s="1"/>
  <c r="CR257" i="79"/>
  <c r="CR260" i="79" s="1"/>
  <c r="CR322" i="79" s="1"/>
  <c r="AV257" i="79"/>
  <c r="AV260" i="79" s="1"/>
  <c r="AV322" i="79" s="1"/>
  <c r="EF257" i="79"/>
  <c r="EF260" i="79" s="1"/>
  <c r="EF322" i="79" s="1"/>
  <c r="DH257" i="80"/>
  <c r="DH260" i="80" s="1"/>
  <c r="DH322" i="80" s="1"/>
  <c r="CR257" i="80"/>
  <c r="CR260" i="80" s="1"/>
  <c r="CR322" i="80" s="1"/>
  <c r="DP257" i="79"/>
  <c r="DP260" i="79" s="1"/>
  <c r="DP322" i="79" s="1"/>
  <c r="EN257" i="79"/>
  <c r="EN260" i="79" s="1"/>
  <c r="EN322" i="79" s="1"/>
  <c r="CZ257" i="79"/>
  <c r="CZ260" i="79" s="1"/>
  <c r="CZ322" i="79" s="1"/>
  <c r="CZ257" i="80"/>
  <c r="CZ260" i="80" s="1"/>
  <c r="CZ322" i="80" s="1"/>
  <c r="CJ257" i="80"/>
  <c r="CJ260" i="80" s="1"/>
  <c r="CJ322" i="80" s="1"/>
  <c r="P257" i="80"/>
  <c r="P260" i="80" s="1"/>
  <c r="P322" i="80" s="1"/>
  <c r="DX257" i="79"/>
  <c r="DX260" i="79" s="1"/>
  <c r="DX322" i="79" s="1"/>
  <c r="CJ257" i="79"/>
  <c r="CJ260" i="79" s="1"/>
  <c r="CJ322" i="79" s="1"/>
  <c r="EV257" i="79"/>
  <c r="EV260" i="79" s="1"/>
  <c r="EV322" i="79" s="1"/>
  <c r="FD257" i="80"/>
  <c r="FD260" i="80" s="1"/>
  <c r="FD322" i="80" s="1"/>
  <c r="EF257" i="80"/>
  <c r="EF260" i="80" s="1"/>
  <c r="EF322" i="80" s="1"/>
  <c r="EN257" i="80"/>
  <c r="EN260" i="80" s="1"/>
  <c r="EN322" i="80" s="1"/>
  <c r="BL257" i="79"/>
  <c r="BL260" i="79" s="1"/>
  <c r="BL322" i="79" s="1"/>
  <c r="X257" i="79"/>
  <c r="X260" i="79" s="1"/>
  <c r="X322" i="79" s="1"/>
  <c r="E16" i="7" l="1"/>
  <c r="I325" i="85" s="1"/>
  <c r="J325" i="85"/>
  <c r="F25" i="7"/>
  <c r="J334" i="85" s="1"/>
  <c r="BF133" i="79"/>
  <c r="BF135" i="79" s="1"/>
  <c r="BF161" i="79" s="1"/>
  <c r="BF167" i="79" s="1"/>
  <c r="BF325" i="79" s="1"/>
  <c r="BN133" i="79"/>
  <c r="BN135" i="79" s="1"/>
  <c r="BN161" i="79" s="1"/>
  <c r="BN167" i="79" s="1"/>
  <c r="BN325" i="79" s="1"/>
  <c r="R133" i="80"/>
  <c r="R135" i="80" s="1"/>
  <c r="R161" i="80" s="1"/>
  <c r="R167" i="80" s="1"/>
  <c r="R325" i="80" s="1"/>
  <c r="CT133" i="79"/>
  <c r="CT135" i="79" s="1"/>
  <c r="CT161" i="79" s="1"/>
  <c r="CT167" i="79" s="1"/>
  <c r="CT325" i="79" s="1"/>
  <c r="AX133" i="79"/>
  <c r="AX135" i="79" s="1"/>
  <c r="AX161" i="79" s="1"/>
  <c r="AX167" i="79" s="1"/>
  <c r="AX325" i="79" s="1"/>
  <c r="BV133" i="79"/>
  <c r="BV135" i="79" s="1"/>
  <c r="BV161" i="79" s="1"/>
  <c r="BV167" i="79" s="1"/>
  <c r="BV325" i="79" s="1"/>
  <c r="Z133" i="79"/>
  <c r="Z135" i="79" s="1"/>
  <c r="Z161" i="79" s="1"/>
  <c r="Z167" i="79" s="1"/>
  <c r="Z325" i="79" s="1"/>
  <c r="DZ133" i="80"/>
  <c r="DZ135" i="80" s="1"/>
  <c r="DZ161" i="80" s="1"/>
  <c r="DZ167" i="80" s="1"/>
  <c r="DZ325" i="80" s="1"/>
  <c r="AH133" i="79"/>
  <c r="AH135" i="79" s="1"/>
  <c r="AH161" i="79" s="1"/>
  <c r="AH167" i="79" s="1"/>
  <c r="AH325" i="79" s="1"/>
  <c r="Z133" i="80"/>
  <c r="Z135" i="80" s="1"/>
  <c r="Z161" i="80" s="1"/>
  <c r="Z167" i="80" s="1"/>
  <c r="Z325" i="80" s="1"/>
  <c r="P334" i="80"/>
  <c r="P339" i="80" s="1"/>
  <c r="AP133" i="79"/>
  <c r="AP135" i="79" s="1"/>
  <c r="AP161" i="79" s="1"/>
  <c r="AP167" i="79" s="1"/>
  <c r="AP325" i="79" s="1"/>
  <c r="EP133" i="79"/>
  <c r="EP135" i="79" s="1"/>
  <c r="EP161" i="79" s="1"/>
  <c r="EP167" i="79" s="1"/>
  <c r="EP325" i="79" s="1"/>
  <c r="EH133" i="80"/>
  <c r="EH135" i="80" s="1"/>
  <c r="EH161" i="80" s="1"/>
  <c r="EH167" i="80" s="1"/>
  <c r="EH325" i="80" s="1"/>
  <c r="EH133" i="79"/>
  <c r="EH135" i="79" s="1"/>
  <c r="EH161" i="79" s="1"/>
  <c r="EH167" i="79" s="1"/>
  <c r="EH325" i="79" s="1"/>
  <c r="EN334" i="80"/>
  <c r="EN339" i="80" s="1"/>
  <c r="DB133" i="80"/>
  <c r="DB135" i="80" s="1"/>
  <c r="DB161" i="80" s="1"/>
  <c r="DB167" i="80" s="1"/>
  <c r="DB325" i="80" s="1"/>
  <c r="BF133" i="80"/>
  <c r="BF135" i="80" s="1"/>
  <c r="BF161" i="80" s="1"/>
  <c r="BF167" i="80" s="1"/>
  <c r="BF325" i="80" s="1"/>
  <c r="FF133" i="79"/>
  <c r="FF135" i="79" s="1"/>
  <c r="FF161" i="79" s="1"/>
  <c r="FF167" i="79" s="1"/>
  <c r="FF325" i="79" s="1"/>
  <c r="FN133" i="80"/>
  <c r="FN135" i="80" s="1"/>
  <c r="FN161" i="80" s="1"/>
  <c r="FN167" i="80" s="1"/>
  <c r="FN325" i="80" s="1"/>
  <c r="BT334" i="80"/>
  <c r="BT339" i="80" s="1"/>
  <c r="BD334" i="79"/>
  <c r="BD339" i="79" s="1"/>
  <c r="AP133" i="80"/>
  <c r="AP135" i="80" s="1"/>
  <c r="AP161" i="80" s="1"/>
  <c r="AP167" i="80" s="1"/>
  <c r="AP325" i="80" s="1"/>
  <c r="CB334" i="80"/>
  <c r="CB339" i="80" s="1"/>
  <c r="AH133" i="80"/>
  <c r="AH135" i="80" s="1"/>
  <c r="AH161" i="80" s="1"/>
  <c r="AH167" i="80" s="1"/>
  <c r="AH325" i="80" s="1"/>
  <c r="EX133" i="79"/>
  <c r="EX135" i="79" s="1"/>
  <c r="EX161" i="79" s="1"/>
  <c r="EX167" i="79" s="1"/>
  <c r="EX325" i="79" s="1"/>
  <c r="DR133" i="80"/>
  <c r="DR135" i="80" s="1"/>
  <c r="DR161" i="80" s="1"/>
  <c r="DR167" i="80" s="1"/>
  <c r="DR325" i="80" s="1"/>
  <c r="CL133" i="80"/>
  <c r="CL135" i="80" s="1"/>
  <c r="CL161" i="80" s="1"/>
  <c r="CL167" i="80" s="1"/>
  <c r="CL325" i="80" s="1"/>
  <c r="EP133" i="80"/>
  <c r="EP135" i="80" s="1"/>
  <c r="EP161" i="80" s="1"/>
  <c r="EP167" i="80" s="1"/>
  <c r="EP325" i="80" s="1"/>
  <c r="CZ334" i="79"/>
  <c r="CZ339" i="79" s="1"/>
  <c r="DP334" i="79"/>
  <c r="DP339" i="79" s="1"/>
  <c r="DH334" i="79"/>
  <c r="DH339" i="79" s="1"/>
  <c r="DX334" i="80"/>
  <c r="DX339" i="80" s="1"/>
  <c r="CZ334" i="80"/>
  <c r="CZ339" i="80" s="1"/>
  <c r="DP334" i="80"/>
  <c r="DP339" i="80" s="1"/>
  <c r="AV334" i="80"/>
  <c r="AV339" i="80" s="1"/>
  <c r="DJ133" i="80"/>
  <c r="DJ135" i="80" s="1"/>
  <c r="DJ161" i="80" s="1"/>
  <c r="DJ167" i="80" s="1"/>
  <c r="DJ325" i="80" s="1"/>
  <c r="BN133" i="80"/>
  <c r="BN135" i="80" s="1"/>
  <c r="BN161" i="80" s="1"/>
  <c r="BN167" i="80" s="1"/>
  <c r="BN325" i="80" s="1"/>
  <c r="CD133" i="79"/>
  <c r="CD135" i="79" s="1"/>
  <c r="CD161" i="79" s="1"/>
  <c r="CD167" i="79" s="1"/>
  <c r="CD325" i="79" s="1"/>
  <c r="EV334" i="80"/>
  <c r="EV339" i="80" s="1"/>
  <c r="R133" i="79"/>
  <c r="R135" i="79" s="1"/>
  <c r="R161" i="79" s="1"/>
  <c r="R167" i="79" s="1"/>
  <c r="R325" i="79" s="1"/>
  <c r="CD133" i="80"/>
  <c r="CD135" i="80" s="1"/>
  <c r="CD161" i="80" s="1"/>
  <c r="CD167" i="80" s="1"/>
  <c r="CD325" i="80" s="1"/>
  <c r="EX133" i="80"/>
  <c r="EX135" i="80" s="1"/>
  <c r="EX161" i="80" s="1"/>
  <c r="EX167" i="80" s="1"/>
  <c r="EX325" i="80" s="1"/>
  <c r="DZ133" i="79"/>
  <c r="DZ135" i="79" s="1"/>
  <c r="DZ161" i="79" s="1"/>
  <c r="DZ167" i="79" s="1"/>
  <c r="DZ325" i="79" s="1"/>
  <c r="FF133" i="80"/>
  <c r="FF135" i="80" s="1"/>
  <c r="FF161" i="80" s="1"/>
  <c r="FF167" i="80" s="1"/>
  <c r="FF325" i="80" s="1"/>
  <c r="FL334" i="80"/>
  <c r="FL339" i="80" s="1"/>
  <c r="AF334" i="80"/>
  <c r="AF339" i="80" s="1"/>
  <c r="X334" i="80"/>
  <c r="X339" i="80" s="1"/>
  <c r="CB334" i="79"/>
  <c r="CB339" i="79" s="1"/>
  <c r="EV334" i="79"/>
  <c r="EV339" i="79" s="1"/>
  <c r="BT334" i="79"/>
  <c r="BT339" i="79" s="1"/>
  <c r="X334" i="79"/>
  <c r="X339" i="79" s="1"/>
  <c r="AF334" i="79"/>
  <c r="AF339" i="79" s="1"/>
  <c r="BL334" i="79"/>
  <c r="BL339" i="79" s="1"/>
  <c r="CJ334" i="80"/>
  <c r="CJ339" i="80" s="1"/>
  <c r="AV334" i="79"/>
  <c r="AV339" i="79" s="1"/>
  <c r="BD334" i="80"/>
  <c r="BD339" i="80" s="1"/>
  <c r="FD334" i="79"/>
  <c r="FD339" i="79" s="1"/>
  <c r="EF334" i="80"/>
  <c r="EF339" i="80" s="1"/>
  <c r="P334" i="79"/>
  <c r="P339" i="79" s="1"/>
  <c r="FD334" i="80"/>
  <c r="FD339" i="80" s="1"/>
  <c r="EN334" i="79"/>
  <c r="EN339" i="79" s="1"/>
  <c r="BL334" i="80"/>
  <c r="BL339" i="80" s="1"/>
  <c r="CJ334" i="79"/>
  <c r="CJ339" i="79" s="1"/>
  <c r="DX334" i="79"/>
  <c r="DX339" i="79" s="1"/>
  <c r="DH334" i="80"/>
  <c r="DH339" i="80" s="1"/>
  <c r="AN334" i="79"/>
  <c r="AN339" i="79" s="1"/>
  <c r="EF334" i="79"/>
  <c r="EF339" i="79" s="1"/>
  <c r="AN334" i="80"/>
  <c r="AN339" i="80" s="1"/>
  <c r="CR334" i="79"/>
  <c r="CR339" i="79" s="1"/>
  <c r="FE253" i="79"/>
  <c r="FM253" i="79"/>
  <c r="Y253" i="79"/>
  <c r="EO253" i="79"/>
  <c r="DY253" i="79"/>
  <c r="DI253" i="79"/>
  <c r="BM253" i="79"/>
  <c r="CK253" i="79"/>
  <c r="AO253" i="79"/>
  <c r="Q253" i="79"/>
  <c r="I257" i="79"/>
  <c r="I260" i="79" s="1"/>
  <c r="I322" i="79" s="1"/>
  <c r="I334" i="79" s="1"/>
  <c r="H340" i="79" s="1"/>
  <c r="BE253" i="79"/>
  <c r="CC253" i="79"/>
  <c r="CS253" i="79"/>
  <c r="DA253" i="79"/>
  <c r="EW253" i="79"/>
  <c r="AG253" i="79"/>
  <c r="AW253" i="79"/>
  <c r="BU253" i="79"/>
  <c r="DQ253" i="79"/>
  <c r="EG253" i="79"/>
  <c r="AX133" i="80"/>
  <c r="AX135" i="80" s="1"/>
  <c r="AX161" i="80" s="1"/>
  <c r="AX167" i="80" s="1"/>
  <c r="AX325" i="80" s="1"/>
  <c r="CL133" i="79"/>
  <c r="CL135" i="79" s="1"/>
  <c r="CL161" i="79" s="1"/>
  <c r="CL167" i="79" s="1"/>
  <c r="CL325" i="79" s="1"/>
  <c r="DJ133" i="79"/>
  <c r="DJ135" i="79" s="1"/>
  <c r="DJ161" i="79" s="1"/>
  <c r="DJ167" i="79" s="1"/>
  <c r="DJ325" i="79" s="1"/>
  <c r="CR334" i="80"/>
  <c r="CR339" i="80" s="1"/>
  <c r="FL334" i="79"/>
  <c r="FL339" i="79" s="1"/>
  <c r="I257" i="85"/>
  <c r="CT133" i="80"/>
  <c r="CT135" i="80" s="1"/>
  <c r="CT161" i="80" s="1"/>
  <c r="CT167" i="80" s="1"/>
  <c r="CT325" i="80" s="1"/>
  <c r="FN133" i="79"/>
  <c r="FN135" i="79" s="1"/>
  <c r="FN161" i="79" s="1"/>
  <c r="FN167" i="79" s="1"/>
  <c r="FN325" i="79" s="1"/>
  <c r="DR133" i="79"/>
  <c r="DR135" i="79" s="1"/>
  <c r="DR161" i="79" s="1"/>
  <c r="DR167" i="79" s="1"/>
  <c r="DR325" i="79" s="1"/>
  <c r="BV133" i="80"/>
  <c r="BV135" i="80" s="1"/>
  <c r="BV161" i="80" s="1"/>
  <c r="BV167" i="80" s="1"/>
  <c r="BV325" i="80" s="1"/>
  <c r="Y253" i="80"/>
  <c r="DQ253" i="80"/>
  <c r="AG253" i="80"/>
  <c r="DY253" i="80"/>
  <c r="BE253" i="80"/>
  <c r="Q253" i="80"/>
  <c r="I257" i="80"/>
  <c r="I260" i="80" s="1"/>
  <c r="I322" i="80" s="1"/>
  <c r="I334" i="80" s="1"/>
  <c r="H340" i="80" s="1"/>
  <c r="BM253" i="80"/>
  <c r="BU253" i="80"/>
  <c r="CC253" i="80"/>
  <c r="DA253" i="80"/>
  <c r="EW253" i="80"/>
  <c r="AW253" i="80"/>
  <c r="AO253" i="80"/>
  <c r="DI253" i="80"/>
  <c r="CK253" i="80"/>
  <c r="FM253" i="80"/>
  <c r="FE253" i="80"/>
  <c r="EO253" i="80"/>
  <c r="CS253" i="80"/>
  <c r="EG253" i="80"/>
  <c r="DB133" i="79"/>
  <c r="DB135" i="79" s="1"/>
  <c r="DB161" i="79" s="1"/>
  <c r="DB167" i="79" s="1"/>
  <c r="DB325" i="79" s="1"/>
  <c r="C25" i="7"/>
  <c r="G334" i="85" s="1"/>
  <c r="G325" i="85"/>
  <c r="D25" i="7"/>
  <c r="H322" i="85"/>
  <c r="AG257" i="80" l="1"/>
  <c r="AG260" i="80" s="1"/>
  <c r="AG322" i="80" s="1"/>
  <c r="AG334" i="80" s="1"/>
  <c r="AF340" i="80" s="1"/>
  <c r="AH253" i="80"/>
  <c r="AH257" i="80" s="1"/>
  <c r="AH260" i="80" s="1"/>
  <c r="AH322" i="80" s="1"/>
  <c r="AH334" i="80" s="1"/>
  <c r="EG257" i="79"/>
  <c r="EG260" i="79" s="1"/>
  <c r="EG322" i="79" s="1"/>
  <c r="EG334" i="79" s="1"/>
  <c r="EF340" i="79" s="1"/>
  <c r="EH253" i="79"/>
  <c r="EH257" i="79" s="1"/>
  <c r="EH260" i="79" s="1"/>
  <c r="EH322" i="79" s="1"/>
  <c r="EH334" i="79" s="1"/>
  <c r="DQ257" i="80"/>
  <c r="DQ260" i="80" s="1"/>
  <c r="DQ322" i="80" s="1"/>
  <c r="DQ334" i="80" s="1"/>
  <c r="DP340" i="80" s="1"/>
  <c r="DR253" i="80"/>
  <c r="DR257" i="80" s="1"/>
  <c r="DR260" i="80" s="1"/>
  <c r="DR322" i="80" s="1"/>
  <c r="DR334" i="80" s="1"/>
  <c r="DQ257" i="79"/>
  <c r="DQ260" i="79" s="1"/>
  <c r="DQ322" i="79" s="1"/>
  <c r="DQ334" i="79" s="1"/>
  <c r="DP340" i="79" s="1"/>
  <c r="DR253" i="79"/>
  <c r="DR257" i="79" s="1"/>
  <c r="DR260" i="79" s="1"/>
  <c r="DR322" i="79" s="1"/>
  <c r="DR334" i="79" s="1"/>
  <c r="Y257" i="80"/>
  <c r="Y260" i="80" s="1"/>
  <c r="Y322" i="80" s="1"/>
  <c r="Y334" i="80" s="1"/>
  <c r="X340" i="80" s="1"/>
  <c r="Z253" i="80"/>
  <c r="Z257" i="80" s="1"/>
  <c r="Z260" i="80" s="1"/>
  <c r="Z322" i="80" s="1"/>
  <c r="Z334" i="80" s="1"/>
  <c r="CK257" i="80"/>
  <c r="CK260" i="80" s="1"/>
  <c r="CK322" i="80" s="1"/>
  <c r="CK334" i="80" s="1"/>
  <c r="CJ340" i="80" s="1"/>
  <c r="CL253" i="80"/>
  <c r="CL257" i="80" s="1"/>
  <c r="CL260" i="80" s="1"/>
  <c r="CL322" i="80" s="1"/>
  <c r="CL334" i="80" s="1"/>
  <c r="AW257" i="79"/>
  <c r="AW260" i="79" s="1"/>
  <c r="AW322" i="79" s="1"/>
  <c r="AW334" i="79" s="1"/>
  <c r="AV340" i="79" s="1"/>
  <c r="AX253" i="79"/>
  <c r="AX257" i="79" s="1"/>
  <c r="AX260" i="79" s="1"/>
  <c r="AX322" i="79" s="1"/>
  <c r="AX334" i="79" s="1"/>
  <c r="Q257" i="79"/>
  <c r="Q260" i="79" s="1"/>
  <c r="Q322" i="79" s="1"/>
  <c r="Q334" i="79" s="1"/>
  <c r="P340" i="79" s="1"/>
  <c r="R253" i="79"/>
  <c r="R257" i="79" s="1"/>
  <c r="R260" i="79" s="1"/>
  <c r="R322" i="79" s="1"/>
  <c r="R334" i="79" s="1"/>
  <c r="FM257" i="79"/>
  <c r="FM260" i="79" s="1"/>
  <c r="FM322" i="79" s="1"/>
  <c r="FM334" i="79" s="1"/>
  <c r="FL340" i="79" s="1"/>
  <c r="FN253" i="79"/>
  <c r="FN257" i="79" s="1"/>
  <c r="FN260" i="79" s="1"/>
  <c r="FN322" i="79" s="1"/>
  <c r="FN334" i="79" s="1"/>
  <c r="AG257" i="79"/>
  <c r="AG260" i="79" s="1"/>
  <c r="AG322" i="79" s="1"/>
  <c r="AG334" i="79" s="1"/>
  <c r="AF340" i="79" s="1"/>
  <c r="AH253" i="79"/>
  <c r="AH257" i="79" s="1"/>
  <c r="AH260" i="79" s="1"/>
  <c r="AH322" i="79" s="1"/>
  <c r="AH334" i="79" s="1"/>
  <c r="AO257" i="79"/>
  <c r="AO260" i="79" s="1"/>
  <c r="AO322" i="79" s="1"/>
  <c r="AO334" i="79" s="1"/>
  <c r="AN340" i="79" s="1"/>
  <c r="AP253" i="79"/>
  <c r="AP257" i="79" s="1"/>
  <c r="AP260" i="79" s="1"/>
  <c r="AP322" i="79" s="1"/>
  <c r="AP334" i="79" s="1"/>
  <c r="FE257" i="79"/>
  <c r="FE260" i="79" s="1"/>
  <c r="FE322" i="79" s="1"/>
  <c r="FE334" i="79" s="1"/>
  <c r="FD340" i="79" s="1"/>
  <c r="FF253" i="79"/>
  <c r="FF257" i="79" s="1"/>
  <c r="FF260" i="79" s="1"/>
  <c r="FF322" i="79" s="1"/>
  <c r="FF334" i="79" s="1"/>
  <c r="FE257" i="80"/>
  <c r="FE260" i="80" s="1"/>
  <c r="FE322" i="80" s="1"/>
  <c r="FE334" i="80" s="1"/>
  <c r="FD340" i="80" s="1"/>
  <c r="FF253" i="80"/>
  <c r="FF257" i="80" s="1"/>
  <c r="FF260" i="80" s="1"/>
  <c r="FF322" i="80" s="1"/>
  <c r="FF334" i="80" s="1"/>
  <c r="FM257" i="80"/>
  <c r="FM260" i="80" s="1"/>
  <c r="FM322" i="80" s="1"/>
  <c r="FM334" i="80" s="1"/>
  <c r="FL340" i="80" s="1"/>
  <c r="FN253" i="80"/>
  <c r="FN257" i="80" s="1"/>
  <c r="FN260" i="80" s="1"/>
  <c r="FN322" i="80" s="1"/>
  <c r="FN334" i="80" s="1"/>
  <c r="BM257" i="80"/>
  <c r="BM260" i="80" s="1"/>
  <c r="BM322" i="80" s="1"/>
  <c r="BM334" i="80" s="1"/>
  <c r="BL340" i="80" s="1"/>
  <c r="BN253" i="80"/>
  <c r="BN257" i="80" s="1"/>
  <c r="BN260" i="80" s="1"/>
  <c r="BN322" i="80" s="1"/>
  <c r="BN334" i="80" s="1"/>
  <c r="AO257" i="80"/>
  <c r="AO260" i="80" s="1"/>
  <c r="AO322" i="80" s="1"/>
  <c r="AO334" i="80" s="1"/>
  <c r="AN340" i="80" s="1"/>
  <c r="AP253" i="80"/>
  <c r="AP257" i="80" s="1"/>
  <c r="AP260" i="80" s="1"/>
  <c r="AP322" i="80" s="1"/>
  <c r="AP334" i="80" s="1"/>
  <c r="EW257" i="79"/>
  <c r="EW260" i="79" s="1"/>
  <c r="EW322" i="79" s="1"/>
  <c r="EW334" i="79" s="1"/>
  <c r="EV340" i="79" s="1"/>
  <c r="EX253" i="79"/>
  <c r="EX257" i="79" s="1"/>
  <c r="EX260" i="79" s="1"/>
  <c r="EX322" i="79" s="1"/>
  <c r="EX334" i="79" s="1"/>
  <c r="EO257" i="80"/>
  <c r="EO260" i="80" s="1"/>
  <c r="EO322" i="80" s="1"/>
  <c r="EO334" i="80" s="1"/>
  <c r="EN340" i="80" s="1"/>
  <c r="EP253" i="80"/>
  <c r="EP257" i="80" s="1"/>
  <c r="EP260" i="80" s="1"/>
  <c r="EP322" i="80" s="1"/>
  <c r="EP334" i="80" s="1"/>
  <c r="DY257" i="79"/>
  <c r="DY260" i="79" s="1"/>
  <c r="DY322" i="79" s="1"/>
  <c r="DY334" i="79" s="1"/>
  <c r="DX340" i="79" s="1"/>
  <c r="DZ253" i="79"/>
  <c r="DZ257" i="79" s="1"/>
  <c r="DZ260" i="79" s="1"/>
  <c r="DZ322" i="79" s="1"/>
  <c r="DZ334" i="79" s="1"/>
  <c r="CC257" i="80"/>
  <c r="CC260" i="80" s="1"/>
  <c r="CC322" i="80" s="1"/>
  <c r="CC334" i="80" s="1"/>
  <c r="CB340" i="80" s="1"/>
  <c r="CD253" i="80"/>
  <c r="CD257" i="80" s="1"/>
  <c r="CD260" i="80" s="1"/>
  <c r="CD322" i="80" s="1"/>
  <c r="CD334" i="80" s="1"/>
  <c r="EO257" i="79"/>
  <c r="EO260" i="79" s="1"/>
  <c r="EO322" i="79" s="1"/>
  <c r="EO334" i="79" s="1"/>
  <c r="EN340" i="79" s="1"/>
  <c r="EP253" i="79"/>
  <c r="EP257" i="79" s="1"/>
  <c r="EP260" i="79" s="1"/>
  <c r="EP322" i="79" s="1"/>
  <c r="EP334" i="79" s="1"/>
  <c r="BU257" i="80"/>
  <c r="BU260" i="80" s="1"/>
  <c r="BU322" i="80" s="1"/>
  <c r="BU334" i="80" s="1"/>
  <c r="BT340" i="80" s="1"/>
  <c r="BV253" i="80"/>
  <c r="BV257" i="80" s="1"/>
  <c r="BV260" i="80" s="1"/>
  <c r="BV322" i="80" s="1"/>
  <c r="BV334" i="80" s="1"/>
  <c r="BU257" i="79"/>
  <c r="BU260" i="79" s="1"/>
  <c r="BU322" i="79" s="1"/>
  <c r="BU334" i="79" s="1"/>
  <c r="BT340" i="79" s="1"/>
  <c r="BV253" i="79"/>
  <c r="BV257" i="79" s="1"/>
  <c r="BV260" i="79" s="1"/>
  <c r="BV322" i="79" s="1"/>
  <c r="BV334" i="79" s="1"/>
  <c r="DI257" i="80"/>
  <c r="DI260" i="80" s="1"/>
  <c r="DI322" i="80" s="1"/>
  <c r="DI334" i="80" s="1"/>
  <c r="DH340" i="80" s="1"/>
  <c r="DJ253" i="80"/>
  <c r="DJ257" i="80" s="1"/>
  <c r="DJ260" i="80" s="1"/>
  <c r="DJ322" i="80" s="1"/>
  <c r="DJ334" i="80" s="1"/>
  <c r="I260" i="85"/>
  <c r="E13" i="7"/>
  <c r="AW257" i="80"/>
  <c r="AW260" i="80" s="1"/>
  <c r="AW322" i="80" s="1"/>
  <c r="AW334" i="80" s="1"/>
  <c r="AV340" i="80" s="1"/>
  <c r="AX253" i="80"/>
  <c r="AX257" i="80" s="1"/>
  <c r="AX260" i="80" s="1"/>
  <c r="AX322" i="80" s="1"/>
  <c r="AX334" i="80" s="1"/>
  <c r="DA257" i="79"/>
  <c r="DA260" i="79" s="1"/>
  <c r="DA322" i="79" s="1"/>
  <c r="DA334" i="79" s="1"/>
  <c r="CZ340" i="79" s="1"/>
  <c r="DB253" i="79"/>
  <c r="DB257" i="79" s="1"/>
  <c r="DB260" i="79" s="1"/>
  <c r="DB322" i="79" s="1"/>
  <c r="DB334" i="79" s="1"/>
  <c r="BM257" i="79"/>
  <c r="BM260" i="79" s="1"/>
  <c r="BM322" i="79" s="1"/>
  <c r="BM334" i="79" s="1"/>
  <c r="BL340" i="79" s="1"/>
  <c r="BN253" i="79"/>
  <c r="BN257" i="79" s="1"/>
  <c r="BN260" i="79" s="1"/>
  <c r="BN322" i="79" s="1"/>
  <c r="BN334" i="79" s="1"/>
  <c r="DA257" i="80"/>
  <c r="DA260" i="80" s="1"/>
  <c r="DA322" i="80" s="1"/>
  <c r="DA334" i="80" s="1"/>
  <c r="CZ340" i="80" s="1"/>
  <c r="DB253" i="80"/>
  <c r="DB257" i="80" s="1"/>
  <c r="DB260" i="80" s="1"/>
  <c r="DB322" i="80" s="1"/>
  <c r="DB334" i="80" s="1"/>
  <c r="CC257" i="79"/>
  <c r="CC260" i="79" s="1"/>
  <c r="CC322" i="79" s="1"/>
  <c r="CC334" i="79" s="1"/>
  <c r="CB340" i="79" s="1"/>
  <c r="CD253" i="79"/>
  <c r="CD257" i="79" s="1"/>
  <c r="CD260" i="79" s="1"/>
  <c r="CD322" i="79" s="1"/>
  <c r="CD334" i="79" s="1"/>
  <c r="BE257" i="79"/>
  <c r="BE260" i="79" s="1"/>
  <c r="BE322" i="79" s="1"/>
  <c r="BE334" i="79" s="1"/>
  <c r="BD340" i="79" s="1"/>
  <c r="BF253" i="79"/>
  <c r="BF257" i="79" s="1"/>
  <c r="BF260" i="79" s="1"/>
  <c r="BF322" i="79" s="1"/>
  <c r="BF334" i="79" s="1"/>
  <c r="Y257" i="79"/>
  <c r="Y260" i="79" s="1"/>
  <c r="Y322" i="79" s="1"/>
  <c r="Y334" i="79" s="1"/>
  <c r="X340" i="79" s="1"/>
  <c r="Z253" i="79"/>
  <c r="Z257" i="79" s="1"/>
  <c r="Z260" i="79" s="1"/>
  <c r="Z322" i="79" s="1"/>
  <c r="Z334" i="79" s="1"/>
  <c r="Q257" i="80"/>
  <c r="Q260" i="80" s="1"/>
  <c r="Q322" i="80" s="1"/>
  <c r="Q334" i="80" s="1"/>
  <c r="P340" i="80" s="1"/>
  <c r="R253" i="80"/>
  <c r="R257" i="80" s="1"/>
  <c r="R260" i="80" s="1"/>
  <c r="R322" i="80" s="1"/>
  <c r="R334" i="80" s="1"/>
  <c r="CK257" i="79"/>
  <c r="CK260" i="79" s="1"/>
  <c r="CK322" i="79" s="1"/>
  <c r="CK334" i="79" s="1"/>
  <c r="CJ340" i="79" s="1"/>
  <c r="CL253" i="79"/>
  <c r="CL257" i="79" s="1"/>
  <c r="CL260" i="79" s="1"/>
  <c r="CL322" i="79" s="1"/>
  <c r="CL334" i="79" s="1"/>
  <c r="EG257" i="80"/>
  <c r="EG260" i="80" s="1"/>
  <c r="EG322" i="80" s="1"/>
  <c r="EG334" i="80" s="1"/>
  <c r="EF340" i="80" s="1"/>
  <c r="EH253" i="80"/>
  <c r="EH257" i="80" s="1"/>
  <c r="EH260" i="80" s="1"/>
  <c r="EH322" i="80" s="1"/>
  <c r="EH334" i="80" s="1"/>
  <c r="BE257" i="80"/>
  <c r="BE260" i="80" s="1"/>
  <c r="BE322" i="80" s="1"/>
  <c r="BE334" i="80" s="1"/>
  <c r="BD340" i="80" s="1"/>
  <c r="BF253" i="80"/>
  <c r="BF257" i="80" s="1"/>
  <c r="BF260" i="80" s="1"/>
  <c r="BF322" i="80" s="1"/>
  <c r="BF334" i="80" s="1"/>
  <c r="CS257" i="80"/>
  <c r="CS260" i="80" s="1"/>
  <c r="CS322" i="80" s="1"/>
  <c r="CS334" i="80" s="1"/>
  <c r="CR340" i="80" s="1"/>
  <c r="CT253" i="80"/>
  <c r="CT257" i="80" s="1"/>
  <c r="CT260" i="80" s="1"/>
  <c r="CT322" i="80" s="1"/>
  <c r="CT334" i="80" s="1"/>
  <c r="EW257" i="80"/>
  <c r="EW260" i="80" s="1"/>
  <c r="EW322" i="80" s="1"/>
  <c r="EW334" i="80" s="1"/>
  <c r="EV340" i="80" s="1"/>
  <c r="EX253" i="80"/>
  <c r="EX257" i="80" s="1"/>
  <c r="EX260" i="80" s="1"/>
  <c r="EX322" i="80" s="1"/>
  <c r="EX334" i="80" s="1"/>
  <c r="DY257" i="80"/>
  <c r="DY260" i="80" s="1"/>
  <c r="DY322" i="80" s="1"/>
  <c r="DY334" i="80" s="1"/>
  <c r="DX340" i="80" s="1"/>
  <c r="DZ253" i="80"/>
  <c r="DZ257" i="80" s="1"/>
  <c r="DZ260" i="80" s="1"/>
  <c r="DZ322" i="80" s="1"/>
  <c r="DZ334" i="80" s="1"/>
  <c r="CS257" i="79"/>
  <c r="CS260" i="79" s="1"/>
  <c r="CS322" i="79" s="1"/>
  <c r="CS334" i="79" s="1"/>
  <c r="CR340" i="79" s="1"/>
  <c r="CT253" i="79"/>
  <c r="CT257" i="79" s="1"/>
  <c r="CT260" i="79" s="1"/>
  <c r="CT322" i="79" s="1"/>
  <c r="CT334" i="79" s="1"/>
  <c r="DI257" i="79"/>
  <c r="DI260" i="79" s="1"/>
  <c r="DI322" i="79" s="1"/>
  <c r="DI334" i="79" s="1"/>
  <c r="DH340" i="79" s="1"/>
  <c r="DJ253" i="79"/>
  <c r="DJ257" i="79" s="1"/>
  <c r="DJ260" i="79" s="1"/>
  <c r="DJ322" i="79" s="1"/>
  <c r="DJ334" i="79" s="1"/>
  <c r="J32" i="7"/>
  <c r="K32" i="7"/>
  <c r="H334" i="85"/>
  <c r="H32" i="7"/>
  <c r="D32" i="7"/>
  <c r="I32" i="7"/>
  <c r="E25" i="7" l="1"/>
  <c r="I322" i="85"/>
  <c r="H339" i="85"/>
  <c r="H33" i="7" l="1"/>
  <c r="H36" i="7" s="1"/>
  <c r="H46" i="7" s="1"/>
  <c r="K33" i="7"/>
  <c r="D33" i="7"/>
  <c r="AA46" i="177" s="1"/>
  <c r="AA47" i="177" s="1"/>
  <c r="J33" i="7"/>
  <c r="I33" i="7"/>
  <c r="I334" i="85"/>
  <c r="AA46" i="83" l="1"/>
  <c r="H340" i="85"/>
  <c r="AA47" i="83" l="1"/>
  <c r="F35" i="7"/>
  <c r="F34" i="7"/>
  <c r="K34" i="7" l="1"/>
  <c r="I34" i="7"/>
  <c r="I36" i="7" s="1"/>
  <c r="I46" i="7" s="1"/>
  <c r="D43" i="7" s="1"/>
  <c r="H350" i="85" s="1"/>
  <c r="J35" i="7"/>
  <c r="J36" i="7" s="1"/>
  <c r="J46" i="7" s="1"/>
  <c r="D40" i="7" s="1"/>
  <c r="K35" i="7"/>
  <c r="D35" i="7" l="1"/>
  <c r="H342" i="85" s="1"/>
  <c r="H346" i="80"/>
  <c r="H346" i="79"/>
  <c r="D41" i="7"/>
  <c r="H347" i="85"/>
  <c r="D34" i="7"/>
  <c r="K36" i="7"/>
  <c r="K46" i="7" s="1"/>
  <c r="H348" i="85" l="1"/>
  <c r="D44" i="7"/>
  <c r="H341" i="79"/>
  <c r="H341" i="85"/>
  <c r="H341" i="80"/>
  <c r="D36" i="7"/>
  <c r="H343" i="85" s="1"/>
  <c r="M183" i="90" s="1"/>
  <c r="H347" i="79"/>
  <c r="H349" i="79" s="1"/>
  <c r="CB346" i="79"/>
  <c r="CB347" i="79" s="1"/>
  <c r="CB349" i="79" s="1"/>
  <c r="CZ346" i="79"/>
  <c r="CZ347" i="79" s="1"/>
  <c r="CZ349" i="79" s="1"/>
  <c r="X346" i="79"/>
  <c r="X347" i="79" s="1"/>
  <c r="X349" i="79" s="1"/>
  <c r="DP346" i="79"/>
  <c r="DP347" i="79" s="1"/>
  <c r="DP349" i="79" s="1"/>
  <c r="BT346" i="79"/>
  <c r="BT347" i="79" s="1"/>
  <c r="BT349" i="79" s="1"/>
  <c r="EN346" i="79"/>
  <c r="EN347" i="79" s="1"/>
  <c r="EN349" i="79" s="1"/>
  <c r="CR346" i="79"/>
  <c r="CR347" i="79" s="1"/>
  <c r="CR349" i="79" s="1"/>
  <c r="EF346" i="79"/>
  <c r="EF347" i="79" s="1"/>
  <c r="EF349" i="79" s="1"/>
  <c r="FL346" i="79"/>
  <c r="FL347" i="79" s="1"/>
  <c r="FL349" i="79" s="1"/>
  <c r="AV346" i="79"/>
  <c r="AV347" i="79" s="1"/>
  <c r="AV349" i="79" s="1"/>
  <c r="AN346" i="79"/>
  <c r="AN347" i="79" s="1"/>
  <c r="AN349" i="79" s="1"/>
  <c r="DX346" i="79"/>
  <c r="DX347" i="79" s="1"/>
  <c r="DX349" i="79" s="1"/>
  <c r="FD346" i="79"/>
  <c r="FD347" i="79" s="1"/>
  <c r="FD349" i="79" s="1"/>
  <c r="DH346" i="79"/>
  <c r="DH347" i="79" s="1"/>
  <c r="DH349" i="79" s="1"/>
  <c r="BD346" i="79"/>
  <c r="BD347" i="79" s="1"/>
  <c r="BD349" i="79" s="1"/>
  <c r="CJ346" i="79"/>
  <c r="CJ347" i="79" s="1"/>
  <c r="CJ349" i="79" s="1"/>
  <c r="P346" i="79"/>
  <c r="P347" i="79" s="1"/>
  <c r="P349" i="79" s="1"/>
  <c r="AF346" i="79"/>
  <c r="AF347" i="79" s="1"/>
  <c r="AF349" i="79" s="1"/>
  <c r="BL346" i="79"/>
  <c r="BL347" i="79" s="1"/>
  <c r="BL349" i="79" s="1"/>
  <c r="EV346" i="79"/>
  <c r="EV347" i="79" s="1"/>
  <c r="EV349" i="79" s="1"/>
  <c r="BL346" i="80"/>
  <c r="BL347" i="80" s="1"/>
  <c r="BL349" i="80" s="1"/>
  <c r="FD346" i="80"/>
  <c r="FD347" i="80" s="1"/>
  <c r="FD349" i="80" s="1"/>
  <c r="CR346" i="80"/>
  <c r="CR347" i="80" s="1"/>
  <c r="CR349" i="80" s="1"/>
  <c r="EV346" i="80"/>
  <c r="EV347" i="80" s="1"/>
  <c r="EV349" i="80" s="1"/>
  <c r="BD346" i="80"/>
  <c r="BD347" i="80" s="1"/>
  <c r="BD349" i="80" s="1"/>
  <c r="X346" i="80"/>
  <c r="X347" i="80" s="1"/>
  <c r="X349" i="80" s="1"/>
  <c r="FL346" i="80"/>
  <c r="FL347" i="80" s="1"/>
  <c r="FL349" i="80" s="1"/>
  <c r="CJ346" i="80"/>
  <c r="CJ347" i="80" s="1"/>
  <c r="CJ349" i="80" s="1"/>
  <c r="AF346" i="80"/>
  <c r="AF347" i="80" s="1"/>
  <c r="AF349" i="80" s="1"/>
  <c r="DX346" i="80"/>
  <c r="DX347" i="80" s="1"/>
  <c r="DX349" i="80" s="1"/>
  <c r="CZ346" i="80"/>
  <c r="CZ347" i="80" s="1"/>
  <c r="CZ349" i="80" s="1"/>
  <c r="AV346" i="80"/>
  <c r="AV347" i="80" s="1"/>
  <c r="AV349" i="80" s="1"/>
  <c r="DP346" i="80"/>
  <c r="DP347" i="80" s="1"/>
  <c r="DP349" i="80" s="1"/>
  <c r="H347" i="80"/>
  <c r="H349" i="80" s="1"/>
  <c r="AN346" i="80"/>
  <c r="AN347" i="80" s="1"/>
  <c r="AN349" i="80" s="1"/>
  <c r="BT346" i="80"/>
  <c r="BT347" i="80" s="1"/>
  <c r="BT349" i="80" s="1"/>
  <c r="CB346" i="80"/>
  <c r="CB347" i="80" s="1"/>
  <c r="CB349" i="80" s="1"/>
  <c r="EF346" i="80"/>
  <c r="EF347" i="80" s="1"/>
  <c r="EF349" i="80" s="1"/>
  <c r="DH346" i="80"/>
  <c r="DH347" i="80" s="1"/>
  <c r="DH349" i="80" s="1"/>
  <c r="P346" i="80"/>
  <c r="P347" i="80" s="1"/>
  <c r="P349" i="80" s="1"/>
  <c r="EN346" i="80"/>
  <c r="EN347" i="80" s="1"/>
  <c r="EN349" i="80" s="1"/>
  <c r="CR341" i="80" l="1"/>
  <c r="CR342" i="80" s="1"/>
  <c r="CR351" i="80" s="1"/>
  <c r="BT341" i="80"/>
  <c r="BT342" i="80" s="1"/>
  <c r="BT351" i="80" s="1"/>
  <c r="AN341" i="80"/>
  <c r="AN342" i="80" s="1"/>
  <c r="AN351" i="80" s="1"/>
  <c r="CJ341" i="80"/>
  <c r="CJ342" i="80" s="1"/>
  <c r="CJ351" i="80" s="1"/>
  <c r="DH341" i="80"/>
  <c r="DH342" i="80" s="1"/>
  <c r="DH351" i="80" s="1"/>
  <c r="EN341" i="80"/>
  <c r="EN342" i="80" s="1"/>
  <c r="EN351" i="80" s="1"/>
  <c r="X341" i="80"/>
  <c r="X342" i="80" s="1"/>
  <c r="X351" i="80" s="1"/>
  <c r="EV341" i="80"/>
  <c r="EV342" i="80" s="1"/>
  <c r="EV351" i="80" s="1"/>
  <c r="CZ341" i="80"/>
  <c r="CZ342" i="80" s="1"/>
  <c r="CZ351" i="80" s="1"/>
  <c r="AF341" i="80"/>
  <c r="AF342" i="80" s="1"/>
  <c r="AF351" i="80" s="1"/>
  <c r="CB341" i="80"/>
  <c r="CB342" i="80" s="1"/>
  <c r="CB351" i="80" s="1"/>
  <c r="FD341" i="80"/>
  <c r="FD342" i="80" s="1"/>
  <c r="FD351" i="80" s="1"/>
  <c r="P341" i="80"/>
  <c r="P342" i="80" s="1"/>
  <c r="P351" i="80" s="1"/>
  <c r="FL341" i="80"/>
  <c r="FL342" i="80" s="1"/>
  <c r="FL351" i="80" s="1"/>
  <c r="H342" i="80"/>
  <c r="H351" i="80" s="1"/>
  <c r="AV341" i="80"/>
  <c r="AV342" i="80" s="1"/>
  <c r="AV351" i="80" s="1"/>
  <c r="DX341" i="80"/>
  <c r="DX342" i="80" s="1"/>
  <c r="DX351" i="80" s="1"/>
  <c r="DP341" i="80"/>
  <c r="DP342" i="80" s="1"/>
  <c r="DP351" i="80" s="1"/>
  <c r="BL341" i="80"/>
  <c r="BL342" i="80" s="1"/>
  <c r="BL351" i="80" s="1"/>
  <c r="EF341" i="80"/>
  <c r="EF342" i="80" s="1"/>
  <c r="EF351" i="80" s="1"/>
  <c r="BD341" i="80"/>
  <c r="BD342" i="80" s="1"/>
  <c r="BD351" i="80" s="1"/>
  <c r="P341" i="79"/>
  <c r="P342" i="79" s="1"/>
  <c r="P351" i="79" s="1"/>
  <c r="FD341" i="79"/>
  <c r="FD342" i="79" s="1"/>
  <c r="FD351" i="79" s="1"/>
  <c r="BD341" i="79"/>
  <c r="BD342" i="79" s="1"/>
  <c r="BD351" i="79" s="1"/>
  <c r="X341" i="79"/>
  <c r="X342" i="79" s="1"/>
  <c r="X351" i="79" s="1"/>
  <c r="FL341" i="79"/>
  <c r="FL342" i="79" s="1"/>
  <c r="FL351" i="79" s="1"/>
  <c r="EF341" i="79"/>
  <c r="EF342" i="79" s="1"/>
  <c r="EF351" i="79" s="1"/>
  <c r="AF341" i="79"/>
  <c r="AF342" i="79" s="1"/>
  <c r="AF351" i="79" s="1"/>
  <c r="CB341" i="79"/>
  <c r="CB342" i="79" s="1"/>
  <c r="CB351" i="79" s="1"/>
  <c r="H342" i="79"/>
  <c r="H351" i="79" s="1"/>
  <c r="DP341" i="79"/>
  <c r="DP342" i="79" s="1"/>
  <c r="DP351" i="79" s="1"/>
  <c r="EV341" i="79"/>
  <c r="EV342" i="79" s="1"/>
  <c r="EV351" i="79" s="1"/>
  <c r="CJ341" i="79"/>
  <c r="CJ342" i="79" s="1"/>
  <c r="CJ351" i="79" s="1"/>
  <c r="AV341" i="79"/>
  <c r="AV342" i="79" s="1"/>
  <c r="AV351" i="79" s="1"/>
  <c r="EN341" i="79"/>
  <c r="EN342" i="79" s="1"/>
  <c r="EN351" i="79" s="1"/>
  <c r="BL341" i="79"/>
  <c r="BL342" i="79" s="1"/>
  <c r="BL351" i="79" s="1"/>
  <c r="AN341" i="79"/>
  <c r="AN342" i="79" s="1"/>
  <c r="AN351" i="79" s="1"/>
  <c r="CZ341" i="79"/>
  <c r="CZ342" i="79" s="1"/>
  <c r="CZ351" i="79" s="1"/>
  <c r="DH341" i="79"/>
  <c r="DH342" i="79" s="1"/>
  <c r="DH351" i="79" s="1"/>
  <c r="BT341" i="79"/>
  <c r="BT342" i="79" s="1"/>
  <c r="BT351" i="79" s="1"/>
  <c r="DX341" i="79"/>
  <c r="DX342" i="79" s="1"/>
  <c r="DX351" i="79" s="1"/>
  <c r="CR341" i="79"/>
  <c r="CR342" i="79" s="1"/>
  <c r="CR351" i="79" s="1"/>
  <c r="D46" i="7"/>
  <c r="H353" i="85" s="1"/>
  <c r="O185" i="90" s="1"/>
  <c r="H351" i="85"/>
  <c r="N184" i="90" s="1"/>
  <c r="BT352" i="79" l="1"/>
  <c r="BT354" i="79" s="1"/>
  <c r="EV352" i="79"/>
  <c r="EV354" i="79" s="1"/>
  <c r="EV352" i="80"/>
  <c r="EV354" i="80" s="1"/>
  <c r="AV352" i="80"/>
  <c r="AV354" i="80" s="1"/>
  <c r="DP352" i="79"/>
  <c r="DP354" i="79" s="1"/>
  <c r="BD352" i="79"/>
  <c r="BD354" i="79" s="1"/>
  <c r="DH352" i="79"/>
  <c r="DH354" i="79" s="1"/>
  <c r="FD352" i="79"/>
  <c r="FD354" i="79" s="1"/>
  <c r="CZ352" i="79"/>
  <c r="CZ354" i="79" s="1"/>
  <c r="EN352" i="79"/>
  <c r="EN354" i="79" s="1"/>
  <c r="P352" i="79"/>
  <c r="P354" i="79" s="1"/>
  <c r="FL352" i="80"/>
  <c r="FL354" i="80" s="1"/>
  <c r="EN352" i="80"/>
  <c r="EN354" i="80" s="1"/>
  <c r="AN352" i="79"/>
  <c r="AN354" i="79" s="1"/>
  <c r="CB352" i="79"/>
  <c r="CB354" i="79" s="1"/>
  <c r="BD352" i="80"/>
  <c r="BD354" i="80" s="1"/>
  <c r="P352" i="80"/>
  <c r="P354" i="80" s="1"/>
  <c r="DH352" i="80"/>
  <c r="DH354" i="80" s="1"/>
  <c r="BL352" i="79"/>
  <c r="BL354" i="79" s="1"/>
  <c r="AF352" i="79"/>
  <c r="AF354" i="79" s="1"/>
  <c r="EF352" i="80"/>
  <c r="EF354" i="80" s="1"/>
  <c r="FD352" i="80"/>
  <c r="FD354" i="80" s="1"/>
  <c r="CJ352" i="80"/>
  <c r="CJ354" i="80" s="1"/>
  <c r="EF352" i="79"/>
  <c r="EF354" i="79" s="1"/>
  <c r="BL352" i="80"/>
  <c r="BL354" i="80" s="1"/>
  <c r="CB352" i="80"/>
  <c r="CB354" i="80" s="1"/>
  <c r="AN352" i="80"/>
  <c r="AN354" i="80" s="1"/>
  <c r="X352" i="80"/>
  <c r="X354" i="80" s="1"/>
  <c r="FL352" i="79"/>
  <c r="FL354" i="79" s="1"/>
  <c r="DP352" i="80"/>
  <c r="DP354" i="80" s="1"/>
  <c r="AF352" i="80"/>
  <c r="AF354" i="80" s="1"/>
  <c r="BT352" i="80"/>
  <c r="BT354" i="80" s="1"/>
  <c r="CR352" i="79"/>
  <c r="CR354" i="79" s="1"/>
  <c r="AV352" i="79"/>
  <c r="AV354" i="79" s="1"/>
  <c r="DX352" i="79"/>
  <c r="DX354" i="79" s="1"/>
  <c r="CJ352" i="79"/>
  <c r="CJ354" i="79" s="1"/>
  <c r="X352" i="79"/>
  <c r="X354" i="79" s="1"/>
  <c r="DX352" i="80"/>
  <c r="DX354" i="80" s="1"/>
  <c r="CZ352" i="80"/>
  <c r="CZ354" i="80" s="1"/>
  <c r="CR352" i="80"/>
  <c r="CR354" i="8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H39" authorId="0" shapeId="0" xr:uid="{5409EF97-C1C9-4E51-BCA0-4C53AC54533E}">
      <text>
        <r>
          <rPr>
            <b/>
            <sz val="9"/>
            <color indexed="81"/>
            <rFont val="Tahoma"/>
            <family val="2"/>
          </rPr>
          <t>Edwards,Michael D (BPA) - PSRF-6:</t>
        </r>
        <r>
          <rPr>
            <sz val="9"/>
            <color indexed="81"/>
            <rFont val="Tahoma"/>
            <family val="2"/>
          </rPr>
          <t xml:space="preserve">
565 has been assigned to Production for this scenario, the other Transmission Expenses have been assigned to Distribution.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Edwards,Michael D (BPA) - PSRF-6</author>
  </authors>
  <commentList>
    <comment ref="G87" authorId="0" shapeId="0" xr:uid="{0E96096C-4BB3-4A53-B3CB-33A22BFC39D1}">
      <text>
        <r>
          <rPr>
            <b/>
            <sz val="9"/>
            <color indexed="81"/>
            <rFont val="Tahoma"/>
            <family val="2"/>
          </rPr>
          <t>Edwards,Michael D (BPA) - PSRF-6:</t>
        </r>
        <r>
          <rPr>
            <sz val="9"/>
            <color indexed="81"/>
            <rFont val="Tahoma"/>
            <family val="2"/>
          </rPr>
          <t xml:space="preserve">
Ratios assign transmission plant to distribution for the purpose of this scenario.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Regan, Jared</author>
    <author>Replyanskaya, Ekaterina - Transmission</author>
    <author>Zakharova, Lena</author>
  </authors>
  <commentList>
    <comment ref="G120" authorId="0" shapeId="0" xr:uid="{00000000-0006-0000-1A00-000001000000}">
      <text>
        <r>
          <rPr>
            <b/>
            <sz val="9"/>
            <color indexed="81"/>
            <rFont val="Tahoma"/>
            <family val="2"/>
          </rPr>
          <t>Regan, Jared:</t>
        </r>
        <r>
          <rPr>
            <sz val="9"/>
            <color indexed="81"/>
            <rFont val="Tahoma"/>
            <family val="2"/>
          </rPr>
          <t xml:space="preserve">
Topside CR</t>
        </r>
      </text>
    </comment>
    <comment ref="G121" authorId="0" shapeId="0" xr:uid="{00000000-0006-0000-1A00-000002000000}">
      <text>
        <r>
          <rPr>
            <b/>
            <sz val="9"/>
            <color indexed="81"/>
            <rFont val="Tahoma"/>
            <family val="2"/>
          </rPr>
          <t>Regan, Jared:</t>
        </r>
        <r>
          <rPr>
            <sz val="9"/>
            <color indexed="81"/>
            <rFont val="Tahoma"/>
            <family val="2"/>
          </rPr>
          <t xml:space="preserve">
Topside DR</t>
        </r>
      </text>
    </comment>
    <comment ref="G313" authorId="0" shapeId="0" xr:uid="{00000000-0006-0000-1A00-000003000000}">
      <text>
        <r>
          <rPr>
            <b/>
            <sz val="9"/>
            <color indexed="81"/>
            <rFont val="Tahoma"/>
            <family val="2"/>
          </rPr>
          <t>Regan, Jared:</t>
        </r>
        <r>
          <rPr>
            <sz val="9"/>
            <color indexed="81"/>
            <rFont val="Tahoma"/>
            <family val="2"/>
          </rPr>
          <t xml:space="preserve">
Inc. Topside Adj.</t>
        </r>
      </text>
    </comment>
    <comment ref="F406" authorId="0" shapeId="0" xr:uid="{00000000-0006-0000-1A00-000004000000}">
      <text>
        <r>
          <rPr>
            <b/>
            <sz val="9"/>
            <color indexed="81"/>
            <rFont val="Tahoma"/>
            <family val="2"/>
          </rPr>
          <t>Regan, Jared:</t>
        </r>
        <r>
          <rPr>
            <sz val="9"/>
            <color indexed="81"/>
            <rFont val="Tahoma"/>
            <family val="2"/>
          </rPr>
          <t xml:space="preserve">
Update Function once in RB</t>
        </r>
      </text>
    </comment>
    <comment ref="F435" authorId="0" shapeId="0" xr:uid="{00000000-0006-0000-1A00-000005000000}">
      <text>
        <r>
          <rPr>
            <b/>
            <sz val="9"/>
            <color indexed="81"/>
            <rFont val="Tahoma"/>
            <family val="2"/>
          </rPr>
          <t>Regan, Jared:</t>
        </r>
        <r>
          <rPr>
            <sz val="9"/>
            <color indexed="81"/>
            <rFont val="Tahoma"/>
            <family val="2"/>
          </rPr>
          <t xml:space="preserve">
Change to PROD once in RB</t>
        </r>
      </text>
    </comment>
    <comment ref="G466" authorId="0" shapeId="0" xr:uid="{00000000-0006-0000-1A00-000006000000}">
      <text>
        <r>
          <rPr>
            <b/>
            <sz val="9"/>
            <color indexed="81"/>
            <rFont val="Tahoma"/>
            <family val="2"/>
          </rPr>
          <t>Regan, Jared:</t>
        </r>
        <r>
          <rPr>
            <sz val="9"/>
            <color indexed="81"/>
            <rFont val="Tahoma"/>
            <family val="2"/>
          </rPr>
          <t xml:space="preserve">
Zakharova, Lena:
for FERC purposes they are shown in 101.1 </t>
        </r>
      </text>
    </comment>
    <comment ref="H466" authorId="1" shapeId="0" xr:uid="{00000000-0006-0000-1A00-000007000000}">
      <text>
        <r>
          <rPr>
            <sz val="9"/>
            <color indexed="81"/>
            <rFont val="Tahoma"/>
            <family val="2"/>
          </rPr>
          <t xml:space="preserve">Zakharova, Lena:
for FERC purposes they are shown in 101.1 </t>
        </r>
      </text>
    </comment>
    <comment ref="F491" authorId="0" shapeId="0" xr:uid="{00000000-0006-0000-1A00-000008000000}">
      <text>
        <r>
          <rPr>
            <b/>
            <sz val="9"/>
            <color indexed="81"/>
            <rFont val="Tahoma"/>
            <family val="2"/>
          </rPr>
          <t>Regan, Jared:</t>
        </r>
        <r>
          <rPr>
            <sz val="9"/>
            <color indexed="81"/>
            <rFont val="Tahoma"/>
            <family val="2"/>
          </rPr>
          <t xml:space="preserve">
Update Function once in RB</t>
        </r>
      </text>
    </comment>
    <comment ref="G532" authorId="0" shapeId="0" xr:uid="{00000000-0006-0000-1A00-000009000000}">
      <text>
        <r>
          <rPr>
            <b/>
            <sz val="9"/>
            <color indexed="81"/>
            <rFont val="Tahoma"/>
            <family val="2"/>
          </rPr>
          <t>Regan, Jared:</t>
        </r>
        <r>
          <rPr>
            <sz val="9"/>
            <color indexed="81"/>
            <rFont val="Tahoma"/>
            <family val="2"/>
          </rPr>
          <t xml:space="preserve">
Inc. Topside Adj</t>
        </r>
      </text>
    </comment>
    <comment ref="G596" authorId="0" shapeId="0" xr:uid="{00000000-0006-0000-1A00-00000A000000}">
      <text>
        <r>
          <rPr>
            <b/>
            <sz val="9"/>
            <color indexed="81"/>
            <rFont val="Tahoma"/>
            <family val="2"/>
          </rPr>
          <t>Regan, Jared:</t>
        </r>
        <r>
          <rPr>
            <sz val="9"/>
            <color indexed="81"/>
            <rFont val="Tahoma"/>
            <family val="2"/>
          </rPr>
          <t xml:space="preserve">
Zakharova, Lena:
for FERC purposes this account is shown in 227</t>
        </r>
      </text>
    </comment>
    <comment ref="H596" authorId="2" shapeId="0" xr:uid="{00000000-0006-0000-1A00-00000B000000}">
      <text>
        <r>
          <rPr>
            <sz val="12"/>
            <rFont val="Times New Roman"/>
            <family val="1"/>
          </rPr>
          <t>Zakharova, Lena:
for FERC purposes this account is shown in 227</t>
        </r>
      </text>
    </comment>
    <comment ref="G738" authorId="0" shapeId="0" xr:uid="{00000000-0006-0000-1A00-00000C000000}">
      <text>
        <r>
          <rPr>
            <b/>
            <sz val="9"/>
            <color indexed="81"/>
            <rFont val="Tahoma"/>
            <family val="2"/>
          </rPr>
          <t>Regan, Jared:</t>
        </r>
        <r>
          <rPr>
            <sz val="9"/>
            <color indexed="81"/>
            <rFont val="Tahoma"/>
            <family val="2"/>
          </rPr>
          <t xml:space="preserve">
Inc. Topside Adj.</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Regan, Jared</author>
    <author>Zakharova, Lena</author>
  </authors>
  <commentList>
    <comment ref="E76" authorId="0" shapeId="0" xr:uid="{00000000-0006-0000-1B00-000001000000}">
      <text>
        <r>
          <rPr>
            <b/>
            <sz val="9"/>
            <color indexed="81"/>
            <rFont val="Tahoma"/>
            <family val="2"/>
          </rPr>
          <t>Regan, Jared:</t>
        </r>
        <r>
          <rPr>
            <sz val="9"/>
            <color indexed="81"/>
            <rFont val="Tahoma"/>
            <family val="2"/>
          </rPr>
          <t xml:space="preserve">
Includes Topside Adjustment CR $19,836,872.25</t>
        </r>
      </text>
    </comment>
    <comment ref="E487" authorId="0" shapeId="0" xr:uid="{00000000-0006-0000-1B00-000002000000}">
      <text>
        <r>
          <rPr>
            <b/>
            <sz val="9"/>
            <color indexed="81"/>
            <rFont val="Tahoma"/>
            <family val="2"/>
          </rPr>
          <t>Regan, Jared:</t>
        </r>
        <r>
          <rPr>
            <sz val="9"/>
            <color indexed="81"/>
            <rFont val="Tahoma"/>
            <family val="2"/>
          </rPr>
          <t xml:space="preserve">
Topside adjustment was made for the Excess Deferred Income tax, Offsetting 28200182</t>
        </r>
      </text>
    </comment>
    <comment ref="F487" authorId="0" shapeId="0" xr:uid="{00000000-0006-0000-1B00-000003000000}">
      <text>
        <r>
          <rPr>
            <b/>
            <sz val="9"/>
            <color indexed="81"/>
            <rFont val="Tahoma"/>
            <family val="2"/>
          </rPr>
          <t>Regan, Jared:</t>
        </r>
        <r>
          <rPr>
            <sz val="9"/>
            <color indexed="81"/>
            <rFont val="Tahoma"/>
            <family val="2"/>
          </rPr>
          <t xml:space="preserve">
Topside adjustment was made for AMI Equity Reserve topside tax impacts.</t>
        </r>
      </text>
    </comment>
    <comment ref="E501" authorId="0" shapeId="0" xr:uid="{00000000-0006-0000-1B00-000004000000}">
      <text>
        <r>
          <rPr>
            <b/>
            <sz val="9"/>
            <color indexed="81"/>
            <rFont val="Tahoma"/>
            <family val="2"/>
          </rPr>
          <t>Regan, Jared:</t>
        </r>
        <r>
          <rPr>
            <sz val="9"/>
            <color indexed="81"/>
            <rFont val="Tahoma"/>
            <family val="2"/>
          </rPr>
          <t xml:space="preserve">
Topside Adjustment
(Tax Impact of LTIP Topside), debit - increasing asset</t>
        </r>
      </text>
    </comment>
    <comment ref="E558" authorId="0" shapeId="0" xr:uid="{00000000-0006-0000-1B00-000005000000}">
      <text>
        <r>
          <rPr>
            <b/>
            <sz val="9"/>
            <color indexed="81"/>
            <rFont val="Tahoma"/>
            <family val="2"/>
          </rPr>
          <t>Regan, Jared:</t>
        </r>
        <r>
          <rPr>
            <sz val="9"/>
            <color indexed="81"/>
            <rFont val="Tahoma"/>
            <family val="2"/>
          </rPr>
          <t xml:space="preserve">
Topside adjustment was made for the Excess Deferred Income tax, offsetting 28200181</t>
        </r>
      </text>
    </comment>
    <comment ref="F558" authorId="1" shapeId="0" xr:uid="{00000000-0006-0000-1B00-000006000000}">
      <text>
        <r>
          <rPr>
            <b/>
            <sz val="9"/>
            <color indexed="81"/>
            <rFont val="Tahoma"/>
            <family val="2"/>
          </rPr>
          <t>Zakharova, Lena:</t>
        </r>
        <r>
          <rPr>
            <sz val="9"/>
            <color indexed="81"/>
            <rFont val="Tahoma"/>
            <family val="2"/>
          </rPr>
          <t xml:space="preserve">
Topside adjustment was made for the Excess Deferred Income tax</t>
        </r>
      </text>
    </comment>
    <comment ref="E656" authorId="0" shapeId="0" xr:uid="{00000000-0006-0000-1B00-000007000000}">
      <text>
        <r>
          <rPr>
            <b/>
            <sz val="9"/>
            <color indexed="81"/>
            <rFont val="Tahoma"/>
            <family val="2"/>
          </rPr>
          <t>Regan, Jared:</t>
        </r>
        <r>
          <rPr>
            <sz val="9"/>
            <color indexed="81"/>
            <rFont val="Tahoma"/>
            <family val="2"/>
          </rPr>
          <t xml:space="preserve">
Linked with topside adjustment made to 19000891</t>
        </r>
      </text>
    </comment>
    <comment ref="F656" authorId="0" shapeId="0" xr:uid="{00000000-0006-0000-1B00-000008000000}">
      <text>
        <r>
          <rPr>
            <b/>
            <sz val="9"/>
            <color indexed="81"/>
            <rFont val="Tahoma"/>
            <family val="2"/>
          </rPr>
          <t>Regan, Jared:</t>
        </r>
        <r>
          <rPr>
            <sz val="9"/>
            <color indexed="81"/>
            <rFont val="Tahoma"/>
            <family val="2"/>
          </rPr>
          <t xml:space="preserve">
Linked with topside adjustment made to 19000891</t>
        </r>
      </text>
    </comment>
    <comment ref="E657" authorId="0" shapeId="0" xr:uid="{00000000-0006-0000-1B00-000009000000}">
      <text>
        <r>
          <rPr>
            <b/>
            <sz val="9"/>
            <color indexed="81"/>
            <rFont val="Tahoma"/>
            <family val="2"/>
          </rPr>
          <t>Regan, Jared:</t>
        </r>
        <r>
          <rPr>
            <sz val="9"/>
            <color indexed="81"/>
            <rFont val="Tahoma"/>
            <family val="2"/>
          </rPr>
          <t xml:space="preserve">
Linked with topside adjustment made to 19000132</t>
        </r>
      </text>
    </comment>
    <comment ref="F657" authorId="0" shapeId="0" xr:uid="{00000000-0006-0000-1B00-00000A000000}">
      <text>
        <r>
          <rPr>
            <b/>
            <sz val="9"/>
            <color indexed="81"/>
            <rFont val="Tahoma"/>
            <family val="2"/>
          </rPr>
          <t>Regan, Jared:</t>
        </r>
        <r>
          <rPr>
            <sz val="9"/>
            <color indexed="81"/>
            <rFont val="Tahoma"/>
            <family val="2"/>
          </rPr>
          <t xml:space="preserve">
Linked with topside adjustment made to 19000132</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tc={16ECD57D-F5F4-45AD-9FC0-89ED5278E5A0}</author>
    <author>tc={7A141379-CC40-4A77-B70D-A16A84E9237D}</author>
    <author>tc={8C6D7389-541D-4C66-8C9B-AAFB71138356}</author>
    <author>tc={70CF55EE-2903-4E09-8584-EEB9A499350F}</author>
    <author>tc={897A6905-2974-468F-B19A-6B29265AB35A}</author>
    <author>tc={079A67FD-330D-4978-A2BA-1E7C263F2583}</author>
  </authors>
  <commentList>
    <comment ref="F12" authorId="0" shapeId="0" xr:uid="{00000000-0006-0000-2500-000001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PROD in next BPA ASC</t>
      </text>
    </comment>
    <comment ref="F27" authorId="1" shapeId="0" xr:uid="{00000000-0006-0000-2500-000002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PROD in next BPA ASC</t>
      </text>
    </comment>
    <comment ref="F41" authorId="2" shapeId="0" xr:uid="{00000000-0006-0000-2500-000003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PTD in next BPA ASC</t>
      </text>
    </comment>
    <comment ref="F42" authorId="3" shapeId="0" xr:uid="{00000000-0006-0000-2500-000004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PTD in next BPA ASC</t>
      </text>
    </comment>
    <comment ref="F43" authorId="4" shapeId="0" xr:uid="{00000000-0006-0000-2500-000005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PTD in next BPA ASC</t>
      </text>
    </comment>
    <comment ref="F63" authorId="5" shapeId="0" xr:uid="{00000000-0006-0000-2500-000006000000}">
      <text>
        <t>[Threaded comment]
Your version of Excel allows you to read this threaded comment; however, any edits to it will get removed if the file is opened in a newer version of Excel. Learn more: https://go.microsoft.com/fwlink/?linkid=870924
Comment:
    Not yet approved in 2024 GRC, marking DIST until approved Jan 2025, will classify PROD in next BPA ASC</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tc={FACEE8A1-2767-48A0-BDA2-657F9C0945CE}</author>
  </authors>
  <commentList>
    <comment ref="C102" authorId="0" shapeId="0" xr:uid="{00000000-0006-0000-2700-000001000000}">
      <text>
        <t>[Threaded comment]
Your version of Excel allows you to read this threaded comment; however, any edits to it will get removed if the file is opened in a newer version of Excel. Learn more: https://go.microsoft.com/fwlink/?linkid=870924
Comment:
    Order is mapped to the wrong order group 928 instead of 407.4</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tc={A464C9EC-27F7-4911-9CC3-1119B6E401C0}</author>
  </authors>
  <commentList>
    <comment ref="F22" authorId="0" shapeId="0" xr:uid="{A464C9EC-27F7-4911-9CC3-1119B6E401C0}">
      <text>
        <t>[Threaded comment]
Your version of Excel allows you to read this threaded comment; however, any edits to it will get removed if the file is opened in a newer version of Excel. Learn more: https://go.microsoft.com/fwlink/?linkid=870924
Comment:
    Changed per DR 10</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Regan, Jared</author>
    <author>Zakharova, Lena</author>
  </authors>
  <commentList>
    <comment ref="C56" authorId="0" shapeId="0" xr:uid="{00000000-0006-0000-2C00-000001000000}">
      <text>
        <r>
          <rPr>
            <b/>
            <sz val="9"/>
            <color indexed="81"/>
            <rFont val="Tahoma"/>
            <family val="2"/>
          </rPr>
          <t>Regan, Jared:</t>
        </r>
        <r>
          <rPr>
            <sz val="9"/>
            <color indexed="81"/>
            <rFont val="Tahoma"/>
            <family val="2"/>
          </rPr>
          <t xml:space="preserve">
 * If there is an amount associated to  "55700130  5360 - Deferred customer Portion - PCA", make sure to exclude from Sch. 1A (Cash Working Capital) by plugging the amount in "Sch 1A" cell G30.</t>
        </r>
      </text>
    </comment>
    <comment ref="H63" authorId="1" shapeId="0" xr:uid="{00000000-0006-0000-2C00-000002000000}">
      <text>
        <r>
          <rPr>
            <b/>
            <sz val="9"/>
            <color indexed="81"/>
            <rFont val="Tahoma"/>
            <family val="2"/>
          </rPr>
          <t>Zakharova, Lena:</t>
        </r>
        <r>
          <rPr>
            <sz val="9"/>
            <color indexed="81"/>
            <rFont val="Tahoma"/>
            <family val="2"/>
          </rPr>
          <t xml:space="preserve">
FERC Reconciliation Adjustment</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Zakharova, Lena</author>
  </authors>
  <commentList>
    <comment ref="G8" authorId="0" shapeId="0" xr:uid="{00000000-0006-0000-2D00-000001000000}">
      <text>
        <r>
          <rPr>
            <b/>
            <sz val="9"/>
            <color indexed="81"/>
            <rFont val="Tahoma"/>
            <family val="2"/>
          </rPr>
          <t>Zakharova, Lena:</t>
        </r>
        <r>
          <rPr>
            <sz val="9"/>
            <color indexed="81"/>
            <rFont val="Tahoma"/>
            <family val="2"/>
          </rPr>
          <t xml:space="preserve">
FERC Reconciliation Adjustment</t>
        </r>
      </text>
    </comment>
    <comment ref="G10" authorId="0" shapeId="0" xr:uid="{00000000-0006-0000-2D00-000002000000}">
      <text>
        <r>
          <rPr>
            <b/>
            <sz val="9"/>
            <color indexed="81"/>
            <rFont val="Tahoma"/>
            <family val="2"/>
          </rPr>
          <t>Zakharova, Lena:</t>
        </r>
        <r>
          <rPr>
            <sz val="9"/>
            <color indexed="81"/>
            <rFont val="Tahoma"/>
            <family val="2"/>
          </rPr>
          <t xml:space="preserve">
FERC Reconciliation Adjustment</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tc={562B00B6-43D2-4F43-8DC4-B49CEE4196C7}</author>
  </authors>
  <commentList>
    <comment ref="D44" authorId="0" shapeId="0" xr:uid="{00000000-0006-0000-3400-000001000000}">
      <text>
        <t xml:space="preserve">[Threaded comment]
Your version of Excel allows you to read this threaded comment; however, any edits to it will get removed if the file is opened in a newer version of Excel. Learn more: https://go.microsoft.com/fwlink/?linkid=870924
Comment:
    Per Property Accounting: In prior FERC filing Electric did not include Electric portion of Common Share, corrected in 2023. </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Zakharova, Lena</author>
  </authors>
  <commentList>
    <comment ref="O99" authorId="0" shapeId="0" xr:uid="{00000000-0006-0000-4000-000001000000}">
      <text>
        <r>
          <rPr>
            <b/>
            <sz val="9"/>
            <color indexed="81"/>
            <rFont val="Tahoma"/>
            <family val="2"/>
          </rPr>
          <t>Zakharova, Lena:</t>
        </r>
        <r>
          <rPr>
            <sz val="9"/>
            <color indexed="81"/>
            <rFont val="Tahoma"/>
            <family val="2"/>
          </rPr>
          <t xml:space="preserve">
Zeroed out manually for BPA ASC calculation purpose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Zakharova, Lena</author>
  </authors>
  <commentList>
    <comment ref="O100" authorId="0" shapeId="0" xr:uid="{00000000-0006-0000-4100-000001000000}">
      <text>
        <r>
          <rPr>
            <b/>
            <sz val="9"/>
            <color indexed="81"/>
            <rFont val="Tahoma"/>
            <family val="2"/>
          </rPr>
          <t>Zakharova, Lena:</t>
        </r>
        <r>
          <rPr>
            <sz val="9"/>
            <color indexed="81"/>
            <rFont val="Tahoma"/>
            <family val="2"/>
          </rPr>
          <t xml:space="preserve">
Zeroed out manually for BPA ASC calculation purpose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Zakharova, Lena</author>
  </authors>
  <commentList>
    <comment ref="O80" authorId="0" shapeId="0" xr:uid="{00000000-0006-0000-4200-000001000000}">
      <text>
        <r>
          <rPr>
            <b/>
            <sz val="9"/>
            <color indexed="81"/>
            <rFont val="Tahoma"/>
            <family val="2"/>
          </rPr>
          <t>Zakharova, Lena:</t>
        </r>
        <r>
          <rPr>
            <sz val="9"/>
            <color indexed="81"/>
            <rFont val="Tahoma"/>
            <family val="2"/>
          </rPr>
          <t xml:space="preserve">
Zeroed out manually for BPA ASC calculation purpose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Regan, Jared</author>
  </authors>
  <commentList>
    <comment ref="E11" authorId="0" shapeId="0" xr:uid="{00000000-0006-0000-4500-000001000000}">
      <text>
        <r>
          <rPr>
            <b/>
            <sz val="9"/>
            <color indexed="81"/>
            <rFont val="Tahoma"/>
            <family val="2"/>
          </rPr>
          <t>Regan, Jared:</t>
        </r>
        <r>
          <rPr>
            <sz val="9"/>
            <color indexed="81"/>
            <rFont val="Tahoma"/>
            <family val="2"/>
          </rPr>
          <t xml:space="preserve">
Corrective Filing made to move from Line 2 to Line 1</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<sst xmlns="http://schemas.openxmlformats.org/spreadsheetml/2006/main" count="44551" uniqueCount="8459">
  <si>
    <t>MWh</t>
  </si>
  <si>
    <t>Average PP</t>
  </si>
  <si>
    <t>Average SS</t>
  </si>
  <si>
    <t>1/2 difference</t>
  </si>
  <si>
    <t>Mid Point</t>
  </si>
  <si>
    <t>Percentage Spread</t>
  </si>
  <si>
    <t xml:space="preserve">Long-Term Portion of Derivative Assets </t>
  </si>
  <si>
    <t xml:space="preserve">Fuel Stock Expenses Undistributed </t>
  </si>
  <si>
    <t xml:space="preserve">Prepayments </t>
  </si>
  <si>
    <t xml:space="preserve">Derivative Instrument Assets </t>
  </si>
  <si>
    <t xml:space="preserve">Unamortized Debt Expenses </t>
  </si>
  <si>
    <t xml:space="preserve">Extraordinary Property Losses </t>
  </si>
  <si>
    <t xml:space="preserve">Unrecovered Plant and Regulatory Study Costs </t>
  </si>
  <si>
    <t xml:space="preserve">Other Regulatory Assets </t>
  </si>
  <si>
    <t xml:space="preserve">Preliminary Natural Gas Survey and Investigation Charges </t>
  </si>
  <si>
    <t xml:space="preserve">Clearing Accounts </t>
  </si>
  <si>
    <t xml:space="preserve">Temporary Facilities </t>
  </si>
  <si>
    <t xml:space="preserve">Miscellaneous Deferred Debits </t>
  </si>
  <si>
    <t xml:space="preserve">Deferred Losses from Disposition of Utility Plant </t>
  </si>
  <si>
    <t xml:space="preserve">Research, Development, and Demonstration Expenditures </t>
  </si>
  <si>
    <t xml:space="preserve">Unamortized Loss on Reacquired Debt </t>
  </si>
  <si>
    <t xml:space="preserve">Accumulated Deferred Income Taxes </t>
  </si>
  <si>
    <t xml:space="preserve">Customer Advances for Construction </t>
  </si>
  <si>
    <t xml:space="preserve">Accumulated Deferred Investment Tax Credits </t>
  </si>
  <si>
    <t xml:space="preserve">Deferred Gains from Disposition of Utility Plant </t>
  </si>
  <si>
    <t xml:space="preserve">Other Deferred Credits </t>
  </si>
  <si>
    <t xml:space="preserve">Other Regulatory Liabilities </t>
  </si>
  <si>
    <t xml:space="preserve">Unamortized Gain on Reacquired Debt </t>
  </si>
  <si>
    <t>Amortization of Plant Held for Future Use</t>
  </si>
  <si>
    <t xml:space="preserve">Capital Lease - Common Plant </t>
  </si>
  <si>
    <t>Amortization of Plant Acquisition Adjustments  (Electric)</t>
  </si>
  <si>
    <t>Accumulated Deferred Income Taxes-Accel. Amort.</t>
  </si>
  <si>
    <t xml:space="preserve">Accumulated Deferred Income Taxes-Property </t>
  </si>
  <si>
    <t xml:space="preserve">Accumulated Deferred Income Taxes-Other </t>
  </si>
  <si>
    <t>(Total Rate Base * Federal Income Tax Adjusted Weighted Cost of Capital)</t>
  </si>
  <si>
    <t>Income Tax (Included on Schedule 2)</t>
  </si>
  <si>
    <t>TOTAL STATE AND OTHER TAXES</t>
  </si>
  <si>
    <t>TOTAL FEDERAL</t>
  </si>
  <si>
    <t>STATE AND OTHER</t>
  </si>
  <si>
    <t>State and Other Taxes</t>
  </si>
  <si>
    <t>Depreciation and Amortization:</t>
  </si>
  <si>
    <t>Other Included Items:</t>
  </si>
  <si>
    <t>411.7</t>
  </si>
  <si>
    <t>Other Revenues:</t>
  </si>
  <si>
    <t>451</t>
  </si>
  <si>
    <t>453</t>
  </si>
  <si>
    <t>454</t>
  </si>
  <si>
    <t>456</t>
  </si>
  <si>
    <t>Total Other Revenues</t>
  </si>
  <si>
    <t>Total Other Included Items</t>
  </si>
  <si>
    <t>Total Operating Expenses</t>
  </si>
  <si>
    <t>Total Cost</t>
  </si>
  <si>
    <t>BPA REP Reversal</t>
  </si>
  <si>
    <t>Component</t>
  </si>
  <si>
    <t>BONNEVILLE POWER ADMINISTRATION</t>
  </si>
  <si>
    <t>Stores Expense Undistributed</t>
  </si>
  <si>
    <t>RESIDENTIAL PURCHASE AND SALE AGREEMENT</t>
  </si>
  <si>
    <t>Weighted</t>
  </si>
  <si>
    <t>Debt</t>
  </si>
  <si>
    <t>Preferred Equity</t>
  </si>
  <si>
    <t>Common Equity</t>
  </si>
  <si>
    <t>Step 2: Gross Up Equity Return for Federal Income Taxes</t>
  </si>
  <si>
    <t>Total Rate Base from Schedule 1</t>
  </si>
  <si>
    <t>Federal Income Tax Adjusted Weighted Cost of Capital</t>
  </si>
  <si>
    <t>Sales for Resale</t>
  </si>
  <si>
    <t>Total Sales for Resale</t>
  </si>
  <si>
    <t>Schedule 4: Average System Cost</t>
  </si>
  <si>
    <t>(Total Disposition of Plant + Total Sales for Resale + Total Other Revenue)</t>
  </si>
  <si>
    <t>(From Schedule 3)</t>
  </si>
  <si>
    <t>200-201</t>
  </si>
  <si>
    <t>204-207</t>
  </si>
  <si>
    <t>Acquisition Adjustments (Electric)</t>
  </si>
  <si>
    <t>320-323</t>
  </si>
  <si>
    <t>Total Liabilities and Other Credits</t>
  </si>
  <si>
    <t>Total Assets and Other Debits</t>
  </si>
  <si>
    <t xml:space="preserve">Liabilities and Other Credits (Comparative Balance Sheet) </t>
  </si>
  <si>
    <t>Assets and Other Debits (Comparative Balance Sheet)</t>
  </si>
  <si>
    <t>(Utility Plant) Completed Construction - Not Classified</t>
  </si>
  <si>
    <t>110-111</t>
  </si>
  <si>
    <t>Plant Materials and Operating Supplies</t>
  </si>
  <si>
    <t>Construction Work in Progress (CWIP)</t>
  </si>
  <si>
    <t>112-113</t>
  </si>
  <si>
    <t>Schedule 3: Expenses</t>
  </si>
  <si>
    <t>(Total Net Plant + Debits - Credits)</t>
  </si>
  <si>
    <t xml:space="preserve"> (Total Electric Plant In-Service) - (Total Depreciation &amp; Amortization)</t>
  </si>
  <si>
    <t>Nuclear - Fuel</t>
  </si>
  <si>
    <t>Hydraulic - Operation</t>
  </si>
  <si>
    <t>Hydraulic - Maintenance</t>
  </si>
  <si>
    <t>Steam Production Plant</t>
  </si>
  <si>
    <t>Nuclear Production Plant</t>
  </si>
  <si>
    <t>DIRECT</t>
  </si>
  <si>
    <t>GP</t>
  </si>
  <si>
    <t>General Plant</t>
  </si>
  <si>
    <t>GPM</t>
  </si>
  <si>
    <t>Maintenance of General Plant</t>
  </si>
  <si>
    <t>LABOR</t>
  </si>
  <si>
    <t>Account</t>
  </si>
  <si>
    <t xml:space="preserve"> </t>
  </si>
  <si>
    <t>Distribution/</t>
  </si>
  <si>
    <t>PTD</t>
  </si>
  <si>
    <t xml:space="preserve"> Account Description</t>
  </si>
  <si>
    <t>Prod.</t>
  </si>
  <si>
    <t>Trans.</t>
  </si>
  <si>
    <t>Dist.</t>
  </si>
  <si>
    <t>Total</t>
  </si>
  <si>
    <t>Production</t>
  </si>
  <si>
    <t>Transmission</t>
  </si>
  <si>
    <t>Other</t>
  </si>
  <si>
    <t>PTDG</t>
  </si>
  <si>
    <t>TD</t>
  </si>
  <si>
    <t>Production Plant:</t>
  </si>
  <si>
    <t>Steam Production</t>
  </si>
  <si>
    <t>310-316</t>
  </si>
  <si>
    <t xml:space="preserve">Nuclear Production </t>
  </si>
  <si>
    <t>320-325</t>
  </si>
  <si>
    <t xml:space="preserve">Hydraulic Production  </t>
  </si>
  <si>
    <t>330-336</t>
  </si>
  <si>
    <t>Other Production</t>
  </si>
  <si>
    <t>340-346</t>
  </si>
  <si>
    <t>Total Production Plant</t>
  </si>
  <si>
    <t>350-359</t>
  </si>
  <si>
    <t>Total Transmission Plant</t>
  </si>
  <si>
    <t xml:space="preserve">Total Distribution Plant  </t>
  </si>
  <si>
    <t>360-373</t>
  </si>
  <si>
    <t xml:space="preserve">General Plant:  </t>
  </si>
  <si>
    <t>Land and Land Rights</t>
  </si>
  <si>
    <t>Structures and Improvements</t>
  </si>
  <si>
    <t>Furniture and Equipment</t>
  </si>
  <si>
    <t>Transportation Equipment</t>
  </si>
  <si>
    <t>Stores Equipment</t>
  </si>
  <si>
    <t>Tools and Garage Equipment</t>
  </si>
  <si>
    <t>Laboratory Equipment</t>
  </si>
  <si>
    <t>Power Operated Equipment</t>
  </si>
  <si>
    <t>Communication Equipment</t>
  </si>
  <si>
    <t>Miscellaneous Equipment</t>
  </si>
  <si>
    <t>Total General Plant</t>
  </si>
  <si>
    <t>Total Electric Plant In-Service</t>
  </si>
  <si>
    <t>Other Production Plant</t>
  </si>
  <si>
    <t>Without NLSL</t>
  </si>
  <si>
    <t>With NLSL</t>
  </si>
  <si>
    <t xml:space="preserve">Distribution Plant  </t>
  </si>
  <si>
    <t>Federal Income Tax Adjusted Return on Rate Base</t>
  </si>
  <si>
    <t>Transmission Plant: (i)</t>
  </si>
  <si>
    <t>Transmission Plant (i)</t>
  </si>
  <si>
    <t>Cash Working Capital  (f)</t>
  </si>
  <si>
    <t xml:space="preserve">Intangible Plant - Organization  </t>
  </si>
  <si>
    <t xml:space="preserve">Intangible Plant - Franchises and Consents  </t>
  </si>
  <si>
    <t xml:space="preserve">Intangible Plant - Miscellaneous  </t>
  </si>
  <si>
    <t>Schedule 3A Items: Taxes (Including Income Taxes)</t>
  </si>
  <si>
    <t>FEDERAL</t>
  </si>
  <si>
    <t>Employment Tax</t>
  </si>
  <si>
    <t>Other Federal Taxes</t>
  </si>
  <si>
    <t>Unemployment</t>
  </si>
  <si>
    <t>Regulatory Commission</t>
  </si>
  <si>
    <t>Cash Working Capital Calculation:</t>
  </si>
  <si>
    <t>Total Production O&amp;M</t>
  </si>
  <si>
    <t>Total Administrative and General O&amp;M</t>
  </si>
  <si>
    <t>Allowable Functionalized Cash Working Capital</t>
  </si>
  <si>
    <t xml:space="preserve">Revised Total O&amp;M Expenses </t>
  </si>
  <si>
    <t xml:space="preserve">One-Eighth Revised Total O&amp;M Expenses </t>
  </si>
  <si>
    <t xml:space="preserve">Schedule 3B Other Included Items </t>
  </si>
  <si>
    <t>(From Schedule 3a)</t>
  </si>
  <si>
    <t>Leasehold Improvements</t>
  </si>
  <si>
    <t>Administration and General Salaries</t>
  </si>
  <si>
    <t>Office Supplies &amp; Expenses</t>
  </si>
  <si>
    <t>(Less) Administration Expenses Transferred - Credit</t>
  </si>
  <si>
    <t>Outside Services Employed</t>
  </si>
  <si>
    <t>Property Insurance</t>
  </si>
  <si>
    <t>(Less) Duplicate Charges - Credit</t>
  </si>
  <si>
    <t>General Advertising Expenses</t>
  </si>
  <si>
    <t>Distribution (Enter Total of lines 3 and 11)</t>
  </si>
  <si>
    <t>Customer Accounts (Transcribe from line 4)</t>
  </si>
  <si>
    <t>Customer Service and Information</t>
  </si>
  <si>
    <t>Customer Service and Information (Transcribe from line 5)</t>
  </si>
  <si>
    <t>Sales (Transcribe from line 6)</t>
  </si>
  <si>
    <t>Administrative and General (Enter Total of lines 7 and 12)</t>
  </si>
  <si>
    <t>Distribution Loss (f)  (See Distribution Loss Schedule)</t>
  </si>
  <si>
    <t>Current and Accrued Assets</t>
  </si>
  <si>
    <t>EPA Allowances Withheld</t>
  </si>
  <si>
    <t>Deferred Debits</t>
  </si>
  <si>
    <t>CONS</t>
  </si>
  <si>
    <t>Miscellaneous Nonoperating Income</t>
  </si>
  <si>
    <t xml:space="preserve">   Less Purchased Power, Public Purpose Charge, REP Reversal, Fuel Costs</t>
  </si>
  <si>
    <t xml:space="preserve">Preliminary Survey and Investigation Charges (Electric) </t>
  </si>
  <si>
    <t>Settlement Total</t>
  </si>
  <si>
    <t>MWh Purchased</t>
  </si>
  <si>
    <t>RQ</t>
  </si>
  <si>
    <t>LF</t>
  </si>
  <si>
    <t>IF</t>
  </si>
  <si>
    <t>SF</t>
  </si>
  <si>
    <t>LU</t>
  </si>
  <si>
    <t>IU</t>
  </si>
  <si>
    <t>OS</t>
  </si>
  <si>
    <t>EX</t>
  </si>
  <si>
    <t>NA</t>
  </si>
  <si>
    <t>AD</t>
  </si>
  <si>
    <t>TOTAL</t>
  </si>
  <si>
    <t>310-311</t>
  </si>
  <si>
    <t>326-327</t>
  </si>
  <si>
    <t>Purchased Power</t>
  </si>
  <si>
    <t>Single-Jurisdiction Investor-Owned Utility Return Calculation:</t>
  </si>
  <si>
    <t>Return on Rate Base</t>
  </si>
  <si>
    <t>Rate of Return :</t>
  </si>
  <si>
    <t>(Total O&amp;M + Total Depreciation &amp; Amortization)</t>
  </si>
  <si>
    <t>TOTAL Operation</t>
  </si>
  <si>
    <t>TOTAL Maintenance</t>
  </si>
  <si>
    <t>TOTAL Operation and Maintenance</t>
  </si>
  <si>
    <t>Funct.                  Method</t>
  </si>
  <si>
    <t>Depreciation and Amortization Reserve</t>
  </si>
  <si>
    <t>Depreciation and Amortization Reserve (Other)</t>
  </si>
  <si>
    <t>560-567.1</t>
  </si>
  <si>
    <t>568-574</t>
  </si>
  <si>
    <t>535-540.1</t>
  </si>
  <si>
    <t>541-545.1</t>
  </si>
  <si>
    <t>546-550.1</t>
  </si>
  <si>
    <t>551-554.1</t>
  </si>
  <si>
    <t>Purchased Power - Base Period Minus 1</t>
  </si>
  <si>
    <t>Purchased Power - Base Period Minus 2</t>
  </si>
  <si>
    <t>Sales for Resale - Base Period Minus 1</t>
  </si>
  <si>
    <t>Sales for Resale - Base Period Minus 2</t>
  </si>
  <si>
    <t>Purchased Power &amp; Sales for Resale</t>
  </si>
  <si>
    <t>Total Depreciation and Amortization Reserve</t>
  </si>
  <si>
    <t>Common Plant</t>
  </si>
  <si>
    <t>356 &amp; 356.1</t>
  </si>
  <si>
    <t xml:space="preserve">Consumer-Owned Utility Return Calculation </t>
  </si>
  <si>
    <t>Consumer-Owned Utility Return Calculation:</t>
  </si>
  <si>
    <t>RESIDENTIAL PURCHASE AND SALES AGREEMENT</t>
  </si>
  <si>
    <t>Calculation: Automatic Input from Sch 1A</t>
  </si>
  <si>
    <t>(Automatic Input from Schedule 3- Expenses)</t>
  </si>
  <si>
    <t>Description</t>
  </si>
  <si>
    <t>Operations Expense Less Fuel</t>
  </si>
  <si>
    <t>Maintenance Expense</t>
  </si>
  <si>
    <t>A &amp; G costs included in NLSL Resource costs will be calculated using NLSL Functionalization Ratios.</t>
  </si>
  <si>
    <t>Purchased Power Expense</t>
  </si>
  <si>
    <t>Federal Employment Taxes</t>
  </si>
  <si>
    <t>State Employment Taxes</t>
  </si>
  <si>
    <t>Federal Employment Taxes included in NLSL Resource costs will be calculated using NLSL Functionalization Ratios.</t>
  </si>
  <si>
    <t>State Employment Taxes included in NLSL Resource costs will be calculated using NLSL Functionalization Ratios.</t>
  </si>
  <si>
    <t>Property Taxes included in NLSL Resource costs will be calculated using NLSL Functionalization Ratios.</t>
  </si>
  <si>
    <t>Maintenance and Supplies costs included in NLSL Resource costs will be calculated using NLSL Functionalization Ratios.</t>
  </si>
  <si>
    <t>Non-NLSL</t>
  </si>
  <si>
    <t>NLSL</t>
  </si>
  <si>
    <t>NLSL Production Plant</t>
  </si>
  <si>
    <t>NLSL Production Plant percent of Total Prod. Plant</t>
  </si>
  <si>
    <t>Non-NLSL Production plant percent of Total Prod. Plant</t>
  </si>
  <si>
    <t>NLSL Production Plant O&amp;M</t>
  </si>
  <si>
    <t>Total Production Plant O&amp;M</t>
  </si>
  <si>
    <t>NLSL Production Plant O&amp;M percent of Total Prod. Plant O&amp;M</t>
  </si>
  <si>
    <t>Non-NLSL Production Plant O&amp;M percent of Total Prod. Plant O&amp;M</t>
  </si>
  <si>
    <t>(Total Operating Expenses + Return on Rate Base + State and Other Taxes  - Total Other Included Items)</t>
  </si>
  <si>
    <t>Numbers</t>
  </si>
  <si>
    <t>Mining Plant Depreciation</t>
  </si>
  <si>
    <t>(From Schedule 2)</t>
  </si>
  <si>
    <t>110-112</t>
  </si>
  <si>
    <t xml:space="preserve">Other Tangible Property </t>
  </si>
  <si>
    <t>120.1-120.6</t>
  </si>
  <si>
    <t>107 &amp; 120.1</t>
  </si>
  <si>
    <t>Steam Power - Fuel</t>
  </si>
  <si>
    <t>Steam Power - Operations  (Excluding 501 - Fuel)</t>
  </si>
  <si>
    <t>Steam Power - Maintenance</t>
  </si>
  <si>
    <t>510-515</t>
  </si>
  <si>
    <t>Other Power - Operations (Excluding 547 - Fuel)</t>
  </si>
  <si>
    <t>Nuclear - Operation ( Excluding 518 -  Fuel)</t>
  </si>
  <si>
    <t>Other Power - Maintenance</t>
  </si>
  <si>
    <t>Purchased Power (Excluding REP Reversal)</t>
  </si>
  <si>
    <t>Other Expenses</t>
  </si>
  <si>
    <t>320-324</t>
  </si>
  <si>
    <t>Transportation Expenses (Non Major)</t>
  </si>
  <si>
    <t>Federal Income Tax Factor</t>
  </si>
  <si>
    <t>Property Taxes</t>
  </si>
  <si>
    <t>Page</t>
  </si>
  <si>
    <t>Number</t>
  </si>
  <si>
    <t>Utility Plant</t>
  </si>
  <si>
    <t>Other Property and Investments</t>
  </si>
  <si>
    <t>FERC Form 1</t>
  </si>
  <si>
    <t>Weighted Cost of Capital</t>
  </si>
  <si>
    <t>Sales for Resale:</t>
  </si>
  <si>
    <t>Operation and Maintenance</t>
  </si>
  <si>
    <t>Production (Enter Total of lines 1 and 9)</t>
  </si>
  <si>
    <t>Transmission (Enter Total of lines 2 and 10)</t>
  </si>
  <si>
    <t>ROR w/ Taxes</t>
  </si>
  <si>
    <t>Year in Service</t>
  </si>
  <si>
    <t xml:space="preserve">Fuel </t>
  </si>
  <si>
    <t>May</t>
  </si>
  <si>
    <t xml:space="preserve">Total </t>
  </si>
  <si>
    <t>Purchased Power Contracts (From BPA)</t>
  </si>
  <si>
    <t>PF Purchase Cost ($)</t>
  </si>
  <si>
    <t>PF Purchased Power (MWh)</t>
  </si>
  <si>
    <t>Slice Purchase Cost ($)</t>
  </si>
  <si>
    <t>Slice Purchased Power (MWh)</t>
  </si>
  <si>
    <t>PF Generic #1 Purchase ($)</t>
  </si>
  <si>
    <t>PF Generic #1 Purchasd Power (MWh)</t>
  </si>
  <si>
    <t>PF Generic #2 Purchase ($)</t>
  </si>
  <si>
    <t>PF Generic #2 Purchasd Power (MWh)</t>
  </si>
  <si>
    <t>Contract Termination ($)</t>
  </si>
  <si>
    <t>Contract Termination (MWh)</t>
  </si>
  <si>
    <t>Purchased Power Contracts (Market)</t>
  </si>
  <si>
    <t>Purchased Power (MWh)</t>
  </si>
  <si>
    <t>Transmission Expenses</t>
  </si>
  <si>
    <t>Transmission of Electricity to Others (Wheeling)</t>
  </si>
  <si>
    <t>560-567</t>
  </si>
  <si>
    <t>568-573</t>
  </si>
  <si>
    <t>Property Taxes Transmission</t>
  </si>
  <si>
    <t>Total Transmission Property</t>
  </si>
  <si>
    <t>Totals</t>
  </si>
  <si>
    <t>Total Fuel Stock</t>
  </si>
  <si>
    <t>Total Plant Materials &amp; Operating Supplies</t>
  </si>
  <si>
    <t>Total EPA Allowances</t>
  </si>
  <si>
    <t>Total Property Insurance</t>
  </si>
  <si>
    <t>Total Property Taxes</t>
  </si>
  <si>
    <t>Steam O&amp;M</t>
  </si>
  <si>
    <t>Hydro O&amp;M</t>
  </si>
  <si>
    <t>Other O&amp;M</t>
  </si>
  <si>
    <t>Total Expected Annual Generation (MWh)</t>
  </si>
  <si>
    <t>Total Firm Sales for Resale (MWh)</t>
  </si>
  <si>
    <t>Total Firm Sales for Resale ($)</t>
  </si>
  <si>
    <t>Hydro Depreciation, Total ($)</t>
  </si>
  <si>
    <t xml:space="preserve">Production </t>
  </si>
  <si>
    <t>Total Retail Load</t>
  </si>
  <si>
    <t>(Less) New Large Single Load</t>
  </si>
  <si>
    <t>Average System Cost $/MWh</t>
  </si>
  <si>
    <t>Form 1</t>
  </si>
  <si>
    <t>Step 1: Weighted Cost of Capital from Most Recent State Commission Rate Order</t>
  </si>
  <si>
    <t xml:space="preserve">Schedule 1: Plant Investment / Rate Base </t>
  </si>
  <si>
    <t xml:space="preserve">Hydraulic Production Plant </t>
  </si>
  <si>
    <t>Forfeited Discounts</t>
  </si>
  <si>
    <t>Other Electric Revenues</t>
  </si>
  <si>
    <t>Interdepartmental Rents</t>
  </si>
  <si>
    <t>Distribution of Salaries and Wages (For Labor Ratio Calculation)</t>
  </si>
  <si>
    <t>354-355</t>
  </si>
  <si>
    <t xml:space="preserve">Derivative Instrument Liabilities </t>
  </si>
  <si>
    <t>Derivative Instrument Liabilities - Hedges</t>
  </si>
  <si>
    <t>Derivative Instrument Assets - Hedges</t>
  </si>
  <si>
    <t>Ratio Table</t>
  </si>
  <si>
    <t>Labor Ratio</t>
  </si>
  <si>
    <t>General Plant Ratio</t>
  </si>
  <si>
    <t>Production, Transmission, Distribution Ratio</t>
  </si>
  <si>
    <t>PTD Ratio</t>
  </si>
  <si>
    <t>Production, Transmission, Distribution and General Plant Ratio</t>
  </si>
  <si>
    <t>General Plant Total</t>
  </si>
  <si>
    <t>PTDG RATIO</t>
  </si>
  <si>
    <t>Transmission and Distribution Plant Ratio</t>
  </si>
  <si>
    <t>TD RATIO</t>
  </si>
  <si>
    <t>Maintenance of General Plant Ratio</t>
  </si>
  <si>
    <t>GPM RATIO</t>
  </si>
  <si>
    <t>SUMMARY RATIO TABLE</t>
  </si>
  <si>
    <t>112-114</t>
  </si>
  <si>
    <t>Distribution/Other</t>
  </si>
  <si>
    <t>Default</t>
  </si>
  <si>
    <t>Optional</t>
  </si>
  <si>
    <t>Functionalization</t>
  </si>
  <si>
    <t>Merchandise (Major Only)</t>
  </si>
  <si>
    <t>Other Materials and Supplies (Major only)</t>
  </si>
  <si>
    <t>EPA Allowance Inventory</t>
  </si>
  <si>
    <t xml:space="preserve">Multi-Jurisdiction Investor-Owned Utility Return Calculation </t>
  </si>
  <si>
    <t xml:space="preserve">Single-Jurisdiction Investor-Owned Utility Return Calculation </t>
  </si>
  <si>
    <t xml:space="preserve">Step 1: </t>
  </si>
  <si>
    <t xml:space="preserve"> Weighted Cost of Capital from Most Recent State Commission Rate Order in Jurisdiction 1</t>
  </si>
  <si>
    <t xml:space="preserve"> Weighted Cost of Capital from Most Recent State Commission Rate Order in Jurisdiction 2</t>
  </si>
  <si>
    <t xml:space="preserve"> Weighted Cost of Capital from Most Recent State Commission Rate Order in Jurisdiction 3</t>
  </si>
  <si>
    <t>Rate Base</t>
  </si>
  <si>
    <t>Weighted cost</t>
  </si>
  <si>
    <t>Weighted Return</t>
  </si>
  <si>
    <t>%</t>
  </si>
  <si>
    <t>Jurisdiction</t>
  </si>
  <si>
    <t xml:space="preserve">Effective Cost - </t>
  </si>
  <si>
    <t>Allocation</t>
  </si>
  <si>
    <t>Weighted  State Allocation</t>
  </si>
  <si>
    <t>Amortization of Intangible Plant  - Account 301</t>
  </si>
  <si>
    <t>Amortization of Intangible Plant  - Account 302</t>
  </si>
  <si>
    <t xml:space="preserve">Long-Term Portion of Derivative Assets - Hedges </t>
  </si>
  <si>
    <t>112-115</t>
  </si>
  <si>
    <t>Long-Term Portion of Derivative Instrument Liabilities</t>
  </si>
  <si>
    <t>Long-Term Portion of Derivative Instrument Liabilities - Hedges</t>
  </si>
  <si>
    <t xml:space="preserve">    Note: Multi-jurisdictional utilities must begin on Page 2</t>
  </si>
  <si>
    <t xml:space="preserve">            Publicly-owned utilities must begin on Page 4</t>
  </si>
  <si>
    <t>Step 1: Weighted Cost of Debt</t>
  </si>
  <si>
    <t>Year</t>
  </si>
  <si>
    <t>Rate</t>
  </si>
  <si>
    <t>Debt Issue</t>
  </si>
  <si>
    <t>Issued</t>
  </si>
  <si>
    <t>Original</t>
  </si>
  <si>
    <t>Interest</t>
  </si>
  <si>
    <t xml:space="preserve">Interest </t>
  </si>
  <si>
    <t>Expense</t>
  </si>
  <si>
    <t>Due</t>
  </si>
  <si>
    <t>Weighted Cost of Debt</t>
  </si>
  <si>
    <t>Step 2: Calculate Return on Rate Base</t>
  </si>
  <si>
    <t>Gain from Disposition of Utility Plant</t>
  </si>
  <si>
    <t>Gain from Disposition of Allowances</t>
  </si>
  <si>
    <t>DIST</t>
  </si>
  <si>
    <t>TRANS</t>
  </si>
  <si>
    <t>PROD</t>
  </si>
  <si>
    <t>906-907</t>
  </si>
  <si>
    <t>909-910</t>
  </si>
  <si>
    <t>Total Sales Expense</t>
  </si>
  <si>
    <t>911-917</t>
  </si>
  <si>
    <t>Transmission of Electricity by Others (Wheeling)</t>
  </si>
  <si>
    <t>Amortization of Intangible Plant  - Account 303</t>
  </si>
  <si>
    <t>In-Service: Depreciation of Common Plant  (a)</t>
  </si>
  <si>
    <t>Amortization of Other Utility Plant (a)</t>
  </si>
  <si>
    <t>Allocated General Plant - Net</t>
  </si>
  <si>
    <t>Annual Depreciation Expense</t>
  </si>
  <si>
    <t>General Plant costs included in NLSL Resource costs will be calculated using NLSL Functionalization Ratios.</t>
  </si>
  <si>
    <t>Production Plant</t>
  </si>
  <si>
    <t>General Plant Depreciation expense included in NLSL Resource costs will be calculated using NLSL Functionalization Ratios.</t>
  </si>
  <si>
    <t>Total Annual Depreciation Expense</t>
  </si>
  <si>
    <t>Low Density Discount - Percentage</t>
  </si>
  <si>
    <t>TOCA - Percentage</t>
  </si>
  <si>
    <t>Non-Slice TOCA - Percentage</t>
  </si>
  <si>
    <t>Slice Percentage</t>
  </si>
  <si>
    <t>Eligible Irrigation Load</t>
  </si>
  <si>
    <t>Tier 1 Percentage</t>
  </si>
  <si>
    <t>Load Shaping Bill Det.</t>
  </si>
  <si>
    <t xml:space="preserve">     HLH</t>
  </si>
  <si>
    <t>Oct</t>
  </si>
  <si>
    <t>Nov</t>
  </si>
  <si>
    <t>Dec</t>
  </si>
  <si>
    <t>Jan</t>
  </si>
  <si>
    <t>Feb</t>
  </si>
  <si>
    <t>Mar</t>
  </si>
  <si>
    <t>Apr</t>
  </si>
  <si>
    <t>Jun</t>
  </si>
  <si>
    <t>Jul</t>
  </si>
  <si>
    <t>Aug</t>
  </si>
  <si>
    <t>Sep</t>
  </si>
  <si>
    <t xml:space="preserve">     LLH</t>
  </si>
  <si>
    <t>Demand Bill Det.</t>
  </si>
  <si>
    <t>(Total Expenses: Production + Transmission + Distribution + Customer and Sales +Total Administration and General Expenses)</t>
  </si>
  <si>
    <t xml:space="preserve">Hydraulic Production Plant - Conventional </t>
  </si>
  <si>
    <t>Hydraulic Production Plant - Pumped Storage</t>
  </si>
  <si>
    <t>Common Plant - Electric</t>
  </si>
  <si>
    <t>(Utility Plant) Held For Future Use</t>
  </si>
  <si>
    <t>CURRENT AND ACCRUED LIABILITIES</t>
  </si>
  <si>
    <t>DEFERRED CREDITS</t>
  </si>
  <si>
    <t>Fuel Stock</t>
  </si>
  <si>
    <t>Operation</t>
  </si>
  <si>
    <t>Maintenance</t>
  </si>
  <si>
    <t>Total Intangible Plant</t>
  </si>
  <si>
    <t>(Total Intangible + Total Production + Total Transmission + Total Distribution + Total General)</t>
  </si>
  <si>
    <t>Amount</t>
  </si>
  <si>
    <t>Asset Retirement Costs for General Plant</t>
  </si>
  <si>
    <t>204-208</t>
  </si>
  <si>
    <t>Investment in Associated Companies</t>
  </si>
  <si>
    <t>Other Preliminary Survey and Investigation Charges</t>
  </si>
  <si>
    <t>GP Ratio</t>
  </si>
  <si>
    <t>PTDG Ratio</t>
  </si>
  <si>
    <t>TD Ratio</t>
  </si>
  <si>
    <t>GPM Ratio</t>
  </si>
  <si>
    <t>Method</t>
  </si>
  <si>
    <t>Other Power - Fuel</t>
  </si>
  <si>
    <t>500-509</t>
  </si>
  <si>
    <t>517-525</t>
  </si>
  <si>
    <t>Other Power Supply Expenses</t>
  </si>
  <si>
    <t>System Control and Load Dispatching</t>
  </si>
  <si>
    <t>Power Production Expenses:</t>
  </si>
  <si>
    <t>Steam Power Generation</t>
  </si>
  <si>
    <t>Nuclear Power Generation</t>
  </si>
  <si>
    <t>Hydraulic Power Generation</t>
  </si>
  <si>
    <t>Other Power Generation</t>
  </si>
  <si>
    <t>Total Operations less Wheeling</t>
  </si>
  <si>
    <t>Total Maintenance</t>
  </si>
  <si>
    <t>Total Operations</t>
  </si>
  <si>
    <t>Total Customer Accounts</t>
  </si>
  <si>
    <t>Injuries and Damages</t>
  </si>
  <si>
    <t>Employee Pensions &amp; Benefits</t>
  </si>
  <si>
    <t>Franchise Requirements</t>
  </si>
  <si>
    <t>Miscellaneous General Expenses</t>
  </si>
  <si>
    <t>Regulatory Commission Expenses</t>
  </si>
  <si>
    <t>Distribution Plant</t>
  </si>
  <si>
    <t>Total Depreciation and Amortization</t>
  </si>
  <si>
    <t>Distribution Plant:</t>
  </si>
  <si>
    <t>Intangible Plant:</t>
  </si>
  <si>
    <t>LESS:</t>
  </si>
  <si>
    <t>Total Net Plant</t>
  </si>
  <si>
    <t>Nuclear Fuel</t>
  </si>
  <si>
    <t>Other Investment</t>
  </si>
  <si>
    <t>Total Rate Base</t>
  </si>
  <si>
    <t>Nuclear - Maintenance</t>
  </si>
  <si>
    <t>528-532</t>
  </si>
  <si>
    <t>Total Production Expense</t>
  </si>
  <si>
    <t>565</t>
  </si>
  <si>
    <t>Total Transmission Expense</t>
  </si>
  <si>
    <t>Distribution Expense:</t>
  </si>
  <si>
    <t>580-589</t>
  </si>
  <si>
    <t>590-598</t>
  </si>
  <si>
    <t>Total Distribution Expense</t>
  </si>
  <si>
    <t>Customer and Sales Expenses:</t>
  </si>
  <si>
    <t>901-905</t>
  </si>
  <si>
    <t>Total Customer and Sales Expenses</t>
  </si>
  <si>
    <t>Administration and General Expense:</t>
  </si>
  <si>
    <t>Rents</t>
  </si>
  <si>
    <t>Total Administration and General Expenses</t>
  </si>
  <si>
    <t>Total Operations and Maintenance</t>
  </si>
  <si>
    <t>(Weighted Cost of Capital Plus Federal Income Tax Factor)</t>
  </si>
  <si>
    <t>Step 3: Calculate Return on Rate Base</t>
  </si>
  <si>
    <t xml:space="preserve">Transmission Plant  </t>
  </si>
  <si>
    <t>Schedule 1A: Cash Working Capital  (f)</t>
  </si>
  <si>
    <t>Total Transmission O&amp;M (i)</t>
  </si>
  <si>
    <t>Schedule 2: Capital Structure and Rate of Return (b)</t>
  </si>
  <si>
    <t>Transmission Expenses: (i)</t>
  </si>
  <si>
    <t>Public Purpose Charges (h)</t>
  </si>
  <si>
    <t>Revenues from Transmission of Electricity of Others (i)</t>
  </si>
  <si>
    <t>(From Schedule 3b)</t>
  </si>
  <si>
    <t>Contract System Cost</t>
  </si>
  <si>
    <t>Total Contract System Cost</t>
  </si>
  <si>
    <t>Contract System Load (MWh)</t>
  </si>
  <si>
    <t xml:space="preserve">Total Contract System Load </t>
  </si>
  <si>
    <t>(Less)  New Large Single Load Costs (d)</t>
  </si>
  <si>
    <t>Total Retail Load (Net of NLSL) (d)</t>
  </si>
  <si>
    <t>Electric</t>
  </si>
  <si>
    <t>Distribution</t>
  </si>
  <si>
    <t>Customer Accounts</t>
  </si>
  <si>
    <t>Customer Service and Informational</t>
  </si>
  <si>
    <t>Sales</t>
  </si>
  <si>
    <t>Administrative and General</t>
  </si>
  <si>
    <t>Labor Ratio Input:</t>
  </si>
  <si>
    <t>Administrative &amp; General</t>
  </si>
  <si>
    <t>Total Labor</t>
  </si>
  <si>
    <t>Total Distribution O&amp;M</t>
  </si>
  <si>
    <t>Ratio Used</t>
  </si>
  <si>
    <t>MWh Sold</t>
  </si>
  <si>
    <t xml:space="preserve">       TOTAL </t>
  </si>
  <si>
    <t>RATIO  (GP)</t>
  </si>
  <si>
    <t>Production, Transmission, Distribution</t>
  </si>
  <si>
    <t>Transmission Plant</t>
  </si>
  <si>
    <t xml:space="preserve">    PTD Total</t>
  </si>
  <si>
    <t>Intangible Plant - Organization</t>
  </si>
  <si>
    <t>Intangible Plant - Franchises and Consents</t>
  </si>
  <si>
    <t>Transmission, Distribution</t>
  </si>
  <si>
    <t>Labor Ratios</t>
  </si>
  <si>
    <t>Direct to Distribution</t>
  </si>
  <si>
    <t>Direct to Production</t>
  </si>
  <si>
    <t>Direct to Transmission</t>
  </si>
  <si>
    <t>Direct Allocation</t>
  </si>
  <si>
    <t>Production, Transmission, Distribution, General</t>
  </si>
  <si>
    <t>Embedded</t>
  </si>
  <si>
    <t>Effective Cost</t>
  </si>
  <si>
    <t>Capitalization Structure</t>
  </si>
  <si>
    <t>Percent</t>
  </si>
  <si>
    <t>{(ROR – (Embedded Cost of Debt * (Debt / (Total Capital))} * {(Federal Tax Rate / (1- Federal Tax Rate)}</t>
  </si>
  <si>
    <t>Total Customer &amp; Sales</t>
  </si>
  <si>
    <t>Intangible Plant - Miscellaneous</t>
  </si>
  <si>
    <t>Rent from Electric Property</t>
  </si>
  <si>
    <t>Sales of Water and Water Power</t>
  </si>
  <si>
    <t>Miscellaneous Service Revenues</t>
  </si>
  <si>
    <t>Amortization of Acquisition Adjustments</t>
  </si>
  <si>
    <t>Classification</t>
  </si>
  <si>
    <t>Statistical</t>
  </si>
  <si>
    <t>Jurisdictional</t>
  </si>
  <si>
    <t>Multi-Jurisdiction Investor-Owned Utility Return Calculation:</t>
  </si>
  <si>
    <t>Energy (kWh)</t>
  </si>
  <si>
    <t>Gross Plant in Service</t>
  </si>
  <si>
    <t xml:space="preserve"> Accumulated  Depreciation</t>
  </si>
  <si>
    <t xml:space="preserve"> Net Plant In Service</t>
  </si>
  <si>
    <t>Alloc. Plant Materials &amp; Supplies</t>
  </si>
  <si>
    <t>Total "Rate Base"</t>
  </si>
  <si>
    <t>Return on Capital</t>
  </si>
  <si>
    <t>Fuel</t>
  </si>
  <si>
    <t>Allocated A&amp;G</t>
  </si>
  <si>
    <t>Fully Allocated Cost ($)</t>
  </si>
  <si>
    <t>Fully Allocated Cost ($/MWh)</t>
  </si>
  <si>
    <t xml:space="preserve">ASC Transmission </t>
  </si>
  <si>
    <t>Depreciation Expense for Asset Retirement Costs</t>
  </si>
  <si>
    <t>Amortization of Limited Term Electric Plant</t>
  </si>
  <si>
    <t>Regulatory Credits</t>
  </si>
  <si>
    <t xml:space="preserve">Property </t>
  </si>
  <si>
    <t>State Income, B&amp;O, et.</t>
  </si>
  <si>
    <t>Franchise Fees</t>
  </si>
  <si>
    <t>City/Municipal</t>
  </si>
  <si>
    <t>TOTAL TAXES</t>
  </si>
  <si>
    <t>UTILITY NAME:</t>
  </si>
  <si>
    <t>End of Year Report Period:</t>
  </si>
  <si>
    <t>ASC Filing Date:</t>
  </si>
  <si>
    <t>Customer Assistance Expenses (Major only)</t>
  </si>
  <si>
    <t>Distribution Loss Calculation</t>
  </si>
  <si>
    <t>FY</t>
  </si>
  <si>
    <t>Distribution Losses</t>
  </si>
  <si>
    <t>Contract System Load</t>
  </si>
  <si>
    <t>Annual Load Change</t>
  </si>
  <si>
    <t>Rate Period Mid-Point From ASC Tab</t>
  </si>
  <si>
    <t>Online Year</t>
  </si>
  <si>
    <t>Online Month</t>
  </si>
  <si>
    <t>New Resource Switch (Input in ASCs Tab, 1=On, 0=Off)</t>
  </si>
  <si>
    <t>Accnt #</t>
  </si>
  <si>
    <t>EPA Allowances</t>
  </si>
  <si>
    <t>158.1-158.2</t>
  </si>
  <si>
    <t>Steam Expense</t>
  </si>
  <si>
    <t>Steam Power - Op (Excluding 501 - Fuel)</t>
  </si>
  <si>
    <t>Depreciation</t>
  </si>
  <si>
    <t>OK</t>
  </si>
  <si>
    <t>Firm Sales for Resale ($)</t>
  </si>
  <si>
    <t>OSS &amp; PP</t>
  </si>
  <si>
    <t>Firm Sales for Resale (MWh)</t>
  </si>
  <si>
    <t>Expected Annual Generation (MWh)</t>
  </si>
  <si>
    <t>Nuclear Expense</t>
  </si>
  <si>
    <t>Hydraulic Production Plant</t>
  </si>
  <si>
    <t xml:space="preserve">Hydraulic Expense  </t>
  </si>
  <si>
    <t>535-540</t>
  </si>
  <si>
    <t>541-545</t>
  </si>
  <si>
    <t>Other Expense</t>
  </si>
  <si>
    <t>546-550</t>
  </si>
  <si>
    <t>551-554</t>
  </si>
  <si>
    <t>Property Taxes Production</t>
  </si>
  <si>
    <t>Total Production Property</t>
  </si>
  <si>
    <t>NRSW</t>
  </si>
  <si>
    <t>NRCOL</t>
  </si>
  <si>
    <t>Date</t>
  </si>
  <si>
    <t>Functionalization/
Escalation</t>
  </si>
  <si>
    <t>Code</t>
  </si>
  <si>
    <t>Depreciation Reserve</t>
  </si>
  <si>
    <t>Calculation</t>
  </si>
  <si>
    <t xml:space="preserve">Less: Long-Term Portion of Derivative Assets </t>
  </si>
  <si>
    <t xml:space="preserve">Less: Long-Term Portion of Derivative Assets - Hedges </t>
  </si>
  <si>
    <t xml:space="preserve">Prelim. Survey and Investigation Charges (Electric) </t>
  </si>
  <si>
    <t>(less) Long-Term Portion of Derivative Instrument Liabilities</t>
  </si>
  <si>
    <t>(less) Long-Term Portion of Derivative Instrument Liabilities - Hedges</t>
  </si>
  <si>
    <t>Customer assistance expenses (Major only)</t>
  </si>
  <si>
    <t>Schedule 3B: Other Included Items</t>
  </si>
  <si>
    <t>(Less) Regulatory Debits</t>
  </si>
  <si>
    <t>(Less) Loss from Disposition of Utility Plant</t>
  </si>
  <si>
    <t>(Less) Loss from Disposition of Allowances</t>
  </si>
  <si>
    <t>Sale for Resale:</t>
  </si>
  <si>
    <t>NLSL MWh</t>
  </si>
  <si>
    <t>Distribution Loss (f)</t>
  </si>
  <si>
    <t>PTD Ratios</t>
  </si>
  <si>
    <t>PTDG Ratios</t>
  </si>
  <si>
    <t>TD Ratios</t>
  </si>
  <si>
    <t>TDG Ratios</t>
  </si>
  <si>
    <t>LABOR Ratios</t>
  </si>
  <si>
    <t>GP Ratios</t>
  </si>
  <si>
    <t>GPM Ratios</t>
  </si>
  <si>
    <t>Off-System Sales &amp; Power Purchase Calculation</t>
  </si>
  <si>
    <t>Base Data</t>
  </si>
  <si>
    <t>New Resource LT &amp; IT Purchases &amp; Contract Terminations</t>
  </si>
  <si>
    <t>Sales for</t>
  </si>
  <si>
    <t>Resale</t>
  </si>
  <si>
    <t>Currently same as 110000, nothing in 113000</t>
  </si>
  <si>
    <t xml:space="preserve"> LT &amp; IT Purchases ($)</t>
  </si>
  <si>
    <t>New Resources Purchases/Terminations (MWh)</t>
  </si>
  <si>
    <t>New Resource Plant Additions (MWh)</t>
  </si>
  <si>
    <t>New Resource Sales/Terminations (MWh)</t>
  </si>
  <si>
    <t>New Purchases and Resource Adds available to meet load</t>
  </si>
  <si>
    <t>Base ST Purchases (MWh)</t>
  </si>
  <si>
    <t>New resource vs ST Purchases Check</t>
  </si>
  <si>
    <t>Annual ST Purchases (MWh)</t>
  </si>
  <si>
    <t>ST Purchase Power Base Price (This FY, $/MWh)</t>
  </si>
  <si>
    <t>ST Purchased Power $</t>
  </si>
  <si>
    <t>Base ST Sales for Resale (MWh)</t>
  </si>
  <si>
    <t>ST Sales from New Resource Adds (MWh)</t>
  </si>
  <si>
    <t>Annual ST Sales (MWh)</t>
  </si>
  <si>
    <t>ST Sales for Resale ($)</t>
  </si>
  <si>
    <t>ST Sales Power Price ($/MWh)</t>
  </si>
  <si>
    <t>LT &amp; IT Sales for Resale ($)</t>
  </si>
  <si>
    <t>NR Switch</t>
  </si>
  <si>
    <t>NR Column</t>
  </si>
  <si>
    <t>New Resource</t>
  </si>
  <si>
    <t>Purchased Power ($)</t>
  </si>
  <si>
    <t>Total Sale for Resale Credit</t>
  </si>
  <si>
    <t>Steam</t>
  </si>
  <si>
    <t>Name Plate Capacity</t>
  </si>
  <si>
    <t>MW</t>
  </si>
  <si>
    <t>Heat Rate</t>
  </si>
  <si>
    <t>BTU/kWh</t>
  </si>
  <si>
    <t>Unit Cost</t>
  </si>
  <si>
    <t>$/mmBTU</t>
  </si>
  <si>
    <t>Capacity Factor</t>
  </si>
  <si>
    <t>fuel cost</t>
  </si>
  <si>
    <t>Nuclear</t>
  </si>
  <si>
    <t>Hydro</t>
  </si>
  <si>
    <t>Other - Natural Gas</t>
  </si>
  <si>
    <t>Other - Bio -Fuel</t>
  </si>
  <si>
    <t>Other (Wind, Tidal, solar, etc)</t>
  </si>
  <si>
    <t>%Change from Base Case</t>
  </si>
  <si>
    <t>Total Sales &amp; Terminations ($)</t>
  </si>
  <si>
    <t>Total Sales &amp; Terminations (MWh)</t>
  </si>
  <si>
    <t>Total Purchases &amp; Terminations ($)</t>
  </si>
  <si>
    <t>Total Purchases &amp; Terminations (MWh)</t>
  </si>
  <si>
    <t>New Resources Total Expected Annual Generation (MWh)</t>
  </si>
  <si>
    <t>Total Retail Sales @ Meter</t>
  </si>
  <si>
    <t>Purchases from BPA Included in Power Purchases Above</t>
  </si>
  <si>
    <t>Cost</t>
  </si>
  <si>
    <t>PF</t>
  </si>
  <si>
    <t>Slice</t>
  </si>
  <si>
    <t>Schedule 1 - Rate Base</t>
  </si>
  <si>
    <t>TOC</t>
  </si>
  <si>
    <t>é</t>
  </si>
  <si>
    <t>3-YEAR PP &amp; OSS Worksheet</t>
  </si>
  <si>
    <t>Schedule 1A - Cash Working Capital</t>
  </si>
  <si>
    <t>Schedule 2 -Rate of Return</t>
  </si>
  <si>
    <t>Schedule 3 - Expenses</t>
  </si>
  <si>
    <t>Schedule 3A - Taxes</t>
  </si>
  <si>
    <t>Schedule 3B - Other Items</t>
  </si>
  <si>
    <t>Schedule 4 - Average System Cost</t>
  </si>
  <si>
    <t>Load Forecast</t>
  </si>
  <si>
    <t>Distribution Loss Calc</t>
  </si>
  <si>
    <t>Salaries</t>
  </si>
  <si>
    <t>Ratios</t>
  </si>
  <si>
    <t>New Resources- Individual</t>
  </si>
  <si>
    <t>New Resources-Group</t>
  </si>
  <si>
    <t>Materiality - Individual</t>
  </si>
  <si>
    <t>Materiality - Group</t>
  </si>
  <si>
    <t>Tiered Rates</t>
  </si>
  <si>
    <t>NLSL Base New Calculation</t>
  </si>
  <si>
    <t>NLSL Fully Alloc. Cost ($/MWh)</t>
  </si>
  <si>
    <t>Distribution Losses (%)</t>
  </si>
  <si>
    <t>Utility Name</t>
  </si>
  <si>
    <t>BPA Reviews:</t>
  </si>
  <si>
    <t>Table of Contents</t>
  </si>
  <si>
    <t>2008 Average System Cost Methodology (ASCM) Appendix 1</t>
  </si>
  <si>
    <t>Fiscal Year Load Forecast</t>
  </si>
  <si>
    <t>2008 Average System Cost (ASCM) Appendix 1</t>
  </si>
  <si>
    <t>Utility:</t>
  </si>
  <si>
    <t/>
  </si>
  <si>
    <t>Distribution/           Other</t>
  </si>
  <si>
    <t>Distribution/  Other</t>
  </si>
  <si>
    <t>Distribution/      Other</t>
  </si>
  <si>
    <t>Distribution/   Other</t>
  </si>
  <si>
    <t>Distribution/          Other</t>
  </si>
  <si>
    <t>Distribution/            Other</t>
  </si>
  <si>
    <t>Lookback Share-Slice %</t>
  </si>
  <si>
    <t>Lookback Share-Non-Slice %</t>
  </si>
  <si>
    <t>Existing Resources (aMW)</t>
  </si>
  <si>
    <t>Above-RHWM Load (aMW)</t>
  </si>
  <si>
    <t>New Large Single Load (aMW)</t>
  </si>
  <si>
    <t>Total Retail Load (aMW)</t>
  </si>
  <si>
    <t>Fiscal Year MWh</t>
  </si>
  <si>
    <t>Above-RHWM Production Plant</t>
  </si>
  <si>
    <t>Above-RHWM Production Plant percent of Total Prod. Plant</t>
  </si>
  <si>
    <t>Above-RHWM Production Plant O&amp;M</t>
  </si>
  <si>
    <t>Above-RHWM Production Plant O&amp;M percent of Total Prod. Plant O&amp;M</t>
  </si>
  <si>
    <t>(Less)  Above-RHWM Load Costs (d)</t>
  </si>
  <si>
    <t>(Less) Above-RHWM Load</t>
  </si>
  <si>
    <t>With</t>
  </si>
  <si>
    <t>With NLSL and</t>
  </si>
  <si>
    <t>or Above-RHWM Load</t>
  </si>
  <si>
    <t>Above-RHWM Load</t>
  </si>
  <si>
    <t>Removed</t>
  </si>
  <si>
    <t>Above-RHWM</t>
  </si>
  <si>
    <t>NLSL MWH</t>
  </si>
  <si>
    <t>Above-RHWM Load MWh</t>
  </si>
  <si>
    <t>Account 557 Disallowed Amounts</t>
  </si>
  <si>
    <t>Load for Dist Plant Adds</t>
  </si>
  <si>
    <t>Base Period NLSL MWh</t>
  </si>
  <si>
    <t>New NLSL MWh</t>
  </si>
  <si>
    <t>Total NLSL MWh</t>
  </si>
  <si>
    <t>Average Cost of Post-2006 Resources</t>
  </si>
  <si>
    <t>Slice Surplus (aMW)</t>
  </si>
  <si>
    <t>Tier 1</t>
  </si>
  <si>
    <t>BPA Purch-Other</t>
  </si>
  <si>
    <t>Refund Amount</t>
  </si>
  <si>
    <t>A-RHWM Ratios</t>
  </si>
  <si>
    <t>Above-RHWM Base Calc</t>
  </si>
  <si>
    <t>Distribution Loss Percentage</t>
  </si>
  <si>
    <t>Wind Resource Reporting Form</t>
  </si>
  <si>
    <t>Plant Name</t>
  </si>
  <si>
    <t>Year In-Service</t>
  </si>
  <si>
    <t>Number of Turbines</t>
  </si>
  <si>
    <t>Capacity of individual turbine</t>
  </si>
  <si>
    <t>Year Originally Constructed</t>
  </si>
  <si>
    <t>Year Last Unit was Installed</t>
  </si>
  <si>
    <t xml:space="preserve">Total Installed Cap (Max Gen Name Plate Ratings-MW) </t>
  </si>
  <si>
    <t xml:space="preserve">Net Peak Demand on Plant - MW (60 minutes) </t>
  </si>
  <si>
    <t xml:space="preserve">Plant Hours Connected to Load </t>
  </si>
  <si>
    <t xml:space="preserve">Net Continuous Plant Capability (Megawatts) </t>
  </si>
  <si>
    <t>Average Number of Employees</t>
  </si>
  <si>
    <t>Net Generation, Exclusive of Plant Use - kWh</t>
  </si>
  <si>
    <t>Cost of Plant: Land and Land Rights</t>
  </si>
  <si>
    <t>Equipment Costs</t>
  </si>
  <si>
    <t>Asset Retirement Costs</t>
  </si>
  <si>
    <t xml:space="preserve">Total Cost </t>
  </si>
  <si>
    <t xml:space="preserve">Cost per KW of Installed Capacity (line 17/6) </t>
  </si>
  <si>
    <t>Production Expenses: Oper, Supv, &amp; Engr</t>
  </si>
  <si>
    <t>Electric Expenses</t>
  </si>
  <si>
    <t xml:space="preserve">Rents </t>
  </si>
  <si>
    <t>Allowances</t>
  </si>
  <si>
    <t>Maintenance Supervision and Engineering</t>
  </si>
  <si>
    <t>Maintenance of Structures</t>
  </si>
  <si>
    <t xml:space="preserve">Maintenance of Electric Plant </t>
  </si>
  <si>
    <t xml:space="preserve">Total Production Expenses </t>
  </si>
  <si>
    <t xml:space="preserve">Expenses per Net KWh </t>
  </si>
  <si>
    <t>Wind_Resources_Costs</t>
  </si>
  <si>
    <t>Maintenance and Supplies costs included in Above-RHWM Resource costs will be calculated using Above-RHWM Functionalization Ratios.</t>
  </si>
  <si>
    <t>General Plant costs included in Above-RHWM Resource costs will be calculated using Above-RHWM Functionalization Ratios.</t>
  </si>
  <si>
    <t>General Plant Depreciation expense included in Above-RHWM Resource costs will be calculated using Above-RHWM Functionalization Ratios.</t>
  </si>
  <si>
    <t>A &amp; G costs included in Above-RHWM Resource costs will be calculated using Above-RHWM Functionalization Ratios.</t>
  </si>
  <si>
    <t>Federal Employment Taxes included in Above-RHWM Resource costs will be calculated using Above-RHWM Functionalization Ratios.</t>
  </si>
  <si>
    <t>State Employment Taxes included in Above-RHWM Resource costs will be calculated using Above-RHWM Functionalization Ratios.</t>
  </si>
  <si>
    <t>Property Taxes included in Above-RHWM Resource costs will be calculated using Above-RHWM Functionalization Ratios.</t>
  </si>
  <si>
    <t>Annual Output</t>
  </si>
  <si>
    <t>Accumulated Depreciation</t>
  </si>
  <si>
    <t>Base Period MWh</t>
  </si>
  <si>
    <t>Forecast Fiscal Year MWh</t>
  </si>
  <si>
    <t>New Resource Group Number</t>
  </si>
  <si>
    <t>to</t>
  </si>
  <si>
    <t>New Resource Group</t>
  </si>
  <si>
    <t>General Plant-Tran &amp; Dist</t>
  </si>
  <si>
    <t>TDG RATIO</t>
  </si>
  <si>
    <t>Cell E6</t>
  </si>
  <si>
    <t>Change from:</t>
  </si>
  <si>
    <t>Cell E7</t>
  </si>
  <si>
    <t>Average Cost of Post-1979 Base Period Resources</t>
  </si>
  <si>
    <t>Change dates in Sch 1- Rate Base Tab</t>
  </si>
  <si>
    <t>Cell A47</t>
  </si>
  <si>
    <t>Change from</t>
  </si>
  <si>
    <t>Updated all Footers from</t>
  </si>
  <si>
    <t>TIER 1 Load (aMW)</t>
  </si>
  <si>
    <t>In New Resources-Individual and New Resources Group Tabs</t>
  </si>
  <si>
    <t>Cell B3</t>
  </si>
  <si>
    <t>In NLSL_Base_New_Calc Tab</t>
  </si>
  <si>
    <t>In Above-RHWM_Base_New_Calc Tab</t>
  </si>
  <si>
    <t>Federal Income Tax Rate   (21% during Base Period)</t>
  </si>
  <si>
    <t>Pre-slice surplus</t>
  </si>
  <si>
    <t>310-317</t>
  </si>
  <si>
    <t>320-326</t>
  </si>
  <si>
    <t>330-337</t>
  </si>
  <si>
    <t>350-359.1</t>
  </si>
  <si>
    <t>360-374</t>
  </si>
  <si>
    <t>2021 cost of serving NLSLs under Endnote d</t>
  </si>
  <si>
    <t>2021 cost of serving Above-RHWM Loads under Endnote d</t>
  </si>
  <si>
    <t>FY 2024-2025 ASC Filing</t>
  </si>
  <si>
    <t>262-263</t>
  </si>
  <si>
    <t>114-117</t>
  </si>
  <si>
    <t>FunctionalizationDefault</t>
  </si>
  <si>
    <t>FunctionalizationOption</t>
  </si>
  <si>
    <t>Distribution Plant (reserve)</t>
  </si>
  <si>
    <t>Customer Service and Information (906-907)</t>
  </si>
  <si>
    <t>Customer Service and Information (909-910)</t>
  </si>
  <si>
    <t>Amortization of Intangible Plant  - Account 301 (expense)</t>
  </si>
  <si>
    <t>Amortization of Intangible Plant  - Account 302 (expense)</t>
  </si>
  <si>
    <t>Amortization of Intangible Plant  - Account 303 (expense)</t>
  </si>
  <si>
    <t>Steam Production Plant (expense)</t>
  </si>
  <si>
    <t>Nuclear Production Plant (expense)</t>
  </si>
  <si>
    <t>Other Production Plant (expense)</t>
  </si>
  <si>
    <t>Transmission Plant (i) (expense)</t>
  </si>
  <si>
    <t>Distribution Plant (expense)</t>
  </si>
  <si>
    <t>General Plant (expense)</t>
  </si>
  <si>
    <t>Common Plant - Electric - Account 403</t>
  </si>
  <si>
    <t>Common Plant - Electric - Account 404</t>
  </si>
  <si>
    <t>(Less)  Above-RHWM Costs (d)</t>
  </si>
  <si>
    <t>Above-</t>
  </si>
  <si>
    <t>RHWM MWh</t>
  </si>
  <si>
    <t>Production (labor)</t>
  </si>
  <si>
    <t>Transmission (labor)</t>
  </si>
  <si>
    <t>Distribution (labor)</t>
  </si>
  <si>
    <t>Customer Accounts (labor)</t>
  </si>
  <si>
    <t>Customer Service and Informational (labor)</t>
  </si>
  <si>
    <t>Sales (labor)</t>
  </si>
  <si>
    <t>Administrative &amp; General (labor)</t>
  </si>
  <si>
    <t>AccountName</t>
  </si>
  <si>
    <t>Utility</t>
  </si>
  <si>
    <t>SystemCost</t>
  </si>
  <si>
    <t>SystemLoad</t>
  </si>
  <si>
    <t>ASC</t>
  </si>
  <si>
    <t>In Schedule 1 - Rate Base</t>
  </si>
  <si>
    <t xml:space="preserve">FY 2026-2028 ASC Appendix 1 </t>
  </si>
  <si>
    <t>2023 cost of serving NLSLs under Endnote d</t>
  </si>
  <si>
    <t>2023 cost of serving Above-RHWM Loads under Endnote d</t>
  </si>
  <si>
    <t>Midpoint is different because of the three year rate period</t>
  </si>
  <si>
    <t>340-348</t>
  </si>
  <si>
    <t>Check all account numbers</t>
  </si>
  <si>
    <t>PUGET SOUND ENERGY-ELECTRIC</t>
  </si>
  <si>
    <t>PRO FORMA COST OF CAPITAL</t>
  </si>
  <si>
    <t>CONVERSION FACTOR</t>
  </si>
  <si>
    <t>LINE</t>
  </si>
  <si>
    <t>PRO FORMA</t>
  </si>
  <si>
    <t>COST</t>
  </si>
  <si>
    <t>COST OF</t>
  </si>
  <si>
    <t>NO.</t>
  </si>
  <si>
    <t>DESCRIPTION</t>
  </si>
  <si>
    <t>CAPITAL %</t>
  </si>
  <si>
    <t>CAPITAL</t>
  </si>
  <si>
    <t>RATE</t>
  </si>
  <si>
    <t>SHORT &amp; LONG TERM DEBT</t>
  </si>
  <si>
    <t>BAD DEBTS</t>
  </si>
  <si>
    <t>EQUITY</t>
  </si>
  <si>
    <t>ANNUAL FILING FEE</t>
  </si>
  <si>
    <t>TOTAL COST OF CAPITAL</t>
  </si>
  <si>
    <t>STATE UTILITY TAX ( 3.8734% - ( LINE 1 * 3.8734% )  )</t>
  </si>
  <si>
    <t>AFTER TAX DEBT</t>
  </si>
  <si>
    <t>SUM OF TAXES OTHER</t>
  </si>
  <si>
    <t>TOTAL AFTER TAX COST OF CAPITAL</t>
  </si>
  <si>
    <t>CONVERSION FACTOR EXCLUDING FEDERAL INCOME TAX ( 1 - LINE 5 )</t>
  </si>
  <si>
    <t>FEDERAL INCOME TAX ( LINE 7  * 21% )</t>
  </si>
  <si>
    <t xml:space="preserve">CONVERSION FACTOR INCL FEDERAL INCOME TAX ( LINE 7 - LINE 8 ) </t>
  </si>
  <si>
    <t>After Tax Cost of Capital Grossed Up for Taxes</t>
  </si>
  <si>
    <t>Electric four Factor</t>
  </si>
  <si>
    <t>Gas four factor</t>
  </si>
  <si>
    <t>*</t>
  </si>
  <si>
    <t>*Cross check to FERC p356 Common Plant</t>
  </si>
  <si>
    <t>FERC Form 1 Pages 356 and 356.1 Common Plant and Exp 403 Depreciation Amount</t>
  </si>
  <si>
    <t>PUGET SOUND ENERGY-ELECTRIC &amp; GAS</t>
  </si>
  <si>
    <t>FOR THE TWELVE MONTHS ENDED DECEMBER 31, 2021</t>
  </si>
  <si>
    <t>ALLOCATION METHODS</t>
  </si>
  <si>
    <t>Gas</t>
  </si>
  <si>
    <t>12 Month Average Number of Customers</t>
  </si>
  <si>
    <t>Joint Meter Reading Customers</t>
  </si>
  <si>
    <t>Non-Production Plant</t>
  </si>
  <si>
    <t xml:space="preserve"> Distribution</t>
  </si>
  <si>
    <t xml:space="preserve"> Transmission </t>
  </si>
  <si>
    <t xml:space="preserve"> Direct General Plant</t>
  </si>
  <si>
    <t>4-Factor Allocator</t>
  </si>
  <si>
    <t xml:space="preserve">  </t>
  </si>
  <si>
    <t xml:space="preserve">     Number of Customers</t>
  </si>
  <si>
    <t xml:space="preserve">     Percent</t>
  </si>
  <si>
    <t xml:space="preserve">     Labor - Direct Charge to O&amp;M</t>
  </si>
  <si>
    <t xml:space="preserve">     T&amp;D O&amp;M Expense (Less Labor)</t>
  </si>
  <si>
    <t xml:space="preserve">     Net Classified Plant (Excluding General (Common) Plant)</t>
  </si>
  <si>
    <t>Total Percentages</t>
  </si>
  <si>
    <t>Employee Benefits</t>
  </si>
  <si>
    <t>Direct Labor Accts 500-935</t>
  </si>
  <si>
    <t>O&amp;M Split</t>
  </si>
  <si>
    <t>Combined</t>
  </si>
  <si>
    <t>Non-Utility</t>
  </si>
  <si>
    <t>Capital</t>
  </si>
  <si>
    <t>Percent Total</t>
  </si>
  <si>
    <t xml:space="preserve">Puget Sound Energy </t>
  </si>
  <si>
    <t>Balance Sheet Detail</t>
  </si>
  <si>
    <t>RB Adj Direct Summary</t>
  </si>
  <si>
    <t>Electric Four Factor</t>
  </si>
  <si>
    <t>Gas Four Factor</t>
  </si>
  <si>
    <t>December Electric Balance</t>
  </si>
  <si>
    <t>FERC Acct</t>
  </si>
  <si>
    <t>Sub Acct</t>
  </si>
  <si>
    <t>Co. Code</t>
  </si>
  <si>
    <t>Account Description</t>
  </si>
  <si>
    <t>Gas portion of Common</t>
  </si>
  <si>
    <t>Cross check</t>
  </si>
  <si>
    <t>PSE Notes</t>
  </si>
  <si>
    <t>cross check</t>
  </si>
  <si>
    <t>Landis-Gyr Capital Lease</t>
  </si>
  <si>
    <t>Printer Cap Lease</t>
  </si>
  <si>
    <t xml:space="preserve"> Finance Lease - Electric</t>
  </si>
  <si>
    <t>Capital, Property Leases</t>
  </si>
  <si>
    <t>101.1 Total</t>
  </si>
  <si>
    <t>Electric - Plant Acq Adj. Milwaukee RR</t>
  </si>
  <si>
    <t>Electric - Plant Acq Adj. DuPont</t>
  </si>
  <si>
    <t>Acquisition Adjustment - Encogen</t>
  </si>
  <si>
    <t>Mint Farm - Electric Plant Acquisition Adjustments</t>
  </si>
  <si>
    <t>Whitehorn - Electric Plant Acquisition</t>
  </si>
  <si>
    <t>Ferndale - Electric Plant Acquistion Adjust</t>
  </si>
  <si>
    <t>114 Total</t>
  </si>
  <si>
    <t>Accum Amort Acq Adj. Milwaukee RR - Electric</t>
  </si>
  <si>
    <t>Accum Amort Acq Adj. DuPont - Electric</t>
  </si>
  <si>
    <t>Accumulated Amort Acqu Adj. - Encogen</t>
  </si>
  <si>
    <t>Accum Amort Acquis Adjust - Mint Farm</t>
  </si>
  <si>
    <t>Accum Amort Acquis Adjust - Whitehorn</t>
  </si>
  <si>
    <t>Accum Amort Acquis Adjust - Ferndale</t>
  </si>
  <si>
    <t>115 Total</t>
  </si>
  <si>
    <t>Invest in Assoc.-Other than Rainier Receivables</t>
  </si>
  <si>
    <t>EXCLUDE</t>
  </si>
  <si>
    <t>123 Total</t>
  </si>
  <si>
    <t>*Cross check to FERC p110-111 Assets</t>
  </si>
  <si>
    <t>2008 Storm Excess Costs</t>
  </si>
  <si>
    <t>12/13/2006 Storm - 10 yr Amort</t>
  </si>
  <si>
    <t>2006 Storm - 4 yr Amort</t>
  </si>
  <si>
    <t>2007 Storm - 4 yr Amort</t>
  </si>
  <si>
    <t>2010 Storm Excess Costs</t>
  </si>
  <si>
    <t>2008 Storm - 4 yr Amortization</t>
  </si>
  <si>
    <t>2012 Storm Excess Costs</t>
  </si>
  <si>
    <t>2010 Storm - 4 Yr Amortization</t>
  </si>
  <si>
    <t>2014 Storm Excess Costs</t>
  </si>
  <si>
    <t>18210311-2015 Storm Excess Costs</t>
  </si>
  <si>
    <t>2016 Storm Excess Costs</t>
  </si>
  <si>
    <t>2017 StormExcsCst</t>
  </si>
  <si>
    <t>2017 StormAmortRecov</t>
  </si>
  <si>
    <t>2018 StormExcsCst</t>
  </si>
  <si>
    <t>2019 StormExcsCst</t>
  </si>
  <si>
    <t> </t>
  </si>
  <si>
    <t>2020 Storm Excess Costs</t>
  </si>
  <si>
    <t>Follows historical treatment</t>
  </si>
  <si>
    <t xml:space="preserve"> 2021 Storm Excess Costs</t>
  </si>
  <si>
    <t xml:space="preserve"> 2022 Storm Excess Costs</t>
  </si>
  <si>
    <t>&lt;&lt;NEW</t>
  </si>
  <si>
    <t>182.1 Total</t>
  </si>
  <si>
    <t>White River Plant Costs Reg Asset</t>
  </si>
  <si>
    <t>White River Land Reg Asset</t>
  </si>
  <si>
    <t>White River Accum Depreciation to 1/15/</t>
  </si>
  <si>
    <t>White River Accum Amort. from 1/16/04 R</t>
  </si>
  <si>
    <t>Proceeds from CWA for White River Plant Sale</t>
  </si>
  <si>
    <t>Upper Baker - Unrecovered Plant &amp; Reg. Study Costs</t>
  </si>
  <si>
    <t>Electron Unrecovered Loss</t>
  </si>
  <si>
    <t xml:space="preserve"> Colstrip 1&amp;2 – Unrecovered Plant at Retirement</t>
  </si>
  <si>
    <t>offset by Account 18220121</t>
  </si>
  <si>
    <t xml:space="preserve"> Contra PTCs Monetized for Unrec plant Colstrip 1&amp;2</t>
  </si>
  <si>
    <t>offset by Account 18220111</t>
  </si>
  <si>
    <t>182.2 Total</t>
  </si>
  <si>
    <t>Regulatory Asset</t>
  </si>
  <si>
    <t>GAS</t>
  </si>
  <si>
    <t>Electric Conservation not in RB</t>
  </si>
  <si>
    <t>Electric - Def AFUDC - Regulatory Asset</t>
  </si>
  <si>
    <t>Gas Conservation - Tracker Programs</t>
  </si>
  <si>
    <t>Electric - Colstrip Common FERC Adj - Reg Ass</t>
  </si>
  <si>
    <t>UG950288 DSM Tracker Balance</t>
  </si>
  <si>
    <t>Electric - Accum Amort Colstrip Common FERC A</t>
  </si>
  <si>
    <t>Electric - Colstrip Def Depr FERC Adj - Reg A</t>
  </si>
  <si>
    <t>Electric - BPA Power Exch Invstmt - Reg Asset</t>
  </si>
  <si>
    <t>Electric - BPA Power Exch Inv Amort - Reg Ass</t>
  </si>
  <si>
    <t>Electric - SFAS106 Post Ret Bene - Reg Asset</t>
  </si>
  <si>
    <t>Env Rem - UG Tank - Whidbey Is. (Future</t>
  </si>
  <si>
    <t>EnvRemRecov–G170034</t>
  </si>
  <si>
    <t>Env Rem - UG Tank - Tenino (Future Cost</t>
  </si>
  <si>
    <t>Chelan PUD Contract Initiation</t>
  </si>
  <si>
    <t>White River Proj. - CWA AOA- Reg Asset</t>
  </si>
  <si>
    <t>Gas Conservation - Equity Kicker on Low Inc P</t>
  </si>
  <si>
    <t>EnvRemRecov–E 170033</t>
  </si>
  <si>
    <t>Gas Rental Equip Pipe &amp; Vent UE-001315</t>
  </si>
  <si>
    <t>Gas Rental Equip Pipe &amp; Vent Amortize U</t>
  </si>
  <si>
    <t>Residential Exchange Carrying Costs UE-</t>
  </si>
  <si>
    <t>PLR EDIT Electric</t>
  </si>
  <si>
    <t>PLR EDIT Gas</t>
  </si>
  <si>
    <t>Credit Card Deferral - UE-170033</t>
  </si>
  <si>
    <t xml:space="preserve"> Credit Card Deferral - UG-170034</t>
  </si>
  <si>
    <t>Cons Costs NIRB - 1998 Conservation Rider</t>
  </si>
  <si>
    <t>FAS 109 Taxes</t>
  </si>
  <si>
    <t>White River Salvage</t>
  </si>
  <si>
    <t>PCA Company Portion</t>
  </si>
  <si>
    <t>offset by account 18230781</t>
  </si>
  <si>
    <t>PCA Co Portion-Contr</t>
  </si>
  <si>
    <t>offset by account 18230771</t>
  </si>
  <si>
    <t>PCA Customer Portion</t>
  </si>
  <si>
    <t>ERB UE-200893 (19 GRC, Non Op)</t>
  </si>
  <si>
    <t>Virtual Right of Way</t>
  </si>
  <si>
    <t xml:space="preserve"> GTZ Depr Tranche 1 (Gas)</t>
  </si>
  <si>
    <t xml:space="preserve"> GTZ Depr Tranche 1 Carrying Charges Balance (Gas)</t>
  </si>
  <si>
    <t>White River Land Sales Costs</t>
  </si>
  <si>
    <t>GTZ Depr Tranche 1a (Gas)</t>
  </si>
  <si>
    <t>GTZ Depr Tranche 1a Carrying Charges Balance (Gas)</t>
  </si>
  <si>
    <t>Goldendale - Def Asset Prepaid Exp. - Plant Major Maint.</t>
  </si>
  <si>
    <t>Mint Farm Combustion Turbibe Inspec-Pre. Maj. Maint.</t>
  </si>
  <si>
    <t>Sumas - 2010 Hot Gas Path Insp. Ppd. Major Maint.</t>
  </si>
  <si>
    <t>PCA YR #10 Gross</t>
  </si>
  <si>
    <t>18231051 &amp; 18231061 offset</t>
  </si>
  <si>
    <t>PCA YR #10 Gross Con</t>
  </si>
  <si>
    <t>GLD - 2011 Hot Gas Path Ppd Major Maint.</t>
  </si>
  <si>
    <t>PCA YR #11 Gross</t>
  </si>
  <si>
    <t>18231081 &amp; 18231091 offset</t>
  </si>
  <si>
    <t>PCA YR #11 Gross Con</t>
  </si>
  <si>
    <t>PCA YR #12 Gross</t>
  </si>
  <si>
    <t>18231141 &amp; 18231151 offset</t>
  </si>
  <si>
    <t>PCA YR #12 Gross Con</t>
  </si>
  <si>
    <t>PCA YR #13 Gross</t>
  </si>
  <si>
    <t>18231161 &amp; 18231171 offset</t>
  </si>
  <si>
    <t>PCA YR #13 Gross Con</t>
  </si>
  <si>
    <t>PCA YR #14 Gross</t>
  </si>
  <si>
    <t>18231181 &amp; 18231191 offset</t>
  </si>
  <si>
    <t>PCA YR #14 Gross Con</t>
  </si>
  <si>
    <t>Env Rem-White Rvr/Buckley Ph I Head Fut</t>
  </si>
  <si>
    <t>Env Rem-White Rvr/Buckley Ph I Headwork</t>
  </si>
  <si>
    <t xml:space="preserve"> PCA YR #17 Gross</t>
  </si>
  <si>
    <t>18231261 &amp; 18231271 offset</t>
  </si>
  <si>
    <t xml:space="preserve"> PCA YR#17 .Gross-Contr</t>
  </si>
  <si>
    <t xml:space="preserve"> PCA YR #18 – Gross</t>
  </si>
  <si>
    <t>18231281 &amp; 18231291 offset</t>
  </si>
  <si>
    <t xml:space="preserve"> PCA YR#18 Gross - Co</t>
  </si>
  <si>
    <t>Env Rem - Buckely Headworks Site Est Fu</t>
  </si>
  <si>
    <t>Buckley Ph II Burn Pile &amp; Wood Debris E</t>
  </si>
  <si>
    <t>Env Rem - Duwamish River Site (Future Cost Est.)</t>
  </si>
  <si>
    <t>Env Rem - Duwamish River Site (former G</t>
  </si>
  <si>
    <t>LSR Deposit Def UE-100882</t>
  </si>
  <si>
    <t>LSR Def Carrying Costs UE-100882</t>
  </si>
  <si>
    <t>Colstrip 1&amp;2 WeCo Coal Reserve Payment UE-111048</t>
  </si>
  <si>
    <t>LSR Def Phase 1 UE-111048</t>
  </si>
  <si>
    <t>Env Rem - UG Tank -Poulsbo Service Cent</t>
  </si>
  <si>
    <t>Tenino Service Center - UG Tank - Env</t>
  </si>
  <si>
    <t>Env Rem - Factoria UST Def Site</t>
  </si>
  <si>
    <t>Mint Farm Deferral - UE-090704</t>
  </si>
  <si>
    <t>White River Relicensing - UE-040641</t>
  </si>
  <si>
    <t>Env Rem - UG Tank - Estimated Future Co</t>
  </si>
  <si>
    <t>White River Safety &amp; Regulatory - UE-040641</t>
  </si>
  <si>
    <t>White River Water Rights - UE-040641</t>
  </si>
  <si>
    <t>White River Relicensing - UE-040641 - Post Jan 15, 2004</t>
  </si>
  <si>
    <t>White River Safety &amp; Regulatory - UE-040641 - Post Jan 15, 2004</t>
  </si>
  <si>
    <t>White River Water Rights - UE-040641 - Post Jan 15, 2004</t>
  </si>
  <si>
    <t>WHR Land Sales Cost</t>
  </si>
  <si>
    <t>WHR-Processing Costs-Readying For Sale</t>
  </si>
  <si>
    <t>White River Surplus Land Sales</t>
  </si>
  <si>
    <t>Env Rem - Swarr Station</t>
  </si>
  <si>
    <t>Env Rem - South Seattle GS</t>
  </si>
  <si>
    <t>Env Rem - North Tacoma Gate Station</t>
  </si>
  <si>
    <t>Env Rem - North Seattle Gate Station</t>
  </si>
  <si>
    <t>Env Rem - Covington Gate Station</t>
  </si>
  <si>
    <t>E Decoup Rev Underco</t>
  </si>
  <si>
    <t>E FPC Decoup Rev Und</t>
  </si>
  <si>
    <t>IntE FPC Decoup Rev  USD</t>
  </si>
  <si>
    <t>E FPC Decoup Rev Rec</t>
  </si>
  <si>
    <t>E Dcoup Underco 8&amp;24</t>
  </si>
  <si>
    <t>E Dcoup Undercol Sch</t>
  </si>
  <si>
    <t>E Dcoup Undercoll 40</t>
  </si>
  <si>
    <t>E FPC Dcoup Und Sch7</t>
  </si>
  <si>
    <t>E FPC Decoup Und Sch</t>
  </si>
  <si>
    <t>E FPC Dcoup Und 8&amp;24</t>
  </si>
  <si>
    <t>E FPC DcoupUnd 10&amp;31</t>
  </si>
  <si>
    <t>E FPC DcoupUnd 12&amp;26</t>
  </si>
  <si>
    <t>E FPC Decoup Und 40</t>
  </si>
  <si>
    <t xml:space="preserve"> G DcoupUnderco31&amp;31T</t>
  </si>
  <si>
    <t>G Decoup Underco Sch</t>
  </si>
  <si>
    <t>IntE Dcoup Und 8&amp;24</t>
  </si>
  <si>
    <t xml:space="preserve"> IntE Decoup Und Sch</t>
  </si>
  <si>
    <t>IntE DecoupUnd Sch40</t>
  </si>
  <si>
    <t xml:space="preserve"> IntE FPC DecoupUnd 7</t>
  </si>
  <si>
    <t xml:space="preserve"> IntE FPC DcoupUn Sch</t>
  </si>
  <si>
    <t xml:space="preserve"> IntE FPC DcoupU 8&amp;24</t>
  </si>
  <si>
    <t xml:space="preserve"> IntE FPC DcopUn10&amp;31</t>
  </si>
  <si>
    <t>IntE FPC DcopUn12&amp;26</t>
  </si>
  <si>
    <t>IntE FPC DcoupUnc 40</t>
  </si>
  <si>
    <t xml:space="preserve"> IntE DcoupUndco46&amp;49</t>
  </si>
  <si>
    <t>IntG DecoupUn 31&amp;31T</t>
  </si>
  <si>
    <t>E Decoup Recov 46&amp;49</t>
  </si>
  <si>
    <t>IntG Decoup Und Sch</t>
  </si>
  <si>
    <t>E Decoup Recove 8&amp;24</t>
  </si>
  <si>
    <t>E Decoup Recover Sch</t>
  </si>
  <si>
    <t>E Decoup Recover 40</t>
  </si>
  <si>
    <t>E FPC Decoup Rec 7</t>
  </si>
  <si>
    <t xml:space="preserve"> E FPC Dcoup Rec Sch</t>
  </si>
  <si>
    <t xml:space="preserve"> E FPC Decoup Rec8&amp;24</t>
  </si>
  <si>
    <t xml:space="preserve"> E FPC Decoup Rev Recover - Sch 10 &amp; 31</t>
  </si>
  <si>
    <t xml:space="preserve"> E FPC DecoupRec21&amp;26</t>
  </si>
  <si>
    <t xml:space="preserve"> E FPC Decoup Rec 40</t>
  </si>
  <si>
    <t>G DecoupRecov 31&amp;31T</t>
  </si>
  <si>
    <t>G Decoup Recover Sch</t>
  </si>
  <si>
    <t>Schedule 140 Prior Year Electric</t>
  </si>
  <si>
    <t>Current Assets/ Working Capital</t>
  </si>
  <si>
    <t>Schedule 140 Prior Year Gas</t>
  </si>
  <si>
    <t>Schedule 140 Current Year Electric</t>
  </si>
  <si>
    <t>Schedule 140 Current Year Gas</t>
  </si>
  <si>
    <t>Elec Residential Decoupling Revenue Undercollected</t>
  </si>
  <si>
    <t>Gas Residential Decoupling Revenue Undercollected</t>
  </si>
  <si>
    <t>Elec Non-Residential Decoupling Revenue Undercollected</t>
  </si>
  <si>
    <t>Gas Non-Residential Decoupling Revenue Undercollected</t>
  </si>
  <si>
    <t>Int. on Elec Residential Decoupl Rev Undercollected</t>
  </si>
  <si>
    <t>Int. on Gas Residential Decoupl Rev Undercollected</t>
  </si>
  <si>
    <t>Int. on Elec Non-Residential Decoupl Rev Undercollected</t>
  </si>
  <si>
    <t>Int. on Gas Non-Residential Decoupl Rev Undercollected</t>
  </si>
  <si>
    <t>Electric Schedule 26 Decoupling Revenue Undercollected</t>
  </si>
  <si>
    <t>Electric Schedule 31 Decoupling Revenue Undercollected</t>
  </si>
  <si>
    <t>Electric - Incurrent EES Costs , But not Paid</t>
  </si>
  <si>
    <t>Gas - Incurred EES Costs, but not Paid</t>
  </si>
  <si>
    <t>Interest on Elec Schedule 26 Decoupling</t>
  </si>
  <si>
    <t>Interest on Elec Schedule 31 Decoupling</t>
  </si>
  <si>
    <t>Non-Residential Decoupling Rev Sch 85&amp;87</t>
  </si>
  <si>
    <t>Ferndale Reg Asset UE-130617</t>
  </si>
  <si>
    <t>Baker Reg Asset UE-130617</t>
  </si>
  <si>
    <t>Snoqualmie Reg Asset UE-130617</t>
  </si>
  <si>
    <t>Low Income Grants - Electric</t>
  </si>
  <si>
    <t>Low Income Grants - Gas</t>
  </si>
  <si>
    <t>PSE Low Income Program Costs - Electric</t>
  </si>
  <si>
    <t>PSE Low Income Program Costs - Gas</t>
  </si>
  <si>
    <t>PSE Low Inc  -Common</t>
  </si>
  <si>
    <t>Low Income Agency Admin Fees - Electric</t>
  </si>
  <si>
    <t>Low Income Agency Admin Fees - Gas</t>
  </si>
  <si>
    <t>Low Inc Admin-Common</t>
  </si>
  <si>
    <t>Contra Low Income Program - Electric</t>
  </si>
  <si>
    <t>Contra Low Income Program - Gas</t>
  </si>
  <si>
    <t>EnvRemCostsGas170034</t>
  </si>
  <si>
    <t>Reg Asset - Credit Card Fee Deferral</t>
  </si>
  <si>
    <t>AMI Dep Exp Def Gas</t>
  </si>
  <si>
    <t>PCA Customer Portion - Interest</t>
  </si>
  <si>
    <t>ERB UE-200893 (19 GRC, Non Op), historical treatment of PCA is PROD</t>
  </si>
  <si>
    <t>AMI Dep Exp Def Gas  U</t>
  </si>
  <si>
    <t>CVD-19 Help-Gas</t>
  </si>
  <si>
    <t>Sch 142 Elec Residential to Recover fro</t>
  </si>
  <si>
    <t>Sch 142 Gas Residential to Recover from</t>
  </si>
  <si>
    <t>Sch 142 Elec Non-Residential to Recover</t>
  </si>
  <si>
    <t>Sch 142 Gas Non-Residential to Recover</t>
  </si>
  <si>
    <t>Sch 142 Elec Schedule 26 to Recover fro</t>
  </si>
  <si>
    <t>Contra CVD-19 Help-Gas</t>
  </si>
  <si>
    <t>Blocked-Sch142 ElecSched 31 to RecovfrC</t>
  </si>
  <si>
    <t>PCA YR #15 Gross</t>
  </si>
  <si>
    <t>18239121 &amp; 18239131 offset</t>
  </si>
  <si>
    <t>PCA YR #15 Gross Con</t>
  </si>
  <si>
    <t>PCA YR #16 Gross</t>
  </si>
  <si>
    <t>18239141 &amp; 18239151 offset</t>
  </si>
  <si>
    <t>PCA YR 16 Gross Cont</t>
  </si>
  <si>
    <t>PCA Fixed Cost Defer</t>
  </si>
  <si>
    <t>Non-Op, UE-161112</t>
  </si>
  <si>
    <t>EnvRemCostElec170033</t>
  </si>
  <si>
    <t>White River Reg Asse</t>
  </si>
  <si>
    <t>Env Rem - Poulsbo SVC UST</t>
  </si>
  <si>
    <t>AMI Depreciation Expense Deferral - Electric</t>
  </si>
  <si>
    <t>EV Return on Rate deferral</t>
  </si>
  <si>
    <t>EV Deprec. Expense &amp; operating/power cost deferral</t>
  </si>
  <si>
    <t>EV Carrying charges deferral</t>
  </si>
  <si>
    <t>Env Rem - Factoria SVC UG Tank</t>
  </si>
  <si>
    <t>AMI Depreciation Expense Def - Elec - Post 07/2019</t>
  </si>
  <si>
    <t>Per 2018 ERF filing UE-180899 and UG-180900</t>
  </si>
  <si>
    <t>Env Rem - Factoria Service Cntr (Future Cost Est)</t>
  </si>
  <si>
    <t xml:space="preserve">PCA YR #19 Gross </t>
  </si>
  <si>
    <t>ERB UE-200893, Non-Op, 18239281 &amp; 18239281 net to zero</t>
  </si>
  <si>
    <t>PCA YR #19 Gross - Contra</t>
  </si>
  <si>
    <t>COVID-19 Help - Elec</t>
  </si>
  <si>
    <t>COVID-19 Help 2 - Elec</t>
  </si>
  <si>
    <t>Sch. SC Decoupling Refund/Surcharge Amortization</t>
  </si>
  <si>
    <t>Current Sch. SC Decoupling Deferral</t>
  </si>
  <si>
    <t>Interest on Sch. SC Decoupling Deferral</t>
  </si>
  <si>
    <t>Contra COVID-19 Help - Elec</t>
  </si>
  <si>
    <t>E Decoup Rev Recover - Sch 7 – 2019 GRC</t>
  </si>
  <si>
    <t>E FPC Decoup Rev Recover - Sch 7 – 2019 GRC</t>
  </si>
  <si>
    <t>E Decoup Rev Recov-Sch 7A,11,25,29,35&amp;43-2019 GRC</t>
  </si>
  <si>
    <t>E Decoup Rev Recover - Sch 8 &amp; 24 – 2019 GRC</t>
  </si>
  <si>
    <t>E FPC Decoup Rev Recover - Sch 8 &amp; 24 – 2019 GRC</t>
  </si>
  <si>
    <t>E Decoup Rev Recover - Sch 10 &amp; 31 – 2019 GRC</t>
  </si>
  <si>
    <t>E FPC Decoup Rev Recover - Sch 10 &amp; 31 – 2019 GRC</t>
  </si>
  <si>
    <t>E Decoup Rev Recover - Sch 12 &amp; 26 – 2019 GRC</t>
  </si>
  <si>
    <t>E FPC Decoup Rev Recover - Sch 12 &amp; 26 – 2019 GRC</t>
  </si>
  <si>
    <t>E Decoup Rev Recover - Sch SC – 2019 GRC</t>
  </si>
  <si>
    <t>GTZ Depr Tranche 1 (Elec)</t>
  </si>
  <si>
    <t>GTZ Depr Tranche 1 Carrying Charges Balance (Elec)</t>
  </si>
  <si>
    <t>Reg Asset - Unit 1&amp;2 D&amp;R Exp</t>
  </si>
  <si>
    <t>ERB, UE-190529, 18239501 &amp; 18601091 net to zero</t>
  </si>
  <si>
    <t>Reg Asset - Unit 3&amp;4 D&amp;R Exp</t>
  </si>
  <si>
    <t>Non-Op, 18239511 &amp; 18601101 net to zero</t>
  </si>
  <si>
    <t>PCA- Customer Portion Recovery UE-200893</t>
  </si>
  <si>
    <t>ERB UE-200893</t>
  </si>
  <si>
    <t>PCA- Interest on Customer Portion Recovery Balance</t>
  </si>
  <si>
    <t>ERB UE-200893, Non-Op</t>
  </si>
  <si>
    <t>PCA YR #20 – Gross</t>
  </si>
  <si>
    <t>ERB UE-200893, Non-Op, 18239561 &amp; 18239571 net to zero</t>
  </si>
  <si>
    <t xml:space="preserve"> PCA YR #20 Gross - Contra</t>
  </si>
  <si>
    <t xml:space="preserve">  SPI Biomass UE-200980</t>
  </si>
  <si>
    <t>ERB, UE-200980</t>
  </si>
  <si>
    <t xml:space="preserve"> Unit 1&amp;2 ARC &amp; Accretion Exp</t>
  </si>
  <si>
    <t>ERB, 18239611 &amp; 18609931 net to zero</t>
  </si>
  <si>
    <t>PCA YR #21 – Gross</t>
  </si>
  <si>
    <t>Offset by account 18239631</t>
  </si>
  <si>
    <t>PCA YR #21 Gross - Contra</t>
  </si>
  <si>
    <t>Offset by account 18239621</t>
  </si>
  <si>
    <t>GTZ Depr Tranche 1a (Elec)</t>
  </si>
  <si>
    <t>LNG Dep Exp Deferral</t>
  </si>
  <si>
    <t>GTZ Depr Tranche 1a Carrying Charges Balance(Elec)</t>
  </si>
  <si>
    <t xml:space="preserve"> LNG O&amp;M Exp Deferral</t>
  </si>
  <si>
    <t>182.3 Total</t>
  </si>
  <si>
    <t>Misc Deferred Debits - Gas</t>
  </si>
  <si>
    <t>OWIP - Electric - Non-Temp Facility &amp; Damage</t>
  </si>
  <si>
    <t>JO2 Job Orders Non-Temp Facilities</t>
  </si>
  <si>
    <t>IWM Gas Damage Claims</t>
  </si>
  <si>
    <t xml:space="preserve"> COVID-19 Help 3 Prog – Gas</t>
  </si>
  <si>
    <t xml:space="preserve"> Contra COVID-19 Help 3 - Gas</t>
  </si>
  <si>
    <t>ZCLM Damage Claim Orders</t>
  </si>
  <si>
    <t>Gas - Misc Def Debits</t>
  </si>
  <si>
    <t>CEO1 186 Orders Billed by G/L</t>
  </si>
  <si>
    <t>Def Debits - Misc Def Debits</t>
  </si>
  <si>
    <t>Residential Exchange - Misc Deferred De</t>
  </si>
  <si>
    <t>$650M Liquidity Cred</t>
  </si>
  <si>
    <t>IBNR for Workers Comp</t>
  </si>
  <si>
    <t>$600M Sr Note IssuCo</t>
  </si>
  <si>
    <t xml:space="preserve"> Debt Issuance Cost 9/2021</t>
  </si>
  <si>
    <t>PGA FAS 133 Unrealized Loss</t>
  </si>
  <si>
    <t>SFAS 71 - Snoqualmie License Expenses</t>
  </si>
  <si>
    <t>SFAS 71 - Baker License Expenses</t>
  </si>
  <si>
    <t>Operating Leases Obligation</t>
  </si>
  <si>
    <t>Prepmt - Chelan PUD - RR Working Capital Charge</t>
  </si>
  <si>
    <t>Prepmt - Chelan PUD - RR Coverage Fund Charge</t>
  </si>
  <si>
    <t>Prepmt - Chelan PUD - RI Working Capital Charge</t>
  </si>
  <si>
    <t>Prepmt - Chelan PUD - RI Coverage Fund Charge</t>
  </si>
  <si>
    <t>ERB, UE-190529 '19 GRC</t>
  </si>
  <si>
    <t>WHH Gen&amp;Accy Gear Ma</t>
  </si>
  <si>
    <t>Misc Defer Debits E</t>
  </si>
  <si>
    <t>$250 Million 4.434% Sr. Notes due 2041</t>
  </si>
  <si>
    <t>FRA U1 Major O&amp;M Portion</t>
  </si>
  <si>
    <t>UE-220066, 2022 GRC MYRP (CA)</t>
  </si>
  <si>
    <t xml:space="preserve">  Community Solar Studies</t>
  </si>
  <si>
    <t>UE-220066, 2022 GRC MYRP (Non-Op)</t>
  </si>
  <si>
    <t xml:space="preserve"> Colstrip 3 Major Maintenance</t>
  </si>
  <si>
    <t>Puget Sound Energy (“PSE”) uses the accounts in question to record major maintenance inspection expenses over $500,000. All deferrals are amortized over the estimated term until the next equivalent major maintenance event.  There is no interest rate associated with those expenses. These deferrals were approved per Consolidated WUTC Docket Nos. UE-130583, UE-130617, UE-131099 and UE-131230 Order 06</t>
  </si>
  <si>
    <t xml:space="preserve">  IWM Electric Damage Claims</t>
  </si>
  <si>
    <t xml:space="preserve"> BPA LGIA</t>
  </si>
  <si>
    <t>Non-Op, Large Generator Interconnection Agreement</t>
  </si>
  <si>
    <t xml:space="preserve"> GTZ Elec Dep Exp Def</t>
  </si>
  <si>
    <t xml:space="preserve">  GTZ Gas Dep Exp Def</t>
  </si>
  <si>
    <t xml:space="preserve">  Carrying Charge on GTZ Elec Deferral</t>
  </si>
  <si>
    <t xml:space="preserve"> Carrying Charge on GTZ Gas Deferral</t>
  </si>
  <si>
    <t>GLD ST Major Inspection 2022</t>
  </si>
  <si>
    <t>Amortization of the 2022 Hot Gas Path Inspection completed at Mint Farm in January. Puget Sound Energy (“PSE”) uses the accounts in question to record major maintenance inspection expenses over $500,000. All deferrals are amortized over the estimated term until the next equivalent major maintenance event.  There is no interest rate associated with those expenses. These deferrals were approved per Consolidated WUTC Docket Nos. UE-130583, UE-130617, UE-131099 and UE-131230 Order 06</t>
  </si>
  <si>
    <t>Redmond West Direct Leasing Cost</t>
  </si>
  <si>
    <t>FERN 2022 ST Major Inspection</t>
  </si>
  <si>
    <t>PSE S-3 Shelf registration expenses</t>
  </si>
  <si>
    <t>Following Historical precedence</t>
  </si>
  <si>
    <t>AMI Return on Dep Def (Elec)</t>
  </si>
  <si>
    <t>AMI Return on Dep Def (Gas)</t>
  </si>
  <si>
    <t>AMI Return on Dep Def &gt;4/20 (Elec)</t>
  </si>
  <si>
    <t>AMI Return on Dep Def &gt;4/20 (Gas)</t>
  </si>
  <si>
    <t>Contra Unit 1&amp;2 D&amp;R Exp</t>
  </si>
  <si>
    <t>Tacoma LNG Upgrades Dep Def &lt; 10/2020</t>
  </si>
  <si>
    <t>Contra Unit 3&amp;4 D&amp;R Exp</t>
  </si>
  <si>
    <t>Tacoma LNG Upgrades Rtrn Def &lt; 10/2020</t>
  </si>
  <si>
    <t>Rsrv Eqty Rsrv on LNG Upgrades &lt; 10/2020</t>
  </si>
  <si>
    <t>Tacoma LNG Upgrades Dep Def &gt;9/2020</t>
  </si>
  <si>
    <t>Tacoma LNG Upgrades Rtrn Def &gt;9/2020</t>
  </si>
  <si>
    <t>Purchased Transmission Rights</t>
  </si>
  <si>
    <t>future TRANS, Talen Energy Purchased Transmission Rights</t>
  </si>
  <si>
    <t xml:space="preserve">  Finance Lease Obligation</t>
  </si>
  <si>
    <t>ENC Stm Tur MJ 2017</t>
  </si>
  <si>
    <t>Workers Comp IBNR recoveries</t>
  </si>
  <si>
    <t>recovered in rates per 2017 GRC</t>
  </si>
  <si>
    <t>FRA Unit#2 Combustion Inspection 2014-L</t>
  </si>
  <si>
    <t>GTZ Deprec Exp Deferral post 06.2019</t>
  </si>
  <si>
    <t>FERN Steam Turbine Major Inspection 201</t>
  </si>
  <si>
    <t>Carrying Charge on GTZ Deferral post 06.2019</t>
  </si>
  <si>
    <t>Colstrip 3&amp;4 Misc Deferred Debits-LT</t>
  </si>
  <si>
    <t>FRE U1 Hot Gas Insp</t>
  </si>
  <si>
    <t>SUM CT Gen Maj Insp</t>
  </si>
  <si>
    <t>SUM ST Major</t>
  </si>
  <si>
    <t>MTF CT MJR Insp 2017</t>
  </si>
  <si>
    <t xml:space="preserve"> MTF Major Inspection 2021</t>
  </si>
  <si>
    <t xml:space="preserve"> MTF Minor Inspection 2021</t>
  </si>
  <si>
    <t xml:space="preserve"> GLD CT Major Inspection 2021</t>
  </si>
  <si>
    <t>Colstrip 3&amp;4 2014 Overhaul Costs</t>
  </si>
  <si>
    <t>recovered in rates per 2017 GRC, cont. in UE-190529 '19 GRC</t>
  </si>
  <si>
    <t>En Unit #1 Major Inspection 2015</t>
  </si>
  <si>
    <t>ENC Unit#2 Major Inspection 2016-LT</t>
  </si>
  <si>
    <t>ENC Unit#3 Main 2017</t>
  </si>
  <si>
    <t>Env Rem - Lower Baker Power Plant Site</t>
  </si>
  <si>
    <t>Env. Rem - Downtower Property</t>
  </si>
  <si>
    <t>Env Rem - Lower Baker Power Plant Site- Future Costs</t>
  </si>
  <si>
    <t>Env Rem - Downtowner Property (Future Costs)</t>
  </si>
  <si>
    <t>Env Rem - Snoqualmie Hydro Generation</t>
  </si>
  <si>
    <t>Env Rem - Bellingham Manufactured Gas Site</t>
  </si>
  <si>
    <t>Env Rem - Bellingham Mfd Gas Site (Future Cost Est</t>
  </si>
  <si>
    <t>Env Rem - Gas Historical Actual Ins Rec</t>
  </si>
  <si>
    <t>Env Rem - Electron Flume Site</t>
  </si>
  <si>
    <t>Env Rem - Everett Trolley (Future Estimate)</t>
  </si>
  <si>
    <t>Env Rem-Tacoma Tar Pits - Remediation</t>
  </si>
  <si>
    <t>Env Rem - Talbot Hill Substation and Switchyard</t>
  </si>
  <si>
    <t>Env Rem - Talbot Hill Subs &amp; Switchyard -Fut Cost Est.</t>
  </si>
  <si>
    <t>Env. Rem - Sammamish Substation (Future Cost Est.)</t>
  </si>
  <si>
    <t>Env Rem-Everett, Washington - Remediati</t>
  </si>
  <si>
    <t>Env-Rem-Whitehorn UST (Future Cost Est.)</t>
  </si>
  <si>
    <t>Env Rem-Whitehorn UST</t>
  </si>
  <si>
    <t>Env Rem - Shuffleton</t>
  </si>
  <si>
    <t>Env Rem – Shuffleton</t>
  </si>
  <si>
    <t>Freddy1 2017 ST MI</t>
  </si>
  <si>
    <t>Env Rem-Chehalis, Washington - Remediat</t>
  </si>
  <si>
    <t>Freddy1 2017 CT MJ I</t>
  </si>
  <si>
    <t>ENV REM-BHM CENTRAL</t>
  </si>
  <si>
    <t>Env Rem-Tacoma Gas Co (Upland Source Co</t>
  </si>
  <si>
    <t>Env Rem-Thea Foss Waterway - Remediatio</t>
  </si>
  <si>
    <t>PSANI Bothell-SnoKing Upgrade</t>
  </si>
  <si>
    <t>Puget Sound Area Northern Intertie (PSANI) Transmission Upgrades (flows through PCA)</t>
  </si>
  <si>
    <t>EnvRem-Remburse GaW</t>
  </si>
  <si>
    <t>Env. Rem - Gas Works Park (Future Cost Est.)</t>
  </si>
  <si>
    <t>Env Rem-Post Nov 2012 Gas Works Park -</t>
  </si>
  <si>
    <t>Env Rem-Quendall Terminal - Remediation</t>
  </si>
  <si>
    <t>Env Rem-Bay Station - Remediation</t>
  </si>
  <si>
    <t>Env Rem - Olympia (Columbia Street) MGP</t>
  </si>
  <si>
    <t>Env Rem - Tacoma Gas Company (Future Co</t>
  </si>
  <si>
    <t>Env Rem - Thea Foss Waterway (Future Co</t>
  </si>
  <si>
    <t>Env Rem - Everett, Washington (Future C</t>
  </si>
  <si>
    <t>Env Rem - Chehalis, Washington (Future</t>
  </si>
  <si>
    <t>Env Rem - Quendall Terminals (Future Co</t>
  </si>
  <si>
    <t>Env Rem - Tacoma Tar Pits (Future Cost</t>
  </si>
  <si>
    <t>Env Rem - Bay Station (Future Cost Est)</t>
  </si>
  <si>
    <t>Env Rem-Olympia (Columbia St) MGP(Futur</t>
  </si>
  <si>
    <t>Env Rem - Verbeek Autowrecking (Future</t>
  </si>
  <si>
    <t>Env Rem - Swarr Station (Future Cost Est.)</t>
  </si>
  <si>
    <t>Env Rem - North Operating Base (Future Cost Est.)</t>
  </si>
  <si>
    <t>AMI Return Deferral - Gas</t>
  </si>
  <si>
    <t>AMI Depr Exp Deferral - Gas - GRC Interim 2020</t>
  </si>
  <si>
    <t>Offset by account 18609762</t>
  </si>
  <si>
    <t>PLR EDIT Gas Contra</t>
  </si>
  <si>
    <t>Offset by account 18609752</t>
  </si>
  <si>
    <t>Article 502 - Forest Habitat Capital Fund</t>
  </si>
  <si>
    <t>LNG Return Deferral</t>
  </si>
  <si>
    <t>Article 503 - Elk Habitat Capital Fund</t>
  </si>
  <si>
    <t>Article 504 - Wetland Habitat Capital Fund</t>
  </si>
  <si>
    <t>AMI Depr Exp Deferral - Electric -GRC Interim 2020</t>
  </si>
  <si>
    <t>Article 505 - Aquatic Riparian Habitat Capital Fund</t>
  </si>
  <si>
    <t>AMI Return Deferral - Electric</t>
  </si>
  <si>
    <t>ROU Asset - LT</t>
  </si>
  <si>
    <t xml:space="preserve"> Contra Unit 1&amp;2 ARC &amp; Accrtn Exp</t>
  </si>
  <si>
    <t>Env Rem - Wenatchee</t>
  </si>
  <si>
    <t>Env Rem - Wenatchee (Future Cost Est)</t>
  </si>
  <si>
    <t>Env Rem - W Olympia Sub Breakin (Future Cost Est)</t>
  </si>
  <si>
    <t>Env Rem - W Olympia Substation Breakin</t>
  </si>
  <si>
    <t>Env Rem - Colstrip 1&amp;2 Ash Pond (Future Cost Est)</t>
  </si>
  <si>
    <t>Non-Op, future PROD</t>
  </si>
  <si>
    <t>Env Rem - Puyallup Service Center</t>
  </si>
  <si>
    <t>WUTC-AFUDC</t>
  </si>
  <si>
    <t>PSANI Denny Way Upgrade</t>
  </si>
  <si>
    <t>Current Assets/ Working Capital, Puget Sound Area Northern Intertie (PSANI) Transmission Upgrades flows through PCA</t>
  </si>
  <si>
    <t>Offset by account 18630061</t>
  </si>
  <si>
    <t>PLR EDIT Electric Contra</t>
  </si>
  <si>
    <t>Offset by account 18630051</t>
  </si>
  <si>
    <t xml:space="preserve"> COVID-19 Help 2 – Gas</t>
  </si>
  <si>
    <t>Offset by account 18630122</t>
  </si>
  <si>
    <t xml:space="preserve">  Contra COVID-19 Help 2 – Gas</t>
  </si>
  <si>
    <t>Offset by account 18630112</t>
  </si>
  <si>
    <t xml:space="preserve"> COVID-19 Bad Debt Deferral- Electric</t>
  </si>
  <si>
    <t xml:space="preserve"> COVID-19 Bad Debt Deferral- Gas</t>
  </si>
  <si>
    <t>Elec. Reg. Filing Fee Deferral</t>
  </si>
  <si>
    <t>Gas Reg. Filing Fee Deferral</t>
  </si>
  <si>
    <t>186 Total</t>
  </si>
  <si>
    <t>Def Loss Disp Plt</t>
  </si>
  <si>
    <t>DefLospt12/31/05</t>
  </si>
  <si>
    <t>Deferred Losses post 5/31/08 Property Sales - Gas</t>
  </si>
  <si>
    <t>Deferred Losses post 10/31/09 Property Sales - Electric</t>
  </si>
  <si>
    <t>Gas Def Property Losses UG-090705</t>
  </si>
  <si>
    <t>Electric Def Property Losses UE-090704</t>
  </si>
  <si>
    <t>Gas Def Property Losses UG-111049</t>
  </si>
  <si>
    <t>Electric Def Property Losses UE-111048</t>
  </si>
  <si>
    <t>Def Property Losses UE170033</t>
  </si>
  <si>
    <t>Def Property Losses UG-170034</t>
  </si>
  <si>
    <t>Gas Deferred Prop Loss – Wtr Heater Sale</t>
  </si>
  <si>
    <t>187 Total</t>
  </si>
  <si>
    <t>Colstrip 3 &amp; 4 Final Reclamation Liability</t>
  </si>
  <si>
    <t>J Harvey Const Encroach. Dep/BPA Kitsap</t>
  </si>
  <si>
    <t>Tacoma Agreement LNG</t>
  </si>
  <si>
    <t>Deferred Compensation - Salary Deferred</t>
  </si>
  <si>
    <t>Current Liabilities/ Working Capital</t>
  </si>
  <si>
    <t>Deferred Electric Conservation Grant - Bremerton</t>
  </si>
  <si>
    <t xml:space="preserve"> COVID-19 Help 3  - Gas</t>
  </si>
  <si>
    <t>Deferred Credits - Jefferson County Sale</t>
  </si>
  <si>
    <t>PTC Deferral Post June 2010</t>
  </si>
  <si>
    <t>Limited Use Permit Salish Lodge/Snoq Ce</t>
  </si>
  <si>
    <t>Equity Reserve on Snoqualmie Deferred Return</t>
  </si>
  <si>
    <t>Equity Reserve on Baker Deferred Return</t>
  </si>
  <si>
    <t>Unearned Revenue - Pole Contacts</t>
  </si>
  <si>
    <t>Def Rev Sch85 Lifetime O&amp;M on Increm Li</t>
  </si>
  <si>
    <t>Junior Acheuivement Pledge-Long Term</t>
  </si>
  <si>
    <t>Deferred Pole Contact Compliance Payment</t>
  </si>
  <si>
    <t>Lower Snake River Trans Interest Due Customers</t>
  </si>
  <si>
    <t>GAAP Equity Reserve on LSR BPA Trans. Dep.</t>
  </si>
  <si>
    <t>Prepaid BPA, LSR Transmission upgrade for UE-100882, exclude</t>
  </si>
  <si>
    <t>Int'l Paper - Westcoast Capacity Agreem</t>
  </si>
  <si>
    <t>Regulatory Return on PTC Balance</t>
  </si>
  <si>
    <t>Misc Def Cr. - Equity Reserve on LSR Ph. 1 Fixed Def</t>
  </si>
  <si>
    <t>LSR BPA Bill Credit Holding</t>
  </si>
  <si>
    <t>2011 GRC</t>
  </si>
  <si>
    <t>LT Incentive Plan for Sr Mgmt</t>
  </si>
  <si>
    <t>Other Deferred Credits - Retention Cost</t>
  </si>
  <si>
    <t>Unclaimed Vendor Pay</t>
  </si>
  <si>
    <t>Unearned Revenue - Miscellaneous</t>
  </si>
  <si>
    <t>Def Compensation - IBNR</t>
  </si>
  <si>
    <t>PSE Building (A) - Landlord Incentives</t>
  </si>
  <si>
    <t>PSE Building (B) - Landlord Incentives</t>
  </si>
  <si>
    <t>Deferred Interchange</t>
  </si>
  <si>
    <t>Landlord Incentive Bldg B - Floor 4</t>
  </si>
  <si>
    <t>Misc Cash Receipts</t>
  </si>
  <si>
    <t>Bothel Data Center Landlord Incentives</t>
  </si>
  <si>
    <t xml:space="preserve"> Red West Ten Impr ST</t>
  </si>
  <si>
    <t>Unclaimed Property - Customer Refunds</t>
  </si>
  <si>
    <t>Uncl Prop - Payroll</t>
  </si>
  <si>
    <t>Deutsche Bank  Collateral Deposit with PSE</t>
  </si>
  <si>
    <t>Residential Exchange - Other Deferred C</t>
  </si>
  <si>
    <t xml:space="preserve">Unclaimed Vendor Payments - California  </t>
  </si>
  <si>
    <t>Unclaimed Property - Customer Refunds - California</t>
  </si>
  <si>
    <t>Snoqualmie License O&amp;M Liability</t>
  </si>
  <si>
    <t>Oth Def Credit-Staples Loyalty Incentiv</t>
  </si>
  <si>
    <t>Other Deferred Credits - LIHEAP Credit - Electric</t>
  </si>
  <si>
    <t>Other Deferred Credits - LIHEAP Credit</t>
  </si>
  <si>
    <t>Other Deferred Credits - Contra LIHEAP Credit-Elec</t>
  </si>
  <si>
    <t>Other Deferred Credits - Contra LIHEAP</t>
  </si>
  <si>
    <t>PGA Unrealized Gain</t>
  </si>
  <si>
    <t>WWU Fndatn Pledge-LT</t>
  </si>
  <si>
    <t>Baker License O&amp;M Liability</t>
  </si>
  <si>
    <t>Misc Def Cr - MNT Equity Offset CarryC - UE-082128</t>
  </si>
  <si>
    <t>Misc Def Cr - WHE Eq. Res  Fixed CarryC - UE-090704</t>
  </si>
  <si>
    <t>Oth. Def. Cr. - Landis - Gyr AMR Billing Credits - Elec.</t>
  </si>
  <si>
    <t>Oth. Def. Cr. - Landis - Gyr AMR Billing Credits - Gas</t>
  </si>
  <si>
    <t>Redmond West 2nd Amen Tenant Incentives</t>
  </si>
  <si>
    <t xml:space="preserve"> Equity Reserve on AMI Return Deferral - Gas</t>
  </si>
  <si>
    <t>Vernell Office Building Lease Security Deposit</t>
  </si>
  <si>
    <t>Limeade 4th Floor Security Deposit</t>
  </si>
  <si>
    <t>Electric Decoupling GAAP Unearned Revenue</t>
  </si>
  <si>
    <t>Gas Decoupling GAAP Unearned Revenue</t>
  </si>
  <si>
    <t>Unearned Easement Revenue</t>
  </si>
  <si>
    <t>Deferred Credit - Green Power Tariff</t>
  </si>
  <si>
    <t>Deferred Credit - Carbon Offset Program</t>
  </si>
  <si>
    <t>Oth Def Cr. - Bank of America Signing Bonus Incentive</t>
  </si>
  <si>
    <t>BLOCK-Freddy1 RMN Es</t>
  </si>
  <si>
    <t xml:space="preserve">  LT Payable – KC Franchise - Elec</t>
  </si>
  <si>
    <t>Cashiers Overag</t>
  </si>
  <si>
    <t>Transmission Network Credits Payable</t>
  </si>
  <si>
    <t>AMI Reserve Return on Dep Def &gt;4/20 (Gas)</t>
  </si>
  <si>
    <t>Dfrd Rev- Non-core Gas Green Attributes</t>
  </si>
  <si>
    <t>Eqty Rsrv on AMI Dfrd Return Dep Dfrl Gas</t>
  </si>
  <si>
    <t>Equity Resrv on Ferndale Fixed Deferral</t>
  </si>
  <si>
    <t>Eqty Rsrv on AMI Dfrd Return Dep Dfrl Gas - &gt;4/20</t>
  </si>
  <si>
    <t>Non-core Gas Grn Attrib-Contra</t>
  </si>
  <si>
    <t>Tacoma LNG Upgrades Dep Rsrv &lt; 10/2020</t>
  </si>
  <si>
    <t xml:space="preserve"> Equity Reserve on AMI Return Deferral - Electric</t>
  </si>
  <si>
    <t>Tacoma LNG Upgrades Rtrn Rsrv &lt; 10/2020</t>
  </si>
  <si>
    <t>BLOCKED-EV Equity Reserve on Return deferral</t>
  </si>
  <si>
    <t>Eqty Rsrv on LNG Upgrades &lt; 10/2020</t>
  </si>
  <si>
    <t>EV Equity Reserve on Return deferral</t>
  </si>
  <si>
    <t>Eqty Rsrv on LNG Upgrades &gt;9/2020</t>
  </si>
  <si>
    <t>AMI Reserve Return on Dep Def &gt;4/20 (Elec)</t>
  </si>
  <si>
    <t>Redmond West on Willows - Landlord Ince</t>
  </si>
  <si>
    <t>BLOCKED Unapplied Conservation and Renewables Disc</t>
  </si>
  <si>
    <t>Redmond West Tenant Improvement</t>
  </si>
  <si>
    <t>Eqty Rsrv on AMI Dfrd Return Dep Dfrl Elec</t>
  </si>
  <si>
    <t>Eqty Rsrv on AMI Dfrd Return Dep Dfrl El - &gt;4/20</t>
  </si>
  <si>
    <t>Lease Liability - LT</t>
  </si>
  <si>
    <t>Macquarie Sale - Low Income Weatherization Grant</t>
  </si>
  <si>
    <t>Redmond West Negotiations</t>
  </si>
  <si>
    <t>BLOCKED - Green Direct Liquidated Damages</t>
  </si>
  <si>
    <t>Low Income Program - Electric</t>
  </si>
  <si>
    <t>Low Income Program - Gas</t>
  </si>
  <si>
    <t>Operating Leases Oligation</t>
  </si>
  <si>
    <t>BLOCKED-Bothell Bldg O Landlord Incentives</t>
  </si>
  <si>
    <t>Microsoft Special Contract Regulatory Liability</t>
  </si>
  <si>
    <t>BLOCKED-Bothell Bldg G/H Landlord Incentives</t>
  </si>
  <si>
    <t>Kent BTS Landlord Incentives</t>
  </si>
  <si>
    <t>Bothell Bldg O Landlord Incentives</t>
  </si>
  <si>
    <t>Other Deferred Credits - LB Grouting Retainage</t>
  </si>
  <si>
    <t>Bothell Bldg G/H Landlord Incentives</t>
  </si>
  <si>
    <t>Puyallup building landlord incentives</t>
  </si>
  <si>
    <t>PTC Reg Acct Contra</t>
  </si>
  <si>
    <t>Deferred PTC Reg Ass</t>
  </si>
  <si>
    <t>PTCs Transition Fund</t>
  </si>
  <si>
    <t>Deferred PTCs</t>
  </si>
  <si>
    <t xml:space="preserve">  Unapplied Bid and Success Fees – Electric</t>
  </si>
  <si>
    <t>Deferred Credit - Jefferson County CIAC</t>
  </si>
  <si>
    <t>COVID-19 Help Program – Electric</t>
  </si>
  <si>
    <t>OVID-19 Help Program – Gas</t>
  </si>
  <si>
    <t>Payroll Tax Deferral COVID-19</t>
  </si>
  <si>
    <t>Microsoft EA</t>
  </si>
  <si>
    <t>Service Now</t>
  </si>
  <si>
    <t xml:space="preserve"> COVID-19 Deferred Savings- Electric</t>
  </si>
  <si>
    <t xml:space="preserve"> COVID-19 Deferred Savings- Gas</t>
  </si>
  <si>
    <t xml:space="preserve"> Parklands TI</t>
  </si>
  <si>
    <t>Deferred Credit – RNG Program</t>
  </si>
  <si>
    <t>Equity Rsrv on LNG Dfrd Return</t>
  </si>
  <si>
    <t>253 Total</t>
  </si>
  <si>
    <t>*Cross check to FERC p112-113 Liabilities</t>
  </si>
  <si>
    <t>RegLiabTaxRef-Prop G</t>
  </si>
  <si>
    <t>RegLiaTaxRefNonPropG</t>
  </si>
  <si>
    <t>Rock Island Power Costs</t>
  </si>
  <si>
    <t>Unamortized Gain from Disp Allowance - Colstr</t>
  </si>
  <si>
    <t>Summit Purchase Buyout - Electric</t>
  </si>
  <si>
    <t>Summit Purchase Buyout - Gas</t>
  </si>
  <si>
    <t>BNP Westcoast Pipeline Capacity-Non Core Gas</t>
  </si>
  <si>
    <t>FBE Westcoast Pipeline Capacity- Non Core Gas</t>
  </si>
  <si>
    <t>Deferred REC Revenue Pre-Dec 2009</t>
  </si>
  <si>
    <t>DETM - Westcoast Pipeline cap. 10% Agre</t>
  </si>
  <si>
    <t>Deferred REC Revenue Post Nov. 2009</t>
  </si>
  <si>
    <t>Rec Interest Payable Reg Liability</t>
  </si>
  <si>
    <t>REC Revenue provided to customers-Contra (sch 137)</t>
  </si>
  <si>
    <t>REC Revenue offset by PTCs-Contra</t>
  </si>
  <si>
    <t>PTC Customer Deferral of Pre-July 2010</t>
  </si>
  <si>
    <t>Def Revenue- Renewable Non-Core Gas Attributes</t>
  </si>
  <si>
    <t>REC Proceeds in Rates Sch 137</t>
  </si>
  <si>
    <t>Interest On REC Proceeds in Rates</t>
  </si>
  <si>
    <t>Interest on REC Proceeds Not in Rates</t>
  </si>
  <si>
    <t>Interest on Treasury Grant in Sch 95a</t>
  </si>
  <si>
    <t>Int. on LSR Treasury Grant in Sch 95A</t>
  </si>
  <si>
    <t>Electric Residential Decouping Revenue Overcollect</t>
  </si>
  <si>
    <t>Gas Residential Decouping Revenue Overcollect</t>
  </si>
  <si>
    <t>Elec Non-Residential Decouping Revenue Overcollect</t>
  </si>
  <si>
    <t>Gas Non-Residential Decouping Revenue Overcollect</t>
  </si>
  <si>
    <t>Int. on Elec Residential Decoupl Rev Overcollect</t>
  </si>
  <si>
    <t>Int. on Gas Residential Decoupl Rev Overcollect</t>
  </si>
  <si>
    <t>Int. on Elec Non-Residential Decoupl Rev Overcollect</t>
  </si>
  <si>
    <t>Electric Schedule 26 Decoupling Revenue Overcollected</t>
  </si>
  <si>
    <t>Electric Schedule 31 Decoupling Revenue Overcollected</t>
  </si>
  <si>
    <t>Gas ROR Over Earning</t>
  </si>
  <si>
    <t>Sch 142 Electric Residential to Return</t>
  </si>
  <si>
    <t>Sch 142 Gas Residential to Return to Cu</t>
  </si>
  <si>
    <t>Sch 142 Elec Non-Residential to Return</t>
  </si>
  <si>
    <t>Dfrd Principal on BioGas in Rates</t>
  </si>
  <si>
    <t>Dfrd Interest on Bogas in Rates</t>
  </si>
  <si>
    <t>Int El Sch 26 Rev</t>
  </si>
  <si>
    <t>Int El Sch 31 Rev</t>
  </si>
  <si>
    <t>Sch 142 Electric Schedule 26 to Return</t>
  </si>
  <si>
    <t>Sch 142 Elec Schedule 31 to Return to C</t>
  </si>
  <si>
    <t>Deferral Snoqualmie Hydro Grant</t>
  </si>
  <si>
    <t>Deferral Baker US Treasury Grant</t>
  </si>
  <si>
    <t>JPUD Gain to Customers-Electric</t>
  </si>
  <si>
    <t>Electric ROR Over Earning-Decoupling</t>
  </si>
  <si>
    <t>Def Tax Rate Chg - E</t>
  </si>
  <si>
    <t>Def Tax Rate Chg - G</t>
  </si>
  <si>
    <t xml:space="preserve"> Msft Spec Reg Liab</t>
  </si>
  <si>
    <t>E Dcoup Overcol 8&amp;24</t>
  </si>
  <si>
    <t xml:space="preserve"> E Dcoup Overcoll Sch</t>
  </si>
  <si>
    <t>E Decoup Overcoll 40</t>
  </si>
  <si>
    <t>E FPC Decoup Overc 7</t>
  </si>
  <si>
    <t>E FPC DcoupOverc Sch</t>
  </si>
  <si>
    <t>E FPC DcoupOver 8&amp;24</t>
  </si>
  <si>
    <t>E FPC DcoupOver10&amp;31</t>
  </si>
  <si>
    <t>E FPC DcoupOver12&amp;26</t>
  </si>
  <si>
    <t>IntE DcoupOverc46&amp;49</t>
  </si>
  <si>
    <t>G Dcoup Overc 31&amp;31T</t>
  </si>
  <si>
    <t>RegLiaTaxRefNonPropE</t>
  </si>
  <si>
    <t xml:space="preserve"> G Decoup Overcol Sch</t>
  </si>
  <si>
    <t>IntE DcoupOverc 8&amp;24</t>
  </si>
  <si>
    <t>IntE Decoup Over Sch</t>
  </si>
  <si>
    <t>IntE FPC DcoupOver 7</t>
  </si>
  <si>
    <t>IntE FPC DcoupOv Sch</t>
  </si>
  <si>
    <t>IntE FPC DcoupOv8&amp;24</t>
  </si>
  <si>
    <t>IntE FPC DcopOv10&amp;31</t>
  </si>
  <si>
    <t>IntE FPC DcopOv12&amp;26</t>
  </si>
  <si>
    <t>IntE FPC Decoup Rev Overcollect - Sch 40</t>
  </si>
  <si>
    <t>RegLiaTaxRef-Prop E</t>
  </si>
  <si>
    <t>IntG DcoupOvr 31&amp;31T</t>
  </si>
  <si>
    <t xml:space="preserve"> IntG Decoup Rev Overcoll - Sch 41, 41T, 86 &amp; 86T</t>
  </si>
  <si>
    <t xml:space="preserve"> E Decoup Return 8&amp;24</t>
  </si>
  <si>
    <t xml:space="preserve"> E Decoup Return Sch</t>
  </si>
  <si>
    <t xml:space="preserve"> E Decoup Return 40</t>
  </si>
  <si>
    <t xml:space="preserve"> E FPC Dcoup Return 7</t>
  </si>
  <si>
    <t xml:space="preserve"> E FPC Decoup Ret Sch</t>
  </si>
  <si>
    <t xml:space="preserve"> E FPC Dcoup Ret 8&amp;24</t>
  </si>
  <si>
    <t xml:space="preserve"> E FPC DcoupRet 10&amp;31</t>
  </si>
  <si>
    <t xml:space="preserve"> E FPC DcoupRet 12&amp;26</t>
  </si>
  <si>
    <t xml:space="preserve"> G Dcoup Return31&amp;31T</t>
  </si>
  <si>
    <t xml:space="preserve"> E Decoup Ret 46&amp;49</t>
  </si>
  <si>
    <t xml:space="preserve"> G Decoup Return Sch</t>
  </si>
  <si>
    <t>BLOCKED-Accrual PTCs</t>
  </si>
  <si>
    <t xml:space="preserve"> Green Direct Liquidated Damages</t>
  </si>
  <si>
    <t xml:space="preserve"> Gain on Sale Shuffleton - Electric</t>
  </si>
  <si>
    <t>E FPC Dcp Rev Rtrn-Sch 7A,11,25,29,35&amp;43-2019 GRC</t>
  </si>
  <si>
    <t>FAS 109 EDIT Unprotected Gas</t>
  </si>
  <si>
    <t>FAS 109 EDIT Unprotected Electric</t>
  </si>
  <si>
    <t>FAS 109 EDIT Unprotected Electric Production</t>
  </si>
  <si>
    <t>FAS109 EDIT Protected</t>
  </si>
  <si>
    <t>Lund Hill Liquidated Damages</t>
  </si>
  <si>
    <t>NWP Refund for Electric</t>
  </si>
  <si>
    <t>254 Total</t>
  </si>
  <si>
    <t>Deferred Gains post  5/31/08 Property Sales - Gas</t>
  </si>
  <si>
    <t>Deferred Gains post 10/31/09 Property Sales - Electric</t>
  </si>
  <si>
    <t>Approved for 2019 GRC Def. Gain Shuffleton</t>
  </si>
  <si>
    <t>2017 GRC UE-170033</t>
  </si>
  <si>
    <t>Gas Def Property Gains UG-090705</t>
  </si>
  <si>
    <t>Electric Def Property Gains UE-090704</t>
  </si>
  <si>
    <t>Gas Def Property Gains UG-111049</t>
  </si>
  <si>
    <t>Electric Def Property Gains UE-111048</t>
  </si>
  <si>
    <t xml:space="preserve"> Def Property Gains UE170033</t>
  </si>
  <si>
    <t xml:space="preserve"> Def Property Gains UG-170034</t>
  </si>
  <si>
    <t>256 Total</t>
  </si>
  <si>
    <t>Reconcile Other RateBase Items</t>
  </si>
  <si>
    <t>Gas/Common</t>
  </si>
  <si>
    <t>Electric and Electric Portion of Common</t>
  </si>
  <si>
    <t>Other Investments - Stock Misc</t>
  </si>
  <si>
    <t>Other Investment Life Insurance</t>
  </si>
  <si>
    <t>Other Investments - Ramgen Power System</t>
  </si>
  <si>
    <t>Notes Rec-UESC Nvy K</t>
  </si>
  <si>
    <t>Notes Rec - Misc</t>
  </si>
  <si>
    <t>Notes Rec - Sheridan</t>
  </si>
  <si>
    <t>Notes Rec - Intolight</t>
  </si>
  <si>
    <t>Reserve Suncadia N/R</t>
  </si>
  <si>
    <t>Suncadia N/R agreement</t>
  </si>
  <si>
    <t>Notes Rec - BOA Keyport Lighting &amp; Capa</t>
  </si>
  <si>
    <t>Notes Rec. - City of Buckley</t>
  </si>
  <si>
    <t>Notes Rec - West Coast Hospitality</t>
  </si>
  <si>
    <t>*Cross check to FERC p110-111</t>
  </si>
  <si>
    <t>FuelStock-CT Oil Inv</t>
  </si>
  <si>
    <t>Fuel Stock - Colstrip 1&amp;2</t>
  </si>
  <si>
    <t>Fuel Stock - Colstrip 3&amp;4</t>
  </si>
  <si>
    <t>Fuel Stock - Colstrip 3&amp;4 Fuel</t>
  </si>
  <si>
    <t>Fuel Stock - Crystal Mountain</t>
  </si>
  <si>
    <t>Fuel Stock - Whitehorn #1</t>
  </si>
  <si>
    <t>Fuel Stock - Frederickson #1</t>
  </si>
  <si>
    <t>Fuel Stock - Fredonia 1&amp;2</t>
  </si>
  <si>
    <t>Fuel Stock - Propane SWARR Station</t>
  </si>
  <si>
    <t>Fuel Stock - Cedar Hills Gas @ JP - Contra</t>
  </si>
  <si>
    <t>Fuel Stock - Whitehorn Non-Core Gas Inv</t>
  </si>
  <si>
    <t>Fuel Stock - Frederickson Non-Core Gas</t>
  </si>
  <si>
    <t>Fuel Stock - Fredonia Non-Core Gas Inve</t>
  </si>
  <si>
    <t>Fuel Stock - Colstrip 1&amp;2 Propane</t>
  </si>
  <si>
    <t>Fuel Stock - Tenaska - Oil</t>
  </si>
  <si>
    <t>Fuel Stock - Pooled CT Non-Core Gas Inv</t>
  </si>
  <si>
    <t>Fuel Stock-CT Non-Core Gas @ JacksonPrairie-CONTRA</t>
  </si>
  <si>
    <t>Fuel Stock-CT Non-Core Gas @ JacksonPra</t>
  </si>
  <si>
    <t>Fuel Stock-MNT Acquisition Gas Inventor</t>
  </si>
  <si>
    <t>Fuel Stock - Cedar Hills Gas JP</t>
  </si>
  <si>
    <t>Fuel Stock - Ferndale</t>
  </si>
  <si>
    <t>Fuel Stock-Cedar Hills Gas Pipeline Imbalance</t>
  </si>
  <si>
    <t>Fuel Stock-CT Non-Core LNG at Plymouth</t>
  </si>
  <si>
    <t>Fuel Stock - Encogen Oil</t>
  </si>
  <si>
    <t>Fuel Stock - Encogen Natural Gas</t>
  </si>
  <si>
    <t xml:space="preserve"> Plant Materials Inventory – Tacoma LN</t>
  </si>
  <si>
    <t>Inventory - Pre-Capitalized Material</t>
  </si>
  <si>
    <t>Plant Materials - Colstrip 1 &amp; 2</t>
  </si>
  <si>
    <t>Inventory Reserve Account - Pre-Capitalized M</t>
  </si>
  <si>
    <t>Plant Materials - Colstrip 3 &amp; 4</t>
  </si>
  <si>
    <t>Encogen Storeroom</t>
  </si>
  <si>
    <t>Surplus NonCoded S</t>
  </si>
  <si>
    <t>Electric - Plant Material &amp; Supplies</t>
  </si>
  <si>
    <t>Gas - Plant Material &amp; Supplies</t>
  </si>
  <si>
    <t>Plant Material &amp; Supplies</t>
  </si>
  <si>
    <t>Inventory - Ferndale</t>
  </si>
  <si>
    <t>Contra - Electric - Plant Material &amp; Supplies</t>
  </si>
  <si>
    <t>CH Biogas Pipeline Imbalance</t>
  </si>
  <si>
    <t>Cali Carbon Allow-ST</t>
  </si>
  <si>
    <t>Undistributed Stores Expense</t>
  </si>
  <si>
    <t>Undistributed Substation Equipment Stor</t>
  </si>
  <si>
    <t>Generation Stores Expense</t>
  </si>
  <si>
    <t>Prepaid - Telvent - Gas Scada Maint.</t>
  </si>
  <si>
    <t>Prepmts - Puget Auto / General Liability</t>
  </si>
  <si>
    <t>Prepmts - WIES - Blackout / Brownout</t>
  </si>
  <si>
    <t>Ppd - Gas Pipeline A</t>
  </si>
  <si>
    <t>Prepmts - Puget Crime Insurance</t>
  </si>
  <si>
    <t>Prepmts - BC Auto Liability</t>
  </si>
  <si>
    <t>Prepmts - Puget Workman's Comp - Aegis</t>
  </si>
  <si>
    <t>Prepaid - Swinomish Tribal Res 115kv TSM -Long Term</t>
  </si>
  <si>
    <t>Prepmts - Workman Comp / Letters of Credit</t>
  </si>
  <si>
    <t>PPD - EIM Annual Hst</t>
  </si>
  <si>
    <t>Prepmts - All Risk Property Insurance</t>
  </si>
  <si>
    <t>Ppd Doble Enginee-ST</t>
  </si>
  <si>
    <t>Prepmts - King Air Aircraft Insurance</t>
  </si>
  <si>
    <t>Ppd Open Text</t>
  </si>
  <si>
    <t>Prepaid - Marsh USA</t>
  </si>
  <si>
    <t>Prepmts - Pollution Control Bond</t>
  </si>
  <si>
    <t>Prepaid- Transmission software</t>
  </si>
  <si>
    <t>Prepaid- D&amp;O Insurance (annual)</t>
  </si>
  <si>
    <t>Prepamnts - Datalink Symantec SW Maintenance</t>
  </si>
  <si>
    <t>Prepmts - Fiduciary Liability Insurance</t>
  </si>
  <si>
    <t>Ppd - Corporation Executive Board (CEB)</t>
  </si>
  <si>
    <t>Ppd - Annual Credit Rating Fee</t>
  </si>
  <si>
    <t>Prepaid Dice Advertising Short-Term</t>
  </si>
  <si>
    <t>Prepaid- OpenLink En</t>
  </si>
  <si>
    <t>PPD - Datalink ST</t>
  </si>
  <si>
    <t>Prepaid Prometheus Software Maintenance</t>
  </si>
  <si>
    <t>Prepmts - Misc - Prepaid Insurance</t>
  </si>
  <si>
    <t>Prepaid SAP Support</t>
  </si>
  <si>
    <t>Prepaid - L&amp;G USCAMR</t>
  </si>
  <si>
    <t>Prepayments - Misc Employee Benefits</t>
  </si>
  <si>
    <t>Prepaid- WECC Dues</t>
  </si>
  <si>
    <t>Prepaid- Peak Reliab</t>
  </si>
  <si>
    <t>Prepmts - Heavy Vehicle Licenses</t>
  </si>
  <si>
    <t>Prepaid - MCG EAS Hosting</t>
  </si>
  <si>
    <t>Prepmts - Interest</t>
  </si>
  <si>
    <t>Microsoft Maintenance Contract</t>
  </si>
  <si>
    <t>PPD - FERC Lnd L-Bk</t>
  </si>
  <si>
    <t>PPD - FERC Lnd U-Bk</t>
  </si>
  <si>
    <t>Prepmnts - Areva Software Support Servi</t>
  </si>
  <si>
    <t xml:space="preserve"> BLKD-Ppd–SkykoRnge</t>
  </si>
  <si>
    <t>Prepaid - Ecologic Analytics Software 2011</t>
  </si>
  <si>
    <t>Prepaid - OSIsoft Software Renewal 2011</t>
  </si>
  <si>
    <t xml:space="preserve"> BLKDPPD-DglasPUD PPA</t>
  </si>
  <si>
    <t>Prepaid - Lenovo Maintenance Renewal</t>
  </si>
  <si>
    <t>Prpd-TrintechST</t>
  </si>
  <si>
    <t xml:space="preserve"> PPD - Energy Exempla</t>
  </si>
  <si>
    <t>Prepaid Gas Option</t>
  </si>
  <si>
    <t>Prepaid- Miscellaneous</t>
  </si>
  <si>
    <t>Prepayments - Licensing Fees (Vehicles)</t>
  </si>
  <si>
    <t>Prepaid insurance - Liab - Navy Contrac</t>
  </si>
  <si>
    <t>Caminus GMS Prepaid Maintenance (gas)</t>
  </si>
  <si>
    <t>Prepaid - PowerPlant Maintenance Contra</t>
  </si>
  <si>
    <t>Prepaid - Goldendale Capital Maintenanc</t>
  </si>
  <si>
    <t>Prepaid - Goldendale Expense Maintenanc</t>
  </si>
  <si>
    <t>Prepaid EdisonEIdues</t>
  </si>
  <si>
    <t>Prepaid AGA Dues</t>
  </si>
  <si>
    <t>Prepaid NW Gas Assoc</t>
  </si>
  <si>
    <t>Prepaid Subscrptns</t>
  </si>
  <si>
    <t>Prepaid - NW Energy Coalition Membership</t>
  </si>
  <si>
    <t>Prepaid -2007 CISCO Smartnet (Dimension</t>
  </si>
  <si>
    <t>Prepaid - INSSINC - Futrak Maintenance</t>
  </si>
  <si>
    <t>Prepaid - Freddy 1 Capital FFH</t>
  </si>
  <si>
    <t>Prepaid - Freddy 1 Expense FFH</t>
  </si>
  <si>
    <t>Prepaid - Freddy 1 Inventory</t>
  </si>
  <si>
    <t>Ppd- Tres Licen Fees</t>
  </si>
  <si>
    <t>Prepaid - Goldendale Inventory</t>
  </si>
  <si>
    <t>Prepaid - NICE Systems</t>
  </si>
  <si>
    <t>Prepaid -OMS HW Maintenance Agreement</t>
  </si>
  <si>
    <t>Prepaid-GE Smallworld Software Support 2011</t>
  </si>
  <si>
    <t>Prepaid-Optimize Networks Steelhead Support</t>
  </si>
  <si>
    <t>Prepaid - Mint Farm Capital FFH</t>
  </si>
  <si>
    <t>Prepaid - Mint Farm Expense FFH</t>
  </si>
  <si>
    <t>Prepaid - CGI Mobile Workforce SW Support</t>
  </si>
  <si>
    <t>Prepaid - Mint Farm Inventory</t>
  </si>
  <si>
    <t>Prepaid - Oracle Software Support</t>
  </si>
  <si>
    <t>Prepaid-Sycamore SW Support</t>
  </si>
  <si>
    <t>Prepaid - Gartner Services - IT</t>
  </si>
  <si>
    <t>Prepayment-SAS SW Maintenance Renewal</t>
  </si>
  <si>
    <t>Ppd-RSA Envision Renewal</t>
  </si>
  <si>
    <t>Ppd - CISCO Smartnet (Dimension Data ) - LT</t>
  </si>
  <si>
    <t>Prepaid Sumas Capital FFH Long-Term</t>
  </si>
  <si>
    <t>Prepaid Sumas Expense FFH Long-Term</t>
  </si>
  <si>
    <t>Prepmts - Colstrip 3&amp;4 Lime Contract -</t>
  </si>
  <si>
    <t xml:space="preserve"> BLKD-PPD-BPA FiberA</t>
  </si>
  <si>
    <t xml:space="preserve"> Ppd - INFRA: Nokia</t>
  </si>
  <si>
    <t>Prepaid - Checkpoint Structure</t>
  </si>
  <si>
    <t>Prepaid - LSR Leaseholder Minimum Rent</t>
  </si>
  <si>
    <t>Prepaid - SAP - IT Services</t>
  </si>
  <si>
    <t>Prepaid - ROW Dist Crossing Rainbow Bridge LT</t>
  </si>
  <si>
    <t>Prepaid - SAP Max Attn Short Term</t>
  </si>
  <si>
    <t>Prepaid - lacima SW Maintenance ST</t>
  </si>
  <si>
    <t>Prepaid - Tax SW St</t>
  </si>
  <si>
    <t>Prepaid Ferndale Property Insurance</t>
  </si>
  <si>
    <t>PPD - Info Hndlg Svc</t>
  </si>
  <si>
    <t xml:space="preserve"> Ppd-APPS GE Smworld</t>
  </si>
  <si>
    <t xml:space="preserve"> Ppd - INFRA: Nice</t>
  </si>
  <si>
    <t>Advance/Down Payments</t>
  </si>
  <si>
    <t>Prepaid - Future Year Expenses</t>
  </si>
  <si>
    <t>Prepaid - Struct Mai</t>
  </si>
  <si>
    <t>Prepaid - Wild Horse DVAR Sys Maintenance</t>
  </si>
  <si>
    <t>PP - Gartner Subscri</t>
  </si>
  <si>
    <t>Prepaid - Ellensburg REC Deposit</t>
  </si>
  <si>
    <t>Ppd L&amp;G AMI Cmnd SW</t>
  </si>
  <si>
    <t>EMC - SW/HW Maintenance Renewal ST</t>
  </si>
  <si>
    <t>PP - OATI WebTrans</t>
  </si>
  <si>
    <t>JD Power - Residential Survey - Short Term</t>
  </si>
  <si>
    <t>JD Power - Residential Survey - Long Term</t>
  </si>
  <si>
    <t>Prepaid Linked In Advertising - Short Term</t>
  </si>
  <si>
    <t>Prepaid - OATI Annual Services</t>
  </si>
  <si>
    <t>Prepaid - Sirus maintenance Contract - Short Term</t>
  </si>
  <si>
    <t>Prepaid - WWT F5 Support</t>
  </si>
  <si>
    <t xml:space="preserve"> Ppd - BitSight</t>
  </si>
  <si>
    <t>Ppd-APPS Schneider E</t>
  </si>
  <si>
    <t xml:space="preserve"> Ppd -APPS ITTI Maint</t>
  </si>
  <si>
    <t xml:space="preserve"> Ppd -INFRA Proofpoin</t>
  </si>
  <si>
    <t xml:space="preserve"> Ppd -APPS MaxAttn SA</t>
  </si>
  <si>
    <t>PPD - INFRA SUSE</t>
  </si>
  <si>
    <t xml:space="preserve"> PPD-1210 INFRA Infob</t>
  </si>
  <si>
    <t xml:space="preserve"> PPD-AMI Adv SecSW Ma</t>
  </si>
  <si>
    <t xml:space="preserve"> PPD-AutoCAD Lic Agre</t>
  </si>
  <si>
    <t>Prepaid - 1256 Amazon Web Services IAAS</t>
  </si>
  <si>
    <t>BLOCKED-Prepaid - Infra - eGain</t>
  </si>
  <si>
    <t xml:space="preserve"> Prepaid - Purchased Electricity</t>
  </si>
  <si>
    <t>Prepaid-Colstrip 1&amp;2 Misc- Short Term</t>
  </si>
  <si>
    <t>Prepaid - Info Global Solutions</t>
  </si>
  <si>
    <t>Prepaid Voice Print International - Short Term</t>
  </si>
  <si>
    <t>Colstrip 3&amp;4 Prepaid</t>
  </si>
  <si>
    <t>Prepaid Platts Subscription - Short Term</t>
  </si>
  <si>
    <t>Prepaid PSE Building Brokerage Fee - Short Term</t>
  </si>
  <si>
    <t>Prepaid – Electric Vehicle Service Equipment - ST</t>
  </si>
  <si>
    <t>Prepaid Glassdoor Invoice - Short Term</t>
  </si>
  <si>
    <t>Ppd RSA-Archer Maint</t>
  </si>
  <si>
    <t>Prepaid-Corner Stone-Palms Payments-Short Term</t>
  </si>
  <si>
    <t>Prepaid- TAIT/Zetron Support Agreement-ST</t>
  </si>
  <si>
    <t>Prepaid - Structured-Symantac Renewal - Short Term</t>
  </si>
  <si>
    <t>Prepaid-Doble Energineering Equip Lease-ST</t>
  </si>
  <si>
    <t>Prepaid- Tensing Annual Maintenance &amp; Support-ST</t>
  </si>
  <si>
    <t>Prepaid - Open Text -ST</t>
  </si>
  <si>
    <t>Prepaid-ServiceNow-Maintenance Service Contract-ST</t>
  </si>
  <si>
    <t>Prepaid-Annual Maintan for LogRhythm-ST</t>
  </si>
  <si>
    <t>Prepaid-CEB - Annual CIO Membership</t>
  </si>
  <si>
    <t>Prepaid - CheckPoint Structure</t>
  </si>
  <si>
    <t>Prepaid - Swinomish Tribal Res 115kv TS</t>
  </si>
  <si>
    <t>Prepaid - ROW Dis Crossing Rainbow Brid</t>
  </si>
  <si>
    <t>Prepaid - Workiva Subscription - ST</t>
  </si>
  <si>
    <t>Prepaid - Goldendale Capital Maint Majo</t>
  </si>
  <si>
    <t>Prepaid - Goldendale Expense Maint Majo</t>
  </si>
  <si>
    <t>Prepaid - Goldendale Inventory - ST</t>
  </si>
  <si>
    <t>PPD - Mint Farm Inv</t>
  </si>
  <si>
    <t>Prepaid - Mint Farm Capital FFH - Major</t>
  </si>
  <si>
    <t>Prepaid - Mint Farm Expense FFH - Major</t>
  </si>
  <si>
    <t xml:space="preserve"> BLK PP–GTZ JacadaST</t>
  </si>
  <si>
    <t xml:space="preserve"> PPD-GTZ Msg BrdCst S</t>
  </si>
  <si>
    <t xml:space="preserve"> BLOCKED-Prepaid - Infra Turbonomic - ST</t>
  </si>
  <si>
    <t xml:space="preserve"> Prepaid - Insurance and Employee Benefits ST</t>
  </si>
  <si>
    <t xml:space="preserve"> Prepaid - General and Administrative ST</t>
  </si>
  <si>
    <t xml:space="preserve"> Prepaid - Hardware/Software ST</t>
  </si>
  <si>
    <t xml:space="preserve"> Prepaid - Outside Services ST</t>
  </si>
  <si>
    <t>Prepaid - Miscellaneous ST</t>
  </si>
  <si>
    <t xml:space="preserve"> Prepaid - Permits &amp; Fees ST</t>
  </si>
  <si>
    <t>Prepaid - Freddy 1 Capital FFH - Major</t>
  </si>
  <si>
    <t>Prepaid - Gas Options - ST</t>
  </si>
  <si>
    <t>Prepaid - Freddy 1 Expense FFH - Major</t>
  </si>
  <si>
    <t>Prepaid - GEC/NICE - ST</t>
  </si>
  <si>
    <t>Prepaid - Freddy 1 Inventory - Major Ma</t>
  </si>
  <si>
    <t>Prepaid - TriplePoint - Futrak Maintena</t>
  </si>
  <si>
    <t>Prepaid - PSE Building Brokerage Fee -</t>
  </si>
  <si>
    <t>Prepaid - Enterpr Licens Cisco TeleMain</t>
  </si>
  <si>
    <t>Prepaid - SAI Global License - ST</t>
  </si>
  <si>
    <t>Prepaid - CISCO Smartnet (DimensionData</t>
  </si>
  <si>
    <t>Prepaid - TAIT SW Support Svcs - ST</t>
  </si>
  <si>
    <t>Prepaid - ZETRON SW Support Svcs - ST</t>
  </si>
  <si>
    <t>Prepaid - ServiceNow Project Portifolio</t>
  </si>
  <si>
    <t>Prepaid - Coriant America - ST</t>
  </si>
  <si>
    <t>Ppd - WWT Webex ST</t>
  </si>
  <si>
    <t>Ppd CC1210WWTDaCtrST</t>
  </si>
  <si>
    <t>Ppd Strc Data Ctr ST</t>
  </si>
  <si>
    <t>Ppd CC1213WWTDaCtrST</t>
  </si>
  <si>
    <t xml:space="preserve"> BLKDPPD-Enbala SymST</t>
  </si>
  <si>
    <t xml:space="preserve"> PP-GTZ Sitecore ST</t>
  </si>
  <si>
    <t xml:space="preserve"> PP-GTZ Sprinklr ST</t>
  </si>
  <si>
    <t xml:space="preserve"> PP-IT Secur Tnble-ST</t>
  </si>
  <si>
    <t>PP-APPS Attunity ST</t>
  </si>
  <si>
    <t xml:space="preserve"> PP-INFRA WF-500 ST</t>
  </si>
  <si>
    <t xml:space="preserve"> PP-GTZ Spatial ST</t>
  </si>
  <si>
    <t xml:space="preserve"> Ppd AMI Comm Ctr ST</t>
  </si>
  <si>
    <t>Prepaid - Apps ST</t>
  </si>
  <si>
    <t>&lt;&lt; NEW</t>
  </si>
  <si>
    <t>Prepaid - GEC/NICE - Long Term</t>
  </si>
  <si>
    <t>Prepaid Voice Print International - Long Term</t>
  </si>
  <si>
    <t>Prepaid - TAIT SW Support Svcs - LT</t>
  </si>
  <si>
    <t>Prepaid PSE Building Brokerage Fee - Term Term</t>
  </si>
  <si>
    <t>Prepaid-TriplePoint-Futrak Maintenance-LT</t>
  </si>
  <si>
    <t>Prepaid - GEC/NICE - LT</t>
  </si>
  <si>
    <t>Prepaid - Enterprise Licens Cisco Maint</t>
  </si>
  <si>
    <t>Prepaid - Gas Options - LT</t>
  </si>
  <si>
    <t>Prepaid - Goldendale Inventory - LT</t>
  </si>
  <si>
    <t>Prepaid - Art 312 Dev Rec- Camp - Major</t>
  </si>
  <si>
    <t>Prepaid - SAI Global License - LT</t>
  </si>
  <si>
    <t>PPD - Datalink LT</t>
  </si>
  <si>
    <t>Prepaid - Workiva Subscription - LT</t>
  </si>
  <si>
    <t>Prepaid - ZETRON SW Support Svcs - LT</t>
  </si>
  <si>
    <t>Ppd MF Inv- LT</t>
  </si>
  <si>
    <t>Prepaid - Coriant America - LT</t>
  </si>
  <si>
    <t>Ppd - WWT WebEx - LT</t>
  </si>
  <si>
    <t>Ppd CC1210WWTDaCtrLT</t>
  </si>
  <si>
    <t>Ppd Strc Data Ctr LT</t>
  </si>
  <si>
    <t>Ppd CC1213WWTDaCtrLT</t>
  </si>
  <si>
    <t>Ppd Trintech LT</t>
  </si>
  <si>
    <t xml:space="preserve"> Enbala Symphony LT</t>
  </si>
  <si>
    <t xml:space="preserve"> PP-DatalinkSym SW LT</t>
  </si>
  <si>
    <t xml:space="preserve"> PP-GTZ Sitecore LT</t>
  </si>
  <si>
    <t xml:space="preserve">  PP-GTZ Sprinklr LT</t>
  </si>
  <si>
    <t xml:space="preserve">  PP-APPS Attunity LT</t>
  </si>
  <si>
    <t xml:space="preserve"> BLKD-PPD–GTZ JacadaL</t>
  </si>
  <si>
    <t xml:space="preserve"> PP-INFRA WF-500 - LT</t>
  </si>
  <si>
    <t xml:space="preserve"> PP-GTZ Spatial - LT</t>
  </si>
  <si>
    <t xml:space="preserve">  PP-1213 VMWare LT</t>
  </si>
  <si>
    <t xml:space="preserve"> Prepaid - General and Administrative LT</t>
  </si>
  <si>
    <t xml:space="preserve"> Prepaid - Hardware/Software LT</t>
  </si>
  <si>
    <t xml:space="preserve"> Prepaid - Outside Services LT</t>
  </si>
  <si>
    <t>Prepaid - Permits &amp; Fees LT</t>
  </si>
  <si>
    <t>Prepaid - Apps LT</t>
  </si>
  <si>
    <t>Long Term Portion of Prepayment Electri</t>
  </si>
  <si>
    <t>Long Term Portion of Prepayment Gas - C</t>
  </si>
  <si>
    <t>Long Term Portion of Prepayment Common</t>
  </si>
  <si>
    <t>Long Term Portion of Prepayment Gas</t>
  </si>
  <si>
    <t>Prepaid Colstrip 1&amp;2 WECo Coal Resv Ded.</t>
  </si>
  <si>
    <t xml:space="preserve"> Energy Storage</t>
  </si>
  <si>
    <t>Purch Trasm Right CP</t>
  </si>
  <si>
    <t xml:space="preserve"> REC Intangible Asset</t>
  </si>
  <si>
    <t xml:space="preserve"> BLOCKED-Green Direct RECs – Intangible Asse</t>
  </si>
  <si>
    <t>Green Direct RECs Inventory</t>
  </si>
  <si>
    <t>LT</t>
  </si>
  <si>
    <t>ST</t>
  </si>
  <si>
    <t>Unrealized Gain ST - Core Pwr/Gas for Pwr</t>
  </si>
  <si>
    <t>Unrealized Gain ST - Core Gas</t>
  </si>
  <si>
    <t>Unrealized Gain LT - Core Pwr/Gas for Pwr</t>
  </si>
  <si>
    <t>Unrealized Gain LT - Core Gas</t>
  </si>
  <si>
    <t>CFH Locked In OCI Gain ST - Core Pwr/Gas for Pwr</t>
  </si>
  <si>
    <t>6.74% MT Notes Due 06/15/18 - Unamort Debt Ex</t>
  </si>
  <si>
    <t>Med Term Notes - B - Unamort Debt Expense</t>
  </si>
  <si>
    <t>Med Term Notes - C - Unamort Debt Expense</t>
  </si>
  <si>
    <t>$250M 30 Year Senior Notes</t>
  </si>
  <si>
    <t>Amort $425MM 4.30% Sr Notes due 2045 Is</t>
  </si>
  <si>
    <t>2013 Pollution Control Bonds</t>
  </si>
  <si>
    <t>4% Pollution Control Rev Series 2013B Due 3/2031</t>
  </si>
  <si>
    <t>7.02% MT Note Issued - Unamort Debt Expen</t>
  </si>
  <si>
    <t>7.00% MTN Series B Due 3/9/29 - Unamort</t>
  </si>
  <si>
    <t>5.0% PCB-Series 2003A due 03/01/2031-Un</t>
  </si>
  <si>
    <t>5.1% PCB-Series 2003B due 03/01/2031-Un</t>
  </si>
  <si>
    <t xml:space="preserve">  AmrtCost $600M SrNot</t>
  </si>
  <si>
    <t xml:space="preserve"> Debt Issuance Costs for $450M Sr. Notes</t>
  </si>
  <si>
    <t>$350M Hedging Credit Facility PSE 2013</t>
  </si>
  <si>
    <t>$650M Liquidity Credit Facility PSE 2013</t>
  </si>
  <si>
    <t>800M Credit Facility</t>
  </si>
  <si>
    <t>$45 Million 4.70% Sr. Notes due 2051</t>
  </si>
  <si>
    <t>6.75% Sr Notes due 1/15/2016 - Unamort</t>
  </si>
  <si>
    <t>5.197% Snr Notes Due 10/01/15 - Unamort Debt Expense</t>
  </si>
  <si>
    <t>6.724% MTN due 6/15/2036 - Unamort Debt Expense</t>
  </si>
  <si>
    <t>6.274% Senior Notes Due 3/15/2037 - Unamortized Debt Expense</t>
  </si>
  <si>
    <t>6.974% Jr Sub Notes (Hybrid) due 6/1/20</t>
  </si>
  <si>
    <t>PSE Capital Credit Agreement</t>
  </si>
  <si>
    <t>PSE Operating Credit Agreement</t>
  </si>
  <si>
    <t>PSE Hedging Credit Agreement</t>
  </si>
  <si>
    <t>5.757% MTN due 10/1/2039 - Unamort Debt Expense</t>
  </si>
  <si>
    <t>March 2010 Bond Issue</t>
  </si>
  <si>
    <t>PSE Summer 2010 Bonds</t>
  </si>
  <si>
    <t>2011 March Senior Notes</t>
  </si>
  <si>
    <t>PSE 2022 Credit Agreement Expense</t>
  </si>
  <si>
    <t>Elec-Update Seismic Analysis for Baker</t>
  </si>
  <si>
    <t>Murden Cove Battery Storage Investigation</t>
  </si>
  <si>
    <t xml:space="preserve"> Elec-Snoq PH Study</t>
  </si>
  <si>
    <t>LSR Expansion Feasibility</t>
  </si>
  <si>
    <t>Land Transportation Clearing</t>
  </si>
  <si>
    <t>Employee Related Taxes Clearing</t>
  </si>
  <si>
    <t>Employee Benefits Clearing</t>
  </si>
  <si>
    <t>Accounts Payable Suspense</t>
  </si>
  <si>
    <t>Master Card Central Billing - Clearing</t>
  </si>
  <si>
    <t>CLX Suspense Transactions</t>
  </si>
  <si>
    <t>CLX Elec City Tax Clearing Account</t>
  </si>
  <si>
    <t>Returned Check charge-Clearing</t>
  </si>
  <si>
    <t>Bill Initiation charge-Clearing</t>
  </si>
  <si>
    <t>CLX Conversion Damage Claim Clearing -</t>
  </si>
  <si>
    <t>Jackson Prairie's 1/3 PSE COR/Salvage</t>
  </si>
  <si>
    <t>CLX Gas City Tax Clearing Account</t>
  </si>
  <si>
    <t>CLX Sched 120-G Clearing Account - gas</t>
  </si>
  <si>
    <t>CLX Schedule 95-A Clearing Account</t>
  </si>
  <si>
    <t>CLX Sched 132-G Clearing Acct - Gas</t>
  </si>
  <si>
    <t>CLX Sched 132-E Clearing Acct - Electri</t>
  </si>
  <si>
    <t>CLX Schedule 94 Clearing Account</t>
  </si>
  <si>
    <t>CLX Schedule 120-E Clearing Account</t>
  </si>
  <si>
    <t>Employee Incentive Plan Clearing</t>
  </si>
  <si>
    <t>CLX Other Miscellaneous Credits</t>
  </si>
  <si>
    <t>CLX Balance Transfer</t>
  </si>
  <si>
    <t>CLX Bank Credit Adjustments</t>
  </si>
  <si>
    <t>Credit Balance Refund Clearing</t>
  </si>
  <si>
    <t>CLX-Auto Cash Back Debit Clearing</t>
  </si>
  <si>
    <t>CLX - Account Credit Adj for Rule 7</t>
  </si>
  <si>
    <t>Clearing Account Plant Ledger- Power Pl</t>
  </si>
  <si>
    <t>Clearing-Phone Wireless Billing.</t>
  </si>
  <si>
    <t>Clearing - BLC Vehicles Capital Lease</t>
  </si>
  <si>
    <t>Blocked - Temp acct to Fix PP Issue</t>
  </si>
  <si>
    <t>JO1 Job Orders Temporary Facilities</t>
  </si>
  <si>
    <t>Unamort Loss on Reacquired Debt - 1995</t>
  </si>
  <si>
    <t>9-5/8% Series 9/15/94 - Unam Loss Reacq Debt</t>
  </si>
  <si>
    <t>$200M VRN - Amort of Debt Retirement</t>
  </si>
  <si>
    <t>8.231% Trust Preferred Notes - Amort of</t>
  </si>
  <si>
    <t>Call Prem &amp; Exp for redemp $150MM 5.197</t>
  </si>
  <si>
    <t>Call Prem &amp; Exp for redemp $250MM 6.75%</t>
  </si>
  <si>
    <t xml:space="preserve"> Loss on Extgshmnt Jr</t>
  </si>
  <si>
    <t>9.14% Med Term Notes Due 06/15/18- Unam Loss</t>
  </si>
  <si>
    <t>7.05% PCB Series 1991A-Unamort Loss on</t>
  </si>
  <si>
    <t>7.25% PCB Series 1991B-Unamort Loss on</t>
  </si>
  <si>
    <t>6.8% PCB Series 1992-Unamort Loss on Re</t>
  </si>
  <si>
    <t>5.875% PCB Series 1993-Unamort Loss on</t>
  </si>
  <si>
    <t>8.4%WING MTN SERIES A DUE 1/13/2022 (rd</t>
  </si>
  <si>
    <t>8.39%WNG MTN SERIES A DUE 1/13/2022 (rd</t>
  </si>
  <si>
    <t>8.25% WNG MTN SERIES A DUE 8/12/22, rde</t>
  </si>
  <si>
    <t>8.2% PSPL MTN SERIES B DUE 12/21/12 rde</t>
  </si>
  <si>
    <t>8.59% PSPL MTN SERIE A DUE 4/9/12 rdeem</t>
  </si>
  <si>
    <t>7.19% WNG Series B due 8/18/2023</t>
  </si>
  <si>
    <t>8.40% Cap Trst - Unamort Reacq Debt</t>
  </si>
  <si>
    <t>8.231% Capital Trust I Pfd Stock Due 6/1/2</t>
  </si>
  <si>
    <t>Redemption Costs for 9.57% FMB's</t>
  </si>
  <si>
    <t>2009 PSE Operating Facility Unamortized Costs</t>
  </si>
  <si>
    <t>2009 PSE Hedging Facility Unamortized Costs</t>
  </si>
  <si>
    <t>2009 PSE CapEx Facility Unamortized Costs</t>
  </si>
  <si>
    <t>5.0% PCB Series 2003A Unamort Debt Issue Costs</t>
  </si>
  <si>
    <t>2014 PSE Operating Facility Unamortized Costs</t>
  </si>
  <si>
    <t>2014 PSE Hedging Facility Unamortized Costs-62%</t>
  </si>
  <si>
    <t>2014 PSE Hedging Facility Unamortized Costs-38%</t>
  </si>
  <si>
    <t>$350M Hedging Facili</t>
  </si>
  <si>
    <t>2022 - $800M credit facility unamort costs</t>
  </si>
  <si>
    <t>5.10% PCB Series 2003B Unamort Debt Issue Costs</t>
  </si>
  <si>
    <t>DTA PTC Est Monetiza</t>
  </si>
  <si>
    <t>CDFIT-Rcls</t>
  </si>
  <si>
    <t>Def FIT Deferred Compensation</t>
  </si>
  <si>
    <t>Def FIT FAS 106 Retirement Benefits</t>
  </si>
  <si>
    <t>DFIT - FAS 133 ST Asset - Gas</t>
  </si>
  <si>
    <t>DFIT - FAS 133 CFH TLOCK ST</t>
  </si>
  <si>
    <t>DFIT - FAS 133 LT Asset - Gas</t>
  </si>
  <si>
    <t>DFIT - FAS 133 CFH TLOCK LT</t>
  </si>
  <si>
    <t>DFIT - FAS 133 Asset - PGA</t>
  </si>
  <si>
    <t>Pipeline Capacity Assignment</t>
  </si>
  <si>
    <t>DFIT - FAS 133 ST Asset - Electric</t>
  </si>
  <si>
    <t>DFIT - FAS 133 LT Asset - Electric</t>
  </si>
  <si>
    <t>Vacation Pay - ACDum Def Inc Taxes</t>
  </si>
  <si>
    <t>DFIT - Regence Self INS IBNR</t>
  </si>
  <si>
    <t>Land Sales - ACDum Def Inc Taxes</t>
  </si>
  <si>
    <t>DFIT- Int'l Paper West Coast Capacity Agreement</t>
  </si>
  <si>
    <t xml:space="preserve"> DTA Rdmnd W Ten Allo</t>
  </si>
  <si>
    <t>DFIT - Land Sales - Gas</t>
  </si>
  <si>
    <t>FAS109 Tax Reform -G</t>
  </si>
  <si>
    <t>Non-Qual SRP - Officers - ACDum Def Inc Taxes</t>
  </si>
  <si>
    <t xml:space="preserve"> DTA Prov Rate Refu G</t>
  </si>
  <si>
    <t>DFIT - Westcoast Capacity Assignment - Electric</t>
  </si>
  <si>
    <r>
      <t xml:space="preserve">2022 Topsided Adjustment: </t>
    </r>
    <r>
      <rPr>
        <b/>
        <sz val="8"/>
        <rFont val="Arial"/>
        <family val="2"/>
      </rPr>
      <t xml:space="preserve">EDIT (excess deferred income taxes) </t>
    </r>
  </si>
  <si>
    <t>DFIT AMI Equity Reserve Gas</t>
  </si>
  <si>
    <t>DFIT LNG Equity Rsrv on LNG Dfrd Return</t>
  </si>
  <si>
    <t>Electric - Env Remediation Costs - ACDum Def</t>
  </si>
  <si>
    <t>DFIT Commitment Fees</t>
  </si>
  <si>
    <t>DFIT Charitable Contribution Carryforward</t>
  </si>
  <si>
    <t xml:space="preserve">  DFIT Electric Vehicle Equity Reserve</t>
  </si>
  <si>
    <t>Gain on Disp Of Emiss Allow - ACD Def Inc Tax</t>
  </si>
  <si>
    <t xml:space="preserve"> DFIT WWU Sponsorship</t>
  </si>
  <si>
    <t xml:space="preserve"> DFIT-LTIP 162m Contr</t>
  </si>
  <si>
    <t>DFIT Payroll Tax Deferral COVID-19</t>
  </si>
  <si>
    <t>Sr Mgmt L-T Incentive Plan - ACDum Def Inc Ta</t>
  </si>
  <si>
    <t>Gardiner Property Deferred Loss</t>
  </si>
  <si>
    <t>Def Tax Colstrip Reclamation Electric</t>
  </si>
  <si>
    <t>Deferred FIT - FAS 133 Fwd Swap Short Term</t>
  </si>
  <si>
    <t>Deferred FIT - FAS 133 Fwd Swap Long Term</t>
  </si>
  <si>
    <t>Deferred FIT - Ramgen Reserve</t>
  </si>
  <si>
    <t>NOL Carryforward</t>
  </si>
  <si>
    <t>Deferred FIT - FAS 143 Whitehorn 2 &amp; 3</t>
  </si>
  <si>
    <t>Defrrd Tax Asset - SFAS 158 Qualified P</t>
  </si>
  <si>
    <t>Defrrd Tax Asset - SFAS 158 SERP</t>
  </si>
  <si>
    <t>Defrrd Tax Asset - SFAS 158 Postrtrmnt</t>
  </si>
  <si>
    <t>Deferred FIT - Horizon Wind Energy Paym</t>
  </si>
  <si>
    <t>DFIT - AMT Credit Carryforward</t>
  </si>
  <si>
    <t>NOL C/F Repairs/Retirements</t>
  </si>
  <si>
    <t>DFIT - BPA Transmission Eq Reserve LT</t>
  </si>
  <si>
    <t>Def FIT - Production Tax Credit-OLD</t>
  </si>
  <si>
    <t>Def FIT - Bad Debts</t>
  </si>
  <si>
    <t>DFIT Summit Landlord Incentive</t>
  </si>
  <si>
    <t>Def FIT - Demand Charges</t>
  </si>
  <si>
    <t>DFIT Staples Loyalty Incentive</t>
  </si>
  <si>
    <t>Def FIT - JP Gas Storage Inventory Rese</t>
  </si>
  <si>
    <t>Def FIT - JP Storage 263A</t>
  </si>
  <si>
    <t>DFIT Bothel Data Ctr. - Ppd Lease Expense</t>
  </si>
  <si>
    <t>Def FIT - Mint Farm EqOS</t>
  </si>
  <si>
    <t>Def FIT - ARO</t>
  </si>
  <si>
    <t>WHE-Eq Res</t>
  </si>
  <si>
    <t>DFIT - PTC Non Operating</t>
  </si>
  <si>
    <t>DFIT - PTC - Carrying Costs Equity</t>
  </si>
  <si>
    <t>Carrying Costs on PTC's</t>
  </si>
  <si>
    <t>DFIT RECs Pre 12/09</t>
  </si>
  <si>
    <t>DFIT RECs Post 11/09</t>
  </si>
  <si>
    <t>DFIT REC Interest</t>
  </si>
  <si>
    <t>DFIT REC Low Inc Weatherization</t>
  </si>
  <si>
    <t>DFIT - PTC Reg Liability</t>
  </si>
  <si>
    <t>DEF FIT - Reserve for Injuries and Damage -Electric</t>
  </si>
  <si>
    <t>Def FIT - Reserve for Injuries and Damage</t>
  </si>
  <si>
    <t>DFIT-BNP Electric</t>
  </si>
  <si>
    <t>DFIT - Land Sales to PWI</t>
  </si>
  <si>
    <t>DFIT-Landis-Gyr AMR Billing Credits-Elec</t>
  </si>
  <si>
    <t>DFIT-Landis-Gyr AMR Billing Credits-Gas</t>
  </si>
  <si>
    <t>DFIT- Green Gas Attributes</t>
  </si>
  <si>
    <t>DFIT Summit Purchase - Electric</t>
  </si>
  <si>
    <t>DFIT Summitt Purchase - Gas</t>
  </si>
  <si>
    <t>DFIT-CFH OCI Loss ST</t>
  </si>
  <si>
    <t>DFIT-CFH OCI Loss LT</t>
  </si>
  <si>
    <t>Def FIT - Bad Debts- Electric</t>
  </si>
  <si>
    <t>DFIT REC Rate Schedule 137</t>
  </si>
  <si>
    <t>DFIT REC Int on REC Schedule 137</t>
  </si>
  <si>
    <t>DFIT REC Int on REC Not in Rates</t>
  </si>
  <si>
    <t>DFIT - Equity Reserve on LSR</t>
  </si>
  <si>
    <t>DFIT - Equity Reserve on Ferndale - Long Term</t>
  </si>
  <si>
    <t>DFIT - Int LSR Treasury Grant Sch95A - LT</t>
  </si>
  <si>
    <t>DFIT - Equity Reserve on Sbnoqualmie OS - LT</t>
  </si>
  <si>
    <t>DFIT-Equity Reserve on Baker Project-LT</t>
  </si>
  <si>
    <t>DFIT-Operating Lease Obligation-LT</t>
  </si>
  <si>
    <t>DFIT-PCA FX Cost Def</t>
  </si>
  <si>
    <t>FAS109 Tax Reform -E</t>
  </si>
  <si>
    <t>DTA Montana Transiti</t>
  </si>
  <si>
    <t>DTA Prov Rate Refu E</t>
  </si>
  <si>
    <t xml:space="preserve"> DFIT AMI Equity Reserve Electric</t>
  </si>
  <si>
    <t xml:space="preserve"> DFIT - Microsoft</t>
  </si>
  <si>
    <t xml:space="preserve"> DFIT Shuffleton - Gain on Sale</t>
  </si>
  <si>
    <t>DFIT PTC Monetized</t>
  </si>
  <si>
    <t xml:space="preserve"> DFIT Montana Transition Fund Payment</t>
  </si>
  <si>
    <t xml:space="preserve"> DFIT PTC Interest Expense</t>
  </si>
  <si>
    <t>DFIT ARO/ARC Electric Production</t>
  </si>
  <si>
    <t>DTA UnerndRev - Pole</t>
  </si>
  <si>
    <t xml:space="preserve"> DFIT Operating Lease Obligation – Reg Debit Asse</t>
  </si>
  <si>
    <t>DFIT-DFIT NOL Carryforward-ST</t>
  </si>
  <si>
    <t>DFIT -Involuntary Conversion-LT</t>
  </si>
  <si>
    <t>DFIT- Deferral Snoqualmie Treasury Grant-LT</t>
  </si>
  <si>
    <t>DFIT-Int Baker Treasury Grant-LT</t>
  </si>
  <si>
    <t>DFIT-Electric Decoupling GAAP-Unearned Revenue-LT</t>
  </si>
  <si>
    <t>DFIT-Gas Decoupling GAAP-Unearned Revenue-LT</t>
  </si>
  <si>
    <t>DFIT-Decoupling Electric ROR Over Earning -LT</t>
  </si>
  <si>
    <t>DFIT-Decoupling Gas ROR Over Earning</t>
  </si>
  <si>
    <t>DFIT - Green Direct Liquidated Damages</t>
  </si>
  <si>
    <t>DFIT FAS109 Gross-Up - Electric</t>
  </si>
  <si>
    <t>DFIT FAS109 Gross-Up - Gas</t>
  </si>
  <si>
    <t>DFIT FAS109 Gross-Up Unprotected - Electric</t>
  </si>
  <si>
    <t>DFIT FAS109 Gross-Up Unprotected - Gas</t>
  </si>
  <si>
    <t>DFIT FAS109 Gross-Up Unprotected E Production</t>
  </si>
  <si>
    <t xml:space="preserve">DFIT  Eq Rsrv thru 4/2020 - Electric </t>
  </si>
  <si>
    <t>DFIT  Eq Rsrv thru 4/2020 - Gas</t>
  </si>
  <si>
    <t>DFIT  Tacoma LNG Eq Rsrv</t>
  </si>
  <si>
    <t>Unrealized Loss ST - Core Pwr/Gas for Pwr</t>
  </si>
  <si>
    <t>Unrealized Loss ST - Core Gas</t>
  </si>
  <si>
    <t>Unrealized Loss LT - Core Pwr/Gas for Pwr</t>
  </si>
  <si>
    <t>Unrealized Loss LT - Core Gas</t>
  </si>
  <si>
    <t>*Cross check to FERC p112-113</t>
  </si>
  <si>
    <t>FAS 133 Cash Flow Hedge Unrealized Loss</t>
  </si>
  <si>
    <t>FAS 133 Unrealized Loss - ST</t>
  </si>
  <si>
    <t>FAS 133 CFH Unrealized Loss - TLock S/T</t>
  </si>
  <si>
    <t>FAS 133 Unrealized Loss - LT</t>
  </si>
  <si>
    <t>FAS 133 -Ineffective CFH Loss ST</t>
  </si>
  <si>
    <t>FAS 157 Liability Reserve - ST Gas</t>
  </si>
  <si>
    <t>FAS 133 CFH Unrealized Loss - Fwd Swap</t>
  </si>
  <si>
    <t>FAS 133 -Ineffective CFH Loss LT</t>
  </si>
  <si>
    <t>FAS 157 Liability Reserve - LT Gas</t>
  </si>
  <si>
    <t>FAS 157 Liability Reserve - ST Electric</t>
  </si>
  <si>
    <t>FAS 157 Liability Reserve - LT Electric</t>
  </si>
  <si>
    <t>CFH Locked in OCI Loss ST - Core Pwr/Gas for Pwr</t>
  </si>
  <si>
    <t>CFH Locked in OCI Loss LT - Core Pwr/Gas for Pwr</t>
  </si>
  <si>
    <t>Contra JPUD CIAC</t>
  </si>
  <si>
    <t>Cust Advances for  Const Posted 9/1</t>
  </si>
  <si>
    <t>Rule 7 Customer Advances Posted 9/1</t>
  </si>
  <si>
    <t>NewRule 7 Refund zero consump cust adva</t>
  </si>
  <si>
    <t>Residential Single Family Elec Customer</t>
  </si>
  <si>
    <t>Rule 6 Security Deposit Refundable</t>
  </si>
  <si>
    <t>Residential Plat Elec Customer Advances</t>
  </si>
  <si>
    <t>Non-Residential Elec Customer Advances</t>
  </si>
  <si>
    <t>Rule 7 Cust Adv With Tax (9-1-03)</t>
  </si>
  <si>
    <t>Rule 7 Cust Adv W/O Tax (9-1-03)</t>
  </si>
  <si>
    <t>Developers Deposit Rule 7 (9-1-03)</t>
  </si>
  <si>
    <t>CA to Eliminate the NCR (9-1-03)</t>
  </si>
  <si>
    <t>Rule 7A Cust Adv With Tax (Kitt) (9-1-0</t>
  </si>
  <si>
    <t>Rule 7A Cust Adv W/O Tax (Kitt) (9-1-03</t>
  </si>
  <si>
    <t>Accum Defer Inv Tax Cr - Gas</t>
  </si>
  <si>
    <t>Unamort Gain on Reqired Debt-WNG MTN 7.</t>
  </si>
  <si>
    <t>GDFIT-Rcls</t>
  </si>
  <si>
    <t>Deferred Inc Tax - Liberalized Deprec</t>
  </si>
  <si>
    <t xml:space="preserve">Deferred Tax - Common Depreciation  </t>
  </si>
  <si>
    <t>DFIT - Plant Non Operating - LT</t>
  </si>
  <si>
    <t>DFIT - Gas Plant Repairs/Retirements</t>
  </si>
  <si>
    <t>Def Inc Tax - Post 1980 Additions</t>
  </si>
  <si>
    <t>DFIT - Electric Plant Repairs/Retirements</t>
  </si>
  <si>
    <t>DFIT FAS109 EDIT - Electric</t>
  </si>
  <si>
    <t>DFIT FAS109 EDIT - Gas</t>
  </si>
  <si>
    <t xml:space="preserve">DFIT FAS109 EDIT Imbalance - Electric </t>
  </si>
  <si>
    <t>DFIT FAS109 EDIT Imbalance - Gas</t>
  </si>
  <si>
    <t>DFIT Prov CRCrd Df E</t>
  </si>
  <si>
    <t>DFIT - FAS 133 ST Liability - Electric</t>
  </si>
  <si>
    <t>Def FIT Pension</t>
  </si>
  <si>
    <t>DFIT - FAS 133 LT Liability - Electric</t>
  </si>
  <si>
    <t>Def FIT Bond Related</t>
  </si>
  <si>
    <t>DFIT - FAS 133 Frwd Swap Int ST</t>
  </si>
  <si>
    <t>DFIT Electric Vehicle</t>
  </si>
  <si>
    <t>DFIT - BPA Prepayment LT</t>
  </si>
  <si>
    <t>DFIT - Variable Deferred Cost Snoqualmie LT</t>
  </si>
  <si>
    <t>DFIT Colstrip ARO</t>
  </si>
  <si>
    <t>DFIT 2018 Storm Exce</t>
  </si>
  <si>
    <t>DFIT Property Tax El</t>
  </si>
  <si>
    <t>DFIT AMI Electric</t>
  </si>
  <si>
    <t>DFIT - FAS 133 ST Liability - Gas</t>
  </si>
  <si>
    <t>DFIT - FAS 133 LT Liability - Gas</t>
  </si>
  <si>
    <t>DFIT - 2006 Storm Excess Costs</t>
  </si>
  <si>
    <t>DFIT Prov CRCrd Df G</t>
  </si>
  <si>
    <t>DFIT-2014 Storm Excess Costs</t>
  </si>
  <si>
    <t>DFIT Property Tax Ga</t>
  </si>
  <si>
    <t xml:space="preserve">Def Tax -Schedule 94 - Residential Exchange </t>
  </si>
  <si>
    <t>DFIT - FAS 133 Liability - PGA  LT</t>
  </si>
  <si>
    <t>Def FIT- Environmental Gas</t>
  </si>
  <si>
    <t>Def FIT - Demand Side Management Gas</t>
  </si>
  <si>
    <t>DFIT AMI Gas</t>
  </si>
  <si>
    <t>DFIT AMI Gs Pst 7/19</t>
  </si>
  <si>
    <t>DFIT LNG Dep and O&amp;M Exp Deferral Gas</t>
  </si>
  <si>
    <t>DFIT LNG Return Deferral Gas</t>
  </si>
  <si>
    <t>DFIT - 2015 Storm Excess Costs-LT</t>
  </si>
  <si>
    <t>ACDum Def Tax Liability - SFAS 109</t>
  </si>
  <si>
    <t>Def FIT - FAS 109</t>
  </si>
  <si>
    <t>Deferred Taxes WNP#3</t>
  </si>
  <si>
    <t>DFIT - 2016 Storm Excess Costs-LT</t>
  </si>
  <si>
    <t>Deferred Income Tax - Virtual Right of Way Pr</t>
  </si>
  <si>
    <t>DFIT Audit Adjustments</t>
  </si>
  <si>
    <t>DFIT - FAS 133 Frwd Swap Int LT</t>
  </si>
  <si>
    <t>Deferred FIT - PCA Customer Portion</t>
  </si>
  <si>
    <t>DFIT - 2007 Storm Damage Deferred</t>
  </si>
  <si>
    <t>DFIT-Goldendale Def</t>
  </si>
  <si>
    <t>DFIT - Interest Chelan PUD Reg Asset</t>
  </si>
  <si>
    <t>DFIT - Electric Conservation</t>
  </si>
  <si>
    <t>DFIT - 2008 Storm Damage Deferred</t>
  </si>
  <si>
    <t>DFIT - White River Reg Asset</t>
  </si>
  <si>
    <t>DFIT - FIT MF UE090704</t>
  </si>
  <si>
    <t>DFIT - FIT WHE UE090704</t>
  </si>
  <si>
    <t>DFIT PTC Carrying Cost</t>
  </si>
  <si>
    <t>DFIT-CFH OCI Gain ST</t>
  </si>
  <si>
    <t>DFIT - Lower Snake River Deferred Costs</t>
  </si>
  <si>
    <t>DFIT - Ferndale Purchase Deferrals - Long Term</t>
  </si>
  <si>
    <t>DFIT-Variable Deferred Cost Baker Upgrade_LT</t>
  </si>
  <si>
    <t>DFIT AMI E Pst 7/19</t>
  </si>
  <si>
    <t>DFIT EDIT Unprotected Electric Production</t>
  </si>
  <si>
    <t>DFIT EDIT Unprotected Gas</t>
  </si>
  <si>
    <t>DFIT EDIT Unprotected Electric</t>
  </si>
  <si>
    <t>DFIT FAS 109 EDIT Unprotected Gas</t>
  </si>
  <si>
    <t>DFIT FAS 109 EDIT Unprotected Electric Production</t>
  </si>
  <si>
    <t>DFIT FAS 109 EDIT Unprotected Electric</t>
  </si>
  <si>
    <t xml:space="preserve"> Def FIT - FAS 133 Frwd Swap Int LT</t>
  </si>
  <si>
    <t xml:space="preserve">  DFIT Electric Vehicle</t>
  </si>
  <si>
    <t xml:space="preserve"> DTL – PLR Reg. Asset - Elec</t>
  </si>
  <si>
    <t xml:space="preserve"> DTL – PLR Reg. Asset - Gas</t>
  </si>
  <si>
    <t>DFIT Reg. Filing Fee Deferral – Electric</t>
  </si>
  <si>
    <t>DFIT Reg. Filing Fee Deferral – Gas</t>
  </si>
  <si>
    <t>DFIT-Electric Residential Decoupling Re</t>
  </si>
  <si>
    <t>DFIT-Gas Residential Decoupling Revenue</t>
  </si>
  <si>
    <t>DFIT-Electric NONResidential Decoupling</t>
  </si>
  <si>
    <t>DFIT-Gas NONResidential Decoupling Reve</t>
  </si>
  <si>
    <t>DFIT Electric Property Tax Tracker Schedule 140 - LT</t>
  </si>
  <si>
    <t>DFIT-Gas Property Tax Tracker Schedule 140 -LT</t>
  </si>
  <si>
    <t>DFIT-Decoupling Sch 26 &amp; 31</t>
  </si>
  <si>
    <t>DFIT-Decoupling Sch 85 &amp; 87</t>
  </si>
  <si>
    <t>DFIT-GTZ Depr Defer</t>
  </si>
  <si>
    <t>DFIT-Major Inspection-Long Term</t>
  </si>
  <si>
    <t>DFIT-Gas ROR OverEar</t>
  </si>
  <si>
    <t>DFIT-Colstrip 3&amp;4 Overhaul Costs-LT</t>
  </si>
  <si>
    <t>DFIT - Electron Unrecovered Loss</t>
  </si>
  <si>
    <t>DFIT-Elec ROR Over Earning-Decoupling Revenue-LT</t>
  </si>
  <si>
    <t>DFIT AMI Depreciation Reserve May-August Gas</t>
  </si>
  <si>
    <t>DFIT-Ele ROR OverEar</t>
  </si>
  <si>
    <t>DFIT Clstrp 1&amp;2 Ret</t>
  </si>
  <si>
    <t>DFIT-2019ExcessStorm</t>
  </si>
  <si>
    <t>DFIT AMI Depreciation Deferral May-August Gas</t>
  </si>
  <si>
    <t>DFIT Storm Excess Costs 2020</t>
  </si>
  <si>
    <t>DFIT GTZ Depreciation Deferral post 06/30/19</t>
  </si>
  <si>
    <t>DFIT AMI Depreciation Deferral May-August Electric</t>
  </si>
  <si>
    <t>DFIT GTZ Carrying Charge Deferral post 06/30/19</t>
  </si>
  <si>
    <t>DFIT AMI Depreciation Reserve May-August Electric</t>
  </si>
  <si>
    <t>DFIT-GTZ Carrying Charge Deferral pre 06/30/19</t>
  </si>
  <si>
    <t xml:space="preserve"> DFIT – Colstrip 1&amp;2 Retirement</t>
  </si>
  <si>
    <t>DFIT-GTZ Depreciation Deferral pre 06/30/19</t>
  </si>
  <si>
    <t>DFIT  GTZ Carrying Charge Deferal Tr1</t>
  </si>
  <si>
    <t>DFIT Tacoma LNG Deferral Depreciation</t>
  </si>
  <si>
    <t>DFIT GTZ Depr Deferal Tr1</t>
  </si>
  <si>
    <t>DFIT Tacoma LNG Deferral Return</t>
  </si>
  <si>
    <t>DFIT AMI Return Def thru 4/2020</t>
  </si>
  <si>
    <t>DFIT GTZ Carrying Charge Deferal Tr1</t>
  </si>
  <si>
    <t xml:space="preserve">  DFIT SPI BioMass PPA</t>
  </si>
  <si>
    <t xml:space="preserve"> DFIT Storm Damage 2021</t>
  </si>
  <si>
    <t xml:space="preserve"> DFIT COVID E</t>
  </si>
  <si>
    <t xml:space="preserve"> DFIT COVID G</t>
  </si>
  <si>
    <t>DFIT Storm Damage 2022</t>
  </si>
  <si>
    <t>Book Cost</t>
  </si>
  <si>
    <t>Electric Portion</t>
  </si>
  <si>
    <t xml:space="preserve">FERC </t>
  </si>
  <si>
    <t>Sum of book_cost</t>
  </si>
  <si>
    <t xml:space="preserve">CWIP Adjustments* </t>
  </si>
  <si>
    <t>Cross Check</t>
  </si>
  <si>
    <t>C389</t>
  </si>
  <si>
    <t>C390</t>
  </si>
  <si>
    <t>C3901</t>
  </si>
  <si>
    <t>C391</t>
  </si>
  <si>
    <t>C392</t>
  </si>
  <si>
    <t>C393</t>
  </si>
  <si>
    <t>C394</t>
  </si>
  <si>
    <t>C396</t>
  </si>
  <si>
    <t>C397</t>
  </si>
  <si>
    <t>C398</t>
  </si>
  <si>
    <t>C399</t>
  </si>
  <si>
    <t>Grand Total</t>
  </si>
  <si>
    <t>% of total (GP + Intangible)</t>
  </si>
  <si>
    <t>FERC p200-201 -&gt;</t>
  </si>
  <si>
    <t>Sum of allocated_reserve</t>
  </si>
  <si>
    <t>Accumulated Amortization</t>
  </si>
  <si>
    <t>* C3901 (Amortization amount) is excluded</t>
  </si>
  <si>
    <t>% of total</t>
  </si>
  <si>
    <t>Common Plant Reconciliation:</t>
  </si>
  <si>
    <t>Plant in Service</t>
  </si>
  <si>
    <t>Book Costs from General Plant</t>
  </si>
  <si>
    <t>Book Costs from Intanbible (C303 Only)</t>
  </si>
  <si>
    <t>Book Costs from C302</t>
  </si>
  <si>
    <t>Total book costs</t>
  </si>
  <si>
    <t xml:space="preserve">  (n/a)    010110023 - Finance Lease</t>
  </si>
  <si>
    <t xml:space="preserve">  (minus) 010500503  Common Plant Held for Future Use - PP  </t>
  </si>
  <si>
    <t xml:space="preserve">  (minus) 010600503 Common - Plant NOT CLASSIFIED - PP</t>
  </si>
  <si>
    <t xml:space="preserve">  (minus) 010600603 Common -Nc manual Adjustments </t>
  </si>
  <si>
    <t xml:space="preserve">  (minus) 010700603 -Common - CWIP Adj</t>
  </si>
  <si>
    <t>*See FERC CWIP Adjustment to Plant Tab</t>
  </si>
  <si>
    <t xml:space="preserve">&lt;- FERC Form1 P. 201 </t>
  </si>
  <si>
    <t>Depreciation from General Plant</t>
  </si>
  <si>
    <t xml:space="preserve">&lt;- FERC Form1 P.201 </t>
  </si>
  <si>
    <t>Amortization from Intangible</t>
  </si>
  <si>
    <t xml:space="preserve">TOTAL Amortization </t>
  </si>
  <si>
    <t>&lt;- FERC Form1 P. 201</t>
  </si>
  <si>
    <t>func_class</t>
  </si>
  <si>
    <t>business_segment</t>
  </si>
  <si>
    <t>asset_location</t>
  </si>
  <si>
    <t>asset_id</t>
  </si>
  <si>
    <t>depr_group</t>
  </si>
  <si>
    <t>WO#</t>
  </si>
  <si>
    <t>WO Description</t>
  </si>
  <si>
    <t>SAP WO Description</t>
  </si>
  <si>
    <t>month</t>
  </si>
  <si>
    <t>quantity</t>
  </si>
  <si>
    <t>book_cost</t>
  </si>
  <si>
    <t>allocated_reserve</t>
  </si>
  <si>
    <t>net_book_value</t>
  </si>
  <si>
    <t>General Plant, Common</t>
  </si>
  <si>
    <t>Common (E &amp; G)</t>
  </si>
  <si>
    <t>BNSF Eastside Easemnt Rail Corridor-Snohomish County WA03100000</t>
  </si>
  <si>
    <t>C389 CMN Easements</t>
  </si>
  <si>
    <t>BNSF EASTSIDE RAIL CORRIDOR EASMENT</t>
  </si>
  <si>
    <t>BNSF Eastside Easemnt Rail Corridor-King County WA01700000</t>
  </si>
  <si>
    <t>Elliott Avenue Property : GPL-ELLIOTT</t>
  </si>
  <si>
    <t>C389 CMN Land &amp; Land Rights</t>
  </si>
  <si>
    <t>ELLIOTT AVE LAND &amp; STRUCTURE PURCHA</t>
  </si>
  <si>
    <t>Vernell Office Land: GPL-VRL</t>
  </si>
  <si>
    <t>PURCHASING LAND &amp; STRUCTURE VERNELL</t>
  </si>
  <si>
    <t>S King Svc Complex (PSE) : GPL-SOK</t>
  </si>
  <si>
    <t xml:space="preserve">PURCHASE SOUTH KING FACILITY  LAND </t>
  </si>
  <si>
    <t>Snoqualmie Technology Center: GPL-STC</t>
  </si>
  <si>
    <t>Snoqualmie Technology Center Purcha</t>
  </si>
  <si>
    <t>Puyallup Fleet Facility : GPL-PUY</t>
  </si>
  <si>
    <t>Puyallup - PSE Fleet Facility</t>
  </si>
  <si>
    <t>Factoria Svc Cntr : GPL-VFA</t>
  </si>
  <si>
    <t>CONV</t>
  </si>
  <si>
    <t>Fleet Service Facility : GPL-VFL</t>
  </si>
  <si>
    <t>Kittitas Svc Cntr : GPL-VKT</t>
  </si>
  <si>
    <t>Olympia Service Center : GPL-VOL</t>
  </si>
  <si>
    <t>Tacoma Office/Shop : GPL-TAC</t>
  </si>
  <si>
    <t>Puyallup Service Center : GPL-VPU</t>
  </si>
  <si>
    <t>Howell Building, Tacoma : GPL-HWL</t>
  </si>
  <si>
    <t>East Side Telecommunication Office : GPL-ESO</t>
  </si>
  <si>
    <t>Commeq - Marysville : COM-MYV</t>
  </si>
  <si>
    <t>Commeq - Cougar Mtn : GPL-CMT</t>
  </si>
  <si>
    <t>North King Svc Cntr (Redmond): GPL-NOK</t>
  </si>
  <si>
    <t>C3900 CMN Str/Impv, ESO</t>
  </si>
  <si>
    <t>ESO RENOVATION PROJECT</t>
  </si>
  <si>
    <t>HVAC - EASTSIDE OPERATIONS</t>
  </si>
  <si>
    <t>EASTSIDE OPERATIONS - EXPANSION</t>
  </si>
  <si>
    <t>ESO Microwave Building Wall HVAC</t>
  </si>
  <si>
    <t>EASTSIDE OPERATIONS -STR</t>
  </si>
  <si>
    <t>ESO SOUTH GATE REPLACEMENT</t>
  </si>
  <si>
    <t>EASTSIDE OPERATIONS - CHILLER</t>
  </si>
  <si>
    <t>SECURITY OPERATIONS CENTER REDMOND,</t>
  </si>
  <si>
    <t>REPLACE END-OF-LIFE EAST SIDE OPERA</t>
  </si>
  <si>
    <t>ESO UPS ROOM BACKUP HVAC COOLING SY</t>
  </si>
  <si>
    <t xml:space="preserve">ESO PHYSICAL SECURITY IMPROVEMENTS </t>
  </si>
  <si>
    <t>C3900 CMN Str/Impv, Factoria Svc Ct</t>
  </si>
  <si>
    <t>FACTORIA SVC REPLACEMENT PLAN COSTS</t>
  </si>
  <si>
    <t>RENOVATE EXISTING FACTORIA SVC</t>
  </si>
  <si>
    <t>Factoria Svc CommSvcTrailer : GPL-VFC</t>
  </si>
  <si>
    <t>C3900 CMN Str/Impv, Factoria Trailr</t>
  </si>
  <si>
    <t>C3900 CMN Str/Impv, Fleet Svc Facl</t>
  </si>
  <si>
    <t>EMERGENCY GENERATOR - KENT FLEET</t>
  </si>
  <si>
    <t>KENT FLEET OFFICE HEATER</t>
  </si>
  <si>
    <t>FLEET SERVICE CENTER IMPROVEMENTS -</t>
  </si>
  <si>
    <t xml:space="preserve">KENT FLEET: REPLACE UNSAFE RADIANT </t>
  </si>
  <si>
    <t xml:space="preserve">KENT FLEETS HALON FIRE SUPPRESSION </t>
  </si>
  <si>
    <t>C3900 CMN Str/Impv, Howell Bldg</t>
  </si>
  <si>
    <t>CARPET - TACOMA ANNEX OFFICE</t>
  </si>
  <si>
    <t>SECURITY SYSTEM TACOMA ANNEX</t>
  </si>
  <si>
    <t>TACOMA ANNEX HVAC REPLACEMENT</t>
  </si>
  <si>
    <t>C3900 CMN Str/Impv, Kittitas Svc Ct</t>
  </si>
  <si>
    <t>KITTITAS SVC SECURITY SYSTEM</t>
  </si>
  <si>
    <t>KITTITAS SERVICE CENTER - YARD IMPR</t>
  </si>
  <si>
    <t>KITTITAS SERVICE CENTER HVAC REPLAC</t>
  </si>
  <si>
    <t>KITTITAS PLUMBING REPLACEMENT- STR</t>
  </si>
  <si>
    <t>Olympia Bus Ofc/Engr Building : GPL-OYM</t>
  </si>
  <si>
    <t>C3900 CMN Str/Impv, Olympia Bus/Eng</t>
  </si>
  <si>
    <t>NEW CCTV SYSTEM AT OLYMPIA OFFICE</t>
  </si>
  <si>
    <t>SECURITY SYSTEM OLYMPIA ENGIN. BLDG</t>
  </si>
  <si>
    <t>C3900 CMN Str/Impv, Olympia Svc Ctr</t>
  </si>
  <si>
    <t>OLYMPIA SVC - PHASE I-DESGN STUDY P</t>
  </si>
  <si>
    <t>SECURITY SYSTEM OLYMPIA SVC</t>
  </si>
  <si>
    <t>OLYMPIA SVC FLOORING</t>
  </si>
  <si>
    <t>OLYMPIA SERVICE CENTER - INSTALL AC</t>
  </si>
  <si>
    <t>OLYMPIA SVC - REPLACE SLIDE GATE PA</t>
  </si>
  <si>
    <t>OLYMPIA SVC - INSTALL 15 SECURITY M</t>
  </si>
  <si>
    <t>OLYMPIA SVC DRAINAGE &amp; YARD IMPROVE</t>
  </si>
  <si>
    <t>OLYMPIA SVC - REPLACE HVAC SYSTEM</t>
  </si>
  <si>
    <t xml:space="preserve">OLYMPIA COM HALON FIRE SUPPRESSION </t>
  </si>
  <si>
    <t>C3900 CMN Str/Impv, Puyallup Svc Ct</t>
  </si>
  <si>
    <t>PUYALLUP SVC TRAILER - CARPETING</t>
  </si>
  <si>
    <t>PUYALLUP SVC - NEW HVAC UNIT</t>
  </si>
  <si>
    <t>PUYALLUP SVC HEAT PUMP REPL</t>
  </si>
  <si>
    <t>PUYALLUP SERVICE CENTER - STORMWATE</t>
  </si>
  <si>
    <t>C3900 CMN Str/Impv, S King Complex</t>
  </si>
  <si>
    <t>SOUTH KING COMPLEX - CHILLER REPLAC</t>
  </si>
  <si>
    <t xml:space="preserve">SOUTH KING COMPLEX - TRUCK LOADING </t>
  </si>
  <si>
    <t xml:space="preserve">SKC NE GATE REPLACEMENT            </t>
  </si>
  <si>
    <t>SOUTH KING - RENOVATIONS -STR</t>
  </si>
  <si>
    <t>SOUTH KING - SECURITY IMPROVEMENTS-</t>
  </si>
  <si>
    <t>Shuffleton-SKC-Fleet Area Renovatio</t>
  </si>
  <si>
    <t>SHUFFLETON-SKC-MEZZANINE BLD OUT</t>
  </si>
  <si>
    <t>C3900 CMN Str/Impv, Tacoma Office</t>
  </si>
  <si>
    <t>WALL HEATER AT TACOMA OFFICE</t>
  </si>
  <si>
    <t>TACOMA OFFICE - NEW CCTV SYSTEM</t>
  </si>
  <si>
    <t>SECURITY SYSTEM TACOMA OFFICE COMPL</t>
  </si>
  <si>
    <t>HEAT PUMP-TACOMA OFFICE WAREHOUSE</t>
  </si>
  <si>
    <t>SECURITY SYSTEM TACOMA WAREHOUSE</t>
  </si>
  <si>
    <t>TACOMA MAIN GATE REPLACEMENT</t>
  </si>
  <si>
    <t>TACOMA SHOP - REPLACE (8) REZNOR HE</t>
  </si>
  <si>
    <t xml:space="preserve">TACOMA SHOP - HEATER IN METER TEST </t>
  </si>
  <si>
    <t>TACOMA OFFICE - IT ROOM A/C REPLACE</t>
  </si>
  <si>
    <t>TACOMA WAREHOUSE REPLACE HVAC SYSTE</t>
  </si>
  <si>
    <t>TACOMA OFFICE ELEVATOR REPLACEMENT</t>
  </si>
  <si>
    <t>TACOMA ANNEX FIRE ALARM SYSTEM ADDI</t>
  </si>
  <si>
    <t xml:space="preserve">TACOMA ANNEX ROOF REPLACEMENT      </t>
  </si>
  <si>
    <t>TACOMA OFFICE FIRE ALARM REPLACEMEN</t>
  </si>
  <si>
    <t>TACOMA WELD SHOP - PHASE 2- STR</t>
  </si>
  <si>
    <t>C3900 CMN Structure &amp; Improvement</t>
  </si>
  <si>
    <t>HEATER AT REDMOND SVC</t>
  </si>
  <si>
    <t>NOK Fire Alarm System</t>
  </si>
  <si>
    <t>N King SVC AKA Redmond SVC (Heat Pu</t>
  </si>
  <si>
    <t>Lake Tapps Co Camp : GPL-LTP</t>
  </si>
  <si>
    <t>LAKE TAPPS EMPLOYEE  CAMP CABINS</t>
  </si>
  <si>
    <t>Commeq - Mt Baldi : COM-BAL</t>
  </si>
  <si>
    <t>ACCESS CONTROL - MT BALDI MICROWAVE</t>
  </si>
  <si>
    <t>Commeq - Stampede : COM-SMP</t>
  </si>
  <si>
    <t>ACCESS CONTROL - STAMBEDE PASS MICR</t>
  </si>
  <si>
    <t>LAKE LOMA CELL TOWER A/C UNIT - MAR</t>
  </si>
  <si>
    <t>PICNIC SHELTER AT LAKE TAPPS</t>
  </si>
  <si>
    <t>Commeq - Olympia : GPL-OLM</t>
  </si>
  <si>
    <t>SECURITY SYSTEM-OLYMPIA WAREHOUSE</t>
  </si>
  <si>
    <t>REPLACE GATES AT NORTH KING AKA RED</t>
  </si>
  <si>
    <t>REDMOND SVC CTR - REPLACE UNIT HEAT</t>
  </si>
  <si>
    <t>NORTH KING SVC - REPLACE DRY ROOM E</t>
  </si>
  <si>
    <t>Commeq - Mt Blyn : GPL-MTB</t>
  </si>
  <si>
    <t>MT.BLYN COMMUNICATION EQUIPMENT BUI</t>
  </si>
  <si>
    <t xml:space="preserve">LAKE TAPPS EMPLOYEE CAMP - INSTALL </t>
  </si>
  <si>
    <t>Tacoma Warehouse &amp; Shop Improvement : GPL-TWSI</t>
  </si>
  <si>
    <t>TACOMA WAREHOUSE/SHOP IMPROVEMENTS</t>
  </si>
  <si>
    <t>NORTH KING SERVICE CENTER - REPLACE</t>
  </si>
  <si>
    <t xml:space="preserve">COUGAR MOUNTAIN HVAC REPLACEMENT - </t>
  </si>
  <si>
    <t>Cascade Data Center : GPL-CAS</t>
  </si>
  <si>
    <t>DATA CENTER - STR.  IT INFRASTRUCTU</t>
  </si>
  <si>
    <t xml:space="preserve">NORTH KING SVC FUEL TANK UPGRADE   </t>
  </si>
  <si>
    <t>SNOQUALMIE TECHNOLOGY CTR- SECURITY</t>
  </si>
  <si>
    <t>Snoqualmie Data Center : GPL-SQE</t>
  </si>
  <si>
    <t>SNOQUALMIE TECHNOLOGY CENTER- STR</t>
  </si>
  <si>
    <t>General Plant, Pierce County outside RTA District, WA : GPL-0000 WA02700000</t>
  </si>
  <si>
    <t>PUYALLUP REBUILD CONSTRUCTION-STR</t>
  </si>
  <si>
    <t>Data Center SQE - STR</t>
  </si>
  <si>
    <t>General Plant, King County Unincorporated within RTA District, WA : GPL-0000 WA11700990</t>
  </si>
  <si>
    <t>SHU RELO - SOUTH KING - STR</t>
  </si>
  <si>
    <t>SHUFFLETON-SKC-ANNEXWAREHOUSE UPGRA</t>
  </si>
  <si>
    <t>Shuffleton-SKC-Security</t>
  </si>
  <si>
    <t>SHU RELO - KENT SVC CTR RENOVATION-</t>
  </si>
  <si>
    <t>BOTHELL-O -STR</t>
  </si>
  <si>
    <t>PSE 09 IMPROVEMENTS - STR</t>
  </si>
  <si>
    <t>Vernell Office: GPL-VER</t>
  </si>
  <si>
    <t>VERNELL BLDG- STR</t>
  </si>
  <si>
    <t>SOUTH KING - RENOVATIONS - PHASE II</t>
  </si>
  <si>
    <t>LAKE TAPPS CAPITAL RENOVATIONS</t>
  </si>
  <si>
    <t>General Plant, Thurston County, WA : GPL-0000 WA03400000</t>
  </si>
  <si>
    <t>OLYMPIA SVC CTR METER SHOP EXPANSIO</t>
  </si>
  <si>
    <t>SHUFFLETON RELOCATION - PUYALLUP FL</t>
  </si>
  <si>
    <t>General Plant, Kittitas County, WA : GPL-0000 WA01900000</t>
  </si>
  <si>
    <t>Kittitas Roof Replacement</t>
  </si>
  <si>
    <t>SNOQUALMIE BACK UP CONTROL CENTER</t>
  </si>
  <si>
    <t>IT - PSE SUMMIT CAMPUS CONSOLIDATIO</t>
  </si>
  <si>
    <t>Bothell Data Center (leased) : GPL-BOTA2</t>
  </si>
  <si>
    <t>DCDR - DATA CENTER- A/C UNIT &amp; POWE</t>
  </si>
  <si>
    <t>POULSBO GEN LOAD BANK SWITCH</t>
  </si>
  <si>
    <t>Pse East Ofc Bldg (Leased) 110Th Ave Ne : GPL-PSEE</t>
  </si>
  <si>
    <t>PSE LOBBY RECEPTION DESK RELOCATION</t>
  </si>
  <si>
    <t>VERNELL FIRST FLOOR TI</t>
  </si>
  <si>
    <t>TRANSMISSION POLE STORAGE FACILITY</t>
  </si>
  <si>
    <t>per 2008 ASCM: Acct. 390 &gt; Structures and Improvements</t>
  </si>
  <si>
    <t>SKC FIRE ALARM AND SUPPRESSION</t>
  </si>
  <si>
    <t>PUY SVC SECURITY CONSTRUCTION</t>
  </si>
  <si>
    <t>ESO-COM ROOF REPLACEMENT</t>
  </si>
  <si>
    <t>EST BUILDING VACATE - BELLEVUE</t>
  </si>
  <si>
    <t>EST BUILDING VACATE - FF&amp;E BUILDOUT</t>
  </si>
  <si>
    <t>EST BUILDING VACATE - PLANNING &amp; MA</t>
  </si>
  <si>
    <t>PSE NEW HEADQUARTER</t>
  </si>
  <si>
    <t>General Plant, Skagit County, WA : GPL-0000 WA02900000</t>
  </si>
  <si>
    <t>MTE-COM BOLLARDS</t>
  </si>
  <si>
    <t>BELMORE SUBSTATION PERIMETER FENCIN</t>
  </si>
  <si>
    <t>General Plant, Snohomish County outside RTA Dst, WA : GPL-0000 WA03100000</t>
  </si>
  <si>
    <t>BUCC BUILDOUT BOTHELL H - SECURITY</t>
  </si>
  <si>
    <t>BUCC BUILDOUT BOTHELL H - FF&amp;E</t>
  </si>
  <si>
    <t xml:space="preserve">PSE BELL HQ REFRESH - FLOORS 10/11 </t>
  </si>
  <si>
    <t xml:space="preserve">PSE BELL HQ REFRESH O/S FLRS 10/11 </t>
  </si>
  <si>
    <t>General Plant, King County outside RTA District, WA : GPL-0000 WA01700000</t>
  </si>
  <si>
    <t>OPERATIONAL TRAINING CENTER</t>
  </si>
  <si>
    <t>MTE-COM ROOF REPLACEMENT</t>
  </si>
  <si>
    <t>PSE BELL HQ REFRESH - FL8 - LABOR &amp;</t>
  </si>
  <si>
    <t>PSE HQ REFRESH PH2 - SECURITY FL8</t>
  </si>
  <si>
    <t>PSE BELL HQ REFRESH O/S FL8</t>
  </si>
  <si>
    <t>NVR - Bothell G</t>
  </si>
  <si>
    <t>General Plant, Whatcom County, WA : GPL-0000 WA03700000</t>
  </si>
  <si>
    <t>NVR - ENCOGEN (GEN)</t>
  </si>
  <si>
    <t>IP Camera - Encogen (Gen)</t>
  </si>
  <si>
    <t>General Plant, Kitsap County, WA : GPL-0000 WA01800000</t>
  </si>
  <si>
    <t>IP Camera - Kitsap Service</t>
  </si>
  <si>
    <t>IP Camera - SUB South Bremerton</t>
  </si>
  <si>
    <t>IP Camera - Skagit Service</t>
  </si>
  <si>
    <t>General Plant, Lewis County, WA : GPL-0000 WA02100000</t>
  </si>
  <si>
    <t>IP Camera - Centralia Office</t>
  </si>
  <si>
    <t>IP Camera - Ellensburg Office</t>
  </si>
  <si>
    <t>IP Camera - Wild Horse O&amp;M</t>
  </si>
  <si>
    <t>IP Camera - Wild Horse REC</t>
  </si>
  <si>
    <t>IP Camera - SUB Poison Spring</t>
  </si>
  <si>
    <t>IP Camera - SUB Wild Horse</t>
  </si>
  <si>
    <t>IP Camera - Crystal Mountain (Gen)</t>
  </si>
  <si>
    <t>IP Camera - Enumclaw Service</t>
  </si>
  <si>
    <t>IP Camera - Factoria Service</t>
  </si>
  <si>
    <t>IP Camera - Lakewood Service</t>
  </si>
  <si>
    <t>General Plant, Island County, WA : GPL-0000 WA01500000</t>
  </si>
  <si>
    <t>IP Camera - Whidbey Service</t>
  </si>
  <si>
    <t>IP Camera - SUB St Clair</t>
  </si>
  <si>
    <t>IP Camera - Poulsbo Service</t>
  </si>
  <si>
    <t>IP Camera - SUB Alderton</t>
  </si>
  <si>
    <t>IP Camera - North King Service</t>
  </si>
  <si>
    <t>IP Camera - SUB Ardmore</t>
  </si>
  <si>
    <t>IP Camera - North Operating Base</t>
  </si>
  <si>
    <t>IP Camera - North Seattle Operation</t>
  </si>
  <si>
    <t>IP Camera - Snoqualmie Conference (</t>
  </si>
  <si>
    <t>IP Camera - SUB Mt Si</t>
  </si>
  <si>
    <t>IP Camera - Tacoma Annex</t>
  </si>
  <si>
    <t>IP Camera - Tacoma Office</t>
  </si>
  <si>
    <t>IP Camera - Kittitas Service</t>
  </si>
  <si>
    <t>IP Camera - Vashon Service</t>
  </si>
  <si>
    <t>IP Camera - SUB Horse Ranch</t>
  </si>
  <si>
    <t>IP Camera - SUB Yelm</t>
  </si>
  <si>
    <t>NNVR - Kitsap Service Center</t>
  </si>
  <si>
    <t>NVR - Centralia Office</t>
  </si>
  <si>
    <t>NVR - Jackson Prairie (Gas) *</t>
  </si>
  <si>
    <t>NNVR - SUB Cascade</t>
  </si>
  <si>
    <t>NVR - Baker Lower Adult Fish Trap</t>
  </si>
  <si>
    <t>NVR - Baker Lower Crest &amp; Pier</t>
  </si>
  <si>
    <t>NVR - Baker Lower PH 4</t>
  </si>
  <si>
    <t>NVR - Baker Upper FSC</t>
  </si>
  <si>
    <t>NVR - Baker Upper Hatchery</t>
  </si>
  <si>
    <t>NVR - Baker upper Moon Base</t>
  </si>
  <si>
    <t>NVR - Baker Upper Power House*</t>
  </si>
  <si>
    <t>NVR - Baker upper shop</t>
  </si>
  <si>
    <t>NVR - MWR Renslow</t>
  </si>
  <si>
    <t>NVR - Ellensburg Office</t>
  </si>
  <si>
    <t>NVR - Wild Horse REC</t>
  </si>
  <si>
    <t>NVR - SUB Poison Spring</t>
  </si>
  <si>
    <t>NVR - SUB Wild Horse</t>
  </si>
  <si>
    <t>NVR - SUB Wind Ridge</t>
  </si>
  <si>
    <t>NVR - MWR Whiskey Dick</t>
  </si>
  <si>
    <t>NVR - Crystal Mountian (Gen)</t>
  </si>
  <si>
    <t>NVR - Enumclaw Service Center</t>
  </si>
  <si>
    <t>NVR - SUB Greenwater</t>
  </si>
  <si>
    <t>NVR - Everett Operating Base</t>
  </si>
  <si>
    <t>General Plant, Whitman County, WA : GPL-0000 WA03800000</t>
  </si>
  <si>
    <t>NVR - MWR Ridpath</t>
  </si>
  <si>
    <t>NVR - SUB Horse Ranch</t>
  </si>
  <si>
    <t>NVR - Lakewood Service</t>
  </si>
  <si>
    <t>NVR - Fredonia (Gen)</t>
  </si>
  <si>
    <t>NVR - SUB MT Si</t>
  </si>
  <si>
    <t>NVR - Whidbey Service Center</t>
  </si>
  <si>
    <t>NVR - Olympia Engineering</t>
  </si>
  <si>
    <t>NVR - Olympia Service Center</t>
  </si>
  <si>
    <t>NVR - Olympia Warehouse</t>
  </si>
  <si>
    <t>NVR - SUB OLYMPIA</t>
  </si>
  <si>
    <t>NVR - SUB Saint Clair</t>
  </si>
  <si>
    <t>NVR - MWR Electron</t>
  </si>
  <si>
    <t>NVR - Sub Point Roberts</t>
  </si>
  <si>
    <t>General Plant, Garfield County, WA : GPL-0000 WA01200990</t>
  </si>
  <si>
    <t>NVR - MWR Linville Ridge</t>
  </si>
  <si>
    <t>NVR - Poulsbo Service Center</t>
  </si>
  <si>
    <t>NVR - Eastside Operations</t>
  </si>
  <si>
    <t>NVR - North King Service Center</t>
  </si>
  <si>
    <t>NVR - SUB Sterling</t>
  </si>
  <si>
    <t>NVR - Tacoma Annex</t>
  </si>
  <si>
    <t>NVR - Kittitas Service Center</t>
  </si>
  <si>
    <t>NVR - Vashon Service Center</t>
  </si>
  <si>
    <t>General Plant, Franklin County, WA : GPL-0000 WA01100990</t>
  </si>
  <si>
    <t>NVR - MWR Fields Gulch</t>
  </si>
  <si>
    <t>NVR - SUB Yelm</t>
  </si>
  <si>
    <t>Olympus Dr Comm (Leased) : GPL-OLB</t>
  </si>
  <si>
    <t>Svc Shop&amp;Storage Bldg(@Lakeside Substn) : GPL-BLD</t>
  </si>
  <si>
    <t>Bothell Access Center (leased) : GPL-BOTA</t>
  </si>
  <si>
    <t>C3901 CMN LH, Bothell Access Center</t>
  </si>
  <si>
    <t>BOTHELL ACCESS CENTER - BUILDING G</t>
  </si>
  <si>
    <t>PSE - REPLACE ENTERPRISE ACCESS CON</t>
  </si>
  <si>
    <t>PSE - REPLACE ENTERPRISE ACCESS CONTROL</t>
  </si>
  <si>
    <t>C3901 CMN LH, Bothell Data Center</t>
  </si>
  <si>
    <t>BOTHELL DATA CENTER TENANT IMPRV. B</t>
  </si>
  <si>
    <t>BOTHELL DATA CENTER TENANT IMPRV. BLDG H</t>
  </si>
  <si>
    <t>Bothell Data Center Blg H-Ext. 1312</t>
  </si>
  <si>
    <t>Bothell Data Center Blg H-Ext. 131203703</t>
  </si>
  <si>
    <t>IOC FIAL SECURITY SYSTEM</t>
  </si>
  <si>
    <t>BOTHELL H DATA CENTER UPS REPLACEME</t>
  </si>
  <si>
    <t>BOTHELL H DATA CENTER UPS REPLACEMENT</t>
  </si>
  <si>
    <t>Freeland Business Ofc(Leased) : GPL-FREE</t>
  </si>
  <si>
    <t>C3901 CMN LH, Freeland Bus Ofc</t>
  </si>
  <si>
    <t>SO WHIDBEY BUSINE OFFICE-TENANT IMP</t>
  </si>
  <si>
    <t>SO WHIDBEY BUSINE OFFICE-TENANT IMPROV.</t>
  </si>
  <si>
    <t>Lincoln Executive Center I - Bellevue : GPL-LEC</t>
  </si>
  <si>
    <t>C3901 CMN LH, Lincoln Exec Ctr</t>
  </si>
  <si>
    <t>LINCOLN EXECUTIVE CENTER - TENANT I</t>
  </si>
  <si>
    <t>LINCOLN EXECUTIVE CENTER - TENANT IMPROV</t>
  </si>
  <si>
    <t>Pse East Ofc Bldg (Leased) 2nd Amendment : GPL-PSEE2</t>
  </si>
  <si>
    <t>C3901 CMN LH, PSE East Amend 2</t>
  </si>
  <si>
    <t>PSE EAST BUILDING RELOCATION-STR</t>
  </si>
  <si>
    <t>PSE SUMMIT CAMPUS CONSOLIDATION PRO</t>
  </si>
  <si>
    <t>PSE SUMMIT CAMPUS CONSOLIDATION PROJECT</t>
  </si>
  <si>
    <t>C3901 CMN LH, PSE East Building</t>
  </si>
  <si>
    <t>PSE EAST BLDG- 11TH FLOOR RENOVATIO</t>
  </si>
  <si>
    <t>PSE EAST BLDG- 11TH FLOOR RENOVATION</t>
  </si>
  <si>
    <t xml:space="preserve">PSE EAST BLDG FL 2&amp;6- CYBER ASSETS </t>
  </si>
  <si>
    <t>PSE EAST BLDG FL 2&amp;6- CYBER ASSETS SECUR</t>
  </si>
  <si>
    <t>ADD 225 KVA MGE UPS - PSE EAST BLDG</t>
  </si>
  <si>
    <t>ADD 225 KVA MGE UPS - PSE EAST BLDG P1</t>
  </si>
  <si>
    <t>REPLACE PSE EAST BLDG 5TH FLOOR HEA</t>
  </si>
  <si>
    <t>REPLACE PSE EAST BLDG 5TH FLOOR HEAT PUM</t>
  </si>
  <si>
    <t>EST 2ND FLOOR HEAT PUMP A211 REPLAC</t>
  </si>
  <si>
    <t>EST 2ND FLOOR HEAT PUMP A211 REPLACEMENT</t>
  </si>
  <si>
    <t>Redmond West/Willow : GPL-WLW</t>
  </si>
  <si>
    <t>C3901 CMN LH, Redmond West/Willow</t>
  </si>
  <si>
    <t>REDMOND WEST/WILLOW TENANT INCENTIV</t>
  </si>
  <si>
    <t>REDMOND WEST/WILLOW TENANT INCENTIVES</t>
  </si>
  <si>
    <t>REDMOND WEST EXPANSION</t>
  </si>
  <si>
    <t>REDMOND WEST/WILLOW WAREH LEAS IMPR</t>
  </si>
  <si>
    <t>REDMOND WEST/WILLOW WAREH LEAS IMPROV</t>
  </si>
  <si>
    <t>REDMOND WEST A/C's MONITOR &amp; SERVIC</t>
  </si>
  <si>
    <t>REDMOND WEST A/C's MONITOR &amp; SERVICE ROO</t>
  </si>
  <si>
    <t>REDMOND WEST EXPANSION LEASE, 10,26</t>
  </si>
  <si>
    <t>REDMOND WEST EXPANSION LEASE, 10,262 SQ</t>
  </si>
  <si>
    <t>A/C for Lab Room Lab at Redmond Wes</t>
  </si>
  <si>
    <t>A/C for Lab Room Lab at Redmond West</t>
  </si>
  <si>
    <t>REDMOND WEST 2ND AMENDMENT TENANT I</t>
  </si>
  <si>
    <t>REDMOND WEST 2ND AMENDMENT TENANT IMPROV</t>
  </si>
  <si>
    <t xml:space="preserve">REDMOND WEST 2ND AMENDMENT LEASE - </t>
  </si>
  <si>
    <t>REDMOND WEST 2ND AMENDMENT LEASE - FURNI</t>
  </si>
  <si>
    <t>REDMOND WEST 2ND AMEND TENANT INCEN</t>
  </si>
  <si>
    <t>REDMOND WEST 2ND AMEND TENANT INCENTIVS</t>
  </si>
  <si>
    <t>HVAC REPLACEMENT REDMOND WEST NORTH</t>
  </si>
  <si>
    <t>HVAC REPLACEMENT REDMOND WEST NORTH OFFI</t>
  </si>
  <si>
    <t xml:space="preserve">REDMOND WEST TENANT IMPROVEMENTS - </t>
  </si>
  <si>
    <t>REDMOND WEST TENANT IMPROVEMENTS - STR</t>
  </si>
  <si>
    <t>C3911 CMN Office Furn &amp; Eq, new</t>
  </si>
  <si>
    <t>XEROX 6030</t>
  </si>
  <si>
    <t>OFFICE FURNITURE_ &lt; $20K</t>
  </si>
  <si>
    <t>FAX INSTALLATIONS</t>
  </si>
  <si>
    <t>PSE EAST AUDITORIUM ADD'L EQUIP</t>
  </si>
  <si>
    <t>REDMOND WEST/ WILLOW - FURNITURE</t>
  </si>
  <si>
    <t>PRINTER FOR ENG. DEP - PSE EST 4S</t>
  </si>
  <si>
    <t>FREELAND OFFICE - FURNITURE</t>
  </si>
  <si>
    <t>SOUTH KING COMPLEX - FRUNITURE</t>
  </si>
  <si>
    <t>PwrSysBldg : GPL-EAS</t>
  </si>
  <si>
    <t>ESO RENOVATION PROJECT - FURNITURE</t>
  </si>
  <si>
    <t>PRINTER FOR SUBSTATION DEP(HP 1100)</t>
  </si>
  <si>
    <t>PRINTER FOR CONTRACT MNG KENT OFFIC</t>
  </si>
  <si>
    <t>Pse Ofc Bldg (Leased) Ne 4Th Street : GPL-PSE</t>
  </si>
  <si>
    <t>PSE 4TH FLOOR TI FURNITURE</t>
  </si>
  <si>
    <t>2009 FAX NSTALLATIONS</t>
  </si>
  <si>
    <t>FACTORIA OFFICE - FURNITURE</t>
  </si>
  <si>
    <t>FURNITURE - REDMOND WEST ADDIT. SPA</t>
  </si>
  <si>
    <t>2010 FAX INSTALLATIONS</t>
  </si>
  <si>
    <t>2010 OFFICE FURNITURE_ &lt; $20K</t>
  </si>
  <si>
    <t>H T1200 PS JET PLOTTER PRINTER</t>
  </si>
  <si>
    <t>SeaTac Business Office &amp; Warehouse (Leased) : GPL-STOW</t>
  </si>
  <si>
    <t>FURNITURE - SEATAC OFFICE/WAREHOUSE</t>
  </si>
  <si>
    <t>ESO Phase 2 -2nd Floor Expansion Fu</t>
  </si>
  <si>
    <t>Lake Tapp Cabin Furniture</t>
  </si>
  <si>
    <t>STANDING ORDER FAX INSTALLATIONS</t>
  </si>
  <si>
    <t>Bothell Business Office (leased): GPL-BOT</t>
  </si>
  <si>
    <t xml:space="preserve">FURNITURE-BOTHELL DATA CENTER BLDG </t>
  </si>
  <si>
    <t>HP T2300ps Emfp 44</t>
  </si>
  <si>
    <t>Plotter for Project Management</t>
  </si>
  <si>
    <t>Plotter-Scanner Unit -PSE</t>
  </si>
  <si>
    <t>FURNITURE - BOTHELL ACCESS CENTER</t>
  </si>
  <si>
    <t>KITTITAS SVC CTNR T2300 PRINTER PUR</t>
  </si>
  <si>
    <t>TACOMA OFFICE T2300 PRINTER PURCHAS</t>
  </si>
  <si>
    <t>M&amp;R PURCHASE OF NEW PROJECTOR</t>
  </si>
  <si>
    <t>PROJECTOR FOR BUDGETING DEPARTMENT</t>
  </si>
  <si>
    <t>ESO GAS CONTROL HD DISPLAY SCREENS</t>
  </si>
  <si>
    <t>NEW PRINTERS FOR C&amp;SP FOR BOTHELL O</t>
  </si>
  <si>
    <t>2012 - 2016 - STANDING STOCK OFFICE</t>
  </si>
  <si>
    <t>General Plant, Bellevue, WA : GPL-0000 WA11700040</t>
  </si>
  <si>
    <t>2012-2017 - STANDING - OFFICE EQUIP</t>
  </si>
  <si>
    <t xml:space="preserve">MAPS AND RECORDS CONTEX IQ SCANNER </t>
  </si>
  <si>
    <t>Skagit Service Ctr : GPL-SKA</t>
  </si>
  <si>
    <t xml:space="preserve">REAL ESTATE - 2 FUJITSU SCANNERS - </t>
  </si>
  <si>
    <t>HIGH SPEED SCANNER FOR TRAINING DEP</t>
  </si>
  <si>
    <t>HIGH SPEED LED PRINTER FOR MAPS AND</t>
  </si>
  <si>
    <t>SECURITY OPERATIONS CENTER EQUIPMEN</t>
  </si>
  <si>
    <t>PLOTTER - SEIKO LP2050MFP</t>
  </si>
  <si>
    <t>NEW PRINTER FOR C&amp;SP, SEIKO LP2050M</t>
  </si>
  <si>
    <t>NEW PRINTERS FOR C&amp;SP, SEIKO LP2050</t>
  </si>
  <si>
    <t>CAMERA/LENS EQUIPMENT - OFE</t>
  </si>
  <si>
    <t xml:space="preserve">PAGEWIDE COLOR PLOTTER 2016        </t>
  </si>
  <si>
    <t>FACILITY WORKPLACE MOBILITY PROOF O</t>
  </si>
  <si>
    <t>2017 - STANDING STOCK OFFICE FURNIT</t>
  </si>
  <si>
    <t>GTZ PROGRAM - FACILITIES - OFE</t>
  </si>
  <si>
    <t>SNOQUALMIE TECHNOLOGY CENTER- OFE</t>
  </si>
  <si>
    <t>SOUTH KING - FURNITURE AND FIXTURES</t>
  </si>
  <si>
    <t>BOTHELL-O - OFE</t>
  </si>
  <si>
    <t>VERNELL BLDG FURNITURE</t>
  </si>
  <si>
    <t>Lincoln Exec Cntr-Conf Rm Upgrades</t>
  </si>
  <si>
    <t>TACOMA WELD SHOP - OFE - PHASE 2</t>
  </si>
  <si>
    <t>PSE BOTHELL BLDG G - ANCILLARY FURN</t>
  </si>
  <si>
    <t>OLYMPIA METER SHOP EXPANSION-OFE</t>
  </si>
  <si>
    <t>2018 - STANDING STOCK OFFICE FURNIT</t>
  </si>
  <si>
    <t>2019 - STANDING STOCK OFFICE FURNIT</t>
  </si>
  <si>
    <t>Puyallup Svc FF&amp;E Construction</t>
  </si>
  <si>
    <t>per 2008 ASCM: Acct. 391 &gt; Furniture and Equipment</t>
  </si>
  <si>
    <t>FF&amp;E - KENT SUBSTATION OPS</t>
  </si>
  <si>
    <t>COVID RESPONSE</t>
  </si>
  <si>
    <t xml:space="preserve">PSE BELL HQ REFRESH FFE FLRS 10/11 </t>
  </si>
  <si>
    <t>C3912 CMN Computer Eq, new</t>
  </si>
  <si>
    <t>TAC-OFC-HW.CE-MPLS TRANSPORT NETWOR</t>
  </si>
  <si>
    <t>2017 CAD LAPTOP FOR MAPS AND RECORD</t>
  </si>
  <si>
    <t>General Plant, Redmond, WA : GPL-0000 WA11700240</t>
  </si>
  <si>
    <t>General Plant, Klickitat County, WA : GPL-0000 WA02000000</t>
  </si>
  <si>
    <t>General Plant, Washington State : GPL-0000 WA00000000</t>
  </si>
  <si>
    <t>700MHz - Server - HW.CE</t>
  </si>
  <si>
    <t>GTZ - PROJECT MANAGEMENT  HW.CE</t>
  </si>
  <si>
    <t>Load Forecasting Model HW.CE</t>
  </si>
  <si>
    <t>NOKIA 7705 INSTALLATION AT MYV-COM-</t>
  </si>
  <si>
    <t>NOKIA 7705 INSTALLATION AT CMT-COM-</t>
  </si>
  <si>
    <t>NOKIA 7705 INSTALLATION AT MTE-COM-</t>
  </si>
  <si>
    <t>NOKIA 7705 INSTALLATION AT OLY-COM-</t>
  </si>
  <si>
    <t>NOKIA 7705 INSTALLATION AT ELC-COM-</t>
  </si>
  <si>
    <t>NOKIA 7705 INSTALLATION AT BRC-COM-</t>
  </si>
  <si>
    <t>NOKIA 7705 INSTALLATION AT GRN-COM-</t>
  </si>
  <si>
    <t>Bothell DC Telecom Migration HW.CE</t>
  </si>
  <si>
    <t>WESTIN CIRCUIT TELECOM-HW.CE</t>
  </si>
  <si>
    <t>TODD ROAD FACILITY_IT AV-HW.CE</t>
  </si>
  <si>
    <t>TODD ROAD FACILITY-IT-HW.CE</t>
  </si>
  <si>
    <t>IWM-Work Mgmt-MNS-HW.CE</t>
  </si>
  <si>
    <t>DCDR-Bothell Communications Room-HW</t>
  </si>
  <si>
    <t>Workspace Mobility-HW Procurement-H</t>
  </si>
  <si>
    <t>LOGRHYTHM UPGRADE - HW.CE</t>
  </si>
  <si>
    <t>NEW NPCS FOR FIREWALLS HW.CE</t>
  </si>
  <si>
    <t xml:space="preserve">2019 -TELECOM EQUIP GROWTH REFRESH </t>
  </si>
  <si>
    <t>2019 IT PC Refresh - HW.CE</t>
  </si>
  <si>
    <t>GTZ PMT Support Hardware - HW.CE</t>
  </si>
  <si>
    <t>Storage and Backup Growth and Refre</t>
  </si>
  <si>
    <t>Annual Network Technology Refresh &amp;</t>
  </si>
  <si>
    <t>VOICE EQUIPMENT REFRESH - HW.CE</t>
  </si>
  <si>
    <t>2019 TELECOM ANNUAL NETWORK REFRESH</t>
  </si>
  <si>
    <t>Annual Virtualization Growth and Re</t>
  </si>
  <si>
    <t xml:space="preserve">ANNUAL SERVER GROWTH AND REFRESH - </t>
  </si>
  <si>
    <t>AUD UPGRADE HARDWARE - HW.CE</t>
  </si>
  <si>
    <t>AM-200 UPGRADE VERNELL - HW.CE</t>
  </si>
  <si>
    <t>AM-200 upgrade EST - HW.CE</t>
  </si>
  <si>
    <t>SQE DC Telecom Hardware - HW.CE</t>
  </si>
  <si>
    <t>CAS DC Telecom Hardware - HW.CE</t>
  </si>
  <si>
    <t>MV90 Upgrade CAS - HW.CE</t>
  </si>
  <si>
    <t>2019 EVERETT VOIP UPGRADES - HW.CE</t>
  </si>
  <si>
    <t>2019 ENUMCLAW VOIP UPGRADES - HW.CE</t>
  </si>
  <si>
    <t>MTE - MOUNT ERIE 700MHZ_HRD - HW.CE</t>
  </si>
  <si>
    <t>IWM-GFR - HW.CE</t>
  </si>
  <si>
    <t>RITM0061768 New Badge Printer - HW.</t>
  </si>
  <si>
    <t>MV90 Upgrade SQE - HW.CE</t>
  </si>
  <si>
    <t>2019 KITTITAS VOIP UPGRADES - HW.CE</t>
  </si>
  <si>
    <t>CMT - COUGAR MOUNTAIN 700MHZ - HW.C</t>
  </si>
  <si>
    <t>RDW - RED WEST LAB - HW.CE</t>
  </si>
  <si>
    <t>TAC-GAR TACOMA GARAGE 700MHZ-HW.CE</t>
  </si>
  <si>
    <t>ELC-COM ELECTRON MICROWAVE 700MHZ-H</t>
  </si>
  <si>
    <t xml:space="preserve">OLM - COM OLYMPIA MICROWAVE 700MHZ </t>
  </si>
  <si>
    <t>SPD - COM STAMPEDE MICROWAVE 700MHZ</t>
  </si>
  <si>
    <t>BLD-COM BALDI MTN MICROWAVE 700MHZ-</t>
  </si>
  <si>
    <t xml:space="preserve">TAL - SUB TALBOT HILL SUB 700MHZ - </t>
  </si>
  <si>
    <t>SMN - COM SQUALICUM MTN. 700MHZ - H</t>
  </si>
  <si>
    <t xml:space="preserve">MYV - COM MARYSVILLE COMM 700MHZ - </t>
  </si>
  <si>
    <t xml:space="preserve">GRN - COM GREEN MTN. COMM 700MHZ - </t>
  </si>
  <si>
    <t>NHL - COM NORWAY HILL COMM 700MHZ -</t>
  </si>
  <si>
    <t xml:space="preserve">ESO - COM EASTSIDE OPS COMM 700MHZ </t>
  </si>
  <si>
    <t>SSC-COM SO. SEATTLE COLL COMM 700MH</t>
  </si>
  <si>
    <t>RSC-COM RATTLESNAKE MTN. COMM 700MH</t>
  </si>
  <si>
    <t>WRT - WHITE RIVER SUB 700MHZ - HW.C</t>
  </si>
  <si>
    <t>BLU-SUB MPLS TRNSPRT NTWRK IMPRVMNT</t>
  </si>
  <si>
    <t>ESO-EMS DC PP TELECOM IMPROVEMENTS-</t>
  </si>
  <si>
    <t>AV UPGRADES REDMOND CAMPUS - HW.CE</t>
  </si>
  <si>
    <t>VERNELL 1ST FLOOR TI - IT - HW.CE</t>
  </si>
  <si>
    <t>PSE Web 2.0 - HW.CE</t>
  </si>
  <si>
    <t>SAP Training Environment - HW.CE</t>
  </si>
  <si>
    <t>ANNUAL STORAGE/BACKUP GROWTH 2020 -</t>
  </si>
  <si>
    <t>E911 JABBER IMPLEMENTATION - HW.CE</t>
  </si>
  <si>
    <t>2020 VOIP UPGRADES - HW.CE</t>
  </si>
  <si>
    <t>CORP SIP TRUNKING EXPANSION - HW.CE</t>
  </si>
  <si>
    <t>TRANSPORT NETWORK MODERNIZATION - H</t>
  </si>
  <si>
    <t>EASYLOBBY SCANNER - HW.CE</t>
  </si>
  <si>
    <t>VOIP UPGRADES WHITEHORN - HW.CE</t>
  </si>
  <si>
    <t>2020 VOIP UPGRADES FREDERICKSON - H</t>
  </si>
  <si>
    <t>VOIP UPGRADES FREDONIA - HW.CE</t>
  </si>
  <si>
    <t>AV CONF/LAB IMPROVEMENTS - ESO - HW</t>
  </si>
  <si>
    <t>ANNUAL SERVER GROWTH/REFRESH 2020 -</t>
  </si>
  <si>
    <t>CAS-DC 2020 ANNUAL IMPROVEMENTS - H</t>
  </si>
  <si>
    <t>ESO 2020 ANNUAL IMPROVEMENTS - HW.C</t>
  </si>
  <si>
    <t>SQE-DC 2020 ANNUAL IMPROVEMENTS - H</t>
  </si>
  <si>
    <t>2020 IT PC Refresh - HW.CE</t>
  </si>
  <si>
    <t>Transport Telco SQE-DC - HW.CE</t>
  </si>
  <si>
    <t>TRANSPORT TELCO CAS-DC - HW.CE</t>
  </si>
  <si>
    <t>SAFETY TELEMATICS FOR FLEET - HW.CE</t>
  </si>
  <si>
    <t>AV UPDATES - MT ERIE- RDW - HW.CE</t>
  </si>
  <si>
    <t>General Plant, Columbia County, WA : GPL-0000 WA00700000</t>
  </si>
  <si>
    <t>INCREASE NETWORK BANDWIDTH - DAYTON</t>
  </si>
  <si>
    <t>3 DELL HIGH PERFORMANCE WORKSTATION</t>
  </si>
  <si>
    <t>ANNUAL VOICE TECH REFRESH - HW.CE</t>
  </si>
  <si>
    <t xml:space="preserve">ANNUAL NETWORK TECH REFRESH/GROW - </t>
  </si>
  <si>
    <t>DATA GOVERNANCE &amp; ENABLEMENT - HW.C</t>
  </si>
  <si>
    <t>AV CONFERENCE ROOM UPDATES BOT - HW</t>
  </si>
  <si>
    <t>CI-SAP Multichannel Foundation Cust</t>
  </si>
  <si>
    <t>Hana 2.0 HW Upgrade - HW.CE</t>
  </si>
  <si>
    <t>NERC USB SCANNING STATIONS - HW.CE</t>
  </si>
  <si>
    <t>SAR8 INSTALLATION GRAVELLY LAKE SUB</t>
  </si>
  <si>
    <t>OLYMPIA DNX-88 INTERCONNECT - HW.CE</t>
  </si>
  <si>
    <t xml:space="preserve">LOOKOUT MT EAST MPLS TRNSPRT NTWRK </t>
  </si>
  <si>
    <t>RDW-LAB TRANSPORT ADDS - HW.CE</t>
  </si>
  <si>
    <t>COVID-19 HW - MISC - HW.CE</t>
  </si>
  <si>
    <t xml:space="preserve">BALDI SUB MPLS TRANSPORT NETWORK - </t>
  </si>
  <si>
    <t>SKA-SVC TO WRT-COM NETWORK IMP - HW</t>
  </si>
  <si>
    <t>SKA-SVC TO BRC-COM TRANS NETWORK IM</t>
  </si>
  <si>
    <t>BRC-COM - KITSAP PENINSULA MW UPGRA</t>
  </si>
  <si>
    <t xml:space="preserve">SNO-SUB MPLS TRANSPORT NETWORK IMP </t>
  </si>
  <si>
    <t>ELC-COM - KITSAP PENINSULA MW UPGRA</t>
  </si>
  <si>
    <t xml:space="preserve">SPD-COM MPLS TRANSPORT NETWORK IMP </t>
  </si>
  <si>
    <t>TRNSPRT NTWRK MOD-GRAVELLY LAKE-HW.</t>
  </si>
  <si>
    <t>PAYMENT PROCESSING REPLACEMENT - HW</t>
  </si>
  <si>
    <t>SQE DC TRANSPORT IMP - MEGAPORT - H</t>
  </si>
  <si>
    <t>REPLACEMENT OF SEL TO PA-220R - HW.</t>
  </si>
  <si>
    <t>Backup Security Command Center - HW</t>
  </si>
  <si>
    <t xml:space="preserve">IT INFRA CAPABILITY ENHANCEMENTS - </t>
  </si>
  <si>
    <t>ANNUAL NETWORK TECH REFRESH(2021) -</t>
  </si>
  <si>
    <t xml:space="preserve">ANNUAL TELECOM EQUIP GROWTH (2021) </t>
  </si>
  <si>
    <t>ANNUAL TELECOM NETWORK RFRSH (2021)</t>
  </si>
  <si>
    <t>DATA CENTER HARDWARE REFRESH - HW.C</t>
  </si>
  <si>
    <t>ANNUAL END USER PC REFRESH (2021) -</t>
  </si>
  <si>
    <t>KIT-SVC SAR8 TRANSPORT IIMPROVEMENT</t>
  </si>
  <si>
    <t>LTN-SUB SAR8 TRANSPORT IMPROV - HW.</t>
  </si>
  <si>
    <t>TER-SUB SAR8 TRANSPORT IMPROV - HW.</t>
  </si>
  <si>
    <t>BKB-SUB SAR8 TRANSPORT IMPROV - HW.</t>
  </si>
  <si>
    <t xml:space="preserve">FRC-SUB TRANSPORT NETWORK IMPRVMNT </t>
  </si>
  <si>
    <t>FCR-SUB SAR8 INSTALLATION - HW.CE</t>
  </si>
  <si>
    <t>VACATE EST - IT BOT/BUCC - HW.CE</t>
  </si>
  <si>
    <t xml:space="preserve">TRANSP NET MODERNIZATION-SAM SUB - </t>
  </si>
  <si>
    <t xml:space="preserve">TRANSP NET MODERNIZATION-SHU SUB - </t>
  </si>
  <si>
    <t xml:space="preserve">TRANSP NET MODERNIZATION-FAC SUB - </t>
  </si>
  <si>
    <t xml:space="preserve">TRANSP NET MODERNIZATION-FAC SVC - </t>
  </si>
  <si>
    <t xml:space="preserve">TRANSP NET MODERNIZATION-ARD SUB - </t>
  </si>
  <si>
    <t>SQE-DC 2021 ANNUAL IMPROVEMENTS - H</t>
  </si>
  <si>
    <t>CAS-DC 2021 ANNUAL IMPROVEMENTS - H</t>
  </si>
  <si>
    <t>SBR-SUB SAR8 TRANSPORT IMPROV - HW.</t>
  </si>
  <si>
    <t>BOTO TEAMS DEMO ROOM AV - HW.CE</t>
  </si>
  <si>
    <t xml:space="preserve">2021 ANNUAL COMM ROOM HW REFRESH - </t>
  </si>
  <si>
    <t>RDW - REDWEST LAB - HW.CE</t>
  </si>
  <si>
    <t xml:space="preserve">TRANSP NET MODERNIZATION - HRS SUB </t>
  </si>
  <si>
    <t xml:space="preserve">TRANSP NET MODERNIZATION-BRE SUB - </t>
  </si>
  <si>
    <t xml:space="preserve">TRANSP NET MODERNIZATION-WRT SUB - </t>
  </si>
  <si>
    <t xml:space="preserve">TRANSP NET MODERNIZATION-TAL SUB - </t>
  </si>
  <si>
    <t xml:space="preserve">TRANSP NET MODERNIZATION-BSN SUB - </t>
  </si>
  <si>
    <t xml:space="preserve">TRANSP NET MODERNIZATION-BCO SUB - </t>
  </si>
  <si>
    <t>AV UPDATES FOR MSTEAMS - HW.CE</t>
  </si>
  <si>
    <t>CAPITAL TRAINING ENHANCEMENTS - HW.</t>
  </si>
  <si>
    <t xml:space="preserve">TRANSP NET MODERNIZATION-RSC COM - </t>
  </si>
  <si>
    <t>EST CORE MOVE - IT EST - HW.CE</t>
  </si>
  <si>
    <t>EST CORE MOVE - IT CEN-SUB - HW.CE</t>
  </si>
  <si>
    <t>EST CORE MOVE - IT ESO-OPS - HW.CE</t>
  </si>
  <si>
    <t>NOB-NORTH BELLEVUE SCADA NETWORK UP</t>
  </si>
  <si>
    <t>EST CORE MOVE - IT HPR-GEN - HW.CE</t>
  </si>
  <si>
    <t>EST CORE MOVE - IT GLD-GEN - HW.CE</t>
  </si>
  <si>
    <t>EST CORE MOVE - IT LAK-SUB - HW.CE</t>
  </si>
  <si>
    <t>EST CORE MOVE - IT LOC SUBSTATION -</t>
  </si>
  <si>
    <t>EST CORE NETWORK - IT VERNELL - HW.</t>
  </si>
  <si>
    <t>TRANSPORT NW MOD - BHL COM - HW.CE</t>
  </si>
  <si>
    <t xml:space="preserve">TRANSPORT NW MOD - HW-BAKER CAMPUS </t>
  </si>
  <si>
    <t>TRANSPORT NW MOD - COT SUB - HW.CE</t>
  </si>
  <si>
    <t>TRANSPORT NW MOD - NOV SUB - HW.CE</t>
  </si>
  <si>
    <t>TRANSPORT NW MOD - SNO SUB - HW.CE</t>
  </si>
  <si>
    <t>TRANSPORT NW MOD - MSI SUB - HW.CE</t>
  </si>
  <si>
    <t>TRANSP. NET. MODERNIZATION-HW-VJU S</t>
  </si>
  <si>
    <t xml:space="preserve">TRANSP NET MODERNIZATION - BAS SUB </t>
  </si>
  <si>
    <t>TRANSPORT NW MOD - WHAT CNTY - HW.C</t>
  </si>
  <si>
    <t>TRANSPORT NW MOD - KITS CNTY - HW.C</t>
  </si>
  <si>
    <t>TRANSPORT NW MOD - THURS CNTY - HW.</t>
  </si>
  <si>
    <t>2022 DATA CENTER HARDWARE REFRESH -</t>
  </si>
  <si>
    <t>ANNUAL STORAGE/BACKUP GROWTH 2021 .</t>
  </si>
  <si>
    <t>CHECK PAYMENT - SHORT TERM - HW.CE</t>
  </si>
  <si>
    <t>TRANSP NETWORK MOD-RDW-LAB2022 . HW</t>
  </si>
  <si>
    <t>TRANSP. NET. MODERNIZATION-HW-MOR S</t>
  </si>
  <si>
    <t>ANNUAL TELECOM EQUIP GROWTH  - HW.C</t>
  </si>
  <si>
    <t>ANNUAL TELECOM NETWORK REFRESH  - H</t>
  </si>
  <si>
    <t xml:space="preserve">ANNUAL NETWORK TECH REFRESH 2022 - </t>
  </si>
  <si>
    <t>ANNUAL STORAGE/BACKUP GROWTH . HW.C</t>
  </si>
  <si>
    <t>ANNUAL SERVER GROWTH/REFRESH . HW.C</t>
  </si>
  <si>
    <t>SQE-DC 2022 ANNUAL IMPROVEMENTS . H</t>
  </si>
  <si>
    <t>CAS-DC 2022 ANNUAL IMPROVEMENTS . H</t>
  </si>
  <si>
    <t>ANNUAL COMM ROOM HW REFRESH 2022. H</t>
  </si>
  <si>
    <t>ANNUAL END USER PC REFRESH 2022. HW</t>
  </si>
  <si>
    <t>ESO VIDEO WALL REPLACEMENT . HW.CE</t>
  </si>
  <si>
    <t>SNOQUALMIE- HCI - HW.CE</t>
  </si>
  <si>
    <t>PSE BELL HQ REFRESH - FL8 - HW.CE</t>
  </si>
  <si>
    <t>WRT- SUB FIBER RACEWAY - HW.CE</t>
  </si>
  <si>
    <t>TRANSP NETWORK MODERNIZATION-HRD-ES</t>
  </si>
  <si>
    <t>SECURITY SYSTEM BREAK/FIX - HW.CE</t>
  </si>
  <si>
    <t>TRANSP NETWORK MODERNIZATION-ALD-SU</t>
  </si>
  <si>
    <t>2022 ANNUAL AUDIO VISUAL TECH REFRE</t>
  </si>
  <si>
    <t>KITTITAS MW TRANSPORT IMPROVEMENTS-</t>
  </si>
  <si>
    <t>CYBER AUDIT WEB SERVER UPGRADE HW S</t>
  </si>
  <si>
    <t>FACTORIA BUSINESS OFFICE - HW.CE</t>
  </si>
  <si>
    <t>KENT SOUTH KING SERVICE CENTER- SKC</t>
  </si>
  <si>
    <t>2022 HARDWARE ORDER FOR DCHR</t>
  </si>
  <si>
    <t>C3920 GEN Trans Equip, new</t>
  </si>
  <si>
    <t>STANDING FLEET VEHICLES PURCH - COM</t>
  </si>
  <si>
    <t>FIBER REEL TRAILER- RDW-OFC</t>
  </si>
  <si>
    <t xml:space="preserve">2017 STANDING ORDER PASSENGER CARS </t>
  </si>
  <si>
    <t>2017 STANDING ORDER SERVICE TRUCKS-</t>
  </si>
  <si>
    <t xml:space="preserve">2018 STANDING ORDER FLEET VEHICLES </t>
  </si>
  <si>
    <t>FLIGHT SERVICES_AVIONICS SYSTEMS UP</t>
  </si>
  <si>
    <t>FLEET SERVICES HYBRID UPGRADES</t>
  </si>
  <si>
    <t xml:space="preserve">2019 STANDING ORDER FLEET VEHICLES </t>
  </si>
  <si>
    <t xml:space="preserve">2020 STANDING ORDER FLEET VEHICLES </t>
  </si>
  <si>
    <t xml:space="preserve">2022 STANDING ORDER FLEET VEHICLES </t>
  </si>
  <si>
    <t>per 2008 ASCM: Acct. 392 &gt; Transportation Equipment</t>
  </si>
  <si>
    <t>C393 CMN Stores Equipment new</t>
  </si>
  <si>
    <t xml:space="preserve">STANDING-CORP FLEET VEHICLES PURCH </t>
  </si>
  <si>
    <t>C3940 CMN Tools/Shop/Garage new</t>
  </si>
  <si>
    <t>Stores Equipment Purchases - 2008</t>
  </si>
  <si>
    <t>VEHICLE LIFTS AT KENT FLEET</t>
  </si>
  <si>
    <t xml:space="preserve">Electric Vehicle Charging Stations </t>
  </si>
  <si>
    <t>Electric Vehicle Charg Stations -Bo</t>
  </si>
  <si>
    <t>GAS METER DEPARTMENT MOTORIZED PALL</t>
  </si>
  <si>
    <t>BELLEVUE CAMPUS  - CHARGING STATION</t>
  </si>
  <si>
    <t>GE ENERGY-BENTLEY ADRE408 TOOL</t>
  </si>
  <si>
    <t>STANDING 2012 STORES CAPITAL EQUIPM</t>
  </si>
  <si>
    <t>2012-2017 TELECOMMUNICATIONS TOOL P</t>
  </si>
  <si>
    <t>ELECTRIC VEH CHARG STATIONS-OLYMPIA</t>
  </si>
  <si>
    <t>CHARGING STATION - BELLEVUE</t>
  </si>
  <si>
    <t>STANDING 2012 PTS CAPITAL TOOLS</t>
  </si>
  <si>
    <t>2013-2017 STANDING STORES CAPITAL E</t>
  </si>
  <si>
    <t>TACOMA CNG FLEET DISPENSING IMPROVE</t>
  </si>
  <si>
    <t>T AND D ENGINEERING GPS SURVEYING U</t>
  </si>
  <si>
    <t xml:space="preserve">STANDING IT TOOLS (TEST EQUIPMENT) </t>
  </si>
  <si>
    <t>PRESSURE WASHER - SOUTH KING COMPLE</t>
  </si>
  <si>
    <t xml:space="preserve">AED REPLACEMENT PROGRAM            </t>
  </si>
  <si>
    <t xml:space="preserve">KENT FLEETS HOIST REPLACEMENT      </t>
  </si>
  <si>
    <t>C396 GEN Power Op Equip, new</t>
  </si>
  <si>
    <t>GE Capital  Fleet Lease Buyout - Co</t>
  </si>
  <si>
    <t>per 2008 ASCM: Acct. 396 &gt; Power Operated Equipment</t>
  </si>
  <si>
    <t>C3970 CMN Comm Equip, new</t>
  </si>
  <si>
    <t>MOBILE RADIOS</t>
  </si>
  <si>
    <t>CHANNEL BANK/ADD/REPLACE</t>
  </si>
  <si>
    <t>2009 CHANNEL BANK/ADD/REPLACE</t>
  </si>
  <si>
    <t>2009 TELECOM TRANSPORT ENHANCEMENTS</t>
  </si>
  <si>
    <t>2010 TELECOM TRANSPORT ENHANCEMENTS</t>
  </si>
  <si>
    <t>2010 TELECOM TEST EQUIPMENT</t>
  </si>
  <si>
    <t>STANDING ORDER MOBILE RADIOS</t>
  </si>
  <si>
    <t>2011 Telecommunications Tool Purcha</t>
  </si>
  <si>
    <t>IP SCADA Project (MAS Master Radio)</t>
  </si>
  <si>
    <t>Commeq - Bellingham:  COM-BHM</t>
  </si>
  <si>
    <t>Commeq - Sumas:  COM-SMS</t>
  </si>
  <si>
    <t>TELECOM SCADA @ PSE EAST BLDG</t>
  </si>
  <si>
    <t>MAS RADIO MT BLYN</t>
  </si>
  <si>
    <t>FREQUENCY DISPLAY/TRANSDUCER UNIT -</t>
  </si>
  <si>
    <t>UPGRADE/REPLACE ESO TELEMETRY</t>
  </si>
  <si>
    <t>IP SCADA NETWORK PROOF OF CONCEPT</t>
  </si>
  <si>
    <t>Commeq - Burlington : COM-BHL</t>
  </si>
  <si>
    <t xml:space="preserve">BURLINGTON HILL - RADIO PROJECT    </t>
  </si>
  <si>
    <t>Commeq - Glacier : COM-GLA</t>
  </si>
  <si>
    <t xml:space="preserve">GLACIER - RADIO PROJECT            </t>
  </si>
  <si>
    <t>Commeq - King Mountain : COM-KIN</t>
  </si>
  <si>
    <t xml:space="preserve">KING MOUNTAIN- RADIO PROJECT       </t>
  </si>
  <si>
    <t>Commeq - Mt Erie (Leased) : COM-MTE</t>
  </si>
  <si>
    <t xml:space="preserve">MT. ERIE - RADIO PROJECT           </t>
  </si>
  <si>
    <t>Commeq - Skykomish : COM-SKY</t>
  </si>
  <si>
    <t>SKYKOMISH SVC/OFFICE - RADIO PROJEC</t>
  </si>
  <si>
    <t>Commeq - Lower Baker : COM-LB</t>
  </si>
  <si>
    <t xml:space="preserve">LOWER BAKER - RADIO PROJECT        </t>
  </si>
  <si>
    <t>Lynden Svc Cntr : GPL-VLY</t>
  </si>
  <si>
    <t xml:space="preserve">LYNDEN - RADIO PROJECT             </t>
  </si>
  <si>
    <t>Commeq - Crystal Mountain: COM-CRY</t>
  </si>
  <si>
    <t xml:space="preserve">CRYSTAL MT - RADIO PROJECT         </t>
  </si>
  <si>
    <t>Commeq - Shaw : COM-SHA</t>
  </si>
  <si>
    <t>SHAW SUB - RADIO PROJECT</t>
  </si>
  <si>
    <t>Commeq - Fields Gulch: COM-FIELDS</t>
  </si>
  <si>
    <t xml:space="preserve">FIELDS GULCH - RADIO PROJECT       </t>
  </si>
  <si>
    <t>Commeq - Linville Ridge:  COM-LIN</t>
  </si>
  <si>
    <t xml:space="preserve">LINVILLE RIDGE - RADIO PROJECT     </t>
  </si>
  <si>
    <t xml:space="preserve">NORTH KING SVC - BATTERY           </t>
  </si>
  <si>
    <t>COMPANY WIDE TRM INSTALL</t>
  </si>
  <si>
    <t xml:space="preserve">ESO RADIO TEST EQUIPMENT           </t>
  </si>
  <si>
    <t>Fib Opt - Pse Office Building : COM-PSE</t>
  </si>
  <si>
    <t>Commeq - Rattlesnake Mtn Site : COM-RAT</t>
  </si>
  <si>
    <t>Commeq - Willows Warehouse: COM-WLW</t>
  </si>
  <si>
    <t>BOTHEL FIBER BACKBONE TAP</t>
  </si>
  <si>
    <t>FICC Redmond West</t>
  </si>
  <si>
    <t>FICC FACTORIA TLECOMMUNICATION</t>
  </si>
  <si>
    <t>EAST &amp; PSE BLDG FIBER DIVERSITY</t>
  </si>
  <si>
    <t>Commeq - Lookout Mtn East : COM-LOT</t>
  </si>
  <si>
    <t>RETIREDEllensburg Bus Ofc (Leased) : GPL-ELN</t>
  </si>
  <si>
    <t>ANTENNAS - ELLENSBURG OFFICE</t>
  </si>
  <si>
    <t>NORTH BELLEVUE FIBER REBUILD</t>
  </si>
  <si>
    <t>FIBER OPTIC - FREELAND OFFICE (S WH</t>
  </si>
  <si>
    <t>OLYMPIA COMMUNIC SITE-BATTERIES &amp; C</t>
  </si>
  <si>
    <t>ESO FIBER Backbone Tap</t>
  </si>
  <si>
    <t>TELECOMMUNICATION EQUIPMENT - PSE 4</t>
  </si>
  <si>
    <t>ESO TELECOM ETHERNET (COMM EQUIP)</t>
  </si>
  <si>
    <t>WILLOW TELECOM ETHERNET (COMM EQUIP</t>
  </si>
  <si>
    <t>ANTENA - MT BALDI MICROWAVE TOWE</t>
  </si>
  <si>
    <t>RADIO CONSOLES  EST-02E</t>
  </si>
  <si>
    <t>REDMOND WEST 4 ANTENNAS</t>
  </si>
  <si>
    <t>2-WAY MOBILE RADIO INSTALL AND PURC</t>
  </si>
  <si>
    <t>ERIE TO MARCH PT SUB - FIBER INSTAL</t>
  </si>
  <si>
    <t>REDMOND WEST FIBER OPTIC</t>
  </si>
  <si>
    <t>EMS CONSOLE KEYBOARD (TIMING SOURCE</t>
  </si>
  <si>
    <t>BALDI MTN MICROWAVE TO FREDERICKSON</t>
  </si>
  <si>
    <t>White River Ofc : GPL-WRT</t>
  </si>
  <si>
    <t>INTERNET PROTOCOL CORE DEV PSE NETW</t>
  </si>
  <si>
    <t>Bellingham Svc Cntr : GPL-VBE</t>
  </si>
  <si>
    <t>Commeq - Talbot Hill  : COM-TAL</t>
  </si>
  <si>
    <t>Kent Business Office (Leased) : GPL-KNO</t>
  </si>
  <si>
    <t>Commeq - Lakeside: COM-LAK</t>
  </si>
  <si>
    <t>Commeq - White River : COM-WRT</t>
  </si>
  <si>
    <t>Commeq - O'Brien: COM-OBR</t>
  </si>
  <si>
    <t>Commeq - Sedro Wooley: COM-SED</t>
  </si>
  <si>
    <t>Fib Opt - Bothel Samm Line - Seattle City Light Subst : COM-BSCL</t>
  </si>
  <si>
    <t>BOTHELL - SEATTLE CITY LIGHT FIBER</t>
  </si>
  <si>
    <t>MARYSVILLE MV DEHYDRATOR PURCHASE</t>
  </si>
  <si>
    <t>SEA TAC TELECOMMUNICATION EQUIPMENT</t>
  </si>
  <si>
    <t>KITSAP SERVICE CENTER BATTERIES &amp; C</t>
  </si>
  <si>
    <t>Commeq - Des Moines Emergency Flood Communication : GPL-EFC</t>
  </si>
  <si>
    <t>TELECOM EQUIPMENT IN TRAILERS - KEN</t>
  </si>
  <si>
    <t xml:space="preserve">FIBER OPTIC OLYMPIA SVC TO OLYMPIA </t>
  </si>
  <si>
    <t>TACOMA OFFICE RADIO UPS BATTERY</t>
  </si>
  <si>
    <t>WIDE ANGLE VIEW VIDEO WALL</t>
  </si>
  <si>
    <t>LOOKOUT EAST - RADIO PROJECT</t>
  </si>
  <si>
    <t>RATTLESNAKE - RADIO PROJECT</t>
  </si>
  <si>
    <t>OLYMPIA SVC - RADIO PROJECT</t>
  </si>
  <si>
    <t>Commeq - Redmond West : COM-RDW</t>
  </si>
  <si>
    <t>REDMOND WEST- RADIO PROJECT</t>
  </si>
  <si>
    <t>EST Install CCTV equipment  Lobby l</t>
  </si>
  <si>
    <t>Commeq - Greenwater : COM-GWR</t>
  </si>
  <si>
    <t>GREENWATER SUB - RADIO PROJECT</t>
  </si>
  <si>
    <t>TALBOT SUB - RADIO PROJECT</t>
  </si>
  <si>
    <t>COUGAR MOUNTAIN - RADIO PROJECT</t>
  </si>
  <si>
    <t>FACTORIA HIGHLINE - RADIO PROJECT</t>
  </si>
  <si>
    <t>BALDI - RADIO PROJEC</t>
  </si>
  <si>
    <t>PUYALLUP SVC - RADIO PROJECT</t>
  </si>
  <si>
    <t>MARYSVILLE - RADIO PROJECT</t>
  </si>
  <si>
    <t>TACOMA WAREHOUSE DC PLANT REPLACEME</t>
  </si>
  <si>
    <t>Skagit SVC to March Point Multiplex</t>
  </si>
  <si>
    <t>OLYMPIA OFC LINE TREATMENT EQUIPMEN</t>
  </si>
  <si>
    <t>FIBER OPTIC BOTHELL BLDG G&amp;H</t>
  </si>
  <si>
    <t>TELECOM TDM NETWORK</t>
  </si>
  <si>
    <t>Rattlesnake Dehydrator (Comm Equip)</t>
  </si>
  <si>
    <t>Commeq - Starwood : COM-STAR</t>
  </si>
  <si>
    <t>STARWOOD SUB - RADIO PROJECT</t>
  </si>
  <si>
    <t>Commeq - Kendall: COM-KEN</t>
  </si>
  <si>
    <t>KENDALL SUB - RADIO PROJECT</t>
  </si>
  <si>
    <t>Midway Switch Station : SUB-MID</t>
  </si>
  <si>
    <t>MIDWAY SUB - RADIO PROJECT</t>
  </si>
  <si>
    <t>Commeq - Midway : COM-MID</t>
  </si>
  <si>
    <t>Commeq - Pickering : COM-PIK</t>
  </si>
  <si>
    <t>PICKERING SUB - RADIO PROJECT</t>
  </si>
  <si>
    <t>Commeq - Index:  COM-IND</t>
  </si>
  <si>
    <t>INDEXT - RADIO PROJECT</t>
  </si>
  <si>
    <t>Commeq - Bucoda: COM-BUC</t>
  </si>
  <si>
    <t>BUCODA - RADIO PROJECT</t>
  </si>
  <si>
    <t>Commeq - Frederickson : COM-FRE</t>
  </si>
  <si>
    <t>FREDRICKSON - RADIO PROJECT</t>
  </si>
  <si>
    <t>STAMPEDE - RADIO PROJECT</t>
  </si>
  <si>
    <t>Commeq - Tacoma : COM-TACOMA</t>
  </si>
  <si>
    <t>TACOMA - RADIO PROJECT</t>
  </si>
  <si>
    <t>POMEROY O&amp;M BLDG - RADIO PROJECT</t>
  </si>
  <si>
    <t>Fial System Improvements</t>
  </si>
  <si>
    <t>IP SCADA Project (Telecom)</t>
  </si>
  <si>
    <t>Commeq - Snoqualmie Dam : COM-SNOD</t>
  </si>
  <si>
    <t>SNOQUALMIE DAM  - RADIO PROJECT</t>
  </si>
  <si>
    <t>Commeq - Upper Baker Dam : COM-UB</t>
  </si>
  <si>
    <t>UPPER BAKER DAM - RADIO PROJECT</t>
  </si>
  <si>
    <t>TEST RTU AT ESO</t>
  </si>
  <si>
    <t>BELLINGHAM SVC - RADIO PROJECT</t>
  </si>
  <si>
    <t xml:space="preserve">BLYNN MT. MW CHARGER REPLACEMENT - </t>
  </si>
  <si>
    <t>Commeq - ESO: COM-ESO</t>
  </si>
  <si>
    <t>ENHANCED TELEMETRY AT ESO AND BUCC</t>
  </si>
  <si>
    <t>DAP-100 SERVER</t>
  </si>
  <si>
    <t>BALDI TO WHITE RIVER MW REPLACEMENT</t>
  </si>
  <si>
    <t>TELECOM NETWORK GROWTH 2011-2012</t>
  </si>
  <si>
    <t>ONE BELLEVUE CENTER DC CHARGER REPL</t>
  </si>
  <si>
    <t>RDW NEW PHASE III</t>
  </si>
  <si>
    <t>Commeq - Norway Hill : COM-NHL</t>
  </si>
  <si>
    <t>NORWAY HILL - RADIO PROJECT</t>
  </si>
  <si>
    <t>Commeq - Snoqualmie Microwave : COM-SNO</t>
  </si>
  <si>
    <t>SQUALICUM MT. - RADIO PROJECT</t>
  </si>
  <si>
    <t>Commeq - Squalicum:  COM-SQU</t>
  </si>
  <si>
    <t>Commeq - Lake Samish: COM-LSAM</t>
  </si>
  <si>
    <t>LAKE SAMISH - RADIO PROJECT</t>
  </si>
  <si>
    <t>Commeq - Seattle Community College: COM-SCC</t>
  </si>
  <si>
    <t>S SEATTLE COMM COLLEGE - RADIO PROJ</t>
  </si>
  <si>
    <t>Commeq - Buckhorn Hill:  COM: BUCK</t>
  </si>
  <si>
    <t>BUCKHORN HILL - RADIO PROJECT</t>
  </si>
  <si>
    <t>TEST LAB RTU AT ESO</t>
  </si>
  <si>
    <t>S.01488.01 -- FIBER IMPROVEMENTS  -</t>
  </si>
  <si>
    <t>TELEOM TRANSPORT NETWORK GROWTH 201</t>
  </si>
  <si>
    <t>2012-2017 STANDING ORDER TELECOM TE</t>
  </si>
  <si>
    <t>EASTSIDE SYSTEM OPERATIONS POWER TR</t>
  </si>
  <si>
    <t>STANDING ORDER FOR PORTABLE RADIOS</t>
  </si>
  <si>
    <t>STANDING ORDER MOBILE RADIOS - TO R</t>
  </si>
  <si>
    <t>Commeq - Kent Fleet: COM-KENT</t>
  </si>
  <si>
    <t>KENT FLEET - RADIO PROJECT</t>
  </si>
  <si>
    <t>BELLEVUE EST BUCC DNX-88 INSTALL</t>
  </si>
  <si>
    <t>General Plant, Jefferson County, WA : GPL-0000 WA01600000</t>
  </si>
  <si>
    <t>BLYN ANTENNA REPLACEMENT</t>
  </si>
  <si>
    <t>STAMPEDE DIVERSITY ANTENNA SYSTEM R</t>
  </si>
  <si>
    <t>IP SCADA PROJ - COMM-BACKHAUL OUT-O</t>
  </si>
  <si>
    <t>Fib Opt - Boeing-Midway Sub  : COM-BOMW</t>
  </si>
  <si>
    <t>RPL 12 CNT WITH 48 BTWN BAS-MID</t>
  </si>
  <si>
    <t>Commeq - Bellevue Office: COM-BELO</t>
  </si>
  <si>
    <t>ANNUAL UPS TECHNOLOGY REFRESH</t>
  </si>
  <si>
    <t>AGGREGATION POINT TESTING-RADIO SYS</t>
  </si>
  <si>
    <t>S.01505.01 - ANNUAL TELECOM EQUIPME</t>
  </si>
  <si>
    <t>Commeq - Electron : COM-ELE</t>
  </si>
  <si>
    <t>Commeq - N.Seattle Operation : COM-NSO</t>
  </si>
  <si>
    <t>PRI ROUTER ENHANCEMENT INSTALLS FOR</t>
  </si>
  <si>
    <t>BOTHELL H TELECOM MASTER CONNECT IM</t>
  </si>
  <si>
    <t>TALBOT HILL SUB TO BPA SNOHOMISH</t>
  </si>
  <si>
    <t>Commeq - BPA Snohomish : COM-BPAS</t>
  </si>
  <si>
    <t>BPA-SNOHOMISH TO BELLINGHAM SVC AND</t>
  </si>
  <si>
    <t xml:space="preserve">LYNDEN SUB TO BELLINGHAM SVC FIBER </t>
  </si>
  <si>
    <t>Fib Opt - Terrell Sub to Bellingham Svcc: COM-TERB</t>
  </si>
  <si>
    <t>TERRELL SUB TO BELLINGHAM SVC FIBER</t>
  </si>
  <si>
    <t xml:space="preserve">BELLINGHAM SVC TO LYNDEN SUB FIBER </t>
  </si>
  <si>
    <t>Fib Opt - Bellingham Svcc to Terrell Sub : COM-BELT</t>
  </si>
  <si>
    <t>BELLINGHAM SVC TO TERRELL SUB FIBER</t>
  </si>
  <si>
    <t>RDWOFC - REDMOND WEST OFFICE CENTER</t>
  </si>
  <si>
    <t>BELLINGHAM SVC EQUIPMENT IMPROVEMEN</t>
  </si>
  <si>
    <t>S.01405.01 - VOIP TECH REFRESH - SO</t>
  </si>
  <si>
    <t>UPPER BAKER MOON BASE IMS</t>
  </si>
  <si>
    <t>Fib Opt - Bellingham Sub-Bellingham SVCC.: COM-BHMS</t>
  </si>
  <si>
    <t>BELLINGHAM SUBSTATION NETWORK IMPRO</t>
  </si>
  <si>
    <t>EST-BUCC TO TAL-SUB OPS DS3 TRUNK</t>
  </si>
  <si>
    <t>TAL-SUB TO EST-BUCC OPS DS3 TRUNK</t>
  </si>
  <si>
    <t>SKA-SVC TO BSC-SVC OPS 1GB TRUNK</t>
  </si>
  <si>
    <t>Commeq - March Point Sub. : COM-MAR</t>
  </si>
  <si>
    <t>MARCH POINT SUBSTATION GPS CLOCK</t>
  </si>
  <si>
    <t>BELLINGHAM SERVICE CENTER GPS CLOCK</t>
  </si>
  <si>
    <t>COUGAR MOUNTAIN COMMUNICATIONS DNX-</t>
  </si>
  <si>
    <t>Commeq - Bremerton:   COM-BRE</t>
  </si>
  <si>
    <t>BREMERTON MICROWAVE UPGRADE</t>
  </si>
  <si>
    <t>COUGAR MICROWAVE UPGRADE</t>
  </si>
  <si>
    <t>MIDWAY - RADIO ANTENNA ENHANCEMENTS</t>
  </si>
  <si>
    <t>TALBOT - RADIO ANTENNA ENHANCEMENTS</t>
  </si>
  <si>
    <t>Commeq - Lakewood : COM-LAW</t>
  </si>
  <si>
    <t>LAKEWOOD - RADIO ANTENNA ENHANCEMEN</t>
  </si>
  <si>
    <t>RATTLESNAKE - RADIO ANTENNA ENHANCE</t>
  </si>
  <si>
    <t>SHAW - RADIO ANTENNA ENHANCEMENTS A</t>
  </si>
  <si>
    <t>ELECTRON - RADIO ANTENNA ENHANCEMEN</t>
  </si>
  <si>
    <t>Rochester Substation : SUB-ROC</t>
  </si>
  <si>
    <t>ROCHESTER NEW RADIO SITE</t>
  </si>
  <si>
    <t>Commeq - S. Seattle Community College : COM-SSCC</t>
  </si>
  <si>
    <t>SSCC (SOUTH SEATTLE COMMUNITY COLLE</t>
  </si>
  <si>
    <t>Olympia Microwave upgrade</t>
  </si>
  <si>
    <t>Commeq - Green Olympia : COM-GREE</t>
  </si>
  <si>
    <t>Green  Microwave upgrade</t>
  </si>
  <si>
    <t>Commeq - Green Microwave : COM-GRNM</t>
  </si>
  <si>
    <t>GREEN  MICROWAVE UPGRADE</t>
  </si>
  <si>
    <t>Lake Youngs Substation : SUB-LYO</t>
  </si>
  <si>
    <t>LAKE YOUNGS SUBSTATION DNX-1U</t>
  </si>
  <si>
    <t>Fib Opt - Puyallup Svc-WhtRvr : COM-PYWR</t>
  </si>
  <si>
    <t>FIBER CAPITAL REPLACEMENT-IT W RIVE</t>
  </si>
  <si>
    <t>WHITE RIVER SUB TO BPA CONVINGTON S</t>
  </si>
  <si>
    <t>BPA CONVINGTON SUB TO WRT-SUB AND B</t>
  </si>
  <si>
    <t>MARYSVILLE COMMUNICATIONS DNX-1U</t>
  </si>
  <si>
    <t>MT. ERIE COMMUNICATIONS DNX-88</t>
  </si>
  <si>
    <t>Fib Opt - Poulsbo SVC : COM-POUL</t>
  </si>
  <si>
    <t>POULSBO SVC PRIVATE FIBER UPGRADE</t>
  </si>
  <si>
    <t>Commeq - Poulsbo SVC : COM-POU</t>
  </si>
  <si>
    <t>CORPORATE NETWORK BANDWIDTH UPGRADE</t>
  </si>
  <si>
    <t>Commeq - U.S. Navy Bangor Sub.: COM-USNB</t>
  </si>
  <si>
    <t>U.S. NAVY BANGOR SUB TELECOM NETWOR</t>
  </si>
  <si>
    <t>NOK-SVC TO ESO-COM MW RADIO UPGRADE</t>
  </si>
  <si>
    <t xml:space="preserve">BSC-SVC COMMUNICATIONS UPGRADE     </t>
  </si>
  <si>
    <t xml:space="preserve">POR-SUB TO BSC-SVC CWDM UPGRADE    </t>
  </si>
  <si>
    <t xml:space="preserve">SNOQUALMIE OPS - Microwave Radio - </t>
  </si>
  <si>
    <t>BALDI MT COMM - MICROWAVE RADIO - C</t>
  </si>
  <si>
    <t>COUGAR MT - MICROWAVE RADIO - CMM</t>
  </si>
  <si>
    <t>MARYSVILLE COMM - Microwave Radio -</t>
  </si>
  <si>
    <t>MT. ERIE - Microwave Radio - CMM</t>
  </si>
  <si>
    <t>STAMPEDE - MICROWAVE RADIO -CMM</t>
  </si>
  <si>
    <t>SPA Project - Tacoma Business Offic</t>
  </si>
  <si>
    <t>Fib Opt - Kitsap Service Center : COM-KITS</t>
  </si>
  <si>
    <t>SPA PROJECT - KITSAP SERVICE CENTER</t>
  </si>
  <si>
    <t xml:space="preserve">SPA Project - Bremerton Substation </t>
  </si>
  <si>
    <t>SPA Project - Olympia Service Cente</t>
  </si>
  <si>
    <t>Kitsap Svc Center : GPL-KTP</t>
  </si>
  <si>
    <t>SPA Project - Kitsap Service Center</t>
  </si>
  <si>
    <t>Commeq - Rochester : COM-RNS</t>
  </si>
  <si>
    <t xml:space="preserve">ROCHESTER MICROWAVE RADIO -CMM     </t>
  </si>
  <si>
    <t xml:space="preserve">NEW RADIO INSTALLS - CMM           </t>
  </si>
  <si>
    <t>2015 KING COUNTY COMM ROOMS REFRESH</t>
  </si>
  <si>
    <t>2015 KITSAP COUNTY COMM ROOMS REFRE</t>
  </si>
  <si>
    <t>2015 KITTITAS COUNTY COMM ROOMS REF</t>
  </si>
  <si>
    <t>2015 LEWIS COUNTY COMM ROOMS REFRES</t>
  </si>
  <si>
    <t>2015 PIERCE COUNTY COMM ROOMS REFRE</t>
  </si>
  <si>
    <t>2015 SKAGIT COUNTY COMM ROOMS REFRE</t>
  </si>
  <si>
    <t>2015 SNOHOMISH COUNTY COMM ROOMS RE</t>
  </si>
  <si>
    <t>2015 WHATCOM COUNTY COMM ROOMS REFR</t>
  </si>
  <si>
    <t>KITSAP SERVICE (KSP-SVC) IMS RTU UP</t>
  </si>
  <si>
    <t>PURCHASE L&amp;G NETWORK EQUIPMENT</t>
  </si>
  <si>
    <t>OLY-COM TO GRN-COM DS3</t>
  </si>
  <si>
    <t>Commeq - Green Mountain : COM-GRN</t>
  </si>
  <si>
    <t>GRN-COM TO OLY-COM DS3</t>
  </si>
  <si>
    <t>IND-COM ANTENNA POWER METER</t>
  </si>
  <si>
    <t xml:space="preserve">BHI-COM LEWIS COUNTY ANTENNA POWER </t>
  </si>
  <si>
    <t>Whidbey Service Center : GPL-VWH</t>
  </si>
  <si>
    <t>ISLA COUNTY WHB-SVC ANTENNA POWER M</t>
  </si>
  <si>
    <t>THURSTON COUNTY ANTENNA POWER METER</t>
  </si>
  <si>
    <t xml:space="preserve">KITSAP COUNTY ANTENNA POWER METER  </t>
  </si>
  <si>
    <t>Commeq - Port Orchard : COM-PTOR</t>
  </si>
  <si>
    <t>KITTITAS COUNTY ANTENNA POWER METER</t>
  </si>
  <si>
    <t>LEC-OFC BANDWIDTH UPGRADE</t>
  </si>
  <si>
    <t xml:space="preserve">DNX DS3 AND POWER MODULE UPGRADE   </t>
  </si>
  <si>
    <t xml:space="preserve">BLN-COM ANTENNA POWER METER        </t>
  </si>
  <si>
    <t>PIERCE COUNTY ANTENNA POWER METER</t>
  </si>
  <si>
    <t>Commeq - Lake Cavanugh:  COM-LCAV</t>
  </si>
  <si>
    <t>SKAGIT COUNTY ANTENNA POWER METER</t>
  </si>
  <si>
    <t xml:space="preserve">KING COUNTY ANTENNA POWER METER    </t>
  </si>
  <si>
    <t>DIGI TERMINAL SERVERS - HW.IP.3</t>
  </si>
  <si>
    <t>GARFIELD COUNTY ANTENNA POWER METER</t>
  </si>
  <si>
    <t>Commeq - Lower Snake River : COM-LSR</t>
  </si>
  <si>
    <t>WHATCOM COUNTY ANTENNA POWER METER</t>
  </si>
  <si>
    <t>BELLEVUE EST TELECOM MASTER CONNECT</t>
  </si>
  <si>
    <t>L&amp;G CONTRACT SERVICES IN OCT. 2015</t>
  </si>
  <si>
    <t>RSC-COM FIAL INSTALLATION &amp; UPGRADE</t>
  </si>
  <si>
    <t>North Operating Base : GPL-NOB</t>
  </si>
  <si>
    <t>NOB - OPS BANDWIDTH UPGRADE</t>
  </si>
  <si>
    <t>WHIDBEY SERVICE TO MT. ERIE MW REPL</t>
  </si>
  <si>
    <t xml:space="preserve">TAL-SUB TO CMT-COM MW REPLACEMENT  </t>
  </si>
  <si>
    <t>MT ERIE TO WHIDBEY SVC MW REPLACEME</t>
  </si>
  <si>
    <t>Olympia Business Office : GPL-OLA</t>
  </si>
  <si>
    <t>VOIP PHONE UPGRADE - OLYMPIA BUSINE</t>
  </si>
  <si>
    <t>BPA CUSTER TO PORTAL WAY FIBER INST</t>
  </si>
  <si>
    <t>Anacortes Business Ofc(Leased) : GPL-ANC</t>
  </si>
  <si>
    <t>L&amp;G CONTRACT SERVICES-ANACORTES TOP</t>
  </si>
  <si>
    <t>FLT-SVC FIAL INSTALLATION AND UPGRA</t>
  </si>
  <si>
    <t>Commeq - Puyallup SVC Ctr : COM-VPU</t>
  </si>
  <si>
    <t>PUY-SVC FIAL INSTALLATION &amp; UPGRADE</t>
  </si>
  <si>
    <t>SKC-SVC FIAL INSTALLATION &amp; UPGRADE</t>
  </si>
  <si>
    <t>TPB-OFC FIAL INSTALLATION &amp; UPGRADE</t>
  </si>
  <si>
    <t>BSC-SVC FIAL INSTALALTION &amp; UPGRADE</t>
  </si>
  <si>
    <t>POU-SVC FIAL INSTALLATION &amp; UPGRADE</t>
  </si>
  <si>
    <t>OLY-OFC FIAL INSTALLATION &amp; UPGRADE</t>
  </si>
  <si>
    <t>BRC-COM FIAL INSTALLATION &amp; UPGRADE</t>
  </si>
  <si>
    <t>BHM-OFC FIAL INSTALLATION &amp; UPGRADE</t>
  </si>
  <si>
    <t>STAMPEDE COM TO LOOKOUT EAST COM MW</t>
  </si>
  <si>
    <t>LOOKOUT EAST COM TO STAMPEDE COM MW</t>
  </si>
  <si>
    <t>KIT-SVC FIAL INSTATLLATION &amp; UPGRAD</t>
  </si>
  <si>
    <t>NEW DATA CENTER - CMM</t>
  </si>
  <si>
    <t xml:space="preserve">RSC-COM ANTENNA REPLACEMENT        </t>
  </si>
  <si>
    <t>MYV-COM MICROWAVE RADOME REPLACEMEN</t>
  </si>
  <si>
    <t>Commeq - Microsoft Scada Equp : COM-MCS</t>
  </si>
  <si>
    <t>MICROSOFT LP FIXUP</t>
  </si>
  <si>
    <t>LINCOLN SQUARE EXP. - LANDIS+GYR SE</t>
  </si>
  <si>
    <t>9999E999 AMI NETWORK DEPLOYMENT -RE</t>
  </si>
  <si>
    <t xml:space="preserve">9999E999 AMI NTWK DEPLOY S2 UNIKCO </t>
  </si>
  <si>
    <t>9999E999 AMI NTWK DEPLOY S2 SO CLEE</t>
  </si>
  <si>
    <t>9999E999 AMI NTWK DEPLOY S2 ELLENSB</t>
  </si>
  <si>
    <t xml:space="preserve"> SATELLITE PHONE FOR LOAD OFFICE - </t>
  </si>
  <si>
    <t>9999E999 AMI NTWK DEPLOY S3 TACOMA</t>
  </si>
  <si>
    <t xml:space="preserve">9999E999 AMI NTWK DEPLOY S3 UNIKCO </t>
  </si>
  <si>
    <t>9999E999 AMI NTWK DEPLOY S3 AUBURN</t>
  </si>
  <si>
    <t>2015E128 AMI NTWK 1241 WOOD DUCK RD</t>
  </si>
  <si>
    <t>WORKPLACE STRATEGY MOBILITY PROOF O</t>
  </si>
  <si>
    <t xml:space="preserve">9999E999 AMI NTWK DEPLOY S1E ADD'L </t>
  </si>
  <si>
    <t>9999E999 AMI NTWK DEPLOY S5  ROY</t>
  </si>
  <si>
    <t xml:space="preserve">9999E999 AMI NTWK DEPLOY S5 INCORP </t>
  </si>
  <si>
    <t>9999E999 AMI NTWK DEPLOY S5 RAINER</t>
  </si>
  <si>
    <t>9999E999 AMI NTWK DEPLOY S5 TOLEDO</t>
  </si>
  <si>
    <t>9999E999 AMI NTWK DEPLOY S4 POULSBO</t>
  </si>
  <si>
    <t>9999E999 AMI NTWK DEPLOY UNIC SKAGI</t>
  </si>
  <si>
    <t>ANNUAL RADIO REFRESH</t>
  </si>
  <si>
    <t xml:space="preserve">ANNUAL SCADA REFRESH               </t>
  </si>
  <si>
    <t>PSE HAM RADIO- CMM- REDMOND WEST</t>
  </si>
  <si>
    <t>General Plant, Benton County, WA : GPL-0000 WA00300990</t>
  </si>
  <si>
    <t>RATTLESNAKE EAST TO WDK MW RADIO UP</t>
  </si>
  <si>
    <t>SNOQUALMIE TECHNOLOGY CENTER- CMM</t>
  </si>
  <si>
    <t>9999E999 AMI NTWK WHATCOM COUNTY</t>
  </si>
  <si>
    <t>9999E999 AMI NTWK DEPLOY N4 BLAINE</t>
  </si>
  <si>
    <t>9999E999 AMI NTWK DEPLOY N4 FERNDAL</t>
  </si>
  <si>
    <t>9999E999 AMI NTWK DEPLOY N5 LYNDEN</t>
  </si>
  <si>
    <t>2506E044 AMI NTWK 26002 NE 70 ST RE</t>
  </si>
  <si>
    <t xml:space="preserve">2607E108 AMI NTWK 11715 338 AVE NE </t>
  </si>
  <si>
    <t xml:space="preserve">2407E098 AMI NTWK 7110 CASCADE AVE </t>
  </si>
  <si>
    <t>2607104 AMI NTWK 34808 NE MOSS CK W</t>
  </si>
  <si>
    <t>9999E999 AMI NTWK P#2923119001 KING</t>
  </si>
  <si>
    <t xml:space="preserve">2211E072 AMI NTWK 66527 NFD5800 RD </t>
  </si>
  <si>
    <t>9999E999 AMI NTWK NF58 &amp; NF9035 NOR</t>
  </si>
  <si>
    <t>2606E040 AMI NTWK 24270 NE 172 ST W</t>
  </si>
  <si>
    <t>2606E103 AMI NTWK S2 24533 NE 118 R</t>
  </si>
  <si>
    <t>2305E108 AMI NTWK DEPLOY S2 17116 1</t>
  </si>
  <si>
    <t>HELICOPTER CHANNEL - RADIO BASE STA</t>
  </si>
  <si>
    <t>9999E999 AMI NTWK ELMHURST ADD'L</t>
  </si>
  <si>
    <t xml:space="preserve">9999E999 AMI NTWK DEPLOY N3 SKAGIT </t>
  </si>
  <si>
    <t>9999E999 AMI NTWK DEPLOY N4 POINT R</t>
  </si>
  <si>
    <t xml:space="preserve">OLYMPIA MICROWAVE RADIO - CMM      </t>
  </si>
  <si>
    <t xml:space="preserve">SOUTH KING - SERVICE - TELCOM WO2  </t>
  </si>
  <si>
    <t>9999E999 AMI NTWK DEPLOY S4 DUPONT</t>
  </si>
  <si>
    <t>9999E999 AMI NTWK 30211 THOMAS RD S</t>
  </si>
  <si>
    <t xml:space="preserve">1905E136 AMI NTWK 21214 182ND ST E </t>
  </si>
  <si>
    <t xml:space="preserve">2205E110 AMI 11600 SE KENT KANGLEY </t>
  </si>
  <si>
    <t>3201E124 AMI NTWK 2084 W WINTERHAWK</t>
  </si>
  <si>
    <t>9999E999 AMI NTWK DEPLOY 799 PLEASA</t>
  </si>
  <si>
    <t xml:space="preserve">3002E076 AMI NTWK 333 WHITEWEBS LN </t>
  </si>
  <si>
    <t>3102E128 AMI NTWK 659 IS RIDGE WY C</t>
  </si>
  <si>
    <t>3201E124 AMI NTWK 2245 WINTERHAWK C</t>
  </si>
  <si>
    <t>3301E132 AMI NTWK DEPLOY 1545 WILDB</t>
  </si>
  <si>
    <t>3401E104 AMI NTWK DEPLOY 42764 STAT</t>
  </si>
  <si>
    <t>2304E100 AMI NTWK 1001 SW 34TH ST R</t>
  </si>
  <si>
    <t>3401E096 AMI NTWK DEPLOY 15681 N DE</t>
  </si>
  <si>
    <t xml:space="preserve">2305E075 AMI NTWK 1900 LIND AVE SW </t>
  </si>
  <si>
    <t>3101E024 AMI NTWK 2021 CEDAR HOLLOW</t>
  </si>
  <si>
    <t xml:space="preserve">3202E012 AMI NTWK DEPLOY 2315 LAKE </t>
  </si>
  <si>
    <t>9999E999 AMI NTWK 1500 ROSARIO RD A</t>
  </si>
  <si>
    <t xml:space="preserve">3601E104 AMI NTWK 4494 CLARK POINT </t>
  </si>
  <si>
    <t>Cle Elum CMM Telecom Fiber</t>
  </si>
  <si>
    <t>CELLULAR DEVICE MODIFICATIONS - CMM</t>
  </si>
  <si>
    <t>CMT-COM MICROWAVE RADIO IMPROVEMENT</t>
  </si>
  <si>
    <t>VERNELL IT IMPROVEMENTS - CMM</t>
  </si>
  <si>
    <t>VACATE PSE BLDG - CMM/FIBER - EST B</t>
  </si>
  <si>
    <t>PSE09-MIGRATESERVERS- CMM-TACOMA</t>
  </si>
  <si>
    <t>VACATE PSE BLDG . CMM/FIBER.FACTORI</t>
  </si>
  <si>
    <t>Vacate PSE Bldg -CMM/Fiber.South Ki</t>
  </si>
  <si>
    <t xml:space="preserve">AMR NETWORK EXPNS PROJECT-CMM-KING </t>
  </si>
  <si>
    <t>AMR NETWORK EXPNS PROJECT-CMM-SNOHO</t>
  </si>
  <si>
    <t>PUYALLUP SVC REBUILD - CMM - NOT RE</t>
  </si>
  <si>
    <t>1920E136 AMI NTWK 5580 SECRETCNYN E</t>
  </si>
  <si>
    <t>9999E999 AMI NTWK 809 SALMONBERRY L</t>
  </si>
  <si>
    <t>3803E077 AMI NTWK WOBURN ST &amp; PREMI</t>
  </si>
  <si>
    <t>3803E060 AMI NTWK 1520 HILLSDALE RD</t>
  </si>
  <si>
    <t>3803E069 AMI NTWK 4040 GLENGARY RD</t>
  </si>
  <si>
    <t>9999E999 AMI NTWK 18330 73 AVE E PU</t>
  </si>
  <si>
    <t>4001E060 AMI NTWK 3700 W 88 ST, BLA</t>
  </si>
  <si>
    <t>2606E008 AMI NTWK 20218 244 AV NE W</t>
  </si>
  <si>
    <t>2706E127 AMI NTWK 24320 110 AV SE W</t>
  </si>
  <si>
    <t>9999E999 AMI NTWK 13705 69 AVE CT E</t>
  </si>
  <si>
    <t>4001E092 AMI NTWK W 30 CREST&amp;BIRCHB</t>
  </si>
  <si>
    <t>9999E999 AMI NTWK 53 ALGER CCC RD</t>
  </si>
  <si>
    <t>3805E032 AMI NTWK 5566 WILLIAMS LAK</t>
  </si>
  <si>
    <t>9999E999 AMI NTWK 4778 RUTSATZ RD</t>
  </si>
  <si>
    <t>9999E999 AMI NTWK 5225 EAGLE FLY WA</t>
  </si>
  <si>
    <t>3704E023 AMI NTWK 13 COLD SPRINGS L</t>
  </si>
  <si>
    <t>3803E092 AMI NTWK 3661 VINEYARD DR</t>
  </si>
  <si>
    <t>3903E096 AMI NTWK 2364 GOSHEN DR</t>
  </si>
  <si>
    <t>3903E040 AMI NTWK 1640 E VIS RD</t>
  </si>
  <si>
    <t>9999E999 AMI NTWK S2_C224</t>
  </si>
  <si>
    <t>9999E999 AMI NTWK OH 1-OFF ADDL</t>
  </si>
  <si>
    <t>9999E999 AMI NTWK 40419 8TH AVE S R</t>
  </si>
  <si>
    <t>9999E999 AMI NTWK S1_C325</t>
  </si>
  <si>
    <t>2606E105 AMI NTWK 12611 237 WY NE R</t>
  </si>
  <si>
    <t>2305E104 AMI NTWK 15631 SE FAIRWOOD</t>
  </si>
  <si>
    <t>1819E120 AMI NTW 432 MEADOWBROOK EL</t>
  </si>
  <si>
    <t>9999E999 AMI NTWK S2 RENTON GTG &amp; O</t>
  </si>
  <si>
    <t>2607E020 AMI NTWK 24211 MT VW RD NE</t>
  </si>
  <si>
    <t xml:space="preserve">2607E016 AMI NTWK 20110 320 AVE NE </t>
  </si>
  <si>
    <t>9999E999 AMI NTWK N2 OH 1-OFF</t>
  </si>
  <si>
    <t>2107E076 AMI NTWK 34401 ENMCLW FRNK</t>
  </si>
  <si>
    <t>2611E112 AMI NTWK 69730 NE MONEY CK</t>
  </si>
  <si>
    <t>2205E124 AMI NTWK 4229 R ST NE AUBU</t>
  </si>
  <si>
    <t>2205E098 AMI NTWK 16826 SE 259 ST K</t>
  </si>
  <si>
    <t>2207E028 AMI NTWK 28802 SE 224 ST M</t>
  </si>
  <si>
    <t>2206E105 AMI NTWK 24100 SE 260 ST M</t>
  </si>
  <si>
    <t>2206E104 AMI NTWK 25600 SE SMMT LAN</t>
  </si>
  <si>
    <t xml:space="preserve">1905E086 AMI NTWK 198 AVE E BONNEY </t>
  </si>
  <si>
    <t>2107E136 AMI NTWK 38333 324 PL SE E</t>
  </si>
  <si>
    <t>9999E999 AMI NTWK 12710 321 AVE E B</t>
  </si>
  <si>
    <t>2007E076 AMI NTWK 29103 SE 434 ST E</t>
  </si>
  <si>
    <t>2107E048 AMI NTWK 35626 SE COURTNEY</t>
  </si>
  <si>
    <t>1904E066 AMI NTWK 8124 138 ST E PUY</t>
  </si>
  <si>
    <t>1906E088 AMI NTWK 14786 WILKESONSPI</t>
  </si>
  <si>
    <t>1906E108 AMI NTWK 15921 WILKESONSPI</t>
  </si>
  <si>
    <t>1906E125 AMI NTWK 17909 178 ST E BU</t>
  </si>
  <si>
    <t>1906E115 AMI NTWK 26714 173 ST E BU</t>
  </si>
  <si>
    <t>2204E060 AMI NTWK 23429 51 AVE S KE</t>
  </si>
  <si>
    <t>2005E024 AMI NTWK 6550 FRANCIS AV S</t>
  </si>
  <si>
    <t xml:space="preserve">9999E999 AMI NTWK S3 KENT OH 1-OFF </t>
  </si>
  <si>
    <t>9999E999 AMI NTWK S3 ENUMCLAW OH 1-</t>
  </si>
  <si>
    <t xml:space="preserve">2602E140 AMI NTWK 10520 MORNING LN </t>
  </si>
  <si>
    <t>2302E120 AMI NTWK 3343 SE CONDOR PT</t>
  </si>
  <si>
    <t xml:space="preserve">2401E116 AMI NTWK 2636 SKPPN STONE </t>
  </si>
  <si>
    <t>9999E999 AMI NTWK 7288 W BELFAIR VL</t>
  </si>
  <si>
    <t>2502W100 AMI NTWK 16154 NW STAVIS S</t>
  </si>
  <si>
    <t>1901E101 AMI NTWK 2800 CENTER DR DU</t>
  </si>
  <si>
    <t>1901E104 AMI NTWK 1436 KINCALD ST D</t>
  </si>
  <si>
    <t xml:space="preserve">1901E138 AMI NTWK 1565 WLLMNGTN DR </t>
  </si>
  <si>
    <t>2402W124 AMI NTWK 23540 W LUDVICK S</t>
  </si>
  <si>
    <t>2402W124 AMI NTWK 23931 W LUDVICK S</t>
  </si>
  <si>
    <t xml:space="preserve">9999E999 AMI NTWK S4 BAINBRIDGE OH </t>
  </si>
  <si>
    <t>9999E999 AMI NTWK KITSAP COUNTY</t>
  </si>
  <si>
    <t>1702W010 AMI NTWK 1401 KINGSWOOD SW</t>
  </si>
  <si>
    <t>1603E024 AMI NTWK 39111 30 AVE S RO</t>
  </si>
  <si>
    <t>9999E999 AMI NTWK 38012 4 AVE E ROY</t>
  </si>
  <si>
    <t>9999E999 AMI NTWK 1610 KINSMAN CT E</t>
  </si>
  <si>
    <t xml:space="preserve">1602E048 AMI NTWK 14027 RAINIER VW </t>
  </si>
  <si>
    <t>1802W136 AMI NTWK 702 TROSPER RD SW</t>
  </si>
  <si>
    <t>1703W084 AMI NTWK 11050 WADDELL CRK</t>
  </si>
  <si>
    <t>1603W100 AMI NTWK 5320 165 LN SW RO</t>
  </si>
  <si>
    <t xml:space="preserve">1503W032 AMI NTWK 10019 LUNDEEN SW </t>
  </si>
  <si>
    <t>9999E999 AMI NTWK SKAGIT COUNTY</t>
  </si>
  <si>
    <t>9999E999 AMI NTWK 1195 NW GILMAN IS</t>
  </si>
  <si>
    <t>3404E108 AMI NTWK 4800 EAGLEMONT MT</t>
  </si>
  <si>
    <t xml:space="preserve">3305E016 AMI NTWK 18252 PETER BURN </t>
  </si>
  <si>
    <t>9999E999 AMI NTWK 238 I-5 BURLINGTO</t>
  </si>
  <si>
    <t>3603E023 AMI NTWK 1221 CHUCKANUT DR</t>
  </si>
  <si>
    <t>3507E008 AMI NTWK 40371 BATES LN CO</t>
  </si>
  <si>
    <t>3509E108 AMI NTWK 51905 HWY20 CONCR</t>
  </si>
  <si>
    <t>9999E999 AMI NTWK 13784 WHITE FALLS</t>
  </si>
  <si>
    <t>3409E052 AMI NTWK 14382 SR530 CONCR</t>
  </si>
  <si>
    <t>9999E999 AMI NTWK 15594 SR 530 CONC</t>
  </si>
  <si>
    <t>9999E999 AMI NTWK N3 MT VERNON OH 1</t>
  </si>
  <si>
    <t>9999E999 AMI NTWK N3 UNIN SKAGIT OH</t>
  </si>
  <si>
    <t>1906E127 AMI NTWK 18914 AP TUBBS RD</t>
  </si>
  <si>
    <t>2103E057 AMI NTWK 5121 SW 326 ST FE</t>
  </si>
  <si>
    <t>9999E999 AMI NTWK S3 MAPLE VALLY</t>
  </si>
  <si>
    <t>2018-ANNUAL MW REFRESH CMM</t>
  </si>
  <si>
    <t>2018-ANNUAL RADIO REFRESH CMM</t>
  </si>
  <si>
    <t>9999E999 AMI NTWK UNINCORP KITTITAS</t>
  </si>
  <si>
    <t>700 MHz - MYV-COM</t>
  </si>
  <si>
    <t>700 MHz - BLN-COM</t>
  </si>
  <si>
    <t>700 MHZ - GRN-COM</t>
  </si>
  <si>
    <t>700 MHZ - NHL-COM</t>
  </si>
  <si>
    <t>700 MHZ - ESO-COM</t>
  </si>
  <si>
    <t>700 MHZ - SSC-COM</t>
  </si>
  <si>
    <t>700 MHZ - CMT-COM</t>
  </si>
  <si>
    <t>700 MHz - SQU-COM</t>
  </si>
  <si>
    <t>700 MHZ - RSC-COM</t>
  </si>
  <si>
    <t>700 MHZ - TAL-SUB</t>
  </si>
  <si>
    <t>700 MHz - WRT-SUB</t>
  </si>
  <si>
    <t>700 MHz - BLD-COM</t>
  </si>
  <si>
    <t>700 MHZ - TAC-ANX</t>
  </si>
  <si>
    <t>700 MHz - ELC-COM</t>
  </si>
  <si>
    <t>700 MHZ - SPD-COM</t>
  </si>
  <si>
    <t>2507E104 AMI NTWK 1235 352 AVE NE C</t>
  </si>
  <si>
    <t>2507E031 AMI NTWK 29414 NE 64 WY CA</t>
  </si>
  <si>
    <t>2507E008 AMI NTWK 35500 NE 98 ST CA</t>
  </si>
  <si>
    <t>2507E012 AMI NTWK 33746 NE 84TH PL</t>
  </si>
  <si>
    <t xml:space="preserve">2507E005 AMI NTWK 34225 NE 98TH ST </t>
  </si>
  <si>
    <t>2607E136 AMI NTWK 33619 NE 102 WY C</t>
  </si>
  <si>
    <t>2406E092 AMI NTWK 2199 31 LN NE ISS</t>
  </si>
  <si>
    <t>ELLENSBURG OFC NETWORK IMPROVEMENT</t>
  </si>
  <si>
    <t>ESO CHANNEL BANK UPDATE</t>
  </si>
  <si>
    <t>2406E101 AMI NTWK 1466 26 AVE NE IS</t>
  </si>
  <si>
    <t>2308E084 AMI NTWK 15540 417 PL SE K</t>
  </si>
  <si>
    <t>2605E099 AMI NTWK 11810 172 AV NE R</t>
  </si>
  <si>
    <t>2606E132 AMI NTWK 22686 NE ALDER CR</t>
  </si>
  <si>
    <t>2506E010 AMI NTWK 9049 236 AVE NE K</t>
  </si>
  <si>
    <t>2606E087 AMI NTWK 13538 ADAIR CRK W</t>
  </si>
  <si>
    <t>2406E009 AMI NTWK 24032 SE 9 CT SAM</t>
  </si>
  <si>
    <t>2407E104 AMI NTWK 7226 THOMPSON AVE</t>
  </si>
  <si>
    <t>2406E089 AMI NTWK 2625 22 AVE NE IS</t>
  </si>
  <si>
    <t xml:space="preserve">2406E051 AMI NTWK 26532 SE OLD BLK </t>
  </si>
  <si>
    <t>RNS-RENSLOW FIBER REPLACEMENT_FIB</t>
  </si>
  <si>
    <t>9999E999 AMI NTWK 6211 MULLEN RD SE</t>
  </si>
  <si>
    <t>9999E999 AMI NTWK 4776 WHITMAN LN S</t>
  </si>
  <si>
    <t>9999E999 AMI NTWK 5815 SUNVIEW CT S</t>
  </si>
  <si>
    <t>9999E999 AMI NTWK 4440 WELLINGTON L</t>
  </si>
  <si>
    <t>9999E999 AMI NTWK 5711 58TH CT SE L</t>
  </si>
  <si>
    <t>9999E999 AMI NTWK 8487 BAINBRIDGE L</t>
  </si>
  <si>
    <t>9999E999 AMI NTWK 4504 6TH AVE SE L</t>
  </si>
  <si>
    <t>9999E999 AMI NTWK 2135 MARVIN RD NE</t>
  </si>
  <si>
    <t xml:space="preserve">9999E999 AMI NTWK 7206 TOBEMORY CR </t>
  </si>
  <si>
    <t>9999E999 AMI NTWK 7766 CYNTHIA LN S</t>
  </si>
  <si>
    <t>9999E999 AMI NTWK ONEOFF S4_C110_R0</t>
  </si>
  <si>
    <t>9999E999 AMI NTWK ONEOFF S4_C129_R0</t>
  </si>
  <si>
    <t>9999E999 AMI NTWK 11876 SW LAKE FLO</t>
  </si>
  <si>
    <t>9999E999 AMI NTWK 15750 CARNEY LK R</t>
  </si>
  <si>
    <t xml:space="preserve">9999E999 AMI NTWK 5532 SW PARADISE </t>
  </si>
  <si>
    <t>9999E999 AMI NTWK 11064 WA-3 SW BRE</t>
  </si>
  <si>
    <t>2607E068 AMI NTWK 30602 147 PL DUVA</t>
  </si>
  <si>
    <t xml:space="preserve">2406E053 AMI NTWK 25428 SE 42ND ST </t>
  </si>
  <si>
    <t>9999E999 AMI NTWK TANNER UG</t>
  </si>
  <si>
    <t>2309E112 AMI NTWK WA FIRE FIGHTER N</t>
  </si>
  <si>
    <t>2406E051 AMI NTWK 26010 OLD BLK NGG</t>
  </si>
  <si>
    <t>9999E999 AMI NTWK LAKEVIEW ADDITION</t>
  </si>
  <si>
    <t>2405E060 AMI NTWK 4632 143AVE SE BE</t>
  </si>
  <si>
    <t xml:space="preserve">2406E074 AMI NTWK 18694 NW BERNINA </t>
  </si>
  <si>
    <t>2606E134 AMI NTWK 22960 NE NOVLTYHL</t>
  </si>
  <si>
    <t>2606E133 AMI NTWK 11099 EASTRDGE DR</t>
  </si>
  <si>
    <t>2307E040 AMI NTWK 33521 SE 114 ST I</t>
  </si>
  <si>
    <t>1719E128 AMI NTWK 2940 TOZER RD ELL</t>
  </si>
  <si>
    <t>2506E016 AMI NTWK 22821 NE 97PL RED</t>
  </si>
  <si>
    <t>9999E999 AMI NTWK 24030 107TH DR SE</t>
  </si>
  <si>
    <t xml:space="preserve">1915E032 AMI NTWK 240 TIMBER MT LP </t>
  </si>
  <si>
    <t>9999E999 AMI NTWK 701 WATER ST SW O</t>
  </si>
  <si>
    <t>CAS DC Telecom Fiber Interconnect</t>
  </si>
  <si>
    <t>GPS CLOCK INSTALL FOR PTP AND SYNCH</t>
  </si>
  <si>
    <t>TODD ROAD FACILITY - IT CMM/FIB</t>
  </si>
  <si>
    <t>FIBER BUILD SNO TO TAL</t>
  </si>
  <si>
    <t>SNOQUALMIE HP1 RADIO ANTENNA ADDITI</t>
  </si>
  <si>
    <t>2015E072 AMI NTWK 1390 SWIFTWATER D</t>
  </si>
  <si>
    <t>PSE AREAS -BALDI REPEATER CONTROLLE</t>
  </si>
  <si>
    <t>PSE AREAS - ELECTRON REPEATER CONTR</t>
  </si>
  <si>
    <t>PSE AREAS -GREEN MTN REPEATER CONTR</t>
  </si>
  <si>
    <t>PSE AREAS -LINVILLE REPEATER CONTRO</t>
  </si>
  <si>
    <t>PSE AREAS -MT. BLYN REPEATER CONTRO</t>
  </si>
  <si>
    <t>PSE AREAS -MT. ERIE REPEATER CONTRO</t>
  </si>
  <si>
    <t>PSE AREAS -OLYMPIA REPEATER CONTROL</t>
  </si>
  <si>
    <t>PSE AREAS -RATTLESNAKE REPEATER CON</t>
  </si>
  <si>
    <t>PSE AREAS -STAMPEDE REPEATER CONTRO</t>
  </si>
  <si>
    <t>PSE AREAS -WHITE RIVER REPEATER CON</t>
  </si>
  <si>
    <t>WESTIN TELECOM FIBER-CMM</t>
  </si>
  <si>
    <t>BAKER COMM &amp; NETWORK ENHANCEMENTS -</t>
  </si>
  <si>
    <t>2019 TELECOM ANNUAL RF REFRESH</t>
  </si>
  <si>
    <t>2019 TELECOM NJUNS</t>
  </si>
  <si>
    <t>KAHLOTUS MICROWAVE IMPROVEMENT</t>
  </si>
  <si>
    <t>LINVILLE RIDGE MW RADIO IMPROVEMENT</t>
  </si>
  <si>
    <t>POMEROY MICROWAVE RADIO IMPROVEMENT</t>
  </si>
  <si>
    <t>RTE-COM MW RADIO IMP (RTE-KAH-LIN)</t>
  </si>
  <si>
    <t>2019 CMM - STORM - FIBER</t>
  </si>
  <si>
    <t>NHL-COM NORWAY HILL COMM 700MHZ_CMM</t>
  </si>
  <si>
    <t>TAL-SUB TALBOT HILL SUB 700MHZ_CMM</t>
  </si>
  <si>
    <t>BLD-COM BALDI MTN MICROWAVE 700MHZ_</t>
  </si>
  <si>
    <t>MTE - MOUNT ERIE 700MHZ_CMM</t>
  </si>
  <si>
    <t>BHI-COM BUCKHORN HILL 700MHZ_CMM</t>
  </si>
  <si>
    <t>TAC-GAR TACOMA GARAGE 700MHZ_CMM</t>
  </si>
  <si>
    <t>ELC-COM ELECTRON MICROWAVE 700MHZ_C</t>
  </si>
  <si>
    <t>GRN-COM GREEN MTN. COMM 700MHZ_CMM</t>
  </si>
  <si>
    <t>MYV-COM MARYSVILLE COMM 700MHZ_CMM</t>
  </si>
  <si>
    <t>SMN-COM SQUALICUM MTN. 700MHZ_CMM</t>
  </si>
  <si>
    <t>SPD-COM STAMPEDE MICROWAVE 700MHZ_C</t>
  </si>
  <si>
    <t>ESO-COM EASTSIDE OPS COMM 700MHZ_CM</t>
  </si>
  <si>
    <t>700MHZ SPECTRUM MGMT AND ENGR_CMM</t>
  </si>
  <si>
    <t>OLM-COM OLYMPIA MICROWAVE 700MHZ_CM</t>
  </si>
  <si>
    <t>IND-COM INDEX COMM 700MHZ_CMM</t>
  </si>
  <si>
    <t>2019 VOIP UPGRADES</t>
  </si>
  <si>
    <t>EVERETT OPS VOIP UPGRADE - IT FACIL</t>
  </si>
  <si>
    <t>2019 VoIP upgrades</t>
  </si>
  <si>
    <t>9999E999 AMI NTWK 291 BAKERS LN EAS</t>
  </si>
  <si>
    <t>9999E999 AMI NTWK 61 GRANDVIEW RD R</t>
  </si>
  <si>
    <t>REDMOND WEST MW RF LAB</t>
  </si>
  <si>
    <t>CONCEPT DESIGN FOR THE SERVICE CENT</t>
  </si>
  <si>
    <t>Updated Real Estate Strategy</t>
  </si>
  <si>
    <t>MASTER PLAN DOCUMENT</t>
  </si>
  <si>
    <t>GENERAL SPECIFICATION</t>
  </si>
  <si>
    <t>Talbot Hill Sub MW improvements</t>
  </si>
  <si>
    <t>Green Mt Sub MW improvements</t>
  </si>
  <si>
    <t>Squalicum Mt COM MW improvements</t>
  </si>
  <si>
    <t>BUCC BUILDOUT BOTHELL H/DECOM EST02</t>
  </si>
  <si>
    <t>2020 TELECOM ANNUAL SCADA REFRESH</t>
  </si>
  <si>
    <t xml:space="preserve">2020 TELECOM ANNUAL EQUIP GROWTH &amp; </t>
  </si>
  <si>
    <t>2020 TELECOM NJUNS</t>
  </si>
  <si>
    <t>FIBER RELOCTE SAM SUB TO AVO SUB</t>
  </si>
  <si>
    <t>TRANSPORT NETWORK MODERNIZATION-CMM</t>
  </si>
  <si>
    <t>2020 FLEET NEW RADIO INSTALLS</t>
  </si>
  <si>
    <t>SITE DEVELOPMENT FEASIBILITY STUDIE</t>
  </si>
  <si>
    <t>Space Planning and Management Strat</t>
  </si>
  <si>
    <t>HPR DC BATTERY AND CHARGER REPLACEM</t>
  </si>
  <si>
    <t>KENT FLEET TO OBRIEN BACKBONE</t>
  </si>
  <si>
    <t>2020 VOIP UPGRADES</t>
  </si>
  <si>
    <t>LIN TO RTE COM MW IMPROVEMENTS</t>
  </si>
  <si>
    <t>9999E999 AMI NTWK 2639 70TH AVE E F</t>
  </si>
  <si>
    <t>9999E999 AMI NTWK 25009 SUMMIT DR M</t>
  </si>
  <si>
    <t>9999E999 AMI NTWK 11114 243RD AVE E</t>
  </si>
  <si>
    <t>9999E999 AMI NTWK 15311 VERMONTVILL</t>
  </si>
  <si>
    <t>9999E999 AMI NTWK 6723 QUINCY AVE S</t>
  </si>
  <si>
    <t xml:space="preserve">9999E999 AMI NTWK 6283 NW GROSS RD </t>
  </si>
  <si>
    <t>9999E999 AMI NTWK  6421 NW GROSS RD</t>
  </si>
  <si>
    <t>9999E999 AMI NTWK 15933 W FROGGY MO</t>
  </si>
  <si>
    <t>9999E999 AMI NTWK 8721 NW JESSIE MA</t>
  </si>
  <si>
    <t>SNO OPS DC BATTERY REPLACEMENT</t>
  </si>
  <si>
    <t>CASCADE SUB BANDWIDTH IMPROVEMENT</t>
  </si>
  <si>
    <t xml:space="preserve">9999E999 AMI NTWK 10315 WHITE DEER </t>
  </si>
  <si>
    <t>9999E999 AMI NTWK 9790 PEACE RD BLA</t>
  </si>
  <si>
    <t>9999E999 AMI NTWK 8125 BIRCH BAY LY</t>
  </si>
  <si>
    <t>9999E999 AMI NTWK 3618 TREE FARM CT</t>
  </si>
  <si>
    <t xml:space="preserve">9999E999 AMI NTWK 3903 ISAACSON RD </t>
  </si>
  <si>
    <t xml:space="preserve">9999E999 AMI NTWK 3661 VINEYARD DR </t>
  </si>
  <si>
    <t>9999E999 AMI NTWK 11064 WHISTLER LN</t>
  </si>
  <si>
    <t>9999E999 AMI 19909 287 AVE SE MAPLE</t>
  </si>
  <si>
    <t>9999E999 AMI NTWK 20728 HWY 525 COU</t>
  </si>
  <si>
    <t xml:space="preserve">9999E999 AMI NTWK 8942 FROST CREEK </t>
  </si>
  <si>
    <t>9999E999 AMI NTWK 7446 S PASS RD MA</t>
  </si>
  <si>
    <t>9999E999 AMI NTWK 9455 HEADY RD SUM</t>
  </si>
  <si>
    <t>9999E999 AMI NTWK 21599 MARKET PL N</t>
  </si>
  <si>
    <t>SPD-COM DISH REBUILD/REPLACEMENT</t>
  </si>
  <si>
    <t>DJN-SUB DC BATTERY REPLACEMENT</t>
  </si>
  <si>
    <t>RENSLOW COM DC BATTERY REPLACEMENT</t>
  </si>
  <si>
    <t>9999E999 AMI NTWK 7911 175 AVE SW R</t>
  </si>
  <si>
    <t>9999E999 AMI NTWK 9020 190TH ST E P</t>
  </si>
  <si>
    <t>9999E999 AMI NTWK 17 COUNTRY CLUB D</t>
  </si>
  <si>
    <t>9999E999 AMI NTWK S5_C073</t>
  </si>
  <si>
    <t>9999E999 AMI NTWK S5_C080</t>
  </si>
  <si>
    <t>9999E999 AMI NTWK 3236 SE ROOSTER W</t>
  </si>
  <si>
    <t>9999E999 AMI NTWK 23831 SE GREEN VA</t>
  </si>
  <si>
    <t>9999E999 AMI NTWK P#956708 KING CNT</t>
  </si>
  <si>
    <t>9999E999 AMI NTWK 5318 ASPINWALL CT</t>
  </si>
  <si>
    <t xml:space="preserve">9999E999 AMI NTWK 540 PARTRIDGE DR </t>
  </si>
  <si>
    <t xml:space="preserve">9999E999 AMI NTWK 21402 SNAG ISLND </t>
  </si>
  <si>
    <t xml:space="preserve">9999E999 AMI NTWK 10706 194TH ST E </t>
  </si>
  <si>
    <t xml:space="preserve">9999E999 AMI NTWK 16609 210TH ST E </t>
  </si>
  <si>
    <t>9999E999 AMI NTWK 43 ALPENTAL STREE</t>
  </si>
  <si>
    <t xml:space="preserve">9999E999 AMI NTWK 7730 CENTER BLVD </t>
  </si>
  <si>
    <t>RSC-COM DISH REBUILD/REPLACEMENT</t>
  </si>
  <si>
    <t>WHG-GEN TRANSPORT NETWORK</t>
  </si>
  <si>
    <t>9999E999 AMI NTWK 1121 63RD ST SE A</t>
  </si>
  <si>
    <t>9999E999 AMI NTWK 11900 YELM HWY SE</t>
  </si>
  <si>
    <t>9999E999 AMI NTWK 8911 MARTIN WAY E</t>
  </si>
  <si>
    <t>9999E999 AMI NTWK 15099 DEFIANCE DR</t>
  </si>
  <si>
    <t>9999E999 AMI NTWK 25235 SE KLAHANIE</t>
  </si>
  <si>
    <t>9999E999 AMI NTWK 5225 NE MINDER RD</t>
  </si>
  <si>
    <t>9999E999 AMI NTWK 18455 W WINTER GR</t>
  </si>
  <si>
    <t>9999E999 AMI NTWK 5801 S 212TH ST K</t>
  </si>
  <si>
    <t xml:space="preserve">9999E999 AMI NTWK 16620 RAILWAY RD </t>
  </si>
  <si>
    <t xml:space="preserve">9999E999 AMI NTWK 208 SEATTLE ST E </t>
  </si>
  <si>
    <t>9999E999 AMI NTWK 10500 MT BAKER HW</t>
  </si>
  <si>
    <t>9999E999 AMI NTWK 23403 AVALON HIDE</t>
  </si>
  <si>
    <t xml:space="preserve">9999E999 AMI NTWK 1724 EMERALD WAY </t>
  </si>
  <si>
    <t>9999E999 AMI NTWK 3719 70TH AVE E F</t>
  </si>
  <si>
    <t>9999E999 AMI NTWK 75400 NE 122ND ST</t>
  </si>
  <si>
    <t>TRANSPORT NETWORK MODERNIZATION - G</t>
  </si>
  <si>
    <t>WHG-GEN BATTERY REPLACEMENT</t>
  </si>
  <si>
    <t>OLM-COM BATTERY REPLACEMENT</t>
  </si>
  <si>
    <t>NHL-SUB BATTERY REPLACEMENT</t>
  </si>
  <si>
    <t>MYC-COM - Antenna add</t>
  </si>
  <si>
    <t xml:space="preserve">9999E999 AMI NTWK 249 CHUCKANUT DR </t>
  </si>
  <si>
    <t>9999E999 AMI NTWK 7198 BISSET LN EV</t>
  </si>
  <si>
    <t>9999E999 AMI NTWK 18725 W MORGANMAR</t>
  </si>
  <si>
    <t>9999E999 AMI NTWK 4703 PRESTWICK LN</t>
  </si>
  <si>
    <t xml:space="preserve">9999E999 AMI NTWK 5703 66TH AVE SE </t>
  </si>
  <si>
    <t xml:space="preserve">9999E999 AMI NTWK 15721 YELM TERRA </t>
  </si>
  <si>
    <t>9999E999 AMI NTWK 14969 MTN VIEW CT</t>
  </si>
  <si>
    <t>9999E999 AMI NTWK 3600 SUNCADIA TRA</t>
  </si>
  <si>
    <t>9999E999 AMI NTWK 311 SUNDANCE LN E</t>
  </si>
  <si>
    <t xml:space="preserve">9999E999 AMI NTWK 211 SILVER QUEEN </t>
  </si>
  <si>
    <t>9999E999 AMI NTWK 128 CABIN TRAIL D</t>
  </si>
  <si>
    <t xml:space="preserve">9999E999 AMI NTWK 891 ANNA BELL DR </t>
  </si>
  <si>
    <t>9999E999 AMI NTWK 3030 S 240TH ST K</t>
  </si>
  <si>
    <t xml:space="preserve">9999E999 AMI NTWK 40502 TIMBERLINE </t>
  </si>
  <si>
    <t>9999E999 AMI NTWK 2325 CASCADE DR E</t>
  </si>
  <si>
    <t xml:space="preserve">9999E999 AMI NTWK 39008 35TH AVE E </t>
  </si>
  <si>
    <t>9999E999 AMI NTWK 1525 CHUCKANUT RD</t>
  </si>
  <si>
    <t>9999E999 AMI NTWK 13543 CHUCKANUT R</t>
  </si>
  <si>
    <t>9999E999 AMI NTWK 33433 NE 102ND WA</t>
  </si>
  <si>
    <t>9999E999 AMI NTWK 1000 WILMINGTON D</t>
  </si>
  <si>
    <t>9999E999 AMI NTWK 7217 308TH AVE SE</t>
  </si>
  <si>
    <t>9999E999 AMI NTWK 18206 71ST AVE E</t>
  </si>
  <si>
    <t>9999E999 AMI NTWK 5024 LACEY BLVD S</t>
  </si>
  <si>
    <t xml:space="preserve">9999E999 AMI NTWK 16544 LITTLEROCK </t>
  </si>
  <si>
    <t xml:space="preserve">9999E999 AMI NTWK 3652 PACIFIC AVE </t>
  </si>
  <si>
    <t xml:space="preserve">9999E999 AMI NTWK 26811 NE 23RD ST </t>
  </si>
  <si>
    <t xml:space="preserve">9999E999 AMI NTWK 26001 NE 24TH ST </t>
  </si>
  <si>
    <t xml:space="preserve">9999E999 AMI NTWK 3635 22ND AVE SE </t>
  </si>
  <si>
    <t>9999E999 AMI NTWK 3433 BLVD RD SE O</t>
  </si>
  <si>
    <t xml:space="preserve">9999E999 AMI NTWK 4843 SISKIYOU LP </t>
  </si>
  <si>
    <t>SKC-SVC PDU enhancements</t>
  </si>
  <si>
    <t>VER-OFC PDU enhancements</t>
  </si>
  <si>
    <t>SQE-OTC PDU enhancements</t>
  </si>
  <si>
    <t>BOTO-BLGD PDU enhancements</t>
  </si>
  <si>
    <t>LIN-COM CRS NODE REPLACEMENT</t>
  </si>
  <si>
    <t>ESO-COM CRS NODE REPLACEMENT</t>
  </si>
  <si>
    <t>SKA-SVC CRS NODE REPLACEMENT</t>
  </si>
  <si>
    <t xml:space="preserve">9999E999 AMI NTWK 26005 NE 34TH ST </t>
  </si>
  <si>
    <t xml:space="preserve">9999E999 AMI NTWK 27401 NE 22ND ST </t>
  </si>
  <si>
    <t xml:space="preserve">9999E999 AMI NTWK 24215 NE 59TH LN </t>
  </si>
  <si>
    <t xml:space="preserve">9999E999 AMI NTWK 23811 NE 43RD ST </t>
  </si>
  <si>
    <t>9999E999 AMI NTWK 9003 90TH AVE E P</t>
  </si>
  <si>
    <t>9999E999 AMI NTWK 13214 104TH AVE C</t>
  </si>
  <si>
    <t>9999E999 AMI NTWK 302 BARKSDALE AVE</t>
  </si>
  <si>
    <t>9999E999 AMI NTWK 1755 RIDGE VIEW D</t>
  </si>
  <si>
    <t>9999E999 AMI NTWK 6623 47TH AVE NE</t>
  </si>
  <si>
    <t xml:space="preserve">9999E999 AMI NTWK 4100 KAPALEA WAY </t>
  </si>
  <si>
    <t>9999E999 AMI NTWK 15521 HEIDI LN SE</t>
  </si>
  <si>
    <t>9999E999 AMI NTWK 25963 118TH PL SE</t>
  </si>
  <si>
    <t>9999E999 AMI NTWK 46820 EVERETT LAK</t>
  </si>
  <si>
    <t>9999E999 AMI NTWK 9107 RENTON ISSAQ</t>
  </si>
  <si>
    <t>9999E999 AMI NTWK 13315 SW 207TH LN</t>
  </si>
  <si>
    <t>9999E999 AMI NTWK 4927 SW POINT ROB</t>
  </si>
  <si>
    <t>9999E999 AMI NTWK 8208 WA-104 #106</t>
  </si>
  <si>
    <t>9999E999 AMI NTWK 2809 LOST CREEK L</t>
  </si>
  <si>
    <t>9999E999 AMI NTWK 1119 NEWTON DR BL</t>
  </si>
  <si>
    <t>9999E999 AMI NTWK S5_C012_R0020</t>
  </si>
  <si>
    <t>9999E999 AMI NTWK 18500 NE UNION HI</t>
  </si>
  <si>
    <t>9999E999 AMI NTWK 5424 JOHNSON ST N</t>
  </si>
  <si>
    <t>9999E999 AMI NTWK 2915 HARRISON AVE</t>
  </si>
  <si>
    <t>9999E999 AMI NTWK 24212 NE RDMND FL</t>
  </si>
  <si>
    <t>9999E999 AMI NTWK 537 NE ELIS WAY O</t>
  </si>
  <si>
    <t xml:space="preserve">9999E999 AMI NTWK 5729 CEDAR FLATS </t>
  </si>
  <si>
    <t xml:space="preserve">2021 STANDING ORDER LANDIS+GYR AMR </t>
  </si>
  <si>
    <t>ANNUAL TELECOM RF REFRESH (2021)</t>
  </si>
  <si>
    <t>GENERATION INFRASTRUCTURE PROGRAM -</t>
  </si>
  <si>
    <t>BOTH-BLDG H CRS Nodes</t>
  </si>
  <si>
    <t>KIT-SVC radio upgrade</t>
  </si>
  <si>
    <t>LOT-COM Radio upgrade</t>
  </si>
  <si>
    <t>LIN-COM Radio upgrade</t>
  </si>
  <si>
    <t>DJN-SUB Radio upgrade</t>
  </si>
  <si>
    <t>BER-SUB IT battery replacement</t>
  </si>
  <si>
    <t>US NAVY KEYPORT IT COMM BATTERY</t>
  </si>
  <si>
    <t>LOWER BAKER 24V IT COMM DC PLANT</t>
  </si>
  <si>
    <t>FOS-SUB IT COMM BATTERY REPLACEMENT</t>
  </si>
  <si>
    <t>UPPER BAKER IT COMM BATTERY REPLACE</t>
  </si>
  <si>
    <t>FIB - NJUNS TICKETS</t>
  </si>
  <si>
    <t xml:space="preserve">TRANSP. NET. MODERNIZATION-CMM-SAM </t>
  </si>
  <si>
    <t xml:space="preserve">Transp. Net. Modernization-CMM-FAC </t>
  </si>
  <si>
    <t>EHT-SUB IT COMM BATTERY REPLACEMEN</t>
  </si>
  <si>
    <t>WHS-SUB WHITEHORN SUB CHARGER</t>
  </si>
  <si>
    <t>PHG-SUB PHALEN GULCH CHARGER</t>
  </si>
  <si>
    <t>PSE PORTABLE RADIOS - RF REFRESH</t>
  </si>
  <si>
    <t>KSP-SVC CELLULAR IN-BUILDING IMPROV</t>
  </si>
  <si>
    <t>EST CORE NETWORK - IT MAX SUB - CMM</t>
  </si>
  <si>
    <t xml:space="preserve">HVAC REPLACEMENT - MARSYVILLE COMM </t>
  </si>
  <si>
    <t>EST CORE MOVE - IT CEN-SUB - CMM</t>
  </si>
  <si>
    <t>MTE-COM - HVAC/IT - CMM</t>
  </si>
  <si>
    <t>BRC-COM - HVAC/ IT - CMM</t>
  </si>
  <si>
    <t>HVAC - COMM MT BAKER DAM</t>
  </si>
  <si>
    <t>STANDING 2022 AMI NTWK PRJT-EXTERNA</t>
  </si>
  <si>
    <t>9999E999 AMI NTWK SNOHOMISH PUD UG</t>
  </si>
  <si>
    <t>SPS-COM MICROWAVE IMPROVEMENTS</t>
  </si>
  <si>
    <t>9999E999 2022 AMI NTWK BLDG FIX UP</t>
  </si>
  <si>
    <t>C3974 CMN Comm Equip, AMI Network</t>
  </si>
  <si>
    <t xml:space="preserve">9999E999 AMI NTWK DEPLOY S2 DUVALL </t>
  </si>
  <si>
    <t>9999E999 AMI NTWK S2 OH ONE-OFF(1ST</t>
  </si>
  <si>
    <t>9999E999 AMI NTWK DEPLOY S2 ROSLYN</t>
  </si>
  <si>
    <t>9999E999 AMI NTWK DEPLOY S5 OLYMPIA</t>
  </si>
  <si>
    <t>9999E999 AMI NTWK DEPLOY S4 PORT OR</t>
  </si>
  <si>
    <t>2311E131 AMI NTWK DEPLOY S2 19100 A</t>
  </si>
  <si>
    <t>AMR NETWORK EXPNS PROJECT -PIERCE C</t>
  </si>
  <si>
    <t>9999E999 AMI NTWK N4 OH GTG &amp;1-OFF</t>
  </si>
  <si>
    <t>9999E999 AMI NTWK SNOHOMISH PUD</t>
  </si>
  <si>
    <t>9999E999 AMI NTWK PENINSULA LIGHT</t>
  </si>
  <si>
    <t>Commeq - AMI Network - DONOTUSE</t>
  </si>
  <si>
    <t>STANDING 2018 AMI NETWORK SYSTEM(EX</t>
  </si>
  <si>
    <t>DO NOT USE REPLACED BY 143004800 FO</t>
  </si>
  <si>
    <t xml:space="preserve">9999E999 AMI NTWK UG_TURTLE SYSTEM </t>
  </si>
  <si>
    <t>9999E999 AMI NTWK ELMHURST OH &amp; UG</t>
  </si>
  <si>
    <t xml:space="preserve">2020 STANDING ORDER LANDIS+GYR AMR </t>
  </si>
  <si>
    <t>Commeq - Amcor : COM-AMCO</t>
  </si>
  <si>
    <t>STANDING 2020 AMI NETWORK SYSTEM(IN</t>
  </si>
  <si>
    <t>STANDING 2021 AMI NTWK PRJT-EXTERNA</t>
  </si>
  <si>
    <t>C3980 CMN Misc Equipment, new</t>
  </si>
  <si>
    <t>Redmond West Purchase of AED &amp; Cabi</t>
  </si>
  <si>
    <t>SO KING COMPLEX EXERCISE EQUIPMENT</t>
  </si>
  <si>
    <t>FACTORIA OFFICE -  GYM EQUIP</t>
  </si>
  <si>
    <t>LAKE TAPPS - CAMP LAWN MOWER</t>
  </si>
  <si>
    <t>PSE BLDG 4TH FLOOR- TENANT IMPROVEM</t>
  </si>
  <si>
    <t>BACKUP CONTROL CENT HEADSET BUCC CO</t>
  </si>
  <si>
    <t>SEA TAC TENANT IMPROVEMENTS - HOWAR</t>
  </si>
  <si>
    <t>NEW TREADMILL @ TACOMA OFFICE</t>
  </si>
  <si>
    <t>PSE EAST BLDG - PURCHASE AED HEARTS</t>
  </si>
  <si>
    <t>SECURITY INSTALLATION - CAPITAL HIL</t>
  </si>
  <si>
    <t>FACILITY SERVICES LINELAZER 3400 PA</t>
  </si>
  <si>
    <t>TACOMA OFFICE ICE MACHINE</t>
  </si>
  <si>
    <t>BOTHELL BUILDING G FITNESS ROOM - R</t>
  </si>
  <si>
    <t>REPLACE ICE MACHINE AT LAKE TAPPS E</t>
  </si>
  <si>
    <t>2015 DRONE PURCHASE FOR STRATEGIC I</t>
  </si>
  <si>
    <t>NORTH KING SERVICE CENTER ICE MACHI</t>
  </si>
  <si>
    <t xml:space="preserve">C399 CMN ARO General Plant </t>
  </si>
  <si>
    <t>ARO</t>
  </si>
  <si>
    <t>C389-399, Electric Total (per PA's report)</t>
  </si>
  <si>
    <t xml:space="preserve">Cross Check </t>
  </si>
  <si>
    <t>Book Cost:</t>
  </si>
  <si>
    <t xml:space="preserve">Cross check </t>
  </si>
  <si>
    <t>Electric TOTAL</t>
  </si>
  <si>
    <t>E301</t>
  </si>
  <si>
    <t>E301 Total</t>
  </si>
  <si>
    <t>E302</t>
  </si>
  <si>
    <t>E302 Total</t>
  </si>
  <si>
    <t>E303</t>
  </si>
  <si>
    <t>E303 Total</t>
  </si>
  <si>
    <t>FERC</t>
  </si>
  <si>
    <t>E390.1</t>
  </si>
  <si>
    <t>See 389-399 Common Tab</t>
  </si>
  <si>
    <t>(LH Improvements)</t>
  </si>
  <si>
    <t>Accumulated Amortization:</t>
  </si>
  <si>
    <t xml:space="preserve">Adjustments* </t>
  </si>
  <si>
    <t>Intangible Plant, Electric</t>
  </si>
  <si>
    <t>Intangibles, King County outside RTA District, WA : INT-0000 WA01700000</t>
  </si>
  <si>
    <t>E301 INT Organization</t>
  </si>
  <si>
    <t>E302 INT Franchises</t>
  </si>
  <si>
    <t>Intangibles, Pierce County outside RTA District, WA : INT-0000 WA02700000</t>
  </si>
  <si>
    <t>Intangibles, Whatcom County, WA : INT-0000 WA03700000</t>
  </si>
  <si>
    <t>Intangibles, Kittitas County, WA : INT-0000 WA01900000</t>
  </si>
  <si>
    <t>COUNTY OF KITTITAS FRANCHISE- E -RE</t>
  </si>
  <si>
    <t>COUNTY OF KITTITAS FRANCHISE- E -RENEWAL</t>
  </si>
  <si>
    <t>CITY OF NORMANDY PARK FRANCHISE-E-R</t>
  </si>
  <si>
    <t>CITY OF NORMANDY PARK FRANCHISE-E-RENEW</t>
  </si>
  <si>
    <t>Intangibles, Thurston County, WA : INT-0000 WA03400000</t>
  </si>
  <si>
    <t>Town of Wilkeson - Electric - RENEW</t>
  </si>
  <si>
    <t>Town of Wilkeson - Electric - RENEWAL</t>
  </si>
  <si>
    <t>City of Sea Tac - Renewal - Electri</t>
  </si>
  <si>
    <t>City of Sea Tac - Renewal - Electric</t>
  </si>
  <si>
    <t>CITY OF KIRKLAND - ELECTRIC - RENEW</t>
  </si>
  <si>
    <t>CITY OF KIRKLAND - ELECTRIC - RENEWAL</t>
  </si>
  <si>
    <t>WSDOT SR162 Franchise Renewal - Ele</t>
  </si>
  <si>
    <t>WSDOT SR162 Franchise Renewal - Electric</t>
  </si>
  <si>
    <t>Intangibles, Kitsap County, WA : INT-0000 WA01800000</t>
  </si>
  <si>
    <t>Kitsap County - Electric - RENEWAL</t>
  </si>
  <si>
    <t>CITY OF SUMNER - ELECTRIC - RENEWAL</t>
  </si>
  <si>
    <t xml:space="preserve">CITY OF ROY - ELECTRIC - RENEWAL   </t>
  </si>
  <si>
    <t>CITY OF ROY - ELECTRIC - RENEWAL</t>
  </si>
  <si>
    <t>CITY OF PORT ORCHARD - ELECTRIC - R</t>
  </si>
  <si>
    <t>CITY OF PORT ORCHARD - ELECTRIC - RENEWA</t>
  </si>
  <si>
    <t>Intangibles, Skagit County, WA : INT-0000 WA02900000</t>
  </si>
  <si>
    <t>WSDOT STATE HIGHWAYS - SKAGIT COUNT</t>
  </si>
  <si>
    <t>WSDOT STATE HIGHWAYS - SKAGIT COUNTY - R</t>
  </si>
  <si>
    <t>WSDOT STATE HIGHWAYS - WHATCOM COUN</t>
  </si>
  <si>
    <t>WSDOT STATE HIGHWAYS - WHATCOM COUNTY -</t>
  </si>
  <si>
    <t>PSE'S OH TRANSMISSION EASEMENT CROS</t>
  </si>
  <si>
    <t>PSE'S OH TRANSMISSION EASEMENT CROSSING</t>
  </si>
  <si>
    <t>CITY OF EVERSON - ELECTRIC - RENEWA</t>
  </si>
  <si>
    <t>CITY OF EVERSON - ELECTRIC - RENEWAL##</t>
  </si>
  <si>
    <t>CITY OF LYNDEN - ELECTRIC - RENEWAL</t>
  </si>
  <si>
    <t>Intangibles, Island County, WA : INT-0000 WA01500000</t>
  </si>
  <si>
    <t>CITY OF OAK HARBOR - ELECTRIC - REN</t>
  </si>
  <si>
    <t>CITY OF OAK HARBOR - ELECTRIC - RENEWAL</t>
  </si>
  <si>
    <t xml:space="preserve">WSDOT STATE HIGHWAYS - KING COUNTY </t>
  </si>
  <si>
    <t>WSDOT STATE HIGHWAYS - KING COUNTY - REN</t>
  </si>
  <si>
    <t>CITY OF TENINO - ELECTRIC - RENEWAL</t>
  </si>
  <si>
    <t xml:space="preserve">CITY OF BLACK DIAMOND - ELECTRIC - </t>
  </si>
  <si>
    <t>CITY OF BLACK DIAMOND - ELECTRIC - RENEW</t>
  </si>
  <si>
    <t>CITY OF FERNDALE - ELECTRIC - RENEW</t>
  </si>
  <si>
    <t>CITY OF FERNDALE - ELECTRIC - RENEWAL</t>
  </si>
  <si>
    <t>CITY OF AUBURN - ELECTRIC - RENEWAL</t>
  </si>
  <si>
    <t>STATE OF WASHINGTON PARKS &amp; REC PER</t>
  </si>
  <si>
    <t>STATE OF WASHINGTON PARKS &amp; REC PERMIT</t>
  </si>
  <si>
    <t>WSDOT STATE HIGHWAYS - KITTITAS COU</t>
  </si>
  <si>
    <t>WSDOT STATE HIGHWAYS - KITTITAS COUNTY -</t>
  </si>
  <si>
    <t>WSDOT STATE HIGHWAYS - PIERCE COUNT</t>
  </si>
  <si>
    <t>WSDOT STATE HIGHWAYS - PIERCE COUNTY - R</t>
  </si>
  <si>
    <t>WSDOT STATE HIGHWAYS - THURSTON COU</t>
  </si>
  <si>
    <t>WSDOT STATE HIGHWAYS - THURSTON COUNTY -</t>
  </si>
  <si>
    <t>WLD EAGLE CONSERVATION PLAN -FOT</t>
  </si>
  <si>
    <t>WSDOT STATE HIGHWAYS - KITSAP COUNT</t>
  </si>
  <si>
    <t>WSDOT STATE HIGHWAYS - KITSAP COUNTY - R</t>
  </si>
  <si>
    <t>KING COUNTY FRANCHISE - RENEWAL - E</t>
  </si>
  <si>
    <t>KING COUNTY FRANCHISE - RENEWAL - ELEC</t>
  </si>
  <si>
    <t>DNR JARPA, SAUK RIVER, CONCRETE</t>
  </si>
  <si>
    <t>Renewal of thirty year permit from Washington Department of Natural Resources for overhead distribution system crossing Sauk River in Concrete.</t>
  </si>
  <si>
    <t>E303 INT Misc Intangible Plant</t>
  </si>
  <si>
    <t>Intangibles, Bellevue, WA : INT-0000 WA11700040</t>
  </si>
  <si>
    <t>MICROSOFT DA PILOT PROJECT-SW.CS.5Y</t>
  </si>
  <si>
    <t>MICROSOFT DA PILOT PROJECT-SW.CS.5YR</t>
  </si>
  <si>
    <t>AVIAN PROTECTION DATABASE - SW.CS.5</t>
  </si>
  <si>
    <t>AVIAN PROTECTION DATABASE - SW.CS.5YR</t>
  </si>
  <si>
    <t>SAP CIS DEVICE MANAGEMENT Q4 - SW.C</t>
  </si>
  <si>
    <t>SAP CIS DEVICE MANAGEMENT Q4 - SW.CS.5YR</t>
  </si>
  <si>
    <t>IWM RELEASE EFR - SW.CS.10YR</t>
  </si>
  <si>
    <t>ESRI STORM APP ENHANCEMENTS - SW.CS</t>
  </si>
  <si>
    <t>ESRI STORM APP ENHANCEMENTS - SW.CS.5YR</t>
  </si>
  <si>
    <t>ELEC OSI PI ASST PI MIGR - SW.CN.10</t>
  </si>
  <si>
    <t>ELEC OSI PI ASST PI MIGR - SW.CN.10YR</t>
  </si>
  <si>
    <t>energy management system-not enhancement - hardware/software maintenance</t>
  </si>
  <si>
    <t>SMART LIGHT INSTALL DEV COST - SW.C</t>
  </si>
  <si>
    <t>SMART LIGHT INSTALL DEV COST - SW.CS.10Y</t>
  </si>
  <si>
    <t>Enhancement to SAP to facilitate the creation of new rate categories, bill presentation updates, and data integration of vendor provided inputs to support the deployment of the smart lighting system capabilities.</t>
  </si>
  <si>
    <t xml:space="preserve">SMART LIGHTING SYSTEM CAPABILITIES </t>
  </si>
  <si>
    <t>SMART LIGHTING SYSTEM CAPABILITIES - SW.</t>
  </si>
  <si>
    <t>ongoing software-as-a-service costs associated with the Smart Community Center smart lighting system</t>
  </si>
  <si>
    <t>Software as a service (SAA) licensing and managed service costs associated to the Smart Community Center used to manage deployed smart lighting system capabilities.</t>
  </si>
  <si>
    <t>CONFIGURE AMI METERS - SW.CS.5YR</t>
  </si>
  <si>
    <t>Add configuration for AMI energy measurement meters not currently on the AMI devices table in SAP.</t>
  </si>
  <si>
    <t>GEOSPATIAL LOAD FORECASTING - SW.CN</t>
  </si>
  <si>
    <t>GEOSPATIAL LOAD FORECASTING - SW.CN.5YR</t>
  </si>
  <si>
    <t>Spetial load forecasting tool which is used by electric distribution system planners to predict load and power changes, where on the grid the loads will occur, how distributed generation (DG) changes the load shape, and when it must be supplied.</t>
  </si>
  <si>
    <t>ENHANCE ZZPM_051 WITH OBJECT DETAIL</t>
  </si>
  <si>
    <t>ENHANCE ZZPM_051 WITH OBJECT DETAILS -SW</t>
  </si>
  <si>
    <t>Enhance software that provides transparency to detailed data on pole attachment/wireless collocation requests. Provide the ability to report on how often a specific grid/pole was included on various projects enterprise wide</t>
  </si>
  <si>
    <t>FIELD RESOURCES CALL OUT TOOL - SW.</t>
  </si>
  <si>
    <t>FIELD RESOURCES CALL OUT TOOL - SW.CN.3Y</t>
  </si>
  <si>
    <t>Resource Callout tool software to manage communication during a storm response</t>
  </si>
  <si>
    <t>Lower Snake River Wind : GNR-LSR</t>
  </si>
  <si>
    <t>E303 105  INT Misc Intangibles</t>
  </si>
  <si>
    <t>9999E999 LSR PH 2 DEVELOP-1% CON O'</t>
  </si>
  <si>
    <t>9999E999 LSR PH 2 DEVELOP-1% CON O'HD-EX</t>
  </si>
  <si>
    <t>*Note: Per Kathy Chinn - these are held in future use and not depreciating.  Reported on FERC 1 page 214</t>
  </si>
  <si>
    <t>Mint Farm Generation : GNR-MINT</t>
  </si>
  <si>
    <t>OSISOFT PI HISTORIAN ENH. MINT FARM</t>
  </si>
  <si>
    <t>OSISOFT PI HISTORIAN ENH. MINT FARM - SW</t>
  </si>
  <si>
    <t>2019 OCALC LICENSES - SW.CN.4YR</t>
  </si>
  <si>
    <t>Licenses for PSEs Electric System -</t>
  </si>
  <si>
    <t>Licenses for PSEs Electric System - SW.C</t>
  </si>
  <si>
    <t>OSI SOFT PI HISTORIAN GENERAL - SW.</t>
  </si>
  <si>
    <t>OSI SOFT PI HISTORIAN GENERAL - SW.CN.3Y</t>
  </si>
  <si>
    <t>Standardizing platforms across generation sites and bringing software up to current version.</t>
  </si>
  <si>
    <t>OSISOFT PI UPGRADE - GEN SITES - SW</t>
  </si>
  <si>
    <t>OSISOFT PI UPGRADE - GEN SITES - SW.CN.5</t>
  </si>
  <si>
    <t>GHG REQUIREMENT ENHANCEMENTS - SW.C</t>
  </si>
  <si>
    <t>GHG REQUIREMENT ENHANCEMENTS - SW.CS.5YR</t>
  </si>
  <si>
    <t>Enhance GHG creation process and add Green House Gas Requirements to PCI</t>
  </si>
  <si>
    <t>Snoqualmie 1 Hydro Prod Facility : GNR-SG1</t>
  </si>
  <si>
    <t xml:space="preserve">E302 INT Franchises, Snoqualmie </t>
  </si>
  <si>
    <t>Baker Project Relicense: GNR-BRP</t>
  </si>
  <si>
    <t>E302 INT Franchises, Baker Project</t>
  </si>
  <si>
    <t>9999E999BAKER RELICENSE</t>
  </si>
  <si>
    <t>Upper Baker Hydro Prod Facility : GNR-BRU</t>
  </si>
  <si>
    <t>UBK SA 505 FOREST SERVICE ROAD 1152</t>
  </si>
  <si>
    <t>UBK SA 505 FOREST SERVICE ROAD 1152 DECO</t>
  </si>
  <si>
    <t xml:space="preserve">UBK BAKER SPUR RD                  </t>
  </si>
  <si>
    <t>UBK BAKER SPUR RD</t>
  </si>
  <si>
    <t>9999E999 CAREY'S CREEK BARRIER CULV</t>
  </si>
  <si>
    <t>9999E999 CAREY'S CREEK BARRIER CULVERT I</t>
  </si>
  <si>
    <t>BAKER COMM &amp; NETWORK ENH - SW.CN.4Y</t>
  </si>
  <si>
    <t>BAKER COMM &amp; NETWORK ENH - SW.CN.4YR</t>
  </si>
  <si>
    <t>Residential Electric Vehicle 19 - S</t>
  </si>
  <si>
    <t>Residential Electric Vehicle 19 - SW.CN.</t>
  </si>
  <si>
    <t>MFam/W Electric Vehicle 19 - SW.CN.</t>
  </si>
  <si>
    <t>MFam/W Electric Vehicle 19 - SW.CN.5YR -</t>
  </si>
  <si>
    <t>Public Electric Vehicle 19 - SW.CN.</t>
  </si>
  <si>
    <t>Public Electric Vehicle 19 - SW.CN.5YR -</t>
  </si>
  <si>
    <t>LOWER DAY CREEK RIPARIAN RESTORATIO</t>
  </si>
  <si>
    <t>LOWER DAY CREEK RIPARIAN RESTORATION - P</t>
  </si>
  <si>
    <t>PURCHASE MATLAB SOFTWARE - SW.CN.5Y</t>
  </si>
  <si>
    <t>PURCHASE MATLAB SOFTWARE - SW.CN.5YR</t>
  </si>
  <si>
    <t>ENHN MCG ENERGY ACCNTNG SYS - SW.CS</t>
  </si>
  <si>
    <t>ENHN MCG ENERGY ACCNTNG SYS - SW.CS.5YR</t>
  </si>
  <si>
    <t>SMS MARK VI UPGRADE - SW.CN.5YR</t>
  </si>
  <si>
    <t>NWPP DISPLAY RESERVE FLOWS - SW.CS.</t>
  </si>
  <si>
    <t>NWPP DISPLAY RESERVE FLOWS - SW.CS.5YR</t>
  </si>
  <si>
    <t>COMMUNITY SOLAR IT - SW.CS.5YR</t>
  </si>
  <si>
    <t>RATE ADD OF SCHEDULES 26 AND 31 - S</t>
  </si>
  <si>
    <t>RATE ADD OF SCHEDULES 26 AND 31 - SW.CS.</t>
  </si>
  <si>
    <t>Intangibles, Bellingham, WA : INT-0000 WA03700010</t>
  </si>
  <si>
    <t>ENC MARK VI UPGRADE - SW.CN.5YR</t>
  </si>
  <si>
    <t>Upgrading to the latest HMI technology provides the most current software and hardware technology available from GE/BHGE for the turbine control operator interface.</t>
  </si>
  <si>
    <t>ENC WONDERWARE WIN10 UPGD - SW.CN.5</t>
  </si>
  <si>
    <t>ENC WONDERWARE WIN10 UPGD - SW.CN.5YR</t>
  </si>
  <si>
    <t>Upgrading to the latest technology provides the most current software and hardware technology available from Wonderware control operator interface.</t>
  </si>
  <si>
    <t>FRA MARK VI UPGRADE - SW.CN.5YR</t>
  </si>
  <si>
    <t>EV WORKPLACE PILOT - SW.CS.5YR</t>
  </si>
  <si>
    <t>for the Electric Vehicle Workplace pilot. The purpose of the request is to cover costs associated to the software access, commissioning, and configuration for 50 properties. software access, software commissioning, and mobile application white labeling configuration.</t>
  </si>
  <si>
    <t>EV MULTI-FAMILY PILOT - SW.CS.5YR</t>
  </si>
  <si>
    <t>for the Electric Vehicle Multi-Family pilot. The purpose of the request is to cover costs associated to the software access, commissioning, and configuration for 25 properties. software access, software commissioning, and mobile application white labeling configuration.</t>
  </si>
  <si>
    <t>VPP SOFTWARE &amp; CONSULTANT WORK - SW</t>
  </si>
  <si>
    <t>VPP SOFTWARE &amp; CONSULTANT WORK - SW.CN.5</t>
  </si>
  <si>
    <t>Virtual Power Plant Software and Consulting</t>
  </si>
  <si>
    <t xml:space="preserve">PCI UPGRADE FOR 2021 EIM CHANGES - </t>
  </si>
  <si>
    <t>PCI UPGRADE FOR 2021 EIM CHANGES - SW.CS</t>
  </si>
  <si>
    <t xml:space="preserve">Add new functionality to PCI application that enable trading EIM, scheduling and settlements with BPA and Tacoma Power </t>
  </si>
  <si>
    <t>OSI SOFT PI HISTORIAN ENCO - SW.CN.</t>
  </si>
  <si>
    <t>OSI SOFT PI HISTORIAN ENCO - SW.CN.3YR</t>
  </si>
  <si>
    <t>OSI SOFT PI HISTORIAN SNO - SW.CN.3</t>
  </si>
  <si>
    <t>OSI SOFT PI HISTORIAN SNO - SW.CN.3YR</t>
  </si>
  <si>
    <t>OSI SOFT PI HISTORIAN SUMAS - SW.CN</t>
  </si>
  <si>
    <t>OSI SOFT PI HISTORIAN SUMAS - SW.CN.3YR</t>
  </si>
  <si>
    <t>OSI SOFT PI HISTORIAN BAKER - SW.CN</t>
  </si>
  <si>
    <t>OSI SOFT PI HISTORIAN BAKER - SW.CN.3YR</t>
  </si>
  <si>
    <t>NWPP CHANGE RITM0050446 - SW.CS.5YR</t>
  </si>
  <si>
    <t>NWPP CHANGE RITM0050446 - SW.CS.5YRS</t>
  </si>
  <si>
    <t xml:space="preserve">Enhancement to add new functions required by NW Power Pool. Upgrade WEbTrader Interfaces software as Required by Regulatory agency NWPP </t>
  </si>
  <si>
    <t>FRE MARK VI UPGRADE - SW.CN.5YR</t>
  </si>
  <si>
    <t>VIRTUAL POWER PLANT APPLICATION- SW</t>
  </si>
  <si>
    <t>VIRTUAL POWER PLANT APPLICATION- SW.CN.5</t>
  </si>
  <si>
    <t>Install and configure Virtual Power Plant SaaS application to manage and dispatch distributed energy resources.</t>
  </si>
  <si>
    <t>Install and configure Virtual Power Plant SaaS application to manage and dispatch distributed energy resources. Activites include building and testing interfaces to existing PSE applications.</t>
  </si>
  <si>
    <t>S/W CHANGES FOR CLEARWATER WIND PPA</t>
  </si>
  <si>
    <t>S/W CHANGES FOR CLEARWATER WIND PPA - SW</t>
  </si>
  <si>
    <t>Changes and updates to PCI software to enable scheduling, trading and settlements with Avingrid for new resource Clearwater Wind PPA</t>
  </si>
  <si>
    <t>CITY OF BREMERTON - ELECTRIC - RENE</t>
  </si>
  <si>
    <t>CITY OF BREMERTON - ELECTRIC - RENEWAL</t>
  </si>
  <si>
    <t>9999E999 LB HANSEN CREEK CHANNEL RE</t>
  </si>
  <si>
    <t>9999E999 LB HANSEN CREEK CHANNEL RELOCAT</t>
  </si>
  <si>
    <t>USFS SUP (Mt Baker-Snoqualmie)</t>
  </si>
  <si>
    <t>USFS Forest Service permit 2022</t>
  </si>
  <si>
    <t>2020 EMS MODELING - SW.CS.3YR - STA</t>
  </si>
  <si>
    <t>2020 EMS MODELING - SW.CS.3YR - STANDING</t>
  </si>
  <si>
    <t>RITM0065350 SCHEMATIC DISPLAY - SW.</t>
  </si>
  <si>
    <t>RITM0065350 SCHEMATIC DISPLAY - SW.CS.5Y</t>
  </si>
  <si>
    <t>ADMS-Distribution Management System</t>
  </si>
  <si>
    <t>ADMS-Distribution Management System-SW.C</t>
  </si>
  <si>
    <t>BUCC LO Display Enhancements - SW.C</t>
  </si>
  <si>
    <t>BUCC LO Display Enhancements - SW.CS.5YR</t>
  </si>
  <si>
    <t>MCG DATA TRANSFER APP - SW.CN.5YR</t>
  </si>
  <si>
    <t>2021 EMS MODELING - SW.CS.3YR - STA</t>
  </si>
  <si>
    <t>2021 EMS MODELING - SW.CS.3YR - STANDING</t>
  </si>
  <si>
    <t>MS Modeling Related to Major Projects Infrastructure Improvements.</t>
  </si>
  <si>
    <t>2021 STANDING - ADMS SYSTEM MODEL -</t>
  </si>
  <si>
    <t>2021 STANDING - ADMS SYSTEM MODEL - SW.C</t>
  </si>
  <si>
    <t>ADMS System Modeling Related to Major Projects Infrastructure Improvements.</t>
  </si>
  <si>
    <t>PAC ENGR SEL ACSELERATOR TEAM SOFTW</t>
  </si>
  <si>
    <t>PAC ENGR SEL ACSELERATOR TEAM SOFTWARE -</t>
  </si>
  <si>
    <t>This software to securely collect electrical power system field devices and move the data to a central database for analysis. This is information such as voltage, currents, temperatures, etc., used to analyze the electrical system performance at those substations.</t>
  </si>
  <si>
    <t>CLICK ENHANCEMENTS - SW.CS.3YRS</t>
  </si>
  <si>
    <t>System Optimization Tuning of Click scheduling tool, to improve efficiencies.</t>
  </si>
  <si>
    <t>Swinomish Channel permit</t>
  </si>
  <si>
    <t>DAPITAL SOFTWARE LICENSE COSTS- SW.</t>
  </si>
  <si>
    <t>DAPITAL SOFTWARE LICENSE COSTS- SW.CN.5Y</t>
  </si>
  <si>
    <t>Software licenses to support engineering analysis for operation, maintenance and design of the electric transmission system. This order is for the cost of adding new PLS-CADD licenses. This is a software we've used for many years and expect to continue using. It is common throughout the industry for modeling and analyzing transmission lines.</t>
  </si>
  <si>
    <t>NERC CIP 14 MITIGATION - SW.CS.5YR</t>
  </si>
  <si>
    <t>This order is for the cost of adding new PLS-CADD licenses. This is a software we've used for many years and expect to continue using. It is common throughout the industry for modeling and analyzing transmission lines.</t>
  </si>
  <si>
    <t>C301-303, Common Total (per PA's report)</t>
  </si>
  <si>
    <t>ldg_work_order_number</t>
  </si>
  <si>
    <t>ldg_work_order_description</t>
  </si>
  <si>
    <t>General Plant, Electric</t>
  </si>
  <si>
    <t>Bellingham Business Office (leased) : GPL-BHO</t>
  </si>
  <si>
    <t>E3901 GEN LH, Bellingham</t>
  </si>
  <si>
    <t>E3901</t>
  </si>
  <si>
    <t>Dayton Business Office (Leased Hopkins Ridge) : GPL-DAY</t>
  </si>
  <si>
    <t>E3901 GEN LH, Dayton</t>
  </si>
  <si>
    <t xml:space="preserve">Bldg (station) wiring - New Dayton </t>
  </si>
  <si>
    <t>BELLINGHAM OFFICE TENANT IMPROVEMEN</t>
  </si>
  <si>
    <t>E3901, Electric Total (per PA's report)</t>
  </si>
  <si>
    <t>C302</t>
  </si>
  <si>
    <t>C302 Total</t>
  </si>
  <si>
    <t>C303</t>
  </si>
  <si>
    <t>C303 Total</t>
  </si>
  <si>
    <t>C303 Allocation %</t>
  </si>
  <si>
    <t>C390.1</t>
  </si>
  <si>
    <t>Intangible Plant, Common</t>
  </si>
  <si>
    <t>Other Intangibles : INT-0000 WA00000000</t>
  </si>
  <si>
    <t>C303 INT Misc Intangible Plant</t>
  </si>
  <si>
    <t xml:space="preserve">Frequency Purchase                 </t>
  </si>
  <si>
    <t>Frequency Purchase</t>
  </si>
  <si>
    <t>UNIT COMMITMENT - SW</t>
  </si>
  <si>
    <t>C302 INT Franchises &amp; Consents</t>
  </si>
  <si>
    <t>FRANCHISE - CITY OF TUKWILA - COMMO</t>
  </si>
  <si>
    <t>FRANCHISE - CITY OF TUKWILA - COMMON - R</t>
  </si>
  <si>
    <t>TOWN OF YARROW POINT - COMMON - REN</t>
  </si>
  <si>
    <t>TOWN OF YARROW POINT - COMMON - RENEWAL</t>
  </si>
  <si>
    <t xml:space="preserve">CITY OF ORTING - COMMON - RENEWAL  </t>
  </si>
  <si>
    <t>CITY OF ORTING - COMMON - RENEWAL</t>
  </si>
  <si>
    <t>CITY OF TUMWATER - FRANCHISE RENEWA</t>
  </si>
  <si>
    <t>CITY OF TUMWATER - FRANCHISE RENEWAL - C</t>
  </si>
  <si>
    <t xml:space="preserve">CITY OF ALGONA - COMMON - RENEWAL  </t>
  </si>
  <si>
    <t>CITY OF ALGONA - COMMON - RENEWAL</t>
  </si>
  <si>
    <t>CITY OF SAMMAMMISH - RENEWAL - COMM</t>
  </si>
  <si>
    <t>CITY OF SAMMAMMISH - RENEWAL - COMMON</t>
  </si>
  <si>
    <t>FTIP ECC - SW.CN.10YR</t>
  </si>
  <si>
    <t>FTIP BPC - SW.CN.10YR</t>
  </si>
  <si>
    <t>Gold Client &amp; Archiving - SW.CN.8YR</t>
  </si>
  <si>
    <t>MAP VIEWER PLATFORM - TENSING - SW.</t>
  </si>
  <si>
    <t>MAP VIEWER PLATFORM - TENSING - SW.CS.10</t>
  </si>
  <si>
    <t>MAP VIEWER PROJECT-ESRI PLATFORM-SW</t>
  </si>
  <si>
    <t>MAP VIEWER PROJECT-ESRI PLATFORM-SW.CS.1</t>
  </si>
  <si>
    <t>CITY OF LAKEWOOD - COMMON - RENEWAL</t>
  </si>
  <si>
    <t xml:space="preserve">CITY OF RENTON - FRANCHISE RENEWAL </t>
  </si>
  <si>
    <t>CITY OF RENTON - FRANCHISE RENEWAL - COM</t>
  </si>
  <si>
    <t>CITY OF MEDINA - COMMON - RENEWAL</t>
  </si>
  <si>
    <t>Intangibles, Snohomish County, WA : INT-0000 WA04200310</t>
  </si>
  <si>
    <t>CITY OF GOLD BAR - GAS - RENEWAL</t>
  </si>
  <si>
    <t>AMI COMMMAND CENTER HEAD END - SW.C</t>
  </si>
  <si>
    <t>AMI COMMMAND CENTER HEAD END - SW.CN.10Y</t>
  </si>
  <si>
    <t>FTIP ECC - PROJECT DEFERRAL - SW.CN</t>
  </si>
  <si>
    <t>FTIP ECC - PROJECT DEFERRAL - SW.CN.10YR</t>
  </si>
  <si>
    <t>FTIP BPC - PROJECT DEFERRAL - SW.CN</t>
  </si>
  <si>
    <t>FTIP BPC - PROJECT DEFERRAL - SW.CN.10YR</t>
  </si>
  <si>
    <t>FTIP2 BPC - SW.CS.10YR</t>
  </si>
  <si>
    <t>FTIP2 ECC - SW.CS.10YR</t>
  </si>
  <si>
    <t>FTIP2 PP - SW.CS.10YR</t>
  </si>
  <si>
    <t>MAP VIEWER PROJECT-OH MAP-SW.CS.5YR</t>
  </si>
  <si>
    <t>WEB, CONTENT MGMT &amp; WEB ANALYTICS-S</t>
  </si>
  <si>
    <t>WEB, CONTENT MGMT &amp; WEB ANALYTICS-SW.CS.</t>
  </si>
  <si>
    <t>CI-COM GATEWY&amp;PROACTIV NOTI-SW.CS.7</t>
  </si>
  <si>
    <t>CI-COM GATEWY&amp;PROACTIV NOTI-SW.CS.7YR</t>
  </si>
  <si>
    <t>CI - COMM GATEWAY CLEANSE AND CONVE</t>
  </si>
  <si>
    <t>CI - COMM GATEWAY CLEANSE AND CONVERT SW</t>
  </si>
  <si>
    <t>GTZ-IWM-WORKFORCE MOBILITY-CAPITAL-</t>
  </si>
  <si>
    <t>GTZ-IWM-WORKFORCE MOBILITY-CAPITAL-OS-SW</t>
  </si>
  <si>
    <t>GTZ-IWM- WORKFORCE SCHEDULING-CAPIT</t>
  </si>
  <si>
    <t>GTZ-IWM- WORKFORCE SCHEDULING-CAPITAL-OS</t>
  </si>
  <si>
    <t>IWM - COST MANAGEMENT.SW.CS.10YR</t>
  </si>
  <si>
    <t>IWM-COST MGT DESIGN &amp; INTEGRATION-S</t>
  </si>
  <si>
    <t>IWM-COST MGT DESIGN &amp; INTEGRATION-SW.CS.</t>
  </si>
  <si>
    <t>FTIP2 TRINTECH SOFTWARE WORK ORDER-</t>
  </si>
  <si>
    <t>FTIP2 TRINTECH SOFTWARE WORK ORDER-SW.CS</t>
  </si>
  <si>
    <t>IWM-WORK MANAGEMENT SYSTEM-SW.CS.10</t>
  </si>
  <si>
    <t>IWM-WORK MANAGEMENT SYSTEM-SW.CS.10YR</t>
  </si>
  <si>
    <t>CI-ESB MICRO SERVICES TRANSPORT-SW.</t>
  </si>
  <si>
    <t>CI-ESB MICRO SERVICES TRANSPORT-SW.CS.7Y</t>
  </si>
  <si>
    <t>CI.SAP MULTICHANNEL FOUNDATION-SW.C</t>
  </si>
  <si>
    <t>CI–SAP MULTICHANNEL FOUNDATION-SW.CS.7YR</t>
  </si>
  <si>
    <t>SAP - ADD ACCOUNTING FIELDS FOR FTI</t>
  </si>
  <si>
    <t>SAP - ADD ACCOUNTING FIELDS FOR FTIP2 SW</t>
  </si>
  <si>
    <t>RITM0045571 : ROOT CAUSE ANALYSIS S</t>
  </si>
  <si>
    <t>RITM0045571 : ROOT CAUSE ANALYSIS SW.CN.</t>
  </si>
  <si>
    <t>2018 SNAGIT GROWTH-SW.CN.5YR</t>
  </si>
  <si>
    <t>2018 ADOBE STANDARD LICENSE GROWTH-</t>
  </si>
  <si>
    <t>2018 ADOBE STANDARD LICENSE GROWTH-SW.CN</t>
  </si>
  <si>
    <t>700 MHZ SPECTRUM PURCHASE - SPECTRU</t>
  </si>
  <si>
    <t>700 MHZ SPECTRUM PURCHASE - SPECTRUM</t>
  </si>
  <si>
    <t>2018 RSA ARCHER LICENSE GROWTH-SW.C</t>
  </si>
  <si>
    <t>2018 RSA ARCHER LICENSE GROWTH-SW.CN.5YR</t>
  </si>
  <si>
    <t>220 MHZ FREQUENCY ACQUISITION</t>
  </si>
  <si>
    <t>HR TECHNOLOGY TRANSFORMATION-SW.CS.</t>
  </si>
  <si>
    <t>HR TECHNOLOGY TRANSFORMATION-SW.CS.10YR</t>
  </si>
  <si>
    <t>IWM - Field Payment Strategy SW.CS.</t>
  </si>
  <si>
    <t>IWM - Field Payment Strategy SW.CS.10YR</t>
  </si>
  <si>
    <t>Net Profiler License - SW.CN.5YR</t>
  </si>
  <si>
    <t>AMI - NET METERING BILLING REPORT -</t>
  </si>
  <si>
    <t>AMI - NET METERING BILLING REPORT - SW.C</t>
  </si>
  <si>
    <t>OPTIONAL NON-COMMUNICATING METER-SW</t>
  </si>
  <si>
    <t>OPTIONAL NON-COMMUNICATING METER-SW.CS.5</t>
  </si>
  <si>
    <t>CONTRACTOR MODELS TO SAP - SW.CS.5Y</t>
  </si>
  <si>
    <t>CONTRACTOR MODELS TO SAP - SW.CS.5YR</t>
  </si>
  <si>
    <t>AMI Real Time Bill Presentment-SW.C</t>
  </si>
  <si>
    <t>AMI Real Time Bill Presentment-SW.CS.5YR</t>
  </si>
  <si>
    <t>AMI REMOTE DISCONNECT-SW.CS.5YR</t>
  </si>
  <si>
    <t>DA1-Platform of Insights-SW.CS.5YR</t>
  </si>
  <si>
    <t>EPROCUREMENT PHASE II-SW.CN.EPROCUR</t>
  </si>
  <si>
    <t>EPROCUREMENT PHASE II-SW.CN.EPROCUREMENT</t>
  </si>
  <si>
    <t>Intangibles, Cle Elum, WA : INT-0000 WA01900010</t>
  </si>
  <si>
    <t>MV90 Upgrade CAS - SW.CN.5YR</t>
  </si>
  <si>
    <t>MV90 Upgrade SQE - SW.CN.5YR</t>
  </si>
  <si>
    <t>2019 SAP HR SUPPORT PACKS - SW.CN.5</t>
  </si>
  <si>
    <t>2019 SAP HR SUPPORT PACKS - SW.CN.5YR</t>
  </si>
  <si>
    <t>WINDOWS 10 BASE IMAGING - SW.CN.5YR</t>
  </si>
  <si>
    <t>MITIGATE 2008I-SW.CN.5YR</t>
  </si>
  <si>
    <t>Web, Mobile, IVR 2.0 - SW.CS.7YR</t>
  </si>
  <si>
    <t>Migrate from hummingbird to Opentex</t>
  </si>
  <si>
    <t>Migrate from hummingbird to Opentext - S</t>
  </si>
  <si>
    <t>Tech Hub - SW.CN.4YR</t>
  </si>
  <si>
    <t>OPERATIONS FIREWALL REPLACEMENT - S</t>
  </si>
  <si>
    <t>OPERATIONS FIREWALL REPLACEMENT - SW.CN.</t>
  </si>
  <si>
    <t>MICROSOFT 365 E3 LICENSING - SW.CN.</t>
  </si>
  <si>
    <t>MICROSOFT 365 E3 LICENSING - SW.CN.3YR</t>
  </si>
  <si>
    <t>Cognos Replacement - SW.CN.5YR</t>
  </si>
  <si>
    <t>PAYROLL ENHANCEMENTS - SW.CS.5YR</t>
  </si>
  <si>
    <t>DAILY USAGE DATA AUTO REPORT - SW.C</t>
  </si>
  <si>
    <t>DAILY USAGE DATA AUTO REPORT - SW.CN.5YR</t>
  </si>
  <si>
    <t>RITM0070660 - SW.CS.5YR - CREATE NE</t>
  </si>
  <si>
    <t>RITM0070660 - SW.CS.5YR - CREATE NEW WAG</t>
  </si>
  <si>
    <t xml:space="preserve">RITM72217, 69684, 70749 (BUNDLE) - </t>
  </si>
  <si>
    <t>RITM72217, 69684, 70749 (BUNDLE) - SW.CS</t>
  </si>
  <si>
    <t>ProofPoint's Web Isolation - SW.CS.</t>
  </si>
  <si>
    <t>ProofPoint's Web Isolation - SW.CS.5YR</t>
  </si>
  <si>
    <t>RITM0075870 - OR EMPLOYEE PILOT - S</t>
  </si>
  <si>
    <t>RITM0075870 - OR EMPLOYEE PILOT - SW.CS.</t>
  </si>
  <si>
    <t>MAPVIEWER ESRI ENHANCEMENTS - SW.CS</t>
  </si>
  <si>
    <t>MAPVIEWER ESRI ENHANCEMENTS - SW.CS.5YR</t>
  </si>
  <si>
    <t>SAP GRC UPGRADE - SW.CN.5YR</t>
  </si>
  <si>
    <t>CORTEX XDR UNIX &amp; LINUX - SW.CN.5YR</t>
  </si>
  <si>
    <t>Q3 2020 SMALLWORLD ENHANCEMENTS - S</t>
  </si>
  <si>
    <t>Q3 2020 SMALLWORLD ENHANCEMENTS - SW.CN.</t>
  </si>
  <si>
    <t>QM SAP MIGRATE FROM ACCESS DB - SW.</t>
  </si>
  <si>
    <t>QM SAP MIGRATE FROM ACCESS DB - SW.CS.5Y</t>
  </si>
  <si>
    <t>CLICK SCHEDULE ENHANCEMENTS - SW.CS</t>
  </si>
  <si>
    <t>CLICK SCHEDULE ENHANCEMENTS - SW.CS.5YR</t>
  </si>
  <si>
    <t>SAP HR DATA ENHANCEMENTS - SW.CS.5Y</t>
  </si>
  <si>
    <t>SAP HR DATA ENHANCEMENTS - SW.CS.5YR - Q</t>
  </si>
  <si>
    <t>GENERAL LEDGER ENHANCEMENTS - SW.CS</t>
  </si>
  <si>
    <t>GENERAL LEDGER ENHANCEMENTS - SW.CS.5YR</t>
  </si>
  <si>
    <t>COVID-19 - PAYMENT ARRNGMNTS - SW.C</t>
  </si>
  <si>
    <t>COVID-19 - PAYMENT ARRNGMNTS - SW.CN.5YR</t>
  </si>
  <si>
    <t xml:space="preserve">SAP WORK MANAGEMENT ENHANCEMENTS - </t>
  </si>
  <si>
    <t>SAP WORK MANAGEMENT ENHANCEMENTS - SW.CS</t>
  </si>
  <si>
    <t>MDMS REPORTING MODULE - SW.CS.5YR</t>
  </si>
  <si>
    <t>RADIO LEGAL OBLIGATIONS</t>
  </si>
  <si>
    <t>REDWOOD UPGRADE - SW.CS.5YR</t>
  </si>
  <si>
    <t>Payment Platform - SW.CN.5YR</t>
  </si>
  <si>
    <t>IWM - SAP &amp; AMI DEVICES - SW.CS.5YR</t>
  </si>
  <si>
    <t>EMS CIM FEATURE ENHANCEMENT - SW.CS</t>
  </si>
  <si>
    <t>EMS CIM FEATURE ENHANCEMENT - SW.CS.5YR</t>
  </si>
  <si>
    <t>RITM0071077 ARCHER REMINDERS - SW.C</t>
  </si>
  <si>
    <t>RITM0071077 ARCHER REMINDERS - SW.CS.5YR</t>
  </si>
  <si>
    <t>Enterprise Data Archiving-SW.CS.5YR</t>
  </si>
  <si>
    <t>eProcurement Phase 3 - SW.CN.5YR</t>
  </si>
  <si>
    <t>ServiceNow New York Upgrade - SW.CN</t>
  </si>
  <si>
    <t>ServiceNow New York Upgrade - SW.CN.3YR</t>
  </si>
  <si>
    <t>CLOUD NETWORK AND SECURITY - SW.CN.</t>
  </si>
  <si>
    <t>CLOUD NETWORK AND SECURITY - SW.CN.3YR</t>
  </si>
  <si>
    <t>AUTOMATE POLICY ENFORCEMENT - SW.CN</t>
  </si>
  <si>
    <t>AUTOMATE POLICY ENFORCEMENT - SW.CN.3YR</t>
  </si>
  <si>
    <t>Robotic Process Automation - SW.CS.</t>
  </si>
  <si>
    <t>Robotic Process Automation - SW.CS.3YR</t>
  </si>
  <si>
    <t>RSA TOKEN REFRESH - SW.CN.3YR</t>
  </si>
  <si>
    <t>2020 SUPPLY CHAIN STBLZTN - SW.CS.5</t>
  </si>
  <si>
    <t>2020 SUPPLY CHAIN STBLZTN - SW.CS.5YR</t>
  </si>
  <si>
    <t>2020 IAM Modernization - SW.CS.3YR</t>
  </si>
  <si>
    <t>SAP ANN. SUP STACKS/UPGRADES - SW.C</t>
  </si>
  <si>
    <t>SAP ANN. SUP STACKS/UPGRADES - SW.CN.5YR</t>
  </si>
  <si>
    <t>TRNSPRT NTWRK MODERNIZATION RDW - S</t>
  </si>
  <si>
    <t>TRNSPRT NTWRK MODERNIZATION RDW - SW.CN.</t>
  </si>
  <si>
    <t>TRNSPRT NTWRK MODERNIZATION NSP - S</t>
  </si>
  <si>
    <t>TRNSPRT NTWRK MODERNIZATION NSP - SW.CN.</t>
  </si>
  <si>
    <t>AMI ENHANCEMENTS 2020 - SW.CS.3YR</t>
  </si>
  <si>
    <t>PRT SOFTWARE SUITE ENHNCMNT - SW.CS</t>
  </si>
  <si>
    <t>PRT SOFTWARE SUITE ENHNCMNT - SW.CS.3YR</t>
  </si>
  <si>
    <t>COVID-19 LICENSES - SW.CN.5YR</t>
  </si>
  <si>
    <t>COMPLETEVIEW 5.X UPGRADE - SW.CN.3Y</t>
  </si>
  <si>
    <t>COMPLETEVIEW 5.X UPGRADE - SW.CN.3YR</t>
  </si>
  <si>
    <t>DATA TOOLS UPGRADE - SW.CN.5YR</t>
  </si>
  <si>
    <t>SAP WORK MANAGEMENT Q4 2020 - SW.CS</t>
  </si>
  <si>
    <t>SAP WORK MANAGEMENT Q4 2020 - SW.CS.5YR</t>
  </si>
  <si>
    <t>SAP DESKTOP APPLCTN Q4 2020 - SW.CS</t>
  </si>
  <si>
    <t>SAP DESKTOP APPLCTN Q4 2020 - SW.CS.5YR</t>
  </si>
  <si>
    <t>SAP CIS BILLING ENHNCMNTS Q4 - SW.C</t>
  </si>
  <si>
    <t>SAP CIS BILLING ENHNCMNTS Q4 - SW.CS.5YR</t>
  </si>
  <si>
    <t xml:space="preserve">IMPORT PROMPT GAS &amp; POWER PRICES - </t>
  </si>
  <si>
    <t>IMPORT PROMPT GAS &amp; POWER PRICES - SW.CS</t>
  </si>
  <si>
    <t>SAP BW 7.5 Upgrade - SW.CN.5YR</t>
  </si>
  <si>
    <t>SUCCESSFACTORS ENHNC - Q4 2020 - SW</t>
  </si>
  <si>
    <t>SUCCESSFACTORS ENHNC - Q4 2020 - SW.CN.3</t>
  </si>
  <si>
    <t>OPERATIONS FIREWALL REFRESH - SW.CN</t>
  </si>
  <si>
    <t>OPERATIONS FIREWALL REFRESH - SW.CN.5YR</t>
  </si>
  <si>
    <t>SAP WORK MANAGEMENT ENHNC - SW.CS.5</t>
  </si>
  <si>
    <t>SAP WORK MANAGEMENT ENHNC - SW.CS.5YR</t>
  </si>
  <si>
    <t>Q4 2020 SAP FINANCE ENHNC - SW.CS.5</t>
  </si>
  <si>
    <t>Q4 2020 SAP FINANCE ENHNC - SW.CS.5YR</t>
  </si>
  <si>
    <t>RITM0085457 - NERC officer-workflow</t>
  </si>
  <si>
    <t>RITM0085457 - NERC officer-workflow - SW</t>
  </si>
  <si>
    <t>MAPVIEWER ESRI 2020 Q4 ENHANCEMENTS</t>
  </si>
  <si>
    <t>MAPVIEWER ESRI 2020 Q4 ENHANCEMENTS - SW</t>
  </si>
  <si>
    <t>CITY OF YELM - COMMON - RENEWAL</t>
  </si>
  <si>
    <t>CITY OF COVINGTON - COMMON - FRANCH</t>
  </si>
  <si>
    <t>CITY OF COVINGTON - COMMON - FRANCHISE</t>
  </si>
  <si>
    <t>UPGRADE SAP CENTRAL PROCESS SCHEDUL</t>
  </si>
  <si>
    <t>UPGRADE SAP CENTRAL PROCESS SCHEDULER SW</t>
  </si>
  <si>
    <t>Web 3.0 - SW.CS.7YR</t>
  </si>
  <si>
    <t>PSE CS WEB, MOBILE, VIVR - SW.CN.3Y</t>
  </si>
  <si>
    <t>PSE CS WEB, MOBILE, VIVR - SW.CN.3YR</t>
  </si>
  <si>
    <t>XAMERIN PLATFORM OPTIMIZATION - SW.</t>
  </si>
  <si>
    <t>XAMERIN PLATFORM OPTIMIZATION - SW.CN.5Y</t>
  </si>
  <si>
    <t>ANNUAL SPLUNK GROWTH - SW.CN.3YR</t>
  </si>
  <si>
    <t>MICHIGAN REMOTE WORK LOCATION - SW.</t>
  </si>
  <si>
    <t>MICHIGAN REMOTE WORK LOCATION - SW.CS.5Y</t>
  </si>
  <si>
    <t>2020 CLIENT SW SQL LICENSES - SW.CN</t>
  </si>
  <si>
    <t>2020 CLIENT SW SQL LICENSES - SW.CN.4YR</t>
  </si>
  <si>
    <t>Sitecore Upgrade - SW.CN.3YR</t>
  </si>
  <si>
    <t>LOAD OFFICE ITOA ENHANCEMENTS - SW.</t>
  </si>
  <si>
    <t>LOAD OFFICE ITOA ENHANCEMENTS - SW.CS.5Y</t>
  </si>
  <si>
    <t>EIA-111 EXPORTS INCORRECTLY CALCULA</t>
  </si>
  <si>
    <t>EIA-111 EXPORTS INCORRECTLY CALCULATE -</t>
  </si>
  <si>
    <t>2020 CLIENT VARIPHY TELEPHONY LICEN</t>
  </si>
  <si>
    <t>2020 CLIENT VARIPHY TELEPHONY LICENSE-SW</t>
  </si>
  <si>
    <t>Q1 2021 SAP PM ENHANCEMENTS - SW.CS</t>
  </si>
  <si>
    <t>Q1 2021 SAP PM ENHANCEMENTS - SW.CS.5YR</t>
  </si>
  <si>
    <t>SAP SALES CLOUD - SW.CN.5YR</t>
  </si>
  <si>
    <t>Phase IV eGRC Build (Archer) - SW.C</t>
  </si>
  <si>
    <t>Phase IV eGRC Build (Archer) - SW.CN.5YR</t>
  </si>
  <si>
    <t>EMPLOYEE ENGAGEMENT - SW.CN.5YR</t>
  </si>
  <si>
    <t>Q1 2021 PAYROLL ENHANCEMENTS - SW.C</t>
  </si>
  <si>
    <t>Q1 2021 PAYROLL ENHANCEMENTS - SW.CS.5YR</t>
  </si>
  <si>
    <t>Q1 IWM SAP WORK MAN ENHNC - SW.CS.5</t>
  </si>
  <si>
    <t>Q1 IWM SAP WORK MAN ENHNC - SW.CS.5YR</t>
  </si>
  <si>
    <t xml:space="preserve">CREATE DIGITAL RECORDS OF DIMP/ILS </t>
  </si>
  <si>
    <t>CREATE DIGITAL RECORDS OF DIMP/ILS - SW.</t>
  </si>
  <si>
    <t>Intangibles, Kenmore, WA : INT-0000 WA11700380</t>
  </si>
  <si>
    <t>CITY OF KENMORE - COMMON - RENEWAL</t>
  </si>
  <si>
    <t>SHAREPOINT ADMIN FEATURES - SW.CN.5</t>
  </si>
  <si>
    <t>SHAREPOINT ADMIN FEATURES - SW.CN.5YR</t>
  </si>
  <si>
    <t>Q1 2021 ARCHER ENHANCEMENTS - SW.CS</t>
  </si>
  <si>
    <t>Q1 2021 ARCHER ENHANCEMENTS - SW.CS.5YR</t>
  </si>
  <si>
    <t>TRAVEL EXPNS MNGMNT &amp; PCARD - SW.CS</t>
  </si>
  <si>
    <t>TRAVEL EXPNS MNGMNT &amp; PCARD - SW.CS.5YR</t>
  </si>
  <si>
    <t>MDMS SYSTEM UPGRADE - SW.CN.15YR</t>
  </si>
  <si>
    <t>SAFETY TELEMATICS FOR FLEET - SW.CN</t>
  </si>
  <si>
    <t>SAFETY TELEMATICS FOR FLEET - SW.CN.5YR</t>
  </si>
  <si>
    <t>ENDUR UPGRADE - APM MODULE - SW.CN.</t>
  </si>
  <si>
    <t>ENDUR UPGRADE - APM MODULE - SW.CN.5YR</t>
  </si>
  <si>
    <t>Q2 2021 SAP PM ENHANCMENTS - SW.CS.</t>
  </si>
  <si>
    <t>Q2 2021 SAP PM ENHANCMENTS - SW.CS.5YR</t>
  </si>
  <si>
    <t xml:space="preserve">Q2 2021 SAP PM HRIS Enhancements - </t>
  </si>
  <si>
    <t>Q2 2021 SAP PM HRIS Enhancements - SW.CS</t>
  </si>
  <si>
    <t xml:space="preserve">Q1 2020 SAP Billing Enhancements - </t>
  </si>
  <si>
    <t>Q1 2020 SAP Billing Enhancements - SW.CS</t>
  </si>
  <si>
    <t>Q1 2021 SAP/FI - Acct R&amp;P Enhanceme</t>
  </si>
  <si>
    <t>Q1 2021 SAP/FI - Acct R&amp;P Enhancements -</t>
  </si>
  <si>
    <t>SuccessFactors Enhnc - Q2 2021 - SW</t>
  </si>
  <si>
    <t>SuccessFactors Enhnc - Q2 2021 - SW.CN.3</t>
  </si>
  <si>
    <t>DRIVE 911 WEBIC SCREEN - SW.CS.5YR</t>
  </si>
  <si>
    <t>FORECAST ACCURACY ANALYTICS DASHBOA</t>
  </si>
  <si>
    <t>FORECAST ACCURACY ANALYTICS DASHBOARD -</t>
  </si>
  <si>
    <t>Q2 2021 OPERATIONS AERS - SW.CS.5YR</t>
  </si>
  <si>
    <t>2021 CLIENT - TOAD FOR ORACLE - SW.</t>
  </si>
  <si>
    <t>2021 CLIENT - TOAD FOR ORACLE - SW.CN.5Y</t>
  </si>
  <si>
    <t>Auto GEN RFP Review Modeling - SW.C</t>
  </si>
  <si>
    <t>Auto GEN RFP Review Modeling - SW.CN.5YR</t>
  </si>
  <si>
    <t>PHANTOM - SW.CN.5YR</t>
  </si>
  <si>
    <t>POI-HANA Memory Uplift (MAR) - SW.C</t>
  </si>
  <si>
    <t>POI-HANA Memory Uplift (MAR) - SW.CN.5+Y</t>
  </si>
  <si>
    <t xml:space="preserve">BUILD REUSABLE LIBRARIES FOR FMS - </t>
  </si>
  <si>
    <t>BUILD REUSABLE LIBRARIES FOR FMS - SW.CS</t>
  </si>
  <si>
    <t>PREVENT WELCOME MAIL TO DIGITAL ACC</t>
  </si>
  <si>
    <t>PREVENT WELCOME MAIL TO DIGITAL ACCTS -</t>
  </si>
  <si>
    <t>Q2 2021 SAP ARIBA ENHANCEMENTS - SW</t>
  </si>
  <si>
    <t>Q2 2021 SAP ARIBA ENHANCEMENTS - SW.CS.5</t>
  </si>
  <si>
    <t xml:space="preserve">Q2 2021 GC AND ETHICS CMPLY AERS - </t>
  </si>
  <si>
    <t>Q2 2021 GC AND ETHICS CMPLY AERS - SW.CS</t>
  </si>
  <si>
    <t>Cassandra Upgrade 2021 - SW.CN.5YR</t>
  </si>
  <si>
    <t>PORD NETWORK VIEWER ENHC - SW.CN.5Y</t>
  </si>
  <si>
    <t>PORD NETWORK VIEWER ENHC - SW.CN.5YR</t>
  </si>
  <si>
    <t>Oracle Upgrade - SW.CS.5YR</t>
  </si>
  <si>
    <t>Hana 2.0 SW Upgrade - SW.CN.5YR</t>
  </si>
  <si>
    <t>SAP Compensation Sys Enhnc - SW.CS.</t>
  </si>
  <si>
    <t>SAP Compensation Sys Enhnc - SW.CS.5YR</t>
  </si>
  <si>
    <t>SAP ECC Enhancements - Q3 2020 - SW</t>
  </si>
  <si>
    <t>SAP ECC Enhancements - Q3 2020 - SW.CS.5</t>
  </si>
  <si>
    <t>FIORI FOUNDATION - SW.CN.5YR</t>
  </si>
  <si>
    <t>ORCHESTRATION FOR SYSTEMS - SW.CN.3</t>
  </si>
  <si>
    <t>ORCHESTRATION FOR SYSTEMS - SW.CN.3YR</t>
  </si>
  <si>
    <t>GEN RFP AUTO - PHASE 2 MODELING - S</t>
  </si>
  <si>
    <t>GEN RFP AUTO - PHASE 2 MODELING - SW.CS.</t>
  </si>
  <si>
    <t>WORKPLACE MOBILITY PROGRAM - SW.CS.</t>
  </si>
  <si>
    <t>WORKPLACE MOBILITY PROGRAM - SW.CS.5YR</t>
  </si>
  <si>
    <t>SAP TRANSPORT TOOL UPGRADE - SW.CS.</t>
  </si>
  <si>
    <t>SAP TRANSPORT TOOL UPGRADE - SW.CS.5YR</t>
  </si>
  <si>
    <t>UPGRADE MDL FRM SILVERLIGHT - SW.CN</t>
  </si>
  <si>
    <t>UPGRADE MDL FRM SILVERLIGHT - SW.CN.5YR</t>
  </si>
  <si>
    <t>IMAGESITE TO OPENTEXT - SW.CN.5YR</t>
  </si>
  <si>
    <t>DATA GOVERNANCE &amp; ENABLEMENT - SW.C</t>
  </si>
  <si>
    <t>DATA GOVERNANCE &amp; ENABLEMENT - SW.CS.5YR</t>
  </si>
  <si>
    <t>DATA MANAGEMENT FOUNDATION - SW.CN.</t>
  </si>
  <si>
    <t>DATA MANAGEMENT FOUNDATION - SW.CN.5YR</t>
  </si>
  <si>
    <t>NON-AMI DATA MANAGEMENT USE CASES -</t>
  </si>
  <si>
    <t>NON-AMI DATA MANAGEMENT USE CASES - SW.C</t>
  </si>
  <si>
    <t>AMI DATA MANAGEMENT USE CASES - SW.</t>
  </si>
  <si>
    <t>AMI DATA MANAGEMENT USE CASES - SW.CN.5Y</t>
  </si>
  <si>
    <t>CUS GEN INTGRT PWRCLRK PSE SYS - SW</t>
  </si>
  <si>
    <t>CUS GEN INTGRT PWRCLRK PSE SYS - SW.CN.5</t>
  </si>
  <si>
    <t>DATA POI OPERATIONS PROGRAM - SW.CN</t>
  </si>
  <si>
    <t>DATA POI OPERATIONS PROGRAM - SW.CN.5YR</t>
  </si>
  <si>
    <t>ANNUAL SPLUNK GROWTH (2021) - SW.CN</t>
  </si>
  <si>
    <t>ANNUAL SPLUNK GROWTH (2021) - SW.CN.5YR</t>
  </si>
  <si>
    <t>SERVICENOW IMPROVEMENTS (2021) - SW</t>
  </si>
  <si>
    <t>SERVICENOW IMPROVEMENTS (2021) - SW.CN.5</t>
  </si>
  <si>
    <t>CITY OF WOODINVILLE - COMMON - FRAN</t>
  </si>
  <si>
    <t>CITY OF WOODINVILLE - COMMON - FRANCHISE</t>
  </si>
  <si>
    <t>RITM0070354 PUB STNDRDS MOBILE APP-</t>
  </si>
  <si>
    <t>RITM0070354 PUB STNDRDS MOBILE APP-SW.CS</t>
  </si>
  <si>
    <t xml:space="preserve">PSE.COM OUTAGE NOTIFICATION ENGINE </t>
  </si>
  <si>
    <t>PSE.COM OUTAGE NOTIFICATION ENGINE - SW.</t>
  </si>
  <si>
    <t>COLLABORATION TOOLS - SW.CN.3YR</t>
  </si>
  <si>
    <t>Q1 2021 SAP WM ENHANCEMENTS - SW.CS</t>
  </si>
  <si>
    <t>Q1 2021 SAP WM ENHANCEMENTS - SW.CS.5YR</t>
  </si>
  <si>
    <t>Q1 2021 SAP MM ENHANCEMENTS - SW.CS</t>
  </si>
  <si>
    <t>Q1 2021 SAP MM ENHANCEMENTS - SW.CS.5YR</t>
  </si>
  <si>
    <t>ANNUAL NETWORK TECHNOLOGY REFRESH &amp;</t>
  </si>
  <si>
    <t>ANNUAL NETWORK TECHNOLOGY REFRESH &amp; GROW</t>
  </si>
  <si>
    <t>Q2 2021 SAP ECC ENHANCEMENTS - SW.C</t>
  </si>
  <si>
    <t>Q2 2021 SAP ECC ENHANCEMENTS - SW.CS.5YR</t>
  </si>
  <si>
    <t>Q2 2021 SAP PM BENEFITS ENHANCMENTS</t>
  </si>
  <si>
    <t>Q2 2021 SAP PM BENEFITS ENHANCMENTS - SW</t>
  </si>
  <si>
    <t>EMERGENCY LEAK SURVEY - DIGITAL PRO</t>
  </si>
  <si>
    <t>EMERGENCY LEAK SURVEY - DIGITAL PROVISIO</t>
  </si>
  <si>
    <t>MOBILE APP PUBLISHED STANDARDS - SW</t>
  </si>
  <si>
    <t>MOBILE APP PUBLISHED STANDARDS - SW.CS.5</t>
  </si>
  <si>
    <t xml:space="preserve">Q2 2021 CUSTOMER OPS &amp; COMM AERS - </t>
  </si>
  <si>
    <t>Q2 2021 CUSTOMER OPS &amp; COMM AERS - SW.CS</t>
  </si>
  <si>
    <t>Q2 2021 FINANCIAL AERS - SW.CS.5YR</t>
  </si>
  <si>
    <t>Q2 2021 IT AERS - SW.CS.5YR</t>
  </si>
  <si>
    <t xml:space="preserve">Q3 2021 CUSTOMER OPS &amp; COMM AERS - </t>
  </si>
  <si>
    <t>Q3 2021 CUSTOMER OPS &amp; COMM AERS - SW.CN</t>
  </si>
  <si>
    <t xml:space="preserve">Q3 2021 GC AND ETHICS CMPLY AERS - </t>
  </si>
  <si>
    <t>Q3 2021 GC AND ETHICS CMPLY AERS - SW.CN</t>
  </si>
  <si>
    <t>Q3 2021 FINANCIAL AERS - SW.CN.5YR</t>
  </si>
  <si>
    <t>Q3 2021 IT AERS - SW.CN.5YR</t>
  </si>
  <si>
    <t>Q3 2021 OPERATIONS AERS - SW.CN.5YR</t>
  </si>
  <si>
    <t>Q4 2021 HUMAN RESOURCE AERS - SW.CS</t>
  </si>
  <si>
    <t>Q4 2021 HUMAN RESOURCE AERS - SW.CS.5YR</t>
  </si>
  <si>
    <t>Q4 2021 OPERATIONS AERS - SW.CS.5YR</t>
  </si>
  <si>
    <t>GTZ-IWM-ENHANCEMENT PACK 8 SAP-SW.C</t>
  </si>
  <si>
    <t>GTZ-IWM-ENHANCEMENT PACK 8 SAP-SW.CS.10Y</t>
  </si>
  <si>
    <t>The Purpose of the Project is to upgrade the SAP Platform to the component level that is required for key IWM project functionality. The Project will include the following upgrade Targets: ECC to EhP8, CRM to EhP4 and BW to NetWeaver 7.5</t>
  </si>
  <si>
    <t>IMPACT - SW.CN.5YR</t>
  </si>
  <si>
    <t>POWER PLAN UPGRADE - SW.CN.5YR</t>
  </si>
  <si>
    <t>CSTMR EXPRNC ENHNC PROGRAM - SW.CN.</t>
  </si>
  <si>
    <t>CSTMR EXPRNC ENHNC PROGRAM - SW.CN.5YR</t>
  </si>
  <si>
    <t xml:space="preserve"> Operational Program for Customer Enhancement</t>
  </si>
  <si>
    <t>MGRT FROM TABLEAU TO POWER BI - SW.</t>
  </si>
  <si>
    <t>MGRT FROM TABLEAU TO POWER BI - SW.CN.5Y</t>
  </si>
  <si>
    <t>Migrate existing dashboards from Tableau to Power BI</t>
  </si>
  <si>
    <t>HR MODULE SERVICE PATCH (2021) - SW</t>
  </si>
  <si>
    <t>HR MODULE SERVICE PATCH (2021) - SW.CN.5</t>
  </si>
  <si>
    <t>Implement annual SAP HR Module service patch to maintain technical currency.</t>
  </si>
  <si>
    <t>QUALITY FRAMEWORK 2021 - SW.CS.5YR</t>
  </si>
  <si>
    <t>DATA CENTER HARDWARE REFRESH - SW.C</t>
  </si>
  <si>
    <t>DATA CENTER HARDWARE REFRESH - SW.CN.5YR</t>
  </si>
  <si>
    <t>ROBOTIC PROCESS AUTOMATION 2021 - S</t>
  </si>
  <si>
    <t>ROBOTIC PROCESS AUTOMATION 2021 - SW.CS.</t>
  </si>
  <si>
    <t>Automation for work processes. The units of property will be various bots for automation  and enhancements of  work processes.</t>
  </si>
  <si>
    <t xml:space="preserve">2021 CAP MAINTENANCE GREATER $1.5M </t>
  </si>
  <si>
    <t>2021 CAP MAINTENANCE GREATER $1.5M - SW.</t>
  </si>
  <si>
    <t>Maintenance contracts where annual amount is &gt;$1.5M, aggregated across all technology maintenance contracts with percentage that can be capitalized according to Finance Dept evaluation.</t>
  </si>
  <si>
    <t>2021 CAP MAINTENANCE LESS $1.5M - S</t>
  </si>
  <si>
    <t>2021 CAP MAINTENANCE LESS $1.5M - SW.CN.</t>
  </si>
  <si>
    <t>Maintenance contracts where annual amount is &lt;$1.5M, aggregated across all technology maintenance contracts with percentage that can be capitalized according to Finance Dept evaluation.</t>
  </si>
  <si>
    <t>SAP SECURITY ROLES OPTIMIZATION - S</t>
  </si>
  <si>
    <t>SAP SECURITY ROLES OPTIMIZATION - SW.CS.</t>
  </si>
  <si>
    <t>SAP ECC - SAP ERP Central Component (SAP ECC) is an on- premises enterprise resource planning (ERP) system that is commonly referred to as simply "SAP ERP SAP BW - SAP Business Warehouse (BW) is a model-driven data warehousing
product based on the SAP NetWeaver ABAP platform SAP CRM - SAP CRM stands for customer relationship management. SAP CRM is managing the and maintaining relationship with customers.</t>
  </si>
  <si>
    <t>WORKSPACE RESERVATION - SW.CS.3YR</t>
  </si>
  <si>
    <t>PSE-developed application (software) to allow reservation of individual and group workspaces in PSE facilities in support of increased workplace flexibility</t>
  </si>
  <si>
    <t>CDC EXTENSION EFFICIENCY - COBALT S</t>
  </si>
  <si>
    <t>CDC EXTENSION EFFICIENCY - COBALT STRIKE</t>
  </si>
  <si>
    <t xml:space="preserve">Purchase license for Cobalt Strike Malleable C2 software </t>
  </si>
  <si>
    <t>SUCCESSFACTORS ENHNC - Q4 2021 - SW</t>
  </si>
  <si>
    <t>SUCCESSFACTORS ENHNC - Q4 2021 - SW.CN.3</t>
  </si>
  <si>
    <t>SAP SOLUTION MANAGER ENHANCEMENTS -</t>
  </si>
  <si>
    <t>SAP SOLUTION MANAGER ENHANCEMENTS - SW.C</t>
  </si>
  <si>
    <t xml:space="preserve">AP Solution Manager Enhancements Bundle: RITM0019128 - SAP Strategic Monitoring (Phase 1) Patch Solman to latest version and activate Monitoring of all related systems. RITM0010742 - Redeploy Configuration of SLD / Solman to enable Early
Watch reporting in PI-PO and full function EWA. RITM0010743 - SAP to PO to Click QUEUE monitoring and real time alerting to IT Click support and NOC. </t>
  </si>
  <si>
    <t>2021 CLIENT SW - MS VISUAL STUDIO G</t>
  </si>
  <si>
    <t>2021 CLIENT SW - MS VISUAL STUDIO GROWTH</t>
  </si>
  <si>
    <t>Three year MS Visual Studio Professional and Enterprise license</t>
  </si>
  <si>
    <t xml:space="preserve">Q4 2021 CUSTOMER OPS &amp; COMM AERS - </t>
  </si>
  <si>
    <t>Q4 2021 CUSTOMER OPS &amp; COMM AERS - SW.CS</t>
  </si>
  <si>
    <t>small and medium sized capital software enhancements to PSE enterprise applications for the Customer and Communications organization.</t>
  </si>
  <si>
    <t xml:space="preserve">Q4 2021 GC AND ETHICS CMPLY AERS - </t>
  </si>
  <si>
    <t>Q4 2021 GC AND ETHICS CMPLY AERS - SW.CS</t>
  </si>
  <si>
    <t>small and medium sized capital software enhancements to PSE enterprise applications for the General Counsel &amp; Ethics Compliance organization.</t>
  </si>
  <si>
    <t>Q4 2021 IT AERS - SW.CS.5YR</t>
  </si>
  <si>
    <t>small and medium sized capital software enhancements to PSE enterprise applications for the Information Technology organization.</t>
  </si>
  <si>
    <t>2021 ENDUR LICENSE GROWTH . SW.CN.5</t>
  </si>
  <si>
    <t>2021 ENDUR LICENSE GROWTH – SW.CN.5YR</t>
  </si>
  <si>
    <t>MDMS CONFIG LARGE COMMERCIAL MODULE</t>
  </si>
  <si>
    <t>MDMS CONFIG LARGE COMMERCIAL MODULES - S</t>
  </si>
  <si>
    <t>SW Enhancements to understand linage information for assets in EDS. The team will set up a connector from EDC (electronic data capture) to BODS (SAP BO Data services) in order to obtain data.</t>
  </si>
  <si>
    <t>MDMS LICENSE EXTENSION (2021) SW.CN</t>
  </si>
  <si>
    <t>MDMS LICENSE EXTENSION (2021) SW.CN.5+YR</t>
  </si>
  <si>
    <t xml:space="preserve">Annual increase in MDMS licenses to support meter growth.
</t>
  </si>
  <si>
    <t>IDENTITY MANAGEMENT - SW.CS.3YR</t>
  </si>
  <si>
    <t>We will be integrating Okta with our major applications and systems as the identity authority and need to be able to charge our time appropriately to this capital project</t>
  </si>
  <si>
    <t xml:space="preserve">ASSET HEALTH UNDER AND OVER LOADED </t>
  </si>
  <si>
    <t>ASSET HEALTH UNDER AND OVER LOADED TRANS</t>
  </si>
  <si>
    <t>This enhanced functionality will  measure compliance and improve data quality in order to increase self-service options for customers and employees.</t>
  </si>
  <si>
    <t>CORP SIP TRUNKING EXPANSION - SW.CN</t>
  </si>
  <si>
    <t>CORP SIP TRUNKING EXPANSION - SW.CN.5YR</t>
  </si>
  <si>
    <t>Move voice circuits from legacy PRI circuits to broadband SIP services</t>
  </si>
  <si>
    <t>IT ENTERPRISE ARCHITECTURE SYS - SW</t>
  </si>
  <si>
    <t>IT ENTERPRISE ARCHITECTURE SYS - SW.CN.5</t>
  </si>
  <si>
    <t>Deploy an enterprise architecture tool which will be used by IT architecture and stakeholders to support IT Architecture efforts from planning through execution</t>
  </si>
  <si>
    <t>ENTERPRISE DATA CATALOG AND ENVIRON</t>
  </si>
  <si>
    <t>ENTERPRISE DATA CATALOG AND ENVIRONMENTA</t>
  </si>
  <si>
    <t>UNSTRUCTURED ENRGY EFFICIENCY - SW.</t>
  </si>
  <si>
    <t>UNSTRUCTURED ENRGY EFFICIENCY - SW.CN.5Y</t>
  </si>
  <si>
    <t>COMMAND CENTER UPGRADE 2021 - SW.CN</t>
  </si>
  <si>
    <t>COMMAND CENTER UPGRADE 2021 - SW.CN.5YR</t>
  </si>
  <si>
    <t xml:space="preserve"> Upgrade the Command Center application (AMI head-end system)</t>
  </si>
  <si>
    <t>CHECK PAYMENT - SHORT TERM . SW.CN.</t>
  </si>
  <si>
    <t>CHECK PAYMENT - SHORT TERM – SW.CN.5YR</t>
  </si>
  <si>
    <t>ACCT COVID BAD DEBT REPORTING . SW.</t>
  </si>
  <si>
    <t>ACCT COVID BAD DEBT REPORTING – SW.CN.5Y</t>
  </si>
  <si>
    <t>COVID bad debt reporting. This enhanced functionality will  measure compliance and improve data quality in order to increase self-service options for customers and employees.</t>
  </si>
  <si>
    <t>2022 SERVICENOW - UPGRADE - SW.CN.5</t>
  </si>
  <si>
    <t>2022 SERVICENOW - UPGRADE - SW.CN.5YR</t>
  </si>
  <si>
    <t>SW Enhancements to ServiceNow to keep system current</t>
  </si>
  <si>
    <t>INCOME DATA - SW.CN.5YRS</t>
  </si>
  <si>
    <t>NOTIFICATION STATUS HISTORY DATA- S</t>
  </si>
  <si>
    <t>NOTIFICATION STATUS HISTORY DATA- SW.CN.</t>
  </si>
  <si>
    <t>2022 SERVICENOW- NERC - SW.CN.5YR</t>
  </si>
  <si>
    <t>UI ENHANCEMENTS PHASE 3 - SW.CN.5YR</t>
  </si>
  <si>
    <t>Upgrade current version of UI and take advantage of additional functionality to include: B2 Financial Model, regulatory additional functionality to include: B2 Financial Model, regulatory tax</t>
  </si>
  <si>
    <t>TRANSFORMER MAPPING.PHASE IDENTIF -</t>
  </si>
  <si>
    <t>TRANSFORMER MAPPING–PHASE IDENTIF - SW.C</t>
  </si>
  <si>
    <t>The work will provide dashboards and automation of data to allow accurate voltage information along a circuit that AMI provides this will allow Operations to more precisely manage distribution voltages, troubleshoot power quality issues, and evaluate switching scenarios</t>
  </si>
  <si>
    <t>SUCCESSFACTORS ENHANCEMENT PACK 202</t>
  </si>
  <si>
    <t>SUCCESSFACTORS ENHANCEMENT PACK 2022Q2-S</t>
  </si>
  <si>
    <t>plan, design, configure, test and implement enhancements to the SAP SuccessFactors suite of applications.</t>
  </si>
  <si>
    <t>WBS FINANCIAL JOB BREAKDOWN - SW.CN</t>
  </si>
  <si>
    <t>WBS FINANCIAL JOB BREAKDOWN - SW.CN.5YRS</t>
  </si>
  <si>
    <t>The Data Science Lab the creation of Data Science Models (AI and Machine Learning) to be created by technical as well as non-technical analysts and business users to make predictions.</t>
  </si>
  <si>
    <t>DEEP EDC-BODS CONNECTOR - SW.CN.5YR</t>
  </si>
  <si>
    <t>DEEP EDC-BODS CONNECTOR - SW.CN.5YRS</t>
  </si>
  <si>
    <t>SAP QM MODULE DATA TO BW - SW.CS.5Y</t>
  </si>
  <si>
    <t>SAP QM MODULE DATA TO BW - SW.CS.5YR</t>
  </si>
  <si>
    <t>Add SAP QM Module data to BW.  Implement a data integration between SAP and BW to improve data analysis and reporting.</t>
  </si>
  <si>
    <t>AXON-ESRI USE CASE - SW.CN.5YRS</t>
  </si>
  <si>
    <t xml:space="preserve">SW Enhancements in ESRI to Axon. ESRI to Axon and link it with semantic meaning like glossary terms. And also we will then be able to monitor the data quality of these critical data elements.
</t>
  </si>
  <si>
    <t>EGAIN REPLACEMENT - SW.CN.5YR</t>
  </si>
  <si>
    <t>upgrade/replace current email management system used by external customers to various PSE groups</t>
  </si>
  <si>
    <t xml:space="preserve">EMPLOYEE DATA ANALYSIS DASHBOARD - </t>
  </si>
  <si>
    <t>EMPLOYEE DATA ANALYSIS DASHBOARD - SW.CN</t>
  </si>
  <si>
    <t>DEEP INNOVATION - SW.CN.5YRS</t>
  </si>
  <si>
    <t>ENTERPRISE MONITORING STANDARDIZATI</t>
  </si>
  <si>
    <t>ENTERPRISE MONITORING STANDARDIZATION -</t>
  </si>
  <si>
    <t>Benefits are expected to be derived as follows:- Reduced Outages due to proactive monitoring- Reduced Mean Time to Restore (MTTR)- Reduced labor to execute post-event analysis and write up- Streamlined processes in the NOC (single pane of glass)- Elimination of duplicative tooling where applicable- Reduced costs for NERC compliance/audit support</t>
  </si>
  <si>
    <t>MDMS DB PARTITION/TRUNCATION - SW.C</t>
  </si>
  <si>
    <t>MDMS DB PARTITION/TRUNCATION - SW.CN.5YR</t>
  </si>
  <si>
    <t>Partition and Truncate MDMS Database to decrease storage footprint</t>
  </si>
  <si>
    <t>2022 DATA CENTER HARDWARE REFRESH - SW.C</t>
  </si>
  <si>
    <t>Request creation of new order for Data Center Hardware Refresh for software/license needed to support/supplement the 2022 hardware purchases and labor to support this effort The software costs are to-be-determined, as most of the project costs are for hardware procurement.</t>
  </si>
  <si>
    <t>CHECK PAYMENT - LONG TERM . SW.CN.5</t>
  </si>
  <si>
    <t>CHECK PAYMENT - LONG TERM – SW.CN.5YR</t>
  </si>
  <si>
    <t>Software order for long-term solution Support for the existing check processing hardware and software is ending in 2022.</t>
  </si>
  <si>
    <t>DEEP ENHANCEMENTS - SW.CN.5YRS</t>
  </si>
  <si>
    <t>Provide an integrated Travel, P-Card and Expense Reporting capabilities (linking credit card, employee expense reimbursement data and importing the data automatically into an expense management system).</t>
  </si>
  <si>
    <t>2022 CAP MAINT GREATER $1.5M - SW.C</t>
  </si>
  <si>
    <t>2022 CAP MAINT GREATER $1.5M - SW.CN.5YR</t>
  </si>
  <si>
    <t xml:space="preserve">2022 CAP MAINT GREATER $1.5M. IT O&amp;M to Capital Maintenance greater than $1.5M
</t>
  </si>
  <si>
    <t>MICROSERVCS .NET CORE UPGRADE- SW.C</t>
  </si>
  <si>
    <t>MICROSERVCS .NET CORE UPGRADE- SW.CN.5YR</t>
  </si>
  <si>
    <t>Upgrade from regular to Enterprise version of Microservices .NET Core</t>
  </si>
  <si>
    <t>TERRAFORM UPGRADE - SW.CN.5YR</t>
  </si>
  <si>
    <t>Upgrade from regular to Enterprise version of Terraform Upgrade</t>
  </si>
  <si>
    <t>DATA OPERATING MODEL - SW.CN.5YRS</t>
  </si>
  <si>
    <t>In the corporate risk mitigation plan for the data enablement risk, there is a need to define an organization wide data operating model.</t>
  </si>
  <si>
    <t>CAP MAINTENANCE LESS $1.5M . SW.CN.</t>
  </si>
  <si>
    <t>CAP MAINTENANCE LESS $1.5M – SW.CN.5YR</t>
  </si>
  <si>
    <t xml:space="preserve">CAP MAINTENANCE LESS $1.5M.  IT O&amp;M to Capital Maintenance less than $1.5M
</t>
  </si>
  <si>
    <t>IPP SHAREPOINT UPGRADE- SW.CN.5YRS</t>
  </si>
  <si>
    <t>IDOT REPLACEMENT- SW.CN.5YRS</t>
  </si>
  <si>
    <t>SW Enhancement to Power Plan to support multi-year rate case and investment planning PSE Historical usage</t>
  </si>
  <si>
    <t>BILL &amp; USAGE HISTORY DASHBOARD - EE</t>
  </si>
  <si>
    <t>BILL &amp; USAGE HISTORY DASHBOARD - EE GRP</t>
  </si>
  <si>
    <t xml:space="preserve">BILL &amp; USAGE HISTORY DASHBOARD. Automation and improvements to existing dashboard with customer information.
</t>
  </si>
  <si>
    <t>COST MANAGEMENT REPORTING - SW.CN.5</t>
  </si>
  <si>
    <t>COST MANAGEMENT REPORTING - SW.CN.5YRS</t>
  </si>
  <si>
    <t xml:space="preserve">SW Elements- Integration Ariba SAP ECC. Integrate Ariba-SAP-ECC MM/FI with Qty and UoM values.
</t>
  </si>
  <si>
    <t>DEEP DATA FOUNDATION PRIVACY-INFORM</t>
  </si>
  <si>
    <t>DEEP DATA FOUNDATION PRIVACY-INFORMATICA</t>
  </si>
  <si>
    <t xml:space="preserve">DEEP SALES STATISTICS DATA AND BEX </t>
  </si>
  <si>
    <t>DEEP SALES STATISTICS DATA AND BEX - SW.</t>
  </si>
  <si>
    <t>RITM0062360 - IMPLEMENT DATA AUTOMA</t>
  </si>
  <si>
    <t>RITM0062360 - IMPLEMENT DATA AUTOMATION-</t>
  </si>
  <si>
    <t>DEEP SITUATIONAL AWARENESS OF STORM</t>
  </si>
  <si>
    <t>DEEP SITUATIONAL AWARENESS OF STORM CREW</t>
  </si>
  <si>
    <t>CYBER AUDIT WEB SERVER UPGRADE - SW</t>
  </si>
  <si>
    <t>CYBER AUDIT WEB SERVER UPGRADE - SW.CN.5</t>
  </si>
  <si>
    <t>Software upgrade of Cyber Audit Web Server for improved security &amp; support. This tool manages the remote keys across the company</t>
  </si>
  <si>
    <t>DEEP STREET LIGHTING REQUEST - SW.C</t>
  </si>
  <si>
    <t>DEEP STREET LIGHTING REQUEST - SW.CN.5YR</t>
  </si>
  <si>
    <t>2022 Q3 AERS  - SAP FO - SW.CS.5YRS</t>
  </si>
  <si>
    <t>2022 Q3 AERs for the SAP Front Office team. RITM0063740 - Create a program to enroll customers to renewables (Solar Choice, Green Power, Carbon Balance or RNG) in SAP.</t>
  </si>
  <si>
    <t>MIGRATION TO DYNATRACE SAAS - SW.CN</t>
  </si>
  <si>
    <t>MIGRATION TO DYNATRACE SAAS - SW.CN.5YRS</t>
  </si>
  <si>
    <t>SW Enhancement to Migrate Web and Mobile Dynatrace monitoring from managed solution to SaaS</t>
  </si>
  <si>
    <t>2022 Q4 - SAP WM ENHANCEMENTS - SW.</t>
  </si>
  <si>
    <t>2022 Q4 - SAP WM ENHANCEMENTS - SW.CS.5Y</t>
  </si>
  <si>
    <t>2022 Q4 small bundle of application enhancements to Ariba and the SAP Work Management Platform.</t>
  </si>
  <si>
    <t>SAP ANNUAL UPGRADES - SW.CN.5YR</t>
  </si>
  <si>
    <t>Mandatory SAP upgrades to keep continuously running our core business processes and keep SAP systems valid for continuous vendor support.</t>
  </si>
  <si>
    <t>QUALITY FRAMEWORK 2022- SW.CN.5YR</t>
  </si>
  <si>
    <t>The goal is to implement the platform and tools to allow high quality IT application and platform delivery while enabling the 5 year road map.</t>
  </si>
  <si>
    <t>SAP HR SUPPORT PACKS 2022 - SW.CN.5</t>
  </si>
  <si>
    <t>SAP HR SUPPORT PACKS 2022 - SW.CN.5YR</t>
  </si>
  <si>
    <t>Annual upgrades to HR module</t>
  </si>
  <si>
    <t>ENHANCED SAP MONITORING ALERTING BP</t>
  </si>
  <si>
    <t>ENHANCED SAP MONITORING ALERTING BPM - S</t>
  </si>
  <si>
    <t xml:space="preserve">Implement enhanced SAP Monitoring and Alerting. There will be no HW added, just SAP code and configuration development.
</t>
  </si>
  <si>
    <t>SAP Q3 2022 ENHANCEMENTS - SW.CS.5Y</t>
  </si>
  <si>
    <t>SAP Q3 2022 ENHANCEMENTS - SW.CS.5YRS</t>
  </si>
  <si>
    <t>Q3 2022 bundle of small application enhancements and capability additions to the SAP system.</t>
  </si>
  <si>
    <t>RPA BLUE PRISM SAP AUTOMATION FOR W</t>
  </si>
  <si>
    <t>RPA BLUE PRISM SAP AUTOMATION FOR WOS -</t>
  </si>
  <si>
    <t xml:space="preserve">GRC DIGITAL COMPLIANCE REPORTING - </t>
  </si>
  <si>
    <t>GRC DIGITAL COMPLIANCE REPORTING - SW.CN</t>
  </si>
  <si>
    <t>See 389-399 Common Tab:</t>
  </si>
  <si>
    <t>C3901, Common Total (per PA's report)</t>
  </si>
  <si>
    <t>Order #</t>
  </si>
  <si>
    <t>SAP User Status</t>
  </si>
  <si>
    <t>Business Segment</t>
  </si>
  <si>
    <t>Order Cost</t>
  </si>
  <si>
    <t>Basic Finish Date</t>
  </si>
  <si>
    <t>CWIP account</t>
  </si>
  <si>
    <t>Functional class</t>
  </si>
  <si>
    <t>COMMON</t>
  </si>
  <si>
    <t xml:space="preserve">TOTAL Adjustments </t>
  </si>
  <si>
    <t>DEPR EXP</t>
  </si>
  <si>
    <t>ACC DEPR</t>
  </si>
  <si>
    <t>NET BOOK Value</t>
  </si>
  <si>
    <t xml:space="preserve">Plant Value </t>
  </si>
  <si>
    <t>LOCATION</t>
  </si>
  <si>
    <t>BAKER</t>
  </si>
  <si>
    <t>COLSTRIP</t>
  </si>
  <si>
    <t>CRYSTAL MOUNTAIN</t>
  </si>
  <si>
    <t>ENCOGEN</t>
  </si>
  <si>
    <t>FERNDALE</t>
  </si>
  <si>
    <t>FREDERICKSON</t>
  </si>
  <si>
    <t>FREDERICKSON 1/APC</t>
  </si>
  <si>
    <t>FREDONIA</t>
  </si>
  <si>
    <t>GOLDENDALE</t>
  </si>
  <si>
    <t>LOWER SNAKE RIDGE</t>
  </si>
  <si>
    <t>HOPKINS RIDGE</t>
  </si>
  <si>
    <t xml:space="preserve">MINT FARM </t>
  </si>
  <si>
    <t>SNOQUALMIE</t>
  </si>
  <si>
    <t>SUMAS</t>
  </si>
  <si>
    <t xml:space="preserve">WHITEHORN </t>
  </si>
  <si>
    <t>WILD HORSE</t>
  </si>
  <si>
    <t xml:space="preserve">ACC DEPR </t>
  </si>
  <si>
    <t>FREDONIA 1 &amp; 2</t>
  </si>
  <si>
    <t>FREDONIAN 3 &amp; 4</t>
  </si>
  <si>
    <t>Puget Sound Energy</t>
  </si>
  <si>
    <t>Order Group 456</t>
  </si>
  <si>
    <t>Acct</t>
  </si>
  <si>
    <t>Category</t>
  </si>
  <si>
    <t>Order</t>
  </si>
  <si>
    <t>CO object name</t>
  </si>
  <si>
    <t>PSE's Notes</t>
  </si>
  <si>
    <t>Other Misc Operating Rev</t>
  </si>
  <si>
    <t>Other Electric Revenues - Other Service</t>
  </si>
  <si>
    <t>Order 45600000 to 45609999</t>
  </si>
  <si>
    <t>Other Electric Revenues - Other Misc In</t>
  </si>
  <si>
    <t>INTOLIGHT Service Revenue</t>
  </si>
  <si>
    <t>4210 DBU-Other Electric Revenues</t>
  </si>
  <si>
    <t xml:space="preserve">4050 - Substation JO Revenue </t>
  </si>
  <si>
    <t>4001 - PCS Revenue</t>
  </si>
  <si>
    <t>3545 - Green Energy Option</t>
  </si>
  <si>
    <t>Othr Elect Rev - Steam Sale - Phillips 66</t>
  </si>
  <si>
    <t xml:space="preserve">3515- Other Revenue- Wireless </t>
  </si>
  <si>
    <t xml:space="preserve"> Other Elect Revenue-Maintenance Contract</t>
  </si>
  <si>
    <t xml:space="preserve"> Biogas Principal Amortization UE-131276</t>
  </si>
  <si>
    <t>Othr Elect Rev - Sale of Non-Core Gas</t>
  </si>
  <si>
    <t>Othr Elect Rev - Cost Non-Core Gas sold</t>
  </si>
  <si>
    <t>Oth Elec Rev- Cedar Hills Facility Fee</t>
  </si>
  <si>
    <t>1143 - Other Electric Rev -Summit Buyout</t>
  </si>
  <si>
    <t>1143 - REC Revenue per Tariff Schedule-E</t>
  </si>
  <si>
    <t>1143 - REC Revenue offset by PTCs - E</t>
  </si>
  <si>
    <t>5012 - Misc. Revenue - Ferndale Plant</t>
  </si>
  <si>
    <t xml:space="preserve">PLR EDIT Electric Other Op Rev </t>
  </si>
  <si>
    <t>TCJA / PLR</t>
  </si>
  <si>
    <t>Meter Monitoring Fee</t>
  </si>
  <si>
    <t>Used to record a fee PSE charging one of PSE's generation partners (FPLP) for monitoring the gas coming into the Frederickson generation facility. Was added to power book as its supporting the electric greneration and production</t>
  </si>
  <si>
    <t xml:space="preserve">E Decoup Rev Sch 8 &amp; 24 </t>
  </si>
  <si>
    <t xml:space="preserve">E Decoup Rev Sch 7A, 11, 25, 29, 35 &amp; 43 </t>
  </si>
  <si>
    <t xml:space="preserve">E Decoup Rev Sch 40 </t>
  </si>
  <si>
    <t xml:space="preserve">E Decoup Rev Sch 7 FPC </t>
  </si>
  <si>
    <t xml:space="preserve">E Decoup Rev Sch 8 &amp; 24 FPC </t>
  </si>
  <si>
    <t xml:space="preserve">E Dcp Rev Sc 7A, 11, 25, 29, 35 &amp; 43 FPC </t>
  </si>
  <si>
    <t xml:space="preserve">E Decoup Rev Sch 40 FPC </t>
  </si>
  <si>
    <t xml:space="preserve">E Decoup Rev Sch 12 &amp; 26 FPC </t>
  </si>
  <si>
    <t xml:space="preserve">E Decoup Rev Sch 10 &amp; 31 FPC </t>
  </si>
  <si>
    <t>Oth E Rev-Cost of NonCoreGas-Cedar Hills</t>
  </si>
  <si>
    <t>Oth E Rev-Sale of NonCoreGas-Cedar Hills</t>
  </si>
  <si>
    <t>CdrHlls-Utilty Tax Reimb fr Whole Energy</t>
  </si>
  <si>
    <t xml:space="preserve">Sch 139 Green Direct LD Amort UE-200865 </t>
  </si>
  <si>
    <t xml:space="preserve">E Decoup Amort of Sch 142 - Sch 8 &amp; 24 </t>
  </si>
  <si>
    <t>1320-Attorney General settlement - Elec</t>
  </si>
  <si>
    <t xml:space="preserve">E Dcp Amort Sch 142-Sc 7A,11,25,29,35,43 </t>
  </si>
  <si>
    <t xml:space="preserve">E Decoup Amort of Sch 142 - Sch 40 in Ra </t>
  </si>
  <si>
    <t xml:space="preserve">E FPC Decoup Amort Sch 142  - Sch 7 in R </t>
  </si>
  <si>
    <t xml:space="preserve">E FPC Decoup Amort Sch 142 - Sch 8 &amp; 24 </t>
  </si>
  <si>
    <t xml:space="preserve">E FPC Dcp Amrt Sc 142-7A,11,25,29,35,43 </t>
  </si>
  <si>
    <t xml:space="preserve">E FPC Decoup Amort Sch 142 - Sch 40 in R </t>
  </si>
  <si>
    <t xml:space="preserve">E FPC Decoup Amort Sch 142 - Sch 12 &amp; 26 </t>
  </si>
  <si>
    <t xml:space="preserve">E FPC Decoup Amort Sch 142 - Sch 10 &amp; 31 </t>
  </si>
  <si>
    <t xml:space="preserve">E Decoup Amort Sch 142 - Sch 46 &amp; 49 in </t>
  </si>
  <si>
    <t xml:space="preserve">E FPC Decoup Amort Sch 142 - Sch 46&amp;49 </t>
  </si>
  <si>
    <t xml:space="preserve">24M GAAP-E Non-Res 7A, 11, 25, 29, 35&amp;43 </t>
  </si>
  <si>
    <t xml:space="preserve">24M GAAP - E Non-Res 8&amp;24 </t>
  </si>
  <si>
    <t xml:space="preserve">24M GAAP - E Non-Res Sch 40 </t>
  </si>
  <si>
    <t xml:space="preserve">AMI Return Deferral - Electric </t>
  </si>
  <si>
    <t xml:space="preserve">EV Other Revenues Sch 551 deferral </t>
  </si>
  <si>
    <t xml:space="preserve"> EV Other Rev Sch. 551/552 Deferral </t>
  </si>
  <si>
    <t>EV Charging</t>
  </si>
  <si>
    <t>Community Solar IE Shares</t>
  </si>
  <si>
    <t>Community Solar/GP Reserves (CE82110180 - Int Energy Procurement)</t>
  </si>
  <si>
    <t>5019 - Sumas DeMinrlzd  H2O Sale - Socco</t>
  </si>
  <si>
    <t>CLSD - 4430 -REC Revenue Proceeds (LIW)</t>
  </si>
  <si>
    <t xml:space="preserve">EV One time Incentive Credit </t>
  </si>
  <si>
    <t>1255 - Other Misc Rev - Covenant Right</t>
  </si>
  <si>
    <t>9900-Electric Residential Decoupling Rev</t>
  </si>
  <si>
    <t xml:space="preserve"> 9900 - Electric ROR Over-Earning</t>
  </si>
  <si>
    <t>9900-Elec NonResid Decoupl GAAP UnernRev</t>
  </si>
  <si>
    <t xml:space="preserve">9900-Elec Resid Decoupl GAAP UnearnedRev </t>
  </si>
  <si>
    <t xml:space="preserve"> Electric Schedule 26 Decoupling Revenue</t>
  </si>
  <si>
    <t xml:space="preserve"> Electric Schedule 31 Decoupling Revenue</t>
  </si>
  <si>
    <t xml:space="preserve">9900 - Sch12 &amp; 26 GAAP Unearned Rev </t>
  </si>
  <si>
    <t xml:space="preserve">9900 - Sch 10 &amp; 31 GAAP Unearned Rev </t>
  </si>
  <si>
    <t>9900 - Other Elec Rev - QRE Annual Fees</t>
  </si>
  <si>
    <t>9900 - Electric ROR Accrual-Industrial</t>
  </si>
  <si>
    <t>9900-Elec Non-Residential Decoupling Rev</t>
  </si>
  <si>
    <t>9900 - Electric ROR Refund-Commercial</t>
  </si>
  <si>
    <t xml:space="preserve"> Amort of Sch 142 Electric Sch26 in Rates</t>
  </si>
  <si>
    <t xml:space="preserve"> Amort of Sch 142 Electric Sch31 in Rates</t>
  </si>
  <si>
    <t>9900 - Electric ROR Refund-Industrial</t>
  </si>
  <si>
    <t>9900 - Electric ROR Accrual-Commercial</t>
  </si>
  <si>
    <t>9900-Lifetime O&amp;M Revenue - Elec</t>
  </si>
  <si>
    <t xml:space="preserve"> 9900-Amort of Sch 142 Elec Resid in rate</t>
  </si>
  <si>
    <t xml:space="preserve"> 9900-Amort of Sch 142 Ele NonRes in rate</t>
  </si>
  <si>
    <t>9900 - Electric ROR Refund-Residential</t>
  </si>
  <si>
    <t xml:space="preserve">3515 - Wireline Non-Rent Revenue </t>
  </si>
  <si>
    <t xml:space="preserve">3515 - Street Light Non-Reg Revenue </t>
  </si>
  <si>
    <t xml:space="preserve"> Other Common Revenues - Misc. Income</t>
  </si>
  <si>
    <t xml:space="preserve">SAP balance </t>
  </si>
  <si>
    <t xml:space="preserve">   &lt;-  ties to FERC FORM 1 p300-301</t>
  </si>
  <si>
    <t>Order Group 421</t>
  </si>
  <si>
    <t>Order No.</t>
  </si>
  <si>
    <t>Costs</t>
  </si>
  <si>
    <t>Function</t>
  </si>
  <si>
    <t xml:space="preserve">Electric </t>
  </si>
  <si>
    <t xml:space="preserve">1437 - Green Direct Liquidated Damages </t>
  </si>
  <si>
    <t>9900 - SD Non-Operating Revenue - Elec</t>
  </si>
  <si>
    <t xml:space="preserve">MSFT Add'l Low Income Program Revenues </t>
  </si>
  <si>
    <t xml:space="preserve">Gas </t>
  </si>
  <si>
    <t>9900 - SD Non-Operating Revenue - Gas</t>
  </si>
  <si>
    <t xml:space="preserve">Sch 141Y E Tax Overcollection Write-Off </t>
  </si>
  <si>
    <t>TCJA Related</t>
  </si>
  <si>
    <t xml:space="preserve">Sch 141Y G Tax Overcollection Write-Off </t>
  </si>
  <si>
    <t xml:space="preserve">9900 - SD Non-Operating Revenue - Gas </t>
  </si>
  <si>
    <t xml:space="preserve">Landis + Gyr Liquidated Damages </t>
  </si>
  <si>
    <t>Metering/MDMS</t>
  </si>
  <si>
    <t xml:space="preserve">Common </t>
  </si>
  <si>
    <t>Pension Non-Service Cost Non-Operating</t>
  </si>
  <si>
    <t>Offset by account 42100607</t>
  </si>
  <si>
    <t>CLSD-Pension Non-Service Cost Non-Op</t>
  </si>
  <si>
    <t>Pension Non-Service Cost O&amp;M</t>
  </si>
  <si>
    <t>CLSD - Pension Non-Service Cost O&amp;M</t>
  </si>
  <si>
    <t>Offset by account 42100600</t>
  </si>
  <si>
    <t>1143 - PSE Ben Protection Trust Misc Inc</t>
  </si>
  <si>
    <t>WUTC AFUDC-Misc Non-Op Inc-Electric</t>
  </si>
  <si>
    <t>Order Group 421X</t>
  </si>
  <si>
    <t>5380 - Gain on FV of Electric Purchase</t>
  </si>
  <si>
    <t>Excluded per Data Request BPA-PS-FY16-01 &amp; BPA-PS-CY14-06</t>
  </si>
  <si>
    <t>5380 - Gain on FV of Fuel for Electric</t>
  </si>
  <si>
    <t>This DIRECT analysis may be updated if and when additional data becomes available.</t>
  </si>
  <si>
    <t xml:space="preserve">   &lt;-  ties to FERC Form 1 p114-117a</t>
  </si>
  <si>
    <t>Electric Regulatory</t>
  </si>
  <si>
    <t>Debit Balance</t>
  </si>
  <si>
    <t xml:space="preserve">CLOSED </t>
  </si>
  <si>
    <t xml:space="preserve">Credit Card Deferral - UE-170033 </t>
  </si>
  <si>
    <t xml:space="preserve">Amort to Repurposed PTC Reg Liability </t>
  </si>
  <si>
    <t>Offset by account 40730171</t>
  </si>
  <si>
    <t xml:space="preserve">Amort Env Costs UE-170033 </t>
  </si>
  <si>
    <t xml:space="preserve">Amort Env Recovery UE-170033 </t>
  </si>
  <si>
    <t xml:space="preserve">GTZ Depr Amort T1 (Elec) </t>
  </si>
  <si>
    <t>precedence for GTZ amort</t>
  </si>
  <si>
    <t xml:space="preserve">GTZ Cryg Chg Amort T1 (Elec) </t>
  </si>
  <si>
    <t>Amortization BPA Regulatory Assets</t>
  </si>
  <si>
    <t>1143 - Amortization Mint Farm UE-090704</t>
  </si>
  <si>
    <t>1143 - Amortization Wild Horse UE-090704</t>
  </si>
  <si>
    <t>1143 - PTC Deferral Post June 2010</t>
  </si>
  <si>
    <t>1143 - PTC Deferral per UE-101581 - Elec</t>
  </si>
  <si>
    <t>1143 - Amortization LSR UE-100882 - E</t>
  </si>
  <si>
    <t>1143 - Amortization LSR Ph 1 UE-111048-E</t>
  </si>
  <si>
    <t>1143-Amort Ferndale Reg Asset UE-130617</t>
  </si>
  <si>
    <t>1143-Amort Baker Reg Asset UE-130617</t>
  </si>
  <si>
    <t>1143-Amort Snoqualmi Reg Asset UE-130617</t>
  </si>
  <si>
    <t xml:space="preserve">SPI Biomass Amort. UE-200980 </t>
  </si>
  <si>
    <t xml:space="preserve">UE-200980 </t>
  </si>
  <si>
    <t xml:space="preserve">1143 - PTC Deferral Post June 2010 </t>
  </si>
  <si>
    <t>Created to replace order 40730071 due to new WBS restructures in the SAP system</t>
  </si>
  <si>
    <t xml:space="preserve">   &lt;-  ties to FERC Form 1 p114-117a </t>
  </si>
  <si>
    <t>Order Group 407.4</t>
  </si>
  <si>
    <t>Order Group 4074E</t>
  </si>
  <si>
    <t xml:space="preserve">Electric Regulatory </t>
  </si>
  <si>
    <t>Credit Balance</t>
  </si>
  <si>
    <t>CLOSED</t>
  </si>
  <si>
    <t>Biogas Interest Amortization UE-131276</t>
  </si>
  <si>
    <t>1143-Amortization US Treasury Grants-95A UE-120277</t>
  </si>
  <si>
    <t>LSR US Treasury Grant Amort UE-122001</t>
  </si>
  <si>
    <t>Regulatory CR - LSR Ph 1 UE-120287 FIX</t>
  </si>
  <si>
    <t>Amort Interest on REC Proceeds UE-111048</t>
  </si>
  <si>
    <t>WH US Treasury Interest Amort UE-120277</t>
  </si>
  <si>
    <t>LSR US Treasury Interest Amort UE-122001</t>
  </si>
  <si>
    <t>1143 - SNOQ T Grant Deferral Amort UE-141141</t>
  </si>
  <si>
    <t>1143 - Reg - CR Snoq Grant Amortization</t>
  </si>
  <si>
    <t>1143 - Reg - CR Snoq Defer Grant Return</t>
  </si>
  <si>
    <t>1143 - Baker T Grant Deferral Amort UE-141141</t>
  </si>
  <si>
    <t>1143 - Reg - CR Baker Grant Amortization</t>
  </si>
  <si>
    <t>1143 - Reg - CR Baker Defer Grant Return</t>
  </si>
  <si>
    <t>1143 -Sch133 JPUD Gain on Sale Credit- E</t>
  </si>
  <si>
    <t xml:space="preserve">AMI Depreciation Expense Deferral - Elec </t>
  </si>
  <si>
    <t xml:space="preserve">Account created in March 2019 per 2018 ERF filing (UE-180899) </t>
  </si>
  <si>
    <t xml:space="preserve">EV Net Expense Deferral </t>
  </si>
  <si>
    <t>Account created March 2019 per accounting treatment approval under UE-180877</t>
  </si>
  <si>
    <t xml:space="preserve">9800–MSFT Transition Fee Amort UE-161123 </t>
  </si>
  <si>
    <t xml:space="preserve">Account created in Aug 2019 per accounting treatment approval under 2017 GRC </t>
  </si>
  <si>
    <t xml:space="preserve">AMI Deprec Exp Deferral-Elec-Post 7/2019 </t>
  </si>
  <si>
    <t>Account created in August 2019 per 2018 ERF filing (UE-180899)</t>
  </si>
  <si>
    <t>Order Group 4074C</t>
  </si>
  <si>
    <t xml:space="preserve">Common Regulatory </t>
  </si>
  <si>
    <t xml:space="preserve">Eelctric Regulatory </t>
  </si>
  <si>
    <t>GTZ Depr Exp Deferral</t>
  </si>
  <si>
    <t>Order Group 404E</t>
  </si>
  <si>
    <t>404E</t>
  </si>
  <si>
    <t>Amortization Ltd-Term Plant</t>
  </si>
  <si>
    <t>Electric Amort Ltd-Term Plant</t>
  </si>
  <si>
    <t>Balance</t>
  </si>
  <si>
    <t>Amort Exp - Electric Franchises</t>
  </si>
  <si>
    <t>Amort Exp - Elect Hydro Project Licenses</t>
  </si>
  <si>
    <t>Whitehorn 2&amp;3 Leasehold Imprv</t>
  </si>
  <si>
    <t>Amort Exp - Electric Computer Software</t>
  </si>
  <si>
    <t>E390</t>
  </si>
  <si>
    <t>Amort Exp-Electric Leasehold Improvement</t>
  </si>
  <si>
    <t>E931</t>
  </si>
  <si>
    <t xml:space="preserve">Amortization Expense - Electric Finance </t>
  </si>
  <si>
    <t>Amort for Capital Lease Allocated 100% to DIST</t>
  </si>
  <si>
    <t>Kent Service Tenant Allowance - Rent/Lease</t>
  </si>
  <si>
    <t>Amortization of Lease Insentive</t>
  </si>
  <si>
    <t>*This allocation factor is based on the plant balances in "Electric Intangible" tab</t>
  </si>
  <si>
    <t>COMMON DEPRECIATION</t>
  </si>
  <si>
    <t>Electric Utility</t>
  </si>
  <si>
    <t>Common General Plant</t>
  </si>
  <si>
    <t>Depreciation Total</t>
  </si>
  <si>
    <t>Order Group 404C</t>
  </si>
  <si>
    <t>Common Asset Retirement Cost</t>
  </si>
  <si>
    <t>ARO Depreciation Total</t>
  </si>
  <si>
    <t>COMMON AMORTIZATION</t>
  </si>
  <si>
    <t xml:space="preserve">  40400611  Amort Exp - Common Franchises                     </t>
  </si>
  <si>
    <t>Franchises &amp; Licenses</t>
  </si>
  <si>
    <t xml:space="preserve">  40400621  Amort Exp - Common Leasehold Improvement     </t>
  </si>
  <si>
    <t xml:space="preserve">  40400631 Amortization Exp - Common Capital Lease </t>
  </si>
  <si>
    <t>new account created in 2018 for Printer leases amort exp</t>
  </si>
  <si>
    <t>Capital Lease</t>
  </si>
  <si>
    <t xml:space="preserve">  40400691  Amort Exp - Common Computer Software     </t>
  </si>
  <si>
    <t>Computer Software</t>
  </si>
  <si>
    <t xml:space="preserve">Amortization Expense – Common Finance Lease </t>
  </si>
  <si>
    <t>Facility Svcs: Facilities Design&amp;Constrn - Acct 931 = "Rents"</t>
  </si>
  <si>
    <t xml:space="preserve">Finance Lease </t>
  </si>
  <si>
    <t>Puyallup Tenant Allowance</t>
  </si>
  <si>
    <t>Puyallup Building Landlord Incentives  - Acct 931 = "Rents"</t>
  </si>
  <si>
    <t>Tenant Allowance</t>
  </si>
  <si>
    <t xml:space="preserve">Amortization Exp - Common Capital Lease </t>
  </si>
  <si>
    <t>Financial Reporting has determined that the costs booked in order 40400621 should be amortization for gaap, but rents for ferc.</t>
  </si>
  <si>
    <t xml:space="preserve">Capital Lease </t>
  </si>
  <si>
    <t>Amortization Total</t>
  </si>
  <si>
    <t xml:space="preserve">The charges to this account are functionalized as shown.  These methods approximate the overall functionalization of the plant balance in which the asset that is being amortized is recorded.  </t>
  </si>
  <si>
    <t>Order Group 403.1</t>
  </si>
  <si>
    <t xml:space="preserve">This DIRECT analysis may be updated when and if detailed asset specific amortization and depreciation expense information becomes available.  </t>
  </si>
  <si>
    <t xml:space="preserve">40310001 Depr Exp - Elec Asset Retirement Costs </t>
  </si>
  <si>
    <t>Functional Method C303 is based on the plant balance of C303</t>
  </si>
  <si>
    <t xml:space="preserve">Depr Exp - Elec Contra Colstrip 1&amp;2 ARC </t>
  </si>
  <si>
    <t xml:space="preserve">Depr Exp - Gas Asset Retirement Costs </t>
  </si>
  <si>
    <t xml:space="preserve">Depr Exp - Common Asset Retirement Costs </t>
  </si>
  <si>
    <t>Common</t>
  </si>
  <si>
    <t>Functional Method for Common Plant Depreciation Allocated to Electric (Acct 403)</t>
  </si>
  <si>
    <t>403 &amp; 403.1</t>
  </si>
  <si>
    <t>Functional Method for Common Plant Amortization Allocated to Electric (Acct 404)</t>
  </si>
  <si>
    <t>Order Group 406E + 407E</t>
  </si>
  <si>
    <t>406E</t>
  </si>
  <si>
    <t>Amort Exp - Electr Plant Acquisition Adj</t>
  </si>
  <si>
    <t>Amort Exp-Colstrip Common Plt Acquis Adj</t>
  </si>
  <si>
    <t>Amort Exp - WUTC AFUDC Plant Acquis Adj</t>
  </si>
  <si>
    <t>Amort of Acquisition Adj -Encogen-CC1000</t>
  </si>
  <si>
    <t>1150 - MNT - Amort of Elect Plant A</t>
  </si>
  <si>
    <t>1150- Whitehorn Elec Plant Acq Adj</t>
  </si>
  <si>
    <t>1150 - Ferndale - Amort of Elect Plant</t>
  </si>
  <si>
    <t>Total 406E</t>
  </si>
  <si>
    <t>407E</t>
  </si>
  <si>
    <t xml:space="preserve"> Amort Prop Loss-Electron Unrecovered Plt</t>
  </si>
  <si>
    <t xml:space="preserve"> Amort Prop Loss - Wht Rvr Unrecoverd Plt</t>
  </si>
  <si>
    <t>Amort Prop Loss -Up Baker Unrecoverd Plt</t>
  </si>
  <si>
    <t>12/13/2006 Storm Amortization</t>
  </si>
  <si>
    <t>2007 Storm Amortization</t>
  </si>
  <si>
    <t>2008 Storm Amortization</t>
  </si>
  <si>
    <t>2010 Storm Amortization</t>
  </si>
  <si>
    <t xml:space="preserve">2012 Storm Amortization - 6 Yrs </t>
  </si>
  <si>
    <t xml:space="preserve">2010 - July 2017 Storm Amort - 4 years </t>
  </si>
  <si>
    <t xml:space="preserve">2012 - 2019 Storm Amort - 5 years </t>
  </si>
  <si>
    <t>precedence for Storm treatment</t>
  </si>
  <si>
    <t>Total 407E</t>
  </si>
  <si>
    <t>Order Group 411.6 + 411.7</t>
  </si>
  <si>
    <t>Order Description</t>
  </si>
  <si>
    <t xml:space="preserve">1150 Gain -Disp Future Use Utility Plan </t>
  </si>
  <si>
    <t>FAS-143 - Gain on Settlement</t>
  </si>
  <si>
    <t>1150 Loss- Disp Future Use Utility Plan</t>
  </si>
  <si>
    <t>FAS-143 - Losses on Settlement</t>
  </si>
  <si>
    <t>Gains and losses from the disposal of utility plant are functionalized based on the functional nature of the asset.</t>
  </si>
  <si>
    <t>In general, these assets are Land and Land Rights often associated with vacated office buildings and former service bases as recorded in Account 389.</t>
  </si>
  <si>
    <t>Therefore, the losses and gains associated with these assets have been functionalized using  the same functionalization as Account 389 Land and Land Rights - PTD.</t>
  </si>
  <si>
    <t>The Gains and Losses settlement are related to the South King Office Building so that they are functionalized to to be PTD</t>
  </si>
  <si>
    <t>Order Group 557</t>
  </si>
  <si>
    <t>Reclassed to Taxes</t>
  </si>
  <si>
    <t>Reclassed to Benefits</t>
  </si>
  <si>
    <t>Order Group.</t>
  </si>
  <si>
    <t>PSE_ALL_3</t>
  </si>
  <si>
    <t>ASMT_TAXES</t>
  </si>
  <si>
    <t>ASMT_BENEF</t>
  </si>
  <si>
    <t xml:space="preserve"> 84100021  Payroll Taxes OH</t>
  </si>
  <si>
    <t xml:space="preserve"> 84100022  Benefits OH</t>
  </si>
  <si>
    <t>69990111  Transfer - Benefits OH</t>
  </si>
  <si>
    <t xml:space="preserve"> 69990112  Transfer - Payroll Taxes OH</t>
  </si>
  <si>
    <t xml:space="preserve">SAP Adjustment </t>
  </si>
  <si>
    <t>Net</t>
  </si>
  <si>
    <t>5360 - Power Supply - Organizations - E</t>
  </si>
  <si>
    <t>5360 - Pwr Supply - Brokerage Fee - E</t>
  </si>
  <si>
    <t xml:space="preserve">9810 - Green Power Renewable Credits </t>
  </si>
  <si>
    <t>5301 NON-IT Openlink/Endur Maint Electric</t>
  </si>
  <si>
    <t xml:space="preserve">5301 - NON-IT Lacima Maint Electric </t>
  </si>
  <si>
    <t xml:space="preserve">5301 - NON-IT Zema Maint Electric </t>
  </si>
  <si>
    <t xml:space="preserve">5301 - NON-IT OATI Maint Electric </t>
  </si>
  <si>
    <t xml:space="preserve">1256 - NON-IT Misc Electric </t>
  </si>
  <si>
    <t>4201 - Training - Power Costs</t>
  </si>
  <si>
    <t>5329 - Training - Power Costs</t>
  </si>
  <si>
    <t>5360 - Safety - Power Costs</t>
  </si>
  <si>
    <t>5360 - Training - Power Costs</t>
  </si>
  <si>
    <t>6003 - Safety - Power Costs</t>
  </si>
  <si>
    <t>6003 - Training - Power Costs</t>
  </si>
  <si>
    <t>6005 - Safety - Power Costs</t>
  </si>
  <si>
    <t>6005 - Training - Power Costs</t>
  </si>
  <si>
    <t>CLSD-6008 - Supervision &amp; Support</t>
  </si>
  <si>
    <t>CLSD- 6008 - General &amp; Administrative</t>
  </si>
  <si>
    <t>CLSD- 6008 - Other Power Supply Expenses</t>
  </si>
  <si>
    <t>CLSD- 6008 - Training - Power Costs</t>
  </si>
  <si>
    <t xml:space="preserve">1148 - NON-IT Futrak SW Maint Electric </t>
  </si>
  <si>
    <t xml:space="preserve">3050 -NON-IT PCI EIM SW Maint Electr </t>
  </si>
  <si>
    <t xml:space="preserve">6003-NON-IT Energy Exemplar SW Maint Ele </t>
  </si>
  <si>
    <t xml:space="preserve">6003 - NON-IT Power Settlements SaaS Gas </t>
  </si>
  <si>
    <t>Supervision &amp; Support PC</t>
  </si>
  <si>
    <t>General &amp; Administrative</t>
  </si>
  <si>
    <t>ESM Market Design PC</t>
  </si>
  <si>
    <t>5329 - Other Power Costs - EIM Project</t>
  </si>
  <si>
    <t>5013-Mid Columbia-Other Energy Exp-Elec</t>
  </si>
  <si>
    <t>5360 - Other Energy Expense - Electric</t>
  </si>
  <si>
    <t>1810 -Power Supply</t>
  </si>
  <si>
    <t xml:space="preserve">6009 - General &amp; Administrative </t>
  </si>
  <si>
    <t xml:space="preserve">6009 - Other Power Supply Expenses </t>
  </si>
  <si>
    <t>6009 - Training - Power Costs</t>
  </si>
  <si>
    <t>6003 - Power Supply Exp - Power Cost</t>
  </si>
  <si>
    <t xml:space="preserve">5360 - Deferred customer Portion - PCA </t>
  </si>
  <si>
    <t>CLSD-5360-Defer PCA Fixed Cost Imb-Resid</t>
  </si>
  <si>
    <t>CLSD-5360-Defer PCA Fixed Cost Imbal-Com</t>
  </si>
  <si>
    <t>CLSD-5360-Defer PCA Fixed Cost Imbal-Ind</t>
  </si>
  <si>
    <t>5360 - Defer PCA Fixed Cost Imb - Resid</t>
  </si>
  <si>
    <t>5360 - Defer PCA Fixed Cost Imbal - Comm</t>
  </si>
  <si>
    <t>5360 - Defer PCA Fixed Cost Imbal - Indu</t>
  </si>
  <si>
    <t xml:space="preserve">PCA Amortization Recovery UE-200893 </t>
  </si>
  <si>
    <t>6008 - Supervision &amp; Support</t>
  </si>
  <si>
    <t>6008 - General &amp; Administrative</t>
  </si>
  <si>
    <t>6008 - Other Power Supply Expenses</t>
  </si>
  <si>
    <t xml:space="preserve">6008 - Safety - Power Costs </t>
  </si>
  <si>
    <t>6008 - Training - Power Costs</t>
  </si>
  <si>
    <t>1900-BPA Transmission Policy--Generation</t>
  </si>
  <si>
    <t>1900-Power Wheeling Agreement-Generation</t>
  </si>
  <si>
    <t xml:space="preserve">1900-Coordination Agreement </t>
  </si>
  <si>
    <t>1900-Mid-Columbia General</t>
  </si>
  <si>
    <t>1900-Power Credit Matters</t>
  </si>
  <si>
    <t>1900-Power Purchase Agreements</t>
  </si>
  <si>
    <t>1900-Power Sale Agreements</t>
  </si>
  <si>
    <t>1900-FERC Regulatory Transmission</t>
  </si>
  <si>
    <t>1900-FERC Regulatory Merchant</t>
  </si>
  <si>
    <t>1900-Financial Derivatives</t>
  </si>
  <si>
    <t>6005 - Power Supply - Hedging</t>
  </si>
  <si>
    <t xml:space="preserve">3050 - Other Power Costs – G&amp;A </t>
  </si>
  <si>
    <t xml:space="preserve">3050 - Other Power Costs - EIM Proj </t>
  </si>
  <si>
    <t>4420 -Green Power Tags Programs</t>
  </si>
  <si>
    <t>Payroll Purchased Electricity</t>
  </si>
  <si>
    <t>1810 - Resource Plan &amp; Analysis PC</t>
  </si>
  <si>
    <t>4201 - Energy Policy Power Costs</t>
  </si>
  <si>
    <t>S-Mid Columbia-Other Energy Exp</t>
  </si>
  <si>
    <t>5329 - Other Power Costs - EIM Proj</t>
  </si>
  <si>
    <t>5329 - Other Power Costs-Energy Delivery</t>
  </si>
  <si>
    <t>5360 Power Supply PC</t>
  </si>
  <si>
    <t>5360 General &amp; Administrative</t>
  </si>
  <si>
    <t>5360 Supervision &amp; Support</t>
  </si>
  <si>
    <t>6003 - Energy Supply Power Cost</t>
  </si>
  <si>
    <t>6003 - General &amp; Administrative</t>
  </si>
  <si>
    <t>6003 - Supervison &amp; Support</t>
  </si>
  <si>
    <t>6005 Portfolio Hedging Power Cost</t>
  </si>
  <si>
    <t>1148-Energy Acctng O&amp;M Power Costs</t>
  </si>
  <si>
    <t>5301 - Other Energy Expense - Electric</t>
  </si>
  <si>
    <t>5301-Gurobi SW Maintenance</t>
  </si>
  <si>
    <t>Safety PC</t>
  </si>
  <si>
    <t>Training PC</t>
  </si>
  <si>
    <t>General &amp; Administrative PC</t>
  </si>
  <si>
    <t>Resource Adequacy PC</t>
  </si>
  <si>
    <t xml:space="preserve">4310- EIM Outside Services </t>
  </si>
  <si>
    <t xml:space="preserve">   &lt;-  ties to FERC Form 1 p320-323 </t>
  </si>
  <si>
    <t xml:space="preserve"> * If there is an amount associated to  "55700130  5360 - Deferred customer Portion - PCA", make sure to exclude from Sch. 1A (Cash Working Capital) by plugging the amount in "Sch 1A" cell G30.</t>
  </si>
  <si>
    <t>Order Group 908</t>
  </si>
  <si>
    <t>Order Group</t>
  </si>
  <si>
    <t xml:space="preserve"> PSE_ALL_3</t>
  </si>
  <si>
    <t xml:space="preserve"> ASMT_TAXES</t>
  </si>
  <si>
    <t xml:space="preserve"> ASMT_BENEF</t>
  </si>
  <si>
    <t xml:space="preserve">  Net</t>
  </si>
  <si>
    <t>*  Electric Cust Assistance Exp</t>
  </si>
  <si>
    <t>*  Gas Customer Assistance Exp</t>
  </si>
  <si>
    <t>*  Common Customer Assistance Exp</t>
  </si>
  <si>
    <t xml:space="preserve">cross check </t>
  </si>
  <si>
    <t>Order Group 908CAE</t>
  </si>
  <si>
    <t>Group</t>
  </si>
  <si>
    <t>SAP balance</t>
  </si>
  <si>
    <t>PSE (w/o taxes, benefits)</t>
  </si>
  <si>
    <t>Electric Portion of Common</t>
  </si>
  <si>
    <t>908 Electric Cust Assitance Exp</t>
  </si>
  <si>
    <t>908 Common Customer Assistance Exp</t>
  </si>
  <si>
    <t>908CAE - Conservation Amortization Elec</t>
  </si>
  <si>
    <t xml:space="preserve">   &lt;-  ties to FERC Form 1  p320-323 </t>
  </si>
  <si>
    <t xml:space="preserve">   &lt;-  ties to FERC Form 1 p356 </t>
  </si>
  <si>
    <t>Puget Sound Energy, Inc.</t>
  </si>
  <si>
    <t>FERC Reporting period: December 31, 2022</t>
  </si>
  <si>
    <t>PAGE 110</t>
  </si>
  <si>
    <t>COMPARATIVE BALANCE SHEET (ASSETS AND OTHER DEBITS)</t>
  </si>
  <si>
    <t>Line</t>
  </si>
  <si>
    <t>Ref.
Page No.</t>
  </si>
  <si>
    <t>Current Year
End of Quarter/Year
Balance</t>
  </si>
  <si>
    <t>Prior Year
End Balance
12/31</t>
  </si>
  <si>
    <t>No.</t>
  </si>
  <si>
    <t>Title of Account</t>
  </si>
  <si>
    <t>Ref.</t>
  </si>
  <si>
    <t>December 31, 2022</t>
  </si>
  <si>
    <t>(a)</t>
  </si>
  <si>
    <t>(b)</t>
  </si>
  <si>
    <t>(c)</t>
  </si>
  <si>
    <t>(d)</t>
  </si>
  <si>
    <t>UTILITY PLANT</t>
  </si>
  <si>
    <t>Utility Plant (101-106, 114)</t>
  </si>
  <si>
    <t>Construction Work in Progress (107)</t>
  </si>
  <si>
    <t>TOTAL Utility Plant (Enter Total of lines 2 and 3)</t>
  </si>
  <si>
    <t>(Less) Accum. Prov. for Depr. Amort. Depl. (108, 110, 111, 115)</t>
  </si>
  <si>
    <t>Net Utility Plant (Enter Total of line 4 less 5)</t>
  </si>
  <si>
    <t>Nuclear Fuel in Process of Ref., Conv., Enrich., and Fab. (120.1)</t>
  </si>
  <si>
    <t>202-203</t>
  </si>
  <si>
    <t>Nuclear Fuel Materials and Assemblies-Stock Account (120.2)</t>
  </si>
  <si>
    <t>Nuclear Fuel Assemblies in Reactor (120.3)</t>
  </si>
  <si>
    <t>Spent Nuclear Fuel (120.4)</t>
  </si>
  <si>
    <t>Nuclear Fuel Under Capital Lease (120.6)</t>
  </si>
  <si>
    <t>(Less) Accum. Prov. for Amort. of Nucl. Fuel Assemblies (120.5)</t>
  </si>
  <si>
    <t>Net Nuclear Fuel (Enter Total of line 7-11 less 12)</t>
  </si>
  <si>
    <t>Net Utility Plant (Enter Total of lines 6 and 13)</t>
  </si>
  <si>
    <t>Utility Plant Adjustments (116)</t>
  </si>
  <si>
    <t>Gas Stored Underground - Noncurrent (117)</t>
  </si>
  <si>
    <t>OTHER PROPERTY AND INVESTMENTS</t>
  </si>
  <si>
    <t>Nonutility Property (121)</t>
  </si>
  <si>
    <t>(Less) Accum. Prov. for Depr. and Amort. (122)</t>
  </si>
  <si>
    <t>Investments in Associated Companies (123)</t>
  </si>
  <si>
    <t>Investment in Subsidiary Companies (123.1)</t>
  </si>
  <si>
    <t>224-225</t>
  </si>
  <si>
    <t>(For Cost of Account 123.1, See Footnote Page 224, line 42)</t>
  </si>
  <si>
    <t>Noncurrent Portion of Allowances</t>
  </si>
  <si>
    <t>228-229</t>
  </si>
  <si>
    <t>Other Investments (124)</t>
  </si>
  <si>
    <t>Sinking Funds (125)</t>
  </si>
  <si>
    <t>Depreciation Fund (126)</t>
  </si>
  <si>
    <t>Amortization Fund - Federal (127)</t>
  </si>
  <si>
    <t>Other Special Funds (128)</t>
  </si>
  <si>
    <t>Special Funds (Non Major Only) (129)</t>
  </si>
  <si>
    <t>Long-Term Portion of Derivative Assets (175)</t>
  </si>
  <si>
    <t>Long-Term Portion of Derivative Assets - Hedges (176)</t>
  </si>
  <si>
    <t>TOTAL Other Property and Investments (lines 18-21, 23-31)</t>
  </si>
  <si>
    <t>CURRENT AND ACCRUED ASSETS</t>
  </si>
  <si>
    <t>Cash and Working Funds (Non-major Only) (130)</t>
  </si>
  <si>
    <t>Cash (131)</t>
  </si>
  <si>
    <t>Special Deposits (132-134)</t>
  </si>
  <si>
    <t>Working Fund (135)</t>
  </si>
  <si>
    <t>Temporary Cash Investments (136)</t>
  </si>
  <si>
    <t>Notes Receivable (141)</t>
  </si>
  <si>
    <t>Customer Accounts Receivable (142)</t>
  </si>
  <si>
    <t>Other Accounts Receivable (143)</t>
  </si>
  <si>
    <t>(Less) Accum. Prov. for Uncollectible Acct.-Credit (144)</t>
  </si>
  <si>
    <t>Notes Receivable from Associated Companies (145)</t>
  </si>
  <si>
    <t>Accounts Receivable from Assoc. Companies (146)</t>
  </si>
  <si>
    <t>Fuel Stock (151)</t>
  </si>
  <si>
    <t>Fuel Stock Expenses Undistributed (152)</t>
  </si>
  <si>
    <t>Residuals (Elec) and Extracted Products (153)</t>
  </si>
  <si>
    <t>Plant Material and Operating Supplies (154)</t>
  </si>
  <si>
    <t>Merchandise (155)</t>
  </si>
  <si>
    <t>Other Materials and Supplies (156)</t>
  </si>
  <si>
    <t>Nuclear Materials Held for Sale (157)</t>
  </si>
  <si>
    <t>202-203/227</t>
  </si>
  <si>
    <t>Allowances (158.1 and 158.2)</t>
  </si>
  <si>
    <t xml:space="preserve">   </t>
  </si>
  <si>
    <t>PAGE 111</t>
  </si>
  <si>
    <t>(Less) Noncurrent Portion of Allowances</t>
  </si>
  <si>
    <t>Stores Expenses Undistributed (163)</t>
  </si>
  <si>
    <t>Gas Stored Underground - Current (164.1)</t>
  </si>
  <si>
    <t>Liquefied Natural Gas Stored and Held for Processing (164.2-164.3)</t>
  </si>
  <si>
    <t>Prepayments (165)</t>
  </si>
  <si>
    <t>Advances for Gas (166-167)</t>
  </si>
  <si>
    <t>Interest and Dividends Receivable (171)</t>
  </si>
  <si>
    <t>Rents Receivable (172)</t>
  </si>
  <si>
    <t>Accrued Utility Revenues (173)</t>
  </si>
  <si>
    <t>Miscellaneous Current and Accrued Assets (174)</t>
  </si>
  <si>
    <t>Derivative Instrument Assets (175)</t>
  </si>
  <si>
    <t>(Less) Long-Term Portion of Derivative Instrument Assets (175)</t>
  </si>
  <si>
    <t>Derivative Instrument Assets - Hedges (176)</t>
  </si>
  <si>
    <t>(Less) Long-Term Portion of Derivative Instrument Assets - Hedges (176</t>
  </si>
  <si>
    <t>Total Current and Accrued Assets (Lines 34 thru 66)</t>
  </si>
  <si>
    <t>DEFERRED DEBITS</t>
  </si>
  <si>
    <t>Unamortized Debt Expenses (181)</t>
  </si>
  <si>
    <t>Extraordinary Property Losses (182.1)</t>
  </si>
  <si>
    <t>230a</t>
  </si>
  <si>
    <t>Unrecovered Plant and Regulatory Study Costs (182.2)</t>
  </si>
  <si>
    <t>230b</t>
  </si>
  <si>
    <t>Other Regulatory Assets (182.3)</t>
  </si>
  <si>
    <t>Prelim. Survey and Investigation Charges (Electric) (183)</t>
  </si>
  <si>
    <t>Preliminary Natural Gas Survey and Investigation Charges 183.1)</t>
  </si>
  <si>
    <t>Other Preliminary Survey and Investigation Charges (183.2)</t>
  </si>
  <si>
    <t>Clearing Accounts (184)</t>
  </si>
  <si>
    <t>Temporary Facilities (185)</t>
  </si>
  <si>
    <t>Miscellaneous Deferred Debits (186)</t>
  </si>
  <si>
    <t>Def. Losses from Disposition of Utility Plt. (187)</t>
  </si>
  <si>
    <t>Research, Devel. and Demonstration Expend. (188)</t>
  </si>
  <si>
    <t>352-353</t>
  </si>
  <si>
    <t>Unamortized Loss on Reacquired Debt (189)</t>
  </si>
  <si>
    <t>Accumulated Deferred Income Taxes (190)</t>
  </si>
  <si>
    <t>Unrecovered Purchased Gas Costs (191)</t>
  </si>
  <si>
    <t>Total Deferred Debits (lines 69 thru 83)</t>
  </si>
  <si>
    <t>TOTAL ASSETS (lines 14-16, 32, 67, and 84)</t>
  </si>
  <si>
    <t>PAGE 112</t>
  </si>
  <si>
    <t>COMPARATIVE BALANCE SHEET (LIABILITIES AND OTHER CREDITS)</t>
  </si>
  <si>
    <t>Line No.</t>
  </si>
  <si>
    <t>Ref. Page No.</t>
  </si>
  <si>
    <t>Current Year End of Quarter/Year Balance</t>
  </si>
  <si>
    <t>Prior Year End Balance 12/31</t>
  </si>
  <si>
    <t>PROPRIETARY CAPITAL</t>
  </si>
  <si>
    <t>Common Stock Issued (201)</t>
  </si>
  <si>
    <t>250-251</t>
  </si>
  <si>
    <t>Preferred Stock Issued (204)</t>
  </si>
  <si>
    <t>Capital Stock Subscribed (202,205)</t>
  </si>
  <si>
    <t>Stock Liability for Conversion (203, 206)</t>
  </si>
  <si>
    <t>Premium on Capital Stock (207)</t>
  </si>
  <si>
    <t>Other Paid-In Capital (208-211)</t>
  </si>
  <si>
    <t>Installments Received on Capital Stock (212)</t>
  </si>
  <si>
    <t>(Less) Discount on Capital Stock (213)</t>
  </si>
  <si>
    <t>(Less) Capital Stock Expense (214)</t>
  </si>
  <si>
    <t>254b</t>
  </si>
  <si>
    <t>Retained Earnings (215, 215.1, 216)</t>
  </si>
  <si>
    <t>118-119</t>
  </si>
  <si>
    <t>Unappropriated Undistributed Subsidiary Earnings (216.1)</t>
  </si>
  <si>
    <t>(Less) Reacquired Capital Stock (217)</t>
  </si>
  <si>
    <t>Noncorporate Proprietorship (Non-major only)  (218)</t>
  </si>
  <si>
    <t>Accumulated Other Comprehensive Income (219)</t>
  </si>
  <si>
    <t>122(a)(b)</t>
  </si>
  <si>
    <t>Total Proprietary Capital (lines 2 thru 15)</t>
  </si>
  <si>
    <t>LONG-TERM DEBT</t>
  </si>
  <si>
    <t>Bonds (221)</t>
  </si>
  <si>
    <t>256-257</t>
  </si>
  <si>
    <t>(Less) Reacquired Bonds (222)</t>
  </si>
  <si>
    <t>Advances from Associated Companies (223)</t>
  </si>
  <si>
    <t>Other Long-Term Debt (224)</t>
  </si>
  <si>
    <t>Unamortized Premium on Long-Term Debt (225)</t>
  </si>
  <si>
    <t>(Less) Unamortized Discount on Long-Term Debt-Debit (226)</t>
  </si>
  <si>
    <t>Total Long-Term Debt (lines 18 through 23)</t>
  </si>
  <si>
    <t>OTHER NONCURRENT LIABILITIES</t>
  </si>
  <si>
    <t>Obligations Under Capital Leases - Noncurrent (227)</t>
  </si>
  <si>
    <t>Accumulated Provision for Property Insurance (228.1)</t>
  </si>
  <si>
    <t>Accumulated Provision for Injuries and Damages (228.2)</t>
  </si>
  <si>
    <t>Accumulated Provision for Pensions and Benefits (228.3)</t>
  </si>
  <si>
    <t>Accumulated Miscellaneous Operating Provisions (228.4)</t>
  </si>
  <si>
    <t>Accumulated Provision for Rate Refunds (229)</t>
  </si>
  <si>
    <t>Asset Retirement Obligations (230)</t>
  </si>
  <si>
    <t>Total Other Noncurrent Liabilities (lines 26 through 34)</t>
  </si>
  <si>
    <t>Notes Payable (231)</t>
  </si>
  <si>
    <t>Accounts Payable (232)</t>
  </si>
  <si>
    <t>Notes Payable to Associated Companies (233)</t>
  </si>
  <si>
    <t>Accounts Payable to Associated Companies (234)</t>
  </si>
  <si>
    <t>Customer Deposits (235)</t>
  </si>
  <si>
    <t>Taxes Accrued (236)</t>
  </si>
  <si>
    <t>Interest Accrued (237)</t>
  </si>
  <si>
    <t>Dividends Declared (238)</t>
  </si>
  <si>
    <t>Matured Long-Term Debt (239)</t>
  </si>
  <si>
    <t>PAGE 113</t>
  </si>
  <si>
    <t>Matured Interest (240)</t>
  </si>
  <si>
    <t>Tax Collections Payable (241)</t>
  </si>
  <si>
    <t>Miscellaneous Current and Accrued Liabilities (242)</t>
  </si>
  <si>
    <t>Obligations Under Capital Leases-Current (243)</t>
  </si>
  <si>
    <t>Derivative Instrument Liabilities (244)</t>
  </si>
  <si>
    <t>(Less) Long-Term Portion of Derivative Instrument Liabilities</t>
  </si>
  <si>
    <t>Derivative Instrument Liabilities - Hedges (245)</t>
  </si>
  <si>
    <t>(Less) Long-Term Portion of Derivative Instrument Liabilities - Hedges</t>
  </si>
  <si>
    <t>Total Current and Accrued Liabilities (lines 37 through 53)</t>
  </si>
  <si>
    <t>Customer Advances for Construction (252)</t>
  </si>
  <si>
    <t>Accumulated Deferred Investment Tax Credits (255)</t>
  </si>
  <si>
    <t>266-267</t>
  </si>
  <si>
    <t>Deferred Gains from Disposition of Utility Plant (256)</t>
  </si>
  <si>
    <t>Other Deferred Credits (253)</t>
  </si>
  <si>
    <t>Other Regulatory Liabilities (254)</t>
  </si>
  <si>
    <t>Unamortized Gain on Reacquired Debt (257)</t>
  </si>
  <si>
    <t>Accum. Deferred Income Taxes-Accel. Amort. (281)</t>
  </si>
  <si>
    <t>272-277</t>
  </si>
  <si>
    <t>Accum. Deferred Income Taxes-Other Property (282)</t>
  </si>
  <si>
    <t>Accum. Deferred Income Taxes-Other (283)</t>
  </si>
  <si>
    <t>Total Deferred Credits (lines 56 through 64)</t>
  </si>
  <si>
    <t>TOTAL LIABILITIES AND STOCKHOLDER EQUITY (lines 16, 24, 35, 54, and 65)</t>
  </si>
  <si>
    <t>PAGE 114</t>
  </si>
  <si>
    <t>PAGE 115</t>
  </si>
  <si>
    <t>STATEMENT OF INCOME</t>
  </si>
  <si>
    <t>STATEMENT OF INCOME FOR THE YEAR (Continued)</t>
  </si>
  <si>
    <t>Quarterly
1. Report in column (c) the current year to date balance. Column (c) equals the total of adding the data in column (g) plus the data in column (i) plus the data in column (k). Report in column (d) similar data for the previous year. this information is reported in the annual filing only.
2. Enter in column (e) the balance for the reporting quarter and in column (f) the balance for the same three month period for the prior year.
3. Report in column (g) the quarter to date amounts for electric utility function; in column (i) the quarter to date amounts for gas utility, and in column (k) the quarter to date amounts for other utility function for the current year quarter.
4. Report in column (h) the quarter to date amounts for electric utility function; in column (j) the quarter to date amounts for gas utility, and in column (l) the quarter to date amounts for other utility function for the prior year quarter.
5. If additional columns are needed place them in a footnote.
Annual or Quarterly if applicable 
6. Do not report fourth quarter data in columns (e) and (f). 
7. Report amounts for accounts 412 and 413, Revenues and Expenses from Utility Plant Leases to Others, in another utility column in a similar manner to a utility department. Spread the amount(s) over lines 2 thru 26 as appropriate. Include these amounts in columns (c) and (d) totals. 
8. Report amounts in account 414, Other Utility Operating Income, in the same manner as accounts 412 and 413 above.</t>
  </si>
  <si>
    <t>9. Use page 122 for important notes regarding the statement of income for any account thereof.
10. Give concise explanations concerning unsettled rate proceedings where a contingency exists such that refunds of a material amount may need to be made to the utility's customers or which may result in material refund to the utility with respect to power or gas purchases.  State for each year effected the gross revenues or costs to which the contingency relates and the tax effects together with an explanation of the major factors which affect the rights of the utility to retain such revenues or recover amounts paid with respect to power or gas purchases.
11 Give concise explanations concerning significant amounts of any refunds made or received during the year resulting from settlement of any rate proceeding affecting revenues received or costs incurred for power or gas purches, and a summary of the adjustments made to balance sheet, income, and expense accounts.
12. If any notes appearing in the report to stokholders are applicable to the Statement of Income, such notes may be included at page 122.
13. Enter on page 122 a concise explanation of only those changes in accounting methods made during the year which had an effect on net income, including the basis of allocations and apportionments from those used in the preceding year. Also, give the appropriate dollar effect of such changes.
14. Explain in a footnote if the previous year's/quarter's figures are different from that reported in prior reports.
15. If the columns are insufficient for reporting additional utility departments, supply the appropriate account titles report the information in a footnote to this schedule.</t>
  </si>
  <si>
    <t>(Ref.)
Page No.</t>
  </si>
  <si>
    <t>Total
Current Year to
Date Balance for
Quarter/Year</t>
  </si>
  <si>
    <t>Total
Prior Year to
Date Balance for
Quarter/Year</t>
  </si>
  <si>
    <t>Current 3 Months
Ended
Quarterly Only
No 4th Quarter</t>
  </si>
  <si>
    <t>Prior 3 Months
Ended
Quarterly Only
No 4th Quarter</t>
  </si>
  <si>
    <t>ELECTRIC UTILITY</t>
  </si>
  <si>
    <t>GAS UTILITY</t>
  </si>
  <si>
    <t>OTHER UTILITY</t>
  </si>
  <si>
    <t>Line
No.</t>
  </si>
  <si>
    <t>Current Year to Date
(in dollars)</t>
  </si>
  <si>
    <t>Previous Year to Date
(in dollars)</t>
  </si>
  <si>
    <t>( c )</t>
  </si>
  <si>
    <t>(e)</t>
  </si>
  <si>
    <t>(f)</t>
  </si>
  <si>
    <t>(g)</t>
  </si>
  <si>
    <t>(h)</t>
  </si>
  <si>
    <t>(i)</t>
  </si>
  <si>
    <t>(j)</t>
  </si>
  <si>
    <t>(k)</t>
  </si>
  <si>
    <t>(l)</t>
  </si>
  <si>
    <t>UTILITY OPERATING INCOME</t>
  </si>
  <si>
    <t>Operating Revenues (400)</t>
  </si>
  <si>
    <t>300-301</t>
  </si>
  <si>
    <t>Operating Expenses</t>
  </si>
  <si>
    <t xml:space="preserve">     </t>
  </si>
  <si>
    <t>Operating Expenses (401)</t>
  </si>
  <si>
    <t>Maintenance Expenses (402)</t>
  </si>
  <si>
    <t>Depreciation Expense (403)</t>
  </si>
  <si>
    <t>336-337</t>
  </si>
  <si>
    <t>Depreciation Expense for Asset Retirement Costs (403.1)</t>
  </si>
  <si>
    <t>Amort. &amp; Depl. Of Utility Plant (404-405)</t>
  </si>
  <si>
    <t>Amort. of Utility Plant Acq. Adj. (406)</t>
  </si>
  <si>
    <t>Amort. Property Losses, Unrecov Plant and Regulatory Study Costs (407)</t>
  </si>
  <si>
    <t>Amort. of Conversion Expenses (407)</t>
  </si>
  <si>
    <t>Regulatory Debits (407.3)</t>
  </si>
  <si>
    <t>(Less) Regulatory Credits (407.4)</t>
  </si>
  <si>
    <t>Taxes Other Than Income Taxes (408.1)</t>
  </si>
  <si>
    <t>Income Taxes - Federal (409.1)</t>
  </si>
  <si>
    <t>- Other (409.1)</t>
  </si>
  <si>
    <t>Provision for Deferred Income Taxes (410.1)</t>
  </si>
  <si>
    <t>234, 272-277</t>
  </si>
  <si>
    <t>(Less) Provision for Deferred Income Taxes-Cr. (411.1)</t>
  </si>
  <si>
    <t>Investment Tax Credit Adj. - Net (411.4)</t>
  </si>
  <si>
    <t>(Less) Gains from Disp. Of Utility Plant (411.6)</t>
  </si>
  <si>
    <t>Losses from Disp. Of Utility Plant (411.7)</t>
  </si>
  <si>
    <t>(Less) Gains from Disposition of Allowances (411.8)</t>
  </si>
  <si>
    <t>Losses from Disposition of Allowances (411.9)</t>
  </si>
  <si>
    <t>Accretion Expense (411.10)</t>
  </si>
  <si>
    <t>TOTAL Utility Operating Expenses (Enter Total of lines 4 thru 24)</t>
  </si>
  <si>
    <t>Net Util Oper Inc (Enter Tot Line 2 less 25), Carry to Pg117, line 27</t>
  </si>
  <si>
    <t>PAGE 117</t>
  </si>
  <si>
    <t>PAGE 117.a</t>
  </si>
  <si>
    <t>Net Utility Operating Income (Carried forward from page 114)</t>
  </si>
  <si>
    <t>Other Income and Deductions</t>
  </si>
  <si>
    <t>Other Income</t>
  </si>
  <si>
    <t>Nonutlity Operating Income</t>
  </si>
  <si>
    <t>Revenues From Merchandising, Jobbing and Contract Work (415)</t>
  </si>
  <si>
    <t>(Less) Costs and Exp. Of Merchandising, Job. &amp; Contract Work (416)</t>
  </si>
  <si>
    <t>Revenues from Nonutility Operations (417)</t>
  </si>
  <si>
    <t>(Less) Expenses of Nonutility Operations (417.1)</t>
  </si>
  <si>
    <t>Nonoperating Rental Income (418)</t>
  </si>
  <si>
    <t>Equity in Earnings of Subsidiary Companies (418.1)</t>
  </si>
  <si>
    <t>Interest and Dividend Income (419)</t>
  </si>
  <si>
    <t>Allowance for Other Funds Used During Construction (419.1)</t>
  </si>
  <si>
    <t>Miscellaneous Nonoperating Income (421)</t>
  </si>
  <si>
    <t>Gain on Disposition of Property (421.1)</t>
  </si>
  <si>
    <t>TOTAL Other Income (Enter Total of lines 31 thru 40)</t>
  </si>
  <si>
    <t>Other Income Deductions</t>
  </si>
  <si>
    <t>Loss on Disposition of Property (421.2)</t>
  </si>
  <si>
    <t>Miscellaneous Amortization (425)</t>
  </si>
  <si>
    <t>Donations (426.1)</t>
  </si>
  <si>
    <t>Life Insurance (426.2)</t>
  </si>
  <si>
    <t>Penalties (426.3)</t>
  </si>
  <si>
    <t>Exp for Certain Civic, Political &amp; Related Activities (426.4)</t>
  </si>
  <si>
    <t>Other Deductions (426.5)</t>
  </si>
  <si>
    <t>TOTAL Other Income Deductions (Total of lines 43 thru 49)</t>
  </si>
  <si>
    <t>Taxes Applic. To Other Income and Deductions</t>
  </si>
  <si>
    <t>Taxes Other Than Income Taxes (408.2)</t>
  </si>
  <si>
    <t>Income Taxes - Federal (409.2)</t>
  </si>
  <si>
    <t>Income Taxes - Other (409.2)</t>
  </si>
  <si>
    <t>Provision for Deferred Income Taxes (410.2)</t>
  </si>
  <si>
    <t>(Less) Provision for Deferred Income Taxes-Cr (411.2)</t>
  </si>
  <si>
    <t>Investment Tax Credit Adj. - Net (411.5)</t>
  </si>
  <si>
    <t>(Less) Investment Tax Credits (420)</t>
  </si>
  <si>
    <t>TOTAL Taxes on Other Income and Deduction (Total of  lines 52-58)</t>
  </si>
  <si>
    <t>Net Other Income and Deductions (Total of lines 41, 50, 59)</t>
  </si>
  <si>
    <t>Interest Charges</t>
  </si>
  <si>
    <t>Interest on Long-Term Debt (427)</t>
  </si>
  <si>
    <t>Amort. of Debt Disc. and Expense (428)</t>
  </si>
  <si>
    <t>Amortization of Loss on Reaquired Debt (428.1)</t>
  </si>
  <si>
    <t>(Less) Amort. of Premium on Debt-Credit (429)</t>
  </si>
  <si>
    <t>(Less) Amortization of Gain on Reacquired Debt-Credit (429.1)</t>
  </si>
  <si>
    <t>Interest on Debt to Assoc. Companies (430)</t>
  </si>
  <si>
    <t>Other Interest Expense (431)</t>
  </si>
  <si>
    <t>(Less) Allowance for Borrowed Funds Used During Construction-Cr. (432)</t>
  </si>
  <si>
    <t>Net Interest Charges (Total of lines 62 thru 69)</t>
  </si>
  <si>
    <t>Income Before Extraordinary Items (Total of Lines 27, 60 and 70)</t>
  </si>
  <si>
    <t>Extraordinary Items</t>
  </si>
  <si>
    <t>Extraordinary Income (434)</t>
  </si>
  <si>
    <t>(Less) Extraordinary Deductions (435)</t>
  </si>
  <si>
    <t>Net Extraordinary Items (Total of Line 73 less line 74)</t>
  </si>
  <si>
    <t>Income Taxes-Federal and Other (409.3)</t>
  </si>
  <si>
    <t>Extraordinary Items After Taxes (line 75 less line 76)</t>
  </si>
  <si>
    <t>Net Income (Total of lines 71 and 77)</t>
  </si>
  <si>
    <t>BREAKOUT No. 1</t>
  </si>
  <si>
    <t xml:space="preserve"> Amort of Other Utility Plant</t>
  </si>
  <si>
    <t>PAGE 200</t>
  </si>
  <si>
    <t>PAGE 201</t>
  </si>
  <si>
    <t>SUMMARY OF UTILITY PLANT AND ACCUMULATED PROVISIONS 
FOR DEPRECIATION, AMORTIZATION AND DEPLETION</t>
  </si>
  <si>
    <t>SUMMARY OF UTILITY PLANT AND ACCUMULATED PROVISIONS  FOR DEPRECIATION, AMORTIZATION AND DEPLETION</t>
  </si>
  <si>
    <t>Amortization of Other Utility Plant (a)  FERC3901</t>
  </si>
  <si>
    <t>Report in Column (c) the amount for electric function, in column (d) the amount for gas function, in column (e), (f), and (g) report other (specify) and in column (h) common function.</t>
  </si>
  <si>
    <t xml:space="preserve"> Cross check  </t>
  </si>
  <si>
    <t>Line 
No.</t>
  </si>
  <si>
    <t xml:space="preserve">Total Company for the Current Year/Quarter Ended </t>
  </si>
  <si>
    <t>Other (Specify)</t>
  </si>
  <si>
    <t>BREAKOUT No. 2</t>
  </si>
  <si>
    <t>Gas
(d)</t>
  </si>
  <si>
    <t>Other (Specify)
(e)</t>
  </si>
  <si>
    <t>Common
(h)</t>
  </si>
  <si>
    <t>Accm. Amortization of Other Utility Plant (a)</t>
  </si>
  <si>
    <t xml:space="preserve"> E390 Leasehold Improvements </t>
  </si>
  <si>
    <t>In Service</t>
  </si>
  <si>
    <t>Plant in Service (Classified)</t>
  </si>
  <si>
    <t>BREAKOUT No. 3</t>
  </si>
  <si>
    <t>Property Under Capital Leases</t>
  </si>
  <si>
    <t>Plant Purchased or Sold</t>
  </si>
  <si>
    <t xml:space="preserve"> E303 Software </t>
  </si>
  <si>
    <t>Completed Construction not Classified</t>
  </si>
  <si>
    <t xml:space="preserve"> Whitehorn 2&amp;3 LH </t>
  </si>
  <si>
    <t>Experimental Plant Unclassified</t>
  </si>
  <si>
    <t>Total (3 thru 7)</t>
  </si>
  <si>
    <t>Leased to Others</t>
  </si>
  <si>
    <t>BREAKOUT No. 4</t>
  </si>
  <si>
    <t>Held for Future Use</t>
  </si>
  <si>
    <t>Construction Work in Progress</t>
  </si>
  <si>
    <t xml:space="preserve"> E302 Franchises </t>
  </si>
  <si>
    <t>Acquisition Adjustments</t>
  </si>
  <si>
    <t xml:space="preserve"> E302 Hydro Project Licenses </t>
  </si>
  <si>
    <t>Total Utility Plant (8 thru 12)</t>
  </si>
  <si>
    <t>Accum Prov for Depr, Amort, &amp; Depl</t>
  </si>
  <si>
    <t>Net Utility Plant (13 less 14)</t>
  </si>
  <si>
    <t>Detail of Accum Prov for Depr, Amort &amp; Depl</t>
  </si>
  <si>
    <t>These are the expense side:</t>
  </si>
  <si>
    <t>In Service:</t>
  </si>
  <si>
    <t>Amort &amp; Depl of Producing Nat Gas Land/Land Right</t>
  </si>
  <si>
    <t>E390 Leasehold Improvements</t>
  </si>
  <si>
    <t>Amort of Underground Storage Land/Land Rights</t>
  </si>
  <si>
    <t>Amort of Other Utility Plant</t>
  </si>
  <si>
    <t>Total In Service (18 thru 21)</t>
  </si>
  <si>
    <t>E303 Software</t>
  </si>
  <si>
    <t>Amortization and Depletion</t>
  </si>
  <si>
    <t>Whitehorn 2&amp;3 LH</t>
  </si>
  <si>
    <t>Total Leased to Others (24 &amp; 25)</t>
  </si>
  <si>
    <t>Amortization</t>
  </si>
  <si>
    <t>Total Held for Future Use (28 &amp; 29)</t>
  </si>
  <si>
    <t>E302 Franchises</t>
  </si>
  <si>
    <t>Abandonment of Leases (Natural Gas)</t>
  </si>
  <si>
    <t>E302 Hydro Project Licenses</t>
  </si>
  <si>
    <t>Amort of Plant Acquisition Adj</t>
  </si>
  <si>
    <t>Total Accum Prov (equals 14) (22,26,30,31,32)</t>
  </si>
  <si>
    <t>PAGE 204</t>
  </si>
  <si>
    <t>PAGE 205</t>
  </si>
  <si>
    <t>ELECTRIC PLANT IN SERVICE (Account 101. 102, 103 and 106)</t>
  </si>
  <si>
    <t>ELECTRIC PLANT IN SERVICE (Account 101, 102, 103 and 106) (Continued)</t>
  </si>
  <si>
    <t>1.  Report below the original cost of electric plant in service according to the prescribed accounts.
2.  In addition to Account 101, Electric Plant in Service (Classified), this page and the next include Account 102, Electric Plant Purchased or Sold;Account 103, Experimental Electric Plant Unclassified; and Account 106, Completed Construction Not Classified-Electric.3. 
3.  Include in column (c) or (d), as appropriate, corrections of additions and retirements for the current or preceding year.
4.  For revisions to the amount of initial asset retirement costs capitalized, included by primary plant account, increases in column (c) additions and reductions in column (e) adjustments.
5.  Enclose in parentheses credit adjustments of plant accounts to indicate the negative effect of such accounts.
6.  Classify Account 106 according to prescribed accounts, on an estimated basis if necessary, and include the entries in column (c). Also to be included in column (c) are entries for reversals of tentative distributions of prior year reported in column (b). Likewise, if the respondent has a significant amount of plant retirements which have not been classified to primary accounts at the end of the year, include in column (d) a tentative distribution of such retirements, on an estimated basis, with appropriate contra entry to the account for accumulated depreciation provision. Include also in column (d)</t>
  </si>
  <si>
    <t>distributions of these tentative classifications in columns (c) and (d), including the reversals of the prior years tentative account distributions of these amounts. Careful observance of the above instructions and the texts of Accounts 101 and 106 will avoid serious omissions of the reported amount of respondent's plant actually in service at end of year.
7. Show in column (f) reclassifications or transfers within utility plant accounts. Include also in column (f) the additions or reductions of primary account classifications arising from distribution of amounts initially recorded in Account 102, include in column (e) the amounts with respect to accumulated provision for depreciation, acquisition adjustments, etc., and show in column (f) only the offset to the debits or credits distributed in column (f) to primary account classifications.
8. For Account 399, state the nature and use of plant included in this accotnt and if substantial in amount submit a supplementary statement showing subaccount classification of such plant conforming to the requirement of these pages.
9. For each amount comprising the reported balance and changes in Account 102, state the property purchased or sold, name of vendor or purchase,and date of transaction. If proposed journal entries have been filed with the Commission as required by the Uniform System of Accounts, give also date</t>
  </si>
  <si>
    <t>Balance
Beginning of Year</t>
  </si>
  <si>
    <t>Additions</t>
  </si>
  <si>
    <t>Retirements</t>
  </si>
  <si>
    <t>Adjustments</t>
  </si>
  <si>
    <t>Transfers</t>
  </si>
  <si>
    <t>Balance at
End of Year</t>
  </si>
  <si>
    <t>1</t>
  </si>
  <si>
    <t>1. INTANGIBLE PLANT</t>
  </si>
  <si>
    <t>2</t>
  </si>
  <si>
    <t>(301) Organization</t>
  </si>
  <si>
    <t>3</t>
  </si>
  <si>
    <t>(302) Franchises and Consents</t>
  </si>
  <si>
    <t>4</t>
  </si>
  <si>
    <t>(303) Miscellaneous Intangible Plant</t>
  </si>
  <si>
    <t>5</t>
  </si>
  <si>
    <t>TOTAL Intangible Plant (Enter Total of lines 2, 3, and 4)</t>
  </si>
  <si>
    <t>6</t>
  </si>
  <si>
    <t>2. PRODUCTION PLANT</t>
  </si>
  <si>
    <t>7</t>
  </si>
  <si>
    <t>A. Steam Production Plant</t>
  </si>
  <si>
    <t>8</t>
  </si>
  <si>
    <t>(310) Land and Land Rights</t>
  </si>
  <si>
    <t>9</t>
  </si>
  <si>
    <t>(311) Structures and Improvements</t>
  </si>
  <si>
    <t>10</t>
  </si>
  <si>
    <t>(312) Boiler Plant Equipment</t>
  </si>
  <si>
    <t>11</t>
  </si>
  <si>
    <t>(313) Engines and Engine-Driven Generators</t>
  </si>
  <si>
    <t>12</t>
  </si>
  <si>
    <t>(314) Turbogenerator Units</t>
  </si>
  <si>
    <t>13</t>
  </si>
  <si>
    <t>(315) Accessory Electric Equipment</t>
  </si>
  <si>
    <t>14</t>
  </si>
  <si>
    <t>(316) Misc. Power Plant Equipment</t>
  </si>
  <si>
    <t>15</t>
  </si>
  <si>
    <t>(317) Asset Retirement Costs for Steam Production</t>
  </si>
  <si>
    <t>16</t>
  </si>
  <si>
    <t>TOTAL Steam Production Plant (Enter Total of lines 8 thru 15)</t>
  </si>
  <si>
    <t>17</t>
  </si>
  <si>
    <t>B. Nuclear Production Plant</t>
  </si>
  <si>
    <t>18</t>
  </si>
  <si>
    <t>(320) Land and Land Rights</t>
  </si>
  <si>
    <t>19</t>
  </si>
  <si>
    <t>(321) Structures and Improvements</t>
  </si>
  <si>
    <t>20</t>
  </si>
  <si>
    <t>(322) Rector Plant Equipment</t>
  </si>
  <si>
    <t>21</t>
  </si>
  <si>
    <t>(323) Turbogenerator Units</t>
  </si>
  <si>
    <t>22</t>
  </si>
  <si>
    <t>(324) Accessory Electric Equipment</t>
  </si>
  <si>
    <t>23</t>
  </si>
  <si>
    <t>(325) Misc. Power Plant Equipment</t>
  </si>
  <si>
    <t>24</t>
  </si>
  <si>
    <t>(326) Asset Retirement Costs for Nuclear Production</t>
  </si>
  <si>
    <t>25</t>
  </si>
  <si>
    <t>TOTAL Nuclear Production Plant (Enter Total of Lines 18 thru 24)</t>
  </si>
  <si>
    <t>26</t>
  </si>
  <si>
    <t>C. Hydraulic Production Plant</t>
  </si>
  <si>
    <t>27</t>
  </si>
  <si>
    <t>(330) Land and Land Rights</t>
  </si>
  <si>
    <t>28</t>
  </si>
  <si>
    <t>(331) Structures and Improvements</t>
  </si>
  <si>
    <t>29</t>
  </si>
  <si>
    <t>(332) Reservoirs, Dams, and Waterways</t>
  </si>
  <si>
    <t>30</t>
  </si>
  <si>
    <t>(333) Water Wheels, Turbines, and Generators</t>
  </si>
  <si>
    <t>31</t>
  </si>
  <si>
    <t>(334) Accessory Electric Equipment</t>
  </si>
  <si>
    <t>32</t>
  </si>
  <si>
    <t>(335) Misc. Power Plant Equipment</t>
  </si>
  <si>
    <t>33</t>
  </si>
  <si>
    <t>(336) Roads, Railroads, and Bridges</t>
  </si>
  <si>
    <t>34</t>
  </si>
  <si>
    <t>(337) Asset Retirement Costs for Hydraulic Production</t>
  </si>
  <si>
    <t>35</t>
  </si>
  <si>
    <t>TOTAL Hydraulic Production Plant (Enter Total of lines 27 thru 34)</t>
  </si>
  <si>
    <t>36</t>
  </si>
  <si>
    <t>D. Other Production Plant</t>
  </si>
  <si>
    <t>37</t>
  </si>
  <si>
    <t>(340) Land and Land Rights</t>
  </si>
  <si>
    <t>38</t>
  </si>
  <si>
    <t>(341) Structures and Improvements</t>
  </si>
  <si>
    <t>39</t>
  </si>
  <si>
    <t>(342) Fuel Holders, Products and Accessories</t>
  </si>
  <si>
    <t>40</t>
  </si>
  <si>
    <t>(343) Prime Movers</t>
  </si>
  <si>
    <t>41</t>
  </si>
  <si>
    <t>(344) Generators</t>
  </si>
  <si>
    <t>42</t>
  </si>
  <si>
    <t>(345) Accessory Electric Equipment</t>
  </si>
  <si>
    <t>43</t>
  </si>
  <si>
    <t>(346) Misc. Power Plant Equipment</t>
  </si>
  <si>
    <t>44</t>
  </si>
  <si>
    <t>(347) Asset Retirement Costs for Other Production</t>
  </si>
  <si>
    <t>44.1</t>
  </si>
  <si>
    <t>(348) Energy Storage Equipment - Production</t>
  </si>
  <si>
    <t>45</t>
  </si>
  <si>
    <t>TOTAL Other Prod. Plant (Enter Total of lines 37 thru 44)</t>
  </si>
  <si>
    <t>46</t>
  </si>
  <si>
    <t>TOTAL Prod. Plant (Enter Total of lines 16, 25, 35, and 45)</t>
  </si>
  <si>
    <t>PAGE 206</t>
  </si>
  <si>
    <t>PAGE 207</t>
  </si>
  <si>
    <t>ELECTRIC PLANT IN SERVICE (Account 101. 102, 103 and 106) (Continued)</t>
  </si>
  <si>
    <t>47</t>
  </si>
  <si>
    <t>3. TRANSMISSION PLANT</t>
  </si>
  <si>
    <t>48</t>
  </si>
  <si>
    <t>(350) Land and Land Rights</t>
  </si>
  <si>
    <t>48.1</t>
  </si>
  <si>
    <t>(351) Energy Storage Equipment - Transmission</t>
  </si>
  <si>
    <t>49</t>
  </si>
  <si>
    <t>(352) Structures and Improvements</t>
  </si>
  <si>
    <t>50</t>
  </si>
  <si>
    <t>(353) Station Equipment</t>
  </si>
  <si>
    <t>51</t>
  </si>
  <si>
    <t>(354 ) Towers and Fixtures</t>
  </si>
  <si>
    <t>52</t>
  </si>
  <si>
    <t>(355) Poles and Fixtures</t>
  </si>
  <si>
    <t>53</t>
  </si>
  <si>
    <t>(356) Overhead Conductors and Devices</t>
  </si>
  <si>
    <t>54</t>
  </si>
  <si>
    <t>(357) Underground Conduit</t>
  </si>
  <si>
    <t>55</t>
  </si>
  <si>
    <t>(358) Underground Conductors and Devices</t>
  </si>
  <si>
    <t>56</t>
  </si>
  <si>
    <t>(359) Roads and Trails</t>
  </si>
  <si>
    <t>57</t>
  </si>
  <si>
    <t>(359.1) Asset Retirement Costs for Transmission Plant</t>
  </si>
  <si>
    <t>58</t>
  </si>
  <si>
    <t>TOTAL Transmission Plant (Enter Total of lines 48 thru 57)</t>
  </si>
  <si>
    <t>59</t>
  </si>
  <si>
    <t>4. DISTRIBUTION PLANT</t>
  </si>
  <si>
    <t>60</t>
  </si>
  <si>
    <t>(360) Land and Land Rights</t>
  </si>
  <si>
    <t>61</t>
  </si>
  <si>
    <t>(361) Structures and Improvements</t>
  </si>
  <si>
    <t>62</t>
  </si>
  <si>
    <t>(362) Station Equipment</t>
  </si>
  <si>
    <t>63</t>
  </si>
  <si>
    <t>(363) Storage Battery Equipment</t>
  </si>
  <si>
    <t>64</t>
  </si>
  <si>
    <t>(364) Poles, Towers, and Fixtures</t>
  </si>
  <si>
    <t>65</t>
  </si>
  <si>
    <t>(365) Overhead Conductors and Devices</t>
  </si>
  <si>
    <t>66</t>
  </si>
  <si>
    <t>(366) Underground Conduit</t>
  </si>
  <si>
    <t>67</t>
  </si>
  <si>
    <t>(367) Underground Conductors and Devices</t>
  </si>
  <si>
    <t>68</t>
  </si>
  <si>
    <t>(368) Line Transformers</t>
  </si>
  <si>
    <t>69</t>
  </si>
  <si>
    <t>(369) Services</t>
  </si>
  <si>
    <t>70</t>
  </si>
  <si>
    <t>(370) Meters</t>
  </si>
  <si>
    <t>71</t>
  </si>
  <si>
    <t>(371) Installations on Customer Premises</t>
  </si>
  <si>
    <t>72</t>
  </si>
  <si>
    <t>(372) Leased Property on Customer Premises</t>
  </si>
  <si>
    <t>73</t>
  </si>
  <si>
    <t>(373) Street Lighting and Signal Systems</t>
  </si>
  <si>
    <t>74</t>
  </si>
  <si>
    <t>(374) Asset Retirement Costs for Distribution Plant</t>
  </si>
  <si>
    <t>75</t>
  </si>
  <si>
    <t>TOTAL Distribution Plant (Enter Total of lines 60 thru 74)</t>
  </si>
  <si>
    <t>76</t>
  </si>
  <si>
    <t>5. REGIONAL TRANSMISSION AND MARKET OPERATION PLANT</t>
  </si>
  <si>
    <t>77</t>
  </si>
  <si>
    <t>(380) Land and Land Rights</t>
  </si>
  <si>
    <t>78</t>
  </si>
  <si>
    <t>(381) Structure and Improvements</t>
  </si>
  <si>
    <t>79</t>
  </si>
  <si>
    <t>(382) Computer Hardware</t>
  </si>
  <si>
    <t>80</t>
  </si>
  <si>
    <t>(383) Computer Software</t>
  </si>
  <si>
    <t>81</t>
  </si>
  <si>
    <t>(384) Communication Equipment</t>
  </si>
  <si>
    <t>82</t>
  </si>
  <si>
    <t>(385) Miscellaneous Regional Transmission and Market Operation Plant</t>
  </si>
  <si>
    <t>83</t>
  </si>
  <si>
    <t>(386) Asset Retirement Costs for Regional Transmission and Market Oper</t>
  </si>
  <si>
    <t>84</t>
  </si>
  <si>
    <t>TOTAL Transmission and Market Operation Plant (Total lines 77 thru 83)</t>
  </si>
  <si>
    <t>85</t>
  </si>
  <si>
    <t>6. GENERAL PLANT</t>
  </si>
  <si>
    <t>86</t>
  </si>
  <si>
    <t>(389) Land and Land Rights</t>
  </si>
  <si>
    <t>87</t>
  </si>
  <si>
    <t>(390) Structures and Improvements</t>
  </si>
  <si>
    <t>88</t>
  </si>
  <si>
    <t>(391) Office Furniture and Equipment</t>
  </si>
  <si>
    <t>89</t>
  </si>
  <si>
    <t>(392) Transportation Equipment</t>
  </si>
  <si>
    <t>90</t>
  </si>
  <si>
    <t>(393) Stores Equipment</t>
  </si>
  <si>
    <t>91</t>
  </si>
  <si>
    <t>(394) Tools, Shop and Garage Equipment</t>
  </si>
  <si>
    <t>92</t>
  </si>
  <si>
    <t>(395) Laboratory Equipment</t>
  </si>
  <si>
    <t>93</t>
  </si>
  <si>
    <t>(396) Power Operated Equipment</t>
  </si>
  <si>
    <t>94</t>
  </si>
  <si>
    <t>(397) Communication Equipment</t>
  </si>
  <si>
    <t>95</t>
  </si>
  <si>
    <t>(398) Miscellaneous Equipment</t>
  </si>
  <si>
    <t>96</t>
  </si>
  <si>
    <t>SUBTOTAL (Enter Total of lines 86 thru 95)</t>
  </si>
  <si>
    <t>97</t>
  </si>
  <si>
    <t>(399) Other Tangible Property</t>
  </si>
  <si>
    <t>98</t>
  </si>
  <si>
    <t>(399.1) Asset Retirement Costs for General Plant</t>
  </si>
  <si>
    <t>99</t>
  </si>
  <si>
    <t>TOTAL General Plant (Enter Total of lines 96, 97, and 98)</t>
  </si>
  <si>
    <t>100</t>
  </si>
  <si>
    <t>TOTAL (Accounts 101 and 106)</t>
  </si>
  <si>
    <t>101</t>
  </si>
  <si>
    <t>(102) Electric Plant Purchased (See instr. 8)</t>
  </si>
  <si>
    <t>102</t>
  </si>
  <si>
    <t>(Less) (102) Electric Plant Sold (See Instr. 8)</t>
  </si>
  <si>
    <t>103</t>
  </si>
  <si>
    <t>(103) Experimental Plant Unclassified</t>
  </si>
  <si>
    <t>104</t>
  </si>
  <si>
    <t>TOTAL Electric Plant in Service (Enter Total of lines 100 thru 103)</t>
  </si>
  <si>
    <t>ACCUMULATED PROVISION FOR DEPRECIATION OF ELECTRIC UTILITY PLANT (Account 108)</t>
  </si>
  <si>
    <t>1. Explain in a footnote any important adjustments during year.
2.  Explain in a footnote any difference between the amount for book cost of plant retired, Line 11, column (c), and that reported for electric plant in service, pages 204-207, column 9d), excluding retirements of non-depreciable property.
3.  The provisions of Account 108 in the Uniform System of accounts require that retirements of depreciable plant be recorded when such plant is removed from service.  If the respondent has a significant amount of plant retired at year end which has not been recorded and/or classified to the various reserve functional classifications, make preliminary closing entries to tentatively functionalize the book cost of the plant retired.  In addition, include all costs included in retirement work in progress at year end in the appropriate functional classifications.
4.  Show separately interest credits under a sinking fund or similar method of depreciation accounting</t>
  </si>
  <si>
    <t>Section A. Balances and Changes During Year</t>
  </si>
  <si>
    <t>Item</t>
  </si>
  <si>
    <t>Total 
(c+d+e)</t>
  </si>
  <si>
    <t>Electric Plant in
Service</t>
  </si>
  <si>
    <t>Electric Plant Held for Future use</t>
  </si>
  <si>
    <t>Electric Plant
Leased to Others</t>
  </si>
  <si>
    <t>Balance Beginning of Year</t>
  </si>
  <si>
    <t>Depreciation Provisions for Year, Charged to</t>
  </si>
  <si>
    <t>(403) Depreciation Expense</t>
  </si>
  <si>
    <t>(403.1) Depreciation Expense for Asset Retirment Costs</t>
  </si>
  <si>
    <t>(413) Exp. of Elec. Plt. Leas. to Others</t>
  </si>
  <si>
    <t>Transportation Expenses-Clearing</t>
  </si>
  <si>
    <t>Other Clearing Accounts</t>
  </si>
  <si>
    <t>Other Accounts (Specify, details in footnote):</t>
  </si>
  <si>
    <t>TOTAL Deprec. Prov for Year (Enter Total of lines 3 thru 9)</t>
  </si>
  <si>
    <t>Net Charges for Plant Retired:</t>
  </si>
  <si>
    <t>Book Cost of Plant Retired</t>
  </si>
  <si>
    <t>Cost of Removal</t>
  </si>
  <si>
    <t>Salvage (Credit)</t>
  </si>
  <si>
    <t>TOTAL Net Chrgs. for Plant Ret. (Enter Total of lines 12 thru 14)</t>
  </si>
  <si>
    <t>Other Debit or Cr. Items (Describe, details in footnote):</t>
  </si>
  <si>
    <t>Book Cost or Asset Retirement Costs Retired</t>
  </si>
  <si>
    <t>Balance End of Year (Enter Totals of lines 1, 10, 15, 16, and 18)</t>
  </si>
  <si>
    <t>Section B. Balances at End of Year According to Functional Classification</t>
  </si>
  <si>
    <t>Nuclear Production</t>
  </si>
  <si>
    <t>Hydraulic Production-Conventional</t>
  </si>
  <si>
    <t>Hydraulic Production-Pumped Storage</t>
  </si>
  <si>
    <t>Regional Transmission and Market Operation</t>
  </si>
  <si>
    <t>General</t>
  </si>
  <si>
    <t>TOTAL (Enter Total of lines 20 thru 28)</t>
  </si>
  <si>
    <t>OTHER REGULATORY ASSETS (Account 182.3)</t>
  </si>
  <si>
    <t xml:space="preserve">1. Report below the particulars (details) called for concerning other regulatory assets, including rater order docket number, if applicable.
2. Minor items (5% of the Balance in Account 182.3 at end of period, or amounts less than $100,00 whichever is less), may be grouped by classes.
3. For Regulatory Assets being amortized, show period of amortization.
</t>
  </si>
  <si>
    <t xml:space="preserve">
Line
No.</t>
  </si>
  <si>
    <t>Description and Purpose of
Other Regulatory Assets</t>
  </si>
  <si>
    <t>Balance at
Beginning of
Current
Quarter/Year</t>
  </si>
  <si>
    <t>Debits</t>
  </si>
  <si>
    <t>Credits</t>
  </si>
  <si>
    <t>Balance at End of
Current Quarter/Year</t>
  </si>
  <si>
    <t>Written off During
the Quarter/Year Account Charged</t>
  </si>
  <si>
    <t>Written off During the Period Amount</t>
  </si>
  <si>
    <t>Multiple</t>
  </si>
  <si>
    <t>MISCELLANEOUS DEFERRED DEBITS (Account 186)</t>
  </si>
  <si>
    <t>1. Report below the particulars (details) called for concerning miscellaneous deferred debits.
3. For Regulatory Assets being amortized, show period of amortization in column (a)
2. Minor items (1% of the Balance in Account 186 at end of period, or amounts less than $100,00 whichever is less), may be grouped by classes.</t>
  </si>
  <si>
    <t>Description of Miscellaneous Deferred Debits</t>
  </si>
  <si>
    <t>Balance at Beginning of Year</t>
  </si>
  <si>
    <t>Balance at End of Year</t>
  </si>
  <si>
    <t>Account Charged</t>
  </si>
  <si>
    <t>Incurred not Reported Worker Comp</t>
  </si>
  <si>
    <t>Tacoma LNG</t>
  </si>
  <si>
    <t>Damage Claims</t>
  </si>
  <si>
    <t>Clearing Account Charges</t>
  </si>
  <si>
    <t>FAS133 Net Unrealized</t>
  </si>
  <si>
    <t>Chelan Prepayments - 20 Yrs</t>
  </si>
  <si>
    <t>Ferndale Maintenance - 12 Yrs</t>
  </si>
  <si>
    <t>Encogen Maintenance - 10 Yrs</t>
  </si>
  <si>
    <t>Environmental Remediation Exp</t>
  </si>
  <si>
    <t>Real Estate Operating Leases - 7 Yrs</t>
  </si>
  <si>
    <t>FSAS 71 - Snoqualmie License</t>
  </si>
  <si>
    <t>Baker Article</t>
  </si>
  <si>
    <t>SFAS 71 - Baker License</t>
  </si>
  <si>
    <t>Colstrip Maintenance - 4 Yrs</t>
  </si>
  <si>
    <t>AMI</t>
  </si>
  <si>
    <t>Fredonia Maintenance - 9-11 Yrs</t>
  </si>
  <si>
    <t>Fredrickson Maintenance - 7 Yrs</t>
  </si>
  <si>
    <t>Goldendale Maintenance - 4-8 Yrs</t>
  </si>
  <si>
    <t>Whitehorn Maintenance - 6-12 Yrs</t>
  </si>
  <si>
    <t>Mint Farm Maintenance - 3-7 Yrs</t>
  </si>
  <si>
    <t>Sumas Maintenance - 11 Yrs</t>
  </si>
  <si>
    <t>Non-Temp Facility</t>
  </si>
  <si>
    <t>Residential Exchange</t>
  </si>
  <si>
    <t>GTZ Depreciation</t>
  </si>
  <si>
    <t>Minor Items</t>
  </si>
  <si>
    <t>Various</t>
  </si>
  <si>
    <t>COVID-19 Items</t>
  </si>
  <si>
    <t>Regulatory Fees</t>
  </si>
  <si>
    <t>Misc. Work in Progress</t>
  </si>
  <si>
    <t>Deferred Regulatory Comm. Expenses (See pages 350-351)</t>
  </si>
  <si>
    <t>PAGE 256</t>
  </si>
  <si>
    <t>PAGE 257</t>
  </si>
  <si>
    <t>LONG-TERM DEBT (Account 221, 222, 223 and 224)</t>
  </si>
  <si>
    <t>LONG-TERM DEBT (Account 221, 222, 223 and 224) (Continued)</t>
  </si>
  <si>
    <t>Report by balance sheet account the particulars (details) concerning long-term debt included in Accounts 221, Bonds, 222, Reacquired Bonds, 223, Advances from Associated Companies, and 224, Other long-Term Debt.
In column (a), for new issues, give Commission authorization numbers and dates.
For bonds assumed by the respondent, include in column (a) the name of the issuing company as well as a description of the bonds.
For advances from Associated Companies, report separately advances on notes and advances on open accounts. Designate demand notes as such. Include in column (a) names of associated companies from which advances were received.
For receivers, certificates, show in column (a) the name of the court -and date of court order under which such certificates were issued.
In column (b) show the principal amount of bonds or other long-term debt originally issued.
In column (c) show the expense, premium or discount with respect to the amount of bonds or other long-term debt originally issued.
For column (c) the total expenses should be listed first for each issuance, then the amount of premium (in parentheses) or discount. Indicate the premium or discount with a notation, such as (P) or (D). The expenses, premium or discount should not be netted.
Furnish in a footnote particulars (details) regarding the treatment of unamortized debt expense, premium or discount associated with issues redeemed during the year. Also, give in a footnote the date of the Commission’s authorization of treatment other than as specified by the Uniform System of Accounts.</t>
  </si>
  <si>
    <t>Identify separate undisposed amounts applicable to issues which were redeemed in prior years.
Explain any debits and credits other than debited to Account 428, Amortization and Expense, or credited to Account 429, Premium on Debt - Credit.
In a footnote, give explanatory (details) for Accounts 223 and 224 of net changes during the year. With respect to long-term advances, show for each company: (a) principal advanced during year, (b) interest added to principal amount, and (c) principle repaid during year. Give Commission authorization numbers and dates.
If the respondent has pledged any of its long-term debt securities give particulars (details) in a footnote including name of pledgee and purpose of the pledge.
If the respondent has any long-term debt securities which have been nominally issued and are nominally outstanding at end of year, describe such securities in a footnote.
If interest expense was incurred during the year on any obligations retired or reacquired before end of year, include such interest expense in column (i). Explain in a footnote any difference between the total of column (i) and the total of Account 427, interest on Long-Term Debt and Account 430, Interest on Debt to Associated Companies.
Give particulars (details) concerning any long-term debt authorized by a regulatory commission but not yet issued.</t>
  </si>
  <si>
    <t>Class and Series of Obligation, Coupon Rate
(For new issue, give commission Authorization numbers and dates)</t>
  </si>
  <si>
    <t>Related Account Number</t>
  </si>
  <si>
    <t>Principal Amount of Debt Issued</t>
  </si>
  <si>
    <t>Total Expense, Premium or Discount</t>
  </si>
  <si>
    <t>Total Expense</t>
  </si>
  <si>
    <t>Total Premium</t>
  </si>
  <si>
    <t>Total Discount</t>
  </si>
  <si>
    <t>Nominal Date of Issue</t>
  </si>
  <si>
    <t>Date of Maturity</t>
  </si>
  <si>
    <t>AMORTIZATION PERIOD
Date From</t>
  </si>
  <si>
    <t>AMORTIZATION PERIOD
Date To</t>
  </si>
  <si>
    <t>Outstanding
(Total amount outstanding without reduction
for amounts held by respondent)</t>
  </si>
  <si>
    <t>Interest for Year Amount</t>
  </si>
  <si>
    <t>(m)</t>
  </si>
  <si>
    <t>Bonds (Account 221)</t>
  </si>
  <si>
    <t>Subtotal</t>
  </si>
  <si>
    <t>Reacquired Bonds (Account 222)</t>
  </si>
  <si>
    <t>Advances from Associated Companies (Account 223)</t>
  </si>
  <si>
    <t>Other Long Term Debt (Account 224)</t>
  </si>
  <si>
    <t>PAGE 262</t>
  </si>
  <si>
    <t>PAGE 263</t>
  </si>
  <si>
    <t>TAXES ACCRUED, PREPAID AND CHARGED DURING YEAR</t>
  </si>
  <si>
    <t>TAXES ACCRUED, PREPAID AND CHARGED DURING YEAR (Continued)</t>
  </si>
  <si>
    <t>Give particulars (details) of the combined prepaid and accrued tax accounts and show the total taxes charged to operations and other accounts during the year. Do not include gasoline and other sales taxes which have been charged to the accounts to which the taxed material was charged. If the actual, or estimated amounts of such taxes are know, show the amounts in a footnote and designate whether estimated or actual amounts.
Include on this page, taxes paid during the year and charged direct to final accounts, (not charged to prepaid or accrued taxes.) Enter the amounts in both columns (g) and (h). The balancing of this page is not affected by the inclusion of these taxes.
Include in column (g) taxes charged during the year, taxes charged to operations and other accounts through (a) accruals credited to taxes accrued, (b)amounts credited to proportions of prepaid taxes chargeable to current year, and (c) taxes paid and charged direct to operations or accounts other than accrued and prepaid tax accounts.
List the aggregate of each kind of tax in such manner that the total tax for each State and subdivision can readily be ascertained.</t>
  </si>
  <si>
    <t>If any tax (exclude Federal and State income taxes)- covers more then one year, show the required information separately for each tax year, identifying the year in column (d).
Enter all adjustments of the accrued and prepaid tax accounts in column (i) and explain each adjustment in a foot- note. Designate debit adjustments by parentheses.
Do not include on this page entries with respect to deferred income taxes or taxes collected through payroll deductions or otherwise pending transmittal of such taxes to the taxing authority.
Report in columns (l) through (o) how the taxes were distributed. Report in column (o) only the amounts charged to Accounts 408.1 and 409.1 pertaining to electric operations. Report in column (o) the amounts charged to Accounts 408.1 and 409.1 pertaining to other utility departments and amounts charged to Accounts 408.2 and 409.2. Also shown in column (o) the taxes charged to utility plant or other balance sheet accounts.
For any tax apportioned to more than one utility department or account, state in a footnote the basis (necessity) of apportioning such tax.</t>
  </si>
  <si>
    <t>Kind of Tax
(See instruction 5)</t>
  </si>
  <si>
    <t>Type of Tax</t>
  </si>
  <si>
    <t>State</t>
  </si>
  <si>
    <t>Tax Year</t>
  </si>
  <si>
    <t>BALANCE AT BEGINNING OF YEAR</t>
  </si>
  <si>
    <t>Taxes
Charged
During
Year</t>
  </si>
  <si>
    <t>Taxes
Paid
During
Year</t>
  </si>
  <si>
    <t>BALANCE AT END OF YEAR</t>
  </si>
  <si>
    <t>DISTRIBUTION OF TAXES CHARGED</t>
  </si>
  <si>
    <t>Taxes Accrued
(Account 236)</t>
  </si>
  <si>
    <t>Prepaid Taxes
(Include in Account 165)</t>
  </si>
  <si>
    <t>Prepaid Taxes (Include in Account 165)</t>
  </si>
  <si>
    <t>Electric (Account 408.1, 409.1)</t>
  </si>
  <si>
    <t>Extraordinary Items
(Account 409.3)</t>
  </si>
  <si>
    <t>Adjustments to Ret. Earnings (Account 439)</t>
  </si>
  <si>
    <t>(n)</t>
  </si>
  <si>
    <t>(o)</t>
  </si>
  <si>
    <t>1.1</t>
  </si>
  <si>
    <t>1.2</t>
  </si>
  <si>
    <t>Total Federal Tax</t>
  </si>
  <si>
    <t>3.1</t>
  </si>
  <si>
    <t>3.2</t>
  </si>
  <si>
    <t>Total State Tax</t>
  </si>
  <si>
    <t>5.1</t>
  </si>
  <si>
    <t>Municipal</t>
  </si>
  <si>
    <t>Local Tax</t>
  </si>
  <si>
    <t>WA</t>
  </si>
  <si>
    <t>5.2</t>
  </si>
  <si>
    <t>Total Local Tax</t>
  </si>
  <si>
    <t>7.1</t>
  </si>
  <si>
    <t xml:space="preserve">Other </t>
  </si>
  <si>
    <t>Other Taxes</t>
  </si>
  <si>
    <t>7.2</t>
  </si>
  <si>
    <t>Total Other Tax</t>
  </si>
  <si>
    <t>9.1</t>
  </si>
  <si>
    <t>Ad Valorem Tax</t>
  </si>
  <si>
    <t>WA, OR, MT</t>
  </si>
  <si>
    <t>9.2</t>
  </si>
  <si>
    <t>Total Property Tax</t>
  </si>
  <si>
    <t>11.1</t>
  </si>
  <si>
    <t>11.2</t>
  </si>
  <si>
    <t>Total Real Estate Tax</t>
  </si>
  <si>
    <t>13.1</t>
  </si>
  <si>
    <t>13.2</t>
  </si>
  <si>
    <t>Total Unemployment Tax</t>
  </si>
  <si>
    <t>15.1</t>
  </si>
  <si>
    <t>15.2</t>
  </si>
  <si>
    <t>Total Sales and Use Tax</t>
  </si>
  <si>
    <t>17.1</t>
  </si>
  <si>
    <t>Income</t>
  </si>
  <si>
    <t>Income Tax</t>
  </si>
  <si>
    <t>Fed, CA, MT, OR</t>
  </si>
  <si>
    <t>17.2</t>
  </si>
  <si>
    <t>Total Income Tax</t>
  </si>
  <si>
    <t>19.1</t>
  </si>
  <si>
    <t>Excise</t>
  </si>
  <si>
    <t>Excise Tax</t>
  </si>
  <si>
    <t>19.2</t>
  </si>
  <si>
    <t>Total Excise Tax</t>
  </si>
  <si>
    <t>21.1</t>
  </si>
  <si>
    <t>21.2</t>
  </si>
  <si>
    <t>Total Fuel Tax</t>
  </si>
  <si>
    <t>23.1</t>
  </si>
  <si>
    <t>23.2</t>
  </si>
  <si>
    <t>Total Federal Insurance Tax</t>
  </si>
  <si>
    <t>25.1</t>
  </si>
  <si>
    <t>25.2</t>
  </si>
  <si>
    <t>Total Franchise Tax</t>
  </si>
  <si>
    <t>27.1</t>
  </si>
  <si>
    <t>27.2</t>
  </si>
  <si>
    <t>Total Miscellaneous Other Tax</t>
  </si>
  <si>
    <t>29.1</t>
  </si>
  <si>
    <t>29.2</t>
  </si>
  <si>
    <t>Total Other Federal Tax</t>
  </si>
  <si>
    <t>31.1</t>
  </si>
  <si>
    <t>31.2</t>
  </si>
  <si>
    <t>Total Other State Tax</t>
  </si>
  <si>
    <t>33.1</t>
  </si>
  <si>
    <t>33.2</t>
  </si>
  <si>
    <t>Total Other Property Tax</t>
  </si>
  <si>
    <t>35.1</t>
  </si>
  <si>
    <t>35.2</t>
  </si>
  <si>
    <t>Total Other Use Tax</t>
  </si>
  <si>
    <t>37.1</t>
  </si>
  <si>
    <t>37.2</t>
  </si>
  <si>
    <t>Total Other Advalorem Tax</t>
  </si>
  <si>
    <t>39.1</t>
  </si>
  <si>
    <t>39.2</t>
  </si>
  <si>
    <t>Total Other License and Fees Tax</t>
  </si>
  <si>
    <t>41.1</t>
  </si>
  <si>
    <t>Payroll</t>
  </si>
  <si>
    <t>Payroll Tax</t>
  </si>
  <si>
    <t>Fed, WA, OR, TX, MI</t>
  </si>
  <si>
    <t>41.2</t>
  </si>
  <si>
    <t>Total Payroll Tax</t>
  </si>
  <si>
    <t>43.1</t>
  </si>
  <si>
    <t>43.2</t>
  </si>
  <si>
    <t>Total Advalorem Tax</t>
  </si>
  <si>
    <t>45.1</t>
  </si>
  <si>
    <t>45.2</t>
  </si>
  <si>
    <t>Total Other Allocated Tax</t>
  </si>
  <si>
    <t>47.1</t>
  </si>
  <si>
    <t>47.2</t>
  </si>
  <si>
    <t>Total Severance Tax</t>
  </si>
  <si>
    <t>49.1</t>
  </si>
  <si>
    <t>49.2</t>
  </si>
  <si>
    <t>Total Penalty Tax</t>
  </si>
  <si>
    <t>51.1</t>
  </si>
  <si>
    <t>51.2</t>
  </si>
  <si>
    <t>Total Other Taxes and Fees</t>
  </si>
  <si>
    <t>OTHER DEFERRED CREDITS (Account 253)</t>
  </si>
  <si>
    <t>1. Report below the particulars (details) called for concerning other deferred credits.
2. For any deferred credit being amortized, show the period of amortization.
3. Minor items (5% of the Balance End of Year for Account 253 or amounts less than $100, 000, whichever is greater) may be grouped by classes</t>
  </si>
  <si>
    <t>Description and Other Deferred Credits</t>
  </si>
  <si>
    <t>DEBITS</t>
  </si>
  <si>
    <t>Contra Account</t>
  </si>
  <si>
    <t>Deferred Comp - Salary</t>
  </si>
  <si>
    <t>SFAS 106 Unfunded Liability</t>
  </si>
  <si>
    <t>Low Income Program</t>
  </si>
  <si>
    <t>Sch 85 Line Extension Cost</t>
  </si>
  <si>
    <t>Green Power Tariff</t>
  </si>
  <si>
    <t>Landlord Incentives - 5-11 Yrs</t>
  </si>
  <si>
    <t>Workers Comp - IBNR</t>
  </si>
  <si>
    <t>Decoupling</t>
  </si>
  <si>
    <t>LSR License O&amp;M - 25 Yrs</t>
  </si>
  <si>
    <t>Snoqualmie License O&amp;M</t>
  </si>
  <si>
    <t>Baker License Misc Def</t>
  </si>
  <si>
    <t>Unearned Revenue - 11-20 Yrs</t>
  </si>
  <si>
    <t>253, 454</t>
  </si>
  <si>
    <t>Deferred Pole Contact</t>
  </si>
  <si>
    <t>175, 244</t>
  </si>
  <si>
    <t>Equity Reserve AMI</t>
  </si>
  <si>
    <t>Unclaimed Property</t>
  </si>
  <si>
    <t>Mint Farm Misc Def Credit - 15 Yrs</t>
  </si>
  <si>
    <t>Covid-19 Help</t>
  </si>
  <si>
    <t>LT Payable - Franchise</t>
  </si>
  <si>
    <t>OTHER REGULATORY LIABILITIES (Account 254)</t>
  </si>
  <si>
    <t>1.  Report the particulars (details) called for concerning other regulatory assets, including rate order docket number, if applicable.
2.  Minor items (5% of the Balance in Account 182.3 at end of period, or amounts less than $100,000 which ever is less) may be grouped by classes.
3.  For Regulatory Assets being amortized, show period of amortization.</t>
  </si>
  <si>
    <t xml:space="preserve">
Description and Purpose of
Other Regulatory Liabilities</t>
  </si>
  <si>
    <t>Balance at Beginning
of Current
Quarter/Year</t>
  </si>
  <si>
    <t>Balance at End
of Current Quarter/Year</t>
  </si>
  <si>
    <t>Account Credited</t>
  </si>
  <si>
    <t>Renewable Energy Credits</t>
  </si>
  <si>
    <t>Treasury Grants-Wind Project Expansion</t>
  </si>
  <si>
    <t>Decoupling Mechanisms</t>
  </si>
  <si>
    <t>Regulatory Liability Tax Reform</t>
  </si>
  <si>
    <t>Green Direct Liquidated Damages</t>
  </si>
  <si>
    <t>Gain on Sale Shuffleton-Electric</t>
  </si>
  <si>
    <t>FAS 109 EDIT Unprotected Gas &amp; Electric</t>
  </si>
  <si>
    <t>190, 283</t>
  </si>
  <si>
    <t>Page 300</t>
  </si>
  <si>
    <t>Page 301</t>
  </si>
  <si>
    <t>ELECTRIC OPERATING REVENUES (Account 400)</t>
  </si>
  <si>
    <t>1. The following instructions generally apply to the annual version of these pages. Do not report quarterly data in columns (c), (e), (f), and (g). Unbilled revenues and MWH related to unbilled revenues need not be reported separately as required in the annual version of these pages. 
2. Report below operating revenues for each prescribed account, and manufactured gas revenues in total. 
3. Report number of customers, columns (f) and (g), on the basis of meters, in addition to the number of flat rate accounts; except that where separate meter readings are added for billing purposes, one customer should be counted for each group of meters added. The -average number of customers means the average of twelve figures at the close of each month. 
4. If increases or decreases from previous period (columns (c),(e), and (g)), are not derived from previously reported figures, explain any inconsistencies in a footnote. 
5. Disclose amounts of $250,000 or greater in a footnote for accounts 451, 456, and 457.2.</t>
  </si>
  <si>
    <t>6. Commercial and industrial Sales, Account 442, may be classified according to the basis of classification (Small or Commercial, and Large or Industrial) regularly used by the respondent if such basis of classification is not generally greater than 1000 Kw of demand. (See Account 442 of the Uniform System of Accounts. Explain basis of classification in a footnote.) 
7. See pages 108-109, Important Changes During Period, for important new territory added and important rate increase or decreases. 
8. For Lines 2,4,5,and 6, see Page 304 for amounts relating to unbilled revenue by accounts. 
9. Include unmetered sales. Provide details of such Sales in a footnote.</t>
  </si>
  <si>
    <t xml:space="preserve">
Line No.</t>
  </si>
  <si>
    <t>Operating Revenues Year
to Date Quarterly/Annual</t>
  </si>
  <si>
    <t>Operating Revenues Previous year (no Quarterly)</t>
  </si>
  <si>
    <t>MEGAWATT HOURS SOLD</t>
  </si>
  <si>
    <t>AVG.NO. CUSTOMERS PER MONTH</t>
  </si>
  <si>
    <t>Year to Date Quarterly/Annual</t>
  </si>
  <si>
    <t>Amount Previous year (no Quarterly)</t>
  </si>
  <si>
    <t>Current Year (no Quarterly)</t>
  </si>
  <si>
    <t>Previous Year (no Quarterly)</t>
  </si>
  <si>
    <t>Sales of Electricity</t>
  </si>
  <si>
    <t>(440) Residential Sales</t>
  </si>
  <si>
    <t>(442) Commercial and Industrial Sales</t>
  </si>
  <si>
    <t>Small (or Comm.) (See Instr. 4)</t>
  </si>
  <si>
    <t>Large (or Ind.) (See Instr. 4)</t>
  </si>
  <si>
    <t>(444) Public Street and Highway Lighting</t>
  </si>
  <si>
    <t>(445) Other Sales to Public Authorities</t>
  </si>
  <si>
    <t>(446) Sales to Railroads and Railways</t>
  </si>
  <si>
    <t>(448) Interdepartmental Sales</t>
  </si>
  <si>
    <t>TOTAL Sales to Ultimate Consumers</t>
  </si>
  <si>
    <t>(447) Sales for Resale</t>
  </si>
  <si>
    <t>TOTAL Sales of Electricity</t>
  </si>
  <si>
    <t>(Less) (449.1) Provision for Rate Refunds</t>
  </si>
  <si>
    <t>TOTAL Revenues Net of Prov. for Refunds</t>
  </si>
  <si>
    <t>Other Operating Revenues</t>
  </si>
  <si>
    <t>Line 12, column (b) includes</t>
  </si>
  <si>
    <t>of unbilled revenues.</t>
  </si>
  <si>
    <t>(450) Forfeited Discounts</t>
  </si>
  <si>
    <t>Line 12, column (d) includes</t>
  </si>
  <si>
    <t xml:space="preserve">MWH relating to unbilled revenues
</t>
  </si>
  <si>
    <t>(451) Miscellaneous Service Revenues</t>
  </si>
  <si>
    <t>(453) Sales of Water and Water Power</t>
  </si>
  <si>
    <t>(454) Rent from Electric Property</t>
  </si>
  <si>
    <t>(455) Interdepartmental Rents</t>
  </si>
  <si>
    <t>(456) Other Electric Revenues</t>
  </si>
  <si>
    <t>(456.1) Revenues from Transmission of Electricity of Others</t>
  </si>
  <si>
    <t>(457.1) Regional Control Service Revenues</t>
  </si>
  <si>
    <t>(457.2) Miscellaneous Revenues</t>
  </si>
  <si>
    <t>TOTAL Other Operating Revenues</t>
  </si>
  <si>
    <t>TOTAL Electric Operating Revenues</t>
  </si>
  <si>
    <t>Sum of tot_revenue_chgs</t>
  </si>
  <si>
    <t>Sum of mwh_sold</t>
  </si>
  <si>
    <t>Sum of (k)</t>
  </si>
  <si>
    <t>Sum of (g)</t>
  </si>
  <si>
    <t>SALES FOR RESALE (Account 447)</t>
  </si>
  <si>
    <t>SALES FOR RESALE (Account 447) (Continued)</t>
  </si>
  <si>
    <t xml:space="preserve">1. Report all sales for resale (i.e., sales to purchasers other than ultimate consumers) transacted on a settlement basis other than power exchanges during the year. Do not report exchanges of electricity )i.e., transactions involving a balancing of debits and credits for energy, capacity, ect.) and any settlements for imbalanced exchanges on this schedule. Power exchanges must be reported on the Purchased Power schedule (Page 326-327).
2.  Enter the name of the purchaser in column (a). Do note abbreviate or truncate the name or use acronyms. Explain in a footnote any ownership interest or affiliation the respondent has with the purchaser.
3.  In column (b), enter a Statistical Classification Code based on the original contractual terms and conditions of the service as follows: 
RQ - for requirements service. Requirements service is a service which the supplier plans to provide on an ongoing basis (i.e., the supplier includes projected load for this service in its system resource planning). In addition, the reliability of requirements service must be the same as, or second only to, the supplier's service to its own ultimate consumers.
LF - for tong-term service. "Long-term" means five years or Longer and "firm" means that service cannot be interrupted for economic reasons and is intended to remain reliable even under adverse conditions (e.g., the supplier must attempt to buy emergency energy from third parties to maintain deliveries of LF service). This category should not be used for Long-term firm service which meets the definition of RQ service. For all transactions identified as LF, provide in a footnote the termination date of the contract defined as the earliest date that either buyer or setter can unilaterally get out the contract.
IF - for intermediate-term firm service. The same as LF service except that "intermediate-term" means longer than one year but Less than five years. 
SF - for short-term firm service. Use this category for all firm services where the duration of each period of commitment for service is one year or less. 
LU - for Long-term service from a designated generating unit. "Long-term" means five years or Longer. The availability and reliability of service, aside from transmission constraints, must match the availability and reliability of designated unit. 
IU - for intermediate-term service from a designated generating unit. The same as LU service except that "intermediate-term" means Longer than one year but Less than five years. </t>
  </si>
  <si>
    <t>OS - for other service. use this category only for those services which cannot be placed in the above-defined categories, such as all non-firm service regardless of the Length of the contract and service from designated units of Less than one year. Describe the nature of the service in a footnote. 
AD - for Out-of-period adjustment. Use this code for any accounting adjustments or "true-ups" for service provided in prior reporting years. Provide an explanation in a footnote for each adjustment. 
4. Group requirements RQ sales together and report them starting at line number one. After listing all RQ sales, enter "Subtotal - RQ" in column (a). The remaining sales may then be listed in any order. Enter "Subtotal-Non-RQ" in column (a) after this Listing. Enter "Total'' in column (a) as the Last Line of the schedule. Report subtotals and total for columns (9) through (k) 
5. In Column (c), identify the FERC Rate Schedule or Tariff Number. On separate Lines, List all FERC rate schedules or tariffs under which service, as identified in column (b), is provided. 
6. For requirements RQ sales and any type of-service involving demand charges imposed on a monthly (or Longer) basis, enter the average monthly billing demand in column (d), the average monthly non-coincident peak (NCP) demand in column (e), and the average monthly coincident peak (CP) demand in column (f). For all other types of service, enter NA in columns (d), (e) and (f). Monthly NCP demand is the maximum metered hourly (60-minute integration) demand in a month. Monthly CP demand is the metered demand during the hour (60-minute integration) in which the supplier's system reaches its monthly peak. Demand reported in columns (e) and (f) must be in megawatts. Footnote any demand not stated on a megawatt basis and explain. 
7. Report in column (g) the megawatt hours shown on bills rendered to the purchaser. 
8. Report demand charges in column (h), energy charges in column (i), and the total of any other types of charges, including out-of-period adjustments, in column (j). Explain in a footnote all components of the amount shown in column (j). Report in column (k) the total charge shown on bills rendered to the purchaser. 
9. The data in column (g) through (k) must be subtotaled based on the RQ/Non-RQ grouping (see instruction 4), and then totaled on the Last -line of the schedule. The "Subtotal - RQ" amount in column (g) must be reported as Requirements Sales For Resale on Page 401, line 23. The "Subtotal - Non-RQ" amount in column (g) must be reported as Non-Requirements Sales For Resale on Page 401,iine 24. 
10. Footnote entries as required and provide explanations following all required data.</t>
  </si>
  <si>
    <t>Name of Company or Public Authority
(Footnote Affiliations)</t>
  </si>
  <si>
    <t>Statistical
Classifi-
cation</t>
  </si>
  <si>
    <t>FERC Rate
Schedule or
Tariff Number</t>
  </si>
  <si>
    <t>Average
Monthly Billing
Demand (MW)</t>
  </si>
  <si>
    <t>Actual Demand (MW)</t>
  </si>
  <si>
    <t>Mega Watt Hours
Sold</t>
  </si>
  <si>
    <t>REVENUE</t>
  </si>
  <si>
    <t>Total ($)
(h+i+j)</t>
  </si>
  <si>
    <t>Average
Monthly NCP Demand</t>
  </si>
  <si>
    <t>Average
Monthly CP Demand</t>
  </si>
  <si>
    <t>Demand Charges
($)</t>
  </si>
  <si>
    <t>Energy Charges
($)</t>
  </si>
  <si>
    <t>Other Charges
($)</t>
  </si>
  <si>
    <t>Port of Bremerton</t>
  </si>
  <si>
    <t>Sch005</t>
  </si>
  <si>
    <t>Port of Brownsville</t>
  </si>
  <si>
    <t>City of Des Moines</t>
  </si>
  <si>
    <t>Kingston Port District</t>
  </si>
  <si>
    <t>Kittitas Co PUD</t>
  </si>
  <si>
    <t>City of Oak Harbor</t>
  </si>
  <si>
    <t>Poulsbo Port District</t>
  </si>
  <si>
    <t>Port of Skagit - LaConner Marina</t>
  </si>
  <si>
    <t>Port of Skagit - North Basin</t>
  </si>
  <si>
    <t>Change in Unbilled Revenue</t>
  </si>
  <si>
    <t>Avangrid Renewables, LLC</t>
  </si>
  <si>
    <t>FERC #8</t>
  </si>
  <si>
    <t>FERC #9</t>
  </si>
  <si>
    <t>Avista Corp. WWP Division</t>
  </si>
  <si>
    <t>BC Hydro</t>
  </si>
  <si>
    <t>Bonneville Power Administration</t>
  </si>
  <si>
    <t>BP Energy Company</t>
  </si>
  <si>
    <t>Brookfield Renewable Trading and Marketing LP</t>
  </si>
  <si>
    <t>California ISO</t>
  </si>
  <si>
    <t>Chelan County PUD</t>
  </si>
  <si>
    <t>Citigroup Energy Inc.</t>
  </si>
  <si>
    <t>City of Roseville</t>
  </si>
  <si>
    <t>Clatskanie Peoples Utility District</t>
  </si>
  <si>
    <t>ConocoPhillips Company</t>
  </si>
  <si>
    <t>Constellation Energy Generation, LLC</t>
  </si>
  <si>
    <t>Dynasty Power Inc.</t>
  </si>
  <si>
    <t>EDF Trading N.A., LLC</t>
  </si>
  <si>
    <t>Energy Keepers, Inc.</t>
  </si>
  <si>
    <t>Eugene Water &amp; Electric Board</t>
  </si>
  <si>
    <t>Grant County PUD No.2</t>
  </si>
  <si>
    <t>Gridforce Energy Management, LLC.</t>
  </si>
  <si>
    <t>Idaho Power Company</t>
  </si>
  <si>
    <t>Mercuria Energy America, LLC</t>
  </si>
  <si>
    <t>Morgan Stanley Capital Group Inc.</t>
  </si>
  <si>
    <t>NaturEner Power Watch, LLC</t>
  </si>
  <si>
    <t>NextEra Energy Marketing, LLC</t>
  </si>
  <si>
    <t>NorthWestern Energy</t>
  </si>
  <si>
    <t>PacifiCorp</t>
  </si>
  <si>
    <t>Portland General Electric Company</t>
  </si>
  <si>
    <t>Powerex Corp.</t>
  </si>
  <si>
    <t>Public Service Company of Colorado</t>
  </si>
  <si>
    <t>Rainbow Energy Marketing</t>
  </si>
  <si>
    <t>Sacramento Municipal Utility District</t>
  </si>
  <si>
    <t>Seattle City Light Marketing</t>
  </si>
  <si>
    <t>Shell Energy North America (US)</t>
  </si>
  <si>
    <t>Snohomish County PUD</t>
  </si>
  <si>
    <t>Tacoma Power</t>
  </si>
  <si>
    <t>The Energy Authority</t>
  </si>
  <si>
    <t>TransAlta Energy Marketing U.S.</t>
  </si>
  <si>
    <t>TransCanada Energy Sales Ltd.</t>
  </si>
  <si>
    <t>Turlock Irrigation District</t>
  </si>
  <si>
    <t>Vitol Inc.</t>
  </si>
  <si>
    <t>Western Area Power Admin (SN)</t>
  </si>
  <si>
    <t>Subtotal RQ</t>
  </si>
  <si>
    <t>Subtotal non-RQ</t>
  </si>
  <si>
    <t>FERC Reporting period: December 31, 2021</t>
  </si>
  <si>
    <t>Row Labels</t>
  </si>
  <si>
    <t>Black Hills Power, Inc.</t>
  </si>
  <si>
    <t>Constellation Energy</t>
  </si>
  <si>
    <t>CP Energy Marketing (US) Inc.</t>
  </si>
  <si>
    <t>DTE Energy Trading</t>
  </si>
  <si>
    <t>Tenaska Power Services Co.</t>
  </si>
  <si>
    <t>row_number</t>
  </si>
  <si>
    <t>row_seq</t>
  </si>
  <si>
    <t>spplmnt_num</t>
  </si>
  <si>
    <t>row_lit</t>
  </si>
  <si>
    <t>row_prvlg</t>
  </si>
  <si>
    <t>resp_name</t>
  </si>
  <si>
    <t>report_yr</t>
  </si>
  <si>
    <t>report_prd</t>
  </si>
  <si>
    <t>PAGE 320</t>
  </si>
  <si>
    <t>ELECTRIC OPERATION AND MAINTENANCE EXPENSES</t>
  </si>
  <si>
    <t>If the amount for previous year is not derived from previously reported figures, explain in footnote.</t>
  </si>
  <si>
    <t xml:space="preserve">Amount for
Current Year </t>
  </si>
  <si>
    <t>Amount for
Previous Year</t>
  </si>
  <si>
    <t>1. POWER PRODUCTION EXPENSES</t>
  </si>
  <si>
    <t>A. Steam Power Generation</t>
  </si>
  <si>
    <t>(500) Operation Supervision and Engineering</t>
  </si>
  <si>
    <t>(501) Fuel</t>
  </si>
  <si>
    <t>(502) Steam Expenses</t>
  </si>
  <si>
    <t>(503) Steam from Other Sources</t>
  </si>
  <si>
    <t>(Less) (504) Steam Transferred-Cr.</t>
  </si>
  <si>
    <t>(505) Electric Expenses</t>
  </si>
  <si>
    <t>(506) Miscellaneous Steam Power Expenses</t>
  </si>
  <si>
    <t>(507) Rents</t>
  </si>
  <si>
    <t>(509) Allowances</t>
  </si>
  <si>
    <t>TOTAL Operation (Enter Total of Lines 4 thru 12)</t>
  </si>
  <si>
    <t>(510) Maintenance of Supervision and Engineering</t>
  </si>
  <si>
    <t>(511) Maintenance of Structures</t>
  </si>
  <si>
    <t>(512) Maintenance of Boiler Plant</t>
  </si>
  <si>
    <t>(513) Maintenance of Electric Plant</t>
  </si>
  <si>
    <t>(514) Maintenance of MIscellaneous Steam Plant</t>
  </si>
  <si>
    <t>TOTAL Maintenance (Enter Total of Lines 15 thru 19)</t>
  </si>
  <si>
    <t>TOTAL Power Production Expenses-Steam Power (Entr Tot lines 13 &amp; 20)</t>
  </si>
  <si>
    <t>B. Nuclear Power Generation</t>
  </si>
  <si>
    <t>(517) Operation Supervision and Engineering</t>
  </si>
  <si>
    <t>(518) Fuel</t>
  </si>
  <si>
    <t>(519) Coolants and Water</t>
  </si>
  <si>
    <t>(520) Steam Expenses</t>
  </si>
  <si>
    <t>(521) Steam from Other Sources</t>
  </si>
  <si>
    <t>(Less) (522) Steamed Transferred-Cr.</t>
  </si>
  <si>
    <t>(523) Electric Expenses</t>
  </si>
  <si>
    <t>(524) Miscellaneous Nuclear Power Expenses</t>
  </si>
  <si>
    <t>(525) Rents</t>
  </si>
  <si>
    <t>TOTAL Operation (Enter Total of lines 24 thru 32)</t>
  </si>
  <si>
    <t>(528) Maintenance Supervision and Engineering</t>
  </si>
  <si>
    <t>(529) Maintenance of Structures</t>
  </si>
  <si>
    <t>(530) Maintenance of Reactor Plant Equipment</t>
  </si>
  <si>
    <t>(531) Maintenance of Electric Plant</t>
  </si>
  <si>
    <t>(532) Maintenance of Miscellaneous Nuclear Plant</t>
  </si>
  <si>
    <t>TOTAL Maintenance (Enter Total of lines 35 thru 39)</t>
  </si>
  <si>
    <t>TOTAL Power Production Expenses-Nuc. Power (Entr tot lines 33 &amp; 40)</t>
  </si>
  <si>
    <t>C. Hydraulic Power Generation</t>
  </si>
  <si>
    <t>(535) Operation Supervision and Engineering</t>
  </si>
  <si>
    <t>(535) Water for Power</t>
  </si>
  <si>
    <t>(537) Hydraulic Expenses</t>
  </si>
  <si>
    <t>(538) Electric Expenses</t>
  </si>
  <si>
    <t>(539) Miscellaneous Hydraulic Power Generation Expenses</t>
  </si>
  <si>
    <t>(540) Rents</t>
  </si>
  <si>
    <t>TOTAL Operation (Enter Total of lines 44 thru 49)</t>
  </si>
  <si>
    <t>C. Hydraulic Power Generation (Continued)</t>
  </si>
  <si>
    <t>(541) Maintenance Supervision and Engineering</t>
  </si>
  <si>
    <t>(542) Maintenance of Structure</t>
  </si>
  <si>
    <t>(543) Maintenance of Reservoirs, Dams, and Waterways</t>
  </si>
  <si>
    <t>(544) Maintenance of Electric Plant</t>
  </si>
  <si>
    <t>(545) Maintenance of Miscellaneous Hydraulic Plant</t>
  </si>
  <si>
    <t>TOTAL Maintenance (Enter Total of lines 53 thru 57)</t>
  </si>
  <si>
    <t>TOTAL Power Production Expenses-Hydraulic Power (tot of lines 50 &amp; 58)</t>
  </si>
  <si>
    <t>PAGE 321</t>
  </si>
  <si>
    <t>ELECTRIC OPERATION AND MAINTENANCE EXPENSES (Continued)</t>
  </si>
  <si>
    <t>Amount for
Current Year</t>
  </si>
  <si>
    <t>D. Other Power Generation</t>
  </si>
  <si>
    <t>(546) Operation Supervision and Engineering</t>
  </si>
  <si>
    <t>(547) Fuel</t>
  </si>
  <si>
    <t>(548) Generation Expenses</t>
  </si>
  <si>
    <t>64.1</t>
  </si>
  <si>
    <t>(548.1) Operation of Energy Storage Equipment</t>
  </si>
  <si>
    <t>(549) Miscellaneous Other Power Generation Expenses</t>
  </si>
  <si>
    <t>(550) Rents</t>
  </si>
  <si>
    <t>TOTAL Operation (Enter Total of lines 62 thru 66)</t>
  </si>
  <si>
    <t>(551) Maintenance Supervision and Engineering</t>
  </si>
  <si>
    <t>(552) Maintenance of Structures</t>
  </si>
  <si>
    <t>(553) Maintenance of Generating and Electric Plant</t>
  </si>
  <si>
    <t>71.1</t>
  </si>
  <si>
    <t>(553.1) Maintenance of Energy Storage Equipment</t>
  </si>
  <si>
    <t>(554) Maintenance of Miscellaneous Other Power Generation Plant</t>
  </si>
  <si>
    <t>TOTAL Maintenance (Enter Total of lines 69 thru 72)</t>
  </si>
  <si>
    <t>TOTAL Power Production Expenses-Other Power (Enter Tot of 67 &amp; 73)</t>
  </si>
  <si>
    <t>E. Other Power Supply Expenses</t>
  </si>
  <si>
    <t>(555) Purchased Power</t>
  </si>
  <si>
    <t>76.1</t>
  </si>
  <si>
    <t>(555.1) Power Purchased for Storage Operations</t>
  </si>
  <si>
    <t>(556) System Control and Load Dispatching</t>
  </si>
  <si>
    <t>(557) Other Expenses</t>
  </si>
  <si>
    <t>TOTAL Other Power Supply Exp (Enter Total of lines 76 thru 78)</t>
  </si>
  <si>
    <t>TOTAL Power Production Expenses (Total of lines 21, 41, 59, 74 &amp; 79)</t>
  </si>
  <si>
    <t>2. TRANSMISSION EXPENSES</t>
  </si>
  <si>
    <t>(560) Operation Supervision and Engineering</t>
  </si>
  <si>
    <t>(561.1) Load Dispatch-Reliability</t>
  </si>
  <si>
    <t>(561.2) Load Dispatch-Monitor and Operate Transmission System</t>
  </si>
  <si>
    <t>(561.3) Load Dispatch-Transmission Service and Scheduling</t>
  </si>
  <si>
    <t>(561.4) Scheduling, System Control and Dispatch Services</t>
  </si>
  <si>
    <t>(561.5) Reliability, Planning and Standards Development</t>
  </si>
  <si>
    <t>(561.6) Transmission Service Studies</t>
  </si>
  <si>
    <t>(561.7) Generation Interconnection Studies</t>
  </si>
  <si>
    <t>(561.8) Reliability, Planning and Standards Development Services</t>
  </si>
  <si>
    <t>(562) Station Expenses</t>
  </si>
  <si>
    <t>93.1</t>
  </si>
  <si>
    <t>(562.1) Operation of Energy Storage Equipment</t>
  </si>
  <si>
    <t>(563) Overhead Lines Expenses</t>
  </si>
  <si>
    <t>(564) Underground Lines Expenses</t>
  </si>
  <si>
    <t>(565) Transmission of Electricity by Others</t>
  </si>
  <si>
    <t>(566) Miscellaneous Transmission Expenses</t>
  </si>
  <si>
    <t>(567) Rents</t>
  </si>
  <si>
    <t>TOTAL Operation (Enter Total  of lines 83 thru 98)</t>
  </si>
  <si>
    <t>(568) Maintenance Supervision and Engineering</t>
  </si>
  <si>
    <t>(569) Maintenance of Structures</t>
  </si>
  <si>
    <t>(569.1) Maintenance of Computer Hardware</t>
  </si>
  <si>
    <t>(569.2) Maintenance of Computer Software</t>
  </si>
  <si>
    <t>105</t>
  </si>
  <si>
    <t>(569.3) Maintenance of Communication Equipment</t>
  </si>
  <si>
    <t>106</t>
  </si>
  <si>
    <t>(569.4) Maintenance of Miscellaneous Regional Transmission Plant</t>
  </si>
  <si>
    <t>107</t>
  </si>
  <si>
    <t>(570) Maintenance of Station Equipment</t>
  </si>
  <si>
    <t>107.1</t>
  </si>
  <si>
    <t>(570.1) Maintenance of Energy Storage Equipment</t>
  </si>
  <si>
    <t>(571) Maintenance of Overhead Lines</t>
  </si>
  <si>
    <t>(572) Maintenance of Underground Lines</t>
  </si>
  <si>
    <t>(573) Maintenance of Miscellaneous Transmission Plant</t>
  </si>
  <si>
    <t>TOTAL Maintenance (Total of lines 101 thru 110)</t>
  </si>
  <si>
    <t>TOTAL Transmission Expenses (Total of lines 99 and 111)</t>
  </si>
  <si>
    <t>PAGE 322</t>
  </si>
  <si>
    <t>3. REGIONAL MARKET EXPENSES</t>
  </si>
  <si>
    <t>(575.1) Operation Supervision</t>
  </si>
  <si>
    <t>(575.2) Day-Ahead and Real-Time Market Facilitation</t>
  </si>
  <si>
    <t>(575.3) Transmission Rights Market Facilitation</t>
  </si>
  <si>
    <t>(575.4) Capacity Market Facilitation</t>
  </si>
  <si>
    <t>(575.5) Ancillary Services Market Facilitation</t>
  </si>
  <si>
    <t>(575.6) Market Monitoring and Compliance</t>
  </si>
  <si>
    <t>(575.7) Market Facilitation, Monitoring and Compliance Services</t>
  </si>
  <si>
    <t>(575.8) Rents</t>
  </si>
  <si>
    <t>Total Operation (Lines 115 thru 122)</t>
  </si>
  <si>
    <t>(576.1) Maintenance of Structures and Improvements</t>
  </si>
  <si>
    <t>(576.2) Maintenance of Computer Hardware</t>
  </si>
  <si>
    <t>(576.3) Maintenance of Computer Software</t>
  </si>
  <si>
    <t>(576.4) Maintenance of Communication Equipment</t>
  </si>
  <si>
    <t>(576.5) Maintenance of Miscellaneous Market Operation Plant</t>
  </si>
  <si>
    <t>Total Maintenance (Lines 125 thru 129)</t>
  </si>
  <si>
    <t>TOTAL Regional Transmission and Market Op Expns (Total 123 and 130)</t>
  </si>
  <si>
    <t>4. DISTRIBUTION EXPENSES</t>
  </si>
  <si>
    <t>(580) Operation Supervision and Engineering</t>
  </si>
  <si>
    <t>(581) Load Dispatching</t>
  </si>
  <si>
    <t>(582) Station Expenses</t>
  </si>
  <si>
    <t>(583) Overhead Line Expenses</t>
  </si>
  <si>
    <t>138</t>
  </si>
  <si>
    <t>(584) Underground Line Expenses</t>
  </si>
  <si>
    <t>138.1</t>
  </si>
  <si>
    <t>(584.1) Operation of Energy Storage Equipment</t>
  </si>
  <si>
    <t>139</t>
  </si>
  <si>
    <t>(585) Street Lighting and Signal System Expenses</t>
  </si>
  <si>
    <t>140</t>
  </si>
  <si>
    <t>(586) Meter Expenses</t>
  </si>
  <si>
    <t>141</t>
  </si>
  <si>
    <t>(587) Customer Installations Expenses</t>
  </si>
  <si>
    <t>142</t>
  </si>
  <si>
    <t>(588) Miscellaneous Expenses</t>
  </si>
  <si>
    <t>143</t>
  </si>
  <si>
    <t>(589) Rents</t>
  </si>
  <si>
    <t>144</t>
  </si>
  <si>
    <t>TOTAL Operation (Enter Total of lines 134 thru 143)</t>
  </si>
  <si>
    <t>145</t>
  </si>
  <si>
    <t>146</t>
  </si>
  <si>
    <t>(590) Maintenance Supervision and Engineering</t>
  </si>
  <si>
    <t>147</t>
  </si>
  <si>
    <t>(591) Maintenance of Structures</t>
  </si>
  <si>
    <t>148</t>
  </si>
  <si>
    <t>(592) Maintenance of Station Equipment</t>
  </si>
  <si>
    <t>148.1</t>
  </si>
  <si>
    <t>(592.2) Maintenance of Energy Storage Equipment</t>
  </si>
  <si>
    <t>(593) Maintenance of Overhead Lines</t>
  </si>
  <si>
    <t>(594) Maintenance of Underground Lines</t>
  </si>
  <si>
    <t>(595) Maintenance of Line Transformers</t>
  </si>
  <si>
    <t>(596) Maintenance of Street Lighting and Signal Systems</t>
  </si>
  <si>
    <t>(597) Maintenance of Meters</t>
  </si>
  <si>
    <t>(598) Maintenance of Miscellaneous Distribution Plant</t>
  </si>
  <si>
    <t>TOTAL Maintenance (Total of lines 146 thru 154)</t>
  </si>
  <si>
    <t>TOTAL Distribution Expenses (Total of lines 144 and 155)</t>
  </si>
  <si>
    <t>5. CUSTOMER ACCOUNTS EXPENSES</t>
  </si>
  <si>
    <t>(901) Supervision</t>
  </si>
  <si>
    <t>(902) Meter Reading Expenses</t>
  </si>
  <si>
    <t>(903) Customer Records and Collection Expenses</t>
  </si>
  <si>
    <t>(904) Uncollectible Accounts</t>
  </si>
  <si>
    <t>(905) Miscellaneous Customer Accounts Expenses</t>
  </si>
  <si>
    <t>TOTAL Customer Accounts Expenses (Total of lines 159 thru 163)</t>
  </si>
  <si>
    <t>PAGE 323</t>
  </si>
  <si>
    <t>6. CUSTOMER SERVICE AND INFORMATIONAL EXPENSES</t>
  </si>
  <si>
    <t>(907) Supervision</t>
  </si>
  <si>
    <t>(908) Customer Assistance Expenses</t>
  </si>
  <si>
    <t>(909) Informational and Instructional Expenses</t>
  </si>
  <si>
    <t>(910) Miscellaneous Customer Service and Informational Expenses</t>
  </si>
  <si>
    <t>TOTAL Customer Service and Information Expenses (Total 167 thru 170)</t>
  </si>
  <si>
    <t>7. SALES EXPENSES</t>
  </si>
  <si>
    <t>(911) Supervision</t>
  </si>
  <si>
    <t>(912) Demonstrating and Selling Expenses</t>
  </si>
  <si>
    <t>(913) Advertising Expenses</t>
  </si>
  <si>
    <t>(916) Miscellaneous Sales Expenses</t>
  </si>
  <si>
    <t>TOTAL Sales Expenses (Enter Total of lines 174 thru 177)</t>
  </si>
  <si>
    <t>8. ADMINISTRATIVE AND GENERAL EXPENSES</t>
  </si>
  <si>
    <t>(920) Administrative and General Salaries</t>
  </si>
  <si>
    <t>(921) Office Supplies and Expenses</t>
  </si>
  <si>
    <t>(Less) (922) Administrative Expenses Transferred-Credit</t>
  </si>
  <si>
    <t>(923) Outside Services Employed</t>
  </si>
  <si>
    <t>(924) Property Insurance</t>
  </si>
  <si>
    <t>(925) Injuries and Damages</t>
  </si>
  <si>
    <t>(926) Employee Pensions and Benefits</t>
  </si>
  <si>
    <t>(927) Franchise Requirements</t>
  </si>
  <si>
    <t>(928) Regulatory Commission Expenses</t>
  </si>
  <si>
    <t>(929) (Less) Duplicate Charges-Cr.</t>
  </si>
  <si>
    <t>(930.1) General Advertising Expenses</t>
  </si>
  <si>
    <t>(930.2) Miscellaneous General Expenses</t>
  </si>
  <si>
    <t>(931) Rents</t>
  </si>
  <si>
    <t>TOTAL Operation (Enter Total of lines 181  thru 193)</t>
  </si>
  <si>
    <t>(935) Maintenance of General Plant</t>
  </si>
  <si>
    <t>TOTAL Administrative &amp; General Expenses (Total of lines 194  and 196)</t>
  </si>
  <si>
    <t>TOTAL Elec Op and Maint Expns (Total 80,112,131,156,164,171,178,197)</t>
  </si>
  <si>
    <t>3 Bar G Wind Turbine #3 LLC</t>
  </si>
  <si>
    <t>Avista Nichols Pump</t>
  </si>
  <si>
    <t>Powerex (Point Roberts)</t>
  </si>
  <si>
    <t>BIO ENERGY (Washington) LLC</t>
  </si>
  <si>
    <t>Black Creek Hydro</t>
  </si>
  <si>
    <t>Bloks Evergreen Dairy</t>
  </si>
  <si>
    <t>BP Energy Co.</t>
  </si>
  <si>
    <t>Bonneville Power Admistration</t>
  </si>
  <si>
    <t>Brookfield Energy Marketing LP</t>
  </si>
  <si>
    <t>California ISO - EIM Purchases</t>
  </si>
  <si>
    <t>Cascade Community Solar</t>
  </si>
  <si>
    <t>Chelan County PUD #1</t>
  </si>
  <si>
    <t>Citigroup Energy (Financial)</t>
  </si>
  <si>
    <t>Citigroup Energy Inc</t>
  </si>
  <si>
    <t>Clatskanie PUD</t>
  </si>
  <si>
    <t>Conoco, Inc.</t>
  </si>
  <si>
    <t>CP Energy Marketing (Epcor)</t>
  </si>
  <si>
    <t>System Deviation</t>
  </si>
  <si>
    <t>Douglas County PUD #1</t>
  </si>
  <si>
    <t>Douglas PUD - Wells Project</t>
  </si>
  <si>
    <t>Edaleen Dairy, LLC</t>
  </si>
  <si>
    <t>EDF Trading NA LLC</t>
  </si>
  <si>
    <t>Emerald City Renewables, LLC</t>
  </si>
  <si>
    <t>Energy Keepers Inc.</t>
  </si>
  <si>
    <t>Eugene Water &amp; Electric</t>
  </si>
  <si>
    <t>Farm Power Rexville LLC</t>
  </si>
  <si>
    <t>Grant County PUD #2</t>
  </si>
  <si>
    <t>Grant PUD - Priest Rapids Project</t>
  </si>
  <si>
    <t>Iberdrola Renewables (PPM Energy)</t>
  </si>
  <si>
    <t>Ikea U.S. West, Inc.</t>
  </si>
  <si>
    <t>Knudsen Wind Turbine#1</t>
  </si>
  <si>
    <t>Koma Kulshan Associates</t>
  </si>
  <si>
    <t>Morgan Stanley CG</t>
  </si>
  <si>
    <t>Morgan Stanley CG (Financial)</t>
  </si>
  <si>
    <t>NextEra Energy Power Marketing</t>
  </si>
  <si>
    <t>Puget Sound Hydro (Nooksack)</t>
  </si>
  <si>
    <t>Northwestern Energy</t>
  </si>
  <si>
    <t>Pacific Gas &amp; Elec - Exchange</t>
  </si>
  <si>
    <t>Pacificorp</t>
  </si>
  <si>
    <t>Port of Coupeville</t>
  </si>
  <si>
    <t>Portland General Electric</t>
  </si>
  <si>
    <t>Rainer BioGas</t>
  </si>
  <si>
    <t>Shell Energy (Coral Pwr)</t>
  </si>
  <si>
    <t>Skookumchuck Hydro</t>
  </si>
  <si>
    <t>Skookumchuck Wind PPA</t>
  </si>
  <si>
    <t>Snohomish County PUD #1</t>
  </si>
  <si>
    <t>Swauk Wind LLC</t>
  </si>
  <si>
    <t>Transalta Centralia Generation LLC</t>
  </si>
  <si>
    <t>TransAlta Energy Marketing</t>
  </si>
  <si>
    <t>TransCanada Energy Sales Ltd</t>
  </si>
  <si>
    <t>Twin Falls Hydro</t>
  </si>
  <si>
    <t>VanderHaak Dairy Digester</t>
  </si>
  <si>
    <t>South Fork II Associates(Weeks Falls)</t>
  </si>
  <si>
    <t>Sum of settlement_tot</t>
  </si>
  <si>
    <t>Sum of mwh_purchased</t>
  </si>
  <si>
    <t>Sum of (n)</t>
  </si>
  <si>
    <t>PAGE 326</t>
  </si>
  <si>
    <t>PAGE 327</t>
  </si>
  <si>
    <t>PURCHASED POWER (Account 555)
 (Including power exchanges)</t>
  </si>
  <si>
    <t>PURCHASED POWER (Account 555) (Continued)
 (Including power exchanges)</t>
  </si>
  <si>
    <t>Statistical 
Classifi- 
cation</t>
  </si>
  <si>
    <t>FERC Rate
 Schedule or 
Tariff Number</t>
  </si>
  <si>
    <t>Average 
Monthly Billing 
Demand (MW)</t>
  </si>
  <si>
    <t>MegaWatt Hours Purchased (Excluding for Energy Storage)</t>
  </si>
  <si>
    <t>MegaWatt Hours Purchased for Energy Storage</t>
  </si>
  <si>
    <t>POWER EXCHANGES</t>
  </si>
  <si>
    <t>COST/SETTLEMENT OF POWER</t>
  </si>
  <si>
    <t>MegaWatt Hours
Received</t>
  </si>
  <si>
    <t>MegaWatt Hours
Delivered</t>
  </si>
  <si>
    <t>Total   (j+k+l)
of Settlement ($)</t>
  </si>
  <si>
    <t>CA Carbon Obligation</t>
  </si>
  <si>
    <t>Chelan PUD - Rock Island and Rocky Reach</t>
  </si>
  <si>
    <t>CONSTELLATION ENERGY</t>
  </si>
  <si>
    <t>EDF Trading (Financial)</t>
  </si>
  <si>
    <t>EV Operating/power cost deferral</t>
  </si>
  <si>
    <t>Green Direct RECs</t>
  </si>
  <si>
    <t>KERR DAM-ENERGY KEEPER</t>
  </si>
  <si>
    <t>Iberdrola Renewables (Klondike Wind Power III)</t>
  </si>
  <si>
    <t xml:space="preserve">Lake Washington School District #414 </t>
  </si>
  <si>
    <t>Lund Hill Solar, LLC</t>
  </si>
  <si>
    <t>Penstemon Solar</t>
  </si>
  <si>
    <t>Public Service of Colorado</t>
  </si>
  <si>
    <t>Sierra Pacific Industries</t>
  </si>
  <si>
    <t>Wells Fargo (Financial)</t>
  </si>
  <si>
    <t xml:space="preserve">Adjusted total </t>
  </si>
  <si>
    <t xml:space="preserve"> Cross check </t>
  </si>
  <si>
    <t>1.  Report all power purchases made during the year.  Also report exchanges of electricity (i.e., transactions involving a balancing of debits and credits for energy, capacity, etc.) and any settlements for imbalanced exchanges.
2.  Enter the name of the seller or other party in an exchange transaction in column (a).  Do not abbreviate or truncate the name or use acronyms.  Explain in a footnote any ownership interest or affiliation the respondent has with the seller.
3.  In column (b), enter a Statistical Classification Code based on the original contractual terms and conditions of the service as follows:
RQ - for requirements service.  Requirements service is service which the supplier plans to provide on an ongoing basis (i.e., the supplier includes projects load for this service in its system resource planning).  In addition, the reliability of requirement service must be the same as, or second only to, the supplier’s service to its own ultimate consumers.
LF - for long-term firm service.  "Long-term" means five years or longer and "firm" means that service cannot be interrupted for economic reasons and is intended to remain reliable even under adverse conditions (e.g., the supplier must attempt to buy emergency energy from third parties to maintain deliveries of LF service).  This category should not be used for long-term firm service firm service which meets the definition of RQ service.  For all transaction identified as LF, provide in a footnote the termination date of the contract defined as the earliest date that either buyer or seller can unilaterally get out of the contract.
IF - for intermediate-term firm service.  The same as LF service expect that "intermediate-term" means longer than one year but less than five years.
SF - for short-term service.  Use this category for all firm services, where the duration of each period of commitment for service is one year or less.
LU - for long-term service from a designated generating unit.  "Long-term" means five years or longer.  The availability and reliability of service, aside from transmission constraints, must match the availability and reliability of the designated unit.
IU - for intermediate-term service from a designated generating unit.  The same as LU service expect that "intermediate-term" means longer than one year but less than five years.
EX - For exchanges of electricity.  Use this category for transactions involving a balancing of debits and credits for energy, capacity, etc. and any settlements for imbalanced exchanges.
OS - for other service.  Use this category only for those services which cannot be placed in the above-defined categories, such as all non-firm service regardless of the Length of the contract and service from designated units of Less than one year.  Describe the nature of the service in a footnote for each adjustment.</t>
  </si>
  <si>
    <t>AD - for out-of-period adjustment. Use this code for any accounting adjustments or "true-ups" for service provided in prior reporting years. Provide an explanation in a footnote for each adjustment. 
4. In column (c), identify the FERC Rate Schedule Number or Tariff, or, for non-FERC jurisdictional sellers, include an appropriate designation for the contract. On separate lines, list all FERC rate schedules, tariffs or contract designations under which service, as identified in column (b), is provided. 
5. For requirements RQ purchases and any type of service involving demand charges imposed on a monnthly (or longer) basis, enter the monthly average billing demand in column (d), the average monthly non-coincident peak (NCP) demand in column (e), and the average monthly coincident peak (CP) demand in column (f). For all other types of service, enter NA in columns (d), (e) and (f). Monthly NCP demand is the maximum metered hourly (60-minute integration) demand in a month. Monthly CP demand is the metered demand during the hour (60-minute integration) in which the supplier's system reaches its monthly peak. Demand reported in columns (e) and (f) must be in megawatts. Footnote any demand not stated on a megawatt basis and explain. 
6. Report in column (g) the megawatthours shown on bills rendered to the respondent. Report in columns (h) and (i) the megawatthours of power exchanges received and delivered, used as the basis for settlement. Do not report net exchange. 
7. Report demand charges in column (j), energy charges in column (k), and the total of any other types of charges, including out-of-period adjustments, in column (l). Explain in a footnote all components of the amount shown in column (l). Report in column (m) the total charge shown on bills received as settlement by the respondent. For power exchanges, report in column (m) the settlement amount for the net receipt of energy. If more energy was delivered than received, enter a negative amount. If the settlement amount (l) include credits or charges other than incremental generation expenses, or (2) excludes certain credits or charges covered by the agreement, provide an explanatory footnote. 
8. The data in column (g) through (m) must be totalled on the last line of the schedule. The total amount in column (g) must be reported as Purchases on Page 401, line 10. The total amount in column (h) must be reported as Exchange Received on Page 401, line 12. The total amount in column (i) must be reported as Exchange Delivered on Page 401, line 13. 
9. Footnote entries as required and provide explanations following all required data.</t>
  </si>
  <si>
    <t>Avangrid Renewable (Golden Hills)</t>
  </si>
  <si>
    <t>CAMAS SOLAR</t>
  </si>
  <si>
    <t>Clearwater Wind</t>
  </si>
  <si>
    <t>DYNASTY POWER INC</t>
  </si>
  <si>
    <t>Avangrid Renewables (PPM Energy)</t>
  </si>
  <si>
    <t>Avangrid Renewables (Klondike Wind Power III)</t>
  </si>
  <si>
    <t>MERCURIA ENERGY</t>
  </si>
  <si>
    <t>Mitsui Bussan (Financial)</t>
  </si>
  <si>
    <t>Nevada Energy</t>
  </si>
  <si>
    <t>Powerex Summer Capacity</t>
  </si>
  <si>
    <t>Powerex Winter Capacity</t>
  </si>
  <si>
    <t>Sacramento Municipal</t>
  </si>
  <si>
    <t>Hillside Clean Energy (Sygitowicz)</t>
  </si>
  <si>
    <t>TACOMA GLASS</t>
  </si>
  <si>
    <t>URTICA SOLAR</t>
  </si>
  <si>
    <t>PAGE 328</t>
  </si>
  <si>
    <t>PAGE 329</t>
  </si>
  <si>
    <t>PAGE 330</t>
  </si>
  <si>
    <t>TRANSMISSION OF ELECTRICITY FOR OTHERS (Account 456.1)
(including transactions referred to as 'wheeling')</t>
  </si>
  <si>
    <t>TRANSMISSION OF ELECTRICITY FOR OTHERS (Account 456)(Continued)
(including transactions referred to as 'wheeling')</t>
  </si>
  <si>
    <t>TRANSMISSION OF ELECTRICITY FOR OTHERS (Account 456) (Continued)
(including transactions referred to as 'wheeling')</t>
  </si>
  <si>
    <t xml:space="preserve">1. Report all transmission of electricity, i.e., wheeling, provided for other electric utilities, cooperatives, other public authorities,
qualifying facilities, non-traditional utility suppliers and ultimate customers for the quarter.
2. Use a separate line of data for each distinct type of transmission service involving the entities listed in column (a), (b) and (c).
3. Report in column (a) the company or public authority that paid for the transmission service. Report in column (b) the company or
public authority that the energy was received from and in column (c) the company or public authority that the energy was delivered to.
Provide the full name of each company or public authority. Do not abbreviate or truncate name or use acronyms. Explain in a footnote
any ownership interest in or affiliation the respondent has with the entities listed in columns (a), (b) or (c)
4. In column (d) enter a Statistical Classification code based on the original contractual terms and conditions of the service as follows:
FNO - Firm Network Service for Others, FNS - Firm Network Transmission Service for Self, LFP - "Long-Term Firm Point to Point
Transmission Service, OLF - Other Long-Term Firm Transmission Service, SFP - Short-Term Firm Point to Point Transmission
Reservation, NF - non-firm transmission service, OS - Other Transmission Service and AD - Out-of-Period Adjustments. Use this code
for any accounting adjustments or "true-ups" for service provided in prior reporting periods. Provide an explanation in a footnote for
each adjustment. See General Instruction for definitions of codes.
</t>
  </si>
  <si>
    <t>5. In column (e), identify the FERC Rate Schedule or Tariff Number, On separate lines, list all FERC rate schedules or contract
designations under which service, as identified in column (d), is provided.
6. Report receipt and delivery locations for all single contract path, "point to point" transmission service. In column (f), report the
designation for the substation, or other appropriate identification for where energy was received as specified in the contract. In column
(g) report the designation for the substation, or other appropriate identification for where energy was delivered as specified in the
contract.
7. Report in column (h) the number of megawatts of billing demand that is specified in the firm transmission service contract. Demand
reported in column (h) must be in megawatts. Footnote any demand not stated on a megawatts basis and explain.
8. Report in column (i) and (j) the total megawatthours received and delivered.</t>
  </si>
  <si>
    <t>9. In column (k) through (n), report the revenue amounts as shown on bills or vouchers. In column (k), provide revenues from demand
charges related to the billing demand reported in column (h). In column (I), provide revenues from energy charges related to the
amount of energy transferred. In column (m), provide the total revenues from all other charges on bills or vouchers rendered, including
out of period adjustments. Explain in a footnote all components of the amount shown in column (m). Report in column (n) the total
charge shown on bills rendered to the entity Listed in column (a). If no monetary settlement was made, enter zero (11011) in column
(n). Provide a footnote explaining the nature of the non-monetary settlement, including the amount and type of energy or service
rendered.
10. The total amounts in columns (i) and (j) must be reported as Transmission Received and Transmission Delivered for annual report
purposes only on Page 401, Lines 16 and 17, respectively.
11. Footnote entries and provide explanations following all required data.</t>
  </si>
  <si>
    <t>Payment By
(Company of Public Authority)
(Footnote Affiliation)</t>
  </si>
  <si>
    <t>Energy Received From
(Company of Public Authority)
(Footnote Affiliation)</t>
  </si>
  <si>
    <t>Energy Delivered To
(Company of Public Authority)
(Footnote Affiliation)</t>
  </si>
  <si>
    <t>Statistical
Classification</t>
  </si>
  <si>
    <t>FERC Rate
Schedule of
Tariff Number</t>
  </si>
  <si>
    <t>Point of Receipt (Substation or Other Designation)</t>
  </si>
  <si>
    <t>Point of Delivery
(Substation or Other Designation)</t>
  </si>
  <si>
    <t>Billing
Demand
(MW)</t>
  </si>
  <si>
    <t>TRANSFER OF ENERGY</t>
  </si>
  <si>
    <t>REVENUE FROM TRANSMISSION OF ELECTRICITY FOR OTHERS</t>
  </si>
  <si>
    <t>MegaWatt Hours Delivered</t>
  </si>
  <si>
    <t>(Other Charges)
($)</t>
  </si>
  <si>
    <t>Total Revenues ($)
(k+l+m)</t>
  </si>
  <si>
    <t>FRS #60</t>
  </si>
  <si>
    <t>Beverly Park Substn</t>
  </si>
  <si>
    <t>Goldbar Substation</t>
  </si>
  <si>
    <t>OLF</t>
  </si>
  <si>
    <t>FRS #28</t>
  </si>
  <si>
    <t>Hilton Lake Substn</t>
  </si>
  <si>
    <t>Olympic Pipe Substn</t>
  </si>
  <si>
    <t>Tacoma City Light</t>
  </si>
  <si>
    <t>FRS #62</t>
  </si>
  <si>
    <t>Starwood Substation</t>
  </si>
  <si>
    <t>Baldi Substation</t>
  </si>
  <si>
    <t>Bonneville Power Admin</t>
  </si>
  <si>
    <t>City of Blaine</t>
  </si>
  <si>
    <t>FNO</t>
  </si>
  <si>
    <t>PSE OATT</t>
  </si>
  <si>
    <t>Custer Substation</t>
  </si>
  <si>
    <t>Blaine&amp;Semiahmo Sub</t>
  </si>
  <si>
    <t>City of Sumas</t>
  </si>
  <si>
    <t>Bellingham Substn</t>
  </si>
  <si>
    <t>City of Sumas Sub</t>
  </si>
  <si>
    <t>Kittitas County PUD</t>
  </si>
  <si>
    <t>White River Substn</t>
  </si>
  <si>
    <t>Teanaway Substation</t>
  </si>
  <si>
    <t>Orcas Power &amp; Light</t>
  </si>
  <si>
    <t>Murray Bellingham</t>
  </si>
  <si>
    <t>Fidalgo Substation</t>
  </si>
  <si>
    <t>Tanner Electric Cooperative</t>
  </si>
  <si>
    <t>Maple Valley Substn</t>
  </si>
  <si>
    <t>Ames Lake Tap</t>
  </si>
  <si>
    <t>Olympia Substation</t>
  </si>
  <si>
    <t>Luhr Beach Tap</t>
  </si>
  <si>
    <t>North Bend Substn</t>
  </si>
  <si>
    <t>Port of Seattle and Various</t>
  </si>
  <si>
    <t>Sea Tac Airport</t>
  </si>
  <si>
    <t>Lewis County PUD</t>
  </si>
  <si>
    <t>BPAT.PSEI</t>
  </si>
  <si>
    <t>Tono Substation</t>
  </si>
  <si>
    <t>Morgan Stanley Capital Group, Inc.</t>
  </si>
  <si>
    <t>LFP</t>
  </si>
  <si>
    <t>John Day, COB</t>
  </si>
  <si>
    <t>Morgan Stanley Capital Group</t>
  </si>
  <si>
    <t>Various Washington</t>
  </si>
  <si>
    <t>Powerex</t>
  </si>
  <si>
    <t>Powerex.</t>
  </si>
  <si>
    <t>Powerex..</t>
  </si>
  <si>
    <t>Seattle City Light</t>
  </si>
  <si>
    <t>TransAlta Energy</t>
  </si>
  <si>
    <t>Vantage Wind Energy LLC- Invenergy</t>
  </si>
  <si>
    <t>Whatcom County PUD</t>
  </si>
  <si>
    <t>Enterprise Sub</t>
  </si>
  <si>
    <t>Brookfield Renewables</t>
  </si>
  <si>
    <t>SFP</t>
  </si>
  <si>
    <t>Shell Energy North America</t>
  </si>
  <si>
    <t>Exelon Generation</t>
  </si>
  <si>
    <t>Guzman Energy</t>
  </si>
  <si>
    <t>Avangrid Renewables</t>
  </si>
  <si>
    <t>Avista Corporation</t>
  </si>
  <si>
    <t>NF</t>
  </si>
  <si>
    <t>Dynasty Power Inc</t>
  </si>
  <si>
    <t>CP Energy Marketing</t>
  </si>
  <si>
    <t>Macquarie Energy, LLC</t>
  </si>
  <si>
    <t>Mercuria Energy</t>
  </si>
  <si>
    <t>Vitol, Inc.</t>
  </si>
  <si>
    <t>Air Liquide</t>
  </si>
  <si>
    <t>Rocky Reach 115KV Sw</t>
  </si>
  <si>
    <t>Air Products</t>
  </si>
  <si>
    <t>AMCOR Rigid Plastics USA</t>
  </si>
  <si>
    <t>AMCOR Rigid Plastics</t>
  </si>
  <si>
    <t>Bellingham Cold Storage - Roeder</t>
  </si>
  <si>
    <t>B'ham Cold Stor-Roed</t>
  </si>
  <si>
    <t>Bellingham Cold Storage - Orchard</t>
  </si>
  <si>
    <t>Bellingham Cold Storage - Orchar</t>
  </si>
  <si>
    <t>B'ham Cold Stor-Orch</t>
  </si>
  <si>
    <t>Boeing</t>
  </si>
  <si>
    <t>BP Products North America Inc</t>
  </si>
  <si>
    <t>BP Products North America</t>
  </si>
  <si>
    <t>Center Drive Owners Association</t>
  </si>
  <si>
    <t>Center Drive Owners</t>
  </si>
  <si>
    <t>HollyFrontier Puget Sound Refining</t>
  </si>
  <si>
    <t>HollyFrontier</t>
  </si>
  <si>
    <t>Tesoro Refining &amp; Marketing CMP</t>
  </si>
  <si>
    <t>Tesoro</t>
  </si>
  <si>
    <t>TRANSMISSION OF ELECTRICITY BY OTHERS (Account 565) 
(including transactions referred to as 'wheeling')</t>
  </si>
  <si>
    <t>1. Report all transmission, i.e. wheeling or electricity provided by other electric utilities, cooperatives, municipalities, other public
authorities, qualifying facilities, and others for the quarter.
2. In column (a) report each company or public authority that provided transmission service. Provide the full name of the company,
abbreviate if necessary, but do not truncate name or use acronyms. Explain in a footnote any ownership interest in or affiliation with the
transmission service provider. Use additional columns as necessary to report all companies or public authorities that provided
transmission service for the quarter reported.
3. In column (b) enter a Statistical Classification code based on the original contractual terms and conditions of the service as follows:
FNS - Firm Network Transmission Service for Self, LFP - Long-Term Firm Point-to-Point Transmission Reservations. OLF - Other
Long-Term Firm Transmission Service, SFP - Short-Term Firm Point-to- Point Transmission Reservations, NF - Non-Firm Transmission
Service, and OS - Other Transmission Service. See General Instructions for definitions of statistical classifications.
4. Report in column (c) and (d) the total megawatt hours received and delivered by the provider of the transmission service.
5. Report in column (e), (f) and (g) expenses as shown on bills or vouchers rendered to the respondent. In column (e) report the
demand charges and in column (f) energy charges related to the amount of energy transferred. On column (g) report the total of all
other charges on bills or vouchers rendered to the respondent, including any out of period adjustments. Explain in a footnote all
components of the amount shown in column (g). Report in column (h) the total charge shown on bills rendered to the respondent. If no
monetary settlement was made, enter zero in column (h). Provide a footnote explaining the nature of the non-monetary settlement,
including the amount and type of energy or service rendered.
6. Enter "TOTAL" in column (a) as the last line.
7. Footnote entries and provide explanations following all required data</t>
  </si>
  <si>
    <t>Line  No.</t>
  </si>
  <si>
    <t>Name of Company or Public Authority (Footnote Affiliations)</t>
  </si>
  <si>
    <t>Statistical  Classification</t>
  </si>
  <si>
    <t>EXPENSES FOR TRANSMISSION OF
ELECTRICITY BY OTHERS</t>
  </si>
  <si>
    <t>Megawatt- hours  Received</t>
  </si>
  <si>
    <t>Megawatt- hours  Delivered</t>
  </si>
  <si>
    <t>Demand  Charges ($)</t>
  </si>
  <si>
    <t>Energy Charges ($)</t>
  </si>
  <si>
    <t>Other Charges ($)</t>
  </si>
  <si>
    <t>Total Cost of  Transmission ($)</t>
  </si>
  <si>
    <t>Iberdrola Renewables</t>
  </si>
  <si>
    <t>Klickitat County PUD</t>
  </si>
  <si>
    <t>Shell Energy</t>
  </si>
  <si>
    <t>Talen Energy Marketing</t>
  </si>
  <si>
    <t>DEPRECIATION AND AMORTIZATION OF ELECTRIC PLANT (Account 403, 404, 405)
(Except amortization of acquisition adjustments)</t>
  </si>
  <si>
    <t>1. Report in section A for the year the amounts for : (b) Depreciation Expense (Account 403; (c) Depreciation Expense for Asset
Retirement Costs (Account 403.1; (d) Amortization of Limited-Term Electric Plant (Account 404); and (e) Amortization of Other Electric
Plant (Account 405).
2. Report in Section 8 the rates used to compute amortization charges for electric plant (Accounts 404 and 405). State the basis used to
compute charges and whether any changes have been made in the basis or rates used from the preceding report year.
3. Report all available information called for in Section C every fifth year beginning with report year 1971, reporting annually only changes
to columns (c) through (g) from the complete report of the preceding year.
Unless composite depreciation accounting for total depreciable plant is followed, list numerically in column (a) each plant subaccount,
account or functional classification, as appropriate, to which a rate is applied. Identify at the bottom of Section C the type of plant
included in any sub-account used.
In column (b) report all depreciable plant balances to which rates are applied showing subtotals by functional Classifications and showing
composite total. Indicate at the bottom of section C the manner in which column balances are obtained. If average balances, state the
method of averaging used.
For columns (c), (d), and (e) report available information for each plant subaccount, account or functional classification Listed in column
(a). If plant mortality studies are prepared to assist in estimating average service Lives, show in column (f) the type mortality curve
selected as most appropriate for the account and in column (g), if available, the weighted average remaining life of surviving plant. If
composite depreciation accounting is used, report available information called for in columns (b) through (g) on this basis.
4. If provisions for depreciation were made during the year in addition to depreciation provided by application of reported rates, state at
the bottom of section C the amounts and nature of the provisions and the plant items to which related.</t>
  </si>
  <si>
    <t>A. Summary of Depreciation and Amortization Charges</t>
  </si>
  <si>
    <t>Functional Classification</t>
  </si>
  <si>
    <t>Depreciation
Expense
(Account 403)</t>
  </si>
  <si>
    <t>Depreciation
Expense for Asset Retirement Costs (Account 403.1)</t>
  </si>
  <si>
    <t>Amortization of Limited Term
Electric Plant (Account 404)</t>
  </si>
  <si>
    <t>Amortization of
Other Electric
Plant (Acc 405)</t>
  </si>
  <si>
    <t>Intangible Plant</t>
  </si>
  <si>
    <t>Hydraulic Production Plant-Conventional</t>
  </si>
  <si>
    <t>Hydraulic Production Plant-Pumped Storage</t>
  </si>
  <si>
    <t>B.  Basis for Amortization Charges</t>
  </si>
  <si>
    <t>DISTRIBUTION OF SALARIES AND WAGES</t>
  </si>
  <si>
    <t>Report below the distribution of total salaries and wages for the year. Segregate amounts originally charged to clearing accounts to Utility Departments, Construction, Plant Removals, and Other Accounts, and enter such amounts in the appropriate lines and columns provided. In determining this segregation of salaries and wages originally charged to clearing accounts, a method of approximation giving substantially correct results may be used.</t>
  </si>
  <si>
    <t>Direct Payroll
Distribution</t>
  </si>
  <si>
    <t>Allocation of Payroll charged for Clearing Accounts</t>
  </si>
  <si>
    <t>Regional Market</t>
  </si>
  <si>
    <t>TOTAL Operation (Enter Total of lines 3 thru 10)</t>
  </si>
  <si>
    <t>TOTAL Maintenance (Total of lines 13 thru 17)</t>
  </si>
  <si>
    <t>Total Operation and Maintenance</t>
  </si>
  <si>
    <t>Production (Enter Total of lines 3 and 13)</t>
  </si>
  <si>
    <t>Transmission (Enter Total of lines 4 and 14)</t>
  </si>
  <si>
    <t>Regional Market (Enter Total of Lines 5 and 15)</t>
  </si>
  <si>
    <t>Distribution (Enter Total of lines 6 and 16)</t>
  </si>
  <si>
    <t>Customer Accounts (Transcribe from line 7)</t>
  </si>
  <si>
    <t>Customer Service and Informational (Transcribe from line 8)</t>
  </si>
  <si>
    <t>Sales (Transcribe from line 9)</t>
  </si>
  <si>
    <t>Administrative and General (Enter Total of lines 10 and 17)</t>
  </si>
  <si>
    <t>TOTAL Oper. and Maint. (Total of lines 20 thru 27)</t>
  </si>
  <si>
    <t>Production-Manufactured Gas</t>
  </si>
  <si>
    <t>Production-Nat. Gas (Including Expl. and Dev.)</t>
  </si>
  <si>
    <t>Other Gas Supply</t>
  </si>
  <si>
    <t>Storage, LNG Terminaling and Processing</t>
  </si>
  <si>
    <t>TOTAL Operation (Enter Total of lines 31 thru 40)</t>
  </si>
  <si>
    <t>Production-Natural Gas (Including Exploration and Development)</t>
  </si>
  <si>
    <t>PAGE 355</t>
  </si>
  <si>
    <t>DISTRIBUTION OF SALARIES AND WAGES (Continued)</t>
  </si>
  <si>
    <t>TOTAL Maint. (Enter Total of lines 43 thru 49)</t>
  </si>
  <si>
    <t>Production-Manufactured Gas (Enter Total of lines 31 and 43)</t>
  </si>
  <si>
    <t>Production-Natural Gas (Including Expl. and Dev.) (Total lines 32 and 44)</t>
  </si>
  <si>
    <t>Other Gas Supply (Enter Total of lines 33 and 45)</t>
  </si>
  <si>
    <t>Storage, LNG Terminaling and Processing (Total of lines 34 and 46)</t>
  </si>
  <si>
    <t>Transmission (Lines 35 and 47)</t>
  </si>
  <si>
    <t>Distribution (Lines 36 and 48)</t>
  </si>
  <si>
    <t>Customer Accounts (Line 37)</t>
  </si>
  <si>
    <t>Customer Service and Informational (Line 38)</t>
  </si>
  <si>
    <t>Sales (Line 39)</t>
  </si>
  <si>
    <t>Administrative and General (Lines 40 and 49)</t>
  </si>
  <si>
    <t>TOTAL Operation and Maint. (Total of lines 52 thru 61)</t>
  </si>
  <si>
    <t>Other Utility Departments</t>
  </si>
  <si>
    <t>TOTAL All Utility Dept. (Total of lines 28, 62, and 64)</t>
  </si>
  <si>
    <t>Construction (By Utility Departments)</t>
  </si>
  <si>
    <t>Electric Plant</t>
  </si>
  <si>
    <t>Gas Plant</t>
  </si>
  <si>
    <t>Other (provide details in footnote):</t>
  </si>
  <si>
    <t>TOTAL Construction (Total of lines 68 thru 70)</t>
  </si>
  <si>
    <t>Plant Removal (By Utility Departments)</t>
  </si>
  <si>
    <t>TOTAL Plant Removal (Total of lines 73 thru 75)</t>
  </si>
  <si>
    <t>Other Accounts (Specify, provide details in footnote):</t>
  </si>
  <si>
    <t>TOTAL Other Accounts</t>
  </si>
  <si>
    <t>TOTAL SALARIES AND WAGES</t>
  </si>
  <si>
    <t xml:space="preserve">
1 &amp; 2.</t>
  </si>
  <si>
    <t xml:space="preserve">
Common Plant and Accumulated Provision for Depreciation:</t>
  </si>
  <si>
    <t>Book Value</t>
  </si>
  <si>
    <t>Accumulated Provision for</t>
  </si>
  <si>
    <t xml:space="preserve"> Depreciation &amp; Amortization </t>
  </si>
  <si>
    <t>Franchises</t>
  </si>
  <si>
    <t>Software Development</t>
  </si>
  <si>
    <t>Office Furniture and Equipment</t>
  </si>
  <si>
    <t>Tools/Shop/Garage Equipment</t>
  </si>
  <si>
    <t>Other Tangible Property</t>
  </si>
  <si>
    <t>Total Common Plant in Service</t>
  </si>
  <si>
    <t>FERC Totals</t>
  </si>
  <si>
    <t xml:space="preserve">Common plant balances are not allocated to Electric or Gas departments. </t>
  </si>
  <si>
    <t>3. Common expense allocated to Electric and Gas departments:</t>
  </si>
  <si>
    <t xml:space="preserve">Description </t>
  </si>
  <si>
    <t xml:space="preserve"> Total  </t>
  </si>
  <si>
    <t xml:space="preserve"> Allocated </t>
  </si>
  <si>
    <t xml:space="preserve"> Allocated Allocation </t>
  </si>
  <si>
    <t xml:space="preserve"> to Electric </t>
  </si>
  <si>
    <t xml:space="preserve"> to Gas </t>
  </si>
  <si>
    <t>Basis</t>
  </si>
  <si>
    <t xml:space="preserve">    Depreciation</t>
  </si>
  <si>
    <t>(D)</t>
  </si>
  <si>
    <t xml:space="preserve">    Amortization of LTD Term Plant</t>
  </si>
  <si>
    <t xml:space="preserve">    Customer Accounts and Collection Supervision </t>
  </si>
  <si>
    <t>(A)</t>
  </si>
  <si>
    <t xml:space="preserve">    Meter Reading Expense</t>
  </si>
  <si>
    <t>(B)</t>
  </si>
  <si>
    <t xml:space="preserve">    Customer Records and Collections</t>
  </si>
  <si>
    <t xml:space="preserve">    Uncollected Accounts </t>
  </si>
  <si>
    <t xml:space="preserve">    Customer Assistance</t>
  </si>
  <si>
    <t xml:space="preserve">    Information and Instructional Advertising and Information</t>
  </si>
  <si>
    <t xml:space="preserve">    Miscellaneous Customer Services</t>
  </si>
  <si>
    <t xml:space="preserve">    Common Sales</t>
  </si>
  <si>
    <t xml:space="preserve">    Administrative and General Salaries</t>
  </si>
  <si>
    <t xml:space="preserve">    Office Supplies &amp; Expense </t>
  </si>
  <si>
    <t xml:space="preserve">    Administrative Expense Transferred</t>
  </si>
  <si>
    <t xml:space="preserve">    Outside Services Employed</t>
  </si>
  <si>
    <t xml:space="preserve">    Property Insurance</t>
  </si>
  <si>
    <t>(C)</t>
  </si>
  <si>
    <t xml:space="preserve">    Injuries &amp; Damages</t>
  </si>
  <si>
    <t xml:space="preserve">    Regulatory Commission                </t>
  </si>
  <si>
    <t xml:space="preserve">    General Advertising</t>
  </si>
  <si>
    <t xml:space="preserve">    Miscellaneous General Expense </t>
  </si>
  <si>
    <t xml:space="preserve">    Rents</t>
  </si>
  <si>
    <t xml:space="preserve">    Maintenance of General Plant</t>
  </si>
  <si>
    <t>4. Docket UE-960195 of the Washington Utilities and Transportation Commission, dated February 5, 1997.</t>
  </si>
  <si>
    <t>Report below the information called for concerning the disposition of electric energy generated, purchased, exchanged and wheeled during the year.</t>
  </si>
  <si>
    <t>MegaWatt Hours</t>
  </si>
  <si>
    <t>SOURCES OF ENERGY</t>
  </si>
  <si>
    <t>Generation (Excluding Station Use):</t>
  </si>
  <si>
    <t>Hydro-Conventional</t>
  </si>
  <si>
    <t>Hydro-Pumped Storage</t>
  </si>
  <si>
    <t>Less Energy for Pumping</t>
  </si>
  <si>
    <t>Net Generation (Enter Total of lines 3
through 8)</t>
  </si>
  <si>
    <t>Purchases (other than for Energy Storage)</t>
  </si>
  <si>
    <t>Purchases for Energy Storage</t>
  </si>
  <si>
    <t>Power Exchanges:</t>
  </si>
  <si>
    <t>Received</t>
  </si>
  <si>
    <t>Delivered</t>
  </si>
  <si>
    <t>Net Exchanges (Line 12 minus line 13)</t>
  </si>
  <si>
    <t>Transmission For Other (Wheeling)</t>
  </si>
  <si>
    <t>Net Transmission for Other (Line 16 minus line 17)</t>
  </si>
  <si>
    <t>Transmission By Others Losses</t>
  </si>
  <si>
    <t>TOTAL (Enter Total of lines 9, 10, 14, 18 and 19)</t>
  </si>
  <si>
    <t>DISPOSITION OF ENERGY</t>
  </si>
  <si>
    <t>Sales to Ultimate Consumers (Including
Interdepartmental Sales)</t>
  </si>
  <si>
    <t>Requirements Sales for Resale (See instruction 4, page 311.)</t>
  </si>
  <si>
    <t>Non-Requirements Sales for Resale (See instruction 4, page 311.)</t>
  </si>
  <si>
    <t>Energy Furnished Without Charge</t>
  </si>
  <si>
    <t>Energy Used by the Company (Electric
Dept Only, Excluding Station Use)</t>
  </si>
  <si>
    <t>Total Energy Losses</t>
  </si>
  <si>
    <t>Total Energy Stored</t>
  </si>
  <si>
    <t>TOTAL (Enter Total of Lines 22 Through
27) (MUST EQUAL LINE 20)</t>
  </si>
  <si>
    <t xml:space="preserve"> erg_val </t>
  </si>
  <si>
    <t xml:space="preserve"> erg_src_mwh </t>
  </si>
  <si>
    <t xml:space="preserve"> erg_disp_mwh </t>
  </si>
  <si>
    <t xml:space="preserve">                      -  </t>
  </si>
  <si>
    <t>Net Generation (Enter Total of lines 3 through 8)</t>
  </si>
  <si>
    <t>Purchases</t>
  </si>
  <si>
    <t>Sales to Ultimate Consumers (Including Interdepartmental Sales)</t>
  </si>
  <si>
    <t>Energy Used by the Company (Electric Dept Only, Excluding Station Use)</t>
  </si>
  <si>
    <t>TOTAL (Enter Total of Lines 22 Through 27) (MUST EQUAL LINE 20)</t>
  </si>
  <si>
    <t>erg_val</t>
  </si>
  <si>
    <t>erg_src_mwh</t>
  </si>
  <si>
    <t>erg_disp_mwh</t>
  </si>
  <si>
    <t>PAGE 402</t>
  </si>
  <si>
    <t>PAGE 403</t>
  </si>
  <si>
    <t>STEAM-ELECTRIC GENERATING PLANT STATISTICS (Large Plants)</t>
  </si>
  <si>
    <t>STEAM-ELECTRIC GENERATING PLANT STATISTICS (Large Plants) (Continued)</t>
  </si>
  <si>
    <t>Plant
Name:</t>
  </si>
  <si>
    <t>Encogen</t>
  </si>
  <si>
    <t>0</t>
  </si>
  <si>
    <t>Colstrip 3 &amp; 4</t>
  </si>
  <si>
    <t>Frederickson 1</t>
  </si>
  <si>
    <t>Goldendale</t>
  </si>
  <si>
    <t>Mint Farm</t>
  </si>
  <si>
    <t>Kind of Plant (Internal Comb, Gas Turb, Nuclear</t>
  </si>
  <si>
    <t>Combined Cycle</t>
  </si>
  <si>
    <t>Type of Constr (Conventional, Outdoor, Boiler, etc)</t>
  </si>
  <si>
    <t>Semi-Outdoor</t>
  </si>
  <si>
    <t>Outdoor</t>
  </si>
  <si>
    <t>1984</t>
  </si>
  <si>
    <t>1993</t>
  </si>
  <si>
    <t>2002</t>
  </si>
  <si>
    <t>2004</t>
  </si>
  <si>
    <t>2007</t>
  </si>
  <si>
    <t>1986</t>
  </si>
  <si>
    <t>Total Installed Cap (Max Gen Name Plate Ratings-MW)</t>
  </si>
  <si>
    <t>Net Peak Demand on Plant - MW (60 minutes)</t>
  </si>
  <si>
    <t>Plant Hours Connected to Load</t>
  </si>
  <si>
    <t>Net Continuous Plant Capability (Megawatts)</t>
  </si>
  <si>
    <t>When Not Limited by Condenser Water</t>
  </si>
  <si>
    <t>When Limited by Condenser Water</t>
  </si>
  <si>
    <t>Net Generation, Exclusive of Plant Use - KWh</t>
  </si>
  <si>
    <t>Cost per KW of Installed Capacity (line 17/5) Including</t>
  </si>
  <si>
    <t>Coolants and Water (Nuclear Plants Only)</t>
  </si>
  <si>
    <t>Steam Expenses</t>
  </si>
  <si>
    <t>Steam From Other Sources</t>
  </si>
  <si>
    <t>Steam Transferred (Cr)</t>
  </si>
  <si>
    <t>Misc Steam (or Nuclear) Power Expenses</t>
  </si>
  <si>
    <t>Maintenance of Boiler (or reactor) Plant</t>
  </si>
  <si>
    <t>Maintenance of Electric Plant</t>
  </si>
  <si>
    <t>Maintenance of Misc Steam (or Nuclear) Plant</t>
  </si>
  <si>
    <t>Total Production Expenses</t>
  </si>
  <si>
    <t>Expenses per Net KWh</t>
  </si>
  <si>
    <t>Fuel: Kind (Coal, Gas, Oil, or Nuclear)</t>
  </si>
  <si>
    <t>Coal</t>
  </si>
  <si>
    <t>Oil</t>
  </si>
  <si>
    <t>Unit (Coal-tons/Oil-barrel/Gas-mcf/Nuclear-indicate)</t>
  </si>
  <si>
    <t>T</t>
  </si>
  <si>
    <t>Mcf</t>
  </si>
  <si>
    <t>bbl</t>
  </si>
  <si>
    <t>Quantity (Units) of Fuel Burned (from the Unit Type Registry)</t>
  </si>
  <si>
    <t>Avg Heat Cont - Fuel Burned (btu/indicate if nuclear)</t>
  </si>
  <si>
    <t>Avg Cost of Fuel/unit, as Delvd f.o.b. during year</t>
  </si>
  <si>
    <t>Average Cost of Fuel per Unit Burned</t>
  </si>
  <si>
    <t>Average Cost of Fuel Burned per Million BTU</t>
  </si>
  <si>
    <t>Average Cost of Fuel Burned per KWh Net Gen</t>
  </si>
  <si>
    <t>Average BTU per KWh Net Generation</t>
  </si>
  <si>
    <t>Ferndale</t>
  </si>
  <si>
    <t>Whitehorn</t>
  </si>
  <si>
    <t>Frederickson</t>
  </si>
  <si>
    <t>Fredonia 1&amp;2</t>
  </si>
  <si>
    <t>Sumas</t>
  </si>
  <si>
    <t>Gas Turbine</t>
  </si>
  <si>
    <t>1994</t>
  </si>
  <si>
    <t>1981</t>
  </si>
  <si>
    <t>Fredonia 3&amp;4</t>
  </si>
  <si>
    <t>Plant
Name: Wild Horse</t>
  </si>
  <si>
    <t>Plant
Name: Hopkins Ridge</t>
  </si>
  <si>
    <t>Plant
Name: Lower Snake River</t>
  </si>
  <si>
    <t>Wild Horse</t>
  </si>
  <si>
    <t>Hopkins Ridge</t>
  </si>
  <si>
    <t>Lower Snake River</t>
  </si>
  <si>
    <t>Wind Turbine</t>
  </si>
  <si>
    <t>2001</t>
  </si>
  <si>
    <t>2006</t>
  </si>
  <si>
    <t>2005</t>
  </si>
  <si>
    <t>2012</t>
  </si>
  <si>
    <t>2009</t>
  </si>
  <si>
    <t>2008</t>
  </si>
  <si>
    <t>HYDROELECTRIC GENERATING PLANT STATISTICS (Large Plants)</t>
  </si>
  <si>
    <t>HYDROELECTRIC GENERATING PLANT STATISTICS (Large Plants) (Continued)</t>
  </si>
  <si>
    <t>FERC Licensed Project No.</t>
  </si>
  <si>
    <t>Plant Name:</t>
  </si>
  <si>
    <t>0.5</t>
  </si>
  <si>
    <t>LOWER BAKER</t>
  </si>
  <si>
    <t>UPPER BAKER</t>
  </si>
  <si>
    <t>SNOQUALMIE FALLS</t>
  </si>
  <si>
    <t>0.9</t>
  </si>
  <si>
    <t>Typed Dimension</t>
  </si>
  <si>
    <t>, LOWER BAKER</t>
  </si>
  <si>
    <t>, SNOQUALMIE FALLS</t>
  </si>
  <si>
    <t>Kind of Plant (Run-of-River or Storage)</t>
  </si>
  <si>
    <t>Storage</t>
  </si>
  <si>
    <t>Run-of-River</t>
  </si>
  <si>
    <t>Plant Construction type (Conventional or Outdoor)</t>
  </si>
  <si>
    <t>Conventional</t>
  </si>
  <si>
    <t>Total installed cap (Gen name plate Rating in MW)</t>
  </si>
  <si>
    <t>Net Peak Demand on Plant-Megawatts (60 minutes)</t>
  </si>
  <si>
    <t>Plant Hours Connect to Load</t>
  </si>
  <si>
    <t>Net Plant Capability (in megawatts)</t>
  </si>
  <si>
    <t>(a) Under Most Favorable Oper Conditions</t>
  </si>
  <si>
    <t>(b) Under the Most Adverse Oper Conditions</t>
  </si>
  <si>
    <t>Net Generation, Exclusive of Plant Use - Kwh</t>
  </si>
  <si>
    <t>Cost of Plant</t>
  </si>
  <si>
    <t>Reservoirs, Dams, and Waterways</t>
  </si>
  <si>
    <t>Roads, Railroads, and Bridges</t>
  </si>
  <si>
    <t>TOTAL cost (Total of 14 thru 19)</t>
  </si>
  <si>
    <t>Cost per KW of Installed Capacity (line 20 / 5)</t>
  </si>
  <si>
    <t>Production Expenses</t>
  </si>
  <si>
    <t>Operation Supervision and Engineering</t>
  </si>
  <si>
    <t>Water for Power</t>
  </si>
  <si>
    <t>Hydraulic Expenses</t>
  </si>
  <si>
    <t>Misc Hydraulic Power Generation Expenses</t>
  </si>
  <si>
    <t>Maintenance of Reservoirs, Dams, and Waterways</t>
  </si>
  <si>
    <t>Maintenance of Misc Hydraulic Plant</t>
  </si>
  <si>
    <t>Total Production Expenses (total 23 thru 33)</t>
  </si>
  <si>
    <t>Expenses per net KWh</t>
  </si>
  <si>
    <t>PAGE 410</t>
  </si>
  <si>
    <t>PAGE 411</t>
  </si>
  <si>
    <t>GENERATING PLANT STATISTICS (Small Plants)</t>
  </si>
  <si>
    <t>GENERATING PLANT STATISTICS (Small Plants)  (Continued)</t>
  </si>
  <si>
    <t>1. Small generating plants are steam plants of, less than 25,000 Kw; internal combustion and gas turbine-plants, conventional hydro plants and pumped storage plants of less than 10,000 Kw installed capacity (name plate rating).
2. Designate any plant leased from others, operated under a license from the Federal Energy Regulatory Commission, or operated as a joint facility, and give a concise statement of the facts in a footnote. If licensed project, give project number in footnote.</t>
  </si>
  <si>
    <t>3.  List plants appropriately under subheadings for steam, hydro, nuclear, internal combustion and gas turbine plants.  For nuclear, see instruction 11, Page 403.     
4.  If net peak demand for 60 minutes is not available, give the which is available, specifying period.     
5.  If any plant is equipped with combinations of steam, hydro internal combustion or gas turbine equipment, report each as a separate plant.  However, if the exhaust heat from the gas turbine is utilized in a steam turbine regenerative feed water cycle, or for preheated combustion air in a boiler, report as one plant.</t>
  </si>
  <si>
    <t>Name of Plant</t>
  </si>
  <si>
    <t>Year
Orig. Const.</t>
  </si>
  <si>
    <t>Installed Capacity Name Plate Rating
(In MW)</t>
  </si>
  <si>
    <t>Net Peak
Demand 
MW
(60 min.)</t>
  </si>
  <si>
    <t>Net Generation Excluding
Plant Use</t>
  </si>
  <si>
    <t>Plant Cost (Incl Asset
Retire. Costs) Per MW</t>
  </si>
  <si>
    <t>Operation
Exc'l. Fuel</t>
  </si>
  <si>
    <t>Kind of Fuel</t>
  </si>
  <si>
    <t>Fuel Costs (in cents
(per Million Btu)</t>
  </si>
  <si>
    <t>Generation Type</t>
  </si>
  <si>
    <t>INTERNAL COMBUSTION</t>
  </si>
  <si>
    <t>Crystal Mountain</t>
  </si>
  <si>
    <t>1969</t>
  </si>
  <si>
    <t>Diesel</t>
  </si>
  <si>
    <t>Internal Combustion</t>
  </si>
  <si>
    <t>Load (MWh)</t>
  </si>
  <si>
    <t>Net of Demand Side Resources (DSR)</t>
  </si>
  <si>
    <t>Month</t>
  </si>
  <si>
    <t>Residential</t>
  </si>
  <si>
    <t>Commercial</t>
  </si>
  <si>
    <t>Industrial</t>
  </si>
  <si>
    <t>Streetlight</t>
  </si>
  <si>
    <t>Total Delivered</t>
  </si>
  <si>
    <t>Losses</t>
  </si>
  <si>
    <t>Total Load</t>
  </si>
  <si>
    <t>Station Service</t>
  </si>
  <si>
    <t>Station Service Losses</t>
  </si>
  <si>
    <t>Full Load</t>
  </si>
  <si>
    <t>PUGET SOUND ENERGY</t>
  </si>
  <si>
    <t>2021 StormRec MYRP</t>
  </si>
  <si>
    <t>PCA YR #22 Gross</t>
  </si>
  <si>
    <t>PCA YR22 Gross Cntra</t>
  </si>
  <si>
    <t>2022 GRC Env Def El</t>
  </si>
  <si>
    <t>2022 GRC Env Def Gas</t>
  </si>
  <si>
    <t>2022 GRC Env Def Rec</t>
  </si>
  <si>
    <t>GTZ Depr Tranche 2</t>
  </si>
  <si>
    <t>GTZ Tranche 2 Def'l</t>
  </si>
  <si>
    <t>Dcb/Elec Pilot</t>
  </si>
  <si>
    <t>LNG Upgr Dep Gas</t>
  </si>
  <si>
    <t>BLKD -  Pilot Def</t>
  </si>
  <si>
    <t>LNG Upgr Ret Gas</t>
  </si>
  <si>
    <t>Int Inc Reg Fee Def</t>
  </si>
  <si>
    <t>AMI Def 2022 GRC -E</t>
  </si>
  <si>
    <t>AMI Def 2022 GRC -G</t>
  </si>
  <si>
    <t>AMI Def Deb Ret Elec</t>
  </si>
  <si>
    <t>AMI Def Debt Ret Gas</t>
  </si>
  <si>
    <t>Int Sch95A Set Rates</t>
  </si>
  <si>
    <t>CCA Comp Cost - G</t>
  </si>
  <si>
    <t>Sch95A Set in Rates</t>
  </si>
  <si>
    <t>CCA Cost Recov-Int-G</t>
  </si>
  <si>
    <t>Colstrip 1-4 O&amp;M Def</t>
  </si>
  <si>
    <t>Sch. 111 Recovery-G</t>
  </si>
  <si>
    <t>Col 1-4 Prp&amp;L Ins Df</t>
  </si>
  <si>
    <t>Gas Schedule 129D De</t>
  </si>
  <si>
    <t>Col 3&amp;4 MT Eng Tx Df</t>
  </si>
  <si>
    <t>Sch141TEP Set in Rat</t>
  </si>
  <si>
    <t>CCA Comp Cost - E</t>
  </si>
  <si>
    <t>CCA Cost Recov-Int-E</t>
  </si>
  <si>
    <t>CEIP Deferral</t>
  </si>
  <si>
    <t>Settlm O - Pilot reb</t>
  </si>
  <si>
    <t>Sch141CEI Set in Rat</t>
  </si>
  <si>
    <t>Def Dem Res Exp</t>
  </si>
  <si>
    <t>Def Dem Res Ret</t>
  </si>
  <si>
    <t>Def Dem Res Con Exp</t>
  </si>
  <si>
    <t>BLKEnvRem-FacSVC Rem</t>
  </si>
  <si>
    <t>Dem Res PIM Accrual</t>
  </si>
  <si>
    <t>E Schedule 129D Def</t>
  </si>
  <si>
    <t>Sch 141A Trup Def</t>
  </si>
  <si>
    <t>CCA Gas</t>
  </si>
  <si>
    <t>CCA Gas Contra</t>
  </si>
  <si>
    <t>WHH Def Major Maint</t>
  </si>
  <si>
    <t>BLKD-DefCr–DemResEx</t>
  </si>
  <si>
    <t>BDR – Gas Fund</t>
  </si>
  <si>
    <t>BLKD-DefCr–DemResRet</t>
  </si>
  <si>
    <t>BDR – Electric Fund</t>
  </si>
  <si>
    <t>BC-Proj comp pymt</t>
  </si>
  <si>
    <t>Df Rev-LNG Dist Upg</t>
  </si>
  <si>
    <t>Msft 2022 GRC Liab</t>
  </si>
  <si>
    <t>CCA Auct Proceeds-G</t>
  </si>
  <si>
    <t>CCA Auct Prods-Int-G</t>
  </si>
  <si>
    <t>Sch 111 Passback - G</t>
  </si>
  <si>
    <t>DFIT GTZ Car Chg Tr2</t>
  </si>
  <si>
    <t>DFIT GTZ Carr Chrg D</t>
  </si>
  <si>
    <t>DFIT Dpr Def Tr2 Elc</t>
  </si>
  <si>
    <t>DFIT GTZ Dpr Def Tr2</t>
  </si>
  <si>
    <t>DFIT CEIP Deferral</t>
  </si>
  <si>
    <t>DFIT Sch141 TEP rate</t>
  </si>
  <si>
    <t>DFIT Appaloosa Def</t>
  </si>
  <si>
    <t>DFIT AMI RA Electric</t>
  </si>
  <si>
    <t>DFIT AMI RA Gas</t>
  </si>
  <si>
    <t>DFIT Part Fu - Elec</t>
  </si>
  <si>
    <t>DFIT Part Fu - Gas</t>
  </si>
  <si>
    <t>DFIT SCH129D Def Ele</t>
  </si>
  <si>
    <t>DFIT SCH129D Def Gas</t>
  </si>
  <si>
    <t>DFIT Wildfire InsDef</t>
  </si>
  <si>
    <t>DFIT decarb def elec</t>
  </si>
  <si>
    <t>DFIT AMI Def Ret El</t>
  </si>
  <si>
    <t>DFIT AMI Def Ret Gs</t>
  </si>
  <si>
    <t>DFIT CCA Int Def El</t>
  </si>
  <si>
    <t>DFIT CCA Int Def Gs</t>
  </si>
  <si>
    <t>DFIT Col 3&amp;4 Dec Def</t>
  </si>
  <si>
    <t>DFIT LNG Upg Def Rev</t>
  </si>
  <si>
    <t>DFIT Sch141A Trup De</t>
  </si>
  <si>
    <t>DFIT NWP Ref for Ele</t>
  </si>
  <si>
    <t>DFIT Temp Manual M-E</t>
  </si>
  <si>
    <t>DFIT Temp Manual M-G</t>
  </si>
  <si>
    <t>DFIT-LundHil Liq Dmg</t>
  </si>
  <si>
    <t>DFIT - PTC</t>
  </si>
  <si>
    <t>Dbt Iss Cst 5/23 Sr</t>
  </si>
  <si>
    <t>PPD-Powerex Capacity</t>
  </si>
  <si>
    <t>WACA Elec Allow - LT</t>
  </si>
  <si>
    <t>WACA Gas Allow - LT</t>
  </si>
  <si>
    <t>Comp Liability-E-LT</t>
  </si>
  <si>
    <t>Comp Liability-G-LT</t>
  </si>
  <si>
    <t>WA C Allow ST - gas</t>
  </si>
  <si>
    <t>Comp obl ST - Gas</t>
  </si>
  <si>
    <t>Fuel Stock-CT Gas CB</t>
  </si>
  <si>
    <t>&lt;&lt;NEW 2022</t>
  </si>
  <si>
    <t>&lt;&lt;NEW 2023</t>
  </si>
  <si>
    <t>December 31, 2023</t>
  </si>
  <si>
    <t>FERC Reporting period: December 31, 2023</t>
  </si>
  <si>
    <t>Colstrip 3&amp;4</t>
  </si>
  <si>
    <t>131, 407</t>
  </si>
  <si>
    <t xml:space="preserve"> 419, 186 </t>
  </si>
  <si>
    <t xml:space="preserve"> 419, 495 </t>
  </si>
  <si>
    <t>Microsoft</t>
  </si>
  <si>
    <t>143, 254</t>
  </si>
  <si>
    <t>Beaver Creek/Caithness</t>
  </si>
  <si>
    <t>CEIP</t>
  </si>
  <si>
    <t>BDR Fund</t>
  </si>
  <si>
    <t>495, 456</t>
  </si>
  <si>
    <t>2022 AMI Topside Entry</t>
  </si>
  <si>
    <t>407.4, 431</t>
  </si>
  <si>
    <t>187, 254</t>
  </si>
  <si>
    <t>LNG Distribution Upgrades</t>
  </si>
  <si>
    <t>CCA Cost Recovery &amp; Passback</t>
  </si>
  <si>
    <t>Msft GRC Liability</t>
  </si>
  <si>
    <t>Basin Electri Power</t>
  </si>
  <si>
    <t>Merrill Lynch Commodities, Inc.</t>
  </si>
  <si>
    <t>Phillips 66 Energy Trading LLC</t>
  </si>
  <si>
    <t>Chelan PUD Slice 35</t>
  </si>
  <si>
    <t>HF Sinclair (Mar Pt)</t>
  </si>
  <si>
    <t>Washington Emission Allowance</t>
  </si>
  <si>
    <t>Morgan Stanley Capital Group, Inc</t>
  </si>
  <si>
    <t>TransAlta Energy.</t>
  </si>
  <si>
    <t>Sierra Pacific</t>
  </si>
  <si>
    <t>Avista Corporation.</t>
  </si>
  <si>
    <t>Shell Energy North America.</t>
  </si>
  <si>
    <t>Mercuria Energy.</t>
  </si>
  <si>
    <t>Avangrid Renewable, LLC</t>
  </si>
  <si>
    <t>Turlock Irrigation Distric</t>
  </si>
  <si>
    <t>Tacoma Power.</t>
  </si>
  <si>
    <t>HollyFrontier Puget Sound</t>
  </si>
  <si>
    <t>Rainbow Energy Marketing Corporation</t>
  </si>
  <si>
    <t>Snohomish Co. PUD</t>
  </si>
  <si>
    <t>Avista Corp.</t>
  </si>
  <si>
    <t>Dynasty Power, Inc.</t>
  </si>
  <si>
    <t xml:space="preserve">Chelan County PUD </t>
  </si>
  <si>
    <t>Klondike Wind Power III</t>
  </si>
  <si>
    <t>Whatcom County PUD #1</t>
  </si>
  <si>
    <t xml:space="preserve">Conoco </t>
  </si>
  <si>
    <t xml:space="preserve">Portland General Electric </t>
  </si>
  <si>
    <t xml:space="preserve">Tacoma Power </t>
  </si>
  <si>
    <t>Vitol Co.</t>
  </si>
  <si>
    <t xml:space="preserve">Base Year </t>
  </si>
  <si>
    <t>pg 401 losses</t>
  </si>
  <si>
    <t>pg 401 sales to ultimate consumers</t>
  </si>
  <si>
    <t>Loss Factor</t>
  </si>
  <si>
    <t>5 year Total</t>
  </si>
  <si>
    <t>Average</t>
  </si>
  <si>
    <t>Loss Factor (5 year Average)</t>
  </si>
  <si>
    <t>Less:</t>
  </si>
  <si>
    <t>Loss factor for BPA's transmission system.</t>
  </si>
  <si>
    <t>127@1.8MW  22@2.0MW</t>
  </si>
  <si>
    <t>1.8MW</t>
  </si>
  <si>
    <t>2.3MW</t>
  </si>
  <si>
    <t>Post-1979 LF PPAs</t>
  </si>
  <si>
    <t>COLSTRIP 3 &amp; 4</t>
  </si>
  <si>
    <t>FREDERICKSON  1</t>
  </si>
  <si>
    <t>MINT FARM</t>
  </si>
  <si>
    <t>WHITEHORN</t>
  </si>
  <si>
    <t>FREDONIA 1&amp;2</t>
  </si>
  <si>
    <t>FREDONIA 3&amp;4</t>
  </si>
  <si>
    <t>Form 1 LF</t>
  </si>
  <si>
    <t>Natural Gas</t>
  </si>
  <si>
    <t>Wind</t>
  </si>
  <si>
    <t>12 MONTHS ENDED JUNE 30, 2021</t>
  </si>
  <si>
    <t>2022 GENERAL RATE CASE, MYRP RY2023</t>
  </si>
  <si>
    <t>18239661 &amp; 18239671 offset, follows historical treatment of PCA</t>
  </si>
  <si>
    <t>IP CAMERA - EASTSIDE OPERATIONS</t>
  </si>
  <si>
    <t>BELLEVUE BLDG SYST &amp; COMP</t>
  </si>
  <si>
    <t>BOTHELL G VACATE - LABOR</t>
  </si>
  <si>
    <t>PSE BELL HQ REFRESH - FL9 - LABOR</t>
  </si>
  <si>
    <t>PSE BELL HQ REFRESH - FL9 - O/S</t>
  </si>
  <si>
    <t>PORT ORCHARD COMM ROOM IMPROVEMENTS</t>
  </si>
  <si>
    <t>NVR REPLMNT - BOTHELL H PAYMNT PROC</t>
  </si>
  <si>
    <t>NVR REPLMNT - EVERETT OPERATING BAS</t>
  </si>
  <si>
    <t>NVR REPLMNT - MWR ELECTRON</t>
  </si>
  <si>
    <t>NVR REPLMNT - MWR FIELDS GULCH</t>
  </si>
  <si>
    <t>NVR REPLMNT - MWR LINVILLE RIDGE</t>
  </si>
  <si>
    <t>NVR REPLMNT - MWR RENSLOW</t>
  </si>
  <si>
    <t>NVR REPLMNT - MWR RIDPATH</t>
  </si>
  <si>
    <t>NVR REPLMNT - MWR WHISKEY DICK</t>
  </si>
  <si>
    <t>NVR REPLMNT - OLYMPIA ENGINEERING</t>
  </si>
  <si>
    <t>NVR REPLMNT-SOUTH KING CNTY FLEET</t>
  </si>
  <si>
    <t>NVR REPLMNT-S KING COUNTY WAREHOUSE</t>
  </si>
  <si>
    <t>NVR REPLMNT-SOUTH KING CNTY OTHR</t>
  </si>
  <si>
    <t>NVR REPLMNT - BAKER UPPER FSC</t>
  </si>
  <si>
    <t>2023 - IN SVC BLDG SYST &amp; COMP</t>
  </si>
  <si>
    <t>12/2023</t>
  </si>
  <si>
    <t>OPS TRAINING CENTER - LABOR &amp; EXP</t>
  </si>
  <si>
    <t>BOTHELL G VACATE - FFE BUILDOUT</t>
  </si>
  <si>
    <t>PSE BELL HQ REFRESH - FL9 - FFE</t>
  </si>
  <si>
    <t>FURNITURE AND FIXTURE INSTALLATION</t>
  </si>
  <si>
    <t>2023 - STANDING STOCK FURNITURE</t>
  </si>
  <si>
    <t>2023 - STANDING STOCK MEDICAL ACCOM</t>
  </si>
  <si>
    <t>FURNITURE &amp; FIXTURE INSTALLATION</t>
  </si>
  <si>
    <t>Furniture Fixtures HVAC Refresh</t>
  </si>
  <si>
    <t>HYBRID WORK TRANSITION - FFE</t>
  </si>
  <si>
    <t>HYBRID WORK TRANSITION - LABOR</t>
  </si>
  <si>
    <t>HYBRID WORK TRANSITION - O/S</t>
  </si>
  <si>
    <t>OPERATIONAL TRAINING CENTER IT HRD-</t>
  </si>
  <si>
    <t>HRD - IT - TSA GPL JAK-STORAGE - HW</t>
  </si>
  <si>
    <t>HRD . ZERO TRUST . JAKPRE . IT INFR</t>
  </si>
  <si>
    <t>NVR REPLACEMENT - N SEATTLE OPERATI</t>
  </si>
  <si>
    <t>NVR REPLACEMENT - EST BUILDING - HW</t>
  </si>
  <si>
    <t>VNVR REPLACEMENT - ALDERTON SUBSTAT</t>
  </si>
  <si>
    <t>NVR INSTALLATION - HW.CE</t>
  </si>
  <si>
    <t>PSE BELL HQ REFRESH - FL9 - HW.CE</t>
  </si>
  <si>
    <t>GARFIELD COUNTY MW TRANSPORT IMPROV</t>
  </si>
  <si>
    <t>BOTHELL G MIGRATION TO BOTHELL BUCC</t>
  </si>
  <si>
    <t>PSE BELL HQ REFRESH - FL9 - CMM</t>
  </si>
  <si>
    <t>TRANSPORT NW MOD - SNOH CNTY - HW.C</t>
  </si>
  <si>
    <t>TRANSPORT NW MOD - SKAG CNTY - HW.C</t>
  </si>
  <si>
    <t>TRANSPORT NW MOD - KING CNTY - HW.C</t>
  </si>
  <si>
    <t>TRANSPORT NW MOD - KITT CNTY - HW.C</t>
  </si>
  <si>
    <t>TRANSPORT NW MOD - HW-WHAT CNTY - H</t>
  </si>
  <si>
    <t>BOTHELL G VACATE - IT HW &amp; SECURITY</t>
  </si>
  <si>
    <t>BELLINGHAM SERVICE CENTER - BHS - H</t>
  </si>
  <si>
    <t>SKAGIT SERVICE CENTER - SKA - HW.CE</t>
  </si>
  <si>
    <t>JACKSON PRAIRIE - JAK - HW.CE</t>
  </si>
  <si>
    <t>OLYMPIA BUSINESS OFFICE - OLY - HW.</t>
  </si>
  <si>
    <t>PUYALLUP SERVICE CENTER - PUY  - HW</t>
  </si>
  <si>
    <t>EASTSIDE SYSTEM OPERATIONS NON-NERC</t>
  </si>
  <si>
    <t>NORTH KING SERVICE CENTER - NOK - H</t>
  </si>
  <si>
    <t>NORTH OPERATING BASE - NOB - HW.CE</t>
  </si>
  <si>
    <t>NORTH SEATTLE OPERATIONS CENTER - N</t>
  </si>
  <si>
    <t>TACOMA BUSINESS OFFICE - TAC - HW.C</t>
  </si>
  <si>
    <t>MINT FARM GENERATION PLANT- MTF - H</t>
  </si>
  <si>
    <t>ACTR 2021 - HW.CE</t>
  </si>
  <si>
    <t>VOICE RECORDING TECH REFRESH CORP T</t>
  </si>
  <si>
    <t>VOICE RECORDING TECH REFRESH CONTAC</t>
  </si>
  <si>
    <t>AURORA HARDWARE 2023 - HW.CE</t>
  </si>
  <si>
    <t>WRT-SUB IT COMM BATTERY - HW.CE</t>
  </si>
  <si>
    <t>FAC-SVC IT COMM BATTERY - HW.CE</t>
  </si>
  <si>
    <t>KITSAP SERVICE CENTER - KSP - HW.CE</t>
  </si>
  <si>
    <t>BAKER GENERATION  - HW.CE</t>
  </si>
  <si>
    <t>LOWER SNAKE RIVER -LSR OR POMEROY O</t>
  </si>
  <si>
    <t>SNOQUALMIE OPERATIONS AND CONFERENC</t>
  </si>
  <si>
    <t>TRANSPORT NW MOD - STI SUB - HW.CE</t>
  </si>
  <si>
    <t>TRANSPORT NW MOD - STR SUB - HW.CE</t>
  </si>
  <si>
    <t>TRANSP. NET. MODERNIZATION-HW-USB-S</t>
  </si>
  <si>
    <t>BOTHELL BUCC(BACKUP AND CONTROL CEN</t>
  </si>
  <si>
    <t>HOPKINS RIDGE GENERATION - HOP - HW</t>
  </si>
  <si>
    <t>POULSBO SERVICE CENTER - POU - HW.C</t>
  </si>
  <si>
    <t>TRANSPORT NW MOD - BRE -TAL SUB - H</t>
  </si>
  <si>
    <t>TRANSPORT NW MOD - ESR SUB - HW.CE</t>
  </si>
  <si>
    <t xml:space="preserve">TRANSP. NET. MODERNIZATION-TAC-OFC </t>
  </si>
  <si>
    <t>TRANSP NET MODERNIZATION-HW-RET SUB</t>
  </si>
  <si>
    <t>ANNUAL SERVER GROWTH/REFRESH (2023)</t>
  </si>
  <si>
    <t>2023 NETWORK REFRESH/GROWTH - HW.CE</t>
  </si>
  <si>
    <t>STANDING AV/CONFERENCE ROOM TECH RE</t>
  </si>
  <si>
    <t>STANDING 2023 IT CORP FACILITIES</t>
  </si>
  <si>
    <t>SQE-DC 2023 ANNUAL IMPROVEMENTS - H</t>
  </si>
  <si>
    <t>CAS-DC 2023 ANNUAL IMPROVEMENTS - H</t>
  </si>
  <si>
    <t xml:space="preserve">STANDING TELECOM EQUIP GROWTH TOOL </t>
  </si>
  <si>
    <t>ENCOGEN GENERATION - ENC - HW.CE</t>
  </si>
  <si>
    <t>WILD HORSE - WLD - HW.CE</t>
  </si>
  <si>
    <t>GOLDENDALE GENERATING STATION - GLD</t>
  </si>
  <si>
    <t xml:space="preserve">EASTSIDE SYSTEM OPERATIONS NERC  - </t>
  </si>
  <si>
    <t>GEORGETOWN OPERATING BASE - GTO - H</t>
  </si>
  <si>
    <t>SNOQUALMIE HYDOELECTRIC - SNO - HW.</t>
  </si>
  <si>
    <t>SUMAS PLANT - SMS - HW.CE</t>
  </si>
  <si>
    <t>POI - HANA DR ENABLEMENT - HW.CE</t>
  </si>
  <si>
    <t>XAMARIN FORMS MIGRATION TO MAUI - H</t>
  </si>
  <si>
    <t>GIS UPGRADE - SMALLWORLD - SNOQUALM</t>
  </si>
  <si>
    <t xml:space="preserve">GIS UPGRADE - SMALLWORLD - CASCADE </t>
  </si>
  <si>
    <t>ANNUAL ENTERPRISE APPLICATIONS GROW</t>
  </si>
  <si>
    <t>2023 DATA CENTER HARDWARE REFRESH -</t>
  </si>
  <si>
    <t>2023 HARDWARE ORDER FOR DCHR</t>
  </si>
  <si>
    <t>SECURITY SYSTEM BREAK/FIX  - HW.CE</t>
  </si>
  <si>
    <t>MWR MT ERIE - RED3 NVR REPL - HW.CE</t>
  </si>
  <si>
    <t>2023 ROADMAP UPGRADE HARD DRIVE - H</t>
  </si>
  <si>
    <t xml:space="preserve">MWR GREEN MOUNTAIN RED3-NVR SERVER </t>
  </si>
  <si>
    <t>MWR BURLINGTON-NVR SERVER REPLACEME</t>
  </si>
  <si>
    <t>ANNUAL TELECOM NETWORK REFRESH (202</t>
  </si>
  <si>
    <t>FRONT OFFICE VERNELL - HW.CE</t>
  </si>
  <si>
    <t>WBY-WHIDBEY SUB NOKIA SAR DEPLOY_HW</t>
  </si>
  <si>
    <t>WHB-WHIDBEY SERVICE NOKIA SAR DEPLO</t>
  </si>
  <si>
    <t>TRANSP. NET. MODERNIZATION-HW-MIR-S</t>
  </si>
  <si>
    <t>ANNUAL END USER PC REFRESH (2023) -</t>
  </si>
  <si>
    <t xml:space="preserve">2023 STANDING ORDER FLEET VEHICLES </t>
  </si>
  <si>
    <t>2022 FLEET NEW RADIO INSTALL - COMM</t>
  </si>
  <si>
    <t>CMM . ZERO TRUST . JAKPRE . IT INFR</t>
  </si>
  <si>
    <t>SMN-COM SQUALICUM MTN 700MHZ RADIO_</t>
  </si>
  <si>
    <t>9999E999 AMI NTWK N1 GTG ADD'L</t>
  </si>
  <si>
    <t>OLM-COM FOR MICROWAVE UPGRADES</t>
  </si>
  <si>
    <t>ANNUAL TELECOM 2-WAY RADIO IMPROVEM</t>
  </si>
  <si>
    <t>ANNUAL TELECOM RF MICROWAVE IMPROVE</t>
  </si>
  <si>
    <t>Fiber Outage DUV-SUB - STI SUB 0713</t>
  </si>
  <si>
    <t>156TH ST SECTION THROW - TELECOM FI</t>
  </si>
  <si>
    <t>2023 STANDING INTERNAL NETWORK DEPL</t>
  </si>
  <si>
    <t>TRANSPORT NW MOD - CMM-STI SUB</t>
  </si>
  <si>
    <t>TRANSP. NET. MODERNIZATION-CMM-USB-</t>
  </si>
  <si>
    <t>TRANSPORT NW MOD - YEL SUB CMM</t>
  </si>
  <si>
    <t>TRANSPORT NW MOD -  BRE-TAL SUB - C</t>
  </si>
  <si>
    <t>ANNUAL FIBER REFRESH AND REPAIR (20</t>
  </si>
  <si>
    <t>NJUNS FIBER TICKETS (2023) - CMM</t>
  </si>
  <si>
    <t>2023 TELECOM COMM SITES IMPROVEMENT</t>
  </si>
  <si>
    <t>2023 TELECOM COMM SITES IMPROV - NO</t>
  </si>
  <si>
    <t>CPV-COUPEVILLE SUB TRANSP EXT_CMM</t>
  </si>
  <si>
    <t xml:space="preserve">RATTLESNAKE MT COMM IMPROVEMENTS - </t>
  </si>
  <si>
    <t>9999E999 AMI NTWK L+G BILLING</t>
  </si>
  <si>
    <t>9999E999 AMI NTWK SNO PUD 2022/2023</t>
  </si>
  <si>
    <t>9999E999 2023 AMI NTWK BLDG FIX UP</t>
  </si>
  <si>
    <t>9999E999 AMI NTWK SCL OH</t>
  </si>
  <si>
    <t>9999E999 AMI NTWK LEWIS CO PUD</t>
  </si>
  <si>
    <t>RIDPATH MW UPGRADE TO LIN RDP-COM</t>
  </si>
  <si>
    <t>FIELDS GULCH FGH-COM MW UPGRADE</t>
  </si>
  <si>
    <t>TRANSPORT NW MOD - CMM-SBS</t>
  </si>
  <si>
    <t>LOGGING INFRASTRUCTURE UPGRADE - HW</t>
  </si>
  <si>
    <t>Demand Reduction &gt; Energy and Demand Management Systems – systems and software that design, administer, manage, track, and report on the utility’s portfolio of Demand-Side Management (DSM) and Energy Efficiency (EE) programs.  Production.</t>
  </si>
  <si>
    <t>Renewables Integration. &gt; Energy and Demand Management Systems – systems and software that design, administer, manage, track, and report on the utility’s portfolio of Demand-Side Management (DSM) and Energy Efficiency (EE) programs.  Production.
Alternative Energy Supply – systems that manage the availability of energy supply from alternative sources which may be outside the control of the utility.  Production.</t>
  </si>
  <si>
    <t xml:space="preserve">USFS MT. BAKER-SNOQUALMIE NF SUP - </t>
  </si>
  <si>
    <t>US NAVY DOD BREMERTON AND</t>
  </si>
  <si>
    <t xml:space="preserve">FERC 303 Baker relicense: SFEG will work with Skagit Conservation District to restore habitat connectivity by removing an undersized culvert on Carey's Creek and replacing with a 40-60 foot modular steel or pre-cast concrete bridge that will completely span the 29 foot wide channel. </t>
  </si>
  <si>
    <t>9999E999 Carey's Slough Riparian Re</t>
  </si>
  <si>
    <t>Substation Operations and Management – systems used to monitor the operation of substations to maximize performance and ensure safe equipment operations.  TD.</t>
  </si>
  <si>
    <t>Planning Models – this category includes such applications as resource management, capacity plan, fuel plan, load forecast, purchased power, and financial/rate forecast systems.  LABOR – Account 920.</t>
  </si>
  <si>
    <t>Work Management, Work Order/Service Order Software</t>
  </si>
  <si>
    <t>Internal Application Solutions Software being brought on-prim enables enhanced debugging capability on data exchanged data between an EMS and an asset accounting system.</t>
  </si>
  <si>
    <t>WHH MARK VI UPGRADE - SW.CN.5YR</t>
  </si>
  <si>
    <t>2022 ADMS SYSTEM MODEL - SW.CS.3YRS</t>
  </si>
  <si>
    <t>SAAS SMART COMMUNITY CENTER SAAS 20</t>
  </si>
  <si>
    <t>ADMS ADVANCED APPS - SW.CN.5YRS</t>
  </si>
  <si>
    <t>SW CHANGES - TRANS CUST RPT RITM #6</t>
  </si>
  <si>
    <t>BILLING/CREDIT FOR FLEET CHARGING -</t>
  </si>
  <si>
    <t>EFR MOBILE APP CALLOUT TOOL - SW.CN</t>
  </si>
  <si>
    <t>CC4210-SYNERGI SOFTWARE FOR ELEC DI</t>
  </si>
  <si>
    <t>STREETLIGHT NEW BUSINESS DB SAP CON</t>
  </si>
  <si>
    <t>FRONT OFFICE ENHANCEMENTS - PCI - S</t>
  </si>
  <si>
    <t>SAMISH ISLAND BATTER STORAGE - SW.C</t>
  </si>
  <si>
    <t>Enhance Elec. Schedule 135 2023-SW.</t>
  </si>
  <si>
    <t>VIRTUAL POWER PLANT APPLICATION PHA</t>
  </si>
  <si>
    <t>TIME-VARYING RATES PILOT - SW.CN.5Y</t>
  </si>
  <si>
    <t>LOADSEER NON-PRODUCTION ENVIRONMENT</t>
  </si>
  <si>
    <t xml:space="preserve">FRONT OFFICE ENHANCEMENTS - WRAP - </t>
  </si>
  <si>
    <t>2023 CYME SOFWARE - SW.CN.5YRS</t>
  </si>
  <si>
    <t>CLOUD CONNECTOR SLS11 TO SLS15 - SW</t>
  </si>
  <si>
    <t>COVID-19 CAP COSTS FOR WUTC - SW.CN</t>
  </si>
  <si>
    <t>MDMS LICENSE EXTENSION - SW.CN.5YR</t>
  </si>
  <si>
    <t>IDENTITY STRATEGY 2022 . SW.CN.5YRS</t>
  </si>
  <si>
    <t>SPLUNK MONITORING FOR NERC - SW.CN.</t>
  </si>
  <si>
    <t>ERX MIGRATION - SW.CN.5YRS</t>
  </si>
  <si>
    <t>2022 BLUEBEAM REVU EXTREME - SW.CN.</t>
  </si>
  <si>
    <t>ENTERPRISE PPM TOOL- SW.CS.5YR</t>
  </si>
  <si>
    <t>LEAK DATA &amp; METHANE DATA MGMT . SW.</t>
  </si>
  <si>
    <t>SAP BW 7.5 FUNCTIONAL UPGRADE - SW.</t>
  </si>
  <si>
    <t>VOICE RECORDING TECH REFRESH - SW.C</t>
  </si>
  <si>
    <t>ANNUAL NETWORK TECH REFRESH - SW.CN</t>
  </si>
  <si>
    <t>RECORDED FUTURE - SW.CN.5YRS</t>
  </si>
  <si>
    <t>SUCCESSFACTORS ENHANCEMENT PACK-202</t>
  </si>
  <si>
    <t>VOLT-VAR OPTIMIZATION VOLTAGE DASHB</t>
  </si>
  <si>
    <t>2022 MICROSOFT VISUAL STUDIOS - SW.</t>
  </si>
  <si>
    <t>2023 Q1 FINANCE AER'S - SW.CS.3YRS</t>
  </si>
  <si>
    <t>2023 Q1 OPERATION AER'S - SW.CS.3YR</t>
  </si>
  <si>
    <t>2023 Q1 CUSTOMER AER'S - SW.CS.3YRS</t>
  </si>
  <si>
    <t>2022 SERVICENOW - MAPPING - SW.CN.5</t>
  </si>
  <si>
    <t>2022 SERVICENOW - BACKLOG - SW.CN.5</t>
  </si>
  <si>
    <t>ANNUAL ENTERPRISE APP GROWTH - SW.C</t>
  </si>
  <si>
    <t>SITECORE 9.3 TO 10.2 UPGRADE - SW.C</t>
  </si>
  <si>
    <t>COMMUNITY DATA TOOL - SW.CN.5YRS</t>
  </si>
  <si>
    <t>DIRECTORY SERVICES OPTIMIZATION- SW</t>
  </si>
  <si>
    <t>CUST EXPERIENCE ENHANCEMENT -  SW.C</t>
  </si>
  <si>
    <t>2023 Q2 OPERATION AER'S - SW.CS.3YR</t>
  </si>
  <si>
    <t>CLOUD COST TOOLING REFRESH - SW.CN.</t>
  </si>
  <si>
    <t xml:space="preserve">CUST EXPERIENCE ENHANCEMENT PROG - </t>
  </si>
  <si>
    <t>ANNUAL SERVICENOW PLATFORM UPGRADES</t>
  </si>
  <si>
    <t>CEEP FORMS ENHANCEMENT - SW.CS.5YRS</t>
  </si>
  <si>
    <t>CEEP EGAIN NOTIFICATION - SW.CS.5YR</t>
  </si>
  <si>
    <t>IBEW LOAD OFFICE EMPLOYEE SAP CHANG</t>
  </si>
  <si>
    <t>TWILIO/SENDGRID REPLACEMENT - SW.CN</t>
  </si>
  <si>
    <t>GIS ACCURACY - SW.CN.5YRS</t>
  </si>
  <si>
    <t>TRANSMISSION PLANNING - SW.CN.5YRS</t>
  </si>
  <si>
    <t>ACTR 2021 - SW.CN.5YR</t>
  </si>
  <si>
    <t>IT ENTERPRISE ARCHITECTURE TOOL 202</t>
  </si>
  <si>
    <t xml:space="preserve">IT ENTERPRISE ARCHITECTURE (2023+) </t>
  </si>
  <si>
    <t>CAP AND INVEST BILLING - SW.CN.5YRS</t>
  </si>
  <si>
    <t>INSTALLMENT PLAN RESOLUTION - SW.CN</t>
  </si>
  <si>
    <t>CORTEX FORENSIC SOFTWARE LICENSES -</t>
  </si>
  <si>
    <t>ZUSRSTAT TO BW ENHANCEMENT - SW.CN.</t>
  </si>
  <si>
    <t>LACIMA ENHANCEMENT 2023 - SW.CS.5YR</t>
  </si>
  <si>
    <t>PSE WEB PLATFORM ENHANCEMENT 2023 -</t>
  </si>
  <si>
    <t>OUTAGE &amp; RESPONSE ANALYTICS - SW.CN</t>
  </si>
  <si>
    <t>MSA LOADSEER ENHANCEMENT - SW.CS.5Y</t>
  </si>
  <si>
    <t>AUTOMATION FACTORY ENHANCEMENTS 202</t>
  </si>
  <si>
    <t>AURORA UPGRADE 2023 - SW.CN.5YRS</t>
  </si>
  <si>
    <t>DAM SAFETY ENHANCEMENT 2023 - SW.CS</t>
  </si>
  <si>
    <t>DEEP - TEXT TONE TRANSLATION- SW.CS</t>
  </si>
  <si>
    <t>WINDOWS SERVER 2012 UPGRADE - SW.CS</t>
  </si>
  <si>
    <t xml:space="preserve">MULTI-CHANNEL WORKFORCE MANAGEMENT </t>
  </si>
  <si>
    <t>COMPLEX BILLING - SW.CN.5YRS</t>
  </si>
  <si>
    <t>HYPER CONVERGED INFRA REFRESH - NUT</t>
  </si>
  <si>
    <t>SW CHANGES FOR GHG RULES PER RITM00</t>
  </si>
  <si>
    <t>EGRC ARCHER - SW.CN.10YRS</t>
  </si>
  <si>
    <t xml:space="preserve">DIGITAL WORKPLACE TRANSFORMATION - </t>
  </si>
  <si>
    <t>PSE 2030 DIGITAL EXPERIENCE - SW.CN</t>
  </si>
  <si>
    <t>BILL DISCOUNT RATE - SW.CN.5YRS</t>
  </si>
  <si>
    <t>GIS UPGRADE - SMALLWORLD - SW.CN.5Y</t>
  </si>
  <si>
    <t>XAMARIN FORMS MIGRATION TO MAUI - S</t>
  </si>
  <si>
    <t>CONSOLIDATE WEB PLATFORMS</t>
  </si>
  <si>
    <t>MICROSERVICES REFACTORING WITH CASS</t>
  </si>
  <si>
    <t>SITECORE AUTOSCALING (2023)</t>
  </si>
  <si>
    <t>PURCHASE AND IMPLEMENT SYSTEM ORCHE</t>
  </si>
  <si>
    <t xml:space="preserve">SAP HR SUPPORT PACKS (2022+) &amp; BSI </t>
  </si>
  <si>
    <t>SERVICENOW IMPROVEMENTS (2022+)</t>
  </si>
  <si>
    <t>DATASTAX ASTRA MIGRATION</t>
  </si>
  <si>
    <t>ANNUAL WINDOWS SERVER REFRESH - SW.</t>
  </si>
  <si>
    <t>ANNUAL SPLUNK GROWTH (2023+) - SW.C</t>
  </si>
  <si>
    <t>SPLUNK VERSION UPGRADES 2023 - SW.C</t>
  </si>
  <si>
    <t>ANNUAL SPLUNK SECURITY IMPROVEMENTS</t>
  </si>
  <si>
    <t>SAP BUSINESS PROCESS MONITORING - S</t>
  </si>
  <si>
    <t>OPENTEXT ECM UPGRADE</t>
  </si>
  <si>
    <t>SAP ANNUAL UPGRADES (2022+)</t>
  </si>
  <si>
    <t>2023 Q1 HR AER'S - SW.CS.3YRS</t>
  </si>
  <si>
    <t>2023 Q1 IT AER'S - SW.CS.3YRS</t>
  </si>
  <si>
    <t>ANNUAL QUALITY FRAMEWORK ENHANCEMEN</t>
  </si>
  <si>
    <t>ORACLE UPGRADES (2023) - SW.CN.5YRS</t>
  </si>
  <si>
    <t>ANNUAL SQL SERVER PATCHES - SW.CN.5</t>
  </si>
  <si>
    <t>PI VISION SUITE MIGRATION - SW.CN.3</t>
  </si>
  <si>
    <t>WORK MANAGER UPGRADE - SW.CN.5YRS</t>
  </si>
  <si>
    <t>POI - HANA DR ENABLEMENT - SW.CN.5Y</t>
  </si>
  <si>
    <t>2023 CAP MAINT GREATER - SW.CN.5YRS</t>
  </si>
  <si>
    <t>2023 CAP MAINTENANCE LESS - SW.CN.5</t>
  </si>
  <si>
    <t>DEEP INITIATIVES AND ENHANCEMENTS -</t>
  </si>
  <si>
    <t>DATA FOUNDATION DATA GOVERNANCE - S</t>
  </si>
  <si>
    <t xml:space="preserve">DATA FOUNDATION OPERATING MODEL  - </t>
  </si>
  <si>
    <t>EV IDENTIFICATION - SW.CN.5YRS</t>
  </si>
  <si>
    <t>PSE 2030 DE- SW.CN.5RYS (NON-CEIP)</t>
  </si>
  <si>
    <t>ROBOTIC PROCESS AUTOMATION RPA (202</t>
  </si>
  <si>
    <t>OCC EDI AND RM API - SW.CN.5YRS</t>
  </si>
  <si>
    <t>2023 Q2 IT AER'S - SW.CS.3YRS</t>
  </si>
  <si>
    <t>2023 Q2 REG &amp; STRAT AER'S - SW.CS.3</t>
  </si>
  <si>
    <t>2023 Q2 FINANCE AER'S - SW.CS.3YRS</t>
  </si>
  <si>
    <t>2023 Q2 CUSTOMER AER'S - SW.CS.3YRS</t>
  </si>
  <si>
    <t>SAP-ECC MM/FI INTEGRATION 2023 - SW</t>
  </si>
  <si>
    <t>MDMS ENHANCEMENTS 2023 - SW.CS.5YRS</t>
  </si>
  <si>
    <t>AWS SERVER AUTOMATION - SW.CN.5YRS</t>
  </si>
  <si>
    <t>MDMS LICENSE EXTENSION 2023 - SW.CN</t>
  </si>
  <si>
    <t>WORKORDER SPLIT LOGIC ENHANCEMENT 2</t>
  </si>
  <si>
    <t>2023 Q3 IT AER'S - SW.CN.3Y</t>
  </si>
  <si>
    <t>2023 Q3 FINANCE AER'S - SW.CN.3Y</t>
  </si>
  <si>
    <t>2023 Q3 OPERATIONS AER'S - SW.CN.3Y</t>
  </si>
  <si>
    <t>2023 Q3 ENERGY SUPPLY AER'S - SW.CN</t>
  </si>
  <si>
    <t xml:space="preserve">SAP BUNDLED Q3 ENHANCEMENTS 2023 - </t>
  </si>
  <si>
    <t>BCA - BILLING CORRECTION AUTOMATION</t>
  </si>
  <si>
    <t>DELIVERY SYSTEM SCORECARD - SW.CN.5</t>
  </si>
  <si>
    <t>NAMED COMMUNITIES - SW.CN.5YRS</t>
  </si>
  <si>
    <t>ZIOC TRANSACTION ENHANCEMENT 2023 -</t>
  </si>
  <si>
    <t>DIGITAL LEAK SURVEY PROJECT ENHANCE</t>
  </si>
  <si>
    <t>Physical Security Salient Licen.SW.</t>
  </si>
  <si>
    <t>2023 CAP MAINT PLATFORM - SW.CN.10Y</t>
  </si>
  <si>
    <t>Electric Schedule 129D Deferral</t>
  </si>
  <si>
    <t>Deferral of Return on Demand Response</t>
  </si>
  <si>
    <t>Reserve on Return on Demand Response</t>
  </si>
  <si>
    <t>Schedule 141A true-up deferral</t>
  </si>
  <si>
    <t>9900 AMI Debt Ret Amort €</t>
  </si>
  <si>
    <t>CEIP Deferred Return</t>
  </si>
  <si>
    <t xml:space="preserve">Amort. EV Deferral UE-220066 </t>
  </si>
  <si>
    <t xml:space="preserve">Electric Env Rem Costs Amort 2022 GRC </t>
  </si>
  <si>
    <t xml:space="preserve">GTZ Depr Amort T2 (Elec) UE-220066 </t>
  </si>
  <si>
    <t xml:space="preserve">GTZ Elec Tranche 1a DepR Def'l UE-220066 </t>
  </si>
  <si>
    <t xml:space="preserve">GTZ Cryg Chg Amort T1a (Elec) UE-220066 </t>
  </si>
  <si>
    <t xml:space="preserve">Electric Env Rem Recov Amort 2022 GRC </t>
  </si>
  <si>
    <t xml:space="preserve">GTZ Cryg Chg Amort T2 (Elec) UE-220066 </t>
  </si>
  <si>
    <t xml:space="preserve">9800 - Sch95A Set in Rates UE-220066 </t>
  </si>
  <si>
    <t xml:space="preserve">Int on Sch95A Set in Rates UE-220066 </t>
  </si>
  <si>
    <t xml:space="preserve">AMR Reg Asset Amort - Elec </t>
  </si>
  <si>
    <t xml:space="preserve">Units 3&amp;4 Tracker Expense </t>
  </si>
  <si>
    <t>Colstrip 1&amp;2 ARC  Depr Offset</t>
  </si>
  <si>
    <t>Colstrip 3&amp;4 ARC Depr Offset</t>
  </si>
  <si>
    <t xml:space="preserve">Amort. EV Carrying Charges Def UE-220066 </t>
  </si>
  <si>
    <t xml:space="preserve">Decarb / Electrification Pilot Deferral </t>
  </si>
  <si>
    <t>Colstrip 3&amp;4 ARC</t>
  </si>
  <si>
    <t>From   1 to  12  Year 2023 Report Name: ZRW_ZO12</t>
  </si>
  <si>
    <t>2022 GRC Approved</t>
  </si>
  <si>
    <t xml:space="preserve">5302 - Power Market Risk Mgmt  </t>
  </si>
  <si>
    <t xml:space="preserve">6005 - NON-IT Energy GPS SaaS  </t>
  </si>
  <si>
    <t xml:space="preserve">6012-General &amp; Administrative     </t>
  </si>
  <si>
    <t xml:space="preserve">6012-Supervision &amp; Support     </t>
  </si>
  <si>
    <t xml:space="preserve">Accrue Cust Incentive for Demd Response  </t>
  </si>
  <si>
    <t xml:space="preserve">Deferral of Demand Response - AutoGrid  </t>
  </si>
  <si>
    <t xml:space="preserve">Deferral of Demand Response - Oracle  </t>
  </si>
  <si>
    <t xml:space="preserve">Deferral of Demd Resp-Customer Incentive   </t>
  </si>
  <si>
    <t>Reserve on Def of Demd Resp - AutoGrid</t>
  </si>
  <si>
    <t>Reserve on Def of Demd Resp - Oracle</t>
  </si>
  <si>
    <t>Reserve on Def of Demd Resp Cust Incenti</t>
  </si>
  <si>
    <t xml:space="preserve">1820 E General &amp; Administrative PC  </t>
  </si>
  <si>
    <t xml:space="preserve">G&amp;A, Safety, Training     </t>
  </si>
  <si>
    <t xml:space="preserve">Other Power Supply Expense    </t>
  </si>
  <si>
    <t xml:space="preserve">Residential DLC Demand Response    </t>
  </si>
  <si>
    <t xml:space="preserve">Residential Behavioral Demand Response    </t>
  </si>
  <si>
    <t xml:space="preserve">1148 - Energy Acctng O&amp;M Power Costs </t>
  </si>
  <si>
    <t xml:space="preserve">5300 - Non-Renewable PPAs    </t>
  </si>
  <si>
    <t xml:space="preserve">5300 - Renewable PPAs    </t>
  </si>
  <si>
    <t xml:space="preserve">Power costs for Renewable Energy Credits  </t>
  </si>
  <si>
    <t>4-Factor Allocator (25% each: customer counts, direct labor O&amp;M, classified plant and T&amp;D expense excluding labor) Electric: 65.66%, and Gas: 34.34%</t>
  </si>
  <si>
    <t>2022 GRC Mulit-Year Rate Plan Docket UE-220066, power cost recovery</t>
  </si>
  <si>
    <t>Building Robotic Process Automation, Blue Prism BOTs for Work order Creation and Work order Attachments. This will automate creation of WO and will eliminate the process of attaching hundreds of documents to WO in SAP manually.</t>
  </si>
  <si>
    <t>This work order will be used for Enhancement requests that come in for Use cases or Data Analytics that has not been attempted before or are the latest technology that we need to validate first.</t>
  </si>
  <si>
    <t>DEEP use case involving load profiling based on AMI data</t>
  </si>
  <si>
    <t>Annual increase in MDMS licenses to support meter growth.</t>
  </si>
  <si>
    <t>Onboard multiple data sources, Installing / updating Splunk Apps and Add-ons, Add / Update lookup tables for NERC Identities. Splunk Security Information and Event Management Enhancements to build out NERC monitoring to match the Corporate Environment.</t>
  </si>
  <si>
    <t>SW in Honeywell ERXs (Electronic Data Recorders) in the field. This instrument is installed all over our gas territory and works as an automated data collector replacing our manual paper charts.</t>
  </si>
  <si>
    <t>Purchasing additional BlueBeam Revu eXtreme licenses for PSE Engineering use.</t>
  </si>
  <si>
    <t>Leak Data and Methane Data Management and Analysis portion of DEEPUC workstream for DEEP. DEEP is a process-intense initiative to enhance and leverage existing tools to implement mechanisms to monitor, report, remediate, and track compliance to auditable Data Governance Controls and Processes.  This enhanced functionality will  measure compliance and improve data quality in order to increase self-service options for customers and employees.</t>
  </si>
  <si>
    <t>Upgrade VPI voice recording system with Uptivity.</t>
  </si>
  <si>
    <t>Threat Intelligence Data Enrichment Software implementation
to gain real-time visibility into threat information</t>
  </si>
  <si>
    <t>Purchasing additional Microsoft Visual Studios Licensing for PSE IT use</t>
  </si>
  <si>
    <t>2023 Q1 Finance small application system enhancements</t>
  </si>
  <si>
    <t>2023 Q1 Operation small application system enhancements</t>
  </si>
  <si>
    <t>2023 Q1 Customer small application system enhancements</t>
  </si>
  <si>
    <t>Update/replace aging devices to improve performance, reliability and maintainability.</t>
  </si>
  <si>
    <t>License growth in enterprise-wide applications, such as Adobe Acrobat, Visio</t>
  </si>
  <si>
    <t>Software upgrade of Sitecore from 9.3 to 10.2</t>
  </si>
  <si>
    <t>A dashboard with annual gas/electric usage data that can be filtered by a specific municipality or zip code which will enable the Government Relations Team to answer data requests from municipalities in support of clean energy initiatives.</t>
  </si>
  <si>
    <t>Automation and processes to allow for self-service creation of Active Directory accounts such as service, test and mailbox accounts.</t>
  </si>
  <si>
    <t>Operational Program for Customer Enhancement - The Puget Sound Energy (PSE) Get to Zero (GTZ) Web 4.0 Customer Experience Enhancement Program will improve customer experience and support delivery of PSE's primary purpose – providing safe, dependable and efficient regulated utility services – by adding new features and enhancing existing features on the www.pse.com website, PSE mobile app, and Visual Interactive Voice Response (VIVR).</t>
  </si>
  <si>
    <t>2023 Q2 Operation small application system enhancements</t>
  </si>
  <si>
    <t>ServiceNow SaaS platform upgrade to stay N-1, minimum upgrade once a year. This is contractually required to keep using the ServiceNow SaaS platform.</t>
  </si>
  <si>
    <t>HR would like to request capital funding for a part-time project manager in support of HR and IT’s work to implement a new employee group, IBEW LO, for represented Load Office employees. The Load Office employees voted to organize in 2020 and the Labor team has been negotiating a first contract with the group since that time.  We anticipate the contract will go to vote in the coming months, and once ratified, PSE will be required to update employee records and systems in order to comply with the collective bargaining agreement.  Updates will be required to employee records across business systems, business and system rules based on Employee Group, and with our benefits administration partners.  The Project Manager would coordinate updates including SAP configuration and development changes by IT, SuccessFactors updates by HR, and updates with other benefits vendors and downstream systems.</t>
  </si>
  <si>
    <t>Replace Twilio/SendGrid notifications platform with comparable AWS technologies by June 2023.</t>
  </si>
  <si>
    <t>Implement new features in PSE's IT Enterprise Architecture system to advance out EA modelling, strategy development, and road-mapping capabilities.</t>
  </si>
  <si>
    <t>The Washington State Department of Ecology has set new requirements for gas and electric users – essentially a charge is to be levied against customers and collected through PSE billing. This project is to clarify requirements, identify systems, departmental, and procedural impacts, and deliver system and process changes so that PSE is ready by the end of this year to support this new law.</t>
  </si>
  <si>
    <t>Provides cyber forensic capabilities for existing Cortex</t>
  </si>
  <si>
    <t>Add ZUSRSTAT (from Orders) to BW Info Cubes</t>
  </si>
  <si>
    <t>(ENHANCE LACIMA BOOK STRUCTURE)Implement Changes in Lacima and possibly Upstream and downstream systems, to adopt new power book structure.</t>
  </si>
  <si>
    <t>Security review and composite role enhancement to SCM roles in ECC, EWM and Ariba.  Requesting help from SAP MM to review and update the SAP security roles for all positions under Jim Pruchnic in order to streamline the hiring, in seat promotion and other processes as well as cleaning up decades old data. This will include ECC, EWM and Ariba.</t>
  </si>
  <si>
    <t>The goal of this Use Case is to develop software that will accurately
translate English text into a variety of languages comprehensible to
those in the community and convey the intended tone of the text so PSE's
messaging and brand can be felt. This will be accomplished through the
use of Large Language Models (LLMs), a generative AI technology.</t>
  </si>
  <si>
    <t>Implementation of a new workforce management system that provides the capability for seamlessly managing multiple customer workforce functions (scheduling, time and attendance, union requirements, skill-based routing, forecasting) and tracking customer related incidents via channels including and not limited to email, chat and phone. Order type is software and common.</t>
  </si>
  <si>
    <t>Implementation of billing functionality for the various DER (Distributed Energy Resource) concepts, including ability to accurate take customer meter data and bill accurately against specialized tariffs which will involve implementing/updating the IT systems/components to support the new processes.</t>
  </si>
  <si>
    <t>The Nutanix software will provide server virtualization and the ability to manage, monitor, and report status for the hyperconverged infrastructure hardware.</t>
  </si>
  <si>
    <t>Enterprise Governance Risk and Compliance (eGRC) Archer application. The top priority includes identification and implementation of improvements for current Business Continuity and Disaster Recovery data and processes in Archer.</t>
  </si>
  <si>
    <t>Bolster key infrastructure and introduce systems and services to enhance user productivity and collaboration needs. Formerly called PSE@Work</t>
  </si>
  <si>
    <t>The PSE 2030 Digital Experience program is a 5-year effort which builds on the foundation created by Get to Zero, is aligned with the PSE 2030 roadmap, and supports PSE's compliance with CETA and success within an evolving business landscape.</t>
  </si>
  <si>
    <t>Per the Regulatory Reform Bill SB 5295 - 2021-22 (link to the Session Law), PSE is required to propose a low-income discount rate and a low-income senior discount rate. To support this legislation the business needs enabling technology investments to support the following areas: SAP, CRM, Web, Marketing.</t>
  </si>
  <si>
    <t>Upgrade GE Smallworld from version 4.3 to 5.2, and ensure integrated systems remain operational.</t>
  </si>
  <si>
    <t>automate the build, configuration and deployment of Sitecore Content
Delivery servers.</t>
  </si>
  <si>
    <t>System orchestration is the lifecycle automation of "things". Tools to
integrate into systems, network devices, and other orchestration tool
are needed to build out a more CI/CD driven DevOps environment. Three
main components of this project: architect orchestration landscape,
acquire and implement tooling, and feature add and enhance Server Build
Automation.</t>
  </si>
  <si>
    <t>HR Support Packs Why - To keep HR related upgrades current Value - PSE
maintains all the HR related data and Payroll processes in SAP systems,
it is mandatory to keep HR related systems up to date.</t>
  </si>
  <si>
    <t>Enhancements to ServiceNow platform</t>
  </si>
  <si>
    <t>Migrate DataStax current managed instance to the Astra SaaS solution.</t>
  </si>
  <si>
    <t>phase out SCOM based monitoring by enabling Splunk in various technology space.</t>
  </si>
  <si>
    <t>major Splunk Application upgrade, to stay N-1 (no new modules).</t>
  </si>
  <si>
    <t>Collaborate with various Apps teams to 'get data in'; get up and curate new indices for data ingestion. 20 Click-size applications/modules per year.</t>
  </si>
  <si>
    <t>Implement and update SAP Business Processing Monitoring situational awareness with more enhanced integration with ESRI system.</t>
  </si>
  <si>
    <t>SAP Annual Upgrades Why - Keep SAP systems valid for Continuous Vendor
Support Value - These are SAP's core systems and provide core Business
Processes to be executed. To continuously running our core business
processes, these upgrades are mandatory</t>
  </si>
  <si>
    <t>2023 Q1 HR small application system enhancements</t>
  </si>
  <si>
    <t>2023 Q1 IT small application system enhancements</t>
  </si>
  <si>
    <t>Upgrade and patch PSE application Oracle databases to 19.15, upgrade PSE Oracle Enterprise Manager to 13c release 5 and deprecate expired systems and backend databases.</t>
  </si>
  <si>
    <t>Apply quarterly SQL Server Cumulative updates and patches to around 300+ SQL Servers in Dev, Test, QA and Production environments to adhere to Security Compliance.</t>
  </si>
  <si>
    <t>Upgrade SAP Work Manager Client to version 6.6</t>
  </si>
  <si>
    <t>2023 IT O&amp;M to Capital Maintenance greater than $1.5M</t>
  </si>
  <si>
    <t>2023 IT O&amp;M to Capital Maintenance less than $150k</t>
  </si>
  <si>
    <t>ANNUAL ENTERPRISE APP GROWTH</t>
  </si>
  <si>
    <t>DEEP enhancements and initiatives to support 2023 use cases.</t>
  </si>
  <si>
    <t>2023 Q2 IT small application system enhancements</t>
  </si>
  <si>
    <t>2023 Q3 IT small application system enhancements</t>
  </si>
  <si>
    <t>2023 Q2 Finance small application system enhancements</t>
  </si>
  <si>
    <t>2023 Q2 Customer small application system enhancements</t>
  </si>
  <si>
    <t>Integrate SAP-ECC MM/FI with Qty and UoM values (phase II bring in SES change data)</t>
  </si>
  <si>
    <t>Develop new feature to allow AWS EC2 server instances to be started and stopped automatically to ensure timely security scanning.</t>
  </si>
  <si>
    <t>Logic needs to be able to distinguish between GFR &amp; IMO completion codes
Replaces RITM0050188 to allow capital assignment. Security review and composite role enhancement to SCM roles in ECC, EWM and Ariba. Requesting
help from SAP MM to review and update the SAP security roles for all positions under Jim Pruchnic in order to streamline the hiring, in seat promotion and
other processes as well as cleaning up decades old data. This will include ECC, EWM and Ariba.</t>
  </si>
  <si>
    <t>2023 Q3 Finance small application system enhancements</t>
  </si>
  <si>
    <t>2023 Q3 Operation small application system enhancements</t>
  </si>
  <si>
    <t>2023 Q3 Energy Supply small application system enhancements</t>
  </si>
  <si>
    <t>SAP BILLING CORRECTION AUTOMATION</t>
  </si>
  <si>
    <t>SAP: UPDATED JOINT USE POLE AUDIT REPORTS &amp; TRANSACTIONS. 20% OF ALL NET METER WORK ORDERS FCOM IN THE FIELD ARE NOT SHOWING ON ZIRMTRLST AND DO NOT HAVE EMMA CASES CREATED. Net Meter Work Orders FCOM in field are not showing on ZIRMTRLST and do not have EMMA cases created.  These are net meter order types NET 5 and NET 7.  This means that the data on these approved new solar installations does not get to Billing Performance for Net Meter Billing setup on the account or Maps and Records for updating GIS.</t>
  </si>
  <si>
    <t>Develop a proper data pipeline by mapping named community specific data sources working alongside the data governance team to properly automate the flow of data and build reporting around it. The scripting will be done in SAP/AWS which will allow data sources to be updated on a regular basis and will remove the manual/static reporting that is done today</t>
  </si>
  <si>
    <t>Maintenance Programs would like to digitize the first pass yield spreadsheet -- this spreadsheet records error codes and comments that get shared with HUSA. Some error codes are eliminated by current processes in our current state with HUSA but there is still a need for a communication tool with HUSA regarding PSE QC findings.</t>
  </si>
  <si>
    <t>Software used by System Planning (4210) to plan electric capacity needs for growth to sysytem.</t>
  </si>
  <si>
    <t>PSE implementing billing rates based on time of use, peak usage, etc. to promote energy efficiency and to provide more green resources.</t>
  </si>
  <si>
    <t>Conduct VVO and FLISR pilots of 2 to 5 substations in order to demonstrate the applications' capabilities and understand the integration effort into PSE's business operations.</t>
  </si>
  <si>
    <t>Upgrade PCI-Marketing software Transmission Billing to modify 3 positions in the  Tran Cust Detail Imbalance 5 Min Report to use Actual Meter Data instead of Allocation Calculation Result Data.</t>
  </si>
  <si>
    <t>Purchase a non-production environment of LoadSEER, a load forecasting tool used by the Electric Systems planning and load forecasting teams. The production system was implemented in 2022, however it is difficult to test and implement changes to processes or data on a live, production environment hence the need for a non-prod environment.</t>
  </si>
  <si>
    <t>CABLE EMPACITY CALCULATIONS FOR FIELD ENGINEERING AND INNOVATIONS.</t>
  </si>
  <si>
    <t xml:space="preserve">EFR Upgrade the mobile application for our field callout tool </t>
  </si>
  <si>
    <t>Due to retirement of Windows 2012 Servers by Oct 2023, Intolight application (aka New Business database) which is no longer supported needs to be retired and Streetlight work and project management brought into SAP systems.</t>
  </si>
  <si>
    <t>Series of enhancements including Resource Adequacy Program participation, Data Enablement, OATI Update, PCI Update, and SettleCore Visual Analytics Hosted Solution.</t>
  </si>
  <si>
    <t>Software purchase - WIN911 for Battery Storage Site</t>
  </si>
  <si>
    <t>FERC 302 Baker Project Relicense</t>
  </si>
  <si>
    <t>Puyallup Service Center. Security's work during construction.</t>
  </si>
  <si>
    <t>Upgrade Aurora (forecasting and analysis software for power planning and forecasting) for more processing power, shared datasets and future extensibility</t>
  </si>
  <si>
    <t>Transport Network Modernization - Bremerton to Tallbot  SUB</t>
  </si>
  <si>
    <t>Transport Network Modernization - Ensearch SUB HW WO for Second SAR at ESR SUB</t>
  </si>
  <si>
    <t>Transport Network Modernization - HW WO for Nokia MPLS Router Deployment at Tacoma Business Offic</t>
  </si>
  <si>
    <t>Transport Network Modernization - HW WO for Nokia MPLS Router Deployment at Whiter River Substation</t>
  </si>
  <si>
    <t>BNSF EASTSIDE RAIL CORRIDOR EASMENTS RHT</t>
  </si>
  <si>
    <t>ELLIOTT AVE LAND &amp; STRUCTURE PURCHASE</t>
  </si>
  <si>
    <t>PURCHASING LAND &amp; STRUCTURE VERNELL SUB</t>
  </si>
  <si>
    <t>PURCHASE SOUTH KING FACILITY  LAND AND B</t>
  </si>
  <si>
    <t>Snoqualmie Technology Center Purchase</t>
  </si>
  <si>
    <t>ESO UPS ROOM BACKUP HVAC COOLING SYSTEMS</t>
  </si>
  <si>
    <t>REPLACE END-OF-LIFE EAST SIDE OPERATIONS</t>
  </si>
  <si>
    <t>SECURITY OPERATIONS CENTER REDMOND, WA</t>
  </si>
  <si>
    <t>ESO PHYSICAL SECURITY IMPROVEMENTS</t>
  </si>
  <si>
    <t>FACTORIA SVC REPLACEMENT PLAN COSTS CONS</t>
  </si>
  <si>
    <t>FLEET SERVICE CENTER IMPROVEMENTS - ROOF</t>
  </si>
  <si>
    <t>KENT FLEET: REPLACE UNSAFE RADIANT HEATI</t>
  </si>
  <si>
    <t>KENT FLEETS HALON FIRE SUPPRESSION SYSTE</t>
  </si>
  <si>
    <t>KITTITAS SERVICE CENTER - YARD IMPROVEME</t>
  </si>
  <si>
    <t>KITTITAS SERVICE CENTER HVAC REPLACEMENT</t>
  </si>
  <si>
    <t>OLYMPIA SVC - REPLACE SLIDE GATE PANEL &amp;</t>
  </si>
  <si>
    <t>OLYMPIA SERVICE CENTER - INSTALL ACCESS</t>
  </si>
  <si>
    <t>OLYMPIA SVC - INSTALL 15 SECURITY MONITO</t>
  </si>
  <si>
    <t>OLYMPIA SVC DRAINAGE &amp; YARD IMPROVEMENT</t>
  </si>
  <si>
    <t>OLYMPIA SVC - PHASE I-DESGN STUDY PAVING</t>
  </si>
  <si>
    <t>OLYMPIA COM HALON FIRE SUPPRESSION SYSTE</t>
  </si>
  <si>
    <t>PUYALLUP SERVICE CENTER - STORMWATER DRA</t>
  </si>
  <si>
    <t>SOUTH KING COMPLEX - TRUCK LOADING DOCK</t>
  </si>
  <si>
    <t>SOUTH KING COMPLEX - CHILLER REPLACEMENT</t>
  </si>
  <si>
    <t>SKC NE GATE REPLACEMENT</t>
  </si>
  <si>
    <t>SOUTH KING - SECURITY IMPROVEMENTS- STR</t>
  </si>
  <si>
    <t>Shuffleton-SKC-Fleet Area Renovations -</t>
  </si>
  <si>
    <t>TACOMA SHOP - REPLACE (8) REZNOR HEATERS</t>
  </si>
  <si>
    <t>SECURITY SYSTEM TACOMA OFFICE COMPLEX</t>
  </si>
  <si>
    <t>TACOMA SHOP - HEATER IN METER TEST AREA</t>
  </si>
  <si>
    <t>TACOMA OFFICE - IT ROOM A/C REPLACEMENT</t>
  </si>
  <si>
    <t>TACOMA WAREHOUSE REPLACE HVAC SYSTEM IN</t>
  </si>
  <si>
    <t>TACOMA ANNEX FIRE ALARM SYSTEM ADDITION</t>
  </si>
  <si>
    <t>TACOMA ANNEX ROOF REPLACEMENT</t>
  </si>
  <si>
    <t>TACOMA OFFICE FIRE ALARM REPLACEMENT- ST</t>
  </si>
  <si>
    <t>ACCESS CONTROL - STAMBEDE PASS MICROWAVE</t>
  </si>
  <si>
    <t>ACCESS CONTROL - MT BALDI MICROWAVE TOWE</t>
  </si>
  <si>
    <t>LAKE LOMA CELL TOWER A/C UNIT - MARYSVIL</t>
  </si>
  <si>
    <t>N King SVC AKA Redmond SVC (Heat Pump)</t>
  </si>
  <si>
    <t>MT.BLYN COMMUNICATION EQUIPMENT BUILDING</t>
  </si>
  <si>
    <t>LAKE TAPPS EMPLOYEE CAMP - INSTALL ALARM</t>
  </si>
  <si>
    <t>REPLACE GATES AT NORTH KING AKA REDMOND</t>
  </si>
  <si>
    <t>NORTH KING SERVICE CENTER - REPLACE COMM</t>
  </si>
  <si>
    <t>REDMOND SVC CTR - REPLACE UNIT HEATER</t>
  </si>
  <si>
    <t>NORTH KING SVC - REPLACE DRY ROOM EXHAUS</t>
  </si>
  <si>
    <t>COUGAR MOUNTAIN HVAC REPLACEMENT - TELEC</t>
  </si>
  <si>
    <t>DATA CENTER - STR.  IT INFRASTRUCTURE PL</t>
  </si>
  <si>
    <t>NORTH KING SVC FUEL TANK UPGRADE</t>
  </si>
  <si>
    <t>OLYMPIA SVC CTR METER SHOP EXPANSION-STR</t>
  </si>
  <si>
    <t>IT - PSE SUMMIT CAMPUS CONSOLIDATION PRO</t>
  </si>
  <si>
    <t>SHUFFLETON-SKC-ANNEXWAREHOUSE UPGRADES</t>
  </si>
  <si>
    <t>SNOQUALMIE TECHNOLOGY CTR- SECURITY SYST</t>
  </si>
  <si>
    <t>DCDR - DATA CENTER- A/C UNIT &amp; POWER/LIG</t>
  </si>
  <si>
    <t>SOUTH KING - RENOVATIONS - PHASE II-STR</t>
  </si>
  <si>
    <t>SHUFFLETON RELOCATION - PUYALLUP FLEET</t>
  </si>
  <si>
    <t>SHU RELO - KENT SVC CTR RENOVATION-STR</t>
  </si>
  <si>
    <t>EST BUILDING VACATE - PLANNING &amp; MANAGEM</t>
  </si>
  <si>
    <t>PSE BELL HQ REFRESH - FLOORS 10/11 2021</t>
  </si>
  <si>
    <t>PSE BELL HQ REFRESH - FL8 - LABOR &amp; EXP</t>
  </si>
  <si>
    <t>PSE BELL HQ REFRESH O/S FLRS 10/11 2021</t>
  </si>
  <si>
    <t>BELMORE SUBSTATION PERIMETER FENCING</t>
  </si>
  <si>
    <t>IP Camera - North Seattle Operations</t>
  </si>
  <si>
    <t>IP Camera - Snoqualmie Conference (Gen)</t>
  </si>
  <si>
    <t>Eastside Operations IP Camera installation</t>
  </si>
  <si>
    <t>Bellevue HQ -  Building Systems and Components.</t>
  </si>
  <si>
    <t>PSE Bellevue Corporate HQ Refresh</t>
  </si>
  <si>
    <t>Bothell G Vacate - Capital Labor and Gen Expenses
Vacate employees and business units from Bothell G to Bothell H and O.
Office interior repair, demo, touch up, restoration.</t>
  </si>
  <si>
    <t>PRINTER FOR CONTRACT MNG KENT OFFICE</t>
  </si>
  <si>
    <t>FURNITURE - REDMOND WEST ADDIT. SPACE</t>
  </si>
  <si>
    <t>FURNITURE-BOTHELL DATA CENTER BLDG H</t>
  </si>
  <si>
    <t>ESO Phase 2 -2nd Floor Expansion Furnitu</t>
  </si>
  <si>
    <t>HP T2300ps Emfp 44"</t>
  </si>
  <si>
    <t>REAL ESTATE - 2 FUJITSU SCANNERS - HW</t>
  </si>
  <si>
    <t>MAPS AND RECORDS CONTEX IQ SCANNER (HW)</t>
  </si>
  <si>
    <t>2012 - 2016 - STANDING STOCK OFFICE FURN</t>
  </si>
  <si>
    <t>HIGH SPEED SCANNER FOR TRAINING DEPARTME</t>
  </si>
  <si>
    <t>KITTITAS SVC CTNR T2300 PRINTER PURCHASE</t>
  </si>
  <si>
    <t>TACOMA OFFICE T2300 PRINTER PURCHASE</t>
  </si>
  <si>
    <t>NEW PRINTER FOR C&amp;SP, SEIKO LP2050MFP LA</t>
  </si>
  <si>
    <t>2012-2017 - STANDING - OFFICE EQUIPMENT</t>
  </si>
  <si>
    <t>NEW PRINTERS FOR C&amp;SP FOR BOTHELL OFFICE</t>
  </si>
  <si>
    <t>NEW PRINTERS FOR C&amp;SP, SEIKO LP2050MFP L</t>
  </si>
  <si>
    <t>HIGH SPEED LED PRINTER FOR MAPS AND RECO</t>
  </si>
  <si>
    <t>SECURITY OPERATIONS CENTER EQUIPMENT</t>
  </si>
  <si>
    <t>PAGEWIDE COLOR PLOTTER 2016</t>
  </si>
  <si>
    <t>FACILITY WORKPLACE MOBILITY PROOF OF CON</t>
  </si>
  <si>
    <t>2017 - STANDING STOCK OFFICE FURNITURE &amp;</t>
  </si>
  <si>
    <t>2018 - STANDING STOCK OFFICE FURNITURE &amp;</t>
  </si>
  <si>
    <t>2019 - STANDING STOCK OFFICE FURNITURE</t>
  </si>
  <si>
    <t>PSE BOTHELL BLDG G - ANCILLARY FURNITURE</t>
  </si>
  <si>
    <t>Puyallup Service Center. Furnishing the building with furniture, fixtures and equipment.</t>
  </si>
  <si>
    <t>PSE Bellevue HQ Refresh</t>
  </si>
  <si>
    <t>Operational Training Center IT Labor for Routers, Switches, Audio Visual, Wireless Access Points, IP SCADA</t>
  </si>
  <si>
    <t>Bothell G Vacate - Alteration of spaces impacted by vacating Bothell G
and moving to Bothell H and O.
Vacate employees and business units from Bothell G to Bothell H and O.</t>
  </si>
  <si>
    <t>Throughout PSE We need a # to charge labor associated with this effort.
UOP: 15 CEILINGS, 3 COMPACT KITCHENS, 5 EQUIPMENT ITEM, 10 PARTITIONS -
EXCLUDING PORTABLE, 12 POWER/LIGHTING SYSTEM,
17 RAISED FLOOR (REMOVABLE).</t>
  </si>
  <si>
    <t>2017 CAD LAPTOP FOR MAPS AND RECORDS</t>
  </si>
  <si>
    <t>NOKIA 7705 INSTALLATION AT MYV-COM-HW.CE</t>
  </si>
  <si>
    <t>NOKIA 7705 INSTALLATION AT CMT-COM-HW.CE</t>
  </si>
  <si>
    <t>NOKIA 7705 INSTALLATION AT MTE-COM-HW.CE</t>
  </si>
  <si>
    <t>NOKIA 7705 INSTALLATION AT OLY-COM-HW.CE</t>
  </si>
  <si>
    <t>NOKIA 7705 INSTALLATION AT ELC-COM-HW.CE</t>
  </si>
  <si>
    <t>NOKIA 7705 INSTALLATION AT BRC-COM-HW.CE</t>
  </si>
  <si>
    <t>NOKIA 7705 INSTALLATION AT GRN-COM-HW.CE</t>
  </si>
  <si>
    <t>RITM0061768 New Badge Printer - HW.CE</t>
  </si>
  <si>
    <t>CMT - COUGAR MOUNTAIN 700MHZ - HW.CE</t>
  </si>
  <si>
    <t>OLM - COM OLYMPIA MICROWAVE 700MHZ - HW.</t>
  </si>
  <si>
    <t>ESO-EMS DC PP TELECOM IMPROVEMENTS-HW.CE</t>
  </si>
  <si>
    <t>DCDR-Bothell Communications Room-HW.CE</t>
  </si>
  <si>
    <t>2019 -TELECOM EQUIP GROWTH REFRESH - HW.</t>
  </si>
  <si>
    <t>Annual Network Technology Refresh &amp; Grow</t>
  </si>
  <si>
    <t>2019 TELECOM ANNUAL NETWORK REFRESH - HW</t>
  </si>
  <si>
    <t>ANNUAL SERVER GROWTH AND REFRESH - HW.CE</t>
  </si>
  <si>
    <t>ELC-COM ELECTRON MICROWAVE 700MHZ-HW.CE</t>
  </si>
  <si>
    <t>SMN - COM SQUALICUM MTN. 700MHZ - HW.CE</t>
  </si>
  <si>
    <t>Storage and Backup Growth and Refresh HW</t>
  </si>
  <si>
    <t>Annual Virtualization Growth and Refresh</t>
  </si>
  <si>
    <t>BLU-SUB MPLS TRNSPRT NTWRK IMPRVMNT - HW</t>
  </si>
  <si>
    <t>CI-SAP Multichannel Foundation Cust - HW</t>
  </si>
  <si>
    <t>TAL - SUB TALBOT HILL SUB 700MHZ - HW.CE</t>
  </si>
  <si>
    <t>WRT - WHITE RIVER SUB 700MHZ - HW.CE</t>
  </si>
  <si>
    <t>3 DELL HIGH PERFORMANCE WORKSTATIONS - H</t>
  </si>
  <si>
    <t>TAC-OFC-HW.CE-MPLS TRANSPORT NETWORK IMP</t>
  </si>
  <si>
    <t>MYV - COM MARYSVILLE COMM 700MHZ - HW.CE</t>
  </si>
  <si>
    <t>GRN - COM GREEN MTN. COMM 700MHZ - HW.CE</t>
  </si>
  <si>
    <t>ESO - COM EASTSIDE OPS COMM 700MHZ - HW.</t>
  </si>
  <si>
    <t>SPD - COM STAMPEDE MICROWAVE 700MHZ - HW</t>
  </si>
  <si>
    <t>BLD-COM BALDI MTN MICROWAVE 700MHZ-HW.CE</t>
  </si>
  <si>
    <t>NHL - COM NORWAY HILL COMM 700MHZ - HW.C</t>
  </si>
  <si>
    <t>SSC-COM SO. SEATTLE COLL COMM 700MHZ-HW.</t>
  </si>
  <si>
    <t>RSC-COM RATTLESNAKE MTN. COMM 700MHZ-HW.</t>
  </si>
  <si>
    <t>SAR8 INSTALLATION GRAVELLY LAKE SUB - HW</t>
  </si>
  <si>
    <t>2020 VOIP UPGRADES FREDERICKSON - HW.CE</t>
  </si>
  <si>
    <t>AV CONFERENCE ROOM UPDATES BOT - HW.CE</t>
  </si>
  <si>
    <t>REPLACEMENT OF SEL TO PA-220R - HW.CE</t>
  </si>
  <si>
    <t>ELC-COM - KITSAP PENINSULA MW UPGRADE -</t>
  </si>
  <si>
    <t>TRNSPRT NTWRK MOD-GRAVELLY LAKE-HW.CE</t>
  </si>
  <si>
    <t>Workspace Mobility-HW Procurement-HW.CE</t>
  </si>
  <si>
    <t>ANNUAL STORAGE/BACKUP GROWTH 2020 - HW.C</t>
  </si>
  <si>
    <t>AV CONF/LAB IMPROVEMENTS - ESO - HW.CE</t>
  </si>
  <si>
    <t>ANNUAL SERVER GROWTH/REFRESH 2020 - HW.C</t>
  </si>
  <si>
    <t>CAS-DC 2020 ANNUAL IMPROVEMENTS - HW.CE</t>
  </si>
  <si>
    <t>ESO 2020 ANNUAL IMPROVEMENTS - HW.CE</t>
  </si>
  <si>
    <t>SQE-DC 2020 ANNUAL IMPROVEMENTS - HW.CE</t>
  </si>
  <si>
    <t>INCREASE NETWORK BANDWIDTH - DAYTON - HW</t>
  </si>
  <si>
    <t>ANNUAL NETWORK TECH REFRESH/GROW - HW.CE</t>
  </si>
  <si>
    <t>PAYMENT PROCESSING REPLACEMENT - HW.CE</t>
  </si>
  <si>
    <t>Backup Security Command Center - HW.CE</t>
  </si>
  <si>
    <t>IT INFRA CAPABILITY ENHANCEMENTS - HW.CE</t>
  </si>
  <si>
    <t>LOOKOUT MT EAST MPLS TRNSPRT NTWRK - HW.</t>
  </si>
  <si>
    <t>BALDI SUB MPLS TRANSPORT NETWORK - HW.CE</t>
  </si>
  <si>
    <t>SPD-COM MPLS TRANSPORT NETWORK IMP - HW.</t>
  </si>
  <si>
    <t>SKA-SVC TO BRC-COM TRANS NETWORK IMP - H</t>
  </si>
  <si>
    <t>LTN-SUB SAR8 TRANSPORT IMPROV - HW.CE</t>
  </si>
  <si>
    <t>SQE DC TRANSPORT IMP - MEGAPORT - HW.CE</t>
  </si>
  <si>
    <t>FRC-SUB TRANSPORT NETWORK IMPRVMNT - HW.</t>
  </si>
  <si>
    <t>TER-SUB SAR8 TRANSPORT IMPROV - HW.CE</t>
  </si>
  <si>
    <t>BKB-SUB SAR8 TRANSPORT IMPROV - HW.CE</t>
  </si>
  <si>
    <t>TRANSP NET MODERNIZATION-SAM SUB - HW.CE</t>
  </si>
  <si>
    <t>TRANSP NET MODERNIZATION-SHU SUB - HW.CE</t>
  </si>
  <si>
    <t>TRANSP NET MODERNIZATION-FAC SUB - HW.CE</t>
  </si>
  <si>
    <t>TRANSP NET MODERNIZATION-FAC SVC - HW.CE</t>
  </si>
  <si>
    <t>TRANSP NET MODERNIZATION-ARD SUB - HW.CE</t>
  </si>
  <si>
    <t>TRANSP NET MODERNIZATION-RSC COM - HW.CE</t>
  </si>
  <si>
    <t>KIT-SVC SAR8 TRANSPORT IIMPROVEMENTS - H</t>
  </si>
  <si>
    <t>TRANSPORT NETWORK MODERNIZATION - HW.CE</t>
  </si>
  <si>
    <t>ANNUAL TELECOM EQUIP GROWTH (2021) - HW.</t>
  </si>
  <si>
    <t>SBR-SUB SAR8 TRANSPORT IMPROV - HW.CE</t>
  </si>
  <si>
    <t>2021 ANNUAL COMM ROOM HW REFRESH - HW.CE</t>
  </si>
  <si>
    <t>ANNUAL TELECOM NETWORK RFRSH (2021) - HW</t>
  </si>
  <si>
    <t>ANNUAL END USER PC REFRESH (2021) - HW.C</t>
  </si>
  <si>
    <t>SQE-DC 2021 ANNUAL IMPROVEMENTS - HW.CE</t>
  </si>
  <si>
    <t>CAS-DC 2021 ANNUAL IMPROVEMENTS - HW.CE</t>
  </si>
  <si>
    <t>WIRING - FIBER OPTIC CABLE</t>
  </si>
  <si>
    <t>DATA GOVERNANCE &amp; ENABLEMENT - HW.CE</t>
  </si>
  <si>
    <t>BRC-COM - KITSAP PENINSULA MW UPGRADE -</t>
  </si>
  <si>
    <t>DATA CENTER HARDWARE REFRESH - HW.CE</t>
  </si>
  <si>
    <t>ANNUAL STORAGE/BACKUP GROWTH 2021 – HW.C</t>
  </si>
  <si>
    <t>ANNUAL NETWORK TECH REFRESH(2021) - HW.C</t>
  </si>
  <si>
    <t>TRANSP NET MODERNIZATION-WRT SUB - HW.CE</t>
  </si>
  <si>
    <t>TRANSP NET MODERNIZATION-TAL SUB - HW.CE</t>
  </si>
  <si>
    <t>TRANSPORT NW MOD - HW-BAKER CAMPUS - HW.</t>
  </si>
  <si>
    <t>TRANSP NET MODERNIZATION - BAS SUB - HW.</t>
  </si>
  <si>
    <t>TRANSP NET MODERNIZATION-BRE SUB - HW.CE</t>
  </si>
  <si>
    <t>TRANSP NET MODERNIZATION-BCO SUB - HW.CE</t>
  </si>
  <si>
    <t>TRANSP. NET. MODERNIZATION-HW-VJU SUB</t>
  </si>
  <si>
    <t>TRANSP NET MODERNIZATION - HRS SUB - HW.</t>
  </si>
  <si>
    <t>TRANSP NET MODERNIZATION-BSN SUB - HW.CE</t>
  </si>
  <si>
    <t>SKA-SVC TO WRT-COM NETWORK IMP - HW.CE</t>
  </si>
  <si>
    <t>SNO-SUB MPLS TRANSPORT NETWORK IMP - HW.</t>
  </si>
  <si>
    <t>TRANSPORT NW MOD - WHAT CNTY - HW.CE</t>
  </si>
  <si>
    <t>TRANSPORT NW MOD - KITS CNTY - HW.CE</t>
  </si>
  <si>
    <t>TRANSPORT NW MOD - THURS CNTY - HW.CE</t>
  </si>
  <si>
    <t>TRANSP. NET. MODERNIZATION-HW-MOR SUB -H</t>
  </si>
  <si>
    <t>TRANSP NETWORK MODERNIZATION-HRD-ESO SUB</t>
  </si>
  <si>
    <t>TRANSP NETWORK MODERNIZATION-ALD-SUB -HW</t>
  </si>
  <si>
    <t>NOB-NORTH BELLEVUE SCADA NETWORK UPGRADE</t>
  </si>
  <si>
    <t>EST CORE MOVE - IT LOC SUBSTATION - HW.C</t>
  </si>
  <si>
    <t>EST CORE NETWORK - IT VERNELL - HW.CE</t>
  </si>
  <si>
    <t>IT EASTSIDE-OPS Purchase and install Transport (Nokia) Routers</t>
  </si>
  <si>
    <t>KITTITAS MW TRANSPORT IMPROVEMENTS- HW.C</t>
  </si>
  <si>
    <t>2022 DATA CENTER HARDWARE REFRESH - HW.C</t>
  </si>
  <si>
    <t>TRANSP NETWORK MOD-RDW-LAB2022 – HW.CE</t>
  </si>
  <si>
    <t>ANNUAL TELECOM EQUIP GROWTH  - HW.CE</t>
  </si>
  <si>
    <t>ANNUAL TELECOM NETWORK REFRESH  - HW.CE</t>
  </si>
  <si>
    <t>ANNUAL NETWORK TECH REFRESH 2022 - HW.CE</t>
  </si>
  <si>
    <t>ANNUAL STORAGE/BACKUP GROWTH – HW.CE</t>
  </si>
  <si>
    <t>ANNUAL SERVER GROWTH/REFRESH – HW.CE</t>
  </si>
  <si>
    <t>SQE-DC 2022 ANNUAL IMPROVEMENTS – HW.CE</t>
  </si>
  <si>
    <t>CAS-DC 2022 ANNUAL IMPROVEMENTS – HW.CE</t>
  </si>
  <si>
    <t>ANNUAL COMM ROOM HW REFRESH 2022– HW.CE</t>
  </si>
  <si>
    <t>ANNUAL END USER PC REFRESH 2022– HW.CE</t>
  </si>
  <si>
    <t>ESO VIDEO WALL REPLACEMENT – HW.CE</t>
  </si>
  <si>
    <t>2022 ANNUAL AUDIO VISUAL TECH REFRESH -H</t>
  </si>
  <si>
    <t>CYBER AUDIT WEB SERVER UPGRADE HW SQE -H</t>
  </si>
  <si>
    <t>KENT SOUTH KING SERVICE CENTER- SKC - HW</t>
  </si>
  <si>
    <t>CAPITAL TRAINING ENHANCEMENTS - HW.CE</t>
  </si>
  <si>
    <t>Replacement of NVRs at the North Seattle Operations Center (NSOC) in alignment with the 2022 security roadmap</t>
  </si>
  <si>
    <t>EST Building - Replacement of NVRs at the EST Building in alignment with the 2022 security roadmap</t>
  </si>
  <si>
    <t>Replacement of NVRs at the Alderton Substation in alignment with the 2022 security roadmap</t>
  </si>
  <si>
    <t>Operational Training Center IT Hardware for Routers, Switches, Audio Visual, Wireless Access Points, IP SCADA</t>
  </si>
  <si>
    <t>Snohomish County, Transport Network Modernization - HW WO for Installation of
SAR Router</t>
  </si>
  <si>
    <t>Skagit County, Transport Network Modernization - HW WO for Installation of
SAR Router</t>
  </si>
  <si>
    <t>King County, Transport Network Modernization - HW WO for Installation of
SAR Router</t>
  </si>
  <si>
    <t>Kittitas County, Transport Network Modernization - HW WO for Installation of
SAR Router</t>
  </si>
  <si>
    <t>CyberSec. Microsegmentation Enhancements will allow us to apply
policies to isolate workloads in the Control Systems from our Corporate
environment which will improve our cybersecurity posture. This is
Foundational work focused on firewall analysis and data flow
enumeration.</t>
  </si>
  <si>
    <t xml:space="preserve"> BANDWIDTH IMPROVEMENTS TO SUPPORT THE MICROWAVE PATH FROM RIDFIELD AND FIELDS GULCH TO LINVILLE.</t>
  </si>
  <si>
    <t>Transport improvments for the migration from BOT-G to the BUCC</t>
  </si>
  <si>
    <t>Longview, WA - Upgraded from DVR to NVR and site needs new equipment to view cameras</t>
  </si>
  <si>
    <t>Transport Network Modernization - HW WO for Installation of SAR Router in Whatcom County</t>
  </si>
  <si>
    <t>Upgrade network security posture. UOP: Switches, Routers, Cabling, Firewall and Network configuration</t>
  </si>
  <si>
    <t>Cyber &amp; Corporate Security Operational Program</t>
  </si>
  <si>
    <t>Bothell G Vacate - IT Hardware and Corporate Security
Vacate employees and business units from Bothell G to Bothell H and O.
Installation of Network Switches, Audio Visual, and Wireless Access Points.</t>
  </si>
  <si>
    <t>BELLINGHAM SERVICE CENTER - Installation of hyperconverged infrastructure hardware including memory modules, processors, network adapters, and solid state drives</t>
  </si>
  <si>
    <t>Installation of hyperconverged infrastructure hardware including memory modules, processors, network adapters, and solid state drives</t>
  </si>
  <si>
    <t>Servers. Upgrade of the Contact Center UCCE environment to bring the software to N currency and increase reliability</t>
  </si>
  <si>
    <t>hardware to install new version of recording software that is being used by PSE operational groups, such as Systems Operations, and the Energy Traders.</t>
  </si>
  <si>
    <t>hardware for the new version of recording software that is being used by Contact Center agents.</t>
  </si>
  <si>
    <t>(White River SW/COMM) "Battery &amp; charger replacement which will provide visibility and
proactive monitoring for battery string health, and direct a just-in-
time response and maintenance for mission critical radio and IT comm
equipment</t>
  </si>
  <si>
    <t>Bellevue Battery &amp; charger replacement which will provide visibility and
proactive monitoring for battery string health, and direct a just-in-
time response and maintenance for mission critical radio and IT comm
equipment</t>
  </si>
  <si>
    <t>Stillwater Substation, Transport Network Modernization - HW WO for Installation of SAR Router</t>
  </si>
  <si>
    <t>Sterling Substation, Transport Network Modernization - HW WO for Installation of
SAR Router</t>
  </si>
  <si>
    <t>U.S. Navy Bangor Substation, Transport Network Modernization - HW WO for Nokia MPLS Router Deployment</t>
  </si>
  <si>
    <t>BOTHELL BUCC(BACKUP AND CONTROL CENTER) - Installation of hyperconverged infrastructure hardware including memory modules, processors, network adapters, and solid state drives</t>
  </si>
  <si>
    <t>Annual Server purchase and replacement to meet PSE growing
capacity needs</t>
  </si>
  <si>
    <t>various PSE locations; WiFi access, and mgt. networking updates.  Covers both the cost of hardware/software but also the labor costs to implement.</t>
  </si>
  <si>
    <t>Client Engineering is responsible for managing and maintaining Audio Video &amp; Conference Room technology across all PSE facilities. These rooms can be broken down into different usage/experience categories, based on the size of the room, location, and business requirements for that meeting space</t>
  </si>
  <si>
    <t>Growth and support of PSE's Corporate Communication sites located in PSE Buildings (non-Telecom) located around the Puget Sound and Eastern Washington. Refresh of infrastructure such as Electrical distribution, Standalone Fire Systems, and Copper and Fiber distribution. Funding will cover capital equipment upgrades and or replacements of infrastructure.</t>
  </si>
  <si>
    <t>Annual Data-center refresh and growth to support any
infrastructure activities supporting Snoqualmie Datacenter.</t>
  </si>
  <si>
    <t>Annual Data-center refresh and growth to support any
infrastructure activities supporting Cascade Datacenter.</t>
  </si>
  <si>
    <t>Snoqualmie and Cascade data centers</t>
  </si>
  <si>
    <t>ENCOGEN GENERATION - Installation of hyperconverged infrastructure hardware including memory modules, processors, network adapters, and solid state drives</t>
  </si>
  <si>
    <t>Cables, cards, routers, radio 2-way</t>
  </si>
  <si>
    <t>New or repaired transport network, Routers, switch, cards, modules</t>
  </si>
  <si>
    <t>equipment in Snoqualmie and Cascade data centers</t>
  </si>
  <si>
    <t>Platform of Insights (POI) is widely used by many business groups for doing self service analytics including performing analytics and data science on AMI meter data. Currently, POI does not have DR enabled as it is categorized as a Tier 4 system. With the growth and usage especially with AMI data the application needs a higher category (Tier 2) and DR enabled.</t>
  </si>
  <si>
    <t>Add/Upgrade transport node equipment at Whidbey Sub.</t>
  </si>
  <si>
    <t>Laptops and Workstations</t>
  </si>
  <si>
    <t>2017 STANDING ORDER SERVICE TRUCKS- COMM</t>
  </si>
  <si>
    <t>2017 STANDING ORDER PASSENGER CARS AND T</t>
  </si>
  <si>
    <t>2018 STANDING ORDER FLEET VEHICLES - COM</t>
  </si>
  <si>
    <t>FLIGHT SERVICES_AVIONICS SYSTEMS UPGRADE</t>
  </si>
  <si>
    <t>2019 STANDING ORDER FLEET VEHICLES - COM</t>
  </si>
  <si>
    <t>2020 STANDING ORDER FLEET VEHICLES - COM</t>
  </si>
  <si>
    <t>Fleet Vehicles</t>
  </si>
  <si>
    <t>STANDING-CORP FLEET VEHICLES PURCH - COM</t>
  </si>
  <si>
    <t>Electric Vehicle Charg Stations -Bothell</t>
  </si>
  <si>
    <t>Electric Vehicle Charging Stations - ESO</t>
  </si>
  <si>
    <t>Electric Vehicle Charging Stations - TAC</t>
  </si>
  <si>
    <t>Electric Vehicle Charging Stations - SKC</t>
  </si>
  <si>
    <t>STANDING 2012 STORES CAPITAL EQUIPMENT</t>
  </si>
  <si>
    <t>ELECTRIC VEH CHARG STATIONS-OLYMPIA SVC</t>
  </si>
  <si>
    <t>TACOMA CNG FLEET DISPENSING IMPROVEMENTS</t>
  </si>
  <si>
    <t>2013-2017 STANDING STORES CAPITAL EQUIPM</t>
  </si>
  <si>
    <t>GAS METER DEPARTMENT MOTORIZED PALLET JA</t>
  </si>
  <si>
    <t>PRESSURE WASHER - SOUTH KING COMPLEX</t>
  </si>
  <si>
    <t>T AND D ENGINEERING GPS SURVEYING UNIT P</t>
  </si>
  <si>
    <t>STANDING IT TOOLS (TEST EQUIPMENT) 2014</t>
  </si>
  <si>
    <t>2012-2017 TELECOMMUNICATIONS TOOL PURCHA</t>
  </si>
  <si>
    <t>AED REPLACEMENT PROGRAM</t>
  </si>
  <si>
    <t>STANDING IT TOOLS (TEST EQUIPMENT) 2017</t>
  </si>
  <si>
    <t>KENT FLEETS HOIST REPLACEMENT</t>
  </si>
  <si>
    <t>GE Capital  Fleet Lease Buyout - Common</t>
  </si>
  <si>
    <t>FIBER OPTIC - FREELAND OFFICE (S WHIDBE)</t>
  </si>
  <si>
    <t>TELECOMMUNICATION EQUIPMENT - PSE 4TH FL</t>
  </si>
  <si>
    <t>EMS CONSOLE KEYBOARD (TIMING SOURCE)</t>
  </si>
  <si>
    <t>FREQUENCY DISPLAY/TRANSDUCER UNIT - ESO</t>
  </si>
  <si>
    <t>OLYMPIA COMMUNIC SITE-BATTERIES &amp; CHARGE</t>
  </si>
  <si>
    <t>EST Install CCTV equipment  Lobby level</t>
  </si>
  <si>
    <t>ERIE TO MARCH PT SUB - FIBER INSTALL</t>
  </si>
  <si>
    <t>KITSAP SERVICE CENTER BATTERIES &amp; CHARGE</t>
  </si>
  <si>
    <t>WILLOW TELECOM ETHERNET (COMM EQUIP)</t>
  </si>
  <si>
    <t>TACOMA WAREHOUSE DC PLANT REPLACEMENT</t>
  </si>
  <si>
    <t>FIBER OPTIC OLYMPIA SVC TO OLYMPIA SWITC</t>
  </si>
  <si>
    <t>BALDI MTN MICROWAVE TO FREDERICKSON GEN</t>
  </si>
  <si>
    <t>OLYMPIA OFC LINE TREATMENT EQUIPMENT</t>
  </si>
  <si>
    <t>TELECOM EQUIPMENT IN TRAILERS - KENT</t>
  </si>
  <si>
    <t>2011 Telecommunications Tool Purchase</t>
  </si>
  <si>
    <t>ONE BELLEVUE CENTER DC CHARGER REPLACEME</t>
  </si>
  <si>
    <t>EASTSIDE SYSTEM OPERATIONS POWER TRANSFE</t>
  </si>
  <si>
    <t>S.01488.01 -- FIBER IMPROVEMENTS  - SAMM</t>
  </si>
  <si>
    <t>TELEOM TRANSPORT NETWORK GROWTH 2012</t>
  </si>
  <si>
    <t>MT. ERIE - RADIO PROJECT</t>
  </si>
  <si>
    <t>INTERNET PROTOCOL CORE DEV PSE NETWORK</t>
  </si>
  <si>
    <t>BLYNN MT. MW CHARGER REPLACEMENT - CMM</t>
  </si>
  <si>
    <t>NORTH KING SVC - BATTERY</t>
  </si>
  <si>
    <t>AGGREGATION POINT TESTING-RADIO SYSTEM</t>
  </si>
  <si>
    <t>BURLINGTON HILL - RADIO PROJECT</t>
  </si>
  <si>
    <t>GLACIER - RADIO PROJECT</t>
  </si>
  <si>
    <t>KING MOUNTAIN- RADIO PROJECT</t>
  </si>
  <si>
    <t>SKYKOMISH SVC/OFFICE - RADIO PROJECT</t>
  </si>
  <si>
    <t>LOWER BAKER - RADIO PROJECT</t>
  </si>
  <si>
    <t>LYNDEN - RADIO PROJECT</t>
  </si>
  <si>
    <t>FIELDS GULCH - RADIO PROJECT</t>
  </si>
  <si>
    <t>ESO RADIO TEST EQUIPMENT</t>
  </si>
  <si>
    <t>IP SCADA Project (MAS Master Radio) - HW</t>
  </si>
  <si>
    <t>STAMPEDE DIVERSITY ANTENNA SYSTEM REPLAC</t>
  </si>
  <si>
    <t>2012-2017 STANDING ORDER TELECOM TEST Eq</t>
  </si>
  <si>
    <t>Skagit SVC to March Point Multiplex Equi</t>
  </si>
  <si>
    <t>LINVILLE RIDGE - RADIO PROJECT</t>
  </si>
  <si>
    <t>S SEATTLE COMM COLLEGE - RADIO PROJECT</t>
  </si>
  <si>
    <t>CRYSTAL MT - RADIO PROJECT</t>
  </si>
  <si>
    <t>PRI ROUTER ENHANCEMENT INSTALLS FOR FOUR</t>
  </si>
  <si>
    <t>LYNDEN SUB TO BELLINGHAM SVC FIBER MULTI</t>
  </si>
  <si>
    <t>BELLINGHAM SVC TO LYNDEN SUB FIBER MULTI</t>
  </si>
  <si>
    <t>FIBER CAPITAL REPLACEMENT-IT W RIVER-PUY</t>
  </si>
  <si>
    <t>IP SCADA PROJ - COMM-BACKHAUL OUT-OF-B</t>
  </si>
  <si>
    <t>COUGAR MOUNTAIN COMMUNICATIONS DNX-88</t>
  </si>
  <si>
    <t>BELLINGHAM SVC EQUIPMENT IMPROVEMENTS</t>
  </si>
  <si>
    <t>BPA-SNOHOMISH TO BELLINGHAM SVC AND TALB</t>
  </si>
  <si>
    <t>STANDING ORDER MOBILE RADIOS - TO REPLAC</t>
  </si>
  <si>
    <t>S.01405.01 - VOIP TECH REFRESH - SOUTH K</t>
  </si>
  <si>
    <t>MIDWAY - RADIO ANTENNA ENHANCEMENTS AT M</t>
  </si>
  <si>
    <t>RATTLESNAKE - RADIO ANTENNA ENHANCEMENTS</t>
  </si>
  <si>
    <t>SHAW - RADIO ANTENNA ENHANCEMENTS AT MUL</t>
  </si>
  <si>
    <t>LAKEWOOD - RADIO ANTENNA ENHANCEMENTS AT</t>
  </si>
  <si>
    <t>SSCC (SOUTH SEATTLE COMMUNITY COLLEGE) R</t>
  </si>
  <si>
    <t>U.S. NAVY BANGOR SUB TELECOM NETWORK UPG</t>
  </si>
  <si>
    <t>TERRELL SUB TO BELLINGHAM SVC FIBER MULT</t>
  </si>
  <si>
    <t>BELLINGHAM SVC TO TERRELL SUB FIBER MULT</t>
  </si>
  <si>
    <t>BELLINGHAM SUBSTATION NETWORK IMPROVEMEN</t>
  </si>
  <si>
    <t>S.01505.01 - ANNUAL TELECOM EQUIPMENT -</t>
  </si>
  <si>
    <t>2-WAY MOBILE RADIO INSTALL AND PURCHASE</t>
  </si>
  <si>
    <t>SPA Project - Tacoma Business Office - C</t>
  </si>
  <si>
    <t>SPA Project - Bremerton Substation - CMM</t>
  </si>
  <si>
    <t>SPA Project - Olympia Service Center - C</t>
  </si>
  <si>
    <t>SPA Project - Kitsap Service Center - CM</t>
  </si>
  <si>
    <t>SPA PROJECT - KITSAP SERVICE CENTER - FI</t>
  </si>
  <si>
    <t>ELECTRON - RADIO ANTENNA ENHANCEMENTS AT</t>
  </si>
  <si>
    <t>BALDI MT COMM - MICROWAVE RADIO - CMM</t>
  </si>
  <si>
    <t>TALBOT - RADIO ANTENNA ENHANCEMENTS AT M</t>
  </si>
  <si>
    <t>FLT-SVC FIAL INSTALLATION AND UPGRADE</t>
  </si>
  <si>
    <t>SNOQUALMIE OPS - Microwave Radio - CMM</t>
  </si>
  <si>
    <t>MARYSVILLE COMM - Microwave Radio - CMM</t>
  </si>
  <si>
    <t>2015 KING COUNTY COMM ROOMS REFRESH AND</t>
  </si>
  <si>
    <t>2015 KITSAP COUNTY COMM ROOMS REFRESH AN</t>
  </si>
  <si>
    <t>2015 KITTITAS COUNTY COMM ROOMS REFRESH</t>
  </si>
  <si>
    <t>2015 LEWIS COUNTY COMM ROOMS REFRESH AND</t>
  </si>
  <si>
    <t>2015 PIERCE COUNTY COMM ROOMS REFRESH AN</t>
  </si>
  <si>
    <t>2015 SKAGIT COUNTY COMM ROOMS REFRESH AN</t>
  </si>
  <si>
    <t>2015 SNOHOMISH COUNTY COMM ROOMS REFRESH</t>
  </si>
  <si>
    <t>2015 WHATCOM COUNTY COMM ROOMS REFRESH A</t>
  </si>
  <si>
    <t>KITSAP SERVICE (KSP-SVC) IMS RTU UPGRADE</t>
  </si>
  <si>
    <t>BHI-COM LEWIS COUNTY ANTENNA POWER METER</t>
  </si>
  <si>
    <t>ISLA COUNTY WHB-SVC ANTENNA POWER METER</t>
  </si>
  <si>
    <t>KITSAP COUNTY ANTENNA POWER METER</t>
  </si>
  <si>
    <t>BLN-COM ANTENNA POWER METER</t>
  </si>
  <si>
    <t>KING COUNTY ANTENNA POWER METER</t>
  </si>
  <si>
    <t>BPA CUSTER TO PORTAL WAY FIBER INSTALLAT</t>
  </si>
  <si>
    <t>KIT-SVC FIAL INSTATLLATION &amp; UPGRADE</t>
  </si>
  <si>
    <t>DNX DS3 AND POWER MODULE UPGRADE</t>
  </si>
  <si>
    <t>9999E999 AMI NETWORK DEPLOYMENT -REDMOND</t>
  </si>
  <si>
    <t>LINCOLN SQUARE EXP. - LANDIS+GYR SERIES</t>
  </si>
  <si>
    <t>TAL-SUB TO CMT-COM MW REPLACEMENT</t>
  </si>
  <si>
    <t>NEW RADIO INSTALLS - CMM</t>
  </si>
  <si>
    <t>VOIP PHONE UPGRADE - OLYMPIA BUSINESS OF</t>
  </si>
  <si>
    <t>ROCHESTER MICROWAVE RADIO -CMM</t>
  </si>
  <si>
    <t>RSC-COM ANTENNA REPLACEMENT</t>
  </si>
  <si>
    <t>POR-SUB TO BSC-SVC CWDM UPGRADE</t>
  </si>
  <si>
    <t>WHIDBEY SERVICE TO MT. ERIE MW REPLACEME</t>
  </si>
  <si>
    <t>MT ERIE TO WHIDBEY SVC MW REPLACEMENT</t>
  </si>
  <si>
    <t>STAMPEDE COM TO LOOKOUT EAST COM MW REPL</t>
  </si>
  <si>
    <t>LOOKOUT EAST COM TO STAMPEDE COM MW REPL</t>
  </si>
  <si>
    <t>MYV-COM MICROWAVE RADOME REPLACEMENT</t>
  </si>
  <si>
    <t>SATELLITE PHONE FOR LOAD OFFICE - ESO</t>
  </si>
  <si>
    <t>SOUTH KING - SERVICE - TELCOM WO2</t>
  </si>
  <si>
    <t>BOTHELL H TELECOM MASTER CONNECT IMPROVE</t>
  </si>
  <si>
    <t>WHITE RIVER SUB TO BPA CONVINGTON SUBDS3</t>
  </si>
  <si>
    <t>9999E999 AMI NTWK DEPLOY S2 UNIKCO GB IN</t>
  </si>
  <si>
    <t>ANNUAL SCADA REFRESH</t>
  </si>
  <si>
    <t>OLYMPIA MICROWAVE RADIO - CMM</t>
  </si>
  <si>
    <t>BSC-SVC COMMUNICATIONS UPGRADE</t>
  </si>
  <si>
    <t>RATTLESNAKE EAST TO WDK MW RADIO UPGRADE</t>
  </si>
  <si>
    <t>AMR NETWORK EXPNS PROJECT-CMM-KING COUNT</t>
  </si>
  <si>
    <t>9999E999 AMI NTWK DEPLOY S3 UNIKCO CB IN</t>
  </si>
  <si>
    <t>VACATE PSE BLDG - CMM/FIBER - EST BLDG</t>
  </si>
  <si>
    <t>VACATE PSE BLDG – CMM/FIBER–FACTORIA SVC</t>
  </si>
  <si>
    <t>9999E999 AMI NTWK DEPLOY S5 INCORP THURS</t>
  </si>
  <si>
    <t>2506E044 AMI NTWK 26002 NE 70 ST REDMOND</t>
  </si>
  <si>
    <t>2607E108 AMI NTWK 11715 338 AVE NE CARNA</t>
  </si>
  <si>
    <t>2606E105 AMI NTWK 12611 237 WY NE REDMND</t>
  </si>
  <si>
    <t>2305E104 AMI NTWK 15631 SE FAIRWOOD BLVD</t>
  </si>
  <si>
    <t>2205E124 AMI NTWK 4229 R ST NE AUBURN</t>
  </si>
  <si>
    <t>1906E088 AMI NTWK 14786 WILKESONSPIKETON</t>
  </si>
  <si>
    <t>1906E108 AMI NTWK 15921 WILKESONSPIKETON</t>
  </si>
  <si>
    <t>2204E060 AMI NTWK 23429 51 AVE S KENT</t>
  </si>
  <si>
    <t>2005E024 AMI NTWK 6550 FRANCIS AV SE AUB</t>
  </si>
  <si>
    <t>1906E127 AMI NTWK 18914 AP TUBBS RD CARB</t>
  </si>
  <si>
    <t>2103E057 AMI NTWK 5121 SW 326 ST FED WAY</t>
  </si>
  <si>
    <t>2607104 AMI NTWK 34808 NE MOSS CK WY</t>
  </si>
  <si>
    <t>2305E108 AMI NTWK DEPLOY S2 17116 146TH</t>
  </si>
  <si>
    <t>2606E132 AMI NTWK 22686 NE ALDER CRST DR</t>
  </si>
  <si>
    <t>2406E051 AMI NTWK 26532 SE OLD BLK NUG</t>
  </si>
  <si>
    <t>Vacate PSE Bldg -CMM/Fiber–South King SV</t>
  </si>
  <si>
    <t>9999E999 AMI NTWK DEPLOY UNIC SKAGIT</t>
  </si>
  <si>
    <t>9999E999 AMI NTWK DEPLOY N4 FERNDALE</t>
  </si>
  <si>
    <t>2407E098 AMI NTWK 7110 CASCADE AVE SE SN</t>
  </si>
  <si>
    <t>2602E140 AMI NTWK 10520 MORNING LN BNBRG</t>
  </si>
  <si>
    <t>2406E092 AMI NTWK 2199 31 LN NE ISSAQ</t>
  </si>
  <si>
    <t>2406E101 AMI NTWK 1466 26 AVE NE ISSAQ</t>
  </si>
  <si>
    <t>2605E099 AMI NTWK 11810 172 AV NE REDMND</t>
  </si>
  <si>
    <t>2506E010 AMI NTWK 9049 236 AVE NE KC</t>
  </si>
  <si>
    <t>2606E087 AMI NTWK 13538 ADAIR CRK WY NE</t>
  </si>
  <si>
    <t>2406E009 AMI NTWK 24032 SE 9 CT SAMMAMSH</t>
  </si>
  <si>
    <t>2407E104 AMI NTWK 7226 THOMPSON AVE SE</t>
  </si>
  <si>
    <t>BPA CONVINGTON SUB TO WRT-SUB AND BOTH D</t>
  </si>
  <si>
    <t>GPS CLOCK INSTALL FOR PTP AND SYNCHE WRT</t>
  </si>
  <si>
    <t>ELC-COM ELECTRON MICROWAVE 700MHZ_CMM</t>
  </si>
  <si>
    <t>OLM-COM OLYMPIA MICROWAVE 700MHZ_CMM</t>
  </si>
  <si>
    <t>HPR DC BATTERY AND CHARGER REPLACEMENT</t>
  </si>
  <si>
    <t>Radio Repeater: Design, Mgmt and Commissioning of the 700Mhz System.</t>
  </si>
  <si>
    <t>HELICOPTER CHANNEL - RADIO BASE STATION-</t>
  </si>
  <si>
    <t>SNOQUALMIE HP1 RADIO ANTENNA ADDITION</t>
  </si>
  <si>
    <t>PSE AREAS -BALDI REPEATER CONTROLLERS -</t>
  </si>
  <si>
    <t>PSE AREAS - ELECTRON REPEATER CONTROLLER</t>
  </si>
  <si>
    <t>PSE AREAS -GREEN MTN REPEATER CONTROLLER</t>
  </si>
  <si>
    <t>PSE AREAS -LINVILLE REPEATER CONTROLLERS</t>
  </si>
  <si>
    <t>PSE AREAS -MT. BLYN REPEATER CONTROLLERS</t>
  </si>
  <si>
    <t>PSE AREAS -MT. ERIE REPEATER CONTROLLERS</t>
  </si>
  <si>
    <t>PSE AREAS -OLYMPIA REPEATER CONTROLLERS</t>
  </si>
  <si>
    <t>PSE AREAS -RATTLESNAKE REPEATER CONTROLL</t>
  </si>
  <si>
    <t>PSE AREAS -STAMPEDE REPEATER CONTROLLERS</t>
  </si>
  <si>
    <t>PSE AREAS -WHITE RIVER REPEATER CONTROLL</t>
  </si>
  <si>
    <t>EVERETT OPS VOIP UPGRADE - IT FACILITIES</t>
  </si>
  <si>
    <t>GPS CLOCK INSTALL FOR PTP AND SYNCHE GRN</t>
  </si>
  <si>
    <t>WORKPLACE STRATEGY MOBILITY PROOF OF CON</t>
  </si>
  <si>
    <t>PUYALLUP SVC REBUILD - CMM - NOT RELATED</t>
  </si>
  <si>
    <t>SPD-COM STAMPEDE MICROWAVE 700MHZ_CMM</t>
  </si>
  <si>
    <t>ESO-COM EASTSIDE OPS COMM 700MHZ_CMM</t>
  </si>
  <si>
    <t>2020 TELECOM ANNUAL EQUIP GROWTH &amp; TOOL</t>
  </si>
  <si>
    <t>BLD-COM BALDI MTN MICROWAVE 700MHZ_CMM</t>
  </si>
  <si>
    <t>SSC-COM SO. SEATTLE COLL COMM 700MHZ_CMM</t>
  </si>
  <si>
    <t>TRANSPORT NETWORK MODERNIZATION-CMM-RDW</t>
  </si>
  <si>
    <t>AMR NETWORK EXPNS PROJECT-CMM-SNOHOMISH</t>
  </si>
  <si>
    <t>TRANSPORT NETWORK MODERNIZATION - GRAVEL</t>
  </si>
  <si>
    <t>BAKER COMM &amp; NETWORK ENHANCEMENTS - CMM</t>
  </si>
  <si>
    <t>9999E999 AMI NTWK DEPLOY N3 SKAGIT 2D</t>
  </si>
  <si>
    <t>9999E999 AMI NTWK DEPLOY N4 POINT ROBERT</t>
  </si>
  <si>
    <t>9999E999 AMI NTWK DEPLOY 799 PLEASANT AC</t>
  </si>
  <si>
    <t>3301E132 AMI NTWK DEPLOY 1545 WILDBERRY</t>
  </si>
  <si>
    <t>9999E999 AMI NTWK 1500 ROSARIO RD ANACOR</t>
  </si>
  <si>
    <t>9999E999 AMI NTWK DEPLOY S2 SO CLEELUM</t>
  </si>
  <si>
    <t>9999E999 AMI NTWK DEPLOY S2 ELLENSBURG</t>
  </si>
  <si>
    <t>2015E128 AMI NTWK 1241 WOOD DUCK RD CLE</t>
  </si>
  <si>
    <t>9999E999 AMI NTWK DEPLOY S1E ADD'L BELLE</t>
  </si>
  <si>
    <t>9999E999 AMI NTWK P#2923119001 KING CNTY</t>
  </si>
  <si>
    <t>2211E072 AMI NTWK 66527 NFD5800 RD NORTH</t>
  </si>
  <si>
    <t>2606E040 AMI NTWK 24270 NE 172 ST WOODIN</t>
  </si>
  <si>
    <t>2606E103 AMI NTWK S2 24533 NE 118 REDMON</t>
  </si>
  <si>
    <t>1905E136 AMI NTWK 21214 182ND ST E ORTIN</t>
  </si>
  <si>
    <t>3201E124 AMI NTWK 2084 W WINTERHAWK LN C</t>
  </si>
  <si>
    <t>3102E128 AMI NTWK 659 IS RIDGE WY COUPEV</t>
  </si>
  <si>
    <t>3201E124 AMI NTWK 2245 WINTERHAWK COUPEV</t>
  </si>
  <si>
    <t>3401E104 AMI NTWK DEPLOY 42764 STATE ROU</t>
  </si>
  <si>
    <t>2304E100 AMI NTWK 1001 SW 34TH ST RENTON</t>
  </si>
  <si>
    <t>3401E096 AMI NTWK DEPLOY 15681 N DECEPTI</t>
  </si>
  <si>
    <t>2305E075 AMI NTWK 1900 LIND AVE SW RNTN</t>
  </si>
  <si>
    <t>3101E024 AMI NTWK 2021 CEDAR HOLLOW LN C</t>
  </si>
  <si>
    <t>3202E012 AMI NTWK DEPLOY 2315 LAKE FORES</t>
  </si>
  <si>
    <t>3601E104 AMI NTWK 4494 CLARK POINT ANACO</t>
  </si>
  <si>
    <t>9999E999 AMI NTWK 809 SALMONBERRY LN BEL</t>
  </si>
  <si>
    <t>4001E060 AMI NTWK 3700 W 88 ST, BLAINE</t>
  </si>
  <si>
    <t>2606E008 AMI NTWK 20218 244 AV NE WDINVI</t>
  </si>
  <si>
    <t>2706E127 AMI NTWK 24320 110 AV SE WDINVL</t>
  </si>
  <si>
    <t>9999E999 AMI NTWK 13705 69 AVE CT E PUYA</t>
  </si>
  <si>
    <t>4001E092 AMI NTWK W 30 CREST&amp;BIRCHBAYLYN</t>
  </si>
  <si>
    <t>3805E032 AMI NTWK 5566 WILLIAMS LAKE RD</t>
  </si>
  <si>
    <t>9999E999 AMI NTWK 5225 EAGLE FLY WAY BEL</t>
  </si>
  <si>
    <t>3704E023 AMI NTWK 13 COLD SPRINGS LN</t>
  </si>
  <si>
    <t>1819E120 AMI NTW 432 MEADOWBROOK ELNSBRG</t>
  </si>
  <si>
    <t>2607E020 AMI NTWK 24211 MT VW RD NE DUVL</t>
  </si>
  <si>
    <t>2607E016 AMI NTWK 20110 320 AVE NE DUVLL</t>
  </si>
  <si>
    <t>2107E076 AMI NTWK 34401 ENMCLW FRNKLN RD</t>
  </si>
  <si>
    <t>2611E112 AMI NTWK 69730 NE MONEY CK SKYK</t>
  </si>
  <si>
    <t>2205E098 AMI NTWK 16826 SE 259 ST KENT</t>
  </si>
  <si>
    <t>2207E028 AMI NTWK 28802 SE 224 ST MAPLE</t>
  </si>
  <si>
    <t>2206E105 AMI NTWK 24100 SE 260 ST MAPLE</t>
  </si>
  <si>
    <t>1905E086 AMI NTWK 198 AVE E BONNEY LK</t>
  </si>
  <si>
    <t>2107E136 AMI NTWK 38333 324 PL SE ENUMCL</t>
  </si>
  <si>
    <t>2007E076 AMI NTWK 29103 SE 434 ST ENUMCL</t>
  </si>
  <si>
    <t>2107E048 AMI NTWK 35626 SE COURTNEY RD R</t>
  </si>
  <si>
    <t>1904E066 AMI NTWK 8124 138 ST E PUYALLUP</t>
  </si>
  <si>
    <t>1906E125 AMI NTWK 17909 178 ST E BUCKLEY</t>
  </si>
  <si>
    <t>9999E999 AMI NTWK S3 KENT OH 1-OFF &amp; GTG</t>
  </si>
  <si>
    <t>2302E120 AMI NTWK 3343 SE CONDOR PT ORCH</t>
  </si>
  <si>
    <t>2401E116 AMI NTWK 2636 SKPPN STONE BREM</t>
  </si>
  <si>
    <t>9999E999 AMI NTWK 7288 W BELFAIR VL BREM</t>
  </si>
  <si>
    <t>2502W100 AMI NTWK 16154 NW STAVIS SEABCK</t>
  </si>
  <si>
    <t>1901E101 AMI NTWK 2800 CENTER DR DUPONT</t>
  </si>
  <si>
    <t>1901E104 AMI NTWK 1436 KINCALD ST DUPNT</t>
  </si>
  <si>
    <t>1901E138 AMI NTWK 1565 WLLMNGTN DR DUPNT</t>
  </si>
  <si>
    <t>2402W124 AMI NTWK 23540 W LUDVICK SEABCK</t>
  </si>
  <si>
    <t>2402W124 AMI NTWK 23931 W LUDVICK SEABCK</t>
  </si>
  <si>
    <t>1702W010 AMI NTWK 1401 KINGSWOOD SW TUMW</t>
  </si>
  <si>
    <t>1603E024 AMI NTWK 39111 30 AVE S ROY</t>
  </si>
  <si>
    <t>1602E048 AMI NTWK 14027 RAINIER VW YELM</t>
  </si>
  <si>
    <t>1802W136 AMI NTWK 702 TROSPER RD SW TUMW</t>
  </si>
  <si>
    <t>1603W100 AMI NTWK 5320 165 LN SW ROCHEST</t>
  </si>
  <si>
    <t>1503W032 AMI NTWK 10019 LUNDEEN SW ROCHE</t>
  </si>
  <si>
    <t>9999E999 AMI NTWK 1195 NW GILMAN ISSAQ</t>
  </si>
  <si>
    <t>3404E108 AMI NTWK 4800 EAGLEMONT MT VERN</t>
  </si>
  <si>
    <t>3305E016 AMI NTWK 18252 PETER BURN MTVER</t>
  </si>
  <si>
    <t>3603E023 AMI NTWK 1221 CHUCKANUT DR BOW</t>
  </si>
  <si>
    <t>3507E008 AMI NTWK 40371 BATES LN CONCRET</t>
  </si>
  <si>
    <t>9999E999 AMI NTWK 13784 WHITE FALLS CONC</t>
  </si>
  <si>
    <t>2507E104 AMI NTWK 1235 352 AVE NE CARNA</t>
  </si>
  <si>
    <t>2507E031 AMI NTWK 29414 NE 64 WY CARNA</t>
  </si>
  <si>
    <t>2507E008 AMI NTWK 35500 NE 98 ST CARNA</t>
  </si>
  <si>
    <t>2507E005 AMI NTWK 34225 NE 98TH ST CARNA</t>
  </si>
  <si>
    <t>2308E084 AMI NTWK 15540 417 PL SE KC</t>
  </si>
  <si>
    <t>2406E089 AMI NTWK 2625 22 AVE NE ISSQ</t>
  </si>
  <si>
    <t>9999E999 AMI NTWK 6211 MULLEN RD SE LACE</t>
  </si>
  <si>
    <t>9999E999 AMI NTWK 4776 WHITMAN LN SE LAC</t>
  </si>
  <si>
    <t>9999E999 AMI NTWK 5815 SUNVIEW CT SE LAC</t>
  </si>
  <si>
    <t>9999E999 AMI NTWK 5711 58TH CT SE LACEY</t>
  </si>
  <si>
    <t>9999E999 AMI NTWK 8487 BAINBRIDGE LP NE</t>
  </si>
  <si>
    <t>9999E999 AMI NTWK 4504 6TH AVE SE LACEY</t>
  </si>
  <si>
    <t>9999E999 AMI NTWK 7206 TOBEMORY CR SW PT</t>
  </si>
  <si>
    <t>9999E999 AMI NTWK 7766 CYNTHIA LN SW PT</t>
  </si>
  <si>
    <t>9999E999 AMI NTWK ONEOFF S4_C110_R0040</t>
  </si>
  <si>
    <t>9999E999 AMI NTWK ONEOFF S4_C110_R0080</t>
  </si>
  <si>
    <t>9999E999 AMI NTWK ONEOFF S4_C129_R0050</t>
  </si>
  <si>
    <t>9999E999 AMI NTWK ONEOFF S4_C129_R0080</t>
  </si>
  <si>
    <t>9999E999 AMI NTWK 11876 SW LAKE FLORA RD</t>
  </si>
  <si>
    <t>9999E999 AMI NTWK 15750 CARNEY LK RD SW</t>
  </si>
  <si>
    <t>9999E999 AMI NTWK 5532 SW PARADISE LN PT</t>
  </si>
  <si>
    <t>9999E999 AMI NTWK 11064 WA-3 SW BREMERTO</t>
  </si>
  <si>
    <t>2406E053 AMI NTWK 25428 SE 42ND ST SAMM</t>
  </si>
  <si>
    <t>2309E112 AMI NTWK WA FIRE FIGHTER NORTHB</t>
  </si>
  <si>
    <t>2406E051 AMI NTWK 26010 OLD BLK NGGT ISS</t>
  </si>
  <si>
    <t>2405E060 AMI NTWK 4632 143AVE SE BEL</t>
  </si>
  <si>
    <t>2406E074 AMI NTWK 18694 NW BERNINA ISSA</t>
  </si>
  <si>
    <t>2606E134 AMI NTWK 22960 NE NOVLTYHLL RED</t>
  </si>
  <si>
    <t>2307E040 AMI NTWK 33521 SE 114 ST ISSAQ</t>
  </si>
  <si>
    <t>1719E128 AMI NTWK 2940 TOZER RD ELLNSBUR</t>
  </si>
  <si>
    <t>9999E999 AMI NTWK 24030 107TH DR SE WOOD</t>
  </si>
  <si>
    <t>1915E032 AMI NTWK 240 TIMBER MT LP CLE E</t>
  </si>
  <si>
    <t>9999E999 AMI NTWK 701 WATER ST SW OLYMPI</t>
  </si>
  <si>
    <t>2015E072 AMI NTWK 1390 SWIFTWATER DR CLE</t>
  </si>
  <si>
    <t>9999E999 AMI NTWK 291 BAKERS LN EASTON,</t>
  </si>
  <si>
    <t>9999E999 AMI NTWK 61 GRANDVIEW RD RONALD</t>
  </si>
  <si>
    <t>9999E999 AMI NTWK 2639 70TH AVE E FIFE</t>
  </si>
  <si>
    <t>9999E999 AMI NTWK 25009 SUMMIT DR MAPLE</t>
  </si>
  <si>
    <t>9999E999 AMI NTWK 11114 243RD AVE E BUCK</t>
  </si>
  <si>
    <t>9999E999 AMI NTWK 15311 VERMONTVILLE RD</t>
  </si>
  <si>
    <t>9999E999 AMI NTWK 6723 QUINCY AVE SE SUM</t>
  </si>
  <si>
    <t>9999E999 AMI NTWK 6283 NW GROSS RD BREME</t>
  </si>
  <si>
    <t>9999E999 AMI NTWK  6421 NW GROSS RD BREM</t>
  </si>
  <si>
    <t>9999E999 AMI NTWK 15933 W FROGGY MOUNTAI</t>
  </si>
  <si>
    <t>9999E999 AMI NTWK 8721 NW JESSIE MAE WAY</t>
  </si>
  <si>
    <t>9999E999 AMI NTWK 9790 PEACE RD BLAINE</t>
  </si>
  <si>
    <t>9999E999 AMI NTWK 8125 BIRCH BAY LYNDEN</t>
  </si>
  <si>
    <t>9999E999 AMI NTWK 3618 TREE FARM CT BELL</t>
  </si>
  <si>
    <t>9999E999 AMI NTWK 3903 ISAACSON RD  BELL</t>
  </si>
  <si>
    <t>9999E999 AMI NTWK 3661 VINEYARD DR BELLI</t>
  </si>
  <si>
    <t>9999E999 AMI NTWK 11064 WHISTLER LN DEMI</t>
  </si>
  <si>
    <t>9999E999 AMI 19909 287 AVE SE MAPLE VALL</t>
  </si>
  <si>
    <t>9999E999 AMI NTWK 20728 HWY 525 COUPEVIL</t>
  </si>
  <si>
    <t>9999E999 AMI NTWK 8942 FROST CREEK RD MA</t>
  </si>
  <si>
    <t>9999E999 AMI NTWK 7446 S PASS RD MAPLE F</t>
  </si>
  <si>
    <t>9999E999 AMI NTWK 9455 HEADY RD SUMAS</t>
  </si>
  <si>
    <t>9999E999 AMI NTWK 21599 MARKET PL NW POU</t>
  </si>
  <si>
    <t>9999E999 AMI NTWK 7911 175 AVE SW ROCHES</t>
  </si>
  <si>
    <t>9999E999 AMI NTWK 9020 190TH ST E PUYALL</t>
  </si>
  <si>
    <t>9999E999 AMI NTWK 3236 SE ROOSTER WAY O</t>
  </si>
  <si>
    <t>9999E999 AMI NTWK 23831 SE GREEN VALLEY</t>
  </si>
  <si>
    <t>9999E999 AMI NTWK P#956708 KING CNTY RON</t>
  </si>
  <si>
    <t>9999E999 AMI NTWK 5318 ASPINWALL CT NE</t>
  </si>
  <si>
    <t>9999E999 AMI NTWK 540 PARTRIDGE DR NW</t>
  </si>
  <si>
    <t>9999E999 AMI NTWK 21402 SNAG ISLND DR E</t>
  </si>
  <si>
    <t>9999E999 AMI NTWK 10706 194TH ST E GRAHA</t>
  </si>
  <si>
    <t>9999E999 AMI NTWK 16609 210TH ST E GRAHA</t>
  </si>
  <si>
    <t>9999E999 AMI NTWK 43 ALPENTAL STREET</t>
  </si>
  <si>
    <t>9999E999 AMI NTWK 7730 CENTER BLVD SE SN</t>
  </si>
  <si>
    <t>9999E999 AMI NTWK 1121 63RD ST SE AUBURN</t>
  </si>
  <si>
    <t>9999E999 AMI NTWK 8911 MARTIN WAY E LACE</t>
  </si>
  <si>
    <t>9999E999 AMI NTWK 15099 DEFIANCE DR SE O</t>
  </si>
  <si>
    <t>9999E999 AMI NTWK 25235 SE KLAHANIE BLVD</t>
  </si>
  <si>
    <t>9999E999 AMI NTWK 5225 NE MINDER RD POUL</t>
  </si>
  <si>
    <t>9999E999 AMI NTWK 18455 W WINTER GRN LN</t>
  </si>
  <si>
    <t>9999E999 AMI NTWK 5801 S 212TH ST KENT</t>
  </si>
  <si>
    <t>9999E999 AMI NTWK 16620 RAILWAY RD SE YE</t>
  </si>
  <si>
    <t>9999E999 AMI NTWK 208 SEATTLE ST E RAINI</t>
  </si>
  <si>
    <t>9999E999 AMI NTWK 10500 MT BAKER HWY DEM</t>
  </si>
  <si>
    <t>9999E999 AMI NTWK 23403 AVALON HIDEAWAY</t>
  </si>
  <si>
    <t>9999E999 AMI NTWK 1724 EMERALD WAY LYNDE</t>
  </si>
  <si>
    <t>9999E999 AMI NTWK 75400 NE 122ND ST SKYK</t>
  </si>
  <si>
    <t>9999E999 AMI NTWK 249 CHUCKANUT DR BELLI</t>
  </si>
  <si>
    <t>9999E999 AMI NTWK 7198 BISSET LN EVERSON</t>
  </si>
  <si>
    <t>9999E999 AMI NTWK 18725 W MORGANMARSH LN</t>
  </si>
  <si>
    <t>9999E999 AMI NTWK 4703 PRESTWICK LN SE</t>
  </si>
  <si>
    <t>9999E999 AMI NTWK 5703 66TH AVE SE LACEY</t>
  </si>
  <si>
    <t>9999E999 AMI NTWK 15721 YELM TERRA WY SE</t>
  </si>
  <si>
    <t>9999E999 AMI NTWK 14969 MTN VIEW CT YELM</t>
  </si>
  <si>
    <t>9999E999 AMI NTWK 3600 SUNCADIA TRAIL</t>
  </si>
  <si>
    <t>9999E999 AMI NTWK 311 SUNDANCE LN ELLENS</t>
  </si>
  <si>
    <t>9999E999 AMI NTWK 211 SILVER QUEEN LN</t>
  </si>
  <si>
    <t>9999E999 AMI NTWK 128 CABIN TRAIL DR CLE</t>
  </si>
  <si>
    <t>9999E999 AMI NTWK 891 ANNA BELL DR RONAL</t>
  </si>
  <si>
    <t>9999E999 AMI NTWK 39008 35TH AVE E ROY.</t>
  </si>
  <si>
    <t>9999E999 AMI NTWK 1525 CHUCKANUT RDG DR</t>
  </si>
  <si>
    <t>9999E999 AMI NTWK 13543 CHUCKANUT RD RD</t>
  </si>
  <si>
    <t>9999E999 AMI NTWK 5024 LACEY BLVD SE</t>
  </si>
  <si>
    <t>9999E999 AMI NTWK 16544 LITTLEROCK RD SW</t>
  </si>
  <si>
    <t>9999E999 AMI NTWK 3652 PACIFIC AVE SE</t>
  </si>
  <si>
    <t>9999E999 AMI NTWK 26811 NE 23RD ST RDMND</t>
  </si>
  <si>
    <t>9999E999 AMI NTWK 26001 NE 24TH ST RDMND</t>
  </si>
  <si>
    <t>9999E999 AMI NTWK 3635 22ND AVE SE OLYM</t>
  </si>
  <si>
    <t>9999E999 AMI NTWK 3433 BLVD RD SE OLYMPI</t>
  </si>
  <si>
    <t>9999E999 AMI NTWK 4843 SISKIYOU LP SE</t>
  </si>
  <si>
    <t>3002E076 AMI NTWK 333 WHITEWEBS LN GREEN</t>
  </si>
  <si>
    <t>3803E077 AMI NTWK WOBURN ST &amp; PREMIERWY</t>
  </si>
  <si>
    <t>9999E999 AMI NTWK 30211 THOMAS RD SE KEN</t>
  </si>
  <si>
    <t>1906E115 AMI NTWK 26714 173 ST E BUCKLEY</t>
  </si>
  <si>
    <t>SITE DEVELOPMENT FEASIBILITY STUDIES</t>
  </si>
  <si>
    <t>9999E999 AMI NTWK 40419 8TH AVE S ROY</t>
  </si>
  <si>
    <t>9999E999 AMI NTWK S2 RENTON GTG &amp; OH1OFF</t>
  </si>
  <si>
    <t>2206E104 AMI NTWK 25600 SE SMMT LANDSBRG</t>
  </si>
  <si>
    <t>9999E999 AMI NTWK 12710 321 AVE E BUCKLE</t>
  </si>
  <si>
    <t>9999E999 AMI NTWK S3 ENUMCLAW OH 1-OFF</t>
  </si>
  <si>
    <t>9999E999 AMI NTWK 1610 KINSMAN CT E ROY</t>
  </si>
  <si>
    <t>3509E108 AMI NTWK 51905 HWY20 CONCRETE</t>
  </si>
  <si>
    <t>9999E999 AMI NTWK N3 MT VERNON OH 1-OFF</t>
  </si>
  <si>
    <t>9999E999 AMI NTWK N3 UNIN SKAGIT OH 1OFF</t>
  </si>
  <si>
    <t>9999E999 AMI NTWK 4440 WELLINGTON LP SE</t>
  </si>
  <si>
    <t>9999E999 AMI NTWK 11900 YELM HWY SE OLYM</t>
  </si>
  <si>
    <t>9999E999 AMI NTWK 33433 NE 102ND WAY</t>
  </si>
  <si>
    <t>9999E999 AMI NTWK 1000 WILMINGTON DR</t>
  </si>
  <si>
    <t>9999E999 AMI NTWK 238 I-5 BURLINGTON</t>
  </si>
  <si>
    <t>9999E999 AMI NTWK 10315 WHITE DEER PL SI</t>
  </si>
  <si>
    <t>Space Planning and Management Strategy</t>
  </si>
  <si>
    <t>9999E999 AMI NTWK 3719 70TH AVE E FIFE</t>
  </si>
  <si>
    <t>9999E999 AMI NTWK 3030 S 240TH ST KENT</t>
  </si>
  <si>
    <t>TRANSP. NET. MODERNIZATION-CMM-SAM SUB</t>
  </si>
  <si>
    <t>Transp. Net. Modernization-CMM-FAC Sub</t>
  </si>
  <si>
    <t>9999E999 AMI NTWK 15594 SR 530 CONCRETE</t>
  </si>
  <si>
    <t>9999E999 AMI NTWK 40502 TIMBERLINE DR</t>
  </si>
  <si>
    <t>9999E999 AMI NTWK 2325 CASCADE DR E ROY</t>
  </si>
  <si>
    <t>9999E999 AMI NTWK 26005 NE 34TH ST RDMND</t>
  </si>
  <si>
    <t>9999E999 AMI NTWK 27401 NE 22ND ST RDMND</t>
  </si>
  <si>
    <t>9999E999 AMI NTWK 24215 NE 59TH LN RDMND</t>
  </si>
  <si>
    <t>9999E999 AMI NTWK 23811 NE 43RD ST RDMND</t>
  </si>
  <si>
    <t>9999E999 AMI NTWK 302 BARKSDALE AVE DPNT</t>
  </si>
  <si>
    <t>9999E999 AMI NTWK 1755 RIDGE VIEW DR</t>
  </si>
  <si>
    <t>9999E999 AMI NTWK 4100 KAPALEA WAY SE</t>
  </si>
  <si>
    <t>9999E999 AMI NTWK 25963 118TH PL SE KENT</t>
  </si>
  <si>
    <t>9999E999 AMI NTWK 46820 EVERETT LAKE RD</t>
  </si>
  <si>
    <t>9999E999 AMI NTWK 4927 SW POINT ROBINSON</t>
  </si>
  <si>
    <t>9999E999 AMI NTWK 2809 LOST CREEK LN NW</t>
  </si>
  <si>
    <t>9999E999 AMI NTWK 1119 NEWTON DR BLLGHAM</t>
  </si>
  <si>
    <t>9999E999 AMI NTWK 18500 NE UNION HILL RD</t>
  </si>
  <si>
    <t>9999E999 AMI NTWK 5424 JOHNSON ST NW BRE</t>
  </si>
  <si>
    <t>9999E999 AMI NTWK 2915 HARRISON AVE NW</t>
  </si>
  <si>
    <t>9999E999 AMI NTWK 24212 NE RDMND FLL RD</t>
  </si>
  <si>
    <t>9999E999 AMI NTWK 537 NE ELIS WAY OKHRBR</t>
  </si>
  <si>
    <t>9999E999 AMI NTWK 5729 CEDAR FLATS RD SW</t>
  </si>
  <si>
    <t>9999E999 AMI NTWK 17 COUNTRY CLUB DR SW</t>
  </si>
  <si>
    <t>9999E999 AMI NTWK 9003 90TH AVE E PUYALL</t>
  </si>
  <si>
    <t>9999E999 AMI NTWK 13214 104TH AVE CT E</t>
  </si>
  <si>
    <t>9999E999 AMI NTWK NF58 &amp; NF9035 NORTHBND</t>
  </si>
  <si>
    <t>UPPER BAKER IT COMM BATTERY REPLACEMENT</t>
  </si>
  <si>
    <t>2021 STANDING ORDER LANDIS+GYR AMR NETWO</t>
  </si>
  <si>
    <t>HVAC REPLACEMENT - MARSYVILLE COMM IT -</t>
  </si>
  <si>
    <t>GENERATION INFRASTRUCTURE PROGRAM - 2021</t>
  </si>
  <si>
    <t>EST CORE MOVE - IT LOC SUBSTATION - CMM</t>
  </si>
  <si>
    <t>2205E110 AMI 11600 SE KENT KANGLEY RD KE</t>
  </si>
  <si>
    <t>1920E136 AMI NTWK 5580 SECRETCNYN ELLNSB</t>
  </si>
  <si>
    <t>9999E999 AMI NTWK 18330 73 AVE E PUYALLU</t>
  </si>
  <si>
    <t>9999E999 AMI NTWK S4 BAINBRIDGE OH 1-OFF</t>
  </si>
  <si>
    <t>1703W084 AMI NTWK 11050 WADDELL CRK OLYM</t>
  </si>
  <si>
    <t>3409E052 AMI NTWK 14382 SR530 CONCRETE</t>
  </si>
  <si>
    <t>2607E136 AMI NTWK 33619 NE 102 WY CARNA</t>
  </si>
  <si>
    <t>2607E068 AMI NTWK 30602 147 PL DUVALL</t>
  </si>
  <si>
    <t>9999E999 AMI NTWK LAKEVIEW ADDITIONAL</t>
  </si>
  <si>
    <t>9999E999 AMI NTWK 9107 RENTON ISSAQUAH R</t>
  </si>
  <si>
    <t>STANDING 2022 AMI NTWK PRJT-EXTERNAL ONL</t>
  </si>
  <si>
    <t>individual vehicle radio hardware</t>
  </si>
  <si>
    <t>Install network equipment for AMI network</t>
  </si>
  <si>
    <t>Olympia COM transport improvements for microwave communications</t>
  </si>
  <si>
    <t>Annual Radio enhancements, replacements and storm related or small project related 2-way radio and/or microwave improvements.</t>
  </si>
  <si>
    <t>Annual Microwave enhancements, replacements and storm related or small project microwave improvements.</t>
  </si>
  <si>
    <t>Preconstruction activities for the AMI Network Deployment.</t>
  </si>
  <si>
    <t xml:space="preserve">Stillwater Substation. Transport Network Modernization - CMM WO for DC Plant for STI
Battery,charger, fuse panels and labor
</t>
  </si>
  <si>
    <t>U.S. Navy Bangor Substation, Transport Network Modernization - CMM-WO for DC Plant for USB.Battery,charger, fuse panels and labor</t>
  </si>
  <si>
    <t>COMM Transport Network Modernization</t>
  </si>
  <si>
    <t>ay to day maintenance, small Fiber builds, pole transfers, upgrades,
and fiber relocates that come up throughout year to ensure high
availability of Fiber Optic Infrastructure year round.</t>
  </si>
  <si>
    <t xml:space="preserve">Telecom Services, Redmond, Wiring - fiber optic cable, Labor and equipment NJUNS tickets and small projects.
</t>
  </si>
  <si>
    <t>Upgrades and enhancements for Telecom South critical towers and COMM rooms.</t>
  </si>
  <si>
    <t>Upgrades and enhancements for Telecom North critical towers and COMM rooms.</t>
  </si>
  <si>
    <t>L+G billing for AMI network router/collector devices</t>
  </si>
  <si>
    <t>City of Edmonds franchise agreement.</t>
  </si>
  <si>
    <t>MW Radios. Upgrade existing MW path from legacy MW equipment nearing EOL (Ridpath) to new IP capable and higher capacity MW Radios.</t>
  </si>
  <si>
    <t>ANNUAL TELECOM RF MICROWAVE IMPROVEMENTS</t>
  </si>
  <si>
    <t>Installation of antennae with connectors, IWR radios, Network Equipment
for the purpose of getting RF signal out to deliver a Network Read.</t>
  </si>
  <si>
    <t>Install OH AMI network device in SCL service area</t>
  </si>
  <si>
    <t>Install UG AMI network device in LCPUD service area</t>
  </si>
  <si>
    <t>9999E999 AMI NTWK DEPLOY S2 DUVALL</t>
  </si>
  <si>
    <t>DO NOT USE REPLACED BY 143004800 FOR 201</t>
  </si>
  <si>
    <t>AMR NETWORK EXPNS PROJECT -PIERCE COUNTY</t>
  </si>
  <si>
    <t>STANDING 2018 AMI NETWORK SYSTEM(EXTERNA</t>
  </si>
  <si>
    <t>STANDING 2020 AMI NETWORK SYSTEM(INTERNA</t>
  </si>
  <si>
    <t>9999E999 AMI NTWK UG_TURTLE SYSTEM KITTI</t>
  </si>
  <si>
    <t>2020 STANDING ORDER LANDIS+GYR AMR Netwo</t>
  </si>
  <si>
    <t>9999E999 AMI NTWK S2 OH ONE-OFF(1ST REL)</t>
  </si>
  <si>
    <t>9999E999 AMI NTWK DEPLOY N3 SKAGIT WSDOT</t>
  </si>
  <si>
    <t>9999E999 AMI NTWK DEPLOY S4 PORT ORCHARD</t>
  </si>
  <si>
    <t>2311E131 AMI NTWK DEPLOY S2 19100 ALPENT</t>
  </si>
  <si>
    <t>STANDING 2021 AMI NTWK PRJT-EXTERNAL ONL</t>
  </si>
  <si>
    <t>Redmond West Purchase of AED &amp; Cabinet</t>
  </si>
  <si>
    <t>PSE BLDG 4TH FLOOR- TENANT IMPROVEMENTS</t>
  </si>
  <si>
    <t>BACKUP CONTROL CENT HEADSET BUCC CONSOLE</t>
  </si>
  <si>
    <t>SEA TAC TENANT IMPROVEMENTS - HOWARD HAN</t>
  </si>
  <si>
    <t>PSE EAST BLDG - PURCHASE AED HEARTSTREAM</t>
  </si>
  <si>
    <t>SECURITY INSTALLATION - CAPITAL HILL PRO</t>
  </si>
  <si>
    <t>FACILITY SERVICES LINELAZER 3400 PAINT M</t>
  </si>
  <si>
    <t>BOTHELL BUILDING G FITNESS ROOM - REPLAC</t>
  </si>
  <si>
    <t>REPLACE ICE MACHINE AT LAKE TAPPS EMPLOY</t>
  </si>
  <si>
    <t>NORTH KING SERVICE CENTER ICE MACHINE RE</t>
  </si>
  <si>
    <t>2015 DRONE PURCHASE FOR STRATEGIC INITIA</t>
  </si>
  <si>
    <t>CONCEPT DESIGN FOR THE SERVICE CENTERS. UOP: 6 FENCING/WALLS COMPLETE WITH GATE, 8 FOUNDATION, EQUIPMENT, 12 POWER/LIGHTING SYSTEM, 14 ROOFS, WITH OR WITHOUT SUPPORTING MEMBERS, 19 STRUCTURE, PERMANENT, 20 YARD DRAINAGE SYSTEM, 21 YARD IMPROVEMENTS (OUTSIDE STRUCTURE), 22 YARD LIGHTING SYSTEM</t>
  </si>
  <si>
    <t>Building System and Components, HVAC equip, roofs, flooring</t>
  </si>
  <si>
    <t>per 2008 ASCM: Acct. 397 &gt; Communication Equipment</t>
  </si>
  <si>
    <t>PSE's PRIMARY NOTES</t>
  </si>
  <si>
    <t>Switch, PC. Establish the 700MHz Lab at RedWest. Hardware and labor costs for the RedWest Lab</t>
  </si>
  <si>
    <t>per 2008 ASCM: Acct. 393 &gt; Stores Equipment</t>
  </si>
  <si>
    <t>per 2008 ASCM: Acct. 394 &gt; Tools, Shop and Garage Equipment</t>
  </si>
  <si>
    <t>per 2008 ASCM: Acct. 398 &gt; Misc Equipment</t>
  </si>
  <si>
    <t>Generation Facility</t>
  </si>
  <si>
    <t>Clean Energy Implementation Portfolio, customer facing benefits</t>
  </si>
  <si>
    <t>Low Income Funding</t>
  </si>
  <si>
    <t>Residential EV Program</t>
  </si>
  <si>
    <t>Generating Facility</t>
  </si>
  <si>
    <t>GTZ Precedence</t>
  </si>
  <si>
    <t>Meter Related</t>
  </si>
  <si>
    <t>Lighting Control (Dispatch &amp; Metering)</t>
  </si>
  <si>
    <t>Market Operations and Trading - Transmission Pricing and Billing</t>
  </si>
  <si>
    <t>System Planning - Planning Models</t>
  </si>
  <si>
    <t>Resource Management - Alternative Energy Supply</t>
  </si>
  <si>
    <t>Residential Customer EV Credits and associated SAP Billing &amp; Web interface(s). Customer/Marketing - Billing &amp; Metering</t>
  </si>
  <si>
    <t>Planning Models - Load Forecasting</t>
  </si>
  <si>
    <t>GRC Def Regulatory Fee Chg.</t>
  </si>
  <si>
    <t>Energy and Demand Management, 18239891 &amp; 18239911 Offset</t>
  </si>
  <si>
    <t>Energy and Demand Management, 18239881 &amp; 18239901 Offset</t>
  </si>
  <si>
    <t>Energy and Demand Management</t>
  </si>
  <si>
    <t>Clean Energy Implementation Plan</t>
  </si>
  <si>
    <t>Othr Elect Rev – Steam Sale – SOCCO</t>
  </si>
  <si>
    <t>Business Intelligence</t>
  </si>
  <si>
    <t>ERP Integrations</t>
  </si>
  <si>
    <t>ERP Upgrades</t>
  </si>
  <si>
    <t>Lower Baker Hydro Regrouting</t>
  </si>
  <si>
    <t>Lund Hill Solar Gen</t>
  </si>
  <si>
    <t>Facilities Management - CAD</t>
  </si>
  <si>
    <t>Decarb / Electrification Pilot Deferral</t>
  </si>
  <si>
    <t>CCA Compliance Cost - Electric - Interest</t>
  </si>
  <si>
    <t>18630222 &amp; 18630232 offset</t>
  </si>
  <si>
    <t>Whitehorn Generating Station, Amort of Env Rem Costs &amp; Rec – Elec UE-220066</t>
  </si>
  <si>
    <t>PSE Mort Inden Renew</t>
  </si>
  <si>
    <t>EnvRem- Kittitas SVC</t>
  </si>
  <si>
    <t>EnRm- Kitt SVC UST</t>
  </si>
  <si>
    <t>CEIP Carrying Charge</t>
  </si>
  <si>
    <t>EnvRem-QuinceStVilla</t>
  </si>
  <si>
    <t>EnvRem-MushroomFarm</t>
  </si>
  <si>
    <t>Env Rem-Meadowbrook</t>
  </si>
  <si>
    <t>FER 2023 CTA/B Maj M</t>
  </si>
  <si>
    <t>FRE1 2023 ST Minor</t>
  </si>
  <si>
    <t>Wildfire Lib Ins Def</t>
  </si>
  <si>
    <t>ENV REM-Quince St</t>
  </si>
  <si>
    <t>ENV REM-Mushroom Far</t>
  </si>
  <si>
    <t>Gen Acq Def Exp</t>
  </si>
  <si>
    <t>U-210595-PFA Int-Gas</t>
  </si>
  <si>
    <t>MTF Combustion 2022</t>
  </si>
  <si>
    <t>U-210595-PFA Int-Ele</t>
  </si>
  <si>
    <t>ENV REM-Factoria SVC</t>
  </si>
  <si>
    <t>Env Rem-Col 1&amp;2</t>
  </si>
  <si>
    <t>U210595 PFA - Elec</t>
  </si>
  <si>
    <t>U210595 PFA - Gas</t>
  </si>
  <si>
    <t>TEP Expense Deferral</t>
  </si>
  <si>
    <t>AMR Reg Asset-Elec</t>
  </si>
  <si>
    <t>AMR Reg Asset-Gas</t>
  </si>
  <si>
    <t>CEIP-EqRsrv on ReDfr</t>
  </si>
  <si>
    <t>Colstrip 3&amp;4 Trk Rec</t>
  </si>
  <si>
    <t>Participatory Funding Agreement</t>
  </si>
  <si>
    <t>GTZ Precedent</t>
  </si>
  <si>
    <t>Sch95A Set in Rates UE-220066</t>
  </si>
  <si>
    <t>Transformer Env. Remediation</t>
  </si>
  <si>
    <t>Fredonia Maint</t>
  </si>
  <si>
    <t>deffered Wildfire Liability Insurance expense above current base, covers all PSE</t>
  </si>
  <si>
    <t>Generation Acquisition Deferred Expense</t>
  </si>
  <si>
    <t>Demand Response</t>
  </si>
  <si>
    <t>Bill Discount Rate</t>
  </si>
  <si>
    <t>Beaver Creek Windfarm – Project Completion Pymt</t>
  </si>
  <si>
    <t>Steam Generation</t>
  </si>
  <si>
    <t>Sch 141CEI Revenue</t>
  </si>
  <si>
    <t>Colstrip 3&amp;4 - tracker expense</t>
  </si>
  <si>
    <t>Order Group 407.3E</t>
  </si>
  <si>
    <t>Sch 141TEP Revenue</t>
  </si>
  <si>
    <t>Included in FERC 407.7, being remapped in SAP</t>
  </si>
  <si>
    <t>Elec. CEIP beginning 9/1/23</t>
  </si>
  <si>
    <t>Elec. CEIP ending 8/31/23</t>
  </si>
  <si>
    <t>Inc. Topside Adj. - NG unbilled - CCA (DR $27,029,071.9)</t>
  </si>
  <si>
    <t>Inc. Topside Adj. - LTIP increase (CR $2,242,714)</t>
  </si>
  <si>
    <t>Decarb/Electrification Pilot Deferral</t>
  </si>
  <si>
    <t>Whitehorn Generating Station</t>
  </si>
  <si>
    <t>CCA Compliance Cost - Electric (Includes Topside Adjustment for CCA Liability, DR $19,836,872.25)</t>
  </si>
  <si>
    <r>
      <t xml:space="preserve">2023 Topsided Adjustment: </t>
    </r>
    <r>
      <rPr>
        <b/>
        <sz val="8"/>
        <rFont val="Arial"/>
        <family val="2"/>
      </rPr>
      <t xml:space="preserve">EDIT (excess deferred income taxes) </t>
    </r>
  </si>
  <si>
    <t xml:space="preserve"> (minus) 010800543 Common - RWIP-RET1 C.O.R./Salvage PP</t>
  </si>
  <si>
    <t xml:space="preserve"> (minus) Capital Lease SAP Accural</t>
  </si>
  <si>
    <t xml:space="preserve"> (minus) 010800503 Common - Accum Depr NOT CLASSIFIED - PP</t>
  </si>
  <si>
    <t>From   1 to  12  Year 2023 Report Name: ZO12</t>
  </si>
  <si>
    <t>From   1 to  12  Year 2023 Report Name: ZRW_ZO12 &amp; BW</t>
  </si>
  <si>
    <t>SAP Adjustment</t>
  </si>
  <si>
    <t xml:space="preserve">Insurance proceeds for environmental remediation </t>
  </si>
  <si>
    <t xml:space="preserve">40740279 Colstrip 3&amp;4 O&amp;M Offset Ops </t>
  </si>
  <si>
    <t xml:space="preserve">40740280 Colstrip 3&amp;4 Property &amp; Liability Insura </t>
  </si>
  <si>
    <t xml:space="preserve">40740281 Units 1&amp;2 Property &amp; Liability Insurance </t>
  </si>
  <si>
    <t xml:space="preserve">CEIP O&amp;M Deferral ends 8/31/23 </t>
  </si>
  <si>
    <t xml:space="preserve">TEP Expense Deferral </t>
  </si>
  <si>
    <t xml:space="preserve">TEP Depreciation Deferral </t>
  </si>
  <si>
    <t xml:space="preserve">CEIP Depr Expense Deferral ends 8/31/23 </t>
  </si>
  <si>
    <t xml:space="preserve">CEIP Depr Expense Deferral eff 9/1/23 </t>
  </si>
  <si>
    <t xml:space="preserve">CEIP O&amp;M Deferral eff 9/1/23 </t>
  </si>
  <si>
    <t xml:space="preserve">Colstrip 3&amp;4 O&amp;M Offset Maint </t>
  </si>
  <si>
    <t xml:space="preserve">Colstrip 3&amp;4 O&amp;M Offset Ops </t>
  </si>
  <si>
    <t xml:space="preserve">Colstrip 3&amp;4 Property &amp; Liability Insura </t>
  </si>
  <si>
    <t xml:space="preserve">Units 1&amp;2 O&amp;M Offset Maintenance </t>
  </si>
  <si>
    <t xml:space="preserve">Units 1&amp;2 O&amp;M Offset Ops </t>
  </si>
  <si>
    <t>Emissions Expense Deferral - Wholesale</t>
  </si>
  <si>
    <t>Units 1&amp;2 Property &amp; Liability Insurance</t>
  </si>
  <si>
    <t>Units 1&amp;2 O&amp;M Offset Maintenance</t>
  </si>
  <si>
    <t>Units 1&amp;2 O&amp;M Offset Ops</t>
  </si>
  <si>
    <t>TEP Depreciation Deferral</t>
  </si>
  <si>
    <t>CLSD CEIP Depr Expense Deferral</t>
  </si>
  <si>
    <t>Defer B&amp;O Tax on Gas Allow Proceeds</t>
  </si>
  <si>
    <t>Top Sided Adjustments</t>
  </si>
  <si>
    <t>Emissions Expense Deferral</t>
  </si>
  <si>
    <t>AMI Deprec Exp Deferral-Gas Post 7/2019</t>
  </si>
  <si>
    <t>Sch 111 Credit-Gas</t>
  </si>
  <si>
    <t>LNG Depreciation Expense Deferral</t>
  </si>
  <si>
    <t>Treasury Grants</t>
  </si>
  <si>
    <t>Amort. EV Rtrn on Inv Deferral UE-220066</t>
  </si>
  <si>
    <t>&lt;&lt;See note below</t>
  </si>
  <si>
    <t>From   1 to  12  Year 2023: (Includes items in BW report not in the SAP Order Group 407.4)</t>
  </si>
  <si>
    <t xml:space="preserve">   &lt;-  ties to FERC Form 1 p336 Dep &amp; Amort</t>
  </si>
  <si>
    <t>PSE's Functionalization Notes</t>
  </si>
  <si>
    <t>SAP Long Text Notes</t>
  </si>
  <si>
    <t>CLOUD CONNECTOR SLS11 TO SLS15 - SW.CN.5</t>
  </si>
  <si>
    <t>COVID-19 CAP COSTS FOR WUTC - SW.CN.3YR</t>
  </si>
  <si>
    <t>IDENTITY STRATEGY 2022 – SW.CN.5YRS</t>
  </si>
  <si>
    <t>SPLUNK MONITORING FOR NERC - SW.CN.5YRS</t>
  </si>
  <si>
    <t>2022 BLUEBEAM REVU EXTREME - SW.CN.5YRS</t>
  </si>
  <si>
    <t>LEAK DATA &amp; METHANE DATA MGMT – SW.CN.5Y</t>
  </si>
  <si>
    <t>SAP BW 7.5 FUNCTIONAL UPGRADE - SW.CN.10</t>
  </si>
  <si>
    <t>VOICE RECORDING TECH REFRESH - SW.CN.5YR</t>
  </si>
  <si>
    <t>SUCCESSFACTORS ENHANCEMENT PACK-2022Q3-4</t>
  </si>
  <si>
    <t>VOLT-VAR OPTIMIZATION VOLTAGE DASHBOARD</t>
  </si>
  <si>
    <t>2022 MICROSOFT VISUAL STUDIOS - SW.CN.3Y</t>
  </si>
  <si>
    <t>2023 Q1 OPERATION AER'S - SW.CS.3YRS</t>
  </si>
  <si>
    <t>ANNUAL NETWORK TECH REFRESH - SW.CN.5YR</t>
  </si>
  <si>
    <t>2022 SERVICENOW - MAPPING - SW.CN.5YR</t>
  </si>
  <si>
    <t>2022 SERVICENOW - BACKLOG - SW.CN.5YRS</t>
  </si>
  <si>
    <t>ANNUAL ENTERPRISE APP GROWTH - SW.CN.5YR</t>
  </si>
  <si>
    <t>SITECORE 9.3 TO 10.2 UPGRADE - SW.CN.5YR</t>
  </si>
  <si>
    <t>DIRECTORY SERVICES OPTIMIZATION- SW.CN.5</t>
  </si>
  <si>
    <t>CUST EXPERIENCE ENHANCEMENT -  SW.CN.5Y</t>
  </si>
  <si>
    <t>2023 Q2 OPERATION AER'S - SW.CS.3YRS</t>
  </si>
  <si>
    <t>CLOUD COST TOOLING REFRESH - SW.CN.5YR</t>
  </si>
  <si>
    <t>CUST EXPERIENCE ENHANCEMENT PROG - SW.CN</t>
  </si>
  <si>
    <t>ANNUAL SERVICENOW PLATFORM UPGRADES - SW</t>
  </si>
  <si>
    <t>CEEP EGAIN NOTIFICATION - SW.CS.5YRS</t>
  </si>
  <si>
    <t>IBEW LOAD OFFICE EMPLOYEE SAP CHANGES -</t>
  </si>
  <si>
    <t>TWILIO/SENDGRID REPLACEMENT - SW.CN.3YRS</t>
  </si>
  <si>
    <t>INSTALLMENT PLAN RESOLUTION - SW.CN.5YRS</t>
  </si>
  <si>
    <t>VOICE RECORDING TECH REFRESH CORP TEL -</t>
  </si>
  <si>
    <t>VOICE RECORDING TECH REFRESH CONTACT - S</t>
  </si>
  <si>
    <t>IT ENTERPRISE ARCHITECTURE TOOL 2022 - S</t>
  </si>
  <si>
    <t>IT ENTERPRISE ARCHITECTURE (2023+) - SW.</t>
  </si>
  <si>
    <t>CORTEX FORENSIC SOFTWARE LICENSES - SW.C</t>
  </si>
  <si>
    <t>ZUSRSTAT TO BW ENHANCEMENT - SW.CN.5YRS</t>
  </si>
  <si>
    <t>PSE WEB PLATFORM ENHANCEMENT 2023 - SW.C</t>
  </si>
  <si>
    <t>OUTAGE &amp; RESPONSE ANALYTICS - SW.CN.5YRS</t>
  </si>
  <si>
    <t>MSA LOADSEER ENHANCEMENT - SW.CS.5YRS</t>
  </si>
  <si>
    <t>AUTOMATION FACTORY ENHANCEMENTS 2023 - S</t>
  </si>
  <si>
    <t>DAM SAFETY ENHANCEMENT 2023 - SW.CS.5YR</t>
  </si>
  <si>
    <t>DEEP - TEXT TONE TRANSLATION- SW.CS.5YR</t>
  </si>
  <si>
    <t>WINDOWS SERVER 2012 UPGRADE - SW.CS.5YR</t>
  </si>
  <si>
    <t>2023 DATA CENTER HARDWARE REFRESH - SW.C</t>
  </si>
  <si>
    <t>MULTI-CHANNEL WORKFORCE MANAGEMENT - SW.</t>
  </si>
  <si>
    <t>HYPER CONVERGED INFRA REFRESH - NUTANIX</t>
  </si>
  <si>
    <t>SW CHANGES FOR GHG RULES PER RITM0054570</t>
  </si>
  <si>
    <t>DIGITAL WORKPLACE TRANSFORMATION - SW.CN</t>
  </si>
  <si>
    <t>PSE 2030 DIGITAL EXPERIENCE - SW.CN.5RYS</t>
  </si>
  <si>
    <t>GIS UPGRADE - SMALLWORLD - SW.CN.5YRS</t>
  </si>
  <si>
    <t>XAMARIN FORMS MIGRATION TO MAUI - SW.CN.</t>
  </si>
  <si>
    <t>MICROSERVICES REFACTORING WITH CASSANDRA</t>
  </si>
  <si>
    <t>PURCHASE AND IMPLEMENT SYSTEM ORCHESTRAT</t>
  </si>
  <si>
    <t>SAP HR SUPPORT PACKS (2022+) &amp; BSI TAX</t>
  </si>
  <si>
    <t>ANNUAL WINDOWS SERVER REFRESH - SW.CN.3Y</t>
  </si>
  <si>
    <t>ANNUAL SPLUNK GROWTH (2023+) - SW.CN.5YR</t>
  </si>
  <si>
    <t>SPLUNK VERSION UPGRADES 2023 - SW.CN.5YR</t>
  </si>
  <si>
    <t>ANNUAL SPLUNK SECURITY IMPROVEMENTS - SW</t>
  </si>
  <si>
    <t>SAP BUSINESS PROCESS MONITORING - SW.CN.</t>
  </si>
  <si>
    <t>ANNUAL QUALITY FRAMEWORK ENHANCEMENTS (2</t>
  </si>
  <si>
    <t>ANNUAL SQL SERVER PATCHES - SW.CN.5YRS</t>
  </si>
  <si>
    <t>PI VISION SUITE MIGRATION - SW.CN.3YRS</t>
  </si>
  <si>
    <t>POI - HANA DR ENABLEMENT - SW.CN.5YRS</t>
  </si>
  <si>
    <t>2023 CAP MAINTENANCE LESS - SW.CN.5YRS</t>
  </si>
  <si>
    <t>ANNUAL ENTERPRISE APPLICATIONS GROWTH (2</t>
  </si>
  <si>
    <t>DEEP INITIATIVES AND ENHANCEMENTS - SW.C</t>
  </si>
  <si>
    <t>DATA FOUNDATION DATA GOVERNANCE - SW.CN.</t>
  </si>
  <si>
    <t>DATA FOUNDATION OPERATING MODEL  - SW.CN</t>
  </si>
  <si>
    <t>ROBOTIC PROCESS AUTOMATION RPA (2023+)-</t>
  </si>
  <si>
    <t>2023 Q2 REG &amp; STRAT AER'S - SW.CS.3YRS</t>
  </si>
  <si>
    <t>SAP-ECC MM/FI INTEGRATION 2023 - SW.CS.5</t>
  </si>
  <si>
    <t>MDMS LICENSE EXTENSION 2023 - SW.CN.5YRS</t>
  </si>
  <si>
    <t>WORKORDER SPLIT LOGIC ENHANCEMENT 23 -SW</t>
  </si>
  <si>
    <t>2023 Q3 ENERGY SUPPLY AER'S - SW.CN.3Y</t>
  </si>
  <si>
    <t>SAP BUNDLED Q3 ENHANCEMENTS 2023 - SW.CN</t>
  </si>
  <si>
    <t>BCA - BILLING CORRECTION AUTOMATION - SW</t>
  </si>
  <si>
    <t>DELIVERY SYSTEM SCORECARD - SW.CN.5YR</t>
  </si>
  <si>
    <t>ZIOC TRANSACTION ENHANCEMENT 2023 - SW.C</t>
  </si>
  <si>
    <t>DIGITAL LEAK SURVEY PROJECT ENHANCEMENT</t>
  </si>
  <si>
    <t>Physical Security Salient Licen.SW.CAN.5</t>
  </si>
  <si>
    <t>2023 CAP MAINT PLATFORM - SW.CN.10YRS</t>
  </si>
  <si>
    <t>CHECK PAYMENT - SHORT TERM</t>
  </si>
  <si>
    <t xml:space="preserve">Data Enablement and Enrichment Program (DEEP). The purpose of this enhancement is to add STATUS_HISTORY to Notifications data. EMPLOYEE DATA ANALYSIS DASHBOARD  </t>
  </si>
  <si>
    <t>Use case to understand linage information for assets in EDS. The team will set up a connector from EDC to BODS (Data services) in order to obtain data.</t>
  </si>
  <si>
    <t>(DEEP Enhancement) Enhancement requests that come in for Use cases that was completed over the past 3 years, multiple enhancements under one work order.</t>
  </si>
  <si>
    <t>Upgrade IPP SharePoint (NERC) On Premise Server in conjunction with Windows 2012 Upgrade</t>
  </si>
  <si>
    <t>LONG TEXT: Implementation of the Informatica data governance platform in order to build a data catalog, business glossary, and data quality monitoring.</t>
  </si>
  <si>
    <t>SW enhancements to add longer history and additional columns to Sales Statistics Tables and billing tables.</t>
  </si>
  <si>
    <t>implement Data life cycle automation within PSE's Platform Of Insights.</t>
  </si>
  <si>
    <t xml:space="preserve">SW Enhancements for location tracking solutions. Provide a real time location tracking solution that gives visibility into crew movement during storm outages
</t>
  </si>
  <si>
    <t xml:space="preserve">SW Enhancements to POI. The goal to provide the ability to track outstanding bills by work order/project. Bring in all columns from existing BW tables into POI.
</t>
  </si>
  <si>
    <t>Upgrade servers for the Cloud Connector from SLS11 to SLS15. Will be moving from on-premise to the cloud. SLS11 has been out of support since end of 2019. Moving Cloud Connector servers from on-premise to the cloud PSE Historical usage</t>
  </si>
  <si>
    <t>Deferred RCD Dunning Enablement, Update extended Payment Arrangements from 12 months to 18 months, Reverse 2020 Changes for Security Deposits and Connect/Disconnect and late fees, Ongoing COVID-19 efforts for PSE to comply with new guidance from WUTC. New integrated payment platform for customers to pay their bill at PSE.com.</t>
  </si>
  <si>
    <t>Identity Strategy work for 2022 - includes role-based Access Control and CA update, including additional features like Governance Minder Additional features being added including Governance Minder</t>
  </si>
  <si>
    <t>The Enterprise Project Portfolio Management (PPM) tool will provide leadership with visibility into project prioritization and portfolio performance. It will be a shared PPM tool across the organization. PSE Historical usage. One of the existing tools currently used at PSE (i.e. ServiceNow or EcoSys) will be modified/enhanced for enterprise use.</t>
  </si>
  <si>
    <t xml:space="preserve">Enterprise Resource Planning (ERP) System Enhansments </t>
  </si>
  <si>
    <t xml:space="preserve">Business Intelligence </t>
  </si>
  <si>
    <t xml:space="preserve">Work Order Accounting </t>
  </si>
  <si>
    <t xml:space="preserve">Industrial Billing </t>
  </si>
  <si>
    <t xml:space="preserve">Meter Reading System </t>
  </si>
  <si>
    <t>EXCLUDED - GAS SOFTWARE</t>
  </si>
  <si>
    <t xml:space="preserve">Miscellaneous Software </t>
  </si>
  <si>
    <t xml:space="preserve">Management Information </t>
  </si>
  <si>
    <t xml:space="preserve">Customer Relationship Management </t>
  </si>
  <si>
    <t>SAP Business Warehouse Upgrade</t>
  </si>
  <si>
    <t>for regulatory compliance tracking and reporting of procedures being used by field employees across all processes (Gas, Electric, operational training)</t>
  </si>
  <si>
    <t>Upgrade of Power Plan</t>
  </si>
  <si>
    <t xml:space="preserve">The Quality Framework Project’s mission is to implement and improve Quality and Test capabilities across the enterprise, in order to  improve test efficiency, test management, test coverage, automate testing and processes, reduce test costs and shorten development and  test cycles, while reducing time to market.• Tricentis test Implementation – Requirement &amp; Test Management tool • SAP Automation scripting - Priority 2021 automation scripts • User Experience platform/tools/consulting – Focus on accessibility tools • Neotys NeoLoad - SAP extension for NeoLoad/Tricentis Tosca integration • Consulting – Enablement consulting for existing tool capabilities not yet implemented • Tricentis Analytics &amp; AI implementation – new product integrations </t>
  </si>
  <si>
    <t>Data Center Software/Hardware Refresh</t>
  </si>
  <si>
    <t>These are Q4 2021 improvements and enhancements to the SAP SuccessFactors suite of applications -- Employee Central, Recruiting, Recruitment Marketing, Onboarding, Performance mgmt., Goal mgmt., Career development, Succession planning, Continuous performance management, job bidding, grievance tracking, document management, case management, knowledgebase.</t>
  </si>
  <si>
    <t>Purchase of additional Open link Endur and APM Licenses for the front and back office employees</t>
  </si>
  <si>
    <t>The automated calculation of Energy Burden - Income data calculation</t>
  </si>
  <si>
    <t xml:space="preserve">SW Enhancements including Resource Management and continued improvement to ITBM/ITSM Modules. ServiceNow will have 4 bodies of work:  NERC, upgrading SN to the next version, Software Asset Mgmt. and Piloting Resource Mgmt. </t>
  </si>
  <si>
    <t>This enhanced functionality will  measure compliance and improve data quality in order to increase self-service options for customers and employees. Updating software to meet additional customer requirements</t>
  </si>
  <si>
    <t>Backlog &amp; Minor Workstreams: Software Asset Mgmt. (SAM); Resource Management Pilot; Mgmt. Oversight &amp; Licensing. Backlog: stakeholder team to prioritize epics/stories or allocate capacity by product area. SAM: Enhance configuration to support auto installation/removal and additional titles. Resource Mgmt.: limited pilot: consider CAP + OM, forecasts + actuals, at team/skill level.
UOP: SW Enhancements to ServiceNow to support auto installation/removal and resource management</t>
  </si>
  <si>
    <t>Microsoft requires all Xamarin users to move to a new framework, offering a tool to migrate automatically but will still require us to do some level of rewrite. Xamarin is our Mobile development environment allowing our PSE.COM iOS and Android applications to be maintained. This transition is significant and will require refactoring the existing mobile applications for the new technology standard and keep in support from Microsoft for our Mobile Development Environments. Will require 12 sprints of word</t>
  </si>
  <si>
    <t>Annual Server costs for capacity growth</t>
  </si>
  <si>
    <t>Migration of Electric, Gas, and Generation PI users from PI Process book to PI Vision suite as support for PI Process book is ending in 2023.</t>
  </si>
  <si>
    <t>IT O&amp;M to Capital Maintenance for 10 YR useful life for CTM 4 techn ologies.</t>
  </si>
  <si>
    <t>This workorder tracks the effort toward the scope, plan, design, configure, test and implement enhancements to the SAP SuccessFactors suite of applications.  This includes the semi-annual releases for this Cloud application. UOP: SAP SuccessFactors suite of applications -- Employee Central, Recruiting, Recruitment Marketing, Onboarding, Performance mgmt., Goal mgmt., Career development, Succession planning, Continuous performance management, job bidding, grievance tracking, content management, case management, knowledge.  Software itself already implemented, software licensing covered under IT Shared Services O&amp;M.  This workorder is for the upgrade and enhancement.</t>
  </si>
  <si>
    <t>To provide voltage data analytics at Substation and Meter levels, and to identify instances of concerns by meter and total voltage health etc. The visibility to the end of line voltages on a circuit would help drive the change and identify valuable opportunities to improve upon and take appropriate actions</t>
  </si>
  <si>
    <t xml:space="preserve">System Operations </t>
  </si>
  <si>
    <t>Service Mapping. Link 3 Business Applications to related Configuration Item's (CI) and Services, following CSDM Model. Improve incident resolution, change analysis, availability tracking, monitoring, EA, DR. UOP:SW Enhancements to ServiceNow to improve incident resolution, change analysis, availability tracking, monitoring,</t>
  </si>
  <si>
    <t xml:space="preserve">Key Performance Indicators </t>
  </si>
  <si>
    <t xml:space="preserve">Microsoft Office 365 E3 License (3 Year) </t>
  </si>
  <si>
    <t>Refresh the Cloud Cost Optimization/Security Automation Tooling, leveraging Cloud Health, a SaaS based tool</t>
  </si>
  <si>
    <t>The Puget Sound Energy (PSE) Get to Zero (GTZ) Web 4.0 Customer Experience Enhancement Program will improve customer experience and support delivery of PSE's primary purpose – providing safe, dependable and efficient regulated utility services – by adding new features and enhancing existing features on the www.pse.com website, PSE mobile app, and Visual Interactive Voice Response (VIVR).</t>
  </si>
  <si>
    <t>Upgrade server software licensing from 2012 to 2019 Support for existing 2012 Windows Server ends in October 2023 so the 2019 upgrade is necessary to maintain server support.</t>
  </si>
  <si>
    <t>Data Center Hardware Refresh for software/license needed to support/supplement the 2023 hardware purchases and labor to support this effort. The software costs are to-be-determined, as most of the project costs are for hardware procurement.</t>
  </si>
  <si>
    <t>Refactor microservices code to stabilize Cassandra by removing materialized views, making use of storage attached indexes and fixing CQL statements to implement cache of prepared statements.</t>
  </si>
  <si>
    <t xml:space="preserve">Employee Infomration/Human Resources </t>
  </si>
  <si>
    <t xml:space="preserve">Enhance forms as they process on the back-end. Will enhance forms to process on the back-end workflows with file  attachments rather than hyperlinks. This functionality is identified as critical by the business customer during product demonstration. </t>
  </si>
  <si>
    <t>Enhance outage notification functionality. Enhance the outage notification functionality to notify the customer when the eGain system is down and unable to process forms. (RITM0080737)</t>
  </si>
  <si>
    <t xml:space="preserve">Work Management/Outage Management </t>
  </si>
  <si>
    <t xml:space="preserve">Employee Information/Human Resources </t>
  </si>
  <si>
    <t>Employee Information/Training System</t>
  </si>
  <si>
    <t>Geographic Information System (GIS)</t>
  </si>
  <si>
    <t>This use case entails cleaning data and using data science models bucket &amp; categorize GIS data. The output of the model will be used to feed a tool to help the Maps &amp; Records team prioritize revisions  for compliance with their latest audit.</t>
  </si>
  <si>
    <t xml:space="preserve">This use case entails extracting data out of Power World and automating some of the file extracts that are used for power flow analysis. Hope is to build an extract, transform, and load process and apply business rules to reduce the amount of manual scrubbing that is done today.
</t>
  </si>
  <si>
    <t>Resolve issues related to how past due amounts are tracked for customers who created payment installment plans.</t>
  </si>
  <si>
    <t xml:space="preserve">Customer Information System (CIS) </t>
  </si>
  <si>
    <t>Develop data analytics to segment customers’ outage restoration journeys and predict the estimated time of restoration for a new outage.</t>
  </si>
  <si>
    <t>Upgrade of the Contact Center UCCE environment to bring the software to N currency and increase reliability</t>
  </si>
  <si>
    <t xml:space="preserve">Call Center Operations </t>
  </si>
  <si>
    <t>Voice Recording Tech Refresh SW - Corporate Telephony. Refresh the version of recording software that is being used by PSE operational groups, such as Systems Operations, and the Energy Traders.</t>
  </si>
  <si>
    <t>Voice Recording Tech Refresh SW - Contact Center. Refresh the version of recording software that is being used by Contact Center agents.</t>
  </si>
  <si>
    <t xml:space="preserve">Energy Trading and Tagging </t>
  </si>
  <si>
    <t>MSA, Load SEER and Windows based Metering Systems apps security enhancements (RITM0081143). This AER covers application upgrades for the MSA (Meter Shop Automation) application (implementation of the last vendor delivered upgrade package), Load SEER application (upgrade to 4.2 with several fixes required by the business) and security enhancement (implementation of Oracle Wallet) for our team's Windows apps</t>
  </si>
  <si>
    <t>Multiple Enhancements for the Automation Factory. The current monthly parking is a manual process with Excel sheets, we are enhancing this process to use Form based solution with Power Automate</t>
  </si>
  <si>
    <t>Upgrade Aurora for more processing power, shared datasets and future extensibility (RITM0083906). Implement SQL as an output for Aurora, additional hardware for faster processing is covered in separate request, RITM0085759.</t>
  </si>
  <si>
    <t xml:space="preserve">Planning Models </t>
  </si>
  <si>
    <t>The request is for the creation of an intranet web site that will display dam safety instrumentation data in plot format.  Plot pdfs are already created using other tools.  This web site will only be used for viewing the existing pdfs.  The most recent pdf is updated daily and would need to be posted to the web site on a daily basis.  A scope of work is attached.  Item 1 in the scope needs to be addressed first.  Item 2 is optional at this time.</t>
  </si>
  <si>
    <t>Upgrade PCI-Marketing software for new Green House Gas (GHG) for rulings WAC 173-441 and WAC 480-100-650 CETA Reporting and Compliance. Enhancement to add new functions required by WA state Green House Gas regulations and improving intra-hour calculations for accuracy.</t>
  </si>
  <si>
    <t>Retire Jacana V-IVR and integrate comparable capabilities into our existing Sitecore systems. This new solution would leverage technology native to PSE and enhancements and support would be addressed by the roles currently responsible for these systems. Additionally benefits include reduction of costs for software licensing, support, and AWS cloud usage.</t>
  </si>
  <si>
    <t>Upgrade the current 16.2 and 16.0 OpenText ECM installations to the current release and upgrade bi-annually thereafter to stay current. PSE is more than 4 releases behind the current release and in danger of eclipsing OpenText's supported versions.</t>
  </si>
  <si>
    <t>Enhancements to Quality Framework Automation test scripts and framework tool acquisition, implementation and upgrades</t>
  </si>
  <si>
    <t xml:space="preserve">Work Management/Work Order </t>
  </si>
  <si>
    <t>multiple MDMS enhancements. This AER aims at migration away from the MOAP database, implement MDMS script enhancements, Unbilled improvements, LP / interval data loading enhancements.</t>
  </si>
  <si>
    <t>2023 Q2 Regulatory and Strategy small application system enhancements</t>
  </si>
  <si>
    <t>This work will build tools and functionality that will help PSE properly govern our data.</t>
  </si>
  <si>
    <t>This work will create learning programs and implement standard tools needed to build a data driven organization.</t>
  </si>
  <si>
    <t>Develop a model that detects which customers currently use with a Level 2 charger for their EV</t>
  </si>
  <si>
    <t>There are too many labor intensive repeatable processes/tasks being performed by a highly-skilled workforce that are hindering organizational accuracy, efficiency, and fiscal prudency. To enable funding towards clean energy future, we need to focus on creating capacity within PSE in the form of business process automation.</t>
  </si>
  <si>
    <t xml:space="preserve"> Design of new Web Report allowing for Legal Holds and Destruction Reports &amp; OCC profile scripts will allow scanner to bypass manual entry of House Number during validation.</t>
  </si>
  <si>
    <t xml:space="preserve">Develop software to provide new customer capacity and reliability data while considering decarbonization alternatives and narrow application of DERs, DSM, and DR benefits to optimize energy delivery system investments all while advancing distributional equity. The initiative surrounding 2B came from the current state data pain points which will need to be addressed and makes this initiative critical in order to support PSE 2030. Gas &amp; Electric System Planning needs are considered in isolation. Additionally, there is a limited connection between system planning and resource planning (IRP). We want to be able to include new customer capacity and reliability while considering decarbonization alternatives and narrow application of DERs, DSM, and DR benefits to optimize energy delivery system investments all while advancing distributional equity.
</t>
  </si>
  <si>
    <t>Transaction ZIOC (Program ZIR_CABLE_REPORT) in SAP ECC is designed to provide status of Underground Cable failures over a selectable time period. This is very useful in planning for the replacement of cables with repeated failures. The purpose is to have an Excel workbook connected to ZIOC and programmed to update automatically. Using the Excel workbook as data source, we want to create a Power BI dashboard that displays the latest status of cable failures.</t>
  </si>
  <si>
    <t>Upgrades Salient licenses so that the software can support IP security cameras</t>
  </si>
  <si>
    <t>Portion</t>
  </si>
  <si>
    <t xml:space="preserve">EXLCUDED: </t>
  </si>
  <si>
    <t>Environmental Support work related to Baker Dam Generation Sites</t>
  </si>
  <si>
    <t>EV Pilot Program that is intended for DSM / Direct Control Enabling Technology to avail system of reduced peak usage. Energy and Demand Management Systems – systems and software that design, administer, manage, track, and report on the utility’s portfolio of Demand-Side Management (DSM) and Energy Efficiency (EE) programs.  Production.</t>
  </si>
  <si>
    <t>Environmental Restoration work related to Lower Baker Dam Generation Site</t>
  </si>
  <si>
    <t>MatLab Software in support of Production testing and simulation requirements</t>
  </si>
  <si>
    <t>Energy Trading and Tagging – systems that provide trade processing, risk control and invoicing, credit risk to manage credit exposure, collateral management, and counterparty evaluation.  Representative vendor solutions include:  Triple Point Technology’s Commodity XL, Allegro, and ADICA’s EMCAS system.  Production.</t>
  </si>
  <si>
    <t>Geographic Information System (GIS) – systems that integrate hardware, software, and data for capturing, managing, analyzing, and displaying all forms of geographically referenced information.  Distribution</t>
  </si>
  <si>
    <t>Energy Management (EMS)– systems used to reduce energy losses, improve the utilization of the system, increase reliability, and predict electrical system performance as well as optimize energy usage to reduce cost.  TD.</t>
  </si>
  <si>
    <t>CIS &amp; Metering</t>
  </si>
  <si>
    <t xml:space="preserve">Generation Operations and Management </t>
  </si>
  <si>
    <t>System Ops, Supervisory Control And Data Acquisition (SCADA). Acct 303 guidance is TD</t>
  </si>
  <si>
    <t>Custom Software Dashboards for Electric System Reserve Margins &gt; System Dispatch – systems used to evaluate and optimize on an hour-ahead and day-ahead basis the dispatch of the utility’s power plants to changing plant conditions, power markets, and contractual obligations.  Production.</t>
  </si>
  <si>
    <t>USFS MT. BAKER-SNOQUALMIE NF SUP - 2023</t>
  </si>
  <si>
    <t>SAAS SMART COMMUNITY CENTER SAAS 2022 -</t>
  </si>
  <si>
    <t>SW CHANGES - TRANS CUST RPT RITM #67057-</t>
  </si>
  <si>
    <t>BILLING/CREDIT FOR FLEET CHARGING - SW.C</t>
  </si>
  <si>
    <t>9999E999 Carey's Slough Riparian Restora</t>
  </si>
  <si>
    <t>EFR MOBILE APP CALLOUT TOOL - SW.CN.5YRS</t>
  </si>
  <si>
    <t>CC4210-SYNERGI SOFTWARE FOR ELEC DIST-SW</t>
  </si>
  <si>
    <t>STREETLIGHT NEW BUSINESS DB SAP CONVERSI</t>
  </si>
  <si>
    <t>SAMISH ISLAND BATTER STORAGE - SW.CN.4YR</t>
  </si>
  <si>
    <t>FRONT OFFICE ENHANCEMENTS - PCI - SW.CN.</t>
  </si>
  <si>
    <t>Enhance Elec. Schedule 135 2023-SW.CN.5Y</t>
  </si>
  <si>
    <t>TIME-VARYING RATES PILOT - SW.CN.5YRS</t>
  </si>
  <si>
    <t>VIRTUAL POWER PLANT APPLICATION PHASE II</t>
  </si>
  <si>
    <t>LOADSEER NON-PRODUCTION ENVIRONMENT PURC</t>
  </si>
  <si>
    <t>FRONT OFFICE ENHANCEMENTS - WRAP - SW.CN</t>
  </si>
  <si>
    <t>E3901 - LH (as of 12.31.2023):</t>
  </si>
  <si>
    <t>NEGOTIATION OF REPLACEMENT ELECTRIC FRANCHISE</t>
  </si>
  <si>
    <t>Electric permit covering PSE's Iron Horse-Kittitas line in Kittitas County.</t>
  </si>
  <si>
    <t>Intangible (land use) franchise &amp; consent</t>
  </si>
  <si>
    <t xml:space="preserve"> Renew all state highway franchises within unincorporated county and on all state highways with limited access (i.e. freeways).</t>
  </si>
  <si>
    <t>Renew all state highway franchises within unincorporated county and on all state highways with limited access (i.e. freeways).</t>
  </si>
  <si>
    <t>EAGLE FATALITY MONITORING AND THE DEVELOPMENT AND ISSUANCE OF THE EAGLE CONSERVATION PLAN PERMIT.</t>
  </si>
  <si>
    <t>Twenty year permit from the Swinomish Indian Tribal Community and allotment 21 landowners to cover SEDRO WOOLLEY - MARCH POINT #3 transmission lines at the Swinomish Channel crossing.</t>
  </si>
  <si>
    <t>Permit Renewal</t>
  </si>
  <si>
    <t>Permit Renewal of transmission line</t>
  </si>
  <si>
    <t>This is an Electric Franchise renewal</t>
  </si>
  <si>
    <t>anew all state highway franchises within unincorporated county and on all state highways with limited access (i.e. freeways).</t>
  </si>
  <si>
    <t>Thirty year consolidated Special Use Permit (SUP) issued by the United States Department of Agriculture, Forest Service, allowing PSE to continue to operate and maintain distribution and transmission electrical facilities within the Mt Baker-Snoqualmie National Forest. The SUP will allow for and accommodates general maintenance activities including veg mgmt., pole replacement, emergency repairs and replacement. The Mount Baker–Snoqualmie National Forest covers portions of Snohomish, Whatcom, Skagit, King, Pierce, and Kittitas counties.</t>
  </si>
  <si>
    <t>United States Department of Agriculture Forest Service Special Use Permit allowing PSE to continue to operate and maintain distribution and transmission electrical facilities within the National Forest. The SUP will allow for and accommodates general maintenance activities including veg mgmt., pole replacement, emergency repairs and replacement.</t>
  </si>
  <si>
    <t>Expected UOP: Franchises and Consents (302)</t>
  </si>
  <si>
    <t xml:space="preserve">Permit Renewal </t>
  </si>
  <si>
    <t>United States Department of Agriculture Forest Service Special Use Permit (SUP) allowing PSE to continue to operate and maintain existing distribution and transmission electrical facilities within the Mt. Baker-Snoqualmie National Forest. The SUP will allow for and accommodates general maintenance activities including vegetation management, pole replacements, and repairs. Whatcom, Skagit, King &amp; Pierce Counties.</t>
  </si>
  <si>
    <t>PSE operates on several of the Navy's properties in the Bremerton area of Kitsap County. PSE crosses several sections of the the Navy Railroad that we need to renew the agreements for a term of 30 years or more. PSE also operates anchors and overhead lines on a portion of the Navy's Keyport facility.</t>
  </si>
  <si>
    <t xml:space="preserve">Supervisory Control And Data Acquisition (SCADA) – systems that maintain the real-time,      as-operated state of the electrical network, tracking remote control and local control operations, temporary network changes, and fault conditions.  TD.
Energy Management (EMS)– systems used to reduce energy losses, improve the utilization of the system, increase reliability, and predict electrical system performance as well as optimize energy usage to reduce cost.  TD.
</t>
  </si>
  <si>
    <t xml:space="preserve">Upgrading to the latest HMI technology provides the most current software and hardware technology available from GE/BHGE for the turbine control operator interface. The latest software packages provide improved features and  protection functions as compared to previous versions. </t>
  </si>
  <si>
    <t xml:space="preserve">System Operations/Generation Control </t>
  </si>
  <si>
    <t>2022 Standing Order for ADMS System Modeling Related to Major Projects Infrastructure Improvements.</t>
  </si>
  <si>
    <t>System Operations/Energy Management (EMS)</t>
  </si>
  <si>
    <t>Distribution Management System</t>
  </si>
  <si>
    <t>Credits to those who charge fleet EVs during times desirable to PSE. To include Complex Billing services for Transportation Electrification. Includes all related IT services, SAP, Web, etc.</t>
  </si>
  <si>
    <t>Work Management / Outage Management</t>
  </si>
  <si>
    <t>Enhance the billing system so that lighting customers who take service under electric Schedules 50-59 can participate in electric Schedule 135 Green Energy Option - Purchase Rider.</t>
  </si>
  <si>
    <t>Billing</t>
  </si>
  <si>
    <t xml:space="preserve">Cost Accounting </t>
  </si>
  <si>
    <t>% of total (including 390.1)</t>
  </si>
  <si>
    <r>
      <t xml:space="preserve">2023 Topsided Adjustment: </t>
    </r>
    <r>
      <rPr>
        <b/>
        <sz val="8"/>
        <rFont val="Arial"/>
        <family val="2"/>
      </rPr>
      <t>LTIP increase</t>
    </r>
  </si>
  <si>
    <t xml:space="preserve">2023 Topsided Adjustment: CCA liability </t>
  </si>
  <si>
    <t>Payment for Colstrip Decommissioning and Remediation (D&amp;R) costs</t>
  </si>
  <si>
    <t>FR</t>
  </si>
  <si>
    <t>BS</t>
  </si>
  <si>
    <t>FR and GA</t>
  </si>
  <si>
    <t>BS and PG 278</t>
  </si>
  <si>
    <t>NG unbilled - CCA</t>
  </si>
  <si>
    <t>TOP SIDED ADJ</t>
  </si>
  <si>
    <t>Northwest Pipeline Refund (Electric share)</t>
  </si>
  <si>
    <t xml:space="preserve">Targeted Electrification Plan </t>
  </si>
  <si>
    <t>AMR reclassification</t>
  </si>
  <si>
    <t>REL/SVCC</t>
  </si>
  <si>
    <t>ELECTRIC</t>
  </si>
  <si>
    <t>Tp sisded Adjustment to FERC</t>
  </si>
  <si>
    <t>TOP Sided Adj Amount</t>
  </si>
  <si>
    <t xml:space="preserve">TOP Sided Amortization Adj </t>
  </si>
  <si>
    <r>
      <t>(Less)</t>
    </r>
    <r>
      <rPr>
        <sz val="8"/>
        <color indexed="12"/>
        <rFont val="Arial"/>
        <family val="2"/>
      </rPr>
      <t xml:space="preserve"> Long-Term Portion of Derivative Assets </t>
    </r>
  </si>
  <si>
    <r>
      <t>(Less)</t>
    </r>
    <r>
      <rPr>
        <sz val="8"/>
        <color indexed="12"/>
        <rFont val="Arial"/>
        <family val="2"/>
      </rPr>
      <t xml:space="preserve"> Long-Term Portion of Derivative Assets - Hedges </t>
    </r>
  </si>
  <si>
    <r>
      <t>(less)</t>
    </r>
    <r>
      <rPr>
        <sz val="8"/>
        <color indexed="12"/>
        <rFont val="Arial"/>
        <family val="2"/>
      </rPr>
      <t xml:space="preserve"> Long-Term Portion of Derivative Instrument Liabilities</t>
    </r>
  </si>
  <si>
    <r>
      <t>(less)</t>
    </r>
    <r>
      <rPr>
        <sz val="8"/>
        <color indexed="12"/>
        <rFont val="Arial"/>
        <family val="2"/>
      </rPr>
      <t xml:space="preserve"> Long-Term Portion of Derivative Instrument Liabilities - Hedges</t>
    </r>
  </si>
  <si>
    <t>Should not be included in BPA ASC -  Gas Emissions Obligation</t>
  </si>
  <si>
    <r>
      <t>SUMMARY</t>
    </r>
    <r>
      <rPr>
        <sz val="8"/>
        <color indexed="62"/>
        <rFont val="Arial"/>
        <family val="2"/>
      </rPr>
      <t xml:space="preserve"> </t>
    </r>
    <r>
      <rPr>
        <i/>
        <sz val="8"/>
        <color indexed="62"/>
        <rFont val="Arial"/>
        <family val="2"/>
      </rPr>
      <t>(for use by ASC Forecast Model)</t>
    </r>
  </si>
  <si>
    <r>
      <t xml:space="preserve">Multi-Jurisdiction Investor-Owned Utility Return Calculation </t>
    </r>
    <r>
      <rPr>
        <i/>
        <sz val="8"/>
        <color indexed="12"/>
        <rFont val="Arial"/>
        <family val="2"/>
      </rPr>
      <t>(continued)</t>
    </r>
  </si>
  <si>
    <r>
      <t>(Less)</t>
    </r>
    <r>
      <rPr>
        <b/>
        <sz val="8"/>
        <color indexed="12"/>
        <rFont val="Arial"/>
        <family val="2"/>
      </rPr>
      <t xml:space="preserve"> </t>
    </r>
    <r>
      <rPr>
        <sz val="8"/>
        <color indexed="12"/>
        <rFont val="Arial"/>
        <family val="2"/>
      </rPr>
      <t>Regulatory Debits</t>
    </r>
  </si>
  <si>
    <r>
      <t>(Less)</t>
    </r>
    <r>
      <rPr>
        <b/>
        <sz val="8"/>
        <color indexed="12"/>
        <rFont val="Arial"/>
        <family val="2"/>
      </rPr>
      <t xml:space="preserve"> </t>
    </r>
    <r>
      <rPr>
        <sz val="8"/>
        <color indexed="12"/>
        <rFont val="Arial"/>
        <family val="2"/>
      </rPr>
      <t>Loss from Disposition of Utility Plant</t>
    </r>
  </si>
  <si>
    <r>
      <t>(Less)</t>
    </r>
    <r>
      <rPr>
        <sz val="8"/>
        <color indexed="12"/>
        <rFont val="Arial"/>
        <family val="2"/>
      </rPr>
      <t xml:space="preserve"> Loss from Disposition of Allowances</t>
    </r>
  </si>
  <si>
    <t>Method 3 Default Loss factor for 2023 Base ASC</t>
  </si>
  <si>
    <r>
      <t xml:space="preserve">                                                      </t>
    </r>
    <r>
      <rPr>
        <b/>
        <sz val="8"/>
        <color indexed="57"/>
        <rFont val="Arial"/>
        <family val="2"/>
      </rPr>
      <t xml:space="preserve">   </t>
    </r>
    <r>
      <rPr>
        <sz val="8"/>
        <rFont val="Arial"/>
        <family val="2"/>
      </rPr>
      <t xml:space="preserve">            </t>
    </r>
    <r>
      <rPr>
        <b/>
        <sz val="8"/>
        <color indexed="12"/>
        <rFont val="Arial"/>
        <family val="2"/>
      </rPr>
      <t>2/19/2010</t>
    </r>
  </si>
  <si>
    <r>
      <t xml:space="preserve">Fuel </t>
    </r>
    <r>
      <rPr>
        <b/>
        <sz val="8"/>
        <color indexed="8"/>
        <rFont val="Arial"/>
        <family val="2"/>
      </rPr>
      <t>(Stock)</t>
    </r>
  </si>
  <si>
    <r>
      <t xml:space="preserve">Nuclear Fuel </t>
    </r>
    <r>
      <rPr>
        <b/>
        <sz val="8"/>
        <color indexed="8"/>
        <rFont val="Arial"/>
        <family val="2"/>
      </rPr>
      <t>(Stock)</t>
    </r>
  </si>
  <si>
    <r>
      <t xml:space="preserve">Nuclear - Fuel  </t>
    </r>
    <r>
      <rPr>
        <b/>
        <sz val="8"/>
        <color indexed="8"/>
        <rFont val="Arial"/>
        <family val="2"/>
      </rPr>
      <t>(Expense)</t>
    </r>
  </si>
  <si>
    <r>
      <t xml:space="preserve">     Hydraulic Production Plant - </t>
    </r>
    <r>
      <rPr>
        <sz val="8"/>
        <color indexed="8"/>
        <rFont val="Arial"/>
        <family val="2"/>
      </rPr>
      <t xml:space="preserve">Conventional </t>
    </r>
  </si>
  <si>
    <r>
      <t xml:space="preserve">     Hydraulic Production Plant - </t>
    </r>
    <r>
      <rPr>
        <sz val="8"/>
        <color indexed="8"/>
        <rFont val="Arial"/>
        <family val="2"/>
      </rPr>
      <t>Pumped Storage</t>
    </r>
  </si>
  <si>
    <t>2023 Depreciation and Plant NBV for Generation sites</t>
  </si>
  <si>
    <t>CY2023</t>
  </si>
  <si>
    <t>AS OF 12/31/2023</t>
  </si>
  <si>
    <t>F24 Final Electric Load Forecast</t>
  </si>
  <si>
    <t>Losses were assumed at 7.30%</t>
  </si>
  <si>
    <t>Unamortized Energy Conservation Costs</t>
  </si>
  <si>
    <t>182, 908</t>
  </si>
  <si>
    <t>WUTC Deferred AFUDC</t>
  </si>
  <si>
    <t>Colstrip 1&amp;2 Western Energy Coal Reserve - 10 years</t>
  </si>
  <si>
    <t>186, 406</t>
  </si>
  <si>
    <t>Colstrip Deferred Depreciation - 17.5 years</t>
  </si>
  <si>
    <t>406, 407,408</t>
  </si>
  <si>
    <t>Environmental Remediation Costs</t>
  </si>
  <si>
    <t>Property Tax Tracker</t>
  </si>
  <si>
    <t>182, 283, 408</t>
  </si>
  <si>
    <t>Decoupling Mechanism</t>
  </si>
  <si>
    <t>Low Income Home Energy Assistance Program</t>
  </si>
  <si>
    <t>182, 253, 908</t>
  </si>
  <si>
    <t>Power Cost Adjustment Mechanism</t>
  </si>
  <si>
    <t>182, 419, 557</t>
  </si>
  <si>
    <t>White River Regulatory Assets - 3  years</t>
  </si>
  <si>
    <t>Chelan PUD - 20 years</t>
  </si>
  <si>
    <t>Mint Farm Deferral - 15 years</t>
  </si>
  <si>
    <t>Lower Snake River Deferral - 25 years</t>
  </si>
  <si>
    <t>253, 407</t>
  </si>
  <si>
    <t>WUTC AMI, EV &amp; GTZ Deferral</t>
  </si>
  <si>
    <t>PLR EDIT</t>
  </si>
  <si>
    <t>456, 495</t>
  </si>
  <si>
    <t>SPI Biomass</t>
  </si>
  <si>
    <t>LNG Exp Deferral</t>
  </si>
  <si>
    <t>407, 495</t>
  </si>
  <si>
    <t>Decarb/Electrification Deferral</t>
  </si>
  <si>
    <t>Reg Fee Deferral</t>
  </si>
  <si>
    <t>Sch 95A</t>
  </si>
  <si>
    <t>TEP Deferral</t>
  </si>
  <si>
    <t>182, 407</t>
  </si>
  <si>
    <t>Climate Commitment Act</t>
  </si>
  <si>
    <t>Demand Response Deferral</t>
  </si>
  <si>
    <t>U-210595 Participatory Funding Agreement</t>
  </si>
  <si>
    <t>Sch 129D</t>
  </si>
  <si>
    <t>182, 253, 495</t>
  </si>
  <si>
    <t>553, 513</t>
  </si>
  <si>
    <t>182.3, 186, 253</t>
  </si>
  <si>
    <t>182.3, 186</t>
  </si>
  <si>
    <t>186, 242</t>
  </si>
  <si>
    <t>142, 904</t>
  </si>
  <si>
    <t>186, 407</t>
  </si>
  <si>
    <t>First Mortgage Bonds Senior MTN 7.02% Series A</t>
  </si>
  <si>
    <t>First Mortgage Bonds Senior MTN 7.00% Series B</t>
  </si>
  <si>
    <t>5.483% Senior Notes Due 06/35</t>
  </si>
  <si>
    <t>6.724% Senior Notes Due 06/36</t>
  </si>
  <si>
    <t>6.274% Senior Notes Due 03/37</t>
  </si>
  <si>
    <t>5.757% Senior Notes Due 10/39</t>
  </si>
  <si>
    <t>5.795% Senior Notes Due 03/40</t>
  </si>
  <si>
    <t>5.764% Senior Notes Due 07/40</t>
  </si>
  <si>
    <t>4.434% Senior Notes Due 11/41</t>
  </si>
  <si>
    <t>4.700% Senior Notes Due 11/51</t>
  </si>
  <si>
    <t>5.638% Senior Notes Due 04/41</t>
  </si>
  <si>
    <t>5.638% Senior Notes Due 04/41 (D)</t>
  </si>
  <si>
    <t>4.300% Senior Notes Due 05/45</t>
  </si>
  <si>
    <t>4.300% Senior Notes Due 05/45 (D)</t>
  </si>
  <si>
    <t>4.223% Senior Notes Due 06/48</t>
  </si>
  <si>
    <t>3.250% Senior Notes Due 09/49</t>
  </si>
  <si>
    <t>3.9% Pollution Control Bonds Rev Series 2013A</t>
  </si>
  <si>
    <t>4.0% Pollution Control Bonds Rev Series 2013B</t>
  </si>
  <si>
    <t>2.893% Senior Notes Due 09/51</t>
  </si>
  <si>
    <t>Secured Medium Term Notes - 7.15% Series C</t>
  </si>
  <si>
    <t>Secured Medium Term Notes - 7.20% Series C</t>
  </si>
  <si>
    <t>5.448% Senior Notes Due 06/53</t>
  </si>
  <si>
    <t>FOR THE TWELVE MONTHS ENDED JUNE 30, 2021</t>
  </si>
  <si>
    <t>2022 GENERAL RATE CASE</t>
  </si>
  <si>
    <t>Dist</t>
  </si>
  <si>
    <t>prod</t>
  </si>
  <si>
    <t>Labor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</si>
</sst>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2">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Red]\(#,##0\)"/>
    <numFmt numFmtId="165" formatCode="_(* #,##0_);_(* \(#,##0\);_(* &quot;-&quot;??_);_(@_)"/>
    <numFmt numFmtId="166" formatCode="0.0%"/>
    <numFmt numFmtId="167" formatCode="_(* #,##0.0_);_(* \(#,##0.0\);_(* &quot;-&quot;??_);_(@_)"/>
    <numFmt numFmtId="168" formatCode="0.000%"/>
    <numFmt numFmtId="169" formatCode="_(&quot;$&quot;* #,##0.0_);_(&quot;$&quot;* \(#,##0.0\);_(&quot;$&quot;* &quot;-&quot;??_);_(@_)"/>
    <numFmt numFmtId="170" formatCode="_(&quot;$&quot;* #,##0_);_(&quot;$&quot;* \(#,##0\);_(&quot;$&quot;* &quot;-&quot;??_);_(@_)"/>
    <numFmt numFmtId="171" formatCode="0.0"/>
    <numFmt numFmtId="172" formatCode="&quot;$&quot;#,##0"/>
    <numFmt numFmtId="173" formatCode="_(* #,##0.00000_);_(* \(#,##0.00000\);_(* &quot;-&quot;?????_);_(@_)"/>
    <numFmt numFmtId="174" formatCode="#,##0.00000_);[Red]\(#,##0.00000\)"/>
    <numFmt numFmtId="175" formatCode="0_);[Red]\(0\)"/>
    <numFmt numFmtId="176" formatCode="mm/dd/yy;@"/>
    <numFmt numFmtId="177" formatCode="&quot;$&quot;#,##0.0000_);[Red]\(&quot;$&quot;#,##0.0000\)"/>
    <numFmt numFmtId="178" formatCode="&quot;$&quot;#,##0.00000000000_);[Red]\(&quot;$&quot;#,##0.00000000000\)"/>
    <numFmt numFmtId="179" formatCode="m/d/yyyy;@"/>
    <numFmt numFmtId="180" formatCode="0.0000%"/>
    <numFmt numFmtId="181" formatCode="0.00000%"/>
    <numFmt numFmtId="182" formatCode="0.00000"/>
    <numFmt numFmtId="183" formatCode="#,##0.00000000_);[Red]\(#,##0.00000000\)"/>
    <numFmt numFmtId="184" formatCode="_(&quot;$&quot;* #,##0.000_);_(&quot;$&quot;* \(#,##0.000\);_(&quot;$&quot;* &quot;-&quot;??_);_(@_)"/>
    <numFmt numFmtId="185" formatCode="0.000000"/>
    <numFmt numFmtId="186" formatCode="0.000000000000000000%"/>
    <numFmt numFmtId="187" formatCode="mmmm\ yyyy"/>
    <numFmt numFmtId="188" formatCode="mm/yy"/>
    <numFmt numFmtId="189" formatCode="_(* #,##0.00000_);_(* \(#,##0.00000\);_(* &quot;-&quot;??_);_(@_)"/>
    <numFmt numFmtId="190" formatCode="_([$$-409]* #,##0.00_);_([$$-409]* \(#,##0.00\);_([$$-409]* &quot;-&quot;??_);_(@_)"/>
    <numFmt numFmtId="191" formatCode="#,##0;&quot;-&quot;#,##0;#,##0;_(@_)"/>
    <numFmt numFmtId="192" formatCode="* #,##0;* \(#,##0\);* &quot;-&quot;;_(@_)"/>
    <numFmt numFmtId="193" formatCode="* #,##0;* \(#,##0\);* &quot;—&quot;;_(@_)"/>
    <numFmt numFmtId="194" formatCode="###0;&quot;-&quot;###0;###0;_(@_)"/>
    <numFmt numFmtId="195" formatCode="[$-409]mmmm\ d\,\ yyyy;@"/>
    <numFmt numFmtId="196" formatCode="#0;&quot;-&quot;#0;#0;_(@_)"/>
    <numFmt numFmtId="197" formatCode="#0.0;&quot;-&quot;#0.0;#0.0;_(@_)"/>
    <numFmt numFmtId="198" formatCode="###0.0;&quot;-&quot;###0.0;###0.0;_(@_)"/>
    <numFmt numFmtId="199" formatCode="#0.000;&quot;-&quot;#0.000;#0.000;_(@_)"/>
    <numFmt numFmtId="200" formatCode="* #0.000;* \(#0.000\);* &quot;-&quot;;_(@_)"/>
    <numFmt numFmtId="201" formatCode="#,##0.000;&quot;-&quot;#,##0.000;#,##0.000;_(@_)"/>
    <numFmt numFmtId="202" formatCode="* #,##0.000;* \(#,##0.000\);* &quot;—&quot;;_(@_)"/>
    <numFmt numFmtId="203" formatCode="* #,##0.000;* \(#,##0.000\);* &quot;-&quot;;_(@_)"/>
    <numFmt numFmtId="204" formatCode="_([$$-409]* #,##0_);_([$$-409]* \(#,##0\);_([$$-409]* &quot;-&quot;??_);_(@_)"/>
    <numFmt numFmtId="205" formatCode="#,##0.00;&quot;-&quot;#,##0.00;#,##0.00;_(@_)"/>
    <numFmt numFmtId="206" formatCode="* #,##0;* \(#,##0\);* #,##0;_(@_)"/>
    <numFmt numFmtId="207" formatCode="#,##0.0;&quot;-&quot;#,##0.0;#,##0.0;_(@_)"/>
    <numFmt numFmtId="208" formatCode="* #,##0.0000;* \(#,##0.0000\);* &quot;—&quot;;_(@_)"/>
    <numFmt numFmtId="209" formatCode="###0.000;&quot;-&quot;###0.000;###0.000;_(@_)"/>
    <numFmt numFmtId="210" formatCode="* #0;* \(#0\);* &quot;—&quot;;_(@_)"/>
    <numFmt numFmtId="211" formatCode="* #0;* \(#0\);* #0;_(@_)"/>
    <numFmt numFmtId="212" formatCode="* #,##0.00;* \(#,##0.00\);* #,##0.00;_(@_)"/>
    <numFmt numFmtId="213" formatCode="* #,##0.0000;* \(#,##0.0000\);* #,##0.0000;_(@_)"/>
    <numFmt numFmtId="214" formatCode="yyyy"/>
    <numFmt numFmtId="215" formatCode="* #,##0.00;* \(#,##0.00\);* &quot;—&quot;;_(@_)"/>
    <numFmt numFmtId="216" formatCode="* #,##0.0;* \(#,##0.0\);* &quot;—&quot;;_(@_)"/>
    <numFmt numFmtId="217" formatCode="#,##0;\(#,##0\);&quot;—&quot;;_(@_)"/>
    <numFmt numFmtId="218" formatCode="###,000"/>
  </numFmts>
  <fonts count="148">
    <font>
      <sz val="12"/>
      <name val="Times New Roman"/>
    </font>
    <font>
      <sz val="11"/>
      <color theme="1"/>
      <name val="Calibri"/>
      <family val="2"/>
      <scheme val="minor"/>
    </font>
    <font>
      <sz val="11"/>
      <color theme="1"/>
      <name val="Calibri"/>
      <family val="2"/>
      <scheme val="minor"/>
    </font>
    <font>
      <sz val="12"/>
      <name val="Times New Roman"/>
      <family val="1"/>
    </font>
    <font>
      <sz val="10"/>
      <name val="Helv"/>
    </font>
    <font>
      <sz val="10"/>
      <name val="Arial"/>
      <family val="2"/>
    </font>
    <font>
      <sz val="12"/>
      <name val="Times New Roman"/>
      <family val="1"/>
    </font>
    <font>
      <b/>
      <sz val="12"/>
      <name val="Times New Roman"/>
      <family val="1"/>
    </font>
    <font>
      <b/>
      <sz val="12"/>
      <color indexed="12"/>
      <name val="Times New Roman"/>
      <family val="1"/>
    </font>
    <font>
      <b/>
      <i/>
      <u/>
      <sz val="12"/>
      <name val="Times New Roman"/>
      <family val="1"/>
    </font>
    <font>
      <b/>
      <i/>
      <u/>
      <sz val="12"/>
      <color indexed="10"/>
      <name val="Times New Roman"/>
      <family val="1"/>
    </font>
    <font>
      <sz val="8"/>
      <name val="Times New Roman"/>
      <family val="1"/>
    </font>
    <font>
      <sz val="10"/>
      <color indexed="12"/>
      <name val="Times New Roman"/>
      <family val="1"/>
    </font>
    <font>
      <sz val="8"/>
      <color indexed="12"/>
      <name val="Times New Roman"/>
      <family val="1"/>
    </font>
    <font>
      <sz val="12"/>
      <color indexed="12"/>
      <name val="Times New Roman"/>
      <family val="1"/>
    </font>
    <font>
      <sz val="8"/>
      <color indexed="8"/>
      <name val="Times New Roman"/>
      <family val="1"/>
    </font>
    <font>
      <sz val="12"/>
      <color indexed="8"/>
      <name val="Times New Roman"/>
      <family val="1"/>
    </font>
    <font>
      <b/>
      <sz val="10"/>
      <color indexed="12"/>
      <name val="Times New Roman"/>
      <family val="1"/>
    </font>
    <font>
      <sz val="10"/>
      <color indexed="48"/>
      <name val="Times New Roman"/>
      <family val="1"/>
    </font>
    <font>
      <b/>
      <sz val="11"/>
      <color indexed="12"/>
      <name val="Times New Roman"/>
      <family val="1"/>
    </font>
    <font>
      <b/>
      <u/>
      <sz val="12"/>
      <color indexed="12"/>
      <name val="Times New Roman"/>
      <family val="1"/>
    </font>
    <font>
      <i/>
      <sz val="10"/>
      <color indexed="12"/>
      <name val="Times New Roman"/>
      <family val="1"/>
    </font>
    <font>
      <b/>
      <sz val="14"/>
      <color indexed="12"/>
      <name val="Times New Roman"/>
      <family val="1"/>
    </font>
    <font>
      <b/>
      <i/>
      <sz val="12"/>
      <color indexed="12"/>
      <name val="Times New Roman"/>
      <family val="1"/>
    </font>
    <font>
      <i/>
      <sz val="12"/>
      <color indexed="12"/>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color indexed="56"/>
      <name val="Times New Roman"/>
      <family val="1"/>
    </font>
    <font>
      <b/>
      <sz val="11"/>
      <color indexed="57"/>
      <name val="Arial"/>
      <family val="2"/>
    </font>
    <font>
      <sz val="10"/>
      <name val="Arial"/>
      <family val="2"/>
    </font>
    <font>
      <sz val="8"/>
      <name val="Arial"/>
      <family val="2"/>
    </font>
    <font>
      <b/>
      <sz val="10"/>
      <name val="Arial"/>
      <family val="2"/>
    </font>
    <font>
      <sz val="10"/>
      <name val="Garamond"/>
      <family val="1"/>
    </font>
    <font>
      <sz val="12"/>
      <name val="Arial"/>
      <family val="2"/>
    </font>
    <font>
      <sz val="12"/>
      <name val="Tahoma"/>
      <family val="2"/>
    </font>
    <font>
      <b/>
      <sz val="10"/>
      <color indexed="14"/>
      <name val="Arial"/>
      <family val="2"/>
    </font>
    <font>
      <b/>
      <sz val="12"/>
      <name val="Tahoma"/>
      <family val="2"/>
    </font>
    <font>
      <sz val="12"/>
      <name val="Garamond"/>
      <family val="1"/>
    </font>
    <font>
      <b/>
      <u/>
      <sz val="12"/>
      <name val="Times New Roman"/>
      <family val="1"/>
    </font>
    <font>
      <sz val="10"/>
      <color indexed="12"/>
      <name val="Garamond"/>
      <family val="1"/>
    </font>
    <font>
      <b/>
      <i/>
      <u/>
      <sz val="12"/>
      <color indexed="48"/>
      <name val="Times New Roman"/>
      <family val="1"/>
    </font>
    <font>
      <sz val="12"/>
      <color indexed="48"/>
      <name val="Times New Roman"/>
      <family val="1"/>
    </font>
    <font>
      <i/>
      <sz val="12"/>
      <name val="Times New Roman"/>
      <family val="1"/>
    </font>
    <font>
      <sz val="10"/>
      <color indexed="12"/>
      <name val="Arial Narrow"/>
      <family val="2"/>
    </font>
    <font>
      <b/>
      <i/>
      <sz val="10"/>
      <color indexed="12"/>
      <name val="Arial Narrow"/>
      <family val="2"/>
    </font>
    <font>
      <b/>
      <sz val="12"/>
      <color indexed="8"/>
      <name val="Times New Roman"/>
      <family val="1"/>
    </font>
    <font>
      <b/>
      <u/>
      <sz val="11"/>
      <color indexed="12"/>
      <name val="Wingdings"/>
      <charset val="2"/>
    </font>
    <font>
      <sz val="8"/>
      <name val="Times New Roman"/>
      <family val="1"/>
    </font>
    <font>
      <sz val="12"/>
      <color indexed="9"/>
      <name val="Times New Roman"/>
      <family val="1"/>
    </font>
    <font>
      <u/>
      <sz val="10"/>
      <name val="Arial"/>
      <family val="2"/>
    </font>
    <font>
      <sz val="12"/>
      <name val="Times New Roman"/>
      <family val="1"/>
    </font>
    <font>
      <b/>
      <u/>
      <sz val="12"/>
      <color indexed="61"/>
      <name val="Arial"/>
      <family val="2"/>
    </font>
    <font>
      <b/>
      <sz val="9"/>
      <color indexed="81"/>
      <name val="Tahoma"/>
      <family val="2"/>
    </font>
    <font>
      <sz val="9"/>
      <color indexed="81"/>
      <name val="Tahoma"/>
      <family val="2"/>
    </font>
    <font>
      <sz val="12"/>
      <color rgb="FF0000FF"/>
      <name val="Times New Roman"/>
      <family val="1"/>
    </font>
    <font>
      <sz val="10"/>
      <color rgb="FF0000FF"/>
      <name val="Arial"/>
      <family val="2"/>
    </font>
    <font>
      <sz val="12"/>
      <color rgb="FFFF0000"/>
      <name val="Times New Roman"/>
      <family val="1"/>
    </font>
    <font>
      <u/>
      <sz val="12"/>
      <color theme="11"/>
      <name val="Times New Roman"/>
      <family val="1"/>
    </font>
    <font>
      <sz val="11"/>
      <name val="Calibri"/>
      <family val="2"/>
      <scheme val="minor"/>
    </font>
    <font>
      <u/>
      <sz val="12"/>
      <color theme="10"/>
      <name val="Times New Roman"/>
      <family val="1"/>
    </font>
    <font>
      <b/>
      <sz val="12"/>
      <color theme="1"/>
      <name val="Times New Roman"/>
      <family val="1"/>
    </font>
    <font>
      <b/>
      <sz val="8"/>
      <name val="Arial"/>
      <family val="2"/>
    </font>
    <font>
      <b/>
      <sz val="8"/>
      <color rgb="FFFF0000"/>
      <name val="Arial"/>
      <family val="2"/>
    </font>
    <font>
      <b/>
      <i/>
      <sz val="8"/>
      <color rgb="FF0000FF"/>
      <name val="Arial"/>
      <family val="2"/>
    </font>
    <font>
      <sz val="8"/>
      <color rgb="FFFF0000"/>
      <name val="Arial"/>
      <family val="2"/>
    </font>
    <font>
      <sz val="8"/>
      <color rgb="FF008080"/>
      <name val="Arial"/>
      <family val="2"/>
    </font>
    <font>
      <b/>
      <i/>
      <sz val="8"/>
      <name val="Arial"/>
      <family val="2"/>
    </font>
    <font>
      <b/>
      <sz val="8"/>
      <color rgb="FF3333FF"/>
      <name val="Arial"/>
      <family val="2"/>
    </font>
    <font>
      <sz val="8"/>
      <color indexed="8"/>
      <name val="Arial"/>
      <family val="2"/>
    </font>
    <font>
      <b/>
      <u/>
      <sz val="8"/>
      <name val="Arial"/>
      <family val="2"/>
    </font>
    <font>
      <b/>
      <u/>
      <sz val="8"/>
      <color indexed="10"/>
      <name val="Arial"/>
      <family val="2"/>
    </font>
    <font>
      <sz val="8"/>
      <color indexed="10"/>
      <name val="Arial"/>
      <family val="2"/>
    </font>
    <font>
      <b/>
      <sz val="8"/>
      <color rgb="FF1D0AC9"/>
      <name val="Arial"/>
      <family val="2"/>
    </font>
    <font>
      <sz val="8"/>
      <color indexed="18"/>
      <name val="Arial"/>
      <family val="2"/>
    </font>
    <font>
      <sz val="8"/>
      <color indexed="17"/>
      <name val="Arial"/>
      <family val="2"/>
    </font>
    <font>
      <sz val="8"/>
      <color rgb="FF136D69"/>
      <name val="Arial"/>
      <family val="2"/>
    </font>
    <font>
      <sz val="8"/>
      <color rgb="FF0000FF"/>
      <name val="Arial"/>
      <family val="2"/>
    </font>
    <font>
      <b/>
      <sz val="8"/>
      <color rgb="FF0000FF"/>
      <name val="Arial"/>
      <family val="2"/>
    </font>
    <font>
      <sz val="8"/>
      <color rgb="FF000000"/>
      <name val="Arial"/>
      <family val="2"/>
    </font>
    <font>
      <b/>
      <sz val="8"/>
      <color rgb="FF000000"/>
      <name val="Arial"/>
      <family val="2"/>
    </font>
    <font>
      <b/>
      <sz val="8"/>
      <color rgb="FF4336F2"/>
      <name val="Arial"/>
      <family val="2"/>
    </font>
    <font>
      <sz val="10"/>
      <name val="Univers (WN)"/>
      <family val="2"/>
    </font>
    <font>
      <b/>
      <u val="singleAccounting"/>
      <sz val="8"/>
      <color theme="1"/>
      <name val="Arial"/>
      <family val="2"/>
    </font>
    <font>
      <i/>
      <sz val="8"/>
      <color rgb="FFFF0000"/>
      <name val="Arial"/>
      <family val="2"/>
    </font>
    <font>
      <sz val="8"/>
      <color theme="1"/>
      <name val="Arial"/>
      <family val="2"/>
    </font>
    <font>
      <b/>
      <sz val="8"/>
      <color theme="1"/>
      <name val="Arial"/>
      <family val="2"/>
    </font>
    <font>
      <sz val="8"/>
      <color rgb="FF4336F2"/>
      <name val="Arial"/>
      <family val="2"/>
    </font>
    <font>
      <i/>
      <sz val="8"/>
      <color rgb="FFFF0000"/>
      <name val="Calibri"/>
      <family val="2"/>
      <scheme val="minor"/>
    </font>
    <font>
      <b/>
      <i/>
      <sz val="8"/>
      <color rgb="FFFF33CC"/>
      <name val="Arial"/>
      <family val="2"/>
    </font>
    <font>
      <b/>
      <i/>
      <sz val="8"/>
      <color rgb="FFFF0000"/>
      <name val="Calibri"/>
      <family val="2"/>
      <scheme val="minor"/>
    </font>
    <font>
      <b/>
      <i/>
      <sz val="8"/>
      <name val="Times New Roman"/>
      <family val="1"/>
    </font>
    <font>
      <b/>
      <i/>
      <sz val="8"/>
      <name val="Calibri"/>
      <family val="2"/>
      <scheme val="minor"/>
    </font>
    <font>
      <sz val="8"/>
      <color rgb="FFFF0000"/>
      <name val="Calibri"/>
      <family val="2"/>
      <scheme val="minor"/>
    </font>
    <font>
      <i/>
      <sz val="8"/>
      <color theme="1"/>
      <name val="Arial"/>
      <family val="2"/>
    </font>
    <font>
      <b/>
      <sz val="8"/>
      <color indexed="8"/>
      <name val="Arial"/>
      <family val="2"/>
    </font>
    <font>
      <b/>
      <sz val="8"/>
      <color indexed="12"/>
      <name val="Arial"/>
      <family val="2"/>
    </font>
    <font>
      <b/>
      <sz val="8"/>
      <color rgb="FF008080"/>
      <name val="Arial"/>
      <family val="2"/>
    </font>
    <font>
      <sz val="8"/>
      <color rgb="FF000000"/>
      <name val="Verdana"/>
      <family val="2"/>
    </font>
    <font>
      <sz val="10"/>
      <color rgb="FF000000"/>
      <name val="Arial"/>
      <family val="2"/>
    </font>
    <font>
      <sz val="8"/>
      <color rgb="FF076146"/>
      <name val="Arial"/>
      <family val="2"/>
    </font>
    <font>
      <sz val="8"/>
      <color rgb="FF0033CC"/>
      <name val="Arial"/>
      <family val="2"/>
    </font>
    <font>
      <sz val="8"/>
      <color rgb="FF1F497D"/>
      <name val="Verdana"/>
      <family val="2"/>
    </font>
    <font>
      <b/>
      <sz val="8"/>
      <color rgb="FF0033CC"/>
      <name val="Arial"/>
      <family val="2"/>
    </font>
    <font>
      <b/>
      <u/>
      <sz val="8"/>
      <color theme="1"/>
      <name val="Arial"/>
      <family val="2"/>
    </font>
    <font>
      <sz val="8"/>
      <color indexed="12"/>
      <name val="Arial"/>
      <family val="2"/>
    </font>
    <font>
      <b/>
      <u/>
      <sz val="8"/>
      <color indexed="12"/>
      <name val="Arial"/>
      <family val="2"/>
    </font>
    <font>
      <b/>
      <u/>
      <sz val="8"/>
      <color indexed="61"/>
      <name val="Arial"/>
      <family val="2"/>
    </font>
    <font>
      <b/>
      <sz val="8"/>
      <color indexed="61"/>
      <name val="Arial"/>
      <family val="2"/>
    </font>
    <font>
      <b/>
      <sz val="8"/>
      <color indexed="57"/>
      <name val="Arial"/>
      <family val="2"/>
    </font>
    <font>
      <b/>
      <sz val="8"/>
      <color indexed="10"/>
      <name val="Arial"/>
      <family val="2"/>
    </font>
    <font>
      <b/>
      <i/>
      <u/>
      <sz val="8"/>
      <name val="Arial"/>
      <family val="2"/>
    </font>
    <font>
      <b/>
      <i/>
      <u/>
      <sz val="8"/>
      <color indexed="10"/>
      <name val="Arial"/>
      <family val="2"/>
    </font>
    <font>
      <i/>
      <sz val="8"/>
      <color indexed="12"/>
      <name val="Arial"/>
      <family val="2"/>
    </font>
    <font>
      <sz val="8"/>
      <color indexed="56"/>
      <name val="Arial"/>
      <family val="2"/>
    </font>
    <font>
      <b/>
      <i/>
      <sz val="8"/>
      <color indexed="12"/>
      <name val="Arial"/>
      <family val="2"/>
    </font>
    <font>
      <b/>
      <sz val="8"/>
      <color indexed="62"/>
      <name val="Arial"/>
      <family val="2"/>
    </font>
    <font>
      <b/>
      <i/>
      <u/>
      <sz val="8"/>
      <color indexed="12"/>
      <name val="Arial"/>
      <family val="2"/>
    </font>
    <font>
      <sz val="8"/>
      <color indexed="62"/>
      <name val="Arial"/>
      <family val="2"/>
    </font>
    <font>
      <i/>
      <sz val="8"/>
      <color indexed="62"/>
      <name val="Arial"/>
      <family val="2"/>
    </font>
    <font>
      <b/>
      <i/>
      <u/>
      <sz val="8"/>
      <color indexed="62"/>
      <name val="Arial"/>
      <family val="2"/>
    </font>
    <font>
      <b/>
      <i/>
      <u/>
      <sz val="8"/>
      <color indexed="48"/>
      <name val="Arial"/>
      <family val="2"/>
    </font>
    <font>
      <sz val="8"/>
      <color indexed="48"/>
      <name val="Arial"/>
      <family val="2"/>
    </font>
    <font>
      <b/>
      <sz val="8"/>
      <color indexed="18"/>
      <name val="Arial"/>
      <family val="2"/>
    </font>
    <font>
      <b/>
      <sz val="8"/>
      <color indexed="14"/>
      <name val="Arial"/>
      <family val="2"/>
    </font>
    <font>
      <b/>
      <u/>
      <sz val="8"/>
      <color indexed="9"/>
      <name val="Arial"/>
      <family val="2"/>
    </font>
    <font>
      <sz val="8"/>
      <color indexed="61"/>
      <name val="Arial"/>
      <family val="2"/>
    </font>
    <font>
      <sz val="8"/>
      <color indexed="14"/>
      <name val="Arial"/>
      <family val="2"/>
    </font>
    <font>
      <b/>
      <sz val="8"/>
      <color rgb="FF136D69"/>
      <name val="Arial"/>
      <family val="2"/>
    </font>
    <font>
      <b/>
      <u val="double"/>
      <sz val="8"/>
      <color indexed="10"/>
      <name val="Arial"/>
      <family val="2"/>
    </font>
    <font>
      <i/>
      <sz val="8"/>
      <name val="Arial"/>
      <family val="2"/>
    </font>
    <font>
      <b/>
      <sz val="8"/>
      <color indexed="17"/>
      <name val="Arial"/>
      <family val="2"/>
    </font>
    <font>
      <sz val="8"/>
      <color indexed="9"/>
      <name val="Arial"/>
      <family val="2"/>
    </font>
    <font>
      <sz val="8"/>
      <name val="Arial"/>
      <family val="2"/>
    </font>
  </fonts>
  <fills count="9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mediumGray">
        <fgColor indexed="9"/>
        <bgColor indexed="22"/>
      </patternFill>
    </fill>
    <fill>
      <patternFill patternType="solid">
        <fgColor indexed="41"/>
        <bgColor indexed="64"/>
      </patternFill>
    </fill>
    <fill>
      <patternFill patternType="solid">
        <fgColor indexed="65"/>
        <bgColor indexed="64"/>
      </patternFill>
    </fill>
    <fill>
      <patternFill patternType="solid">
        <fgColor indexed="22"/>
        <bgColor indexed="64"/>
      </patternFill>
    </fill>
    <fill>
      <patternFill patternType="solid">
        <fgColor indexed="26"/>
        <bgColor indexed="64"/>
      </patternFill>
    </fill>
    <fill>
      <patternFill patternType="mediumGray">
        <fgColor indexed="9"/>
        <bgColor indexed="45"/>
      </patternFill>
    </fill>
    <fill>
      <patternFill patternType="solid">
        <fgColor indexed="15"/>
        <bgColor indexed="64"/>
      </patternFill>
    </fill>
    <fill>
      <patternFill patternType="solid">
        <fgColor indexed="11"/>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14"/>
        <bgColor indexed="64"/>
      </patternFill>
    </fill>
    <fill>
      <patternFill patternType="mediumGray">
        <fgColor indexed="9"/>
        <bgColor indexed="47"/>
      </patternFill>
    </fill>
    <fill>
      <patternFill patternType="solid">
        <fgColor indexed="29"/>
        <bgColor indexed="64"/>
      </patternFill>
    </fill>
    <fill>
      <patternFill patternType="solid">
        <fgColor indexed="56"/>
        <bgColor indexed="64"/>
      </patternFill>
    </fill>
    <fill>
      <patternFill patternType="solid">
        <fgColor indexed="60"/>
        <bgColor indexed="64"/>
      </patternFill>
    </fill>
    <fill>
      <patternFill patternType="solid">
        <fgColor indexed="57"/>
        <bgColor indexed="64"/>
      </patternFill>
    </fill>
    <fill>
      <patternFill patternType="solid">
        <fgColor indexed="50"/>
        <bgColor indexed="64"/>
      </patternFill>
    </fill>
    <fill>
      <patternFill patternType="solid">
        <fgColor indexed="10"/>
        <bgColor indexed="64"/>
      </patternFill>
    </fill>
    <fill>
      <patternFill patternType="solid">
        <fgColor indexed="19"/>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CCFF99"/>
        <bgColor indexed="64"/>
      </patternFill>
    </fill>
    <fill>
      <patternFill patternType="solid">
        <fgColor rgb="FFFFFF99"/>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E2EFDA"/>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5" tint="0.79998168889431442"/>
        <bgColor indexed="64"/>
      </patternFill>
    </fill>
    <fill>
      <patternFill patternType="solid">
        <fgColor theme="8" tint="0.79998168889431442"/>
        <bgColor rgb="FF000000"/>
      </patternFill>
    </fill>
    <fill>
      <patternFill patternType="solid">
        <fgColor theme="9" tint="0.79998168889431442"/>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9" tint="0.39997558519241921"/>
        <bgColor indexed="64"/>
      </patternFill>
    </fill>
    <fill>
      <patternFill patternType="solid">
        <fgColor rgb="FFC3D6EB"/>
        <bgColor rgb="FF000000"/>
      </patternFill>
    </fill>
    <fill>
      <patternFill patternType="solid">
        <fgColor rgb="FFACACAC"/>
        <bgColor indexed="64"/>
      </patternFill>
    </fill>
    <fill>
      <patternFill patternType="solid">
        <fgColor rgb="FFFFF7C3"/>
        <bgColor indexed="64"/>
      </patternFill>
    </fill>
    <fill>
      <patternFill patternType="solid">
        <fgColor rgb="FFCCEEFF"/>
        <bgColor indexed="64"/>
      </patternFill>
    </fill>
    <fill>
      <patternFill patternType="solid">
        <fgColor rgb="FFB3B3B3"/>
        <bgColor indexed="64"/>
      </patternFill>
    </fill>
    <fill>
      <patternFill patternType="solid">
        <fgColor rgb="FFB6B6B6"/>
        <bgColor indexed="64"/>
      </patternFill>
    </fill>
    <fill>
      <patternFill patternType="solid">
        <fgColor rgb="FFB9DFE9"/>
        <bgColor indexed="64"/>
      </patternFill>
    </fill>
    <fill>
      <patternFill patternType="solid">
        <fgColor rgb="FF828282"/>
        <bgColor indexed="64"/>
      </patternFill>
    </fill>
    <fill>
      <patternFill patternType="solid">
        <fgColor rgb="FF8A8A8A"/>
        <bgColor indexed="64"/>
      </patternFill>
    </fill>
    <fill>
      <patternFill patternType="solid">
        <fgColor rgb="FFFFFFFF"/>
        <bgColor indexed="64"/>
      </patternFill>
    </fill>
    <fill>
      <patternFill patternType="solid">
        <fgColor rgb="FFBFE4FF"/>
        <bgColor indexed="64"/>
      </patternFill>
    </fill>
    <fill>
      <patternFill patternType="solid">
        <fgColor rgb="FF6D6D6D"/>
        <bgColor indexed="64"/>
      </patternFill>
    </fill>
    <fill>
      <patternFill patternType="solid">
        <fgColor rgb="FF616161"/>
        <bgColor indexed="64"/>
      </patternFill>
    </fill>
    <fill>
      <patternFill patternType="solid">
        <fgColor theme="4" tint="0.79998168889431442"/>
        <bgColor theme="4" tint="0.79998168889431442"/>
      </patternFill>
    </fill>
    <fill>
      <patternFill patternType="solid">
        <fgColor rgb="FFFCE4D6"/>
        <bgColor indexed="64"/>
      </patternFill>
    </fill>
    <fill>
      <patternFill patternType="solid">
        <fgColor rgb="FF808080"/>
        <bgColor indexed="64"/>
      </patternFill>
    </fill>
    <fill>
      <patternFill patternType="solid">
        <fgColor rgb="FFF8CBAD"/>
        <bgColor indexed="64"/>
      </patternFill>
    </fill>
    <fill>
      <patternFill patternType="solid">
        <fgColor rgb="FF7F7F7F"/>
        <bgColor indexed="64"/>
      </patternFill>
    </fill>
    <fill>
      <patternFill patternType="solid">
        <fgColor rgb="FFFFC000"/>
        <bgColor indexed="64"/>
      </patternFill>
    </fill>
    <fill>
      <patternFill patternType="solid">
        <fgColor theme="9" tint="0.59999389629810485"/>
        <bgColor indexed="64"/>
      </patternFill>
    </fill>
    <fill>
      <patternFill patternType="solid">
        <fgColor rgb="FFDBE5F1"/>
        <bgColor rgb="FFFFFFFF"/>
      </patternFill>
    </fill>
    <fill>
      <patternFill patternType="solid">
        <fgColor rgb="FF92D050"/>
        <bgColor rgb="FF000000"/>
      </patternFill>
    </fill>
  </fills>
  <borders count="4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style="thin">
        <color indexed="64"/>
      </left>
      <right/>
      <top/>
      <bottom/>
      <diagonal/>
    </border>
    <border>
      <left style="thick">
        <color indexed="18"/>
      </left>
      <right/>
      <top style="thick">
        <color indexed="18"/>
      </top>
      <bottom/>
      <diagonal/>
    </border>
    <border>
      <left/>
      <right/>
      <top style="thick">
        <color indexed="18"/>
      </top>
      <bottom/>
      <diagonal/>
    </border>
    <border>
      <left style="thick">
        <color indexed="18"/>
      </left>
      <right/>
      <top/>
      <bottom/>
      <diagonal/>
    </border>
    <border>
      <left/>
      <right style="thick">
        <color indexed="18"/>
      </right>
      <top/>
      <bottom/>
      <diagonal/>
    </border>
    <border>
      <left style="thick">
        <color indexed="18"/>
      </left>
      <right/>
      <top/>
      <bottom style="thick">
        <color indexed="18"/>
      </bottom>
      <diagonal/>
    </border>
    <border>
      <left/>
      <right/>
      <top/>
      <bottom style="thick">
        <color indexed="18"/>
      </bottom>
      <diagonal/>
    </border>
    <border>
      <left/>
      <right style="thick">
        <color indexed="18"/>
      </right>
      <top/>
      <bottom style="thick">
        <color indexed="18"/>
      </bottom>
      <diagonal/>
    </border>
    <border>
      <left/>
      <right style="thick">
        <color indexed="18"/>
      </right>
      <top style="thick">
        <color indexed="18"/>
      </top>
      <bottom/>
      <diagonal/>
    </border>
    <border>
      <left style="thin">
        <color indexed="18"/>
      </left>
      <right style="thin">
        <color indexed="18"/>
      </right>
      <top style="thin">
        <color indexed="18"/>
      </top>
      <bottom style="thin">
        <color indexed="18"/>
      </bottom>
      <diagonal/>
    </border>
    <border>
      <left style="thin">
        <color indexed="18"/>
      </left>
      <right style="thick">
        <color indexed="18"/>
      </right>
      <top style="thin">
        <color indexed="18"/>
      </top>
      <bottom style="thin">
        <color indexed="18"/>
      </bottom>
      <diagonal/>
    </border>
    <border>
      <left/>
      <right style="thin">
        <color indexed="18"/>
      </right>
      <top/>
      <bottom/>
      <diagonal/>
    </border>
    <border>
      <left style="thick">
        <color indexed="18"/>
      </left>
      <right/>
      <top/>
      <bottom style="medium">
        <color indexed="18"/>
      </bottom>
      <diagonal/>
    </border>
    <border>
      <left/>
      <right/>
      <top/>
      <bottom style="medium">
        <color indexed="18"/>
      </bottom>
      <diagonal/>
    </border>
    <border>
      <left/>
      <right style="thick">
        <color indexed="18"/>
      </right>
      <top/>
      <bottom style="medium">
        <color indexed="18"/>
      </bottom>
      <diagonal/>
    </border>
    <border>
      <left/>
      <right/>
      <top style="thin">
        <color indexed="18"/>
      </top>
      <bottom style="thick">
        <color indexed="18"/>
      </bottom>
      <diagonal/>
    </border>
    <border>
      <left/>
      <right style="thick">
        <color indexed="18"/>
      </right>
      <top style="thin">
        <color indexed="18"/>
      </top>
      <bottom style="thick">
        <color indexed="18"/>
      </bottom>
      <diagonal/>
    </border>
    <border>
      <left style="thick">
        <color indexed="62"/>
      </left>
      <right/>
      <top/>
      <bottom/>
      <diagonal/>
    </border>
    <border>
      <left/>
      <right style="thick">
        <color indexed="62"/>
      </right>
      <top/>
      <bottom/>
      <diagonal/>
    </border>
    <border>
      <left style="thick">
        <color indexed="62"/>
      </left>
      <right/>
      <top/>
      <bottom style="thick">
        <color indexed="62"/>
      </bottom>
      <diagonal/>
    </border>
    <border>
      <left/>
      <right style="thick">
        <color indexed="62"/>
      </right>
      <top/>
      <bottom style="thick">
        <color indexed="62"/>
      </bottom>
      <diagonal/>
    </border>
    <border>
      <left style="thin">
        <color indexed="62"/>
      </left>
      <right style="thin">
        <color indexed="62"/>
      </right>
      <top style="thin">
        <color indexed="62"/>
      </top>
      <bottom style="thin">
        <color indexed="62"/>
      </bottom>
      <diagonal/>
    </border>
    <border>
      <left style="thin">
        <color indexed="62"/>
      </left>
      <right style="thick">
        <color indexed="62"/>
      </right>
      <top style="thin">
        <color indexed="62"/>
      </top>
      <bottom style="thin">
        <color indexed="62"/>
      </bottom>
      <diagonal/>
    </border>
    <border>
      <left style="medium">
        <color indexed="62"/>
      </left>
      <right style="medium">
        <color indexed="62"/>
      </right>
      <top/>
      <bottom/>
      <diagonal/>
    </border>
    <border>
      <left style="medium">
        <color indexed="62"/>
      </left>
      <right style="medium">
        <color indexed="62"/>
      </right>
      <top style="thin">
        <color indexed="62"/>
      </top>
      <bottom style="thin">
        <color indexed="62"/>
      </bottom>
      <diagonal/>
    </border>
    <border>
      <left style="medium">
        <color indexed="62"/>
      </left>
      <right style="medium">
        <color indexed="62"/>
      </right>
      <top style="medium">
        <color indexed="62"/>
      </top>
      <bottom style="thin">
        <color indexed="62"/>
      </bottom>
      <diagonal/>
    </border>
    <border>
      <left style="medium">
        <color indexed="62"/>
      </left>
      <right style="medium">
        <color indexed="62"/>
      </right>
      <top style="thin">
        <color indexed="62"/>
      </top>
      <bottom style="medium">
        <color indexed="62"/>
      </bottom>
      <diagonal/>
    </border>
    <border>
      <left style="thick">
        <color indexed="62"/>
      </left>
      <right/>
      <top style="thick">
        <color indexed="62"/>
      </top>
      <bottom/>
      <diagonal/>
    </border>
    <border>
      <left/>
      <right/>
      <top style="thick">
        <color indexed="62"/>
      </top>
      <bottom/>
      <diagonal/>
    </border>
    <border>
      <left/>
      <right style="thick">
        <color indexed="62"/>
      </right>
      <top style="thick">
        <color indexed="62"/>
      </top>
      <bottom/>
      <diagonal/>
    </border>
    <border>
      <left/>
      <right/>
      <top/>
      <bottom style="medium">
        <color indexed="62"/>
      </bottom>
      <diagonal/>
    </border>
    <border>
      <left/>
      <right style="thick">
        <color indexed="62"/>
      </right>
      <top/>
      <bottom style="medium">
        <color indexed="62"/>
      </bottom>
      <diagonal/>
    </border>
    <border>
      <left style="medium">
        <color indexed="62"/>
      </left>
      <right style="medium">
        <color indexed="62"/>
      </right>
      <top style="medium">
        <color indexed="62"/>
      </top>
      <bottom/>
      <diagonal/>
    </border>
    <border>
      <left style="medium">
        <color indexed="62"/>
      </left>
      <right style="medium">
        <color indexed="62"/>
      </right>
      <top/>
      <bottom style="medium">
        <color indexed="62"/>
      </bottom>
      <diagonal/>
    </border>
    <border>
      <left style="thin">
        <color indexed="64"/>
      </left>
      <right style="thin">
        <color indexed="62"/>
      </right>
      <top style="thin">
        <color indexed="62"/>
      </top>
      <bottom style="thin">
        <color indexed="62"/>
      </bottom>
      <diagonal/>
    </border>
    <border>
      <left/>
      <right/>
      <top style="medium">
        <color indexed="62"/>
      </top>
      <bottom style="medium">
        <color indexed="62"/>
      </bottom>
      <diagonal/>
    </border>
    <border>
      <left/>
      <right style="medium">
        <color indexed="62"/>
      </right>
      <top style="medium">
        <color indexed="62"/>
      </top>
      <bottom style="medium">
        <color indexed="62"/>
      </bottom>
      <diagonal/>
    </border>
    <border>
      <left style="thin">
        <color indexed="62"/>
      </left>
      <right style="thin">
        <color indexed="62"/>
      </right>
      <top style="medium">
        <color indexed="62"/>
      </top>
      <bottom style="thin">
        <color indexed="62"/>
      </bottom>
      <diagonal/>
    </border>
    <border>
      <left style="medium">
        <color indexed="62"/>
      </left>
      <right style="thin">
        <color indexed="62"/>
      </right>
      <top style="medium">
        <color indexed="62"/>
      </top>
      <bottom style="thin">
        <color indexed="62"/>
      </bottom>
      <diagonal/>
    </border>
    <border>
      <left style="thick">
        <color indexed="62"/>
      </left>
      <right style="thin">
        <color indexed="62"/>
      </right>
      <top style="medium">
        <color indexed="62"/>
      </top>
      <bottom style="thin">
        <color indexed="62"/>
      </bottom>
      <diagonal/>
    </border>
    <border>
      <left style="thick">
        <color indexed="62"/>
      </left>
      <right style="thin">
        <color indexed="62"/>
      </right>
      <top style="thin">
        <color indexed="62"/>
      </top>
      <bottom style="thin">
        <color indexed="62"/>
      </bottom>
      <diagonal/>
    </border>
    <border>
      <left style="thick">
        <color indexed="62"/>
      </left>
      <right style="thin">
        <color indexed="62"/>
      </right>
      <top style="thin">
        <color indexed="62"/>
      </top>
      <bottom style="medium">
        <color indexed="62"/>
      </bottom>
      <diagonal/>
    </border>
    <border>
      <left style="thin">
        <color indexed="62"/>
      </left>
      <right style="thick">
        <color indexed="62"/>
      </right>
      <top style="medium">
        <color indexed="62"/>
      </top>
      <bottom style="thin">
        <color indexed="62"/>
      </bottom>
      <diagonal/>
    </border>
    <border>
      <left/>
      <right style="medium">
        <color indexed="62"/>
      </right>
      <top style="medium">
        <color indexed="62"/>
      </top>
      <bottom style="thin">
        <color indexed="62"/>
      </bottom>
      <diagonal/>
    </border>
    <border>
      <left style="thick">
        <color indexed="62"/>
      </left>
      <right style="thin">
        <color indexed="62"/>
      </right>
      <top/>
      <bottom style="thin">
        <color indexed="62"/>
      </bottom>
      <diagonal/>
    </border>
    <border>
      <left style="thin">
        <color indexed="62"/>
      </left>
      <right style="thin">
        <color indexed="62"/>
      </right>
      <top style="thin">
        <color indexed="62"/>
      </top>
      <bottom style="medium">
        <color indexed="62"/>
      </bottom>
      <diagonal/>
    </border>
    <border>
      <left/>
      <right style="medium">
        <color indexed="62"/>
      </right>
      <top style="thin">
        <color indexed="62"/>
      </top>
      <bottom style="medium">
        <color indexed="62"/>
      </bottom>
      <diagonal/>
    </border>
    <border>
      <left style="thin">
        <color indexed="62"/>
      </left>
      <right style="medium">
        <color indexed="62"/>
      </right>
      <top style="thin">
        <color indexed="62"/>
      </top>
      <bottom style="medium">
        <color indexed="62"/>
      </bottom>
      <diagonal/>
    </border>
    <border>
      <left style="thick">
        <color indexed="62"/>
      </left>
      <right style="thin">
        <color indexed="62"/>
      </right>
      <top style="medium">
        <color indexed="62"/>
      </top>
      <bottom style="medium">
        <color indexed="62"/>
      </bottom>
      <diagonal/>
    </border>
    <border>
      <left style="thin">
        <color indexed="62"/>
      </left>
      <right style="thin">
        <color indexed="62"/>
      </right>
      <top style="medium">
        <color indexed="62"/>
      </top>
      <bottom style="medium">
        <color indexed="62"/>
      </bottom>
      <diagonal/>
    </border>
    <border>
      <left style="thin">
        <color indexed="62"/>
      </left>
      <right style="medium">
        <color indexed="62"/>
      </right>
      <top style="medium">
        <color indexed="62"/>
      </top>
      <bottom style="medium">
        <color indexed="62"/>
      </bottom>
      <diagonal/>
    </border>
    <border>
      <left style="medium">
        <color indexed="62"/>
      </left>
      <right style="medium">
        <color indexed="62"/>
      </right>
      <top style="medium">
        <color indexed="62"/>
      </top>
      <bottom style="medium">
        <color indexed="62"/>
      </bottom>
      <diagonal/>
    </border>
    <border>
      <left style="medium">
        <color indexed="62"/>
      </left>
      <right style="thick">
        <color indexed="62"/>
      </right>
      <top style="medium">
        <color indexed="62"/>
      </top>
      <bottom style="medium">
        <color indexed="62"/>
      </bottom>
      <diagonal/>
    </border>
    <border>
      <left style="medium">
        <color indexed="62"/>
      </left>
      <right style="thick">
        <color indexed="62"/>
      </right>
      <top style="medium">
        <color indexed="62"/>
      </top>
      <bottom/>
      <diagonal/>
    </border>
    <border>
      <left/>
      <right style="medium">
        <color indexed="62"/>
      </right>
      <top/>
      <bottom/>
      <diagonal/>
    </border>
    <border>
      <left style="medium">
        <color indexed="62"/>
      </left>
      <right style="thick">
        <color indexed="62"/>
      </right>
      <top/>
      <bottom/>
      <diagonal/>
    </border>
    <border>
      <left style="medium">
        <color indexed="62"/>
      </left>
      <right style="medium">
        <color indexed="62"/>
      </right>
      <top/>
      <bottom style="thick">
        <color indexed="62"/>
      </bottom>
      <diagonal/>
    </border>
    <border>
      <left/>
      <right style="medium">
        <color indexed="62"/>
      </right>
      <top/>
      <bottom style="thick">
        <color indexed="62"/>
      </bottom>
      <diagonal/>
    </border>
    <border>
      <left style="medium">
        <color indexed="62"/>
      </left>
      <right style="medium">
        <color indexed="62"/>
      </right>
      <top style="medium">
        <color indexed="62"/>
      </top>
      <bottom style="thick">
        <color indexed="62"/>
      </bottom>
      <diagonal/>
    </border>
    <border>
      <left style="medium">
        <color indexed="62"/>
      </left>
      <right style="thick">
        <color indexed="62"/>
      </right>
      <top/>
      <bottom style="thick">
        <color indexed="62"/>
      </bottom>
      <diagonal/>
    </border>
    <border>
      <left style="medium">
        <color indexed="62"/>
      </left>
      <right/>
      <top style="medium">
        <color indexed="62"/>
      </top>
      <bottom style="medium">
        <color indexed="62"/>
      </bottom>
      <diagonal/>
    </border>
    <border>
      <left style="medium">
        <color indexed="62"/>
      </left>
      <right/>
      <top style="medium">
        <color indexed="62"/>
      </top>
      <bottom/>
      <diagonal/>
    </border>
    <border>
      <left/>
      <right style="medium">
        <color indexed="62"/>
      </right>
      <top style="medium">
        <color indexed="62"/>
      </top>
      <bottom/>
      <diagonal/>
    </border>
    <border>
      <left style="medium">
        <color indexed="62"/>
      </left>
      <right/>
      <top/>
      <bottom style="medium">
        <color indexed="62"/>
      </bottom>
      <diagonal/>
    </border>
    <border>
      <left/>
      <right style="medium">
        <color indexed="62"/>
      </right>
      <top/>
      <bottom style="medium">
        <color indexed="62"/>
      </bottom>
      <diagonal/>
    </border>
    <border>
      <left style="medium">
        <color indexed="62"/>
      </left>
      <right style="thick">
        <color indexed="62"/>
      </right>
      <top/>
      <bottom style="medium">
        <color indexed="62"/>
      </bottom>
      <diagonal/>
    </border>
    <border>
      <left style="medium">
        <color indexed="62"/>
      </left>
      <right style="medium">
        <color indexed="62"/>
      </right>
      <top style="thick">
        <color indexed="62"/>
      </top>
      <bottom style="medium">
        <color indexed="62"/>
      </bottom>
      <diagonal/>
    </border>
    <border>
      <left style="medium">
        <color indexed="62"/>
      </left>
      <right style="thick">
        <color indexed="62"/>
      </right>
      <top style="thick">
        <color indexed="62"/>
      </top>
      <bottom/>
      <diagonal/>
    </border>
    <border>
      <left style="thick">
        <color indexed="62"/>
      </left>
      <right/>
      <top style="medium">
        <color indexed="62"/>
      </top>
      <bottom style="medium">
        <color indexed="62"/>
      </bottom>
      <diagonal/>
    </border>
    <border>
      <left style="thick">
        <color indexed="62"/>
      </left>
      <right/>
      <top style="medium">
        <color indexed="62"/>
      </top>
      <bottom/>
      <diagonal/>
    </border>
    <border>
      <left style="thick">
        <color indexed="62"/>
      </left>
      <right/>
      <top/>
      <bottom style="medium">
        <color indexed="62"/>
      </bottom>
      <diagonal/>
    </border>
    <border>
      <left/>
      <right/>
      <top style="medium">
        <color indexed="62"/>
      </top>
      <bottom/>
      <diagonal/>
    </border>
    <border>
      <left/>
      <right style="thick">
        <color indexed="62"/>
      </right>
      <top style="medium">
        <color indexed="62"/>
      </top>
      <bottom/>
      <diagonal/>
    </border>
    <border>
      <left style="medium">
        <color indexed="62"/>
      </left>
      <right/>
      <top style="thick">
        <color indexed="62"/>
      </top>
      <bottom/>
      <diagonal/>
    </border>
    <border>
      <left/>
      <right style="medium">
        <color indexed="62"/>
      </right>
      <top style="thick">
        <color indexed="62"/>
      </top>
      <bottom/>
      <diagonal/>
    </border>
    <border>
      <left style="thin">
        <color indexed="62"/>
      </left>
      <right style="thin">
        <color indexed="62"/>
      </right>
      <top/>
      <bottom style="thin">
        <color indexed="62"/>
      </bottom>
      <diagonal/>
    </border>
    <border>
      <left style="thin">
        <color indexed="62"/>
      </left>
      <right style="medium">
        <color indexed="62"/>
      </right>
      <top/>
      <bottom style="thin">
        <color indexed="62"/>
      </bottom>
      <diagonal/>
    </border>
    <border>
      <left style="thin">
        <color indexed="62"/>
      </left>
      <right style="medium">
        <color indexed="62"/>
      </right>
      <top style="thin">
        <color indexed="62"/>
      </top>
      <bottom style="thin">
        <color indexed="62"/>
      </bottom>
      <diagonal/>
    </border>
    <border>
      <left style="medium">
        <color indexed="62"/>
      </left>
      <right style="thin">
        <color indexed="62"/>
      </right>
      <top style="thin">
        <color indexed="64"/>
      </top>
      <bottom style="thin">
        <color indexed="62"/>
      </bottom>
      <diagonal/>
    </border>
    <border>
      <left style="thin">
        <color indexed="62"/>
      </left>
      <right style="thin">
        <color indexed="62"/>
      </right>
      <top style="thin">
        <color indexed="64"/>
      </top>
      <bottom style="thin">
        <color indexed="62"/>
      </bottom>
      <diagonal/>
    </border>
    <border>
      <left style="thin">
        <color indexed="62"/>
      </left>
      <right style="thick">
        <color indexed="62"/>
      </right>
      <top style="thin">
        <color indexed="64"/>
      </top>
      <bottom style="thin">
        <color indexed="62"/>
      </bottom>
      <diagonal/>
    </border>
    <border>
      <left style="medium">
        <color indexed="62"/>
      </left>
      <right style="thin">
        <color indexed="62"/>
      </right>
      <top style="thin">
        <color indexed="62"/>
      </top>
      <bottom style="thin">
        <color indexed="62"/>
      </bottom>
      <diagonal/>
    </border>
    <border>
      <left style="medium">
        <color indexed="64"/>
      </left>
      <right style="medium">
        <color indexed="64"/>
      </right>
      <top style="medium">
        <color indexed="64"/>
      </top>
      <bottom style="medium">
        <color indexed="64"/>
      </bottom>
      <diagonal/>
    </border>
    <border>
      <left style="medium">
        <color indexed="62"/>
      </left>
      <right style="thin">
        <color indexed="62"/>
      </right>
      <top style="thin">
        <color indexed="62"/>
      </top>
      <bottom style="medium">
        <color indexed="62"/>
      </bottom>
      <diagonal/>
    </border>
    <border>
      <left style="thin">
        <color indexed="62"/>
      </left>
      <right style="thick">
        <color indexed="62"/>
      </right>
      <top style="thin">
        <color indexed="62"/>
      </top>
      <bottom style="medium">
        <color indexed="62"/>
      </bottom>
      <diagonal/>
    </border>
    <border>
      <left style="thick">
        <color indexed="62"/>
      </left>
      <right/>
      <top/>
      <bottom style="thin">
        <color indexed="62"/>
      </bottom>
      <diagonal/>
    </border>
    <border>
      <left style="thick">
        <color indexed="62"/>
      </left>
      <right/>
      <top style="thin">
        <color indexed="62"/>
      </top>
      <bottom style="thin">
        <color indexed="62"/>
      </bottom>
      <diagonal/>
    </border>
    <border>
      <left style="thick">
        <color indexed="62"/>
      </left>
      <right/>
      <top style="thin">
        <color indexed="62"/>
      </top>
      <bottom style="medium">
        <color indexed="62"/>
      </bottom>
      <diagonal/>
    </border>
    <border>
      <left style="thin">
        <color indexed="62"/>
      </left>
      <right style="medium">
        <color indexed="62"/>
      </right>
      <top style="medium">
        <color indexed="62"/>
      </top>
      <bottom style="thin">
        <color indexed="62"/>
      </bottom>
      <diagonal/>
    </border>
    <border>
      <left style="medium">
        <color indexed="62"/>
      </left>
      <right/>
      <top style="thin">
        <color indexed="62"/>
      </top>
      <bottom style="thin">
        <color indexed="62"/>
      </bottom>
      <diagonal/>
    </border>
    <border>
      <left/>
      <right/>
      <top style="thin">
        <color indexed="62"/>
      </top>
      <bottom style="thin">
        <color indexed="62"/>
      </bottom>
      <diagonal/>
    </border>
    <border>
      <left/>
      <right style="thick">
        <color indexed="62"/>
      </right>
      <top style="thin">
        <color indexed="62"/>
      </top>
      <bottom style="thin">
        <color indexed="62"/>
      </bottom>
      <diagonal/>
    </border>
    <border>
      <left style="thin">
        <color indexed="62"/>
      </left>
      <right style="medium">
        <color indexed="62"/>
      </right>
      <top style="thin">
        <color indexed="62"/>
      </top>
      <bottom style="medium">
        <color indexed="64"/>
      </bottom>
      <diagonal/>
    </border>
    <border>
      <left style="medium">
        <color indexed="62"/>
      </left>
      <right/>
      <top/>
      <bottom/>
      <diagonal/>
    </border>
    <border>
      <left/>
      <right style="medium">
        <color indexed="62"/>
      </right>
      <top/>
      <bottom style="thin">
        <color indexed="62"/>
      </bottom>
      <diagonal/>
    </border>
    <border>
      <left style="medium">
        <color indexed="62"/>
      </left>
      <right/>
      <top style="thin">
        <color indexed="64"/>
      </top>
      <bottom style="thin">
        <color indexed="62"/>
      </bottom>
      <diagonal/>
    </border>
    <border>
      <left/>
      <right style="thin">
        <color indexed="62"/>
      </right>
      <top style="thin">
        <color indexed="64"/>
      </top>
      <bottom style="thin">
        <color indexed="62"/>
      </bottom>
      <diagonal/>
    </border>
    <border>
      <left/>
      <right/>
      <top/>
      <bottom style="thin">
        <color indexed="62"/>
      </bottom>
      <diagonal/>
    </border>
    <border>
      <left style="thin">
        <color indexed="64"/>
      </left>
      <right/>
      <top style="thin">
        <color indexed="62"/>
      </top>
      <bottom style="thin">
        <color indexed="62"/>
      </bottom>
      <diagonal/>
    </border>
    <border>
      <left/>
      <right style="thin">
        <color indexed="62"/>
      </right>
      <top style="thin">
        <color indexed="62"/>
      </top>
      <bottom style="thin">
        <color indexed="62"/>
      </bottom>
      <diagonal/>
    </border>
    <border>
      <left style="thin">
        <color indexed="62"/>
      </left>
      <right style="thick">
        <color indexed="62"/>
      </right>
      <top/>
      <bottom style="thin">
        <color indexed="62"/>
      </bottom>
      <diagonal/>
    </border>
    <border>
      <left style="thin">
        <color indexed="62"/>
      </left>
      <right/>
      <top style="thin">
        <color indexed="62"/>
      </top>
      <bottom style="thin">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18"/>
      </right>
      <top style="thin">
        <color indexed="62"/>
      </top>
      <bottom style="thin">
        <color indexed="62"/>
      </bottom>
      <diagonal/>
    </border>
    <border>
      <left style="thin">
        <color indexed="62"/>
      </left>
      <right style="thin">
        <color indexed="18"/>
      </right>
      <top style="thin">
        <color indexed="18"/>
      </top>
      <bottom style="thin">
        <color indexed="18"/>
      </bottom>
      <diagonal/>
    </border>
    <border>
      <left style="thick">
        <color indexed="62"/>
      </left>
      <right style="medium">
        <color indexed="62"/>
      </right>
      <top style="medium">
        <color indexed="62"/>
      </top>
      <bottom style="medium">
        <color indexed="62"/>
      </bottom>
      <diagonal/>
    </border>
    <border>
      <left style="thin">
        <color indexed="18"/>
      </left>
      <right style="thin">
        <color indexed="64"/>
      </right>
      <top style="thin">
        <color indexed="18"/>
      </top>
      <bottom style="thin">
        <color indexed="18"/>
      </bottom>
      <diagonal/>
    </border>
    <border>
      <left style="thin">
        <color indexed="64"/>
      </left>
      <right style="thick">
        <color indexed="18"/>
      </right>
      <top style="thin">
        <color indexed="64"/>
      </top>
      <bottom style="thin">
        <color indexed="64"/>
      </bottom>
      <diagonal/>
    </border>
    <border>
      <left/>
      <right/>
      <top style="thin">
        <color indexed="18"/>
      </top>
      <bottom style="thin">
        <color indexed="18"/>
      </bottom>
      <diagonal/>
    </border>
    <border>
      <left style="medium">
        <color indexed="18"/>
      </left>
      <right style="thin">
        <color indexed="18"/>
      </right>
      <top style="medium">
        <color indexed="18"/>
      </top>
      <bottom style="thin">
        <color indexed="18"/>
      </bottom>
      <diagonal/>
    </border>
    <border>
      <left style="medium">
        <color indexed="18"/>
      </left>
      <right style="thin">
        <color indexed="18"/>
      </right>
      <top style="thin">
        <color indexed="18"/>
      </top>
      <bottom style="thin">
        <color indexed="18"/>
      </bottom>
      <diagonal/>
    </border>
    <border>
      <left style="medium">
        <color indexed="18"/>
      </left>
      <right style="thin">
        <color indexed="18"/>
      </right>
      <top style="thin">
        <color indexed="18"/>
      </top>
      <bottom style="medium">
        <color indexed="18"/>
      </bottom>
      <diagonal/>
    </border>
    <border>
      <left style="thin">
        <color indexed="18"/>
      </left>
      <right style="thin">
        <color indexed="18"/>
      </right>
      <top style="thin">
        <color indexed="18"/>
      </top>
      <bottom style="medium">
        <color indexed="18"/>
      </bottom>
      <diagonal/>
    </border>
    <border>
      <left style="thin">
        <color indexed="18"/>
      </left>
      <right style="thick">
        <color indexed="18"/>
      </right>
      <top style="thin">
        <color indexed="18"/>
      </top>
      <bottom style="medium">
        <color indexed="18"/>
      </bottom>
      <diagonal/>
    </border>
    <border>
      <left style="thin">
        <color indexed="64"/>
      </left>
      <right/>
      <top style="thin">
        <color indexed="62"/>
      </top>
      <bottom style="thick">
        <color indexed="62"/>
      </bottom>
      <diagonal/>
    </border>
    <border>
      <left/>
      <right/>
      <top style="thin">
        <color indexed="62"/>
      </top>
      <bottom style="thick">
        <color indexed="62"/>
      </bottom>
      <diagonal/>
    </border>
    <border>
      <left/>
      <right style="thin">
        <color indexed="62"/>
      </right>
      <top style="thin">
        <color indexed="62"/>
      </top>
      <bottom style="thick">
        <color indexed="62"/>
      </bottom>
      <diagonal/>
    </border>
    <border>
      <left style="thin">
        <color indexed="62"/>
      </left>
      <right style="thin">
        <color indexed="62"/>
      </right>
      <top style="thin">
        <color indexed="62"/>
      </top>
      <bottom style="thick">
        <color indexed="62"/>
      </bottom>
      <diagonal/>
    </border>
    <border>
      <left style="thin">
        <color indexed="18"/>
      </left>
      <right/>
      <top style="thin">
        <color indexed="18"/>
      </top>
      <bottom style="thin">
        <color indexed="18"/>
      </bottom>
      <diagonal/>
    </border>
    <border>
      <left/>
      <right style="thick">
        <color indexed="18"/>
      </right>
      <top style="thin">
        <color indexed="18"/>
      </top>
      <bottom style="thin">
        <color indexed="18"/>
      </bottom>
      <diagonal/>
    </border>
    <border>
      <left style="thin">
        <color indexed="62"/>
      </left>
      <right style="thin">
        <color indexed="62"/>
      </right>
      <top/>
      <bottom/>
      <diagonal/>
    </border>
    <border>
      <left style="thin">
        <color indexed="17"/>
      </left>
      <right style="thin">
        <color indexed="17"/>
      </right>
      <top style="thin">
        <color indexed="17"/>
      </top>
      <bottom style="thin">
        <color indexed="17"/>
      </bottom>
      <diagonal/>
    </border>
    <border>
      <left/>
      <right/>
      <top style="double">
        <color indexed="12"/>
      </top>
      <bottom style="thin">
        <color indexed="12"/>
      </bottom>
      <diagonal/>
    </border>
    <border>
      <left style="thin">
        <color indexed="44"/>
      </left>
      <right style="thin">
        <color indexed="44"/>
      </right>
      <top style="thin">
        <color indexed="12"/>
      </top>
      <bottom style="thin">
        <color indexed="44"/>
      </bottom>
      <diagonal/>
    </border>
    <border>
      <left style="thin">
        <color indexed="44"/>
      </left>
      <right/>
      <top style="thin">
        <color indexed="12"/>
      </top>
      <bottom style="thin">
        <color indexed="44"/>
      </bottom>
      <diagonal/>
    </border>
    <border>
      <left style="thin">
        <color indexed="44"/>
      </left>
      <right style="thin">
        <color indexed="44"/>
      </right>
      <top style="thin">
        <color indexed="44"/>
      </top>
      <bottom style="thin">
        <color indexed="44"/>
      </bottom>
      <diagonal/>
    </border>
    <border>
      <left style="thin">
        <color indexed="44"/>
      </left>
      <right style="medium">
        <color indexed="12"/>
      </right>
      <top style="thin">
        <color indexed="44"/>
      </top>
      <bottom style="thin">
        <color indexed="44"/>
      </bottom>
      <diagonal/>
    </border>
    <border>
      <left/>
      <right/>
      <top style="thin">
        <color indexed="44"/>
      </top>
      <bottom style="thin">
        <color indexed="44"/>
      </bottom>
      <diagonal/>
    </border>
    <border>
      <left/>
      <right style="medium">
        <color indexed="12"/>
      </right>
      <top style="thin">
        <color indexed="44"/>
      </top>
      <bottom style="thin">
        <color indexed="44"/>
      </bottom>
      <diagonal/>
    </border>
    <border>
      <left style="thin">
        <color indexed="44"/>
      </left>
      <right style="thin">
        <color indexed="44"/>
      </right>
      <top style="thin">
        <color indexed="44"/>
      </top>
      <bottom style="thin">
        <color indexed="12"/>
      </bottom>
      <diagonal/>
    </border>
    <border>
      <left style="thin">
        <color indexed="44"/>
      </left>
      <right style="medium">
        <color indexed="12"/>
      </right>
      <top style="thin">
        <color indexed="44"/>
      </top>
      <bottom style="thin">
        <color indexed="12"/>
      </bottom>
      <diagonal/>
    </border>
    <border>
      <left style="thin">
        <color indexed="12"/>
      </left>
      <right style="thin">
        <color indexed="12"/>
      </right>
      <top style="thin">
        <color indexed="12"/>
      </top>
      <bottom style="thin">
        <color indexed="17"/>
      </bottom>
      <diagonal/>
    </border>
    <border>
      <left style="thin">
        <color indexed="17"/>
      </left>
      <right/>
      <top style="thin">
        <color indexed="17"/>
      </top>
      <bottom style="thin">
        <color indexed="17"/>
      </bottom>
      <diagonal/>
    </border>
    <border>
      <left/>
      <right/>
      <top style="thin">
        <color indexed="12"/>
      </top>
      <bottom style="thin">
        <color indexed="48"/>
      </bottom>
      <diagonal/>
    </border>
    <border>
      <left/>
      <right style="thin">
        <color indexed="12"/>
      </right>
      <top style="thin">
        <color indexed="12"/>
      </top>
      <bottom style="thin">
        <color indexed="48"/>
      </bottom>
      <diagonal/>
    </border>
    <border>
      <left/>
      <right style="thin">
        <color indexed="48"/>
      </right>
      <top style="thin">
        <color indexed="48"/>
      </top>
      <bottom style="thin">
        <color indexed="48"/>
      </bottom>
      <diagonal/>
    </border>
    <border>
      <left style="thin">
        <color indexed="48"/>
      </left>
      <right style="thin">
        <color indexed="48"/>
      </right>
      <top style="thin">
        <color indexed="48"/>
      </top>
      <bottom style="thin">
        <color indexed="48"/>
      </bottom>
      <diagonal/>
    </border>
    <border>
      <left style="thin">
        <color indexed="48"/>
      </left>
      <right style="thin">
        <color indexed="12"/>
      </right>
      <top style="thin">
        <color indexed="48"/>
      </top>
      <bottom style="thin">
        <color indexed="48"/>
      </bottom>
      <diagonal/>
    </border>
    <border>
      <left/>
      <right/>
      <top style="thin">
        <color indexed="48"/>
      </top>
      <bottom style="thin">
        <color indexed="48"/>
      </bottom>
      <diagonal/>
    </border>
    <border>
      <left/>
      <right style="thin">
        <color indexed="12"/>
      </right>
      <top style="thin">
        <color indexed="48"/>
      </top>
      <bottom style="thin">
        <color indexed="48"/>
      </bottom>
      <diagonal/>
    </border>
    <border>
      <left/>
      <right style="thin">
        <color indexed="48"/>
      </right>
      <top style="thin">
        <color indexed="48"/>
      </top>
      <bottom style="thin">
        <color indexed="12"/>
      </bottom>
      <diagonal/>
    </border>
    <border>
      <left style="thin">
        <color indexed="48"/>
      </left>
      <right style="thin">
        <color indexed="48"/>
      </right>
      <top style="thin">
        <color indexed="48"/>
      </top>
      <bottom style="thin">
        <color indexed="12"/>
      </bottom>
      <diagonal/>
    </border>
    <border>
      <left style="thin">
        <color indexed="48"/>
      </left>
      <right style="thin">
        <color indexed="12"/>
      </right>
      <top style="thin">
        <color indexed="48"/>
      </top>
      <bottom style="thin">
        <color indexed="12"/>
      </bottom>
      <diagonal/>
    </border>
    <border>
      <left style="thick">
        <color indexed="18"/>
      </left>
      <right style="medium">
        <color indexed="62"/>
      </right>
      <top style="medium">
        <color indexed="18"/>
      </top>
      <bottom/>
      <diagonal/>
    </border>
    <border>
      <left style="medium">
        <color indexed="62"/>
      </left>
      <right style="medium">
        <color indexed="62"/>
      </right>
      <top/>
      <bottom style="medium">
        <color indexed="18"/>
      </bottom>
      <diagonal/>
    </border>
    <border>
      <left style="medium">
        <color indexed="18"/>
      </left>
      <right style="medium">
        <color indexed="18"/>
      </right>
      <top/>
      <bottom style="medium">
        <color indexed="18"/>
      </bottom>
      <diagonal/>
    </border>
    <border>
      <left style="thick">
        <color indexed="18"/>
      </left>
      <right style="thin">
        <color indexed="18"/>
      </right>
      <top style="medium">
        <color indexed="18"/>
      </top>
      <bottom/>
      <diagonal/>
    </border>
    <border>
      <left style="medium">
        <color indexed="18"/>
      </left>
      <right style="medium">
        <color indexed="18"/>
      </right>
      <top style="medium">
        <color indexed="18"/>
      </top>
      <bottom style="medium">
        <color indexed="18"/>
      </bottom>
      <diagonal/>
    </border>
    <border>
      <left style="thin">
        <color indexed="18"/>
      </left>
      <right style="thick">
        <color indexed="18"/>
      </right>
      <top style="medium">
        <color indexed="18"/>
      </top>
      <bottom/>
      <diagonal/>
    </border>
    <border>
      <left style="thick">
        <color indexed="18"/>
      </left>
      <right/>
      <top style="medium">
        <color indexed="18"/>
      </top>
      <bottom style="medium">
        <color indexed="18"/>
      </bottom>
      <diagonal/>
    </border>
    <border>
      <left style="thin">
        <color indexed="18"/>
      </left>
      <right style="thick">
        <color indexed="18"/>
      </right>
      <top style="medium">
        <color indexed="18"/>
      </top>
      <bottom style="medium">
        <color indexed="18"/>
      </bottom>
      <diagonal/>
    </border>
    <border>
      <left style="thick">
        <color indexed="18"/>
      </left>
      <right/>
      <top style="medium">
        <color indexed="18"/>
      </top>
      <bottom/>
      <diagonal/>
    </border>
    <border>
      <left style="thin">
        <color indexed="18"/>
      </left>
      <right style="thin">
        <color indexed="18"/>
      </right>
      <top style="medium">
        <color indexed="18"/>
      </top>
      <bottom/>
      <diagonal/>
    </border>
    <border>
      <left style="thin">
        <color indexed="54"/>
      </left>
      <right style="thick">
        <color indexed="18"/>
      </right>
      <top style="medium">
        <color indexed="18"/>
      </top>
      <bottom/>
      <diagonal/>
    </border>
    <border>
      <left style="thin">
        <color indexed="18"/>
      </left>
      <right style="thin">
        <color indexed="18"/>
      </right>
      <top/>
      <bottom style="medium">
        <color indexed="18"/>
      </bottom>
      <diagonal/>
    </border>
    <border>
      <left style="thin">
        <color indexed="54"/>
      </left>
      <right style="thick">
        <color indexed="18"/>
      </right>
      <top/>
      <bottom style="medium">
        <color indexed="18"/>
      </bottom>
      <diagonal/>
    </border>
    <border>
      <left style="thick">
        <color indexed="18"/>
      </left>
      <right style="thin">
        <color indexed="18"/>
      </right>
      <top/>
      <bottom/>
      <diagonal/>
    </border>
    <border>
      <left style="thin">
        <color indexed="18"/>
      </left>
      <right style="thin">
        <color indexed="18"/>
      </right>
      <top/>
      <bottom/>
      <diagonal/>
    </border>
    <border>
      <left style="thin">
        <color indexed="18"/>
      </left>
      <right/>
      <top/>
      <bottom/>
      <diagonal/>
    </border>
    <border>
      <left style="thin">
        <color indexed="18"/>
      </left>
      <right style="thick">
        <color indexed="18"/>
      </right>
      <top/>
      <bottom/>
      <diagonal/>
    </border>
    <border>
      <left style="thin">
        <color indexed="18"/>
      </left>
      <right/>
      <top/>
      <bottom style="thin">
        <color indexed="22"/>
      </bottom>
      <diagonal/>
    </border>
    <border>
      <left style="thin">
        <color indexed="64"/>
      </left>
      <right style="thin">
        <color indexed="64"/>
      </right>
      <top style="thin">
        <color indexed="22"/>
      </top>
      <bottom style="thin">
        <color indexed="22"/>
      </bottom>
      <diagonal/>
    </border>
    <border>
      <left style="thick">
        <color indexed="18"/>
      </left>
      <right style="thin">
        <color indexed="18"/>
      </right>
      <top/>
      <bottom style="medium">
        <color indexed="18"/>
      </bottom>
      <diagonal/>
    </border>
    <border>
      <left style="thin">
        <color indexed="18"/>
      </left>
      <right style="thick">
        <color indexed="18"/>
      </right>
      <top/>
      <bottom style="medium">
        <color indexed="18"/>
      </bottom>
      <diagonal/>
    </border>
    <border>
      <left/>
      <right/>
      <top style="medium">
        <color indexed="18"/>
      </top>
      <bottom/>
      <diagonal/>
    </border>
    <border>
      <left style="thin">
        <color indexed="62"/>
      </left>
      <right style="thin">
        <color indexed="62"/>
      </right>
      <top/>
      <bottom style="thick">
        <color indexed="62"/>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diagonal/>
    </border>
    <border>
      <left style="thick">
        <color indexed="62"/>
      </left>
      <right/>
      <top style="double">
        <color indexed="12"/>
      </top>
      <bottom style="thin">
        <color indexed="12"/>
      </bottom>
      <diagonal/>
    </border>
    <border>
      <left style="thick">
        <color indexed="62"/>
      </left>
      <right/>
      <top style="thin">
        <color indexed="12"/>
      </top>
      <bottom style="thin">
        <color indexed="44"/>
      </bottom>
      <diagonal/>
    </border>
    <border>
      <left style="thick">
        <color indexed="62"/>
      </left>
      <right style="thin">
        <color indexed="44"/>
      </right>
      <top style="thin">
        <color indexed="44"/>
      </top>
      <bottom style="thin">
        <color indexed="44"/>
      </bottom>
      <diagonal/>
    </border>
    <border>
      <left style="thin">
        <color indexed="48"/>
      </left>
      <right style="thick">
        <color indexed="62"/>
      </right>
      <top style="thin">
        <color indexed="48"/>
      </top>
      <bottom style="thin">
        <color indexed="48"/>
      </bottom>
      <diagonal/>
    </border>
    <border>
      <left style="thick">
        <color indexed="62"/>
      </left>
      <right/>
      <top style="thin">
        <color indexed="44"/>
      </top>
      <bottom style="thin">
        <color indexed="44"/>
      </bottom>
      <diagonal/>
    </border>
    <border>
      <left/>
      <right style="thick">
        <color indexed="62"/>
      </right>
      <top style="thin">
        <color indexed="48"/>
      </top>
      <bottom style="thin">
        <color indexed="48"/>
      </bottom>
      <diagonal/>
    </border>
    <border>
      <left style="thick">
        <color indexed="62"/>
      </left>
      <right style="thin">
        <color indexed="44"/>
      </right>
      <top style="thin">
        <color indexed="44"/>
      </top>
      <bottom style="thin">
        <color indexed="12"/>
      </bottom>
      <diagonal/>
    </border>
    <border>
      <left style="thin">
        <color indexed="48"/>
      </left>
      <right style="thick">
        <color indexed="62"/>
      </right>
      <top style="thin">
        <color indexed="48"/>
      </top>
      <bottom style="thin">
        <color indexed="12"/>
      </bottom>
      <diagonal/>
    </border>
    <border>
      <left style="thick">
        <color indexed="62"/>
      </left>
      <right style="thin">
        <color indexed="44"/>
      </right>
      <top style="thin">
        <color indexed="44"/>
      </top>
      <bottom style="thick">
        <color indexed="62"/>
      </bottom>
      <diagonal/>
    </border>
    <border>
      <left style="thin">
        <color indexed="44"/>
      </left>
      <right style="thin">
        <color indexed="44"/>
      </right>
      <top style="thin">
        <color indexed="44"/>
      </top>
      <bottom style="thick">
        <color indexed="62"/>
      </bottom>
      <diagonal/>
    </border>
    <border>
      <left style="thin">
        <color indexed="44"/>
      </left>
      <right style="medium">
        <color indexed="12"/>
      </right>
      <top style="thin">
        <color indexed="44"/>
      </top>
      <bottom style="thick">
        <color indexed="62"/>
      </bottom>
      <diagonal/>
    </border>
    <border>
      <left/>
      <right style="thin">
        <color indexed="48"/>
      </right>
      <top style="thin">
        <color indexed="48"/>
      </top>
      <bottom style="thick">
        <color indexed="62"/>
      </bottom>
      <diagonal/>
    </border>
    <border>
      <left style="thin">
        <color indexed="48"/>
      </left>
      <right style="thin">
        <color indexed="48"/>
      </right>
      <top style="thin">
        <color indexed="48"/>
      </top>
      <bottom style="thick">
        <color indexed="62"/>
      </bottom>
      <diagonal/>
    </border>
    <border>
      <left style="thin">
        <color indexed="48"/>
      </left>
      <right style="thick">
        <color indexed="62"/>
      </right>
      <top style="thin">
        <color indexed="48"/>
      </top>
      <bottom style="thick">
        <color indexed="62"/>
      </bottom>
      <diagonal/>
    </border>
    <border>
      <left style="thin">
        <color indexed="17"/>
      </left>
      <right style="thin">
        <color indexed="17"/>
      </right>
      <top/>
      <bottom style="thin">
        <color indexed="17"/>
      </bottom>
      <diagonal/>
    </border>
    <border>
      <left style="thin">
        <color indexed="12"/>
      </left>
      <right style="thin">
        <color indexed="12"/>
      </right>
      <top style="thick">
        <color indexed="62"/>
      </top>
      <bottom style="thin">
        <color indexed="17"/>
      </bottom>
      <diagonal/>
    </border>
    <border>
      <left/>
      <right style="thin">
        <color indexed="48"/>
      </right>
      <top/>
      <bottom style="thin">
        <color indexed="48"/>
      </bottom>
      <diagonal/>
    </border>
    <border>
      <left style="thin">
        <color indexed="48"/>
      </left>
      <right style="thin">
        <color indexed="48"/>
      </right>
      <top/>
      <bottom style="thin">
        <color indexed="48"/>
      </bottom>
      <diagonal/>
    </border>
    <border>
      <left/>
      <right/>
      <top style="thin">
        <color indexed="12"/>
      </top>
      <bottom/>
      <diagonal/>
    </border>
    <border>
      <left/>
      <right style="thin">
        <color indexed="48"/>
      </right>
      <top style="double">
        <color indexed="12"/>
      </top>
      <bottom style="thin">
        <color indexed="12"/>
      </bottom>
      <diagonal/>
    </border>
    <border>
      <left style="thin">
        <color indexed="48"/>
      </left>
      <right style="thin">
        <color indexed="48"/>
      </right>
      <top style="double">
        <color indexed="12"/>
      </top>
      <bottom style="thin">
        <color indexed="12"/>
      </bottom>
      <diagonal/>
    </border>
    <border>
      <left style="thin">
        <color indexed="48"/>
      </left>
      <right/>
      <top style="double">
        <color indexed="12"/>
      </top>
      <bottom style="thin">
        <color indexed="12"/>
      </bottom>
      <diagonal/>
    </border>
    <border>
      <left/>
      <right style="thin">
        <color indexed="18"/>
      </right>
      <top style="medium">
        <color indexed="18"/>
      </top>
      <bottom style="thin">
        <color indexed="18"/>
      </bottom>
      <diagonal/>
    </border>
    <border>
      <left/>
      <right style="thin">
        <color indexed="18"/>
      </right>
      <top style="thin">
        <color indexed="18"/>
      </top>
      <bottom style="thin">
        <color indexed="1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2"/>
      </right>
      <top style="thin">
        <color indexed="62"/>
      </top>
      <bottom/>
      <diagonal/>
    </border>
    <border>
      <left style="thin">
        <color indexed="62"/>
      </left>
      <right style="thin">
        <color indexed="62"/>
      </right>
      <top style="thin">
        <color indexed="62"/>
      </top>
      <bottom/>
      <diagonal/>
    </border>
    <border>
      <left/>
      <right style="thin">
        <color indexed="62"/>
      </right>
      <top style="thin">
        <color indexed="18"/>
      </top>
      <bottom style="thin">
        <color indexed="18"/>
      </bottom>
      <diagonal/>
    </border>
    <border>
      <left style="thin">
        <color indexed="64"/>
      </left>
      <right style="thick">
        <color indexed="62"/>
      </right>
      <top style="thin">
        <color indexed="64"/>
      </top>
      <bottom style="thin">
        <color indexed="64"/>
      </bottom>
      <diagonal/>
    </border>
    <border>
      <left/>
      <right style="thick">
        <color indexed="62"/>
      </right>
      <top style="thin">
        <color indexed="62"/>
      </top>
      <bottom/>
      <diagonal/>
    </border>
    <border>
      <left/>
      <right/>
      <top style="thick">
        <color indexed="62"/>
      </top>
      <bottom style="medium">
        <color indexed="62"/>
      </bottom>
      <diagonal/>
    </border>
    <border>
      <left/>
      <right style="thick">
        <color indexed="62"/>
      </right>
      <top style="thick">
        <color indexed="62"/>
      </top>
      <bottom style="medium">
        <color indexed="62"/>
      </bottom>
      <diagonal/>
    </border>
    <border>
      <left style="medium">
        <color indexed="64"/>
      </left>
      <right/>
      <top/>
      <bottom/>
      <diagonal/>
    </border>
    <border>
      <left style="thick">
        <color indexed="62"/>
      </left>
      <right/>
      <top style="thick">
        <color indexed="62"/>
      </top>
      <bottom style="thick">
        <color indexed="62"/>
      </bottom>
      <diagonal/>
    </border>
    <border>
      <left/>
      <right style="thick">
        <color indexed="62"/>
      </right>
      <top style="thick">
        <color indexed="62"/>
      </top>
      <bottom style="thick">
        <color indexed="62"/>
      </bottom>
      <diagonal/>
    </border>
    <border>
      <left/>
      <right style="thin">
        <color indexed="30"/>
      </right>
      <top style="thin">
        <color indexed="30"/>
      </top>
      <bottom style="thin">
        <color indexed="30"/>
      </bottom>
      <diagonal/>
    </border>
    <border>
      <left style="thin">
        <color indexed="30"/>
      </left>
      <right style="thin">
        <color indexed="30"/>
      </right>
      <top style="thin">
        <color indexed="30"/>
      </top>
      <bottom style="thin">
        <color indexed="30"/>
      </bottom>
      <diagonal/>
    </border>
    <border>
      <left style="thin">
        <color indexed="18"/>
      </left>
      <right style="thin">
        <color indexed="18"/>
      </right>
      <top style="medium">
        <color indexed="18"/>
      </top>
      <bottom style="thin">
        <color indexed="18"/>
      </bottom>
      <diagonal/>
    </border>
    <border>
      <left style="thin">
        <color indexed="18"/>
      </left>
      <right style="thick">
        <color indexed="18"/>
      </right>
      <top style="medium">
        <color indexed="18"/>
      </top>
      <bottom style="thin">
        <color indexed="18"/>
      </bottom>
      <diagonal/>
    </border>
    <border>
      <left style="thick">
        <color indexed="18"/>
      </left>
      <right style="thin">
        <color indexed="18"/>
      </right>
      <top/>
      <bottom style="thin">
        <color indexed="55"/>
      </bottom>
      <diagonal/>
    </border>
    <border>
      <left style="thin">
        <color indexed="18"/>
      </left>
      <right style="thin">
        <color indexed="18"/>
      </right>
      <top/>
      <bottom style="thick">
        <color indexed="18"/>
      </bottom>
      <diagonal/>
    </border>
    <border>
      <left style="thin">
        <color indexed="18"/>
      </left>
      <right style="thick">
        <color indexed="18"/>
      </right>
      <top/>
      <bottom style="thick">
        <color indexed="18"/>
      </bottom>
      <diagonal/>
    </border>
    <border>
      <left style="medium">
        <color indexed="64"/>
      </left>
      <right style="thin">
        <color indexed="64"/>
      </right>
      <top style="medium">
        <color indexed="64"/>
      </top>
      <bottom style="medium">
        <color indexed="64"/>
      </bottom>
      <diagonal/>
    </border>
    <border>
      <left/>
      <right/>
      <top style="thin">
        <color indexed="64"/>
      </top>
      <bottom style="double">
        <color indexed="64"/>
      </bottom>
      <diagonal/>
    </border>
    <border>
      <left style="thin">
        <color indexed="62"/>
      </left>
      <right/>
      <top style="medium">
        <color indexed="62"/>
      </top>
      <bottom style="thin">
        <color indexed="62"/>
      </bottom>
      <diagonal/>
    </border>
    <border>
      <left style="medium">
        <color indexed="64"/>
      </left>
      <right style="medium">
        <color indexed="62"/>
      </right>
      <top style="medium">
        <color indexed="62"/>
      </top>
      <bottom style="medium">
        <color indexed="62"/>
      </bottom>
      <diagonal/>
    </border>
    <border>
      <left style="medium">
        <color indexed="64"/>
      </left>
      <right style="thin">
        <color indexed="62"/>
      </right>
      <top style="thin">
        <color indexed="62"/>
      </top>
      <bottom style="thin">
        <color indexed="62"/>
      </bottom>
      <diagonal/>
    </border>
    <border>
      <left/>
      <right/>
      <top/>
      <bottom style="medium">
        <color indexed="64"/>
      </bottom>
      <diagonal/>
    </border>
    <border>
      <left/>
      <right style="thick">
        <color indexed="62"/>
      </right>
      <top/>
      <bottom style="medium">
        <color indexed="64"/>
      </bottom>
      <diagonal/>
    </border>
    <border>
      <left style="thick">
        <color indexed="12"/>
      </left>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top/>
      <bottom/>
      <diagonal/>
    </border>
    <border>
      <left style="thin">
        <color indexed="62"/>
      </left>
      <right style="medium">
        <color indexed="62"/>
      </right>
      <top style="thin">
        <color indexed="62"/>
      </top>
      <bottom style="thick">
        <color indexed="62"/>
      </bottom>
      <diagonal/>
    </border>
    <border>
      <left style="medium">
        <color indexed="62"/>
      </left>
      <right style="thin">
        <color indexed="62"/>
      </right>
      <top style="thin">
        <color indexed="62"/>
      </top>
      <bottom style="thick">
        <color indexed="62"/>
      </bottom>
      <diagonal/>
    </border>
    <border>
      <left style="thin">
        <color indexed="62"/>
      </left>
      <right style="thick">
        <color indexed="62"/>
      </right>
      <top style="thin">
        <color indexed="62"/>
      </top>
      <bottom style="thick">
        <color indexed="62"/>
      </bottom>
      <diagonal/>
    </border>
    <border>
      <left style="thick">
        <color indexed="62"/>
      </left>
      <right style="thick">
        <color indexed="62"/>
      </right>
      <top style="thick">
        <color indexed="62"/>
      </top>
      <bottom style="thick">
        <color indexed="62"/>
      </bottom>
      <diagonal/>
    </border>
    <border>
      <left style="thin">
        <color indexed="18"/>
      </left>
      <right style="thick">
        <color indexed="62"/>
      </right>
      <top style="thin">
        <color indexed="18"/>
      </top>
      <bottom style="thin">
        <color indexed="18"/>
      </bottom>
      <diagonal/>
    </border>
    <border>
      <left style="thin">
        <color indexed="64"/>
      </left>
      <right style="thin">
        <color indexed="64"/>
      </right>
      <top style="thin">
        <color indexed="64"/>
      </top>
      <bottom style="thin">
        <color indexed="18"/>
      </bottom>
      <diagonal/>
    </border>
    <border>
      <left style="thin">
        <color indexed="64"/>
      </left>
      <right style="thin">
        <color indexed="64"/>
      </right>
      <top style="thin">
        <color indexed="18"/>
      </top>
      <bottom style="thin">
        <color indexed="18"/>
      </bottom>
      <diagonal/>
    </border>
    <border>
      <left style="thin">
        <color indexed="64"/>
      </left>
      <right style="thin">
        <color indexed="64"/>
      </right>
      <top style="thin">
        <color indexed="18"/>
      </top>
      <bottom style="thin">
        <color indexed="64"/>
      </bottom>
      <diagonal/>
    </border>
    <border>
      <left style="thin">
        <color indexed="62"/>
      </left>
      <right style="thin">
        <color indexed="48"/>
      </right>
      <top style="thin">
        <color indexed="48"/>
      </top>
      <bottom style="thick">
        <color indexed="62"/>
      </bottom>
      <diagonal/>
    </border>
    <border>
      <left/>
      <right style="thin">
        <color indexed="12"/>
      </right>
      <top style="thick">
        <color indexed="62"/>
      </top>
      <bottom style="thin">
        <color indexed="17"/>
      </bottom>
      <diagonal/>
    </border>
    <border>
      <left style="thin">
        <color indexed="12"/>
      </left>
      <right style="thick">
        <color indexed="62"/>
      </right>
      <top style="thick">
        <color indexed="62"/>
      </top>
      <bottom style="thin">
        <color indexed="17"/>
      </bottom>
      <diagonal/>
    </border>
    <border>
      <left style="thin">
        <color indexed="17"/>
      </left>
      <right style="thick">
        <color indexed="62"/>
      </right>
      <top style="thin">
        <color indexed="17"/>
      </top>
      <bottom style="thin">
        <color indexed="17"/>
      </bottom>
      <diagonal/>
    </border>
    <border>
      <left/>
      <right style="thick">
        <color indexed="62"/>
      </right>
      <top style="thin">
        <color indexed="12"/>
      </top>
      <bottom/>
      <diagonal/>
    </border>
    <border>
      <left style="thin">
        <color indexed="48"/>
      </left>
      <right style="thick">
        <color indexed="62"/>
      </right>
      <top/>
      <bottom style="thin">
        <color indexed="48"/>
      </bottom>
      <diagonal/>
    </border>
    <border>
      <left style="medium">
        <color indexed="12"/>
      </left>
      <right style="thin">
        <color indexed="48"/>
      </right>
      <top style="thin">
        <color indexed="48"/>
      </top>
      <bottom style="thick">
        <color indexed="62"/>
      </bottom>
      <diagonal/>
    </border>
    <border>
      <left style="thin">
        <color indexed="48"/>
      </left>
      <right/>
      <top style="thin">
        <color indexed="48"/>
      </top>
      <bottom style="thin">
        <color indexed="48"/>
      </bottom>
      <diagonal/>
    </border>
    <border>
      <left style="thin">
        <color indexed="48"/>
      </left>
      <right style="thin">
        <color indexed="48"/>
      </right>
      <top style="double">
        <color indexed="48"/>
      </top>
      <bottom style="thin">
        <color indexed="12"/>
      </bottom>
      <diagonal/>
    </border>
    <border>
      <left style="thin">
        <color indexed="48"/>
      </left>
      <right style="thick">
        <color indexed="62"/>
      </right>
      <top style="double">
        <color indexed="48"/>
      </top>
      <bottom style="thin">
        <color indexed="12"/>
      </bottom>
      <diagonal/>
    </border>
    <border>
      <left/>
      <right/>
      <top/>
      <bottom style="thin">
        <color indexed="44"/>
      </bottom>
      <diagonal/>
    </border>
    <border>
      <left/>
      <right style="thick">
        <color indexed="62"/>
      </right>
      <top/>
      <bottom style="thin">
        <color indexed="48"/>
      </bottom>
      <diagonal/>
    </border>
    <border>
      <left style="medium">
        <color indexed="12"/>
      </left>
      <right style="thin">
        <color indexed="12"/>
      </right>
      <top style="thin">
        <color indexed="48"/>
      </top>
      <bottom style="thin">
        <color indexed="12"/>
      </bottom>
      <diagonal/>
    </border>
    <border>
      <left style="thin">
        <color indexed="12"/>
      </left>
      <right style="thin">
        <color indexed="12"/>
      </right>
      <top style="thin">
        <color indexed="48"/>
      </top>
      <bottom style="thin">
        <color indexed="12"/>
      </bottom>
      <diagonal/>
    </border>
    <border>
      <left style="thin">
        <color indexed="12"/>
      </left>
      <right style="thick">
        <color indexed="62"/>
      </right>
      <top style="thin">
        <color indexed="48"/>
      </top>
      <bottom style="thin">
        <color indexed="12"/>
      </bottom>
      <diagonal/>
    </border>
    <border>
      <left/>
      <right style="thin">
        <color indexed="12"/>
      </right>
      <top style="thin">
        <color indexed="12"/>
      </top>
      <bottom style="thin">
        <color indexed="12"/>
      </bottom>
      <diagonal/>
    </border>
    <border>
      <left style="thin">
        <color indexed="12"/>
      </left>
      <right/>
      <top style="thin">
        <color indexed="12"/>
      </top>
      <bottom style="thin">
        <color indexed="12"/>
      </bottom>
      <diagonal/>
    </border>
    <border>
      <left/>
      <right style="thin">
        <color indexed="62"/>
      </right>
      <top style="thin">
        <color indexed="48"/>
      </top>
      <bottom style="thick">
        <color indexed="62"/>
      </bottom>
      <diagonal/>
    </border>
    <border>
      <left style="thin">
        <color indexed="62"/>
      </left>
      <right style="thin">
        <color indexed="64"/>
      </right>
      <top style="thin">
        <color indexed="62"/>
      </top>
      <bottom style="thin">
        <color indexed="62"/>
      </bottom>
      <diagonal/>
    </border>
    <border>
      <left style="thin">
        <color indexed="62"/>
      </left>
      <right style="thin">
        <color indexed="62"/>
      </right>
      <top style="medium">
        <color indexed="62"/>
      </top>
      <bottom/>
      <diagonal/>
    </border>
    <border>
      <left style="medium">
        <color indexed="64"/>
      </left>
      <right style="thick">
        <color indexed="62"/>
      </right>
      <top style="medium">
        <color indexed="64"/>
      </top>
      <bottom style="thin">
        <color indexed="64"/>
      </bottom>
      <diagonal/>
    </border>
    <border>
      <left style="medium">
        <color indexed="64"/>
      </left>
      <right style="thick">
        <color indexed="62"/>
      </right>
      <top style="thin">
        <color indexed="64"/>
      </top>
      <bottom style="thin">
        <color indexed="64"/>
      </bottom>
      <diagonal/>
    </border>
    <border>
      <left style="medium">
        <color indexed="64"/>
      </left>
      <right style="thick">
        <color indexed="62"/>
      </right>
      <top style="thin">
        <color indexed="64"/>
      </top>
      <bottom style="medium">
        <color indexed="64"/>
      </bottom>
      <diagonal/>
    </border>
    <border>
      <left style="thick">
        <color indexed="62"/>
      </left>
      <right/>
      <top/>
      <bottom style="medium">
        <color indexed="64"/>
      </bottom>
      <diagonal/>
    </border>
    <border>
      <left style="medium">
        <color indexed="62"/>
      </left>
      <right style="thick">
        <color indexed="18"/>
      </right>
      <top/>
      <bottom/>
      <diagonal/>
    </border>
    <border>
      <left style="thin">
        <color indexed="62"/>
      </left>
      <right style="thick">
        <color indexed="18"/>
      </right>
      <top style="thin">
        <color indexed="62"/>
      </top>
      <bottom style="thin">
        <color indexed="62"/>
      </bottom>
      <diagonal/>
    </border>
    <border>
      <left style="thick">
        <color indexed="18"/>
      </left>
      <right/>
      <top/>
      <bottom style="thick">
        <color indexed="62"/>
      </bottom>
      <diagonal/>
    </border>
    <border>
      <left style="thin">
        <color indexed="62"/>
      </left>
      <right style="thick">
        <color indexed="18"/>
      </right>
      <top style="thin">
        <color indexed="62"/>
      </top>
      <bottom style="thick">
        <color indexed="62"/>
      </bottom>
      <diagonal/>
    </border>
    <border>
      <left/>
      <right style="thick">
        <color indexed="18"/>
      </right>
      <top/>
      <bottom style="thick">
        <color indexed="62"/>
      </bottom>
      <diagonal/>
    </border>
    <border>
      <left style="thick">
        <color indexed="62"/>
      </left>
      <right/>
      <top/>
      <bottom style="double">
        <color indexed="12"/>
      </bottom>
      <diagonal/>
    </border>
    <border>
      <left style="thin">
        <color indexed="62"/>
      </left>
      <right style="thick">
        <color indexed="62"/>
      </right>
      <top style="thin">
        <color indexed="18"/>
      </top>
      <bottom style="thin">
        <color indexed="18"/>
      </bottom>
      <diagonal/>
    </border>
    <border>
      <left style="thick">
        <color indexed="18"/>
      </left>
      <right/>
      <top style="medium">
        <color indexed="62"/>
      </top>
      <bottom/>
      <diagonal/>
    </border>
    <border>
      <left style="thin">
        <color indexed="62"/>
      </left>
      <right style="thick">
        <color indexed="18"/>
      </right>
      <top style="medium">
        <color indexed="62"/>
      </top>
      <bottom/>
      <diagonal/>
    </border>
    <border>
      <left style="thin">
        <color indexed="62"/>
      </left>
      <right style="thick">
        <color indexed="18"/>
      </right>
      <top/>
      <bottom/>
      <diagonal/>
    </border>
    <border>
      <left style="thick">
        <color indexed="18"/>
      </left>
      <right/>
      <top/>
      <bottom style="medium">
        <color indexed="62"/>
      </bottom>
      <diagonal/>
    </border>
    <border>
      <left style="thin">
        <color indexed="62"/>
      </left>
      <right style="thick">
        <color indexed="18"/>
      </right>
      <top/>
      <bottom style="medium">
        <color indexed="62"/>
      </bottom>
      <diagonal/>
    </border>
    <border>
      <left style="thin">
        <color indexed="62"/>
      </left>
      <right style="thick">
        <color indexed="18"/>
      </right>
      <top style="thin">
        <color indexed="18"/>
      </top>
      <bottom style="thin">
        <color indexed="18"/>
      </bottom>
      <diagonal/>
    </border>
    <border>
      <left style="thick">
        <color indexed="18"/>
      </left>
      <right/>
      <top style="thick">
        <color indexed="62"/>
      </top>
      <bottom/>
      <diagonal/>
    </border>
    <border>
      <left/>
      <right style="thick">
        <color indexed="18"/>
      </right>
      <top style="thick">
        <color indexed="62"/>
      </top>
      <bottom/>
      <diagonal/>
    </border>
    <border>
      <left style="medium">
        <color indexed="62"/>
      </left>
      <right style="thick">
        <color indexed="18"/>
      </right>
      <top style="thick">
        <color indexed="62"/>
      </top>
      <bottom/>
      <diagonal/>
    </border>
    <border>
      <left style="medium">
        <color indexed="62"/>
      </left>
      <right style="thick">
        <color indexed="18"/>
      </right>
      <top/>
      <bottom style="thick">
        <color indexed="62"/>
      </bottom>
      <diagonal/>
    </border>
    <border>
      <left/>
      <right style="thick">
        <color indexed="18"/>
      </right>
      <top style="thin">
        <color indexed="62"/>
      </top>
      <bottom/>
      <diagonal/>
    </border>
    <border>
      <left style="thick">
        <color indexed="18"/>
      </left>
      <right/>
      <top style="thick">
        <color indexed="62"/>
      </top>
      <bottom style="medium">
        <color indexed="62"/>
      </bottom>
      <diagonal/>
    </border>
    <border>
      <left/>
      <right style="thick">
        <color indexed="18"/>
      </right>
      <top style="thick">
        <color indexed="62"/>
      </top>
      <bottom style="medium">
        <color indexed="62"/>
      </bottom>
      <diagonal/>
    </border>
    <border>
      <left/>
      <right style="thick">
        <color indexed="18"/>
      </right>
      <top style="medium">
        <color indexed="62"/>
      </top>
      <bottom/>
      <diagonal/>
    </border>
    <border>
      <left style="medium">
        <color indexed="62"/>
      </left>
      <right style="thick">
        <color indexed="18"/>
      </right>
      <top style="medium">
        <color indexed="62"/>
      </top>
      <bottom style="medium">
        <color indexed="62"/>
      </bottom>
      <diagonal/>
    </border>
    <border>
      <left/>
      <right style="thick">
        <color indexed="18"/>
      </right>
      <top/>
      <bottom style="medium">
        <color indexed="62"/>
      </bottom>
      <diagonal/>
    </border>
    <border>
      <left style="thick">
        <color indexed="18"/>
      </left>
      <right/>
      <top style="thick">
        <color indexed="62"/>
      </top>
      <bottom style="thick">
        <color indexed="62"/>
      </bottom>
      <diagonal/>
    </border>
    <border>
      <left style="thin">
        <color indexed="62"/>
      </left>
      <right/>
      <top style="thin">
        <color indexed="62"/>
      </top>
      <bottom/>
      <diagonal/>
    </border>
    <border>
      <left/>
      <right/>
      <top style="thin">
        <color indexed="62"/>
      </top>
      <bottom/>
      <diagonal/>
    </border>
    <border>
      <left/>
      <right style="thin">
        <color indexed="62"/>
      </right>
      <top style="thin">
        <color indexed="62"/>
      </top>
      <bottom/>
      <diagonal/>
    </border>
    <border>
      <left style="thin">
        <color indexed="62"/>
      </left>
      <right style="thick">
        <color indexed="18"/>
      </right>
      <top style="thin">
        <color indexed="62"/>
      </top>
      <bottom/>
      <diagonal/>
    </border>
    <border>
      <left style="medium">
        <color indexed="18"/>
      </left>
      <right style="thin">
        <color indexed="18"/>
      </right>
      <top/>
      <bottom style="thin">
        <color indexed="18"/>
      </bottom>
      <diagonal/>
    </border>
    <border>
      <left style="thin">
        <color indexed="18"/>
      </left>
      <right style="thin">
        <color indexed="18"/>
      </right>
      <top/>
      <bottom style="thin">
        <color indexed="18"/>
      </bottom>
      <diagonal/>
    </border>
    <border>
      <left style="thin">
        <color indexed="18"/>
      </left>
      <right style="thick">
        <color indexed="18"/>
      </right>
      <top/>
      <bottom style="thin">
        <color indexed="18"/>
      </bottom>
      <diagonal/>
    </border>
    <border>
      <left style="medium">
        <color indexed="62"/>
      </left>
      <right style="thick">
        <color indexed="18"/>
      </right>
      <top style="medium">
        <color indexed="62"/>
      </top>
      <bottom/>
      <diagonal/>
    </border>
    <border>
      <left style="medium">
        <color indexed="62"/>
      </left>
      <right style="thick">
        <color indexed="18"/>
      </right>
      <top/>
      <bottom style="thick">
        <color indexed="18"/>
      </bottom>
      <diagonal/>
    </border>
    <border>
      <left style="medium">
        <color indexed="62"/>
      </left>
      <right style="medium">
        <color indexed="62"/>
      </right>
      <top style="thick">
        <color indexed="62"/>
      </top>
      <bottom/>
      <diagonal/>
    </border>
    <border>
      <left/>
      <right style="medium">
        <color indexed="62"/>
      </right>
      <top style="medium">
        <color indexed="64"/>
      </top>
      <bottom/>
      <diagonal/>
    </border>
    <border>
      <left style="medium">
        <color indexed="62"/>
      </left>
      <right/>
      <top style="medium">
        <color indexed="64"/>
      </top>
      <bottom/>
      <diagonal/>
    </border>
    <border>
      <left/>
      <right style="thick">
        <color indexed="62"/>
      </right>
      <top style="medium">
        <color indexed="64"/>
      </top>
      <bottom/>
      <diagonal/>
    </border>
    <border>
      <left style="thin">
        <color indexed="62"/>
      </left>
      <right/>
      <top style="thin">
        <color indexed="62"/>
      </top>
      <bottom style="thick">
        <color indexed="62"/>
      </bottom>
      <diagonal/>
    </border>
    <border>
      <left style="medium">
        <color indexed="64"/>
      </left>
      <right/>
      <top style="medium">
        <color indexed="62"/>
      </top>
      <bottom/>
      <diagonal/>
    </border>
    <border>
      <left style="medium">
        <color indexed="64"/>
      </left>
      <right/>
      <top/>
      <bottom style="medium">
        <color indexed="62"/>
      </bottom>
      <diagonal/>
    </border>
    <border>
      <left style="medium">
        <color indexed="64"/>
      </left>
      <right/>
      <top style="medium">
        <color indexed="64"/>
      </top>
      <bottom/>
      <diagonal/>
    </border>
    <border>
      <left/>
      <right/>
      <top/>
      <bottom style="thin">
        <color indexed="18"/>
      </bottom>
      <diagonal/>
    </border>
    <border>
      <left style="thin">
        <color indexed="18"/>
      </left>
      <right/>
      <top style="medium">
        <color indexed="18"/>
      </top>
      <bottom style="thin">
        <color indexed="18"/>
      </bottom>
      <diagonal/>
    </border>
    <border>
      <left style="thin">
        <color indexed="62"/>
      </left>
      <right style="medium">
        <color indexed="62"/>
      </right>
      <top style="thick">
        <color indexed="62"/>
      </top>
      <bottom/>
      <diagonal/>
    </border>
    <border>
      <left style="thin">
        <color indexed="62"/>
      </left>
      <right style="medium">
        <color indexed="62"/>
      </right>
      <top/>
      <bottom/>
      <diagonal/>
    </border>
    <border>
      <left style="thin">
        <color indexed="62"/>
      </left>
      <right style="medium">
        <color indexed="62"/>
      </right>
      <top/>
      <bottom style="thick">
        <color indexed="62"/>
      </bottom>
      <diagonal/>
    </border>
    <border>
      <left style="medium">
        <color indexed="62"/>
      </left>
      <right style="thin">
        <color indexed="62"/>
      </right>
      <top style="thick">
        <color indexed="62"/>
      </top>
      <bottom/>
      <diagonal/>
    </border>
    <border>
      <left style="medium">
        <color indexed="62"/>
      </left>
      <right style="thin">
        <color indexed="62"/>
      </right>
      <top/>
      <bottom/>
      <diagonal/>
    </border>
    <border>
      <left style="medium">
        <color indexed="62"/>
      </left>
      <right style="thin">
        <color indexed="62"/>
      </right>
      <top/>
      <bottom style="thick">
        <color indexed="62"/>
      </bottom>
      <diagonal/>
    </border>
    <border>
      <left style="thin">
        <color indexed="62"/>
      </left>
      <right style="thin">
        <color indexed="62"/>
      </right>
      <top style="thick">
        <color indexed="62"/>
      </top>
      <bottom/>
      <diagonal/>
    </border>
    <border>
      <left style="thin">
        <color indexed="62"/>
      </left>
      <right/>
      <top/>
      <bottom/>
      <diagonal/>
    </border>
    <border>
      <left style="thin">
        <color indexed="62"/>
      </left>
      <right style="medium">
        <color indexed="62"/>
      </right>
      <top/>
      <bottom style="medium">
        <color indexed="62"/>
      </bottom>
      <diagonal/>
    </border>
    <border>
      <left style="medium">
        <color indexed="62"/>
      </left>
      <right style="thin">
        <color indexed="62"/>
      </right>
      <top style="medium">
        <color indexed="62"/>
      </top>
      <bottom/>
      <diagonal/>
    </border>
    <border>
      <left style="thin">
        <color indexed="62"/>
      </left>
      <right style="medium">
        <color indexed="62"/>
      </right>
      <top style="medium">
        <color indexed="62"/>
      </top>
      <bottom/>
      <diagonal/>
    </border>
    <border>
      <left style="medium">
        <color indexed="62"/>
      </left>
      <right style="thin">
        <color indexed="62"/>
      </right>
      <top/>
      <bottom style="medium">
        <color indexed="62"/>
      </bottom>
      <diagonal/>
    </border>
    <border>
      <left style="thin">
        <color indexed="62"/>
      </left>
      <right style="thin">
        <color indexed="62"/>
      </right>
      <top/>
      <bottom style="medium">
        <color indexed="62"/>
      </bottom>
      <diagonal/>
    </border>
    <border>
      <left style="thin">
        <color indexed="62"/>
      </left>
      <right/>
      <top style="medium">
        <color indexed="62"/>
      </top>
      <bottom/>
      <diagonal/>
    </border>
    <border>
      <left style="thin">
        <color indexed="62"/>
      </left>
      <right/>
      <top/>
      <bottom style="medium">
        <color indexed="62"/>
      </bottom>
      <diagonal/>
    </border>
    <border>
      <left style="medium">
        <color indexed="62"/>
      </left>
      <right style="medium">
        <color indexed="62"/>
      </right>
      <top style="thin">
        <color indexed="62"/>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indexed="18"/>
      </left>
      <right/>
      <top style="thick">
        <color indexed="18"/>
      </top>
      <bottom style="thick">
        <color indexed="18"/>
      </bottom>
      <diagonal/>
    </border>
    <border>
      <left style="medium">
        <color indexed="18"/>
      </left>
      <right style="medium">
        <color indexed="18"/>
      </right>
      <top style="thick">
        <color indexed="18"/>
      </top>
      <bottom style="thick">
        <color indexed="18"/>
      </bottom>
      <diagonal/>
    </border>
    <border>
      <left style="medium">
        <color indexed="18"/>
      </left>
      <right style="thick">
        <color indexed="18"/>
      </right>
      <top style="thick">
        <color indexed="18"/>
      </top>
      <bottom style="thick">
        <color indexed="18"/>
      </bottom>
      <diagonal/>
    </border>
    <border>
      <left style="thick">
        <color indexed="18"/>
      </left>
      <right style="thin">
        <color indexed="18"/>
      </right>
      <top style="thick">
        <color indexed="18"/>
      </top>
      <bottom/>
      <diagonal/>
    </border>
    <border>
      <left style="thin">
        <color indexed="18"/>
      </left>
      <right style="thin">
        <color indexed="18"/>
      </right>
      <top style="thick">
        <color indexed="18"/>
      </top>
      <bottom/>
      <diagonal/>
    </border>
    <border>
      <left style="thin">
        <color indexed="18"/>
      </left>
      <right style="thick">
        <color indexed="18"/>
      </right>
      <top style="thick">
        <color indexed="18"/>
      </top>
      <bottom/>
      <diagonal/>
    </border>
    <border>
      <left style="thick">
        <color indexed="18"/>
      </left>
      <right style="thin">
        <color indexed="18"/>
      </right>
      <top/>
      <bottom style="thick">
        <color indexed="18"/>
      </bottom>
      <diagonal/>
    </border>
    <border>
      <left/>
      <right style="thin">
        <color indexed="62"/>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ck">
        <color indexed="56"/>
      </left>
      <right/>
      <top/>
      <bottom/>
      <diagonal/>
    </border>
    <border>
      <left/>
      <right style="thick">
        <color indexed="56"/>
      </right>
      <top/>
      <bottom/>
      <diagonal/>
    </border>
    <border>
      <left style="medium">
        <color indexed="18"/>
      </left>
      <right style="thin">
        <color indexed="18"/>
      </right>
      <top style="thin">
        <color indexed="18"/>
      </top>
      <bottom style="thick">
        <color indexed="18"/>
      </bottom>
      <diagonal/>
    </border>
    <border>
      <left/>
      <right style="thin">
        <color indexed="62"/>
      </right>
      <top style="medium">
        <color indexed="64"/>
      </top>
      <bottom/>
      <diagonal/>
    </border>
    <border>
      <left style="thin">
        <color indexed="62"/>
      </left>
      <right style="thin">
        <color indexed="62"/>
      </right>
      <top style="medium">
        <color indexed="64"/>
      </top>
      <bottom/>
      <diagonal/>
    </border>
    <border>
      <left style="thin">
        <color indexed="62"/>
      </left>
      <right style="medium">
        <color indexed="64"/>
      </right>
      <top style="medium">
        <color indexed="64"/>
      </top>
      <bottom/>
      <diagonal/>
    </border>
    <border>
      <left style="thin">
        <color indexed="62"/>
      </left>
      <right style="medium">
        <color indexed="64"/>
      </right>
      <top/>
      <bottom/>
      <diagonal/>
    </border>
    <border>
      <left style="medium">
        <color indexed="64"/>
      </left>
      <right style="thin">
        <color indexed="62"/>
      </right>
      <top/>
      <bottom/>
      <diagonal/>
    </border>
    <border>
      <left style="medium">
        <color indexed="64"/>
      </left>
      <right style="thin">
        <color indexed="62"/>
      </right>
      <top/>
      <bottom style="thin">
        <color indexed="62"/>
      </bottom>
      <diagonal/>
    </border>
    <border>
      <left style="thin">
        <color indexed="62"/>
      </left>
      <right style="medium">
        <color indexed="64"/>
      </right>
      <top/>
      <bottom style="thin">
        <color indexed="62"/>
      </bottom>
      <diagonal/>
    </border>
    <border>
      <left style="medium">
        <color indexed="64"/>
      </left>
      <right style="thin">
        <color indexed="62"/>
      </right>
      <top/>
      <bottom style="medium">
        <color indexed="64"/>
      </bottom>
      <diagonal/>
    </border>
    <border>
      <left style="thin">
        <color indexed="62"/>
      </left>
      <right style="thin">
        <color indexed="62"/>
      </right>
      <top/>
      <bottom style="medium">
        <color indexed="64"/>
      </bottom>
      <diagonal/>
    </border>
    <border>
      <left style="thin">
        <color indexed="62"/>
      </left>
      <right/>
      <top/>
      <bottom style="medium">
        <color indexed="64"/>
      </bottom>
      <diagonal/>
    </border>
    <border>
      <left style="thin">
        <color indexed="62"/>
      </left>
      <right style="medium">
        <color indexed="64"/>
      </right>
      <top/>
      <bottom style="medium">
        <color indexed="64"/>
      </bottom>
      <diagonal/>
    </border>
    <border>
      <left style="thick">
        <color indexed="62"/>
      </left>
      <right style="medium">
        <color indexed="62"/>
      </right>
      <top style="medium">
        <color indexed="62"/>
      </top>
      <bottom/>
      <diagonal/>
    </border>
    <border>
      <left style="medium">
        <color indexed="62"/>
      </left>
      <right style="medium">
        <color indexed="62"/>
      </right>
      <top style="medium">
        <color indexed="64"/>
      </top>
      <bottom style="medium">
        <color indexed="64"/>
      </bottom>
      <diagonal/>
    </border>
    <border>
      <left/>
      <right style="thin">
        <color indexed="62"/>
      </right>
      <top style="medium">
        <color indexed="64"/>
      </top>
      <bottom style="medium">
        <color indexed="64"/>
      </bottom>
      <diagonal/>
    </border>
    <border>
      <left style="thin">
        <color indexed="62"/>
      </left>
      <right style="thin">
        <color indexed="62"/>
      </right>
      <top style="medium">
        <color indexed="64"/>
      </top>
      <bottom style="medium">
        <color indexed="64"/>
      </bottom>
      <diagonal/>
    </border>
    <border>
      <left style="thin">
        <color indexed="62"/>
      </left>
      <right style="medium">
        <color indexed="64"/>
      </right>
      <top style="medium">
        <color indexed="64"/>
      </top>
      <bottom style="medium">
        <color indexed="64"/>
      </bottom>
      <diagonal/>
    </border>
    <border>
      <left/>
      <right/>
      <top style="thin">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2"/>
      </right>
      <top style="thin">
        <color indexed="62"/>
      </top>
      <bottom style="thin">
        <color indexed="64"/>
      </bottom>
      <diagonal/>
    </border>
    <border>
      <left style="thin">
        <color indexed="64"/>
      </left>
      <right/>
      <top/>
      <bottom style="thin">
        <color indexed="62"/>
      </bottom>
      <diagonal/>
    </border>
    <border>
      <left style="thin">
        <color indexed="62"/>
      </left>
      <right style="thin">
        <color indexed="62"/>
      </right>
      <top style="thin">
        <color indexed="62"/>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double">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thin">
        <color indexed="64"/>
      </bottom>
      <diagonal/>
    </border>
    <border>
      <left/>
      <right style="medium">
        <color rgb="FF000000"/>
      </right>
      <top/>
      <bottom style="thin">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double">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indexed="64"/>
      </right>
      <top/>
      <bottom/>
      <diagonal/>
    </border>
    <border>
      <left style="thin">
        <color rgb="FF000000"/>
      </left>
      <right style="thin">
        <color rgb="FF000000"/>
      </right>
      <top/>
      <bottom/>
      <diagonal/>
    </border>
    <border>
      <left style="thin">
        <color indexed="64"/>
      </left>
      <right style="thin">
        <color indexed="8"/>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rgb="FF000000"/>
      </left>
      <right/>
      <top/>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style="medium">
        <color indexed="64"/>
      </left>
      <right/>
      <top style="thin">
        <color indexed="64"/>
      </top>
      <bottom style="double">
        <color indexed="64"/>
      </bottom>
      <diagonal/>
    </border>
    <border>
      <left style="medium">
        <color rgb="FF000000"/>
      </left>
      <right style="thin">
        <color indexed="64"/>
      </right>
      <top style="medium">
        <color rgb="FF000000"/>
      </top>
      <bottom style="thin">
        <color indexed="64"/>
      </bottom>
      <diagonal/>
    </border>
    <border>
      <left/>
      <right style="thin">
        <color indexed="64"/>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style="thin">
        <color indexed="64"/>
      </right>
      <top/>
      <bottom style="thin">
        <color indexed="64"/>
      </bottom>
      <diagonal/>
    </border>
    <border>
      <left style="medium">
        <color rgb="FF000000"/>
      </left>
      <right style="thin">
        <color indexed="64"/>
      </right>
      <top/>
      <bottom style="medium">
        <color rgb="FF000000"/>
      </bottom>
      <diagonal/>
    </border>
    <border>
      <left/>
      <right style="thin">
        <color indexed="64"/>
      </right>
      <top/>
      <bottom style="medium">
        <color rgb="FF000000"/>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thin">
        <color rgb="FF000000"/>
      </left>
      <right/>
      <top/>
      <bottom style="thin">
        <color rgb="FF000000"/>
      </bottom>
      <diagonal/>
    </border>
    <border>
      <left style="thin">
        <color rgb="FF000000"/>
      </left>
      <right/>
      <top style="thin">
        <color rgb="FF000000"/>
      </top>
      <bottom/>
      <diagonal/>
    </border>
    <border>
      <left/>
      <right/>
      <top/>
      <bottom style="thin">
        <color theme="4" tint="0.39997558519241921"/>
      </bottom>
      <diagonal/>
    </border>
    <border>
      <left style="thin">
        <color rgb="FF000000"/>
      </left>
      <right style="thin">
        <color rgb="FF000000"/>
      </right>
      <top style="thin">
        <color indexed="64"/>
      </top>
      <bottom style="double">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style="thin">
        <color rgb="FF000000"/>
      </right>
      <top style="thin">
        <color rgb="FF000000"/>
      </top>
      <bottom/>
      <diagonal/>
    </border>
    <border>
      <left style="thin">
        <color rgb="FF000000"/>
      </left>
      <right style="thin">
        <color indexed="64"/>
      </right>
      <top style="thin">
        <color rgb="FF000000"/>
      </top>
      <bottom/>
      <diagonal/>
    </border>
    <border>
      <left style="thin">
        <color indexed="64"/>
      </left>
      <right style="thin">
        <color rgb="FF000000"/>
      </right>
      <top/>
      <bottom style="thin">
        <color rgb="FF000000"/>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medium">
        <color rgb="FF000000"/>
      </left>
      <right/>
      <top/>
      <bottom style="thin">
        <color rgb="FF000000"/>
      </bottom>
      <diagonal/>
    </border>
    <border>
      <left/>
      <right style="medium">
        <color rgb="FF000000"/>
      </right>
      <top/>
      <bottom style="thin">
        <color rgb="FF000000"/>
      </bottom>
      <diagonal/>
    </border>
    <border>
      <left/>
      <right/>
      <top style="thin">
        <color rgb="FF000000"/>
      </top>
      <bottom style="double">
        <color rgb="FF000000"/>
      </bottom>
      <diagonal/>
    </border>
    <border>
      <left/>
      <right style="thin">
        <color indexed="64"/>
      </right>
      <top style="thin">
        <color rgb="FF000000"/>
      </top>
      <bottom/>
      <diagonal/>
    </border>
    <border>
      <left/>
      <right style="thin">
        <color indexed="64"/>
      </right>
      <top/>
      <bottom style="thin">
        <color rgb="FF000000"/>
      </bottom>
      <diagonal/>
    </border>
    <border>
      <left/>
      <right style="thin">
        <color rgb="FF000000"/>
      </right>
      <top style="thin">
        <color rgb="FF000000"/>
      </top>
      <bottom style="thin">
        <color indexed="64"/>
      </bottom>
      <diagonal/>
    </border>
    <border>
      <left style="thin">
        <color indexed="64"/>
      </left>
      <right/>
      <top/>
      <bottom style="medium">
        <color rgb="FF000000"/>
      </bottom>
      <diagonal/>
    </border>
    <border>
      <left style="thin">
        <color indexed="64"/>
      </left>
      <right style="thin">
        <color indexed="64"/>
      </right>
      <top/>
      <bottom style="hair">
        <color indexed="64"/>
      </bottom>
      <diagonal/>
    </border>
    <border>
      <left style="thin">
        <color indexed="64"/>
      </left>
      <right style="thin">
        <color rgb="FF000000"/>
      </right>
      <top/>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medium">
        <color indexed="64"/>
      </left>
      <right/>
      <top style="thin">
        <color indexed="64"/>
      </top>
      <bottom/>
      <diagonal/>
    </border>
    <border>
      <left style="thin">
        <color indexed="18"/>
      </left>
      <right/>
      <top/>
      <bottom style="medium">
        <color indexed="18"/>
      </bottom>
      <diagonal/>
    </border>
  </borders>
  <cellStyleXfs count="113">
    <xf numFmtId="0" fontId="0" fillId="0" borderId="0"/>
    <xf numFmtId="0" fontId="25" fillId="2" borderId="0" applyNumberFormat="0" applyBorder="0" applyAlignment="0" applyProtection="0"/>
    <xf numFmtId="0" fontId="25" fillId="3" borderId="0" applyNumberFormat="0" applyBorder="0" applyAlignment="0" applyProtection="0"/>
    <xf numFmtId="0" fontId="25" fillId="4" borderId="0" applyNumberFormat="0" applyBorder="0" applyAlignment="0" applyProtection="0"/>
    <xf numFmtId="0" fontId="25" fillId="5" borderId="0" applyNumberFormat="0" applyBorder="0" applyAlignment="0" applyProtection="0"/>
    <xf numFmtId="0" fontId="25" fillId="6" borderId="0" applyNumberFormat="0" applyBorder="0" applyAlignment="0" applyProtection="0"/>
    <xf numFmtId="0" fontId="25" fillId="7" borderId="0" applyNumberFormat="0" applyBorder="0" applyAlignment="0" applyProtection="0"/>
    <xf numFmtId="0" fontId="25" fillId="8" borderId="0" applyNumberFormat="0" applyBorder="0" applyAlignment="0" applyProtection="0"/>
    <xf numFmtId="0" fontId="25" fillId="9" borderId="0" applyNumberFormat="0" applyBorder="0" applyAlignment="0" applyProtection="0"/>
    <xf numFmtId="0" fontId="25" fillId="10" borderId="0" applyNumberFormat="0" applyBorder="0" applyAlignment="0" applyProtection="0"/>
    <xf numFmtId="0" fontId="25" fillId="5" borderId="0" applyNumberFormat="0" applyBorder="0" applyAlignment="0" applyProtection="0"/>
    <xf numFmtId="0" fontId="25" fillId="8" borderId="0" applyNumberFormat="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6" fillId="9" borderId="0" applyNumberFormat="0" applyBorder="0" applyAlignment="0" applyProtection="0"/>
    <xf numFmtId="0" fontId="26" fillId="10"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9" borderId="0" applyNumberFormat="0" applyBorder="0" applyAlignment="0" applyProtection="0"/>
    <xf numFmtId="0" fontId="27" fillId="3" borderId="0" applyNumberFormat="0" applyBorder="0" applyAlignment="0" applyProtection="0"/>
    <xf numFmtId="0" fontId="28" fillId="20" borderId="1" applyNumberFormat="0" applyAlignment="0" applyProtection="0"/>
    <xf numFmtId="0" fontId="29" fillId="21" borderId="2" applyNumberFormat="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0" fillId="0" borderId="0" applyNumberFormat="0" applyFill="0" applyBorder="0" applyAlignment="0" applyProtection="0"/>
    <xf numFmtId="0" fontId="31" fillId="4" borderId="0" applyNumberFormat="0" applyBorder="0" applyAlignment="0" applyProtection="0"/>
    <xf numFmtId="0" fontId="32" fillId="0" borderId="3" applyNumberFormat="0" applyFill="0" applyAlignment="0" applyProtection="0"/>
    <xf numFmtId="0" fontId="33" fillId="0" borderId="4" applyNumberFormat="0" applyFill="0" applyAlignment="0" applyProtection="0"/>
    <xf numFmtId="0" fontId="34" fillId="0" borderId="5" applyNumberFormat="0" applyFill="0" applyAlignment="0" applyProtection="0"/>
    <xf numFmtId="0" fontId="34" fillId="0" borderId="0" applyNumberFormat="0" applyFill="0" applyBorder="0" applyAlignment="0" applyProtection="0"/>
    <xf numFmtId="0" fontId="7" fillId="0" borderId="0" applyNumberFormat="0" applyFill="0" applyBorder="0" applyAlignment="0" applyProtection="0">
      <alignment vertical="top"/>
      <protection locked="0"/>
    </xf>
    <xf numFmtId="0" fontId="35" fillId="7" borderId="1" applyNumberFormat="0" applyAlignment="0" applyProtection="0"/>
    <xf numFmtId="0" fontId="36" fillId="0" borderId="6" applyNumberFormat="0" applyFill="0" applyAlignment="0" applyProtection="0"/>
    <xf numFmtId="0" fontId="37" fillId="22" borderId="0" applyNumberFormat="0" applyBorder="0" applyAlignment="0" applyProtection="0"/>
    <xf numFmtId="0" fontId="44" fillId="0" borderId="0"/>
    <xf numFmtId="0" fontId="6" fillId="0" borderId="0"/>
    <xf numFmtId="0" fontId="6" fillId="0" borderId="0"/>
    <xf numFmtId="0" fontId="47" fillId="0" borderId="0"/>
    <xf numFmtId="0" fontId="5" fillId="0" borderId="0"/>
    <xf numFmtId="0" fontId="47" fillId="0" borderId="0"/>
    <xf numFmtId="0" fontId="4" fillId="0" borderId="0"/>
    <xf numFmtId="0" fontId="5" fillId="0" borderId="0"/>
    <xf numFmtId="0" fontId="3" fillId="0" borderId="0"/>
    <xf numFmtId="0" fontId="5" fillId="0" borderId="0"/>
    <xf numFmtId="0" fontId="5" fillId="0" borderId="0"/>
    <xf numFmtId="0" fontId="3" fillId="23" borderId="7" applyNumberFormat="0" applyFont="0" applyAlignment="0" applyProtection="0"/>
    <xf numFmtId="0" fontId="38" fillId="20" borderId="8" applyNumberFormat="0" applyAlignment="0" applyProtection="0"/>
    <xf numFmtId="9" fontId="3" fillId="0" borderId="0" applyFont="0" applyFill="0" applyBorder="0" applyAlignment="0" applyProtection="0"/>
    <xf numFmtId="9" fontId="3" fillId="0" borderId="0" applyFont="0" applyFill="0" applyBorder="0" applyAlignment="0" applyProtection="0"/>
    <xf numFmtId="0" fontId="39" fillId="0" borderId="0" applyNumberFormat="0" applyFill="0" applyBorder="0" applyAlignment="0" applyProtection="0"/>
    <xf numFmtId="0" fontId="40" fillId="0" borderId="9" applyNumberFormat="0" applyFill="0" applyAlignment="0" applyProtection="0"/>
    <xf numFmtId="0" fontId="41" fillId="0" borderId="0" applyNumberFormat="0" applyFill="0" applyBorder="0" applyAlignment="0" applyProtection="0"/>
    <xf numFmtId="9" fontId="44" fillId="0" borderId="0" applyFont="0" applyFill="0" applyBorder="0" applyAlignment="0" applyProtection="0"/>
    <xf numFmtId="43" fontId="44" fillId="0" borderId="0" applyFont="0" applyFill="0" applyBorder="0" applyAlignment="0" applyProtection="0"/>
    <xf numFmtId="43" fontId="5" fillId="0" borderId="0" applyFont="0" applyFill="0" applyBorder="0" applyAlignment="0" applyProtection="0"/>
    <xf numFmtId="0" fontId="5" fillId="0" borderId="0"/>
    <xf numFmtId="9" fontId="5" fillId="0" borderId="0" applyFont="0" applyFill="0" applyBorder="0" applyAlignment="0" applyProtection="0"/>
    <xf numFmtId="43" fontId="5" fillId="0" borderId="0" applyFont="0" applyFill="0" applyBorder="0" applyAlignment="0" applyProtection="0"/>
    <xf numFmtId="0" fontId="72" fillId="0" borderId="0" applyNumberFormat="0" applyFill="0" applyBorder="0" applyAlignment="0" applyProtection="0"/>
    <xf numFmtId="0" fontId="3" fillId="0" borderId="0"/>
    <xf numFmtId="9" fontId="2" fillId="0" borderId="0" applyFont="0" applyFill="0" applyBorder="0" applyAlignment="0" applyProtection="0"/>
    <xf numFmtId="0" fontId="5" fillId="0" borderId="0"/>
    <xf numFmtId="0" fontId="3" fillId="0" borderId="0"/>
    <xf numFmtId="43" fontId="3" fillId="0" borderId="0" applyFont="0" applyFill="0" applyBorder="0" applyAlignment="0" applyProtection="0"/>
    <xf numFmtId="0" fontId="5" fillId="0" borderId="0"/>
    <xf numFmtId="0" fontId="5" fillId="0" borderId="0"/>
    <xf numFmtId="0" fontId="31" fillId="4" borderId="0" applyNumberFormat="0" applyBorder="0" applyAlignment="0" applyProtection="0"/>
    <xf numFmtId="0" fontId="27" fillId="3" borderId="0" applyNumberFormat="0" applyBorder="0" applyAlignment="0" applyProtection="0"/>
    <xf numFmtId="43" fontId="3" fillId="0" borderId="0" applyFont="0" applyFill="0" applyBorder="0" applyAlignment="0" applyProtection="0"/>
    <xf numFmtId="0" fontId="96" fillId="0" borderId="0"/>
    <xf numFmtId="0" fontId="2" fillId="0" borderId="0"/>
    <xf numFmtId="0" fontId="5" fillId="0" borderId="0"/>
    <xf numFmtId="44" fontId="5"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5" fillId="0" borderId="0"/>
    <xf numFmtId="44" fontId="5" fillId="0" borderId="0" applyFont="0" applyFill="0" applyBorder="0" applyAlignment="0" applyProtection="0"/>
    <xf numFmtId="43" fontId="2" fillId="0" borderId="0" applyFont="0" applyFill="0" applyBorder="0" applyAlignment="0" applyProtection="0"/>
    <xf numFmtId="0" fontId="5" fillId="0" borderId="0"/>
    <xf numFmtId="0" fontId="2" fillId="0" borderId="0"/>
    <xf numFmtId="0" fontId="2" fillId="0" borderId="0"/>
    <xf numFmtId="0" fontId="5" fillId="0" borderId="0"/>
    <xf numFmtId="0" fontId="5" fillId="0" borderId="0"/>
    <xf numFmtId="4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3" fillId="0" borderId="0"/>
    <xf numFmtId="44" fontId="3" fillId="0" borderId="0" applyFont="0" applyFill="0" applyBorder="0" applyAlignment="0" applyProtection="0"/>
    <xf numFmtId="9" fontId="3" fillId="0" borderId="0" applyFont="0" applyFill="0" applyBorder="0" applyAlignment="0" applyProtection="0"/>
    <xf numFmtId="0" fontId="5" fillId="0" borderId="0"/>
    <xf numFmtId="0" fontId="2" fillId="0" borderId="0"/>
    <xf numFmtId="0" fontId="2" fillId="0" borderId="0"/>
    <xf numFmtId="0" fontId="112" fillId="68" borderId="439" applyNumberFormat="0" applyAlignment="0" applyProtection="0">
      <alignment horizontal="left" vertical="center" indent="1"/>
    </xf>
    <xf numFmtId="0" fontId="2" fillId="0" borderId="0"/>
    <xf numFmtId="0" fontId="5" fillId="0" borderId="0"/>
    <xf numFmtId="0" fontId="113" fillId="0" borderId="0" applyBorder="0">
      <alignment wrapText="1"/>
    </xf>
    <xf numFmtId="0" fontId="5" fillId="0" borderId="0"/>
    <xf numFmtId="218" fontId="116" fillId="88" borderId="439" applyNumberFormat="0" applyAlignment="0" applyProtection="0">
      <alignment horizontal="left" vertical="center" indent="1"/>
    </xf>
    <xf numFmtId="218" fontId="116" fillId="0" borderId="484" applyNumberFormat="0" applyProtection="0">
      <alignment horizontal="right" vertical="center"/>
    </xf>
    <xf numFmtId="0" fontId="1" fillId="0" borderId="0"/>
    <xf numFmtId="43" fontId="1" fillId="0" borderId="0" applyFont="0" applyFill="0" applyBorder="0" applyAlignment="0" applyProtection="0"/>
  </cellStyleXfs>
  <cellXfs count="4197">
    <xf numFmtId="0" fontId="0" fillId="0" borderId="0" xfId="0"/>
    <xf numFmtId="0" fontId="7" fillId="0" borderId="0" xfId="48" applyFont="1" applyAlignment="1">
      <alignment horizontal="centerContinuous"/>
    </xf>
    <xf numFmtId="0" fontId="8" fillId="0" borderId="0" xfId="48" applyFont="1" applyAlignment="1">
      <alignment horizontal="centerContinuous"/>
    </xf>
    <xf numFmtId="38" fontId="9" fillId="0" borderId="0" xfId="48" applyNumberFormat="1" applyFont="1" applyAlignment="1">
      <alignment horizontal="centerContinuous"/>
    </xf>
    <xf numFmtId="38" fontId="7" fillId="0" borderId="0" xfId="48" applyNumberFormat="1" applyFont="1" applyAlignment="1">
      <alignment horizontal="centerContinuous"/>
    </xf>
    <xf numFmtId="0" fontId="13" fillId="0" borderId="0" xfId="48" applyFont="1" applyAlignment="1">
      <alignment horizontal="center"/>
    </xf>
    <xf numFmtId="0" fontId="14" fillId="0" borderId="0" xfId="48" applyFont="1" applyProtection="1">
      <protection locked="0"/>
    </xf>
    <xf numFmtId="0" fontId="7" fillId="0" borderId="0" xfId="0" applyFont="1" applyAlignment="1">
      <alignment horizontal="center"/>
    </xf>
    <xf numFmtId="38" fontId="11" fillId="0" borderId="0" xfId="48" applyNumberFormat="1" applyFont="1"/>
    <xf numFmtId="38" fontId="15" fillId="0" borderId="0" xfId="48" applyNumberFormat="1" applyFont="1" applyAlignment="1">
      <alignment horizontal="right"/>
    </xf>
    <xf numFmtId="0" fontId="13" fillId="0" borderId="0" xfId="48" applyFont="1" applyAlignment="1" applyProtection="1">
      <alignment horizontal="center"/>
      <protection locked="0"/>
    </xf>
    <xf numFmtId="38" fontId="13" fillId="0" borderId="0" xfId="48" applyNumberFormat="1" applyFont="1"/>
    <xf numFmtId="0" fontId="12" fillId="0" borderId="0" xfId="48" applyFont="1" applyAlignment="1" applyProtection="1">
      <alignment horizontal="center"/>
      <protection locked="0"/>
    </xf>
    <xf numFmtId="0" fontId="12" fillId="0" borderId="0" xfId="48" applyFont="1" applyAlignment="1">
      <alignment horizontal="center"/>
    </xf>
    <xf numFmtId="38" fontId="16" fillId="0" borderId="0" xfId="48" applyNumberFormat="1" applyFont="1" applyAlignment="1">
      <alignment horizontal="center"/>
    </xf>
    <xf numFmtId="0" fontId="14" fillId="0" borderId="0" xfId="48" applyFont="1" applyAlignment="1">
      <alignment horizontal="center"/>
    </xf>
    <xf numFmtId="38" fontId="16" fillId="0" borderId="0" xfId="48" applyNumberFormat="1" applyFont="1" applyAlignment="1">
      <alignment horizontal="right"/>
    </xf>
    <xf numFmtId="0" fontId="8" fillId="0" borderId="0" xfId="52" applyFont="1"/>
    <xf numFmtId="0" fontId="14" fillId="0" borderId="0" xfId="52" applyFont="1"/>
    <xf numFmtId="0" fontId="14" fillId="0" borderId="0" xfId="48" applyFont="1"/>
    <xf numFmtId="0" fontId="18" fillId="0" borderId="0" xfId="0" applyFont="1"/>
    <xf numFmtId="0" fontId="19" fillId="0" borderId="0" xfId="48" applyFont="1" applyAlignment="1">
      <alignment horizontal="center"/>
    </xf>
    <xf numFmtId="0" fontId="12" fillId="0" borderId="0" xfId="0" applyFont="1" applyAlignment="1">
      <alignment horizontal="center"/>
    </xf>
    <xf numFmtId="0" fontId="14" fillId="0" borderId="0" xfId="0" applyFont="1"/>
    <xf numFmtId="3" fontId="12" fillId="0" borderId="0" xfId="48" applyNumberFormat="1" applyFont="1" applyAlignment="1" applyProtection="1">
      <alignment horizontal="center"/>
      <protection locked="0"/>
    </xf>
    <xf numFmtId="3" fontId="13" fillId="0" borderId="0" xfId="48" applyNumberFormat="1" applyFont="1" applyAlignment="1" applyProtection="1">
      <alignment horizontal="center"/>
      <protection locked="0"/>
    </xf>
    <xf numFmtId="0" fontId="13" fillId="0" borderId="0" xfId="0" applyFont="1" applyAlignment="1">
      <alignment horizontal="center"/>
    </xf>
    <xf numFmtId="0" fontId="8" fillId="0" borderId="0" xfId="0" applyFont="1" applyAlignment="1">
      <alignment horizontal="centerContinuous"/>
    </xf>
    <xf numFmtId="0" fontId="14" fillId="0" borderId="0" xfId="0" applyFont="1" applyAlignment="1">
      <alignment horizontal="left" vertical="center"/>
    </xf>
    <xf numFmtId="0" fontId="12" fillId="0" borderId="10" xfId="48" applyFont="1" applyBorder="1" applyAlignment="1">
      <alignment horizontal="center"/>
    </xf>
    <xf numFmtId="0" fontId="8" fillId="0" borderId="14" xfId="46" applyFont="1" applyBorder="1"/>
    <xf numFmtId="0" fontId="14" fillId="0" borderId="0" xfId="46" applyFont="1"/>
    <xf numFmtId="0" fontId="8" fillId="0" borderId="16" xfId="46" applyFont="1" applyBorder="1"/>
    <xf numFmtId="0" fontId="14" fillId="0" borderId="17" xfId="46" applyFont="1" applyBorder="1"/>
    <xf numFmtId="38" fontId="12" fillId="0" borderId="0" xfId="48" applyNumberFormat="1" applyFont="1"/>
    <xf numFmtId="0" fontId="14" fillId="0" borderId="0" xfId="48" applyFont="1" applyAlignment="1">
      <alignment horizontal="centerContinuous"/>
    </xf>
    <xf numFmtId="0" fontId="14" fillId="0" borderId="0" xfId="52" applyFont="1" applyAlignment="1">
      <alignment horizontal="center"/>
    </xf>
    <xf numFmtId="0" fontId="8" fillId="0" borderId="0" xfId="48" applyFont="1" applyAlignment="1">
      <alignment horizontal="left"/>
    </xf>
    <xf numFmtId="0" fontId="8" fillId="0" borderId="28" xfId="48" applyFont="1" applyBorder="1" applyAlignment="1">
      <alignment horizontal="centerContinuous"/>
    </xf>
    <xf numFmtId="38" fontId="8" fillId="0" borderId="29" xfId="48" applyNumberFormat="1" applyFont="1" applyBorder="1" applyAlignment="1">
      <alignment horizontal="centerContinuous"/>
    </xf>
    <xf numFmtId="0" fontId="8" fillId="0" borderId="28" xfId="48" applyFont="1" applyBorder="1"/>
    <xf numFmtId="0" fontId="20" fillId="0" borderId="28" xfId="48" applyFont="1" applyBorder="1"/>
    <xf numFmtId="0" fontId="13" fillId="0" borderId="28" xfId="48" applyFont="1" applyBorder="1"/>
    <xf numFmtId="0" fontId="21" fillId="0" borderId="28" xfId="48" applyFont="1" applyBorder="1" applyAlignment="1">
      <alignment horizontal="left" vertical="center"/>
    </xf>
    <xf numFmtId="0" fontId="14" fillId="0" borderId="28" xfId="0" applyFont="1" applyBorder="1"/>
    <xf numFmtId="0" fontId="21" fillId="0" borderId="30" xfId="48" applyFont="1" applyBorder="1"/>
    <xf numFmtId="0" fontId="13" fillId="0" borderId="3" xfId="48" applyFont="1" applyBorder="1" applyAlignment="1">
      <alignment horizontal="center"/>
    </xf>
    <xf numFmtId="0" fontId="8" fillId="0" borderId="0" xfId="48" applyFont="1" applyAlignment="1">
      <alignment horizontal="center"/>
    </xf>
    <xf numFmtId="0" fontId="12" fillId="0" borderId="32" xfId="48" applyFont="1" applyBorder="1" applyAlignment="1">
      <alignment horizontal="center"/>
    </xf>
    <xf numFmtId="170" fontId="12" fillId="24" borderId="32" xfId="30" applyNumberFormat="1" applyFont="1" applyFill="1" applyBorder="1"/>
    <xf numFmtId="0" fontId="12" fillId="0" borderId="32" xfId="48" applyFont="1" applyBorder="1" applyAlignment="1" applyProtection="1">
      <alignment horizontal="center"/>
      <protection locked="0"/>
    </xf>
    <xf numFmtId="0" fontId="12" fillId="0" borderId="3" xfId="48" applyFont="1" applyBorder="1"/>
    <xf numFmtId="0" fontId="14" fillId="0" borderId="30" xfId="0" applyFont="1" applyBorder="1"/>
    <xf numFmtId="0" fontId="14" fillId="0" borderId="0" xfId="52" quotePrefix="1" applyFont="1" applyAlignment="1">
      <alignment horizontal="center"/>
    </xf>
    <xf numFmtId="0" fontId="14" fillId="0" borderId="0" xfId="48" applyFont="1" applyAlignment="1" applyProtection="1">
      <alignment horizontal="center"/>
      <protection locked="0"/>
    </xf>
    <xf numFmtId="38" fontId="14" fillId="0" borderId="0" xfId="52" applyNumberFormat="1" applyFont="1"/>
    <xf numFmtId="38" fontId="14" fillId="0" borderId="0" xfId="0" applyNumberFormat="1" applyFont="1" applyAlignment="1">
      <alignment horizontal="right"/>
    </xf>
    <xf numFmtId="0" fontId="8" fillId="0" borderId="28" xfId="48" applyFont="1" applyBorder="1" applyAlignment="1">
      <alignment horizontal="left"/>
    </xf>
    <xf numFmtId="38" fontId="14" fillId="0" borderId="29" xfId="0" applyNumberFormat="1" applyFont="1" applyBorder="1" applyAlignment="1">
      <alignment horizontal="right"/>
    </xf>
    <xf numFmtId="0" fontId="8" fillId="0" borderId="28" xfId="52" applyFont="1" applyBorder="1"/>
    <xf numFmtId="0" fontId="8" fillId="0" borderId="28" xfId="0" applyFont="1" applyBorder="1"/>
    <xf numFmtId="0" fontId="14" fillId="0" borderId="3" xfId="0" applyFont="1" applyBorder="1"/>
    <xf numFmtId="0" fontId="14" fillId="0" borderId="31" xfId="0" applyFont="1" applyBorder="1"/>
    <xf numFmtId="0" fontId="20" fillId="0" borderId="28" xfId="48" applyFont="1" applyBorder="1" applyAlignment="1">
      <alignment horizontal="left"/>
    </xf>
    <xf numFmtId="0" fontId="21" fillId="0" borderId="28" xfId="48" applyFont="1" applyBorder="1"/>
    <xf numFmtId="0" fontId="14" fillId="0" borderId="0" xfId="48" applyFont="1" applyAlignment="1">
      <alignment horizontal="left"/>
    </xf>
    <xf numFmtId="38" fontId="14" fillId="0" borderId="0" xfId="48" applyNumberFormat="1" applyFont="1" applyAlignment="1">
      <alignment horizontal="right"/>
    </xf>
    <xf numFmtId="38" fontId="14" fillId="0" borderId="29" xfId="48" applyNumberFormat="1" applyFont="1" applyBorder="1" applyAlignment="1">
      <alignment horizontal="right"/>
    </xf>
    <xf numFmtId="0" fontId="14" fillId="0" borderId="28" xfId="48" applyFont="1" applyBorder="1"/>
    <xf numFmtId="38" fontId="14" fillId="24" borderId="35" xfId="48" applyNumberFormat="1" applyFont="1" applyFill="1" applyBorder="1" applyAlignment="1">
      <alignment horizontal="right"/>
    </xf>
    <xf numFmtId="0" fontId="12" fillId="0" borderId="45" xfId="48" applyFont="1" applyBorder="1" applyAlignment="1">
      <alignment horizontal="center"/>
    </xf>
    <xf numFmtId="165" fontId="12" fillId="24" borderId="32" xfId="28" applyNumberFormat="1" applyFont="1" applyFill="1" applyBorder="1"/>
    <xf numFmtId="0" fontId="12" fillId="0" borderId="10" xfId="48" applyFont="1" applyBorder="1" applyAlignment="1" applyProtection="1">
      <alignment horizontal="center"/>
      <protection locked="0"/>
    </xf>
    <xf numFmtId="0" fontId="8" fillId="0" borderId="28" xfId="48" applyFont="1" applyBorder="1" applyProtection="1">
      <protection locked="0"/>
    </xf>
    <xf numFmtId="0" fontId="8" fillId="0" borderId="28" xfId="0" applyFont="1" applyBorder="1" applyAlignment="1">
      <alignment horizontal="left"/>
    </xf>
    <xf numFmtId="0" fontId="8" fillId="0" borderId="28" xfId="48" applyFont="1" applyBorder="1" applyAlignment="1" applyProtection="1">
      <alignment horizontal="left"/>
      <protection locked="0"/>
    </xf>
    <xf numFmtId="49" fontId="12" fillId="0" borderId="32" xfId="48" applyNumberFormat="1" applyFont="1" applyBorder="1" applyAlignment="1" applyProtection="1">
      <alignment horizontal="center"/>
      <protection locked="0"/>
    </xf>
    <xf numFmtId="0" fontId="42" fillId="0" borderId="32" xfId="48" applyFont="1" applyBorder="1" applyAlignment="1" applyProtection="1">
      <alignment horizontal="center"/>
      <protection locked="0"/>
    </xf>
    <xf numFmtId="38" fontId="8" fillId="0" borderId="62" xfId="48" applyNumberFormat="1" applyFont="1" applyBorder="1" applyAlignment="1">
      <alignment horizontal="center" vertical="center"/>
    </xf>
    <xf numFmtId="0" fontId="8" fillId="0" borderId="34" xfId="48" applyFont="1" applyBorder="1" applyAlignment="1">
      <alignment horizontal="center" vertical="center"/>
    </xf>
    <xf numFmtId="38" fontId="8" fillId="0" borderId="66" xfId="48" applyNumberFormat="1" applyFont="1" applyBorder="1" applyAlignment="1">
      <alignment horizontal="center" vertical="center"/>
    </xf>
    <xf numFmtId="0" fontId="8" fillId="0" borderId="67" xfId="48" applyFont="1" applyBorder="1" applyAlignment="1">
      <alignment horizontal="center" vertical="center"/>
    </xf>
    <xf numFmtId="38" fontId="8" fillId="0" borderId="70" xfId="48" applyNumberFormat="1" applyFont="1" applyBorder="1" applyAlignment="1">
      <alignment horizontal="center" vertical="center"/>
    </xf>
    <xf numFmtId="0" fontId="8" fillId="0" borderId="72" xfId="48" applyFont="1" applyBorder="1" applyAlignment="1">
      <alignment horizontal="centerContinuous" vertical="center"/>
    </xf>
    <xf numFmtId="0" fontId="8" fillId="0" borderId="73" xfId="48" applyFont="1" applyBorder="1" applyAlignment="1">
      <alignment horizontal="centerContinuous" vertical="center"/>
    </xf>
    <xf numFmtId="0" fontId="8" fillId="0" borderId="74" xfId="48" applyFont="1" applyBorder="1" applyAlignment="1">
      <alignment horizontal="centerContinuous" vertical="center"/>
    </xf>
    <xf numFmtId="0" fontId="8" fillId="0" borderId="75" xfId="48" applyFont="1" applyBorder="1" applyAlignment="1">
      <alignment horizontal="centerContinuous" vertical="center"/>
    </xf>
    <xf numFmtId="0" fontId="8" fillId="0" borderId="43" xfId="48" applyFont="1" applyBorder="1" applyAlignment="1">
      <alignment horizontal="center" vertical="center"/>
    </xf>
    <xf numFmtId="0" fontId="8" fillId="0" borderId="77" xfId="48" applyFont="1" applyBorder="1" applyAlignment="1">
      <alignment horizontal="centerContinuous" vertical="center"/>
    </xf>
    <xf numFmtId="38" fontId="8" fillId="0" borderId="78" xfId="48" applyNumberFormat="1" applyFont="1" applyBorder="1" applyAlignment="1">
      <alignment horizontal="center" vertical="center"/>
    </xf>
    <xf numFmtId="0" fontId="8" fillId="0" borderId="62" xfId="48" applyFont="1" applyBorder="1" applyAlignment="1">
      <alignment horizontal="centerContinuous" vertical="center"/>
    </xf>
    <xf numFmtId="0" fontId="13" fillId="0" borderId="62" xfId="48" applyFont="1" applyBorder="1" applyAlignment="1">
      <alignment horizontal="centerContinuous" vertical="center"/>
    </xf>
    <xf numFmtId="0" fontId="10" fillId="0" borderId="28" xfId="48" applyFont="1" applyBorder="1" applyAlignment="1">
      <alignment horizontal="centerContinuous"/>
    </xf>
    <xf numFmtId="38" fontId="12" fillId="24" borderId="32" xfId="28" applyNumberFormat="1" applyFont="1" applyFill="1" applyBorder="1" applyProtection="1"/>
    <xf numFmtId="38" fontId="17" fillId="0" borderId="0" xfId="48" applyNumberFormat="1" applyFont="1"/>
    <xf numFmtId="38" fontId="12" fillId="0" borderId="0" xfId="28" applyNumberFormat="1" applyFont="1" applyFill="1" applyBorder="1" applyAlignment="1" applyProtection="1">
      <alignment horizontal="right"/>
      <protection locked="0"/>
    </xf>
    <xf numFmtId="38" fontId="12" fillId="0" borderId="0" xfId="28" applyNumberFormat="1" applyFont="1" applyBorder="1"/>
    <xf numFmtId="38" fontId="12" fillId="0" borderId="0" xfId="0" applyNumberFormat="1" applyFont="1" applyAlignment="1">
      <alignment horizontal="right"/>
    </xf>
    <xf numFmtId="38" fontId="12" fillId="0" borderId="0" xfId="0" applyNumberFormat="1" applyFont="1"/>
    <xf numFmtId="38" fontId="12" fillId="0" borderId="0" xfId="28" applyNumberFormat="1" applyFont="1" applyFill="1" applyBorder="1"/>
    <xf numFmtId="38" fontId="12" fillId="0" borderId="3" xfId="28" applyNumberFormat="1" applyFont="1" applyFill="1" applyBorder="1" applyAlignment="1" applyProtection="1">
      <alignment horizontal="right"/>
    </xf>
    <xf numFmtId="170" fontId="12" fillId="0" borderId="0" xfId="28" applyNumberFormat="1" applyFont="1" applyFill="1" applyBorder="1" applyAlignment="1" applyProtection="1">
      <alignment horizontal="right"/>
      <protection locked="0"/>
    </xf>
    <xf numFmtId="170" fontId="12" fillId="0" borderId="0" xfId="0" applyNumberFormat="1" applyFont="1" applyAlignment="1">
      <alignment horizontal="right"/>
    </xf>
    <xf numFmtId="170" fontId="17" fillId="27" borderId="32" xfId="30" applyNumberFormat="1" applyFont="1" applyFill="1" applyBorder="1"/>
    <xf numFmtId="44" fontId="17" fillId="27" borderId="32" xfId="30" applyFont="1" applyFill="1" applyBorder="1"/>
    <xf numFmtId="0" fontId="19" fillId="27" borderId="109" xfId="48" applyFont="1" applyFill="1" applyBorder="1" applyAlignment="1">
      <alignment horizontal="center"/>
    </xf>
    <xf numFmtId="0" fontId="19" fillId="27" borderId="101" xfId="48" applyFont="1" applyFill="1" applyBorder="1" applyAlignment="1">
      <alignment horizontal="center"/>
    </xf>
    <xf numFmtId="0" fontId="19" fillId="27" borderId="110" xfId="48" applyFont="1" applyFill="1" applyBorder="1" applyAlignment="1">
      <alignment horizontal="center"/>
    </xf>
    <xf numFmtId="0" fontId="19" fillId="27" borderId="112" xfId="48" applyFont="1" applyFill="1" applyBorder="1" applyAlignment="1">
      <alignment horizontal="center"/>
    </xf>
    <xf numFmtId="170" fontId="17" fillId="27" borderId="32" xfId="30" applyNumberFormat="1" applyFont="1" applyFill="1" applyBorder="1" applyProtection="1"/>
    <xf numFmtId="0" fontId="19" fillId="27" borderId="113" xfId="48" applyFont="1" applyFill="1" applyBorder="1" applyAlignment="1">
      <alignment horizontal="center"/>
    </xf>
    <xf numFmtId="0" fontId="19" fillId="27" borderId="114" xfId="48" applyFont="1" applyFill="1" applyBorder="1" applyAlignment="1">
      <alignment horizontal="center"/>
    </xf>
    <xf numFmtId="0" fontId="19" fillId="27" borderId="115" xfId="48" applyFont="1" applyFill="1" applyBorder="1" applyAlignment="1">
      <alignment horizontal="center"/>
    </xf>
    <xf numFmtId="170" fontId="17" fillId="27" borderId="116" xfId="48" applyNumberFormat="1" applyFont="1" applyFill="1" applyBorder="1"/>
    <xf numFmtId="0" fontId="43" fillId="0" borderId="0" xfId="48" applyFont="1" applyAlignment="1">
      <alignment horizontal="right"/>
    </xf>
    <xf numFmtId="170" fontId="0" fillId="0" borderId="0" xfId="30" applyNumberFormat="1" applyFont="1"/>
    <xf numFmtId="42" fontId="17" fillId="27" borderId="32" xfId="30" applyNumberFormat="1" applyFont="1" applyFill="1" applyBorder="1"/>
    <xf numFmtId="38" fontId="14" fillId="0" borderId="0" xfId="48" applyNumberFormat="1" applyFont="1" applyAlignment="1">
      <alignment horizontal="center"/>
    </xf>
    <xf numFmtId="0" fontId="8" fillId="0" borderId="0" xfId="48" applyFont="1"/>
    <xf numFmtId="170" fontId="17" fillId="30" borderId="32" xfId="30" applyNumberFormat="1" applyFont="1" applyFill="1" applyBorder="1"/>
    <xf numFmtId="170" fontId="17" fillId="27" borderId="133" xfId="30" applyNumberFormat="1" applyFont="1" applyFill="1" applyBorder="1"/>
    <xf numFmtId="0" fontId="0" fillId="0" borderId="0" xfId="0" applyAlignment="1">
      <alignment horizontal="left"/>
    </xf>
    <xf numFmtId="0" fontId="45" fillId="0" borderId="0" xfId="28" applyNumberFormat="1" applyFont="1" applyFill="1" applyBorder="1" applyAlignment="1">
      <alignment horizontal="center" wrapText="1"/>
    </xf>
    <xf numFmtId="165" fontId="45" fillId="0" borderId="0" xfId="29" applyNumberFormat="1" applyFont="1" applyFill="1" applyBorder="1" applyAlignment="1">
      <alignment wrapText="1"/>
    </xf>
    <xf numFmtId="0" fontId="49" fillId="0" borderId="0" xfId="46" applyFont="1"/>
    <xf numFmtId="0" fontId="8" fillId="0" borderId="0" xfId="0" applyFont="1" applyAlignment="1">
      <alignment horizontal="center"/>
    </xf>
    <xf numFmtId="0" fontId="46" fillId="0" borderId="0" xfId="0" applyFont="1" applyAlignment="1">
      <alignment horizontal="center"/>
    </xf>
    <xf numFmtId="0" fontId="46" fillId="0" borderId="0" xfId="0" applyFont="1"/>
    <xf numFmtId="0" fontId="0" fillId="0" borderId="208" xfId="0" applyBorder="1"/>
    <xf numFmtId="0" fontId="0" fillId="0" borderId="209" xfId="0" applyBorder="1"/>
    <xf numFmtId="0" fontId="46" fillId="0" borderId="0" xfId="0" applyFont="1" applyAlignment="1">
      <alignment horizontal="left"/>
    </xf>
    <xf numFmtId="1" fontId="46" fillId="0" borderId="0" xfId="0" applyNumberFormat="1" applyFont="1" applyAlignment="1">
      <alignment horizontal="center"/>
    </xf>
    <xf numFmtId="0" fontId="46" fillId="0" borderId="0" xfId="0" applyFont="1" applyAlignment="1">
      <alignment horizontal="right"/>
    </xf>
    <xf numFmtId="14" fontId="50" fillId="0" borderId="0" xfId="0" applyNumberFormat="1" applyFont="1" applyAlignment="1">
      <alignment horizontal="center"/>
    </xf>
    <xf numFmtId="0" fontId="46" fillId="0" borderId="0" xfId="0" applyFont="1" applyAlignment="1">
      <alignment vertical="center"/>
    </xf>
    <xf numFmtId="0" fontId="0" fillId="0" borderId="210" xfId="0" applyBorder="1" applyAlignment="1">
      <alignment vertical="center"/>
    </xf>
    <xf numFmtId="0" fontId="0" fillId="0" borderId="0" xfId="0" applyAlignment="1">
      <alignment vertical="center"/>
    </xf>
    <xf numFmtId="181" fontId="0" fillId="0" borderId="210" xfId="55" applyNumberFormat="1" applyFont="1" applyFill="1" applyBorder="1" applyAlignment="1">
      <alignment vertical="center"/>
    </xf>
    <xf numFmtId="181" fontId="0" fillId="0" borderId="0" xfId="55" applyNumberFormat="1" applyFont="1" applyFill="1" applyAlignment="1">
      <alignment vertical="center"/>
    </xf>
    <xf numFmtId="0" fontId="46" fillId="0" borderId="0" xfId="0" applyFont="1" applyAlignment="1">
      <alignment horizontal="center" vertical="center"/>
    </xf>
    <xf numFmtId="0" fontId="8" fillId="0" borderId="28" xfId="48" applyFont="1" applyBorder="1" applyAlignment="1">
      <alignment horizontal="center" vertical="center"/>
    </xf>
    <xf numFmtId="0" fontId="8" fillId="30" borderId="211" xfId="48" applyFont="1" applyFill="1" applyBorder="1" applyAlignment="1">
      <alignment horizontal="centerContinuous" vertical="center"/>
    </xf>
    <xf numFmtId="0" fontId="8" fillId="30" borderId="212" xfId="48" applyFont="1" applyFill="1" applyBorder="1" applyAlignment="1">
      <alignment horizontal="centerContinuous" vertical="center"/>
    </xf>
    <xf numFmtId="0" fontId="8" fillId="30" borderId="213" xfId="48" applyFont="1" applyFill="1" applyBorder="1" applyAlignment="1">
      <alignment horizontal="centerContinuous" vertical="center"/>
    </xf>
    <xf numFmtId="0" fontId="8" fillId="30" borderId="214" xfId="48" applyFont="1" applyFill="1" applyBorder="1" applyAlignment="1">
      <alignment horizontal="centerContinuous" vertical="center"/>
    </xf>
    <xf numFmtId="0" fontId="8" fillId="30" borderId="114" xfId="48" applyFont="1" applyFill="1" applyBorder="1" applyAlignment="1">
      <alignment horizontal="centerContinuous" vertical="center"/>
    </xf>
    <xf numFmtId="0" fontId="8" fillId="30" borderId="215" xfId="48" applyFont="1" applyFill="1" applyBorder="1" applyAlignment="1">
      <alignment horizontal="centerContinuous" vertical="center"/>
    </xf>
    <xf numFmtId="14" fontId="8" fillId="30" borderId="216" xfId="48" applyNumberFormat="1" applyFont="1" applyFill="1" applyBorder="1" applyAlignment="1">
      <alignment horizontal="centerContinuous" vertical="center"/>
    </xf>
    <xf numFmtId="0" fontId="8" fillId="30" borderId="217" xfId="48" applyFont="1" applyFill="1" applyBorder="1" applyAlignment="1">
      <alignment horizontal="centerContinuous" vertical="center"/>
    </xf>
    <xf numFmtId="0" fontId="8" fillId="30" borderId="218" xfId="48" applyFont="1" applyFill="1" applyBorder="1" applyAlignment="1">
      <alignment horizontal="centerContinuous" vertical="center"/>
    </xf>
    <xf numFmtId="0" fontId="14" fillId="0" borderId="28" xfId="0" applyFont="1" applyBorder="1" applyAlignment="1">
      <alignment horizontal="center"/>
    </xf>
    <xf numFmtId="0" fontId="14" fillId="0" borderId="32" xfId="48" applyFont="1" applyBorder="1" applyAlignment="1">
      <alignment horizontal="center"/>
    </xf>
    <xf numFmtId="0" fontId="14" fillId="0" borderId="32" xfId="48" applyFont="1" applyBorder="1" applyAlignment="1" applyProtection="1">
      <alignment horizontal="center"/>
      <protection locked="0"/>
    </xf>
    <xf numFmtId="0" fontId="0" fillId="33" borderId="0" xfId="0" applyFill="1"/>
    <xf numFmtId="0" fontId="53" fillId="0" borderId="28" xfId="48" applyFont="1" applyBorder="1"/>
    <xf numFmtId="0" fontId="16" fillId="0" borderId="0" xfId="48" applyFont="1" applyAlignment="1">
      <alignment horizontal="center"/>
    </xf>
    <xf numFmtId="38" fontId="14" fillId="0" borderId="0" xfId="48" applyNumberFormat="1" applyFont="1"/>
    <xf numFmtId="38" fontId="14" fillId="0" borderId="29" xfId="48" applyNumberFormat="1" applyFont="1" applyBorder="1"/>
    <xf numFmtId="0" fontId="14" fillId="0" borderId="28" xfId="48" applyFont="1" applyBorder="1" applyAlignment="1">
      <alignment horizontal="center"/>
    </xf>
    <xf numFmtId="0" fontId="14" fillId="0" borderId="0" xfId="48" applyFont="1" applyAlignment="1" applyProtection="1">
      <alignment horizontal="left"/>
      <protection locked="0"/>
    </xf>
    <xf numFmtId="0" fontId="8" fillId="30" borderId="109" xfId="48" applyFont="1" applyFill="1" applyBorder="1" applyAlignment="1">
      <alignment horizontal="center"/>
    </xf>
    <xf numFmtId="0" fontId="8" fillId="30" borderId="101" xfId="48" applyFont="1" applyFill="1" applyBorder="1" applyAlignment="1">
      <alignment horizontal="center"/>
    </xf>
    <xf numFmtId="0" fontId="8" fillId="30" borderId="110" xfId="48" applyFont="1" applyFill="1" applyBorder="1" applyAlignment="1">
      <alignment horizontal="center"/>
    </xf>
    <xf numFmtId="38" fontId="14" fillId="0" borderId="0" xfId="48" applyNumberFormat="1" applyFont="1" applyProtection="1">
      <protection locked="0"/>
    </xf>
    <xf numFmtId="38" fontId="14" fillId="0" borderId="29" xfId="48" applyNumberFormat="1" applyFont="1" applyBorder="1" applyProtection="1">
      <protection locked="0"/>
    </xf>
    <xf numFmtId="38" fontId="14" fillId="0" borderId="0" xfId="28" applyNumberFormat="1" applyFont="1" applyFill="1" applyBorder="1" applyProtection="1">
      <protection locked="0"/>
    </xf>
    <xf numFmtId="38" fontId="14" fillId="0" borderId="29" xfId="28" applyNumberFormat="1" applyFont="1" applyFill="1" applyBorder="1" applyProtection="1">
      <protection locked="0"/>
    </xf>
    <xf numFmtId="38" fontId="14" fillId="0" borderId="0" xfId="28" applyNumberFormat="1" applyFont="1" applyBorder="1"/>
    <xf numFmtId="0" fontId="24" fillId="0" borderId="28" xfId="48" applyFont="1" applyBorder="1"/>
    <xf numFmtId="38" fontId="14" fillId="0" borderId="0" xfId="28" applyNumberFormat="1" applyFont="1" applyBorder="1" applyProtection="1">
      <protection locked="0"/>
    </xf>
    <xf numFmtId="0" fontId="14" fillId="0" borderId="28" xfId="48" applyFont="1" applyBorder="1" applyAlignment="1">
      <alignment horizontal="left"/>
    </xf>
    <xf numFmtId="0" fontId="8" fillId="0" borderId="0" xfId="48" applyFont="1" applyAlignment="1" applyProtection="1">
      <alignment horizontal="left"/>
      <protection locked="0"/>
    </xf>
    <xf numFmtId="38" fontId="17" fillId="0" borderId="0" xfId="48" applyNumberFormat="1" applyFont="1" applyProtection="1">
      <protection locked="0"/>
    </xf>
    <xf numFmtId="38" fontId="17" fillId="0" borderId="29" xfId="48" applyNumberFormat="1" applyFont="1" applyBorder="1" applyProtection="1">
      <protection locked="0"/>
    </xf>
    <xf numFmtId="164" fontId="14" fillId="0" borderId="0" xfId="48" applyNumberFormat="1" applyFont="1"/>
    <xf numFmtId="0" fontId="24" fillId="0" borderId="30" xfId="48" applyFont="1" applyBorder="1"/>
    <xf numFmtId="0" fontId="14" fillId="0" borderId="3" xfId="48" applyFont="1" applyBorder="1"/>
    <xf numFmtId="0" fontId="14" fillId="0" borderId="3" xfId="48" applyFont="1" applyBorder="1" applyAlignment="1">
      <alignment horizontal="center"/>
    </xf>
    <xf numFmtId="164" fontId="14" fillId="0" borderId="3" xfId="48" applyNumberFormat="1" applyFont="1" applyBorder="1"/>
    <xf numFmtId="38" fontId="14" fillId="0" borderId="3" xfId="48" applyNumberFormat="1" applyFont="1" applyBorder="1"/>
    <xf numFmtId="38" fontId="14" fillId="0" borderId="31" xfId="48" applyNumberFormat="1" applyFont="1" applyBorder="1" applyAlignment="1">
      <alignment horizontal="right"/>
    </xf>
    <xf numFmtId="0" fontId="8" fillId="0" borderId="0" xfId="48" applyFont="1" applyProtection="1">
      <protection locked="0"/>
    </xf>
    <xf numFmtId="165" fontId="54" fillId="0" borderId="0" xfId="28" applyNumberFormat="1" applyFont="1" applyFill="1" applyBorder="1"/>
    <xf numFmtId="165" fontId="54" fillId="0" borderId="29" xfId="28" applyNumberFormat="1" applyFont="1" applyFill="1" applyBorder="1"/>
    <xf numFmtId="3" fontId="14" fillId="0" borderId="0" xfId="48" applyNumberFormat="1" applyFont="1" applyAlignment="1" applyProtection="1">
      <alignment horizontal="center"/>
      <protection locked="0"/>
    </xf>
    <xf numFmtId="38" fontId="13" fillId="0" borderId="0" xfId="28" applyNumberFormat="1" applyFont="1" applyBorder="1"/>
    <xf numFmtId="38" fontId="13" fillId="0" borderId="0" xfId="0" applyNumberFormat="1" applyFont="1" applyAlignment="1">
      <alignment horizontal="right"/>
    </xf>
    <xf numFmtId="38" fontId="13" fillId="0" borderId="29" xfId="0" applyNumberFormat="1" applyFont="1" applyBorder="1" applyAlignment="1">
      <alignment horizontal="right"/>
    </xf>
    <xf numFmtId="0" fontId="52" fillId="0" borderId="0" xfId="0" applyFont="1"/>
    <xf numFmtId="0" fontId="52" fillId="0" borderId="29" xfId="0" applyFont="1" applyBorder="1"/>
    <xf numFmtId="0" fontId="52" fillId="0" borderId="28" xfId="0" applyFont="1" applyBorder="1"/>
    <xf numFmtId="0" fontId="14" fillId="0" borderId="30" xfId="48" applyFont="1" applyBorder="1" applyAlignment="1">
      <alignment horizontal="center"/>
    </xf>
    <xf numFmtId="0" fontId="8" fillId="0" borderId="3" xfId="0" applyFont="1" applyBorder="1" applyAlignment="1">
      <alignment horizontal="center"/>
    </xf>
    <xf numFmtId="0" fontId="8" fillId="0" borderId="28" xfId="0" applyFont="1" applyBorder="1" applyAlignment="1">
      <alignment horizontal="left" indent="2"/>
    </xf>
    <xf numFmtId="0" fontId="7" fillId="0" borderId="28" xfId="48" applyFont="1" applyBorder="1"/>
    <xf numFmtId="0" fontId="20" fillId="0" borderId="28" xfId="48" applyFont="1" applyBorder="1" applyAlignment="1">
      <alignment horizontal="left" indent="2"/>
    </xf>
    <xf numFmtId="0" fontId="24" fillId="0" borderId="30" xfId="48" applyFont="1" applyBorder="1" applyAlignment="1">
      <alignment horizontal="left" indent="2"/>
    </xf>
    <xf numFmtId="0" fontId="8" fillId="0" borderId="28" xfId="48" applyFont="1" applyBorder="1" applyAlignment="1">
      <alignment horizontal="left" indent="2"/>
    </xf>
    <xf numFmtId="0" fontId="23" fillId="0" borderId="0" xfId="0" applyFont="1"/>
    <xf numFmtId="38" fontId="16" fillId="0" borderId="3" xfId="48" applyNumberFormat="1" applyFont="1" applyBorder="1" applyAlignment="1">
      <alignment horizontal="right"/>
    </xf>
    <xf numFmtId="180" fontId="12" fillId="24" borderId="32" xfId="55" applyNumberFormat="1" applyFont="1" applyFill="1" applyBorder="1"/>
    <xf numFmtId="0" fontId="7" fillId="0" borderId="28" xfId="0" applyFont="1" applyBorder="1"/>
    <xf numFmtId="170" fontId="14" fillId="25" borderId="113" xfId="48" applyNumberFormat="1" applyFont="1" applyFill="1" applyBorder="1"/>
    <xf numFmtId="0" fontId="10" fillId="0" borderId="38" xfId="48" applyFont="1" applyBorder="1" applyAlignment="1">
      <alignment horizontal="centerContinuous" vertical="center"/>
    </xf>
    <xf numFmtId="0" fontId="7" fillId="0" borderId="39" xfId="48" applyFont="1" applyBorder="1" applyAlignment="1">
      <alignment horizontal="centerContinuous" vertical="center"/>
    </xf>
    <xf numFmtId="0" fontId="8" fillId="0" borderId="39" xfId="48" applyFont="1" applyBorder="1" applyAlignment="1">
      <alignment horizontal="centerContinuous" vertical="center"/>
    </xf>
    <xf numFmtId="38" fontId="55" fillId="0" borderId="39" xfId="48" applyNumberFormat="1" applyFont="1" applyBorder="1" applyAlignment="1">
      <alignment horizontal="centerContinuous" vertical="center"/>
    </xf>
    <xf numFmtId="38" fontId="7" fillId="0" borderId="39" xfId="48" applyNumberFormat="1" applyFont="1" applyBorder="1" applyAlignment="1">
      <alignment horizontal="centerContinuous" vertical="center"/>
    </xf>
    <xf numFmtId="38" fontId="8" fillId="0" borderId="40" xfId="48" applyNumberFormat="1" applyFont="1" applyBorder="1" applyAlignment="1">
      <alignment horizontal="centerContinuous" vertical="center"/>
    </xf>
    <xf numFmtId="0" fontId="8" fillId="0" borderId="38" xfId="48" applyFont="1" applyBorder="1" applyAlignment="1">
      <alignment horizontal="center" vertical="center"/>
    </xf>
    <xf numFmtId="0" fontId="8" fillId="0" borderId="30" xfId="0" applyFont="1" applyBorder="1" applyAlignment="1">
      <alignment vertical="center"/>
    </xf>
    <xf numFmtId="38" fontId="56" fillId="0" borderId="0" xfId="48" applyNumberFormat="1" applyFont="1"/>
    <xf numFmtId="0" fontId="8" fillId="0" borderId="0" xfId="48" applyFont="1" applyAlignment="1" applyProtection="1">
      <alignment horizontal="center"/>
      <protection locked="0"/>
    </xf>
    <xf numFmtId="0" fontId="18" fillId="0" borderId="29" xfId="0" applyFont="1" applyBorder="1"/>
    <xf numFmtId="0" fontId="14" fillId="0" borderId="30" xfId="48" applyFont="1" applyBorder="1"/>
    <xf numFmtId="0" fontId="14" fillId="0" borderId="3" xfId="48" applyFont="1" applyBorder="1" applyProtection="1">
      <protection locked="0"/>
    </xf>
    <xf numFmtId="38" fontId="56" fillId="0" borderId="3" xfId="48" applyNumberFormat="1" applyFont="1" applyBorder="1"/>
    <xf numFmtId="38" fontId="56" fillId="0" borderId="0" xfId="48" applyNumberFormat="1" applyFont="1" applyAlignment="1">
      <alignment horizontal="right"/>
    </xf>
    <xf numFmtId="38" fontId="16" fillId="0" borderId="29" xfId="48" applyNumberFormat="1" applyFont="1" applyBorder="1" applyAlignment="1">
      <alignment horizontal="right"/>
    </xf>
    <xf numFmtId="0" fontId="14" fillId="0" borderId="3" xfId="48" applyFont="1" applyBorder="1" applyAlignment="1" applyProtection="1">
      <alignment horizontal="center"/>
      <protection locked="0"/>
    </xf>
    <xf numFmtId="38" fontId="56" fillId="0" borderId="3" xfId="48" applyNumberFormat="1" applyFont="1" applyBorder="1" applyAlignment="1">
      <alignment horizontal="right"/>
    </xf>
    <xf numFmtId="38" fontId="14" fillId="0" borderId="3" xfId="48" applyNumberFormat="1" applyFont="1" applyBorder="1" applyAlignment="1">
      <alignment horizontal="right"/>
    </xf>
    <xf numFmtId="0" fontId="24" fillId="0" borderId="0" xfId="48" applyFont="1" applyAlignment="1">
      <alignment horizontal="left" vertical="center"/>
    </xf>
    <xf numFmtId="0" fontId="57" fillId="0" borderId="0" xfId="48" applyFont="1" applyAlignment="1">
      <alignment vertical="center" wrapText="1"/>
    </xf>
    <xf numFmtId="38" fontId="8" fillId="0" borderId="0" xfId="0" applyNumberFormat="1" applyFont="1" applyAlignment="1">
      <alignment vertical="center"/>
    </xf>
    <xf numFmtId="38" fontId="56" fillId="0" borderId="0" xfId="0" applyNumberFormat="1" applyFont="1" applyAlignment="1">
      <alignment vertical="center"/>
    </xf>
    <xf numFmtId="38" fontId="56" fillId="0" borderId="29" xfId="0" applyNumberFormat="1" applyFont="1" applyBorder="1" applyAlignment="1">
      <alignment vertical="center"/>
    </xf>
    <xf numFmtId="0" fontId="56" fillId="0" borderId="0" xfId="0" applyFont="1"/>
    <xf numFmtId="38" fontId="8" fillId="0" borderId="0" xfId="48" applyNumberFormat="1" applyFont="1"/>
    <xf numFmtId="38" fontId="56" fillId="0" borderId="29" xfId="48" applyNumberFormat="1" applyFont="1" applyBorder="1"/>
    <xf numFmtId="1" fontId="14" fillId="0" borderId="32" xfId="48" applyNumberFormat="1" applyFont="1" applyBorder="1" applyAlignment="1">
      <alignment horizontal="center"/>
    </xf>
    <xf numFmtId="38" fontId="56" fillId="0" borderId="0" xfId="0" applyNumberFormat="1" applyFont="1"/>
    <xf numFmtId="38" fontId="14" fillId="0" borderId="0" xfId="0" applyNumberFormat="1" applyFont="1"/>
    <xf numFmtId="38" fontId="14" fillId="0" borderId="29" xfId="0" applyNumberFormat="1" applyFont="1" applyBorder="1"/>
    <xf numFmtId="38" fontId="14" fillId="0" borderId="0" xfId="48" applyNumberFormat="1" applyFont="1" applyAlignment="1">
      <alignment horizontal="centerContinuous"/>
    </xf>
    <xf numFmtId="0" fontId="14" fillId="0" borderId="32" xfId="52" applyFont="1" applyBorder="1" applyAlignment="1">
      <alignment horizontal="center"/>
    </xf>
    <xf numFmtId="38" fontId="14" fillId="0" borderId="29" xfId="52" applyNumberFormat="1" applyFont="1" applyBorder="1"/>
    <xf numFmtId="38" fontId="17" fillId="0" borderId="0" xfId="52" applyNumberFormat="1" applyFont="1"/>
    <xf numFmtId="38" fontId="17" fillId="0" borderId="29" xfId="52" applyNumberFormat="1" applyFont="1" applyBorder="1"/>
    <xf numFmtId="38" fontId="14" fillId="0" borderId="31" xfId="52" applyNumberFormat="1" applyFont="1" applyBorder="1"/>
    <xf numFmtId="0" fontId="58" fillId="0" borderId="0" xfId="48" applyFont="1" applyProtection="1">
      <protection locked="0"/>
    </xf>
    <xf numFmtId="0" fontId="59" fillId="0" borderId="0" xfId="48" applyFont="1" applyProtection="1">
      <protection locked="0"/>
    </xf>
    <xf numFmtId="0" fontId="58" fillId="0" borderId="0" xfId="48" applyFont="1" applyAlignment="1" applyProtection="1">
      <alignment horizontal="left"/>
      <protection locked="0"/>
    </xf>
    <xf numFmtId="0" fontId="59" fillId="0" borderId="0" xfId="48" applyFont="1" applyAlignment="1" applyProtection="1">
      <alignment horizontal="left"/>
      <protection locked="0"/>
    </xf>
    <xf numFmtId="38" fontId="17" fillId="0" borderId="0" xfId="48" applyNumberFormat="1" applyFont="1" applyAlignment="1">
      <alignment horizontal="right"/>
    </xf>
    <xf numFmtId="38" fontId="17" fillId="0" borderId="29" xfId="48" applyNumberFormat="1" applyFont="1" applyBorder="1" applyAlignment="1">
      <alignment horizontal="right"/>
    </xf>
    <xf numFmtId="0" fontId="14" fillId="0" borderId="223" xfId="0" applyFont="1" applyBorder="1"/>
    <xf numFmtId="0" fontId="10" fillId="0" borderId="224" xfId="0" applyFont="1" applyBorder="1" applyAlignment="1">
      <alignment horizontal="centerContinuous"/>
    </xf>
    <xf numFmtId="0" fontId="52" fillId="0" borderId="224" xfId="0" applyFont="1" applyBorder="1" applyAlignment="1">
      <alignment horizontal="centerContinuous"/>
    </xf>
    <xf numFmtId="0" fontId="52" fillId="0" borderId="225" xfId="0" applyFont="1" applyBorder="1" applyAlignment="1">
      <alignment horizontal="centerContinuous"/>
    </xf>
    <xf numFmtId="0" fontId="10" fillId="0" borderId="72" xfId="48" applyFont="1" applyBorder="1" applyAlignment="1">
      <alignment horizontal="centerContinuous"/>
    </xf>
    <xf numFmtId="0" fontId="10" fillId="0" borderId="104" xfId="48" applyFont="1" applyBorder="1" applyAlignment="1">
      <alignment horizontal="centerContinuous"/>
    </xf>
    <xf numFmtId="38" fontId="60" fillId="0" borderId="0" xfId="48" applyNumberFormat="1" applyFont="1" applyAlignment="1">
      <alignment horizontal="center"/>
    </xf>
    <xf numFmtId="38" fontId="60" fillId="0" borderId="65" xfId="48" applyNumberFormat="1" applyFont="1" applyBorder="1" applyAlignment="1">
      <alignment horizontal="center"/>
    </xf>
    <xf numFmtId="0" fontId="20" fillId="0" borderId="104" xfId="48" applyFont="1" applyBorder="1"/>
    <xf numFmtId="0" fontId="24" fillId="0" borderId="104" xfId="48" applyFont="1" applyBorder="1"/>
    <xf numFmtId="38" fontId="14" fillId="0" borderId="65" xfId="48" applyNumberFormat="1" applyFont="1" applyBorder="1" applyAlignment="1">
      <alignment horizontal="right"/>
    </xf>
    <xf numFmtId="3" fontId="12" fillId="24" borderId="32" xfId="30" applyNumberFormat="1" applyFont="1" applyFill="1" applyBorder="1"/>
    <xf numFmtId="0" fontId="7" fillId="0" borderId="0" xfId="48" applyFont="1" applyAlignment="1">
      <alignment horizontal="right"/>
    </xf>
    <xf numFmtId="0" fontId="7" fillId="0" borderId="0" xfId="0" applyFont="1"/>
    <xf numFmtId="170" fontId="14" fillId="0" borderId="13" xfId="30" applyNumberFormat="1" applyFont="1" applyBorder="1"/>
    <xf numFmtId="170" fontId="14" fillId="0" borderId="19" xfId="30" applyNumberFormat="1" applyFont="1" applyBorder="1"/>
    <xf numFmtId="10" fontId="8" fillId="30" borderId="231" xfId="55" applyNumberFormat="1" applyFont="1" applyFill="1" applyBorder="1"/>
    <xf numFmtId="0" fontId="0" fillId="28" borderId="0" xfId="0" applyFill="1"/>
    <xf numFmtId="0" fontId="0" fillId="24" borderId="0" xfId="0" applyFill="1"/>
    <xf numFmtId="0" fontId="0" fillId="36" borderId="0" xfId="0" applyFill="1"/>
    <xf numFmtId="0" fontId="0" fillId="25" borderId="0" xfId="0" applyFill="1"/>
    <xf numFmtId="0" fontId="0" fillId="29" borderId="0" xfId="0" applyFill="1"/>
    <xf numFmtId="0" fontId="0" fillId="37" borderId="0" xfId="0" applyFill="1"/>
    <xf numFmtId="0" fontId="0" fillId="38" borderId="0" xfId="0" applyFill="1"/>
    <xf numFmtId="0" fontId="0" fillId="39" borderId="0" xfId="0" applyFill="1"/>
    <xf numFmtId="0" fontId="63" fillId="40" borderId="0" xfId="0" applyFont="1" applyFill="1"/>
    <xf numFmtId="0" fontId="63" fillId="41" borderId="0" xfId="0" applyFont="1" applyFill="1"/>
    <xf numFmtId="0" fontId="3" fillId="0" borderId="0" xfId="0" applyFont="1"/>
    <xf numFmtId="0" fontId="64" fillId="0" borderId="0" xfId="38" applyFont="1" applyFill="1" applyAlignment="1" applyProtection="1"/>
    <xf numFmtId="0" fontId="65" fillId="0" borderId="0" xfId="0" applyFont="1"/>
    <xf numFmtId="0" fontId="61" fillId="26" borderId="0" xfId="38" applyFont="1" applyFill="1" applyBorder="1" applyAlignment="1" applyProtection="1">
      <alignment horizontal="center"/>
    </xf>
    <xf numFmtId="0" fontId="66" fillId="0" borderId="0" xfId="38" applyFont="1" applyBorder="1" applyAlignment="1" applyProtection="1">
      <alignment horizontal="center"/>
    </xf>
    <xf numFmtId="0" fontId="0" fillId="43" borderId="0" xfId="0" applyFill="1"/>
    <xf numFmtId="0" fontId="63" fillId="44" borderId="0" xfId="0" applyFont="1" applyFill="1"/>
    <xf numFmtId="0" fontId="63" fillId="45" borderId="0" xfId="0" applyFont="1" applyFill="1"/>
    <xf numFmtId="0" fontId="63" fillId="46" borderId="0" xfId="0" applyFont="1" applyFill="1"/>
    <xf numFmtId="0" fontId="63" fillId="47" borderId="0" xfId="0" applyFont="1" applyFill="1"/>
    <xf numFmtId="0" fontId="0" fillId="48" borderId="0" xfId="0" applyFill="1"/>
    <xf numFmtId="0" fontId="0" fillId="49" borderId="0" xfId="0" applyFill="1"/>
    <xf numFmtId="165" fontId="12" fillId="24" borderId="281" xfId="28" applyNumberFormat="1" applyFont="1" applyFill="1" applyBorder="1"/>
    <xf numFmtId="42" fontId="17" fillId="27" borderId="281" xfId="30" applyNumberFormat="1" applyFont="1" applyFill="1" applyBorder="1"/>
    <xf numFmtId="38" fontId="12" fillId="0" borderId="15" xfId="48" applyNumberFormat="1" applyFont="1" applyBorder="1"/>
    <xf numFmtId="44" fontId="17" fillId="27" borderId="281" xfId="30" applyFont="1" applyFill="1" applyBorder="1"/>
    <xf numFmtId="38" fontId="12" fillId="0" borderId="15" xfId="0" applyNumberFormat="1" applyFont="1" applyBorder="1" applyAlignment="1">
      <alignment horizontal="right"/>
    </xf>
    <xf numFmtId="170" fontId="17" fillId="27" borderId="281" xfId="30" applyNumberFormat="1" applyFont="1" applyFill="1" applyBorder="1" applyProtection="1"/>
    <xf numFmtId="38" fontId="17" fillId="0" borderId="15" xfId="48" applyNumberFormat="1" applyFont="1" applyBorder="1"/>
    <xf numFmtId="38" fontId="12" fillId="0" borderId="15" xfId="28" applyNumberFormat="1" applyFont="1" applyFill="1" applyBorder="1" applyAlignment="1" applyProtection="1">
      <alignment horizontal="right"/>
      <protection locked="0"/>
    </xf>
    <xf numFmtId="38" fontId="12" fillId="0" borderId="15" xfId="28" applyNumberFormat="1" applyFont="1" applyFill="1" applyBorder="1"/>
    <xf numFmtId="38" fontId="12" fillId="0" borderId="284" xfId="28" applyNumberFormat="1" applyFont="1" applyFill="1" applyBorder="1" applyAlignment="1" applyProtection="1">
      <alignment horizontal="right"/>
    </xf>
    <xf numFmtId="170" fontId="12" fillId="0" borderId="15" xfId="0" applyNumberFormat="1" applyFont="1" applyBorder="1" applyAlignment="1">
      <alignment horizontal="right"/>
    </xf>
    <xf numFmtId="38" fontId="12" fillId="0" borderId="15" xfId="0" applyNumberFormat="1" applyFont="1" applyBorder="1"/>
    <xf numFmtId="170" fontId="17" fillId="27" borderId="123" xfId="48" applyNumberFormat="1" applyFont="1" applyFill="1" applyBorder="1"/>
    <xf numFmtId="0" fontId="19" fillId="27" borderId="305" xfId="48" applyFont="1" applyFill="1" applyBorder="1" applyAlignment="1">
      <alignment horizontal="center"/>
    </xf>
    <xf numFmtId="0" fontId="19" fillId="27" borderId="306" xfId="48" applyFont="1" applyFill="1" applyBorder="1" applyAlignment="1">
      <alignment horizontal="center"/>
    </xf>
    <xf numFmtId="170" fontId="17" fillId="27" borderId="220" xfId="30" applyNumberFormat="1" applyFont="1" applyFill="1" applyBorder="1" applyProtection="1"/>
    <xf numFmtId="170" fontId="17" fillId="27" borderId="307" xfId="30" applyNumberFormat="1" applyFont="1" applyFill="1" applyBorder="1" applyProtection="1"/>
    <xf numFmtId="0" fontId="19" fillId="0" borderId="13" xfId="48" applyFont="1" applyBorder="1" applyAlignment="1">
      <alignment horizontal="center"/>
    </xf>
    <xf numFmtId="38" fontId="17" fillId="0" borderId="13" xfId="48" applyNumberFormat="1" applyFont="1" applyBorder="1"/>
    <xf numFmtId="38" fontId="17" fillId="0" borderId="19" xfId="48" applyNumberFormat="1" applyFont="1" applyBorder="1"/>
    <xf numFmtId="0" fontId="13" fillId="0" borderId="13" xfId="48" applyFont="1" applyBorder="1" applyAlignment="1">
      <alignment horizontal="center"/>
    </xf>
    <xf numFmtId="38" fontId="11" fillId="0" borderId="13" xfId="48" applyNumberFormat="1" applyFont="1" applyBorder="1"/>
    <xf numFmtId="38" fontId="11" fillId="0" borderId="19" xfId="48" applyNumberFormat="1" applyFont="1" applyBorder="1"/>
    <xf numFmtId="38" fontId="12" fillId="0" borderId="108" xfId="28" applyNumberFormat="1" applyFont="1" applyFill="1" applyBorder="1" applyProtection="1"/>
    <xf numFmtId="0" fontId="46" fillId="51" borderId="0" xfId="0" applyFont="1" applyFill="1" applyAlignment="1">
      <alignment vertical="center"/>
    </xf>
    <xf numFmtId="2" fontId="0" fillId="0" borderId="210" xfId="0" applyNumberFormat="1" applyBorder="1" applyAlignment="1">
      <alignment vertical="center"/>
    </xf>
    <xf numFmtId="2" fontId="0" fillId="0" borderId="209" xfId="0" applyNumberFormat="1" applyBorder="1" applyAlignment="1">
      <alignment vertical="center"/>
    </xf>
    <xf numFmtId="2" fontId="69" fillId="0" borderId="210" xfId="0" applyNumberFormat="1" applyFont="1" applyBorder="1" applyAlignment="1">
      <alignment vertical="center"/>
    </xf>
    <xf numFmtId="2" fontId="69" fillId="0" borderId="209" xfId="0" applyNumberFormat="1" applyFont="1" applyBorder="1" applyAlignment="1">
      <alignment vertical="center"/>
    </xf>
    <xf numFmtId="2" fontId="0" fillId="0" borderId="0" xfId="0" applyNumberFormat="1" applyAlignment="1">
      <alignment vertical="center"/>
    </xf>
    <xf numFmtId="2" fontId="69" fillId="0" borderId="0" xfId="0" applyNumberFormat="1" applyFont="1" applyAlignment="1">
      <alignment vertical="center"/>
    </xf>
    <xf numFmtId="2" fontId="69" fillId="52" borderId="210" xfId="0" applyNumberFormat="1" applyFont="1" applyFill="1" applyBorder="1" applyAlignment="1">
      <alignment vertical="center"/>
    </xf>
    <xf numFmtId="2" fontId="69" fillId="52" borderId="209" xfId="0" applyNumberFormat="1" applyFont="1" applyFill="1" applyBorder="1" applyAlignment="1">
      <alignment vertical="center"/>
    </xf>
    <xf numFmtId="2" fontId="6" fillId="0" borderId="210" xfId="0" applyNumberFormat="1" applyFont="1" applyBorder="1" applyAlignment="1">
      <alignment vertical="center"/>
    </xf>
    <xf numFmtId="2" fontId="6" fillId="0" borderId="209" xfId="0" applyNumberFormat="1" applyFont="1" applyBorder="1" applyAlignment="1">
      <alignment vertical="center"/>
    </xf>
    <xf numFmtId="2" fontId="69" fillId="0" borderId="208" xfId="0" applyNumberFormat="1" applyFont="1" applyBorder="1" applyAlignment="1">
      <alignment vertical="center"/>
    </xf>
    <xf numFmtId="168" fontId="0" fillId="0" borderId="210" xfId="55" applyNumberFormat="1" applyFont="1" applyFill="1" applyBorder="1" applyAlignment="1">
      <alignment vertical="center"/>
    </xf>
    <xf numFmtId="168" fontId="0" fillId="24" borderId="210" xfId="55" applyNumberFormat="1" applyFont="1" applyFill="1" applyBorder="1" applyAlignment="1">
      <alignment vertical="center"/>
    </xf>
    <xf numFmtId="168" fontId="0" fillId="24" borderId="209" xfId="55" applyNumberFormat="1" applyFont="1" applyFill="1" applyBorder="1" applyAlignment="1">
      <alignment vertical="center"/>
    </xf>
    <xf numFmtId="168" fontId="69" fillId="24" borderId="210" xfId="55" applyNumberFormat="1" applyFont="1" applyFill="1" applyBorder="1" applyAlignment="1">
      <alignment vertical="center"/>
    </xf>
    <xf numFmtId="168" fontId="69" fillId="24" borderId="209" xfId="55" applyNumberFormat="1" applyFont="1" applyFill="1" applyBorder="1" applyAlignment="1">
      <alignment vertical="center"/>
    </xf>
    <xf numFmtId="168" fontId="0" fillId="0" borderId="0" xfId="55" applyNumberFormat="1" applyFont="1" applyFill="1" applyAlignment="1">
      <alignment vertical="center"/>
    </xf>
    <xf numFmtId="168" fontId="0" fillId="0" borderId="0" xfId="55" applyNumberFormat="1" applyFont="1" applyAlignment="1">
      <alignment vertical="center"/>
    </xf>
    <xf numFmtId="168" fontId="70" fillId="0" borderId="0" xfId="60" applyNumberFormat="1" applyFont="1"/>
    <xf numFmtId="168" fontId="69" fillId="0" borderId="0" xfId="55" applyNumberFormat="1" applyFont="1" applyAlignment="1">
      <alignment vertical="center"/>
    </xf>
    <xf numFmtId="0" fontId="0" fillId="0" borderId="209" xfId="0" applyBorder="1" applyAlignment="1">
      <alignment vertical="center"/>
    </xf>
    <xf numFmtId="180" fontId="7" fillId="0" borderId="210" xfId="0" applyNumberFormat="1" applyFont="1" applyBorder="1" applyAlignment="1">
      <alignment vertical="center"/>
    </xf>
    <xf numFmtId="165" fontId="0" fillId="0" borderId="208" xfId="28" applyNumberFormat="1" applyFont="1" applyBorder="1" applyAlignment="1">
      <alignment vertical="center"/>
    </xf>
    <xf numFmtId="165" fontId="0" fillId="0" borderId="209" xfId="28" applyNumberFormat="1" applyFont="1" applyBorder="1" applyAlignment="1">
      <alignment vertical="center"/>
    </xf>
    <xf numFmtId="165" fontId="0" fillId="53" borderId="208" xfId="28" applyNumberFormat="1" applyFont="1" applyFill="1" applyBorder="1" applyAlignment="1">
      <alignment vertical="center"/>
    </xf>
    <xf numFmtId="165" fontId="0" fillId="53" borderId="209" xfId="28" applyNumberFormat="1" applyFont="1" applyFill="1" applyBorder="1" applyAlignment="1">
      <alignment vertical="center"/>
    </xf>
    <xf numFmtId="181" fontId="7" fillId="0" borderId="210" xfId="55" applyNumberFormat="1" applyFont="1" applyFill="1" applyBorder="1" applyAlignment="1">
      <alignment vertical="center"/>
    </xf>
    <xf numFmtId="181" fontId="0" fillId="0" borderId="93" xfId="55" applyNumberFormat="1" applyFont="1" applyFill="1" applyBorder="1" applyAlignment="1">
      <alignment vertical="center"/>
    </xf>
    <xf numFmtId="165" fontId="0" fillId="0" borderId="339" xfId="28" applyNumberFormat="1" applyFont="1" applyFill="1" applyBorder="1" applyAlignment="1">
      <alignment vertical="center"/>
    </xf>
    <xf numFmtId="165" fontId="0" fillId="0" borderId="341" xfId="28" applyNumberFormat="1" applyFont="1" applyFill="1" applyBorder="1" applyAlignment="1">
      <alignment vertical="center"/>
    </xf>
    <xf numFmtId="165" fontId="0" fillId="0" borderId="342" xfId="28" applyNumberFormat="1" applyFont="1" applyFill="1" applyBorder="1" applyAlignment="1">
      <alignment vertical="center"/>
    </xf>
    <xf numFmtId="0" fontId="69" fillId="0" borderId="0" xfId="0" applyFont="1"/>
    <xf numFmtId="0" fontId="0" fillId="0" borderId="339" xfId="0" applyBorder="1"/>
    <xf numFmtId="0" fontId="0" fillId="0" borderId="341" xfId="0" applyBorder="1"/>
    <xf numFmtId="0" fontId="0" fillId="0" borderId="342" xfId="0" applyBorder="1"/>
    <xf numFmtId="0" fontId="71" fillId="0" borderId="0" xfId="0" applyFont="1"/>
    <xf numFmtId="0" fontId="3" fillId="0" borderId="0" xfId="0" quotePrefix="1" applyFont="1"/>
    <xf numFmtId="0" fontId="7" fillId="0" borderId="0" xfId="0" quotePrefix="1" applyFont="1" applyAlignment="1">
      <alignment horizontal="left"/>
    </xf>
    <xf numFmtId="0" fontId="7" fillId="0" borderId="0" xfId="38" applyAlignment="1" applyProtection="1"/>
    <xf numFmtId="0" fontId="3" fillId="0" borderId="0" xfId="0" applyFont="1" applyAlignment="1">
      <alignment horizontal="center"/>
    </xf>
    <xf numFmtId="0" fontId="73" fillId="0" borderId="351" xfId="67" applyFont="1" applyBorder="1" applyAlignment="1">
      <alignment vertical="center"/>
    </xf>
    <xf numFmtId="165" fontId="73" fillId="0" borderId="117" xfId="28" applyNumberFormat="1" applyFont="1" applyFill="1" applyBorder="1" applyAlignment="1">
      <alignment vertical="center"/>
    </xf>
    <xf numFmtId="0" fontId="7" fillId="0" borderId="0" xfId="0" applyFont="1" applyAlignment="1">
      <alignment horizontal="left"/>
    </xf>
    <xf numFmtId="0" fontId="8" fillId="0" borderId="39" xfId="0" applyFont="1" applyBorder="1" applyAlignment="1">
      <alignment horizontal="centerContinuous"/>
    </xf>
    <xf numFmtId="0" fontId="7" fillId="0" borderId="39" xfId="0" applyFont="1" applyBorder="1" applyAlignment="1">
      <alignment horizontal="centerContinuous"/>
    </xf>
    <xf numFmtId="0" fontId="7" fillId="0" borderId="40" xfId="0" applyFont="1" applyBorder="1" applyAlignment="1">
      <alignment horizontal="centerContinuous"/>
    </xf>
    <xf numFmtId="0" fontId="7" fillId="0" borderId="0" xfId="0" applyFont="1" applyAlignment="1">
      <alignment horizontal="centerContinuous"/>
    </xf>
    <xf numFmtId="0" fontId="7" fillId="0" borderId="29" xfId="0" applyFont="1" applyBorder="1" applyAlignment="1">
      <alignment horizontal="centerContinuous"/>
    </xf>
    <xf numFmtId="0" fontId="74" fillId="0" borderId="354" xfId="38" applyFont="1" applyBorder="1" applyAlignment="1" applyProtection="1">
      <alignment horizontal="center"/>
    </xf>
    <xf numFmtId="0" fontId="8" fillId="0" borderId="355" xfId="48" applyFont="1" applyBorder="1" applyAlignment="1">
      <alignment horizontal="center"/>
    </xf>
    <xf numFmtId="0" fontId="8" fillId="0" borderId="354" xfId="48" applyFont="1" applyBorder="1" applyAlignment="1">
      <alignment horizontal="center"/>
    </xf>
    <xf numFmtId="0" fontId="8" fillId="0" borderId="354" xfId="48" applyFont="1" applyBorder="1" applyAlignment="1">
      <alignment horizontal="centerContinuous"/>
    </xf>
    <xf numFmtId="38" fontId="8" fillId="0" borderId="355" xfId="48" applyNumberFormat="1" applyFont="1" applyBorder="1" applyAlignment="1">
      <alignment horizontal="centerContinuous"/>
    </xf>
    <xf numFmtId="0" fontId="3" fillId="0" borderId="28" xfId="0" applyFont="1" applyBorder="1"/>
    <xf numFmtId="0" fontId="3" fillId="0" borderId="0" xfId="48" applyFont="1" applyAlignment="1">
      <alignment horizontal="centerContinuous"/>
    </xf>
    <xf numFmtId="0" fontId="10" fillId="0" borderId="0" xfId="48" applyFont="1" applyAlignment="1">
      <alignment horizontal="left"/>
    </xf>
    <xf numFmtId="0" fontId="3" fillId="0" borderId="29" xfId="0" applyFont="1" applyBorder="1"/>
    <xf numFmtId="0" fontId="8" fillId="34" borderId="152" xfId="0" applyFont="1" applyFill="1" applyBorder="1" applyAlignment="1">
      <alignment horizontal="center" vertical="center"/>
    </xf>
    <xf numFmtId="0" fontId="7" fillId="0" borderId="0" xfId="0" applyFont="1" applyAlignment="1">
      <alignment horizontal="left" vertical="center"/>
    </xf>
    <xf numFmtId="0" fontId="3" fillId="0" borderId="29" xfId="0" applyFont="1" applyBorder="1" applyAlignment="1">
      <alignment vertical="center"/>
    </xf>
    <xf numFmtId="165" fontId="12" fillId="53" borderId="32" xfId="28" applyNumberFormat="1" applyFont="1" applyFill="1" applyBorder="1"/>
    <xf numFmtId="0" fontId="3" fillId="0" borderId="0" xfId="48" applyFont="1"/>
    <xf numFmtId="0" fontId="3" fillId="0" borderId="0" xfId="48" applyFont="1" applyAlignment="1">
      <alignment horizontal="center"/>
    </xf>
    <xf numFmtId="38" fontId="16" fillId="0" borderId="0" xfId="48" applyNumberFormat="1" applyFont="1"/>
    <xf numFmtId="38" fontId="16" fillId="0" borderId="29" xfId="48" applyNumberFormat="1" applyFont="1" applyBorder="1"/>
    <xf numFmtId="38" fontId="3" fillId="0" borderId="0" xfId="0" applyNumberFormat="1" applyFont="1"/>
    <xf numFmtId="38" fontId="3" fillId="0" borderId="29" xfId="0" applyNumberFormat="1" applyFont="1" applyBorder="1"/>
    <xf numFmtId="170" fontId="17" fillId="30" borderId="32" xfId="28" applyNumberFormat="1" applyFont="1" applyFill="1" applyBorder="1"/>
    <xf numFmtId="170" fontId="17" fillId="30" borderId="33" xfId="28" applyNumberFormat="1" applyFont="1" applyFill="1" applyBorder="1"/>
    <xf numFmtId="38" fontId="3" fillId="0" borderId="0" xfId="48" applyNumberFormat="1" applyFont="1"/>
    <xf numFmtId="38" fontId="3" fillId="0" borderId="29" xfId="48" applyNumberFormat="1" applyFont="1" applyBorder="1"/>
    <xf numFmtId="0" fontId="17" fillId="0" borderId="0" xfId="48" applyFont="1"/>
    <xf numFmtId="0" fontId="3" fillId="0" borderId="28" xfId="48" applyFont="1" applyBorder="1" applyAlignment="1">
      <alignment horizontal="center"/>
    </xf>
    <xf numFmtId="38" fontId="12" fillId="53" borderId="32" xfId="28" applyNumberFormat="1" applyFont="1" applyFill="1" applyBorder="1" applyProtection="1"/>
    <xf numFmtId="38" fontId="3" fillId="0" borderId="15" xfId="0" applyNumberFormat="1" applyFont="1" applyBorder="1" applyAlignment="1">
      <alignment horizontal="right"/>
    </xf>
    <xf numFmtId="38" fontId="3" fillId="0" borderId="3" xfId="48" applyNumberFormat="1" applyFont="1" applyBorder="1"/>
    <xf numFmtId="38" fontId="3" fillId="0" borderId="31" xfId="0" applyNumberFormat="1" applyFont="1" applyBorder="1" applyAlignment="1">
      <alignment horizontal="right"/>
    </xf>
    <xf numFmtId="38" fontId="3" fillId="0" borderId="29" xfId="0" applyNumberFormat="1" applyFont="1" applyBorder="1" applyAlignment="1">
      <alignment horizontal="right"/>
    </xf>
    <xf numFmtId="38" fontId="3" fillId="0" borderId="31" xfId="48" applyNumberFormat="1" applyFont="1" applyBorder="1"/>
    <xf numFmtId="38" fontId="3" fillId="0" borderId="0" xfId="48" applyNumberFormat="1" applyFont="1" applyAlignment="1">
      <alignment horizontal="left"/>
    </xf>
    <xf numFmtId="38" fontId="3" fillId="0" borderId="29" xfId="48" applyNumberFormat="1" applyFont="1" applyBorder="1" applyAlignment="1">
      <alignment horizontal="left"/>
    </xf>
    <xf numFmtId="0" fontId="3" fillId="0" borderId="0" xfId="0" applyFont="1" applyAlignment="1">
      <alignment vertical="center" wrapText="1"/>
    </xf>
    <xf numFmtId="165" fontId="3" fillId="0" borderId="0" xfId="28" applyNumberFormat="1" applyFont="1" applyFill="1" applyBorder="1"/>
    <xf numFmtId="38" fontId="3" fillId="0" borderId="0" xfId="48" applyNumberFormat="1" applyFont="1" applyAlignment="1">
      <alignment horizontal="centerContinuous"/>
    </xf>
    <xf numFmtId="0" fontId="3" fillId="0" borderId="0" xfId="52" applyFont="1" applyAlignment="1">
      <alignment horizontal="center"/>
    </xf>
    <xf numFmtId="0" fontId="3" fillId="0" borderId="0" xfId="52" quotePrefix="1" applyFont="1" applyAlignment="1">
      <alignment horizontal="center"/>
    </xf>
    <xf numFmtId="0" fontId="3" fillId="0" borderId="0" xfId="48" applyFont="1" applyAlignment="1" applyProtection="1">
      <alignment horizontal="center"/>
      <protection locked="0"/>
    </xf>
    <xf numFmtId="0" fontId="3" fillId="0" borderId="28" xfId="48" applyFont="1" applyBorder="1" applyAlignment="1">
      <alignment horizontal="left"/>
    </xf>
    <xf numFmtId="0" fontId="3" fillId="0" borderId="30" xfId="0" applyFont="1" applyBorder="1"/>
    <xf numFmtId="0" fontId="3" fillId="0" borderId="3" xfId="0" applyFont="1" applyBorder="1"/>
    <xf numFmtId="0" fontId="3" fillId="0" borderId="82" xfId="48" applyFont="1" applyBorder="1" applyAlignment="1">
      <alignment horizontal="centerContinuous"/>
    </xf>
    <xf numFmtId="0" fontId="3" fillId="0" borderId="82" xfId="0" applyFont="1" applyBorder="1"/>
    <xf numFmtId="0" fontId="3" fillId="0" borderId="73" xfId="48" applyFont="1" applyBorder="1" applyAlignment="1">
      <alignment horizontal="centerContinuous"/>
    </xf>
    <xf numFmtId="0" fontId="3" fillId="0" borderId="104" xfId="0" applyFont="1" applyBorder="1"/>
    <xf numFmtId="170" fontId="14" fillId="30" borderId="62" xfId="48" applyNumberFormat="1" applyFont="1" applyFill="1" applyBorder="1" applyAlignment="1">
      <alignment horizontal="right"/>
    </xf>
    <xf numFmtId="170" fontId="8" fillId="30" borderId="62" xfId="48" applyNumberFormat="1" applyFont="1" applyFill="1" applyBorder="1" applyAlignment="1">
      <alignment horizontal="right"/>
    </xf>
    <xf numFmtId="38" fontId="3" fillId="0" borderId="0" xfId="48" applyNumberFormat="1" applyFont="1" applyAlignment="1">
      <alignment horizontal="center"/>
    </xf>
    <xf numFmtId="0" fontId="3" fillId="0" borderId="65" xfId="48" applyFont="1" applyBorder="1" applyAlignment="1">
      <alignment horizontal="center"/>
    </xf>
    <xf numFmtId="0" fontId="3" fillId="0" borderId="65" xfId="0" applyFont="1" applyBorder="1"/>
    <xf numFmtId="0" fontId="3" fillId="0" borderId="74" xfId="0" applyFont="1" applyBorder="1"/>
    <xf numFmtId="0" fontId="3" fillId="0" borderId="41" xfId="0" applyFont="1" applyBorder="1"/>
    <xf numFmtId="0" fontId="3" fillId="0" borderId="75" xfId="0" applyFont="1" applyBorder="1"/>
    <xf numFmtId="0" fontId="8" fillId="54" borderId="121" xfId="48" applyFont="1" applyFill="1" applyBorder="1"/>
    <xf numFmtId="6" fontId="14" fillId="24" borderId="36" xfId="48" applyNumberFormat="1" applyFont="1" applyFill="1" applyBorder="1" applyAlignment="1">
      <alignment horizontal="right"/>
    </xf>
    <xf numFmtId="165" fontId="14" fillId="24" borderId="36" xfId="28" applyNumberFormat="1" applyFont="1" applyFill="1" applyBorder="1" applyAlignment="1" applyProtection="1">
      <alignment horizontal="right"/>
    </xf>
    <xf numFmtId="165" fontId="14" fillId="24" borderId="35" xfId="28" applyNumberFormat="1" applyFont="1" applyFill="1" applyBorder="1" applyAlignment="1" applyProtection="1">
      <alignment horizontal="right"/>
    </xf>
    <xf numFmtId="0" fontId="7" fillId="0" borderId="0" xfId="48" applyFont="1" applyAlignment="1">
      <alignment horizontal="center"/>
    </xf>
    <xf numFmtId="0" fontId="3" fillId="0" borderId="241" xfId="48" applyFont="1" applyBorder="1" applyAlignment="1">
      <alignment horizontal="center"/>
    </xf>
    <xf numFmtId="165" fontId="8" fillId="30" borderId="62" xfId="28" applyNumberFormat="1" applyFont="1" applyFill="1" applyBorder="1" applyAlignment="1" applyProtection="1">
      <alignment horizontal="right"/>
    </xf>
    <xf numFmtId="43" fontId="8" fillId="0" borderId="0" xfId="28" applyFont="1" applyFill="1" applyBorder="1" applyAlignment="1" applyProtection="1">
      <alignment horizontal="right"/>
    </xf>
    <xf numFmtId="0" fontId="22" fillId="54" borderId="121" xfId="48" applyFont="1" applyFill="1" applyBorder="1"/>
    <xf numFmtId="43" fontId="8" fillId="30" borderId="62" xfId="28" applyFont="1" applyFill="1" applyBorder="1" applyAlignment="1" applyProtection="1">
      <alignment horizontal="right"/>
    </xf>
    <xf numFmtId="0" fontId="7" fillId="0" borderId="0" xfId="51" applyFont="1"/>
    <xf numFmtId="0" fontId="7" fillId="0" borderId="0" xfId="46" applyFont="1"/>
    <xf numFmtId="0" fontId="3" fillId="0" borderId="0" xfId="46" applyFont="1"/>
    <xf numFmtId="0" fontId="51" fillId="0" borderId="0" xfId="46" applyFont="1"/>
    <xf numFmtId="170" fontId="3" fillId="0" borderId="0" xfId="30" applyNumberFormat="1" applyFont="1"/>
    <xf numFmtId="0" fontId="14" fillId="30" borderId="112" xfId="48" applyFont="1" applyFill="1" applyBorder="1" applyAlignment="1">
      <alignment horizontal="center"/>
    </xf>
    <xf numFmtId="0" fontId="14" fillId="30" borderId="110" xfId="48" applyFont="1" applyFill="1" applyBorder="1" applyAlignment="1">
      <alignment horizontal="center"/>
    </xf>
    <xf numFmtId="170" fontId="8" fillId="30" borderId="32" xfId="30" applyNumberFormat="1" applyFont="1" applyFill="1" applyBorder="1" applyAlignment="1" applyProtection="1">
      <alignment horizontal="right"/>
    </xf>
    <xf numFmtId="9" fontId="8" fillId="30" borderId="32" xfId="55" applyFont="1" applyFill="1" applyBorder="1" applyAlignment="1" applyProtection="1">
      <alignment horizontal="right"/>
    </xf>
    <xf numFmtId="170" fontId="3" fillId="0" borderId="0" xfId="30" applyNumberFormat="1" applyFont="1" applyFill="1"/>
    <xf numFmtId="170" fontId="3" fillId="0" borderId="0" xfId="30" applyNumberFormat="1" applyFont="1" applyFill="1" applyBorder="1"/>
    <xf numFmtId="0" fontId="8" fillId="0" borderId="12" xfId="46" applyFont="1" applyBorder="1" applyAlignment="1">
      <alignment horizontal="center"/>
    </xf>
    <xf numFmtId="0" fontId="14" fillId="0" borderId="13" xfId="46" applyFont="1" applyBorder="1"/>
    <xf numFmtId="10" fontId="8" fillId="30" borderId="125" xfId="55" applyNumberFormat="1" applyFont="1" applyFill="1" applyBorder="1"/>
    <xf numFmtId="10" fontId="8" fillId="30" borderId="126" xfId="55" applyNumberFormat="1" applyFont="1" applyFill="1" applyBorder="1"/>
    <xf numFmtId="10" fontId="8" fillId="30" borderId="356" xfId="55" applyNumberFormat="1" applyFont="1" applyFill="1" applyBorder="1"/>
    <xf numFmtId="9" fontId="3" fillId="0" borderId="0" xfId="55" applyFont="1" applyFill="1" applyBorder="1"/>
    <xf numFmtId="49" fontId="14" fillId="0" borderId="32" xfId="48" applyNumberFormat="1" applyFont="1" applyBorder="1" applyAlignment="1" applyProtection="1">
      <alignment horizontal="center"/>
      <protection locked="0"/>
    </xf>
    <xf numFmtId="0" fontId="19" fillId="0" borderId="112" xfId="48" applyFont="1" applyBorder="1" applyAlignment="1">
      <alignment horizontal="center"/>
    </xf>
    <xf numFmtId="0" fontId="19" fillId="0" borderId="304" xfId="48" applyFont="1" applyBorder="1" applyAlignment="1">
      <alignment horizontal="center"/>
    </xf>
    <xf numFmtId="0" fontId="8" fillId="0" borderId="109" xfId="48" applyFont="1" applyBorder="1" applyAlignment="1">
      <alignment horizontal="center"/>
    </xf>
    <xf numFmtId="0" fontId="0" fillId="0" borderId="0" xfId="0" applyAlignment="1">
      <alignment horizontal="right"/>
    </xf>
    <xf numFmtId="0" fontId="0" fillId="55" borderId="0" xfId="0" applyFill="1"/>
    <xf numFmtId="0" fontId="0" fillId="55" borderId="0" xfId="0" applyFill="1" applyAlignment="1">
      <alignment horizontal="left"/>
    </xf>
    <xf numFmtId="0" fontId="7" fillId="55" borderId="0" xfId="0" applyFont="1" applyFill="1" applyAlignment="1">
      <alignment horizontal="center"/>
    </xf>
    <xf numFmtId="0" fontId="3" fillId="55" borderId="0" xfId="0" applyFont="1" applyFill="1"/>
    <xf numFmtId="0" fontId="75" fillId="55" borderId="0" xfId="38" applyFont="1" applyFill="1" applyAlignment="1" applyProtection="1"/>
    <xf numFmtId="0" fontId="7" fillId="55" borderId="0" xfId="0" quotePrefix="1" applyFont="1" applyFill="1" applyAlignment="1">
      <alignment horizontal="left"/>
    </xf>
    <xf numFmtId="0" fontId="3" fillId="55" borderId="0" xfId="0" applyFont="1" applyFill="1" applyAlignment="1">
      <alignment horizontal="center"/>
    </xf>
    <xf numFmtId="0" fontId="7" fillId="55" borderId="0" xfId="0" applyFont="1" applyFill="1" applyAlignment="1">
      <alignment horizontal="left"/>
    </xf>
    <xf numFmtId="0" fontId="0" fillId="0" borderId="352" xfId="0" applyBorder="1"/>
    <xf numFmtId="0" fontId="0" fillId="0" borderId="353" xfId="0" applyBorder="1"/>
    <xf numFmtId="0" fontId="73" fillId="0" borderId="373" xfId="67" applyFont="1" applyBorder="1" applyAlignment="1">
      <alignment vertical="center"/>
    </xf>
    <xf numFmtId="165" fontId="73" fillId="0" borderId="118" xfId="28" applyNumberFormat="1" applyFont="1" applyFill="1" applyBorder="1" applyAlignment="1">
      <alignment vertical="center"/>
    </xf>
    <xf numFmtId="2" fontId="69" fillId="52" borderId="208" xfId="0" applyNumberFormat="1" applyFont="1" applyFill="1" applyBorder="1" applyAlignment="1">
      <alignment vertical="center"/>
    </xf>
    <xf numFmtId="2" fontId="6" fillId="0" borderId="208" xfId="0" applyNumberFormat="1" applyFont="1" applyBorder="1" applyAlignment="1">
      <alignment vertical="center"/>
    </xf>
    <xf numFmtId="168" fontId="69" fillId="24" borderId="208" xfId="55" applyNumberFormat="1" applyFont="1" applyFill="1" applyBorder="1" applyAlignment="1">
      <alignment vertical="center"/>
    </xf>
    <xf numFmtId="0" fontId="0" fillId="0" borderId="208" xfId="0" applyBorder="1" applyAlignment="1">
      <alignment vertical="center"/>
    </xf>
    <xf numFmtId="165" fontId="0" fillId="0" borderId="0" xfId="28" applyNumberFormat="1" applyFont="1" applyBorder="1" applyAlignment="1">
      <alignment vertical="center"/>
    </xf>
    <xf numFmtId="0" fontId="0" fillId="0" borderId="376" xfId="0" applyBorder="1"/>
    <xf numFmtId="0" fontId="0" fillId="0" borderId="377" xfId="0" applyBorder="1"/>
    <xf numFmtId="0" fontId="0" fillId="0" borderId="374" xfId="0" applyBorder="1"/>
    <xf numFmtId="165" fontId="0" fillId="0" borderId="378" xfId="28" applyNumberFormat="1" applyFont="1" applyFill="1" applyBorder="1" applyAlignment="1">
      <alignment vertical="center"/>
    </xf>
    <xf numFmtId="165" fontId="0" fillId="0" borderId="11" xfId="28" applyNumberFormat="1" applyFont="1" applyFill="1" applyBorder="1" applyAlignment="1">
      <alignment vertical="center"/>
    </xf>
    <xf numFmtId="165" fontId="0" fillId="0" borderId="379" xfId="28" applyNumberFormat="1" applyFont="1" applyFill="1" applyBorder="1" applyAlignment="1">
      <alignment vertical="center"/>
    </xf>
    <xf numFmtId="165" fontId="70" fillId="0" borderId="0" xfId="61" applyNumberFormat="1" applyFont="1" applyBorder="1"/>
    <xf numFmtId="165" fontId="70" fillId="0" borderId="320" xfId="61" applyNumberFormat="1" applyFont="1" applyBorder="1"/>
    <xf numFmtId="165" fontId="70" fillId="0" borderId="380" xfId="61" applyNumberFormat="1" applyFont="1" applyBorder="1"/>
    <xf numFmtId="165" fontId="70" fillId="0" borderId="226" xfId="61" applyNumberFormat="1" applyFont="1" applyBorder="1"/>
    <xf numFmtId="165" fontId="70" fillId="0" borderId="375" xfId="61" applyNumberFormat="1" applyFont="1" applyBorder="1"/>
    <xf numFmtId="165" fontId="70" fillId="0" borderId="241" xfId="61" applyNumberFormat="1" applyFont="1" applyBorder="1"/>
    <xf numFmtId="0" fontId="0" fillId="0" borderId="378" xfId="0" applyBorder="1"/>
    <xf numFmtId="0" fontId="0" fillId="0" borderId="11" xfId="0" applyBorder="1"/>
    <xf numFmtId="0" fontId="0" fillId="0" borderId="379" xfId="0" applyBorder="1"/>
    <xf numFmtId="0" fontId="0" fillId="0" borderId="320" xfId="0" applyBorder="1"/>
    <xf numFmtId="0" fontId="0" fillId="0" borderId="380" xfId="0" applyBorder="1"/>
    <xf numFmtId="0" fontId="0" fillId="0" borderId="226" xfId="0" applyBorder="1"/>
    <xf numFmtId="0" fontId="0" fillId="0" borderId="375" xfId="0" applyBorder="1"/>
    <xf numFmtId="0" fontId="0" fillId="0" borderId="241" xfId="0" applyBorder="1"/>
    <xf numFmtId="2" fontId="69" fillId="0" borderId="226" xfId="0" applyNumberFormat="1" applyFont="1" applyBorder="1" applyAlignment="1">
      <alignment vertical="center"/>
    </xf>
    <xf numFmtId="0" fontId="0" fillId="0" borderId="210" xfId="0" applyBorder="1"/>
    <xf numFmtId="165" fontId="0" fillId="53" borderId="210" xfId="28" applyNumberFormat="1" applyFont="1" applyFill="1" applyBorder="1" applyAlignment="1">
      <alignment vertical="center"/>
    </xf>
    <xf numFmtId="181" fontId="0" fillId="0" borderId="209" xfId="55" applyNumberFormat="1" applyFont="1" applyFill="1" applyBorder="1" applyAlignment="1">
      <alignment vertical="center"/>
    </xf>
    <xf numFmtId="165" fontId="0" fillId="0" borderId="210" xfId="28" applyNumberFormat="1" applyFont="1" applyBorder="1" applyAlignment="1">
      <alignment vertical="center"/>
    </xf>
    <xf numFmtId="0" fontId="7" fillId="0" borderId="0" xfId="38" applyFill="1" applyAlignment="1" applyProtection="1"/>
    <xf numFmtId="14" fontId="7" fillId="0" borderId="0" xfId="0" quotePrefix="1" applyNumberFormat="1" applyFont="1" applyAlignment="1">
      <alignment horizontal="left"/>
    </xf>
    <xf numFmtId="0" fontId="45" fillId="0" borderId="320" xfId="0" applyFont="1" applyBorder="1"/>
    <xf numFmtId="0" fontId="45" fillId="0" borderId="380" xfId="0" applyFont="1" applyBorder="1"/>
    <xf numFmtId="0" fontId="76" fillId="0" borderId="376" xfId="0" applyFont="1" applyBorder="1" applyAlignment="1">
      <alignment horizontal="right"/>
    </xf>
    <xf numFmtId="0" fontId="76" fillId="0" borderId="320" xfId="0" applyFont="1" applyBorder="1"/>
    <xf numFmtId="0" fontId="76" fillId="0" borderId="380" xfId="0" applyFont="1" applyBorder="1"/>
    <xf numFmtId="0" fontId="45" fillId="0" borderId="0" xfId="0" applyFont="1"/>
    <xf numFmtId="0" fontId="76" fillId="0" borderId="226" xfId="0" applyFont="1" applyBorder="1" applyAlignment="1" applyProtection="1">
      <alignment horizontal="centerContinuous"/>
      <protection locked="0"/>
    </xf>
    <xf numFmtId="0" fontId="45" fillId="0" borderId="0" xfId="0" applyFont="1" applyAlignment="1">
      <alignment horizontal="centerContinuous"/>
    </xf>
    <xf numFmtId="0" fontId="76" fillId="0" borderId="0" xfId="0" applyFont="1" applyAlignment="1">
      <alignment horizontal="centerContinuous"/>
    </xf>
    <xf numFmtId="0" fontId="76" fillId="0" borderId="377" xfId="0" applyFont="1" applyBorder="1" applyAlignment="1">
      <alignment horizontal="centerContinuous"/>
    </xf>
    <xf numFmtId="0" fontId="77" fillId="0" borderId="226" xfId="0" applyFont="1" applyBorder="1" applyAlignment="1">
      <alignment horizontal="centerContinuous"/>
    </xf>
    <xf numFmtId="0" fontId="76" fillId="0" borderId="226" xfId="0" applyFont="1" applyBorder="1" applyAlignment="1">
      <alignment horizontal="centerContinuous"/>
    </xf>
    <xf numFmtId="0" fontId="45" fillId="56" borderId="0" xfId="0" applyFont="1" applyFill="1" applyAlignment="1">
      <alignment horizontal="centerContinuous"/>
    </xf>
    <xf numFmtId="0" fontId="76" fillId="56" borderId="0" xfId="0" applyFont="1" applyFill="1" applyAlignment="1">
      <alignment horizontal="centerContinuous"/>
    </xf>
    <xf numFmtId="0" fontId="76" fillId="56" borderId="377" xfId="0" applyFont="1" applyFill="1" applyBorder="1" applyAlignment="1">
      <alignment horizontal="centerContinuous"/>
    </xf>
    <xf numFmtId="0" fontId="45" fillId="0" borderId="226" xfId="0" applyFont="1" applyBorder="1" applyProtection="1">
      <protection locked="0"/>
    </xf>
    <xf numFmtId="0" fontId="76" fillId="0" borderId="0" xfId="0" applyFont="1" applyAlignment="1">
      <alignment horizontal="center"/>
    </xf>
    <xf numFmtId="0" fontId="76" fillId="0" borderId="377" xfId="0" applyFont="1" applyBorder="1" applyAlignment="1">
      <alignment horizontal="center"/>
    </xf>
    <xf numFmtId="0" fontId="76" fillId="0" borderId="226" xfId="0" applyFont="1" applyBorder="1"/>
    <xf numFmtId="0" fontId="76" fillId="0" borderId="0" xfId="0" applyFont="1"/>
    <xf numFmtId="0" fontId="76" fillId="0" borderId="377" xfId="0" applyFont="1" applyBorder="1"/>
    <xf numFmtId="0" fontId="76" fillId="0" borderId="226" xfId="0" applyFont="1" applyBorder="1" applyAlignment="1">
      <alignment horizontal="center"/>
    </xf>
    <xf numFmtId="0" fontId="76" fillId="0" borderId="384" xfId="0" applyFont="1" applyBorder="1" applyAlignment="1">
      <alignment horizontal="center"/>
    </xf>
    <xf numFmtId="0" fontId="76" fillId="0" borderId="118" xfId="0" applyFont="1" applyBorder="1" applyAlignment="1">
      <alignment horizontal="left"/>
    </xf>
    <xf numFmtId="0" fontId="76" fillId="0" borderId="118" xfId="0" applyFont="1" applyBorder="1" applyAlignment="1">
      <alignment horizontal="center"/>
    </xf>
    <xf numFmtId="0" fontId="76" fillId="0" borderId="385" xfId="0" applyFont="1" applyBorder="1" applyAlignment="1">
      <alignment horizontal="center"/>
    </xf>
    <xf numFmtId="0" fontId="76" fillId="0" borderId="118" xfId="0" applyFont="1" applyBorder="1" applyProtection="1">
      <protection locked="0"/>
    </xf>
    <xf numFmtId="0" fontId="76" fillId="0" borderId="118" xfId="0" applyFont="1" applyBorder="1"/>
    <xf numFmtId="0" fontId="76" fillId="0" borderId="385" xfId="0" applyFont="1" applyBorder="1" applyAlignment="1">
      <alignment horizontal="right"/>
    </xf>
    <xf numFmtId="0" fontId="45" fillId="0" borderId="226" xfId="0" applyFont="1" applyBorder="1" applyAlignment="1">
      <alignment horizontal="fill"/>
    </xf>
    <xf numFmtId="0" fontId="45" fillId="0" borderId="0" xfId="0" applyFont="1" applyAlignment="1">
      <alignment horizontal="fill"/>
    </xf>
    <xf numFmtId="0" fontId="45" fillId="0" borderId="377" xfId="0" applyFont="1" applyBorder="1" applyAlignment="1">
      <alignment horizontal="fill"/>
    </xf>
    <xf numFmtId="0" fontId="45" fillId="0" borderId="226" xfId="0" applyFont="1" applyBorder="1"/>
    <xf numFmtId="0" fontId="45" fillId="0" borderId="377" xfId="0" quotePrefix="1" applyFont="1" applyBorder="1" applyAlignment="1">
      <alignment horizontal="center"/>
    </xf>
    <xf numFmtId="0" fontId="45" fillId="0" borderId="226" xfId="0" applyFont="1" applyBorder="1" applyAlignment="1">
      <alignment horizontal="center"/>
    </xf>
    <xf numFmtId="10" fontId="45" fillId="0" borderId="0" xfId="0" applyNumberFormat="1" applyFont="1"/>
    <xf numFmtId="10" fontId="45" fillId="0" borderId="377" xfId="0" applyNumberFormat="1" applyFont="1" applyBorder="1"/>
    <xf numFmtId="0" fontId="45" fillId="0" borderId="0" xfId="0" applyFont="1" applyAlignment="1">
      <alignment horizontal="left"/>
    </xf>
    <xf numFmtId="185" fontId="45" fillId="0" borderId="377" xfId="0" applyNumberFormat="1" applyFont="1" applyBorder="1"/>
    <xf numFmtId="10" fontId="45" fillId="0" borderId="373" xfId="0" applyNumberFormat="1" applyFont="1" applyBorder="1"/>
    <xf numFmtId="10" fontId="45" fillId="0" borderId="386" xfId="0" applyNumberFormat="1" applyFont="1" applyBorder="1"/>
    <xf numFmtId="180" fontId="45" fillId="0" borderId="0" xfId="0" applyNumberFormat="1" applyFont="1"/>
    <xf numFmtId="185" fontId="45" fillId="0" borderId="385" xfId="0" applyNumberFormat="1" applyFont="1" applyBorder="1"/>
    <xf numFmtId="0" fontId="45" fillId="0" borderId="377" xfId="0" applyFont="1" applyBorder="1"/>
    <xf numFmtId="10" fontId="78" fillId="0" borderId="377" xfId="0" applyNumberFormat="1" applyFont="1" applyBorder="1"/>
    <xf numFmtId="10" fontId="78" fillId="0" borderId="386" xfId="0" applyNumberFormat="1" applyFont="1" applyBorder="1"/>
    <xf numFmtId="9" fontId="78" fillId="0" borderId="0" xfId="0" applyNumberFormat="1" applyFont="1"/>
    <xf numFmtId="185" fontId="78" fillId="0" borderId="387" xfId="0" applyNumberFormat="1" applyFont="1" applyBorder="1" applyProtection="1">
      <protection locked="0"/>
    </xf>
    <xf numFmtId="0" fontId="45" fillId="0" borderId="375" xfId="0" applyFont="1" applyBorder="1" applyAlignment="1">
      <alignment horizontal="center"/>
    </xf>
    <xf numFmtId="0" fontId="45" fillId="0" borderId="241" xfId="0" applyFont="1" applyBorder="1"/>
    <xf numFmtId="0" fontId="45" fillId="0" borderId="374" xfId="0" applyFont="1" applyBorder="1"/>
    <xf numFmtId="0" fontId="45" fillId="0" borderId="241" xfId="0" applyFont="1" applyBorder="1" applyAlignment="1">
      <alignment horizontal="left"/>
    </xf>
    <xf numFmtId="185" fontId="78" fillId="0" borderId="218" xfId="0" applyNumberFormat="1" applyFont="1" applyBorder="1" applyProtection="1">
      <protection locked="0"/>
    </xf>
    <xf numFmtId="0" fontId="45" fillId="56" borderId="388" xfId="0" applyFont="1" applyFill="1" applyBorder="1"/>
    <xf numFmtId="0" fontId="45" fillId="56" borderId="389" xfId="0" applyFont="1" applyFill="1" applyBorder="1"/>
    <xf numFmtId="10" fontId="76" fillId="56" borderId="390" xfId="68" applyNumberFormat="1" applyFont="1" applyFill="1" applyBorder="1"/>
    <xf numFmtId="0" fontId="45" fillId="0" borderId="0" xfId="69" applyFont="1"/>
    <xf numFmtId="0" fontId="81" fillId="0" borderId="0" xfId="69" applyFont="1"/>
    <xf numFmtId="0" fontId="45" fillId="0" borderId="0" xfId="70" applyFont="1"/>
    <xf numFmtId="0" fontId="45" fillId="0" borderId="0" xfId="70" applyFont="1" applyAlignment="1">
      <alignment horizontal="center"/>
    </xf>
    <xf numFmtId="0" fontId="76" fillId="0" borderId="0" xfId="70" applyFont="1" applyAlignment="1">
      <alignment horizontal="centerContinuous"/>
    </xf>
    <xf numFmtId="0" fontId="76" fillId="57" borderId="399" xfId="70" applyFont="1" applyFill="1" applyBorder="1" applyAlignment="1">
      <alignment horizontal="centerContinuous" vertical="center"/>
    </xf>
    <xf numFmtId="0" fontId="76" fillId="57" borderId="400" xfId="70" applyFont="1" applyFill="1" applyBorder="1" applyAlignment="1">
      <alignment horizontal="centerContinuous" vertical="center"/>
    </xf>
    <xf numFmtId="0" fontId="76" fillId="57" borderId="401" xfId="70" applyFont="1" applyFill="1" applyBorder="1" applyAlignment="1">
      <alignment horizontal="centerContinuous" vertical="center"/>
    </xf>
    <xf numFmtId="0" fontId="76" fillId="57" borderId="402" xfId="70" applyFont="1" applyFill="1" applyBorder="1" applyAlignment="1">
      <alignment horizontal="centerContinuous" vertical="center"/>
    </xf>
    <xf numFmtId="0" fontId="76" fillId="57" borderId="0" xfId="70" applyFont="1" applyFill="1" applyAlignment="1">
      <alignment horizontal="centerContinuous" vertical="center"/>
    </xf>
    <xf numFmtId="0" fontId="76" fillId="57" borderId="403" xfId="70" applyFont="1" applyFill="1" applyBorder="1" applyAlignment="1">
      <alignment horizontal="centerContinuous" vertical="center"/>
    </xf>
    <xf numFmtId="0" fontId="76" fillId="57" borderId="404" xfId="70" applyFont="1" applyFill="1" applyBorder="1" applyAlignment="1">
      <alignment horizontal="centerContinuous" vertical="center"/>
    </xf>
    <xf numFmtId="0" fontId="76" fillId="57" borderId="118" xfId="70" applyFont="1" applyFill="1" applyBorder="1" applyAlignment="1">
      <alignment horizontal="centerContinuous" vertical="center"/>
    </xf>
    <xf numFmtId="0" fontId="76" fillId="57" borderId="405" xfId="70" applyFont="1" applyFill="1" applyBorder="1" applyAlignment="1">
      <alignment horizontal="centerContinuous" vertical="center"/>
    </xf>
    <xf numFmtId="0" fontId="45" fillId="0" borderId="402" xfId="70" applyFont="1" applyBorder="1"/>
    <xf numFmtId="0" fontId="76" fillId="0" borderId="404" xfId="70" applyFont="1" applyBorder="1" applyAlignment="1">
      <alignment horizontal="center"/>
    </xf>
    <xf numFmtId="0" fontId="76" fillId="0" borderId="118" xfId="70" applyFont="1" applyBorder="1" applyAlignment="1">
      <alignment horizontal="center"/>
    </xf>
    <xf numFmtId="0" fontId="76" fillId="57" borderId="118" xfId="70" applyFont="1" applyFill="1" applyBorder="1" applyAlignment="1">
      <alignment horizontal="center"/>
    </xf>
    <xf numFmtId="43" fontId="83" fillId="0" borderId="0" xfId="71" applyFont="1" applyBorder="1"/>
    <xf numFmtId="0" fontId="45" fillId="0" borderId="403" xfId="70" applyFont="1" applyBorder="1"/>
    <xf numFmtId="0" fontId="76" fillId="0" borderId="402" xfId="70" applyFont="1" applyBorder="1" applyAlignment="1">
      <alignment horizontal="center"/>
    </xf>
    <xf numFmtId="0" fontId="76" fillId="0" borderId="0" xfId="70" applyFont="1" applyAlignment="1">
      <alignment horizontal="center"/>
    </xf>
    <xf numFmtId="0" fontId="84" fillId="0" borderId="0" xfId="0" applyFont="1"/>
    <xf numFmtId="14" fontId="45" fillId="0" borderId="0" xfId="0" applyNumberFormat="1" applyFont="1"/>
    <xf numFmtId="165" fontId="45" fillId="0" borderId="0" xfId="0" applyNumberFormat="1" applyFont="1"/>
    <xf numFmtId="10" fontId="76" fillId="0" borderId="237" xfId="0" applyNumberFormat="1" applyFont="1" applyBorder="1"/>
    <xf numFmtId="10" fontId="45" fillId="0" borderId="237" xfId="0" applyNumberFormat="1" applyFont="1" applyBorder="1"/>
    <xf numFmtId="0" fontId="45" fillId="0" borderId="402" xfId="70" applyFont="1" applyBorder="1" applyAlignment="1">
      <alignment horizontal="center"/>
    </xf>
    <xf numFmtId="3" fontId="45" fillId="0" borderId="0" xfId="0" applyNumberFormat="1" applyFont="1"/>
    <xf numFmtId="0" fontId="79" fillId="0" borderId="0" xfId="0" applyFont="1"/>
    <xf numFmtId="0" fontId="45" fillId="0" borderId="0" xfId="0" applyFont="1" applyAlignment="1">
      <alignment wrapText="1"/>
    </xf>
    <xf numFmtId="41" fontId="45" fillId="0" borderId="0" xfId="0" applyNumberFormat="1" applyFont="1"/>
    <xf numFmtId="42" fontId="45" fillId="0" borderId="0" xfId="0" applyNumberFormat="1" applyFont="1"/>
    <xf numFmtId="42" fontId="45" fillId="0" borderId="114" xfId="0" applyNumberFormat="1" applyFont="1" applyBorder="1"/>
    <xf numFmtId="0" fontId="84" fillId="57" borderId="0" xfId="0" applyFont="1" applyFill="1"/>
    <xf numFmtId="10" fontId="45" fillId="0" borderId="114" xfId="0" applyNumberFormat="1" applyFont="1" applyBorder="1"/>
    <xf numFmtId="170" fontId="45" fillId="0" borderId="0" xfId="0" applyNumberFormat="1" applyFont="1"/>
    <xf numFmtId="10" fontId="45" fillId="0" borderId="118" xfId="0" applyNumberFormat="1" applyFont="1" applyBorder="1"/>
    <xf numFmtId="0" fontId="45" fillId="57" borderId="0" xfId="0" applyFont="1" applyFill="1"/>
    <xf numFmtId="0" fontId="79" fillId="57" borderId="0" xfId="0" applyFont="1" applyFill="1"/>
    <xf numFmtId="10" fontId="76" fillId="57" borderId="237" xfId="0" applyNumberFormat="1" applyFont="1" applyFill="1" applyBorder="1"/>
    <xf numFmtId="10" fontId="45" fillId="57" borderId="237" xfId="0" applyNumberFormat="1" applyFont="1" applyFill="1" applyBorder="1"/>
    <xf numFmtId="0" fontId="76" fillId="0" borderId="402" xfId="0" applyFont="1" applyBorder="1"/>
    <xf numFmtId="0" fontId="45" fillId="0" borderId="402" xfId="0" applyFont="1" applyBorder="1"/>
    <xf numFmtId="170" fontId="45" fillId="0" borderId="114" xfId="0" applyNumberFormat="1" applyFont="1" applyBorder="1"/>
    <xf numFmtId="0" fontId="45" fillId="0" borderId="0" xfId="0" applyFont="1" applyAlignment="1">
      <alignment horizontal="center"/>
    </xf>
    <xf numFmtId="42" fontId="45" fillId="0" borderId="237" xfId="0" applyNumberFormat="1" applyFont="1" applyBorder="1"/>
    <xf numFmtId="0" fontId="45" fillId="0" borderId="402" xfId="69" applyFont="1" applyBorder="1"/>
    <xf numFmtId="0" fontId="45" fillId="0" borderId="403" xfId="69" applyFont="1" applyBorder="1"/>
    <xf numFmtId="0" fontId="45" fillId="0" borderId="406" xfId="69" applyFont="1" applyBorder="1"/>
    <xf numFmtId="0" fontId="45" fillId="0" borderId="407" xfId="69" applyFont="1" applyBorder="1"/>
    <xf numFmtId="0" fontId="45" fillId="0" borderId="408" xfId="69" applyFont="1" applyBorder="1"/>
    <xf numFmtId="0" fontId="45" fillId="0" borderId="0" xfId="72" applyFont="1" applyAlignment="1">
      <alignment horizontal="center" vertical="center"/>
    </xf>
    <xf numFmtId="49" fontId="76" fillId="57" borderId="0" xfId="73" applyNumberFormat="1" applyFont="1" applyFill="1" applyAlignment="1">
      <alignment horizontal="center" vertical="center"/>
    </xf>
    <xf numFmtId="188" fontId="45" fillId="0" borderId="0" xfId="72" applyNumberFormat="1" applyFont="1" applyAlignment="1">
      <alignment horizontal="center" vertical="center"/>
    </xf>
    <xf numFmtId="0" fontId="45" fillId="0" borderId="0" xfId="72" applyFont="1"/>
    <xf numFmtId="188" fontId="85" fillId="0" borderId="0" xfId="72" applyNumberFormat="1" applyFont="1" applyAlignment="1">
      <alignment horizontal="center" vertical="center"/>
    </xf>
    <xf numFmtId="14" fontId="76" fillId="57" borderId="0" xfId="73" applyNumberFormat="1" applyFont="1" applyFill="1" applyAlignment="1">
      <alignment horizontal="center" vertical="center"/>
    </xf>
    <xf numFmtId="0" fontId="86" fillId="0" borderId="0" xfId="72" applyFont="1" applyAlignment="1">
      <alignment horizontal="center" vertical="center"/>
    </xf>
    <xf numFmtId="0" fontId="76" fillId="0" borderId="0" xfId="72" applyFont="1" applyAlignment="1">
      <alignment horizontal="center" vertical="center"/>
    </xf>
    <xf numFmtId="49" fontId="45" fillId="0" borderId="0" xfId="72" applyNumberFormat="1" applyFont="1" applyAlignment="1">
      <alignment horizontal="center" vertical="center"/>
    </xf>
    <xf numFmtId="43" fontId="87" fillId="57" borderId="244" xfId="73" applyNumberFormat="1" applyFont="1" applyFill="1" applyBorder="1" applyAlignment="1">
      <alignment horizontal="center" vertical="center" wrapText="1"/>
    </xf>
    <xf numFmtId="43" fontId="87" fillId="57" borderId="393" xfId="73" applyNumberFormat="1" applyFont="1" applyFill="1" applyBorder="1" applyAlignment="1">
      <alignment horizontal="center" vertical="center" wrapText="1"/>
    </xf>
    <xf numFmtId="43" fontId="88" fillId="0" borderId="0" xfId="73" applyNumberFormat="1" applyFont="1"/>
    <xf numFmtId="49" fontId="76" fillId="0" borderId="0" xfId="72" applyNumberFormat="1" applyFont="1" applyAlignment="1">
      <alignment horizontal="center" vertical="center"/>
    </xf>
    <xf numFmtId="38" fontId="89" fillId="0" borderId="0" xfId="74" applyNumberFormat="1" applyFont="1" applyFill="1" applyAlignment="1">
      <alignment horizontal="center" vertical="center"/>
    </xf>
    <xf numFmtId="189" fontId="90" fillId="57" borderId="409" xfId="73" applyNumberFormat="1" applyFont="1" applyFill="1" applyBorder="1" applyAlignment="1">
      <alignment horizontal="center" vertical="center"/>
    </xf>
    <xf numFmtId="189" fontId="90" fillId="57" borderId="409" xfId="73" applyNumberFormat="1" applyFont="1" applyFill="1" applyBorder="1"/>
    <xf numFmtId="0" fontId="76" fillId="0" borderId="0" xfId="72" applyFont="1" applyAlignment="1">
      <alignment vertical="center"/>
    </xf>
    <xf numFmtId="165" fontId="77" fillId="0" borderId="0" xfId="29" applyNumberFormat="1" applyFont="1" applyFill="1" applyAlignment="1">
      <alignment vertical="center"/>
    </xf>
    <xf numFmtId="49" fontId="76" fillId="0" borderId="118" xfId="72" applyNumberFormat="1" applyFont="1" applyBorder="1" applyAlignment="1">
      <alignment horizontal="center" vertical="center"/>
    </xf>
    <xf numFmtId="1" fontId="76" fillId="0" borderId="118" xfId="72" applyNumberFormat="1" applyFont="1" applyBorder="1" applyAlignment="1">
      <alignment horizontal="center" vertical="center" wrapText="1"/>
    </xf>
    <xf numFmtId="0" fontId="76" fillId="0" borderId="118" xfId="72" applyFont="1" applyBorder="1" applyAlignment="1">
      <alignment horizontal="center" vertical="center"/>
    </xf>
    <xf numFmtId="188" fontId="76" fillId="0" borderId="118" xfId="72" applyNumberFormat="1" applyFont="1" applyBorder="1" applyAlignment="1">
      <alignment horizontal="center" vertical="center" wrapText="1"/>
    </xf>
    <xf numFmtId="188" fontId="76" fillId="57" borderId="116" xfId="72" applyNumberFormat="1" applyFont="1" applyFill="1" applyBorder="1" applyAlignment="1">
      <alignment horizontal="center" vertical="center" wrapText="1"/>
    </xf>
    <xf numFmtId="17" fontId="87" fillId="57" borderId="116" xfId="72" applyNumberFormat="1" applyFont="1" applyFill="1" applyBorder="1" applyAlignment="1">
      <alignment horizontal="center" vertical="center"/>
    </xf>
    <xf numFmtId="17" fontId="76" fillId="57" borderId="351" xfId="72" applyNumberFormat="1" applyFont="1" applyFill="1" applyBorder="1" applyAlignment="1">
      <alignment horizontal="center" vertical="center"/>
    </xf>
    <xf numFmtId="17" fontId="76" fillId="57" borderId="373" xfId="72" applyNumberFormat="1" applyFont="1" applyFill="1" applyBorder="1" applyAlignment="1">
      <alignment horizontal="center" vertical="center"/>
    </xf>
    <xf numFmtId="17" fontId="76" fillId="57" borderId="352" xfId="72" applyNumberFormat="1" applyFont="1" applyFill="1" applyBorder="1" applyAlignment="1">
      <alignment horizontal="center" vertical="center" wrapText="1"/>
    </xf>
    <xf numFmtId="0" fontId="76" fillId="0" borderId="0" xfId="72" applyFont="1" applyAlignment="1">
      <alignment horizontal="center" vertical="center" wrapText="1"/>
    </xf>
    <xf numFmtId="165" fontId="77" fillId="0" borderId="0" xfId="29" applyNumberFormat="1" applyFont="1" applyFill="1" applyAlignment="1">
      <alignment vertical="center" wrapText="1"/>
    </xf>
    <xf numFmtId="0" fontId="76" fillId="0" borderId="0" xfId="72" applyFont="1"/>
    <xf numFmtId="1" fontId="45" fillId="0" borderId="115" xfId="72" applyNumberFormat="1" applyFont="1" applyBorder="1" applyAlignment="1">
      <alignment horizontal="center" vertical="center"/>
    </xf>
    <xf numFmtId="0" fontId="45" fillId="0" borderId="116" xfId="72" applyFont="1" applyBorder="1" applyAlignment="1">
      <alignment horizontal="center" vertical="center"/>
    </xf>
    <xf numFmtId="188" fontId="76" fillId="0" borderId="116" xfId="72" applyNumberFormat="1" applyFont="1" applyBorder="1" applyAlignment="1">
      <alignment horizontal="center" vertical="center" wrapText="1"/>
    </xf>
    <xf numFmtId="188" fontId="45" fillId="57" borderId="116" xfId="72" applyNumberFormat="1" applyFont="1" applyFill="1" applyBorder="1" applyAlignment="1">
      <alignment horizontal="center" vertical="center" wrapText="1"/>
    </xf>
    <xf numFmtId="165" fontId="45" fillId="33" borderId="116" xfId="29" applyNumberFormat="1" applyFont="1" applyFill="1" applyBorder="1"/>
    <xf numFmtId="165" fontId="45" fillId="0" borderId="0" xfId="29" applyNumberFormat="1" applyFont="1" applyFill="1"/>
    <xf numFmtId="1" fontId="45" fillId="0" borderId="352" xfId="72" applyNumberFormat="1" applyFont="1" applyBorder="1" applyAlignment="1">
      <alignment horizontal="center" vertical="center"/>
    </xf>
    <xf numFmtId="1" fontId="76" fillId="0" borderId="0" xfId="72" applyNumberFormat="1" applyFont="1" applyAlignment="1">
      <alignment horizontal="center" vertical="center" wrapText="1"/>
    </xf>
    <xf numFmtId="0" fontId="45" fillId="0" borderId="410" xfId="72" applyFont="1" applyBorder="1" applyAlignment="1">
      <alignment horizontal="center" vertical="center"/>
    </xf>
    <xf numFmtId="188" fontId="76" fillId="0" borderId="410" xfId="72" applyNumberFormat="1" applyFont="1" applyBorder="1" applyAlignment="1">
      <alignment horizontal="center" vertical="center" wrapText="1"/>
    </xf>
    <xf numFmtId="188" fontId="45" fillId="57" borderId="410" xfId="72" applyNumberFormat="1" applyFont="1" applyFill="1" applyBorder="1" applyAlignment="1">
      <alignment horizontal="center" vertical="center" wrapText="1"/>
    </xf>
    <xf numFmtId="0" fontId="45" fillId="0" borderId="115" xfId="0" applyFont="1" applyBorder="1" applyAlignment="1">
      <alignment horizontal="center" vertical="center"/>
    </xf>
    <xf numFmtId="49" fontId="45" fillId="58" borderId="113" xfId="72" applyNumberFormat="1" applyFont="1" applyFill="1" applyBorder="1" applyAlignment="1">
      <alignment horizontal="center" vertical="center"/>
    </xf>
    <xf numFmtId="49" fontId="76" fillId="58" borderId="114" xfId="72" applyNumberFormat="1" applyFont="1" applyFill="1" applyBorder="1" applyAlignment="1">
      <alignment horizontal="center" vertical="center"/>
    </xf>
    <xf numFmtId="1" fontId="76" fillId="58" borderId="118" xfId="72" applyNumberFormat="1" applyFont="1" applyFill="1" applyBorder="1" applyAlignment="1">
      <alignment horizontal="center" vertical="center" wrapText="1"/>
    </xf>
    <xf numFmtId="0" fontId="76" fillId="58" borderId="118" xfId="72" applyFont="1" applyFill="1" applyBorder="1" applyAlignment="1">
      <alignment horizontal="center" vertical="center"/>
    </xf>
    <xf numFmtId="188" fontId="76" fillId="58" borderId="118" xfId="72" applyNumberFormat="1" applyFont="1" applyFill="1" applyBorder="1" applyAlignment="1">
      <alignment horizontal="center" vertical="center" wrapText="1"/>
    </xf>
    <xf numFmtId="165" fontId="45" fillId="58" borderId="10" xfId="72" applyNumberFormat="1" applyFont="1" applyFill="1" applyBorder="1" applyAlignment="1">
      <alignment horizontal="center"/>
    </xf>
    <xf numFmtId="165" fontId="45" fillId="58" borderId="116" xfId="72" applyNumberFormat="1" applyFont="1" applyFill="1" applyBorder="1" applyAlignment="1">
      <alignment horizontal="center"/>
    </xf>
    <xf numFmtId="1" fontId="45" fillId="0" borderId="116" xfId="72" applyNumberFormat="1" applyFont="1" applyBorder="1" applyAlignment="1">
      <alignment horizontal="center" vertical="center"/>
    </xf>
    <xf numFmtId="188" fontId="45" fillId="0" borderId="116" xfId="72" applyNumberFormat="1" applyFont="1" applyBorder="1" applyAlignment="1">
      <alignment horizontal="center" vertical="center"/>
    </xf>
    <xf numFmtId="188" fontId="45" fillId="57" borderId="116" xfId="72" applyNumberFormat="1" applyFont="1" applyFill="1" applyBorder="1" applyAlignment="1">
      <alignment horizontal="center" vertical="center"/>
    </xf>
    <xf numFmtId="0" fontId="45" fillId="0" borderId="411" xfId="72" applyFont="1" applyBorder="1" applyAlignment="1">
      <alignment horizontal="center" vertical="center"/>
    </xf>
    <xf numFmtId="0" fontId="45" fillId="0" borderId="116" xfId="72" applyFont="1" applyBorder="1" applyAlignment="1">
      <alignment horizontal="center" vertical="center" wrapText="1"/>
    </xf>
    <xf numFmtId="0" fontId="45" fillId="0" borderId="10" xfId="72" applyFont="1" applyBorder="1" applyAlignment="1">
      <alignment horizontal="center" vertical="center"/>
    </xf>
    <xf numFmtId="1" fontId="45" fillId="0" borderId="116" xfId="70" applyNumberFormat="1" applyFont="1" applyBorder="1" applyAlignment="1">
      <alignment horizontal="center" vertical="center"/>
    </xf>
    <xf numFmtId="0" fontId="45" fillId="0" borderId="116" xfId="70" applyFont="1" applyBorder="1" applyAlignment="1">
      <alignment horizontal="center" vertical="center" wrapText="1"/>
    </xf>
    <xf numFmtId="0" fontId="77" fillId="0" borderId="115" xfId="72" applyFont="1" applyBorder="1" applyAlignment="1">
      <alignment horizontal="center" vertical="center"/>
    </xf>
    <xf numFmtId="1" fontId="77" fillId="0" borderId="116" xfId="72" applyNumberFormat="1" applyFont="1" applyBorder="1" applyAlignment="1">
      <alignment horizontal="center" vertical="center"/>
    </xf>
    <xf numFmtId="0" fontId="77" fillId="0" borderId="116" xfId="72" applyFont="1" applyBorder="1" applyAlignment="1">
      <alignment horizontal="center" vertical="center"/>
    </xf>
    <xf numFmtId="0" fontId="77" fillId="0" borderId="116" xfId="70" applyFont="1" applyBorder="1" applyAlignment="1">
      <alignment horizontal="center" vertical="center"/>
    </xf>
    <xf numFmtId="188" fontId="77" fillId="0" borderId="116" xfId="72" applyNumberFormat="1" applyFont="1" applyBorder="1" applyAlignment="1">
      <alignment horizontal="center" vertical="center"/>
    </xf>
    <xf numFmtId="188" fontId="77" fillId="57" borderId="116" xfId="72" applyNumberFormat="1" applyFont="1" applyFill="1" applyBorder="1" applyAlignment="1">
      <alignment horizontal="center" vertical="center"/>
    </xf>
    <xf numFmtId="165" fontId="45" fillId="0" borderId="116" xfId="29" applyNumberFormat="1" applyFont="1" applyFill="1" applyBorder="1"/>
    <xf numFmtId="165" fontId="79" fillId="0" borderId="0" xfId="29" applyNumberFormat="1" applyFont="1" applyFill="1"/>
    <xf numFmtId="165" fontId="77" fillId="0" borderId="0" xfId="29" applyNumberFormat="1" applyFont="1" applyFill="1"/>
    <xf numFmtId="0" fontId="45" fillId="0" borderId="114" xfId="72" applyFont="1" applyBorder="1" applyAlignment="1">
      <alignment horizontal="center" vertical="center"/>
    </xf>
    <xf numFmtId="49" fontId="45" fillId="0" borderId="114" xfId="73" applyNumberFormat="1" applyFont="1" applyBorder="1" applyAlignment="1">
      <alignment horizontal="center" vertical="center"/>
    </xf>
    <xf numFmtId="0" fontId="45" fillId="0" borderId="114" xfId="73" applyFont="1" applyBorder="1" applyAlignment="1">
      <alignment horizontal="center" vertical="center" wrapText="1"/>
    </xf>
    <xf numFmtId="0" fontId="79" fillId="0" borderId="114" xfId="73" applyFont="1" applyBorder="1" applyAlignment="1">
      <alignment horizontal="center" vertical="center"/>
    </xf>
    <xf numFmtId="0" fontId="79" fillId="0" borderId="114" xfId="73" applyFont="1" applyBorder="1" applyAlignment="1">
      <alignment horizontal="right"/>
    </xf>
    <xf numFmtId="0" fontId="45" fillId="0" borderId="116" xfId="75" applyNumberFormat="1" applyFont="1" applyFill="1" applyBorder="1" applyAlignment="1">
      <alignment horizontal="center" vertical="center"/>
    </xf>
    <xf numFmtId="0" fontId="45" fillId="0" borderId="116" xfId="75" applyFont="1" applyFill="1" applyBorder="1" applyAlignment="1">
      <alignment horizontal="center" vertical="center"/>
    </xf>
    <xf numFmtId="188" fontId="45" fillId="0" borderId="116" xfId="75" applyNumberFormat="1" applyFont="1" applyFill="1" applyBorder="1" applyAlignment="1">
      <alignment horizontal="center" vertical="center"/>
    </xf>
    <xf numFmtId="188" fontId="45" fillId="57" borderId="116" xfId="75" applyNumberFormat="1" applyFont="1" applyFill="1" applyBorder="1" applyAlignment="1">
      <alignment horizontal="center" vertical="center"/>
    </xf>
    <xf numFmtId="188" fontId="45" fillId="57" borderId="410" xfId="72" applyNumberFormat="1" applyFont="1" applyFill="1" applyBorder="1" applyAlignment="1">
      <alignment horizontal="center" vertical="center"/>
    </xf>
    <xf numFmtId="0" fontId="45" fillId="0" borderId="353" xfId="0" applyFont="1" applyBorder="1" applyAlignment="1">
      <alignment horizontal="center" vertical="center"/>
    </xf>
    <xf numFmtId="165" fontId="76" fillId="57" borderId="116" xfId="29" applyNumberFormat="1" applyFont="1" applyFill="1" applyBorder="1"/>
    <xf numFmtId="165" fontId="76" fillId="57" borderId="0" xfId="29" applyNumberFormat="1" applyFont="1" applyFill="1"/>
    <xf numFmtId="0" fontId="45" fillId="0" borderId="116" xfId="70" applyFont="1" applyBorder="1" applyAlignment="1">
      <alignment horizontal="center" vertical="center"/>
    </xf>
    <xf numFmtId="165" fontId="45" fillId="0" borderId="0" xfId="29" applyNumberFormat="1" applyFont="1"/>
    <xf numFmtId="0" fontId="45" fillId="0" borderId="373" xfId="72" applyFont="1" applyBorder="1" applyAlignment="1">
      <alignment horizontal="center" vertical="center"/>
    </xf>
    <xf numFmtId="165" fontId="77" fillId="0" borderId="116" xfId="29" applyNumberFormat="1" applyFont="1" applyFill="1" applyBorder="1"/>
    <xf numFmtId="165" fontId="76" fillId="0" borderId="116" xfId="29" applyNumberFormat="1" applyFont="1" applyFill="1" applyBorder="1"/>
    <xf numFmtId="165" fontId="76" fillId="0" borderId="0" xfId="29" applyNumberFormat="1" applyFont="1" applyFill="1"/>
    <xf numFmtId="165" fontId="79" fillId="59" borderId="114" xfId="29" applyNumberFormat="1" applyFont="1" applyFill="1" applyBorder="1"/>
    <xf numFmtId="49" fontId="45" fillId="0" borderId="373" xfId="73" applyNumberFormat="1" applyFont="1" applyBorder="1" applyAlignment="1">
      <alignment horizontal="center" vertical="center"/>
    </xf>
    <xf numFmtId="0" fontId="45" fillId="0" borderId="373" xfId="73" applyFont="1" applyBorder="1" applyAlignment="1">
      <alignment horizontal="center" vertical="center" wrapText="1"/>
    </xf>
    <xf numFmtId="0" fontId="79" fillId="0" borderId="373" xfId="73" applyFont="1" applyBorder="1" applyAlignment="1">
      <alignment horizontal="center" vertical="center"/>
    </xf>
    <xf numFmtId="0" fontId="45" fillId="0" borderId="0" xfId="73" applyFont="1"/>
    <xf numFmtId="49" fontId="76" fillId="57" borderId="0" xfId="73" applyNumberFormat="1" applyFont="1" applyFill="1"/>
    <xf numFmtId="187" fontId="76" fillId="0" borderId="0" xfId="73" applyNumberFormat="1" applyFont="1" applyAlignment="1">
      <alignment horizontal="center" wrapText="1"/>
    </xf>
    <xf numFmtId="188" fontId="45" fillId="0" borderId="0" xfId="73" applyNumberFormat="1" applyFont="1" applyAlignment="1">
      <alignment horizontal="center"/>
    </xf>
    <xf numFmtId="39" fontId="45" fillId="0" borderId="0" xfId="73" applyNumberFormat="1" applyFont="1" applyAlignment="1">
      <alignment horizontal="center" wrapText="1"/>
    </xf>
    <xf numFmtId="188" fontId="85" fillId="0" borderId="0" xfId="73" applyNumberFormat="1" applyFont="1" applyAlignment="1">
      <alignment horizontal="center"/>
    </xf>
    <xf numFmtId="14" fontId="76" fillId="57" borderId="0" xfId="73" applyNumberFormat="1" applyFont="1" applyFill="1" applyAlignment="1">
      <alignment horizontal="left"/>
    </xf>
    <xf numFmtId="0" fontId="45" fillId="0" borderId="0" xfId="73" applyFont="1" applyAlignment="1">
      <alignment horizontal="center" wrapText="1"/>
    </xf>
    <xf numFmtId="0" fontId="86" fillId="0" borderId="0" xfId="73" applyFont="1"/>
    <xf numFmtId="189" fontId="90" fillId="57" borderId="246" xfId="73" applyNumberFormat="1" applyFont="1" applyFill="1" applyBorder="1" applyAlignment="1">
      <alignment horizontal="center" vertical="center"/>
    </xf>
    <xf numFmtId="189" fontId="90" fillId="57" borderId="246" xfId="73" applyNumberFormat="1" applyFont="1" applyFill="1" applyBorder="1"/>
    <xf numFmtId="49" fontId="45" fillId="0" borderId="0" xfId="73" applyNumberFormat="1" applyFont="1"/>
    <xf numFmtId="0" fontId="76" fillId="0" borderId="0" xfId="73" applyFont="1" applyAlignment="1">
      <alignment horizontal="center"/>
    </xf>
    <xf numFmtId="49" fontId="76" fillId="0" borderId="0" xfId="73" applyNumberFormat="1" applyFont="1"/>
    <xf numFmtId="38" fontId="89" fillId="0" borderId="0" xfId="33" applyNumberFormat="1" applyFont="1" applyFill="1" applyAlignment="1">
      <alignment horizontal="center"/>
    </xf>
    <xf numFmtId="49" fontId="76" fillId="0" borderId="0" xfId="73" applyNumberFormat="1" applyFont="1" applyAlignment="1">
      <alignment horizontal="center" vertical="center"/>
    </xf>
    <xf numFmtId="1" fontId="76" fillId="0" borderId="0" xfId="73" applyNumberFormat="1" applyFont="1" applyAlignment="1">
      <alignment horizontal="center" vertical="center" wrapText="1"/>
    </xf>
    <xf numFmtId="0" fontId="76" fillId="0" borderId="0" xfId="73" applyFont="1" applyAlignment="1">
      <alignment horizontal="center" vertical="center"/>
    </xf>
    <xf numFmtId="17" fontId="95" fillId="57" borderId="118" xfId="73" applyNumberFormat="1" applyFont="1" applyFill="1" applyBorder="1" applyAlignment="1">
      <alignment horizontal="center" vertical="center"/>
    </xf>
    <xf numFmtId="0" fontId="76" fillId="0" borderId="118" xfId="73" applyFont="1" applyBorder="1" applyAlignment="1">
      <alignment horizontal="center" vertical="center"/>
    </xf>
    <xf numFmtId="0" fontId="76" fillId="0" borderId="118" xfId="73" applyFont="1" applyBorder="1" applyAlignment="1">
      <alignment horizontal="center" vertical="center" wrapText="1"/>
    </xf>
    <xf numFmtId="0" fontId="76" fillId="0" borderId="0" xfId="73" applyFont="1"/>
    <xf numFmtId="0" fontId="45" fillId="0" borderId="0" xfId="73" applyFont="1" applyAlignment="1">
      <alignment horizontal="center"/>
    </xf>
    <xf numFmtId="165" fontId="45" fillId="0" borderId="0" xfId="71" applyNumberFormat="1" applyFont="1" applyFill="1"/>
    <xf numFmtId="1" fontId="76" fillId="58" borderId="114" xfId="72" applyNumberFormat="1" applyFont="1" applyFill="1" applyBorder="1" applyAlignment="1">
      <alignment horizontal="center" vertical="center"/>
    </xf>
    <xf numFmtId="0" fontId="76" fillId="58" borderId="114" xfId="72" applyFont="1" applyFill="1" applyBorder="1" applyAlignment="1">
      <alignment horizontal="center" vertical="center"/>
    </xf>
    <xf numFmtId="0" fontId="76" fillId="58" borderId="114" xfId="72" applyFont="1" applyFill="1" applyBorder="1" applyAlignment="1">
      <alignment horizontal="center" vertical="center" wrapText="1"/>
    </xf>
    <xf numFmtId="165" fontId="76" fillId="58" borderId="113" xfId="28" applyNumberFormat="1" applyFont="1" applyFill="1" applyBorder="1"/>
    <xf numFmtId="49" fontId="45" fillId="0" borderId="0" xfId="73" applyNumberFormat="1" applyFont="1" applyAlignment="1">
      <alignment horizontal="left"/>
    </xf>
    <xf numFmtId="1" fontId="76" fillId="0" borderId="0" xfId="73" applyNumberFormat="1" applyFont="1" applyAlignment="1">
      <alignment horizontal="center" wrapText="1"/>
    </xf>
    <xf numFmtId="17" fontId="76" fillId="57" borderId="118" xfId="73" applyNumberFormat="1" applyFont="1" applyFill="1" applyBorder="1" applyAlignment="1">
      <alignment horizontal="center"/>
    </xf>
    <xf numFmtId="0" fontId="76" fillId="0" borderId="118" xfId="73" applyFont="1" applyBorder="1" applyAlignment="1">
      <alignment horizontal="center"/>
    </xf>
    <xf numFmtId="0" fontId="76" fillId="0" borderId="118" xfId="73" applyFont="1" applyBorder="1" applyAlignment="1">
      <alignment horizontal="left" wrapText="1"/>
    </xf>
    <xf numFmtId="0" fontId="79" fillId="0" borderId="0" xfId="73" applyFont="1"/>
    <xf numFmtId="49" fontId="76" fillId="0" borderId="0" xfId="73" applyNumberFormat="1" applyFont="1" applyAlignment="1">
      <alignment horizontal="center"/>
    </xf>
    <xf numFmtId="0" fontId="76" fillId="0" borderId="0" xfId="73" applyFont="1" applyAlignment="1">
      <alignment horizontal="center" wrapText="1"/>
    </xf>
    <xf numFmtId="17" fontId="76" fillId="0" borderId="118" xfId="73" applyNumberFormat="1" applyFont="1" applyBorder="1" applyAlignment="1">
      <alignment horizontal="center"/>
    </xf>
    <xf numFmtId="165" fontId="76" fillId="57" borderId="0" xfId="71" applyNumberFormat="1" applyFont="1" applyFill="1"/>
    <xf numFmtId="17" fontId="76" fillId="57" borderId="0" xfId="73" applyNumberFormat="1" applyFont="1" applyFill="1" applyAlignment="1">
      <alignment horizontal="center"/>
    </xf>
    <xf numFmtId="0" fontId="45" fillId="0" borderId="413" xfId="0" applyFont="1" applyBorder="1" applyAlignment="1">
      <alignment horizontal="center" vertical="center"/>
    </xf>
    <xf numFmtId="165" fontId="76" fillId="0" borderId="0" xfId="71" applyNumberFormat="1" applyFont="1" applyFill="1"/>
    <xf numFmtId="49" fontId="45" fillId="0" borderId="0" xfId="73" applyNumberFormat="1" applyFont="1" applyAlignment="1">
      <alignment horizontal="center" wrapText="1"/>
    </xf>
    <xf numFmtId="1" fontId="45" fillId="0" borderId="0" xfId="76" applyNumberFormat="1" applyFont="1" applyFill="1" applyAlignment="1">
      <alignment horizontal="left"/>
    </xf>
    <xf numFmtId="43" fontId="76" fillId="0" borderId="118" xfId="76" applyFont="1" applyBorder="1" applyAlignment="1">
      <alignment horizontal="center" vertical="center" wrapText="1"/>
    </xf>
    <xf numFmtId="165" fontId="45" fillId="0" borderId="0" xfId="73" applyNumberFormat="1" applyFont="1"/>
    <xf numFmtId="165" fontId="45" fillId="0" borderId="0" xfId="76" applyNumberFormat="1" applyFont="1" applyFill="1"/>
    <xf numFmtId="190" fontId="45" fillId="0" borderId="0" xfId="73" applyNumberFormat="1" applyFont="1"/>
    <xf numFmtId="165" fontId="45" fillId="0" borderId="237" xfId="76" applyNumberFormat="1" applyFont="1" applyFill="1" applyBorder="1"/>
    <xf numFmtId="43" fontId="45" fillId="0" borderId="0" xfId="76" applyFont="1" applyFill="1"/>
    <xf numFmtId="43" fontId="45" fillId="0" borderId="237" xfId="76" applyFont="1" applyFill="1" applyBorder="1"/>
    <xf numFmtId="49" fontId="86" fillId="0" borderId="0" xfId="77" applyNumberFormat="1" applyFont="1" applyAlignment="1">
      <alignment horizontal="left" wrapText="1"/>
    </xf>
    <xf numFmtId="0" fontId="83" fillId="0" borderId="0" xfId="73" applyFont="1" applyAlignment="1">
      <alignment horizontal="left"/>
    </xf>
    <xf numFmtId="14" fontId="83" fillId="0" borderId="0" xfId="73" applyNumberFormat="1" applyFont="1" applyAlignment="1">
      <alignment horizontal="center" wrapText="1"/>
    </xf>
    <xf numFmtId="49" fontId="45" fillId="0" borderId="0" xfId="73" applyNumberFormat="1" applyFont="1" applyAlignment="1">
      <alignment horizontal="left" vertical="top"/>
    </xf>
    <xf numFmtId="43" fontId="45" fillId="0" borderId="0" xfId="28" applyFont="1"/>
    <xf numFmtId="0" fontId="45" fillId="0" borderId="0" xfId="73" applyFont="1" applyAlignment="1">
      <alignment horizontal="left"/>
    </xf>
    <xf numFmtId="43" fontId="79" fillId="0" borderId="0" xfId="73" applyNumberFormat="1" applyFont="1"/>
    <xf numFmtId="43" fontId="79" fillId="0" borderId="0" xfId="76" applyFont="1" applyFill="1"/>
    <xf numFmtId="170" fontId="45" fillId="0" borderId="0" xfId="30" applyNumberFormat="1" applyFont="1"/>
    <xf numFmtId="44" fontId="97" fillId="0" borderId="0" xfId="30" applyFont="1" applyFill="1" applyAlignment="1">
      <alignment horizontal="center"/>
    </xf>
    <xf numFmtId="44" fontId="45" fillId="0" borderId="0" xfId="0" applyNumberFormat="1" applyFont="1"/>
    <xf numFmtId="44" fontId="45" fillId="0" borderId="0" xfId="30" applyFont="1"/>
    <xf numFmtId="44" fontId="45" fillId="0" borderId="0" xfId="30" applyFont="1" applyFill="1" applyAlignment="1">
      <alignment horizontal="center"/>
    </xf>
    <xf numFmtId="44" fontId="76" fillId="0" borderId="237" xfId="30" applyFont="1" applyFill="1" applyBorder="1"/>
    <xf numFmtId="44" fontId="79" fillId="61" borderId="0" xfId="30" applyFont="1" applyFill="1"/>
    <xf numFmtId="0" fontId="84" fillId="0" borderId="0" xfId="70" applyFont="1"/>
    <xf numFmtId="44" fontId="79" fillId="63" borderId="0" xfId="30" applyFont="1" applyFill="1"/>
    <xf numFmtId="44" fontId="45" fillId="0" borderId="118" xfId="30" applyFont="1" applyBorder="1" applyAlignment="1">
      <alignment horizontal="center"/>
    </xf>
    <xf numFmtId="0" fontId="45" fillId="0" borderId="118" xfId="70" applyFont="1" applyBorder="1" applyAlignment="1">
      <alignment horizontal="center"/>
    </xf>
    <xf numFmtId="44" fontId="99" fillId="0" borderId="0" xfId="30" applyFont="1"/>
    <xf numFmtId="44" fontId="76" fillId="0" borderId="237" xfId="30" applyFont="1" applyBorder="1"/>
    <xf numFmtId="4" fontId="45" fillId="0" borderId="0" xfId="0" applyNumberFormat="1" applyFont="1"/>
    <xf numFmtId="0" fontId="76" fillId="0" borderId="0" xfId="79" applyFont="1" applyAlignment="1">
      <alignment horizontal="center"/>
    </xf>
    <xf numFmtId="0" fontId="76" fillId="0" borderId="0" xfId="79" applyFont="1" applyAlignment="1">
      <alignment horizontal="center" wrapText="1"/>
    </xf>
    <xf numFmtId="0" fontId="76" fillId="59" borderId="0" xfId="79" applyFont="1" applyFill="1" applyAlignment="1">
      <alignment horizontal="center" wrapText="1"/>
    </xf>
    <xf numFmtId="43" fontId="100" fillId="59" borderId="0" xfId="81" applyFont="1" applyFill="1" applyAlignment="1">
      <alignment horizontal="center" wrapText="1"/>
    </xf>
    <xf numFmtId="0" fontId="45" fillId="0" borderId="0" xfId="79" applyFont="1"/>
    <xf numFmtId="0" fontId="76" fillId="57" borderId="0" xfId="79" applyFont="1" applyFill="1"/>
    <xf numFmtId="0" fontId="76" fillId="0" borderId="0" xfId="79" applyFont="1"/>
    <xf numFmtId="0" fontId="100" fillId="0" borderId="237" xfId="82" applyFont="1" applyBorder="1" applyAlignment="1">
      <alignment horizontal="center"/>
    </xf>
    <xf numFmtId="0" fontId="99" fillId="0" borderId="0" xfId="82" applyFont="1" applyAlignment="1">
      <alignment horizontal="right"/>
    </xf>
    <xf numFmtId="0" fontId="79" fillId="0" borderId="0" xfId="82" applyFont="1" applyAlignment="1">
      <alignment horizontal="right"/>
    </xf>
    <xf numFmtId="0" fontId="84" fillId="0" borderId="0" xfId="70" applyFont="1" applyAlignment="1">
      <alignment wrapText="1"/>
    </xf>
    <xf numFmtId="0" fontId="99" fillId="0" borderId="0" xfId="78" applyFont="1" applyAlignment="1">
      <alignment wrapText="1"/>
    </xf>
    <xf numFmtId="44" fontId="99" fillId="0" borderId="0" xfId="30" applyFont="1" applyAlignment="1">
      <alignment wrapText="1"/>
    </xf>
    <xf numFmtId="0" fontId="99" fillId="0" borderId="0" xfId="78" applyFont="1"/>
    <xf numFmtId="44" fontId="79" fillId="63" borderId="0" xfId="30" applyFont="1" applyFill="1" applyAlignment="1">
      <alignment horizontal="center"/>
    </xf>
    <xf numFmtId="44" fontId="102" fillId="61" borderId="0" xfId="30" applyFont="1" applyFill="1"/>
    <xf numFmtId="44" fontId="99" fillId="0" borderId="114" xfId="30" applyFont="1" applyBorder="1"/>
    <xf numFmtId="44" fontId="99" fillId="0" borderId="0" xfId="30" applyFont="1" applyFill="1"/>
    <xf numFmtId="44" fontId="100" fillId="0" borderId="237" xfId="30" applyFont="1" applyBorder="1"/>
    <xf numFmtId="44" fontId="103" fillId="0" borderId="237" xfId="30" applyFont="1" applyBorder="1"/>
    <xf numFmtId="0" fontId="98" fillId="0" borderId="0" xfId="78" applyFont="1"/>
    <xf numFmtId="0" fontId="105" fillId="0" borderId="0" xfId="70" applyFont="1"/>
    <xf numFmtId="9" fontId="106" fillId="0" borderId="0" xfId="55" applyFont="1"/>
    <xf numFmtId="0" fontId="107" fillId="0" borderId="0" xfId="78" applyFont="1"/>
    <xf numFmtId="0" fontId="100" fillId="0" borderId="0" xfId="78" applyFont="1"/>
    <xf numFmtId="44" fontId="99" fillId="64" borderId="0" xfId="30" applyFont="1" applyFill="1"/>
    <xf numFmtId="0" fontId="79" fillId="64" borderId="0" xfId="78" applyFont="1" applyFill="1"/>
    <xf numFmtId="0" fontId="100" fillId="0" borderId="373" xfId="78" applyFont="1" applyBorder="1"/>
    <xf numFmtId="44" fontId="100" fillId="0" borderId="237" xfId="30" applyFont="1" applyFill="1" applyBorder="1"/>
    <xf numFmtId="44" fontId="104" fillId="61" borderId="237" xfId="30" applyFont="1" applyFill="1" applyBorder="1"/>
    <xf numFmtId="44" fontId="100" fillId="0" borderId="0" xfId="30" applyFont="1" applyFill="1" applyBorder="1"/>
    <xf numFmtId="0" fontId="77" fillId="0" borderId="0" xfId="79" applyFont="1"/>
    <xf numFmtId="0" fontId="45" fillId="0" borderId="0" xfId="79" applyFont="1" applyAlignment="1">
      <alignment horizontal="center"/>
    </xf>
    <xf numFmtId="0" fontId="79" fillId="0" borderId="0" xfId="78" applyFont="1"/>
    <xf numFmtId="44" fontId="45" fillId="0" borderId="0" xfId="30" applyFont="1" applyFill="1"/>
    <xf numFmtId="44" fontId="79" fillId="0" borderId="0" xfId="30" applyFont="1" applyFill="1"/>
    <xf numFmtId="10" fontId="45" fillId="0" borderId="0" xfId="55" applyNumberFormat="1" applyFont="1" applyFill="1"/>
    <xf numFmtId="44" fontId="45" fillId="64" borderId="0" xfId="30" applyFont="1" applyFill="1"/>
    <xf numFmtId="44" fontId="100" fillId="63" borderId="237" xfId="30" applyFont="1" applyFill="1" applyBorder="1"/>
    <xf numFmtId="44" fontId="108" fillId="0" borderId="0" xfId="30" applyFont="1"/>
    <xf numFmtId="0" fontId="76" fillId="0" borderId="0" xfId="84" applyFont="1" applyAlignment="1">
      <alignment horizontal="center"/>
    </xf>
    <xf numFmtId="0" fontId="76" fillId="59" borderId="0" xfId="84" applyFont="1" applyFill="1" applyAlignment="1">
      <alignment horizontal="center" wrapText="1"/>
    </xf>
    <xf numFmtId="0" fontId="45" fillId="0" borderId="0" xfId="84" applyFont="1"/>
    <xf numFmtId="44" fontId="45" fillId="0" borderId="0" xfId="85" applyFont="1"/>
    <xf numFmtId="14" fontId="45" fillId="0" borderId="0" xfId="84" applyNumberFormat="1" applyFont="1"/>
    <xf numFmtId="0" fontId="45" fillId="59" borderId="0" xfId="84" applyFont="1" applyFill="1"/>
    <xf numFmtId="0" fontId="76" fillId="66" borderId="419" xfId="79" applyFont="1" applyFill="1" applyBorder="1" applyAlignment="1">
      <alignment horizontal="center" vertical="top" wrapText="1"/>
    </xf>
    <xf numFmtId="0" fontId="45" fillId="0" borderId="0" xfId="79" applyFont="1" applyAlignment="1">
      <alignment vertical="top"/>
    </xf>
    <xf numFmtId="0" fontId="45" fillId="0" borderId="0" xfId="63" applyFont="1" applyAlignment="1">
      <alignment vertical="top"/>
    </xf>
    <xf numFmtId="44" fontId="45" fillId="0" borderId="0" xfId="30" applyFont="1" applyFill="1" applyBorder="1" applyAlignment="1">
      <alignment horizontal="center" vertical="top"/>
    </xf>
    <xf numFmtId="0" fontId="45" fillId="0" borderId="0" xfId="79" applyFont="1" applyAlignment="1">
      <alignment horizontal="center" vertical="top"/>
    </xf>
    <xf numFmtId="0" fontId="77" fillId="0" borderId="0" xfId="79" applyFont="1" applyAlignment="1">
      <alignment horizontal="center" vertical="top"/>
    </xf>
    <xf numFmtId="0" fontId="76" fillId="0" borderId="0" xfId="79" applyFont="1" applyAlignment="1">
      <alignment horizontal="center" vertical="top"/>
    </xf>
    <xf numFmtId="44" fontId="76" fillId="61" borderId="237" xfId="79" applyNumberFormat="1" applyFont="1" applyFill="1" applyBorder="1" applyAlignment="1">
      <alignment vertical="top"/>
    </xf>
    <xf numFmtId="44" fontId="79" fillId="59" borderId="0" xfId="79" applyNumberFormat="1" applyFont="1" applyFill="1" applyAlignment="1">
      <alignment vertical="top"/>
    </xf>
    <xf numFmtId="0" fontId="79" fillId="0" borderId="0" xfId="79" applyFont="1" applyAlignment="1">
      <alignment vertical="top"/>
    </xf>
    <xf numFmtId="44" fontId="76" fillId="0" borderId="237" xfId="30" applyFont="1" applyFill="1" applyBorder="1" applyAlignment="1">
      <alignment horizontal="center" vertical="top"/>
    </xf>
    <xf numFmtId="0" fontId="45" fillId="0" borderId="0" xfId="79" applyFont="1" applyAlignment="1">
      <alignment horizontal="left" vertical="top"/>
    </xf>
    <xf numFmtId="0" fontId="99" fillId="0" borderId="0" xfId="89" applyFont="1"/>
    <xf numFmtId="0" fontId="100" fillId="54" borderId="351" xfId="89" applyFont="1" applyFill="1" applyBorder="1"/>
    <xf numFmtId="0" fontId="100" fillId="54" borderId="373" xfId="89" applyFont="1" applyFill="1" applyBorder="1" applyAlignment="1">
      <alignment horizontal="center"/>
    </xf>
    <xf numFmtId="44" fontId="76" fillId="54" borderId="373" xfId="90" applyNumberFormat="1" applyFont="1" applyFill="1" applyBorder="1" applyAlignment="1">
      <alignment horizontal="center"/>
    </xf>
    <xf numFmtId="0" fontId="100" fillId="54" borderId="352" xfId="89" applyFont="1" applyFill="1" applyBorder="1" applyAlignment="1">
      <alignment horizontal="center"/>
    </xf>
    <xf numFmtId="0" fontId="100" fillId="67" borderId="376" xfId="89" applyFont="1" applyFill="1" applyBorder="1" applyAlignment="1">
      <alignment horizontal="center"/>
    </xf>
    <xf numFmtId="0" fontId="76" fillId="54" borderId="117" xfId="90" applyFont="1" applyFill="1" applyBorder="1"/>
    <xf numFmtId="44" fontId="76" fillId="54" borderId="118" xfId="90" applyNumberFormat="1" applyFont="1" applyFill="1" applyBorder="1" applyAlignment="1">
      <alignment horizontal="center"/>
    </xf>
    <xf numFmtId="0" fontId="45" fillId="0" borderId="116" xfId="90" applyFont="1" applyBorder="1" applyAlignment="1">
      <alignment horizontal="left"/>
    </xf>
    <xf numFmtId="170" fontId="45" fillId="0" borderId="116" xfId="31" applyNumberFormat="1" applyFont="1" applyBorder="1"/>
    <xf numFmtId="170" fontId="45" fillId="0" borderId="116" xfId="90" applyNumberFormat="1" applyFont="1" applyBorder="1"/>
    <xf numFmtId="44" fontId="45" fillId="67" borderId="116" xfId="90" applyNumberFormat="1" applyFont="1" applyFill="1" applyBorder="1"/>
    <xf numFmtId="0" fontId="45" fillId="0" borderId="116" xfId="91" applyFont="1" applyBorder="1"/>
    <xf numFmtId="0" fontId="76" fillId="0" borderId="0" xfId="90" applyFont="1" applyAlignment="1">
      <alignment horizontal="right"/>
    </xf>
    <xf numFmtId="44" fontId="76" fillId="0" borderId="418" xfId="90" applyNumberFormat="1" applyFont="1" applyBorder="1"/>
    <xf numFmtId="44" fontId="100" fillId="0" borderId="418" xfId="89" applyNumberFormat="1" applyFont="1" applyBorder="1"/>
    <xf numFmtId="44" fontId="100" fillId="67" borderId="418" xfId="89" applyNumberFormat="1" applyFont="1" applyFill="1" applyBorder="1"/>
    <xf numFmtId="44" fontId="100" fillId="0" borderId="0" xfId="89" applyNumberFormat="1" applyFont="1"/>
    <xf numFmtId="0" fontId="100" fillId="0" borderId="0" xfId="89" applyFont="1"/>
    <xf numFmtId="44" fontId="45" fillId="0" borderId="0" xfId="90" applyNumberFormat="1" applyFont="1"/>
    <xf numFmtId="0" fontId="100" fillId="54" borderId="320" xfId="89" applyFont="1" applyFill="1" applyBorder="1"/>
    <xf numFmtId="0" fontId="100" fillId="54" borderId="380" xfId="89" applyFont="1" applyFill="1" applyBorder="1" applyAlignment="1">
      <alignment horizontal="center"/>
    </xf>
    <xf numFmtId="44" fontId="76" fillId="54" borderId="380" xfId="90" applyNumberFormat="1" applyFont="1" applyFill="1" applyBorder="1" applyAlignment="1">
      <alignment horizontal="center"/>
    </xf>
    <xf numFmtId="0" fontId="100" fillId="54" borderId="376" xfId="89" applyFont="1" applyFill="1" applyBorder="1" applyAlignment="1">
      <alignment horizontal="center"/>
    </xf>
    <xf numFmtId="0" fontId="76" fillId="54" borderId="226" xfId="90" applyFont="1" applyFill="1" applyBorder="1"/>
    <xf numFmtId="44" fontId="76" fillId="54" borderId="353" xfId="90" applyNumberFormat="1" applyFont="1" applyFill="1" applyBorder="1" applyAlignment="1">
      <alignment horizontal="center"/>
    </xf>
    <xf numFmtId="170" fontId="45" fillId="0" borderId="116" xfId="92" applyNumberFormat="1" applyFont="1" applyFill="1" applyBorder="1" applyAlignment="1">
      <alignment vertical="center"/>
    </xf>
    <xf numFmtId="170" fontId="93" fillId="0" borderId="418" xfId="92" applyNumberFormat="1" applyFont="1" applyBorder="1" applyAlignment="1">
      <alignment vertical="center"/>
    </xf>
    <xf numFmtId="44" fontId="94" fillId="67" borderId="418" xfId="0" applyNumberFormat="1" applyFont="1" applyFill="1" applyBorder="1" applyAlignment="1">
      <alignment vertical="center"/>
    </xf>
    <xf numFmtId="0" fontId="79" fillId="0" borderId="0" xfId="89" applyFont="1"/>
    <xf numFmtId="44" fontId="99" fillId="0" borderId="0" xfId="89" applyNumberFormat="1" applyFont="1"/>
    <xf numFmtId="0" fontId="76" fillId="57" borderId="0" xfId="93" applyFont="1" applyFill="1"/>
    <xf numFmtId="0" fontId="45" fillId="57" borderId="0" xfId="94" applyFont="1" applyFill="1"/>
    <xf numFmtId="40" fontId="45" fillId="0" borderId="0" xfId="94" applyNumberFormat="1" applyFont="1"/>
    <xf numFmtId="0" fontId="45" fillId="0" borderId="0" xfId="94" applyFont="1"/>
    <xf numFmtId="0" fontId="76" fillId="0" borderId="0" xfId="94" applyFont="1"/>
    <xf numFmtId="0" fontId="76" fillId="0" borderId="113" xfId="94" applyFont="1" applyBorder="1" applyAlignment="1">
      <alignment horizontal="center"/>
    </xf>
    <xf numFmtId="0" fontId="76" fillId="0" borderId="114" xfId="94" applyFont="1" applyBorder="1" applyAlignment="1">
      <alignment horizontal="center"/>
    </xf>
    <xf numFmtId="40" fontId="76" fillId="0" borderId="115" xfId="94" applyNumberFormat="1" applyFont="1" applyBorder="1" applyAlignment="1">
      <alignment horizontal="center"/>
    </xf>
    <xf numFmtId="0" fontId="76" fillId="57" borderId="114" xfId="94" applyFont="1" applyFill="1" applyBorder="1" applyAlignment="1">
      <alignment horizontal="center" vertical="center"/>
    </xf>
    <xf numFmtId="40" fontId="76" fillId="57" borderId="115" xfId="94" applyNumberFormat="1" applyFont="1" applyFill="1" applyBorder="1" applyAlignment="1">
      <alignment horizontal="center" vertical="center"/>
    </xf>
    <xf numFmtId="40" fontId="76" fillId="57" borderId="116" xfId="94" applyNumberFormat="1" applyFont="1" applyFill="1" applyBorder="1" applyAlignment="1">
      <alignment horizontal="center" vertical="center" wrapText="1"/>
    </xf>
    <xf numFmtId="40" fontId="77" fillId="0" borderId="0" xfId="94" applyNumberFormat="1" applyFont="1" applyAlignment="1">
      <alignment horizontal="center" wrapText="1"/>
    </xf>
    <xf numFmtId="0" fontId="45" fillId="0" borderId="410" xfId="94" applyFont="1" applyBorder="1" applyAlignment="1">
      <alignment horizontal="center"/>
    </xf>
    <xf numFmtId="0" fontId="45" fillId="0" borderId="352" xfId="94" applyFont="1" applyBorder="1"/>
    <xf numFmtId="165" fontId="45" fillId="0" borderId="116" xfId="28" applyNumberFormat="1" applyFont="1" applyFill="1" applyBorder="1" applyAlignment="1">
      <alignment horizontal="center"/>
    </xf>
    <xf numFmtId="165" fontId="45" fillId="0" borderId="116" xfId="71" applyNumberFormat="1" applyFont="1" applyFill="1" applyBorder="1"/>
    <xf numFmtId="165" fontId="45" fillId="0" borderId="115" xfId="71" applyNumberFormat="1" applyFont="1" applyFill="1" applyBorder="1"/>
    <xf numFmtId="0" fontId="45" fillId="0" borderId="411" xfId="94" applyFont="1" applyBorder="1"/>
    <xf numFmtId="0" fontId="45" fillId="0" borderId="412" xfId="94" applyFont="1" applyBorder="1"/>
    <xf numFmtId="165" fontId="76" fillId="0" borderId="116" xfId="71" applyNumberFormat="1" applyFont="1" applyFill="1" applyBorder="1"/>
    <xf numFmtId="165" fontId="76" fillId="0" borderId="115" xfId="71" applyNumberFormat="1" applyFont="1" applyFill="1" applyBorder="1"/>
    <xf numFmtId="0" fontId="45" fillId="0" borderId="118" xfId="0" applyFont="1" applyBorder="1" applyAlignment="1">
      <alignment horizontal="center" vertical="center"/>
    </xf>
    <xf numFmtId="0" fontId="45" fillId="0" borderId="114" xfId="0" applyFont="1" applyBorder="1" applyAlignment="1">
      <alignment horizontal="center" vertical="center"/>
    </xf>
    <xf numFmtId="0" fontId="93" fillId="0" borderId="353" xfId="0" applyFont="1" applyBorder="1" applyAlignment="1">
      <alignment horizontal="center" vertical="center"/>
    </xf>
    <xf numFmtId="0" fontId="93" fillId="0" borderId="0" xfId="0" applyFont="1" applyAlignment="1">
      <alignment horizontal="center" vertical="center"/>
    </xf>
    <xf numFmtId="0" fontId="45" fillId="0" borderId="11" xfId="94" applyFont="1" applyBorder="1"/>
    <xf numFmtId="0" fontId="45" fillId="0" borderId="420" xfId="94" applyFont="1" applyBorder="1"/>
    <xf numFmtId="0" fontId="45" fillId="0" borderId="421" xfId="94" applyFont="1" applyBorder="1"/>
    <xf numFmtId="0" fontId="45" fillId="0" borderId="0" xfId="93" applyFont="1" applyAlignment="1">
      <alignment horizontal="right"/>
    </xf>
    <xf numFmtId="165" fontId="101" fillId="0" borderId="418" xfId="71" applyNumberFormat="1" applyFont="1" applyFill="1" applyBorder="1"/>
    <xf numFmtId="0" fontId="79" fillId="0" borderId="0" xfId="94" applyFont="1" applyAlignment="1">
      <alignment horizontal="right"/>
    </xf>
    <xf numFmtId="0" fontId="45" fillId="57" borderId="0" xfId="95" applyFont="1" applyFill="1"/>
    <xf numFmtId="0" fontId="45" fillId="0" borderId="0" xfId="95" applyFont="1"/>
    <xf numFmtId="0" fontId="79" fillId="0" borderId="0" xfId="95" applyFont="1"/>
    <xf numFmtId="0" fontId="76" fillId="0" borderId="116" xfId="95" applyFont="1" applyBorder="1" applyAlignment="1">
      <alignment horizontal="center"/>
    </xf>
    <xf numFmtId="0" fontId="76" fillId="57" borderId="116" xfId="95" applyFont="1" applyFill="1" applyBorder="1" applyAlignment="1">
      <alignment horizontal="center" vertical="center" wrapText="1"/>
    </xf>
    <xf numFmtId="38" fontId="109" fillId="57" borderId="422" xfId="48" applyNumberFormat="1" applyFont="1" applyFill="1" applyBorder="1" applyAlignment="1">
      <alignment horizontal="center" vertical="center"/>
    </xf>
    <xf numFmtId="38" fontId="109" fillId="57" borderId="423" xfId="48" applyNumberFormat="1" applyFont="1" applyFill="1" applyBorder="1" applyAlignment="1">
      <alignment horizontal="center" vertical="center"/>
    </xf>
    <xf numFmtId="38" fontId="109" fillId="57" borderId="423" xfId="48" applyNumberFormat="1" applyFont="1" applyFill="1" applyBorder="1" applyAlignment="1">
      <alignment horizontal="center" vertical="center" wrapText="1"/>
    </xf>
    <xf numFmtId="0" fontId="45" fillId="0" borderId="410" xfId="95" applyFont="1" applyBorder="1"/>
    <xf numFmtId="0" fontId="45" fillId="0" borderId="116" xfId="95" applyFont="1" applyBorder="1"/>
    <xf numFmtId="165" fontId="45" fillId="0" borderId="116" xfId="28" applyNumberFormat="1" applyFont="1" applyFill="1" applyBorder="1"/>
    <xf numFmtId="165" fontId="79" fillId="59" borderId="0" xfId="95" applyNumberFormat="1" applyFont="1" applyFill="1"/>
    <xf numFmtId="0" fontId="45" fillId="0" borderId="411" xfId="95" applyFont="1" applyBorder="1"/>
    <xf numFmtId="165" fontId="79" fillId="0" borderId="116" xfId="28" applyNumberFormat="1" applyFont="1" applyFill="1" applyBorder="1" applyAlignment="1">
      <alignment horizontal="center"/>
    </xf>
    <xf numFmtId="0" fontId="45" fillId="0" borderId="10" xfId="95" applyFont="1" applyBorder="1"/>
    <xf numFmtId="0" fontId="76" fillId="58" borderId="117" xfId="95" applyFont="1" applyFill="1" applyBorder="1"/>
    <xf numFmtId="0" fontId="76" fillId="58" borderId="114" xfId="95" applyFont="1" applyFill="1" applyBorder="1"/>
    <xf numFmtId="0" fontId="76" fillId="58" borderId="116" xfId="95" applyFont="1" applyFill="1" applyBorder="1"/>
    <xf numFmtId="165" fontId="76" fillId="58" borderId="116" xfId="28" applyNumberFormat="1" applyFont="1" applyFill="1" applyBorder="1"/>
    <xf numFmtId="165" fontId="45" fillId="0" borderId="0" xfId="28" applyNumberFormat="1" applyFont="1" applyFill="1" applyBorder="1"/>
    <xf numFmtId="165" fontId="45" fillId="0" borderId="0" xfId="28" applyNumberFormat="1" applyFont="1"/>
    <xf numFmtId="165" fontId="45" fillId="0" borderId="0" xfId="28" applyNumberFormat="1" applyFont="1" applyFill="1"/>
    <xf numFmtId="165" fontId="79" fillId="0" borderId="0" xfId="95" applyNumberFormat="1" applyFont="1"/>
    <xf numFmtId="188" fontId="77" fillId="0" borderId="410" xfId="72" applyNumberFormat="1" applyFont="1" applyBorder="1" applyAlignment="1">
      <alignment horizontal="center" vertical="center"/>
    </xf>
    <xf numFmtId="165" fontId="101" fillId="0" borderId="0" xfId="71" applyNumberFormat="1" applyFont="1" applyFill="1" applyBorder="1"/>
    <xf numFmtId="49" fontId="76" fillId="58" borderId="424" xfId="93" applyNumberFormat="1" applyFont="1" applyFill="1" applyBorder="1" applyAlignment="1">
      <alignment horizontal="center"/>
    </xf>
    <xf numFmtId="165" fontId="76" fillId="58" borderId="425" xfId="93" applyNumberFormat="1" applyFont="1" applyFill="1" applyBorder="1"/>
    <xf numFmtId="0" fontId="79" fillId="59" borderId="0" xfId="70" applyFont="1" applyFill="1"/>
    <xf numFmtId="0" fontId="45" fillId="59" borderId="0" xfId="95" applyFont="1" applyFill="1"/>
    <xf numFmtId="165" fontId="45" fillId="0" borderId="0" xfId="95" applyNumberFormat="1" applyFont="1"/>
    <xf numFmtId="43" fontId="45" fillId="0" borderId="0" xfId="95" applyNumberFormat="1" applyFont="1"/>
    <xf numFmtId="4" fontId="45" fillId="0" borderId="0" xfId="95" applyNumberFormat="1" applyFont="1"/>
    <xf numFmtId="0" fontId="76" fillId="0" borderId="0" xfId="95" applyFont="1"/>
    <xf numFmtId="0" fontId="45" fillId="0" borderId="0" xfId="96" applyFont="1"/>
    <xf numFmtId="0" fontId="45" fillId="0" borderId="116" xfId="96" applyFont="1" applyBorder="1"/>
    <xf numFmtId="0" fontId="45" fillId="0" borderId="116" xfId="96" applyFont="1" applyBorder="1" applyAlignment="1">
      <alignment horizontal="center"/>
    </xf>
    <xf numFmtId="0" fontId="76" fillId="0" borderId="0" xfId="96" applyFont="1"/>
    <xf numFmtId="0" fontId="76" fillId="0" borderId="116" xfId="96" applyFont="1" applyBorder="1" applyAlignment="1">
      <alignment horizontal="center"/>
    </xf>
    <xf numFmtId="0" fontId="77" fillId="0" borderId="0" xfId="96" applyFont="1" applyAlignment="1">
      <alignment wrapText="1"/>
    </xf>
    <xf numFmtId="0" fontId="45" fillId="0" borderId="426" xfId="96" applyFont="1" applyBorder="1"/>
    <xf numFmtId="0" fontId="45" fillId="0" borderId="427" xfId="96" applyFont="1" applyBorder="1"/>
    <xf numFmtId="165" fontId="45" fillId="0" borderId="426" xfId="28" applyNumberFormat="1" applyFont="1" applyFill="1" applyBorder="1" applyAlignment="1">
      <alignment horizontal="center"/>
    </xf>
    <xf numFmtId="165" fontId="45" fillId="0" borderId="426" xfId="28" applyNumberFormat="1" applyFont="1" applyFill="1" applyBorder="1"/>
    <xf numFmtId="165" fontId="45" fillId="0" borderId="116" xfId="28" applyNumberFormat="1" applyFont="1" applyBorder="1" applyAlignment="1">
      <alignment horizontal="left"/>
    </xf>
    <xf numFmtId="4" fontId="45" fillId="0" borderId="427" xfId="96" applyNumberFormat="1" applyFont="1" applyBorder="1"/>
    <xf numFmtId="165" fontId="45" fillId="0" borderId="116" xfId="28" applyNumberFormat="1" applyFont="1" applyFill="1" applyBorder="1" applyAlignment="1">
      <alignment horizontal="left"/>
    </xf>
    <xf numFmtId="0" fontId="76" fillId="58" borderId="116" xfId="96" applyFont="1" applyFill="1" applyBorder="1"/>
    <xf numFmtId="43" fontId="76" fillId="58" borderId="116" xfId="71" applyFont="1" applyFill="1" applyBorder="1"/>
    <xf numFmtId="43" fontId="45" fillId="0" borderId="0" xfId="71" applyFont="1" applyFill="1" applyBorder="1"/>
    <xf numFmtId="0" fontId="76" fillId="0" borderId="0" xfId="93" applyFont="1"/>
    <xf numFmtId="0" fontId="76" fillId="57" borderId="115" xfId="95" applyFont="1" applyFill="1" applyBorder="1" applyAlignment="1">
      <alignment horizontal="center" vertical="center" wrapText="1"/>
    </xf>
    <xf numFmtId="0" fontId="45" fillId="0" borderId="428" xfId="96" applyFont="1" applyBorder="1"/>
    <xf numFmtId="43" fontId="45" fillId="0" borderId="426" xfId="28" applyFont="1" applyFill="1" applyBorder="1"/>
    <xf numFmtId="165" fontId="45" fillId="0" borderId="116" xfId="28" applyNumberFormat="1" applyFont="1" applyBorder="1" applyAlignment="1">
      <alignment horizontal="center"/>
    </xf>
    <xf numFmtId="0" fontId="79" fillId="0" borderId="0" xfId="96" applyFont="1"/>
    <xf numFmtId="4" fontId="45" fillId="0" borderId="426" xfId="96" applyNumberFormat="1" applyFont="1" applyBorder="1"/>
    <xf numFmtId="0" fontId="76" fillId="64" borderId="115" xfId="95" applyFont="1" applyFill="1" applyBorder="1" applyAlignment="1">
      <alignment horizontal="center" vertical="center" wrapText="1"/>
    </xf>
    <xf numFmtId="0" fontId="76" fillId="64" borderId="116" xfId="95" applyFont="1" applyFill="1" applyBorder="1" applyAlignment="1">
      <alignment horizontal="center" vertical="center" wrapText="1"/>
    </xf>
    <xf numFmtId="38" fontId="109" fillId="64" borderId="423" xfId="48" applyNumberFormat="1" applyFont="1" applyFill="1" applyBorder="1" applyAlignment="1">
      <alignment horizontal="center" vertical="center" wrapText="1"/>
    </xf>
    <xf numFmtId="0" fontId="79" fillId="0" borderId="0" xfId="96" applyFont="1" applyAlignment="1">
      <alignment wrapText="1"/>
    </xf>
    <xf numFmtId="165" fontId="45" fillId="0" borderId="428" xfId="28" applyNumberFormat="1" applyFont="1" applyFill="1" applyBorder="1"/>
    <xf numFmtId="43" fontId="79" fillId="59" borderId="0" xfId="96" applyNumberFormat="1" applyFont="1" applyFill="1"/>
    <xf numFmtId="43" fontId="76" fillId="58" borderId="116" xfId="28" applyFont="1" applyFill="1" applyBorder="1"/>
    <xf numFmtId="4" fontId="79" fillId="0" borderId="0" xfId="94" applyNumberFormat="1" applyFont="1" applyAlignment="1">
      <alignment horizontal="right"/>
    </xf>
    <xf numFmtId="165" fontId="79" fillId="59" borderId="0" xfId="96" applyNumberFormat="1" applyFont="1" applyFill="1"/>
    <xf numFmtId="0" fontId="45" fillId="59" borderId="0" xfId="96" applyFont="1" applyFill="1"/>
    <xf numFmtId="38" fontId="109" fillId="64" borderId="422" xfId="48" applyNumberFormat="1" applyFont="1" applyFill="1" applyBorder="1" applyAlignment="1">
      <alignment horizontal="center" vertical="center"/>
    </xf>
    <xf numFmtId="38" fontId="109" fillId="64" borderId="423" xfId="48" applyNumberFormat="1" applyFont="1" applyFill="1" applyBorder="1" applyAlignment="1">
      <alignment horizontal="center" vertical="center"/>
    </xf>
    <xf numFmtId="43" fontId="76" fillId="58" borderId="425" xfId="93" applyNumberFormat="1" applyFont="1" applyFill="1" applyBorder="1"/>
    <xf numFmtId="4" fontId="45" fillId="0" borderId="0" xfId="96" applyNumberFormat="1" applyFont="1"/>
    <xf numFmtId="0" fontId="45" fillId="0" borderId="0" xfId="97" applyFont="1"/>
    <xf numFmtId="0" fontId="76" fillId="0" borderId="116" xfId="97" applyFont="1" applyBorder="1" applyAlignment="1">
      <alignment horizontal="center"/>
    </xf>
    <xf numFmtId="43" fontId="79" fillId="0" borderId="0" xfId="28" applyFont="1"/>
    <xf numFmtId="0" fontId="45" fillId="0" borderId="411" xfId="97" applyFont="1" applyBorder="1"/>
    <xf numFmtId="165" fontId="45" fillId="0" borderId="410" xfId="71" applyNumberFormat="1" applyFont="1" applyFill="1" applyBorder="1" applyAlignment="1">
      <alignment horizontal="center"/>
    </xf>
    <xf numFmtId="165" fontId="45" fillId="0" borderId="411" xfId="28" applyNumberFormat="1" applyFont="1" applyFill="1" applyBorder="1"/>
    <xf numFmtId="165" fontId="45" fillId="0" borderId="411" xfId="71" applyNumberFormat="1" applyFont="1" applyFill="1" applyBorder="1" applyAlignment="1">
      <alignment horizontal="center"/>
    </xf>
    <xf numFmtId="165" fontId="45" fillId="0" borderId="412" xfId="28" applyNumberFormat="1" applyFont="1" applyFill="1" applyBorder="1"/>
    <xf numFmtId="0" fontId="45" fillId="0" borderId="429" xfId="97" applyFont="1" applyBorder="1"/>
    <xf numFmtId="0" fontId="76" fillId="57" borderId="429" xfId="97" applyFont="1" applyFill="1" applyBorder="1"/>
    <xf numFmtId="165" fontId="76" fillId="57" borderId="241" xfId="28" applyNumberFormat="1" applyFont="1" applyFill="1" applyBorder="1"/>
    <xf numFmtId="165" fontId="76" fillId="57" borderId="429" xfId="71" applyNumberFormat="1" applyFont="1" applyFill="1" applyBorder="1" applyAlignment="1">
      <alignment horizontal="center"/>
    </xf>
    <xf numFmtId="165" fontId="76" fillId="57" borderId="429" xfId="28" applyNumberFormat="1" applyFont="1" applyFill="1" applyBorder="1"/>
    <xf numFmtId="0" fontId="45" fillId="58" borderId="116" xfId="93" applyFont="1" applyFill="1" applyBorder="1"/>
    <xf numFmtId="165" fontId="45" fillId="58" borderId="116" xfId="71" applyNumberFormat="1" applyFont="1" applyFill="1" applyBorder="1"/>
    <xf numFmtId="165" fontId="45" fillId="58" borderId="116" xfId="71" applyNumberFormat="1" applyFont="1" applyFill="1" applyBorder="1" applyAlignment="1">
      <alignment horizontal="center"/>
    </xf>
    <xf numFmtId="0" fontId="45" fillId="0" borderId="0" xfId="93" applyFont="1"/>
    <xf numFmtId="165" fontId="45" fillId="0" borderId="0" xfId="71" applyNumberFormat="1" applyFont="1" applyFill="1" applyBorder="1" applyAlignment="1">
      <alignment horizontal="center"/>
    </xf>
    <xf numFmtId="43" fontId="45" fillId="0" borderId="391" xfId="97" applyNumberFormat="1" applyFont="1" applyBorder="1"/>
    <xf numFmtId="0" fontId="76" fillId="57" borderId="392" xfId="97" applyFont="1" applyFill="1" applyBorder="1" applyAlignment="1">
      <alignment horizontal="center"/>
    </xf>
    <xf numFmtId="0" fontId="76" fillId="57" borderId="393" xfId="97" applyFont="1" applyFill="1" applyBorder="1" applyAlignment="1">
      <alignment horizontal="center"/>
    </xf>
    <xf numFmtId="0" fontId="45" fillId="0" borderId="341" xfId="97" applyFont="1" applyBorder="1"/>
    <xf numFmtId="9" fontId="80" fillId="57" borderId="411" xfId="55" applyFont="1" applyFill="1" applyBorder="1"/>
    <xf numFmtId="0" fontId="45" fillId="0" borderId="342" xfId="97" applyFont="1" applyBorder="1"/>
    <xf numFmtId="9" fontId="80" fillId="57" borderId="429" xfId="55" applyFont="1" applyFill="1" applyBorder="1"/>
    <xf numFmtId="0" fontId="110" fillId="0" borderId="0" xfId="98" applyFont="1" applyAlignment="1">
      <alignment horizontal="center"/>
    </xf>
    <xf numFmtId="0" fontId="45" fillId="0" borderId="0" xfId="98" applyFont="1"/>
    <xf numFmtId="0" fontId="45" fillId="0" borderId="0" xfId="98" applyFont="1" applyAlignment="1">
      <alignment horizontal="center"/>
    </xf>
    <xf numFmtId="0" fontId="83" fillId="0" borderId="0" xfId="48" applyFont="1" applyAlignment="1">
      <alignment horizontal="left"/>
    </xf>
    <xf numFmtId="0" fontId="76" fillId="0" borderId="210" xfId="98" applyFont="1" applyBorder="1" applyAlignment="1">
      <alignment horizontal="center" vertical="center" wrapText="1"/>
    </xf>
    <xf numFmtId="0" fontId="76" fillId="0" borderId="208" xfId="98" applyFont="1" applyBorder="1" applyAlignment="1">
      <alignment horizontal="center" vertical="center" wrapText="1"/>
    </xf>
    <xf numFmtId="0" fontId="76" fillId="57" borderId="419" xfId="95" applyFont="1" applyFill="1" applyBorder="1" applyAlignment="1">
      <alignment horizontal="center" vertical="center" wrapText="1"/>
    </xf>
    <xf numFmtId="38" fontId="109" fillId="57" borderId="430" xfId="48" applyNumberFormat="1" applyFont="1" applyFill="1" applyBorder="1" applyAlignment="1">
      <alignment horizontal="center" vertical="center"/>
    </xf>
    <xf numFmtId="38" fontId="109" fillId="57" borderId="431" xfId="48" applyNumberFormat="1" applyFont="1" applyFill="1" applyBorder="1" applyAlignment="1">
      <alignment horizontal="center" vertical="center"/>
    </xf>
    <xf numFmtId="38" fontId="109" fillId="57" borderId="431" xfId="48" applyNumberFormat="1" applyFont="1" applyFill="1" applyBorder="1" applyAlignment="1">
      <alignment horizontal="center" vertical="center" wrapText="1"/>
    </xf>
    <xf numFmtId="0" fontId="76" fillId="57" borderId="432" xfId="95" applyFont="1" applyFill="1" applyBorder="1" applyAlignment="1">
      <alignment horizontal="center" vertical="center" wrapText="1"/>
    </xf>
    <xf numFmtId="0" fontId="76" fillId="0" borderId="0" xfId="95" applyFont="1" applyAlignment="1">
      <alignment horizontal="center" vertical="center" wrapText="1"/>
    </xf>
    <xf numFmtId="0" fontId="45" fillId="0" borderId="0" xfId="98" applyFont="1" applyAlignment="1">
      <alignment vertical="center" wrapText="1"/>
    </xf>
    <xf numFmtId="0" fontId="76" fillId="57" borderId="320" xfId="93" applyFont="1" applyFill="1" applyBorder="1"/>
    <xf numFmtId="0" fontId="76" fillId="57" borderId="380" xfId="93" applyFont="1" applyFill="1" applyBorder="1"/>
    <xf numFmtId="0" fontId="76" fillId="0" borderId="380" xfId="93" applyFont="1" applyBorder="1"/>
    <xf numFmtId="0" fontId="45" fillId="0" borderId="376" xfId="95" applyFont="1" applyBorder="1" applyAlignment="1">
      <alignment horizontal="center" vertical="center" wrapText="1"/>
    </xf>
    <xf numFmtId="0" fontId="45" fillId="0" borderId="114" xfId="98" applyFont="1" applyBorder="1"/>
    <xf numFmtId="170" fontId="45" fillId="0" borderId="114" xfId="99" applyNumberFormat="1" applyFont="1" applyBorder="1"/>
    <xf numFmtId="0" fontId="76" fillId="57" borderId="226" xfId="93" applyFont="1" applyFill="1" applyBorder="1"/>
    <xf numFmtId="0" fontId="76" fillId="0" borderId="377" xfId="93" applyFont="1" applyBorder="1"/>
    <xf numFmtId="170" fontId="45" fillId="0" borderId="0" xfId="99" applyNumberFormat="1" applyFont="1"/>
    <xf numFmtId="0" fontId="45" fillId="0" borderId="226" xfId="98" applyFont="1" applyBorder="1"/>
    <xf numFmtId="0" fontId="45" fillId="0" borderId="377" xfId="98" applyFont="1" applyBorder="1"/>
    <xf numFmtId="0" fontId="45" fillId="0" borderId="394" xfId="97" applyFont="1" applyBorder="1" applyAlignment="1">
      <alignment horizontal="center"/>
    </xf>
    <xf numFmtId="0" fontId="45" fillId="0" borderId="116" xfId="98" applyFont="1" applyBorder="1"/>
    <xf numFmtId="165" fontId="45" fillId="0" borderId="116" xfId="71" applyNumberFormat="1" applyFont="1" applyBorder="1"/>
    <xf numFmtId="0" fontId="45" fillId="0" borderId="411" xfId="98" applyFont="1" applyBorder="1"/>
    <xf numFmtId="0" fontId="45" fillId="0" borderId="433" xfId="98" applyFont="1" applyBorder="1"/>
    <xf numFmtId="165" fontId="45" fillId="0" borderId="0" xfId="71" applyNumberFormat="1" applyFont="1"/>
    <xf numFmtId="0" fontId="45" fillId="0" borderId="434" xfId="98" applyFont="1" applyBorder="1"/>
    <xf numFmtId="4" fontId="45" fillId="0" borderId="411" xfId="98" applyNumberFormat="1" applyFont="1" applyBorder="1"/>
    <xf numFmtId="0" fontId="45" fillId="0" borderId="434" xfId="98" applyFont="1" applyBorder="1" applyAlignment="1">
      <alignment wrapText="1"/>
    </xf>
    <xf numFmtId="0" fontId="76" fillId="57" borderId="341" xfId="98" applyFont="1" applyFill="1" applyBorder="1"/>
    <xf numFmtId="0" fontId="76" fillId="57" borderId="411" xfId="98" applyFont="1" applyFill="1" applyBorder="1"/>
    <xf numFmtId="165" fontId="95" fillId="57" borderId="411" xfId="71" applyNumberFormat="1" applyFont="1" applyFill="1" applyBorder="1"/>
    <xf numFmtId="0" fontId="76" fillId="57" borderId="434" xfId="98" applyFont="1" applyFill="1" applyBorder="1" applyAlignment="1">
      <alignment wrapText="1"/>
    </xf>
    <xf numFmtId="0" fontId="110" fillId="57" borderId="0" xfId="98" applyFont="1" applyFill="1" applyAlignment="1">
      <alignment horizontal="center"/>
    </xf>
    <xf numFmtId="0" fontId="76" fillId="57" borderId="0" xfId="98" applyFont="1" applyFill="1"/>
    <xf numFmtId="170" fontId="111" fillId="57" borderId="0" xfId="99" applyNumberFormat="1" applyFont="1" applyFill="1"/>
    <xf numFmtId="0" fontId="76" fillId="57" borderId="0" xfId="98" applyFont="1" applyFill="1" applyAlignment="1">
      <alignment horizontal="center"/>
    </xf>
    <xf numFmtId="0" fontId="45" fillId="58" borderId="394" xfId="98" applyFont="1" applyFill="1" applyBorder="1"/>
    <xf numFmtId="0" fontId="45" fillId="58" borderId="116" xfId="97" applyFont="1" applyFill="1" applyBorder="1"/>
    <xf numFmtId="0" fontId="45" fillId="0" borderId="226" xfId="93" applyFont="1" applyBorder="1" applyAlignment="1">
      <alignment horizontal="right"/>
    </xf>
    <xf numFmtId="0" fontId="79" fillId="0" borderId="375" xfId="94" applyFont="1" applyBorder="1" applyAlignment="1">
      <alignment horizontal="right"/>
    </xf>
    <xf numFmtId="0" fontId="79" fillId="0" borderId="241" xfId="94" applyFont="1" applyBorder="1" applyAlignment="1">
      <alignment horizontal="right"/>
    </xf>
    <xf numFmtId="4" fontId="79" fillId="57" borderId="241" xfId="94" applyNumberFormat="1" applyFont="1" applyFill="1" applyBorder="1" applyAlignment="1">
      <alignment horizontal="right"/>
    </xf>
    <xf numFmtId="0" fontId="45" fillId="0" borderId="374" xfId="98" applyFont="1" applyBorder="1"/>
    <xf numFmtId="0" fontId="76" fillId="58" borderId="237" xfId="98" applyFont="1" applyFill="1" applyBorder="1"/>
    <xf numFmtId="170" fontId="76" fillId="58" borderId="237" xfId="99" applyNumberFormat="1" applyFont="1" applyFill="1" applyBorder="1"/>
    <xf numFmtId="0" fontId="76" fillId="58" borderId="0" xfId="98" applyFont="1" applyFill="1" applyAlignment="1">
      <alignment horizontal="center"/>
    </xf>
    <xf numFmtId="43" fontId="45" fillId="0" borderId="0" xfId="98" applyNumberFormat="1" applyFont="1"/>
    <xf numFmtId="0" fontId="76" fillId="0" borderId="376" xfId="93" applyFont="1" applyBorder="1"/>
    <xf numFmtId="0" fontId="110" fillId="0" borderId="226" xfId="98" applyFont="1" applyBorder="1" applyAlignment="1">
      <alignment horizontal="center"/>
    </xf>
    <xf numFmtId="0" fontId="110" fillId="0" borderId="377" xfId="98" applyFont="1" applyBorder="1" applyAlignment="1">
      <alignment horizontal="center"/>
    </xf>
    <xf numFmtId="0" fontId="45" fillId="0" borderId="116" xfId="97" applyFont="1" applyBorder="1" applyAlignment="1">
      <alignment horizontal="center"/>
    </xf>
    <xf numFmtId="6" fontId="110" fillId="0" borderId="0" xfId="98" applyNumberFormat="1" applyFont="1" applyAlignment="1">
      <alignment horizontal="center"/>
    </xf>
    <xf numFmtId="165" fontId="45" fillId="0" borderId="11" xfId="71" applyNumberFormat="1" applyFont="1" applyFill="1" applyBorder="1" applyAlignment="1">
      <alignment horizontal="center"/>
    </xf>
    <xf numFmtId="0" fontId="45" fillId="0" borderId="0" xfId="98" applyFont="1" applyAlignment="1">
      <alignment horizontal="left"/>
    </xf>
    <xf numFmtId="0" fontId="79" fillId="0" borderId="0" xfId="98" applyFont="1" applyAlignment="1">
      <alignment horizontal="center"/>
    </xf>
    <xf numFmtId="0" fontId="76" fillId="0" borderId="339" xfId="98" applyFont="1" applyBorder="1" applyAlignment="1">
      <alignment horizontal="center"/>
    </xf>
    <xf numFmtId="0" fontId="79" fillId="0" borderId="0" xfId="98" applyFont="1"/>
    <xf numFmtId="10" fontId="110" fillId="0" borderId="0" xfId="98" applyNumberFormat="1" applyFont="1" applyAlignment="1">
      <alignment horizontal="center"/>
    </xf>
    <xf numFmtId="168" fontId="45" fillId="0" borderId="342" xfId="100" applyNumberFormat="1" applyFont="1" applyFill="1" applyBorder="1" applyAlignment="1">
      <alignment horizontal="center"/>
    </xf>
    <xf numFmtId="166" fontId="80" fillId="57" borderId="429" xfId="100" applyNumberFormat="1" applyFont="1" applyFill="1" applyBorder="1" applyAlignment="1">
      <alignment horizontal="center"/>
    </xf>
    <xf numFmtId="0" fontId="45" fillId="0" borderId="436" xfId="98" applyFont="1" applyBorder="1"/>
    <xf numFmtId="0" fontId="45" fillId="0" borderId="226" xfId="93" applyFont="1" applyBorder="1"/>
    <xf numFmtId="0" fontId="45" fillId="0" borderId="375" xfId="93" applyFont="1" applyBorder="1"/>
    <xf numFmtId="165" fontId="45" fillId="0" borderId="374" xfId="71" applyNumberFormat="1" applyFont="1" applyFill="1" applyBorder="1" applyAlignment="1">
      <alignment horizontal="center"/>
    </xf>
    <xf numFmtId="0" fontId="83" fillId="0" borderId="0" xfId="48" applyFont="1" applyAlignment="1">
      <alignment horizontal="right"/>
    </xf>
    <xf numFmtId="0" fontId="45" fillId="0" borderId="342" xfId="100" applyNumberFormat="1" applyFont="1" applyFill="1" applyBorder="1" applyAlignment="1">
      <alignment horizontal="center"/>
    </xf>
    <xf numFmtId="166" fontId="45" fillId="0" borderId="429" xfId="100" applyNumberFormat="1" applyFont="1" applyFill="1" applyBorder="1" applyAlignment="1">
      <alignment horizontal="center"/>
    </xf>
    <xf numFmtId="4" fontId="79" fillId="0" borderId="0" xfId="98" applyNumberFormat="1" applyFont="1" applyAlignment="1">
      <alignment horizontal="center"/>
    </xf>
    <xf numFmtId="4" fontId="110" fillId="0" borderId="0" xfId="98" applyNumberFormat="1" applyFont="1" applyAlignment="1">
      <alignment horizontal="center"/>
    </xf>
    <xf numFmtId="10" fontId="83" fillId="0" borderId="0" xfId="48" applyNumberFormat="1" applyFont="1" applyAlignment="1">
      <alignment horizontal="right"/>
    </xf>
    <xf numFmtId="0" fontId="76" fillId="0" borderId="116" xfId="93" applyFont="1" applyBorder="1" applyAlignment="1">
      <alignment horizontal="center"/>
    </xf>
    <xf numFmtId="43" fontId="79" fillId="0" borderId="0" xfId="28" applyFont="1" applyFill="1" applyAlignment="1">
      <alignment wrapText="1"/>
    </xf>
    <xf numFmtId="0" fontId="45" fillId="0" borderId="410" xfId="93" applyFont="1" applyBorder="1"/>
    <xf numFmtId="165" fontId="45" fillId="0" borderId="116" xfId="71" applyNumberFormat="1" applyFont="1" applyFill="1" applyBorder="1" applyAlignment="1">
      <alignment horizontal="center"/>
    </xf>
    <xf numFmtId="165" fontId="45" fillId="0" borderId="410" xfId="71" applyNumberFormat="1" applyFont="1" applyFill="1" applyBorder="1"/>
    <xf numFmtId="0" fontId="45" fillId="0" borderId="411" xfId="93" applyFont="1" applyBorder="1"/>
    <xf numFmtId="165" fontId="45" fillId="0" borderId="116" xfId="71" applyNumberFormat="1" applyFont="1" applyBorder="1" applyAlignment="1">
      <alignment horizontal="center"/>
    </xf>
    <xf numFmtId="165" fontId="45" fillId="0" borderId="411" xfId="71" applyNumberFormat="1" applyFont="1" applyFill="1" applyBorder="1"/>
    <xf numFmtId="0" fontId="45" fillId="0" borderId="10" xfId="93" applyFont="1" applyBorder="1"/>
    <xf numFmtId="165" fontId="45" fillId="0" borderId="10" xfId="71" applyNumberFormat="1" applyFont="1" applyFill="1" applyBorder="1"/>
    <xf numFmtId="165" fontId="79" fillId="0" borderId="0" xfId="71" applyNumberFormat="1" applyFont="1" applyFill="1" applyBorder="1" applyAlignment="1">
      <alignment horizontal="center"/>
    </xf>
    <xf numFmtId="165" fontId="45" fillId="0" borderId="0" xfId="71" applyNumberFormat="1" applyFont="1" applyFill="1" applyBorder="1"/>
    <xf numFmtId="49" fontId="45" fillId="0" borderId="410" xfId="93" applyNumberFormat="1" applyFont="1" applyBorder="1" applyAlignment="1">
      <alignment horizontal="left"/>
    </xf>
    <xf numFmtId="165" fontId="101" fillId="0" borderId="410" xfId="71" applyNumberFormat="1" applyFont="1" applyFill="1" applyBorder="1"/>
    <xf numFmtId="49" fontId="45" fillId="0" borderId="411" xfId="93" applyNumberFormat="1" applyFont="1" applyBorder="1" applyAlignment="1">
      <alignment horizontal="left"/>
    </xf>
    <xf numFmtId="165" fontId="101" fillId="0" borderId="411" xfId="71" applyNumberFormat="1" applyFont="1" applyFill="1" applyBorder="1"/>
    <xf numFmtId="49" fontId="45" fillId="0" borderId="10" xfId="93" applyNumberFormat="1" applyFont="1" applyBorder="1" applyAlignment="1">
      <alignment horizontal="left"/>
    </xf>
    <xf numFmtId="38" fontId="109" fillId="57" borderId="437" xfId="48" applyNumberFormat="1" applyFont="1" applyFill="1" applyBorder="1" applyAlignment="1">
      <alignment horizontal="center" vertical="center"/>
    </xf>
    <xf numFmtId="38" fontId="109" fillId="57" borderId="438" xfId="48" applyNumberFormat="1" applyFont="1" applyFill="1" applyBorder="1" applyAlignment="1">
      <alignment horizontal="center" vertical="center"/>
    </xf>
    <xf numFmtId="38" fontId="109" fillId="57" borderId="438" xfId="48" applyNumberFormat="1" applyFont="1" applyFill="1" applyBorder="1" applyAlignment="1">
      <alignment horizontal="center" vertical="center" wrapText="1"/>
    </xf>
    <xf numFmtId="49" fontId="76" fillId="58" borderId="116" xfId="93" applyNumberFormat="1" applyFont="1" applyFill="1" applyBorder="1" applyAlignment="1">
      <alignment horizontal="center"/>
    </xf>
    <xf numFmtId="43" fontId="76" fillId="58" borderId="116" xfId="93" applyNumberFormat="1" applyFont="1" applyFill="1" applyBorder="1"/>
    <xf numFmtId="43" fontId="45" fillId="0" borderId="0" xfId="93" applyNumberFormat="1" applyFont="1"/>
    <xf numFmtId="0" fontId="76" fillId="57" borderId="351" xfId="94" applyFont="1" applyFill="1" applyBorder="1"/>
    <xf numFmtId="0" fontId="45" fillId="57" borderId="373" xfId="94" applyFont="1" applyFill="1" applyBorder="1"/>
    <xf numFmtId="0" fontId="45" fillId="57" borderId="373" xfId="94" applyFont="1" applyFill="1" applyBorder="1" applyAlignment="1">
      <alignment horizontal="center"/>
    </xf>
    <xf numFmtId="0" fontId="76" fillId="57" borderId="11" xfId="94" applyFont="1" applyFill="1" applyBorder="1"/>
    <xf numFmtId="0" fontId="45" fillId="57" borderId="0" xfId="94" applyFont="1" applyFill="1" applyAlignment="1">
      <alignment horizontal="center"/>
    </xf>
    <xf numFmtId="0" fontId="45" fillId="0" borderId="0" xfId="94" applyFont="1" applyAlignment="1">
      <alignment horizontal="center"/>
    </xf>
    <xf numFmtId="0" fontId="45" fillId="0" borderId="0" xfId="101" applyFont="1"/>
    <xf numFmtId="0" fontId="45" fillId="0" borderId="0" xfId="101" applyFont="1" applyAlignment="1">
      <alignment horizontal="center"/>
    </xf>
    <xf numFmtId="0" fontId="76" fillId="0" borderId="116" xfId="101" applyFont="1" applyBorder="1" applyAlignment="1">
      <alignment horizontal="center" vertical="center"/>
    </xf>
    <xf numFmtId="43" fontId="76" fillId="0" borderId="116" xfId="28" applyFont="1" applyBorder="1" applyAlignment="1">
      <alignment horizontal="center" vertical="center"/>
    </xf>
    <xf numFmtId="0" fontId="76" fillId="0" borderId="116" xfId="73" applyFont="1" applyBorder="1" applyAlignment="1">
      <alignment horizontal="center" vertical="center" wrapText="1"/>
    </xf>
    <xf numFmtId="43" fontId="79" fillId="0" borderId="0" xfId="28" applyFont="1" applyAlignment="1">
      <alignment wrapText="1"/>
    </xf>
    <xf numFmtId="0" fontId="45" fillId="0" borderId="351" xfId="101" applyFont="1" applyBorder="1"/>
    <xf numFmtId="0" fontId="45" fillId="0" borderId="410" xfId="101" applyFont="1" applyBorder="1"/>
    <xf numFmtId="0" fontId="45" fillId="0" borderId="410" xfId="101" applyFont="1" applyBorder="1" applyAlignment="1">
      <alignment horizontal="center"/>
    </xf>
    <xf numFmtId="0" fontId="45" fillId="0" borderId="373" xfId="101" applyFont="1" applyBorder="1"/>
    <xf numFmtId="165" fontId="101" fillId="0" borderId="410" xfId="28" applyNumberFormat="1" applyFont="1" applyBorder="1"/>
    <xf numFmtId="43" fontId="45" fillId="0" borderId="351" xfId="28" applyFont="1" applyFill="1" applyBorder="1" applyAlignment="1">
      <alignment horizontal="center"/>
    </xf>
    <xf numFmtId="43" fontId="45" fillId="0" borderId="410" xfId="28" applyFont="1" applyFill="1" applyBorder="1"/>
    <xf numFmtId="0" fontId="45" fillId="0" borderId="11" xfId="101" applyFont="1" applyBorder="1"/>
    <xf numFmtId="0" fontId="45" fillId="0" borderId="411" xfId="101" applyFont="1" applyBorder="1"/>
    <xf numFmtId="0" fontId="45" fillId="0" borderId="411" xfId="101" applyFont="1" applyBorder="1" applyAlignment="1">
      <alignment horizontal="center"/>
    </xf>
    <xf numFmtId="43" fontId="45" fillId="0" borderId="411" xfId="28" applyFont="1" applyFill="1" applyBorder="1"/>
    <xf numFmtId="0" fontId="45" fillId="0" borderId="117" xfId="101" applyFont="1" applyBorder="1"/>
    <xf numFmtId="0" fontId="45" fillId="0" borderId="10" xfId="101" applyFont="1" applyBorder="1"/>
    <xf numFmtId="0" fontId="45" fillId="0" borderId="10" xfId="101" applyFont="1" applyBorder="1" applyAlignment="1">
      <alignment horizontal="center"/>
    </xf>
    <xf numFmtId="0" fontId="45" fillId="0" borderId="118" xfId="101" applyFont="1" applyBorder="1"/>
    <xf numFmtId="165" fontId="45" fillId="0" borderId="10" xfId="28" applyNumberFormat="1" applyFont="1" applyFill="1" applyBorder="1"/>
    <xf numFmtId="43" fontId="45" fillId="0" borderId="117" xfId="28" applyFont="1" applyFill="1" applyBorder="1" applyAlignment="1">
      <alignment horizontal="center"/>
    </xf>
    <xf numFmtId="43" fontId="45" fillId="0" borderId="10" xfId="28" applyFont="1" applyFill="1" applyBorder="1"/>
    <xf numFmtId="165" fontId="101" fillId="0" borderId="411" xfId="28" applyNumberFormat="1" applyFont="1" applyFill="1" applyBorder="1"/>
    <xf numFmtId="43" fontId="45" fillId="0" borderId="11" xfId="28" applyFont="1" applyFill="1" applyBorder="1" applyAlignment="1">
      <alignment horizontal="center"/>
    </xf>
    <xf numFmtId="0" fontId="45" fillId="58" borderId="116" xfId="101" applyFont="1" applyFill="1" applyBorder="1"/>
    <xf numFmtId="0" fontId="45" fillId="58" borderId="116" xfId="101" applyFont="1" applyFill="1" applyBorder="1" applyAlignment="1">
      <alignment horizontal="center"/>
    </xf>
    <xf numFmtId="0" fontId="76" fillId="58" borderId="116" xfId="93" applyFont="1" applyFill="1" applyBorder="1"/>
    <xf numFmtId="165" fontId="76" fillId="58" borderId="116" xfId="71" applyNumberFormat="1" applyFont="1" applyFill="1" applyBorder="1"/>
    <xf numFmtId="0" fontId="45" fillId="0" borderId="0" xfId="93" applyFont="1" applyAlignment="1">
      <alignment horizontal="center"/>
    </xf>
    <xf numFmtId="165" fontId="95" fillId="0" borderId="418" xfId="71" applyNumberFormat="1" applyFont="1" applyFill="1" applyBorder="1"/>
    <xf numFmtId="165" fontId="95" fillId="0" borderId="0" xfId="71" applyNumberFormat="1" applyFont="1" applyFill="1" applyBorder="1"/>
    <xf numFmtId="43" fontId="45" fillId="0" borderId="0" xfId="28" applyFont="1" applyBorder="1"/>
    <xf numFmtId="0" fontId="109" fillId="0" borderId="0" xfId="103" applyFont="1" applyAlignment="1">
      <alignment horizontal="center"/>
    </xf>
    <xf numFmtId="0" fontId="100" fillId="0" borderId="0" xfId="102" applyFont="1" applyAlignment="1">
      <alignment horizontal="center"/>
    </xf>
    <xf numFmtId="165" fontId="76" fillId="58" borderId="394" xfId="28" applyNumberFormat="1" applyFont="1" applyFill="1" applyBorder="1"/>
    <xf numFmtId="44" fontId="76" fillId="58" borderId="116" xfId="30" applyFont="1" applyFill="1" applyBorder="1"/>
    <xf numFmtId="0" fontId="76" fillId="57" borderId="320" xfId="94" applyFont="1" applyFill="1" applyBorder="1"/>
    <xf numFmtId="0" fontId="45" fillId="57" borderId="380" xfId="94" applyFont="1" applyFill="1" applyBorder="1"/>
    <xf numFmtId="0" fontId="45" fillId="0" borderId="380" xfId="94" applyFont="1" applyBorder="1"/>
    <xf numFmtId="0" fontId="45" fillId="0" borderId="376" xfId="94" applyFont="1" applyBorder="1"/>
    <xf numFmtId="0" fontId="76" fillId="57" borderId="226" xfId="94" applyFont="1" applyFill="1" applyBorder="1"/>
    <xf numFmtId="0" fontId="45" fillId="0" borderId="377" xfId="94" applyFont="1" applyBorder="1"/>
    <xf numFmtId="0" fontId="45" fillId="0" borderId="226" xfId="94" applyFont="1" applyBorder="1"/>
    <xf numFmtId="0" fontId="109" fillId="0" borderId="377" xfId="103" applyFont="1" applyBorder="1" applyAlignment="1">
      <alignment horizontal="center"/>
    </xf>
    <xf numFmtId="0" fontId="45" fillId="0" borderId="226" xfId="94" applyFont="1" applyBorder="1" applyAlignment="1">
      <alignment wrapText="1"/>
    </xf>
    <xf numFmtId="38" fontId="109" fillId="57" borderId="432" xfId="48" applyNumberFormat="1" applyFont="1" applyFill="1" applyBorder="1" applyAlignment="1">
      <alignment horizontal="center" vertical="center"/>
    </xf>
    <xf numFmtId="0" fontId="99" fillId="0" borderId="226" xfId="103" applyFont="1" applyBorder="1"/>
    <xf numFmtId="165" fontId="101" fillId="57" borderId="0" xfId="28" applyNumberFormat="1" applyFont="1" applyFill="1" applyBorder="1"/>
    <xf numFmtId="165" fontId="101" fillId="0" borderId="0" xfId="28" applyNumberFormat="1" applyFont="1" applyBorder="1"/>
    <xf numFmtId="165" fontId="99" fillId="0" borderId="377" xfId="28" applyNumberFormat="1" applyFont="1" applyBorder="1"/>
    <xf numFmtId="0" fontId="99" fillId="0" borderId="384" xfId="103" applyFont="1" applyBorder="1"/>
    <xf numFmtId="165" fontId="101" fillId="57" borderId="118" xfId="28" applyNumberFormat="1" applyFont="1" applyFill="1" applyBorder="1"/>
    <xf numFmtId="165" fontId="76" fillId="58" borderId="395" xfId="28" applyNumberFormat="1" applyFont="1" applyFill="1" applyBorder="1"/>
    <xf numFmtId="4" fontId="79" fillId="0" borderId="377" xfId="94" applyNumberFormat="1" applyFont="1" applyBorder="1" applyAlignment="1">
      <alignment horizontal="right"/>
    </xf>
    <xf numFmtId="4" fontId="79" fillId="0" borderId="241" xfId="94" applyNumberFormat="1" applyFont="1" applyBorder="1" applyAlignment="1">
      <alignment horizontal="right"/>
    </xf>
    <xf numFmtId="4" fontId="79" fillId="0" borderId="374" xfId="94" applyNumberFormat="1" applyFont="1" applyBorder="1" applyAlignment="1">
      <alignment horizontal="right"/>
    </xf>
    <xf numFmtId="0" fontId="109" fillId="0" borderId="226" xfId="105" applyFont="1" applyBorder="1"/>
    <xf numFmtId="0" fontId="99" fillId="0" borderId="384" xfId="105" applyFont="1" applyBorder="1"/>
    <xf numFmtId="165" fontId="101" fillId="0" borderId="118" xfId="28" applyNumberFormat="1" applyFont="1" applyBorder="1"/>
    <xf numFmtId="165" fontId="99" fillId="0" borderId="385" xfId="28" applyNumberFormat="1" applyFont="1" applyBorder="1"/>
    <xf numFmtId="0" fontId="45" fillId="0" borderId="226" xfId="94" applyFont="1" applyBorder="1" applyAlignment="1">
      <alignment horizontal="right"/>
    </xf>
    <xf numFmtId="165" fontId="95" fillId="0" borderId="237" xfId="94" applyNumberFormat="1" applyFont="1" applyBorder="1"/>
    <xf numFmtId="0" fontId="45" fillId="0" borderId="241" xfId="94" applyFont="1" applyBorder="1"/>
    <xf numFmtId="0" fontId="45" fillId="0" borderId="374" xfId="94" applyFont="1" applyBorder="1"/>
    <xf numFmtId="0" fontId="45" fillId="0" borderId="320" xfId="94" applyFont="1" applyBorder="1"/>
    <xf numFmtId="0" fontId="45" fillId="0" borderId="376" xfId="94" applyFont="1" applyBorder="1" applyAlignment="1">
      <alignment wrapText="1"/>
    </xf>
    <xf numFmtId="0" fontId="45" fillId="0" borderId="0" xfId="94" applyFont="1" applyAlignment="1">
      <alignment wrapText="1"/>
    </xf>
    <xf numFmtId="165" fontId="45" fillId="0" borderId="0" xfId="94" applyNumberFormat="1" applyFont="1"/>
    <xf numFmtId="0" fontId="76" fillId="0" borderId="377" xfId="94" applyFont="1" applyBorder="1"/>
    <xf numFmtId="0" fontId="45" fillId="0" borderId="375" xfId="94" applyFont="1" applyBorder="1"/>
    <xf numFmtId="165" fontId="45" fillId="0" borderId="374" xfId="94" applyNumberFormat="1" applyFont="1" applyBorder="1"/>
    <xf numFmtId="0" fontId="45" fillId="0" borderId="0" xfId="106" applyFont="1"/>
    <xf numFmtId="0" fontId="93" fillId="0" borderId="440" xfId="106" applyFont="1" applyBorder="1" applyAlignment="1">
      <alignment horizontal="center" vertical="center" wrapText="1"/>
    </xf>
    <xf numFmtId="0" fontId="93" fillId="0" borderId="417" xfId="0" applyFont="1" applyBorder="1" applyAlignment="1">
      <alignment horizontal="left" vertical="center" wrapText="1"/>
    </xf>
    <xf numFmtId="0" fontId="93" fillId="0" borderId="417" xfId="0" applyFont="1" applyBorder="1" applyAlignment="1">
      <alignment wrapText="1"/>
    </xf>
    <xf numFmtId="0" fontId="93" fillId="0" borderId="417" xfId="0" applyFont="1" applyBorder="1" applyAlignment="1">
      <alignment horizontal="center" wrapText="1"/>
    </xf>
    <xf numFmtId="0" fontId="93" fillId="0" borderId="414" xfId="0" applyFont="1" applyBorder="1" applyAlignment="1">
      <alignment horizontal="left" vertical="center" wrapText="1"/>
    </xf>
    <xf numFmtId="0" fontId="93" fillId="0" borderId="414" xfId="0" applyFont="1" applyBorder="1" applyAlignment="1">
      <alignment horizontal="center" vertical="top" wrapText="1"/>
    </xf>
    <xf numFmtId="0" fontId="91" fillId="0" borderId="414" xfId="0" applyFont="1" applyBorder="1" applyAlignment="1">
      <alignment horizontal="center" wrapText="1"/>
    </xf>
    <xf numFmtId="0" fontId="93" fillId="0" borderId="413" xfId="0" applyFont="1" applyBorder="1" applyAlignment="1">
      <alignment wrapText="1"/>
    </xf>
    <xf numFmtId="0" fontId="93" fillId="0" borderId="413" xfId="0" applyFont="1" applyBorder="1" applyAlignment="1">
      <alignment horizontal="center" vertical="top" wrapText="1"/>
    </xf>
    <xf numFmtId="191" fontId="93" fillId="0" borderId="413" xfId="0" applyNumberFormat="1" applyFont="1" applyBorder="1" applyAlignment="1">
      <alignment horizontal="center" wrapText="1"/>
    </xf>
    <xf numFmtId="0" fontId="94" fillId="0" borderId="413" xfId="0" applyFont="1" applyBorder="1" applyAlignment="1">
      <alignment horizontal="center" wrapText="1"/>
    </xf>
    <xf numFmtId="0" fontId="93" fillId="69" borderId="415" xfId="0" applyFont="1" applyFill="1" applyBorder="1" applyAlignment="1">
      <alignment horizontal="center" wrapText="1"/>
    </xf>
    <xf numFmtId="0" fontId="93" fillId="69" borderId="416" xfId="0" applyFont="1" applyFill="1" applyBorder="1" applyAlignment="1">
      <alignment horizontal="center" wrapText="1"/>
    </xf>
    <xf numFmtId="0" fontId="93" fillId="0" borderId="413" xfId="0" applyFont="1" applyBorder="1" applyAlignment="1">
      <alignment horizontal="center" wrapText="1"/>
    </xf>
    <xf numFmtId="192" fontId="93" fillId="0" borderId="413" xfId="0" applyNumberFormat="1" applyFont="1" applyBorder="1" applyAlignment="1">
      <alignment wrapText="1"/>
    </xf>
    <xf numFmtId="0" fontId="93" fillId="70" borderId="413" xfId="0" applyFont="1" applyFill="1" applyBorder="1" applyAlignment="1">
      <alignment wrapText="1"/>
    </xf>
    <xf numFmtId="192" fontId="93" fillId="70" borderId="413" xfId="0" applyNumberFormat="1" applyFont="1" applyFill="1" applyBorder="1" applyAlignment="1">
      <alignment wrapText="1"/>
    </xf>
    <xf numFmtId="0" fontId="94" fillId="0" borderId="413" xfId="0" applyFont="1" applyBorder="1" applyAlignment="1">
      <alignment wrapText="1"/>
    </xf>
    <xf numFmtId="193" fontId="93" fillId="0" borderId="413" xfId="0" applyNumberFormat="1" applyFont="1" applyBorder="1" applyAlignment="1">
      <alignment wrapText="1"/>
    </xf>
    <xf numFmtId="0" fontId="93" fillId="57" borderId="413" xfId="0" applyFont="1" applyFill="1" applyBorder="1" applyAlignment="1">
      <alignment wrapText="1"/>
    </xf>
    <xf numFmtId="0" fontId="93" fillId="57" borderId="413" xfId="0" applyFont="1" applyFill="1" applyBorder="1" applyAlignment="1">
      <alignment horizontal="center" wrapText="1"/>
    </xf>
    <xf numFmtId="193" fontId="93" fillId="57" borderId="413" xfId="0" applyNumberFormat="1" applyFont="1" applyFill="1" applyBorder="1" applyAlignment="1">
      <alignment wrapText="1"/>
    </xf>
    <xf numFmtId="192" fontId="93" fillId="57" borderId="413" xfId="0" applyNumberFormat="1" applyFont="1" applyFill="1" applyBorder="1" applyAlignment="1">
      <alignment wrapText="1"/>
    </xf>
    <xf numFmtId="191" fontId="93" fillId="57" borderId="413" xfId="0" applyNumberFormat="1" applyFont="1" applyFill="1" applyBorder="1" applyAlignment="1">
      <alignment horizontal="center" wrapText="1"/>
    </xf>
    <xf numFmtId="0" fontId="93" fillId="0" borderId="442" xfId="0" applyFont="1" applyBorder="1" applyAlignment="1">
      <alignment horizontal="center" wrapText="1"/>
    </xf>
    <xf numFmtId="0" fontId="93" fillId="0" borderId="442" xfId="0" applyFont="1" applyBorder="1" applyAlignment="1">
      <alignment horizontal="left" wrapText="1"/>
    </xf>
    <xf numFmtId="0" fontId="93" fillId="0" borderId="442" xfId="0" applyFont="1" applyBorder="1" applyAlignment="1">
      <alignment wrapText="1"/>
    </xf>
    <xf numFmtId="0" fontId="93" fillId="0" borderId="443" xfId="0" applyFont="1" applyBorder="1" applyAlignment="1">
      <alignment wrapText="1"/>
    </xf>
    <xf numFmtId="0" fontId="94" fillId="71" borderId="441" xfId="0" applyFont="1" applyFill="1" applyBorder="1" applyAlignment="1">
      <alignment horizontal="center" wrapText="1"/>
    </xf>
    <xf numFmtId="0" fontId="94" fillId="71" borderId="416" xfId="0" applyFont="1" applyFill="1" applyBorder="1" applyAlignment="1">
      <alignment horizontal="center" wrapText="1"/>
    </xf>
    <xf numFmtId="0" fontId="93" fillId="69" borderId="413" xfId="0" applyFont="1" applyFill="1" applyBorder="1" applyAlignment="1">
      <alignment horizontal="center" wrapText="1"/>
    </xf>
    <xf numFmtId="0" fontId="93" fillId="0" borderId="421" xfId="0" applyFont="1" applyBorder="1" applyAlignment="1">
      <alignment wrapText="1"/>
    </xf>
    <xf numFmtId="0" fontId="93" fillId="0" borderId="421" xfId="0" applyFont="1" applyBorder="1" applyAlignment="1">
      <alignment horizontal="center" vertical="top" wrapText="1"/>
    </xf>
    <xf numFmtId="0" fontId="91" fillId="0" borderId="421" xfId="0" applyFont="1" applyBorder="1" applyAlignment="1">
      <alignment horizontal="center" vertical="top" wrapText="1"/>
    </xf>
    <xf numFmtId="0" fontId="93" fillId="0" borderId="414" xfId="0" applyFont="1" applyBorder="1" applyAlignment="1">
      <alignment wrapText="1"/>
    </xf>
    <xf numFmtId="193" fontId="93" fillId="0" borderId="415" xfId="0" applyNumberFormat="1" applyFont="1" applyBorder="1" applyAlignment="1">
      <alignment wrapText="1"/>
    </xf>
    <xf numFmtId="192" fontId="93" fillId="0" borderId="416" xfId="0" applyNumberFormat="1" applyFont="1" applyBorder="1" applyAlignment="1">
      <alignment wrapText="1"/>
    </xf>
    <xf numFmtId="193" fontId="93" fillId="70" borderId="413" xfId="0" applyNumberFormat="1" applyFont="1" applyFill="1" applyBorder="1" applyAlignment="1">
      <alignment wrapText="1"/>
    </xf>
    <xf numFmtId="0" fontId="93" fillId="69" borderId="415" xfId="0" applyFont="1" applyFill="1" applyBorder="1" applyAlignment="1">
      <alignment wrapText="1"/>
    </xf>
    <xf numFmtId="0" fontId="93" fillId="0" borderId="413" xfId="0" applyFont="1" applyBorder="1" applyAlignment="1">
      <alignment horizontal="right" wrapText="1"/>
    </xf>
    <xf numFmtId="193" fontId="93" fillId="57" borderId="415" xfId="0" applyNumberFormat="1" applyFont="1" applyFill="1" applyBorder="1" applyAlignment="1">
      <alignment wrapText="1"/>
    </xf>
    <xf numFmtId="192" fontId="93" fillId="57" borderId="416" xfId="0" applyNumberFormat="1" applyFont="1" applyFill="1" applyBorder="1" applyAlignment="1">
      <alignment wrapText="1"/>
    </xf>
    <xf numFmtId="0" fontId="93" fillId="0" borderId="442" xfId="106" applyFont="1" applyBorder="1" applyAlignment="1">
      <alignment horizontal="center" wrapText="1"/>
    </xf>
    <xf numFmtId="0" fontId="93" fillId="0" borderId="442" xfId="106" applyFont="1" applyBorder="1" applyAlignment="1">
      <alignment horizontal="left" wrapText="1"/>
    </xf>
    <xf numFmtId="0" fontId="93" fillId="0" borderId="442" xfId="106" applyFont="1" applyBorder="1" applyAlignment="1">
      <alignment wrapText="1"/>
    </xf>
    <xf numFmtId="0" fontId="93" fillId="0" borderId="442" xfId="106" applyFont="1" applyBorder="1" applyAlignment="1">
      <alignment horizontal="right" wrapText="1"/>
    </xf>
    <xf numFmtId="0" fontId="93" fillId="0" borderId="0" xfId="106" applyFont="1" applyAlignment="1">
      <alignment wrapText="1"/>
    </xf>
    <xf numFmtId="0" fontId="93" fillId="0" borderId="440" xfId="106" applyFont="1" applyBorder="1" applyAlignment="1">
      <alignment horizontal="center" wrapText="1"/>
    </xf>
    <xf numFmtId="0" fontId="93" fillId="0" borderId="440" xfId="106" applyFont="1" applyBorder="1" applyAlignment="1">
      <alignment wrapText="1"/>
    </xf>
    <xf numFmtId="0" fontId="93" fillId="71" borderId="413" xfId="0" applyFont="1" applyFill="1" applyBorder="1" applyAlignment="1">
      <alignment horizontal="center" wrapText="1"/>
    </xf>
    <xf numFmtId="0" fontId="91" fillId="0" borderId="413" xfId="0" applyFont="1" applyBorder="1" applyAlignment="1">
      <alignment horizontal="center" vertical="center" wrapText="1"/>
    </xf>
    <xf numFmtId="0" fontId="91" fillId="71" borderId="413" xfId="0" applyFont="1" applyFill="1" applyBorder="1" applyAlignment="1">
      <alignment horizontal="center" vertical="center" wrapText="1"/>
    </xf>
    <xf numFmtId="0" fontId="93" fillId="0" borderId="414" xfId="0" applyFont="1" applyBorder="1" applyAlignment="1">
      <alignment horizontal="center" wrapText="1"/>
    </xf>
    <xf numFmtId="191" fontId="93" fillId="0" borderId="413" xfId="0" applyNumberFormat="1" applyFont="1" applyBorder="1" applyAlignment="1">
      <alignment horizontal="right" wrapText="1"/>
    </xf>
    <xf numFmtId="0" fontId="93" fillId="0" borderId="413" xfId="0" applyFont="1" applyBorder="1" applyAlignment="1">
      <alignment horizontal="left" wrapText="1"/>
    </xf>
    <xf numFmtId="0" fontId="93" fillId="72" borderId="415" xfId="0" applyFont="1" applyFill="1" applyBorder="1" applyAlignment="1">
      <alignment wrapText="1"/>
    </xf>
    <xf numFmtId="0" fontId="93" fillId="72" borderId="441" xfId="0" applyFont="1" applyFill="1" applyBorder="1" applyAlignment="1">
      <alignment wrapText="1"/>
    </xf>
    <xf numFmtId="0" fontId="93" fillId="72" borderId="416" xfId="0" applyFont="1" applyFill="1" applyBorder="1" applyAlignment="1">
      <alignment wrapText="1"/>
    </xf>
    <xf numFmtId="0" fontId="93" fillId="73" borderId="413" xfId="0" applyFont="1" applyFill="1" applyBorder="1" applyAlignment="1">
      <alignment wrapText="1"/>
    </xf>
    <xf numFmtId="0" fontId="93" fillId="72" borderId="413" xfId="0" applyFont="1" applyFill="1" applyBorder="1" applyAlignment="1">
      <alignment wrapText="1"/>
    </xf>
    <xf numFmtId="0" fontId="93" fillId="73" borderId="413" xfId="0" applyFont="1" applyFill="1" applyBorder="1" applyAlignment="1">
      <alignment horizontal="right" wrapText="1"/>
    </xf>
    <xf numFmtId="194" fontId="93" fillId="0" borderId="413" xfId="0" applyNumberFormat="1" applyFont="1" applyBorder="1" applyAlignment="1">
      <alignment horizontal="right" wrapText="1"/>
    </xf>
    <xf numFmtId="0" fontId="93" fillId="0" borderId="441" xfId="0" applyFont="1" applyBorder="1" applyAlignment="1">
      <alignment horizontal="right" wrapText="1"/>
    </xf>
    <xf numFmtId="0" fontId="93" fillId="0" borderId="441" xfId="0" applyFont="1" applyBorder="1" applyAlignment="1">
      <alignment horizontal="left" wrapText="1"/>
    </xf>
    <xf numFmtId="0" fontId="93" fillId="0" borderId="441" xfId="0" applyFont="1" applyBorder="1" applyAlignment="1">
      <alignment wrapText="1"/>
    </xf>
    <xf numFmtId="193" fontId="93" fillId="0" borderId="417" xfId="0" applyNumberFormat="1" applyFont="1" applyBorder="1" applyAlignment="1">
      <alignment wrapText="1"/>
    </xf>
    <xf numFmtId="193" fontId="93" fillId="70" borderId="414" xfId="0" applyNumberFormat="1" applyFont="1" applyFill="1" applyBorder="1" applyAlignment="1">
      <alignment wrapText="1"/>
    </xf>
    <xf numFmtId="0" fontId="93" fillId="70" borderId="413" xfId="0" applyFont="1" applyFill="1" applyBorder="1" applyAlignment="1">
      <alignment horizontal="right" wrapText="1"/>
    </xf>
    <xf numFmtId="165" fontId="93" fillId="0" borderId="442" xfId="28" applyNumberFormat="1" applyFont="1" applyBorder="1" applyAlignment="1">
      <alignment wrapText="1"/>
    </xf>
    <xf numFmtId="0" fontId="45" fillId="0" borderId="376" xfId="0" applyFont="1" applyBorder="1"/>
    <xf numFmtId="0" fontId="93" fillId="0" borderId="0" xfId="107" applyFont="1">
      <alignment wrapText="1"/>
    </xf>
    <xf numFmtId="0" fontId="45" fillId="0" borderId="444" xfId="0" applyFont="1" applyBorder="1"/>
    <xf numFmtId="0" fontId="45" fillId="0" borderId="237" xfId="0" applyFont="1" applyBorder="1"/>
    <xf numFmtId="3" fontId="114" fillId="57" borderId="387" xfId="0" applyNumberFormat="1" applyFont="1" applyFill="1" applyBorder="1"/>
    <xf numFmtId="44" fontId="80" fillId="57" borderId="377" xfId="30" applyFont="1" applyFill="1" applyBorder="1"/>
    <xf numFmtId="0" fontId="45" fillId="0" borderId="375" xfId="0" applyFont="1" applyBorder="1"/>
    <xf numFmtId="0" fontId="93" fillId="0" borderId="417" xfId="0" applyFont="1" applyBorder="1" applyAlignment="1">
      <alignment horizontal="center" vertical="center" wrapText="1"/>
    </xf>
    <xf numFmtId="0" fontId="93" fillId="71" borderId="417" xfId="0" applyFont="1" applyFill="1" applyBorder="1" applyAlignment="1">
      <alignment horizontal="center" wrapText="1"/>
    </xf>
    <xf numFmtId="0" fontId="45" fillId="0" borderId="445" xfId="0" applyFont="1" applyBorder="1"/>
    <xf numFmtId="0" fontId="45" fillId="0" borderId="446" xfId="0" applyFont="1" applyBorder="1"/>
    <xf numFmtId="0" fontId="45" fillId="0" borderId="447" xfId="0" applyFont="1" applyBorder="1"/>
    <xf numFmtId="0" fontId="93" fillId="71" borderId="414" xfId="0" applyFont="1" applyFill="1" applyBorder="1" applyAlignment="1">
      <alignment horizontal="center" wrapText="1"/>
    </xf>
    <xf numFmtId="0" fontId="93" fillId="71" borderId="414" xfId="0" applyFont="1" applyFill="1" applyBorder="1" applyAlignment="1">
      <alignment horizontal="right" wrapText="1"/>
    </xf>
    <xf numFmtId="0" fontId="45" fillId="0" borderId="448" xfId="0" applyFont="1" applyBorder="1"/>
    <xf numFmtId="0" fontId="45" fillId="0" borderId="353" xfId="0" applyFont="1" applyBorder="1"/>
    <xf numFmtId="0" fontId="45" fillId="0" borderId="405" xfId="0" applyFont="1" applyBorder="1"/>
    <xf numFmtId="194" fontId="93" fillId="0" borderId="413" xfId="0" applyNumberFormat="1" applyFont="1" applyBorder="1" applyAlignment="1">
      <alignment horizontal="center" wrapText="1"/>
    </xf>
    <xf numFmtId="0" fontId="45" fillId="0" borderId="449" xfId="0" applyFont="1" applyBorder="1" applyAlignment="1">
      <alignment horizontal="right"/>
    </xf>
    <xf numFmtId="0" fontId="45" fillId="0" borderId="450" xfId="0" applyFont="1" applyBorder="1"/>
    <xf numFmtId="3" fontId="45" fillId="57" borderId="408" xfId="0" applyNumberFormat="1" applyFont="1" applyFill="1" applyBorder="1"/>
    <xf numFmtId="0" fontId="45" fillId="0" borderId="391" xfId="0" applyFont="1" applyBorder="1"/>
    <xf numFmtId="0" fontId="45" fillId="0" borderId="451" xfId="0" applyFont="1" applyBorder="1"/>
    <xf numFmtId="0" fontId="45" fillId="0" borderId="213" xfId="0" applyFont="1" applyBorder="1"/>
    <xf numFmtId="0" fontId="45" fillId="0" borderId="435" xfId="0" applyFont="1" applyBorder="1"/>
    <xf numFmtId="0" fontId="45" fillId="0" borderId="385" xfId="0" applyFont="1" applyBorder="1"/>
    <xf numFmtId="0" fontId="94" fillId="0" borderId="440" xfId="106" applyFont="1" applyBorder="1" applyAlignment="1">
      <alignment horizontal="center" wrapText="1"/>
    </xf>
    <xf numFmtId="0" fontId="45" fillId="0" borderId="341" xfId="0" applyFont="1" applyBorder="1"/>
    <xf numFmtId="0" fontId="45" fillId="0" borderId="412" xfId="0" applyFont="1" applyBorder="1"/>
    <xf numFmtId="0" fontId="45" fillId="0" borderId="396" xfId="0" applyFont="1" applyBorder="1"/>
    <xf numFmtId="0" fontId="45" fillId="0" borderId="452" xfId="0" applyFont="1" applyBorder="1"/>
    <xf numFmtId="3" fontId="45" fillId="57" borderId="218" xfId="0" applyNumberFormat="1" applyFont="1" applyFill="1" applyBorder="1"/>
    <xf numFmtId="0" fontId="93" fillId="70" borderId="413" xfId="0" applyFont="1" applyFill="1" applyBorder="1" applyAlignment="1">
      <alignment horizontal="left" wrapText="1"/>
    </xf>
    <xf numFmtId="0" fontId="45" fillId="0" borderId="342" xfId="0" applyFont="1" applyBorder="1" applyAlignment="1">
      <alignment horizontal="right"/>
    </xf>
    <xf numFmtId="0" fontId="45" fillId="0" borderId="453" xfId="0" applyFont="1" applyBorder="1"/>
    <xf numFmtId="0" fontId="93" fillId="69" borderId="413" xfId="0" applyFont="1" applyFill="1" applyBorder="1" applyAlignment="1">
      <alignment horizontal="right" wrapText="1"/>
    </xf>
    <xf numFmtId="165" fontId="80" fillId="57" borderId="385" xfId="28" applyNumberFormat="1" applyFont="1" applyFill="1" applyBorder="1"/>
    <xf numFmtId="3" fontId="45" fillId="60" borderId="374" xfId="0" applyNumberFormat="1" applyFont="1" applyFill="1" applyBorder="1"/>
    <xf numFmtId="0" fontId="93" fillId="57" borderId="413" xfId="0" applyFont="1" applyFill="1" applyBorder="1" applyAlignment="1">
      <alignment horizontal="left" wrapText="1"/>
    </xf>
    <xf numFmtId="0" fontId="93" fillId="57" borderId="413" xfId="0" applyFont="1" applyFill="1" applyBorder="1" applyAlignment="1">
      <alignment horizontal="right" wrapText="1"/>
    </xf>
    <xf numFmtId="3" fontId="80" fillId="57" borderId="385" xfId="0" applyNumberFormat="1" applyFont="1" applyFill="1" applyBorder="1"/>
    <xf numFmtId="0" fontId="45" fillId="0" borderId="396" xfId="0" applyFont="1" applyBorder="1" applyAlignment="1">
      <alignment horizontal="right"/>
    </xf>
    <xf numFmtId="4" fontId="80" fillId="57" borderId="385" xfId="0" applyNumberFormat="1" applyFont="1" applyFill="1" applyBorder="1"/>
    <xf numFmtId="194" fontId="93" fillId="0" borderId="413" xfId="0" applyNumberFormat="1" applyFont="1" applyBorder="1" applyAlignment="1">
      <alignment horizontal="right" vertical="top" wrapText="1"/>
    </xf>
    <xf numFmtId="192" fontId="93" fillId="0" borderId="442" xfId="106" applyNumberFormat="1" applyFont="1" applyBorder="1" applyAlignment="1">
      <alignment horizontal="center" wrapText="1"/>
    </xf>
    <xf numFmtId="193" fontId="93" fillId="0" borderId="0" xfId="84" applyNumberFormat="1" applyFont="1" applyAlignment="1">
      <alignment wrapText="1"/>
    </xf>
    <xf numFmtId="192" fontId="45" fillId="0" borderId="0" xfId="106" applyNumberFormat="1" applyFont="1"/>
    <xf numFmtId="0" fontId="93" fillId="0" borderId="417" xfId="106" applyFont="1" applyBorder="1" applyAlignment="1">
      <alignment horizontal="left" vertical="top" wrapText="1"/>
    </xf>
    <xf numFmtId="0" fontId="93" fillId="0" borderId="417" xfId="106" applyFont="1" applyBorder="1" applyAlignment="1">
      <alignment horizontal="center" vertical="top" wrapText="1"/>
    </xf>
    <xf numFmtId="0" fontId="93" fillId="71" borderId="417" xfId="106" applyFont="1" applyFill="1" applyBorder="1" applyAlignment="1">
      <alignment horizontal="center" vertical="top" wrapText="1"/>
    </xf>
    <xf numFmtId="0" fontId="93" fillId="0" borderId="421" xfId="106" applyFont="1" applyBorder="1" applyAlignment="1">
      <alignment wrapText="1"/>
    </xf>
    <xf numFmtId="0" fontId="93" fillId="0" borderId="421" xfId="106" applyFont="1" applyBorder="1" applyAlignment="1">
      <alignment horizontal="center" wrapText="1"/>
    </xf>
    <xf numFmtId="0" fontId="93" fillId="71" borderId="421" xfId="106" applyFont="1" applyFill="1" applyBorder="1" applyAlignment="1">
      <alignment horizontal="center" wrapText="1"/>
    </xf>
    <xf numFmtId="0" fontId="93" fillId="0" borderId="414" xfId="106" applyFont="1" applyBorder="1" applyAlignment="1">
      <alignment wrapText="1"/>
    </xf>
    <xf numFmtId="0" fontId="93" fillId="0" borderId="414" xfId="106" applyFont="1" applyBorder="1" applyAlignment="1">
      <alignment horizontal="center" wrapText="1"/>
    </xf>
    <xf numFmtId="195" fontId="91" fillId="0" borderId="414" xfId="106" applyNumberFormat="1" applyFont="1" applyBorder="1" applyAlignment="1">
      <alignment horizontal="center" wrapText="1"/>
    </xf>
    <xf numFmtId="0" fontId="91" fillId="0" borderId="414" xfId="106" applyFont="1" applyBorder="1" applyAlignment="1">
      <alignment horizontal="center" wrapText="1"/>
    </xf>
    <xf numFmtId="0" fontId="91" fillId="71" borderId="414" xfId="106" applyFont="1" applyFill="1" applyBorder="1" applyAlignment="1">
      <alignment horizontal="center" wrapText="1"/>
    </xf>
    <xf numFmtId="195" fontId="91" fillId="74" borderId="414" xfId="106" applyNumberFormat="1" applyFont="1" applyFill="1" applyBorder="1" applyAlignment="1">
      <alignment horizontal="center" wrapText="1"/>
    </xf>
    <xf numFmtId="0" fontId="93" fillId="71" borderId="414" xfId="106" applyFont="1" applyFill="1" applyBorder="1" applyAlignment="1">
      <alignment horizontal="left" vertical="center" wrapText="1"/>
    </xf>
    <xf numFmtId="196" fontId="93" fillId="0" borderId="413" xfId="0" applyNumberFormat="1" applyFont="1" applyBorder="1" applyAlignment="1">
      <alignment horizontal="right" vertical="center" wrapText="1"/>
    </xf>
    <xf numFmtId="0" fontId="93" fillId="76" borderId="413" xfId="0" applyFont="1" applyFill="1" applyBorder="1" applyAlignment="1">
      <alignment horizontal="left" wrapText="1"/>
    </xf>
    <xf numFmtId="0" fontId="93" fillId="0" borderId="413" xfId="0" applyFont="1" applyBorder="1" applyAlignment="1">
      <alignment horizontal="right" vertical="top" wrapText="1"/>
    </xf>
    <xf numFmtId="0" fontId="93" fillId="0" borderId="413" xfId="106" applyFont="1" applyBorder="1" applyAlignment="1">
      <alignment horizontal="right" vertical="top" wrapText="1"/>
    </xf>
    <xf numFmtId="194" fontId="93" fillId="0" borderId="413" xfId="106" applyNumberFormat="1" applyFont="1" applyBorder="1" applyAlignment="1">
      <alignment horizontal="right" vertical="top" wrapText="1"/>
    </xf>
    <xf numFmtId="197" fontId="93" fillId="0" borderId="413" xfId="0" applyNumberFormat="1" applyFont="1" applyBorder="1" applyAlignment="1">
      <alignment horizontal="right" vertical="center" wrapText="1"/>
    </xf>
    <xf numFmtId="198" fontId="93" fillId="0" borderId="413" xfId="106" applyNumberFormat="1" applyFont="1" applyBorder="1" applyAlignment="1">
      <alignment horizontal="right" vertical="center" wrapText="1"/>
    </xf>
    <xf numFmtId="194" fontId="93" fillId="0" borderId="413" xfId="106" applyNumberFormat="1" applyFont="1" applyBorder="1" applyAlignment="1">
      <alignment horizontal="right" vertical="center" wrapText="1"/>
    </xf>
    <xf numFmtId="192" fontId="79" fillId="0" borderId="441" xfId="106" applyNumberFormat="1" applyFont="1" applyBorder="1" applyAlignment="1">
      <alignment wrapText="1"/>
    </xf>
    <xf numFmtId="0" fontId="93" fillId="0" borderId="441" xfId="106" applyFont="1" applyBorder="1" applyAlignment="1">
      <alignment wrapText="1"/>
    </xf>
    <xf numFmtId="0" fontId="93" fillId="0" borderId="413" xfId="106" applyFont="1" applyBorder="1" applyAlignment="1">
      <alignment horizontal="left" vertical="top" wrapText="1"/>
    </xf>
    <xf numFmtId="0" fontId="93" fillId="0" borderId="413" xfId="106" applyFont="1" applyBorder="1" applyAlignment="1">
      <alignment horizontal="center" vertical="top" wrapText="1"/>
    </xf>
    <xf numFmtId="0" fontId="93" fillId="71" borderId="413" xfId="106" applyFont="1" applyFill="1" applyBorder="1" applyAlignment="1">
      <alignment horizontal="center" vertical="top" wrapText="1"/>
    </xf>
    <xf numFmtId="0" fontId="93" fillId="0" borderId="413" xfId="106" applyFont="1" applyBorder="1" applyAlignment="1">
      <alignment wrapText="1"/>
    </xf>
    <xf numFmtId="0" fontId="93" fillId="0" borderId="413" xfId="106" applyFont="1" applyBorder="1" applyAlignment="1">
      <alignment horizontal="center" wrapText="1"/>
    </xf>
    <xf numFmtId="0" fontId="93" fillId="71" borderId="413" xfId="106" applyFont="1" applyFill="1" applyBorder="1" applyAlignment="1">
      <alignment horizontal="center" wrapText="1"/>
    </xf>
    <xf numFmtId="0" fontId="93" fillId="75" borderId="413" xfId="0" applyFont="1" applyFill="1" applyBorder="1" applyAlignment="1">
      <alignment horizontal="left" wrapText="1"/>
    </xf>
    <xf numFmtId="194" fontId="93" fillId="0" borderId="413" xfId="0" applyNumberFormat="1" applyFont="1" applyBorder="1" applyAlignment="1">
      <alignment horizontal="right" vertical="center" wrapText="1"/>
    </xf>
    <xf numFmtId="198" fontId="93" fillId="0" borderId="413" xfId="0" applyNumberFormat="1" applyFont="1" applyBorder="1" applyAlignment="1">
      <alignment horizontal="right" vertical="center" wrapText="1"/>
    </xf>
    <xf numFmtId="193" fontId="93" fillId="70" borderId="413" xfId="0" applyNumberFormat="1" applyFont="1" applyFill="1" applyBorder="1" applyAlignment="1">
      <alignment vertical="top" wrapText="1"/>
    </xf>
    <xf numFmtId="192" fontId="79" fillId="0" borderId="442" xfId="106" applyNumberFormat="1" applyFont="1" applyBorder="1" applyAlignment="1">
      <alignment wrapText="1"/>
    </xf>
    <xf numFmtId="0" fontId="93" fillId="70" borderId="417" xfId="106" applyFont="1" applyFill="1" applyBorder="1" applyAlignment="1">
      <alignment horizontal="center" vertical="top" wrapText="1"/>
    </xf>
    <xf numFmtId="0" fontId="93" fillId="0" borderId="454" xfId="106" applyFont="1" applyBorder="1" applyAlignment="1">
      <alignment horizontal="right" wrapText="1"/>
    </xf>
    <xf numFmtId="0" fontId="93" fillId="70" borderId="413" xfId="106" applyFont="1" applyFill="1" applyBorder="1" applyAlignment="1">
      <alignment horizontal="center" wrapText="1"/>
    </xf>
    <xf numFmtId="0" fontId="93" fillId="75" borderId="415" xfId="0" applyFont="1" applyFill="1" applyBorder="1" applyAlignment="1">
      <alignment wrapText="1"/>
    </xf>
    <xf numFmtId="0" fontId="93" fillId="75" borderId="441" xfId="0" applyFont="1" applyFill="1" applyBorder="1" applyAlignment="1">
      <alignment wrapText="1"/>
    </xf>
    <xf numFmtId="0" fontId="93" fillId="75" borderId="416" xfId="0" applyFont="1" applyFill="1" applyBorder="1" applyAlignment="1">
      <alignment wrapText="1"/>
    </xf>
    <xf numFmtId="192" fontId="79" fillId="0" borderId="0" xfId="106" applyNumberFormat="1" applyFont="1" applyAlignment="1">
      <alignment wrapText="1"/>
    </xf>
    <xf numFmtId="0" fontId="93" fillId="0" borderId="417" xfId="0" applyFont="1" applyBorder="1" applyAlignment="1">
      <alignment horizontal="center" vertical="top" wrapText="1"/>
    </xf>
    <xf numFmtId="0" fontId="91" fillId="0" borderId="414" xfId="0" applyFont="1" applyBorder="1" applyAlignment="1">
      <alignment horizontal="center" vertical="top" wrapText="1"/>
    </xf>
    <xf numFmtId="193" fontId="93" fillId="77" borderId="413" xfId="0" applyNumberFormat="1" applyFont="1" applyFill="1" applyBorder="1" applyAlignment="1">
      <alignment wrapText="1"/>
    </xf>
    <xf numFmtId="196" fontId="93" fillId="0" borderId="413" xfId="0" applyNumberFormat="1" applyFont="1" applyBorder="1" applyAlignment="1">
      <alignment horizontal="center" wrapText="1"/>
    </xf>
    <xf numFmtId="0" fontId="79" fillId="0" borderId="0" xfId="106" applyFont="1"/>
    <xf numFmtId="193" fontId="93" fillId="70" borderId="417" xfId="0" applyNumberFormat="1" applyFont="1" applyFill="1" applyBorder="1" applyAlignment="1">
      <alignment wrapText="1"/>
    </xf>
    <xf numFmtId="0" fontId="93" fillId="70" borderId="414" xfId="0" applyFont="1" applyFill="1" applyBorder="1" applyAlignment="1">
      <alignment wrapText="1"/>
    </xf>
    <xf numFmtId="0" fontId="93" fillId="69" borderId="413" xfId="0" applyFont="1" applyFill="1" applyBorder="1" applyAlignment="1">
      <alignment horizontal="left" wrapText="1"/>
    </xf>
    <xf numFmtId="0" fontId="93" fillId="78" borderId="417" xfId="0" applyFont="1" applyFill="1" applyBorder="1" applyAlignment="1">
      <alignment horizontal="center" wrapText="1"/>
    </xf>
    <xf numFmtId="0" fontId="93" fillId="78" borderId="414" xfId="0" applyFont="1" applyFill="1" applyBorder="1" applyAlignment="1">
      <alignment horizontal="center" wrapText="1"/>
    </xf>
    <xf numFmtId="196" fontId="93" fillId="0" borderId="413" xfId="0" applyNumberFormat="1" applyFont="1" applyBorder="1" applyAlignment="1">
      <alignment wrapText="1"/>
    </xf>
    <xf numFmtId="0" fontId="93" fillId="79" borderId="413" xfId="0" applyFont="1" applyFill="1" applyBorder="1" applyAlignment="1">
      <alignment horizontal="right" wrapText="1"/>
    </xf>
    <xf numFmtId="14" fontId="93" fillId="0" borderId="413" xfId="0" applyNumberFormat="1" applyFont="1" applyBorder="1" applyAlignment="1">
      <alignment horizontal="center" wrapText="1"/>
    </xf>
    <xf numFmtId="199" fontId="93" fillId="0" borderId="413" xfId="0" applyNumberFormat="1" applyFont="1" applyBorder="1" applyAlignment="1">
      <alignment wrapText="1"/>
    </xf>
    <xf numFmtId="0" fontId="93" fillId="77" borderId="413" xfId="0" applyFont="1" applyFill="1" applyBorder="1" applyAlignment="1">
      <alignment horizontal="right" wrapText="1"/>
    </xf>
    <xf numFmtId="14" fontId="93" fillId="77" borderId="413" xfId="0" applyNumberFormat="1" applyFont="1" applyFill="1" applyBorder="1" applyAlignment="1">
      <alignment horizontal="center" wrapText="1"/>
    </xf>
    <xf numFmtId="0" fontId="93" fillId="77" borderId="413" xfId="0" applyFont="1" applyFill="1" applyBorder="1" applyAlignment="1">
      <alignment wrapText="1"/>
    </xf>
    <xf numFmtId="0" fontId="93" fillId="80" borderId="413" xfId="0" applyFont="1" applyFill="1" applyBorder="1" applyAlignment="1">
      <alignment horizontal="right" wrapText="1"/>
    </xf>
    <xf numFmtId="14" fontId="93" fillId="0" borderId="442" xfId="106" applyNumberFormat="1" applyFont="1" applyBorder="1" applyAlignment="1">
      <alignment wrapText="1"/>
    </xf>
    <xf numFmtId="0" fontId="93" fillId="0" borderId="440" xfId="108" applyFont="1" applyBorder="1" applyAlignment="1">
      <alignment horizontal="center" vertical="top" wrapText="1"/>
    </xf>
    <xf numFmtId="0" fontId="45" fillId="0" borderId="0" xfId="108" applyFont="1"/>
    <xf numFmtId="0" fontId="93" fillId="71" borderId="421" xfId="0" applyFont="1" applyFill="1" applyBorder="1" applyAlignment="1">
      <alignment horizontal="center" vertical="center" wrapText="1"/>
    </xf>
    <xf numFmtId="196" fontId="93" fillId="0" borderId="413" xfId="0" applyNumberFormat="1" applyFont="1" applyBorder="1" applyAlignment="1">
      <alignment horizontal="center" vertical="top" wrapText="1"/>
    </xf>
    <xf numFmtId="0" fontId="93" fillId="79" borderId="413" xfId="0" applyFont="1" applyFill="1" applyBorder="1" applyAlignment="1">
      <alignment wrapText="1"/>
    </xf>
    <xf numFmtId="0" fontId="93" fillId="0" borderId="442" xfId="108" applyFont="1" applyBorder="1" applyAlignment="1">
      <alignment wrapText="1"/>
    </xf>
    <xf numFmtId="43" fontId="79" fillId="0" borderId="0" xfId="28" applyFont="1" applyAlignment="1">
      <alignment horizontal="right"/>
    </xf>
    <xf numFmtId="0" fontId="93" fillId="0" borderId="440" xfId="106" applyFont="1" applyBorder="1" applyAlignment="1">
      <alignment horizontal="center" vertical="top" wrapText="1"/>
    </xf>
    <xf numFmtId="0" fontId="93" fillId="0" borderId="421" xfId="0" applyFont="1" applyBorder="1" applyAlignment="1">
      <alignment vertical="top" wrapText="1"/>
    </xf>
    <xf numFmtId="0" fontId="91" fillId="0" borderId="414" xfId="0" applyFont="1" applyBorder="1" applyAlignment="1">
      <alignment vertical="top" wrapText="1"/>
    </xf>
    <xf numFmtId="194" fontId="93" fillId="0" borderId="413" xfId="0" applyNumberFormat="1" applyFont="1" applyBorder="1" applyAlignment="1">
      <alignment horizontal="center" vertical="top" wrapText="1"/>
    </xf>
    <xf numFmtId="196" fontId="93" fillId="0" borderId="417" xfId="0" applyNumberFormat="1" applyFont="1" applyBorder="1" applyAlignment="1">
      <alignment horizontal="center" wrapText="1"/>
    </xf>
    <xf numFmtId="196" fontId="93" fillId="0" borderId="414" xfId="0" applyNumberFormat="1" applyFont="1" applyBorder="1" applyAlignment="1">
      <alignment horizontal="center" wrapText="1"/>
    </xf>
    <xf numFmtId="0" fontId="93" fillId="80" borderId="413" xfId="0" applyFont="1" applyFill="1" applyBorder="1" applyAlignment="1">
      <alignment horizontal="center" wrapText="1"/>
    </xf>
    <xf numFmtId="0" fontId="93" fillId="0" borderId="421" xfId="0" applyFont="1" applyBorder="1" applyAlignment="1">
      <alignment horizontal="center" wrapText="1"/>
    </xf>
    <xf numFmtId="0" fontId="93" fillId="0" borderId="413" xfId="0" applyFont="1" applyBorder="1" applyAlignment="1">
      <alignment horizontal="left" vertical="top" wrapText="1"/>
    </xf>
    <xf numFmtId="0" fontId="93" fillId="0" borderId="455" xfId="0" applyFont="1" applyBorder="1" applyAlignment="1">
      <alignment wrapText="1"/>
    </xf>
    <xf numFmtId="0" fontId="93" fillId="0" borderId="440" xfId="0" applyFont="1" applyBorder="1" applyAlignment="1">
      <alignment wrapText="1"/>
    </xf>
    <xf numFmtId="0" fontId="100" fillId="81" borderId="456" xfId="0" applyFont="1" applyFill="1" applyBorder="1"/>
    <xf numFmtId="0" fontId="93" fillId="0" borderId="440" xfId="108" applyFont="1" applyBorder="1" applyAlignment="1">
      <alignment horizontal="center" wrapText="1"/>
    </xf>
    <xf numFmtId="0" fontId="79" fillId="82" borderId="0" xfId="0" applyFont="1" applyFill="1" applyAlignment="1">
      <alignment horizontal="right"/>
    </xf>
    <xf numFmtId="43" fontId="79" fillId="82" borderId="0" xfId="0" applyNumberFormat="1" applyFont="1" applyFill="1" applyAlignment="1">
      <alignment horizontal="right"/>
    </xf>
    <xf numFmtId="165" fontId="79" fillId="82" borderId="0" xfId="0" applyNumberFormat="1" applyFont="1" applyFill="1" applyAlignment="1">
      <alignment horizontal="right"/>
    </xf>
    <xf numFmtId="0" fontId="93" fillId="0" borderId="417" xfId="79" applyFont="1" applyBorder="1" applyAlignment="1">
      <alignment horizontal="center" vertical="top" wrapText="1"/>
    </xf>
    <xf numFmtId="0" fontId="93" fillId="0" borderId="417" xfId="79" applyFont="1" applyBorder="1" applyAlignment="1">
      <alignment horizontal="center" wrapText="1"/>
    </xf>
    <xf numFmtId="0" fontId="93" fillId="0" borderId="414" xfId="79" applyFont="1" applyBorder="1" applyAlignment="1">
      <alignment horizontal="center" wrapText="1"/>
    </xf>
    <xf numFmtId="200" fontId="93" fillId="0" borderId="413" xfId="0" applyNumberFormat="1" applyFont="1" applyBorder="1" applyAlignment="1">
      <alignment wrapText="1"/>
    </xf>
    <xf numFmtId="201" fontId="93" fillId="0" borderId="413" xfId="0" applyNumberFormat="1" applyFont="1" applyBorder="1" applyAlignment="1">
      <alignment horizontal="right" wrapText="1"/>
    </xf>
    <xf numFmtId="0" fontId="79" fillId="0" borderId="0" xfId="108" applyFont="1"/>
    <xf numFmtId="202" fontId="93" fillId="70" borderId="413" xfId="0" applyNumberFormat="1" applyFont="1" applyFill="1" applyBorder="1" applyAlignment="1">
      <alignment wrapText="1"/>
    </xf>
    <xf numFmtId="0" fontId="94" fillId="0" borderId="413" xfId="0" applyFont="1" applyBorder="1" applyAlignment="1">
      <alignment horizontal="left" wrapText="1"/>
    </xf>
    <xf numFmtId="196" fontId="93" fillId="0" borderId="0" xfId="108" applyNumberFormat="1" applyFont="1" applyAlignment="1">
      <alignment wrapText="1"/>
    </xf>
    <xf numFmtId="0" fontId="45" fillId="0" borderId="0" xfId="87" applyFont="1"/>
    <xf numFmtId="0" fontId="93" fillId="0" borderId="0" xfId="87" applyFont="1" applyAlignment="1">
      <alignment horizontal="center" wrapText="1"/>
    </xf>
    <xf numFmtId="0" fontId="93" fillId="0" borderId="0" xfId="87" applyFont="1" applyAlignment="1">
      <alignment horizontal="left" vertical="top" wrapText="1"/>
    </xf>
    <xf numFmtId="0" fontId="93" fillId="0" borderId="0" xfId="87" applyFont="1" applyAlignment="1">
      <alignment horizontal="center" vertical="top" wrapText="1"/>
    </xf>
    <xf numFmtId="0" fontId="93" fillId="0" borderId="417" xfId="87" applyFont="1" applyBorder="1" applyAlignment="1">
      <alignment horizontal="center" vertical="top" wrapText="1"/>
    </xf>
    <xf numFmtId="0" fontId="93" fillId="0" borderId="417" xfId="87" applyFont="1" applyBorder="1" applyAlignment="1">
      <alignment horizontal="center" wrapText="1"/>
    </xf>
    <xf numFmtId="0" fontId="93" fillId="0" borderId="414" xfId="87" applyFont="1" applyBorder="1" applyAlignment="1">
      <alignment horizontal="center" wrapText="1"/>
    </xf>
    <xf numFmtId="191" fontId="93" fillId="0" borderId="413" xfId="87" applyNumberFormat="1" applyFont="1" applyBorder="1" applyAlignment="1">
      <alignment horizontal="right" wrapText="1"/>
    </xf>
    <xf numFmtId="0" fontId="93" fillId="0" borderId="413" xfId="87" applyFont="1" applyBorder="1" applyAlignment="1">
      <alignment horizontal="left" wrapText="1"/>
    </xf>
    <xf numFmtId="0" fontId="93" fillId="0" borderId="413" xfId="87" applyFont="1" applyBorder="1" applyAlignment="1">
      <alignment horizontal="center" wrapText="1"/>
    </xf>
    <xf numFmtId="200" fontId="93" fillId="0" borderId="413" xfId="87" applyNumberFormat="1" applyFont="1" applyBorder="1" applyAlignment="1">
      <alignment wrapText="1"/>
    </xf>
    <xf numFmtId="192" fontId="93" fillId="0" borderId="413" xfId="87" applyNumberFormat="1" applyFont="1" applyBorder="1" applyAlignment="1">
      <alignment wrapText="1"/>
    </xf>
    <xf numFmtId="192" fontId="93" fillId="70" borderId="413" xfId="87" applyNumberFormat="1" applyFont="1" applyFill="1" applyBorder="1" applyAlignment="1">
      <alignment wrapText="1"/>
    </xf>
    <xf numFmtId="192" fontId="93" fillId="0" borderId="0" xfId="87" applyNumberFormat="1" applyFont="1" applyAlignment="1">
      <alignment wrapText="1"/>
    </xf>
    <xf numFmtId="0" fontId="93" fillId="0" borderId="413" xfId="87" applyFont="1" applyBorder="1" applyAlignment="1">
      <alignment wrapText="1"/>
    </xf>
    <xf numFmtId="199" fontId="93" fillId="0" borderId="413" xfId="87" applyNumberFormat="1" applyFont="1" applyBorder="1" applyAlignment="1">
      <alignment wrapText="1"/>
    </xf>
    <xf numFmtId="192" fontId="93" fillId="0" borderId="440" xfId="87" applyNumberFormat="1" applyFont="1" applyBorder="1" applyAlignment="1">
      <alignment wrapText="1"/>
    </xf>
    <xf numFmtId="0" fontId="93" fillId="0" borderId="0" xfId="87" applyFont="1" applyAlignment="1">
      <alignment wrapText="1"/>
    </xf>
    <xf numFmtId="201" fontId="93" fillId="0" borderId="413" xfId="87" applyNumberFormat="1" applyFont="1" applyBorder="1" applyAlignment="1">
      <alignment horizontal="right" wrapText="1"/>
    </xf>
    <xf numFmtId="0" fontId="93" fillId="0" borderId="413" xfId="87" applyFont="1" applyBorder="1" applyAlignment="1">
      <alignment horizontal="right" wrapText="1"/>
    </xf>
    <xf numFmtId="0" fontId="93" fillId="70" borderId="413" xfId="87" applyFont="1" applyFill="1" applyBorder="1" applyAlignment="1">
      <alignment horizontal="right" wrapText="1"/>
    </xf>
    <xf numFmtId="0" fontId="93" fillId="0" borderId="440" xfId="87" applyFont="1" applyBorder="1" applyAlignment="1">
      <alignment horizontal="right" wrapText="1"/>
    </xf>
    <xf numFmtId="0" fontId="93" fillId="0" borderId="0" xfId="87" applyFont="1" applyAlignment="1">
      <alignment horizontal="right" wrapText="1"/>
    </xf>
    <xf numFmtId="0" fontId="93" fillId="0" borderId="417" xfId="87" applyFont="1" applyBorder="1" applyAlignment="1">
      <alignment horizontal="left" wrapText="1"/>
    </xf>
    <xf numFmtId="196" fontId="93" fillId="0" borderId="413" xfId="87" applyNumberFormat="1" applyFont="1" applyBorder="1" applyAlignment="1">
      <alignment wrapText="1"/>
    </xf>
    <xf numFmtId="0" fontId="93" fillId="0" borderId="414" xfId="87" applyFont="1" applyBorder="1" applyAlignment="1">
      <alignment horizontal="left" wrapText="1"/>
    </xf>
    <xf numFmtId="0" fontId="93" fillId="0" borderId="414" xfId="87" applyFont="1" applyBorder="1" applyAlignment="1">
      <alignment wrapText="1"/>
    </xf>
    <xf numFmtId="203" fontId="93" fillId="70" borderId="413" xfId="87" applyNumberFormat="1" applyFont="1" applyFill="1" applyBorder="1" applyAlignment="1">
      <alignment wrapText="1"/>
    </xf>
    <xf numFmtId="0" fontId="93" fillId="0" borderId="417" xfId="87" applyFont="1" applyBorder="1" applyAlignment="1">
      <alignment wrapText="1"/>
    </xf>
    <xf numFmtId="203" fontId="93" fillId="70" borderId="417" xfId="87" applyNumberFormat="1" applyFont="1" applyFill="1" applyBorder="1" applyAlignment="1">
      <alignment wrapText="1"/>
    </xf>
    <xf numFmtId="192" fontId="93" fillId="70" borderId="417" xfId="87" applyNumberFormat="1" applyFont="1" applyFill="1" applyBorder="1" applyAlignment="1">
      <alignment wrapText="1"/>
    </xf>
    <xf numFmtId="0" fontId="94" fillId="0" borderId="457" xfId="87" applyFont="1" applyBorder="1" applyAlignment="1">
      <alignment horizontal="left" wrapText="1"/>
    </xf>
    <xf numFmtId="0" fontId="94" fillId="0" borderId="457" xfId="87" applyFont="1" applyBorder="1" applyAlignment="1">
      <alignment wrapText="1"/>
    </xf>
    <xf numFmtId="203" fontId="94" fillId="70" borderId="457" xfId="87" applyNumberFormat="1" applyFont="1" applyFill="1" applyBorder="1" applyAlignment="1">
      <alignment wrapText="1"/>
    </xf>
    <xf numFmtId="192" fontId="94" fillId="70" borderId="457" xfId="87" applyNumberFormat="1" applyFont="1" applyFill="1" applyBorder="1" applyAlignment="1">
      <alignment wrapText="1"/>
    </xf>
    <xf numFmtId="0" fontId="93" fillId="0" borderId="442" xfId="87" applyFont="1" applyBorder="1" applyAlignment="1">
      <alignment wrapText="1"/>
    </xf>
    <xf numFmtId="196" fontId="93" fillId="0" borderId="0" xfId="87" applyNumberFormat="1" applyFont="1" applyAlignment="1">
      <alignment wrapText="1"/>
    </xf>
    <xf numFmtId="0" fontId="94" fillId="0" borderId="441" xfId="106" applyFont="1" applyBorder="1" applyAlignment="1">
      <alignment horizontal="center" wrapText="1"/>
    </xf>
    <xf numFmtId="0" fontId="93" fillId="0" borderId="414" xfId="0" applyFont="1" applyBorder="1" applyAlignment="1">
      <alignment horizontal="right" wrapText="1"/>
    </xf>
    <xf numFmtId="0" fontId="79" fillId="0" borderId="0" xfId="48" applyFont="1" applyAlignment="1" applyProtection="1">
      <alignment horizontal="center"/>
      <protection locked="0"/>
    </xf>
    <xf numFmtId="3" fontId="79" fillId="61" borderId="0" xfId="0" applyNumberFormat="1" applyFont="1" applyFill="1" applyProtection="1">
      <protection locked="0"/>
    </xf>
    <xf numFmtId="194" fontId="93" fillId="0" borderId="413" xfId="0" applyNumberFormat="1" applyFont="1" applyBorder="1" applyAlignment="1">
      <alignment horizontal="left" wrapText="1"/>
    </xf>
    <xf numFmtId="165" fontId="100" fillId="81" borderId="456" xfId="0" applyNumberFormat="1" applyFont="1" applyFill="1" applyBorder="1"/>
    <xf numFmtId="0" fontId="93" fillId="0" borderId="440" xfId="79" applyFont="1" applyBorder="1" applyAlignment="1">
      <alignment horizontal="center" wrapText="1"/>
    </xf>
    <xf numFmtId="0" fontId="93" fillId="0" borderId="440" xfId="79" applyFont="1" applyBorder="1" applyAlignment="1">
      <alignment wrapText="1"/>
    </xf>
    <xf numFmtId="0" fontId="93" fillId="0" borderId="0" xfId="79" applyFont="1" applyAlignment="1">
      <alignment wrapText="1"/>
    </xf>
    <xf numFmtId="194" fontId="93" fillId="0" borderId="413" xfId="79" applyNumberFormat="1" applyFont="1" applyBorder="1" applyAlignment="1">
      <alignment horizontal="left" wrapText="1"/>
    </xf>
    <xf numFmtId="0" fontId="93" fillId="0" borderId="413" xfId="79" applyFont="1" applyBorder="1" applyAlignment="1">
      <alignment horizontal="left" wrapText="1"/>
    </xf>
    <xf numFmtId="0" fontId="93" fillId="0" borderId="413" xfId="79" applyFont="1" applyBorder="1" applyAlignment="1">
      <alignment wrapText="1"/>
    </xf>
    <xf numFmtId="191" fontId="93" fillId="0" borderId="413" xfId="79" applyNumberFormat="1" applyFont="1" applyBorder="1" applyAlignment="1">
      <alignment horizontal="right" wrapText="1"/>
    </xf>
    <xf numFmtId="192" fontId="93" fillId="0" borderId="413" xfId="79" applyNumberFormat="1" applyFont="1" applyBorder="1" applyAlignment="1">
      <alignment wrapText="1"/>
    </xf>
    <xf numFmtId="192" fontId="93" fillId="70" borderId="413" xfId="79" applyNumberFormat="1" applyFont="1" applyFill="1" applyBorder="1" applyAlignment="1">
      <alignment wrapText="1"/>
    </xf>
    <xf numFmtId="165" fontId="79" fillId="82" borderId="0" xfId="29" applyNumberFormat="1" applyFont="1" applyFill="1"/>
    <xf numFmtId="0" fontId="93" fillId="77" borderId="413" xfId="79" applyFont="1" applyFill="1" applyBorder="1" applyAlignment="1">
      <alignment horizontal="left" wrapText="1"/>
    </xf>
    <xf numFmtId="0" fontId="93" fillId="0" borderId="413" xfId="79" applyFont="1" applyBorder="1" applyAlignment="1">
      <alignment horizontal="right" wrapText="1"/>
    </xf>
    <xf numFmtId="191" fontId="93" fillId="0" borderId="413" xfId="79" applyNumberFormat="1" applyFont="1" applyBorder="1" applyAlignment="1">
      <alignment horizontal="left" wrapText="1"/>
    </xf>
    <xf numFmtId="191" fontId="93" fillId="0" borderId="413" xfId="79" applyNumberFormat="1" applyFont="1" applyBorder="1" applyAlignment="1">
      <alignment wrapText="1"/>
    </xf>
    <xf numFmtId="201" fontId="93" fillId="0" borderId="413" xfId="79" applyNumberFormat="1" applyFont="1" applyBorder="1" applyAlignment="1">
      <alignment horizontal="right" wrapText="1"/>
    </xf>
    <xf numFmtId="201" fontId="93" fillId="57" borderId="413" xfId="79" applyNumberFormat="1" applyFont="1" applyFill="1" applyBorder="1" applyAlignment="1">
      <alignment horizontal="right" wrapText="1"/>
    </xf>
    <xf numFmtId="0" fontId="93" fillId="57" borderId="413" xfId="79" applyFont="1" applyFill="1" applyBorder="1" applyAlignment="1">
      <alignment horizontal="left" wrapText="1"/>
    </xf>
    <xf numFmtId="0" fontId="93" fillId="57" borderId="413" xfId="79" applyFont="1" applyFill="1" applyBorder="1" applyAlignment="1">
      <alignment wrapText="1"/>
    </xf>
    <xf numFmtId="0" fontId="93" fillId="57" borderId="413" xfId="79" applyFont="1" applyFill="1" applyBorder="1" applyAlignment="1">
      <alignment horizontal="right" wrapText="1"/>
    </xf>
    <xf numFmtId="192" fontId="93" fillId="57" borderId="413" xfId="79" applyNumberFormat="1" applyFont="1" applyFill="1" applyBorder="1" applyAlignment="1">
      <alignment wrapText="1"/>
    </xf>
    <xf numFmtId="0" fontId="93" fillId="70" borderId="413" xfId="79" applyFont="1" applyFill="1" applyBorder="1" applyAlignment="1">
      <alignment wrapText="1"/>
    </xf>
    <xf numFmtId="201" fontId="93" fillId="0" borderId="413" xfId="79" applyNumberFormat="1" applyFont="1" applyBorder="1" applyAlignment="1">
      <alignment horizontal="left" wrapText="1"/>
    </xf>
    <xf numFmtId="196" fontId="93" fillId="0" borderId="413" xfId="79" applyNumberFormat="1" applyFont="1" applyBorder="1" applyAlignment="1">
      <alignment wrapText="1"/>
    </xf>
    <xf numFmtId="0" fontId="93" fillId="0" borderId="442" xfId="79" applyFont="1" applyBorder="1" applyAlignment="1">
      <alignment wrapText="1"/>
    </xf>
    <xf numFmtId="0" fontId="94" fillId="84" borderId="442" xfId="108" applyFont="1" applyFill="1" applyBorder="1" applyAlignment="1">
      <alignment wrapText="1"/>
    </xf>
    <xf numFmtId="0" fontId="93" fillId="84" borderId="442" xfId="108" applyFont="1" applyFill="1" applyBorder="1" applyAlignment="1">
      <alignment wrapText="1"/>
    </xf>
    <xf numFmtId="165" fontId="76" fillId="84" borderId="237" xfId="0" applyNumberFormat="1" applyFont="1" applyFill="1" applyBorder="1"/>
    <xf numFmtId="190" fontId="79" fillId="82" borderId="0" xfId="0" applyNumberFormat="1" applyFont="1" applyFill="1"/>
    <xf numFmtId="0" fontId="45" fillId="0" borderId="0" xfId="108" applyFont="1" applyAlignment="1">
      <alignment horizontal="right"/>
    </xf>
    <xf numFmtId="0" fontId="93" fillId="77" borderId="413" xfId="0" applyFont="1" applyFill="1" applyBorder="1" applyAlignment="1">
      <alignment horizontal="left" wrapText="1"/>
    </xf>
    <xf numFmtId="191" fontId="93" fillId="0" borderId="413" xfId="0" applyNumberFormat="1" applyFont="1" applyBorder="1" applyAlignment="1">
      <alignment horizontal="left" wrapText="1"/>
    </xf>
    <xf numFmtId="191" fontId="93" fillId="0" borderId="413" xfId="0" applyNumberFormat="1" applyFont="1" applyBorder="1" applyAlignment="1">
      <alignment wrapText="1"/>
    </xf>
    <xf numFmtId="201" fontId="93" fillId="57" borderId="413" xfId="0" applyNumberFormat="1" applyFont="1" applyFill="1" applyBorder="1" applyAlignment="1">
      <alignment horizontal="right" wrapText="1"/>
    </xf>
    <xf numFmtId="196" fontId="93" fillId="0" borderId="0" xfId="79" applyNumberFormat="1" applyFont="1" applyAlignment="1">
      <alignment wrapText="1"/>
    </xf>
    <xf numFmtId="204" fontId="79" fillId="82" borderId="0" xfId="0" applyNumberFormat="1" applyFont="1" applyFill="1"/>
    <xf numFmtId="205" fontId="93" fillId="0" borderId="413" xfId="0" applyNumberFormat="1" applyFont="1" applyBorder="1" applyAlignment="1">
      <alignment horizontal="right" wrapText="1"/>
    </xf>
    <xf numFmtId="0" fontId="93" fillId="0" borderId="413" xfId="106" applyFont="1" applyBorder="1" applyAlignment="1">
      <alignment horizontal="right" wrapText="1"/>
    </xf>
    <xf numFmtId="192" fontId="93" fillId="70" borderId="414" xfId="106" applyNumberFormat="1" applyFont="1" applyFill="1" applyBorder="1" applyAlignment="1">
      <alignment wrapText="1"/>
    </xf>
    <xf numFmtId="205" fontId="93" fillId="0" borderId="413" xfId="106" applyNumberFormat="1" applyFont="1" applyBorder="1" applyAlignment="1">
      <alignment horizontal="right" wrapText="1"/>
    </xf>
    <xf numFmtId="165" fontId="93" fillId="70" borderId="417" xfId="28" applyNumberFormat="1" applyFont="1" applyFill="1" applyBorder="1" applyAlignment="1">
      <alignment wrapText="1"/>
    </xf>
    <xf numFmtId="0" fontId="93" fillId="77" borderId="413" xfId="0" applyFont="1" applyFill="1" applyBorder="1" applyAlignment="1">
      <alignment horizontal="center" wrapText="1"/>
    </xf>
    <xf numFmtId="191" fontId="93" fillId="77" borderId="413" xfId="0" applyNumberFormat="1" applyFont="1" applyFill="1" applyBorder="1" applyAlignment="1">
      <alignment wrapText="1"/>
    </xf>
    <xf numFmtId="206" fontId="93" fillId="77" borderId="413" xfId="0" applyNumberFormat="1" applyFont="1" applyFill="1" applyBorder="1" applyAlignment="1">
      <alignment wrapText="1"/>
    </xf>
    <xf numFmtId="191" fontId="93" fillId="70" borderId="413" xfId="0" applyNumberFormat="1" applyFont="1" applyFill="1" applyBorder="1" applyAlignment="1">
      <alignment wrapText="1"/>
    </xf>
    <xf numFmtId="0" fontId="93" fillId="0" borderId="464" xfId="0" applyFont="1" applyBorder="1" applyAlignment="1">
      <alignment horizontal="center" wrapText="1"/>
    </xf>
    <xf numFmtId="0" fontId="93" fillId="0" borderId="466" xfId="0" applyFont="1" applyBorder="1" applyAlignment="1">
      <alignment horizontal="center" wrapText="1"/>
    </xf>
    <xf numFmtId="191" fontId="93" fillId="0" borderId="467" xfId="0" applyNumberFormat="1" applyFont="1" applyBorder="1" applyAlignment="1">
      <alignment horizontal="right" vertical="top" wrapText="1"/>
    </xf>
    <xf numFmtId="193" fontId="93" fillId="0" borderId="468" xfId="0" applyNumberFormat="1" applyFont="1" applyBorder="1" applyAlignment="1">
      <alignment wrapText="1"/>
    </xf>
    <xf numFmtId="0" fontId="93" fillId="0" borderId="468" xfId="0" applyFont="1" applyBorder="1" applyAlignment="1">
      <alignment wrapText="1"/>
    </xf>
    <xf numFmtId="194" fontId="93" fillId="0" borderId="469" xfId="0" applyNumberFormat="1" applyFont="1" applyBorder="1" applyAlignment="1">
      <alignment horizontal="right" vertical="top" wrapText="1"/>
    </xf>
    <xf numFmtId="0" fontId="5" fillId="0" borderId="0" xfId="106"/>
    <xf numFmtId="0" fontId="48" fillId="0" borderId="0" xfId="0" applyFont="1"/>
    <xf numFmtId="0" fontId="45" fillId="0" borderId="399" xfId="0" applyFont="1" applyBorder="1" applyAlignment="1">
      <alignment wrapText="1"/>
    </xf>
    <xf numFmtId="0" fontId="84" fillId="0" borderId="400" xfId="0" applyFont="1" applyBorder="1" applyAlignment="1">
      <alignment wrapText="1"/>
    </xf>
    <xf numFmtId="0" fontId="45" fillId="0" borderId="400" xfId="0" applyFont="1" applyBorder="1"/>
    <xf numFmtId="0" fontId="45" fillId="0" borderId="401" xfId="0" applyFont="1" applyBorder="1"/>
    <xf numFmtId="0" fontId="95" fillId="0" borderId="0" xfId="0" applyFont="1" applyAlignment="1">
      <alignment horizontal="center" vertical="center"/>
    </xf>
    <xf numFmtId="0" fontId="45" fillId="0" borderId="403" xfId="0" applyFont="1" applyBorder="1"/>
    <xf numFmtId="0" fontId="76" fillId="0" borderId="402" xfId="0" applyFont="1" applyBorder="1" applyAlignment="1">
      <alignment horizontal="center" vertical="center"/>
    </xf>
    <xf numFmtId="0" fontId="76" fillId="0" borderId="0" xfId="0" applyFont="1" applyAlignment="1">
      <alignment horizontal="center" vertical="center"/>
    </xf>
    <xf numFmtId="0" fontId="76" fillId="0" borderId="403" xfId="0" applyFont="1" applyBorder="1" applyAlignment="1">
      <alignment horizontal="center" vertical="center"/>
    </xf>
    <xf numFmtId="0" fontId="76" fillId="0" borderId="472" xfId="0" applyFont="1" applyBorder="1" applyAlignment="1">
      <alignment horizontal="center" vertical="center"/>
    </xf>
    <xf numFmtId="0" fontId="76" fillId="0" borderId="443" xfId="0" applyFont="1" applyBorder="1" applyAlignment="1">
      <alignment horizontal="center" vertical="center"/>
    </xf>
    <xf numFmtId="14" fontId="95" fillId="0" borderId="118" xfId="0" applyNumberFormat="1" applyFont="1" applyBorder="1" applyAlignment="1">
      <alignment horizontal="center" vertical="center"/>
    </xf>
    <xf numFmtId="0" fontId="76" fillId="0" borderId="473" xfId="0" applyFont="1" applyBorder="1" applyAlignment="1">
      <alignment horizontal="center" vertical="center"/>
    </xf>
    <xf numFmtId="37" fontId="101" fillId="0" borderId="0" xfId="0" applyNumberFormat="1" applyFont="1"/>
    <xf numFmtId="37" fontId="101" fillId="0" borderId="403" xfId="0" applyNumberFormat="1" applyFont="1" applyBorder="1"/>
    <xf numFmtId="0" fontId="76" fillId="0" borderId="406" xfId="0" applyFont="1" applyBorder="1"/>
    <xf numFmtId="0" fontId="76" fillId="0" borderId="407" xfId="0" applyFont="1" applyBorder="1" applyAlignment="1">
      <alignment horizontal="right"/>
    </xf>
    <xf numFmtId="165" fontId="76" fillId="0" borderId="407" xfId="0" applyNumberFormat="1" applyFont="1" applyBorder="1"/>
    <xf numFmtId="165" fontId="76" fillId="0" borderId="408" xfId="0" applyNumberFormat="1" applyFont="1" applyBorder="1"/>
    <xf numFmtId="3" fontId="101" fillId="0" borderId="0" xfId="0" applyNumberFormat="1" applyFont="1"/>
    <xf numFmtId="0" fontId="45" fillId="0" borderId="399" xfId="0" applyFont="1" applyBorder="1"/>
    <xf numFmtId="0" fontId="76" fillId="0" borderId="0" xfId="0" applyFont="1" applyAlignment="1">
      <alignment horizontal="right"/>
    </xf>
    <xf numFmtId="3" fontId="76" fillId="0" borderId="474" xfId="0" applyNumberFormat="1" applyFont="1" applyBorder="1"/>
    <xf numFmtId="0" fontId="91" fillId="0" borderId="0" xfId="0" applyFont="1"/>
    <xf numFmtId="0" fontId="48" fillId="0" borderId="403" xfId="0" applyFont="1" applyBorder="1"/>
    <xf numFmtId="0" fontId="91" fillId="0" borderId="402" xfId="0" applyFont="1" applyBorder="1"/>
    <xf numFmtId="0" fontId="45" fillId="0" borderId="406" xfId="0" applyFont="1" applyBorder="1"/>
    <xf numFmtId="0" fontId="45" fillId="0" borderId="407" xfId="0" applyFont="1" applyBorder="1"/>
    <xf numFmtId="0" fontId="45" fillId="0" borderId="408" xfId="0" applyFont="1" applyBorder="1"/>
    <xf numFmtId="0" fontId="93" fillId="0" borderId="440" xfId="106" applyFont="1" applyBorder="1" applyAlignment="1">
      <alignment horizontal="left" vertical="top" wrapText="1"/>
    </xf>
    <xf numFmtId="0" fontId="93" fillId="0" borderId="414" xfId="106" applyFont="1" applyBorder="1" applyAlignment="1">
      <alignment horizontal="center" vertical="top" wrapText="1"/>
    </xf>
    <xf numFmtId="191" fontId="93" fillId="0" borderId="413" xfId="106" applyNumberFormat="1" applyFont="1" applyBorder="1" applyAlignment="1">
      <alignment horizontal="center" vertical="top" wrapText="1"/>
    </xf>
    <xf numFmtId="0" fontId="93" fillId="83" borderId="413" xfId="106" applyFont="1" applyFill="1" applyBorder="1" applyAlignment="1">
      <alignment horizontal="left" vertical="top" wrapText="1"/>
    </xf>
    <xf numFmtId="192" fontId="93" fillId="0" borderId="413" xfId="106" applyNumberFormat="1" applyFont="1" applyBorder="1" applyAlignment="1">
      <alignment vertical="top" wrapText="1"/>
    </xf>
    <xf numFmtId="192" fontId="93" fillId="0" borderId="413" xfId="106" applyNumberFormat="1" applyFont="1" applyBorder="1" applyAlignment="1">
      <alignment wrapText="1"/>
    </xf>
    <xf numFmtId="191" fontId="93" fillId="70" borderId="413" xfId="106" applyNumberFormat="1" applyFont="1" applyFill="1" applyBorder="1" applyAlignment="1">
      <alignment horizontal="right" vertical="top" wrapText="1"/>
    </xf>
    <xf numFmtId="207" fontId="93" fillId="0" borderId="413" xfId="106" applyNumberFormat="1" applyFont="1" applyBorder="1" applyAlignment="1">
      <alignment horizontal="center" vertical="top" wrapText="1"/>
    </xf>
    <xf numFmtId="196" fontId="93" fillId="0" borderId="413" xfId="106" applyNumberFormat="1" applyFont="1" applyBorder="1" applyAlignment="1">
      <alignment horizontal="center" wrapText="1"/>
    </xf>
    <xf numFmtId="0" fontId="94" fillId="70" borderId="417" xfId="106" applyFont="1" applyFill="1" applyBorder="1" applyAlignment="1">
      <alignment horizontal="right" wrapText="1"/>
    </xf>
    <xf numFmtId="191" fontId="94" fillId="70" borderId="414" xfId="106" applyNumberFormat="1" applyFont="1" applyFill="1" applyBorder="1" applyAlignment="1">
      <alignment horizontal="right" wrapText="1"/>
    </xf>
    <xf numFmtId="0" fontId="93" fillId="0" borderId="440" xfId="84" applyFont="1" applyBorder="1" applyAlignment="1">
      <alignment horizontal="left" vertical="top" wrapText="1"/>
    </xf>
    <xf numFmtId="0" fontId="93" fillId="0" borderId="440" xfId="84" applyFont="1" applyBorder="1" applyAlignment="1">
      <alignment wrapText="1"/>
    </xf>
    <xf numFmtId="0" fontId="93" fillId="0" borderId="417" xfId="84" applyFont="1" applyBorder="1" applyAlignment="1">
      <alignment horizontal="left" vertical="top" wrapText="1"/>
    </xf>
    <xf numFmtId="0" fontId="93" fillId="0" borderId="417" xfId="84" applyFont="1" applyBorder="1" applyAlignment="1">
      <alignment horizontal="center" vertical="top" wrapText="1"/>
    </xf>
    <xf numFmtId="0" fontId="93" fillId="0" borderId="414" xfId="84" applyFont="1" applyBorder="1" applyAlignment="1">
      <alignment horizontal="center" vertical="top" wrapText="1"/>
    </xf>
    <xf numFmtId="191" fontId="93" fillId="0" borderId="413" xfId="84" applyNumberFormat="1" applyFont="1" applyBorder="1" applyAlignment="1">
      <alignment horizontal="center" vertical="top" wrapText="1"/>
    </xf>
    <xf numFmtId="0" fontId="93" fillId="0" borderId="413" xfId="84" applyFont="1" applyBorder="1" applyAlignment="1">
      <alignment horizontal="left" vertical="top" wrapText="1"/>
    </xf>
    <xf numFmtId="0" fontId="93" fillId="83" borderId="413" xfId="84" applyFont="1" applyFill="1" applyBorder="1" applyAlignment="1">
      <alignment horizontal="left" vertical="top" wrapText="1"/>
    </xf>
    <xf numFmtId="192" fontId="93" fillId="0" borderId="413" xfId="84" applyNumberFormat="1" applyFont="1" applyBorder="1" applyAlignment="1">
      <alignment vertical="top" wrapText="1"/>
    </xf>
    <xf numFmtId="192" fontId="93" fillId="0" borderId="413" xfId="84" applyNumberFormat="1" applyFont="1" applyBorder="1" applyAlignment="1">
      <alignment wrapText="1"/>
    </xf>
    <xf numFmtId="191" fontId="93" fillId="70" borderId="413" xfId="84" applyNumberFormat="1" applyFont="1" applyFill="1" applyBorder="1" applyAlignment="1">
      <alignment horizontal="right" vertical="top" wrapText="1"/>
    </xf>
    <xf numFmtId="207" fontId="93" fillId="0" borderId="413" xfId="84" applyNumberFormat="1" applyFont="1" applyBorder="1" applyAlignment="1">
      <alignment horizontal="center" vertical="top" wrapText="1"/>
    </xf>
    <xf numFmtId="196" fontId="93" fillId="0" borderId="0" xfId="84" applyNumberFormat="1" applyFont="1" applyAlignment="1">
      <alignment wrapText="1"/>
    </xf>
    <xf numFmtId="0" fontId="93" fillId="0" borderId="413" xfId="84" applyFont="1" applyBorder="1" applyAlignment="1">
      <alignment horizontal="right" vertical="top" wrapText="1"/>
    </xf>
    <xf numFmtId="196" fontId="93" fillId="0" borderId="413" xfId="84" applyNumberFormat="1" applyFont="1" applyBorder="1" applyAlignment="1">
      <alignment horizontal="center" wrapText="1"/>
    </xf>
    <xf numFmtId="0" fontId="93" fillId="0" borderId="413" xfId="84" applyFont="1" applyBorder="1" applyAlignment="1">
      <alignment wrapText="1"/>
    </xf>
    <xf numFmtId="0" fontId="94" fillId="70" borderId="417" xfId="84" applyFont="1" applyFill="1" applyBorder="1" applyAlignment="1">
      <alignment horizontal="right" wrapText="1"/>
    </xf>
    <xf numFmtId="191" fontId="94" fillId="70" borderId="414" xfId="84" applyNumberFormat="1" applyFont="1" applyFill="1" applyBorder="1" applyAlignment="1">
      <alignment horizontal="right" wrapText="1"/>
    </xf>
    <xf numFmtId="0" fontId="93" fillId="0" borderId="442" xfId="84" applyFont="1" applyBorder="1" applyAlignment="1">
      <alignment wrapText="1"/>
    </xf>
    <xf numFmtId="0" fontId="76" fillId="0" borderId="0" xfId="70" applyFont="1"/>
    <xf numFmtId="0" fontId="94" fillId="0" borderId="415" xfId="70" applyFont="1" applyBorder="1" applyAlignment="1">
      <alignment horizontal="center" vertical="top" wrapText="1"/>
    </xf>
    <xf numFmtId="0" fontId="94" fillId="0" borderId="441" xfId="70" applyFont="1" applyBorder="1" applyAlignment="1">
      <alignment horizontal="center" vertical="top" wrapText="1"/>
    </xf>
    <xf numFmtId="0" fontId="94" fillId="71" borderId="413" xfId="70" applyFont="1" applyFill="1" applyBorder="1" applyAlignment="1">
      <alignment wrapText="1"/>
    </xf>
    <xf numFmtId="0" fontId="94" fillId="71" borderId="468" xfId="70" applyFont="1" applyFill="1" applyBorder="1" applyAlignment="1">
      <alignment wrapText="1"/>
    </xf>
    <xf numFmtId="0" fontId="93" fillId="0" borderId="415" xfId="70" applyFont="1" applyBorder="1" applyAlignment="1">
      <alignment horizontal="center" vertical="top" wrapText="1"/>
    </xf>
    <xf numFmtId="0" fontId="93" fillId="0" borderId="441" xfId="70" applyFont="1" applyBorder="1" applyAlignment="1">
      <alignment horizontal="center" vertical="top" wrapText="1"/>
    </xf>
    <xf numFmtId="0" fontId="93" fillId="71" borderId="413" xfId="70" applyFont="1" applyFill="1" applyBorder="1" applyAlignment="1">
      <alignment wrapText="1"/>
    </xf>
    <xf numFmtId="0" fontId="93" fillId="71" borderId="468" xfId="70" applyFont="1" applyFill="1" applyBorder="1" applyAlignment="1">
      <alignment wrapText="1"/>
    </xf>
    <xf numFmtId="0" fontId="93" fillId="0" borderId="417" xfId="70" applyFont="1" applyBorder="1" applyAlignment="1">
      <alignment horizontal="left" vertical="top" wrapText="1"/>
    </xf>
    <xf numFmtId="0" fontId="93" fillId="0" borderId="417" xfId="70" applyFont="1" applyBorder="1" applyAlignment="1">
      <alignment horizontal="center" vertical="top" wrapText="1"/>
    </xf>
    <xf numFmtId="0" fontId="93" fillId="0" borderId="455" xfId="70" applyFont="1" applyBorder="1" applyAlignment="1">
      <alignment horizontal="left" wrapText="1"/>
    </xf>
    <xf numFmtId="0" fontId="93" fillId="0" borderId="442" xfId="70" applyFont="1" applyBorder="1" applyAlignment="1">
      <alignment wrapText="1"/>
    </xf>
    <xf numFmtId="0" fontId="93" fillId="71" borderId="455" xfId="70" applyFont="1" applyFill="1" applyBorder="1" applyAlignment="1">
      <alignment horizontal="left" wrapText="1"/>
    </xf>
    <xf numFmtId="0" fontId="93" fillId="71" borderId="464" xfId="70" applyFont="1" applyFill="1" applyBorder="1" applyAlignment="1">
      <alignment horizontal="left" wrapText="1"/>
    </xf>
    <xf numFmtId="0" fontId="93" fillId="0" borderId="414" xfId="70" applyFont="1" applyBorder="1" applyAlignment="1">
      <alignment horizontal="left" vertical="top" wrapText="1"/>
    </xf>
    <xf numFmtId="0" fontId="93" fillId="0" borderId="414" xfId="70" applyFont="1" applyBorder="1" applyAlignment="1">
      <alignment horizontal="center" wrapText="1"/>
    </xf>
    <xf numFmtId="0" fontId="93" fillId="0" borderId="454" xfId="70" applyFont="1" applyBorder="1" applyAlignment="1">
      <alignment wrapText="1"/>
    </xf>
    <xf numFmtId="0" fontId="93" fillId="71" borderId="454" xfId="70" applyFont="1" applyFill="1" applyBorder="1" applyAlignment="1">
      <alignment wrapText="1"/>
    </xf>
    <xf numFmtId="0" fontId="93" fillId="71" borderId="466" xfId="70" applyFont="1" applyFill="1" applyBorder="1" applyAlignment="1">
      <alignment wrapText="1"/>
    </xf>
    <xf numFmtId="196" fontId="93" fillId="0" borderId="413" xfId="70" applyNumberFormat="1" applyFont="1" applyBorder="1" applyAlignment="1">
      <alignment horizontal="right" wrapText="1"/>
    </xf>
    <xf numFmtId="0" fontId="93" fillId="0" borderId="413" xfId="70" applyFont="1" applyBorder="1" applyAlignment="1">
      <alignment wrapText="1"/>
    </xf>
    <xf numFmtId="0" fontId="93" fillId="77" borderId="441" xfId="70" applyFont="1" applyFill="1" applyBorder="1" applyAlignment="1">
      <alignment wrapText="1"/>
    </xf>
    <xf numFmtId="194" fontId="93" fillId="0" borderId="413" xfId="70" applyNumberFormat="1" applyFont="1" applyBorder="1" applyAlignment="1">
      <alignment horizontal="right" wrapText="1"/>
    </xf>
    <xf numFmtId="0" fontId="93" fillId="0" borderId="413" xfId="70" applyFont="1" applyBorder="1" applyAlignment="1">
      <alignment horizontal="left" wrapText="1"/>
    </xf>
    <xf numFmtId="0" fontId="93" fillId="0" borderId="415" xfId="70" applyFont="1" applyBorder="1" applyAlignment="1">
      <alignment wrapText="1"/>
    </xf>
    <xf numFmtId="0" fontId="93" fillId="0" borderId="441" xfId="70" applyFont="1" applyBorder="1" applyAlignment="1">
      <alignment wrapText="1"/>
    </xf>
    <xf numFmtId="0" fontId="93" fillId="0" borderId="468" xfId="70" applyFont="1" applyBorder="1" applyAlignment="1">
      <alignment wrapText="1"/>
    </xf>
    <xf numFmtId="196" fontId="93" fillId="0" borderId="415" xfId="70" applyNumberFormat="1" applyFont="1" applyBorder="1" applyAlignment="1">
      <alignment wrapText="1"/>
    </xf>
    <xf numFmtId="196" fontId="93" fillId="0" borderId="468" xfId="70" applyNumberFormat="1" applyFont="1" applyBorder="1" applyAlignment="1">
      <alignment wrapText="1"/>
    </xf>
    <xf numFmtId="191" fontId="93" fillId="0" borderId="413" xfId="70" applyNumberFormat="1" applyFont="1" applyBorder="1" applyAlignment="1">
      <alignment horizontal="right" wrapText="1"/>
    </xf>
    <xf numFmtId="207" fontId="93" fillId="0" borderId="415" xfId="70" applyNumberFormat="1" applyFont="1" applyBorder="1" applyAlignment="1">
      <alignment wrapText="1"/>
    </xf>
    <xf numFmtId="207" fontId="93" fillId="0" borderId="468" xfId="70" applyNumberFormat="1" applyFont="1" applyBorder="1" applyAlignment="1">
      <alignment wrapText="1"/>
    </xf>
    <xf numFmtId="191" fontId="93" fillId="0" borderId="415" xfId="70" applyNumberFormat="1" applyFont="1" applyBorder="1" applyAlignment="1">
      <alignment wrapText="1"/>
    </xf>
    <xf numFmtId="191" fontId="93" fillId="0" borderId="468" xfId="70" applyNumberFormat="1" applyFont="1" applyBorder="1" applyAlignment="1">
      <alignment wrapText="1"/>
    </xf>
    <xf numFmtId="206" fontId="93" fillId="0" borderId="415" xfId="70" applyNumberFormat="1" applyFont="1" applyBorder="1" applyAlignment="1">
      <alignment wrapText="1"/>
    </xf>
    <xf numFmtId="206" fontId="93" fillId="0" borderId="468" xfId="70" applyNumberFormat="1" applyFont="1" applyBorder="1" applyAlignment="1">
      <alignment wrapText="1"/>
    </xf>
    <xf numFmtId="206" fontId="93" fillId="0" borderId="413" xfId="70" applyNumberFormat="1" applyFont="1" applyBorder="1" applyAlignment="1">
      <alignment wrapText="1"/>
    </xf>
    <xf numFmtId="193" fontId="93" fillId="70" borderId="415" xfId="70" applyNumberFormat="1" applyFont="1" applyFill="1" applyBorder="1" applyAlignment="1">
      <alignment wrapText="1"/>
    </xf>
    <xf numFmtId="0" fontId="93" fillId="70" borderId="441" xfId="70" applyFont="1" applyFill="1" applyBorder="1" applyAlignment="1">
      <alignment wrapText="1"/>
    </xf>
    <xf numFmtId="193" fontId="93" fillId="70" borderId="468" xfId="70" applyNumberFormat="1" applyFont="1" applyFill="1" applyBorder="1" applyAlignment="1">
      <alignment wrapText="1"/>
    </xf>
    <xf numFmtId="208" fontId="93" fillId="0" borderId="415" xfId="70" applyNumberFormat="1" applyFont="1" applyBorder="1" applyAlignment="1">
      <alignment wrapText="1"/>
    </xf>
    <xf numFmtId="208" fontId="93" fillId="0" borderId="413" xfId="70" applyNumberFormat="1" applyFont="1" applyBorder="1" applyAlignment="1">
      <alignment wrapText="1"/>
    </xf>
    <xf numFmtId="209" fontId="93" fillId="0" borderId="413" xfId="70" applyNumberFormat="1" applyFont="1" applyBorder="1" applyAlignment="1">
      <alignment horizontal="right" wrapText="1"/>
    </xf>
    <xf numFmtId="199" fontId="93" fillId="0" borderId="413" xfId="70" applyNumberFormat="1" applyFont="1" applyBorder="1" applyAlignment="1">
      <alignment horizontal="right" wrapText="1"/>
    </xf>
    <xf numFmtId="0" fontId="93" fillId="0" borderId="440" xfId="79" applyFont="1" applyBorder="1" applyAlignment="1">
      <alignment horizontal="center" vertical="top" wrapText="1"/>
    </xf>
    <xf numFmtId="0" fontId="94" fillId="0" borderId="415" xfId="79" applyFont="1" applyBorder="1" applyAlignment="1">
      <alignment horizontal="center" vertical="top" wrapText="1"/>
    </xf>
    <xf numFmtId="0" fontId="94" fillId="0" borderId="441" xfId="79" applyFont="1" applyBorder="1" applyAlignment="1">
      <alignment horizontal="center" vertical="top" wrapText="1"/>
    </xf>
    <xf numFmtId="0" fontId="94" fillId="71" borderId="415" xfId="79" applyFont="1" applyFill="1" applyBorder="1" applyAlignment="1">
      <alignment wrapText="1"/>
    </xf>
    <xf numFmtId="0" fontId="94" fillId="71" borderId="441" xfId="79" applyFont="1" applyFill="1" applyBorder="1" applyAlignment="1">
      <alignment wrapText="1"/>
    </xf>
    <xf numFmtId="0" fontId="94" fillId="71" borderId="462" xfId="79" applyFont="1" applyFill="1" applyBorder="1" applyAlignment="1">
      <alignment wrapText="1"/>
    </xf>
    <xf numFmtId="0" fontId="93" fillId="0" borderId="415" xfId="79" applyFont="1" applyBorder="1" applyAlignment="1">
      <alignment horizontal="center" vertical="top" wrapText="1"/>
    </xf>
    <xf numFmtId="0" fontId="93" fillId="0" borderId="441" xfId="79" applyFont="1" applyBorder="1" applyAlignment="1">
      <alignment horizontal="center" vertical="top" wrapText="1"/>
    </xf>
    <xf numFmtId="0" fontId="93" fillId="71" borderId="415" xfId="79" applyFont="1" applyFill="1" applyBorder="1" applyAlignment="1">
      <alignment wrapText="1"/>
    </xf>
    <xf numFmtId="0" fontId="93" fillId="71" borderId="441" xfId="79" applyFont="1" applyFill="1" applyBorder="1" applyAlignment="1">
      <alignment wrapText="1"/>
    </xf>
    <xf numFmtId="0" fontId="93" fillId="71" borderId="462" xfId="79" applyFont="1" applyFill="1" applyBorder="1" applyAlignment="1">
      <alignment wrapText="1"/>
    </xf>
    <xf numFmtId="0" fontId="93" fillId="0" borderId="417" xfId="79" applyFont="1" applyBorder="1" applyAlignment="1">
      <alignment horizontal="left" vertical="top" wrapText="1"/>
    </xf>
    <xf numFmtId="0" fontId="93" fillId="0" borderId="455" xfId="79" applyFont="1" applyBorder="1" applyAlignment="1">
      <alignment horizontal="left" wrapText="1"/>
    </xf>
    <xf numFmtId="0" fontId="93" fillId="71" borderId="455" xfId="79" applyFont="1" applyFill="1" applyBorder="1" applyAlignment="1">
      <alignment horizontal="left" wrapText="1"/>
    </xf>
    <xf numFmtId="0" fontId="93" fillId="71" borderId="442" xfId="79" applyFont="1" applyFill="1" applyBorder="1" applyAlignment="1">
      <alignment wrapText="1"/>
    </xf>
    <xf numFmtId="0" fontId="93" fillId="71" borderId="475" xfId="79" applyFont="1" applyFill="1" applyBorder="1" applyAlignment="1">
      <alignment wrapText="1"/>
    </xf>
    <xf numFmtId="0" fontId="93" fillId="0" borderId="414" xfId="79" applyFont="1" applyBorder="1" applyAlignment="1">
      <alignment horizontal="left" vertical="top" wrapText="1"/>
    </xf>
    <xf numFmtId="0" fontId="93" fillId="0" borderId="454" xfId="79" applyFont="1" applyBorder="1" applyAlignment="1">
      <alignment wrapText="1"/>
    </xf>
    <xf numFmtId="0" fontId="93" fillId="71" borderId="454" xfId="79" applyFont="1" applyFill="1" applyBorder="1" applyAlignment="1">
      <alignment wrapText="1"/>
    </xf>
    <xf numFmtId="0" fontId="93" fillId="71" borderId="443" xfId="79" applyFont="1" applyFill="1" applyBorder="1" applyAlignment="1">
      <alignment wrapText="1"/>
    </xf>
    <xf numFmtId="0" fontId="93" fillId="71" borderId="476" xfId="79" applyFont="1" applyFill="1" applyBorder="1" applyAlignment="1">
      <alignment wrapText="1"/>
    </xf>
    <xf numFmtId="196" fontId="93" fillId="0" borderId="413" xfId="79" applyNumberFormat="1" applyFont="1" applyBorder="1" applyAlignment="1">
      <alignment horizontal="right" wrapText="1"/>
    </xf>
    <xf numFmtId="0" fontId="93" fillId="77" borderId="441" xfId="79" applyFont="1" applyFill="1" applyBorder="1" applyAlignment="1">
      <alignment wrapText="1"/>
    </xf>
    <xf numFmtId="0" fontId="93" fillId="77" borderId="462" xfId="79" applyFont="1" applyFill="1" applyBorder="1" applyAlignment="1">
      <alignment wrapText="1"/>
    </xf>
    <xf numFmtId="194" fontId="93" fillId="0" borderId="413" xfId="79" applyNumberFormat="1" applyFont="1" applyBorder="1" applyAlignment="1">
      <alignment horizontal="right" wrapText="1"/>
    </xf>
    <xf numFmtId="0" fontId="93" fillId="0" borderId="415" xfId="79" applyFont="1" applyBorder="1" applyAlignment="1">
      <alignment wrapText="1"/>
    </xf>
    <xf numFmtId="0" fontId="93" fillId="0" borderId="441" xfId="79" applyFont="1" applyBorder="1" applyAlignment="1">
      <alignment wrapText="1"/>
    </xf>
    <xf numFmtId="0" fontId="93" fillId="0" borderId="462" xfId="79" applyFont="1" applyBorder="1" applyAlignment="1">
      <alignment wrapText="1"/>
    </xf>
    <xf numFmtId="196" fontId="93" fillId="0" borderId="415" xfId="79" applyNumberFormat="1" applyFont="1" applyBorder="1" applyAlignment="1">
      <alignment wrapText="1"/>
    </xf>
    <xf numFmtId="207" fontId="93" fillId="0" borderId="415" xfId="79" applyNumberFormat="1" applyFont="1" applyBorder="1" applyAlignment="1">
      <alignment wrapText="1"/>
    </xf>
    <xf numFmtId="191" fontId="93" fillId="0" borderId="415" xfId="79" applyNumberFormat="1" applyFont="1" applyBorder="1" applyAlignment="1">
      <alignment wrapText="1"/>
    </xf>
    <xf numFmtId="206" fontId="93" fillId="0" borderId="415" xfId="79" applyNumberFormat="1" applyFont="1" applyBorder="1" applyAlignment="1">
      <alignment wrapText="1"/>
    </xf>
    <xf numFmtId="210" fontId="93" fillId="70" borderId="415" xfId="79" applyNumberFormat="1" applyFont="1" applyFill="1" applyBorder="1" applyAlignment="1">
      <alignment wrapText="1"/>
    </xf>
    <xf numFmtId="0" fontId="93" fillId="70" borderId="441" xfId="79" applyFont="1" applyFill="1" applyBorder="1" applyAlignment="1">
      <alignment wrapText="1"/>
    </xf>
    <xf numFmtId="211" fontId="93" fillId="70" borderId="415" xfId="79" applyNumberFormat="1" applyFont="1" applyFill="1" applyBorder="1" applyAlignment="1">
      <alignment wrapText="1"/>
    </xf>
    <xf numFmtId="0" fontId="93" fillId="70" borderId="462" xfId="79" applyFont="1" applyFill="1" applyBorder="1" applyAlignment="1">
      <alignment wrapText="1"/>
    </xf>
    <xf numFmtId="208" fontId="93" fillId="0" borderId="415" xfId="79" applyNumberFormat="1" applyFont="1" applyBorder="1" applyAlignment="1">
      <alignment wrapText="1"/>
    </xf>
    <xf numFmtId="199" fontId="93" fillId="0" borderId="413" xfId="79" applyNumberFormat="1" applyFont="1" applyBorder="1" applyAlignment="1">
      <alignment horizontal="right" wrapText="1"/>
    </xf>
    <xf numFmtId="209" fontId="93" fillId="0" borderId="413" xfId="79" applyNumberFormat="1" applyFont="1" applyBorder="1" applyAlignment="1">
      <alignment horizontal="right" wrapText="1"/>
    </xf>
    <xf numFmtId="0" fontId="93" fillId="0" borderId="442" xfId="79" applyFont="1" applyBorder="1" applyAlignment="1">
      <alignment horizontal="center" vertical="top" wrapText="1"/>
    </xf>
    <xf numFmtId="0" fontId="93" fillId="0" borderId="455" xfId="79" applyFont="1" applyBorder="1" applyAlignment="1">
      <alignment horizontal="center" vertical="top" wrapText="1"/>
    </xf>
    <xf numFmtId="0" fontId="93" fillId="77" borderId="113" xfId="79" applyFont="1" applyFill="1" applyBorder="1" applyAlignment="1">
      <alignment wrapText="1"/>
    </xf>
    <xf numFmtId="0" fontId="93" fillId="77" borderId="115" xfId="79" applyFont="1" applyFill="1" applyBorder="1" applyAlignment="1">
      <alignment wrapText="1"/>
    </xf>
    <xf numFmtId="0" fontId="93" fillId="71" borderId="464" xfId="79" applyFont="1" applyFill="1" applyBorder="1" applyAlignment="1">
      <alignment horizontal="left" wrapText="1"/>
    </xf>
    <xf numFmtId="0" fontId="93" fillId="0" borderId="454" xfId="79" applyFont="1" applyBorder="1" applyAlignment="1">
      <alignment horizontal="center" wrapText="1"/>
    </xf>
    <xf numFmtId="0" fontId="93" fillId="0" borderId="465" xfId="79" applyFont="1" applyBorder="1" applyAlignment="1">
      <alignment wrapText="1"/>
    </xf>
    <xf numFmtId="0" fontId="93" fillId="71" borderId="466" xfId="79" applyFont="1" applyFill="1" applyBorder="1" applyAlignment="1">
      <alignment wrapText="1"/>
    </xf>
    <xf numFmtId="0" fontId="93" fillId="77" borderId="468" xfId="79" applyFont="1" applyFill="1" applyBorder="1" applyAlignment="1">
      <alignment wrapText="1"/>
    </xf>
    <xf numFmtId="0" fontId="93" fillId="0" borderId="415" xfId="79" applyFont="1" applyBorder="1" applyAlignment="1">
      <alignment horizontal="left" wrapText="1"/>
    </xf>
    <xf numFmtId="0" fontId="93" fillId="0" borderId="113" xfId="79" applyFont="1" applyBorder="1" applyAlignment="1">
      <alignment wrapText="1"/>
    </xf>
    <xf numFmtId="0" fontId="93" fillId="0" borderId="115" xfId="79" applyFont="1" applyBorder="1" applyAlignment="1">
      <alignment wrapText="1"/>
    </xf>
    <xf numFmtId="0" fontId="93" fillId="0" borderId="468" xfId="79" applyFont="1" applyBorder="1" applyAlignment="1">
      <alignment wrapText="1"/>
    </xf>
    <xf numFmtId="196" fontId="93" fillId="0" borderId="113" xfId="79" applyNumberFormat="1" applyFont="1" applyBorder="1" applyAlignment="1">
      <alignment horizontal="right" wrapText="1"/>
    </xf>
    <xf numFmtId="196" fontId="93" fillId="0" borderId="115" xfId="79" applyNumberFormat="1" applyFont="1" applyBorder="1" applyAlignment="1">
      <alignment horizontal="right" wrapText="1"/>
    </xf>
    <xf numFmtId="207" fontId="93" fillId="0" borderId="113" xfId="79" applyNumberFormat="1" applyFont="1" applyBorder="1" applyAlignment="1">
      <alignment horizontal="right" wrapText="1"/>
    </xf>
    <xf numFmtId="207" fontId="93" fillId="0" borderId="115" xfId="79" applyNumberFormat="1" applyFont="1" applyBorder="1" applyAlignment="1">
      <alignment horizontal="right" wrapText="1"/>
    </xf>
    <xf numFmtId="191" fontId="93" fillId="0" borderId="113" xfId="79" applyNumberFormat="1" applyFont="1" applyBorder="1" applyAlignment="1">
      <alignment horizontal="right" wrapText="1"/>
    </xf>
    <xf numFmtId="191" fontId="93" fillId="0" borderId="115" xfId="79" applyNumberFormat="1" applyFont="1" applyBorder="1" applyAlignment="1">
      <alignment horizontal="right" wrapText="1"/>
    </xf>
    <xf numFmtId="191" fontId="93" fillId="0" borderId="441" xfId="79" applyNumberFormat="1" applyFont="1" applyBorder="1" applyAlignment="1">
      <alignment wrapText="1"/>
    </xf>
    <xf numFmtId="206" fontId="93" fillId="0" borderId="113" xfId="79" applyNumberFormat="1" applyFont="1" applyBorder="1" applyAlignment="1">
      <alignment horizontal="right" wrapText="1"/>
    </xf>
    <xf numFmtId="206" fontId="93" fillId="0" borderId="115" xfId="79" applyNumberFormat="1" applyFont="1" applyBorder="1" applyAlignment="1">
      <alignment horizontal="right" wrapText="1"/>
    </xf>
    <xf numFmtId="206" fontId="93" fillId="0" borderId="441" xfId="79" applyNumberFormat="1" applyFont="1" applyBorder="1" applyAlignment="1">
      <alignment wrapText="1"/>
    </xf>
    <xf numFmtId="210" fontId="93" fillId="70" borderId="113" xfId="79" applyNumberFormat="1" applyFont="1" applyFill="1" applyBorder="1" applyAlignment="1">
      <alignment horizontal="right" wrapText="1"/>
    </xf>
    <xf numFmtId="210" fontId="93" fillId="70" borderId="115" xfId="79" applyNumberFormat="1" applyFont="1" applyFill="1" applyBorder="1" applyAlignment="1">
      <alignment horizontal="right" wrapText="1"/>
    </xf>
    <xf numFmtId="210" fontId="93" fillId="70" borderId="468" xfId="79" applyNumberFormat="1" applyFont="1" applyFill="1" applyBorder="1" applyAlignment="1">
      <alignment wrapText="1"/>
    </xf>
    <xf numFmtId="208" fontId="93" fillId="0" borderId="113" xfId="79" applyNumberFormat="1" applyFont="1" applyBorder="1" applyAlignment="1">
      <alignment horizontal="right" wrapText="1"/>
    </xf>
    <xf numFmtId="208" fontId="93" fillId="0" borderId="115" xfId="79" applyNumberFormat="1" applyFont="1" applyBorder="1" applyAlignment="1">
      <alignment horizontal="right" wrapText="1"/>
    </xf>
    <xf numFmtId="0" fontId="93" fillId="0" borderId="414" xfId="79" applyFont="1" applyBorder="1" applyAlignment="1">
      <alignment wrapText="1"/>
    </xf>
    <xf numFmtId="0" fontId="93" fillId="0" borderId="471" xfId="79" applyFont="1" applyBorder="1" applyAlignment="1">
      <alignment wrapText="1"/>
    </xf>
    <xf numFmtId="0" fontId="93" fillId="0" borderId="415" xfId="79" applyFont="1" applyBorder="1" applyAlignment="1">
      <alignment horizontal="center" wrapText="1"/>
    </xf>
    <xf numFmtId="0" fontId="93" fillId="0" borderId="441" xfId="79" applyFont="1" applyBorder="1" applyAlignment="1">
      <alignment horizontal="center" wrapText="1"/>
    </xf>
    <xf numFmtId="0" fontId="93" fillId="0" borderId="417" xfId="79" applyFont="1" applyBorder="1" applyAlignment="1">
      <alignment horizontal="left" wrapText="1"/>
    </xf>
    <xf numFmtId="0" fontId="93" fillId="0" borderId="421" xfId="79" applyFont="1" applyBorder="1" applyAlignment="1">
      <alignment horizontal="left" wrapText="1"/>
    </xf>
    <xf numFmtId="0" fontId="93" fillId="0" borderId="421" xfId="79" applyFont="1" applyBorder="1" applyAlignment="1">
      <alignment horizontal="center" wrapText="1"/>
    </xf>
    <xf numFmtId="0" fontId="93" fillId="0" borderId="440" xfId="79" applyFont="1" applyBorder="1" applyAlignment="1">
      <alignment horizontal="left" wrapText="1"/>
    </xf>
    <xf numFmtId="0" fontId="93" fillId="71" borderId="440" xfId="79" applyFont="1" applyFill="1" applyBorder="1" applyAlignment="1">
      <alignment horizontal="left" wrapText="1"/>
    </xf>
    <xf numFmtId="0" fontId="93" fillId="0" borderId="414" xfId="79" applyFont="1" applyBorder="1" applyAlignment="1">
      <alignment horizontal="left" wrapText="1"/>
    </xf>
    <xf numFmtId="212" fontId="93" fillId="0" borderId="413" xfId="79" applyNumberFormat="1" applyFont="1" applyBorder="1" applyAlignment="1">
      <alignment wrapText="1"/>
    </xf>
    <xf numFmtId="206" fontId="93" fillId="0" borderId="413" xfId="79" applyNumberFormat="1" applyFont="1" applyBorder="1" applyAlignment="1">
      <alignment wrapText="1"/>
    </xf>
    <xf numFmtId="0" fontId="93" fillId="83" borderId="415" xfId="79" applyFont="1" applyFill="1" applyBorder="1" applyAlignment="1">
      <alignment wrapText="1"/>
    </xf>
    <xf numFmtId="0" fontId="93" fillId="83" borderId="441" xfId="79" applyFont="1" applyFill="1" applyBorder="1" applyAlignment="1">
      <alignment wrapText="1"/>
    </xf>
    <xf numFmtId="206" fontId="93" fillId="70" borderId="415" xfId="79" applyNumberFormat="1" applyFont="1" applyFill="1" applyBorder="1" applyAlignment="1">
      <alignment wrapText="1"/>
    </xf>
    <xf numFmtId="193" fontId="93" fillId="70" borderId="415" xfId="79" applyNumberFormat="1" applyFont="1" applyFill="1" applyBorder="1" applyAlignment="1">
      <alignment wrapText="1"/>
    </xf>
    <xf numFmtId="213" fontId="93" fillId="70" borderId="415" xfId="79" applyNumberFormat="1" applyFont="1" applyFill="1" applyBorder="1" applyAlignment="1">
      <alignment wrapText="1"/>
    </xf>
    <xf numFmtId="0" fontId="93" fillId="70" borderId="415" xfId="79" applyFont="1" applyFill="1" applyBorder="1" applyAlignment="1">
      <alignment wrapText="1"/>
    </xf>
    <xf numFmtId="213" fontId="93" fillId="0" borderId="413" xfId="79" applyNumberFormat="1" applyFont="1" applyBorder="1" applyAlignment="1">
      <alignment wrapText="1"/>
    </xf>
    <xf numFmtId="213" fontId="93" fillId="0" borderId="415" xfId="79" applyNumberFormat="1" applyFont="1" applyBorder="1" applyAlignment="1">
      <alignment wrapText="1"/>
    </xf>
    <xf numFmtId="191" fontId="93" fillId="0" borderId="413" xfId="106" applyNumberFormat="1" applyFont="1" applyBorder="1" applyAlignment="1">
      <alignment horizontal="right" wrapText="1"/>
    </xf>
    <xf numFmtId="214" fontId="93" fillId="0" borderId="413" xfId="0" applyNumberFormat="1" applyFont="1" applyBorder="1" applyAlignment="1">
      <alignment wrapText="1"/>
    </xf>
    <xf numFmtId="196" fontId="93" fillId="0" borderId="413" xfId="0" applyNumberFormat="1" applyFont="1" applyBorder="1" applyAlignment="1">
      <alignment horizontal="right" wrapText="1"/>
    </xf>
    <xf numFmtId="215" fontId="93" fillId="0" borderId="413" xfId="0" applyNumberFormat="1" applyFont="1" applyBorder="1" applyAlignment="1">
      <alignment wrapText="1"/>
    </xf>
    <xf numFmtId="216" fontId="93" fillId="0" borderId="413" xfId="0" applyNumberFormat="1" applyFont="1" applyBorder="1" applyAlignment="1">
      <alignment wrapText="1"/>
    </xf>
    <xf numFmtId="0" fontId="93" fillId="0" borderId="413" xfId="106" applyFont="1" applyBorder="1" applyAlignment="1">
      <alignment horizontal="left" wrapText="1"/>
    </xf>
    <xf numFmtId="0" fontId="94" fillId="64" borderId="0" xfId="0" applyFont="1" applyFill="1"/>
    <xf numFmtId="0" fontId="94" fillId="0" borderId="0" xfId="0" applyFont="1"/>
    <xf numFmtId="0" fontId="111" fillId="64" borderId="0" xfId="0" applyFont="1" applyFill="1"/>
    <xf numFmtId="0" fontId="93" fillId="0" borderId="0" xfId="0" applyFont="1"/>
    <xf numFmtId="0" fontId="94" fillId="0" borderId="226" xfId="0" applyFont="1" applyBorder="1" applyAlignment="1">
      <alignment horizontal="center" vertical="center"/>
    </xf>
    <xf numFmtId="0" fontId="94" fillId="0" borderId="0" xfId="0" applyFont="1" applyAlignment="1">
      <alignment horizontal="center" vertical="center"/>
    </xf>
    <xf numFmtId="0" fontId="94" fillId="0" borderId="377" xfId="0" applyFont="1" applyBorder="1" applyAlignment="1">
      <alignment horizontal="center" vertical="center"/>
    </xf>
    <xf numFmtId="0" fontId="93" fillId="0" borderId="226" xfId="0" applyFont="1" applyBorder="1"/>
    <xf numFmtId="0" fontId="93" fillId="0" borderId="377" xfId="0" applyFont="1" applyBorder="1"/>
    <xf numFmtId="3" fontId="80" fillId="64" borderId="226" xfId="0" applyNumberFormat="1" applyFont="1" applyFill="1" applyBorder="1"/>
    <xf numFmtId="3" fontId="80" fillId="64" borderId="0" xfId="0" applyNumberFormat="1" applyFont="1" applyFill="1"/>
    <xf numFmtId="3" fontId="80" fillId="64" borderId="377" xfId="0" applyNumberFormat="1" applyFont="1" applyFill="1" applyBorder="1"/>
    <xf numFmtId="3" fontId="80" fillId="64" borderId="375" xfId="0" applyNumberFormat="1" applyFont="1" applyFill="1" applyBorder="1"/>
    <xf numFmtId="3" fontId="80" fillId="64" borderId="241" xfId="0" applyNumberFormat="1" applyFont="1" applyFill="1" applyBorder="1"/>
    <xf numFmtId="3" fontId="80" fillId="64" borderId="374" xfId="0" applyNumberFormat="1" applyFont="1" applyFill="1" applyBorder="1"/>
    <xf numFmtId="3" fontId="80" fillId="64" borderId="320" xfId="0" applyNumberFormat="1" applyFont="1" applyFill="1" applyBorder="1"/>
    <xf numFmtId="3" fontId="80" fillId="64" borderId="380" xfId="0" applyNumberFormat="1" applyFont="1" applyFill="1" applyBorder="1"/>
    <xf numFmtId="3" fontId="80" fillId="64" borderId="376" xfId="0" applyNumberFormat="1" applyFont="1" applyFill="1" applyBorder="1"/>
    <xf numFmtId="0" fontId="93" fillId="0" borderId="421" xfId="0" applyFont="1" applyBorder="1" applyAlignment="1">
      <alignment horizontal="center" vertical="center" wrapText="1"/>
    </xf>
    <xf numFmtId="0" fontId="93" fillId="71" borderId="421" xfId="0" applyFont="1" applyFill="1" applyBorder="1" applyAlignment="1">
      <alignment horizontal="center" wrapText="1"/>
    </xf>
    <xf numFmtId="0" fontId="76" fillId="0" borderId="391" xfId="69" applyFont="1" applyBorder="1" applyAlignment="1">
      <alignment horizontal="center" vertical="center" wrapText="1"/>
    </xf>
    <xf numFmtId="0" fontId="76" fillId="0" borderId="392" xfId="69" applyFont="1" applyBorder="1" applyAlignment="1">
      <alignment horizontal="center" vertical="center" wrapText="1"/>
    </xf>
    <xf numFmtId="0" fontId="76" fillId="0" borderId="393" xfId="69" applyFont="1" applyBorder="1" applyAlignment="1">
      <alignment horizontal="center" vertical="center" wrapText="1"/>
    </xf>
    <xf numFmtId="0" fontId="79" fillId="0" borderId="0" xfId="69" applyFont="1"/>
    <xf numFmtId="6" fontId="80" fillId="0" borderId="394" xfId="69" applyNumberFormat="1" applyFont="1" applyBorder="1"/>
    <xf numFmtId="6" fontId="45" fillId="0" borderId="395" xfId="69" applyNumberFormat="1" applyFont="1" applyBorder="1"/>
    <xf numFmtId="182" fontId="45" fillId="0" borderId="396" xfId="69" applyNumberFormat="1" applyFont="1" applyBorder="1"/>
    <xf numFmtId="182" fontId="45" fillId="0" borderId="397" xfId="69" applyNumberFormat="1" applyFont="1" applyBorder="1"/>
    <xf numFmtId="182" fontId="45" fillId="0" borderId="398" xfId="69" applyNumberFormat="1" applyFont="1" applyBorder="1"/>
    <xf numFmtId="186" fontId="45" fillId="0" borderId="0" xfId="69" applyNumberFormat="1" applyFont="1"/>
    <xf numFmtId="6" fontId="81" fillId="0" borderId="0" xfId="69" applyNumberFormat="1" applyFont="1"/>
    <xf numFmtId="15" fontId="91" fillId="0" borderId="413" xfId="0" applyNumberFormat="1" applyFont="1" applyBorder="1" applyAlignment="1">
      <alignment horizontal="center" vertical="top" wrapText="1"/>
    </xf>
    <xf numFmtId="15" fontId="91" fillId="0" borderId="414" xfId="0" applyNumberFormat="1" applyFont="1" applyBorder="1" applyAlignment="1">
      <alignment vertical="center" wrapText="1"/>
    </xf>
    <xf numFmtId="165" fontId="93" fillId="77" borderId="413" xfId="28" applyNumberFormat="1" applyFont="1" applyFill="1" applyBorder="1" applyAlignment="1">
      <alignment wrapText="1"/>
    </xf>
    <xf numFmtId="165" fontId="93" fillId="0" borderId="413" xfId="28" applyNumberFormat="1" applyFont="1" applyBorder="1" applyAlignment="1">
      <alignment wrapText="1"/>
    </xf>
    <xf numFmtId="14" fontId="93" fillId="77" borderId="413" xfId="0" applyNumberFormat="1" applyFont="1" applyFill="1" applyBorder="1" applyAlignment="1">
      <alignment wrapText="1"/>
    </xf>
    <xf numFmtId="14" fontId="93" fillId="77" borderId="413" xfId="0" applyNumberFormat="1" applyFont="1" applyFill="1" applyBorder="1" applyAlignment="1">
      <alignment horizontal="right" wrapText="1"/>
    </xf>
    <xf numFmtId="14" fontId="93" fillId="0" borderId="413" xfId="0" applyNumberFormat="1" applyFont="1" applyBorder="1" applyAlignment="1">
      <alignment horizontal="right" wrapText="1"/>
    </xf>
    <xf numFmtId="0" fontId="93" fillId="69" borderId="416" xfId="0" applyFont="1" applyFill="1" applyBorder="1" applyAlignment="1">
      <alignment wrapText="1"/>
    </xf>
    <xf numFmtId="0" fontId="93" fillId="69" borderId="441" xfId="0" applyFont="1" applyFill="1" applyBorder="1" applyAlignment="1">
      <alignment wrapText="1"/>
    </xf>
    <xf numFmtId="0" fontId="45" fillId="64" borderId="0" xfId="79" applyFont="1" applyFill="1"/>
    <xf numFmtId="0" fontId="45" fillId="61" borderId="0" xfId="79" applyFont="1" applyFill="1"/>
    <xf numFmtId="0" fontId="76" fillId="61" borderId="0" xfId="79" applyFont="1" applyFill="1"/>
    <xf numFmtId="0" fontId="76" fillId="61" borderId="0" xfId="79" applyFont="1" applyFill="1" applyAlignment="1">
      <alignment horizontal="center" wrapText="1"/>
    </xf>
    <xf numFmtId="43" fontId="100" fillId="61" borderId="0" xfId="81" applyFont="1" applyFill="1" applyAlignment="1">
      <alignment horizontal="center" wrapText="1"/>
    </xf>
    <xf numFmtId="43" fontId="100" fillId="59" borderId="0" xfId="81" applyFont="1" applyFill="1" applyAlignment="1">
      <alignment horizontal="center"/>
    </xf>
    <xf numFmtId="0" fontId="79" fillId="59" borderId="0" xfId="0" applyFont="1" applyFill="1"/>
    <xf numFmtId="44" fontId="98" fillId="0" borderId="0" xfId="30" applyFont="1" applyFill="1"/>
    <xf numFmtId="9" fontId="106" fillId="0" borderId="0" xfId="55" applyFont="1" applyFill="1"/>
    <xf numFmtId="9" fontId="107" fillId="0" borderId="0" xfId="83" applyNumberFormat="1" applyFont="1"/>
    <xf numFmtId="17" fontId="45" fillId="0" borderId="0" xfId="84" quotePrefix="1" applyNumberFormat="1" applyFont="1"/>
    <xf numFmtId="0" fontId="76" fillId="0" borderId="0" xfId="84" applyFont="1"/>
    <xf numFmtId="44" fontId="76" fillId="0" borderId="0" xfId="85" applyFont="1" applyAlignment="1"/>
    <xf numFmtId="43" fontId="100" fillId="59" borderId="0" xfId="86" applyFont="1" applyFill="1" applyAlignment="1">
      <alignment horizontal="center"/>
    </xf>
    <xf numFmtId="0" fontId="100" fillId="0" borderId="0" xfId="88" applyFont="1" applyAlignment="1">
      <alignment horizontal="center"/>
    </xf>
    <xf numFmtId="44" fontId="100" fillId="0" borderId="237" xfId="85" applyFont="1" applyBorder="1"/>
    <xf numFmtId="0" fontId="99" fillId="0" borderId="0" xfId="88" applyFont="1" applyAlignment="1">
      <alignment horizontal="right"/>
    </xf>
    <xf numFmtId="44" fontId="101" fillId="0" borderId="0" xfId="85" applyFont="1"/>
    <xf numFmtId="0" fontId="79" fillId="0" borderId="0" xfId="88" applyFont="1" applyAlignment="1">
      <alignment horizontal="right"/>
    </xf>
    <xf numFmtId="44" fontId="79" fillId="0" borderId="0" xfId="85" applyFont="1"/>
    <xf numFmtId="0" fontId="76" fillId="59" borderId="118" xfId="88" applyFont="1" applyFill="1" applyBorder="1"/>
    <xf numFmtId="44" fontId="100" fillId="54" borderId="118" xfId="89" applyNumberFormat="1" applyFont="1" applyFill="1" applyBorder="1" applyAlignment="1">
      <alignment horizontal="center"/>
    </xf>
    <xf numFmtId="44" fontId="100" fillId="54" borderId="353" xfId="89" applyNumberFormat="1" applyFont="1" applyFill="1" applyBorder="1" applyAlignment="1">
      <alignment horizontal="center"/>
    </xf>
    <xf numFmtId="44" fontId="92" fillId="67" borderId="377" xfId="89" applyNumberFormat="1" applyFont="1" applyFill="1" applyBorder="1" applyAlignment="1">
      <alignment horizontal="center"/>
    </xf>
    <xf numFmtId="44" fontId="100" fillId="67" borderId="377" xfId="89" applyNumberFormat="1" applyFont="1" applyFill="1" applyBorder="1" applyAlignment="1">
      <alignment horizontal="center"/>
    </xf>
    <xf numFmtId="17" fontId="45" fillId="0" borderId="0" xfId="79" applyNumberFormat="1" applyFont="1"/>
    <xf numFmtId="0" fontId="45" fillId="0" borderId="410" xfId="96" applyFont="1" applyBorder="1"/>
    <xf numFmtId="0" fontId="45" fillId="57" borderId="0" xfId="96" applyFont="1" applyFill="1"/>
    <xf numFmtId="14" fontId="5" fillId="0" borderId="0" xfId="106" applyNumberFormat="1"/>
    <xf numFmtId="3" fontId="5" fillId="0" borderId="0" xfId="106" applyNumberFormat="1"/>
    <xf numFmtId="0" fontId="45" fillId="57" borderId="0" xfId="79" applyFont="1" applyFill="1"/>
    <xf numFmtId="0" fontId="76" fillId="57" borderId="0" xfId="84" applyFont="1" applyFill="1"/>
    <xf numFmtId="14" fontId="93" fillId="0" borderId="0" xfId="0" applyNumberFormat="1" applyFont="1"/>
    <xf numFmtId="3" fontId="93" fillId="0" borderId="413" xfId="0" applyNumberFormat="1" applyFont="1" applyBorder="1" applyAlignment="1">
      <alignment wrapText="1"/>
    </xf>
    <xf numFmtId="0" fontId="45" fillId="0" borderId="479" xfId="96" applyFont="1" applyBorder="1"/>
    <xf numFmtId="165" fontId="45" fillId="0" borderId="479" xfId="28" applyNumberFormat="1" applyFont="1" applyFill="1" applyBorder="1" applyAlignment="1">
      <alignment horizontal="center"/>
    </xf>
    <xf numFmtId="165" fontId="45" fillId="0" borderId="116" xfId="28" applyNumberFormat="1" applyFont="1" applyBorder="1" applyAlignment="1"/>
    <xf numFmtId="165" fontId="93" fillId="0" borderId="413" xfId="28" applyNumberFormat="1" applyFont="1" applyBorder="1" applyAlignment="1">
      <alignment horizontal="right" wrapText="1"/>
    </xf>
    <xf numFmtId="0" fontId="93" fillId="0" borderId="480" xfId="79" applyFont="1" applyBorder="1" applyAlignment="1">
      <alignment horizontal="left" wrapText="1"/>
    </xf>
    <xf numFmtId="0" fontId="94" fillId="71" borderId="458" xfId="79" applyFont="1" applyFill="1" applyBorder="1" applyAlignment="1">
      <alignment wrapText="1"/>
    </xf>
    <xf numFmtId="0" fontId="94" fillId="71" borderId="459" xfId="79" applyFont="1" applyFill="1" applyBorder="1" applyAlignment="1">
      <alignment wrapText="1"/>
    </xf>
    <xf numFmtId="0" fontId="94" fillId="71" borderId="460" xfId="79" applyFont="1" applyFill="1" applyBorder="1" applyAlignment="1">
      <alignment wrapText="1"/>
    </xf>
    <xf numFmtId="43" fontId="45" fillId="0" borderId="0" xfId="0" applyNumberFormat="1" applyFont="1"/>
    <xf numFmtId="190" fontId="79" fillId="59" borderId="0" xfId="108" applyNumberFormat="1" applyFont="1" applyFill="1"/>
    <xf numFmtId="0" fontId="93" fillId="0" borderId="414" xfId="0" applyFont="1" applyBorder="1" applyAlignment="1">
      <alignment horizontal="center" vertical="center" wrapText="1"/>
    </xf>
    <xf numFmtId="217" fontId="93" fillId="0" borderId="413" xfId="0" applyNumberFormat="1" applyFont="1" applyBorder="1" applyAlignment="1">
      <alignment horizontal="left" wrapText="1"/>
    </xf>
    <xf numFmtId="190" fontId="79" fillId="59" borderId="0" xfId="0" applyNumberFormat="1" applyFont="1" applyFill="1"/>
    <xf numFmtId="204" fontId="79" fillId="59" borderId="0" xfId="0" applyNumberFormat="1" applyFont="1" applyFill="1"/>
    <xf numFmtId="43" fontId="45" fillId="0" borderId="0" xfId="106" applyNumberFormat="1" applyFont="1"/>
    <xf numFmtId="3" fontId="79" fillId="59" borderId="0" xfId="0" applyNumberFormat="1" applyFont="1" applyFill="1"/>
    <xf numFmtId="4" fontId="79" fillId="59" borderId="241" xfId="94" applyNumberFormat="1" applyFont="1" applyFill="1" applyBorder="1" applyAlignment="1">
      <alignment horizontal="right"/>
    </xf>
    <xf numFmtId="43" fontId="80" fillId="59" borderId="0" xfId="28" applyFont="1" applyFill="1" applyBorder="1"/>
    <xf numFmtId="165" fontId="79" fillId="59" borderId="377" xfId="94" applyNumberFormat="1" applyFont="1" applyFill="1" applyBorder="1"/>
    <xf numFmtId="165" fontId="80" fillId="57" borderId="0" xfId="28" applyNumberFormat="1" applyFont="1" applyFill="1" applyBorder="1"/>
    <xf numFmtId="0" fontId="45" fillId="57" borderId="402" xfId="0" applyFont="1" applyFill="1" applyBorder="1"/>
    <xf numFmtId="37" fontId="101" fillId="57" borderId="0" xfId="0" applyNumberFormat="1" applyFont="1" applyFill="1"/>
    <xf numFmtId="43" fontId="101" fillId="57" borderId="0" xfId="28" applyFont="1" applyFill="1" applyBorder="1"/>
    <xf numFmtId="0" fontId="45" fillId="0" borderId="0" xfId="84" applyFont="1" applyAlignment="1">
      <alignment wrapText="1"/>
    </xf>
    <xf numFmtId="14" fontId="45" fillId="0" borderId="0" xfId="84" applyNumberFormat="1" applyFont="1" applyAlignment="1">
      <alignment wrapText="1"/>
    </xf>
    <xf numFmtId="0" fontId="76" fillId="59" borderId="0" xfId="84" applyFont="1" applyFill="1" applyAlignment="1">
      <alignment horizontal="left" wrapText="1"/>
    </xf>
    <xf numFmtId="0" fontId="76" fillId="0" borderId="0" xfId="84" applyFont="1" applyAlignment="1">
      <alignment wrapText="1"/>
    </xf>
    <xf numFmtId="0" fontId="45" fillId="59" borderId="0" xfId="0" applyFont="1" applyFill="1"/>
    <xf numFmtId="0" fontId="76" fillId="57" borderId="0" xfId="0" applyFont="1" applyFill="1"/>
    <xf numFmtId="0" fontId="45" fillId="0" borderId="0" xfId="0" applyFont="1" applyAlignment="1">
      <alignment horizontal="center" wrapText="1"/>
    </xf>
    <xf numFmtId="0" fontId="99" fillId="0" borderId="0" xfId="102" applyFont="1"/>
    <xf numFmtId="0" fontId="93" fillId="0" borderId="0" xfId="104" quotePrefix="1" applyNumberFormat="1" applyFont="1" applyFill="1" applyBorder="1" applyAlignment="1"/>
    <xf numFmtId="44" fontId="101" fillId="0" borderId="0" xfId="30" applyFont="1" applyFill="1"/>
    <xf numFmtId="0" fontId="93" fillId="0" borderId="0" xfId="104" quotePrefix="1" applyNumberFormat="1" applyFont="1" applyFill="1" applyBorder="1" applyAlignment="1">
      <alignment horizontal="right"/>
    </xf>
    <xf numFmtId="4" fontId="93" fillId="0" borderId="0" xfId="104" quotePrefix="1" applyNumberFormat="1" applyFont="1" applyFill="1" applyBorder="1" applyAlignment="1"/>
    <xf numFmtId="0" fontId="94" fillId="57" borderId="0" xfId="104" quotePrefix="1" applyNumberFormat="1" applyFont="1" applyFill="1" applyBorder="1" applyAlignment="1">
      <alignment horizontal="right"/>
    </xf>
    <xf numFmtId="0" fontId="94" fillId="57" borderId="0" xfId="104" quotePrefix="1" applyNumberFormat="1" applyFont="1" applyFill="1" applyBorder="1" applyAlignment="1"/>
    <xf numFmtId="44" fontId="95" fillId="57" borderId="0" xfId="30" applyFont="1" applyFill="1"/>
    <xf numFmtId="44" fontId="100" fillId="57" borderId="0" xfId="30" applyFont="1" applyFill="1"/>
    <xf numFmtId="43" fontId="79" fillId="0" borderId="0" xfId="28" applyFont="1" applyFill="1"/>
    <xf numFmtId="4" fontId="94" fillId="57" borderId="0" xfId="104" quotePrefix="1" applyNumberFormat="1" applyFont="1" applyFill="1" applyBorder="1" applyAlignment="1"/>
    <xf numFmtId="0" fontId="77" fillId="59" borderId="0" xfId="104" quotePrefix="1" applyNumberFormat="1" applyFont="1" applyFill="1" applyBorder="1" applyAlignment="1"/>
    <xf numFmtId="44" fontId="77" fillId="59" borderId="0" xfId="30" applyFont="1" applyFill="1"/>
    <xf numFmtId="0" fontId="45" fillId="0" borderId="0" xfId="104" quotePrefix="1" applyNumberFormat="1" applyFont="1" applyFill="1" applyBorder="1" applyAlignment="1"/>
    <xf numFmtId="44" fontId="101" fillId="57" borderId="0" xfId="30" applyFont="1" applyFill="1"/>
    <xf numFmtId="43" fontId="45" fillId="0" borderId="0" xfId="28" applyFont="1" applyFill="1"/>
    <xf numFmtId="0" fontId="76" fillId="57" borderId="0" xfId="104" quotePrefix="1" applyNumberFormat="1" applyFont="1" applyFill="1" applyBorder="1" applyAlignment="1"/>
    <xf numFmtId="170" fontId="79" fillId="59" borderId="0" xfId="0" applyNumberFormat="1" applyFont="1" applyFill="1"/>
    <xf numFmtId="0" fontId="79" fillId="59" borderId="0" xfId="0" applyFont="1" applyFill="1" applyAlignment="1">
      <alignment wrapText="1"/>
    </xf>
    <xf numFmtId="43" fontId="45" fillId="0" borderId="0" xfId="28" applyFont="1" applyFill="1" applyBorder="1" applyAlignment="1">
      <alignment horizontal="right"/>
    </xf>
    <xf numFmtId="44" fontId="95" fillId="0" borderId="237" xfId="30" applyFont="1" applyFill="1" applyBorder="1"/>
    <xf numFmtId="44" fontId="95" fillId="0" borderId="0" xfId="30" applyFont="1" applyFill="1" applyBorder="1"/>
    <xf numFmtId="0" fontId="79" fillId="0" borderId="0" xfId="0" applyFont="1" applyAlignment="1">
      <alignment horizontal="right"/>
    </xf>
    <xf numFmtId="165" fontId="79" fillId="59" borderId="0" xfId="0" applyNumberFormat="1" applyFont="1" applyFill="1"/>
    <xf numFmtId="0" fontId="79" fillId="59" borderId="0" xfId="102" applyFont="1" applyFill="1"/>
    <xf numFmtId="165" fontId="101" fillId="0" borderId="0" xfId="28" applyNumberFormat="1" applyFont="1" applyFill="1"/>
    <xf numFmtId="4" fontId="79" fillId="59" borderId="0" xfId="94" applyNumberFormat="1" applyFont="1" applyFill="1" applyAlignment="1">
      <alignment horizontal="right"/>
    </xf>
    <xf numFmtId="165" fontId="79" fillId="59" borderId="0" xfId="71" applyNumberFormat="1" applyFont="1" applyFill="1" applyBorder="1" applyAlignment="1">
      <alignment horizontal="center"/>
    </xf>
    <xf numFmtId="165" fontId="79" fillId="59" borderId="0" xfId="71" applyNumberFormat="1" applyFont="1" applyFill="1" applyBorder="1"/>
    <xf numFmtId="43" fontId="79" fillId="59" borderId="0" xfId="28" applyFont="1" applyFill="1"/>
    <xf numFmtId="165" fontId="45" fillId="59" borderId="0" xfId="71" applyNumberFormat="1" applyFont="1" applyFill="1" applyBorder="1"/>
    <xf numFmtId="0" fontId="76" fillId="57" borderId="413" xfId="0" applyFont="1" applyFill="1" applyBorder="1" applyAlignment="1">
      <alignment horizontal="center" vertical="center"/>
    </xf>
    <xf numFmtId="0" fontId="76" fillId="57" borderId="353" xfId="0" applyFont="1" applyFill="1" applyBorder="1" applyAlignment="1">
      <alignment horizontal="center" vertical="center"/>
    </xf>
    <xf numFmtId="37" fontId="92" fillId="57" borderId="417" xfId="0" applyNumberFormat="1" applyFont="1" applyFill="1" applyBorder="1"/>
    <xf numFmtId="165" fontId="76" fillId="57" borderId="116" xfId="28" applyNumberFormat="1" applyFont="1" applyFill="1" applyBorder="1" applyAlignment="1">
      <alignment horizontal="center"/>
    </xf>
    <xf numFmtId="165" fontId="76" fillId="57" borderId="116" xfId="71" applyNumberFormat="1" applyFont="1" applyFill="1" applyBorder="1"/>
    <xf numFmtId="165" fontId="76" fillId="57" borderId="115" xfId="71" applyNumberFormat="1" applyFont="1" applyFill="1" applyBorder="1"/>
    <xf numFmtId="165" fontId="77" fillId="59" borderId="0" xfId="94" applyNumberFormat="1" applyFont="1" applyFill="1"/>
    <xf numFmtId="165" fontId="45" fillId="0" borderId="116" xfId="71" applyNumberFormat="1" applyFont="1" applyFill="1" applyBorder="1" applyAlignment="1">
      <alignment wrapText="1"/>
    </xf>
    <xf numFmtId="165" fontId="76" fillId="0" borderId="116" xfId="71" applyNumberFormat="1" applyFont="1" applyFill="1" applyBorder="1" applyAlignment="1">
      <alignment wrapText="1"/>
    </xf>
    <xf numFmtId="37" fontId="76" fillId="57" borderId="116" xfId="71" applyNumberFormat="1" applyFont="1" applyFill="1" applyBorder="1" applyAlignment="1">
      <alignment wrapText="1"/>
    </xf>
    <xf numFmtId="165" fontId="76" fillId="58" borderId="113" xfId="28" applyNumberFormat="1" applyFont="1" applyFill="1" applyBorder="1" applyAlignment="1">
      <alignment wrapText="1"/>
    </xf>
    <xf numFmtId="0" fontId="77" fillId="0" borderId="0" xfId="94" applyFont="1"/>
    <xf numFmtId="0" fontId="76" fillId="57" borderId="115" xfId="0" applyFont="1" applyFill="1" applyBorder="1" applyAlignment="1">
      <alignment horizontal="center" vertical="center"/>
    </xf>
    <xf numFmtId="165" fontId="76" fillId="57" borderId="116" xfId="71" applyNumberFormat="1" applyFont="1" applyFill="1" applyBorder="1" applyAlignment="1">
      <alignment wrapText="1"/>
    </xf>
    <xf numFmtId="40" fontId="79" fillId="59" borderId="0" xfId="94" applyNumberFormat="1" applyFont="1" applyFill="1"/>
    <xf numFmtId="165" fontId="76" fillId="87" borderId="116" xfId="28" applyNumberFormat="1" applyFont="1" applyFill="1" applyBorder="1" applyAlignment="1">
      <alignment horizontal="center"/>
    </xf>
    <xf numFmtId="165" fontId="101" fillId="0" borderId="116" xfId="28" applyNumberFormat="1" applyFont="1" applyFill="1" applyBorder="1"/>
    <xf numFmtId="193" fontId="93" fillId="0" borderId="416" xfId="0" applyNumberFormat="1" applyFont="1" applyBorder="1" applyAlignment="1">
      <alignment wrapText="1"/>
    </xf>
    <xf numFmtId="0" fontId="93" fillId="0" borderId="413" xfId="0" applyFont="1" applyBorder="1" applyAlignment="1">
      <alignment wrapText="1" indent="4"/>
    </xf>
    <xf numFmtId="37" fontId="91" fillId="0" borderId="417" xfId="0" applyNumberFormat="1" applyFont="1" applyBorder="1"/>
    <xf numFmtId="43" fontId="79" fillId="59" borderId="0" xfId="95" applyNumberFormat="1" applyFont="1" applyFill="1"/>
    <xf numFmtId="165" fontId="115" fillId="0" borderId="116" xfId="28" applyNumberFormat="1" applyFont="1" applyFill="1" applyBorder="1"/>
    <xf numFmtId="165" fontId="101" fillId="0" borderId="428" xfId="28" applyNumberFormat="1" applyFont="1" applyFill="1" applyBorder="1"/>
    <xf numFmtId="43" fontId="80" fillId="0" borderId="428" xfId="28" applyFont="1" applyFill="1" applyBorder="1"/>
    <xf numFmtId="165" fontId="101" fillId="0" borderId="479" xfId="28" applyNumberFormat="1" applyFont="1" applyFill="1" applyBorder="1"/>
    <xf numFmtId="165" fontId="101" fillId="0" borderId="426" xfId="28" applyNumberFormat="1" applyFont="1" applyFill="1" applyBorder="1"/>
    <xf numFmtId="0" fontId="76" fillId="57" borderId="427" xfId="96" applyFont="1" applyFill="1" applyBorder="1"/>
    <xf numFmtId="0" fontId="76" fillId="57" borderId="426" xfId="96" applyFont="1" applyFill="1" applyBorder="1"/>
    <xf numFmtId="165" fontId="95" fillId="57" borderId="426" xfId="28" applyNumberFormat="1" applyFont="1" applyFill="1" applyBorder="1"/>
    <xf numFmtId="165" fontId="76" fillId="57" borderId="426" xfId="28" applyNumberFormat="1" applyFont="1" applyFill="1" applyBorder="1" applyAlignment="1">
      <alignment horizontal="center"/>
    </xf>
    <xf numFmtId="165" fontId="76" fillId="57" borderId="426" xfId="28" applyNumberFormat="1" applyFont="1" applyFill="1" applyBorder="1"/>
    <xf numFmtId="165" fontId="76" fillId="57" borderId="116" xfId="28" applyNumberFormat="1" applyFont="1" applyFill="1" applyBorder="1" applyAlignment="1">
      <alignment horizontal="left"/>
    </xf>
    <xf numFmtId="0" fontId="76" fillId="57" borderId="0" xfId="96" applyFont="1" applyFill="1"/>
    <xf numFmtId="165" fontId="77" fillId="59" borderId="0" xfId="96" applyNumberFormat="1" applyFont="1" applyFill="1"/>
    <xf numFmtId="4" fontId="48" fillId="0" borderId="0" xfId="0" applyNumberFormat="1" applyFont="1"/>
    <xf numFmtId="4" fontId="5" fillId="0" borderId="0" xfId="106" applyNumberFormat="1"/>
    <xf numFmtId="170" fontId="0" fillId="0" borderId="0" xfId="0" applyNumberFormat="1"/>
    <xf numFmtId="0" fontId="76" fillId="0" borderId="411" xfId="96" applyFont="1" applyBorder="1" applyAlignment="1">
      <alignment horizontal="center"/>
    </xf>
    <xf numFmtId="0" fontId="77" fillId="0" borderId="116" xfId="95" applyFont="1" applyBorder="1"/>
    <xf numFmtId="165" fontId="77" fillId="0" borderId="116" xfId="28" applyNumberFormat="1" applyFont="1" applyFill="1" applyBorder="1"/>
    <xf numFmtId="165" fontId="77" fillId="0" borderId="116" xfId="28" applyNumberFormat="1" applyFont="1" applyBorder="1"/>
    <xf numFmtId="165" fontId="77" fillId="0" borderId="116" xfId="28" applyNumberFormat="1" applyFont="1" applyBorder="1" applyAlignment="1">
      <alignment horizontal="center"/>
    </xf>
    <xf numFmtId="0" fontId="77" fillId="0" borderId="410" xfId="95" applyFont="1" applyBorder="1"/>
    <xf numFmtId="165" fontId="77" fillId="0" borderId="410" xfId="28" applyNumberFormat="1" applyFont="1" applyFill="1" applyBorder="1"/>
    <xf numFmtId="165" fontId="77" fillId="0" borderId="410" xfId="28" applyNumberFormat="1" applyFont="1" applyBorder="1"/>
    <xf numFmtId="165" fontId="77" fillId="0" borderId="410" xfId="28" applyNumberFormat="1" applyFont="1" applyBorder="1" applyAlignment="1">
      <alignment horizontal="center"/>
    </xf>
    <xf numFmtId="43" fontId="77" fillId="0" borderId="11" xfId="28" applyFont="1" applyFill="1" applyBorder="1" applyAlignment="1">
      <alignment horizontal="center"/>
    </xf>
    <xf numFmtId="43" fontId="77" fillId="59" borderId="0" xfId="28" applyFont="1" applyFill="1"/>
    <xf numFmtId="0" fontId="77" fillId="0" borderId="11" xfId="101" applyFont="1" applyBorder="1"/>
    <xf numFmtId="0" fontId="77" fillId="0" borderId="411" xfId="101" applyFont="1" applyBorder="1"/>
    <xf numFmtId="0" fontId="77" fillId="0" borderId="411" xfId="101" applyFont="1" applyBorder="1" applyAlignment="1">
      <alignment horizontal="center"/>
    </xf>
    <xf numFmtId="0" fontId="77" fillId="0" borderId="0" xfId="101" applyFont="1"/>
    <xf numFmtId="165" fontId="77" fillId="0" borderId="411" xfId="28" applyNumberFormat="1" applyFont="1" applyBorder="1"/>
    <xf numFmtId="43" fontId="77" fillId="0" borderId="411" xfId="28" applyFont="1" applyFill="1" applyBorder="1"/>
    <xf numFmtId="43" fontId="77" fillId="0" borderId="412" xfId="28" applyFont="1" applyFill="1" applyBorder="1"/>
    <xf numFmtId="165" fontId="77" fillId="0" borderId="411" xfId="71" applyNumberFormat="1" applyFont="1" applyFill="1" applyBorder="1"/>
    <xf numFmtId="165" fontId="77" fillId="0" borderId="411" xfId="28" applyNumberFormat="1" applyFont="1" applyFill="1" applyBorder="1"/>
    <xf numFmtId="0" fontId="77" fillId="57" borderId="426" xfId="96" applyFont="1" applyFill="1" applyBorder="1"/>
    <xf numFmtId="165" fontId="77" fillId="57" borderId="426" xfId="28" applyNumberFormat="1" applyFont="1" applyFill="1" applyBorder="1"/>
    <xf numFmtId="43" fontId="77" fillId="57" borderId="426" xfId="28" applyFont="1" applyFill="1" applyBorder="1"/>
    <xf numFmtId="165" fontId="77" fillId="57" borderId="116" xfId="28" applyNumberFormat="1" applyFont="1" applyFill="1" applyBorder="1" applyAlignment="1">
      <alignment horizontal="center"/>
    </xf>
    <xf numFmtId="188" fontId="77" fillId="57" borderId="411" xfId="72" applyNumberFormat="1" applyFont="1" applyFill="1" applyBorder="1" applyAlignment="1">
      <alignment horizontal="center" vertical="center"/>
    </xf>
    <xf numFmtId="43" fontId="45" fillId="0" borderId="479" xfId="28" applyFont="1" applyFill="1" applyBorder="1"/>
    <xf numFmtId="0" fontId="45" fillId="0" borderId="411" xfId="96" applyFont="1" applyBorder="1"/>
    <xf numFmtId="165" fontId="45" fillId="0" borderId="411" xfId="28" applyNumberFormat="1" applyFont="1" applyFill="1" applyBorder="1" applyAlignment="1">
      <alignment horizontal="center"/>
    </xf>
    <xf numFmtId="0" fontId="76" fillId="57" borderId="116" xfId="95" applyFont="1" applyFill="1" applyBorder="1"/>
    <xf numFmtId="165" fontId="117" fillId="57" borderId="116" xfId="28" applyNumberFormat="1" applyFont="1" applyFill="1" applyBorder="1"/>
    <xf numFmtId="165" fontId="76" fillId="57" borderId="116" xfId="28" applyNumberFormat="1" applyFont="1" applyFill="1" applyBorder="1"/>
    <xf numFmtId="0" fontId="77" fillId="57" borderId="116" xfId="95" applyFont="1" applyFill="1" applyBorder="1"/>
    <xf numFmtId="0" fontId="77" fillId="57" borderId="116" xfId="96" applyFont="1" applyFill="1" applyBorder="1"/>
    <xf numFmtId="165" fontId="77" fillId="57" borderId="116" xfId="28" applyNumberFormat="1" applyFont="1" applyFill="1" applyBorder="1"/>
    <xf numFmtId="0" fontId="76" fillId="0" borderId="411" xfId="96" applyFont="1" applyBorder="1"/>
    <xf numFmtId="0" fontId="77" fillId="57" borderId="427" xfId="96" applyFont="1" applyFill="1" applyBorder="1"/>
    <xf numFmtId="165" fontId="77" fillId="57" borderId="426" xfId="28" applyNumberFormat="1" applyFont="1" applyFill="1" applyBorder="1" applyAlignment="1">
      <alignment horizontal="center"/>
    </xf>
    <xf numFmtId="0" fontId="77" fillId="57" borderId="114" xfId="96" applyFont="1" applyFill="1" applyBorder="1"/>
    <xf numFmtId="43" fontId="79" fillId="59" borderId="0" xfId="93" applyNumberFormat="1" applyFont="1" applyFill="1"/>
    <xf numFmtId="3" fontId="79" fillId="59" borderId="0" xfId="94" applyNumberFormat="1" applyFont="1" applyFill="1" applyAlignment="1">
      <alignment horizontal="right"/>
    </xf>
    <xf numFmtId="165" fontId="77" fillId="0" borderId="11" xfId="28" applyNumberFormat="1" applyFont="1" applyFill="1" applyBorder="1"/>
    <xf numFmtId="165" fontId="79" fillId="59" borderId="11" xfId="28" applyNumberFormat="1" applyFont="1" applyFill="1" applyBorder="1"/>
    <xf numFmtId="0" fontId="45" fillId="59" borderId="0" xfId="93" applyFont="1" applyFill="1"/>
    <xf numFmtId="165" fontId="101" fillId="0" borderId="410" xfId="71" applyNumberFormat="1" applyFont="1" applyFill="1" applyBorder="1" applyAlignment="1">
      <alignment horizontal="right"/>
    </xf>
    <xf numFmtId="165" fontId="101" fillId="0" borderId="411" xfId="71" applyNumberFormat="1" applyFont="1" applyFill="1" applyBorder="1" applyAlignment="1">
      <alignment horizontal="right"/>
    </xf>
    <xf numFmtId="165" fontId="101" fillId="0" borderId="11" xfId="71" applyNumberFormat="1" applyFont="1" applyFill="1" applyBorder="1" applyAlignment="1">
      <alignment horizontal="right"/>
    </xf>
    <xf numFmtId="9" fontId="79" fillId="59" borderId="0" xfId="97" applyNumberFormat="1" applyFont="1" applyFill="1"/>
    <xf numFmtId="165" fontId="101" fillId="0" borderId="10" xfId="71" applyNumberFormat="1" applyFont="1" applyFill="1" applyBorder="1"/>
    <xf numFmtId="170" fontId="80" fillId="0" borderId="0" xfId="99" applyNumberFormat="1" applyFont="1" applyFill="1"/>
    <xf numFmtId="170" fontId="45" fillId="0" borderId="114" xfId="99" applyNumberFormat="1" applyFont="1" applyFill="1" applyBorder="1"/>
    <xf numFmtId="170" fontId="45" fillId="0" borderId="0" xfId="99" applyNumberFormat="1" applyFont="1" applyFill="1"/>
    <xf numFmtId="44" fontId="45" fillId="0" borderId="0" xfId="99" applyFont="1" applyFill="1"/>
    <xf numFmtId="165" fontId="101" fillId="0" borderId="410" xfId="28" applyNumberFormat="1" applyFont="1" applyFill="1" applyBorder="1"/>
    <xf numFmtId="165" fontId="101" fillId="0" borderId="10" xfId="28" applyNumberFormat="1" applyFont="1" applyFill="1" applyBorder="1"/>
    <xf numFmtId="165" fontId="76" fillId="0" borderId="116" xfId="28" applyNumberFormat="1" applyFont="1" applyFill="1" applyBorder="1"/>
    <xf numFmtId="0" fontId="93" fillId="57" borderId="413" xfId="0" applyFont="1" applyFill="1" applyBorder="1" applyAlignment="1">
      <alignment horizontal="left" vertical="top" wrapText="1"/>
    </xf>
    <xf numFmtId="165" fontId="101" fillId="0" borderId="10" xfId="71" applyNumberFormat="1" applyFont="1" applyFill="1" applyBorder="1" applyAlignment="1">
      <alignment horizontal="right"/>
    </xf>
    <xf numFmtId="166" fontId="79" fillId="59" borderId="0" xfId="98" applyNumberFormat="1" applyFont="1" applyFill="1"/>
    <xf numFmtId="193" fontId="93" fillId="57" borderId="413" xfId="0" applyNumberFormat="1" applyFont="1" applyFill="1" applyBorder="1" applyAlignment="1">
      <alignment vertical="top" wrapText="1"/>
    </xf>
    <xf numFmtId="0" fontId="79" fillId="59" borderId="0" xfId="98" applyFont="1" applyFill="1"/>
    <xf numFmtId="0" fontId="76" fillId="0" borderId="395" xfId="95" applyFont="1" applyBorder="1" applyAlignment="1">
      <alignment horizontal="center" vertical="center" wrapText="1"/>
    </xf>
    <xf numFmtId="165" fontId="76" fillId="58" borderId="237" xfId="71" applyNumberFormat="1" applyFont="1" applyFill="1" applyBorder="1"/>
    <xf numFmtId="165" fontId="45" fillId="0" borderId="114" xfId="71" applyNumberFormat="1" applyFont="1" applyFill="1" applyBorder="1"/>
    <xf numFmtId="0" fontId="45" fillId="0" borderId="436" xfId="98" applyFont="1" applyBorder="1" applyAlignment="1">
      <alignment wrapText="1"/>
    </xf>
    <xf numFmtId="0" fontId="45" fillId="0" borderId="10" xfId="98" applyFont="1" applyBorder="1"/>
    <xf numFmtId="0" fontId="45" fillId="0" borderId="435" xfId="98" applyFont="1" applyBorder="1"/>
    <xf numFmtId="0" fontId="77" fillId="0" borderId="0" xfId="98" applyFont="1"/>
    <xf numFmtId="0" fontId="45" fillId="0" borderId="341" xfId="98" applyFont="1" applyBorder="1"/>
    <xf numFmtId="165" fontId="45" fillId="0" borderId="114" xfId="71" applyNumberFormat="1" applyFont="1" applyBorder="1"/>
    <xf numFmtId="0" fontId="118" fillId="0" borderId="0" xfId="89" applyFont="1"/>
    <xf numFmtId="170" fontId="79" fillId="59" borderId="0" xfId="30" applyNumberFormat="1" applyFont="1" applyFill="1"/>
    <xf numFmtId="44" fontId="45" fillId="0" borderId="0" xfId="85" applyFont="1" applyFill="1"/>
    <xf numFmtId="0" fontId="76" fillId="57" borderId="0" xfId="84" applyFont="1" applyFill="1" applyAlignment="1">
      <alignment wrapText="1"/>
    </xf>
    <xf numFmtId="0" fontId="76" fillId="57" borderId="0" xfId="87" applyFont="1" applyFill="1" applyAlignment="1">
      <alignment wrapText="1"/>
    </xf>
    <xf numFmtId="44" fontId="76" fillId="57" borderId="0" xfId="85" applyFont="1" applyFill="1"/>
    <xf numFmtId="0" fontId="77" fillId="57" borderId="0" xfId="84" applyFont="1" applyFill="1"/>
    <xf numFmtId="0" fontId="77" fillId="57" borderId="0" xfId="84" applyFont="1" applyFill="1" applyAlignment="1">
      <alignment wrapText="1"/>
    </xf>
    <xf numFmtId="44" fontId="77" fillId="57" borderId="0" xfId="85" applyFont="1" applyFill="1"/>
    <xf numFmtId="0" fontId="77" fillId="0" borderId="0" xfId="84" applyFont="1"/>
    <xf numFmtId="0" fontId="100" fillId="0" borderId="0" xfId="78" applyFont="1" applyAlignment="1">
      <alignment horizontal="center"/>
    </xf>
    <xf numFmtId="0" fontId="100" fillId="0" borderId="118" xfId="78" applyFont="1" applyBorder="1" applyAlignment="1">
      <alignment horizontal="center"/>
    </xf>
    <xf numFmtId="0" fontId="77" fillId="0" borderId="0" xfId="0" applyFont="1"/>
    <xf numFmtId="44" fontId="76" fillId="0" borderId="0" xfId="30" applyFont="1"/>
    <xf numFmtId="44" fontId="45" fillId="63" borderId="0" xfId="30" applyFont="1" applyFill="1"/>
    <xf numFmtId="0" fontId="100" fillId="0" borderId="0" xfId="82" applyFont="1" applyAlignment="1">
      <alignment horizontal="center"/>
    </xf>
    <xf numFmtId="44" fontId="101" fillId="0" borderId="0" xfId="30" applyFont="1"/>
    <xf numFmtId="44" fontId="79" fillId="0" borderId="0" xfId="30" applyFont="1"/>
    <xf numFmtId="0" fontId="118" fillId="64" borderId="0" xfId="82" applyFont="1" applyFill="1"/>
    <xf numFmtId="0" fontId="77" fillId="59" borderId="0" xfId="0" applyFont="1" applyFill="1"/>
    <xf numFmtId="44" fontId="76" fillId="57" borderId="0" xfId="30" applyFont="1" applyFill="1"/>
    <xf numFmtId="0" fontId="76" fillId="57" borderId="0" xfId="79" applyFont="1" applyFill="1" applyAlignment="1">
      <alignment wrapText="1"/>
    </xf>
    <xf numFmtId="9" fontId="106" fillId="57" borderId="0" xfId="55" applyFont="1" applyFill="1"/>
    <xf numFmtId="44" fontId="76" fillId="0" borderId="0" xfId="30" applyFont="1" applyAlignment="1">
      <alignment horizontal="center"/>
    </xf>
    <xf numFmtId="44" fontId="100" fillId="0" borderId="237" xfId="30" applyFont="1" applyBorder="1" applyAlignment="1">
      <alignment horizontal="center"/>
    </xf>
    <xf numFmtId="44" fontId="45" fillId="0" borderId="0" xfId="30" applyFont="1" applyAlignment="1">
      <alignment horizontal="left"/>
    </xf>
    <xf numFmtId="0" fontId="76" fillId="57" borderId="0" xfId="79" applyFont="1" applyFill="1" applyAlignment="1">
      <alignment horizontal="left"/>
    </xf>
    <xf numFmtId="44" fontId="76" fillId="0" borderId="118" xfId="30" applyFont="1" applyFill="1" applyBorder="1" applyAlignment="1">
      <alignment horizontal="center"/>
    </xf>
    <xf numFmtId="9" fontId="99" fillId="0" borderId="0" xfId="55" applyFont="1" applyFill="1"/>
    <xf numFmtId="10" fontId="99" fillId="0" borderId="0" xfId="55" applyNumberFormat="1" applyFont="1" applyFill="1"/>
    <xf numFmtId="44" fontId="80" fillId="64" borderId="0" xfId="30" applyFont="1" applyFill="1"/>
    <xf numFmtId="44" fontId="45" fillId="0" borderId="237" xfId="30" applyFont="1" applyFill="1" applyBorder="1"/>
    <xf numFmtId="44" fontId="101" fillId="0" borderId="0" xfId="30" applyFont="1" applyFill="1" applyAlignment="1">
      <alignment wrapText="1"/>
    </xf>
    <xf numFmtId="44" fontId="45" fillId="0" borderId="237" xfId="30" applyFont="1" applyBorder="1"/>
    <xf numFmtId="44" fontId="98" fillId="0" borderId="0" xfId="30" applyFont="1" applyAlignment="1">
      <alignment horizontal="right"/>
    </xf>
    <xf numFmtId="0" fontId="45" fillId="0" borderId="0" xfId="70" applyFont="1" applyAlignment="1">
      <alignment horizontal="right"/>
    </xf>
    <xf numFmtId="44" fontId="80" fillId="59" borderId="0" xfId="30" applyFont="1" applyFill="1"/>
    <xf numFmtId="43" fontId="90" fillId="59" borderId="0" xfId="30" applyNumberFormat="1" applyFont="1" applyFill="1"/>
    <xf numFmtId="4" fontId="45" fillId="0" borderId="0" xfId="70" applyNumberFormat="1" applyFont="1"/>
    <xf numFmtId="0" fontId="99" fillId="0" borderId="0" xfId="111" applyFont="1"/>
    <xf numFmtId="44" fontId="99" fillId="0" borderId="0" xfId="111" applyNumberFormat="1" applyFont="1"/>
    <xf numFmtId="0" fontId="79" fillId="59" borderId="0" xfId="111" applyFont="1" applyFill="1"/>
    <xf numFmtId="0" fontId="79" fillId="0" borderId="0" xfId="111" applyFont="1"/>
    <xf numFmtId="0" fontId="79" fillId="0" borderId="0" xfId="111" applyFont="1" applyAlignment="1">
      <alignment horizontal="right"/>
    </xf>
    <xf numFmtId="44" fontId="90" fillId="59" borderId="0" xfId="111" applyNumberFormat="1" applyFont="1" applyFill="1"/>
    <xf numFmtId="0" fontId="98" fillId="59" borderId="0" xfId="111" applyFont="1" applyFill="1" applyAlignment="1">
      <alignment horizontal="right"/>
    </xf>
    <xf numFmtId="0" fontId="98" fillId="0" borderId="0" xfId="111" applyFont="1" applyAlignment="1">
      <alignment horizontal="right"/>
    </xf>
    <xf numFmtId="44" fontId="45" fillId="0" borderId="0" xfId="70" applyNumberFormat="1" applyFont="1"/>
    <xf numFmtId="0" fontId="45" fillId="0" borderId="0" xfId="111" applyFont="1" applyAlignment="1">
      <alignment horizontal="center"/>
    </xf>
    <xf numFmtId="0" fontId="79" fillId="63" borderId="0" xfId="70" applyFont="1" applyFill="1" applyAlignment="1">
      <alignment horizontal="center"/>
    </xf>
    <xf numFmtId="0" fontId="100" fillId="0" borderId="0" xfId="111" applyFont="1"/>
    <xf numFmtId="0" fontId="76" fillId="0" borderId="0" xfId="70" applyFont="1" applyAlignment="1">
      <alignment wrapText="1"/>
    </xf>
    <xf numFmtId="44" fontId="98" fillId="59" borderId="0" xfId="30" applyFont="1" applyFill="1" applyAlignment="1">
      <alignment horizontal="right"/>
    </xf>
    <xf numFmtId="9" fontId="81" fillId="0" borderId="0" xfId="55" applyFont="1"/>
    <xf numFmtId="10" fontId="76" fillId="0" borderId="0" xfId="55" applyNumberFormat="1" applyFont="1" applyFill="1"/>
    <xf numFmtId="0" fontId="81" fillId="0" borderId="0" xfId="70" applyFont="1"/>
    <xf numFmtId="170" fontId="80" fillId="57" borderId="377" xfId="30" applyNumberFormat="1" applyFont="1" applyFill="1" applyBorder="1"/>
    <xf numFmtId="170" fontId="80" fillId="57" borderId="374" xfId="30" applyNumberFormat="1" applyFont="1" applyFill="1" applyBorder="1"/>
    <xf numFmtId="44" fontId="45" fillId="0" borderId="0" xfId="106" applyNumberFormat="1" applyFont="1"/>
    <xf numFmtId="0" fontId="45" fillId="57" borderId="353" xfId="0" applyFont="1" applyFill="1" applyBorder="1"/>
    <xf numFmtId="37" fontId="45" fillId="0" borderId="0" xfId="0" applyNumberFormat="1" applyFont="1"/>
    <xf numFmtId="0" fontId="79" fillId="59" borderId="0" xfId="73" applyFont="1" applyFill="1" applyAlignment="1">
      <alignment horizontal="right"/>
    </xf>
    <xf numFmtId="165" fontId="79" fillId="59" borderId="0" xfId="76" applyNumberFormat="1" applyFont="1" applyFill="1" applyBorder="1"/>
    <xf numFmtId="0" fontId="76" fillId="57" borderId="0" xfId="73" applyFont="1" applyFill="1" applyAlignment="1">
      <alignment horizontal="center"/>
    </xf>
    <xf numFmtId="0" fontId="77" fillId="57" borderId="0" xfId="73" applyFont="1" applyFill="1"/>
    <xf numFmtId="165" fontId="79" fillId="59" borderId="0" xfId="76" applyNumberFormat="1" applyFont="1" applyFill="1"/>
    <xf numFmtId="43" fontId="79" fillId="59" borderId="0" xfId="76" applyFont="1" applyFill="1" applyBorder="1"/>
    <xf numFmtId="165" fontId="76" fillId="58" borderId="113" xfId="76" applyNumberFormat="1" applyFont="1" applyFill="1" applyBorder="1"/>
    <xf numFmtId="37" fontId="92" fillId="57" borderId="417" xfId="70" applyNumberFormat="1" applyFont="1" applyFill="1" applyBorder="1"/>
    <xf numFmtId="0" fontId="76" fillId="57" borderId="413" xfId="70" applyFont="1" applyFill="1" applyBorder="1" applyAlignment="1">
      <alignment horizontal="center" vertical="center"/>
    </xf>
    <xf numFmtId="37" fontId="91" fillId="57" borderId="417" xfId="70" applyNumberFormat="1" applyFont="1" applyFill="1" applyBorder="1"/>
    <xf numFmtId="0" fontId="45" fillId="0" borderId="413" xfId="70" applyFont="1" applyBorder="1" applyAlignment="1">
      <alignment horizontal="center" vertical="center"/>
    </xf>
    <xf numFmtId="37" fontId="91" fillId="62" borderId="417" xfId="70" applyNumberFormat="1" applyFont="1" applyFill="1" applyBorder="1"/>
    <xf numFmtId="43" fontId="79" fillId="59" borderId="0" xfId="76" applyFont="1" applyFill="1"/>
    <xf numFmtId="43" fontId="45" fillId="0" borderId="0" xfId="76" applyFont="1"/>
    <xf numFmtId="37" fontId="91" fillId="57" borderId="415" xfId="70" applyNumberFormat="1" applyFont="1" applyFill="1" applyBorder="1"/>
    <xf numFmtId="37" fontId="91" fillId="57" borderId="413" xfId="70" applyNumberFormat="1" applyFont="1" applyFill="1" applyBorder="1"/>
    <xf numFmtId="37" fontId="92" fillId="57" borderId="413" xfId="70" applyNumberFormat="1" applyFont="1" applyFill="1" applyBorder="1"/>
    <xf numFmtId="0" fontId="76" fillId="0" borderId="413" xfId="70" applyFont="1" applyBorder="1" applyAlignment="1">
      <alignment horizontal="center" vertical="center"/>
    </xf>
    <xf numFmtId="37" fontId="91" fillId="57" borderId="10" xfId="70" applyNumberFormat="1" applyFont="1" applyFill="1" applyBorder="1"/>
    <xf numFmtId="37" fontId="92" fillId="57" borderId="353" xfId="70" applyNumberFormat="1" applyFont="1" applyFill="1" applyBorder="1"/>
    <xf numFmtId="0" fontId="76" fillId="57" borderId="415" xfId="70" applyFont="1" applyFill="1" applyBorder="1" applyAlignment="1">
      <alignment horizontal="center" vertical="center"/>
    </xf>
    <xf numFmtId="0" fontId="45" fillId="0" borderId="353" xfId="70" applyFont="1" applyBorder="1" applyAlignment="1">
      <alignment horizontal="center" vertical="center"/>
    </xf>
    <xf numFmtId="37" fontId="91" fillId="57" borderId="353" xfId="70" applyNumberFormat="1" applyFont="1" applyFill="1" applyBorder="1"/>
    <xf numFmtId="0" fontId="45" fillId="0" borderId="415" xfId="70" applyFont="1" applyBorder="1" applyAlignment="1">
      <alignment horizontal="center" vertical="center"/>
    </xf>
    <xf numFmtId="0" fontId="45" fillId="0" borderId="416" xfId="70" applyFont="1" applyBorder="1" applyAlignment="1">
      <alignment horizontal="center" vertical="center"/>
    </xf>
    <xf numFmtId="0" fontId="45" fillId="0" borderId="414" xfId="70" applyFont="1" applyBorder="1" applyAlignment="1">
      <alignment horizontal="center" vertical="center"/>
    </xf>
    <xf numFmtId="0" fontId="45" fillId="62" borderId="413" xfId="70" applyFont="1" applyFill="1" applyBorder="1" applyAlignment="1">
      <alignment horizontal="center" vertical="center"/>
    </xf>
    <xf numFmtId="0" fontId="76" fillId="62" borderId="415" xfId="70" applyFont="1" applyFill="1" applyBorder="1" applyAlignment="1">
      <alignment horizontal="center" vertical="center"/>
    </xf>
    <xf numFmtId="0" fontId="76" fillId="62" borderId="413" xfId="70" applyFont="1" applyFill="1" applyBorder="1" applyAlignment="1">
      <alignment horizontal="center" vertical="center"/>
    </xf>
    <xf numFmtId="37" fontId="78" fillId="62" borderId="353" xfId="70" applyNumberFormat="1" applyFont="1" applyFill="1" applyBorder="1"/>
    <xf numFmtId="0" fontId="45" fillId="62" borderId="320" xfId="73" applyFont="1" applyFill="1" applyBorder="1"/>
    <xf numFmtId="0" fontId="45" fillId="62" borderId="380" xfId="73" applyFont="1" applyFill="1" applyBorder="1"/>
    <xf numFmtId="0" fontId="45" fillId="62" borderId="376" xfId="73" applyFont="1" applyFill="1" applyBorder="1"/>
    <xf numFmtId="44" fontId="45" fillId="62" borderId="226" xfId="30" applyFont="1" applyFill="1" applyBorder="1"/>
    <xf numFmtId="44" fontId="45" fillId="62" borderId="0" xfId="30" applyFont="1" applyFill="1" applyBorder="1"/>
    <xf numFmtId="0" fontId="45" fillId="62" borderId="0" xfId="73" applyFont="1" applyFill="1"/>
    <xf numFmtId="0" fontId="45" fillId="62" borderId="377" xfId="73" applyFont="1" applyFill="1" applyBorder="1"/>
    <xf numFmtId="44" fontId="45" fillId="62" borderId="485" xfId="30" applyFont="1" applyFill="1" applyBorder="1"/>
    <xf numFmtId="44" fontId="45" fillId="62" borderId="0" xfId="73" applyNumberFormat="1" applyFont="1" applyFill="1"/>
    <xf numFmtId="4" fontId="45" fillId="62" borderId="0" xfId="73" applyNumberFormat="1" applyFont="1" applyFill="1"/>
    <xf numFmtId="4" fontId="45" fillId="62" borderId="377" xfId="73" applyNumberFormat="1" applyFont="1" applyFill="1" applyBorder="1"/>
    <xf numFmtId="44" fontId="45" fillId="62" borderId="216" xfId="30" applyFont="1" applyFill="1" applyBorder="1"/>
    <xf numFmtId="0" fontId="45" fillId="62" borderId="241" xfId="73" applyFont="1" applyFill="1" applyBorder="1"/>
    <xf numFmtId="0" fontId="45" fillId="62" borderId="374" xfId="73" applyFont="1" applyFill="1" applyBorder="1"/>
    <xf numFmtId="170" fontId="45" fillId="62" borderId="320" xfId="73" applyNumberFormat="1" applyFont="1" applyFill="1" applyBorder="1"/>
    <xf numFmtId="170" fontId="45" fillId="62" borderId="226" xfId="30" applyNumberFormat="1" applyFont="1" applyFill="1" applyBorder="1"/>
    <xf numFmtId="170" fontId="45" fillId="62" borderId="216" xfId="73" applyNumberFormat="1" applyFont="1" applyFill="1" applyBorder="1"/>
    <xf numFmtId="44" fontId="45" fillId="62" borderId="241" xfId="73" applyNumberFormat="1" applyFont="1" applyFill="1" applyBorder="1"/>
    <xf numFmtId="170" fontId="45" fillId="62" borderId="485" xfId="73" applyNumberFormat="1" applyFont="1" applyFill="1" applyBorder="1"/>
    <xf numFmtId="0" fontId="45" fillId="62" borderId="226" xfId="70" applyFont="1" applyFill="1" applyBorder="1"/>
    <xf numFmtId="0" fontId="45" fillId="62" borderId="0" xfId="70" applyFont="1" applyFill="1"/>
    <xf numFmtId="0" fontId="45" fillId="62" borderId="377" xfId="70" applyFont="1" applyFill="1" applyBorder="1"/>
    <xf numFmtId="0" fontId="76" fillId="59" borderId="0" xfId="72" applyFont="1" applyFill="1" applyAlignment="1">
      <alignment horizontal="left"/>
    </xf>
    <xf numFmtId="0" fontId="45" fillId="0" borderId="0" xfId="72" applyFont="1" applyAlignment="1">
      <alignment horizontal="left"/>
    </xf>
    <xf numFmtId="37" fontId="91" fillId="57" borderId="116" xfId="70" applyNumberFormat="1" applyFont="1" applyFill="1" applyBorder="1"/>
    <xf numFmtId="0" fontId="45" fillId="57" borderId="116" xfId="70" applyFont="1" applyFill="1" applyBorder="1" applyAlignment="1">
      <alignment horizontal="center" vertical="center"/>
    </xf>
    <xf numFmtId="0" fontId="45" fillId="0" borderId="411" xfId="70" applyFont="1" applyBorder="1" applyAlignment="1">
      <alignment horizontal="center" vertical="center"/>
    </xf>
    <xf numFmtId="0" fontId="45" fillId="0" borderId="410" xfId="70" applyFont="1" applyBorder="1" applyAlignment="1">
      <alignment horizontal="center" vertical="center"/>
    </xf>
    <xf numFmtId="0" fontId="76" fillId="0" borderId="0" xfId="72" applyFont="1" applyAlignment="1">
      <alignment horizontal="left"/>
    </xf>
    <xf numFmtId="37" fontId="92" fillId="57" borderId="116" xfId="70" applyNumberFormat="1" applyFont="1" applyFill="1" applyBorder="1"/>
    <xf numFmtId="37" fontId="91" fillId="62" borderId="116" xfId="70" applyNumberFormat="1" applyFont="1" applyFill="1" applyBorder="1"/>
    <xf numFmtId="0" fontId="76" fillId="62" borderId="116" xfId="70" applyFont="1" applyFill="1" applyBorder="1" applyAlignment="1">
      <alignment horizontal="center" vertical="center"/>
    </xf>
    <xf numFmtId="0" fontId="76" fillId="62" borderId="116" xfId="70" applyFont="1" applyFill="1" applyBorder="1" applyAlignment="1">
      <alignment horizontal="center" vertical="center" wrapText="1"/>
    </xf>
    <xf numFmtId="0" fontId="45" fillId="0" borderId="412" xfId="70" applyFont="1" applyBorder="1" applyAlignment="1">
      <alignment horizontal="center" vertical="center"/>
    </xf>
    <xf numFmtId="0" fontId="77" fillId="0" borderId="0" xfId="72" applyFont="1" applyAlignment="1">
      <alignment horizontal="left"/>
    </xf>
    <xf numFmtId="0" fontId="76" fillId="57" borderId="116" xfId="70" applyFont="1" applyFill="1" applyBorder="1" applyAlignment="1">
      <alignment horizontal="center" vertical="center"/>
    </xf>
    <xf numFmtId="0" fontId="76" fillId="57" borderId="116" xfId="70" applyFont="1" applyFill="1" applyBorder="1" applyAlignment="1">
      <alignment horizontal="center" vertical="center" wrapText="1"/>
    </xf>
    <xf numFmtId="0" fontId="45" fillId="62" borderId="374" xfId="70" applyFont="1" applyFill="1" applyBorder="1"/>
    <xf numFmtId="0" fontId="45" fillId="62" borderId="241" xfId="70" applyFont="1" applyFill="1" applyBorder="1"/>
    <xf numFmtId="43" fontId="45" fillId="62" borderId="241" xfId="112" applyFont="1" applyFill="1" applyBorder="1"/>
    <xf numFmtId="0" fontId="45" fillId="62" borderId="375" xfId="70" applyFont="1" applyFill="1" applyBorder="1"/>
    <xf numFmtId="43" fontId="45" fillId="62" borderId="0" xfId="112" applyFont="1" applyFill="1" applyBorder="1"/>
    <xf numFmtId="0" fontId="45" fillId="62" borderId="376" xfId="70" applyFont="1" applyFill="1" applyBorder="1"/>
    <xf numFmtId="0" fontId="45" fillId="62" borderId="380" xfId="70" applyFont="1" applyFill="1" applyBorder="1"/>
    <xf numFmtId="43" fontId="45" fillId="62" borderId="380" xfId="112" applyFont="1" applyFill="1" applyBorder="1"/>
    <xf numFmtId="0" fontId="45" fillId="62" borderId="320" xfId="70" applyFont="1" applyFill="1" applyBorder="1"/>
    <xf numFmtId="37" fontId="92" fillId="57" borderId="10" xfId="70" applyNumberFormat="1" applyFont="1" applyFill="1" applyBorder="1"/>
    <xf numFmtId="0" fontId="76" fillId="57" borderId="118" xfId="70" applyFont="1" applyFill="1" applyBorder="1" applyAlignment="1">
      <alignment horizontal="center" vertical="center" wrapText="1"/>
    </xf>
    <xf numFmtId="0" fontId="45" fillId="57" borderId="412" xfId="70" applyFont="1" applyFill="1" applyBorder="1" applyAlignment="1">
      <alignment horizontal="center" vertical="center"/>
    </xf>
    <xf numFmtId="165" fontId="45" fillId="57" borderId="0" xfId="29" applyNumberFormat="1" applyFont="1" applyFill="1"/>
    <xf numFmtId="37" fontId="91" fillId="61" borderId="116" xfId="70" applyNumberFormat="1" applyFont="1" applyFill="1" applyBorder="1"/>
    <xf numFmtId="0" fontId="76" fillId="57" borderId="412" xfId="70" applyFont="1" applyFill="1" applyBorder="1" applyAlignment="1">
      <alignment horizontal="center" vertical="center"/>
    </xf>
    <xf numFmtId="37" fontId="77" fillId="57" borderId="116" xfId="70" applyNumberFormat="1" applyFont="1" applyFill="1" applyBorder="1"/>
    <xf numFmtId="0" fontId="77" fillId="57" borderId="116" xfId="70" applyFont="1" applyFill="1" applyBorder="1" applyAlignment="1">
      <alignment horizontal="center" vertical="center"/>
    </xf>
    <xf numFmtId="0" fontId="77" fillId="0" borderId="116" xfId="70" applyFont="1" applyBorder="1" applyAlignment="1">
      <alignment horizontal="center" vertical="center" wrapText="1"/>
    </xf>
    <xf numFmtId="37" fontId="91" fillId="54" borderId="116" xfId="70" applyNumberFormat="1" applyFont="1" applyFill="1" applyBorder="1"/>
    <xf numFmtId="0" fontId="45" fillId="54" borderId="116" xfId="70" applyFont="1" applyFill="1" applyBorder="1" applyAlignment="1">
      <alignment horizontal="center" vertical="center"/>
    </xf>
    <xf numFmtId="0" fontId="45" fillId="54" borderId="116" xfId="70" applyFont="1" applyFill="1" applyBorder="1" applyAlignment="1">
      <alignment horizontal="center" vertical="center" wrapText="1"/>
    </xf>
    <xf numFmtId="0" fontId="45" fillId="0" borderId="0" xfId="70" applyFont="1" applyAlignment="1">
      <alignment horizontal="center" vertical="center"/>
    </xf>
    <xf numFmtId="0" fontId="76" fillId="86" borderId="116" xfId="70" applyFont="1" applyFill="1" applyBorder="1" applyAlignment="1">
      <alignment horizontal="center" vertical="center"/>
    </xf>
    <xf numFmtId="0" fontId="93" fillId="57" borderId="116" xfId="70" applyFont="1" applyFill="1" applyBorder="1" applyAlignment="1">
      <alignment horizontal="center" vertical="center"/>
    </xf>
    <xf numFmtId="0" fontId="93" fillId="0" borderId="116" xfId="70" applyFont="1" applyBorder="1" applyAlignment="1">
      <alignment horizontal="center" vertical="center"/>
    </xf>
    <xf numFmtId="0" fontId="93" fillId="0" borderId="116" xfId="70" applyFont="1" applyBorder="1" applyAlignment="1">
      <alignment horizontal="center" vertical="center" wrapText="1"/>
    </xf>
    <xf numFmtId="0" fontId="45" fillId="57" borderId="0" xfId="72" applyFont="1" applyFill="1" applyAlignment="1">
      <alignment horizontal="left"/>
    </xf>
    <xf numFmtId="165" fontId="79" fillId="57" borderId="0" xfId="29" applyNumberFormat="1" applyFont="1" applyFill="1"/>
    <xf numFmtId="0" fontId="76" fillId="57" borderId="0" xfId="72" applyFont="1" applyFill="1" applyAlignment="1">
      <alignment horizontal="left"/>
    </xf>
    <xf numFmtId="0" fontId="77" fillId="0" borderId="412" xfId="70" applyFont="1" applyBorder="1" applyAlignment="1">
      <alignment horizontal="center" vertical="center"/>
    </xf>
    <xf numFmtId="0" fontId="76" fillId="60" borderId="118" xfId="70" applyFont="1" applyFill="1" applyBorder="1" applyAlignment="1">
      <alignment horizontal="center" vertical="center"/>
    </xf>
    <xf numFmtId="37" fontId="92" fillId="62" borderId="10" xfId="70" applyNumberFormat="1" applyFont="1" applyFill="1" applyBorder="1"/>
    <xf numFmtId="0" fontId="76" fillId="89" borderId="118" xfId="70" applyFont="1" applyFill="1" applyBorder="1" applyAlignment="1">
      <alignment horizontal="center" vertical="center"/>
    </xf>
    <xf numFmtId="0" fontId="45" fillId="62" borderId="412" xfId="70" applyFont="1" applyFill="1" applyBorder="1" applyAlignment="1">
      <alignment horizontal="center" vertical="center"/>
    </xf>
    <xf numFmtId="0" fontId="77" fillId="57" borderId="0" xfId="72" applyFont="1" applyFill="1" applyAlignment="1">
      <alignment horizontal="left"/>
    </xf>
    <xf numFmtId="0" fontId="76" fillId="57" borderId="0" xfId="70" applyFont="1" applyFill="1" applyAlignment="1">
      <alignment horizontal="left" vertical="center"/>
    </xf>
    <xf numFmtId="0" fontId="76" fillId="60" borderId="116" xfId="70" applyFont="1" applyFill="1" applyBorder="1" applyAlignment="1">
      <alignment horizontal="center" vertical="center"/>
    </xf>
    <xf numFmtId="165" fontId="77" fillId="57" borderId="0" xfId="29" applyNumberFormat="1" applyFont="1" applyFill="1"/>
    <xf numFmtId="37" fontId="92" fillId="62" borderId="116" xfId="70" applyNumberFormat="1" applyFont="1" applyFill="1" applyBorder="1"/>
    <xf numFmtId="0" fontId="45" fillId="62" borderId="116" xfId="70" applyFont="1" applyFill="1" applyBorder="1" applyAlignment="1">
      <alignment horizontal="center" vertical="center"/>
    </xf>
    <xf numFmtId="43" fontId="45" fillId="62" borderId="374" xfId="112" applyFont="1" applyFill="1" applyBorder="1"/>
    <xf numFmtId="43" fontId="45" fillId="62" borderId="377" xfId="112" applyFont="1" applyFill="1" applyBorder="1"/>
    <xf numFmtId="43" fontId="45" fillId="62" borderId="376" xfId="112" applyFont="1" applyFill="1" applyBorder="1"/>
    <xf numFmtId="0" fontId="76" fillId="57" borderId="118" xfId="70" applyFont="1" applyFill="1" applyBorder="1" applyAlignment="1">
      <alignment horizontal="center" vertical="center"/>
    </xf>
    <xf numFmtId="0" fontId="76" fillId="57" borderId="114" xfId="70" applyFont="1" applyFill="1" applyBorder="1" applyAlignment="1">
      <alignment horizontal="center" vertical="center"/>
    </xf>
    <xf numFmtId="0" fontId="45" fillId="0" borderId="115" xfId="70" applyFont="1" applyBorder="1" applyAlignment="1">
      <alignment horizontal="center" vertical="center"/>
    </xf>
    <xf numFmtId="37" fontId="91" fillId="57" borderId="410" xfId="70" applyNumberFormat="1" applyFont="1" applyFill="1" applyBorder="1"/>
    <xf numFmtId="188" fontId="45" fillId="0" borderId="410" xfId="72" applyNumberFormat="1" applyFont="1" applyBorder="1" applyAlignment="1">
      <alignment horizontal="center" vertical="center"/>
    </xf>
    <xf numFmtId="1" fontId="45" fillId="0" borderId="352" xfId="70" applyNumberFormat="1" applyFont="1" applyBorder="1" applyAlignment="1">
      <alignment horizontal="center" vertical="center"/>
    </xf>
    <xf numFmtId="0" fontId="45" fillId="57" borderId="0" xfId="72" applyFont="1" applyFill="1" applyAlignment="1">
      <alignment horizontal="center" vertical="center"/>
    </xf>
    <xf numFmtId="39" fontId="45" fillId="57" borderId="0" xfId="72" applyNumberFormat="1" applyFont="1" applyFill="1" applyAlignment="1">
      <alignment horizontal="center" vertical="center"/>
    </xf>
    <xf numFmtId="187" fontId="76" fillId="57" borderId="0" xfId="72" applyNumberFormat="1" applyFont="1" applyFill="1" applyAlignment="1">
      <alignment horizontal="center" vertical="center"/>
    </xf>
    <xf numFmtId="44" fontId="99" fillId="57" borderId="114" xfId="30" applyFont="1" applyFill="1" applyBorder="1"/>
    <xf numFmtId="44" fontId="100" fillId="57" borderId="237" xfId="30" applyFont="1" applyFill="1" applyBorder="1"/>
    <xf numFmtId="44" fontId="81" fillId="57" borderId="0" xfId="30" applyFont="1" applyFill="1"/>
    <xf numFmtId="192" fontId="79" fillId="59" borderId="442" xfId="106" applyNumberFormat="1" applyFont="1" applyFill="1" applyBorder="1" applyAlignment="1">
      <alignment horizontal="center" wrapText="1"/>
    </xf>
    <xf numFmtId="193" fontId="79" fillId="59" borderId="0" xfId="106" applyNumberFormat="1" applyFont="1" applyFill="1"/>
    <xf numFmtId="14" fontId="45" fillId="0" borderId="0" xfId="79" applyNumberFormat="1" applyFont="1" applyAlignment="1">
      <alignment horizontal="center" vertical="top"/>
    </xf>
    <xf numFmtId="44" fontId="45" fillId="0" borderId="0" xfId="30" applyFont="1" applyAlignment="1">
      <alignment horizontal="center" vertical="top"/>
    </xf>
    <xf numFmtId="0" fontId="45" fillId="0" borderId="0" xfId="48" applyFont="1"/>
    <xf numFmtId="0" fontId="119" fillId="0" borderId="62" xfId="48" applyFont="1" applyBorder="1" applyAlignment="1">
      <alignment horizontal="centerContinuous" vertical="center"/>
    </xf>
    <xf numFmtId="38" fontId="83" fillId="0" borderId="64" xfId="48" applyNumberFormat="1" applyFont="1" applyBorder="1" applyAlignment="1">
      <alignment horizontal="center" vertical="center"/>
    </xf>
    <xf numFmtId="0" fontId="109" fillId="0" borderId="0" xfId="48" applyFont="1" applyAlignment="1">
      <alignment horizontal="right"/>
    </xf>
    <xf numFmtId="0" fontId="109" fillId="0" borderId="0" xfId="48" applyFont="1" applyAlignment="1">
      <alignment horizontal="left"/>
    </xf>
    <xf numFmtId="0" fontId="110" fillId="0" borderId="13" xfId="48" applyFont="1" applyBorder="1" applyAlignment="1">
      <alignment horizontal="left"/>
    </xf>
    <xf numFmtId="0" fontId="119" fillId="0" borderId="13" xfId="48" applyFont="1" applyBorder="1" applyAlignment="1">
      <alignment horizontal="center"/>
    </xf>
    <xf numFmtId="38" fontId="45" fillId="0" borderId="13" xfId="48" applyNumberFormat="1" applyFont="1" applyBorder="1"/>
    <xf numFmtId="38" fontId="45" fillId="0" borderId="19" xfId="48" applyNumberFormat="1" applyFont="1" applyBorder="1"/>
    <xf numFmtId="0" fontId="83" fillId="0" borderId="0" xfId="48" applyFont="1" applyAlignment="1" applyProtection="1">
      <alignment horizontal="left"/>
      <protection locked="0"/>
    </xf>
    <xf numFmtId="0" fontId="119" fillId="0" borderId="14" xfId="70" applyFont="1" applyBorder="1" applyAlignment="1">
      <alignment horizontal="center"/>
    </xf>
    <xf numFmtId="164" fontId="83" fillId="0" borderId="0" xfId="48" applyNumberFormat="1" applyFont="1" applyAlignment="1">
      <alignment horizontal="right"/>
    </xf>
    <xf numFmtId="164" fontId="83" fillId="0" borderId="0" xfId="48" applyNumberFormat="1" applyFont="1" applyAlignment="1" applyProtection="1">
      <alignment horizontal="left"/>
      <protection locked="0"/>
    </xf>
    <xf numFmtId="0" fontId="120" fillId="0" borderId="14" xfId="48" applyFont="1" applyBorder="1"/>
    <xf numFmtId="0" fontId="119" fillId="0" borderId="14" xfId="48" applyFont="1" applyBorder="1" applyAlignment="1">
      <alignment horizontal="center"/>
    </xf>
    <xf numFmtId="164" fontId="45" fillId="0" borderId="0" xfId="70" applyNumberFormat="1" applyFont="1" applyProtection="1">
      <protection locked="0"/>
    </xf>
    <xf numFmtId="164" fontId="45" fillId="0" borderId="0" xfId="70" applyNumberFormat="1" applyFont="1" applyAlignment="1" applyProtection="1">
      <alignment horizontal="left"/>
      <protection locked="0"/>
    </xf>
    <xf numFmtId="164" fontId="119" fillId="0" borderId="0" xfId="70" applyNumberFormat="1" applyFont="1" applyProtection="1">
      <protection locked="0"/>
    </xf>
    <xf numFmtId="0" fontId="110" fillId="0" borderId="14" xfId="48" applyFont="1" applyBorder="1"/>
    <xf numFmtId="0" fontId="119" fillId="0" borderId="0" xfId="48" applyFont="1" applyProtection="1">
      <protection locked="0"/>
    </xf>
    <xf numFmtId="0" fontId="119" fillId="0" borderId="0" xfId="48" applyFont="1" applyAlignment="1" applyProtection="1">
      <alignment horizontal="center"/>
      <protection locked="0"/>
    </xf>
    <xf numFmtId="0" fontId="119" fillId="0" borderId="3" xfId="48" applyFont="1" applyBorder="1"/>
    <xf numFmtId="0" fontId="119" fillId="0" borderId="0" xfId="48" applyFont="1"/>
    <xf numFmtId="164" fontId="83" fillId="0" borderId="0" xfId="48" applyNumberFormat="1" applyFont="1" applyAlignment="1" applyProtection="1">
      <alignment horizontal="center"/>
      <protection locked="0"/>
    </xf>
    <xf numFmtId="0" fontId="110" fillId="0" borderId="14" xfId="48" applyFont="1" applyBorder="1" applyAlignment="1">
      <alignment horizontal="left"/>
    </xf>
    <xf numFmtId="0" fontId="119" fillId="0" borderId="0" xfId="48" applyFont="1" applyAlignment="1">
      <alignment horizontal="left"/>
    </xf>
    <xf numFmtId="0" fontId="119" fillId="0" borderId="14" xfId="48" applyFont="1" applyBorder="1" applyAlignment="1">
      <alignment horizontal="left"/>
    </xf>
    <xf numFmtId="0" fontId="119" fillId="0" borderId="3" xfId="48" applyFont="1" applyBorder="1" applyAlignment="1" applyProtection="1">
      <alignment horizontal="center"/>
      <protection locked="0"/>
    </xf>
    <xf numFmtId="164" fontId="119" fillId="0" borderId="3" xfId="48" applyNumberFormat="1" applyFont="1" applyBorder="1" applyProtection="1">
      <protection locked="0"/>
    </xf>
    <xf numFmtId="164" fontId="119" fillId="0" borderId="0" xfId="48" applyNumberFormat="1" applyFont="1" applyProtection="1">
      <protection locked="0"/>
    </xf>
    <xf numFmtId="164" fontId="83" fillId="0" borderId="0" xfId="48" applyNumberFormat="1" applyFont="1" applyAlignment="1">
      <alignment horizontal="left"/>
    </xf>
    <xf numFmtId="0" fontId="119" fillId="0" borderId="12" xfId="48" applyFont="1" applyBorder="1" applyAlignment="1">
      <alignment horizontal="center"/>
    </xf>
    <xf numFmtId="0" fontId="119" fillId="0" borderId="0" xfId="70" applyFont="1"/>
    <xf numFmtId="0" fontId="110" fillId="0" borderId="0" xfId="48" applyFont="1" applyProtection="1">
      <protection locked="0"/>
    </xf>
    <xf numFmtId="3" fontId="119" fillId="0" borderId="0" xfId="48" applyNumberFormat="1" applyFont="1" applyAlignment="1" applyProtection="1">
      <alignment horizontal="center"/>
      <protection locked="0"/>
    </xf>
    <xf numFmtId="0" fontId="119" fillId="0" borderId="0" xfId="70" applyFont="1" applyAlignment="1" applyProtection="1">
      <alignment horizontal="center"/>
      <protection locked="0"/>
    </xf>
    <xf numFmtId="164" fontId="83" fillId="0" borderId="0" xfId="48" applyNumberFormat="1" applyFont="1" applyAlignment="1" applyProtection="1">
      <alignment horizontal="right"/>
      <protection locked="0"/>
    </xf>
    <xf numFmtId="164" fontId="45" fillId="0" borderId="0" xfId="48" applyNumberFormat="1" applyFont="1" applyAlignment="1" applyProtection="1">
      <alignment horizontal="right"/>
      <protection locked="0"/>
    </xf>
    <xf numFmtId="0" fontId="119" fillId="0" borderId="0" xfId="48" applyFont="1" applyAlignment="1">
      <alignment horizontal="center"/>
    </xf>
    <xf numFmtId="38" fontId="119" fillId="0" borderId="0" xfId="48" applyNumberFormat="1" applyFont="1" applyProtection="1">
      <protection locked="0"/>
    </xf>
    <xf numFmtId="38" fontId="45" fillId="0" borderId="0" xfId="48" applyNumberFormat="1" applyFont="1"/>
    <xf numFmtId="38" fontId="83" fillId="0" borderId="0" xfId="48" applyNumberFormat="1" applyFont="1" applyAlignment="1">
      <alignment horizontal="right"/>
    </xf>
    <xf numFmtId="0" fontId="119" fillId="0" borderId="3" xfId="48" applyFont="1" applyBorder="1" applyAlignment="1">
      <alignment horizontal="center"/>
    </xf>
    <xf numFmtId="38" fontId="119" fillId="0" borderId="3" xfId="48" applyNumberFormat="1" applyFont="1" applyBorder="1" applyProtection="1">
      <protection locked="0"/>
    </xf>
    <xf numFmtId="38" fontId="45" fillId="0" borderId="3" xfId="48" applyNumberFormat="1" applyFont="1" applyBorder="1"/>
    <xf numFmtId="38" fontId="83" fillId="0" borderId="3" xfId="48" applyNumberFormat="1" applyFont="1" applyBorder="1" applyAlignment="1">
      <alignment horizontal="right"/>
    </xf>
    <xf numFmtId="3" fontId="86" fillId="0" borderId="0" xfId="48" applyNumberFormat="1" applyFont="1" applyProtection="1">
      <protection locked="0"/>
    </xf>
    <xf numFmtId="164" fontId="83" fillId="0" borderId="0" xfId="70" applyNumberFormat="1" applyFont="1" applyAlignment="1" applyProtection="1">
      <alignment horizontal="right"/>
      <protection locked="0"/>
    </xf>
    <xf numFmtId="9" fontId="83" fillId="0" borderId="0" xfId="55" applyFont="1" applyFill="1" applyBorder="1" applyAlignment="1" applyProtection="1">
      <alignment horizontal="right"/>
      <protection locked="0"/>
    </xf>
    <xf numFmtId="10" fontId="83" fillId="0" borderId="0" xfId="55" applyNumberFormat="1" applyFont="1" applyFill="1" applyBorder="1" applyAlignment="1" applyProtection="1">
      <alignment horizontal="right"/>
      <protection locked="0"/>
    </xf>
    <xf numFmtId="164" fontId="83" fillId="0" borderId="0" xfId="70" applyNumberFormat="1" applyFont="1" applyAlignment="1">
      <alignment horizontal="right"/>
    </xf>
    <xf numFmtId="0" fontId="45" fillId="0" borderId="0" xfId="48" applyFont="1" applyProtection="1">
      <protection locked="0"/>
    </xf>
    <xf numFmtId="3" fontId="83" fillId="0" borderId="0" xfId="48" applyNumberFormat="1" applyFont="1" applyAlignment="1">
      <alignment horizontal="right"/>
    </xf>
    <xf numFmtId="3" fontId="83" fillId="0" borderId="0" xfId="48" applyNumberFormat="1" applyFont="1" applyAlignment="1" applyProtection="1">
      <alignment horizontal="left"/>
      <protection locked="0"/>
    </xf>
    <xf numFmtId="0" fontId="83" fillId="0" borderId="0" xfId="48" applyFont="1" applyAlignment="1" applyProtection="1">
      <alignment horizontal="center"/>
      <protection locked="0"/>
    </xf>
    <xf numFmtId="0" fontId="45" fillId="0" borderId="0" xfId="48" applyFont="1" applyAlignment="1">
      <alignment horizontal="right"/>
    </xf>
    <xf numFmtId="0" fontId="45" fillId="0" borderId="0" xfId="48" applyFont="1" applyAlignment="1" applyProtection="1">
      <alignment horizontal="left"/>
      <protection locked="0"/>
    </xf>
    <xf numFmtId="3" fontId="83" fillId="0" borderId="0" xfId="48" applyNumberFormat="1" applyFont="1" applyAlignment="1" applyProtection="1">
      <alignment horizontal="center"/>
      <protection locked="0"/>
    </xf>
    <xf numFmtId="0" fontId="45" fillId="0" borderId="0" xfId="70" applyFont="1" applyProtection="1">
      <protection locked="0"/>
    </xf>
    <xf numFmtId="38" fontId="45" fillId="0" borderId="0" xfId="70" applyNumberFormat="1" applyFont="1"/>
    <xf numFmtId="0" fontId="110" fillId="0" borderId="14" xfId="48" applyFont="1" applyBorder="1" applyAlignment="1">
      <alignment horizontal="center"/>
    </xf>
    <xf numFmtId="0" fontId="110" fillId="0" borderId="0" xfId="48" applyFont="1" applyAlignment="1">
      <alignment horizontal="center"/>
    </xf>
    <xf numFmtId="0" fontId="110" fillId="0" borderId="15" xfId="48" applyFont="1" applyBorder="1" applyAlignment="1">
      <alignment horizontal="center"/>
    </xf>
    <xf numFmtId="0" fontId="121" fillId="0" borderId="14" xfId="38" applyFont="1" applyBorder="1" applyAlignment="1" applyProtection="1">
      <alignment horizontal="center"/>
      <protection locked="0"/>
    </xf>
    <xf numFmtId="0" fontId="122" fillId="0" borderId="0" xfId="48" applyFont="1" applyAlignment="1" applyProtection="1">
      <alignment horizontal="center"/>
      <protection locked="0"/>
    </xf>
    <xf numFmtId="0" fontId="110" fillId="0" borderId="0" xfId="48" applyFont="1" applyAlignment="1" applyProtection="1">
      <alignment horizontal="center"/>
      <protection locked="0"/>
    </xf>
    <xf numFmtId="0" fontId="123" fillId="0" borderId="0" xfId="48" applyFont="1" applyAlignment="1" applyProtection="1">
      <alignment horizontal="right"/>
      <protection locked="0"/>
    </xf>
    <xf numFmtId="0" fontId="110" fillId="27" borderId="244" xfId="48" applyFont="1" applyFill="1" applyBorder="1" applyAlignment="1" applyProtection="1">
      <alignment horizontal="center"/>
      <protection locked="0"/>
    </xf>
    <xf numFmtId="0" fontId="110" fillId="0" borderId="15" xfId="48" applyFont="1" applyBorder="1" applyAlignment="1" applyProtection="1">
      <alignment horizontal="center"/>
      <protection locked="0"/>
    </xf>
    <xf numFmtId="0" fontId="120" fillId="26" borderId="14" xfId="38" applyFont="1" applyFill="1" applyBorder="1" applyAlignment="1" applyProtection="1">
      <alignment horizontal="center"/>
      <protection locked="0"/>
    </xf>
    <xf numFmtId="0" fontId="124" fillId="0" borderId="0" xfId="48" applyFont="1" applyAlignment="1" applyProtection="1">
      <alignment horizontal="left"/>
      <protection locked="0"/>
    </xf>
    <xf numFmtId="14" fontId="110" fillId="27" borderId="245" xfId="48" quotePrefix="1" applyNumberFormat="1" applyFont="1" applyFill="1" applyBorder="1" applyAlignment="1" applyProtection="1">
      <alignment horizontal="center"/>
      <protection locked="0"/>
    </xf>
    <xf numFmtId="0" fontId="110" fillId="0" borderId="14" xfId="48" applyFont="1" applyBorder="1" applyAlignment="1" applyProtection="1">
      <alignment horizontal="centerContinuous"/>
      <protection locked="0"/>
    </xf>
    <xf numFmtId="14" fontId="110" fillId="27" borderId="246" xfId="48" quotePrefix="1" applyNumberFormat="1" applyFont="1" applyFill="1" applyBorder="1" applyAlignment="1" applyProtection="1">
      <alignment horizontal="center"/>
      <protection locked="0"/>
    </xf>
    <xf numFmtId="0" fontId="110" fillId="0" borderId="0" xfId="48" applyFont="1" applyAlignment="1" applyProtection="1">
      <alignment horizontal="centerContinuous"/>
      <protection locked="0"/>
    </xf>
    <xf numFmtId="0" fontId="76" fillId="0" borderId="0" xfId="48" applyFont="1" applyAlignment="1" applyProtection="1">
      <alignment horizontal="centerContinuous"/>
      <protection locked="0"/>
    </xf>
    <xf numFmtId="38" fontId="125" fillId="0" borderId="0" xfId="48" applyNumberFormat="1" applyFont="1" applyAlignment="1" applyProtection="1">
      <alignment horizontal="centerContinuous"/>
      <protection locked="0"/>
    </xf>
    <xf numFmtId="38" fontId="76" fillId="0" borderId="0" xfId="48" applyNumberFormat="1" applyFont="1" applyAlignment="1" applyProtection="1">
      <alignment horizontal="centerContinuous"/>
      <protection locked="0"/>
    </xf>
    <xf numFmtId="38" fontId="110" fillId="0" borderId="15" xfId="48" applyNumberFormat="1" applyFont="1" applyBorder="1" applyAlignment="1" applyProtection="1">
      <alignment horizontal="centerContinuous"/>
      <protection locked="0"/>
    </xf>
    <xf numFmtId="0" fontId="126" fillId="0" borderId="14" xfId="48" applyFont="1" applyBorder="1" applyAlignment="1">
      <alignment horizontal="center"/>
    </xf>
    <xf numFmtId="0" fontId="126" fillId="0" borderId="0" xfId="48" applyFont="1" applyAlignment="1">
      <alignment horizontal="center"/>
    </xf>
    <xf numFmtId="0" fontId="126" fillId="0" borderId="41" xfId="48" applyFont="1" applyBorder="1" applyAlignment="1">
      <alignment horizontal="center"/>
    </xf>
    <xf numFmtId="0" fontId="126" fillId="0" borderId="15" xfId="48" applyFont="1" applyBorder="1" applyAlignment="1">
      <alignment horizontal="center"/>
    </xf>
    <xf numFmtId="0" fontId="110" fillId="0" borderId="62" xfId="48" applyFont="1" applyBorder="1" applyAlignment="1">
      <alignment horizontal="centerContinuous" vertical="center"/>
    </xf>
    <xf numFmtId="0" fontId="110" fillId="0" borderId="72" xfId="48" applyFont="1" applyBorder="1" applyAlignment="1">
      <alignment horizontal="centerContinuous" vertical="center"/>
    </xf>
    <xf numFmtId="0" fontId="110" fillId="0" borderId="73" xfId="48" applyFont="1" applyBorder="1" applyAlignment="1">
      <alignment horizontal="centerContinuous" vertical="center"/>
    </xf>
    <xf numFmtId="0" fontId="110" fillId="0" borderId="34" xfId="48" applyFont="1" applyBorder="1" applyAlignment="1">
      <alignment horizontal="center" vertical="center"/>
    </xf>
    <xf numFmtId="0" fontId="110" fillId="0" borderId="74" xfId="48" applyFont="1" applyBorder="1" applyAlignment="1">
      <alignment horizontal="centerContinuous" vertical="center"/>
    </xf>
    <xf numFmtId="0" fontId="110" fillId="0" borderId="75" xfId="48" applyFont="1" applyBorder="1" applyAlignment="1">
      <alignment horizontal="centerContinuous" vertical="center"/>
    </xf>
    <xf numFmtId="38" fontId="110" fillId="0" borderId="66" xfId="48" applyNumberFormat="1" applyFont="1" applyBorder="1" applyAlignment="1">
      <alignment horizontal="center" vertical="center"/>
    </xf>
    <xf numFmtId="38" fontId="110" fillId="0" borderId="76" xfId="48" applyNumberFormat="1" applyFont="1" applyBorder="1" applyAlignment="1">
      <alignment horizontal="center" vertical="center"/>
    </xf>
    <xf numFmtId="0" fontId="110" fillId="0" borderId="12" xfId="48" applyFont="1" applyBorder="1" applyAlignment="1">
      <alignment horizontal="left"/>
    </xf>
    <xf numFmtId="0" fontId="119" fillId="0" borderId="45" xfId="48" applyFont="1" applyBorder="1" applyAlignment="1" applyProtection="1">
      <alignment horizontal="center"/>
      <protection locked="0"/>
    </xf>
    <xf numFmtId="0" fontId="119" fillId="0" borderId="32" xfId="48" applyFont="1" applyBorder="1" applyAlignment="1" applyProtection="1">
      <alignment horizontal="center"/>
      <protection locked="0"/>
    </xf>
    <xf numFmtId="165" fontId="119" fillId="24" borderId="32" xfId="28" applyNumberFormat="1" applyFont="1" applyFill="1" applyBorder="1" applyProtection="1">
      <protection locked="0"/>
    </xf>
    <xf numFmtId="165" fontId="119" fillId="24" borderId="32" xfId="28" applyNumberFormat="1" applyFont="1" applyFill="1" applyBorder="1" applyProtection="1"/>
    <xf numFmtId="165" fontId="119" fillId="24" borderId="281" xfId="28" applyNumberFormat="1" applyFont="1" applyFill="1" applyBorder="1" applyProtection="1"/>
    <xf numFmtId="0" fontId="110" fillId="27" borderId="109" xfId="48" applyFont="1" applyFill="1" applyBorder="1" applyAlignment="1" applyProtection="1">
      <alignment horizontal="center"/>
      <protection locked="0"/>
    </xf>
    <xf numFmtId="0" fontId="110" fillId="27" borderId="101" xfId="48" applyFont="1" applyFill="1" applyBorder="1" applyAlignment="1" applyProtection="1">
      <alignment horizontal="center"/>
      <protection locked="0"/>
    </xf>
    <xf numFmtId="0" fontId="110" fillId="27" borderId="110" xfId="48" applyFont="1" applyFill="1" applyBorder="1" applyAlignment="1" applyProtection="1">
      <alignment horizontal="center"/>
      <protection locked="0"/>
    </xf>
    <xf numFmtId="42" fontId="110" fillId="27" borderId="32" xfId="30" applyNumberFormat="1" applyFont="1" applyFill="1" applyBorder="1" applyProtection="1">
      <protection locked="0"/>
    </xf>
    <xf numFmtId="42" fontId="110" fillId="27" borderId="32" xfId="30" applyNumberFormat="1" applyFont="1" applyFill="1" applyBorder="1" applyProtection="1"/>
    <xf numFmtId="42" fontId="110" fillId="27" borderId="281" xfId="30" applyNumberFormat="1" applyFont="1" applyFill="1" applyBorder="1" applyProtection="1"/>
    <xf numFmtId="38" fontId="119" fillId="0" borderId="0" xfId="48" applyNumberFormat="1" applyFont="1" applyAlignment="1">
      <alignment horizontal="right"/>
    </xf>
    <xf numFmtId="38" fontId="119" fillId="0" borderId="0" xfId="48" applyNumberFormat="1" applyFont="1"/>
    <xf numFmtId="38" fontId="119" fillId="0" borderId="15" xfId="48" applyNumberFormat="1" applyFont="1" applyBorder="1"/>
    <xf numFmtId="0" fontId="110" fillId="0" borderId="0" xfId="48" applyFont="1" applyAlignment="1">
      <alignment horizontal="left"/>
    </xf>
    <xf numFmtId="0" fontId="119" fillId="0" borderId="0" xfId="48" applyFont="1" applyAlignment="1" applyProtection="1">
      <alignment horizontal="left"/>
      <protection locked="0"/>
    </xf>
    <xf numFmtId="170" fontId="110" fillId="27" borderId="32" xfId="30" applyNumberFormat="1" applyFont="1" applyFill="1" applyBorder="1" applyProtection="1">
      <protection locked="0"/>
    </xf>
    <xf numFmtId="170" fontId="110" fillId="27" borderId="32" xfId="30" applyNumberFormat="1" applyFont="1" applyFill="1" applyBorder="1" applyProtection="1"/>
    <xf numFmtId="44" fontId="110" fillId="27" borderId="32" xfId="30" applyFont="1" applyFill="1" applyBorder="1" applyProtection="1"/>
    <xf numFmtId="44" fontId="110" fillId="27" borderId="281" xfId="30" applyFont="1" applyFill="1" applyBorder="1" applyProtection="1"/>
    <xf numFmtId="38" fontId="119" fillId="0" borderId="0" xfId="70" applyNumberFormat="1" applyFont="1" applyProtection="1">
      <protection locked="0"/>
    </xf>
    <xf numFmtId="0" fontId="119" fillId="0" borderId="381" xfId="48" applyFont="1" applyBorder="1" applyAlignment="1" applyProtection="1">
      <alignment horizontal="center"/>
      <protection locked="0"/>
    </xf>
    <xf numFmtId="0" fontId="119" fillId="0" borderId="383" xfId="48" applyFont="1" applyBorder="1" applyAlignment="1" applyProtection="1">
      <alignment horizontal="center"/>
      <protection locked="0"/>
    </xf>
    <xf numFmtId="38" fontId="119" fillId="24" borderId="32" xfId="28" applyNumberFormat="1" applyFont="1" applyFill="1" applyBorder="1" applyProtection="1">
      <protection locked="0"/>
    </xf>
    <xf numFmtId="0" fontId="110" fillId="27" borderId="382" xfId="48" applyFont="1" applyFill="1" applyBorder="1" applyAlignment="1" applyProtection="1">
      <alignment horizontal="center"/>
      <protection locked="0"/>
    </xf>
    <xf numFmtId="0" fontId="110" fillId="27" borderId="108" xfId="48" applyFont="1" applyFill="1" applyBorder="1" applyAlignment="1" applyProtection="1">
      <alignment horizontal="center"/>
      <protection locked="0"/>
    </xf>
    <xf numFmtId="0" fontId="120" fillId="0" borderId="14" xfId="48" applyFont="1" applyBorder="1" applyAlignment="1">
      <alignment horizontal="left"/>
    </xf>
    <xf numFmtId="38" fontId="119" fillId="0" borderId="0" xfId="28" applyNumberFormat="1" applyFont="1" applyFill="1" applyBorder="1" applyProtection="1">
      <protection locked="0"/>
    </xf>
    <xf numFmtId="38" fontId="119" fillId="0" borderId="0" xfId="28" applyNumberFormat="1" applyFont="1" applyFill="1" applyBorder="1" applyProtection="1"/>
    <xf numFmtId="38" fontId="119" fillId="0" borderId="15" xfId="28" applyNumberFormat="1" applyFont="1" applyFill="1" applyBorder="1" applyProtection="1"/>
    <xf numFmtId="38" fontId="119" fillId="0" borderId="15" xfId="48" applyNumberFormat="1" applyFont="1" applyBorder="1" applyAlignment="1">
      <alignment horizontal="right"/>
    </xf>
    <xf numFmtId="38" fontId="119" fillId="0" borderId="0" xfId="28" applyNumberFormat="1" applyFont="1" applyBorder="1" applyProtection="1">
      <protection locked="0"/>
    </xf>
    <xf numFmtId="38" fontId="119" fillId="0" borderId="0" xfId="70" applyNumberFormat="1" applyFont="1" applyAlignment="1">
      <alignment horizontal="right"/>
    </xf>
    <xf numFmtId="38" fontId="119" fillId="0" borderId="15" xfId="70" applyNumberFormat="1" applyFont="1" applyBorder="1" applyAlignment="1">
      <alignment horizontal="right"/>
    </xf>
    <xf numFmtId="0" fontId="120" fillId="0" borderId="282" xfId="48" applyFont="1" applyBorder="1"/>
    <xf numFmtId="0" fontId="110" fillId="27" borderId="130" xfId="48" applyFont="1" applyFill="1" applyBorder="1" applyAlignment="1" applyProtection="1">
      <alignment horizontal="center"/>
      <protection locked="0"/>
    </xf>
    <xf numFmtId="0" fontId="110" fillId="27" borderId="131" xfId="48" applyFont="1" applyFill="1" applyBorder="1" applyAlignment="1" applyProtection="1">
      <alignment horizontal="center"/>
      <protection locked="0"/>
    </xf>
    <xf numFmtId="0" fontId="110" fillId="27" borderId="132" xfId="48" applyFont="1" applyFill="1" applyBorder="1" applyAlignment="1" applyProtection="1">
      <alignment horizontal="center"/>
      <protection locked="0"/>
    </xf>
    <xf numFmtId="170" fontId="110" fillId="27" borderId="133" xfId="30" applyNumberFormat="1" applyFont="1" applyFill="1" applyBorder="1" applyProtection="1">
      <protection locked="0"/>
    </xf>
    <xf numFmtId="170" fontId="110" fillId="27" borderId="133" xfId="30" applyNumberFormat="1" applyFont="1" applyFill="1" applyBorder="1" applyProtection="1"/>
    <xf numFmtId="170" fontId="110" fillId="27" borderId="283" xfId="30" applyNumberFormat="1" applyFont="1" applyFill="1" applyBorder="1" applyProtection="1"/>
    <xf numFmtId="38" fontId="119" fillId="0" borderId="0" xfId="48" applyNumberFormat="1" applyFont="1" applyAlignment="1" applyProtection="1">
      <alignment horizontal="right"/>
      <protection locked="0"/>
    </xf>
    <xf numFmtId="0" fontId="110" fillId="27" borderId="112" xfId="48" applyFont="1" applyFill="1" applyBorder="1" applyAlignment="1" applyProtection="1">
      <alignment horizontal="center"/>
      <protection locked="0"/>
    </xf>
    <xf numFmtId="170" fontId="110" fillId="27" borderId="281" xfId="30" applyNumberFormat="1" applyFont="1" applyFill="1" applyBorder="1" applyProtection="1"/>
    <xf numFmtId="0" fontId="127" fillId="0" borderId="14" xfId="48" applyFont="1" applyBorder="1"/>
    <xf numFmtId="49" fontId="119" fillId="0" borderId="32" xfId="48" applyNumberFormat="1" applyFont="1" applyBorder="1" applyAlignment="1" applyProtection="1">
      <alignment horizontal="center"/>
      <protection locked="0"/>
    </xf>
    <xf numFmtId="0" fontId="119" fillId="59" borderId="32" xfId="48" applyFont="1" applyFill="1" applyBorder="1" applyAlignment="1" applyProtection="1">
      <alignment horizontal="center"/>
      <protection locked="0"/>
    </xf>
    <xf numFmtId="0" fontId="110" fillId="0" borderId="0" xfId="48" applyFont="1" applyAlignment="1" applyProtection="1">
      <alignment horizontal="left"/>
      <protection locked="0"/>
    </xf>
    <xf numFmtId="164" fontId="45" fillId="0" borderId="0" xfId="48" applyNumberFormat="1" applyFont="1" applyProtection="1">
      <protection locked="0"/>
    </xf>
    <xf numFmtId="0" fontId="127" fillId="0" borderId="282" xfId="48" applyFont="1" applyBorder="1"/>
    <xf numFmtId="38" fontId="119" fillId="0" borderId="3" xfId="48" applyNumberFormat="1" applyFont="1" applyBorder="1"/>
    <xf numFmtId="38" fontId="119" fillId="0" borderId="284" xfId="48" applyNumberFormat="1" applyFont="1" applyBorder="1" applyAlignment="1">
      <alignment horizontal="right"/>
    </xf>
    <xf numFmtId="0" fontId="110" fillId="0" borderId="14" xfId="48" applyFont="1" applyBorder="1" applyProtection="1">
      <protection locked="0"/>
    </xf>
    <xf numFmtId="165" fontId="119" fillId="43" borderId="32" xfId="28" applyNumberFormat="1" applyFont="1" applyFill="1" applyBorder="1" applyProtection="1">
      <protection locked="0"/>
    </xf>
    <xf numFmtId="165" fontId="119" fillId="43" borderId="32" xfId="28" applyNumberFormat="1" applyFont="1" applyFill="1" applyBorder="1" applyProtection="1"/>
    <xf numFmtId="165" fontId="119" fillId="43" borderId="274" xfId="28" applyNumberFormat="1" applyFont="1" applyFill="1" applyBorder="1" applyProtection="1"/>
    <xf numFmtId="165" fontId="119" fillId="43" borderId="123" xfId="28" applyNumberFormat="1" applyFont="1" applyFill="1" applyBorder="1" applyProtection="1"/>
    <xf numFmtId="165" fontId="119" fillId="0" borderId="0" xfId="28" applyNumberFormat="1" applyFont="1" applyFill="1" applyBorder="1" applyProtection="1"/>
    <xf numFmtId="165" fontId="119" fillId="0" borderId="15" xfId="28" applyNumberFormat="1" applyFont="1" applyFill="1" applyBorder="1" applyProtection="1"/>
    <xf numFmtId="0" fontId="110" fillId="0" borderId="14" xfId="70" applyFont="1" applyBorder="1" applyAlignment="1">
      <alignment horizontal="left"/>
    </xf>
    <xf numFmtId="0" fontId="128" fillId="0" borderId="32" xfId="48" applyFont="1" applyBorder="1" applyAlignment="1" applyProtection="1">
      <alignment horizontal="center"/>
      <protection locked="0"/>
    </xf>
    <xf numFmtId="0" fontId="110" fillId="0" borderId="0" xfId="70" applyFont="1" applyAlignment="1">
      <alignment horizontal="center"/>
    </xf>
    <xf numFmtId="38" fontId="110" fillId="0" borderId="0" xfId="48" applyNumberFormat="1" applyFont="1" applyProtection="1">
      <protection locked="0"/>
    </xf>
    <xf numFmtId="38" fontId="110" fillId="0" borderId="0" xfId="48" applyNumberFormat="1" applyFont="1"/>
    <xf numFmtId="38" fontId="110" fillId="0" borderId="15" xfId="48" applyNumberFormat="1" applyFont="1" applyBorder="1"/>
    <xf numFmtId="0" fontId="110" fillId="0" borderId="14" xfId="48" applyFont="1" applyBorder="1" applyAlignment="1" applyProtection="1">
      <alignment horizontal="left"/>
      <protection locked="0"/>
    </xf>
    <xf numFmtId="38" fontId="119" fillId="0" borderId="0" xfId="28" applyNumberFormat="1" applyFont="1" applyFill="1" applyBorder="1" applyAlignment="1" applyProtection="1">
      <alignment horizontal="right"/>
      <protection locked="0"/>
    </xf>
    <xf numFmtId="38" fontId="119" fillId="0" borderId="0" xfId="28" applyNumberFormat="1" applyFont="1" applyFill="1" applyBorder="1" applyAlignment="1" applyProtection="1">
      <alignment horizontal="right"/>
    </xf>
    <xf numFmtId="38" fontId="119" fillId="0" borderId="15" xfId="28" applyNumberFormat="1" applyFont="1" applyFill="1" applyBorder="1" applyAlignment="1" applyProtection="1">
      <alignment horizontal="right"/>
    </xf>
    <xf numFmtId="0" fontId="129" fillId="0" borderId="0" xfId="70" applyFont="1"/>
    <xf numFmtId="0" fontId="119" fillId="0" borderId="10" xfId="48" applyFont="1" applyBorder="1" applyAlignment="1" applyProtection="1">
      <alignment horizontal="center"/>
      <protection locked="0"/>
    </xf>
    <xf numFmtId="0" fontId="110" fillId="27" borderId="304" xfId="48" applyFont="1" applyFill="1" applyBorder="1" applyAlignment="1" applyProtection="1">
      <alignment horizontal="center"/>
      <protection locked="0"/>
    </xf>
    <xf numFmtId="0" fontId="110" fillId="27" borderId="305" xfId="48" applyFont="1" applyFill="1" applyBorder="1" applyAlignment="1" applyProtection="1">
      <alignment horizontal="center"/>
      <protection locked="0"/>
    </xf>
    <xf numFmtId="0" fontId="110" fillId="27" borderId="306" xfId="48" applyFont="1" applyFill="1" applyBorder="1" applyAlignment="1" applyProtection="1">
      <alignment horizontal="center"/>
      <protection locked="0"/>
    </xf>
    <xf numFmtId="170" fontId="110" fillId="27" borderId="220" xfId="30" applyNumberFormat="1" applyFont="1" applyFill="1" applyBorder="1" applyProtection="1">
      <protection locked="0"/>
    </xf>
    <xf numFmtId="170" fontId="110" fillId="27" borderId="220" xfId="30" applyNumberFormat="1" applyFont="1" applyFill="1" applyBorder="1" applyProtection="1"/>
    <xf numFmtId="170" fontId="110" fillId="27" borderId="307" xfId="30" applyNumberFormat="1" applyFont="1" applyFill="1" applyBorder="1" applyProtection="1"/>
    <xf numFmtId="0" fontId="110" fillId="0" borderId="13" xfId="70" applyFont="1" applyBorder="1" applyAlignment="1">
      <alignment horizontal="center"/>
    </xf>
    <xf numFmtId="0" fontId="110" fillId="0" borderId="13" xfId="48" applyFont="1" applyBorder="1" applyAlignment="1" applyProtection="1">
      <alignment horizontal="center"/>
      <protection locked="0"/>
    </xf>
    <xf numFmtId="38" fontId="110" fillId="0" borderId="13" xfId="48" applyNumberFormat="1" applyFont="1" applyBorder="1" applyProtection="1">
      <protection locked="0"/>
    </xf>
    <xf numFmtId="38" fontId="110" fillId="0" borderId="13" xfId="48" applyNumberFormat="1" applyFont="1" applyBorder="1"/>
    <xf numFmtId="38" fontId="110" fillId="0" borderId="19" xfId="48" applyNumberFormat="1" applyFont="1" applyBorder="1"/>
    <xf numFmtId="0" fontId="130" fillId="0" borderId="0" xfId="70" applyFont="1" applyProtection="1">
      <protection locked="0"/>
    </xf>
    <xf numFmtId="38" fontId="119" fillId="0" borderId="3" xfId="28" applyNumberFormat="1" applyFont="1" applyFill="1" applyBorder="1" applyAlignment="1" applyProtection="1">
      <alignment horizontal="right"/>
      <protection locked="0"/>
    </xf>
    <xf numFmtId="38" fontId="119" fillId="0" borderId="3" xfId="28" applyNumberFormat="1" applyFont="1" applyFill="1" applyBorder="1" applyAlignment="1" applyProtection="1">
      <alignment horizontal="right"/>
    </xf>
    <xf numFmtId="38" fontId="119" fillId="0" borderId="284" xfId="28" applyNumberFormat="1" applyFont="1" applyFill="1" applyBorder="1" applyAlignment="1" applyProtection="1">
      <alignment horizontal="right"/>
    </xf>
    <xf numFmtId="38" fontId="119" fillId="0" borderId="108" xfId="28" applyNumberFormat="1" applyFont="1" applyFill="1" applyBorder="1" applyProtection="1">
      <protection locked="0"/>
    </xf>
    <xf numFmtId="170" fontId="119" fillId="0" borderId="0" xfId="28" applyNumberFormat="1" applyFont="1" applyFill="1" applyBorder="1" applyAlignment="1" applyProtection="1">
      <alignment horizontal="right"/>
      <protection locked="0"/>
    </xf>
    <xf numFmtId="170" fontId="119" fillId="0" borderId="0" xfId="70" applyNumberFormat="1" applyFont="1" applyAlignment="1">
      <alignment horizontal="right"/>
    </xf>
    <xf numFmtId="170" fontId="119" fillId="0" borderId="15" xfId="70" applyNumberFormat="1" applyFont="1" applyBorder="1" applyAlignment="1">
      <alignment horizontal="right"/>
    </xf>
    <xf numFmtId="0" fontId="119" fillId="0" borderId="14" xfId="48" applyFont="1" applyBorder="1"/>
    <xf numFmtId="0" fontId="119" fillId="0" borderId="14" xfId="70" applyFont="1" applyBorder="1"/>
    <xf numFmtId="0" fontId="119" fillId="0" borderId="0" xfId="70" applyFont="1" applyProtection="1">
      <protection locked="0"/>
    </xf>
    <xf numFmtId="38" fontId="119" fillId="0" borderId="0" xfId="70" applyNumberFormat="1" applyFont="1"/>
    <xf numFmtId="38" fontId="119" fillId="0" borderId="15" xfId="70" applyNumberFormat="1" applyFont="1" applyBorder="1"/>
    <xf numFmtId="0" fontId="110" fillId="27" borderId="113" xfId="48" applyFont="1" applyFill="1" applyBorder="1" applyAlignment="1" applyProtection="1">
      <alignment horizontal="center"/>
      <protection locked="0"/>
    </xf>
    <xf numFmtId="0" fontId="110" fillId="27" borderId="114" xfId="48" applyFont="1" applyFill="1" applyBorder="1" applyAlignment="1" applyProtection="1">
      <alignment horizontal="center"/>
      <protection locked="0"/>
    </xf>
    <xf numFmtId="0" fontId="110" fillId="27" borderId="115" xfId="48" applyFont="1" applyFill="1" applyBorder="1" applyAlignment="1" applyProtection="1">
      <alignment horizontal="center"/>
      <protection locked="0"/>
    </xf>
    <xf numFmtId="170" fontId="110" fillId="27" borderId="116" xfId="48" applyNumberFormat="1" applyFont="1" applyFill="1" applyBorder="1" applyProtection="1">
      <protection locked="0"/>
    </xf>
    <xf numFmtId="170" fontId="110" fillId="27" borderId="116" xfId="48" applyNumberFormat="1" applyFont="1" applyFill="1" applyBorder="1"/>
    <xf numFmtId="170" fontId="110" fillId="27" borderId="123" xfId="48" applyNumberFormat="1" applyFont="1" applyFill="1" applyBorder="1"/>
    <xf numFmtId="38" fontId="45" fillId="0" borderId="15" xfId="70" applyNumberFormat="1" applyFont="1" applyBorder="1" applyAlignment="1">
      <alignment horizontal="right"/>
    </xf>
    <xf numFmtId="38" fontId="45" fillId="0" borderId="284" xfId="70" applyNumberFormat="1" applyFont="1" applyBorder="1" applyAlignment="1">
      <alignment horizontal="right"/>
    </xf>
    <xf numFmtId="0" fontId="45" fillId="0" borderId="0" xfId="70" applyFont="1" applyAlignment="1" applyProtection="1">
      <alignment horizontal="right"/>
      <protection locked="0"/>
    </xf>
    <xf numFmtId="44" fontId="115" fillId="0" borderId="0" xfId="30" applyFont="1" applyFill="1"/>
    <xf numFmtId="44" fontId="117" fillId="57" borderId="0" xfId="30" applyFont="1" applyFill="1"/>
    <xf numFmtId="44" fontId="115" fillId="59" borderId="0" xfId="30" applyFont="1" applyFill="1"/>
    <xf numFmtId="44" fontId="81" fillId="57" borderId="0" xfId="111" applyNumberFormat="1" applyFont="1" applyFill="1"/>
    <xf numFmtId="165" fontId="45" fillId="57" borderId="237" xfId="76" applyNumberFormat="1" applyFont="1" applyFill="1" applyBorder="1"/>
    <xf numFmtId="165" fontId="76" fillId="57" borderId="113" xfId="76" applyNumberFormat="1" applyFont="1" applyFill="1" applyBorder="1"/>
    <xf numFmtId="165" fontId="45" fillId="57" borderId="116" xfId="72" applyNumberFormat="1" applyFont="1" applyFill="1" applyBorder="1" applyAlignment="1">
      <alignment horizontal="center"/>
    </xf>
    <xf numFmtId="43" fontId="45" fillId="57" borderId="237" xfId="76" applyFont="1" applyFill="1" applyBorder="1"/>
    <xf numFmtId="0" fontId="77" fillId="57" borderId="0" xfId="73" applyFont="1" applyFill="1" applyAlignment="1">
      <alignment horizontal="center"/>
    </xf>
    <xf numFmtId="0" fontId="77" fillId="57" borderId="415" xfId="70" applyFont="1" applyFill="1" applyBorder="1" applyAlignment="1">
      <alignment horizontal="center" vertical="center"/>
    </xf>
    <xf numFmtId="0" fontId="77" fillId="57" borderId="413" xfId="70" applyFont="1" applyFill="1" applyBorder="1" applyAlignment="1">
      <alignment horizontal="center" vertical="center"/>
    </xf>
    <xf numFmtId="37" fontId="77" fillId="57" borderId="353" xfId="70" applyNumberFormat="1" applyFont="1" applyFill="1" applyBorder="1"/>
    <xf numFmtId="165" fontId="77" fillId="57" borderId="0" xfId="71" applyNumberFormat="1" applyFont="1" applyFill="1"/>
    <xf numFmtId="0" fontId="77" fillId="0" borderId="0" xfId="73" applyFont="1"/>
    <xf numFmtId="165" fontId="45" fillId="57" borderId="10" xfId="72" applyNumberFormat="1" applyFont="1" applyFill="1" applyBorder="1" applyAlignment="1">
      <alignment horizontal="center"/>
    </xf>
    <xf numFmtId="38" fontId="119" fillId="0" borderId="29" xfId="48" applyNumberFormat="1" applyFont="1" applyBorder="1"/>
    <xf numFmtId="0" fontId="119" fillId="0" borderId="0" xfId="0" applyFont="1"/>
    <xf numFmtId="0" fontId="110" fillId="0" borderId="28" xfId="48" applyFont="1" applyBorder="1" applyAlignment="1">
      <alignment horizontal="center"/>
    </xf>
    <xf numFmtId="0" fontId="110" fillId="0" borderId="0" xfId="48" applyFont="1" applyAlignment="1">
      <alignment horizontal="centerContinuous"/>
    </xf>
    <xf numFmtId="38" fontId="131" fillId="0" borderId="0" xfId="48" applyNumberFormat="1" applyFont="1" applyAlignment="1">
      <alignment horizontal="centerContinuous"/>
    </xf>
    <xf numFmtId="38" fontId="110" fillId="0" borderId="0" xfId="48" applyNumberFormat="1" applyFont="1" applyAlignment="1">
      <alignment horizontal="centerContinuous"/>
    </xf>
    <xf numFmtId="38" fontId="110" fillId="0" borderId="29" xfId="48" applyNumberFormat="1" applyFont="1" applyBorder="1" applyAlignment="1">
      <alignment horizontal="centerContinuous"/>
    </xf>
    <xf numFmtId="0" fontId="121" fillId="0" borderId="28" xfId="38" applyFont="1" applyBorder="1" applyAlignment="1" applyProtection="1">
      <alignment horizontal="center"/>
    </xf>
    <xf numFmtId="0" fontId="123" fillId="0" borderId="0" xfId="48" applyFont="1" applyAlignment="1">
      <alignment horizontal="right"/>
    </xf>
    <xf numFmtId="0" fontId="110" fillId="0" borderId="226" xfId="48" applyFont="1" applyBorder="1"/>
    <xf numFmtId="0" fontId="110" fillId="27" borderId="276" xfId="48" applyFont="1" applyFill="1" applyBorder="1" applyAlignment="1">
      <alignment horizontal="center"/>
    </xf>
    <xf numFmtId="179" fontId="110" fillId="27" borderId="277" xfId="48" applyNumberFormat="1" applyFont="1" applyFill="1" applyBorder="1" applyAlignment="1">
      <alignment horizontal="center"/>
    </xf>
    <xf numFmtId="0" fontId="126" fillId="0" borderId="28" xfId="48" applyFont="1" applyBorder="1" applyAlignment="1">
      <alignment horizontal="centerContinuous"/>
    </xf>
    <xf numFmtId="179" fontId="110" fillId="27" borderId="278" xfId="48" applyNumberFormat="1" applyFont="1" applyFill="1" applyBorder="1" applyAlignment="1">
      <alignment horizontal="center"/>
    </xf>
    <xf numFmtId="14" fontId="110" fillId="0" borderId="0" xfId="48" applyNumberFormat="1" applyFont="1" applyAlignment="1">
      <alignment horizontal="center"/>
    </xf>
    <xf numFmtId="0" fontId="124" fillId="0" borderId="0" xfId="48" applyFont="1" applyAlignment="1">
      <alignment horizontal="left"/>
    </xf>
    <xf numFmtId="0" fontId="110" fillId="0" borderId="28" xfId="48" applyFont="1" applyBorder="1"/>
    <xf numFmtId="0" fontId="119" fillId="0" borderId="28" xfId="48" applyFont="1" applyBorder="1"/>
    <xf numFmtId="165" fontId="119" fillId="0" borderId="32" xfId="28" applyNumberFormat="1" applyFont="1" applyFill="1" applyBorder="1"/>
    <xf numFmtId="165" fontId="119" fillId="0" borderId="33" xfId="28" applyNumberFormat="1" applyFont="1" applyFill="1" applyBorder="1"/>
    <xf numFmtId="165" fontId="119" fillId="51" borderId="32" xfId="28" applyNumberFormat="1" applyFont="1" applyFill="1" applyBorder="1"/>
    <xf numFmtId="0" fontId="120" fillId="0" borderId="28" xfId="48" applyFont="1" applyBorder="1"/>
    <xf numFmtId="170" fontId="110" fillId="27" borderId="32" xfId="30" applyNumberFormat="1" applyFont="1" applyFill="1" applyBorder="1"/>
    <xf numFmtId="170" fontId="110" fillId="27" borderId="33" xfId="30" applyNumberFormat="1" applyFont="1" applyFill="1" applyBorder="1"/>
    <xf numFmtId="170" fontId="110" fillId="57" borderId="32" xfId="30" applyNumberFormat="1" applyFont="1" applyFill="1" applyBorder="1"/>
    <xf numFmtId="0" fontId="119" fillId="0" borderId="28" xfId="0" applyFont="1" applyBorder="1"/>
    <xf numFmtId="0" fontId="119" fillId="0" borderId="29" xfId="0" applyFont="1" applyBorder="1"/>
    <xf numFmtId="0" fontId="119" fillId="0" borderId="30" xfId="0" applyFont="1" applyBorder="1"/>
    <xf numFmtId="0" fontId="119" fillId="0" borderId="3" xfId="0" applyFont="1" applyBorder="1"/>
    <xf numFmtId="0" fontId="119" fillId="0" borderId="31" xfId="0" applyFont="1" applyBorder="1"/>
    <xf numFmtId="0" fontId="119" fillId="51" borderId="0" xfId="48" applyFont="1" applyFill="1"/>
    <xf numFmtId="0" fontId="45" fillId="51" borderId="0" xfId="0" applyFont="1" applyFill="1"/>
    <xf numFmtId="170" fontId="45" fillId="51" borderId="0" xfId="0" applyNumberFormat="1" applyFont="1" applyFill="1" applyProtection="1">
      <protection locked="0"/>
    </xf>
    <xf numFmtId="170" fontId="45" fillId="51" borderId="0" xfId="0" applyNumberFormat="1" applyFont="1" applyFill="1"/>
    <xf numFmtId="10" fontId="83" fillId="0" borderId="0" xfId="55" applyNumberFormat="1" applyFont="1" applyFill="1" applyBorder="1" applyAlignment="1" applyProtection="1">
      <alignment horizontal="right"/>
    </xf>
    <xf numFmtId="38" fontId="131" fillId="0" borderId="29" xfId="48" applyNumberFormat="1" applyFont="1" applyBorder="1"/>
    <xf numFmtId="0" fontId="119" fillId="0" borderId="0" xfId="48" applyFont="1" applyAlignment="1">
      <alignment horizontal="centerContinuous"/>
    </xf>
    <xf numFmtId="38" fontId="131" fillId="0" borderId="29" xfId="48" applyNumberFormat="1" applyFont="1" applyBorder="1" applyAlignment="1">
      <alignment horizontal="centerContinuous"/>
    </xf>
    <xf numFmtId="38" fontId="119" fillId="0" borderId="29" xfId="48" applyNumberFormat="1" applyFont="1" applyBorder="1" applyAlignment="1">
      <alignment horizontal="right"/>
    </xf>
    <xf numFmtId="0" fontId="110" fillId="0" borderId="0" xfId="0" applyFont="1" applyAlignment="1">
      <alignment horizontal="centerContinuous"/>
    </xf>
    <xf numFmtId="0" fontId="120" fillId="26" borderId="28" xfId="38" applyFont="1" applyFill="1" applyBorder="1" applyAlignment="1" applyProtection="1">
      <alignment horizontal="center"/>
    </xf>
    <xf numFmtId="0" fontId="120" fillId="26" borderId="279" xfId="38" applyFont="1" applyFill="1" applyBorder="1" applyAlignment="1" applyProtection="1"/>
    <xf numFmtId="0" fontId="120" fillId="26" borderId="28" xfId="38" applyFont="1" applyFill="1" applyBorder="1" applyAlignment="1" applyProtection="1"/>
    <xf numFmtId="0" fontId="130" fillId="0" borderId="0" xfId="48" applyFont="1" applyAlignment="1">
      <alignment horizontal="right"/>
    </xf>
    <xf numFmtId="0" fontId="134" fillId="0" borderId="0" xfId="48" applyFont="1"/>
    <xf numFmtId="0" fontId="126" fillId="0" borderId="0" xfId="48" applyFont="1"/>
    <xf numFmtId="0" fontId="126" fillId="0" borderId="29" xfId="48" applyFont="1" applyBorder="1"/>
    <xf numFmtId="0" fontId="130" fillId="0" borderId="28" xfId="48" applyFont="1" applyBorder="1" applyAlignment="1">
      <alignment horizontal="right"/>
    </xf>
    <xf numFmtId="168" fontId="132" fillId="0" borderId="0" xfId="48" applyNumberFormat="1" applyFont="1"/>
    <xf numFmtId="0" fontId="134" fillId="0" borderId="28" xfId="48" applyFont="1" applyBorder="1" applyAlignment="1">
      <alignment horizontal="centerContinuous"/>
    </xf>
    <xf numFmtId="9" fontId="132" fillId="0" borderId="0" xfId="55" applyFont="1" applyBorder="1" applyAlignment="1"/>
    <xf numFmtId="0" fontId="45" fillId="0" borderId="29" xfId="0" applyFont="1" applyBorder="1"/>
    <xf numFmtId="0" fontId="45" fillId="0" borderId="29" xfId="0" applyFont="1" applyBorder="1" applyAlignment="1">
      <alignment horizontal="centerContinuous"/>
    </xf>
    <xf numFmtId="168" fontId="130" fillId="28" borderId="93" xfId="30" applyNumberFormat="1" applyFont="1" applyFill="1" applyBorder="1" applyAlignment="1">
      <alignment horizontal="right"/>
    </xf>
    <xf numFmtId="44" fontId="45" fillId="0" borderId="0" xfId="30" applyFont="1" applyBorder="1" applyAlignment="1">
      <alignment horizontal="right"/>
    </xf>
    <xf numFmtId="44" fontId="45" fillId="0" borderId="29" xfId="30" applyFont="1" applyBorder="1" applyAlignment="1">
      <alignment horizontal="right"/>
    </xf>
    <xf numFmtId="0" fontId="131" fillId="0" borderId="28" xfId="48" applyFont="1" applyBorder="1" applyAlignment="1">
      <alignment horizontal="centerContinuous"/>
    </xf>
    <xf numFmtId="0" fontId="131" fillId="25" borderId="46" xfId="48" applyFont="1" applyFill="1" applyBorder="1" applyAlignment="1">
      <alignment horizontal="centerContinuous"/>
    </xf>
    <xf numFmtId="0" fontId="119" fillId="25" borderId="46" xfId="48" applyFont="1" applyFill="1" applyBorder="1" applyAlignment="1">
      <alignment horizontal="centerContinuous"/>
    </xf>
    <xf numFmtId="0" fontId="119" fillId="25" borderId="47" xfId="48" applyFont="1" applyFill="1" applyBorder="1" applyAlignment="1">
      <alignment horizontal="centerContinuous"/>
    </xf>
    <xf numFmtId="38" fontId="45" fillId="0" borderId="0" xfId="48" applyNumberFormat="1" applyFont="1" applyAlignment="1">
      <alignment horizontal="centerContinuous"/>
    </xf>
    <xf numFmtId="38" fontId="119" fillId="0" borderId="0" xfId="48" applyNumberFormat="1" applyFont="1" applyAlignment="1">
      <alignment horizontal="centerContinuous"/>
    </xf>
    <xf numFmtId="0" fontId="110" fillId="0" borderId="28" xfId="0" applyFont="1" applyBorder="1"/>
    <xf numFmtId="0" fontId="131" fillId="0" borderId="0" xfId="48" applyFont="1" applyAlignment="1">
      <alignment horizontal="centerContinuous"/>
    </xf>
    <xf numFmtId="0" fontId="119" fillId="0" borderId="0" xfId="52" applyFont="1" applyAlignment="1">
      <alignment horizontal="center"/>
    </xf>
    <xf numFmtId="0" fontId="110" fillId="0" borderId="56" xfId="52" applyFont="1" applyBorder="1" applyAlignment="1">
      <alignment horizontal="center"/>
    </xf>
    <xf numFmtId="0" fontId="110" fillId="0" borderId="58" xfId="52" applyFont="1" applyBorder="1" applyAlignment="1">
      <alignment horizontal="center"/>
    </xf>
    <xf numFmtId="0" fontId="119" fillId="0" borderId="0" xfId="52" quotePrefix="1" applyFont="1" applyAlignment="1">
      <alignment horizontal="center"/>
    </xf>
    <xf numFmtId="10" fontId="119" fillId="24" borderId="32" xfId="55" applyNumberFormat="1" applyFont="1" applyFill="1" applyBorder="1" applyAlignment="1">
      <alignment horizontal="center"/>
    </xf>
    <xf numFmtId="166" fontId="119" fillId="24" borderId="86" xfId="55" applyNumberFormat="1" applyFont="1" applyFill="1" applyBorder="1" applyAlignment="1">
      <alignment horizontal="center"/>
    </xf>
    <xf numFmtId="10" fontId="119" fillId="24" borderId="86" xfId="55" applyNumberFormat="1" applyFont="1" applyFill="1" applyBorder="1" applyAlignment="1">
      <alignment horizontal="center"/>
    </xf>
    <xf numFmtId="168" fontId="119" fillId="24" borderId="87" xfId="55" applyNumberFormat="1" applyFont="1" applyFill="1" applyBorder="1" applyAlignment="1">
      <alignment horizontal="center"/>
    </xf>
    <xf numFmtId="166" fontId="119" fillId="24" borderId="32" xfId="55" applyNumberFormat="1" applyFont="1" applyFill="1" applyBorder="1" applyAlignment="1">
      <alignment horizontal="center"/>
    </xf>
    <xf numFmtId="168" fontId="119" fillId="24" borderId="88" xfId="55" applyNumberFormat="1" applyFont="1" applyFill="1" applyBorder="1" applyAlignment="1">
      <alignment horizontal="center"/>
    </xf>
    <xf numFmtId="168" fontId="119" fillId="0" borderId="0" xfId="55" quotePrefix="1" applyNumberFormat="1" applyFont="1" applyBorder="1" applyAlignment="1">
      <alignment horizontal="center"/>
    </xf>
    <xf numFmtId="168" fontId="110" fillId="27" borderId="58" xfId="55" applyNumberFormat="1" applyFont="1" applyFill="1" applyBorder="1" applyAlignment="1">
      <alignment horizontal="center"/>
    </xf>
    <xf numFmtId="0" fontId="119" fillId="0" borderId="0" xfId="52" applyFont="1"/>
    <xf numFmtId="9" fontId="110" fillId="0" borderId="0" xfId="52" applyNumberFormat="1" applyFont="1" applyAlignment="1">
      <alignment horizontal="center"/>
    </xf>
    <xf numFmtId="168" fontId="119" fillId="0" borderId="0" xfId="55" applyNumberFormat="1" applyFont="1" applyBorder="1"/>
    <xf numFmtId="168" fontId="124" fillId="27" borderId="93" xfId="55" applyNumberFormat="1" applyFont="1" applyFill="1" applyBorder="1" applyAlignment="1">
      <alignment horizontal="center"/>
    </xf>
    <xf numFmtId="0" fontId="119" fillId="0" borderId="0" xfId="52" quotePrefix="1" applyFont="1" applyAlignment="1">
      <alignment horizontal="center" wrapText="1"/>
    </xf>
    <xf numFmtId="38" fontId="110" fillId="0" borderId="0" xfId="48" applyNumberFormat="1" applyFont="1" applyAlignment="1">
      <alignment horizontal="center"/>
    </xf>
    <xf numFmtId="38" fontId="110" fillId="0" borderId="29" xfId="48" applyNumberFormat="1" applyFont="1" applyBorder="1" applyAlignment="1">
      <alignment horizontal="center"/>
    </xf>
    <xf numFmtId="38" fontId="110" fillId="0" borderId="49" xfId="48" applyNumberFormat="1" applyFont="1" applyBorder="1" applyAlignment="1">
      <alignment horizontal="center"/>
    </xf>
    <xf numFmtId="38" fontId="110" fillId="0" borderId="48" xfId="48" applyNumberFormat="1" applyFont="1" applyBorder="1" applyAlignment="1">
      <alignment horizontal="center"/>
    </xf>
    <xf numFmtId="38" fontId="110" fillId="0" borderId="53" xfId="48" applyNumberFormat="1" applyFont="1" applyBorder="1" applyAlignment="1">
      <alignment horizontal="center"/>
    </xf>
    <xf numFmtId="170" fontId="119" fillId="24" borderId="89" xfId="30" applyNumberFormat="1" applyFont="1" applyFill="1" applyBorder="1"/>
    <xf numFmtId="170" fontId="119" fillId="24" borderId="90" xfId="30" applyNumberFormat="1" applyFont="1" applyFill="1" applyBorder="1"/>
    <xf numFmtId="170" fontId="119" fillId="24" borderId="91" xfId="30" applyNumberFormat="1" applyFont="1" applyFill="1" applyBorder="1"/>
    <xf numFmtId="0" fontId="124" fillId="0" borderId="0" xfId="52" applyFont="1" applyAlignment="1">
      <alignment horizontal="center"/>
    </xf>
    <xf numFmtId="0" fontId="124" fillId="0" borderId="43" xfId="52" applyFont="1" applyBorder="1" applyAlignment="1">
      <alignment horizontal="center"/>
    </xf>
    <xf numFmtId="0" fontId="124" fillId="0" borderId="82" xfId="52" applyFont="1" applyBorder="1" applyAlignment="1">
      <alignment horizontal="centerContinuous"/>
    </xf>
    <xf numFmtId="0" fontId="124" fillId="0" borderId="44" xfId="52" applyFont="1" applyBorder="1" applyAlignment="1">
      <alignment horizontal="center"/>
    </xf>
    <xf numFmtId="170" fontId="119" fillId="24" borderId="48" xfId="30" applyNumberFormat="1" applyFont="1" applyFill="1" applyBorder="1" applyAlignment="1">
      <alignment horizontal="center"/>
    </xf>
    <xf numFmtId="166" fontId="119" fillId="24" borderId="48" xfId="55" applyNumberFormat="1" applyFont="1" applyFill="1" applyBorder="1" applyAlignment="1">
      <alignment horizontal="center"/>
    </xf>
    <xf numFmtId="10" fontId="119" fillId="24" borderId="48" xfId="55" applyNumberFormat="1" applyFont="1" applyFill="1" applyBorder="1" applyAlignment="1">
      <alignment horizontal="center"/>
    </xf>
    <xf numFmtId="168" fontId="119" fillId="24" borderId="99" xfId="55" applyNumberFormat="1" applyFont="1" applyFill="1" applyBorder="1" applyAlignment="1">
      <alignment horizontal="center"/>
    </xf>
    <xf numFmtId="10" fontId="119" fillId="24" borderId="62" xfId="55" applyNumberFormat="1" applyFont="1" applyFill="1" applyBorder="1" applyAlignment="1">
      <alignment horizontal="center"/>
    </xf>
    <xf numFmtId="10" fontId="119" fillId="24" borderId="49" xfId="55" applyNumberFormat="1" applyFont="1" applyFill="1" applyBorder="1" applyAlignment="1">
      <alignment horizontal="center"/>
    </xf>
    <xf numFmtId="168" fontId="119" fillId="24" borderId="53" xfId="55" applyNumberFormat="1" applyFont="1" applyFill="1" applyBorder="1" applyAlignment="1">
      <alignment horizontal="center"/>
    </xf>
    <xf numFmtId="170" fontId="119" fillId="24" borderId="32" xfId="30" applyNumberFormat="1" applyFont="1" applyFill="1" applyBorder="1" applyAlignment="1">
      <alignment horizontal="center"/>
    </xf>
    <xf numFmtId="10" fontId="119" fillId="24" borderId="92" xfId="55" applyNumberFormat="1" applyFont="1" applyFill="1" applyBorder="1" applyAlignment="1">
      <alignment horizontal="center"/>
    </xf>
    <xf numFmtId="10" fontId="119" fillId="24" borderId="33" xfId="55" applyNumberFormat="1" applyFont="1" applyFill="1" applyBorder="1" applyAlignment="1">
      <alignment horizontal="center"/>
    </xf>
    <xf numFmtId="170" fontId="110" fillId="27" borderId="56" xfId="30" applyNumberFormat="1" applyFont="1" applyFill="1" applyBorder="1" applyAlignment="1">
      <alignment horizontal="right"/>
    </xf>
    <xf numFmtId="168" fontId="110" fillId="27" borderId="103" xfId="55" applyNumberFormat="1" applyFont="1" applyFill="1" applyBorder="1" applyAlignment="1">
      <alignment horizontal="center"/>
    </xf>
    <xf numFmtId="10" fontId="124" fillId="0" borderId="0" xfId="52" quotePrefix="1" applyNumberFormat="1" applyFont="1" applyAlignment="1">
      <alignment horizontal="center"/>
    </xf>
    <xf numFmtId="10" fontId="119" fillId="27" borderId="94" xfId="55" applyNumberFormat="1" applyFont="1" applyFill="1" applyBorder="1" applyAlignment="1">
      <alignment horizontal="center"/>
    </xf>
    <xf numFmtId="10" fontId="119" fillId="27" borderId="95" xfId="55" applyNumberFormat="1" applyFont="1" applyFill="1" applyBorder="1" applyAlignment="1">
      <alignment horizontal="center"/>
    </xf>
    <xf numFmtId="0" fontId="124" fillId="0" borderId="0" xfId="52" quotePrefix="1" applyFont="1" applyAlignment="1">
      <alignment horizontal="center"/>
    </xf>
    <xf numFmtId="0" fontId="110" fillId="0" borderId="60" xfId="52" applyFont="1" applyBorder="1" applyAlignment="1">
      <alignment horizontal="center"/>
    </xf>
    <xf numFmtId="0" fontId="110" fillId="0" borderId="61" xfId="52" applyFont="1" applyBorder="1" applyAlignment="1">
      <alignment horizontal="center"/>
    </xf>
    <xf numFmtId="170" fontId="119" fillId="24" borderId="86" xfId="30" applyNumberFormat="1" applyFont="1" applyFill="1" applyBorder="1" applyAlignment="1">
      <alignment horizontal="right"/>
    </xf>
    <xf numFmtId="170" fontId="119" fillId="24" borderId="32" xfId="30" applyNumberFormat="1" applyFont="1" applyFill="1" applyBorder="1" applyAlignment="1">
      <alignment horizontal="right"/>
    </xf>
    <xf numFmtId="168" fontId="119" fillId="24" borderId="33" xfId="55" applyNumberFormat="1" applyFont="1" applyFill="1" applyBorder="1" applyAlignment="1">
      <alignment horizontal="center"/>
    </xf>
    <xf numFmtId="10" fontId="119" fillId="24" borderId="86" xfId="55" applyNumberFormat="1" applyFont="1" applyFill="1" applyBorder="1"/>
    <xf numFmtId="6" fontId="119" fillId="24" borderId="87" xfId="52" applyNumberFormat="1" applyFont="1" applyFill="1" applyBorder="1" applyAlignment="1">
      <alignment horizontal="right"/>
    </xf>
    <xf numFmtId="10" fontId="119" fillId="0" borderId="104" xfId="55" applyNumberFormat="1" applyFont="1" applyFill="1" applyBorder="1" applyAlignment="1">
      <alignment horizontal="center"/>
    </xf>
    <xf numFmtId="10" fontId="119" fillId="24" borderId="36" xfId="55" applyNumberFormat="1" applyFont="1" applyFill="1" applyBorder="1" applyAlignment="1">
      <alignment horizontal="center"/>
    </xf>
    <xf numFmtId="168" fontId="119" fillId="0" borderId="29" xfId="55" applyNumberFormat="1" applyFont="1" applyFill="1" applyBorder="1" applyAlignment="1">
      <alignment horizontal="center"/>
    </xf>
    <xf numFmtId="38" fontId="119" fillId="24" borderId="88" xfId="52" applyNumberFormat="1" applyFont="1" applyFill="1" applyBorder="1" applyAlignment="1">
      <alignment horizontal="right"/>
    </xf>
    <xf numFmtId="10" fontId="119" fillId="24" borderId="35" xfId="55" applyNumberFormat="1" applyFont="1" applyFill="1" applyBorder="1" applyAlignment="1">
      <alignment horizontal="center"/>
    </xf>
    <xf numFmtId="10" fontId="119" fillId="0" borderId="29" xfId="55" applyNumberFormat="1" applyFont="1" applyFill="1" applyBorder="1" applyAlignment="1">
      <alignment horizontal="center"/>
    </xf>
    <xf numFmtId="10" fontId="110" fillId="27" borderId="56" xfId="52" applyNumberFormat="1" applyFont="1" applyFill="1" applyBorder="1"/>
    <xf numFmtId="6" fontId="110" fillId="27" borderId="58" xfId="52" applyNumberFormat="1" applyFont="1" applyFill="1" applyBorder="1" applyAlignment="1">
      <alignment horizontal="right"/>
    </xf>
    <xf numFmtId="10" fontId="110" fillId="27" borderId="62" xfId="52" quotePrefix="1" applyNumberFormat="1" applyFont="1" applyFill="1" applyBorder="1" applyAlignment="1">
      <alignment horizontal="center"/>
    </xf>
    <xf numFmtId="10" fontId="110" fillId="27" borderId="37" xfId="55" applyNumberFormat="1" applyFont="1" applyFill="1" applyBorder="1" applyAlignment="1">
      <alignment horizontal="center"/>
    </xf>
    <xf numFmtId="0" fontId="119" fillId="0" borderId="3" xfId="52" applyFont="1" applyBorder="1"/>
    <xf numFmtId="0" fontId="119" fillId="0" borderId="3" xfId="52" applyFont="1" applyBorder="1" applyAlignment="1">
      <alignment horizontal="center"/>
    </xf>
    <xf numFmtId="0" fontId="119" fillId="0" borderId="3" xfId="52" quotePrefix="1" applyFont="1" applyBorder="1" applyAlignment="1">
      <alignment horizontal="center"/>
    </xf>
    <xf numFmtId="0" fontId="119" fillId="0" borderId="38" xfId="0" applyFont="1" applyBorder="1"/>
    <xf numFmtId="0" fontId="119" fillId="0" borderId="39" xfId="52" applyFont="1" applyBorder="1"/>
    <xf numFmtId="0" fontId="119" fillId="0" borderId="39" xfId="52" applyFont="1" applyBorder="1" applyAlignment="1">
      <alignment horizontal="center"/>
    </xf>
    <xf numFmtId="0" fontId="119" fillId="0" borderId="39" xfId="52" quotePrefix="1" applyFont="1" applyBorder="1" applyAlignment="1">
      <alignment horizontal="center"/>
    </xf>
    <xf numFmtId="168" fontId="110" fillId="27" borderId="62" xfId="55" applyNumberFormat="1" applyFont="1" applyFill="1" applyBorder="1" applyAlignment="1">
      <alignment horizontal="center"/>
    </xf>
    <xf numFmtId="170" fontId="119" fillId="24" borderId="92" xfId="30" applyNumberFormat="1" applyFont="1" applyFill="1" applyBorder="1"/>
    <xf numFmtId="170" fontId="119" fillId="24" borderId="32" xfId="30" applyNumberFormat="1" applyFont="1" applyFill="1" applyBorder="1"/>
    <xf numFmtId="170" fontId="119" fillId="24" borderId="33" xfId="30" applyNumberFormat="1" applyFont="1" applyFill="1" applyBorder="1"/>
    <xf numFmtId="0" fontId="110" fillId="0" borderId="48" xfId="48" applyFont="1" applyBorder="1" applyAlignment="1">
      <alignment horizontal="center"/>
    </xf>
    <xf numFmtId="0" fontId="110" fillId="0" borderId="54" xfId="48" applyFont="1" applyBorder="1" applyAlignment="1">
      <alignment horizontal="center"/>
    </xf>
    <xf numFmtId="0" fontId="110" fillId="0" borderId="57" xfId="52" applyFont="1" applyBorder="1" applyAlignment="1">
      <alignment horizontal="center"/>
    </xf>
    <xf numFmtId="170" fontId="119" fillId="24" borderId="86" xfId="30" applyNumberFormat="1" applyFont="1" applyFill="1" applyBorder="1" applyAlignment="1">
      <alignment horizontal="center"/>
    </xf>
    <xf numFmtId="1" fontId="119" fillId="24" borderId="86" xfId="55" applyNumberFormat="1" applyFont="1" applyFill="1" applyBorder="1" applyAlignment="1">
      <alignment horizontal="center"/>
    </xf>
    <xf numFmtId="170" fontId="119" fillId="24" borderId="105" xfId="30" applyNumberFormat="1" applyFont="1" applyFill="1" applyBorder="1" applyAlignment="1">
      <alignment horizontal="center"/>
    </xf>
    <xf numFmtId="170" fontId="110" fillId="27" borderId="56" xfId="30" applyNumberFormat="1" applyFont="1" applyFill="1" applyBorder="1" applyAlignment="1">
      <alignment horizontal="center"/>
    </xf>
    <xf numFmtId="1" fontId="110" fillId="27" borderId="56" xfId="55" applyNumberFormat="1" applyFont="1" applyFill="1" applyBorder="1" applyAlignment="1">
      <alignment horizontal="center"/>
    </xf>
    <xf numFmtId="10" fontId="110" fillId="27" borderId="56" xfId="55" applyNumberFormat="1" applyFont="1" applyFill="1" applyBorder="1" applyAlignment="1">
      <alignment horizontal="center"/>
    </xf>
    <xf numFmtId="170" fontId="110" fillId="27" borderId="57" xfId="30" applyNumberFormat="1" applyFont="1" applyFill="1" applyBorder="1" applyAlignment="1">
      <alignment horizontal="center"/>
    </xf>
    <xf numFmtId="170" fontId="119" fillId="24" borderId="106" xfId="30" applyNumberFormat="1" applyFont="1" applyFill="1" applyBorder="1"/>
    <xf numFmtId="170" fontId="119" fillId="24" borderId="107" xfId="30" applyNumberFormat="1" applyFont="1" applyFill="1" applyBorder="1"/>
    <xf numFmtId="9" fontId="119" fillId="24" borderId="92" xfId="55" applyFont="1" applyFill="1" applyBorder="1"/>
    <xf numFmtId="9" fontId="119" fillId="24" borderId="32" xfId="55" applyFont="1" applyFill="1" applyBorder="1"/>
    <xf numFmtId="9" fontId="119" fillId="24" borderId="33" xfId="55" applyFont="1" applyFill="1" applyBorder="1"/>
    <xf numFmtId="38" fontId="45" fillId="0" borderId="29" xfId="48" applyNumberFormat="1" applyFont="1" applyBorder="1"/>
    <xf numFmtId="0" fontId="119" fillId="0" borderId="28" xfId="48" applyFont="1" applyBorder="1" applyAlignment="1">
      <alignment horizontal="center"/>
    </xf>
    <xf numFmtId="0" fontId="119" fillId="0" borderId="30" xfId="48" applyFont="1" applyBorder="1"/>
    <xf numFmtId="0" fontId="119" fillId="0" borderId="3" xfId="48" applyFont="1" applyBorder="1" applyProtection="1">
      <protection locked="0"/>
    </xf>
    <xf numFmtId="38" fontId="119" fillId="0" borderId="3" xfId="48" applyNumberFormat="1" applyFont="1" applyBorder="1" applyAlignment="1">
      <alignment horizontal="right"/>
    </xf>
    <xf numFmtId="38" fontId="119" fillId="0" borderId="31" xfId="48" applyNumberFormat="1" applyFont="1" applyBorder="1" applyAlignment="1">
      <alignment horizontal="right"/>
    </xf>
    <xf numFmtId="0" fontId="45" fillId="0" borderId="0" xfId="0" applyFont="1" applyProtection="1">
      <protection locked="0"/>
    </xf>
    <xf numFmtId="0" fontId="110" fillId="0" borderId="28" xfId="48" applyFont="1" applyBorder="1" applyAlignment="1">
      <alignment horizontal="centerContinuous"/>
    </xf>
    <xf numFmtId="0" fontId="76" fillId="0" borderId="0" xfId="48" applyFont="1" applyAlignment="1">
      <alignment horizontal="centerContinuous"/>
    </xf>
    <xf numFmtId="38" fontId="135" fillId="0" borderId="0" xfId="48" applyNumberFormat="1" applyFont="1" applyAlignment="1">
      <alignment horizontal="centerContinuous"/>
    </xf>
    <xf numFmtId="38" fontId="76" fillId="0" borderId="0" xfId="48" applyNumberFormat="1" applyFont="1" applyAlignment="1">
      <alignment horizontal="centerContinuous"/>
    </xf>
    <xf numFmtId="0" fontId="121" fillId="0" borderId="0" xfId="38" applyFont="1" applyBorder="1" applyAlignment="1" applyProtection="1">
      <alignment horizontal="center"/>
    </xf>
    <xf numFmtId="0" fontId="110" fillId="27" borderId="244" xfId="48" applyFont="1" applyFill="1" applyBorder="1" applyAlignment="1">
      <alignment horizontal="center"/>
    </xf>
    <xf numFmtId="0" fontId="121" fillId="0" borderId="0" xfId="38" applyFont="1" applyBorder="1" applyAlignment="1" applyProtection="1">
      <alignment horizontal="center"/>
      <protection locked="0"/>
    </xf>
    <xf numFmtId="179" fontId="110" fillId="27" borderId="245" xfId="48" applyNumberFormat="1" applyFont="1" applyFill="1" applyBorder="1" applyAlignment="1">
      <alignment horizontal="center"/>
    </xf>
    <xf numFmtId="179" fontId="110" fillId="27" borderId="246" xfId="48" applyNumberFormat="1" applyFont="1" applyFill="1" applyBorder="1" applyAlignment="1">
      <alignment horizontal="center"/>
    </xf>
    <xf numFmtId="0" fontId="110" fillId="0" borderId="77" xfId="48" applyFont="1" applyBorder="1" applyAlignment="1">
      <alignment horizontal="centerContinuous" vertical="center"/>
    </xf>
    <xf numFmtId="0" fontId="110" fillId="0" borderId="84" xfId="48" applyFont="1" applyBorder="1" applyAlignment="1">
      <alignment horizontal="centerContinuous" vertical="center"/>
    </xf>
    <xf numFmtId="0" fontId="110" fillId="0" borderId="85" xfId="48" applyFont="1" applyBorder="1" applyAlignment="1">
      <alignment horizontal="centerContinuous" vertical="center"/>
    </xf>
    <xf numFmtId="0" fontId="110" fillId="0" borderId="43" xfId="48" applyFont="1" applyBorder="1" applyAlignment="1">
      <alignment horizontal="center" vertical="center"/>
    </xf>
    <xf numFmtId="0" fontId="110" fillId="0" borderId="67" xfId="48" applyFont="1" applyBorder="1" applyAlignment="1">
      <alignment horizontal="center" vertical="center"/>
    </xf>
    <xf numFmtId="0" fontId="110" fillId="0" borderId="69" xfId="48" applyFont="1" applyBorder="1" applyAlignment="1">
      <alignment horizontal="center" vertical="center"/>
    </xf>
    <xf numFmtId="38" fontId="136" fillId="0" borderId="0" xfId="48" applyNumberFormat="1" applyFont="1"/>
    <xf numFmtId="0" fontId="119" fillId="0" borderId="32" xfId="48" applyFont="1" applyBorder="1" applyAlignment="1">
      <alignment horizontal="center"/>
    </xf>
    <xf numFmtId="165" fontId="119" fillId="24" borderId="32" xfId="28" applyNumberFormat="1" applyFont="1" applyFill="1" applyBorder="1"/>
    <xf numFmtId="165" fontId="119" fillId="24" borderId="33" xfId="28" applyNumberFormat="1" applyFont="1" applyFill="1" applyBorder="1"/>
    <xf numFmtId="3" fontId="119" fillId="0" borderId="0" xfId="0" applyNumberFormat="1" applyFont="1" applyAlignment="1">
      <alignment horizontal="right"/>
    </xf>
    <xf numFmtId="3" fontId="119" fillId="0" borderId="29" xfId="0" applyNumberFormat="1" applyFont="1" applyBorder="1" applyAlignment="1">
      <alignment horizontal="right"/>
    </xf>
    <xf numFmtId="165" fontId="119" fillId="31" borderId="32" xfId="28" applyNumberFormat="1" applyFont="1" applyFill="1" applyBorder="1" applyProtection="1">
      <protection locked="0"/>
    </xf>
    <xf numFmtId="165" fontId="119" fillId="31" borderId="32" xfId="28" applyNumberFormat="1" applyFont="1" applyFill="1" applyBorder="1"/>
    <xf numFmtId="165" fontId="119" fillId="31" borderId="33" xfId="28" applyNumberFormat="1" applyFont="1" applyFill="1" applyBorder="1"/>
    <xf numFmtId="0" fontId="119" fillId="0" borderId="112" xfId="48" applyFont="1" applyBorder="1" applyAlignment="1" applyProtection="1">
      <alignment horizontal="center"/>
      <protection locked="0"/>
    </xf>
    <xf numFmtId="0" fontId="110" fillId="27" borderId="32" xfId="48" applyFont="1" applyFill="1" applyBorder="1" applyAlignment="1">
      <alignment horizontal="center"/>
    </xf>
    <xf numFmtId="0" fontId="110" fillId="27" borderId="32" xfId="48" applyFont="1" applyFill="1" applyBorder="1" applyAlignment="1" applyProtection="1">
      <alignment horizontal="center"/>
      <protection locked="0"/>
    </xf>
    <xf numFmtId="170" fontId="110" fillId="27" borderId="86" xfId="30" applyNumberFormat="1" applyFont="1" applyFill="1" applyBorder="1" applyProtection="1">
      <protection locked="0"/>
    </xf>
    <xf numFmtId="44" fontId="110" fillId="27" borderId="32" xfId="30" applyFont="1" applyFill="1" applyBorder="1"/>
    <xf numFmtId="0" fontId="110" fillId="0" borderId="0" xfId="0" applyFont="1" applyProtection="1">
      <protection locked="0"/>
    </xf>
    <xf numFmtId="38" fontId="119" fillId="0" borderId="31" xfId="48" applyNumberFormat="1" applyFont="1" applyBorder="1"/>
    <xf numFmtId="0" fontId="124" fillId="0" borderId="32" xfId="48" applyFont="1" applyBorder="1" applyAlignment="1" applyProtection="1">
      <alignment horizontal="center"/>
      <protection locked="0"/>
    </xf>
    <xf numFmtId="0" fontId="79" fillId="0" borderId="0" xfId="48" applyFont="1" applyAlignment="1" applyProtection="1">
      <alignment horizontal="left"/>
      <protection locked="0"/>
    </xf>
    <xf numFmtId="0" fontId="79" fillId="0" borderId="32" xfId="48" applyFont="1" applyBorder="1" applyAlignment="1">
      <alignment horizontal="center"/>
    </xf>
    <xf numFmtId="0" fontId="79" fillId="0" borderId="32" xfId="48" applyFont="1" applyBorder="1" applyAlignment="1" applyProtection="1">
      <alignment horizontal="center"/>
      <protection locked="0"/>
    </xf>
    <xf numFmtId="165" fontId="86" fillId="24" borderId="32" xfId="28" applyNumberFormat="1" applyFont="1" applyFill="1" applyBorder="1" applyProtection="1">
      <protection locked="0"/>
    </xf>
    <xf numFmtId="0" fontId="86" fillId="0" borderId="0" xfId="48" applyFont="1" applyAlignment="1" applyProtection="1">
      <alignment horizontal="left"/>
      <protection locked="0"/>
    </xf>
    <xf numFmtId="0" fontId="86" fillId="0" borderId="32" xfId="48" applyFont="1" applyBorder="1" applyAlignment="1">
      <alignment horizontal="center"/>
    </xf>
    <xf numFmtId="165" fontId="86" fillId="24" borderId="32" xfId="28" applyNumberFormat="1" applyFont="1" applyFill="1" applyBorder="1"/>
    <xf numFmtId="165" fontId="86" fillId="24" borderId="33" xfId="28" applyNumberFormat="1" applyFont="1" applyFill="1" applyBorder="1"/>
    <xf numFmtId="3" fontId="119" fillId="0" borderId="0" xfId="0" applyNumberFormat="1" applyFont="1" applyProtection="1">
      <protection locked="0"/>
    </xf>
    <xf numFmtId="3" fontId="119" fillId="0" borderId="3" xfId="48" applyNumberFormat="1" applyFont="1" applyBorder="1" applyAlignment="1" applyProtection="1">
      <alignment horizontal="right"/>
      <protection locked="0"/>
    </xf>
    <xf numFmtId="3" fontId="119" fillId="0" borderId="3" xfId="48" applyNumberFormat="1" applyFont="1" applyBorder="1" applyAlignment="1">
      <alignment horizontal="right"/>
    </xf>
    <xf numFmtId="3" fontId="119" fillId="0" borderId="31" xfId="48" applyNumberFormat="1" applyFont="1" applyBorder="1" applyAlignment="1">
      <alignment horizontal="right"/>
    </xf>
    <xf numFmtId="0" fontId="110" fillId="27" borderId="86" xfId="48" applyFont="1" applyFill="1" applyBorder="1" applyAlignment="1">
      <alignment horizontal="center"/>
    </xf>
    <xf numFmtId="0" fontId="110" fillId="27" borderId="86" xfId="48" applyFont="1" applyFill="1" applyBorder="1" applyAlignment="1" applyProtection="1">
      <alignment horizontal="center"/>
      <protection locked="0"/>
    </xf>
    <xf numFmtId="170" fontId="110" fillId="27" borderId="86" xfId="30" applyNumberFormat="1" applyFont="1" applyFill="1" applyBorder="1"/>
    <xf numFmtId="170" fontId="110" fillId="27" borderId="111" xfId="30" applyNumberFormat="1" applyFont="1" applyFill="1" applyBorder="1"/>
    <xf numFmtId="0" fontId="127" fillId="0" borderId="28" xfId="48" applyFont="1" applyBorder="1" applyAlignment="1">
      <alignment horizontal="left" vertical="center"/>
    </xf>
    <xf numFmtId="0" fontId="127" fillId="0" borderId="0" xfId="48" applyFont="1" applyAlignment="1">
      <alignment horizontal="left" vertical="center"/>
    </xf>
    <xf numFmtId="0" fontId="119" fillId="0" borderId="0" xfId="0" applyFont="1" applyAlignment="1">
      <alignment horizontal="left" vertical="center"/>
    </xf>
    <xf numFmtId="3" fontId="119" fillId="0" borderId="0" xfId="48" applyNumberFormat="1" applyFont="1" applyAlignment="1">
      <alignment horizontal="left"/>
    </xf>
    <xf numFmtId="3" fontId="119" fillId="0" borderId="29" xfId="48" applyNumberFormat="1" applyFont="1" applyBorder="1" applyAlignment="1">
      <alignment horizontal="left"/>
    </xf>
    <xf numFmtId="0" fontId="119" fillId="0" borderId="28" xfId="0" applyFont="1" applyBorder="1" applyAlignment="1">
      <alignment horizontal="left" vertical="center" wrapText="1"/>
    </xf>
    <xf numFmtId="0" fontId="119" fillId="0" borderId="0" xfId="0" applyFont="1" applyAlignment="1">
      <alignment horizontal="left" vertical="center" wrapText="1"/>
    </xf>
    <xf numFmtId="0" fontId="119" fillId="0" borderId="0" xfId="0" applyFont="1" applyAlignment="1">
      <alignment vertical="center" wrapText="1"/>
    </xf>
    <xf numFmtId="3" fontId="119" fillId="0" borderId="0" xfId="48" applyNumberFormat="1" applyFont="1"/>
    <xf numFmtId="3" fontId="119" fillId="0" borderId="29" xfId="48" applyNumberFormat="1" applyFont="1" applyBorder="1"/>
    <xf numFmtId="0" fontId="136" fillId="0" borderId="0" xfId="0" applyFont="1"/>
    <xf numFmtId="165" fontId="45" fillId="0" borderId="0" xfId="28" applyNumberFormat="1" applyFont="1" applyFill="1" applyBorder="1" applyProtection="1">
      <protection locked="0"/>
    </xf>
    <xf numFmtId="3" fontId="119" fillId="0" borderId="108" xfId="48" applyNumberFormat="1" applyFont="1" applyBorder="1" applyProtection="1">
      <protection locked="0"/>
    </xf>
    <xf numFmtId="1" fontId="119" fillId="0" borderId="32" xfId="48" applyNumberFormat="1" applyFont="1" applyBorder="1" applyAlignment="1">
      <alignment horizontal="center"/>
    </xf>
    <xf numFmtId="171" fontId="119" fillId="0" borderId="32" xfId="48" applyNumberFormat="1" applyFont="1" applyBorder="1" applyAlignment="1">
      <alignment horizontal="center"/>
    </xf>
    <xf numFmtId="170" fontId="110" fillId="27" borderId="32" xfId="30" applyNumberFormat="1" applyFont="1" applyFill="1" applyBorder="1" applyAlignment="1" applyProtection="1">
      <alignment horizontal="center"/>
    </xf>
    <xf numFmtId="170" fontId="110" fillId="27" borderId="32" xfId="30" applyNumberFormat="1" applyFont="1" applyFill="1" applyBorder="1" applyAlignment="1" applyProtection="1">
      <alignment horizontal="center"/>
      <protection locked="0"/>
    </xf>
    <xf numFmtId="38" fontId="119" fillId="0" borderId="0" xfId="0" applyNumberFormat="1" applyFont="1"/>
    <xf numFmtId="38" fontId="119" fillId="0" borderId="29" xfId="0" applyNumberFormat="1" applyFont="1" applyBorder="1"/>
    <xf numFmtId="0" fontId="119" fillId="0" borderId="0" xfId="0" applyFont="1" applyProtection="1">
      <protection locked="0"/>
    </xf>
    <xf numFmtId="0" fontId="127" fillId="0" borderId="30" xfId="48" applyFont="1" applyBorder="1"/>
    <xf numFmtId="38" fontId="136" fillId="0" borderId="3" xfId="48" applyNumberFormat="1" applyFont="1" applyBorder="1" applyAlignment="1" applyProtection="1">
      <alignment horizontal="right"/>
      <protection locked="0"/>
    </xf>
    <xf numFmtId="0" fontId="136" fillId="0" borderId="0" xfId="0" applyFont="1" applyProtection="1">
      <protection locked="0"/>
    </xf>
    <xf numFmtId="9" fontId="110" fillId="27" borderId="56" xfId="55" applyFont="1" applyFill="1" applyBorder="1" applyAlignment="1">
      <alignment horizontal="center"/>
    </xf>
    <xf numFmtId="0" fontId="119" fillId="0" borderId="31" xfId="70" applyFont="1" applyBorder="1"/>
    <xf numFmtId="0" fontId="119" fillId="0" borderId="3" xfId="70" applyFont="1" applyBorder="1"/>
    <xf numFmtId="0" fontId="119" fillId="0" borderId="30" xfId="70" applyFont="1" applyBorder="1" applyAlignment="1">
      <alignment horizontal="left"/>
    </xf>
    <xf numFmtId="0" fontId="119" fillId="0" borderId="29" xfId="70" applyFont="1" applyBorder="1"/>
    <xf numFmtId="0" fontId="119" fillId="0" borderId="28" xfId="70" applyFont="1" applyBorder="1"/>
    <xf numFmtId="0" fontId="127" fillId="0" borderId="28" xfId="70" applyFont="1" applyBorder="1"/>
    <xf numFmtId="172" fontId="110" fillId="27" borderId="95" xfId="70" applyNumberFormat="1" applyFont="1" applyFill="1" applyBorder="1"/>
    <xf numFmtId="172" fontId="110" fillId="27" borderId="56" xfId="70" applyNumberFormat="1" applyFont="1" applyFill="1" applyBorder="1"/>
    <xf numFmtId="172" fontId="110" fillId="27" borderId="94" xfId="70" applyNumberFormat="1" applyFont="1" applyFill="1" applyBorder="1"/>
    <xf numFmtId="0" fontId="110" fillId="0" borderId="0" xfId="70" applyFont="1"/>
    <xf numFmtId="0" fontId="110" fillId="0" borderId="28" xfId="70" applyFont="1" applyBorder="1"/>
    <xf numFmtId="172" fontId="119" fillId="0" borderId="0" xfId="70" applyNumberFormat="1" applyFont="1"/>
    <xf numFmtId="0" fontId="110" fillId="27" borderId="56" xfId="70" applyFont="1" applyFill="1" applyBorder="1" applyAlignment="1">
      <alignment horizontal="center"/>
    </xf>
    <xf numFmtId="0" fontId="110" fillId="0" borderId="52" xfId="70" applyFont="1" applyBorder="1" applyAlignment="1">
      <alignment horizontal="center"/>
    </xf>
    <xf numFmtId="0" fontId="119" fillId="0" borderId="51" xfId="70" applyFont="1" applyBorder="1"/>
    <xf numFmtId="0" fontId="119" fillId="0" borderId="55" xfId="70" applyFont="1" applyBorder="1"/>
    <xf numFmtId="0" fontId="110" fillId="0" borderId="56" xfId="70" applyFont="1" applyBorder="1" applyAlignment="1">
      <alignment horizontal="center"/>
    </xf>
    <xf numFmtId="0" fontId="110" fillId="0" borderId="48" xfId="70" applyFont="1" applyBorder="1" applyAlignment="1">
      <alignment horizontal="center"/>
    </xf>
    <xf numFmtId="0" fontId="110" fillId="0" borderId="50" xfId="70" applyFont="1" applyBorder="1"/>
    <xf numFmtId="0" fontId="110" fillId="25" borderId="46" xfId="70" applyFont="1" applyFill="1" applyBorder="1" applyAlignment="1">
      <alignment horizontal="centerContinuous"/>
    </xf>
    <xf numFmtId="0" fontId="110" fillId="25" borderId="79" xfId="70" applyFont="1" applyFill="1" applyBorder="1" applyAlignment="1">
      <alignment horizontal="centerContinuous" vertical="center"/>
    </xf>
    <xf numFmtId="0" fontId="119" fillId="0" borderId="0" xfId="70" applyFont="1" applyAlignment="1">
      <alignment horizontal="centerContinuous"/>
    </xf>
    <xf numFmtId="0" fontId="127" fillId="0" borderId="30" xfId="70" applyFont="1" applyBorder="1" applyAlignment="1">
      <alignment horizontal="left"/>
    </xf>
    <xf numFmtId="168" fontId="119" fillId="24" borderId="33" xfId="70" applyNumberFormat="1" applyFont="1" applyFill="1" applyBorder="1"/>
    <xf numFmtId="168" fontId="119" fillId="24" borderId="32" xfId="70" applyNumberFormat="1" applyFont="1" applyFill="1" applyBorder="1"/>
    <xf numFmtId="168" fontId="119" fillId="24" borderId="92" xfId="70" applyNumberFormat="1" applyFont="1" applyFill="1" applyBorder="1"/>
    <xf numFmtId="0" fontId="119" fillId="0" borderId="102" xfId="70" applyFont="1" applyBorder="1"/>
    <xf numFmtId="0" fontId="119" fillId="0" borderId="101" xfId="70" applyFont="1" applyBorder="1"/>
    <xf numFmtId="0" fontId="119" fillId="0" borderId="100" xfId="70" applyFont="1" applyBorder="1"/>
    <xf numFmtId="0" fontId="127" fillId="0" borderId="0" xfId="70" applyFont="1"/>
    <xf numFmtId="0" fontId="127" fillId="0" borderId="28" xfId="70" applyFont="1" applyBorder="1" applyAlignment="1">
      <alignment horizontal="left"/>
    </xf>
    <xf numFmtId="0" fontId="127" fillId="0" borderId="28" xfId="70" applyFont="1" applyBorder="1" applyAlignment="1">
      <alignment wrapText="1"/>
    </xf>
    <xf numFmtId="0" fontId="119" fillId="0" borderId="40" xfId="70" applyFont="1" applyBorder="1"/>
    <xf numFmtId="172" fontId="119" fillId="0" borderId="39" xfId="70" applyNumberFormat="1" applyFont="1" applyBorder="1"/>
    <xf numFmtId="0" fontId="119" fillId="0" borderId="39" xfId="70" applyFont="1" applyBorder="1"/>
    <xf numFmtId="0" fontId="119" fillId="0" borderId="38" xfId="70" applyFont="1" applyBorder="1"/>
    <xf numFmtId="172" fontId="119" fillId="0" borderId="3" xfId="70" applyNumberFormat="1" applyFont="1" applyBorder="1"/>
    <xf numFmtId="0" fontId="119" fillId="0" borderId="30" xfId="70" applyFont="1" applyBorder="1"/>
    <xf numFmtId="0" fontId="110" fillId="27" borderId="56" xfId="70" applyFont="1" applyFill="1" applyBorder="1"/>
    <xf numFmtId="6" fontId="110" fillId="27" borderId="56" xfId="70" applyNumberFormat="1" applyFont="1" applyFill="1" applyBorder="1"/>
    <xf numFmtId="10" fontId="124" fillId="0" borderId="0" xfId="70" applyNumberFormat="1" applyFont="1"/>
    <xf numFmtId="38" fontId="119" fillId="24" borderId="32" xfId="70" applyNumberFormat="1" applyFont="1" applyFill="1" applyBorder="1"/>
    <xf numFmtId="0" fontId="110" fillId="0" borderId="51" xfId="70" applyFont="1" applyBorder="1"/>
    <xf numFmtId="6" fontId="119" fillId="24" borderId="86" xfId="70" applyNumberFormat="1" applyFont="1" applyFill="1" applyBorder="1"/>
    <xf numFmtId="0" fontId="110" fillId="0" borderId="55" xfId="70" applyFont="1" applyBorder="1"/>
    <xf numFmtId="0" fontId="124" fillId="0" borderId="29" xfId="70" applyFont="1" applyBorder="1"/>
    <xf numFmtId="0" fontId="110" fillId="0" borderId="60" xfId="70" applyFont="1" applyBorder="1" applyAlignment="1">
      <alignment horizontal="center"/>
    </xf>
    <xf numFmtId="0" fontId="110" fillId="0" borderId="59" xfId="70" applyFont="1" applyBorder="1" applyAlignment="1">
      <alignment horizontal="center"/>
    </xf>
    <xf numFmtId="10" fontId="110" fillId="27" borderId="56" xfId="70" applyNumberFormat="1" applyFont="1" applyFill="1" applyBorder="1" applyAlignment="1">
      <alignment horizontal="center"/>
    </xf>
    <xf numFmtId="0" fontId="110" fillId="0" borderId="59" xfId="70" applyFont="1" applyBorder="1"/>
    <xf numFmtId="0" fontId="110" fillId="0" borderId="98" xfId="70" applyFont="1" applyBorder="1" applyAlignment="1">
      <alignment horizontal="center"/>
    </xf>
    <xf numFmtId="0" fontId="119" fillId="0" borderId="97" xfId="70" applyFont="1" applyBorder="1"/>
    <xf numFmtId="0" fontId="119" fillId="0" borderId="96" xfId="70" applyFont="1" applyBorder="1"/>
    <xf numFmtId="0" fontId="124" fillId="0" borderId="42" xfId="70" applyFont="1" applyBorder="1" applyAlignment="1">
      <alignment horizontal="centerContinuous"/>
    </xf>
    <xf numFmtId="0" fontId="124" fillId="0" borderId="41" xfId="70" applyFont="1" applyBorder="1" applyAlignment="1">
      <alignment horizontal="centerContinuous"/>
    </xf>
    <xf numFmtId="0" fontId="110" fillId="0" borderId="52" xfId="70" applyFont="1" applyBorder="1"/>
    <xf numFmtId="0" fontId="124" fillId="0" borderId="83" xfId="70" applyFont="1" applyBorder="1" applyAlignment="1">
      <alignment horizontal="centerContinuous"/>
    </xf>
    <xf numFmtId="0" fontId="119" fillId="0" borderId="0" xfId="70" applyFont="1" applyAlignment="1">
      <alignment wrapText="1"/>
    </xf>
    <xf numFmtId="168" fontId="119" fillId="0" borderId="0" xfId="70" applyNumberFormat="1" applyFont="1"/>
    <xf numFmtId="0" fontId="130" fillId="0" borderId="0" xfId="70" applyFont="1" applyAlignment="1">
      <alignment horizontal="right"/>
    </xf>
    <xf numFmtId="0" fontId="132" fillId="0" borderId="0" xfId="70" applyFont="1" applyAlignment="1">
      <alignment horizontal="centerContinuous"/>
    </xf>
    <xf numFmtId="0" fontId="45" fillId="0" borderId="29" xfId="70" applyFont="1" applyBorder="1" applyAlignment="1">
      <alignment horizontal="centerContinuous"/>
    </xf>
    <xf numFmtId="0" fontId="45" fillId="0" borderId="0" xfId="70" applyFont="1" applyAlignment="1">
      <alignment horizontal="centerContinuous"/>
    </xf>
    <xf numFmtId="168" fontId="132" fillId="0" borderId="0" xfId="70" applyNumberFormat="1" applyFont="1" applyAlignment="1">
      <alignment horizontal="right"/>
    </xf>
    <xf numFmtId="0" fontId="132" fillId="0" borderId="0" xfId="70" applyFont="1"/>
    <xf numFmtId="0" fontId="45" fillId="0" borderId="29" xfId="70" applyFont="1" applyBorder="1"/>
    <xf numFmtId="0" fontId="132" fillId="0" borderId="28" xfId="70" applyFont="1" applyBorder="1"/>
    <xf numFmtId="0" fontId="45" fillId="0" borderId="242" xfId="70" applyFont="1" applyBorder="1" applyAlignment="1">
      <alignment horizontal="centerContinuous"/>
    </xf>
    <xf numFmtId="0" fontId="45" fillId="0" borderId="241" xfId="70" applyFont="1" applyBorder="1" applyAlignment="1">
      <alignment horizontal="centerContinuous"/>
    </xf>
    <xf numFmtId="0" fontId="110" fillId="0" borderId="0" xfId="70" applyFont="1" applyAlignment="1">
      <alignment horizontal="centerContinuous"/>
    </xf>
    <xf numFmtId="0" fontId="119" fillId="0" borderId="29" xfId="70" applyFont="1" applyBorder="1" applyAlignment="1">
      <alignment horizontal="centerContinuous"/>
    </xf>
    <xf numFmtId="38" fontId="110" fillId="27" borderId="250" xfId="28" applyNumberFormat="1" applyFont="1" applyFill="1" applyBorder="1"/>
    <xf numFmtId="6" fontId="110" fillId="27" borderId="133" xfId="30" applyNumberFormat="1" applyFont="1" applyFill="1" applyBorder="1" applyAlignment="1" applyProtection="1">
      <alignment horizontal="right"/>
    </xf>
    <xf numFmtId="0" fontId="45" fillId="0" borderId="30" xfId="70" applyFont="1" applyBorder="1"/>
    <xf numFmtId="165" fontId="110" fillId="0" borderId="32" xfId="29" applyNumberFormat="1" applyFont="1" applyFill="1" applyBorder="1" applyAlignment="1"/>
    <xf numFmtId="0" fontId="110" fillId="0" borderId="32" xfId="51" applyFont="1" applyBorder="1"/>
    <xf numFmtId="0" fontId="45" fillId="0" borderId="28" xfId="70" applyFont="1" applyBorder="1"/>
    <xf numFmtId="0" fontId="110" fillId="0" borderId="32" xfId="51" applyFont="1" applyBorder="1" applyAlignment="1">
      <alignment horizontal="center"/>
    </xf>
    <xf numFmtId="38" fontId="119" fillId="24" borderId="53" xfId="30" applyNumberFormat="1" applyFont="1" applyFill="1" applyBorder="1"/>
    <xf numFmtId="6" fontId="119" fillId="24" borderId="48" xfId="30" applyNumberFormat="1" applyFont="1" applyFill="1" applyBorder="1"/>
    <xf numFmtId="165" fontId="110" fillId="0" borderId="48" xfId="29" applyNumberFormat="1" applyFont="1" applyFill="1" applyBorder="1" applyAlignment="1"/>
    <xf numFmtId="0" fontId="110" fillId="0" borderId="48" xfId="51" applyFont="1" applyBorder="1" applyAlignment="1">
      <alignment horizontal="center"/>
    </xf>
    <xf numFmtId="0" fontId="110" fillId="0" borderId="63" xfId="48" applyFont="1" applyBorder="1" applyAlignment="1">
      <alignment horizontal="center" vertical="center"/>
    </xf>
    <xf numFmtId="0" fontId="110" fillId="0" borderId="62" xfId="48" applyFont="1" applyBorder="1" applyAlignment="1">
      <alignment horizontal="center" vertical="center"/>
    </xf>
    <xf numFmtId="166" fontId="137" fillId="0" borderId="0" xfId="55" applyNumberFormat="1" applyFont="1" applyFill="1" applyBorder="1" applyAlignment="1">
      <alignment horizontal="right"/>
    </xf>
    <xf numFmtId="10" fontId="137" fillId="0" borderId="0" xfId="55" applyNumberFormat="1" applyFont="1" applyFill="1" applyBorder="1" applyAlignment="1">
      <alignment horizontal="right"/>
    </xf>
    <xf numFmtId="10" fontId="137" fillId="0" borderId="241" xfId="55" applyNumberFormat="1" applyFont="1" applyFill="1" applyBorder="1"/>
    <xf numFmtId="164" fontId="110" fillId="0" borderId="0" xfId="48" applyNumberFormat="1" applyFont="1" applyAlignment="1">
      <alignment horizontal="right"/>
    </xf>
    <xf numFmtId="166" fontId="137" fillId="0" borderId="0" xfId="55" applyNumberFormat="1" applyFont="1" applyFill="1" applyBorder="1"/>
    <xf numFmtId="166" fontId="137" fillId="0" borderId="237" xfId="55" applyNumberFormat="1" applyFont="1" applyFill="1" applyBorder="1"/>
    <xf numFmtId="44" fontId="137" fillId="0" borderId="0" xfId="30" applyFont="1" applyFill="1" applyBorder="1"/>
    <xf numFmtId="164" fontId="110" fillId="0" borderId="0" xfId="48" quotePrefix="1" applyNumberFormat="1" applyFont="1" applyAlignment="1">
      <alignment horizontal="right"/>
    </xf>
    <xf numFmtId="44" fontId="137" fillId="0" borderId="0" xfId="30" applyFont="1" applyFill="1" applyBorder="1" applyAlignment="1">
      <alignment horizontal="right"/>
    </xf>
    <xf numFmtId="0" fontId="137" fillId="0" borderId="0" xfId="70" applyFont="1"/>
    <xf numFmtId="166" fontId="76" fillId="0" borderId="0" xfId="55" applyNumberFormat="1" applyFont="1" applyFill="1" applyBorder="1" applyAlignment="1">
      <alignment horizontal="right"/>
    </xf>
    <xf numFmtId="10" fontId="45" fillId="0" borderId="0" xfId="55" applyNumberFormat="1" applyFont="1" applyFill="1" applyBorder="1" applyAlignment="1">
      <alignment horizontal="right"/>
    </xf>
    <xf numFmtId="10" fontId="76" fillId="0" borderId="0" xfId="55" applyNumberFormat="1" applyFont="1" applyFill="1" applyBorder="1"/>
    <xf numFmtId="166" fontId="45" fillId="0" borderId="0" xfId="55" applyNumberFormat="1" applyFont="1" applyFill="1" applyBorder="1"/>
    <xf numFmtId="166" fontId="76" fillId="0" borderId="0" xfId="55" applyNumberFormat="1" applyFont="1" applyFill="1" applyBorder="1"/>
    <xf numFmtId="184" fontId="45" fillId="0" borderId="0" xfId="30" applyNumberFormat="1" applyFont="1" applyFill="1" applyBorder="1"/>
    <xf numFmtId="44" fontId="45" fillId="0" borderId="0" xfId="30" applyFont="1" applyFill="1" applyBorder="1"/>
    <xf numFmtId="164" fontId="45" fillId="0" borderId="0" xfId="48" applyNumberFormat="1" applyFont="1" applyAlignment="1">
      <alignment horizontal="right"/>
    </xf>
    <xf numFmtId="170" fontId="45" fillId="0" borderId="0" xfId="30" applyNumberFormat="1" applyFont="1" applyFill="1" applyBorder="1" applyAlignment="1">
      <alignment horizontal="right"/>
    </xf>
    <xf numFmtId="0" fontId="45" fillId="0" borderId="0" xfId="50" applyFont="1"/>
    <xf numFmtId="6" fontId="45" fillId="0" borderId="0" xfId="70" applyNumberFormat="1" applyFont="1"/>
    <xf numFmtId="3" fontId="45" fillId="0" borderId="0" xfId="70" applyNumberFormat="1" applyFont="1"/>
    <xf numFmtId="165" fontId="110" fillId="27" borderId="250" xfId="28" applyNumberFormat="1" applyFont="1" applyFill="1" applyBorder="1"/>
    <xf numFmtId="170" fontId="110" fillId="27" borderId="249" xfId="30" applyNumberFormat="1" applyFont="1" applyFill="1" applyBorder="1" applyAlignment="1" applyProtection="1">
      <alignment horizontal="right"/>
    </xf>
    <xf numFmtId="0" fontId="45" fillId="0" borderId="3" xfId="70" applyFont="1" applyBorder="1"/>
    <xf numFmtId="165" fontId="110" fillId="27" borderId="248" xfId="28" applyNumberFormat="1" applyFont="1" applyFill="1" applyBorder="1"/>
    <xf numFmtId="38" fontId="110" fillId="27" borderId="248" xfId="28" applyNumberFormat="1" applyFont="1" applyFill="1" applyBorder="1"/>
    <xf numFmtId="0" fontId="86" fillId="0" borderId="0" xfId="70" applyFont="1"/>
    <xf numFmtId="38" fontId="119" fillId="24" borderId="88" xfId="30" applyNumberFormat="1" applyFont="1" applyFill="1" applyBorder="1"/>
    <xf numFmtId="170" fontId="119" fillId="24" borderId="240" xfId="30" applyNumberFormat="1" applyFont="1" applyFill="1" applyBorder="1"/>
    <xf numFmtId="165" fontId="119" fillId="0" borderId="112" xfId="29" applyNumberFormat="1" applyFont="1" applyFill="1" applyBorder="1" applyAlignment="1"/>
    <xf numFmtId="0" fontId="119" fillId="0" borderId="32" xfId="51" applyFont="1" applyBorder="1"/>
    <xf numFmtId="164" fontId="76" fillId="0" borderId="0" xfId="48" applyNumberFormat="1" applyFont="1" applyAlignment="1">
      <alignment horizontal="right"/>
    </xf>
    <xf numFmtId="165" fontId="119" fillId="24" borderId="53" xfId="28" applyNumberFormat="1" applyFont="1" applyFill="1" applyBorder="1"/>
    <xf numFmtId="170" fontId="119" fillId="24" borderId="49" xfId="30" applyNumberFormat="1" applyFont="1" applyFill="1" applyBorder="1"/>
    <xf numFmtId="0" fontId="86" fillId="0" borderId="65" xfId="70" applyFont="1" applyBorder="1"/>
    <xf numFmtId="38" fontId="119" fillId="24" borderId="99" xfId="30" applyNumberFormat="1" applyFont="1" applyFill="1" applyBorder="1"/>
    <xf numFmtId="0" fontId="45" fillId="0" borderId="65" xfId="70" applyFont="1" applyBorder="1"/>
    <xf numFmtId="165" fontId="119" fillId="0" borderId="238" xfId="29" applyNumberFormat="1" applyFont="1" applyFill="1" applyBorder="1" applyAlignment="1"/>
    <xf numFmtId="0" fontId="119" fillId="0" borderId="48" xfId="51" applyFont="1" applyBorder="1"/>
    <xf numFmtId="0" fontId="110" fillId="0" borderId="239" xfId="48" applyFont="1" applyBorder="1" applyAlignment="1">
      <alignment horizontal="center" vertical="center"/>
    </xf>
    <xf numFmtId="0" fontId="110" fillId="0" borderId="74" xfId="48" applyFont="1" applyBorder="1" applyAlignment="1">
      <alignment horizontal="center" vertical="center"/>
    </xf>
    <xf numFmtId="0" fontId="110" fillId="0" borderId="44" xfId="48" applyFont="1" applyBorder="1" applyAlignment="1">
      <alignment horizontal="center" vertical="center"/>
    </xf>
    <xf numFmtId="0" fontId="45" fillId="0" borderId="81" xfId="70" applyFont="1" applyBorder="1"/>
    <xf numFmtId="0" fontId="110" fillId="0" borderId="72" xfId="48" applyFont="1" applyBorder="1" applyAlignment="1">
      <alignment horizontal="center" vertical="center"/>
    </xf>
    <xf numFmtId="0" fontId="110" fillId="0" borderId="71" xfId="48" applyFont="1" applyBorder="1" applyAlignment="1">
      <alignment horizontal="centerContinuous" vertical="center"/>
    </xf>
    <xf numFmtId="0" fontId="45" fillId="0" borderId="80" xfId="70" applyFont="1" applyBorder="1"/>
    <xf numFmtId="38" fontId="110" fillId="27" borderId="33" xfId="28" applyNumberFormat="1" applyFont="1" applyFill="1" applyBorder="1"/>
    <xf numFmtId="170" fontId="110" fillId="27" borderId="92" xfId="30" applyNumberFormat="1" applyFont="1" applyFill="1" applyBorder="1" applyAlignment="1" applyProtection="1">
      <alignment horizontal="right"/>
    </xf>
    <xf numFmtId="38" fontId="110" fillId="27" borderId="88" xfId="28" applyNumberFormat="1" applyFont="1" applyFill="1" applyBorder="1"/>
    <xf numFmtId="165" fontId="119" fillId="24" borderId="88" xfId="28" applyNumberFormat="1" applyFont="1" applyFill="1" applyBorder="1"/>
    <xf numFmtId="193" fontId="93" fillId="57" borderId="417" xfId="0" applyNumberFormat="1" applyFont="1" applyFill="1" applyBorder="1" applyAlignment="1">
      <alignment wrapText="1"/>
    </xf>
    <xf numFmtId="165" fontId="45" fillId="57" borderId="0" xfId="94" applyNumberFormat="1" applyFont="1" applyFill="1"/>
    <xf numFmtId="165" fontId="76" fillId="57" borderId="0" xfId="94" applyNumberFormat="1" applyFont="1" applyFill="1"/>
    <xf numFmtId="165" fontId="101" fillId="57" borderId="410" xfId="71" applyNumberFormat="1" applyFont="1" applyFill="1" applyBorder="1" applyAlignment="1">
      <alignment horizontal="right"/>
    </xf>
    <xf numFmtId="165" fontId="101" fillId="57" borderId="411" xfId="71" applyNumberFormat="1" applyFont="1" applyFill="1" applyBorder="1" applyAlignment="1">
      <alignment horizontal="right"/>
    </xf>
    <xf numFmtId="165" fontId="45" fillId="57" borderId="410" xfId="28" applyNumberFormat="1" applyFont="1" applyFill="1" applyBorder="1"/>
    <xf numFmtId="165" fontId="45" fillId="57" borderId="411" xfId="28" applyNumberFormat="1" applyFont="1" applyFill="1" applyBorder="1"/>
    <xf numFmtId="193" fontId="93" fillId="57" borderId="468" xfId="0" applyNumberFormat="1" applyFont="1" applyFill="1" applyBorder="1" applyAlignment="1">
      <alignment vertical="top" wrapText="1"/>
    </xf>
    <xf numFmtId="44" fontId="45" fillId="0" borderId="0" xfId="0" applyNumberFormat="1" applyFont="1" applyProtection="1">
      <protection locked="0"/>
    </xf>
    <xf numFmtId="44" fontId="45" fillId="0" borderId="0" xfId="30" applyFont="1" applyProtection="1">
      <protection locked="0"/>
    </xf>
    <xf numFmtId="0" fontId="110" fillId="0" borderId="29" xfId="48" applyFont="1" applyBorder="1" applyAlignment="1">
      <alignment horizontal="center"/>
    </xf>
    <xf numFmtId="0" fontId="126" fillId="0" borderId="28" xfId="48" applyFont="1" applyBorder="1" applyAlignment="1">
      <alignment horizontal="center"/>
    </xf>
    <xf numFmtId="0" fontId="126" fillId="0" borderId="29" xfId="48" applyFont="1" applyBorder="1" applyAlignment="1">
      <alignment horizontal="center"/>
    </xf>
    <xf numFmtId="0" fontId="110" fillId="0" borderId="44" xfId="48" applyFont="1" applyBorder="1" applyAlignment="1">
      <alignment horizontal="centerContinuous" vertical="center"/>
    </xf>
    <xf numFmtId="0" fontId="110" fillId="0" borderId="28" xfId="48" applyFont="1" applyBorder="1" applyAlignment="1">
      <alignment horizontal="left"/>
    </xf>
    <xf numFmtId="38" fontId="119" fillId="0" borderId="0" xfId="52" applyNumberFormat="1" applyFont="1"/>
    <xf numFmtId="38" fontId="119" fillId="0" borderId="0" xfId="0" applyNumberFormat="1" applyFont="1" applyAlignment="1">
      <alignment horizontal="right"/>
    </xf>
    <xf numFmtId="38" fontId="119" fillId="0" borderId="29" xfId="0" applyNumberFormat="1" applyFont="1" applyBorder="1" applyAlignment="1">
      <alignment horizontal="right"/>
    </xf>
    <xf numFmtId="0" fontId="119" fillId="0" borderId="32" xfId="52" applyFont="1" applyBorder="1" applyAlignment="1">
      <alignment horizontal="center"/>
    </xf>
    <xf numFmtId="0" fontId="119" fillId="0" borderId="32" xfId="52" quotePrefix="1" applyFont="1" applyBorder="1" applyAlignment="1">
      <alignment horizontal="center"/>
    </xf>
    <xf numFmtId="0" fontId="110" fillId="0" borderId="28" xfId="52" applyFont="1" applyBorder="1"/>
    <xf numFmtId="0" fontId="110" fillId="0" borderId="0" xfId="52" applyFont="1"/>
    <xf numFmtId="0" fontId="119" fillId="27" borderId="112" xfId="52" applyFont="1" applyFill="1" applyBorder="1" applyAlignment="1">
      <alignment horizontal="center"/>
    </xf>
    <xf numFmtId="0" fontId="119" fillId="27" borderId="101" xfId="52" quotePrefix="1" applyFont="1" applyFill="1" applyBorder="1" applyAlignment="1">
      <alignment horizontal="center"/>
    </xf>
    <xf numFmtId="0" fontId="119" fillId="27" borderId="110" xfId="48" applyFont="1" applyFill="1" applyBorder="1" applyAlignment="1" applyProtection="1">
      <alignment horizontal="center"/>
      <protection locked="0"/>
    </xf>
    <xf numFmtId="38" fontId="119" fillId="0" borderId="29" xfId="52" applyNumberFormat="1" applyFont="1" applyBorder="1"/>
    <xf numFmtId="38" fontId="119" fillId="0" borderId="0" xfId="52" applyNumberFormat="1" applyFont="1" applyProtection="1">
      <protection locked="0"/>
    </xf>
    <xf numFmtId="6" fontId="119" fillId="0" borderId="0" xfId="52" applyNumberFormat="1" applyFont="1"/>
    <xf numFmtId="6" fontId="119" fillId="0" borderId="29" xfId="52" applyNumberFormat="1" applyFont="1" applyBorder="1"/>
    <xf numFmtId="38" fontId="119" fillId="0" borderId="29" xfId="70" applyNumberFormat="1" applyFont="1" applyBorder="1" applyAlignment="1">
      <alignment horizontal="right"/>
    </xf>
    <xf numFmtId="0" fontId="119" fillId="0" borderId="47" xfId="48" applyFont="1" applyBorder="1" applyAlignment="1">
      <alignment horizontal="centerContinuous" vertical="center"/>
    </xf>
    <xf numFmtId="0" fontId="45" fillId="0" borderId="0" xfId="48" applyFont="1" applyAlignment="1">
      <alignment horizontal="center"/>
    </xf>
    <xf numFmtId="0" fontId="45" fillId="0" borderId="0" xfId="48" applyFont="1" applyAlignment="1" applyProtection="1">
      <alignment horizontal="center"/>
      <protection locked="0"/>
    </xf>
    <xf numFmtId="38" fontId="119" fillId="0" borderId="29" xfId="48" applyNumberFormat="1" applyFont="1" applyBorder="1" applyAlignment="1">
      <alignment horizontal="center" vertical="center" wrapText="1"/>
    </xf>
    <xf numFmtId="38" fontId="125" fillId="0" borderId="0" xfId="48" applyNumberFormat="1" applyFont="1" applyAlignment="1">
      <alignment horizontal="centerContinuous"/>
    </xf>
    <xf numFmtId="0" fontId="120" fillId="26" borderId="28" xfId="38" applyFont="1" applyFill="1" applyBorder="1" applyAlignment="1" applyProtection="1">
      <alignment horizontal="left"/>
    </xf>
    <xf numFmtId="0" fontId="110" fillId="0" borderId="65" xfId="48" applyFont="1" applyBorder="1" applyAlignment="1">
      <alignment horizontal="center" vertical="center"/>
    </xf>
    <xf numFmtId="0" fontId="110" fillId="0" borderId="68" xfId="48" applyFont="1" applyBorder="1" applyAlignment="1">
      <alignment horizontal="center" vertical="center"/>
    </xf>
    <xf numFmtId="0" fontId="129" fillId="0" borderId="0" xfId="48" applyFont="1" applyProtection="1">
      <protection locked="0"/>
    </xf>
    <xf numFmtId="0" fontId="129" fillId="0" borderId="0" xfId="48" applyFont="1" applyAlignment="1" applyProtection="1">
      <alignment horizontal="left"/>
      <protection locked="0"/>
    </xf>
    <xf numFmtId="165" fontId="119" fillId="24" borderId="20" xfId="28" applyNumberFormat="1" applyFont="1" applyFill="1" applyBorder="1"/>
    <xf numFmtId="165" fontId="119" fillId="24" borderId="252" xfId="28" applyNumberFormat="1" applyFont="1" applyFill="1" applyBorder="1"/>
    <xf numFmtId="0" fontId="120" fillId="0" borderId="28" xfId="48" applyFont="1" applyBorder="1" applyAlignment="1">
      <alignment horizontal="left"/>
    </xf>
    <xf numFmtId="0" fontId="119" fillId="27" borderId="117" xfId="48" applyFont="1" applyFill="1" applyBorder="1" applyAlignment="1">
      <alignment horizontal="center"/>
    </xf>
    <xf numFmtId="0" fontId="119" fillId="27" borderId="118" xfId="48" applyFont="1" applyFill="1" applyBorder="1" applyAlignment="1">
      <alignment horizontal="center"/>
    </xf>
    <xf numFmtId="170" fontId="110" fillId="27" borderId="20" xfId="30" applyNumberFormat="1" applyFont="1" applyFill="1" applyBorder="1" applyProtection="1">
      <protection locked="0"/>
    </xf>
    <xf numFmtId="170" fontId="110" fillId="27" borderId="20" xfId="30" applyNumberFormat="1" applyFont="1" applyFill="1" applyBorder="1"/>
    <xf numFmtId="170" fontId="110" fillId="27" borderId="252" xfId="30" applyNumberFormat="1" applyFont="1" applyFill="1" applyBorder="1"/>
    <xf numFmtId="0" fontId="119" fillId="0" borderId="28" xfId="48" applyFont="1" applyBorder="1" applyAlignment="1">
      <alignment horizontal="left"/>
    </xf>
    <xf numFmtId="165" fontId="119" fillId="31" borderId="20" xfId="28" applyNumberFormat="1" applyFont="1" applyFill="1" applyBorder="1" applyProtection="1">
      <protection locked="0"/>
    </xf>
    <xf numFmtId="165" fontId="119" fillId="31" borderId="20" xfId="28" applyNumberFormat="1" applyFont="1" applyFill="1" applyBorder="1"/>
    <xf numFmtId="165" fontId="119" fillId="31" borderId="252" xfId="28" applyNumberFormat="1" applyFont="1" applyFill="1" applyBorder="1"/>
    <xf numFmtId="0" fontId="130" fillId="0" borderId="0" xfId="0" applyFont="1" applyProtection="1">
      <protection locked="0"/>
    </xf>
    <xf numFmtId="0" fontId="119" fillId="27" borderId="112" xfId="48" applyFont="1" applyFill="1" applyBorder="1" applyAlignment="1">
      <alignment horizontal="center"/>
    </xf>
    <xf numFmtId="0" fontId="119" fillId="27" borderId="101" xfId="48" applyFont="1" applyFill="1" applyBorder="1" applyAlignment="1">
      <alignment horizontal="center"/>
    </xf>
    <xf numFmtId="0" fontId="119" fillId="27" borderId="101" xfId="48" applyFont="1" applyFill="1" applyBorder="1" applyAlignment="1" applyProtection="1">
      <alignment horizontal="center"/>
      <protection locked="0"/>
    </xf>
    <xf numFmtId="0" fontId="119" fillId="27" borderId="119" xfId="48" applyFont="1" applyFill="1" applyBorder="1" applyAlignment="1" applyProtection="1">
      <alignment horizontal="center"/>
      <protection locked="0"/>
    </xf>
    <xf numFmtId="170" fontId="110" fillId="27" borderId="120" xfId="30" applyNumberFormat="1" applyFont="1" applyFill="1" applyBorder="1" applyProtection="1">
      <protection locked="0"/>
    </xf>
    <xf numFmtId="0" fontId="127" fillId="0" borderId="28" xfId="48" applyFont="1" applyBorder="1"/>
    <xf numFmtId="0" fontId="45" fillId="0" borderId="28" xfId="0" applyFont="1" applyBorder="1"/>
    <xf numFmtId="0" fontId="45" fillId="0" borderId="30" xfId="0" applyFont="1" applyBorder="1"/>
    <xf numFmtId="0" fontId="45" fillId="0" borderId="3" xfId="0" applyFont="1" applyBorder="1"/>
    <xf numFmtId="0" fontId="45" fillId="0" borderId="31" xfId="0" applyFont="1" applyBorder="1"/>
    <xf numFmtId="43" fontId="76" fillId="57" borderId="425" xfId="93" applyNumberFormat="1" applyFont="1" applyFill="1" applyBorder="1"/>
    <xf numFmtId="0" fontId="94" fillId="57" borderId="413" xfId="0" applyFont="1" applyFill="1" applyBorder="1" applyAlignment="1">
      <alignment horizontal="left" wrapText="1"/>
    </xf>
    <xf numFmtId="165" fontId="76" fillId="57" borderId="113" xfId="28" applyNumberFormat="1" applyFont="1" applyFill="1" applyBorder="1"/>
    <xf numFmtId="38" fontId="83" fillId="0" borderId="0" xfId="48" applyNumberFormat="1" applyFont="1" applyAlignment="1">
      <alignment horizontal="center"/>
    </xf>
    <xf numFmtId="0" fontId="126" fillId="0" borderId="81" xfId="0" applyFont="1" applyBorder="1" applyAlignment="1">
      <alignment horizontal="center"/>
    </xf>
    <xf numFmtId="0" fontId="126" fillId="0" borderId="41" xfId="0" applyFont="1" applyBorder="1" applyAlignment="1">
      <alignment horizontal="center"/>
    </xf>
    <xf numFmtId="0" fontId="126" fillId="0" borderId="42" xfId="0" applyFont="1" applyBorder="1" applyAlignment="1">
      <alignment horizontal="center"/>
    </xf>
    <xf numFmtId="0" fontId="129" fillId="0" borderId="28" xfId="0" applyFont="1" applyBorder="1" applyAlignment="1">
      <alignment horizontal="centerContinuous"/>
    </xf>
    <xf numFmtId="38" fontId="110" fillId="0" borderId="62" xfId="48" applyNumberFormat="1" applyFont="1" applyBorder="1" applyAlignment="1">
      <alignment horizontal="center" vertical="center"/>
    </xf>
    <xf numFmtId="38" fontId="110" fillId="0" borderId="63" xfId="48" applyNumberFormat="1" applyFont="1" applyBorder="1" applyAlignment="1">
      <alignment horizontal="center" vertical="center"/>
    </xf>
    <xf numFmtId="170" fontId="119" fillId="29" borderId="62" xfId="30" applyNumberFormat="1" applyFont="1" applyFill="1" applyBorder="1" applyAlignment="1" applyProtection="1">
      <alignment horizontal="right"/>
    </xf>
    <xf numFmtId="170" fontId="119" fillId="29" borderId="63" xfId="30" applyNumberFormat="1" applyFont="1" applyFill="1" applyBorder="1" applyAlignment="1" applyProtection="1">
      <alignment horizontal="right"/>
    </xf>
    <xf numFmtId="170" fontId="110" fillId="29" borderId="62" xfId="30" applyNumberFormat="1" applyFont="1" applyFill="1" applyBorder="1" applyAlignment="1" applyProtection="1">
      <alignment horizontal="right"/>
    </xf>
    <xf numFmtId="170" fontId="110" fillId="29" borderId="63" xfId="30" applyNumberFormat="1" applyFont="1" applyFill="1" applyBorder="1" applyAlignment="1" applyProtection="1">
      <alignment horizontal="right"/>
    </xf>
    <xf numFmtId="43" fontId="119" fillId="0" borderId="0" xfId="48" applyNumberFormat="1" applyFont="1" applyAlignment="1">
      <alignment horizontal="center"/>
    </xf>
    <xf numFmtId="0" fontId="45" fillId="0" borderId="29" xfId="0" quotePrefix="1" applyFont="1" applyBorder="1"/>
    <xf numFmtId="0" fontId="45" fillId="0" borderId="39" xfId="0" applyFont="1" applyBorder="1"/>
    <xf numFmtId="0" fontId="45" fillId="0" borderId="40" xfId="0" applyFont="1" applyBorder="1"/>
    <xf numFmtId="173" fontId="45" fillId="0" borderId="0" xfId="0" applyNumberFormat="1" applyFont="1"/>
    <xf numFmtId="0" fontId="110" fillId="29" borderId="121" xfId="48" applyFont="1" applyFill="1" applyBorder="1"/>
    <xf numFmtId="170" fontId="119" fillId="24" borderId="36" xfId="30" applyNumberFormat="1" applyFont="1" applyFill="1" applyBorder="1" applyAlignment="1" applyProtection="1">
      <alignment horizontal="right"/>
    </xf>
    <xf numFmtId="170" fontId="119" fillId="24" borderId="35" xfId="30" applyNumberFormat="1" applyFont="1" applyFill="1" applyBorder="1" applyAlignment="1" applyProtection="1">
      <alignment horizontal="right"/>
    </xf>
    <xf numFmtId="170" fontId="119" fillId="24" borderId="338" xfId="30" applyNumberFormat="1" applyFont="1" applyFill="1" applyBorder="1" applyAlignment="1" applyProtection="1">
      <alignment horizontal="right"/>
    </xf>
    <xf numFmtId="38" fontId="109" fillId="0" borderId="0" xfId="48" applyNumberFormat="1" applyFont="1" applyAlignment="1">
      <alignment horizontal="right"/>
    </xf>
    <xf numFmtId="8" fontId="119" fillId="24" borderId="63" xfId="48" applyNumberFormat="1" applyFont="1" applyFill="1" applyBorder="1" applyAlignment="1">
      <alignment horizontal="right"/>
    </xf>
    <xf numFmtId="170" fontId="119" fillId="24" borderId="37" xfId="30" applyNumberFormat="1" applyFont="1" applyFill="1" applyBorder="1" applyAlignment="1" applyProtection="1">
      <alignment horizontal="center"/>
    </xf>
    <xf numFmtId="40" fontId="83" fillId="0" borderId="0" xfId="48" applyNumberFormat="1" applyFont="1" applyAlignment="1">
      <alignment horizontal="center"/>
    </xf>
    <xf numFmtId="38" fontId="45" fillId="0" borderId="29" xfId="0" applyNumberFormat="1" applyFont="1" applyBorder="1"/>
    <xf numFmtId="38" fontId="119" fillId="0" borderId="0" xfId="48" applyNumberFormat="1" applyFont="1" applyAlignment="1">
      <alignment horizontal="center"/>
    </xf>
    <xf numFmtId="38" fontId="45" fillId="0" borderId="0" xfId="0" applyNumberFormat="1" applyFont="1"/>
    <xf numFmtId="38" fontId="119" fillId="24" borderId="36" xfId="48" applyNumberFormat="1" applyFont="1" applyFill="1" applyBorder="1" applyAlignment="1" applyProtection="1">
      <alignment horizontal="right"/>
      <protection locked="0"/>
    </xf>
    <xf numFmtId="38" fontId="45" fillId="0" borderId="29" xfId="0" applyNumberFormat="1" applyFont="1" applyBorder="1" applyProtection="1">
      <protection locked="0"/>
    </xf>
    <xf numFmtId="38" fontId="119" fillId="24" borderId="36" xfId="48" applyNumberFormat="1" applyFont="1" applyFill="1" applyBorder="1" applyAlignment="1">
      <alignment horizontal="right"/>
    </xf>
    <xf numFmtId="38" fontId="119" fillId="24" borderId="35" xfId="48" applyNumberFormat="1" applyFont="1" applyFill="1" applyBorder="1" applyAlignment="1">
      <alignment horizontal="right"/>
    </xf>
    <xf numFmtId="0" fontId="119" fillId="0" borderId="64" xfId="48" applyFont="1" applyBorder="1" applyAlignment="1" applyProtection="1">
      <alignment horizontal="center" vertical="center"/>
      <protection locked="0"/>
    </xf>
    <xf numFmtId="38" fontId="119" fillId="24" borderId="338" xfId="48" applyNumberFormat="1" applyFont="1" applyFill="1" applyBorder="1" applyAlignment="1">
      <alignment horizontal="right"/>
    </xf>
    <xf numFmtId="10" fontId="119" fillId="24" borderId="63" xfId="48" applyNumberFormat="1" applyFont="1" applyFill="1" applyBorder="1" applyAlignment="1" applyProtection="1">
      <alignment horizontal="right"/>
      <protection locked="0"/>
    </xf>
    <xf numFmtId="3" fontId="45" fillId="0" borderId="0" xfId="48" applyNumberFormat="1" applyFont="1" applyAlignment="1">
      <alignment horizontal="center"/>
    </xf>
    <xf numFmtId="38" fontId="119" fillId="24" borderId="37" xfId="48" applyNumberFormat="1" applyFont="1" applyFill="1" applyBorder="1" applyAlignment="1">
      <alignment horizontal="right"/>
    </xf>
    <xf numFmtId="10" fontId="119" fillId="0" borderId="0" xfId="55" applyNumberFormat="1" applyFont="1" applyBorder="1" applyAlignment="1" applyProtection="1">
      <alignment horizontal="right"/>
      <protection locked="0"/>
    </xf>
    <xf numFmtId="38" fontId="110" fillId="29" borderId="62" xfId="48" applyNumberFormat="1" applyFont="1" applyFill="1" applyBorder="1" applyAlignment="1">
      <alignment horizontal="right"/>
    </xf>
    <xf numFmtId="40" fontId="110" fillId="0" borderId="0" xfId="48" applyNumberFormat="1" applyFont="1" applyAlignment="1" applyProtection="1">
      <alignment horizontal="right"/>
      <protection locked="0"/>
    </xf>
    <xf numFmtId="165" fontId="119" fillId="24" borderId="63" xfId="28" applyNumberFormat="1" applyFont="1" applyFill="1" applyBorder="1" applyAlignment="1" applyProtection="1">
      <alignment horizontal="right"/>
      <protection locked="0"/>
    </xf>
    <xf numFmtId="2" fontId="110" fillId="29" borderId="62" xfId="30" applyNumberFormat="1" applyFont="1" applyFill="1" applyBorder="1" applyAlignment="1" applyProtection="1">
      <alignment horizontal="right"/>
    </xf>
    <xf numFmtId="178" fontId="110" fillId="0" borderId="0" xfId="48" applyNumberFormat="1" applyFont="1" applyAlignment="1">
      <alignment horizontal="right"/>
    </xf>
    <xf numFmtId="177" fontId="45" fillId="0" borderId="29" xfId="0" applyNumberFormat="1" applyFont="1" applyBorder="1" applyProtection="1">
      <protection locked="0"/>
    </xf>
    <xf numFmtId="43" fontId="110" fillId="29" borderId="62" xfId="28" applyFont="1" applyFill="1" applyBorder="1" applyAlignment="1" applyProtection="1">
      <alignment horizontal="right"/>
    </xf>
    <xf numFmtId="2" fontId="110" fillId="0" borderId="0" xfId="30" applyNumberFormat="1" applyFont="1" applyFill="1" applyBorder="1" applyAlignment="1" applyProtection="1">
      <alignment horizontal="right"/>
    </xf>
    <xf numFmtId="3" fontId="110" fillId="0" borderId="0" xfId="30" applyNumberFormat="1" applyFont="1" applyFill="1" applyBorder="1" applyAlignment="1" applyProtection="1">
      <alignment horizontal="right"/>
    </xf>
    <xf numFmtId="0" fontId="110" fillId="0" borderId="30" xfId="48" applyFont="1" applyBorder="1"/>
    <xf numFmtId="0" fontId="45" fillId="0" borderId="3" xfId="48" applyFont="1" applyBorder="1" applyAlignment="1">
      <alignment horizontal="center"/>
    </xf>
    <xf numFmtId="3" fontId="110" fillId="0" borderId="3" xfId="30" applyNumberFormat="1" applyFont="1" applyFill="1" applyBorder="1" applyAlignment="1" applyProtection="1">
      <alignment horizontal="right"/>
    </xf>
    <xf numFmtId="9" fontId="83" fillId="0" borderId="3" xfId="48" applyNumberFormat="1" applyFont="1" applyBorder="1" applyAlignment="1">
      <alignment horizontal="center"/>
    </xf>
    <xf numFmtId="0" fontId="110" fillId="0" borderId="0" xfId="48" applyFont="1"/>
    <xf numFmtId="38" fontId="110" fillId="0" borderId="0" xfId="30" applyNumberFormat="1" applyFont="1" applyFill="1" applyBorder="1" applyAlignment="1" applyProtection="1">
      <alignment horizontal="right"/>
    </xf>
    <xf numFmtId="0" fontId="93" fillId="57" borderId="413" xfId="106" applyFont="1" applyFill="1" applyBorder="1" applyAlignment="1">
      <alignment horizontal="left" vertical="top" wrapText="1"/>
    </xf>
    <xf numFmtId="192" fontId="93" fillId="57" borderId="413" xfId="106" applyNumberFormat="1" applyFont="1" applyFill="1" applyBorder="1" applyAlignment="1">
      <alignment wrapText="1"/>
    </xf>
    <xf numFmtId="165" fontId="124" fillId="51" borderId="340" xfId="28" applyNumberFormat="1" applyFont="1" applyFill="1" applyBorder="1"/>
    <xf numFmtId="165" fontId="138" fillId="51" borderId="10" xfId="28" applyNumberFormat="1" applyFont="1" applyFill="1" applyBorder="1"/>
    <xf numFmtId="3" fontId="119" fillId="0" borderId="350" xfId="28" applyNumberFormat="1" applyFont="1" applyBorder="1"/>
    <xf numFmtId="3" fontId="119" fillId="0" borderId="136" xfId="28" applyNumberFormat="1" applyFont="1" applyFill="1" applyBorder="1"/>
    <xf numFmtId="3" fontId="119" fillId="0" borderId="360" xfId="28" applyNumberFormat="1" applyFont="1" applyFill="1" applyBorder="1"/>
    <xf numFmtId="165" fontId="119" fillId="0" borderId="136" xfId="28" applyNumberFormat="1" applyFont="1" applyBorder="1"/>
    <xf numFmtId="3" fontId="119" fillId="0" borderId="136" xfId="28" applyNumberFormat="1" applyFont="1" applyBorder="1"/>
    <xf numFmtId="0" fontId="110" fillId="27" borderId="0" xfId="48" applyFont="1" applyFill="1" applyAlignment="1">
      <alignment horizontal="center"/>
    </xf>
    <xf numFmtId="14" fontId="110" fillId="27" borderId="0" xfId="48" applyNumberFormat="1" applyFont="1" applyFill="1" applyAlignment="1">
      <alignment horizontal="center"/>
    </xf>
    <xf numFmtId="3" fontId="110" fillId="57" borderId="357" xfId="28" applyNumberFormat="1" applyFont="1" applyFill="1" applyBorder="1"/>
    <xf numFmtId="3" fontId="110" fillId="57" borderId="358" xfId="28" applyNumberFormat="1" applyFont="1" applyFill="1" applyBorder="1"/>
    <xf numFmtId="3" fontId="110" fillId="57" borderId="359" xfId="28" applyNumberFormat="1" applyFont="1" applyFill="1" applyBorder="1"/>
    <xf numFmtId="0" fontId="119" fillId="0" borderId="367" xfId="70" applyFont="1" applyBorder="1"/>
    <xf numFmtId="0" fontId="119" fillId="0" borderId="366" xfId="70" applyFont="1" applyBorder="1"/>
    <xf numFmtId="0" fontId="119" fillId="0" borderId="365" xfId="70" applyFont="1" applyBorder="1"/>
    <xf numFmtId="0" fontId="110" fillId="0" borderId="364" xfId="70" applyFont="1" applyBorder="1"/>
    <xf numFmtId="0" fontId="119" fillId="0" borderId="360" xfId="70" applyFont="1" applyBorder="1"/>
    <xf numFmtId="0" fontId="119" fillId="0" borderId="330" xfId="70" applyFont="1" applyBorder="1"/>
    <xf numFmtId="0" fontId="119" fillId="0" borderId="136" xfId="70" applyFont="1" applyBorder="1"/>
    <xf numFmtId="10" fontId="119" fillId="0" borderId="136" xfId="70" applyNumberFormat="1" applyFont="1" applyBorder="1"/>
    <xf numFmtId="0" fontId="110" fillId="0" borderId="361" xfId="70" applyFont="1" applyBorder="1"/>
    <xf numFmtId="3" fontId="119" fillId="0" borderId="360" xfId="70" applyNumberFormat="1" applyFont="1" applyBorder="1"/>
    <xf numFmtId="3" fontId="119" fillId="0" borderId="330" xfId="70" applyNumberFormat="1" applyFont="1" applyBorder="1"/>
    <xf numFmtId="3" fontId="119" fillId="0" borderId="136" xfId="70" applyNumberFormat="1" applyFont="1" applyBorder="1"/>
    <xf numFmtId="0" fontId="110" fillId="0" borderId="361" xfId="70" applyFont="1" applyBorder="1" applyAlignment="1">
      <alignment horizontal="left"/>
    </xf>
    <xf numFmtId="3" fontId="119" fillId="0" borderId="363" xfId="70" applyNumberFormat="1" applyFont="1" applyBorder="1"/>
    <xf numFmtId="3" fontId="119" fillId="0" borderId="86" xfId="70" applyNumberFormat="1" applyFont="1" applyBorder="1"/>
    <xf numFmtId="0" fontId="119" fillId="0" borderId="86" xfId="70" applyFont="1" applyBorder="1"/>
    <xf numFmtId="0" fontId="110" fillId="0" borderId="362" xfId="70" applyFont="1" applyBorder="1" applyAlignment="1">
      <alignment horizontal="left"/>
    </xf>
    <xf numFmtId="0" fontId="110" fillId="0" borderId="361" xfId="70" applyFont="1" applyBorder="1" applyAlignment="1">
      <alignment horizontal="right"/>
    </xf>
    <xf numFmtId="0" fontId="110" fillId="0" borderId="226" xfId="70" applyFont="1" applyBorder="1" applyAlignment="1">
      <alignment horizontal="left"/>
    </xf>
    <xf numFmtId="0" fontId="110" fillId="0" borderId="320" xfId="70" applyFont="1" applyBorder="1" applyAlignment="1">
      <alignment horizontal="left"/>
    </xf>
    <xf numFmtId="0" fontId="110" fillId="0" borderId="372" xfId="70" applyFont="1" applyBorder="1" applyAlignment="1">
      <alignment horizontal="center"/>
    </xf>
    <xf numFmtId="0" fontId="110" fillId="0" borderId="371" xfId="70" applyFont="1" applyBorder="1" applyAlignment="1">
      <alignment horizontal="center"/>
    </xf>
    <xf numFmtId="0" fontId="110" fillId="0" borderId="370" xfId="70" applyFont="1" applyBorder="1" applyAlignment="1">
      <alignment horizontal="center"/>
    </xf>
    <xf numFmtId="0" fontId="124" fillId="0" borderId="369" xfId="70" applyFont="1" applyBorder="1" applyAlignment="1">
      <alignment horizontal="center" vertical="center" wrapText="1"/>
    </xf>
    <xf numFmtId="0" fontId="110" fillId="0" borderId="210" xfId="70" applyFont="1" applyBorder="1" applyAlignment="1">
      <alignment horizontal="center"/>
    </xf>
    <xf numFmtId="0" fontId="77" fillId="0" borderId="43" xfId="70" applyFont="1" applyBorder="1" applyAlignment="1">
      <alignment horizontal="center" wrapText="1"/>
    </xf>
    <xf numFmtId="0" fontId="110" fillId="0" borderId="368" xfId="70" applyFont="1" applyBorder="1"/>
    <xf numFmtId="0" fontId="139" fillId="0" borderId="28" xfId="38" applyFont="1" applyBorder="1" applyAlignment="1" applyProtection="1">
      <alignment horizontal="center"/>
    </xf>
    <xf numFmtId="0" fontId="123" fillId="0" borderId="0" xfId="48" applyFont="1" applyAlignment="1">
      <alignment horizontal="centerContinuous"/>
    </xf>
    <xf numFmtId="0" fontId="126" fillId="0" borderId="0" xfId="0" applyFont="1" applyAlignment="1">
      <alignment horizontal="centerContinuous"/>
    </xf>
    <xf numFmtId="10" fontId="76" fillId="0" borderId="0" xfId="55" applyNumberFormat="1" applyFont="1" applyFill="1" applyBorder="1" applyAlignment="1">
      <alignment horizontal="center"/>
    </xf>
    <xf numFmtId="38" fontId="119" fillId="0" borderId="0" xfId="30" applyNumberFormat="1" applyFont="1" applyFill="1" applyBorder="1" applyAlignment="1" applyProtection="1">
      <alignment horizontal="right"/>
    </xf>
    <xf numFmtId="0" fontId="93" fillId="57" borderId="413" xfId="84" applyFont="1" applyFill="1" applyBorder="1" applyAlignment="1">
      <alignment horizontal="left" vertical="top" wrapText="1"/>
    </xf>
    <xf numFmtId="192" fontId="93" fillId="57" borderId="413" xfId="84" applyNumberFormat="1" applyFont="1" applyFill="1" applyBorder="1" applyAlignment="1">
      <alignment wrapText="1"/>
    </xf>
    <xf numFmtId="4" fontId="45" fillId="57" borderId="0" xfId="0" applyNumberFormat="1" applyFont="1" applyFill="1"/>
    <xf numFmtId="0" fontId="45" fillId="0" borderId="31" xfId="70" applyFont="1" applyBorder="1"/>
    <xf numFmtId="10" fontId="76" fillId="55" borderId="0" xfId="70" applyNumberFormat="1" applyFont="1" applyFill="1"/>
    <xf numFmtId="0" fontId="110" fillId="0" borderId="28" xfId="70" applyFont="1" applyBorder="1" applyAlignment="1">
      <alignment horizontal="center"/>
    </xf>
    <xf numFmtId="3" fontId="110" fillId="0" borderId="0" xfId="70" applyNumberFormat="1" applyFont="1" applyAlignment="1">
      <alignment horizontal="right"/>
    </xf>
    <xf numFmtId="10" fontId="76" fillId="0" borderId="0" xfId="70" applyNumberFormat="1" applyFont="1"/>
    <xf numFmtId="0" fontId="45" fillId="0" borderId="373" xfId="70" applyFont="1" applyBorder="1"/>
    <xf numFmtId="38" fontId="45" fillId="0" borderId="118" xfId="70" applyNumberFormat="1" applyFont="1" applyBorder="1"/>
    <xf numFmtId="0" fontId="45" fillId="0" borderId="118" xfId="70" applyFont="1" applyBorder="1"/>
    <xf numFmtId="38" fontId="80" fillId="0" borderId="0" xfId="70" applyNumberFormat="1" applyFont="1"/>
    <xf numFmtId="0" fontId="45" fillId="0" borderId="0" xfId="70" applyFont="1" applyAlignment="1">
      <alignment horizontal="center" vertical="center" wrapText="1"/>
    </xf>
    <xf numFmtId="0" fontId="45" fillId="0" borderId="42" xfId="70" applyFont="1" applyBorder="1" applyAlignment="1">
      <alignment horizontal="centerContinuous"/>
    </xf>
    <xf numFmtId="0" fontId="45" fillId="0" borderId="41" xfId="70" applyFont="1" applyBorder="1" applyAlignment="1">
      <alignment horizontal="centerContinuous"/>
    </xf>
    <xf numFmtId="0" fontId="126" fillId="0" borderId="41" xfId="70" applyFont="1" applyBorder="1" applyAlignment="1">
      <alignment horizontal="centerContinuous"/>
    </xf>
    <xf numFmtId="0" fontId="126" fillId="0" borderId="81" xfId="70" applyFont="1" applyBorder="1" applyAlignment="1">
      <alignment horizontal="centerContinuous"/>
    </xf>
    <xf numFmtId="0" fontId="126" fillId="0" borderId="0" xfId="70" applyFont="1" applyAlignment="1">
      <alignment horizontal="centerContinuous"/>
    </xf>
    <xf numFmtId="0" fontId="126" fillId="0" borderId="28" xfId="70" applyFont="1" applyBorder="1" applyAlignment="1">
      <alignment horizontal="centerContinuous"/>
    </xf>
    <xf numFmtId="0" fontId="110" fillId="27" borderId="245" xfId="48" applyFont="1" applyFill="1" applyBorder="1" applyAlignment="1">
      <alignment horizontal="center"/>
    </xf>
    <xf numFmtId="14" fontId="110" fillId="27" borderId="246" xfId="48" applyNumberFormat="1" applyFont="1" applyFill="1" applyBorder="1" applyAlignment="1">
      <alignment horizontal="center"/>
    </xf>
    <xf numFmtId="14" fontId="110" fillId="0" borderId="0" xfId="48" applyNumberFormat="1" applyFont="1"/>
    <xf numFmtId="0" fontId="45" fillId="0" borderId="28" xfId="0" applyFont="1" applyBorder="1" applyAlignment="1">
      <alignment horizontal="left"/>
    </xf>
    <xf numFmtId="0" fontId="45" fillId="0" borderId="29" xfId="0" applyFont="1" applyBorder="1" applyAlignment="1">
      <alignment horizontal="left"/>
    </xf>
    <xf numFmtId="0" fontId="110" fillId="0" borderId="43" xfId="48" applyFont="1" applyBorder="1" applyAlignment="1">
      <alignment horizontal="centerContinuous"/>
    </xf>
    <xf numFmtId="0" fontId="110" fillId="0" borderId="34" xfId="48" applyFont="1" applyBorder="1" applyAlignment="1">
      <alignment horizontal="center"/>
    </xf>
    <xf numFmtId="0" fontId="110" fillId="0" borderId="44" xfId="48" applyFont="1" applyBorder="1" applyAlignment="1">
      <alignment horizontal="center"/>
    </xf>
    <xf numFmtId="0" fontId="110" fillId="0" borderId="28" xfId="51" applyFont="1" applyBorder="1"/>
    <xf numFmtId="0" fontId="110" fillId="0" borderId="0" xfId="51" applyFont="1"/>
    <xf numFmtId="43" fontId="45" fillId="0" borderId="0" xfId="28" applyFont="1" applyFill="1" applyBorder="1"/>
    <xf numFmtId="0" fontId="119" fillId="0" borderId="28" xfId="51" applyFont="1" applyBorder="1"/>
    <xf numFmtId="0" fontId="119" fillId="0" borderId="0" xfId="51" applyFont="1"/>
    <xf numFmtId="165" fontId="119" fillId="0" borderId="32" xfId="28" applyNumberFormat="1" applyFont="1" applyFill="1" applyBorder="1" applyAlignment="1">
      <alignment horizontal="center"/>
    </xf>
    <xf numFmtId="3" fontId="119" fillId="24" borderId="33" xfId="0" applyNumberFormat="1" applyFont="1" applyFill="1" applyBorder="1"/>
    <xf numFmtId="38" fontId="119" fillId="27" borderId="112" xfId="48" applyNumberFormat="1" applyFont="1" applyFill="1" applyBorder="1" applyAlignment="1">
      <alignment horizontal="right"/>
    </xf>
    <xf numFmtId="172" fontId="110" fillId="27" borderId="102" xfId="0" applyNumberFormat="1" applyFont="1" applyFill="1" applyBorder="1"/>
    <xf numFmtId="43" fontId="119" fillId="0" borderId="11" xfId="28" applyFont="1" applyFill="1" applyBorder="1"/>
    <xf numFmtId="0" fontId="130" fillId="0" borderId="159" xfId="49" applyFont="1" applyBorder="1" applyAlignment="1">
      <alignment horizontal="center" vertical="top"/>
    </xf>
    <xf numFmtId="0" fontId="130" fillId="0" borderId="34" xfId="49" applyFont="1" applyBorder="1" applyAlignment="1">
      <alignment horizontal="center" vertical="top"/>
    </xf>
    <xf numFmtId="0" fontId="130" fillId="0" borderId="104" xfId="49" applyFont="1" applyBorder="1" applyAlignment="1">
      <alignment horizontal="center" vertical="top"/>
    </xf>
    <xf numFmtId="0" fontId="140" fillId="0" borderId="15" xfId="49" applyFont="1" applyBorder="1"/>
    <xf numFmtId="0" fontId="138" fillId="0" borderId="160" xfId="49" applyFont="1" applyBorder="1" applyAlignment="1">
      <alignment horizontal="center" vertical="top"/>
    </xf>
    <xf numFmtId="0" fontId="138" fillId="0" borderId="104" xfId="49" applyFont="1" applyBorder="1" applyAlignment="1">
      <alignment horizontal="center" vertical="top"/>
    </xf>
    <xf numFmtId="0" fontId="130" fillId="0" borderId="14" xfId="49" applyFont="1" applyBorder="1"/>
    <xf numFmtId="6" fontId="141" fillId="0" borderId="34" xfId="49" applyNumberFormat="1" applyFont="1" applyBorder="1"/>
    <xf numFmtId="6" fontId="141" fillId="0" borderId="104" xfId="49" applyNumberFormat="1" applyFont="1" applyBorder="1"/>
    <xf numFmtId="0" fontId="130" fillId="0" borderId="343" xfId="49" applyFont="1" applyBorder="1" applyAlignment="1">
      <alignment horizontal="center" vertical="top"/>
    </xf>
    <xf numFmtId="0" fontId="130" fillId="0" borderId="346" xfId="49" applyFont="1" applyBorder="1" applyAlignment="1">
      <alignment horizontal="center" vertical="top"/>
    </xf>
    <xf numFmtId="0" fontId="130" fillId="0" borderId="172" xfId="49" applyFont="1" applyBorder="1" applyAlignment="1">
      <alignment horizontal="center" vertical="top"/>
    </xf>
    <xf numFmtId="38" fontId="132" fillId="0" borderId="175" xfId="49" applyNumberFormat="1" applyFont="1" applyBorder="1"/>
    <xf numFmtId="165" fontId="45" fillId="0" borderId="175" xfId="28" applyNumberFormat="1" applyFont="1" applyFill="1" applyBorder="1"/>
    <xf numFmtId="6" fontId="45" fillId="0" borderId="175" xfId="49" applyNumberFormat="1" applyFont="1" applyBorder="1"/>
    <xf numFmtId="43" fontId="132" fillId="0" borderId="173" xfId="28" applyFont="1" applyFill="1" applyBorder="1"/>
    <xf numFmtId="6" fontId="132" fillId="0" borderId="173" xfId="0" applyNumberFormat="1" applyFont="1" applyBorder="1"/>
    <xf numFmtId="10" fontId="130" fillId="0" borderId="172" xfId="49" applyNumberFormat="1" applyFont="1" applyBorder="1" applyAlignment="1">
      <alignment horizontal="center" vertical="top"/>
    </xf>
    <xf numFmtId="0" fontId="132" fillId="0" borderId="175" xfId="49" applyFont="1" applyBorder="1"/>
    <xf numFmtId="0" fontId="130" fillId="0" borderId="349" xfId="49" applyFont="1" applyBorder="1" applyAlignment="1">
      <alignment horizontal="center" vertical="top"/>
    </xf>
    <xf numFmtId="38" fontId="45" fillId="0" borderId="175" xfId="49" applyNumberFormat="1" applyFont="1" applyBorder="1"/>
    <xf numFmtId="38" fontId="76" fillId="0" borderId="175" xfId="49" applyNumberFormat="1" applyFont="1" applyBorder="1"/>
    <xf numFmtId="170" fontId="45" fillId="0" borderId="175" xfId="30" applyNumberFormat="1" applyFont="1" applyBorder="1"/>
    <xf numFmtId="0" fontId="45" fillId="0" borderId="175" xfId="49" applyFont="1" applyBorder="1"/>
    <xf numFmtId="170" fontId="45" fillId="0" borderId="15" xfId="30" applyNumberFormat="1" applyFont="1" applyBorder="1"/>
    <xf numFmtId="170" fontId="45" fillId="0" borderId="235" xfId="30" applyNumberFormat="1" applyFont="1" applyBorder="1"/>
    <xf numFmtId="0" fontId="142" fillId="0" borderId="347" xfId="70" applyFont="1" applyBorder="1" applyAlignment="1">
      <alignment horizontal="center"/>
    </xf>
    <xf numFmtId="49" fontId="130" fillId="0" borderId="173" xfId="70" applyNumberFormat="1" applyFont="1" applyBorder="1" applyAlignment="1">
      <alignment horizontal="center"/>
    </xf>
    <xf numFmtId="38" fontId="130" fillId="0" borderId="173" xfId="70" applyNumberFormat="1" applyFont="1" applyBorder="1" applyAlignment="1">
      <alignment horizontal="center"/>
    </xf>
    <xf numFmtId="0" fontId="142" fillId="0" borderId="11" xfId="70" applyFont="1" applyBorder="1" applyAlignment="1">
      <alignment horizontal="center"/>
    </xf>
    <xf numFmtId="0" fontId="142" fillId="0" borderId="173" xfId="70" applyFont="1" applyBorder="1" applyAlignment="1">
      <alignment horizontal="center"/>
    </xf>
    <xf numFmtId="165" fontId="142" fillId="0" borderId="173" xfId="28" applyNumberFormat="1" applyFont="1" applyBorder="1" applyAlignment="1">
      <alignment horizontal="center"/>
    </xf>
    <xf numFmtId="6" fontId="132" fillId="0" borderId="173" xfId="70" applyNumberFormat="1" applyFont="1" applyBorder="1" applyAlignment="1">
      <alignment horizontal="center"/>
    </xf>
    <xf numFmtId="44" fontId="90" fillId="0" borderId="173" xfId="30" applyFont="1" applyFill="1" applyBorder="1" applyAlignment="1">
      <alignment horizontal="center"/>
    </xf>
    <xf numFmtId="44" fontId="132" fillId="0" borderId="173" xfId="70" applyNumberFormat="1" applyFont="1" applyBorder="1"/>
    <xf numFmtId="44" fontId="90" fillId="0" borderId="173" xfId="28" applyNumberFormat="1" applyFont="1" applyBorder="1" applyAlignment="1">
      <alignment horizontal="center"/>
    </xf>
    <xf numFmtId="170" fontId="45" fillId="57" borderId="116" xfId="90" applyNumberFormat="1" applyFont="1" applyFill="1" applyBorder="1"/>
    <xf numFmtId="170" fontId="45" fillId="57" borderId="116" xfId="31" applyNumberFormat="1" applyFont="1" applyFill="1" applyBorder="1"/>
    <xf numFmtId="0" fontId="110" fillId="0" borderId="243" xfId="48" applyFont="1" applyBorder="1" applyAlignment="1">
      <alignment horizontal="center"/>
    </xf>
    <xf numFmtId="0" fontId="121" fillId="0" borderId="247" xfId="38" applyFont="1" applyBorder="1" applyAlignment="1" applyProtection="1">
      <alignment horizontal="center"/>
    </xf>
    <xf numFmtId="0" fontId="120" fillId="26" borderId="247" xfId="38" applyFont="1" applyFill="1" applyBorder="1" applyAlignment="1" applyProtection="1">
      <alignment horizontal="center"/>
    </xf>
    <xf numFmtId="38" fontId="130" fillId="0" borderId="104" xfId="49" applyNumberFormat="1" applyFont="1" applyBorder="1"/>
    <xf numFmtId="0" fontId="122" fillId="0" borderId="0" xfId="49" applyFont="1"/>
    <xf numFmtId="38" fontId="122" fillId="0" borderId="0" xfId="49" applyNumberFormat="1" applyFont="1"/>
    <xf numFmtId="0" fontId="122" fillId="0" borderId="0" xfId="0" applyFont="1"/>
    <xf numFmtId="38" fontId="122" fillId="0" borderId="0" xfId="0" applyNumberFormat="1" applyFont="1"/>
    <xf numFmtId="0" fontId="140" fillId="0" borderId="0" xfId="49" applyFont="1"/>
    <xf numFmtId="14" fontId="130" fillId="0" borderId="23" xfId="49" applyNumberFormat="1" applyFont="1" applyBorder="1" applyAlignment="1">
      <alignment horizontal="center" vertical="top"/>
    </xf>
    <xf numFmtId="10" fontId="130" fillId="0" borderId="161" xfId="55" applyNumberFormat="1" applyFont="1" applyFill="1" applyBorder="1"/>
    <xf numFmtId="0" fontId="130" fillId="0" borderId="0" xfId="49" applyFont="1"/>
    <xf numFmtId="0" fontId="130" fillId="0" borderId="162" xfId="49" applyFont="1" applyBorder="1"/>
    <xf numFmtId="0" fontId="76" fillId="28" borderId="163" xfId="0" applyFont="1" applyFill="1" applyBorder="1" applyAlignment="1">
      <alignment horizontal="center"/>
    </xf>
    <xf numFmtId="0" fontId="130" fillId="28" borderId="163" xfId="0" applyFont="1" applyFill="1" applyBorder="1" applyAlignment="1">
      <alignment horizontal="center"/>
    </xf>
    <xf numFmtId="3" fontId="130" fillId="28" borderId="163" xfId="0" applyNumberFormat="1" applyFont="1" applyFill="1" applyBorder="1" applyAlignment="1">
      <alignment horizontal="center"/>
    </xf>
    <xf numFmtId="0" fontId="132" fillId="0" borderId="164" xfId="49" applyFont="1" applyBorder="1"/>
    <xf numFmtId="0" fontId="132" fillId="0" borderId="165" xfId="49" applyFont="1" applyBorder="1"/>
    <xf numFmtId="0" fontId="130" fillId="0" borderId="161" xfId="0" applyFont="1" applyBorder="1" applyAlignment="1">
      <alignment horizontal="center"/>
    </xf>
    <xf numFmtId="0" fontId="130" fillId="0" borderId="166" xfId="0" applyFont="1" applyBorder="1" applyAlignment="1">
      <alignment horizontal="center"/>
    </xf>
    <xf numFmtId="0" fontId="130" fillId="0" borderId="167" xfId="49" applyFont="1" applyBorder="1" applyAlignment="1">
      <alignment horizontal="center" vertical="top"/>
    </xf>
    <xf numFmtId="175" fontId="130" fillId="0" borderId="168" xfId="0" applyNumberFormat="1" applyFont="1" applyBorder="1" applyAlignment="1">
      <alignment horizontal="center"/>
    </xf>
    <xf numFmtId="0" fontId="130" fillId="0" borderId="169" xfId="0" applyFont="1" applyBorder="1" applyAlignment="1">
      <alignment horizontal="center"/>
    </xf>
    <xf numFmtId="0" fontId="130" fillId="0" borderId="23" xfId="49" applyFont="1" applyBorder="1" applyAlignment="1">
      <alignment horizontal="center" vertical="top"/>
    </xf>
    <xf numFmtId="175" fontId="130" fillId="0" borderId="170" xfId="0" applyNumberFormat="1" applyFont="1" applyBorder="1" applyAlignment="1">
      <alignment horizontal="center"/>
    </xf>
    <xf numFmtId="175" fontId="132" fillId="0" borderId="171" xfId="49" applyNumberFormat="1" applyFont="1" applyBorder="1"/>
    <xf numFmtId="38" fontId="132" fillId="0" borderId="173" xfId="0" applyNumberFormat="1" applyFont="1" applyBorder="1"/>
    <xf numFmtId="38" fontId="132" fillId="0" borderId="174" xfId="0" applyNumberFormat="1" applyFont="1" applyBorder="1"/>
    <xf numFmtId="38" fontId="132" fillId="31" borderId="173" xfId="0" applyNumberFormat="1" applyFont="1" applyFill="1" applyBorder="1"/>
    <xf numFmtId="38" fontId="132" fillId="31" borderId="173" xfId="49" applyNumberFormat="1" applyFont="1" applyFill="1" applyBorder="1"/>
    <xf numFmtId="44" fontId="132" fillId="31" borderId="173" xfId="49" applyNumberFormat="1" applyFont="1" applyFill="1" applyBorder="1"/>
    <xf numFmtId="6" fontId="86" fillId="0" borderId="173" xfId="0" applyNumberFormat="1" applyFont="1" applyBorder="1"/>
    <xf numFmtId="6" fontId="86" fillId="0" borderId="174" xfId="0" applyNumberFormat="1" applyFont="1" applyBorder="1"/>
    <xf numFmtId="170" fontId="45" fillId="31" borderId="173" xfId="30" applyNumberFormat="1" applyFont="1" applyFill="1" applyBorder="1"/>
    <xf numFmtId="170" fontId="45" fillId="0" borderId="175" xfId="30" applyNumberFormat="1" applyFont="1" applyFill="1" applyBorder="1"/>
    <xf numFmtId="10" fontId="124" fillId="0" borderId="173" xfId="0" applyNumberFormat="1" applyFont="1" applyBorder="1"/>
    <xf numFmtId="10" fontId="130" fillId="0" borderId="173" xfId="0" applyNumberFormat="1" applyFont="1" applyBorder="1"/>
    <xf numFmtId="10" fontId="124" fillId="0" borderId="173" xfId="49" applyNumberFormat="1" applyFont="1" applyBorder="1"/>
    <xf numFmtId="0" fontId="130" fillId="27" borderId="172" xfId="49" applyFont="1" applyFill="1" applyBorder="1" applyAlignment="1">
      <alignment horizontal="center" vertical="top"/>
    </xf>
    <xf numFmtId="6" fontId="130" fillId="27" borderId="173" xfId="0" applyNumberFormat="1" applyFont="1" applyFill="1" applyBorder="1"/>
    <xf numFmtId="38" fontId="130" fillId="27" borderId="175" xfId="49" applyNumberFormat="1" applyFont="1" applyFill="1" applyBorder="1"/>
    <xf numFmtId="6" fontId="132" fillId="0" borderId="174" xfId="0" applyNumberFormat="1" applyFont="1" applyBorder="1"/>
    <xf numFmtId="0" fontId="130" fillId="24" borderId="172" xfId="49" applyFont="1" applyFill="1" applyBorder="1" applyAlignment="1">
      <alignment horizontal="center" vertical="top"/>
    </xf>
    <xf numFmtId="6" fontId="132" fillId="24" borderId="173" xfId="0" applyNumberFormat="1" applyFont="1" applyFill="1" applyBorder="1" applyAlignment="1">
      <alignment horizontal="left"/>
    </xf>
    <xf numFmtId="6" fontId="132" fillId="24" borderId="173" xfId="0" applyNumberFormat="1" applyFont="1" applyFill="1" applyBorder="1"/>
    <xf numFmtId="170" fontId="45" fillId="24" borderId="173" xfId="30" applyNumberFormat="1" applyFont="1" applyFill="1" applyBorder="1"/>
    <xf numFmtId="38" fontId="132" fillId="24" borderId="175" xfId="49" applyNumberFormat="1" applyFont="1" applyFill="1" applyBorder="1"/>
    <xf numFmtId="10" fontId="130" fillId="27" borderId="172" xfId="49" applyNumberFormat="1" applyFont="1" applyFill="1" applyBorder="1" applyAlignment="1">
      <alignment horizontal="center" vertical="top"/>
    </xf>
    <xf numFmtId="10" fontId="130" fillId="27" borderId="173" xfId="55" applyNumberFormat="1" applyFont="1" applyFill="1" applyBorder="1"/>
    <xf numFmtId="10" fontId="130" fillId="27" borderId="175" xfId="55" applyNumberFormat="1" applyFont="1" applyFill="1" applyBorder="1"/>
    <xf numFmtId="6" fontId="132" fillId="31" borderId="173" xfId="0" applyNumberFormat="1" applyFont="1" applyFill="1" applyBorder="1"/>
    <xf numFmtId="3" fontId="132" fillId="31" borderId="173" xfId="0" applyNumberFormat="1" applyFont="1" applyFill="1" applyBorder="1"/>
    <xf numFmtId="6" fontId="132" fillId="31" borderId="173" xfId="49" applyNumberFormat="1" applyFont="1" applyFill="1" applyBorder="1"/>
    <xf numFmtId="6" fontId="132" fillId="53" borderId="173" xfId="0" applyNumberFormat="1" applyFont="1" applyFill="1" applyBorder="1"/>
    <xf numFmtId="3" fontId="132" fillId="53" borderId="173" xfId="0" applyNumberFormat="1" applyFont="1" applyFill="1" applyBorder="1"/>
    <xf numFmtId="6" fontId="132" fillId="53" borderId="173" xfId="49" applyNumberFormat="1" applyFont="1" applyFill="1" applyBorder="1"/>
    <xf numFmtId="38" fontId="132" fillId="53" borderId="175" xfId="49" applyNumberFormat="1" applyFont="1" applyFill="1" applyBorder="1"/>
    <xf numFmtId="6" fontId="132" fillId="0" borderId="176" xfId="0" applyNumberFormat="1" applyFont="1" applyBorder="1"/>
    <xf numFmtId="5" fontId="88" fillId="32" borderId="177" xfId="0" applyNumberFormat="1" applyFont="1" applyFill="1" applyBorder="1" applyProtection="1">
      <protection locked="0"/>
    </xf>
    <xf numFmtId="6" fontId="132" fillId="24" borderId="174" xfId="0" applyNumberFormat="1" applyFont="1" applyFill="1" applyBorder="1"/>
    <xf numFmtId="6" fontId="132" fillId="24" borderId="173" xfId="49" applyNumberFormat="1" applyFont="1" applyFill="1" applyBorder="1"/>
    <xf numFmtId="6" fontId="45" fillId="24" borderId="173" xfId="0" applyNumberFormat="1" applyFont="1" applyFill="1" applyBorder="1"/>
    <xf numFmtId="0" fontId="45" fillId="24" borderId="173" xfId="0" applyFont="1" applyFill="1" applyBorder="1"/>
    <xf numFmtId="6" fontId="45" fillId="24" borderId="173" xfId="49" applyNumberFormat="1" applyFont="1" applyFill="1" applyBorder="1"/>
    <xf numFmtId="0" fontId="132" fillId="0" borderId="172" xfId="49" applyFont="1" applyBorder="1"/>
    <xf numFmtId="0" fontId="132" fillId="0" borderId="173" xfId="0" applyFont="1" applyBorder="1"/>
    <xf numFmtId="0" fontId="45" fillId="0" borderId="173" xfId="0" applyFont="1" applyBorder="1"/>
    <xf numFmtId="0" fontId="45" fillId="0" borderId="173" xfId="49" applyFont="1" applyBorder="1"/>
    <xf numFmtId="6" fontId="130" fillId="0" borderId="173" xfId="0" applyNumberFormat="1" applyFont="1" applyBorder="1"/>
    <xf numFmtId="6" fontId="130" fillId="0" borderId="173" xfId="49" applyNumberFormat="1" applyFont="1" applyBorder="1"/>
    <xf numFmtId="0" fontId="130" fillId="0" borderId="178" xfId="49" applyFont="1" applyBorder="1" applyAlignment="1">
      <alignment horizontal="center" vertical="top"/>
    </xf>
    <xf numFmtId="8" fontId="130" fillId="0" borderId="170" xfId="0" applyNumberFormat="1" applyFont="1" applyBorder="1"/>
    <xf numFmtId="8" fontId="130" fillId="0" borderId="170" xfId="49" applyNumberFormat="1" applyFont="1" applyBorder="1"/>
    <xf numFmtId="8" fontId="130" fillId="0" borderId="179" xfId="49" applyNumberFormat="1" applyFont="1" applyBorder="1"/>
    <xf numFmtId="0" fontId="130" fillId="0" borderId="14" xfId="49" applyFont="1" applyBorder="1" applyAlignment="1">
      <alignment horizontal="center" vertical="top"/>
    </xf>
    <xf numFmtId="0" fontId="132" fillId="0" borderId="0" xfId="49" applyFont="1"/>
    <xf numFmtId="0" fontId="45" fillId="0" borderId="0" xfId="49" applyFont="1"/>
    <xf numFmtId="0" fontId="45" fillId="0" borderId="180" xfId="49" applyFont="1" applyBorder="1"/>
    <xf numFmtId="0" fontId="132" fillId="0" borderId="15" xfId="49" applyFont="1" applyBorder="1"/>
    <xf numFmtId="0" fontId="130" fillId="0" borderId="14" xfId="49" applyFont="1" applyBorder="1" applyAlignment="1">
      <alignment horizontal="left" vertical="top"/>
    </xf>
    <xf numFmtId="8" fontId="130" fillId="0" borderId="0" xfId="49" applyNumberFormat="1" applyFont="1"/>
    <xf numFmtId="8" fontId="130" fillId="0" borderId="15" xfId="49" applyNumberFormat="1" applyFont="1" applyBorder="1"/>
    <xf numFmtId="0" fontId="124" fillId="28" borderId="14" xfId="49" applyFont="1" applyFill="1" applyBorder="1" applyAlignment="1">
      <alignment horizontal="left" vertical="center"/>
    </xf>
    <xf numFmtId="0" fontId="86" fillId="28" borderId="0" xfId="49" applyFont="1" applyFill="1" applyAlignment="1">
      <alignment vertical="center"/>
    </xf>
    <xf numFmtId="8" fontId="143" fillId="28" borderId="0" xfId="49" applyNumberFormat="1" applyFont="1" applyFill="1" applyAlignment="1">
      <alignment vertical="center"/>
    </xf>
    <xf numFmtId="0" fontId="45" fillId="28" borderId="0" xfId="49" applyFont="1" applyFill="1"/>
    <xf numFmtId="8" fontId="143" fillId="28" borderId="15" xfId="49" applyNumberFormat="1" applyFont="1" applyFill="1" applyBorder="1" applyAlignment="1">
      <alignment vertical="center"/>
    </xf>
    <xf numFmtId="0" fontId="76" fillId="0" borderId="14" xfId="49" applyFont="1" applyBorder="1" applyAlignment="1">
      <alignment horizontal="left" vertical="top"/>
    </xf>
    <xf numFmtId="8" fontId="76" fillId="0" borderId="0" xfId="49" applyNumberFormat="1" applyFont="1"/>
    <xf numFmtId="8" fontId="76" fillId="0" borderId="15" xfId="49" applyNumberFormat="1" applyFont="1" applyBorder="1"/>
    <xf numFmtId="0" fontId="45" fillId="0" borderId="16" xfId="49" applyFont="1" applyBorder="1"/>
    <xf numFmtId="0" fontId="45" fillId="0" borderId="17" xfId="49" applyFont="1" applyBorder="1"/>
    <xf numFmtId="8" fontId="76" fillId="0" borderId="18" xfId="49" applyNumberFormat="1" applyFont="1" applyBorder="1"/>
    <xf numFmtId="44" fontId="45" fillId="0" borderId="173" xfId="30" applyFont="1" applyFill="1" applyBorder="1" applyAlignment="1">
      <alignment horizontal="center"/>
    </xf>
    <xf numFmtId="44" fontId="45" fillId="0" borderId="173" xfId="28" applyNumberFormat="1" applyFont="1" applyBorder="1" applyAlignment="1">
      <alignment horizontal="center"/>
    </xf>
    <xf numFmtId="0" fontId="93" fillId="57" borderId="441" xfId="79" applyFont="1" applyFill="1" applyBorder="1" applyAlignment="1">
      <alignment wrapText="1"/>
    </xf>
    <xf numFmtId="0" fontId="93" fillId="57" borderId="415" xfId="79" applyFont="1" applyFill="1" applyBorder="1" applyAlignment="1">
      <alignment wrapText="1"/>
    </xf>
    <xf numFmtId="196" fontId="93" fillId="57" borderId="441" xfId="79" applyNumberFormat="1" applyFont="1" applyFill="1" applyBorder="1" applyAlignment="1">
      <alignment wrapText="1"/>
    </xf>
    <xf numFmtId="196" fontId="93" fillId="57" borderId="415" xfId="79" applyNumberFormat="1" applyFont="1" applyFill="1" applyBorder="1" applyAlignment="1">
      <alignment wrapText="1"/>
    </xf>
    <xf numFmtId="207" fontId="93" fillId="57" borderId="441" xfId="79" applyNumberFormat="1" applyFont="1" applyFill="1" applyBorder="1" applyAlignment="1">
      <alignment wrapText="1"/>
    </xf>
    <xf numFmtId="207" fontId="93" fillId="57" borderId="415" xfId="79" applyNumberFormat="1" applyFont="1" applyFill="1" applyBorder="1" applyAlignment="1">
      <alignment wrapText="1"/>
    </xf>
    <xf numFmtId="191" fontId="93" fillId="57" borderId="441" xfId="79" applyNumberFormat="1" applyFont="1" applyFill="1" applyBorder="1" applyAlignment="1">
      <alignment wrapText="1"/>
    </xf>
    <xf numFmtId="191" fontId="93" fillId="57" borderId="415" xfId="79" applyNumberFormat="1" applyFont="1" applyFill="1" applyBorder="1" applyAlignment="1">
      <alignment wrapText="1"/>
    </xf>
    <xf numFmtId="191" fontId="93" fillId="57" borderId="442" xfId="79" applyNumberFormat="1" applyFont="1" applyFill="1" applyBorder="1" applyAlignment="1">
      <alignment wrapText="1"/>
    </xf>
    <xf numFmtId="206" fontId="93" fillId="57" borderId="115" xfId="79" applyNumberFormat="1" applyFont="1" applyFill="1" applyBorder="1" applyAlignment="1">
      <alignment wrapText="1"/>
    </xf>
    <xf numFmtId="206" fontId="93" fillId="57" borderId="441" xfId="79" applyNumberFormat="1" applyFont="1" applyFill="1" applyBorder="1" applyAlignment="1">
      <alignment wrapText="1"/>
    </xf>
    <xf numFmtId="206" fontId="93" fillId="57" borderId="415" xfId="79" applyNumberFormat="1" applyFont="1" applyFill="1" applyBorder="1" applyAlignment="1">
      <alignment wrapText="1"/>
    </xf>
    <xf numFmtId="206" fontId="93" fillId="57" borderId="443" xfId="79" applyNumberFormat="1" applyFont="1" applyFill="1" applyBorder="1" applyAlignment="1">
      <alignment wrapText="1"/>
    </xf>
    <xf numFmtId="206" fontId="93" fillId="57" borderId="477" xfId="79" applyNumberFormat="1" applyFont="1" applyFill="1" applyBorder="1" applyAlignment="1">
      <alignment wrapText="1"/>
    </xf>
    <xf numFmtId="210" fontId="93" fillId="57" borderId="441" xfId="79" applyNumberFormat="1" applyFont="1" applyFill="1" applyBorder="1" applyAlignment="1">
      <alignment wrapText="1"/>
    </xf>
    <xf numFmtId="210" fontId="93" fillId="57" borderId="415" xfId="79" applyNumberFormat="1" applyFont="1" applyFill="1" applyBorder="1" applyAlignment="1">
      <alignment wrapText="1"/>
    </xf>
    <xf numFmtId="208" fontId="93" fillId="57" borderId="441" xfId="79" applyNumberFormat="1" applyFont="1" applyFill="1" applyBorder="1" applyAlignment="1">
      <alignment wrapText="1"/>
    </xf>
    <xf numFmtId="208" fontId="93" fillId="57" borderId="415" xfId="79" applyNumberFormat="1" applyFont="1" applyFill="1" applyBorder="1" applyAlignment="1">
      <alignment wrapText="1"/>
    </xf>
    <xf numFmtId="44" fontId="45" fillId="57" borderId="116" xfId="90" applyNumberFormat="1" applyFont="1" applyFill="1" applyBorder="1"/>
    <xf numFmtId="165" fontId="45" fillId="0" borderId="0" xfId="70" applyNumberFormat="1" applyFont="1"/>
    <xf numFmtId="44" fontId="45" fillId="0" borderId="234" xfId="70" applyNumberFormat="1" applyFont="1" applyBorder="1"/>
    <xf numFmtId="0" fontId="76" fillId="0" borderId="175" xfId="70" applyFont="1" applyBorder="1" applyAlignment="1">
      <alignment horizontal="center"/>
    </xf>
    <xf numFmtId="0" fontId="76" fillId="0" borderId="348" xfId="70" applyFont="1" applyBorder="1" applyAlignment="1">
      <alignment horizontal="center"/>
    </xf>
    <xf numFmtId="0" fontId="130" fillId="0" borderId="345" xfId="70" applyFont="1" applyBorder="1" applyAlignment="1">
      <alignment horizontal="center"/>
    </xf>
    <xf numFmtId="0" fontId="130" fillId="0" borderId="344" xfId="70" applyFont="1" applyBorder="1" applyAlignment="1">
      <alignment horizontal="center"/>
    </xf>
    <xf numFmtId="170" fontId="45" fillId="57" borderId="116" xfId="92" applyNumberFormat="1" applyFont="1" applyFill="1" applyBorder="1" applyAlignment="1">
      <alignment vertical="center"/>
    </xf>
    <xf numFmtId="0" fontId="93" fillId="57" borderId="415" xfId="70" applyFont="1" applyFill="1" applyBorder="1" applyAlignment="1">
      <alignment wrapText="1"/>
    </xf>
    <xf numFmtId="0" fontId="93" fillId="57" borderId="468" xfId="70" applyFont="1" applyFill="1" applyBorder="1" applyAlignment="1">
      <alignment wrapText="1"/>
    </xf>
    <xf numFmtId="196" fontId="93" fillId="57" borderId="415" xfId="70" applyNumberFormat="1" applyFont="1" applyFill="1" applyBorder="1" applyAlignment="1">
      <alignment wrapText="1"/>
    </xf>
    <xf numFmtId="206" fontId="93" fillId="57" borderId="415" xfId="70" applyNumberFormat="1" applyFont="1" applyFill="1" applyBorder="1" applyAlignment="1">
      <alignment wrapText="1"/>
    </xf>
    <xf numFmtId="196" fontId="93" fillId="57" borderId="468" xfId="70" applyNumberFormat="1" applyFont="1" applyFill="1" applyBorder="1" applyAlignment="1">
      <alignment wrapText="1"/>
    </xf>
    <xf numFmtId="206" fontId="93" fillId="57" borderId="468" xfId="70" applyNumberFormat="1" applyFont="1" applyFill="1" applyBorder="1" applyAlignment="1">
      <alignment wrapText="1"/>
    </xf>
    <xf numFmtId="0" fontId="93" fillId="57" borderId="113" xfId="79" applyFont="1" applyFill="1" applyBorder="1" applyAlignment="1">
      <alignment wrapText="1"/>
    </xf>
    <xf numFmtId="196" fontId="93" fillId="57" borderId="113" xfId="79" applyNumberFormat="1" applyFont="1" applyFill="1" applyBorder="1" applyAlignment="1">
      <alignment horizontal="right" wrapText="1"/>
    </xf>
    <xf numFmtId="206" fontId="93" fillId="57" borderId="113" xfId="79" applyNumberFormat="1" applyFont="1" applyFill="1" applyBorder="1" applyAlignment="1">
      <alignment horizontal="right" wrapText="1"/>
    </xf>
    <xf numFmtId="8" fontId="130" fillId="0" borderId="170" xfId="70" applyNumberFormat="1" applyFont="1" applyBorder="1"/>
    <xf numFmtId="6" fontId="130" fillId="0" borderId="173" xfId="70" applyNumberFormat="1" applyFont="1" applyBorder="1"/>
    <xf numFmtId="0" fontId="45" fillId="0" borderId="173" xfId="70" applyFont="1" applyBorder="1"/>
    <xf numFmtId="0" fontId="132" fillId="0" borderId="173" xfId="70" applyFont="1" applyBorder="1"/>
    <xf numFmtId="0" fontId="45" fillId="24" borderId="173" xfId="70" applyFont="1" applyFill="1" applyBorder="1"/>
    <xf numFmtId="6" fontId="45" fillId="24" borderId="173" xfId="70" applyNumberFormat="1" applyFont="1" applyFill="1" applyBorder="1"/>
    <xf numFmtId="6" fontId="132" fillId="24" borderId="174" xfId="70" applyNumberFormat="1" applyFont="1" applyFill="1" applyBorder="1"/>
    <xf numFmtId="6" fontId="132" fillId="24" borderId="173" xfId="70" applyNumberFormat="1" applyFont="1" applyFill="1" applyBorder="1"/>
    <xf numFmtId="6" fontId="132" fillId="0" borderId="174" xfId="70" applyNumberFormat="1" applyFont="1" applyBorder="1"/>
    <xf numFmtId="6" fontId="132" fillId="0" borderId="173" xfId="70" applyNumberFormat="1" applyFont="1" applyBorder="1"/>
    <xf numFmtId="6" fontId="132" fillId="31" borderId="173" xfId="70" applyNumberFormat="1" applyFont="1" applyFill="1" applyBorder="1"/>
    <xf numFmtId="5" fontId="88" fillId="32" borderId="177" xfId="70" applyNumberFormat="1" applyFont="1" applyFill="1" applyBorder="1" applyProtection="1">
      <protection locked="0"/>
    </xf>
    <xf numFmtId="3" fontId="132" fillId="31" borderId="173" xfId="70" applyNumberFormat="1" applyFont="1" applyFill="1" applyBorder="1"/>
    <xf numFmtId="6" fontId="132" fillId="0" borderId="176" xfId="70" applyNumberFormat="1" applyFont="1" applyBorder="1"/>
    <xf numFmtId="3" fontId="132" fillId="53" borderId="173" xfId="70" applyNumberFormat="1" applyFont="1" applyFill="1" applyBorder="1"/>
    <xf numFmtId="6" fontId="132" fillId="53" borderId="173" xfId="70" applyNumberFormat="1" applyFont="1" applyFill="1" applyBorder="1"/>
    <xf numFmtId="6" fontId="132" fillId="24" borderId="173" xfId="70" applyNumberFormat="1" applyFont="1" applyFill="1" applyBorder="1" applyAlignment="1">
      <alignment horizontal="left"/>
    </xf>
    <xf numFmtId="6" fontId="130" fillId="27" borderId="173" xfId="70" applyNumberFormat="1" applyFont="1" applyFill="1" applyBorder="1"/>
    <xf numFmtId="10" fontId="124" fillId="0" borderId="173" xfId="70" applyNumberFormat="1" applyFont="1" applyBorder="1"/>
    <xf numFmtId="10" fontId="130" fillId="0" borderId="173" xfId="70" applyNumberFormat="1" applyFont="1" applyBorder="1"/>
    <xf numFmtId="170" fontId="79" fillId="0" borderId="175" xfId="30" applyNumberFormat="1" applyFont="1" applyFill="1" applyBorder="1"/>
    <xf numFmtId="170" fontId="79" fillId="31" borderId="173" xfId="30" applyNumberFormat="1" applyFont="1" applyFill="1" applyBorder="1"/>
    <xf numFmtId="6" fontId="79" fillId="0" borderId="174" xfId="70" applyNumberFormat="1" applyFont="1" applyBorder="1"/>
    <xf numFmtId="6" fontId="79" fillId="0" borderId="173" xfId="70" applyNumberFormat="1" applyFont="1" applyBorder="1"/>
    <xf numFmtId="44" fontId="132" fillId="31" borderId="173" xfId="70" applyNumberFormat="1" applyFont="1" applyFill="1" applyBorder="1"/>
    <xf numFmtId="44" fontId="132" fillId="0" borderId="174" xfId="70" applyNumberFormat="1" applyFont="1" applyBorder="1"/>
    <xf numFmtId="38" fontId="132" fillId="31" borderId="173" xfId="70" applyNumberFormat="1" applyFont="1" applyFill="1" applyBorder="1"/>
    <xf numFmtId="38" fontId="132" fillId="0" borderId="174" xfId="70" applyNumberFormat="1" applyFont="1" applyBorder="1"/>
    <xf numFmtId="38" fontId="132" fillId="0" borderId="173" xfId="70" applyNumberFormat="1" applyFont="1" applyBorder="1"/>
    <xf numFmtId="175" fontId="130" fillId="0" borderId="170" xfId="70" applyNumberFormat="1" applyFont="1" applyBorder="1" applyAlignment="1">
      <alignment horizontal="center"/>
    </xf>
    <xf numFmtId="0" fontId="130" fillId="0" borderId="169" xfId="70" applyFont="1" applyBorder="1" applyAlignment="1">
      <alignment horizontal="center"/>
    </xf>
    <xf numFmtId="175" fontId="130" fillId="0" borderId="168" xfId="70" applyNumberFormat="1" applyFont="1" applyBorder="1" applyAlignment="1">
      <alignment horizontal="center"/>
    </xf>
    <xf numFmtId="0" fontId="130" fillId="0" borderId="166" xfId="70" applyFont="1" applyBorder="1" applyAlignment="1">
      <alignment horizontal="center"/>
    </xf>
    <xf numFmtId="0" fontId="130" fillId="0" borderId="161" xfId="70" applyFont="1" applyBorder="1" applyAlignment="1">
      <alignment horizontal="center"/>
    </xf>
    <xf numFmtId="0" fontId="130" fillId="28" borderId="163" xfId="70" applyFont="1" applyFill="1" applyBorder="1" applyAlignment="1">
      <alignment horizontal="center"/>
    </xf>
    <xf numFmtId="0" fontId="76" fillId="28" borderId="163" xfId="70" applyFont="1" applyFill="1" applyBorder="1" applyAlignment="1">
      <alignment horizontal="center"/>
    </xf>
    <xf numFmtId="3" fontId="130" fillId="28" borderId="163" xfId="70" applyNumberFormat="1" applyFont="1" applyFill="1" applyBorder="1" applyAlignment="1">
      <alignment horizontal="center"/>
    </xf>
    <xf numFmtId="38" fontId="122" fillId="0" borderId="0" xfId="70" applyNumberFormat="1" applyFont="1"/>
    <xf numFmtId="0" fontId="122" fillId="0" borderId="0" xfId="70" applyFont="1"/>
    <xf numFmtId="0" fontId="110" fillId="0" borderId="12" xfId="0" applyFont="1" applyBorder="1" applyAlignment="1">
      <alignment horizontal="centerContinuous"/>
    </xf>
    <xf numFmtId="0" fontId="110" fillId="0" borderId="13" xfId="0" applyFont="1" applyBorder="1" applyAlignment="1">
      <alignment horizontal="centerContinuous"/>
    </xf>
    <xf numFmtId="0" fontId="45" fillId="0" borderId="13" xfId="0" applyFont="1" applyBorder="1" applyAlignment="1">
      <alignment horizontal="centerContinuous"/>
    </xf>
    <xf numFmtId="43" fontId="45" fillId="0" borderId="13" xfId="28" applyFont="1" applyBorder="1" applyAlignment="1">
      <alignment horizontal="centerContinuous"/>
    </xf>
    <xf numFmtId="170" fontId="45" fillId="0" borderId="13" xfId="30" applyNumberFormat="1" applyFont="1" applyBorder="1" applyAlignment="1">
      <alignment horizontal="centerContinuous"/>
    </xf>
    <xf numFmtId="170" fontId="45" fillId="0" borderId="19" xfId="30" applyNumberFormat="1" applyFont="1" applyBorder="1" applyAlignment="1">
      <alignment horizontal="centerContinuous"/>
    </xf>
    <xf numFmtId="0" fontId="45" fillId="0" borderId="0" xfId="46" applyFont="1"/>
    <xf numFmtId="0" fontId="110" fillId="0" borderId="14" xfId="0" applyFont="1" applyBorder="1" applyAlignment="1">
      <alignment horizontal="centerContinuous"/>
    </xf>
    <xf numFmtId="43" fontId="45" fillId="0" borderId="0" xfId="28" applyFont="1" applyBorder="1" applyAlignment="1">
      <alignment horizontal="centerContinuous"/>
    </xf>
    <xf numFmtId="170" fontId="45" fillId="0" borderId="0" xfId="30" applyNumberFormat="1" applyFont="1" applyBorder="1" applyAlignment="1">
      <alignment horizontal="centerContinuous"/>
    </xf>
    <xf numFmtId="170" fontId="45" fillId="0" borderId="15" xfId="30" applyNumberFormat="1" applyFont="1" applyBorder="1" applyAlignment="1">
      <alignment horizontal="centerContinuous"/>
    </xf>
    <xf numFmtId="10" fontId="45" fillId="0" borderId="0" xfId="55" applyNumberFormat="1" applyFont="1"/>
    <xf numFmtId="0" fontId="121" fillId="0" borderId="14" xfId="38" applyFont="1" applyBorder="1" applyAlignment="1" applyProtection="1">
      <alignment horizontal="center"/>
    </xf>
    <xf numFmtId="0" fontId="120" fillId="26" borderId="14" xfId="38" applyFont="1" applyFill="1" applyBorder="1" applyAlignment="1" applyProtection="1">
      <alignment horizontal="center"/>
    </xf>
    <xf numFmtId="0" fontId="110" fillId="0" borderId="14" xfId="48" applyFont="1" applyBorder="1" applyAlignment="1">
      <alignment horizontal="centerContinuous"/>
    </xf>
    <xf numFmtId="0" fontId="126" fillId="0" borderId="14" xfId="0" applyFont="1" applyBorder="1" applyAlignment="1">
      <alignment horizontal="centerContinuous"/>
    </xf>
    <xf numFmtId="0" fontId="126" fillId="0" borderId="23" xfId="0" applyFont="1" applyBorder="1" applyAlignment="1">
      <alignment horizontal="centerContinuous"/>
    </xf>
    <xf numFmtId="0" fontId="126" fillId="0" borderId="24" xfId="0" applyFont="1" applyBorder="1" applyAlignment="1">
      <alignment horizontal="centerContinuous"/>
    </xf>
    <xf numFmtId="0" fontId="45" fillId="0" borderId="24" xfId="0" applyFont="1" applyBorder="1" applyAlignment="1">
      <alignment horizontal="centerContinuous"/>
    </xf>
    <xf numFmtId="43" fontId="45" fillId="0" borderId="24" xfId="28" applyFont="1" applyBorder="1" applyAlignment="1">
      <alignment horizontal="centerContinuous"/>
    </xf>
    <xf numFmtId="170" fontId="45" fillId="0" borderId="24" xfId="30" applyNumberFormat="1" applyFont="1" applyBorder="1" applyAlignment="1">
      <alignment horizontal="centerContinuous"/>
    </xf>
    <xf numFmtId="170" fontId="45" fillId="0" borderId="25" xfId="30" applyNumberFormat="1" applyFont="1" applyBorder="1" applyAlignment="1">
      <alignment horizontal="centerContinuous"/>
    </xf>
    <xf numFmtId="0" fontId="110" fillId="0" borderId="14" xfId="46" applyFont="1" applyBorder="1"/>
    <xf numFmtId="0" fontId="119" fillId="0" borderId="0" xfId="46" applyFont="1"/>
    <xf numFmtId="165" fontId="119" fillId="0" borderId="0" xfId="28" applyNumberFormat="1" applyFont="1" applyFill="1" applyBorder="1"/>
    <xf numFmtId="165" fontId="119" fillId="0" borderId="15" xfId="28" applyNumberFormat="1" applyFont="1" applyFill="1" applyBorder="1"/>
    <xf numFmtId="0" fontId="119" fillId="0" borderId="22" xfId="46" applyFont="1" applyBorder="1"/>
    <xf numFmtId="0" fontId="110" fillId="0" borderId="20" xfId="46" applyFont="1" applyBorder="1" applyAlignment="1">
      <alignment horizontal="center" vertical="center"/>
    </xf>
    <xf numFmtId="170" fontId="110" fillId="0" borderId="20" xfId="30" applyNumberFormat="1" applyFont="1" applyBorder="1" applyAlignment="1">
      <alignment horizontal="center" vertical="center"/>
    </xf>
    <xf numFmtId="170" fontId="110" fillId="0" borderId="21" xfId="30" applyNumberFormat="1" applyFont="1" applyBorder="1" applyAlignment="1">
      <alignment horizontal="center" vertical="center"/>
    </xf>
    <xf numFmtId="170" fontId="110" fillId="26" borderId="20" xfId="30" applyNumberFormat="1" applyFont="1" applyFill="1" applyBorder="1" applyAlignment="1">
      <alignment horizontal="center" vertical="center"/>
    </xf>
    <xf numFmtId="170" fontId="110" fillId="0" borderId="20" xfId="30" applyNumberFormat="1" applyFont="1" applyFill="1" applyBorder="1" applyAlignment="1">
      <alignment horizontal="center" vertical="center"/>
    </xf>
    <xf numFmtId="0" fontId="119" fillId="0" borderId="20" xfId="46" applyFont="1" applyBorder="1"/>
    <xf numFmtId="170" fontId="119" fillId="24" borderId="20" xfId="30" applyNumberFormat="1" applyFont="1" applyFill="1" applyBorder="1"/>
    <xf numFmtId="170" fontId="119" fillId="24" borderId="21" xfId="30" applyNumberFormat="1" applyFont="1" applyFill="1" applyBorder="1"/>
    <xf numFmtId="170" fontId="119" fillId="0" borderId="20" xfId="30" applyNumberFormat="1" applyFont="1" applyFill="1" applyBorder="1"/>
    <xf numFmtId="165" fontId="119" fillId="24" borderId="21" xfId="28" applyNumberFormat="1" applyFont="1" applyFill="1" applyBorder="1"/>
    <xf numFmtId="1" fontId="119" fillId="24" borderId="20" xfId="28" applyNumberFormat="1" applyFont="1" applyFill="1" applyBorder="1"/>
    <xf numFmtId="165" fontId="119" fillId="24" borderId="20" xfId="28" applyNumberFormat="1" applyFont="1" applyFill="1" applyBorder="1" applyAlignment="1">
      <alignment horizontal="center"/>
    </xf>
    <xf numFmtId="0" fontId="86" fillId="0" borderId="0" xfId="46" applyFont="1" applyProtection="1">
      <protection locked="0"/>
    </xf>
    <xf numFmtId="0" fontId="79" fillId="0" borderId="32" xfId="48" applyFont="1" applyBorder="1" applyAlignment="1" applyProtection="1">
      <alignment horizontal="left"/>
      <protection locked="0"/>
    </xf>
    <xf numFmtId="165" fontId="86" fillId="24" borderId="20" xfId="28" applyNumberFormat="1" applyFont="1" applyFill="1" applyBorder="1" applyProtection="1">
      <protection locked="0"/>
    </xf>
    <xf numFmtId="165" fontId="86" fillId="24" borderId="21" xfId="28" applyNumberFormat="1" applyFont="1" applyFill="1" applyBorder="1" applyProtection="1">
      <protection locked="0"/>
    </xf>
    <xf numFmtId="0" fontId="45" fillId="0" borderId="0" xfId="46" applyFont="1" applyProtection="1">
      <protection locked="0"/>
    </xf>
    <xf numFmtId="165" fontId="119" fillId="24" borderId="20" xfId="28" applyNumberFormat="1" applyFont="1" applyFill="1" applyBorder="1" applyProtection="1">
      <protection locked="0"/>
    </xf>
    <xf numFmtId="170" fontId="119" fillId="0" borderId="0" xfId="30" applyNumberFormat="1" applyFont="1" applyBorder="1"/>
    <xf numFmtId="170" fontId="119" fillId="0" borderId="15" xfId="30" applyNumberFormat="1" applyFont="1" applyBorder="1"/>
    <xf numFmtId="170" fontId="119" fillId="0" borderId="0" xfId="30" applyNumberFormat="1" applyFont="1" applyFill="1" applyBorder="1"/>
    <xf numFmtId="0" fontId="119" fillId="27" borderId="122" xfId="46" applyFont="1" applyFill="1" applyBorder="1"/>
    <xf numFmtId="170" fontId="119" fillId="27" borderId="116" xfId="30" applyNumberFormat="1" applyFont="1" applyFill="1" applyBorder="1"/>
    <xf numFmtId="170" fontId="119" fillId="27" borderId="123" xfId="30" applyNumberFormat="1" applyFont="1" applyFill="1" applyBorder="1"/>
    <xf numFmtId="0" fontId="110" fillId="0" borderId="0" xfId="46" applyFont="1" applyAlignment="1">
      <alignment horizontal="center"/>
    </xf>
    <xf numFmtId="9" fontId="110" fillId="27" borderId="116" xfId="55" applyFont="1" applyFill="1" applyBorder="1"/>
    <xf numFmtId="10" fontId="110" fillId="27" borderId="116" xfId="55" applyNumberFormat="1" applyFont="1" applyFill="1" applyBorder="1"/>
    <xf numFmtId="10" fontId="110" fillId="27" borderId="123" xfId="55" applyNumberFormat="1" applyFont="1" applyFill="1" applyBorder="1"/>
    <xf numFmtId="10" fontId="110" fillId="0" borderId="116" xfId="55" applyNumberFormat="1" applyFont="1" applyFill="1" applyBorder="1"/>
    <xf numFmtId="0" fontId="110" fillId="0" borderId="22" xfId="46" applyFont="1" applyBorder="1"/>
    <xf numFmtId="170" fontId="119" fillId="51" borderId="20" xfId="30" applyNumberFormat="1" applyFont="1" applyFill="1" applyBorder="1"/>
    <xf numFmtId="170" fontId="119" fillId="51" borderId="21" xfId="30" applyNumberFormat="1" applyFont="1" applyFill="1" applyBorder="1"/>
    <xf numFmtId="165" fontId="119" fillId="51" borderId="20" xfId="28" applyNumberFormat="1" applyFont="1" applyFill="1" applyBorder="1"/>
    <xf numFmtId="165" fontId="119" fillId="51" borderId="21" xfId="28" applyNumberFormat="1" applyFont="1" applyFill="1" applyBorder="1"/>
    <xf numFmtId="1" fontId="119" fillId="0" borderId="20" xfId="28" applyNumberFormat="1" applyFont="1" applyFill="1" applyBorder="1"/>
    <xf numFmtId="0" fontId="119" fillId="27" borderId="20" xfId="46" applyFont="1" applyFill="1" applyBorder="1"/>
    <xf numFmtId="170" fontId="119" fillId="27" borderId="20" xfId="30" applyNumberFormat="1" applyFont="1" applyFill="1" applyBorder="1"/>
    <xf numFmtId="170" fontId="119" fillId="27" borderId="21" xfId="30" applyNumberFormat="1" applyFont="1" applyFill="1" applyBorder="1"/>
    <xf numFmtId="9" fontId="110" fillId="27" borderId="20" xfId="55" applyFont="1" applyFill="1" applyBorder="1"/>
    <xf numFmtId="10" fontId="110" fillId="27" borderId="20" xfId="55" applyNumberFormat="1" applyFont="1" applyFill="1" applyBorder="1"/>
    <xf numFmtId="10" fontId="110" fillId="27" borderId="21" xfId="55" applyNumberFormat="1" applyFont="1" applyFill="1" applyBorder="1"/>
    <xf numFmtId="0" fontId="110" fillId="0" borderId="16" xfId="46" applyFont="1" applyBorder="1"/>
    <xf numFmtId="0" fontId="119" fillId="0" borderId="17" xfId="46" applyFont="1" applyBorder="1"/>
    <xf numFmtId="0" fontId="119" fillId="0" borderId="26" xfId="46" applyFont="1" applyBorder="1"/>
    <xf numFmtId="170" fontId="119" fillId="0" borderId="26" xfId="30" applyNumberFormat="1" applyFont="1" applyBorder="1"/>
    <xf numFmtId="170" fontId="119" fillId="0" borderId="27" xfId="30" applyNumberFormat="1" applyFont="1" applyBorder="1"/>
    <xf numFmtId="0" fontId="110" fillId="0" borderId="0" xfId="46" applyFont="1"/>
    <xf numFmtId="170" fontId="45" fillId="0" borderId="0" xfId="46" applyNumberFormat="1" applyFont="1"/>
    <xf numFmtId="1" fontId="119" fillId="24" borderId="20" xfId="30" applyNumberFormat="1" applyFont="1" applyFill="1" applyBorder="1"/>
    <xf numFmtId="0" fontId="119" fillId="27" borderId="134" xfId="46" applyFont="1" applyFill="1" applyBorder="1"/>
    <xf numFmtId="9" fontId="110" fillId="27" borderId="124" xfId="55" applyFont="1" applyFill="1" applyBorder="1"/>
    <xf numFmtId="10" fontId="110" fillId="27" borderId="124" xfId="55" applyNumberFormat="1" applyFont="1" applyFill="1" applyBorder="1"/>
    <xf numFmtId="10" fontId="110" fillId="27" borderId="135" xfId="55" applyNumberFormat="1" applyFont="1" applyFill="1" applyBorder="1"/>
    <xf numFmtId="170" fontId="119" fillId="0" borderId="17" xfId="30" applyNumberFormat="1" applyFont="1" applyBorder="1"/>
    <xf numFmtId="170" fontId="119" fillId="0" borderId="18" xfId="30" applyNumberFormat="1" applyFont="1" applyBorder="1"/>
    <xf numFmtId="9" fontId="110" fillId="0" borderId="0" xfId="55" applyFont="1" applyFill="1" applyBorder="1"/>
    <xf numFmtId="9" fontId="110" fillId="0" borderId="15" xfId="55" applyFont="1" applyFill="1" applyBorder="1"/>
    <xf numFmtId="170" fontId="119" fillId="0" borderId="15" xfId="30" applyNumberFormat="1" applyFont="1" applyFill="1" applyBorder="1"/>
    <xf numFmtId="10" fontId="110" fillId="0" borderId="24" xfId="55" applyNumberFormat="1" applyFont="1" applyFill="1" applyBorder="1"/>
    <xf numFmtId="10" fontId="110" fillId="0" borderId="25" xfId="55" applyNumberFormat="1" applyFont="1" applyFill="1" applyBorder="1"/>
    <xf numFmtId="10" fontId="110" fillId="27" borderId="125" xfId="55" applyNumberFormat="1" applyFont="1" applyFill="1" applyBorder="1"/>
    <xf numFmtId="10" fontId="110" fillId="27" borderId="206" xfId="55" applyNumberFormat="1" applyFont="1" applyFill="1" applyBorder="1" applyAlignment="1"/>
    <xf numFmtId="10" fontId="110" fillId="27" borderId="308" xfId="55" applyNumberFormat="1" applyFont="1" applyFill="1" applyBorder="1"/>
    <xf numFmtId="10" fontId="110" fillId="27" borderId="309" xfId="55" applyNumberFormat="1" applyFont="1" applyFill="1" applyBorder="1"/>
    <xf numFmtId="10" fontId="110" fillId="27" borderId="310" xfId="55" applyNumberFormat="1" applyFont="1" applyFill="1" applyBorder="1"/>
    <xf numFmtId="10" fontId="110" fillId="30" borderId="253" xfId="55" applyNumberFormat="1" applyFont="1" applyFill="1" applyBorder="1"/>
    <xf numFmtId="10" fontId="110" fillId="27" borderId="126" xfId="55" applyNumberFormat="1" applyFont="1" applyFill="1" applyBorder="1"/>
    <xf numFmtId="10" fontId="110" fillId="27" borderId="207" xfId="55" applyNumberFormat="1" applyFont="1" applyFill="1" applyBorder="1" applyAlignment="1"/>
    <xf numFmtId="10" fontId="110" fillId="30" borderId="254" xfId="55" applyNumberFormat="1" applyFont="1" applyFill="1" applyBorder="1"/>
    <xf numFmtId="10" fontId="110" fillId="27" borderId="127" xfId="55" applyNumberFormat="1" applyFont="1" applyFill="1" applyBorder="1"/>
    <xf numFmtId="10" fontId="110" fillId="27" borderId="128" xfId="55" applyNumberFormat="1" applyFont="1" applyFill="1" applyBorder="1"/>
    <xf numFmtId="10" fontId="110" fillId="27" borderId="129" xfId="55" applyNumberFormat="1" applyFont="1" applyFill="1" applyBorder="1"/>
    <xf numFmtId="10" fontId="110" fillId="30" borderId="255" xfId="55" applyNumberFormat="1" applyFont="1" applyFill="1" applyBorder="1"/>
    <xf numFmtId="0" fontId="76" fillId="0" borderId="0" xfId="46" applyFont="1"/>
    <xf numFmtId="38" fontId="119" fillId="0" borderId="0" xfId="28" applyNumberFormat="1" applyFont="1" applyBorder="1"/>
    <xf numFmtId="38" fontId="119" fillId="0" borderId="15" xfId="0" applyNumberFormat="1" applyFont="1" applyBorder="1" applyAlignment="1">
      <alignment horizontal="right"/>
    </xf>
    <xf numFmtId="0" fontId="86" fillId="0" borderId="29" xfId="0" applyFont="1" applyBorder="1"/>
    <xf numFmtId="0" fontId="86" fillId="26" borderId="29" xfId="0" applyFont="1" applyFill="1" applyBorder="1" applyProtection="1">
      <protection hidden="1"/>
    </xf>
    <xf numFmtId="0" fontId="86" fillId="26" borderId="0" xfId="0" applyFont="1" applyFill="1" applyProtection="1">
      <protection hidden="1"/>
    </xf>
    <xf numFmtId="0" fontId="83" fillId="0" borderId="138" xfId="48" applyFont="1" applyBorder="1" applyAlignment="1">
      <alignment horizontal="center" vertical="center"/>
    </xf>
    <xf numFmtId="0" fontId="109" fillId="0" borderId="138" xfId="0" applyFont="1" applyBorder="1" applyAlignment="1">
      <alignment horizontal="right" vertical="center"/>
    </xf>
    <xf numFmtId="0" fontId="86" fillId="0" borderId="29" xfId="0" applyFont="1" applyBorder="1" applyAlignment="1">
      <alignment horizontal="right" indent="1"/>
    </xf>
    <xf numFmtId="0" fontId="109" fillId="26" borderId="185" xfId="48" applyFont="1" applyFill="1" applyBorder="1" applyAlignment="1">
      <alignment horizontal="left" indent="1"/>
    </xf>
    <xf numFmtId="0" fontId="45" fillId="26" borderId="139" xfId="48" applyFont="1" applyFill="1" applyBorder="1" applyAlignment="1">
      <alignment horizontal="center"/>
    </xf>
    <xf numFmtId="0" fontId="119" fillId="26" borderId="143" xfId="48" applyFont="1" applyFill="1" applyBorder="1" applyAlignment="1">
      <alignment horizontal="center"/>
    </xf>
    <xf numFmtId="0" fontId="86" fillId="0" borderId="0" xfId="0" applyFont="1" applyAlignment="1">
      <alignment horizontal="right" indent="1"/>
    </xf>
    <xf numFmtId="0" fontId="119" fillId="26" borderId="186" xfId="48" applyFont="1" applyFill="1" applyBorder="1" applyAlignment="1">
      <alignment horizontal="right" indent="1"/>
    </xf>
    <xf numFmtId="0" fontId="45" fillId="0" borderId="141" xfId="48" applyFont="1" applyBorder="1" applyAlignment="1">
      <alignment horizontal="center"/>
    </xf>
    <xf numFmtId="0" fontId="119" fillId="26" borderId="142" xfId="48" applyFont="1" applyFill="1" applyBorder="1" applyAlignment="1">
      <alignment horizontal="center"/>
    </xf>
    <xf numFmtId="0" fontId="119" fillId="0" borderId="186" xfId="48" applyFont="1" applyBorder="1" applyAlignment="1">
      <alignment horizontal="right" indent="1"/>
    </xf>
    <xf numFmtId="0" fontId="45" fillId="26" borderId="141" xfId="48" applyFont="1" applyFill="1" applyBorder="1" applyAlignment="1">
      <alignment horizontal="center"/>
    </xf>
    <xf numFmtId="0" fontId="109" fillId="26" borderId="188" xfId="48" applyFont="1" applyFill="1" applyBorder="1" applyAlignment="1">
      <alignment horizontal="left" indent="1"/>
    </xf>
    <xf numFmtId="0" fontId="45" fillId="26" borderId="143" xfId="48" applyFont="1" applyFill="1" applyBorder="1" applyAlignment="1">
      <alignment horizontal="center"/>
    </xf>
    <xf numFmtId="0" fontId="119" fillId="0" borderId="188" xfId="48" applyFont="1" applyBorder="1" applyAlignment="1">
      <alignment horizontal="right" indent="1"/>
    </xf>
    <xf numFmtId="0" fontId="45" fillId="0" borderId="143" xfId="48" applyFont="1" applyBorder="1" applyAlignment="1">
      <alignment horizontal="center"/>
    </xf>
    <xf numFmtId="0" fontId="119" fillId="26" borderId="144" xfId="48" applyFont="1" applyFill="1" applyBorder="1" applyAlignment="1">
      <alignment horizontal="center"/>
    </xf>
    <xf numFmtId="0" fontId="119" fillId="26" borderId="188" xfId="48" applyFont="1" applyFill="1" applyBorder="1" applyAlignment="1">
      <alignment horizontal="right" indent="1"/>
    </xf>
    <xf numFmtId="0" fontId="119" fillId="26" borderId="266" xfId="48" applyFont="1" applyFill="1" applyBorder="1" applyAlignment="1">
      <alignment horizontal="center"/>
    </xf>
    <xf numFmtId="0" fontId="119" fillId="26" borderId="267" xfId="48" applyFont="1" applyFill="1" applyBorder="1" applyAlignment="1">
      <alignment horizontal="center"/>
    </xf>
    <xf numFmtId="0" fontId="109" fillId="26" borderId="188" xfId="48" applyFont="1" applyFill="1" applyBorder="1" applyAlignment="1">
      <alignment horizontal="center"/>
    </xf>
    <xf numFmtId="0" fontId="119" fillId="0" borderId="190" xfId="48" applyFont="1" applyBorder="1" applyAlignment="1">
      <alignment horizontal="right" indent="1"/>
    </xf>
    <xf numFmtId="0" fontId="45" fillId="0" borderId="145" xfId="48" applyFont="1" applyBorder="1" applyAlignment="1">
      <alignment horizontal="center"/>
    </xf>
    <xf numFmtId="0" fontId="119" fillId="26" borderId="146" xfId="48" applyFont="1" applyFill="1" applyBorder="1" applyAlignment="1">
      <alignment horizontal="center"/>
    </xf>
    <xf numFmtId="0" fontId="86" fillId="0" borderId="0" xfId="0" applyFont="1"/>
    <xf numFmtId="0" fontId="119" fillId="0" borderId="192" xfId="48" applyFont="1" applyBorder="1" applyAlignment="1">
      <alignment horizontal="right" indent="1"/>
    </xf>
    <xf numFmtId="0" fontId="45" fillId="0" borderId="193" xfId="48" applyFont="1" applyBorder="1" applyAlignment="1">
      <alignment horizontal="center"/>
    </xf>
    <xf numFmtId="0" fontId="119" fillId="26" borderId="194" xfId="48" applyFont="1" applyFill="1" applyBorder="1" applyAlignment="1">
      <alignment horizontal="center"/>
    </xf>
    <xf numFmtId="0" fontId="86" fillId="0" borderId="285" xfId="0" applyFont="1" applyBorder="1" applyAlignment="1">
      <alignment horizontal="center"/>
    </xf>
    <xf numFmtId="0" fontId="86" fillId="0" borderId="0" xfId="0" applyFont="1" applyAlignment="1">
      <alignment horizontal="center"/>
    </xf>
    <xf numFmtId="0" fontId="124" fillId="26" borderId="0" xfId="0" applyFont="1" applyFill="1" applyProtection="1">
      <protection hidden="1"/>
    </xf>
    <xf numFmtId="0" fontId="86" fillId="0" borderId="0" xfId="0" applyFont="1" applyAlignment="1">
      <alignment vertical="center"/>
    </xf>
    <xf numFmtId="0" fontId="109" fillId="0" borderId="138" xfId="0" applyFont="1" applyBorder="1" applyAlignment="1">
      <alignment horizontal="left" vertical="center"/>
    </xf>
    <xf numFmtId="0" fontId="109" fillId="0" borderId="138" xfId="0" applyFont="1" applyBorder="1" applyAlignment="1">
      <alignment horizontal="center" vertical="center"/>
    </xf>
    <xf numFmtId="0" fontId="119" fillId="26" borderId="140" xfId="48" applyFont="1" applyFill="1" applyBorder="1" applyAlignment="1">
      <alignment horizontal="center"/>
    </xf>
    <xf numFmtId="0" fontId="45" fillId="27" borderId="0" xfId="0" applyFont="1" applyFill="1" applyAlignment="1">
      <alignment horizontal="center"/>
    </xf>
    <xf numFmtId="0" fontId="45" fillId="33" borderId="0" xfId="0" applyFont="1" applyFill="1"/>
    <xf numFmtId="0" fontId="110" fillId="0" borderId="0" xfId="0" applyFont="1" applyAlignment="1">
      <alignment horizontal="center"/>
    </xf>
    <xf numFmtId="38" fontId="110" fillId="0" borderId="0" xfId="28" applyNumberFormat="1" applyFont="1" applyFill="1" applyAlignment="1" applyProtection="1">
      <alignment horizontal="center"/>
    </xf>
    <xf numFmtId="38" fontId="45" fillId="27" borderId="0" xfId="28" applyNumberFormat="1" applyFont="1" applyFill="1" applyAlignment="1" applyProtection="1">
      <alignment horizontal="center"/>
    </xf>
    <xf numFmtId="0" fontId="45" fillId="33" borderId="0" xfId="0" applyFont="1" applyFill="1" applyAlignment="1">
      <alignment horizontal="center"/>
    </xf>
    <xf numFmtId="14" fontId="138" fillId="0" borderId="0" xfId="0" applyNumberFormat="1" applyFont="1" applyAlignment="1">
      <alignment horizontal="center"/>
    </xf>
    <xf numFmtId="0" fontId="110" fillId="30" borderId="211" xfId="48" applyFont="1" applyFill="1" applyBorder="1" applyAlignment="1">
      <alignment horizontal="centerContinuous" vertical="center"/>
    </xf>
    <xf numFmtId="0" fontId="110" fillId="30" borderId="212" xfId="48" applyFont="1" applyFill="1" applyBorder="1" applyAlignment="1">
      <alignment horizontal="centerContinuous" vertical="center"/>
    </xf>
    <xf numFmtId="0" fontId="110" fillId="30" borderId="213" xfId="48" applyFont="1" applyFill="1" applyBorder="1" applyAlignment="1">
      <alignment horizontal="centerContinuous" vertical="center"/>
    </xf>
    <xf numFmtId="14" fontId="76" fillId="0" borderId="0" xfId="0" applyNumberFormat="1" applyFont="1"/>
    <xf numFmtId="0" fontId="120" fillId="26" borderId="0" xfId="38" applyFont="1" applyFill="1" applyBorder="1" applyAlignment="1" applyProtection="1">
      <alignment horizontal="center"/>
    </xf>
    <xf numFmtId="0" fontId="110" fillId="30" borderId="214" xfId="48" applyFont="1" applyFill="1" applyBorder="1" applyAlignment="1">
      <alignment horizontal="centerContinuous" vertical="center"/>
    </xf>
    <xf numFmtId="0" fontId="110" fillId="30" borderId="114" xfId="48" applyFont="1" applyFill="1" applyBorder="1" applyAlignment="1">
      <alignment horizontal="centerContinuous" vertical="center"/>
    </xf>
    <xf numFmtId="0" fontId="110" fillId="30" borderId="215" xfId="48" applyFont="1" applyFill="1" applyBorder="1" applyAlignment="1">
      <alignment horizontal="centerContinuous" vertical="center"/>
    </xf>
    <xf numFmtId="14" fontId="110" fillId="30" borderId="216" xfId="48" applyNumberFormat="1" applyFont="1" applyFill="1" applyBorder="1" applyAlignment="1">
      <alignment horizontal="centerContinuous" vertical="center"/>
    </xf>
    <xf numFmtId="0" fontId="110" fillId="30" borderId="217" xfId="48" applyFont="1" applyFill="1" applyBorder="1" applyAlignment="1">
      <alignment horizontal="centerContinuous" vertical="center"/>
    </xf>
    <xf numFmtId="0" fontId="110" fillId="30" borderId="218" xfId="48" applyFont="1" applyFill="1" applyBorder="1" applyAlignment="1">
      <alignment horizontal="centerContinuous" vertical="center"/>
    </xf>
    <xf numFmtId="0" fontId="126" fillId="0" borderId="0" xfId="48" applyFont="1" applyAlignment="1">
      <alignment horizontal="centerContinuous" vertical="center"/>
    </xf>
    <xf numFmtId="0" fontId="45" fillId="0" borderId="0" xfId="48" applyFont="1" applyAlignment="1">
      <alignment horizontal="centerContinuous" vertical="center"/>
    </xf>
    <xf numFmtId="0" fontId="119" fillId="0" borderId="0" xfId="48" applyFont="1" applyAlignment="1">
      <alignment horizontal="centerContinuous" vertical="center"/>
    </xf>
    <xf numFmtId="38" fontId="125" fillId="0" borderId="0" xfId="48" applyNumberFormat="1" applyFont="1" applyAlignment="1">
      <alignment horizontal="centerContinuous" vertical="center"/>
    </xf>
    <xf numFmtId="0" fontId="119" fillId="0" borderId="38" xfId="48" applyFont="1" applyBorder="1" applyAlignment="1">
      <alignment horizontal="center" vertical="center"/>
    </xf>
    <xf numFmtId="0" fontId="119" fillId="0" borderId="77" xfId="48" applyFont="1" applyBorder="1" applyAlignment="1">
      <alignment horizontal="centerContinuous" vertical="center"/>
    </xf>
    <xf numFmtId="38" fontId="110" fillId="0" borderId="78" xfId="48" applyNumberFormat="1" applyFont="1" applyBorder="1" applyAlignment="1">
      <alignment horizontal="center" vertical="center"/>
    </xf>
    <xf numFmtId="0" fontId="119" fillId="0" borderId="28" xfId="48" applyFont="1" applyBorder="1" applyAlignment="1">
      <alignment horizontal="center" vertical="center"/>
    </xf>
    <xf numFmtId="0" fontId="119" fillId="0" borderId="81" xfId="0" applyFont="1" applyBorder="1" applyAlignment="1">
      <alignment vertical="center"/>
    </xf>
    <xf numFmtId="38" fontId="110" fillId="0" borderId="70" xfId="48" applyNumberFormat="1" applyFont="1" applyBorder="1" applyAlignment="1">
      <alignment horizontal="center" vertical="center"/>
    </xf>
    <xf numFmtId="0" fontId="119" fillId="0" borderId="28" xfId="0" applyFont="1" applyBorder="1" applyAlignment="1">
      <alignment horizontal="center"/>
    </xf>
    <xf numFmtId="0" fontId="119" fillId="0" borderId="45" xfId="48" applyFont="1" applyBorder="1" applyAlignment="1">
      <alignment horizontal="center"/>
    </xf>
    <xf numFmtId="0" fontId="119" fillId="24" borderId="32" xfId="48" applyFont="1" applyFill="1" applyBorder="1" applyAlignment="1" applyProtection="1">
      <alignment horizontal="center"/>
      <protection locked="0"/>
    </xf>
    <xf numFmtId="38" fontId="45" fillId="0" borderId="0" xfId="28" applyNumberFormat="1" applyFont="1" applyProtection="1"/>
    <xf numFmtId="38" fontId="83" fillId="24" borderId="0" xfId="28" applyNumberFormat="1" applyFont="1" applyFill="1" applyProtection="1"/>
    <xf numFmtId="38" fontId="119" fillId="33" borderId="0" xfId="28" applyNumberFormat="1" applyFont="1" applyFill="1" applyProtection="1"/>
    <xf numFmtId="0" fontId="119" fillId="0" borderId="219" xfId="48" applyFont="1" applyBorder="1" applyAlignment="1">
      <alignment horizontal="center"/>
    </xf>
    <xf numFmtId="0" fontId="119" fillId="0" borderId="220" xfId="48" applyFont="1" applyBorder="1" applyAlignment="1">
      <alignment horizontal="center"/>
    </xf>
    <xf numFmtId="0" fontId="119" fillId="0" borderId="220" xfId="48" applyFont="1" applyBorder="1" applyAlignment="1" applyProtection="1">
      <alignment horizontal="center"/>
      <protection locked="0"/>
    </xf>
    <xf numFmtId="0" fontId="110" fillId="30" borderId="134" xfId="48" applyFont="1" applyFill="1" applyBorder="1" applyAlignment="1">
      <alignment horizontal="center"/>
    </xf>
    <xf numFmtId="0" fontId="110" fillId="30" borderId="124" xfId="48" applyFont="1" applyFill="1" applyBorder="1" applyAlignment="1">
      <alignment horizontal="center"/>
    </xf>
    <xf numFmtId="0" fontId="110" fillId="30" borderId="221" xfId="48" applyFont="1" applyFill="1" applyBorder="1" applyAlignment="1">
      <alignment horizontal="center"/>
    </xf>
    <xf numFmtId="170" fontId="45" fillId="30" borderId="120" xfId="28" applyNumberFormat="1" applyFont="1" applyFill="1" applyBorder="1"/>
    <xf numFmtId="170" fontId="45" fillId="30" borderId="286" xfId="28" applyNumberFormat="1" applyFont="1" applyFill="1" applyBorder="1"/>
    <xf numFmtId="182" fontId="83" fillId="0" borderId="0" xfId="48" applyNumberFormat="1" applyFont="1"/>
    <xf numFmtId="38" fontId="83" fillId="25" borderId="116" xfId="48" applyNumberFormat="1" applyFont="1" applyFill="1" applyBorder="1"/>
    <xf numFmtId="0" fontId="84" fillId="0" borderId="28" xfId="48" applyFont="1" applyBorder="1"/>
    <xf numFmtId="0" fontId="83" fillId="0" borderId="0" xfId="48" applyFont="1" applyAlignment="1">
      <alignment horizontal="center"/>
    </xf>
    <xf numFmtId="38" fontId="83" fillId="0" borderId="0" xfId="48" applyNumberFormat="1" applyFont="1"/>
    <xf numFmtId="38" fontId="83" fillId="0" borderId="29" xfId="48" applyNumberFormat="1" applyFont="1" applyBorder="1"/>
    <xf numFmtId="0" fontId="76" fillId="0" borderId="0" xfId="48" applyFont="1" applyAlignment="1">
      <alignment horizontal="left"/>
    </xf>
    <xf numFmtId="182" fontId="45" fillId="0" borderId="0" xfId="48" applyNumberFormat="1" applyFont="1"/>
    <xf numFmtId="0" fontId="83" fillId="35" borderId="28" xfId="48" applyFont="1" applyFill="1" applyBorder="1" applyAlignment="1">
      <alignment horizontal="center"/>
    </xf>
    <xf numFmtId="167" fontId="83" fillId="35" borderId="0" xfId="28" applyNumberFormat="1" applyFont="1" applyFill="1" applyBorder="1" applyAlignment="1" applyProtection="1">
      <alignment horizontal="right"/>
    </xf>
    <xf numFmtId="0" fontId="110" fillId="30" borderId="109" xfId="48" applyFont="1" applyFill="1" applyBorder="1" applyAlignment="1">
      <alignment horizontal="center"/>
    </xf>
    <xf numFmtId="0" fontId="110" fillId="30" borderId="101" xfId="48" applyFont="1" applyFill="1" applyBorder="1" applyAlignment="1">
      <alignment horizontal="center"/>
    </xf>
    <xf numFmtId="0" fontId="110" fillId="30" borderId="110" xfId="48" applyFont="1" applyFill="1" applyBorder="1" applyAlignment="1">
      <alignment horizontal="center"/>
    </xf>
    <xf numFmtId="38" fontId="119" fillId="0" borderId="29" xfId="48" applyNumberFormat="1" applyFont="1" applyBorder="1" applyProtection="1">
      <protection locked="0"/>
    </xf>
    <xf numFmtId="38" fontId="119" fillId="0" borderId="29" xfId="28" applyNumberFormat="1" applyFont="1" applyFill="1" applyBorder="1" applyProtection="1">
      <protection locked="0"/>
    </xf>
    <xf numFmtId="183" fontId="45" fillId="24" borderId="0" xfId="28" applyNumberFormat="1" applyFont="1" applyFill="1" applyProtection="1"/>
    <xf numFmtId="174" fontId="45" fillId="28" borderId="0" xfId="28" applyNumberFormat="1" applyFont="1" applyFill="1" applyProtection="1"/>
    <xf numFmtId="38" fontId="45" fillId="25" borderId="116" xfId="48" applyNumberFormat="1" applyFont="1" applyFill="1" applyBorder="1" applyAlignment="1">
      <alignment horizontal="right"/>
    </xf>
    <xf numFmtId="38" fontId="45" fillId="33" borderId="0" xfId="0" applyNumberFormat="1" applyFont="1" applyFill="1"/>
    <xf numFmtId="170" fontId="76" fillId="30" borderId="120" xfId="28" applyNumberFormat="1" applyFont="1" applyFill="1" applyBorder="1"/>
    <xf numFmtId="170" fontId="76" fillId="30" borderId="286" xfId="28" applyNumberFormat="1" applyFont="1" applyFill="1" applyBorder="1"/>
    <xf numFmtId="38" fontId="110" fillId="0" borderId="29" xfId="48" applyNumberFormat="1" applyFont="1" applyBorder="1" applyProtection="1">
      <protection locked="0"/>
    </xf>
    <xf numFmtId="38" fontId="45" fillId="25" borderId="116" xfId="48" applyNumberFormat="1" applyFont="1" applyFill="1" applyBorder="1"/>
    <xf numFmtId="164" fontId="119" fillId="0" borderId="0" xfId="48" applyNumberFormat="1" applyFont="1"/>
    <xf numFmtId="164" fontId="119" fillId="0" borderId="3" xfId="48" applyNumberFormat="1" applyFont="1" applyBorder="1"/>
    <xf numFmtId="0" fontId="110" fillId="0" borderId="28" xfId="48" applyFont="1" applyBorder="1" applyProtection="1">
      <protection locked="0"/>
    </xf>
    <xf numFmtId="38" fontId="119" fillId="25" borderId="116" xfId="28" applyNumberFormat="1" applyFont="1" applyFill="1" applyBorder="1" applyAlignment="1" applyProtection="1">
      <alignment horizontal="right"/>
    </xf>
    <xf numFmtId="0" fontId="119" fillId="51" borderId="0" xfId="48" applyFont="1" applyFill="1" applyAlignment="1" applyProtection="1">
      <alignment horizontal="center"/>
      <protection locked="0"/>
    </xf>
    <xf numFmtId="165" fontId="119" fillId="51" borderId="0" xfId="28" applyNumberFormat="1" applyFont="1" applyFill="1" applyBorder="1"/>
    <xf numFmtId="165" fontId="119" fillId="0" borderId="29" xfId="28" applyNumberFormat="1" applyFont="1" applyFill="1" applyBorder="1"/>
    <xf numFmtId="0" fontId="110" fillId="0" borderId="28" xfId="0" applyFont="1" applyBorder="1" applyAlignment="1">
      <alignment horizontal="left"/>
    </xf>
    <xf numFmtId="0" fontId="45" fillId="0" borderId="28" xfId="48" applyFont="1" applyBorder="1" applyAlignment="1">
      <alignment horizontal="center"/>
    </xf>
    <xf numFmtId="3" fontId="45" fillId="0" borderId="0" xfId="48" applyNumberFormat="1" applyFont="1" applyAlignment="1" applyProtection="1">
      <alignment horizontal="center"/>
      <protection locked="0"/>
    </xf>
    <xf numFmtId="0" fontId="110" fillId="0" borderId="28" xfId="48" applyFont="1" applyBorder="1" applyAlignment="1" applyProtection="1">
      <alignment horizontal="left"/>
      <protection locked="0"/>
    </xf>
    <xf numFmtId="38" fontId="119" fillId="0" borderId="29" xfId="28" applyNumberFormat="1" applyFont="1" applyFill="1" applyBorder="1" applyAlignment="1" applyProtection="1">
      <alignment horizontal="right"/>
      <protection locked="0"/>
    </xf>
    <xf numFmtId="38" fontId="119" fillId="25" borderId="116" xfId="28" applyNumberFormat="1" applyFont="1" applyFill="1" applyBorder="1" applyProtection="1"/>
    <xf numFmtId="38" fontId="119" fillId="0" borderId="0" xfId="28" applyNumberFormat="1" applyFont="1" applyFill="1" applyBorder="1"/>
    <xf numFmtId="38" fontId="119" fillId="0" borderId="29" xfId="28" applyNumberFormat="1" applyFont="1" applyFill="1" applyBorder="1"/>
    <xf numFmtId="0" fontId="83" fillId="35" borderId="0" xfId="48" applyFont="1" applyFill="1" applyAlignment="1">
      <alignment horizontal="right"/>
    </xf>
    <xf numFmtId="0" fontId="119" fillId="0" borderId="10" xfId="48" applyFont="1" applyBorder="1" applyAlignment="1">
      <alignment horizontal="center"/>
    </xf>
    <xf numFmtId="0" fontId="119" fillId="0" borderId="30" xfId="48" applyFont="1" applyBorder="1" applyAlignment="1">
      <alignment horizontal="center"/>
    </xf>
    <xf numFmtId="0" fontId="110" fillId="0" borderId="3" xfId="0" applyFont="1" applyBorder="1" applyAlignment="1">
      <alignment horizontal="center"/>
    </xf>
    <xf numFmtId="0" fontId="110" fillId="0" borderId="3" xfId="48" applyFont="1" applyBorder="1" applyAlignment="1">
      <alignment horizontal="center"/>
    </xf>
    <xf numFmtId="38" fontId="110" fillId="0" borderId="3" xfId="48" applyNumberFormat="1" applyFont="1" applyBorder="1"/>
    <xf numFmtId="38" fontId="110" fillId="0" borderId="31" xfId="48" applyNumberFormat="1" applyFont="1" applyBorder="1"/>
    <xf numFmtId="0" fontId="110" fillId="0" borderId="28" xfId="0" applyFont="1" applyBorder="1" applyAlignment="1">
      <alignment horizontal="left" indent="2"/>
    </xf>
    <xf numFmtId="38" fontId="119" fillId="25" borderId="116" xfId="48" applyNumberFormat="1" applyFont="1" applyFill="1" applyBorder="1"/>
    <xf numFmtId="0" fontId="76" fillId="0" borderId="28" xfId="48" applyFont="1" applyBorder="1"/>
    <xf numFmtId="38" fontId="110" fillId="0" borderId="29" xfId="48" applyNumberFormat="1" applyFont="1" applyBorder="1"/>
    <xf numFmtId="0" fontId="120" fillId="0" borderId="28" xfId="48" applyFont="1" applyBorder="1" applyAlignment="1">
      <alignment horizontal="left" indent="2"/>
    </xf>
    <xf numFmtId="38" fontId="45" fillId="25" borderId="116" xfId="28" applyNumberFormat="1" applyFont="1" applyFill="1" applyBorder="1" applyAlignment="1" applyProtection="1">
      <alignment horizontal="right"/>
    </xf>
    <xf numFmtId="0" fontId="127" fillId="0" borderId="30" xfId="48" applyFont="1" applyBorder="1" applyAlignment="1">
      <alignment horizontal="left" indent="2"/>
    </xf>
    <xf numFmtId="38" fontId="119" fillId="0" borderId="31" xfId="28" applyNumberFormat="1" applyFont="1" applyFill="1" applyBorder="1" applyAlignment="1" applyProtection="1">
      <alignment horizontal="right"/>
    </xf>
    <xf numFmtId="0" fontId="110" fillId="0" borderId="28" xfId="48" applyFont="1" applyBorder="1" applyAlignment="1">
      <alignment horizontal="left" indent="2"/>
    </xf>
    <xf numFmtId="0" fontId="119" fillId="0" borderId="0" xfId="0" applyFont="1" applyAlignment="1">
      <alignment horizontal="center"/>
    </xf>
    <xf numFmtId="0" fontId="129" fillId="0" borderId="0" xfId="0" applyFont="1"/>
    <xf numFmtId="38" fontId="119" fillId="25" borderId="116" xfId="0" applyNumberFormat="1" applyFont="1" applyFill="1" applyBorder="1" applyAlignment="1">
      <alignment horizontal="right"/>
    </xf>
    <xf numFmtId="38" fontId="110" fillId="0" borderId="0" xfId="28" applyNumberFormat="1" applyFont="1" applyFill="1" applyBorder="1" applyAlignment="1" applyProtection="1">
      <alignment horizontal="right"/>
      <protection locked="0"/>
    </xf>
    <xf numFmtId="38" fontId="110" fillId="0" borderId="0" xfId="0" applyNumberFormat="1" applyFont="1" applyAlignment="1">
      <alignment horizontal="right"/>
    </xf>
    <xf numFmtId="38" fontId="110" fillId="0" borderId="29" xfId="0" applyNumberFormat="1" applyFont="1" applyBorder="1" applyAlignment="1">
      <alignment horizontal="right"/>
    </xf>
    <xf numFmtId="38" fontId="119" fillId="25" borderId="116" xfId="48" applyNumberFormat="1" applyFont="1" applyFill="1" applyBorder="1" applyAlignment="1">
      <alignment horizontal="right"/>
    </xf>
    <xf numFmtId="38" fontId="110" fillId="0" borderId="0" xfId="0" applyNumberFormat="1" applyFont="1"/>
    <xf numFmtId="38" fontId="110" fillId="0" borderId="29" xfId="0" applyNumberFormat="1" applyFont="1" applyBorder="1"/>
    <xf numFmtId="38" fontId="45" fillId="0" borderId="29" xfId="0" applyNumberFormat="1" applyFont="1" applyBorder="1" applyAlignment="1">
      <alignment horizontal="right"/>
    </xf>
    <xf numFmtId="38" fontId="45" fillId="0" borderId="31" xfId="0" applyNumberFormat="1" applyFont="1" applyBorder="1" applyAlignment="1">
      <alignment horizontal="right"/>
    </xf>
    <xf numFmtId="180" fontId="119" fillId="24" borderId="32" xfId="55" applyNumberFormat="1" applyFont="1" applyFill="1" applyBorder="1"/>
    <xf numFmtId="168" fontId="119" fillId="25" borderId="113" xfId="55" applyNumberFormat="1" applyFont="1" applyFill="1" applyBorder="1" applyProtection="1"/>
    <xf numFmtId="168" fontId="119" fillId="25" borderId="222" xfId="55" applyNumberFormat="1" applyFont="1" applyFill="1" applyBorder="1" applyProtection="1"/>
    <xf numFmtId="0" fontId="76" fillId="0" borderId="28" xfId="0" applyFont="1" applyBorder="1"/>
    <xf numFmtId="170" fontId="119" fillId="25" borderId="113" xfId="48" applyNumberFormat="1" applyFont="1" applyFill="1" applyBorder="1"/>
    <xf numFmtId="170" fontId="119" fillId="25" borderId="222" xfId="48" applyNumberFormat="1" applyFont="1" applyFill="1" applyBorder="1"/>
    <xf numFmtId="0" fontId="126" fillId="0" borderId="38" xfId="48" applyFont="1" applyBorder="1" applyAlignment="1">
      <alignment horizontal="centerContinuous" vertical="center"/>
    </xf>
    <xf numFmtId="0" fontId="76" fillId="0" borderId="39" xfId="48" applyFont="1" applyBorder="1" applyAlignment="1">
      <alignment horizontal="centerContinuous" vertical="center"/>
    </xf>
    <xf numFmtId="0" fontId="110" fillId="0" borderId="39" xfId="48" applyFont="1" applyBorder="1" applyAlignment="1">
      <alignment horizontal="centerContinuous" vertical="center"/>
    </xf>
    <xf numFmtId="38" fontId="135" fillId="0" borderId="39" xfId="48" applyNumberFormat="1" applyFont="1" applyBorder="1" applyAlignment="1">
      <alignment horizontal="centerContinuous" vertical="center"/>
    </xf>
    <xf numFmtId="38" fontId="76" fillId="0" borderId="39" xfId="48" applyNumberFormat="1" applyFont="1" applyBorder="1" applyAlignment="1">
      <alignment horizontal="centerContinuous" vertical="center"/>
    </xf>
    <xf numFmtId="38" fontId="110" fillId="0" borderId="40" xfId="48" applyNumberFormat="1" applyFont="1" applyBorder="1" applyAlignment="1">
      <alignment horizontal="centerContinuous" vertical="center"/>
    </xf>
    <xf numFmtId="0" fontId="110" fillId="0" borderId="38" xfId="48" applyFont="1" applyBorder="1" applyAlignment="1">
      <alignment horizontal="center" vertical="center"/>
    </xf>
    <xf numFmtId="0" fontId="110" fillId="0" borderId="28" xfId="48" applyFont="1" applyBorder="1" applyAlignment="1">
      <alignment horizontal="center" vertical="center"/>
    </xf>
    <xf numFmtId="0" fontId="110" fillId="0" borderId="30" xfId="0" applyFont="1" applyBorder="1" applyAlignment="1">
      <alignment vertical="center"/>
    </xf>
    <xf numFmtId="165" fontId="83" fillId="35" borderId="0" xfId="28" applyNumberFormat="1" applyFont="1" applyFill="1" applyBorder="1" applyAlignment="1" applyProtection="1">
      <alignment horizontal="right"/>
    </xf>
    <xf numFmtId="0" fontId="136" fillId="0" borderId="29" xfId="0" applyFont="1" applyBorder="1"/>
    <xf numFmtId="0" fontId="83" fillId="0" borderId="28" xfId="48" applyFont="1" applyBorder="1" applyAlignment="1">
      <alignment horizontal="center"/>
    </xf>
    <xf numFmtId="38" fontId="45" fillId="31" borderId="0" xfId="28" applyNumberFormat="1" applyFont="1" applyFill="1" applyProtection="1"/>
    <xf numFmtId="165" fontId="86" fillId="35" borderId="0" xfId="28" applyNumberFormat="1" applyFont="1" applyFill="1" applyBorder="1" applyAlignment="1" applyProtection="1">
      <alignment horizontal="right"/>
    </xf>
    <xf numFmtId="38" fontId="136" fillId="25" borderId="116" xfId="48" applyNumberFormat="1" applyFont="1" applyFill="1" applyBorder="1"/>
    <xf numFmtId="38" fontId="136" fillId="0" borderId="3" xfId="48" applyNumberFormat="1" applyFont="1" applyBorder="1"/>
    <xf numFmtId="38" fontId="45" fillId="0" borderId="31" xfId="48" applyNumberFormat="1" applyFont="1" applyBorder="1"/>
    <xf numFmtId="38" fontId="136" fillId="0" borderId="0" xfId="48" applyNumberFormat="1" applyFont="1" applyAlignment="1">
      <alignment horizontal="right"/>
    </xf>
    <xf numFmtId="38" fontId="83" fillId="0" borderId="29" xfId="48" applyNumberFormat="1" applyFont="1" applyBorder="1" applyAlignment="1">
      <alignment horizontal="right"/>
    </xf>
    <xf numFmtId="38" fontId="136" fillId="25" borderId="116" xfId="48" applyNumberFormat="1" applyFont="1" applyFill="1" applyBorder="1" applyAlignment="1">
      <alignment horizontal="right"/>
    </xf>
    <xf numFmtId="38" fontId="136" fillId="0" borderId="3" xfId="48" applyNumberFormat="1" applyFont="1" applyBorder="1" applyAlignment="1">
      <alignment horizontal="right"/>
    </xf>
    <xf numFmtId="38" fontId="45" fillId="0" borderId="0" xfId="48" applyNumberFormat="1" applyFont="1" applyAlignment="1">
      <alignment horizontal="left"/>
    </xf>
    <xf numFmtId="38" fontId="45" fillId="0" borderId="29" xfId="48" applyNumberFormat="1" applyFont="1" applyBorder="1" applyAlignment="1">
      <alignment horizontal="left"/>
    </xf>
    <xf numFmtId="0" fontId="45" fillId="0" borderId="0" xfId="0" applyFont="1" applyAlignment="1">
      <alignment vertical="center" wrapText="1"/>
    </xf>
    <xf numFmtId="0" fontId="144" fillId="0" borderId="0" xfId="48" applyFont="1" applyAlignment="1">
      <alignment vertical="center" wrapText="1"/>
    </xf>
    <xf numFmtId="38" fontId="110" fillId="0" borderId="0" xfId="0" applyNumberFormat="1" applyFont="1" applyAlignment="1">
      <alignment vertical="center"/>
    </xf>
    <xf numFmtId="38" fontId="136" fillId="0" borderId="0" xfId="0" applyNumberFormat="1" applyFont="1" applyAlignment="1">
      <alignment vertical="center"/>
    </xf>
    <xf numFmtId="38" fontId="136" fillId="0" borderId="29" xfId="0" applyNumberFormat="1" applyFont="1" applyBorder="1" applyAlignment="1">
      <alignment vertical="center"/>
    </xf>
    <xf numFmtId="38" fontId="136" fillId="0" borderId="29" xfId="48" applyNumberFormat="1" applyFont="1" applyBorder="1"/>
    <xf numFmtId="38" fontId="136" fillId="0" borderId="0" xfId="0" applyNumberFormat="1" applyFont="1"/>
    <xf numFmtId="0" fontId="45" fillId="0" borderId="0" xfId="48" applyFont="1" applyAlignment="1">
      <alignment horizontal="centerContinuous"/>
    </xf>
    <xf numFmtId="38" fontId="83" fillId="0" borderId="29" xfId="48" applyNumberFormat="1" applyFont="1" applyBorder="1" applyAlignment="1">
      <alignment horizontal="center"/>
    </xf>
    <xf numFmtId="38" fontId="119" fillId="25" borderId="236" xfId="52" applyNumberFormat="1" applyFont="1" applyFill="1" applyBorder="1"/>
    <xf numFmtId="38" fontId="83" fillId="25" borderId="236" xfId="52" applyNumberFormat="1" applyFont="1" applyFill="1" applyBorder="1"/>
    <xf numFmtId="0" fontId="45" fillId="0" borderId="0" xfId="52" applyFont="1" applyAlignment="1">
      <alignment horizontal="center"/>
    </xf>
    <xf numFmtId="0" fontId="45" fillId="0" borderId="0" xfId="52" quotePrefix="1" applyFont="1" applyAlignment="1">
      <alignment horizontal="center"/>
    </xf>
    <xf numFmtId="38" fontId="110" fillId="0" borderId="0" xfId="52" applyNumberFormat="1" applyFont="1"/>
    <xf numFmtId="38" fontId="110" fillId="0" borderId="29" xfId="52" applyNumberFormat="1" applyFont="1" applyBorder="1"/>
    <xf numFmtId="38" fontId="119" fillId="0" borderId="31" xfId="52" applyNumberFormat="1" applyFont="1" applyBorder="1"/>
    <xf numFmtId="38" fontId="83" fillId="25" borderId="116" xfId="48" applyNumberFormat="1" applyFont="1" applyFill="1" applyBorder="1" applyAlignment="1">
      <alignment horizontal="right"/>
    </xf>
    <xf numFmtId="0" fontId="45" fillId="0" borderId="28" xfId="48" applyFont="1" applyBorder="1" applyAlignment="1">
      <alignment horizontal="left"/>
    </xf>
    <xf numFmtId="38" fontId="110" fillId="0" borderId="0" xfId="48" applyNumberFormat="1" applyFont="1" applyAlignment="1">
      <alignment horizontal="right"/>
    </xf>
    <xf numFmtId="38" fontId="110" fillId="0" borderId="29" xfId="48" applyNumberFormat="1" applyFont="1" applyBorder="1" applyAlignment="1">
      <alignment horizontal="right"/>
    </xf>
    <xf numFmtId="0" fontId="119" fillId="0" borderId="223" xfId="0" applyFont="1" applyBorder="1"/>
    <xf numFmtId="0" fontId="126" fillId="0" borderId="224" xfId="0" applyFont="1" applyBorder="1" applyAlignment="1">
      <alignment horizontal="centerContinuous"/>
    </xf>
    <xf numFmtId="0" fontId="45" fillId="0" borderId="224" xfId="0" applyFont="1" applyBorder="1" applyAlignment="1">
      <alignment horizontal="centerContinuous"/>
    </xf>
    <xf numFmtId="0" fontId="45" fillId="0" borderId="225" xfId="0" applyFont="1" applyBorder="1" applyAlignment="1">
      <alignment horizontal="centerContinuous"/>
    </xf>
    <xf numFmtId="0" fontId="126" fillId="0" borderId="72" xfId="48" applyFont="1" applyBorder="1" applyAlignment="1">
      <alignment horizontal="centerContinuous"/>
    </xf>
    <xf numFmtId="0" fontId="45" fillId="0" borderId="82" xfId="48" applyFont="1" applyBorder="1" applyAlignment="1">
      <alignment horizontal="centerContinuous"/>
    </xf>
    <xf numFmtId="0" fontId="45" fillId="0" borderId="82" xfId="0" applyFont="1" applyBorder="1"/>
    <xf numFmtId="0" fontId="45" fillId="0" borderId="73" xfId="48" applyFont="1" applyBorder="1" applyAlignment="1">
      <alignment horizontal="centerContinuous"/>
    </xf>
    <xf numFmtId="0" fontId="126" fillId="0" borderId="104" xfId="48" applyFont="1" applyBorder="1" applyAlignment="1">
      <alignment horizontal="centerContinuous"/>
    </xf>
    <xf numFmtId="38" fontId="109" fillId="0" borderId="0" xfId="48" applyNumberFormat="1" applyFont="1" applyAlignment="1">
      <alignment horizontal="center"/>
    </xf>
    <xf numFmtId="38" fontId="109" fillId="0" borderId="65" xfId="48" applyNumberFormat="1" applyFont="1" applyBorder="1" applyAlignment="1">
      <alignment horizontal="center"/>
    </xf>
    <xf numFmtId="0" fontId="45" fillId="0" borderId="104" xfId="0" applyFont="1" applyBorder="1"/>
    <xf numFmtId="0" fontId="120" fillId="0" borderId="104" xfId="48" applyFont="1" applyBorder="1"/>
    <xf numFmtId="0" fontId="127" fillId="0" borderId="104" xfId="48" applyFont="1" applyBorder="1"/>
    <xf numFmtId="38" fontId="119" fillId="0" borderId="65" xfId="48" applyNumberFormat="1" applyFont="1" applyBorder="1" applyAlignment="1">
      <alignment horizontal="right"/>
    </xf>
    <xf numFmtId="38" fontId="45" fillId="0" borderId="0" xfId="48" applyNumberFormat="1" applyFont="1" applyAlignment="1">
      <alignment horizontal="center"/>
    </xf>
    <xf numFmtId="0" fontId="45" fillId="0" borderId="65" xfId="48" applyFont="1" applyBorder="1" applyAlignment="1">
      <alignment horizontal="center"/>
    </xf>
    <xf numFmtId="0" fontId="45" fillId="0" borderId="65" xfId="0" applyFont="1" applyBorder="1"/>
    <xf numFmtId="0" fontId="45" fillId="0" borderId="74" xfId="0" applyFont="1" applyBorder="1"/>
    <xf numFmtId="0" fontId="45" fillId="0" borderId="41" xfId="0" applyFont="1" applyBorder="1"/>
    <xf numFmtId="0" fontId="45" fillId="0" borderId="75" xfId="0" applyFont="1" applyBorder="1"/>
    <xf numFmtId="0" fontId="110" fillId="30" borderId="30" xfId="48" applyFont="1" applyFill="1" applyBorder="1"/>
    <xf numFmtId="0" fontId="45" fillId="30" borderId="31" xfId="48" applyFont="1" applyFill="1" applyBorder="1" applyAlignment="1">
      <alignment horizontal="center"/>
    </xf>
    <xf numFmtId="6" fontId="45" fillId="0" borderId="32" xfId="48" applyNumberFormat="1" applyFont="1" applyBorder="1" applyAlignment="1">
      <alignment horizontal="right"/>
    </xf>
    <xf numFmtId="38" fontId="45" fillId="0" borderId="32" xfId="48" applyNumberFormat="1" applyFont="1" applyBorder="1" applyAlignment="1">
      <alignment horizontal="right"/>
    </xf>
    <xf numFmtId="170" fontId="76" fillId="30" borderId="32" xfId="28" applyNumberFormat="1" applyFont="1" applyFill="1" applyBorder="1"/>
    <xf numFmtId="0" fontId="83" fillId="0" borderId="226" xfId="48" applyFont="1" applyBorder="1"/>
    <xf numFmtId="0" fontId="110" fillId="30" borderId="227" xfId="48" applyFont="1" applyFill="1" applyBorder="1"/>
    <xf numFmtId="0" fontId="45" fillId="30" borderId="228" xfId="48" applyFont="1" applyFill="1" applyBorder="1" applyAlignment="1">
      <alignment horizontal="center"/>
    </xf>
    <xf numFmtId="3" fontId="119" fillId="24" borderId="32" xfId="30" applyNumberFormat="1" applyFont="1" applyFill="1" applyBorder="1"/>
    <xf numFmtId="0" fontId="76" fillId="0" borderId="0" xfId="48" applyFont="1" applyAlignment="1">
      <alignment horizontal="right"/>
    </xf>
    <xf numFmtId="3" fontId="45" fillId="0" borderId="32" xfId="30" applyNumberFormat="1" applyFont="1" applyFill="1" applyBorder="1"/>
    <xf numFmtId="3" fontId="119" fillId="24" borderId="220" xfId="30" applyNumberFormat="1" applyFont="1" applyFill="1" applyBorder="1"/>
    <xf numFmtId="3" fontId="76" fillId="30" borderId="32" xfId="48" applyNumberFormat="1" applyFont="1" applyFill="1" applyBorder="1" applyAlignment="1">
      <alignment horizontal="right"/>
    </xf>
    <xf numFmtId="44" fontId="76" fillId="30" borderId="32" xfId="30" applyFont="1" applyFill="1" applyBorder="1" applyAlignment="1" applyProtection="1">
      <alignment horizontal="right"/>
    </xf>
    <xf numFmtId="0" fontId="110" fillId="42" borderId="251" xfId="48" applyFont="1" applyFill="1" applyBorder="1"/>
    <xf numFmtId="44" fontId="76" fillId="30" borderId="62" xfId="30" applyFont="1" applyFill="1" applyBorder="1" applyAlignment="1" applyProtection="1">
      <alignment horizontal="right"/>
    </xf>
    <xf numFmtId="10" fontId="76" fillId="0" borderId="0" xfId="55" applyNumberFormat="1" applyFont="1"/>
    <xf numFmtId="0" fontId="110" fillId="0" borderId="0" xfId="46" applyFont="1" applyAlignment="1">
      <alignment horizontal="right"/>
    </xf>
    <xf numFmtId="0" fontId="86" fillId="0" borderId="0" xfId="46" applyFont="1"/>
    <xf numFmtId="9" fontId="76" fillId="24" borderId="272" xfId="55" applyFont="1" applyFill="1" applyBorder="1" applyProtection="1"/>
    <xf numFmtId="0" fontId="45" fillId="24" borderId="271" xfId="0" applyFont="1" applyFill="1" applyBorder="1"/>
    <xf numFmtId="10" fontId="76" fillId="34" borderId="230" xfId="55" applyNumberFormat="1" applyFont="1" applyFill="1" applyBorder="1" applyProtection="1"/>
    <xf numFmtId="9" fontId="76" fillId="24" borderId="229" xfId="55" applyFont="1" applyFill="1" applyBorder="1" applyProtection="1"/>
    <xf numFmtId="9" fontId="76" fillId="34" borderId="230" xfId="55" applyFont="1" applyFill="1" applyBorder="1" applyProtection="1"/>
    <xf numFmtId="170" fontId="45" fillId="0" borderId="0" xfId="30" applyNumberFormat="1" applyFont="1" applyFill="1" applyBorder="1" applyProtection="1"/>
    <xf numFmtId="38" fontId="45" fillId="0" borderId="0" xfId="30" applyNumberFormat="1" applyFont="1" applyFill="1" applyBorder="1" applyProtection="1"/>
    <xf numFmtId="9" fontId="76" fillId="24" borderId="230" xfId="55" applyFont="1" applyFill="1" applyBorder="1" applyProtection="1"/>
    <xf numFmtId="9" fontId="76" fillId="0" borderId="0" xfId="55" applyFont="1" applyFill="1" applyBorder="1" applyProtection="1"/>
    <xf numFmtId="9" fontId="76" fillId="33" borderId="0" xfId="55" applyFont="1" applyFill="1" applyProtection="1"/>
    <xf numFmtId="9" fontId="45" fillId="0" borderId="0" xfId="55" applyFont="1" applyProtection="1"/>
    <xf numFmtId="9" fontId="45" fillId="33" borderId="0" xfId="55" applyFont="1" applyFill="1" applyProtection="1"/>
    <xf numFmtId="9" fontId="45" fillId="0" borderId="0" xfId="55" applyFont="1" applyFill="1" applyBorder="1" applyProtection="1"/>
    <xf numFmtId="0" fontId="119" fillId="30" borderId="20" xfId="46" applyFont="1" applyFill="1" applyBorder="1"/>
    <xf numFmtId="0" fontId="110" fillId="0" borderId="12" xfId="46" applyFont="1" applyBorder="1" applyAlignment="1">
      <alignment horizontal="left" indent="1"/>
    </xf>
    <xf numFmtId="170" fontId="119" fillId="0" borderId="13" xfId="30" applyNumberFormat="1" applyFont="1" applyBorder="1"/>
    <xf numFmtId="170" fontId="119" fillId="0" borderId="19" xfId="30" applyNumberFormat="1" applyFont="1" applyBorder="1"/>
    <xf numFmtId="10" fontId="45" fillId="0" borderId="0" xfId="55" applyNumberFormat="1" applyFont="1" applyFill="1" applyBorder="1" applyProtection="1"/>
    <xf numFmtId="38" fontId="45" fillId="0" borderId="0" xfId="55" applyNumberFormat="1" applyFont="1" applyFill="1" applyBorder="1" applyProtection="1"/>
    <xf numFmtId="10" fontId="110" fillId="0" borderId="14" xfId="46" applyNumberFormat="1" applyFont="1" applyBorder="1"/>
    <xf numFmtId="10" fontId="110" fillId="30" borderId="231" xfId="55" applyNumberFormat="1" applyFont="1" applyFill="1" applyBorder="1"/>
    <xf numFmtId="10" fontId="110" fillId="30" borderId="232" xfId="55" applyNumberFormat="1" applyFont="1" applyFill="1" applyBorder="1"/>
    <xf numFmtId="10" fontId="110" fillId="30" borderId="20" xfId="55" applyNumberFormat="1" applyFont="1" applyFill="1" applyBorder="1"/>
    <xf numFmtId="10" fontId="110" fillId="30" borderId="21" xfId="55" applyNumberFormat="1" applyFont="1" applyFill="1" applyBorder="1"/>
    <xf numFmtId="10" fontId="110" fillId="0" borderId="233" xfId="46" applyNumberFormat="1" applyFont="1" applyBorder="1"/>
    <xf numFmtId="10" fontId="110" fillId="30" borderId="234" xfId="55" applyNumberFormat="1" applyFont="1" applyFill="1" applyBorder="1"/>
    <xf numFmtId="10" fontId="110" fillId="30" borderId="235" xfId="55" applyNumberFormat="1" applyFont="1" applyFill="1" applyBorder="1"/>
    <xf numFmtId="165" fontId="76" fillId="0" borderId="0" xfId="44" applyNumberFormat="1" applyFont="1" applyAlignment="1">
      <alignment horizontal="right" indent="1"/>
    </xf>
    <xf numFmtId="0" fontId="76" fillId="0" borderId="0" xfId="43" applyFont="1"/>
    <xf numFmtId="0" fontId="76" fillId="0" borderId="0" xfId="48" applyFont="1"/>
    <xf numFmtId="0" fontId="45" fillId="0" borderId="0" xfId="44" applyFont="1"/>
    <xf numFmtId="0" fontId="76" fillId="0" borderId="0" xfId="44" applyFont="1" applyAlignment="1">
      <alignment horizontal="right"/>
    </xf>
    <xf numFmtId="0" fontId="45" fillId="0" borderId="0" xfId="44" applyFont="1" applyAlignment="1">
      <alignment horizontal="right" indent="1"/>
    </xf>
    <xf numFmtId="0" fontId="83" fillId="35" borderId="0" xfId="48" applyFont="1" applyFill="1" applyAlignment="1">
      <alignment horizontal="center"/>
    </xf>
    <xf numFmtId="38" fontId="83" fillId="35" borderId="0" xfId="28" applyNumberFormat="1" applyFont="1" applyFill="1" applyBorder="1" applyAlignment="1" applyProtection="1">
      <alignment horizontal="right"/>
    </xf>
    <xf numFmtId="38" fontId="76" fillId="25" borderId="0" xfId="28" applyNumberFormat="1" applyFont="1" applyFill="1" applyProtection="1"/>
    <xf numFmtId="38" fontId="45" fillId="0" borderId="0" xfId="28" applyNumberFormat="1" applyFont="1" applyFill="1" applyProtection="1"/>
    <xf numFmtId="0" fontId="76" fillId="0" borderId="0" xfId="44" applyFont="1" applyAlignment="1">
      <alignment horizontal="right" indent="1"/>
    </xf>
    <xf numFmtId="38" fontId="76" fillId="0" borderId="0" xfId="28" applyNumberFormat="1" applyFont="1" applyFill="1" applyProtection="1"/>
    <xf numFmtId="0" fontId="45" fillId="0" borderId="0" xfId="48" applyFont="1" applyAlignment="1">
      <alignment horizontal="right" indent="1"/>
    </xf>
    <xf numFmtId="0" fontId="145" fillId="0" borderId="0" xfId="48" applyFont="1" applyAlignment="1">
      <alignment horizontal="right" indent="1"/>
    </xf>
    <xf numFmtId="0" fontId="76" fillId="0" borderId="0" xfId="48" applyFont="1" applyAlignment="1">
      <alignment horizontal="right" indent="1"/>
    </xf>
    <xf numFmtId="2" fontId="76" fillId="0" borderId="0" xfId="0" applyNumberFormat="1" applyFont="1"/>
    <xf numFmtId="44" fontId="45" fillId="0" borderId="0" xfId="30" applyFont="1" applyFill="1" applyProtection="1"/>
    <xf numFmtId="165" fontId="76" fillId="25" borderId="0" xfId="28" applyNumberFormat="1" applyFont="1" applyFill="1" applyBorder="1" applyAlignment="1" applyProtection="1">
      <alignment horizontal="right" indent="1"/>
    </xf>
    <xf numFmtId="170" fontId="119" fillId="25" borderId="32" xfId="30" applyNumberFormat="1" applyFont="1" applyFill="1" applyBorder="1"/>
    <xf numFmtId="0" fontId="45" fillId="0" borderId="12" xfId="0" applyFont="1" applyBorder="1"/>
    <xf numFmtId="0" fontId="45" fillId="0" borderId="13" xfId="0" applyFont="1" applyBorder="1"/>
    <xf numFmtId="0" fontId="45" fillId="27" borderId="13" xfId="0" applyFont="1" applyFill="1" applyBorder="1" applyAlignment="1">
      <alignment horizontal="center"/>
    </xf>
    <xf numFmtId="0" fontId="45" fillId="0" borderId="19" xfId="0" applyFont="1" applyBorder="1"/>
    <xf numFmtId="0" fontId="45" fillId="0" borderId="14" xfId="0" applyFont="1" applyBorder="1" applyAlignment="1">
      <alignment horizontal="center"/>
    </xf>
    <xf numFmtId="0" fontId="45" fillId="0" borderId="15" xfId="0" applyFont="1" applyBorder="1" applyAlignment="1">
      <alignment horizontal="center"/>
    </xf>
    <xf numFmtId="0" fontId="45" fillId="0" borderId="14" xfId="0" applyFont="1" applyBorder="1"/>
    <xf numFmtId="0" fontId="45" fillId="0" borderId="15" xfId="0" applyFont="1" applyBorder="1"/>
    <xf numFmtId="14" fontId="76" fillId="0" borderId="15" xfId="0" applyNumberFormat="1" applyFont="1" applyBorder="1"/>
    <xf numFmtId="0" fontId="126" fillId="0" borderId="14" xfId="48" applyFont="1" applyBorder="1" applyAlignment="1">
      <alignment horizontal="centerContinuous" vertical="center"/>
    </xf>
    <xf numFmtId="38" fontId="125" fillId="0" borderId="15" xfId="48" applyNumberFormat="1" applyFont="1" applyBorder="1" applyAlignment="1">
      <alignment horizontal="centerContinuous" vertical="center"/>
    </xf>
    <xf numFmtId="0" fontId="119" fillId="0" borderId="287" xfId="48" applyFont="1" applyBorder="1" applyAlignment="1">
      <alignment horizontal="center" vertical="center"/>
    </xf>
    <xf numFmtId="38" fontId="110" fillId="0" borderId="288" xfId="48" applyNumberFormat="1" applyFont="1" applyBorder="1" applyAlignment="1">
      <alignment horizontal="center" vertical="center"/>
    </xf>
    <xf numFmtId="0" fontId="119" fillId="0" borderId="14" xfId="48" applyFont="1" applyBorder="1" applyAlignment="1">
      <alignment horizontal="center" vertical="center"/>
    </xf>
    <xf numFmtId="38" fontId="110" fillId="0" borderId="289" xfId="48" applyNumberFormat="1" applyFont="1" applyBorder="1" applyAlignment="1">
      <alignment horizontal="center" vertical="center"/>
    </xf>
    <xf numFmtId="0" fontId="119" fillId="0" borderId="290" xfId="0" applyFont="1" applyBorder="1" applyAlignment="1">
      <alignment vertical="center"/>
    </xf>
    <xf numFmtId="38" fontId="110" fillId="0" borderId="291" xfId="48" applyNumberFormat="1" applyFont="1" applyBorder="1" applyAlignment="1">
      <alignment horizontal="center" vertical="center"/>
    </xf>
    <xf numFmtId="0" fontId="119" fillId="0" borderId="14" xfId="0" applyFont="1" applyBorder="1" applyAlignment="1">
      <alignment horizontal="center"/>
    </xf>
    <xf numFmtId="0" fontId="119" fillId="24" borderId="32" xfId="48" applyFont="1" applyFill="1" applyBorder="1" applyAlignment="1" applyProtection="1">
      <alignment horizontal="left"/>
      <protection locked="0"/>
    </xf>
    <xf numFmtId="170" fontId="119" fillId="24" borderId="281" xfId="30" applyNumberFormat="1" applyFont="1" applyFill="1" applyBorder="1"/>
    <xf numFmtId="0" fontId="110" fillId="30" borderId="124" xfId="48" applyFont="1" applyFill="1" applyBorder="1" applyAlignment="1">
      <alignment horizontal="left"/>
    </xf>
    <xf numFmtId="170" fontId="45" fillId="30" borderId="292" xfId="28" applyNumberFormat="1" applyFont="1" applyFill="1" applyBorder="1"/>
    <xf numFmtId="0" fontId="84" fillId="0" borderId="14" xfId="48" applyFont="1" applyBorder="1"/>
    <xf numFmtId="38" fontId="83" fillId="0" borderId="15" xfId="48" applyNumberFormat="1" applyFont="1" applyBorder="1"/>
    <xf numFmtId="38" fontId="45" fillId="0" borderId="15" xfId="48" applyNumberFormat="1" applyFont="1" applyBorder="1"/>
    <xf numFmtId="165" fontId="83" fillId="35" borderId="14" xfId="28" applyNumberFormat="1" applyFont="1" applyFill="1" applyBorder="1" applyAlignment="1" applyProtection="1">
      <alignment horizontal="center"/>
    </xf>
    <xf numFmtId="38" fontId="119" fillId="0" borderId="15" xfId="48" applyNumberFormat="1" applyFont="1" applyBorder="1" applyProtection="1">
      <protection locked="0"/>
    </xf>
    <xf numFmtId="38" fontId="119" fillId="0" borderId="15" xfId="28" applyNumberFormat="1" applyFont="1" applyFill="1" applyBorder="1" applyProtection="1">
      <protection locked="0"/>
    </xf>
    <xf numFmtId="170" fontId="76" fillId="30" borderId="292" xfId="28" applyNumberFormat="1" applyFont="1" applyFill="1" applyBorder="1"/>
    <xf numFmtId="38" fontId="110" fillId="0" borderId="15" xfId="48" applyNumberFormat="1" applyFont="1" applyBorder="1" applyProtection="1">
      <protection locked="0"/>
    </xf>
    <xf numFmtId="0" fontId="110" fillId="0" borderId="14" xfId="0" applyFont="1" applyBorder="1" applyAlignment="1">
      <alignment horizontal="left"/>
    </xf>
    <xf numFmtId="0" fontId="45" fillId="0" borderId="14" xfId="48" applyFont="1" applyBorder="1" applyAlignment="1">
      <alignment horizontal="center"/>
    </xf>
    <xf numFmtId="38" fontId="119" fillId="0" borderId="15" xfId="28" applyNumberFormat="1" applyFont="1" applyFill="1" applyBorder="1" applyAlignment="1" applyProtection="1">
      <alignment horizontal="right"/>
      <protection locked="0"/>
    </xf>
    <xf numFmtId="38" fontId="119" fillId="0" borderId="15" xfId="28" applyNumberFormat="1" applyFont="1" applyFill="1" applyBorder="1"/>
    <xf numFmtId="0" fontId="83" fillId="35" borderId="14" xfId="48" applyFont="1" applyFill="1" applyBorder="1" applyAlignment="1">
      <alignment horizontal="center"/>
    </xf>
    <xf numFmtId="0" fontId="119" fillId="0" borderId="282" xfId="48" applyFont="1" applyBorder="1" applyAlignment="1">
      <alignment horizontal="center"/>
    </xf>
    <xf numFmtId="38" fontId="110" fillId="0" borderId="284" xfId="48" applyNumberFormat="1" applyFont="1" applyBorder="1"/>
    <xf numFmtId="0" fontId="110" fillId="0" borderId="14" xfId="0" applyFont="1" applyBorder="1" applyAlignment="1">
      <alignment horizontal="left" indent="2"/>
    </xf>
    <xf numFmtId="0" fontId="76" fillId="0" borderId="14" xfId="48" applyFont="1" applyBorder="1"/>
    <xf numFmtId="0" fontId="120" fillId="0" borderId="14" xfId="48" applyFont="1" applyBorder="1" applyAlignment="1">
      <alignment horizontal="left" indent="2"/>
    </xf>
    <xf numFmtId="0" fontId="127" fillId="0" borderId="282" xfId="48" applyFont="1" applyBorder="1" applyAlignment="1">
      <alignment horizontal="left" indent="2"/>
    </xf>
    <xf numFmtId="0" fontId="110" fillId="0" borderId="14" xfId="48" applyFont="1" applyBorder="1" applyAlignment="1">
      <alignment horizontal="left" indent="2"/>
    </xf>
    <xf numFmtId="38" fontId="110" fillId="0" borderId="15" xfId="0" applyNumberFormat="1" applyFont="1" applyBorder="1" applyAlignment="1">
      <alignment horizontal="right"/>
    </xf>
    <xf numFmtId="0" fontId="119" fillId="0" borderId="14" xfId="0" applyFont="1" applyBorder="1"/>
    <xf numFmtId="38" fontId="110" fillId="0" borderId="15" xfId="0" applyNumberFormat="1" applyFont="1" applyBorder="1"/>
    <xf numFmtId="38" fontId="45" fillId="0" borderId="15" xfId="0" applyNumberFormat="1" applyFont="1" applyBorder="1" applyAlignment="1">
      <alignment horizontal="right"/>
    </xf>
    <xf numFmtId="38" fontId="45" fillId="0" borderId="284" xfId="0" applyNumberFormat="1" applyFont="1" applyBorder="1" applyAlignment="1">
      <alignment horizontal="right"/>
    </xf>
    <xf numFmtId="168" fontId="119" fillId="25" borderId="123" xfId="55" applyNumberFormat="1" applyFont="1" applyFill="1" applyBorder="1" applyProtection="1"/>
    <xf numFmtId="0" fontId="76" fillId="0" borderId="14" xfId="0" applyFont="1" applyBorder="1"/>
    <xf numFmtId="170" fontId="119" fillId="25" borderId="123" xfId="48" applyNumberFormat="1" applyFont="1" applyFill="1" applyBorder="1"/>
    <xf numFmtId="0" fontId="126" fillId="0" borderId="293" xfId="48" applyFont="1" applyBorder="1" applyAlignment="1">
      <alignment horizontal="centerContinuous" vertical="center"/>
    </xf>
    <xf numFmtId="38" fontId="110" fillId="0" borderId="294" xfId="48" applyNumberFormat="1" applyFont="1" applyBorder="1" applyAlignment="1">
      <alignment horizontal="centerContinuous" vertical="center"/>
    </xf>
    <xf numFmtId="0" fontId="110" fillId="0" borderId="293" xfId="48" applyFont="1" applyBorder="1" applyAlignment="1">
      <alignment horizontal="center" vertical="center"/>
    </xf>
    <xf numFmtId="38" fontId="110" fillId="0" borderId="295" xfId="48" applyNumberFormat="1" applyFont="1" applyBorder="1" applyAlignment="1">
      <alignment horizontal="center" vertical="center"/>
    </xf>
    <xf numFmtId="0" fontId="110" fillId="0" borderId="14" xfId="48" applyFont="1" applyBorder="1" applyAlignment="1">
      <alignment horizontal="center" vertical="center"/>
    </xf>
    <xf numFmtId="38" fontId="110" fillId="0" borderId="280" xfId="48" applyNumberFormat="1" applyFont="1" applyBorder="1" applyAlignment="1">
      <alignment horizontal="center" vertical="center"/>
    </xf>
    <xf numFmtId="0" fontId="110" fillId="0" borderId="282" xfId="0" applyFont="1" applyBorder="1" applyAlignment="1">
      <alignment vertical="center"/>
    </xf>
    <xf numFmtId="38" fontId="110" fillId="0" borderId="296" xfId="48" applyNumberFormat="1" applyFont="1" applyBorder="1" applyAlignment="1">
      <alignment horizontal="center" vertical="center"/>
    </xf>
    <xf numFmtId="0" fontId="136" fillId="0" borderId="15" xfId="0" applyFont="1" applyBorder="1"/>
    <xf numFmtId="0" fontId="83" fillId="0" borderId="14" xfId="48" applyFont="1" applyBorder="1" applyAlignment="1">
      <alignment horizontal="center"/>
    </xf>
    <xf numFmtId="0" fontId="119" fillId="0" borderId="282" xfId="48" applyFont="1" applyBorder="1"/>
    <xf numFmtId="38" fontId="45" fillId="0" borderId="284" xfId="48" applyNumberFormat="1" applyFont="1" applyBorder="1"/>
    <xf numFmtId="38" fontId="83" fillId="0" borderId="15" xfId="48" applyNumberFormat="1" applyFont="1" applyBorder="1" applyAlignment="1">
      <alignment horizontal="right"/>
    </xf>
    <xf numFmtId="0" fontId="119" fillId="0" borderId="282" xfId="0" applyFont="1" applyBorder="1"/>
    <xf numFmtId="0" fontId="127" fillId="0" borderId="14" xfId="48" applyFont="1" applyBorder="1" applyAlignment="1">
      <alignment horizontal="left" vertical="center"/>
    </xf>
    <xf numFmtId="38" fontId="45" fillId="0" borderId="15" xfId="48" applyNumberFormat="1" applyFont="1" applyBorder="1" applyAlignment="1">
      <alignment horizontal="left"/>
    </xf>
    <xf numFmtId="38" fontId="136" fillId="0" borderId="15" xfId="0" applyNumberFormat="1" applyFont="1" applyBorder="1" applyAlignment="1">
      <alignment vertical="center"/>
    </xf>
    <xf numFmtId="38" fontId="136" fillId="0" borderId="15" xfId="48" applyNumberFormat="1" applyFont="1" applyBorder="1"/>
    <xf numFmtId="38" fontId="119" fillId="0" borderId="15" xfId="0" applyNumberFormat="1" applyFont="1" applyBorder="1"/>
    <xf numFmtId="0" fontId="126" fillId="0" borderId="14" xfId="48" applyFont="1" applyBorder="1" applyAlignment="1">
      <alignment horizontal="centerContinuous"/>
    </xf>
    <xf numFmtId="38" fontId="83" fillId="0" borderId="15" xfId="48" applyNumberFormat="1" applyFont="1" applyBorder="1" applyAlignment="1">
      <alignment horizontal="center"/>
    </xf>
    <xf numFmtId="0" fontId="110" fillId="0" borderId="14" xfId="52" applyFont="1" applyBorder="1"/>
    <xf numFmtId="38" fontId="119" fillId="0" borderId="15" xfId="52" applyNumberFormat="1" applyFont="1" applyBorder="1"/>
    <xf numFmtId="0" fontId="110" fillId="0" borderId="14" xfId="0" applyFont="1" applyBorder="1"/>
    <xf numFmtId="38" fontId="110" fillId="0" borderId="15" xfId="52" applyNumberFormat="1" applyFont="1" applyBorder="1"/>
    <xf numFmtId="38" fontId="119" fillId="0" borderId="284" xfId="52" applyNumberFormat="1" applyFont="1" applyBorder="1"/>
    <xf numFmtId="0" fontId="45" fillId="0" borderId="14" xfId="48" applyFont="1" applyBorder="1" applyAlignment="1">
      <alignment horizontal="left"/>
    </xf>
    <xf numFmtId="38" fontId="110" fillId="0" borderId="15" xfId="48" applyNumberFormat="1" applyFont="1" applyBorder="1" applyAlignment="1">
      <alignment horizontal="right"/>
    </xf>
    <xf numFmtId="0" fontId="119" fillId="0" borderId="297" xfId="0" applyFont="1" applyBorder="1"/>
    <xf numFmtId="0" fontId="45" fillId="0" borderId="282" xfId="0" applyFont="1" applyBorder="1"/>
    <xf numFmtId="0" fontId="119" fillId="0" borderId="284" xfId="0" applyFont="1" applyBorder="1"/>
    <xf numFmtId="0" fontId="126" fillId="0" borderId="298" xfId="0" applyFont="1" applyBorder="1" applyAlignment="1">
      <alignment horizontal="centerContinuous"/>
    </xf>
    <xf numFmtId="0" fontId="45" fillId="0" borderId="299" xfId="0" applyFont="1" applyBorder="1" applyAlignment="1">
      <alignment horizontal="centerContinuous"/>
    </xf>
    <xf numFmtId="0" fontId="126" fillId="0" borderId="287" xfId="48" applyFont="1" applyBorder="1" applyAlignment="1">
      <alignment horizontal="centerContinuous"/>
    </xf>
    <xf numFmtId="0" fontId="45" fillId="0" borderId="300" xfId="48" applyFont="1" applyBorder="1" applyAlignment="1">
      <alignment horizontal="centerContinuous"/>
    </xf>
    <xf numFmtId="38" fontId="109" fillId="0" borderId="15" xfId="48" applyNumberFormat="1" applyFont="1" applyBorder="1" applyAlignment="1">
      <alignment horizontal="center"/>
    </xf>
    <xf numFmtId="38" fontId="110" fillId="0" borderId="301" xfId="48" applyNumberFormat="1" applyFont="1" applyBorder="1" applyAlignment="1">
      <alignment horizontal="center" vertical="center"/>
    </xf>
    <xf numFmtId="0" fontId="45" fillId="0" borderId="15" xfId="48" applyFont="1" applyBorder="1" applyAlignment="1">
      <alignment horizontal="center"/>
    </xf>
    <xf numFmtId="0" fontId="45" fillId="0" borderId="290" xfId="0" applyFont="1" applyBorder="1"/>
    <xf numFmtId="0" fontId="45" fillId="0" borderId="302" xfId="0" applyFont="1" applyBorder="1"/>
    <xf numFmtId="0" fontId="110" fillId="30" borderId="282" xfId="48" applyFont="1" applyFill="1" applyBorder="1"/>
    <xf numFmtId="6" fontId="45" fillId="0" borderId="36" xfId="48" applyNumberFormat="1" applyFont="1" applyBorder="1" applyAlignment="1">
      <alignment horizontal="right"/>
    </xf>
    <xf numFmtId="38" fontId="45" fillId="0" borderId="35" xfId="48" applyNumberFormat="1" applyFont="1" applyBorder="1" applyAlignment="1">
      <alignment horizontal="right"/>
    </xf>
    <xf numFmtId="0" fontId="83" fillId="0" borderId="14" xfId="48" applyFont="1" applyBorder="1"/>
    <xf numFmtId="0" fontId="110" fillId="30" borderId="303" xfId="48" applyFont="1" applyFill="1" applyBorder="1"/>
    <xf numFmtId="3" fontId="119" fillId="24" borderId="281" xfId="30" applyNumberFormat="1" applyFont="1" applyFill="1" applyBorder="1"/>
    <xf numFmtId="3" fontId="76" fillId="30" borderId="62" xfId="48" applyNumberFormat="1" applyFont="1" applyFill="1" applyBorder="1" applyAlignment="1">
      <alignment horizontal="right"/>
    </xf>
    <xf numFmtId="0" fontId="110" fillId="30" borderId="251" xfId="48" applyFont="1" applyFill="1" applyBorder="1"/>
    <xf numFmtId="44" fontId="76" fillId="30" borderId="112" xfId="30" applyFont="1" applyFill="1" applyBorder="1" applyAlignment="1" applyProtection="1">
      <alignment horizontal="right"/>
    </xf>
    <xf numFmtId="0" fontId="45" fillId="0" borderId="11" xfId="48" applyFont="1" applyBorder="1" applyAlignment="1">
      <alignment horizontal="center"/>
    </xf>
    <xf numFmtId="0" fontId="45" fillId="0" borderId="16" xfId="0" applyFont="1" applyBorder="1"/>
    <xf numFmtId="0" fontId="45" fillId="0" borderId="17" xfId="0" applyFont="1" applyBorder="1"/>
    <xf numFmtId="0" fontId="45" fillId="0" borderId="18" xfId="0" applyFont="1" applyBorder="1"/>
    <xf numFmtId="0" fontId="45" fillId="25" borderId="0" xfId="44" applyFont="1" applyFill="1"/>
    <xf numFmtId="0" fontId="45" fillId="25" borderId="0" xfId="0" applyFont="1" applyFill="1"/>
    <xf numFmtId="6" fontId="45" fillId="0" borderId="0" xfId="0" applyNumberFormat="1" applyFont="1"/>
    <xf numFmtId="0" fontId="45" fillId="0" borderId="38" xfId="0" applyFont="1" applyBorder="1"/>
    <xf numFmtId="0" fontId="45" fillId="0" borderId="199" xfId="0" applyFont="1" applyBorder="1" applyAlignment="1">
      <alignment horizontal="center" vertical="center" wrapText="1"/>
    </xf>
    <xf numFmtId="0" fontId="45" fillId="0" borderId="257" xfId="0" applyFont="1" applyBorder="1" applyAlignment="1">
      <alignment horizontal="center" vertical="center"/>
    </xf>
    <xf numFmtId="0" fontId="45" fillId="0" borderId="199" xfId="0" applyFont="1" applyBorder="1" applyAlignment="1">
      <alignment horizontal="center" vertical="center"/>
    </xf>
    <xf numFmtId="0" fontId="45" fillId="0" borderId="258" xfId="0" applyFont="1" applyBorder="1" applyAlignment="1">
      <alignment horizontal="center" vertical="center"/>
    </xf>
    <xf numFmtId="0" fontId="45" fillId="0" borderId="0" xfId="0" applyFont="1" applyAlignment="1">
      <alignment horizontal="center" vertical="center"/>
    </xf>
    <xf numFmtId="0" fontId="45" fillId="0" borderId="0" xfId="0" applyFont="1" applyAlignment="1" applyProtection="1">
      <alignment horizontal="center" vertical="center"/>
      <protection hidden="1"/>
    </xf>
    <xf numFmtId="0" fontId="121" fillId="0" borderId="29" xfId="38" applyFont="1" applyBorder="1" applyAlignment="1" applyProtection="1">
      <alignment horizontal="center"/>
    </xf>
    <xf numFmtId="0" fontId="76" fillId="0" borderId="28" xfId="0" applyFont="1" applyBorder="1" applyAlignment="1">
      <alignment horizontal="center"/>
    </xf>
    <xf numFmtId="0" fontId="76" fillId="26" borderId="137" xfId="0" applyFont="1" applyFill="1" applyBorder="1" applyAlignment="1">
      <alignment horizontal="right"/>
    </xf>
    <xf numFmtId="0" fontId="45" fillId="0" borderId="148" xfId="45" applyFont="1" applyBorder="1" applyAlignment="1" applyProtection="1">
      <alignment horizontal="center"/>
      <protection locked="0"/>
    </xf>
    <xf numFmtId="0" fontId="45" fillId="0" borderId="259" xfId="45" applyFont="1" applyBorder="1" applyAlignment="1" applyProtection="1">
      <alignment horizontal="center"/>
      <protection locked="0"/>
    </xf>
    <xf numFmtId="0" fontId="45" fillId="0" borderId="0" xfId="0" applyFont="1" applyProtection="1">
      <protection hidden="1"/>
    </xf>
    <xf numFmtId="0" fontId="120" fillId="26" borderId="29" xfId="38" applyFont="1" applyFill="1" applyBorder="1" applyAlignment="1" applyProtection="1">
      <alignment horizontal="center"/>
    </xf>
    <xf numFmtId="14" fontId="138" fillId="0" borderId="28" xfId="0" applyNumberFormat="1" applyFont="1" applyBorder="1" applyAlignment="1">
      <alignment horizontal="center"/>
    </xf>
    <xf numFmtId="0" fontId="76" fillId="0" borderId="183" xfId="0" applyFont="1" applyBorder="1" applyAlignment="1">
      <alignment horizontal="right"/>
    </xf>
    <xf numFmtId="0" fontId="45" fillId="0" borderId="137" xfId="45" applyFont="1" applyBorder="1" applyAlignment="1" applyProtection="1">
      <alignment horizontal="center"/>
      <protection locked="0"/>
    </xf>
    <xf numFmtId="0" fontId="83" fillId="0" borderId="0" xfId="0" applyFont="1" applyProtection="1">
      <protection hidden="1"/>
    </xf>
    <xf numFmtId="176" fontId="76" fillId="26" borderId="198" xfId="0" applyNumberFormat="1" applyFont="1" applyFill="1" applyBorder="1" applyAlignment="1">
      <alignment horizontal="right" indent="1"/>
    </xf>
    <xf numFmtId="176" fontId="45" fillId="0" borderId="137" xfId="0" applyNumberFormat="1" applyFont="1" applyBorder="1" applyAlignment="1" applyProtection="1">
      <alignment horizontal="center"/>
      <protection hidden="1"/>
    </xf>
    <xf numFmtId="176" fontId="45" fillId="0" borderId="259" xfId="0" applyNumberFormat="1" applyFont="1" applyBorder="1" applyAlignment="1" applyProtection="1">
      <alignment horizontal="center"/>
      <protection hidden="1"/>
    </xf>
    <xf numFmtId="0" fontId="86" fillId="26" borderId="28" xfId="0" applyFont="1" applyFill="1" applyBorder="1" applyProtection="1">
      <protection hidden="1"/>
    </xf>
    <xf numFmtId="0" fontId="146" fillId="0" borderId="0" xfId="0" applyFont="1"/>
    <xf numFmtId="0" fontId="86" fillId="0" borderId="0" xfId="0" applyFont="1" applyProtection="1">
      <protection hidden="1"/>
    </xf>
    <xf numFmtId="0" fontId="120" fillId="26" borderId="29" xfId="38" applyFont="1" applyFill="1" applyBorder="1" applyAlignment="1" applyProtection="1">
      <alignment horizontal="center" textRotation="90"/>
    </xf>
    <xf numFmtId="0" fontId="109" fillId="0" borderId="184" xfId="0" applyFont="1" applyBorder="1" applyAlignment="1">
      <alignment horizontal="right" vertical="center" indent="1"/>
    </xf>
    <xf numFmtId="0" fontId="76" fillId="0" borderId="138" xfId="0" applyFont="1" applyBorder="1" applyAlignment="1">
      <alignment vertical="center"/>
    </xf>
    <xf numFmtId="0" fontId="109" fillId="0" borderId="264" xfId="0" applyFont="1" applyBorder="1" applyAlignment="1">
      <alignment vertical="center"/>
    </xf>
    <xf numFmtId="0" fontId="109" fillId="0" borderId="265" xfId="0" applyFont="1" applyBorder="1" applyAlignment="1">
      <alignment vertical="center"/>
    </xf>
    <xf numFmtId="0" fontId="45" fillId="0" borderId="0" xfId="0" applyFont="1" applyAlignment="1">
      <alignment vertical="center"/>
    </xf>
    <xf numFmtId="0" fontId="45" fillId="0" borderId="0" xfId="0" applyFont="1" applyAlignment="1" applyProtection="1">
      <alignment vertical="center"/>
      <protection hidden="1"/>
    </xf>
    <xf numFmtId="0" fontId="45" fillId="26" borderId="202" xfId="0" applyFont="1" applyFill="1" applyBorder="1"/>
    <xf numFmtId="0" fontId="45" fillId="26" borderId="260" xfId="0" applyFont="1" applyFill="1" applyBorder="1"/>
    <xf numFmtId="38" fontId="45" fillId="0" borderId="200" xfId="0" applyNumberFormat="1" applyFont="1" applyBorder="1" applyProtection="1">
      <protection locked="0"/>
    </xf>
    <xf numFmtId="38" fontId="45" fillId="0" borderId="151" xfId="0" applyNumberFormat="1" applyFont="1" applyBorder="1" applyProtection="1">
      <protection locked="0"/>
    </xf>
    <xf numFmtId="38" fontId="45" fillId="0" borderId="201" xfId="0" applyNumberFormat="1" applyFont="1" applyBorder="1" applyProtection="1">
      <protection locked="0"/>
    </xf>
    <xf numFmtId="38" fontId="45" fillId="0" borderId="261" xfId="0" applyNumberFormat="1" applyFont="1" applyBorder="1" applyProtection="1">
      <protection locked="0"/>
    </xf>
    <xf numFmtId="38" fontId="45" fillId="0" borderId="152" xfId="0" applyNumberFormat="1" applyFont="1" applyBorder="1" applyProtection="1">
      <protection locked="0"/>
    </xf>
    <xf numFmtId="38" fontId="45" fillId="0" borderId="187" xfId="0" applyNumberFormat="1" applyFont="1" applyBorder="1" applyProtection="1">
      <protection locked="0"/>
    </xf>
    <xf numFmtId="38" fontId="45" fillId="26" borderId="154" xfId="0" applyNumberFormat="1" applyFont="1" applyFill="1" applyBorder="1"/>
    <xf numFmtId="38" fontId="45" fillId="26" borderId="189" xfId="0" applyNumberFormat="1" applyFont="1" applyFill="1" applyBorder="1"/>
    <xf numFmtId="38" fontId="45" fillId="0" borderId="268" xfId="0" applyNumberFormat="1" applyFont="1" applyBorder="1" applyProtection="1">
      <protection locked="0"/>
    </xf>
    <xf numFmtId="38" fontId="45" fillId="0" borderId="269" xfId="0" applyNumberFormat="1" applyFont="1" applyBorder="1" applyProtection="1">
      <protection locked="0"/>
    </xf>
    <xf numFmtId="38" fontId="45" fillId="0" borderId="270" xfId="0" applyNumberFormat="1" applyFont="1" applyBorder="1" applyProtection="1">
      <protection locked="0"/>
    </xf>
    <xf numFmtId="38" fontId="45" fillId="0" borderId="154" xfId="0" applyNumberFormat="1" applyFont="1" applyBorder="1"/>
    <xf numFmtId="38" fontId="45" fillId="0" borderId="189" xfId="0" applyNumberFormat="1" applyFont="1" applyBorder="1"/>
    <xf numFmtId="38" fontId="45" fillId="0" borderId="156" xfId="0" applyNumberFormat="1" applyFont="1" applyBorder="1" applyProtection="1">
      <protection locked="0"/>
    </xf>
    <xf numFmtId="38" fontId="45" fillId="0" borderId="157" xfId="0" applyNumberFormat="1" applyFont="1" applyBorder="1" applyProtection="1">
      <protection locked="0"/>
    </xf>
    <xf numFmtId="38" fontId="45" fillId="0" borderId="191" xfId="0" applyNumberFormat="1" applyFont="1" applyBorder="1" applyProtection="1">
      <protection locked="0"/>
    </xf>
    <xf numFmtId="38" fontId="45" fillId="0" borderId="151" xfId="0" applyNumberFormat="1" applyFont="1" applyBorder="1"/>
    <xf numFmtId="38" fontId="45" fillId="0" borderId="152" xfId="0" applyNumberFormat="1" applyFont="1" applyBorder="1"/>
    <xf numFmtId="38" fontId="45" fillId="0" borderId="187" xfId="0" applyNumberFormat="1" applyFont="1" applyBorder="1"/>
    <xf numFmtId="38" fontId="45" fillId="0" borderId="262" xfId="0" applyNumberFormat="1" applyFont="1" applyBorder="1"/>
    <xf numFmtId="38" fontId="45" fillId="0" borderId="196" xfId="0" applyNumberFormat="1" applyFont="1" applyBorder="1"/>
    <xf numFmtId="38" fontId="45" fillId="0" borderId="195" xfId="0" applyNumberFormat="1" applyFont="1" applyBorder="1"/>
    <xf numFmtId="38" fontId="45" fillId="0" borderId="197" xfId="0" applyNumberFormat="1" applyFont="1" applyBorder="1"/>
    <xf numFmtId="166" fontId="110" fillId="0" borderId="0" xfId="55" applyNumberFormat="1" applyFont="1" applyFill="1" applyBorder="1" applyAlignment="1" applyProtection="1">
      <alignment vertical="center"/>
      <protection locked="0"/>
    </xf>
    <xf numFmtId="44" fontId="110" fillId="0" borderId="0" xfId="30" applyFont="1" applyFill="1" applyBorder="1" applyAlignment="1" applyProtection="1">
      <alignment vertical="center"/>
      <protection locked="0"/>
    </xf>
    <xf numFmtId="165" fontId="110" fillId="0" borderId="0" xfId="28" applyNumberFormat="1" applyFont="1" applyFill="1" applyBorder="1" applyAlignment="1" applyProtection="1">
      <alignment vertical="center"/>
      <protection locked="0"/>
    </xf>
    <xf numFmtId="170" fontId="110" fillId="0" borderId="0" xfId="30" applyNumberFormat="1" applyFont="1" applyFill="1" applyBorder="1" applyAlignment="1" applyProtection="1">
      <alignment vertical="center"/>
      <protection locked="0"/>
    </xf>
    <xf numFmtId="0" fontId="45" fillId="0" borderId="38" xfId="0" applyFont="1" applyBorder="1" applyAlignment="1">
      <alignment horizontal="center"/>
    </xf>
    <xf numFmtId="0" fontId="45" fillId="0" borderId="147" xfId="0" applyFont="1" applyBorder="1" applyAlignment="1">
      <alignment horizontal="center" vertical="center"/>
    </xf>
    <xf numFmtId="0" fontId="119" fillId="0" borderId="148" xfId="45" applyFont="1" applyBorder="1" applyAlignment="1" applyProtection="1">
      <alignment horizontal="center"/>
      <protection locked="0"/>
    </xf>
    <xf numFmtId="0" fontId="119" fillId="0" borderId="137" xfId="45" applyFont="1" applyBorder="1" applyAlignment="1" applyProtection="1">
      <alignment horizontal="center"/>
      <protection locked="0"/>
    </xf>
    <xf numFmtId="0" fontId="45" fillId="0" borderId="28" xfId="0" applyFont="1" applyBorder="1" applyAlignment="1">
      <alignment horizontal="center"/>
    </xf>
    <xf numFmtId="176" fontId="45" fillId="0" borderId="198" xfId="0" applyNumberFormat="1" applyFont="1" applyBorder="1" applyAlignment="1" applyProtection="1">
      <alignment horizontal="center"/>
      <protection hidden="1"/>
    </xf>
    <xf numFmtId="176" fontId="45" fillId="0" borderId="182" xfId="0" applyNumberFormat="1" applyFont="1" applyBorder="1" applyAlignment="1" applyProtection="1">
      <alignment horizontal="center"/>
      <protection hidden="1"/>
    </xf>
    <xf numFmtId="0" fontId="76" fillId="0" borderId="203" xfId="0" applyFont="1" applyBorder="1" applyAlignment="1">
      <alignment vertical="center"/>
    </xf>
    <xf numFmtId="0" fontId="76" fillId="0" borderId="204" xfId="0" applyFont="1" applyBorder="1" applyAlignment="1">
      <alignment vertical="center"/>
    </xf>
    <xf numFmtId="0" fontId="76" fillId="0" borderId="205" xfId="0" applyFont="1" applyBorder="1" applyAlignment="1">
      <alignment vertical="center"/>
    </xf>
    <xf numFmtId="0" fontId="45" fillId="26" borderId="149" xfId="0" applyFont="1" applyFill="1" applyBorder="1"/>
    <xf numFmtId="0" fontId="45" fillId="26" borderId="150" xfId="0" applyFont="1" applyFill="1" applyBorder="1"/>
    <xf numFmtId="38" fontId="86" fillId="0" borderId="151" xfId="0" applyNumberFormat="1" applyFont="1" applyBorder="1" applyProtection="1">
      <protection locked="0"/>
    </xf>
    <xf numFmtId="38" fontId="141" fillId="0" borderId="151" xfId="0" applyNumberFormat="1" applyFont="1" applyBorder="1" applyProtection="1">
      <protection locked="0"/>
    </xf>
    <xf numFmtId="38" fontId="76" fillId="0" borderId="151" xfId="0" applyNumberFormat="1" applyFont="1" applyBorder="1" applyProtection="1">
      <protection locked="0"/>
    </xf>
    <xf numFmtId="38" fontId="45" fillId="0" borderId="154" xfId="0" applyNumberFormat="1" applyFont="1" applyBorder="1" applyProtection="1">
      <protection locked="0"/>
    </xf>
    <xf numFmtId="38" fontId="45" fillId="26" borderId="152" xfId="0" applyNumberFormat="1" applyFont="1" applyFill="1" applyBorder="1"/>
    <xf numFmtId="38" fontId="141" fillId="0" borderId="154" xfId="0" applyNumberFormat="1" applyFont="1" applyBorder="1" applyProtection="1">
      <protection locked="0"/>
    </xf>
    <xf numFmtId="38" fontId="141" fillId="0" borderId="152" xfId="0" applyNumberFormat="1" applyFont="1" applyBorder="1" applyProtection="1">
      <protection locked="0"/>
    </xf>
    <xf numFmtId="38" fontId="45" fillId="0" borderId="263" xfId="0" applyNumberFormat="1" applyFont="1" applyBorder="1" applyProtection="1">
      <protection locked="0"/>
    </xf>
    <xf numFmtId="38" fontId="45" fillId="0" borderId="152" xfId="47" applyNumberFormat="1" applyFont="1" applyBorder="1" applyProtection="1">
      <protection locked="0"/>
    </xf>
    <xf numFmtId="38" fontId="45" fillId="0" borderId="153" xfId="0" applyNumberFormat="1" applyFont="1" applyBorder="1" applyProtection="1">
      <protection locked="0"/>
    </xf>
    <xf numFmtId="38" fontId="45" fillId="0" borderId="158" xfId="0" applyNumberFormat="1" applyFont="1" applyBorder="1" applyProtection="1">
      <protection locked="0"/>
    </xf>
    <xf numFmtId="38" fontId="45" fillId="26" borderId="149" xfId="0" applyNumberFormat="1" applyFont="1" applyFill="1" applyBorder="1"/>
    <xf numFmtId="38" fontId="45" fillId="26" borderId="155" xfId="0" applyNumberFormat="1" applyFont="1" applyFill="1" applyBorder="1"/>
    <xf numFmtId="38" fontId="45" fillId="0" borderId="153" xfId="0" applyNumberFormat="1" applyFont="1" applyBorder="1"/>
    <xf numFmtId="38" fontId="45" fillId="0" borderId="273" xfId="0" applyNumberFormat="1" applyFont="1" applyBorder="1"/>
    <xf numFmtId="38" fontId="45" fillId="0" borderId="256" xfId="0" applyNumberFormat="1" applyFont="1" applyBorder="1"/>
    <xf numFmtId="38" fontId="45" fillId="0" borderId="156" xfId="0" applyNumberFormat="1" applyFont="1" applyBorder="1"/>
    <xf numFmtId="38" fontId="45" fillId="0" borderId="157" xfId="0" applyNumberFormat="1" applyFont="1" applyBorder="1"/>
    <xf numFmtId="38" fontId="45" fillId="0" borderId="158" xfId="0" applyNumberFormat="1" applyFont="1" applyBorder="1"/>
    <xf numFmtId="0" fontId="45" fillId="28" borderId="0" xfId="0" applyFont="1" applyFill="1"/>
    <xf numFmtId="165" fontId="45" fillId="28" borderId="0" xfId="28" applyNumberFormat="1" applyFont="1" applyFill="1"/>
    <xf numFmtId="44" fontId="45" fillId="28" borderId="0" xfId="30" applyFont="1" applyFill="1"/>
    <xf numFmtId="166" fontId="45" fillId="28" borderId="0" xfId="55" applyNumberFormat="1" applyFont="1" applyFill="1"/>
    <xf numFmtId="165" fontId="45" fillId="31" borderId="0" xfId="28" applyNumberFormat="1" applyFont="1" applyFill="1" applyBorder="1"/>
    <xf numFmtId="170" fontId="45" fillId="31" borderId="0" xfId="0" applyNumberFormat="1" applyFont="1" applyFill="1"/>
    <xf numFmtId="44" fontId="45" fillId="31" borderId="0" xfId="0" applyNumberFormat="1" applyFont="1" applyFill="1"/>
    <xf numFmtId="170" fontId="45" fillId="50" borderId="0" xfId="30" applyNumberFormat="1" applyFont="1" applyFill="1"/>
    <xf numFmtId="0" fontId="79" fillId="51" borderId="32" xfId="48" applyFont="1" applyFill="1" applyBorder="1" applyAlignment="1" applyProtection="1">
      <alignment horizontal="left"/>
      <protection locked="0"/>
    </xf>
    <xf numFmtId="165" fontId="86" fillId="24" borderId="20" xfId="28" applyNumberFormat="1" applyFont="1" applyFill="1" applyBorder="1"/>
    <xf numFmtId="165" fontId="86" fillId="24" borderId="21" xfId="28" applyNumberFormat="1" applyFont="1" applyFill="1" applyBorder="1"/>
    <xf numFmtId="170" fontId="119" fillId="50" borderId="20" xfId="30" applyNumberFormat="1" applyFont="1" applyFill="1" applyBorder="1"/>
    <xf numFmtId="6" fontId="130" fillId="31" borderId="173" xfId="0" applyNumberFormat="1" applyFont="1" applyFill="1" applyBorder="1"/>
    <xf numFmtId="43" fontId="79" fillId="59" borderId="0" xfId="69" applyNumberFormat="1" applyFont="1" applyFill="1"/>
    <xf numFmtId="0" fontId="79" fillId="59" borderId="0" xfId="69" applyFont="1" applyFill="1" applyAlignment="1">
      <alignment horizontal="left"/>
    </xf>
    <xf numFmtId="0" fontId="45" fillId="59" borderId="0" xfId="69" applyFont="1" applyFill="1"/>
    <xf numFmtId="44" fontId="98" fillId="59" borderId="0" xfId="30" applyFont="1" applyFill="1"/>
    <xf numFmtId="170" fontId="98" fillId="59" borderId="0" xfId="30" applyNumberFormat="1" applyFont="1" applyFill="1"/>
    <xf numFmtId="0" fontId="98" fillId="59" borderId="0" xfId="111" applyFont="1" applyFill="1"/>
    <xf numFmtId="44" fontId="79" fillId="59" borderId="0" xfId="30" applyFont="1" applyFill="1"/>
    <xf numFmtId="9" fontId="79" fillId="59" borderId="0" xfId="55" applyFont="1" applyFill="1"/>
    <xf numFmtId="0" fontId="102" fillId="59" borderId="0" xfId="78" applyFont="1" applyFill="1" applyAlignment="1">
      <alignment wrapText="1"/>
    </xf>
    <xf numFmtId="0" fontId="102" fillId="59" borderId="0" xfId="83" applyFont="1" applyFill="1"/>
    <xf numFmtId="44" fontId="102" fillId="59" borderId="0" xfId="30" applyFont="1" applyFill="1"/>
    <xf numFmtId="44" fontId="102" fillId="59" borderId="237" xfId="30" applyFont="1" applyFill="1" applyBorder="1"/>
    <xf numFmtId="44" fontId="102" fillId="59" borderId="114" xfId="30" applyFont="1" applyFill="1" applyBorder="1"/>
    <xf numFmtId="44" fontId="104" fillId="59" borderId="418" xfId="30" applyFont="1" applyFill="1" applyBorder="1"/>
    <xf numFmtId="9" fontId="107" fillId="59" borderId="0" xfId="83" applyNumberFormat="1" applyFont="1" applyFill="1"/>
    <xf numFmtId="44" fontId="104" fillId="59" borderId="237" xfId="30" applyFont="1" applyFill="1" applyBorder="1"/>
    <xf numFmtId="0" fontId="98" fillId="59" borderId="0" xfId="78" applyFont="1" applyFill="1"/>
    <xf numFmtId="0" fontId="79" fillId="59" borderId="0" xfId="78" applyFont="1" applyFill="1"/>
    <xf numFmtId="170" fontId="77" fillId="59" borderId="237" xfId="30" applyNumberFormat="1" applyFont="1" applyFill="1" applyBorder="1"/>
    <xf numFmtId="10" fontId="79" fillId="59" borderId="0" xfId="55" applyNumberFormat="1" applyFont="1" applyFill="1"/>
    <xf numFmtId="0" fontId="130" fillId="28" borderId="180" xfId="70" applyFont="1" applyFill="1" applyBorder="1" applyAlignment="1">
      <alignment horizontal="center"/>
    </xf>
    <xf numFmtId="0" fontId="130" fillId="0" borderId="24" xfId="70" applyFont="1" applyBorder="1" applyAlignment="1">
      <alignment horizontal="center"/>
    </xf>
    <xf numFmtId="175" fontId="130" fillId="0" borderId="180" xfId="70" applyNumberFormat="1" applyFont="1" applyBorder="1" applyAlignment="1">
      <alignment horizontal="center"/>
    </xf>
    <xf numFmtId="175" fontId="130" fillId="0" borderId="24" xfId="70" applyNumberFormat="1" applyFont="1" applyBorder="1" applyAlignment="1">
      <alignment horizontal="center"/>
    </xf>
    <xf numFmtId="38" fontId="132" fillId="31" borderId="174" xfId="49" applyNumberFormat="1" applyFont="1" applyFill="1" applyBorder="1"/>
    <xf numFmtId="44" fontId="132" fillId="31" borderId="174" xfId="49" applyNumberFormat="1" applyFont="1" applyFill="1" applyBorder="1"/>
    <xf numFmtId="170" fontId="79" fillId="31" borderId="174" xfId="30" applyNumberFormat="1" applyFont="1" applyFill="1" applyBorder="1"/>
    <xf numFmtId="10" fontId="124" fillId="0" borderId="174" xfId="49" applyNumberFormat="1" applyFont="1" applyBorder="1"/>
    <xf numFmtId="6" fontId="130" fillId="27" borderId="174" xfId="70" applyNumberFormat="1" applyFont="1" applyFill="1" applyBorder="1"/>
    <xf numFmtId="170" fontId="45" fillId="31" borderId="174" xfId="30" applyNumberFormat="1" applyFont="1" applyFill="1" applyBorder="1"/>
    <xf numFmtId="170" fontId="45" fillId="24" borderId="174" xfId="30" applyNumberFormat="1" applyFont="1" applyFill="1" applyBorder="1"/>
    <xf numFmtId="10" fontId="130" fillId="27" borderId="174" xfId="55" applyNumberFormat="1" applyFont="1" applyFill="1" applyBorder="1"/>
    <xf numFmtId="6" fontId="132" fillId="31" borderId="174" xfId="49" applyNumberFormat="1" applyFont="1" applyFill="1" applyBorder="1"/>
    <xf numFmtId="6" fontId="132" fillId="53" borderId="174" xfId="49" applyNumberFormat="1" applyFont="1" applyFill="1" applyBorder="1"/>
    <xf numFmtId="6" fontId="132" fillId="24" borderId="174" xfId="49" applyNumberFormat="1" applyFont="1" applyFill="1" applyBorder="1"/>
    <xf numFmtId="6" fontId="45" fillId="24" borderId="174" xfId="49" applyNumberFormat="1" applyFont="1" applyFill="1" applyBorder="1"/>
    <xf numFmtId="0" fontId="45" fillId="0" borderId="174" xfId="49" applyFont="1" applyBorder="1"/>
    <xf numFmtId="6" fontId="130" fillId="0" borderId="174" xfId="49" applyNumberFormat="1" applyFont="1" applyBorder="1"/>
    <xf numFmtId="8" fontId="130" fillId="0" borderId="486" xfId="49" applyNumberFormat="1" applyFont="1" applyBorder="1"/>
    <xf numFmtId="0" fontId="147" fillId="0" borderId="0" xfId="0" pivotButton="1" applyFont="1"/>
    <xf numFmtId="0" fontId="147" fillId="0" borderId="0" xfId="0" applyFont="1"/>
    <xf numFmtId="44" fontId="147" fillId="0" borderId="0" xfId="0" applyNumberFormat="1" applyFont="1"/>
    <xf numFmtId="44" fontId="147" fillId="63" borderId="0" xfId="0" applyNumberFormat="1" applyFont="1" applyFill="1"/>
    <xf numFmtId="0" fontId="147" fillId="0" borderId="0" xfId="0" applyFont="1" applyAlignment="1">
      <alignment horizontal="left"/>
    </xf>
    <xf numFmtId="165" fontId="147" fillId="0" borderId="0" xfId="0" applyNumberFormat="1" applyFont="1"/>
    <xf numFmtId="43" fontId="147" fillId="0" borderId="0" xfId="0" applyNumberFormat="1" applyFont="1"/>
    <xf numFmtId="44" fontId="147" fillId="65" borderId="0" xfId="0" applyNumberFormat="1" applyFont="1" applyFill="1"/>
    <xf numFmtId="165" fontId="79" fillId="0" borderId="3" xfId="28" applyNumberFormat="1" applyFont="1" applyFill="1" applyBorder="1" applyAlignment="1" applyProtection="1">
      <alignment horizontal="center"/>
      <protection locked="0"/>
    </xf>
    <xf numFmtId="169" fontId="79" fillId="0" borderId="0" xfId="30" applyNumberFormat="1" applyFont="1" applyFill="1"/>
    <xf numFmtId="38" fontId="79" fillId="0" borderId="0" xfId="48" applyNumberFormat="1" applyFont="1" applyProtection="1">
      <protection locked="0"/>
    </xf>
    <xf numFmtId="3" fontId="79" fillId="0" borderId="0" xfId="0" applyNumberFormat="1" applyFont="1" applyProtection="1">
      <protection locked="0"/>
    </xf>
    <xf numFmtId="0" fontId="79" fillId="0" borderId="3" xfId="48" applyFont="1" applyBorder="1" applyAlignment="1">
      <alignment horizontal="center"/>
    </xf>
    <xf numFmtId="38" fontId="79" fillId="0" borderId="0" xfId="48" applyNumberFormat="1" applyFont="1" applyAlignment="1" applyProtection="1">
      <alignment horizontal="right"/>
      <protection locked="0"/>
    </xf>
    <xf numFmtId="38" fontId="79" fillId="0" borderId="11" xfId="48" applyNumberFormat="1" applyFont="1" applyBorder="1" applyAlignment="1">
      <alignment horizontal="right"/>
    </xf>
    <xf numFmtId="172" fontId="79" fillId="0" borderId="403" xfId="0" applyNumberFormat="1" applyFont="1" applyBorder="1"/>
    <xf numFmtId="38" fontId="79" fillId="0" borderId="478" xfId="48" applyNumberFormat="1" applyFont="1" applyBorder="1" applyAlignment="1">
      <alignment horizontal="right"/>
    </xf>
    <xf numFmtId="172" fontId="79" fillId="0" borderId="408" xfId="0" applyNumberFormat="1" applyFont="1" applyBorder="1"/>
    <xf numFmtId="38" fontId="130" fillId="0" borderId="0" xfId="49" applyNumberFormat="1" applyFont="1"/>
    <xf numFmtId="0" fontId="130" fillId="0" borderId="344" xfId="0" applyFont="1" applyBorder="1" applyAlignment="1">
      <alignment horizontal="center"/>
    </xf>
    <xf numFmtId="0" fontId="130" fillId="0" borderId="347" xfId="0" applyFont="1" applyBorder="1" applyAlignment="1">
      <alignment horizontal="center"/>
    </xf>
    <xf numFmtId="49" fontId="130" fillId="0" borderId="173" xfId="0" applyNumberFormat="1" applyFont="1" applyBorder="1" applyAlignment="1">
      <alignment horizontal="center"/>
    </xf>
    <xf numFmtId="175" fontId="130" fillId="0" borderId="173" xfId="0" applyNumberFormat="1" applyFont="1" applyBorder="1" applyAlignment="1">
      <alignment horizontal="center"/>
    </xf>
    <xf numFmtId="10" fontId="130" fillId="0" borderId="173" xfId="55" applyNumberFormat="1" applyFont="1" applyFill="1" applyBorder="1"/>
    <xf numFmtId="6" fontId="132" fillId="0" borderId="234" xfId="0" applyNumberFormat="1" applyFont="1" applyBorder="1"/>
    <xf numFmtId="0" fontId="79" fillId="0" borderId="0" xfId="70" applyFont="1" applyAlignment="1">
      <alignment horizontal="right"/>
    </xf>
    <xf numFmtId="44" fontId="79" fillId="0" borderId="0" xfId="70" applyNumberFormat="1" applyFont="1"/>
    <xf numFmtId="38" fontId="91" fillId="24" borderId="32" xfId="28" applyNumberFormat="1" applyFont="1" applyFill="1" applyBorder="1" applyProtection="1">
      <protection locked="0"/>
    </xf>
    <xf numFmtId="10" fontId="76" fillId="59" borderId="0" xfId="55" applyNumberFormat="1" applyFont="1" applyFill="1" applyBorder="1"/>
    <xf numFmtId="0" fontId="0" fillId="0" borderId="0" xfId="0" applyAlignment="1">
      <alignment horizontal="center"/>
    </xf>
    <xf numFmtId="0" fontId="7" fillId="0" borderId="0" xfId="0" applyFont="1" applyAlignment="1">
      <alignment horizontal="left"/>
    </xf>
    <xf numFmtId="0" fontId="7" fillId="0" borderId="0" xfId="0" applyFont="1" applyAlignment="1">
      <alignment horizontal="center"/>
    </xf>
    <xf numFmtId="0" fontId="110" fillId="0" borderId="12" xfId="70" applyFont="1" applyBorder="1" applyAlignment="1">
      <alignment horizontal="center"/>
    </xf>
    <xf numFmtId="0" fontId="110" fillId="0" borderId="13" xfId="70" applyFont="1" applyBorder="1" applyAlignment="1">
      <alignment horizontal="center"/>
    </xf>
    <xf numFmtId="0" fontId="110" fillId="0" borderId="19" xfId="70" applyFont="1" applyBorder="1" applyAlignment="1">
      <alignment horizontal="center"/>
    </xf>
    <xf numFmtId="0" fontId="110" fillId="0" borderId="287" xfId="48" applyFont="1" applyBorder="1" applyAlignment="1">
      <alignment horizontal="center" vertical="center"/>
    </xf>
    <xf numFmtId="0" fontId="110" fillId="0" borderId="73" xfId="48" applyFont="1" applyBorder="1" applyAlignment="1">
      <alignment horizontal="center" vertical="center"/>
    </xf>
    <xf numFmtId="0" fontId="110" fillId="0" borderId="14" xfId="48" applyFont="1" applyBorder="1" applyAlignment="1">
      <alignment horizontal="center" vertical="center"/>
    </xf>
    <xf numFmtId="0" fontId="110" fillId="0" borderId="65" xfId="48" applyFont="1" applyBorder="1" applyAlignment="1">
      <alignment horizontal="center" vertical="center"/>
    </xf>
    <xf numFmtId="38" fontId="110" fillId="0" borderId="43" xfId="48" applyNumberFormat="1" applyFont="1" applyBorder="1" applyAlignment="1">
      <alignment horizontal="center" vertical="center"/>
    </xf>
    <xf numFmtId="38" fontId="110" fillId="0" borderId="34" xfId="48" applyNumberFormat="1" applyFont="1" applyBorder="1" applyAlignment="1">
      <alignment horizontal="center" vertical="center"/>
    </xf>
    <xf numFmtId="0" fontId="110" fillId="0" borderId="14" xfId="48" applyFont="1" applyBorder="1" applyAlignment="1">
      <alignment horizontal="center"/>
    </xf>
    <xf numFmtId="0" fontId="110" fillId="0" borderId="0" xfId="48" applyFont="1" applyAlignment="1">
      <alignment horizontal="center"/>
    </xf>
    <xf numFmtId="0" fontId="110" fillId="0" borderId="15" xfId="48" applyFont="1" applyBorder="1" applyAlignment="1">
      <alignment horizontal="center"/>
    </xf>
    <xf numFmtId="0" fontId="110" fillId="0" borderId="14" xfId="70" applyFont="1" applyBorder="1" applyAlignment="1">
      <alignment horizontal="center"/>
    </xf>
    <xf numFmtId="0" fontId="110" fillId="0" borderId="0" xfId="70" applyFont="1" applyAlignment="1">
      <alignment horizontal="center"/>
    </xf>
    <xf numFmtId="0" fontId="110" fillId="0" borderId="15" xfId="70" applyFont="1" applyBorder="1" applyAlignment="1">
      <alignment horizontal="center"/>
    </xf>
    <xf numFmtId="0" fontId="110" fillId="27" borderId="211" xfId="48" applyFont="1" applyFill="1" applyBorder="1" applyAlignment="1" applyProtection="1">
      <alignment horizontal="center"/>
      <protection locked="0"/>
    </xf>
    <xf numFmtId="0" fontId="110" fillId="27" borderId="212" xfId="48" applyFont="1" applyFill="1" applyBorder="1" applyAlignment="1" applyProtection="1">
      <alignment horizontal="center"/>
      <protection locked="0"/>
    </xf>
    <xf numFmtId="0" fontId="110" fillId="27" borderId="213" xfId="48" applyFont="1" applyFill="1" applyBorder="1" applyAlignment="1" applyProtection="1">
      <alignment horizontal="center"/>
      <protection locked="0"/>
    </xf>
    <xf numFmtId="0" fontId="110" fillId="50" borderId="214" xfId="48" applyFont="1" applyFill="1" applyBorder="1" applyAlignment="1" applyProtection="1">
      <alignment horizontal="center"/>
      <protection locked="0"/>
    </xf>
    <xf numFmtId="0" fontId="110" fillId="50" borderId="114" xfId="48" applyFont="1" applyFill="1" applyBorder="1" applyAlignment="1" applyProtection="1">
      <alignment horizontal="center"/>
      <protection locked="0"/>
    </xf>
    <xf numFmtId="0" fontId="110" fillId="50" borderId="215" xfId="48" applyFont="1" applyFill="1" applyBorder="1" applyAlignment="1" applyProtection="1">
      <alignment horizontal="center"/>
      <protection locked="0"/>
    </xf>
    <xf numFmtId="14" fontId="110" fillId="50" borderId="216" xfId="48" applyNumberFormat="1" applyFont="1" applyFill="1" applyBorder="1" applyAlignment="1" applyProtection="1">
      <alignment horizontal="center"/>
      <protection locked="0"/>
    </xf>
    <xf numFmtId="0" fontId="110" fillId="50" borderId="217" xfId="48" applyFont="1" applyFill="1" applyBorder="1" applyAlignment="1" applyProtection="1">
      <alignment horizontal="center"/>
      <protection locked="0"/>
    </xf>
    <xf numFmtId="0" fontId="110" fillId="50" borderId="218" xfId="48" applyFont="1" applyFill="1" applyBorder="1" applyAlignment="1" applyProtection="1">
      <alignment horizontal="center"/>
      <protection locked="0"/>
    </xf>
    <xf numFmtId="0" fontId="86" fillId="0" borderId="112" xfId="48" applyFont="1" applyBorder="1" applyAlignment="1" applyProtection="1">
      <alignment horizontal="center"/>
      <protection locked="0"/>
    </xf>
    <xf numFmtId="0" fontId="86" fillId="0" borderId="101" xfId="48" applyFont="1" applyBorder="1" applyAlignment="1" applyProtection="1">
      <alignment horizontal="center"/>
      <protection locked="0"/>
    </xf>
    <xf numFmtId="0" fontId="86" fillId="0" borderId="110" xfId="48" applyFont="1" applyBorder="1" applyAlignment="1" applyProtection="1">
      <alignment horizontal="center"/>
      <protection locked="0"/>
    </xf>
    <xf numFmtId="0" fontId="126" fillId="0" borderId="14" xfId="48" applyFont="1" applyBorder="1" applyAlignment="1" applyProtection="1">
      <alignment horizontal="center"/>
      <protection locked="0"/>
    </xf>
    <xf numFmtId="0" fontId="126" fillId="0" borderId="0" xfId="48" applyFont="1" applyAlignment="1" applyProtection="1">
      <alignment horizontal="center"/>
      <protection locked="0"/>
    </xf>
    <xf numFmtId="0" fontId="126" fillId="0" borderId="15" xfId="48" applyFont="1" applyBorder="1" applyAlignment="1" applyProtection="1">
      <alignment horizontal="center"/>
      <protection locked="0"/>
    </xf>
    <xf numFmtId="38" fontId="110" fillId="0" borderId="44" xfId="48" applyNumberFormat="1" applyFont="1" applyBorder="1" applyAlignment="1">
      <alignment horizontal="center" vertical="center"/>
    </xf>
    <xf numFmtId="38" fontId="110" fillId="0" borderId="311" xfId="48" applyNumberFormat="1" applyFont="1" applyBorder="1" applyAlignment="1">
      <alignment horizontal="center" vertical="center" wrapText="1"/>
    </xf>
    <xf numFmtId="38" fontId="110" fillId="0" borderId="280" xfId="48" applyNumberFormat="1" applyFont="1" applyBorder="1" applyAlignment="1">
      <alignment horizontal="center" vertical="center" wrapText="1"/>
    </xf>
    <xf numFmtId="38" fontId="110" fillId="0" borderId="312" xfId="48" applyNumberFormat="1" applyFont="1" applyBorder="1" applyAlignment="1">
      <alignment horizontal="center" vertical="center" wrapText="1"/>
    </xf>
    <xf numFmtId="0" fontId="110" fillId="0" borderId="28" xfId="48" applyFont="1" applyBorder="1" applyAlignment="1">
      <alignment horizontal="center"/>
    </xf>
    <xf numFmtId="0" fontId="110" fillId="0" borderId="29" xfId="48" applyFont="1" applyBorder="1" applyAlignment="1">
      <alignment horizontal="center"/>
    </xf>
    <xf numFmtId="0" fontId="110" fillId="0" borderId="28" xfId="0" applyFont="1" applyBorder="1" applyAlignment="1">
      <alignment horizontal="center"/>
    </xf>
    <xf numFmtId="0" fontId="110" fillId="0" borderId="0" xfId="0" applyFont="1" applyAlignment="1">
      <alignment horizontal="center"/>
    </xf>
    <xf numFmtId="0" fontId="110" fillId="0" borderId="29" xfId="0" applyFont="1" applyBorder="1" applyAlignment="1">
      <alignment horizontal="center"/>
    </xf>
    <xf numFmtId="0" fontId="110" fillId="0" borderId="38" xfId="0" applyFont="1" applyBorder="1" applyAlignment="1">
      <alignment horizontal="center"/>
    </xf>
    <xf numFmtId="0" fontId="110" fillId="0" borderId="39" xfId="0" applyFont="1" applyBorder="1" applyAlignment="1">
      <alignment horizontal="center"/>
    </xf>
    <xf numFmtId="0" fontId="110" fillId="0" borderId="40" xfId="0" applyFont="1" applyBorder="1" applyAlignment="1">
      <alignment horizontal="center"/>
    </xf>
    <xf numFmtId="38" fontId="110" fillId="0" borderId="64" xfId="48" applyNumberFormat="1" applyFont="1" applyBorder="1" applyAlignment="1">
      <alignment horizontal="center" vertical="center" wrapText="1"/>
    </xf>
    <xf numFmtId="38" fontId="110" fillId="0" borderId="76" xfId="48" applyNumberFormat="1" applyFont="1" applyBorder="1" applyAlignment="1">
      <alignment horizontal="center" vertical="center" wrapText="1"/>
    </xf>
    <xf numFmtId="0" fontId="110" fillId="0" borderId="80" xfId="48" applyFont="1" applyBorder="1" applyAlignment="1">
      <alignment horizontal="center" vertical="center"/>
    </xf>
    <xf numFmtId="0" fontId="110" fillId="0" borderId="81" xfId="48" applyFont="1" applyBorder="1" applyAlignment="1">
      <alignment horizontal="center" vertical="center"/>
    </xf>
    <xf numFmtId="0" fontId="110" fillId="0" borderId="75" xfId="48" applyFont="1" applyBorder="1" applyAlignment="1">
      <alignment horizontal="center" vertical="center"/>
    </xf>
    <xf numFmtId="0" fontId="124" fillId="0" borderId="81" xfId="48" applyFont="1" applyBorder="1" applyAlignment="1">
      <alignment horizontal="center"/>
    </xf>
    <xf numFmtId="0" fontId="124" fillId="0" borderId="41" xfId="48" applyFont="1" applyBorder="1" applyAlignment="1">
      <alignment horizontal="center"/>
    </xf>
    <xf numFmtId="0" fontId="124" fillId="0" borderId="42" xfId="48" applyFont="1" applyBorder="1" applyAlignment="1">
      <alignment horizontal="center"/>
    </xf>
    <xf numFmtId="0" fontId="110" fillId="27" borderId="211" xfId="48" applyFont="1" applyFill="1" applyBorder="1" applyAlignment="1">
      <alignment horizontal="center"/>
    </xf>
    <xf numFmtId="0" fontId="110" fillId="27" borderId="212" xfId="48" applyFont="1" applyFill="1" applyBorder="1" applyAlignment="1">
      <alignment horizontal="center"/>
    </xf>
    <xf numFmtId="0" fontId="110" fillId="27" borderId="214" xfId="48" applyFont="1" applyFill="1" applyBorder="1" applyAlignment="1">
      <alignment horizontal="center"/>
    </xf>
    <xf numFmtId="0" fontId="110" fillId="27" borderId="114" xfId="48" applyFont="1" applyFill="1" applyBorder="1" applyAlignment="1">
      <alignment horizontal="center"/>
    </xf>
    <xf numFmtId="14" fontId="110" fillId="27" borderId="216" xfId="48" applyNumberFormat="1" applyFont="1" applyFill="1" applyBorder="1" applyAlignment="1">
      <alignment horizontal="center"/>
    </xf>
    <xf numFmtId="14" fontId="110" fillId="27" borderId="217" xfId="48" applyNumberFormat="1" applyFont="1" applyFill="1" applyBorder="1" applyAlignment="1">
      <alignment horizontal="center"/>
    </xf>
    <xf numFmtId="0" fontId="126" fillId="0" borderId="28" xfId="48" applyFont="1" applyBorder="1" applyAlignment="1">
      <alignment horizontal="center"/>
    </xf>
    <xf numFmtId="0" fontId="126" fillId="0" borderId="0" xfId="48" applyFont="1" applyAlignment="1">
      <alignment horizontal="center"/>
    </xf>
    <xf numFmtId="0" fontId="126" fillId="0" borderId="29" xfId="48" applyFont="1" applyBorder="1" applyAlignment="1">
      <alignment horizontal="center"/>
    </xf>
    <xf numFmtId="0" fontId="127" fillId="0" borderId="28" xfId="70" applyFont="1" applyBorder="1" applyAlignment="1">
      <alignment horizontal="left" wrapText="1"/>
    </xf>
    <xf numFmtId="0" fontId="127" fillId="0" borderId="0" xfId="70" applyFont="1" applyAlignment="1">
      <alignment horizontal="left" wrapText="1"/>
    </xf>
    <xf numFmtId="0" fontId="110" fillId="0" borderId="48" xfId="48" applyFont="1" applyBorder="1" applyAlignment="1">
      <alignment horizontal="center"/>
    </xf>
    <xf numFmtId="0" fontId="110" fillId="0" borderId="99" xfId="48" applyFont="1" applyBorder="1" applyAlignment="1">
      <alignment horizontal="center"/>
    </xf>
    <xf numFmtId="0" fontId="110" fillId="0" borderId="48" xfId="70" applyFont="1" applyBorder="1" applyAlignment="1">
      <alignment horizontal="center"/>
    </xf>
    <xf numFmtId="0" fontId="110" fillId="27" borderId="217" xfId="48" applyFont="1" applyFill="1" applyBorder="1" applyAlignment="1">
      <alignment horizontal="center"/>
    </xf>
    <xf numFmtId="0" fontId="110" fillId="27" borderId="218" xfId="48" applyFont="1" applyFill="1" applyBorder="1" applyAlignment="1">
      <alignment horizontal="center"/>
    </xf>
    <xf numFmtId="0" fontId="110" fillId="0" borderId="38" xfId="70" applyFont="1" applyBorder="1" applyAlignment="1">
      <alignment horizontal="center"/>
    </xf>
    <xf numFmtId="0" fontId="110" fillId="0" borderId="39" xfId="70" applyFont="1" applyBorder="1" applyAlignment="1">
      <alignment horizontal="center"/>
    </xf>
    <xf numFmtId="0" fontId="110" fillId="0" borderId="40" xfId="70" applyFont="1" applyBorder="1" applyAlignment="1">
      <alignment horizontal="center"/>
    </xf>
    <xf numFmtId="0" fontId="110" fillId="0" borderId="28" xfId="70" applyFont="1" applyBorder="1" applyAlignment="1">
      <alignment horizontal="center"/>
    </xf>
    <xf numFmtId="0" fontId="110" fillId="0" borderId="29" xfId="70" applyFont="1" applyBorder="1" applyAlignment="1">
      <alignment horizontal="center"/>
    </xf>
    <xf numFmtId="0" fontId="110" fillId="27" borderId="213" xfId="48" applyFont="1" applyFill="1" applyBorder="1" applyAlignment="1">
      <alignment horizontal="center"/>
    </xf>
    <xf numFmtId="0" fontId="110" fillId="27" borderId="215" xfId="48" applyFont="1" applyFill="1" applyBorder="1" applyAlignment="1">
      <alignment horizontal="center"/>
    </xf>
    <xf numFmtId="38" fontId="110" fillId="0" borderId="43" xfId="48" applyNumberFormat="1" applyFont="1" applyBorder="1" applyAlignment="1" applyProtection="1">
      <alignment horizontal="center" vertical="center"/>
      <protection locked="0"/>
    </xf>
    <xf numFmtId="38" fontId="110" fillId="0" borderId="34" xfId="48" applyNumberFormat="1" applyFont="1" applyBorder="1" applyAlignment="1" applyProtection="1">
      <alignment horizontal="center" vertical="center"/>
      <protection locked="0"/>
    </xf>
    <xf numFmtId="38" fontId="110" fillId="0" borderId="44" xfId="48" applyNumberFormat="1" applyFont="1" applyBorder="1" applyAlignment="1" applyProtection="1">
      <alignment horizontal="center" vertical="center"/>
      <protection locked="0"/>
    </xf>
    <xf numFmtId="38" fontId="110" fillId="0" borderId="64" xfId="48" applyNumberFormat="1" applyFont="1" applyBorder="1" applyAlignment="1" applyProtection="1">
      <alignment horizontal="center" vertical="center" wrapText="1"/>
      <protection locked="0"/>
    </xf>
    <xf numFmtId="38" fontId="110" fillId="0" borderId="66" xfId="48" applyNumberFormat="1" applyFont="1" applyBorder="1" applyAlignment="1" applyProtection="1">
      <alignment horizontal="center" vertical="center" wrapText="1"/>
      <protection locked="0"/>
    </xf>
    <xf numFmtId="38" fontId="110" fillId="0" borderId="76" xfId="48" applyNumberFormat="1" applyFont="1" applyBorder="1" applyAlignment="1" applyProtection="1">
      <alignment horizontal="center" vertical="center" wrapText="1"/>
      <protection locked="0"/>
    </xf>
    <xf numFmtId="38" fontId="110" fillId="0" borderId="313" xfId="48" applyNumberFormat="1" applyFont="1" applyBorder="1" applyAlignment="1">
      <alignment horizontal="center" vertical="center"/>
    </xf>
    <xf numFmtId="38" fontId="110" fillId="0" borderId="67" xfId="48" applyNumberFormat="1" applyFont="1" applyBorder="1" applyAlignment="1">
      <alignment horizontal="center" vertical="center"/>
    </xf>
    <xf numFmtId="0" fontId="110" fillId="0" borderId="38" xfId="48" applyFont="1" applyBorder="1" applyAlignment="1">
      <alignment horizontal="center" vertical="center"/>
    </xf>
    <xf numFmtId="0" fontId="110" fillId="0" borderId="85" xfId="48" applyFont="1" applyBorder="1" applyAlignment="1">
      <alignment horizontal="center" vertical="center"/>
    </xf>
    <xf numFmtId="0" fontId="110" fillId="0" borderId="28" xfId="48" applyFont="1" applyBorder="1" applyAlignment="1">
      <alignment horizontal="center" vertical="center"/>
    </xf>
    <xf numFmtId="0" fontId="110" fillId="0" borderId="30" xfId="48" applyFont="1" applyBorder="1" applyAlignment="1">
      <alignment horizontal="center" vertical="center"/>
    </xf>
    <xf numFmtId="0" fontId="110" fillId="0" borderId="68" xfId="48" applyFont="1" applyBorder="1" applyAlignment="1">
      <alignment horizontal="center" vertical="center"/>
    </xf>
    <xf numFmtId="38" fontId="110" fillId="0" borderId="78" xfId="48" applyNumberFormat="1" applyFont="1" applyBorder="1" applyAlignment="1">
      <alignment horizontal="center" vertical="center" wrapText="1"/>
    </xf>
    <xf numFmtId="38" fontId="110" fillId="0" borderId="66" xfId="48" applyNumberFormat="1" applyFont="1" applyBorder="1" applyAlignment="1">
      <alignment horizontal="center" vertical="center" wrapText="1"/>
    </xf>
    <xf numFmtId="38" fontId="110" fillId="0" borderId="70" xfId="48" applyNumberFormat="1" applyFont="1" applyBorder="1" applyAlignment="1">
      <alignment horizontal="center" vertical="center" wrapText="1"/>
    </xf>
    <xf numFmtId="0" fontId="110" fillId="0" borderId="43" xfId="48" applyFont="1" applyBorder="1" applyAlignment="1">
      <alignment horizontal="center" vertical="center" wrapText="1"/>
    </xf>
    <xf numFmtId="0" fontId="110" fillId="0" borderId="34" xfId="48" applyFont="1" applyBorder="1" applyAlignment="1">
      <alignment horizontal="center" vertical="center" wrapText="1"/>
    </xf>
    <xf numFmtId="0" fontId="110" fillId="0" borderId="44" xfId="48" applyFont="1" applyBorder="1" applyAlignment="1">
      <alignment horizontal="center" vertical="center" wrapText="1"/>
    </xf>
    <xf numFmtId="0" fontId="119" fillId="0" borderId="64" xfId="48" applyFont="1" applyBorder="1" applyAlignment="1">
      <alignment horizontal="center" vertical="center" wrapText="1"/>
    </xf>
    <xf numFmtId="0" fontId="119" fillId="0" borderId="76" xfId="48" applyFont="1" applyBorder="1" applyAlignment="1">
      <alignment horizontal="center" vertical="center" wrapText="1"/>
    </xf>
    <xf numFmtId="0" fontId="126" fillId="0" borderId="28" xfId="0" applyFont="1" applyBorder="1" applyAlignment="1">
      <alignment horizontal="center"/>
    </xf>
    <xf numFmtId="0" fontId="126" fillId="0" borderId="0" xfId="0" applyFont="1" applyAlignment="1">
      <alignment horizontal="center"/>
    </xf>
    <xf numFmtId="0" fontId="126" fillId="0" borderId="29" xfId="0" applyFont="1" applyBorder="1" applyAlignment="1">
      <alignment horizontal="center"/>
    </xf>
    <xf numFmtId="0" fontId="110" fillId="31" borderId="72" xfId="70" applyFont="1" applyFill="1" applyBorder="1" applyAlignment="1">
      <alignment horizontal="center" vertical="center" wrapText="1"/>
    </xf>
    <xf numFmtId="0" fontId="110" fillId="31" borderId="83" xfId="70" applyFont="1" applyFill="1" applyBorder="1" applyAlignment="1">
      <alignment horizontal="center" vertical="center" wrapText="1"/>
    </xf>
    <xf numFmtId="0" fontId="110" fillId="31" borderId="74" xfId="70" applyFont="1" applyFill="1" applyBorder="1" applyAlignment="1">
      <alignment horizontal="center" vertical="center" wrapText="1"/>
    </xf>
    <xf numFmtId="0" fontId="110" fillId="31" borderId="42" xfId="70" applyFont="1" applyFill="1" applyBorder="1" applyAlignment="1">
      <alignment horizontal="center" vertical="center" wrapText="1"/>
    </xf>
    <xf numFmtId="0" fontId="45" fillId="0" borderId="314" xfId="70" applyFont="1" applyBorder="1" applyAlignment="1">
      <alignment horizontal="center" vertical="center" wrapText="1"/>
    </xf>
    <xf numFmtId="0" fontId="45" fillId="0" borderId="65" xfId="70" applyFont="1" applyBorder="1" applyAlignment="1">
      <alignment horizontal="center" vertical="center" wrapText="1"/>
    </xf>
    <xf numFmtId="0" fontId="110" fillId="31" borderId="73" xfId="70" applyFont="1" applyFill="1" applyBorder="1" applyAlignment="1">
      <alignment horizontal="center" vertical="center" wrapText="1"/>
    </xf>
    <xf numFmtId="0" fontId="110" fillId="31" borderId="75" xfId="70" applyFont="1" applyFill="1" applyBorder="1" applyAlignment="1">
      <alignment horizontal="center" vertical="center" wrapText="1"/>
    </xf>
    <xf numFmtId="0" fontId="126" fillId="0" borderId="28" xfId="70" applyFont="1" applyBorder="1" applyAlignment="1">
      <alignment horizontal="center"/>
    </xf>
    <xf numFmtId="0" fontId="126" fillId="0" borderId="0" xfId="70" applyFont="1" applyAlignment="1">
      <alignment horizontal="center"/>
    </xf>
    <xf numFmtId="0" fontId="126" fillId="0" borderId="29" xfId="70" applyFont="1" applyBorder="1" applyAlignment="1">
      <alignment horizontal="center"/>
    </xf>
    <xf numFmtId="0" fontId="110" fillId="31" borderId="315" xfId="70" applyFont="1" applyFill="1" applyBorder="1" applyAlignment="1">
      <alignment horizontal="center" vertical="center" wrapText="1"/>
    </xf>
    <xf numFmtId="0" fontId="110" fillId="31" borderId="314" xfId="70" applyFont="1" applyFill="1" applyBorder="1" applyAlignment="1">
      <alignment horizontal="center" vertical="center" wrapText="1"/>
    </xf>
    <xf numFmtId="0" fontId="110" fillId="31" borderId="315" xfId="70" applyFont="1" applyFill="1" applyBorder="1" applyAlignment="1">
      <alignment horizontal="center" vertical="center"/>
    </xf>
    <xf numFmtId="0" fontId="110" fillId="31" borderId="316" xfId="70" applyFont="1" applyFill="1" applyBorder="1" applyAlignment="1">
      <alignment horizontal="center" vertical="center"/>
    </xf>
    <xf numFmtId="0" fontId="110" fillId="31" borderId="74" xfId="70" applyFont="1" applyFill="1" applyBorder="1" applyAlignment="1">
      <alignment horizontal="center" vertical="center"/>
    </xf>
    <xf numFmtId="0" fontId="110" fillId="31" borderId="42" xfId="70" applyFont="1" applyFill="1" applyBorder="1" applyAlignment="1">
      <alignment horizontal="center" vertical="center"/>
    </xf>
    <xf numFmtId="0" fontId="110" fillId="0" borderId="317" xfId="51" applyFont="1" applyBorder="1" applyAlignment="1">
      <alignment horizontal="center"/>
    </xf>
    <xf numFmtId="0" fontId="110" fillId="0" borderId="132" xfId="51" applyFont="1" applyBorder="1" applyAlignment="1">
      <alignment horizontal="center"/>
    </xf>
    <xf numFmtId="0" fontId="119" fillId="0" borderId="317" xfId="51" applyFont="1" applyBorder="1" applyAlignment="1">
      <alignment horizontal="center"/>
    </xf>
    <xf numFmtId="0" fontId="119" fillId="0" borderId="131" xfId="51" applyFont="1" applyBorder="1" applyAlignment="1">
      <alignment horizontal="center"/>
    </xf>
    <xf numFmtId="0" fontId="110" fillId="31" borderId="318" xfId="70" applyFont="1" applyFill="1" applyBorder="1" applyAlignment="1">
      <alignment horizontal="center" vertical="center"/>
    </xf>
    <xf numFmtId="0" fontId="110" fillId="31" borderId="73" xfId="70" applyFont="1" applyFill="1" applyBorder="1" applyAlignment="1">
      <alignment horizontal="center" vertical="center"/>
    </xf>
    <xf numFmtId="0" fontId="110" fillId="31" borderId="319" xfId="70" applyFont="1" applyFill="1" applyBorder="1" applyAlignment="1">
      <alignment horizontal="center" vertical="center"/>
    </xf>
    <xf numFmtId="0" fontId="110" fillId="31" borderId="75" xfId="70" applyFont="1" applyFill="1" applyBorder="1" applyAlignment="1">
      <alignment horizontal="center" vertical="center"/>
    </xf>
    <xf numFmtId="0" fontId="110" fillId="31" borderId="320" xfId="70" applyFont="1" applyFill="1" applyBorder="1" applyAlignment="1">
      <alignment horizontal="center" vertical="center"/>
    </xf>
    <xf numFmtId="0" fontId="110" fillId="31" borderId="314" xfId="70" applyFont="1" applyFill="1" applyBorder="1" applyAlignment="1">
      <alignment horizontal="center" vertical="center"/>
    </xf>
    <xf numFmtId="0" fontId="119" fillId="0" borderId="112" xfId="51" applyFont="1" applyBorder="1" applyAlignment="1">
      <alignment horizontal="center"/>
    </xf>
    <xf numFmtId="0" fontId="119" fillId="0" borderId="101" xfId="51" applyFont="1" applyBorder="1" applyAlignment="1">
      <alignment horizontal="center"/>
    </xf>
    <xf numFmtId="0" fontId="45" fillId="0" borderId="38" xfId="70" applyFont="1" applyBorder="1" applyAlignment="1">
      <alignment horizontal="center"/>
    </xf>
    <xf numFmtId="0" fontId="45" fillId="0" borderId="39" xfId="70" applyFont="1" applyBorder="1" applyAlignment="1">
      <alignment horizontal="center"/>
    </xf>
    <xf numFmtId="0" fontId="45" fillId="0" borderId="85" xfId="70" applyFont="1" applyBorder="1" applyAlignment="1">
      <alignment horizontal="center"/>
    </xf>
    <xf numFmtId="0" fontId="45" fillId="0" borderId="28" xfId="70" applyFont="1" applyBorder="1" applyAlignment="1">
      <alignment horizontal="center"/>
    </xf>
    <xf numFmtId="0" fontId="45" fillId="0" borderId="0" xfId="70" applyFont="1" applyAlignment="1">
      <alignment horizontal="center"/>
    </xf>
    <xf numFmtId="0" fontId="45" fillId="0" borderId="65" xfId="70" applyFont="1" applyBorder="1" applyAlignment="1">
      <alignment horizontal="center"/>
    </xf>
    <xf numFmtId="0" fontId="45" fillId="0" borderId="81" xfId="70" applyFont="1" applyBorder="1" applyAlignment="1">
      <alignment horizontal="center"/>
    </xf>
    <xf numFmtId="0" fontId="45" fillId="0" borderId="41" xfId="70" applyFont="1" applyBorder="1" applyAlignment="1">
      <alignment horizontal="center"/>
    </xf>
    <xf numFmtId="0" fontId="45" fillId="0" borderId="75" xfId="70" applyFont="1" applyBorder="1" applyAlignment="1">
      <alignment horizontal="center"/>
    </xf>
    <xf numFmtId="0" fontId="110" fillId="31" borderId="84" xfId="70" applyFont="1" applyFill="1" applyBorder="1" applyAlignment="1">
      <alignment horizontal="center" vertical="center" wrapText="1"/>
    </xf>
    <xf numFmtId="0" fontId="110" fillId="31" borderId="40" xfId="70" applyFont="1" applyFill="1" applyBorder="1" applyAlignment="1">
      <alignment horizontal="center" vertical="center" wrapText="1"/>
    </xf>
    <xf numFmtId="14" fontId="110" fillId="27" borderId="218" xfId="48" applyNumberFormat="1" applyFont="1" applyFill="1" applyBorder="1" applyAlignment="1">
      <alignment horizontal="center"/>
    </xf>
    <xf numFmtId="0" fontId="110" fillId="0" borderId="72" xfId="70" applyFont="1" applyBorder="1" applyAlignment="1">
      <alignment horizontal="center"/>
    </xf>
    <xf numFmtId="0" fontId="110" fillId="0" borderId="82" xfId="70" applyFont="1" applyBorder="1" applyAlignment="1">
      <alignment horizontal="center"/>
    </xf>
    <xf numFmtId="0" fontId="110" fillId="0" borderId="83" xfId="70" applyFont="1" applyBorder="1" applyAlignment="1">
      <alignment horizontal="center"/>
    </xf>
    <xf numFmtId="0" fontId="110" fillId="0" borderId="64" xfId="48" applyFont="1" applyBorder="1" applyAlignment="1">
      <alignment horizontal="center" vertical="center"/>
    </xf>
    <xf numFmtId="0" fontId="110" fillId="0" borderId="66" xfId="48" applyFont="1" applyBorder="1" applyAlignment="1">
      <alignment horizontal="center" vertical="center"/>
    </xf>
    <xf numFmtId="0" fontId="110" fillId="0" borderId="76" xfId="48" applyFont="1" applyBorder="1" applyAlignment="1">
      <alignment horizontal="center" vertical="center"/>
    </xf>
    <xf numFmtId="0" fontId="110" fillId="0" borderId="80" xfId="0" applyFont="1" applyBorder="1" applyAlignment="1">
      <alignment horizontal="center" vertical="center"/>
    </xf>
    <xf numFmtId="0" fontId="110" fillId="0" borderId="73" xfId="0" applyFont="1" applyBorder="1" applyAlignment="1">
      <alignment horizontal="center" vertical="center"/>
    </xf>
    <xf numFmtId="0" fontId="110" fillId="0" borderId="28" xfId="0" applyFont="1" applyBorder="1" applyAlignment="1">
      <alignment horizontal="center" vertical="center"/>
    </xf>
    <xf numFmtId="0" fontId="110" fillId="0" borderId="65" xfId="0" applyFont="1" applyBorder="1" applyAlignment="1">
      <alignment horizontal="center" vertical="center"/>
    </xf>
    <xf numFmtId="0" fontId="110" fillId="0" borderId="81" xfId="0" applyFont="1" applyBorder="1" applyAlignment="1">
      <alignment horizontal="center" vertical="center"/>
    </xf>
    <xf numFmtId="0" fontId="110" fillId="0" borderId="75" xfId="0" applyFont="1" applyBorder="1" applyAlignment="1">
      <alignment horizontal="center" vertical="center"/>
    </xf>
    <xf numFmtId="165" fontId="110" fillId="0" borderId="321" xfId="28" applyNumberFormat="1" applyFont="1" applyFill="1" applyBorder="1" applyAlignment="1">
      <alignment horizontal="center"/>
    </xf>
    <xf numFmtId="10" fontId="110" fillId="27" borderId="134" xfId="55" applyNumberFormat="1" applyFont="1" applyFill="1" applyBorder="1" applyAlignment="1">
      <alignment horizontal="center"/>
    </xf>
    <xf numFmtId="10" fontId="110" fillId="27" borderId="207" xfId="55" applyNumberFormat="1" applyFont="1" applyFill="1" applyBorder="1" applyAlignment="1">
      <alignment horizontal="center"/>
    </xf>
    <xf numFmtId="10" fontId="110" fillId="27" borderId="322" xfId="55" applyNumberFormat="1" applyFont="1" applyFill="1" applyBorder="1" applyAlignment="1">
      <alignment horizontal="center"/>
    </xf>
    <xf numFmtId="10" fontId="110" fillId="27" borderId="206" xfId="55" applyNumberFormat="1" applyFont="1" applyFill="1" applyBorder="1" applyAlignment="1">
      <alignment horizontal="center"/>
    </xf>
    <xf numFmtId="38" fontId="110" fillId="0" borderId="336" xfId="48" applyNumberFormat="1" applyFont="1" applyBorder="1" applyAlignment="1">
      <alignment horizontal="center" vertical="center"/>
    </xf>
    <xf numFmtId="0" fontId="45" fillId="0" borderId="330" xfId="0" applyFont="1" applyBorder="1" applyAlignment="1">
      <alignment horizontal="center" vertical="center"/>
    </xf>
    <xf numFmtId="0" fontId="45" fillId="0" borderId="337" xfId="0" applyFont="1" applyBorder="1" applyAlignment="1">
      <alignment horizontal="center" vertical="center"/>
    </xf>
    <xf numFmtId="38" fontId="110" fillId="0" borderId="329" xfId="48" applyNumberFormat="1" applyFont="1" applyBorder="1" applyAlignment="1">
      <alignment horizontal="center" vertical="center"/>
    </xf>
    <xf numFmtId="0" fontId="45" fillId="0" borderId="136" xfId="0" applyFont="1" applyBorder="1" applyAlignment="1">
      <alignment horizontal="center" vertical="center"/>
    </xf>
    <xf numFmtId="0" fontId="45" fillId="0" borderId="181" xfId="0" applyFont="1" applyBorder="1" applyAlignment="1">
      <alignment horizontal="center" vertical="center"/>
    </xf>
    <xf numFmtId="38" fontId="110" fillId="0" borderId="323" xfId="48" applyNumberFormat="1" applyFont="1" applyBorder="1" applyAlignment="1">
      <alignment horizontal="center" vertical="center"/>
    </xf>
    <xf numFmtId="0" fontId="45" fillId="0" borderId="324" xfId="0" applyFont="1" applyBorder="1" applyAlignment="1">
      <alignment horizontal="center" vertical="center"/>
    </xf>
    <xf numFmtId="0" fontId="45" fillId="0" borderId="325" xfId="0" applyFont="1" applyBorder="1" applyAlignment="1">
      <alignment horizontal="center" vertical="center"/>
    </xf>
    <xf numFmtId="38" fontId="110" fillId="0" borderId="333" xfId="48" applyNumberFormat="1" applyFont="1" applyBorder="1" applyAlignment="1">
      <alignment horizontal="center" vertical="center"/>
    </xf>
    <xf numFmtId="0" fontId="110" fillId="0" borderId="84" xfId="48" applyFont="1" applyBorder="1" applyAlignment="1">
      <alignment horizontal="center" vertical="center"/>
    </xf>
    <xf numFmtId="0" fontId="45" fillId="0" borderId="85" xfId="0" applyFont="1" applyBorder="1" applyAlignment="1">
      <alignment horizontal="center" vertical="center"/>
    </xf>
    <xf numFmtId="0" fontId="45" fillId="0" borderId="74" xfId="0" applyFont="1" applyBorder="1" applyAlignment="1">
      <alignment horizontal="center" vertical="center"/>
    </xf>
    <xf numFmtId="0" fontId="45" fillId="0" borderId="75" xfId="0" applyFont="1" applyBorder="1" applyAlignment="1">
      <alignment horizontal="center" vertical="center"/>
    </xf>
    <xf numFmtId="38" fontId="110" fillId="0" borderId="326" xfId="48" applyNumberFormat="1" applyFont="1" applyBorder="1" applyAlignment="1">
      <alignment horizontal="center" vertical="center"/>
    </xf>
    <xf numFmtId="0" fontId="45" fillId="0" borderId="327" xfId="0" applyFont="1" applyBorder="1" applyAlignment="1">
      <alignment horizontal="center" vertical="center"/>
    </xf>
    <xf numFmtId="0" fontId="45" fillId="0" borderId="328" xfId="0" applyFont="1" applyBorder="1" applyAlignment="1">
      <alignment horizontal="center" vertical="center"/>
    </xf>
    <xf numFmtId="0" fontId="76" fillId="0" borderId="330" xfId="48" applyFont="1" applyBorder="1" applyAlignment="1">
      <alignment horizontal="center"/>
    </xf>
    <xf numFmtId="0" fontId="76" fillId="0" borderId="0" xfId="48" applyFont="1" applyAlignment="1">
      <alignment horizontal="center"/>
    </xf>
    <xf numFmtId="38" fontId="110" fillId="0" borderId="332" xfId="48" applyNumberFormat="1" applyFont="1" applyBorder="1" applyAlignment="1">
      <alignment horizontal="center" vertical="center"/>
    </xf>
    <xf numFmtId="0" fontId="45" fillId="0" borderId="334" xfId="0" applyFont="1" applyBorder="1" applyAlignment="1">
      <alignment horizontal="center" vertical="center"/>
    </xf>
    <xf numFmtId="38" fontId="110" fillId="0" borderId="275" xfId="48" applyNumberFormat="1" applyFont="1" applyBorder="1" applyAlignment="1">
      <alignment horizontal="center" vertical="center"/>
    </xf>
    <xf numFmtId="0" fontId="45" fillId="0" borderId="335" xfId="0" applyFont="1" applyBorder="1" applyAlignment="1">
      <alignment horizontal="center" vertical="center"/>
    </xf>
    <xf numFmtId="0" fontId="45" fillId="0" borderId="65" xfId="0" applyFont="1" applyBorder="1" applyAlignment="1">
      <alignment horizontal="center" vertical="center"/>
    </xf>
    <xf numFmtId="0" fontId="45" fillId="0" borderId="68" xfId="0" applyFont="1" applyBorder="1" applyAlignment="1">
      <alignment horizontal="center" vertical="center"/>
    </xf>
    <xf numFmtId="0" fontId="110" fillId="0" borderId="72" xfId="48" applyFont="1" applyBorder="1" applyAlignment="1">
      <alignment horizontal="center" vertical="center"/>
    </xf>
    <xf numFmtId="0" fontId="45" fillId="0" borderId="73" xfId="0" applyFont="1" applyBorder="1" applyAlignment="1">
      <alignment horizontal="center" vertical="center"/>
    </xf>
    <xf numFmtId="0" fontId="76" fillId="0" borderId="330" xfId="43" applyFont="1" applyBorder="1" applyAlignment="1">
      <alignment horizontal="center"/>
    </xf>
    <xf numFmtId="0" fontId="76" fillId="0" borderId="0" xfId="43" applyFont="1" applyAlignment="1">
      <alignment horizontal="center"/>
    </xf>
    <xf numFmtId="0" fontId="110" fillId="0" borderId="73" xfId="48" quotePrefix="1" applyFont="1" applyBorder="1" applyAlignment="1">
      <alignment horizontal="center" vertical="center"/>
    </xf>
    <xf numFmtId="0" fontId="76" fillId="0" borderId="65" xfId="0" applyFont="1" applyBorder="1" applyAlignment="1">
      <alignment vertical="center"/>
    </xf>
    <xf numFmtId="0" fontId="76" fillId="0" borderId="75" xfId="0" applyFont="1" applyBorder="1" applyAlignment="1">
      <alignment vertical="center"/>
    </xf>
    <xf numFmtId="0" fontId="110" fillId="0" borderId="72" xfId="48" applyFont="1" applyBorder="1" applyAlignment="1">
      <alignment horizontal="center" vertical="center" wrapText="1"/>
    </xf>
    <xf numFmtId="0" fontId="45" fillId="0" borderId="331" xfId="0" applyFont="1" applyBorder="1" applyAlignment="1">
      <alignment horizontal="center" vertical="center"/>
    </xf>
    <xf numFmtId="0" fontId="110" fillId="0" borderId="85" xfId="48" quotePrefix="1" applyFont="1" applyBorder="1" applyAlignment="1">
      <alignment horizontal="center" vertical="center"/>
    </xf>
    <xf numFmtId="0" fontId="110" fillId="0" borderId="84" xfId="48" applyFont="1" applyBorder="1" applyAlignment="1">
      <alignment horizontal="center" vertical="center" wrapText="1"/>
    </xf>
    <xf numFmtId="0" fontId="110" fillId="0" borderId="23" xfId="48" applyFont="1" applyBorder="1" applyAlignment="1">
      <alignment horizontal="center"/>
    </xf>
    <xf numFmtId="0" fontId="110" fillId="0" borderId="24" xfId="48" applyFont="1" applyBorder="1" applyAlignment="1">
      <alignment horizontal="center"/>
    </xf>
    <xf numFmtId="0" fontId="110" fillId="0" borderId="25" xfId="48" applyFont="1" applyBorder="1" applyAlignment="1">
      <alignment horizontal="center"/>
    </xf>
    <xf numFmtId="0" fontId="110" fillId="0" borderId="12" xfId="0" applyFont="1" applyBorder="1" applyAlignment="1">
      <alignment horizontal="center"/>
    </xf>
    <xf numFmtId="0" fontId="110" fillId="0" borderId="13" xfId="0" applyFont="1" applyBorder="1" applyAlignment="1">
      <alignment horizontal="center"/>
    </xf>
    <xf numFmtId="0" fontId="110" fillId="0" borderId="19" xfId="0" applyFont="1" applyBorder="1" applyAlignment="1">
      <alignment horizontal="center"/>
    </xf>
    <xf numFmtId="0" fontId="110" fillId="0" borderId="14" xfId="0" applyFont="1" applyBorder="1" applyAlignment="1">
      <alignment horizontal="center"/>
    </xf>
    <xf numFmtId="0" fontId="110" fillId="0" borderId="15" xfId="0" applyFont="1" applyBorder="1" applyAlignment="1">
      <alignment horizontal="center"/>
    </xf>
    <xf numFmtId="0" fontId="8" fillId="27" borderId="210" xfId="48" applyFont="1" applyFill="1" applyBorder="1" applyAlignment="1">
      <alignment horizontal="center"/>
    </xf>
    <xf numFmtId="0" fontId="8" fillId="27" borderId="209" xfId="48" applyFont="1" applyFill="1" applyBorder="1" applyAlignment="1">
      <alignment horizontal="center"/>
    </xf>
    <xf numFmtId="0" fontId="82" fillId="0" borderId="373" xfId="70" applyFont="1" applyBorder="1" applyAlignment="1">
      <alignment horizontal="center"/>
    </xf>
    <xf numFmtId="0" fontId="79" fillId="59" borderId="114" xfId="73" applyFont="1" applyFill="1" applyBorder="1" applyAlignment="1">
      <alignment horizontal="center" vertical="center" wrapText="1"/>
    </xf>
    <xf numFmtId="0" fontId="45" fillId="59" borderId="114" xfId="70" applyFont="1" applyFill="1" applyBorder="1" applyAlignment="1">
      <alignment horizontal="center" vertical="center" wrapText="1"/>
    </xf>
    <xf numFmtId="165" fontId="76" fillId="0" borderId="113" xfId="72" applyNumberFormat="1" applyFont="1" applyBorder="1" applyAlignment="1">
      <alignment horizontal="center" vertical="center"/>
    </xf>
    <xf numFmtId="165" fontId="76" fillId="0" borderId="114" xfId="72" applyNumberFormat="1" applyFont="1" applyBorder="1" applyAlignment="1">
      <alignment horizontal="center" vertical="center"/>
    </xf>
    <xf numFmtId="165" fontId="76" fillId="0" borderId="115" xfId="72" applyNumberFormat="1" applyFont="1" applyBorder="1" applyAlignment="1">
      <alignment horizontal="center" vertical="center"/>
    </xf>
    <xf numFmtId="0" fontId="45" fillId="0" borderId="0" xfId="98" applyFont="1" applyAlignment="1">
      <alignment horizontal="left" vertical="center" wrapText="1"/>
    </xf>
    <xf numFmtId="0" fontId="45" fillId="0" borderId="0" xfId="98" applyFont="1" applyAlignment="1">
      <alignment wrapText="1"/>
    </xf>
    <xf numFmtId="0" fontId="94" fillId="0" borderId="413" xfId="0" applyFont="1" applyBorder="1" applyAlignment="1">
      <alignment horizontal="center" vertical="center" wrapText="1"/>
    </xf>
    <xf numFmtId="0" fontId="93" fillId="0" borderId="415" xfId="0" applyFont="1" applyBorder="1" applyAlignment="1">
      <alignment horizontal="center" vertical="center" wrapText="1"/>
    </xf>
    <xf numFmtId="0" fontId="93" fillId="0" borderId="441" xfId="0" applyFont="1" applyBorder="1" applyAlignment="1">
      <alignment wrapText="1"/>
    </xf>
    <xf numFmtId="0" fontId="93" fillId="0" borderId="416" xfId="0" applyFont="1" applyBorder="1" applyAlignment="1">
      <alignment wrapText="1"/>
    </xf>
    <xf numFmtId="0" fontId="94" fillId="71" borderId="415" xfId="0" applyFont="1" applyFill="1" applyBorder="1" applyAlignment="1">
      <alignment horizontal="right" wrapText="1"/>
    </xf>
    <xf numFmtId="0" fontId="94" fillId="71" borderId="441" xfId="0" applyFont="1" applyFill="1" applyBorder="1" applyAlignment="1">
      <alignment horizontal="right" wrapText="1"/>
    </xf>
    <xf numFmtId="0" fontId="93" fillId="0" borderId="442" xfId="106" applyFont="1" applyBorder="1" applyAlignment="1">
      <alignment wrapText="1"/>
    </xf>
    <xf numFmtId="0" fontId="94" fillId="71" borderId="413" xfId="0" applyFont="1" applyFill="1" applyBorder="1" applyAlignment="1">
      <alignment horizontal="center" wrapText="1"/>
    </xf>
    <xf numFmtId="0" fontId="93" fillId="0" borderId="415" xfId="0" applyFont="1" applyBorder="1" applyAlignment="1">
      <alignment horizontal="left" vertical="top" wrapText="1"/>
    </xf>
    <xf numFmtId="0" fontId="93" fillId="71" borderId="415" xfId="0" applyFont="1" applyFill="1" applyBorder="1" applyAlignment="1">
      <alignment horizontal="left" vertical="top" wrapText="1"/>
    </xf>
    <xf numFmtId="0" fontId="93" fillId="71" borderId="441" xfId="0" applyFont="1" applyFill="1" applyBorder="1" applyAlignment="1">
      <alignment wrapText="1"/>
    </xf>
    <xf numFmtId="0" fontId="93" fillId="71" borderId="416" xfId="0" applyFont="1" applyFill="1" applyBorder="1" applyAlignment="1">
      <alignment wrapText="1"/>
    </xf>
    <xf numFmtId="0" fontId="93" fillId="0" borderId="440" xfId="106" applyFont="1" applyBorder="1" applyAlignment="1">
      <alignment horizontal="center" wrapText="1"/>
    </xf>
    <xf numFmtId="0" fontId="45" fillId="0" borderId="0" xfId="106" applyFont="1"/>
    <xf numFmtId="0" fontId="94" fillId="0" borderId="413" xfId="0" applyFont="1" applyBorder="1" applyAlignment="1">
      <alignment horizontal="center" wrapText="1"/>
    </xf>
    <xf numFmtId="0" fontId="94" fillId="71" borderId="413" xfId="0" applyFont="1" applyFill="1" applyBorder="1" applyAlignment="1">
      <alignment vertical="center" wrapText="1"/>
    </xf>
    <xf numFmtId="0" fontId="94" fillId="71" borderId="413" xfId="0" applyFont="1" applyFill="1" applyBorder="1" applyAlignment="1">
      <alignment horizontal="center" vertical="center" wrapText="1"/>
    </xf>
    <xf numFmtId="0" fontId="93" fillId="0" borderId="415" xfId="0" applyFont="1" applyBorder="1" applyAlignment="1">
      <alignment horizontal="center" wrapText="1"/>
    </xf>
    <xf numFmtId="0" fontId="93" fillId="71" borderId="415" xfId="0" applyFont="1" applyFill="1" applyBorder="1" applyAlignment="1">
      <alignment vertical="center" wrapText="1"/>
    </xf>
    <xf numFmtId="0" fontId="93" fillId="71" borderId="413" xfId="0" applyFont="1" applyFill="1" applyBorder="1" applyAlignment="1">
      <alignment horizontal="left" vertical="center" wrapText="1"/>
    </xf>
    <xf numFmtId="0" fontId="93" fillId="71" borderId="413" xfId="0" applyFont="1" applyFill="1" applyBorder="1" applyAlignment="1">
      <alignment vertical="center" wrapText="1"/>
    </xf>
    <xf numFmtId="0" fontId="94" fillId="71" borderId="415" xfId="0" applyFont="1" applyFill="1" applyBorder="1" applyAlignment="1">
      <alignment horizontal="center" wrapText="1"/>
    </xf>
    <xf numFmtId="0" fontId="94" fillId="71" borderId="441" xfId="0" applyFont="1" applyFill="1" applyBorder="1" applyAlignment="1">
      <alignment horizontal="center" wrapText="1"/>
    </xf>
    <xf numFmtId="0" fontId="94" fillId="71" borderId="416" xfId="0" applyFont="1" applyFill="1" applyBorder="1" applyAlignment="1">
      <alignment horizontal="center" wrapText="1"/>
    </xf>
    <xf numFmtId="0" fontId="93" fillId="0" borderId="417" xfId="0" applyFont="1" applyBorder="1" applyAlignment="1">
      <alignment horizontal="left" vertical="center" wrapText="1"/>
    </xf>
    <xf numFmtId="0" fontId="93" fillId="0" borderId="421" xfId="0" applyFont="1" applyBorder="1" applyAlignment="1">
      <alignment horizontal="left" vertical="center" wrapText="1"/>
    </xf>
    <xf numFmtId="0" fontId="93" fillId="0" borderId="414" xfId="0" applyFont="1" applyBorder="1" applyAlignment="1">
      <alignment horizontal="left" vertical="center" wrapText="1"/>
    </xf>
    <xf numFmtId="0" fontId="93" fillId="0" borderId="417" xfId="0" applyFont="1" applyBorder="1" applyAlignment="1">
      <alignment horizontal="center" wrapText="1"/>
    </xf>
    <xf numFmtId="0" fontId="93" fillId="0" borderId="414" xfId="0" applyFont="1" applyBorder="1" applyAlignment="1">
      <alignment horizontal="center" wrapText="1"/>
    </xf>
    <xf numFmtId="0" fontId="93" fillId="72" borderId="413" xfId="0" applyFont="1" applyFill="1" applyBorder="1" applyAlignment="1">
      <alignment horizontal="left" wrapText="1"/>
    </xf>
    <xf numFmtId="0" fontId="93" fillId="71" borderId="413" xfId="0" applyFont="1" applyFill="1" applyBorder="1" applyAlignment="1">
      <alignment horizontal="center" wrapText="1"/>
    </xf>
    <xf numFmtId="0" fontId="93" fillId="71" borderId="413" xfId="0" applyFont="1" applyFill="1" applyBorder="1" applyAlignment="1">
      <alignment wrapText="1"/>
    </xf>
    <xf numFmtId="0" fontId="93" fillId="0" borderId="413" xfId="0" applyFont="1" applyBorder="1" applyAlignment="1">
      <alignment horizontal="center" wrapText="1"/>
    </xf>
    <xf numFmtId="0" fontId="93" fillId="0" borderId="413" xfId="0" applyFont="1" applyBorder="1" applyAlignment="1">
      <alignment wrapText="1"/>
    </xf>
    <xf numFmtId="0" fontId="93" fillId="71" borderId="415" xfId="0" applyFont="1" applyFill="1" applyBorder="1" applyAlignment="1">
      <alignment horizontal="center" wrapText="1"/>
    </xf>
    <xf numFmtId="0" fontId="93" fillId="71" borderId="441" xfId="0" applyFont="1" applyFill="1" applyBorder="1" applyAlignment="1">
      <alignment horizontal="center" wrapText="1"/>
    </xf>
    <xf numFmtId="0" fontId="93" fillId="71" borderId="416" xfId="0" applyFont="1" applyFill="1" applyBorder="1" applyAlignment="1">
      <alignment horizontal="center" wrapText="1"/>
    </xf>
    <xf numFmtId="0" fontId="93" fillId="0" borderId="413" xfId="0" applyFont="1" applyBorder="1" applyAlignment="1">
      <alignment horizontal="left" vertical="center" wrapText="1"/>
    </xf>
    <xf numFmtId="0" fontId="93" fillId="69" borderId="415" xfId="0" applyFont="1" applyFill="1" applyBorder="1" applyAlignment="1">
      <alignment horizontal="right" wrapText="1"/>
    </xf>
    <xf numFmtId="0" fontId="93" fillId="69" borderId="416" xfId="0" applyFont="1" applyFill="1" applyBorder="1" applyAlignment="1">
      <alignment horizontal="right" wrapText="1"/>
    </xf>
    <xf numFmtId="0" fontId="93" fillId="69" borderId="441" xfId="0" applyFont="1" applyFill="1" applyBorder="1" applyAlignment="1">
      <alignment horizontal="right" wrapText="1"/>
    </xf>
    <xf numFmtId="0" fontId="93" fillId="72" borderId="415" xfId="0" applyFont="1" applyFill="1" applyBorder="1" applyAlignment="1">
      <alignment horizontal="right" wrapText="1"/>
    </xf>
    <xf numFmtId="0" fontId="93" fillId="72" borderId="441" xfId="0" applyFont="1" applyFill="1" applyBorder="1" applyAlignment="1">
      <alignment horizontal="right" wrapText="1"/>
    </xf>
    <xf numFmtId="0" fontId="93" fillId="72" borderId="416" xfId="0" applyFont="1" applyFill="1" applyBorder="1" applyAlignment="1">
      <alignment horizontal="right" wrapText="1"/>
    </xf>
    <xf numFmtId="0" fontId="93" fillId="75" borderId="415" xfId="0" applyFont="1" applyFill="1" applyBorder="1" applyAlignment="1">
      <alignment horizontal="right" wrapText="1"/>
    </xf>
    <xf numFmtId="0" fontId="93" fillId="75" borderId="416" xfId="0" applyFont="1" applyFill="1" applyBorder="1" applyAlignment="1">
      <alignment horizontal="right" wrapText="1"/>
    </xf>
    <xf numFmtId="0" fontId="94" fillId="0" borderId="413" xfId="106" applyFont="1" applyBorder="1" applyAlignment="1">
      <alignment horizontal="center" wrapText="1"/>
    </xf>
    <xf numFmtId="0" fontId="94" fillId="71" borderId="413" xfId="106" applyFont="1" applyFill="1" applyBorder="1" applyAlignment="1">
      <alignment horizontal="center" wrapText="1"/>
    </xf>
    <xf numFmtId="0" fontId="93" fillId="0" borderId="415" xfId="106" applyFont="1" applyBorder="1" applyAlignment="1">
      <alignment horizontal="center" wrapText="1"/>
    </xf>
    <xf numFmtId="0" fontId="93" fillId="0" borderId="441" xfId="106" applyFont="1" applyBorder="1" applyAlignment="1">
      <alignment wrapText="1"/>
    </xf>
    <xf numFmtId="0" fontId="93" fillId="0" borderId="416" xfId="106" applyFont="1" applyBorder="1" applyAlignment="1">
      <alignment wrapText="1"/>
    </xf>
    <xf numFmtId="0" fontId="93" fillId="71" borderId="415" xfId="106" applyFont="1" applyFill="1" applyBorder="1" applyAlignment="1">
      <alignment horizontal="center" wrapText="1"/>
    </xf>
    <xf numFmtId="0" fontId="93" fillId="71" borderId="441" xfId="106" applyFont="1" applyFill="1" applyBorder="1" applyAlignment="1">
      <alignment horizontal="center" wrapText="1"/>
    </xf>
    <xf numFmtId="0" fontId="93" fillId="71" borderId="416" xfId="106" applyFont="1" applyFill="1" applyBorder="1" applyAlignment="1">
      <alignment horizontal="center" wrapText="1"/>
    </xf>
    <xf numFmtId="0" fontId="93" fillId="0" borderId="415" xfId="106" applyFont="1" applyBorder="1" applyAlignment="1">
      <alignment horizontal="left" vertical="top" wrapText="1"/>
    </xf>
    <xf numFmtId="0" fontId="93" fillId="71" borderId="415" xfId="106" applyFont="1" applyFill="1" applyBorder="1" applyAlignment="1">
      <alignment horizontal="left" wrapText="1"/>
    </xf>
    <xf numFmtId="0" fontId="93" fillId="71" borderId="441" xfId="106" applyFont="1" applyFill="1" applyBorder="1" applyAlignment="1">
      <alignment horizontal="left" wrapText="1"/>
    </xf>
    <xf numFmtId="0" fontId="93" fillId="71" borderId="416" xfId="106" applyFont="1" applyFill="1" applyBorder="1" applyAlignment="1">
      <alignment horizontal="left" wrapText="1"/>
    </xf>
    <xf numFmtId="0" fontId="93" fillId="71" borderId="417" xfId="106" applyFont="1" applyFill="1" applyBorder="1" applyAlignment="1">
      <alignment horizontal="left" vertical="center" wrapText="1"/>
    </xf>
    <xf numFmtId="0" fontId="93" fillId="71" borderId="421" xfId="106" applyFont="1" applyFill="1" applyBorder="1" applyAlignment="1">
      <alignment horizontal="left" vertical="center" wrapText="1"/>
    </xf>
    <xf numFmtId="0" fontId="93" fillId="0" borderId="413" xfId="106" applyFont="1" applyBorder="1" applyAlignment="1">
      <alignment horizontal="center" wrapText="1"/>
    </xf>
    <xf numFmtId="0" fontId="93" fillId="71" borderId="413" xfId="106" applyFont="1" applyFill="1" applyBorder="1" applyAlignment="1">
      <alignment horizontal="center" wrapText="1"/>
    </xf>
    <xf numFmtId="0" fontId="93" fillId="71" borderId="414" xfId="106" applyFont="1" applyFill="1" applyBorder="1" applyAlignment="1">
      <alignment horizontal="left" vertical="center" wrapText="1"/>
    </xf>
    <xf numFmtId="0" fontId="93" fillId="71" borderId="413" xfId="106" applyFont="1" applyFill="1" applyBorder="1" applyAlignment="1">
      <alignment horizontal="left" vertical="center" wrapText="1"/>
    </xf>
    <xf numFmtId="0" fontId="94" fillId="0" borderId="415" xfId="0" applyFont="1" applyBorder="1" applyAlignment="1">
      <alignment horizontal="center" wrapText="1"/>
    </xf>
    <xf numFmtId="0" fontId="93" fillId="0" borderId="415" xfId="106" applyFont="1" applyBorder="1" applyAlignment="1">
      <alignment horizontal="center" vertical="center" wrapText="1"/>
    </xf>
    <xf numFmtId="0" fontId="93" fillId="0" borderId="441" xfId="106" applyFont="1" applyBorder="1" applyAlignment="1">
      <alignment horizontal="center" vertical="center" wrapText="1"/>
    </xf>
    <xf numFmtId="0" fontId="93" fillId="0" borderId="416" xfId="106" applyFont="1" applyBorder="1" applyAlignment="1">
      <alignment horizontal="center" vertical="center" wrapText="1"/>
    </xf>
    <xf numFmtId="0" fontId="93" fillId="0" borderId="441" xfId="106" applyFont="1" applyBorder="1" applyAlignment="1">
      <alignment horizontal="left" vertical="top" wrapText="1"/>
    </xf>
    <xf numFmtId="0" fontId="93" fillId="0" borderId="416" xfId="106" applyFont="1" applyBorder="1" applyAlignment="1">
      <alignment horizontal="left" vertical="top" wrapText="1"/>
    </xf>
    <xf numFmtId="0" fontId="94" fillId="0" borderId="415" xfId="106" applyFont="1" applyBorder="1" applyAlignment="1">
      <alignment horizontal="center" vertical="center" wrapText="1"/>
    </xf>
    <xf numFmtId="0" fontId="94" fillId="0" borderId="441" xfId="106" applyFont="1" applyBorder="1" applyAlignment="1">
      <alignment horizontal="center" vertical="center" wrapText="1"/>
    </xf>
    <xf numFmtId="0" fontId="94" fillId="0" borderId="416" xfId="106" applyFont="1" applyBorder="1" applyAlignment="1">
      <alignment horizontal="center" vertical="center" wrapText="1"/>
    </xf>
    <xf numFmtId="194" fontId="93" fillId="0" borderId="417" xfId="0" applyNumberFormat="1" applyFont="1" applyBorder="1" applyAlignment="1">
      <alignment horizontal="right" wrapText="1"/>
    </xf>
    <xf numFmtId="0" fontId="93" fillId="0" borderId="414" xfId="0" applyFont="1" applyBorder="1" applyAlignment="1">
      <alignment horizontal="right" wrapText="1"/>
    </xf>
    <xf numFmtId="0" fontId="93" fillId="0" borderId="417" xfId="0" applyFont="1" applyBorder="1" applyAlignment="1">
      <alignment horizontal="left" wrapText="1"/>
    </xf>
    <xf numFmtId="0" fontId="93" fillId="0" borderId="414" xfId="0" applyFont="1" applyBorder="1" applyAlignment="1">
      <alignment horizontal="left" wrapText="1"/>
    </xf>
    <xf numFmtId="193" fontId="93" fillId="70" borderId="417" xfId="0" applyNumberFormat="1" applyFont="1" applyFill="1" applyBorder="1" applyAlignment="1">
      <alignment wrapText="1"/>
    </xf>
    <xf numFmtId="0" fontId="93" fillId="70" borderId="414" xfId="0" applyFont="1" applyFill="1" applyBorder="1" applyAlignment="1">
      <alignment horizontal="right" wrapText="1"/>
    </xf>
    <xf numFmtId="193" fontId="93" fillId="0" borderId="417" xfId="0" applyNumberFormat="1" applyFont="1" applyBorder="1" applyAlignment="1">
      <alignment wrapText="1"/>
    </xf>
    <xf numFmtId="0" fontId="93" fillId="0" borderId="414" xfId="0" applyFont="1" applyBorder="1" applyAlignment="1">
      <alignment wrapText="1"/>
    </xf>
    <xf numFmtId="0" fontId="93" fillId="0" borderId="417" xfId="0" applyFont="1" applyBorder="1" applyAlignment="1">
      <alignment wrapText="1"/>
    </xf>
    <xf numFmtId="194" fontId="93" fillId="0" borderId="413" xfId="0" applyNumberFormat="1" applyFont="1" applyBorder="1" applyAlignment="1">
      <alignment horizontal="center" wrapText="1"/>
    </xf>
    <xf numFmtId="0" fontId="93" fillId="70" borderId="414" xfId="0" applyFont="1" applyFill="1" applyBorder="1" applyAlignment="1">
      <alignment wrapText="1"/>
    </xf>
    <xf numFmtId="0" fontId="93" fillId="0" borderId="417" xfId="0" applyFont="1" applyBorder="1" applyAlignment="1">
      <alignment horizontal="left" vertical="top" wrapText="1"/>
    </xf>
    <xf numFmtId="0" fontId="93" fillId="0" borderId="417" xfId="0" applyFont="1" applyBorder="1" applyAlignment="1">
      <alignment horizontal="center" vertical="top" wrapText="1"/>
    </xf>
    <xf numFmtId="0" fontId="93" fillId="0" borderId="415" xfId="0" applyFont="1" applyBorder="1" applyAlignment="1">
      <alignment horizontal="center" vertical="top" wrapText="1"/>
    </xf>
    <xf numFmtId="0" fontId="93" fillId="75" borderId="415" xfId="0" applyFont="1" applyFill="1" applyBorder="1" applyAlignment="1">
      <alignment horizontal="left" wrapText="1"/>
    </xf>
    <xf numFmtId="0" fontId="93" fillId="75" borderId="441" xfId="0" applyFont="1" applyFill="1" applyBorder="1" applyAlignment="1">
      <alignment horizontal="left" wrapText="1"/>
    </xf>
    <xf numFmtId="0" fontId="93" fillId="75" borderId="416" xfId="0" applyFont="1" applyFill="1" applyBorder="1" applyAlignment="1">
      <alignment horizontal="left" wrapText="1"/>
    </xf>
    <xf numFmtId="0" fontId="93" fillId="0" borderId="421" xfId="0" applyFont="1" applyBorder="1" applyAlignment="1">
      <alignment wrapText="1"/>
    </xf>
    <xf numFmtId="0" fontId="93" fillId="0" borderId="413" xfId="0" applyFont="1" applyBorder="1" applyAlignment="1">
      <alignment horizontal="left" wrapText="1"/>
    </xf>
    <xf numFmtId="193" fontId="93" fillId="77" borderId="417" xfId="0" applyNumberFormat="1" applyFont="1" applyFill="1" applyBorder="1" applyAlignment="1">
      <alignment wrapText="1"/>
    </xf>
    <xf numFmtId="0" fontId="93" fillId="77" borderId="414" xfId="0" applyFont="1" applyFill="1" applyBorder="1" applyAlignment="1">
      <alignment wrapText="1"/>
    </xf>
    <xf numFmtId="0" fontId="94" fillId="0" borderId="441" xfId="0" applyFont="1" applyBorder="1" applyAlignment="1">
      <alignment horizontal="center" wrapText="1"/>
    </xf>
    <xf numFmtId="0" fontId="94" fillId="0" borderId="416" xfId="0" applyFont="1" applyBorder="1" applyAlignment="1">
      <alignment horizontal="center" wrapText="1"/>
    </xf>
    <xf numFmtId="0" fontId="94" fillId="78" borderId="415" xfId="0" applyFont="1" applyFill="1" applyBorder="1" applyAlignment="1">
      <alignment horizontal="center" wrapText="1"/>
    </xf>
    <xf numFmtId="0" fontId="94" fillId="78" borderId="441" xfId="0" applyFont="1" applyFill="1" applyBorder="1" applyAlignment="1">
      <alignment horizontal="center" wrapText="1"/>
    </xf>
    <xf numFmtId="0" fontId="94" fillId="78" borderId="416" xfId="0" applyFont="1" applyFill="1" applyBorder="1" applyAlignment="1">
      <alignment horizontal="center" wrapText="1"/>
    </xf>
    <xf numFmtId="0" fontId="93" fillId="0" borderId="441" xfId="0" applyFont="1" applyBorder="1" applyAlignment="1">
      <alignment horizontal="center" wrapText="1"/>
    </xf>
    <xf numFmtId="0" fontId="93" fillId="0" borderId="416" xfId="0" applyFont="1" applyBorder="1" applyAlignment="1">
      <alignment horizontal="center" wrapText="1"/>
    </xf>
    <xf numFmtId="0" fontId="93" fillId="78" borderId="415" xfId="0" applyFont="1" applyFill="1" applyBorder="1" applyAlignment="1">
      <alignment horizontal="center" wrapText="1"/>
    </xf>
    <xf numFmtId="0" fontId="93" fillId="78" borderId="441" xfId="0" applyFont="1" applyFill="1" applyBorder="1" applyAlignment="1">
      <alignment horizontal="center" wrapText="1"/>
    </xf>
    <xf numFmtId="0" fontId="93" fillId="78" borderId="416" xfId="0" applyFont="1" applyFill="1" applyBorder="1" applyAlignment="1">
      <alignment horizontal="center" wrapText="1"/>
    </xf>
    <xf numFmtId="0" fontId="93" fillId="0" borderId="441" xfId="0" applyFont="1" applyBorder="1" applyAlignment="1">
      <alignment horizontal="left" vertical="top" wrapText="1"/>
    </xf>
    <xf numFmtId="0" fontId="93" fillId="0" borderId="416" xfId="0" applyFont="1" applyBorder="1" applyAlignment="1">
      <alignment horizontal="left" vertical="top" wrapText="1"/>
    </xf>
    <xf numFmtId="0" fontId="93" fillId="78" borderId="415" xfId="0" applyFont="1" applyFill="1" applyBorder="1" applyAlignment="1">
      <alignment horizontal="left" vertical="top" wrapText="1"/>
    </xf>
    <xf numFmtId="0" fontId="93" fillId="78" borderId="441" xfId="0" applyFont="1" applyFill="1" applyBorder="1" applyAlignment="1">
      <alignment horizontal="left" vertical="top" wrapText="1"/>
    </xf>
    <xf numFmtId="0" fontId="93" fillId="78" borderId="416" xfId="0" applyFont="1" applyFill="1" applyBorder="1" applyAlignment="1">
      <alignment horizontal="left" vertical="top" wrapText="1"/>
    </xf>
    <xf numFmtId="0" fontId="93" fillId="0" borderId="421" xfId="0" applyFont="1" applyBorder="1" applyAlignment="1">
      <alignment horizontal="center" wrapText="1"/>
    </xf>
    <xf numFmtId="0" fontId="94" fillId="0" borderId="415" xfId="0" applyFont="1" applyBorder="1" applyAlignment="1">
      <alignment horizontal="center" vertical="top" wrapText="1"/>
    </xf>
    <xf numFmtId="0" fontId="94" fillId="0" borderId="441" xfId="0" applyFont="1" applyBorder="1" applyAlignment="1">
      <alignment horizontal="center" vertical="top" wrapText="1"/>
    </xf>
    <xf numFmtId="0" fontId="94" fillId="0" borderId="416" xfId="0" applyFont="1" applyBorder="1" applyAlignment="1">
      <alignment horizontal="center" vertical="top" wrapText="1"/>
    </xf>
    <xf numFmtId="0" fontId="93" fillId="0" borderId="441" xfId="0" applyFont="1" applyBorder="1" applyAlignment="1">
      <alignment horizontal="center" vertical="top" wrapText="1"/>
    </xf>
    <xf numFmtId="0" fontId="93" fillId="0" borderId="416" xfId="0" applyFont="1" applyBorder="1" applyAlignment="1">
      <alignment horizontal="center" vertical="top" wrapText="1"/>
    </xf>
    <xf numFmtId="0" fontId="93" fillId="71" borderId="415" xfId="0" applyFont="1" applyFill="1" applyBorder="1" applyAlignment="1">
      <alignment horizontal="left" wrapText="1"/>
    </xf>
    <xf numFmtId="0" fontId="93" fillId="71" borderId="441" xfId="0" applyFont="1" applyFill="1" applyBorder="1" applyAlignment="1">
      <alignment horizontal="left" wrapText="1"/>
    </xf>
    <xf numFmtId="194" fontId="93" fillId="0" borderId="417" xfId="0" applyNumberFormat="1" applyFont="1" applyBorder="1" applyAlignment="1">
      <alignment horizontal="center" wrapText="1"/>
    </xf>
    <xf numFmtId="0" fontId="93" fillId="0" borderId="417" xfId="0" applyFont="1" applyBorder="1" applyAlignment="1">
      <alignment horizontal="center" vertical="center" wrapText="1"/>
    </xf>
    <xf numFmtId="0" fontId="93" fillId="70" borderId="417" xfId="0" applyFont="1" applyFill="1" applyBorder="1" applyAlignment="1">
      <alignment horizontal="left" wrapText="1"/>
    </xf>
    <xf numFmtId="0" fontId="93" fillId="70" borderId="414" xfId="0" applyFont="1" applyFill="1" applyBorder="1" applyAlignment="1">
      <alignment horizontal="left" wrapText="1"/>
    </xf>
    <xf numFmtId="0" fontId="93" fillId="71" borderId="415" xfId="0" applyFont="1" applyFill="1" applyBorder="1" applyAlignment="1">
      <alignment vertical="top" wrapText="1"/>
    </xf>
    <xf numFmtId="0" fontId="93" fillId="71" borderId="441" xfId="0" applyFont="1" applyFill="1" applyBorder="1" applyAlignment="1">
      <alignment vertical="top" wrapText="1"/>
    </xf>
    <xf numFmtId="0" fontId="93" fillId="71" borderId="416" xfId="0" applyFont="1" applyFill="1" applyBorder="1" applyAlignment="1">
      <alignment vertical="top" wrapText="1"/>
    </xf>
    <xf numFmtId="0" fontId="93" fillId="0" borderId="421" xfId="0" applyFont="1" applyBorder="1" applyAlignment="1">
      <alignment horizontal="left" wrapText="1"/>
    </xf>
    <xf numFmtId="0" fontId="93" fillId="0" borderId="417" xfId="79" applyFont="1" applyBorder="1" applyAlignment="1">
      <alignment horizontal="center" vertical="top" wrapText="1"/>
    </xf>
    <xf numFmtId="0" fontId="93" fillId="0" borderId="421" xfId="79" applyFont="1" applyBorder="1" applyAlignment="1">
      <alignment horizontal="center" vertical="top" wrapText="1"/>
    </xf>
    <xf numFmtId="0" fontId="93" fillId="0" borderId="415" xfId="79" applyFont="1" applyBorder="1" applyAlignment="1">
      <alignment horizontal="center" wrapText="1"/>
    </xf>
    <xf numFmtId="0" fontId="93" fillId="0" borderId="441" xfId="79" applyFont="1" applyBorder="1" applyAlignment="1">
      <alignment horizontal="center" wrapText="1"/>
    </xf>
    <xf numFmtId="0" fontId="93" fillId="0" borderId="416" xfId="79" applyFont="1" applyBorder="1" applyAlignment="1">
      <alignment horizontal="center" wrapText="1"/>
    </xf>
    <xf numFmtId="0" fontId="93" fillId="0" borderId="415" xfId="108" applyFont="1" applyBorder="1" applyAlignment="1">
      <alignment horizontal="center" wrapText="1"/>
    </xf>
    <xf numFmtId="0" fontId="93" fillId="0" borderId="441" xfId="108" applyFont="1" applyBorder="1" applyAlignment="1">
      <alignment horizontal="center" wrapText="1"/>
    </xf>
    <xf numFmtId="0" fontId="93" fillId="0" borderId="416" xfId="108" applyFont="1" applyBorder="1" applyAlignment="1">
      <alignment horizontal="center" wrapText="1"/>
    </xf>
    <xf numFmtId="0" fontId="93" fillId="0" borderId="415" xfId="108" applyFont="1" applyBorder="1" applyAlignment="1">
      <alignment horizontal="left" vertical="top" wrapText="1"/>
    </xf>
    <xf numFmtId="0" fontId="93" fillId="0" borderId="441" xfId="108" applyFont="1" applyBorder="1" applyAlignment="1">
      <alignment horizontal="left" vertical="top" wrapText="1"/>
    </xf>
    <xf numFmtId="0" fontId="93" fillId="0" borderId="416" xfId="108" applyFont="1" applyBorder="1" applyAlignment="1">
      <alignment horizontal="left" vertical="top" wrapText="1"/>
    </xf>
    <xf numFmtId="0" fontId="93" fillId="0" borderId="414" xfId="79" applyFont="1" applyBorder="1" applyAlignment="1">
      <alignment horizontal="center" vertical="top" wrapText="1"/>
    </xf>
    <xf numFmtId="0" fontId="93" fillId="0" borderId="415" xfId="79" applyFont="1" applyBorder="1" applyAlignment="1">
      <alignment horizontal="center" vertical="top" wrapText="1"/>
    </xf>
    <xf numFmtId="0" fontId="93" fillId="0" borderId="416" xfId="79" applyFont="1" applyBorder="1" applyAlignment="1">
      <alignment horizontal="center" vertical="top" wrapText="1"/>
    </xf>
    <xf numFmtId="0" fontId="93" fillId="0" borderId="417" xfId="87" applyFont="1" applyBorder="1" applyAlignment="1">
      <alignment horizontal="center" vertical="top" wrapText="1"/>
    </xf>
    <xf numFmtId="0" fontId="93" fillId="0" borderId="421" xfId="87" applyFont="1" applyBorder="1" applyAlignment="1">
      <alignment horizontal="center" vertical="top" wrapText="1"/>
    </xf>
    <xf numFmtId="0" fontId="93" fillId="0" borderId="415" xfId="87" applyFont="1" applyBorder="1" applyAlignment="1">
      <alignment horizontal="center" wrapText="1"/>
    </xf>
    <xf numFmtId="0" fontId="93" fillId="0" borderId="441" xfId="87" applyFont="1" applyBorder="1" applyAlignment="1">
      <alignment horizontal="center" wrapText="1"/>
    </xf>
    <xf numFmtId="0" fontId="93" fillId="0" borderId="416" xfId="87" applyFont="1" applyBorder="1" applyAlignment="1">
      <alignment horizontal="center" wrapText="1"/>
    </xf>
    <xf numFmtId="0" fontId="93" fillId="0" borderId="441" xfId="87" applyFont="1" applyBorder="1" applyAlignment="1">
      <alignment wrapText="1"/>
    </xf>
    <xf numFmtId="0" fontId="93" fillId="0" borderId="416" xfId="87" applyFont="1" applyBorder="1" applyAlignment="1">
      <alignment wrapText="1"/>
    </xf>
    <xf numFmtId="0" fontId="93" fillId="0" borderId="415" xfId="87" applyFont="1" applyBorder="1" applyAlignment="1">
      <alignment horizontal="left" vertical="top" wrapText="1"/>
    </xf>
    <xf numFmtId="0" fontId="93" fillId="0" borderId="441" xfId="87" applyFont="1" applyBorder="1" applyAlignment="1">
      <alignment vertical="top" wrapText="1"/>
    </xf>
    <xf numFmtId="0" fontId="93" fillId="0" borderId="416" xfId="87" applyFont="1" applyBorder="1" applyAlignment="1">
      <alignment vertical="top" wrapText="1"/>
    </xf>
    <xf numFmtId="0" fontId="93" fillId="0" borderId="441" xfId="87" applyFont="1" applyBorder="1" applyAlignment="1">
      <alignment horizontal="left" vertical="top" wrapText="1"/>
    </xf>
    <xf numFmtId="0" fontId="93" fillId="0" borderId="416" xfId="87" applyFont="1" applyBorder="1" applyAlignment="1">
      <alignment horizontal="left" vertical="top" wrapText="1"/>
    </xf>
    <xf numFmtId="0" fontId="93" fillId="0" borderId="413" xfId="87" applyFont="1" applyBorder="1" applyAlignment="1">
      <alignment horizontal="center" vertical="top" wrapText="1"/>
    </xf>
    <xf numFmtId="0" fontId="93" fillId="0" borderId="413" xfId="87" applyFont="1" applyBorder="1" applyAlignment="1">
      <alignment wrapText="1"/>
    </xf>
    <xf numFmtId="0" fontId="93" fillId="0" borderId="421" xfId="87" applyFont="1" applyBorder="1" applyAlignment="1">
      <alignment wrapText="1"/>
    </xf>
    <xf numFmtId="0" fontId="93" fillId="0" borderId="415" xfId="87" applyFont="1" applyBorder="1" applyAlignment="1">
      <alignment horizontal="center" vertical="top" wrapText="1"/>
    </xf>
    <xf numFmtId="0" fontId="93" fillId="72" borderId="416" xfId="0" applyFont="1" applyFill="1" applyBorder="1" applyAlignment="1">
      <alignment horizontal="left" wrapText="1"/>
    </xf>
    <xf numFmtId="0" fontId="93" fillId="71" borderId="441" xfId="0" applyFont="1" applyFill="1" applyBorder="1" applyAlignment="1">
      <alignment horizontal="left" vertical="top" wrapText="1"/>
    </xf>
    <xf numFmtId="0" fontId="93" fillId="71" borderId="416" xfId="0" applyFont="1" applyFill="1" applyBorder="1" applyAlignment="1">
      <alignment horizontal="left" vertical="top" wrapText="1"/>
    </xf>
    <xf numFmtId="0" fontId="93" fillId="72" borderId="413" xfId="0" applyFont="1" applyFill="1" applyBorder="1" applyAlignment="1">
      <alignment horizontal="right" wrapText="1"/>
    </xf>
    <xf numFmtId="0" fontId="93" fillId="71" borderId="417" xfId="0" applyFont="1" applyFill="1" applyBorder="1" applyAlignment="1">
      <alignment horizontal="center" vertical="center" wrapText="1"/>
    </xf>
    <xf numFmtId="0" fontId="93" fillId="71" borderId="414" xfId="0" applyFont="1" applyFill="1" applyBorder="1" applyAlignment="1">
      <alignment horizontal="center" vertical="center" wrapText="1"/>
    </xf>
    <xf numFmtId="0" fontId="93" fillId="72" borderId="415" xfId="0" applyFont="1" applyFill="1" applyBorder="1" applyAlignment="1">
      <alignment wrapText="1"/>
    </xf>
    <xf numFmtId="0" fontId="93" fillId="72" borderId="416" xfId="0" applyFont="1" applyFill="1" applyBorder="1" applyAlignment="1">
      <alignment wrapText="1"/>
    </xf>
    <xf numFmtId="0" fontId="93" fillId="80" borderId="415" xfId="0" applyFont="1" applyFill="1" applyBorder="1" applyAlignment="1">
      <alignment horizontal="right" wrapText="1"/>
    </xf>
    <xf numFmtId="0" fontId="93" fillId="80" borderId="416" xfId="0" applyFont="1" applyFill="1" applyBorder="1" applyAlignment="1">
      <alignment horizontal="right" wrapText="1"/>
    </xf>
    <xf numFmtId="0" fontId="93" fillId="83" borderId="415" xfId="0" applyFont="1" applyFill="1" applyBorder="1" applyAlignment="1">
      <alignment horizontal="right" wrapText="1"/>
    </xf>
    <xf numFmtId="0" fontId="93" fillId="83" borderId="416" xfId="0" applyFont="1" applyFill="1" applyBorder="1" applyAlignment="1">
      <alignment horizontal="right" wrapText="1"/>
    </xf>
    <xf numFmtId="0" fontId="93" fillId="80" borderId="454" xfId="0" applyFont="1" applyFill="1" applyBorder="1" applyAlignment="1">
      <alignment horizontal="right" wrapText="1"/>
    </xf>
    <xf numFmtId="0" fontId="93" fillId="0" borderId="421" xfId="0" applyFont="1" applyBorder="1" applyAlignment="1">
      <alignment horizontal="center" vertical="center" wrapText="1"/>
    </xf>
    <xf numFmtId="0" fontId="93" fillId="0" borderId="441" xfId="0" applyFont="1" applyBorder="1" applyAlignment="1">
      <alignment vertical="top" wrapText="1"/>
    </xf>
    <xf numFmtId="0" fontId="93" fillId="0" borderId="416" xfId="0" applyFont="1" applyBorder="1" applyAlignment="1">
      <alignment vertical="top" wrapText="1"/>
    </xf>
    <xf numFmtId="0" fontId="93" fillId="0" borderId="417" xfId="79" applyFont="1" applyBorder="1" applyAlignment="1">
      <alignment horizontal="center" vertical="center" wrapText="1"/>
    </xf>
    <xf numFmtId="0" fontId="93" fillId="0" borderId="421" xfId="79" applyFont="1" applyBorder="1" applyAlignment="1">
      <alignment horizontal="center" vertical="center" wrapText="1"/>
    </xf>
    <xf numFmtId="0" fontId="93" fillId="0" borderId="417" xfId="79" applyFont="1" applyBorder="1" applyAlignment="1">
      <alignment horizontal="center" wrapText="1"/>
    </xf>
    <xf numFmtId="0" fontId="93" fillId="0" borderId="421" xfId="79" applyFont="1" applyBorder="1" applyAlignment="1">
      <alignment horizontal="center" wrapText="1"/>
    </xf>
    <xf numFmtId="0" fontId="94" fillId="0" borderId="413" xfId="79" applyFont="1" applyBorder="1" applyAlignment="1">
      <alignment horizontal="center" wrapText="1"/>
    </xf>
    <xf numFmtId="0" fontId="94" fillId="71" borderId="413" xfId="79" applyFont="1" applyFill="1" applyBorder="1" applyAlignment="1">
      <alignment horizontal="center" wrapText="1"/>
    </xf>
    <xf numFmtId="0" fontId="93" fillId="0" borderId="441" xfId="79" applyFont="1" applyBorder="1" applyAlignment="1">
      <alignment wrapText="1"/>
    </xf>
    <xf numFmtId="0" fontId="93" fillId="0" borderId="416" xfId="79" applyFont="1" applyBorder="1" applyAlignment="1">
      <alignment wrapText="1"/>
    </xf>
    <xf numFmtId="0" fontId="93" fillId="71" borderId="415" xfId="79" applyFont="1" applyFill="1" applyBorder="1" applyAlignment="1">
      <alignment horizontal="center" wrapText="1"/>
    </xf>
    <xf numFmtId="0" fontId="93" fillId="71" borderId="441" xfId="79" applyFont="1" applyFill="1" applyBorder="1" applyAlignment="1">
      <alignment horizontal="center" wrapText="1"/>
    </xf>
    <xf numFmtId="0" fontId="93" fillId="71" borderId="416" xfId="79" applyFont="1" applyFill="1" applyBorder="1" applyAlignment="1">
      <alignment horizontal="center" wrapText="1"/>
    </xf>
    <xf numFmtId="0" fontId="93" fillId="0" borderId="417" xfId="79" applyFont="1" applyBorder="1" applyAlignment="1">
      <alignment horizontal="left" vertical="center" wrapText="1"/>
    </xf>
    <xf numFmtId="0" fontId="93" fillId="0" borderId="421" xfId="79" applyFont="1" applyBorder="1" applyAlignment="1">
      <alignment wrapText="1"/>
    </xf>
    <xf numFmtId="0" fontId="93" fillId="0" borderId="414" xfId="79" applyFont="1" applyBorder="1" applyAlignment="1">
      <alignment wrapText="1"/>
    </xf>
    <xf numFmtId="0" fontId="93" fillId="71" borderId="417" xfId="0" applyFont="1" applyFill="1" applyBorder="1" applyAlignment="1">
      <alignment horizontal="center" wrapText="1"/>
    </xf>
    <xf numFmtId="0" fontId="93" fillId="71" borderId="421" xfId="0" applyFont="1" applyFill="1" applyBorder="1" applyAlignment="1">
      <alignment horizontal="center" wrapText="1"/>
    </xf>
    <xf numFmtId="0" fontId="93" fillId="0" borderId="413" xfId="0" applyFont="1" applyBorder="1" applyAlignment="1">
      <alignment horizontal="left" vertical="top" wrapText="1"/>
    </xf>
    <xf numFmtId="0" fontId="93" fillId="71" borderId="413" xfId="0" applyFont="1" applyFill="1" applyBorder="1" applyAlignment="1">
      <alignment horizontal="left" vertical="top" wrapText="1"/>
    </xf>
    <xf numFmtId="0" fontId="93" fillId="0" borderId="415" xfId="0" applyFont="1" applyBorder="1" applyAlignment="1">
      <alignment vertical="top" wrapText="1"/>
    </xf>
    <xf numFmtId="0" fontId="93" fillId="0" borderId="415" xfId="0" applyFont="1" applyBorder="1" applyAlignment="1">
      <alignment horizontal="left" wrapText="1"/>
    </xf>
    <xf numFmtId="0" fontId="93" fillId="0" borderId="441" xfId="0" applyFont="1" applyBorder="1" applyAlignment="1">
      <alignment horizontal="left" wrapText="1"/>
    </xf>
    <xf numFmtId="0" fontId="93" fillId="0" borderId="416" xfId="0" applyFont="1" applyBorder="1" applyAlignment="1">
      <alignment horizontal="left" wrapText="1"/>
    </xf>
    <xf numFmtId="0" fontId="93" fillId="0" borderId="470" xfId="0" applyFont="1" applyBorder="1" applyAlignment="1">
      <alignment horizontal="left" vertical="top" wrapText="1"/>
    </xf>
    <xf numFmtId="0" fontId="93" fillId="0" borderId="471" xfId="0" applyFont="1" applyBorder="1" applyAlignment="1">
      <alignment horizontal="left" vertical="top" wrapText="1"/>
    </xf>
    <xf numFmtId="0" fontId="93" fillId="0" borderId="458" xfId="0" applyFont="1" applyBorder="1" applyAlignment="1">
      <alignment horizontal="center" vertical="top" wrapText="1"/>
    </xf>
    <xf numFmtId="0" fontId="93" fillId="0" borderId="459" xfId="0" applyFont="1" applyBorder="1" applyAlignment="1">
      <alignment wrapText="1"/>
    </xf>
    <xf numFmtId="0" fontId="93" fillId="0" borderId="460" xfId="0" applyFont="1" applyBorder="1" applyAlignment="1">
      <alignment wrapText="1"/>
    </xf>
    <xf numFmtId="0" fontId="93" fillId="0" borderId="461" xfId="0" applyFont="1" applyBorder="1" applyAlignment="1">
      <alignment horizontal="left" vertical="top" wrapText="1"/>
    </xf>
    <xf numFmtId="0" fontId="93" fillId="0" borderId="462" xfId="0" applyFont="1" applyBorder="1" applyAlignment="1">
      <alignment horizontal="left" vertical="top" wrapText="1"/>
    </xf>
    <xf numFmtId="0" fontId="93" fillId="0" borderId="461" xfId="0" applyFont="1" applyBorder="1" applyAlignment="1">
      <alignment horizontal="center" wrapText="1"/>
    </xf>
    <xf numFmtId="0" fontId="93" fillId="0" borderId="462" xfId="0" applyFont="1" applyBorder="1" applyAlignment="1">
      <alignment horizontal="center" wrapText="1"/>
    </xf>
    <xf numFmtId="0" fontId="93" fillId="0" borderId="463" xfId="0" applyFont="1" applyBorder="1" applyAlignment="1">
      <alignment horizontal="left" wrapText="1"/>
    </xf>
    <xf numFmtId="0" fontId="93" fillId="0" borderId="465" xfId="0" applyFont="1" applyBorder="1" applyAlignment="1">
      <alignment wrapText="1"/>
    </xf>
    <xf numFmtId="0" fontId="93" fillId="0" borderId="461" xfId="0" applyFont="1" applyBorder="1" applyAlignment="1">
      <alignment horizontal="center" vertical="top" wrapText="1"/>
    </xf>
    <xf numFmtId="0" fontId="93" fillId="0" borderId="462" xfId="0" applyFont="1" applyBorder="1" applyAlignment="1">
      <alignment wrapText="1"/>
    </xf>
    <xf numFmtId="0" fontId="93" fillId="83" borderId="415" xfId="0" applyFont="1" applyFill="1" applyBorder="1" applyAlignment="1">
      <alignment horizontal="left" wrapText="1"/>
    </xf>
    <xf numFmtId="0" fontId="93" fillId="83" borderId="416" xfId="0" applyFont="1" applyFill="1" applyBorder="1" applyAlignment="1">
      <alignment horizontal="left" wrapText="1"/>
    </xf>
    <xf numFmtId="0" fontId="93" fillId="83" borderId="441" xfId="0" applyFont="1" applyFill="1" applyBorder="1" applyAlignment="1">
      <alignment horizontal="left" wrapText="1"/>
    </xf>
    <xf numFmtId="0" fontId="93" fillId="71" borderId="414" xfId="0" applyFont="1" applyFill="1" applyBorder="1" applyAlignment="1">
      <alignment horizontal="center" wrapText="1"/>
    </xf>
    <xf numFmtId="0" fontId="93" fillId="85" borderId="415" xfId="0" applyFont="1" applyFill="1" applyBorder="1" applyAlignment="1">
      <alignment horizontal="left" wrapText="1"/>
    </xf>
    <xf numFmtId="0" fontId="93" fillId="85" borderId="441" xfId="0" applyFont="1" applyFill="1" applyBorder="1" applyAlignment="1">
      <alignment horizontal="left" wrapText="1"/>
    </xf>
    <xf numFmtId="0" fontId="93" fillId="85" borderId="416" xfId="0" applyFont="1" applyFill="1" applyBorder="1" applyAlignment="1">
      <alignment horizontal="left" wrapText="1"/>
    </xf>
    <xf numFmtId="0" fontId="91" fillId="64" borderId="0" xfId="0" applyFont="1" applyFill="1" applyAlignment="1">
      <alignment wrapText="1"/>
    </xf>
    <xf numFmtId="0" fontId="0" fillId="64" borderId="0" xfId="0" applyFill="1" applyAlignment="1">
      <alignment wrapText="1"/>
    </xf>
    <xf numFmtId="0" fontId="93" fillId="0" borderId="415" xfId="84" applyFont="1" applyBorder="1" applyAlignment="1">
      <alignment horizontal="left" vertical="top" wrapText="1"/>
    </xf>
    <xf numFmtId="0" fontId="93" fillId="0" borderId="441" xfId="84" applyFont="1" applyBorder="1" applyAlignment="1">
      <alignment horizontal="left" vertical="top" wrapText="1"/>
    </xf>
    <xf numFmtId="0" fontId="93" fillId="0" borderId="416" xfId="84" applyFont="1" applyBorder="1" applyAlignment="1">
      <alignment horizontal="left" vertical="top" wrapText="1"/>
    </xf>
    <xf numFmtId="0" fontId="93" fillId="71" borderId="481" xfId="79" applyFont="1" applyFill="1" applyBorder="1" applyAlignment="1">
      <alignment horizontal="center" wrapText="1"/>
    </xf>
    <xf numFmtId="0" fontId="0" fillId="0" borderId="482" xfId="0" applyBorder="1" applyAlignment="1">
      <alignment horizontal="center" wrapText="1"/>
    </xf>
    <xf numFmtId="0" fontId="0" fillId="0" borderId="483" xfId="0" applyBorder="1" applyAlignment="1">
      <alignment horizontal="center" wrapText="1"/>
    </xf>
    <xf numFmtId="0" fontId="93" fillId="71" borderId="415" xfId="79" applyFont="1" applyFill="1" applyBorder="1" applyAlignment="1">
      <alignment wrapText="1"/>
    </xf>
    <xf numFmtId="0" fontId="0" fillId="0" borderId="441" xfId="0" applyBorder="1" applyAlignment="1">
      <alignment wrapText="1"/>
    </xf>
    <xf numFmtId="0" fontId="0" fillId="0" borderId="416" xfId="0" applyBorder="1" applyAlignment="1">
      <alignment wrapText="1"/>
    </xf>
    <xf numFmtId="0" fontId="93" fillId="71" borderId="415" xfId="106" applyFont="1" applyFill="1" applyBorder="1" applyAlignment="1">
      <alignment horizontal="left" vertical="top" wrapText="1"/>
    </xf>
    <xf numFmtId="0" fontId="93" fillId="71" borderId="441" xfId="106" applyFont="1" applyFill="1" applyBorder="1" applyAlignment="1">
      <alignment horizontal="left" vertical="top" wrapText="1"/>
    </xf>
    <xf numFmtId="0" fontId="93" fillId="71" borderId="416" xfId="106" applyFont="1" applyFill="1" applyBorder="1" applyAlignment="1">
      <alignment horizontal="left" vertical="top" wrapText="1"/>
    </xf>
    <xf numFmtId="0" fontId="94" fillId="0" borderId="320" xfId="0" applyFont="1" applyBorder="1" applyAlignment="1">
      <alignment horizontal="center" vertical="center"/>
    </xf>
    <xf numFmtId="0" fontId="94" fillId="0" borderId="380" xfId="0" applyFont="1" applyBorder="1" applyAlignment="1">
      <alignment horizontal="center" vertical="center"/>
    </xf>
    <xf numFmtId="0" fontId="94" fillId="0" borderId="376" xfId="0" applyFont="1" applyBorder="1" applyAlignment="1">
      <alignment horizontal="center" vertical="center"/>
    </xf>
    <xf numFmtId="0" fontId="8" fillId="0" borderId="72" xfId="48" applyFont="1" applyBorder="1" applyAlignment="1">
      <alignment horizontal="center" vertical="center"/>
    </xf>
    <xf numFmtId="0" fontId="52" fillId="0" borderId="73" xfId="0" applyFont="1" applyBorder="1" applyAlignment="1">
      <alignment horizontal="center" vertical="center"/>
    </xf>
    <xf numFmtId="0" fontId="52" fillId="0" borderId="74" xfId="0" applyFont="1" applyBorder="1" applyAlignment="1">
      <alignment horizontal="center" vertical="center"/>
    </xf>
    <xf numFmtId="0" fontId="52" fillId="0" borderId="75" xfId="0" applyFont="1" applyBorder="1" applyAlignment="1">
      <alignment horizontal="center" vertical="center"/>
    </xf>
    <xf numFmtId="38" fontId="8" fillId="0" borderId="332" xfId="48" applyNumberFormat="1" applyFont="1" applyBorder="1" applyAlignment="1">
      <alignment horizontal="center" vertical="center"/>
    </xf>
    <xf numFmtId="0" fontId="52" fillId="0" borderId="327" xfId="0" applyFont="1" applyBorder="1" applyAlignment="1">
      <alignment horizontal="center" vertical="center"/>
    </xf>
    <xf numFmtId="0" fontId="52" fillId="0" borderId="328" xfId="0" applyFont="1" applyBorder="1" applyAlignment="1">
      <alignment horizontal="center" vertical="center"/>
    </xf>
    <xf numFmtId="38" fontId="8" fillId="0" borderId="275" xfId="48" applyNumberFormat="1" applyFont="1" applyBorder="1" applyAlignment="1">
      <alignment horizontal="center" vertical="center"/>
    </xf>
    <xf numFmtId="0" fontId="52" fillId="0" borderId="136" xfId="0" applyFont="1" applyBorder="1" applyAlignment="1">
      <alignment horizontal="center" vertical="center"/>
    </xf>
    <xf numFmtId="0" fontId="52" fillId="0" borderId="181" xfId="0" applyFont="1" applyBorder="1" applyAlignment="1">
      <alignment horizontal="center" vertical="center"/>
    </xf>
    <xf numFmtId="38" fontId="8" fillId="0" borderId="333" xfId="48" applyNumberFormat="1" applyFont="1" applyBorder="1" applyAlignment="1">
      <alignment horizontal="center" vertical="center"/>
    </xf>
    <xf numFmtId="0" fontId="52" fillId="0" borderId="324" xfId="0" applyFont="1" applyBorder="1" applyAlignment="1">
      <alignment horizontal="center" vertical="center"/>
    </xf>
    <xf numFmtId="0" fontId="52" fillId="0" borderId="325" xfId="0" applyFont="1" applyBorder="1" applyAlignment="1">
      <alignment horizontal="center" vertical="center"/>
    </xf>
    <xf numFmtId="38" fontId="8" fillId="0" borderId="326" xfId="48" applyNumberFormat="1" applyFont="1" applyBorder="1" applyAlignment="1">
      <alignment horizontal="center" vertical="center"/>
    </xf>
    <xf numFmtId="38" fontId="8" fillId="0" borderId="329" xfId="48" applyNumberFormat="1" applyFont="1" applyBorder="1" applyAlignment="1">
      <alignment horizontal="center" vertical="center"/>
    </xf>
    <xf numFmtId="38" fontId="8" fillId="0" borderId="323" xfId="48" applyNumberFormat="1" applyFont="1" applyBorder="1" applyAlignment="1">
      <alignment horizontal="center" vertical="center"/>
    </xf>
    <xf numFmtId="0" fontId="8" fillId="0" borderId="85" xfId="48" applyFont="1" applyBorder="1" applyAlignment="1">
      <alignment horizontal="center" vertical="center"/>
    </xf>
    <xf numFmtId="0" fontId="52" fillId="0" borderId="65" xfId="0" applyFont="1" applyBorder="1" applyAlignment="1">
      <alignment horizontal="center" vertical="center"/>
    </xf>
    <xf numFmtId="0" fontId="52" fillId="0" borderId="68" xfId="0" applyFont="1" applyBorder="1" applyAlignment="1">
      <alignment horizontal="center" vertical="center"/>
    </xf>
    <xf numFmtId="0" fontId="8" fillId="0" borderId="84" xfId="48" applyFont="1" applyBorder="1" applyAlignment="1">
      <alignment horizontal="center" vertical="center"/>
    </xf>
    <xf numFmtId="0" fontId="52" fillId="0" borderId="85" xfId="0" applyFont="1" applyBorder="1" applyAlignment="1">
      <alignment horizontal="center" vertical="center"/>
    </xf>
    <xf numFmtId="38" fontId="8" fillId="0" borderId="14" xfId="48" applyNumberFormat="1" applyFont="1" applyBorder="1" applyAlignment="1">
      <alignment horizontal="center" vertical="center" wrapText="1"/>
    </xf>
    <xf numFmtId="0" fontId="8" fillId="0" borderId="287" xfId="48" applyFont="1" applyBorder="1" applyAlignment="1">
      <alignment horizontal="center" vertical="center"/>
    </xf>
    <xf numFmtId="0" fontId="8" fillId="0" borderId="73" xfId="48" applyFont="1" applyBorder="1" applyAlignment="1">
      <alignment horizontal="center" vertical="center"/>
    </xf>
    <xf numFmtId="0" fontId="8" fillId="0" borderId="14" xfId="48" applyFont="1" applyBorder="1" applyAlignment="1">
      <alignment horizontal="center" vertical="center"/>
    </xf>
    <xf numFmtId="0" fontId="8" fillId="0" borderId="65" xfId="48" applyFont="1" applyBorder="1" applyAlignment="1">
      <alignment horizontal="center" vertical="center"/>
    </xf>
    <xf numFmtId="38" fontId="8" fillId="0" borderId="43" xfId="48" applyNumberFormat="1" applyFont="1" applyBorder="1" applyAlignment="1">
      <alignment horizontal="center" vertical="center"/>
    </xf>
    <xf numFmtId="38" fontId="8" fillId="0" borderId="34" xfId="48" applyNumberFormat="1" applyFont="1" applyBorder="1" applyAlignment="1">
      <alignment horizontal="center" vertical="center"/>
    </xf>
    <xf numFmtId="38" fontId="8" fillId="0" borderId="311" xfId="48" applyNumberFormat="1" applyFont="1" applyBorder="1" applyAlignment="1">
      <alignment horizontal="center" vertical="center" wrapText="1"/>
    </xf>
    <xf numFmtId="38" fontId="8" fillId="0" borderId="280" xfId="48" applyNumberFormat="1" applyFont="1" applyBorder="1" applyAlignment="1">
      <alignment horizontal="center" vertical="center" wrapText="1"/>
    </xf>
    <xf numFmtId="38" fontId="8" fillId="0" borderId="312" xfId="48" applyNumberFormat="1" applyFont="1" applyBorder="1" applyAlignment="1">
      <alignment horizontal="center" vertical="center" wrapText="1"/>
    </xf>
  </cellXfs>
  <cellStyles count="11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Bad 2" xfId="75" xr:uid="{00000000-0005-0000-0000-000019000000}"/>
    <cellStyle name="Calculation" xfId="26" builtinId="22" customBuiltin="1"/>
    <cellStyle name="Check Cell" xfId="27" builtinId="23" customBuiltin="1"/>
    <cellStyle name="Comma" xfId="28" builtinId="3"/>
    <cellStyle name="Comma 12 5 2 2" xfId="81" xr:uid="{00000000-0005-0000-0000-00001D000000}"/>
    <cellStyle name="Comma 12 5 2 3" xfId="86" xr:uid="{00000000-0005-0000-0000-00001E000000}"/>
    <cellStyle name="Comma 2" xfId="29" xr:uid="{00000000-0005-0000-0000-00001F000000}"/>
    <cellStyle name="Comma 2 2" xfId="71" xr:uid="{00000000-0005-0000-0000-000020000000}"/>
    <cellStyle name="Comma 3" xfId="61" xr:uid="{00000000-0005-0000-0000-000021000000}"/>
    <cellStyle name="Comma 3 2" xfId="65" xr:uid="{00000000-0005-0000-0000-000022000000}"/>
    <cellStyle name="Comma 4" xfId="112" xr:uid="{00000000-0005-0000-0000-000023000000}"/>
    <cellStyle name="Comma 6" xfId="62" xr:uid="{00000000-0005-0000-0000-000024000000}"/>
    <cellStyle name="Comma 7" xfId="76" xr:uid="{00000000-0005-0000-0000-000025000000}"/>
    <cellStyle name="Currency" xfId="30" builtinId="4"/>
    <cellStyle name="Currency 10" xfId="80" xr:uid="{00000000-0005-0000-0000-000027000000}"/>
    <cellStyle name="Currency 2" xfId="31" xr:uid="{00000000-0005-0000-0000-000028000000}"/>
    <cellStyle name="Currency 2 2" xfId="99" xr:uid="{00000000-0005-0000-0000-000029000000}"/>
    <cellStyle name="Currency 2 3" xfId="85" xr:uid="{00000000-0005-0000-0000-00002A000000}"/>
    <cellStyle name="Currency 3" xfId="92" xr:uid="{00000000-0005-0000-0000-00002B000000}"/>
    <cellStyle name="Explanatory Text" xfId="32" builtinId="53" customBuiltin="1"/>
    <cellStyle name="Followed Hyperlink" xfId="66" builtinId="9" customBuiltin="1"/>
    <cellStyle name="Good" xfId="33" builtinId="26" customBuiltin="1"/>
    <cellStyle name="Good 2" xfId="74" xr:uid="{00000000-0005-0000-0000-00002F000000}"/>
    <cellStyle name="Heading 1" xfId="34" builtinId="16" customBuiltin="1"/>
    <cellStyle name="Heading 2" xfId="35" builtinId="17" customBuiltin="1"/>
    <cellStyle name="Heading 3" xfId="36" builtinId="18" customBuiltin="1"/>
    <cellStyle name="Heading 4" xfId="37" builtinId="19" customBuiltin="1"/>
    <cellStyle name="Hyperlink" xfId="38" builtinId="8" customBuiltin="1"/>
    <cellStyle name="Input" xfId="39" builtinId="20" customBuiltin="1"/>
    <cellStyle name="Linked Cell" xfId="40" builtinId="24" customBuiltin="1"/>
    <cellStyle name="Neutral" xfId="41" builtinId="28" customBuiltin="1"/>
    <cellStyle name="Normal" xfId="0" builtinId="0"/>
    <cellStyle name="Normal 10" xfId="79" xr:uid="{00000000-0005-0000-0000-000039000000}"/>
    <cellStyle name="Normal 19 4 2 5 3" xfId="78" xr:uid="{00000000-0005-0000-0000-00003A000000}"/>
    <cellStyle name="Normal 19 4 2 5 3 2" xfId="82" xr:uid="{00000000-0005-0000-0000-00003B000000}"/>
    <cellStyle name="Normal 19 4 2 5 3 2 2" xfId="88" xr:uid="{00000000-0005-0000-0000-00003C000000}"/>
    <cellStyle name="Normal 19 4 2 5 3 3" xfId="111" xr:uid="{00000000-0005-0000-0000-00003D000000}"/>
    <cellStyle name="Normal 2" xfId="42" xr:uid="{00000000-0005-0000-0000-00003E000000}"/>
    <cellStyle name="Normal 2 2" xfId="63" xr:uid="{00000000-0005-0000-0000-00003F000000}"/>
    <cellStyle name="Normal 2 4" xfId="90" xr:uid="{00000000-0005-0000-0000-000040000000}"/>
    <cellStyle name="Normal 23 12 2" xfId="83" xr:uid="{00000000-0005-0000-0000-000041000000}"/>
    <cellStyle name="Normal 26 2" xfId="89" xr:uid="{00000000-0005-0000-0000-000042000000}"/>
    <cellStyle name="Normal 3" xfId="106" xr:uid="{00000000-0005-0000-0000-000043000000}"/>
    <cellStyle name="Normal 3 2" xfId="108" xr:uid="{00000000-0005-0000-0000-000044000000}"/>
    <cellStyle name="Normal 368" xfId="70" xr:uid="{00000000-0005-0000-0000-000045000000}"/>
    <cellStyle name="Normal 4" xfId="84" xr:uid="{00000000-0005-0000-0000-000046000000}"/>
    <cellStyle name="Normal 4 2" xfId="87" xr:uid="{00000000-0005-0000-0000-000047000000}"/>
    <cellStyle name="Normal 403" xfId="91" xr:uid="{00000000-0005-0000-0000-000048000000}"/>
    <cellStyle name="Normal 44" xfId="102" xr:uid="{00000000-0005-0000-0000-000049000000}"/>
    <cellStyle name="Normal 6" xfId="98" xr:uid="{00000000-0005-0000-0000-00004A000000}"/>
    <cellStyle name="Normal 8 2 2" xfId="103" xr:uid="{00000000-0005-0000-0000-00004B000000}"/>
    <cellStyle name="Normal 9" xfId="67" xr:uid="{00000000-0005-0000-0000-00004C000000}"/>
    <cellStyle name="Normal 9 2 2" xfId="105" xr:uid="{00000000-0005-0000-0000-00004D000000}"/>
    <cellStyle name="Normal_09 Forecast - Draft 8 2_PGE_ASC_Fcst_Mdl_FY2010-11_New_Res_Add_Logic_rbr_2_ALW007" xfId="43" xr:uid="{00000000-0005-0000-0000-00004E000000}"/>
    <cellStyle name="Normal_09 Forecast - Draft 8 2_PGE_ASC_Forecast_Model_FY2010-11_Final" xfId="44" xr:uid="{00000000-0005-0000-0000-00004F000000}"/>
    <cellStyle name="Normal_2009 Reconcile RB Items &amp; RB Direct Summary 5-18-2010 2" xfId="73" xr:uid="{00000000-0005-0000-0000-000050000000}"/>
    <cellStyle name="Normal_2009 Reconcile RB Items &amp; RB Direct Summary 5-19-2010" xfId="72" xr:uid="{00000000-0005-0000-0000-000051000000}"/>
    <cellStyle name="Normal_404 sort 5-20-10 2" xfId="97" xr:uid="{00000000-0005-0000-0000-000052000000}"/>
    <cellStyle name="Normal_456 Orders for 2009 sort 5-25-10 FINAL 2 2" xfId="94" xr:uid="{00000000-0005-0000-0000-000053000000}"/>
    <cellStyle name="Normal_ASC 5_9_08 Avista_New Resources" xfId="45" xr:uid="{00000000-0005-0000-0000-000054000000}"/>
    <cellStyle name="Normal_Book1" xfId="46" xr:uid="{00000000-0005-0000-0000-000055000000}"/>
    <cellStyle name="Normal_Copy of Snohomish PUD ASC_Forecast_Model_FY2010-11_Rev02_report" xfId="47" xr:uid="{00000000-0005-0000-0000-000056000000}"/>
    <cellStyle name="Normal_DIRECT 406 &amp; 407 sorted 5-25-10 2 2" xfId="93" xr:uid="{00000000-0005-0000-0000-000057000000}"/>
    <cellStyle name="Normal_DIRECT 4073 &amp; 4074 sort 5-25-10 2" xfId="96" xr:uid="{00000000-0005-0000-0000-000058000000}"/>
    <cellStyle name="Normal_DIRECT 4116 &amp; 4117 sort 5-25-10 2" xfId="101" xr:uid="{00000000-0005-0000-0000-000059000000}"/>
    <cellStyle name="Normal_DIRECT 421 sort 5-25-10 2" xfId="95" xr:uid="{00000000-0005-0000-0000-00005A000000}"/>
    <cellStyle name="Normal_Last Approved" xfId="48" xr:uid="{00000000-0005-0000-0000-00005B000000}"/>
    <cellStyle name="Normal_NLSL_Essc_Test" xfId="49" xr:uid="{00000000-0005-0000-0000-00005C000000}"/>
    <cellStyle name="Normal_PSE_E302,303,399_Common_NBV_12-2009_2012-2013-1 working 2" xfId="69" xr:uid="{00000000-0005-0000-0000-00005D000000}"/>
    <cellStyle name="Normal_Sheet1" xfId="50" xr:uid="{00000000-0005-0000-0000-00005E000000}"/>
    <cellStyle name="Normal_Sheet1_2009 Reconcile RB Items &amp; RB Direct Summary 5-18-2010" xfId="77" xr:uid="{00000000-0005-0000-0000-00005F000000}"/>
    <cellStyle name="Normal_Sheet2" xfId="51" xr:uid="{00000000-0005-0000-0000-000060000000}"/>
    <cellStyle name="Normal_Sheet7" xfId="52" xr:uid="{00000000-0005-0000-0000-000061000000}"/>
    <cellStyle name="Note" xfId="53" builtinId="10" customBuiltin="1"/>
    <cellStyle name="Output" xfId="54" builtinId="21" customBuiltin="1"/>
    <cellStyle name="Percent" xfId="55" builtinId="5"/>
    <cellStyle name="Percent 2" xfId="56" xr:uid="{00000000-0005-0000-0000-000065000000}"/>
    <cellStyle name="Percent 2 2" xfId="100" xr:uid="{00000000-0005-0000-0000-000066000000}"/>
    <cellStyle name="Percent 3" xfId="60" xr:uid="{00000000-0005-0000-0000-000067000000}"/>
    <cellStyle name="Percent 3 2" xfId="64" xr:uid="{00000000-0005-0000-0000-000068000000}"/>
    <cellStyle name="Percent 7" xfId="68" xr:uid="{00000000-0005-0000-0000-000069000000}"/>
    <cellStyle name="SAPDataCell" xfId="110" xr:uid="{00000000-0005-0000-0000-00006A000000}"/>
    <cellStyle name="SAPHierarchyCell1" xfId="104" xr:uid="{00000000-0005-0000-0000-00006B000000}"/>
    <cellStyle name="SAPMemberCell" xfId="109" xr:uid="{00000000-0005-0000-0000-00006C000000}"/>
    <cellStyle name="Table (Normal)" xfId="107" xr:uid="{00000000-0005-0000-0000-00006D000000}"/>
    <cellStyle name="Title" xfId="57" builtinId="15" customBuiltin="1"/>
    <cellStyle name="Total" xfId="58" builtinId="25" customBuiltin="1"/>
    <cellStyle name="Warning Text" xfId="59" builtinId="11" customBuiltin="1"/>
  </cellStyles>
  <dxfs count="471">
    <dxf>
      <fill>
        <patternFill>
          <bgColor theme="0" tint="-0.24994659260841701"/>
        </patternFill>
      </fill>
    </dxf>
    <dxf>
      <fill>
        <patternFill>
          <bgColor theme="0" tint="-0.24994659260841701"/>
        </patternFill>
      </fill>
    </dxf>
    <dxf>
      <font>
        <b/>
        <i val="0"/>
        <condense val="0"/>
        <extend val="0"/>
        <color auto="1"/>
      </font>
      <fill>
        <patternFill>
          <bgColor indexed="50"/>
        </patternFill>
      </fill>
    </dxf>
    <dxf>
      <font>
        <b/>
        <i val="0"/>
        <condense val="0"/>
        <extend val="0"/>
        <color auto="1"/>
      </font>
      <fill>
        <patternFill>
          <bgColor indexed="10"/>
        </patternFill>
      </fill>
    </dxf>
    <dxf>
      <font>
        <b/>
        <i val="0"/>
        <condense val="0"/>
        <extend val="0"/>
        <color auto="1"/>
      </font>
      <fill>
        <patternFill>
          <bgColor indexed="50"/>
        </patternFill>
      </fill>
    </dxf>
    <dxf>
      <font>
        <b/>
        <i val="0"/>
        <condense val="0"/>
        <extend val="0"/>
        <color auto="1"/>
      </font>
      <fill>
        <patternFill>
          <bgColor indexed="10"/>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darkGray">
          <fgColor indexed="9"/>
          <bgColor indexed="50"/>
        </patternFill>
      </fill>
    </dxf>
    <dxf>
      <fill>
        <patternFill patternType="mediumGray">
          <fgColor indexed="22"/>
          <bgColor indexed="9"/>
        </patternFill>
      </fill>
    </dxf>
    <dxf>
      <fill>
        <patternFill patternType="darkGray">
          <fgColor indexed="9"/>
          <bgColor indexed="50"/>
        </patternFill>
      </fill>
    </dxf>
    <dxf>
      <fill>
        <patternFill patternType="mediumGray">
          <fgColor indexed="22"/>
          <bgColor indexed="9"/>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numFmt numFmtId="35" formatCode="_(* #,##0.00_);_(* \(#,##0.00\);_(* &quot;-&quot;??_);_(@_)"/>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sz val="10"/>
      </font>
    </dxf>
    <dxf>
      <font>
        <sz val="10"/>
      </font>
    </dxf>
    <dxf>
      <font>
        <sz val="10"/>
      </font>
    </dxf>
    <dxf>
      <numFmt numFmtId="165" formatCode="_(* #,##0_);_(* \(#,##0\);_(* &quot;-&quot;??_);_(@_)"/>
    </dxf>
    <dxf>
      <numFmt numFmtId="167" formatCode="_(* #,##0.0_);_(* \(#,##0.0\);_(* &quot;-&quot;??_);_(@_)"/>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sz val="10"/>
      </font>
    </dxf>
    <dxf>
      <font>
        <sz val="10"/>
      </font>
    </dxf>
    <dxf>
      <font>
        <sz val="10"/>
      </font>
    </dxf>
    <dxf>
      <numFmt numFmtId="165" formatCode="_(* #,##0_);_(* \(#,##0\);_(* &quot;-&quot;??_);_(@_)"/>
    </dxf>
    <dxf>
      <numFmt numFmtId="167" formatCode="_(* #,##0.0_);_(* \(#,##0.0\);_(* &quot;-&quot;??_);_(@_)"/>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sz val="11"/>
      </font>
    </dxf>
    <dxf>
      <font>
        <sz val="11"/>
      </font>
    </dxf>
    <dxf>
      <font>
        <sz val="11"/>
      </font>
    </dxf>
    <dxf>
      <font>
        <sz val="11"/>
      </font>
    </dxf>
    <dxf>
      <font>
        <sz val="11"/>
      </font>
    </dxf>
    <dxf>
      <font>
        <sz val="11"/>
      </font>
    </dxf>
    <dxf>
      <numFmt numFmtId="165" formatCode="_(* #,##0_);_(* \(#,##0\);_(* &quot;-&quot;??_);_(@_)"/>
    </dxf>
    <dxf>
      <numFmt numFmtId="167" formatCode="_(* #,##0.0_);_(* \(#,##0.0\);_(* &quot;-&quot;??_);_(@_)"/>
    </dxf>
    <dxf>
      <numFmt numFmtId="35" formatCode="_(* #,##0.00_);_(* \(#,##0.00\);_(* &quot;-&quot;??_);_(@_)"/>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numFmt numFmtId="165" formatCode="_(* #,##0_);_(* \(#,##0\);_(* &quot;-&quot;??_);_(@_)"/>
    </dxf>
    <dxf>
      <numFmt numFmtId="167" formatCode="_(* #,##0.0_);_(* \(#,##0.0\);_(* &quot;-&quot;??_);_(@_)"/>
    </dxf>
    <dxf>
      <numFmt numFmtId="35" formatCode="_(* #,##0.00_);_(* \(#,##0.00\);_(* &quot;-&quot;??_);_(@_)"/>
    </dxf>
    <dxf>
      <font>
        <sz val="10"/>
      </font>
    </dxf>
    <dxf>
      <font>
        <sz val="10"/>
      </font>
    </dxf>
    <dxf>
      <font>
        <sz val="10"/>
      </font>
    </dxf>
    <dxf>
      <font>
        <sz val="10"/>
      </font>
    </dxf>
    <dxf>
      <font>
        <sz val="10"/>
      </font>
    </dxf>
    <dxf>
      <font>
        <sz val="10"/>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numFmt numFmtId="165" formatCode="_(* #,##0_);_(* \(#,##0\);_(* &quot;-&quot;??_);_(@_)"/>
    </dxf>
    <dxf>
      <numFmt numFmtId="167" formatCode="_(* #,##0.0_);_(* \(#,##0.0\);_(* &quot;-&quot;??_);_(@_)"/>
    </dxf>
    <dxf>
      <numFmt numFmtId="35" formatCode="_(* #,##0.00_);_(* \(#,##0.00\);_(* &quot;-&quot;??_);_(@_)"/>
    </dxf>
    <dxf>
      <font>
        <sz val="10"/>
      </font>
    </dxf>
    <dxf>
      <font>
        <sz val="10"/>
      </font>
    </dxf>
    <dxf>
      <font>
        <sz val="10"/>
      </font>
    </dxf>
    <dxf>
      <font>
        <sz val="10"/>
      </font>
    </dxf>
    <dxf>
      <font>
        <sz val="10"/>
      </font>
    </dxf>
    <dxf>
      <font>
        <sz val="10"/>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patternType="solid">
          <bgColor rgb="FFFFFF00"/>
        </patternFill>
      </fill>
    </dxf>
    <dxf>
      <font>
        <name val="Arial"/>
        <scheme val="none"/>
      </font>
    </dxf>
    <dxf>
      <font>
        <name val="Arial"/>
        <scheme val="none"/>
      </font>
    </dxf>
    <dxf>
      <font>
        <sz val="8"/>
      </font>
    </dxf>
    <dxf>
      <font>
        <sz val="8"/>
      </font>
    </dxf>
    <dxf>
      <numFmt numFmtId="34" formatCode="_(&quot;$&quot;* #,##0.00_);_(&quot;$&quot;* \(#,##0.00\);_(&quot;$&quot;* &quot;-&quot;??_);_(@_)"/>
    </dxf>
    <dxf>
      <font>
        <name val="Arial"/>
        <scheme val="none"/>
      </font>
    </dxf>
    <dxf>
      <font>
        <name val="Arial"/>
        <scheme val="none"/>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patternType="solid">
          <bgColor rgb="FFFFFF00"/>
        </patternFill>
      </fill>
    </dxf>
    <dxf>
      <font>
        <name val="Arial"/>
        <scheme val="none"/>
      </font>
    </dxf>
    <dxf>
      <font>
        <name val="Arial"/>
        <scheme val="none"/>
      </font>
    </dxf>
    <dxf>
      <font>
        <sz val="8"/>
      </font>
    </dxf>
    <dxf>
      <font>
        <sz val="8"/>
      </font>
    </dxf>
    <dxf>
      <numFmt numFmtId="34" formatCode="_(&quot;$&quot;* #,##0.00_);_(&quot;$&quot;* \(#,##0.00\);_(&quot;$&quot;* &quot;-&quot;??_);_(@_)"/>
    </dxf>
    <dxf>
      <font>
        <name val="Arial"/>
        <scheme val="none"/>
      </font>
    </dxf>
    <dxf>
      <font>
        <name val="Arial"/>
        <scheme val="none"/>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patternType="solid">
          <bgColor rgb="FFFFFF00"/>
        </patternFill>
      </fill>
    </dxf>
    <dxf>
      <font>
        <name val="Arial"/>
        <scheme val="none"/>
      </font>
    </dxf>
    <dxf>
      <font>
        <name val="Arial"/>
        <scheme val="none"/>
      </font>
    </dxf>
    <dxf>
      <font>
        <sz val="8"/>
      </font>
    </dxf>
    <dxf>
      <font>
        <sz val="8"/>
      </font>
    </dxf>
    <dxf>
      <numFmt numFmtId="34" formatCode="_(&quot;$&quot;* #,##0.00_);_(&quot;$&quot;* \(#,##0.00\);_(&quot;$&quot;* &quot;-&quot;??_);_(@_)"/>
    </dxf>
    <dxf>
      <font>
        <name val="Arial"/>
        <scheme val="none"/>
      </font>
    </dxf>
    <dxf>
      <font>
        <name val="Arial"/>
        <scheme val="none"/>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patternType="solid">
          <bgColor rgb="FFFFFF00"/>
        </patternFill>
      </fill>
    </dxf>
    <dxf>
      <font>
        <name val="Arial"/>
        <scheme val="none"/>
      </font>
    </dxf>
    <dxf>
      <font>
        <name val="Arial"/>
        <scheme val="none"/>
      </font>
    </dxf>
    <dxf>
      <font>
        <sz val="8"/>
      </font>
    </dxf>
    <dxf>
      <font>
        <sz val="8"/>
      </font>
    </dxf>
    <dxf>
      <numFmt numFmtId="34" formatCode="_(&quot;$&quot;* #,##0.00_);_(&quot;$&quot;* \(#,##0.00\);_(&quot;$&quot;* &quot;-&quot;??_);_(@_)"/>
    </dxf>
    <dxf>
      <font>
        <name val="Arial"/>
        <scheme val="none"/>
      </font>
    </dxf>
    <dxf>
      <font>
        <name val="Arial"/>
        <scheme val="none"/>
      </font>
    </dxf>
    <dxf>
      <font>
        <sz val="8"/>
      </font>
    </dxf>
    <dxf>
      <font>
        <sz val="8"/>
      </font>
    </dxf>
    <dxf>
      <numFmt numFmtId="34" formatCode="_(&quot;$&quot;* #,##0.00_);_(&quot;$&quot;* \(#,##0.00\);_(&quot;$&quot;* &quot;-&quot;??_);_(@_)"/>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ill>
        <patternFill>
          <bgColor theme="4" tint="0.79998168889431442"/>
        </patternFill>
      </fill>
    </dxf>
    <dxf>
      <fill>
        <patternFill patternType="solid">
          <bgColor rgb="FFFFFF00"/>
        </patternFill>
      </fill>
    </dxf>
    <dxf>
      <numFmt numFmtId="34" formatCode="_(&quot;$&quot;* #,##0.00_);_(&quot;$&quot;* \(#,##0.00\);_(&quot;$&quot;* &quot;-&quot;??_);_(@_)"/>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numFmt numFmtId="34" formatCode="_(&quot;$&quot;* #,##0.00_);_(&quot;$&quot;* \(#,##0.00\);_(&quot;$&quot;* &quot;-&quot;??_);_(@_)"/>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ill>
        <patternFill>
          <bgColor theme="4" tint="0.79998168889431442"/>
        </patternFill>
      </fill>
    </dxf>
    <dxf>
      <fill>
        <patternFill patternType="solid">
          <bgColor rgb="FFFFFF00"/>
        </patternFill>
      </fill>
    </dxf>
    <dxf>
      <numFmt numFmtId="34" formatCode="_(&quot;$&quot;* #,##0.00_);_(&quot;$&quot;* \(#,##0.00\);_(&quot;$&quot;* &quot;-&quot;??_);_(@_)"/>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ill>
        <patternFill patternType="solid">
          <bgColor rgb="FFFFFF00"/>
        </patternFill>
      </fill>
    </dxf>
    <dxf>
      <font>
        <name val="Arial"/>
        <scheme val="none"/>
      </font>
    </dxf>
    <dxf>
      <font>
        <name val="Arial"/>
        <scheme val="none"/>
      </font>
    </dxf>
    <dxf>
      <font>
        <name val="Arial"/>
        <scheme val="none"/>
      </font>
    </dxf>
    <dxf>
      <font>
        <name val="Arial"/>
        <scheme val="none"/>
      </font>
    </dxf>
    <dxf>
      <font>
        <sz val="8"/>
      </font>
    </dxf>
    <dxf>
      <font>
        <sz val="8"/>
      </font>
    </dxf>
    <dxf>
      <font>
        <sz val="8"/>
      </font>
    </dxf>
    <dxf>
      <font>
        <sz val="8"/>
      </font>
    </dxf>
    <dxf>
      <font>
        <sz val="10"/>
      </font>
    </dxf>
    <dxf>
      <font>
        <sz val="10"/>
      </font>
    </dxf>
    <dxf>
      <font>
        <sz val="10"/>
      </font>
    </dxf>
    <dxf>
      <font>
        <sz val="10"/>
      </font>
    </dxf>
    <dxf>
      <numFmt numFmtId="34" formatCode="_(&quot;$&quot;* #,##0.00_);_(&quot;$&quot;* \(#,##0.00\);_(&quot;$&quot;* &quot;-&quot;??_);_(@_)"/>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ont>
        <name val="Arial"/>
      </font>
    </dxf>
    <dxf>
      <fill>
        <patternFill>
          <bgColor theme="5" tint="0.79998168889431442"/>
        </patternFill>
      </fill>
    </dxf>
    <dxf>
      <fill>
        <patternFill>
          <bgColor theme="5" tint="0.79998168889431442"/>
        </patternFill>
      </fill>
    </dxf>
    <dxf>
      <fill>
        <patternFill>
          <bgColor theme="5" tint="0.79998168889431442"/>
        </patternFill>
      </fill>
    </dxf>
    <dxf>
      <fill>
        <patternFill patternType="solid">
          <bgColor rgb="FFFFFF00"/>
        </patternFill>
      </fill>
    </dxf>
    <dxf>
      <font>
        <name val="Arial"/>
        <scheme val="none"/>
      </font>
    </dxf>
    <dxf>
      <font>
        <name val="Arial"/>
        <scheme val="none"/>
      </font>
    </dxf>
    <dxf>
      <font>
        <name val="Arial"/>
        <scheme val="none"/>
      </font>
    </dxf>
    <dxf>
      <font>
        <name val="Arial"/>
        <scheme val="none"/>
      </font>
    </dxf>
    <dxf>
      <font>
        <name val="Arial"/>
        <scheme val="none"/>
      </font>
    </dxf>
    <dxf>
      <font>
        <sz val="8"/>
      </font>
    </dxf>
    <dxf>
      <font>
        <sz val="8"/>
      </font>
    </dxf>
    <dxf>
      <font>
        <sz val="8"/>
      </font>
    </dxf>
    <dxf>
      <font>
        <sz val="8"/>
      </font>
    </dxf>
    <dxf>
      <font>
        <sz val="8"/>
      </font>
    </dxf>
    <dxf>
      <numFmt numFmtId="34" formatCode="_(&quot;$&quot;* #,##0.00_);_(&quot;$&quot;* \(#,##0.00\);_(&quot;$&quot;* &quot;-&quot;??_);_(@_)"/>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sz val="8"/>
      </font>
    </dxf>
    <dxf>
      <font>
        <sz val="8"/>
      </font>
    </dxf>
    <dxf>
      <font>
        <sz val="8"/>
      </font>
    </dxf>
    <dxf>
      <font>
        <sz val="8"/>
      </font>
    </dxf>
    <dxf>
      <font>
        <sz val="8"/>
      </font>
    </dxf>
    <dxf>
      <font>
        <sz val="8"/>
      </font>
    </dxf>
    <dxf>
      <font>
        <sz val="8"/>
      </font>
    </dxf>
    <dxf>
      <font>
        <sz val="8"/>
      </font>
    </dxf>
    <dxf>
      <font>
        <name val="Arial"/>
      </font>
    </dxf>
    <dxf>
      <font>
        <name val="Arial"/>
      </font>
    </dxf>
    <dxf>
      <font>
        <name val="Arial"/>
      </font>
    </dxf>
    <dxf>
      <font>
        <name val="Arial"/>
      </font>
    </dxf>
    <dxf>
      <font>
        <name val="Arial"/>
      </font>
    </dxf>
    <dxf>
      <font>
        <name val="Arial"/>
      </font>
    </dxf>
    <dxf>
      <font>
        <name val="Arial"/>
      </font>
    </dxf>
    <dxf>
      <font>
        <name val="Arial"/>
      </font>
    </dxf>
    <dxf>
      <fill>
        <patternFill patternType="solid">
          <bgColor rgb="FFFFFF00"/>
        </patternFill>
      </fill>
    </dxf>
    <dxf>
      <numFmt numFmtId="34" formatCode="_(&quot;$&quot;* #,##0.00_);_(&quot;$&quot;* \(#,##0.00\);_(&quot;$&quot;* &quot;-&quot;??_);_(@_)"/>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sz val="8"/>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color rgb="FF006666"/>
      <color rgb="FF0033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pivotCacheDefinition" Target="pivotCache/pivotCacheDefinition4.xml"/><Relationship Id="rId97"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pivotCacheDefinition" Target="pivotCache/pivotCacheDefinition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pivotCacheDefinition" Target="pivotCache/pivotCacheDefinition2.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pivotCacheDefinition" Target="pivotCache/pivotCacheDefinition5.xml"/><Relationship Id="rId95" Type="http://schemas.openxmlformats.org/officeDocument/2006/relationships/pivotCacheDefinition" Target="pivotCache/pivotCacheDefinition10.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microsoft.com/office/2017/10/relationships/person" Target="persons/perso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pivotCacheDefinition" Target="pivotCache/pivotCacheDefinition8.xml"/><Relationship Id="rId98"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pivotCacheDefinition" Target="pivotCache/pivotCacheDefinition3.xml"/><Relationship Id="rId91" Type="http://schemas.openxmlformats.org/officeDocument/2006/relationships/pivotCacheDefinition" Target="pivotCache/pivotCacheDefinition6.xml"/><Relationship Id="rId9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pivotCacheDefinition" Target="pivotCache/pivotCacheDefinition1.xml"/><Relationship Id="rId94" Type="http://schemas.openxmlformats.org/officeDocument/2006/relationships/pivotCacheDefinition" Target="pivotCache/pivotCacheDefinition9.xml"/><Relationship Id="rId99" Type="http://schemas.openxmlformats.org/officeDocument/2006/relationships/sheetMetadata" Target="metadata.xml"/><Relationship Id="rId10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3.png"/></Relationships>
</file>

<file path=xl/drawings/_rels/drawing8.xml.rels><?xml version="1.0" encoding="UTF-8" standalone="yes"?>
<Relationships xmlns="http://schemas.openxmlformats.org/package/2006/relationships"><Relationship Id="rId1" Type="http://schemas.openxmlformats.org/officeDocument/2006/relationships/image" Target="../media/image14.png"/></Relationships>
</file>

<file path=xl/drawings/_rels/drawing9.xml.rels><?xml version="1.0" encoding="UTF-8" standalone="yes"?>
<Relationships xmlns="http://schemas.openxmlformats.org/package/2006/relationships"><Relationship Id="rId2" Type="http://schemas.openxmlformats.org/officeDocument/2006/relationships/image" Target="../media/image16.png"/><Relationship Id="rId1" Type="http://schemas.openxmlformats.org/officeDocument/2006/relationships/image" Target="../media/image15.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8.png"/><Relationship Id="rId1" Type="http://schemas.openxmlformats.org/officeDocument/2006/relationships/image" Target="../media/image17.png"/></Relationships>
</file>

<file path=xl/drawings/_rels/drawing11.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image" Target="../media/image20.png"/><Relationship Id="rId1" Type="http://schemas.openxmlformats.org/officeDocument/2006/relationships/image" Target="../media/image19.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26.png"/><Relationship Id="rId2" Type="http://schemas.openxmlformats.org/officeDocument/2006/relationships/image" Target="../media/image25.png"/><Relationship Id="rId1" Type="http://schemas.openxmlformats.org/officeDocument/2006/relationships/image" Target="../media/image24.png"/><Relationship Id="rId5" Type="http://schemas.openxmlformats.org/officeDocument/2006/relationships/image" Target="../media/image28.png"/><Relationship Id="rId4"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oneCellAnchor>
    <xdr:from>
      <xdr:col>14</xdr:col>
      <xdr:colOff>176098</xdr:colOff>
      <xdr:row>64</xdr:row>
      <xdr:rowOff>7620</xdr:rowOff>
    </xdr:from>
    <xdr:ext cx="4343555" cy="3670155"/>
    <xdr:pic>
      <xdr:nvPicPr>
        <xdr:cNvPr id="2" name="Picture 1">
          <a:extLst>
            <a:ext uri="{FF2B5EF4-FFF2-40B4-BE49-F238E27FC236}">
              <a16:creationId xmlns:a16="http://schemas.microsoft.com/office/drawing/2014/main" id="{098DC814-EB51-4F3C-9496-6E12025897A6}"/>
            </a:ext>
          </a:extLst>
        </xdr:cNvPr>
        <xdr:cNvPicPr>
          <a:picLocks noChangeAspect="1"/>
        </xdr:cNvPicPr>
      </xdr:nvPicPr>
      <xdr:blipFill>
        <a:blip xmlns:r="http://schemas.openxmlformats.org/officeDocument/2006/relationships" r:embed="rId1"/>
        <a:stretch>
          <a:fillRect/>
        </a:stretch>
      </xdr:blipFill>
      <xdr:spPr>
        <a:xfrm>
          <a:off x="13145338" y="8488680"/>
          <a:ext cx="4343555" cy="3670155"/>
        </a:xfrm>
        <a:prstGeom prst="rect">
          <a:avLst/>
        </a:prstGeom>
      </xdr:spPr>
    </xdr:pic>
    <xdr:clientData/>
  </xdr:oneCellAnchor>
  <xdr:oneCellAnchor>
    <xdr:from>
      <xdr:col>8</xdr:col>
      <xdr:colOff>823991</xdr:colOff>
      <xdr:row>63</xdr:row>
      <xdr:rowOff>106680</xdr:rowOff>
    </xdr:from>
    <xdr:ext cx="4331988" cy="3680460"/>
    <xdr:pic>
      <xdr:nvPicPr>
        <xdr:cNvPr id="3" name="Picture 2">
          <a:extLst>
            <a:ext uri="{FF2B5EF4-FFF2-40B4-BE49-F238E27FC236}">
              <a16:creationId xmlns:a16="http://schemas.microsoft.com/office/drawing/2014/main" id="{5C699511-8F9D-4C2E-BA0D-12693436C4BB}"/>
            </a:ext>
          </a:extLst>
        </xdr:cNvPr>
        <xdr:cNvPicPr>
          <a:picLocks noChangeAspect="1"/>
        </xdr:cNvPicPr>
      </xdr:nvPicPr>
      <xdr:blipFill>
        <a:blip xmlns:r="http://schemas.openxmlformats.org/officeDocument/2006/relationships" r:embed="rId2"/>
        <a:stretch>
          <a:fillRect/>
        </a:stretch>
      </xdr:blipFill>
      <xdr:spPr>
        <a:xfrm>
          <a:off x="8764031" y="8435340"/>
          <a:ext cx="4331988" cy="3680460"/>
        </a:xfrm>
        <a:prstGeom prst="rect">
          <a:avLst/>
        </a:prstGeom>
      </xdr:spPr>
    </xdr:pic>
    <xdr:clientData/>
  </xdr:oneCellAnchor>
  <xdr:oneCellAnchor>
    <xdr:from>
      <xdr:col>8</xdr:col>
      <xdr:colOff>822959</xdr:colOff>
      <xdr:row>89</xdr:row>
      <xdr:rowOff>38460</xdr:rowOff>
    </xdr:from>
    <xdr:ext cx="4331813" cy="3680099"/>
    <xdr:pic>
      <xdr:nvPicPr>
        <xdr:cNvPr id="4" name="Picture 3">
          <a:extLst>
            <a:ext uri="{FF2B5EF4-FFF2-40B4-BE49-F238E27FC236}">
              <a16:creationId xmlns:a16="http://schemas.microsoft.com/office/drawing/2014/main" id="{0C86CF09-9D24-447D-909E-8A2F4464C424}"/>
            </a:ext>
          </a:extLst>
        </xdr:cNvPr>
        <xdr:cNvPicPr>
          <a:picLocks noChangeAspect="1"/>
        </xdr:cNvPicPr>
      </xdr:nvPicPr>
      <xdr:blipFill>
        <a:blip xmlns:r="http://schemas.openxmlformats.org/officeDocument/2006/relationships" r:embed="rId3"/>
        <a:stretch>
          <a:fillRect/>
        </a:stretch>
      </xdr:blipFill>
      <xdr:spPr>
        <a:xfrm>
          <a:off x="6176009" y="17840685"/>
          <a:ext cx="4331813" cy="3680099"/>
        </a:xfrm>
        <a:prstGeom prst="rect">
          <a:avLst/>
        </a:prstGeom>
      </xdr:spPr>
    </xdr:pic>
    <xdr:clientData/>
  </xdr:oneCellAnchor>
  <xdr:oneCellAnchor>
    <xdr:from>
      <xdr:col>14</xdr:col>
      <xdr:colOff>215510</xdr:colOff>
      <xdr:row>89</xdr:row>
      <xdr:rowOff>1905</xdr:rowOff>
    </xdr:from>
    <xdr:ext cx="4631808" cy="3915904"/>
    <xdr:pic>
      <xdr:nvPicPr>
        <xdr:cNvPr id="5" name="Picture 4">
          <a:extLst>
            <a:ext uri="{FF2B5EF4-FFF2-40B4-BE49-F238E27FC236}">
              <a16:creationId xmlns:a16="http://schemas.microsoft.com/office/drawing/2014/main" id="{76ABD9B8-F584-49E1-B741-4E7206FD69E5}"/>
            </a:ext>
          </a:extLst>
        </xdr:cNvPr>
        <xdr:cNvPicPr>
          <a:picLocks noChangeAspect="1"/>
        </xdr:cNvPicPr>
      </xdr:nvPicPr>
      <xdr:blipFill>
        <a:blip xmlns:r="http://schemas.openxmlformats.org/officeDocument/2006/relationships" r:embed="rId4"/>
        <a:stretch>
          <a:fillRect/>
        </a:stretch>
      </xdr:blipFill>
      <xdr:spPr>
        <a:xfrm>
          <a:off x="13184750" y="12292965"/>
          <a:ext cx="4631808" cy="391590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2084</xdr:row>
      <xdr:rowOff>0</xdr:rowOff>
    </xdr:from>
    <xdr:to>
      <xdr:col>12</xdr:col>
      <xdr:colOff>550595</xdr:colOff>
      <xdr:row>2116</xdr:row>
      <xdr:rowOff>75619</xdr:rowOff>
    </xdr:to>
    <xdr:pic>
      <xdr:nvPicPr>
        <xdr:cNvPr id="4" name="Picture 3">
          <a:extLst>
            <a:ext uri="{FF2B5EF4-FFF2-40B4-BE49-F238E27FC236}">
              <a16:creationId xmlns:a16="http://schemas.microsoft.com/office/drawing/2014/main" id="{CEA839BF-FE29-0E0D-2016-3AE31702CA31}"/>
            </a:ext>
          </a:extLst>
        </xdr:cNvPr>
        <xdr:cNvPicPr>
          <a:picLocks noChangeAspect="1"/>
        </xdr:cNvPicPr>
      </xdr:nvPicPr>
      <xdr:blipFill>
        <a:blip xmlns:r="http://schemas.openxmlformats.org/officeDocument/2006/relationships" r:embed="rId1"/>
        <a:stretch>
          <a:fillRect/>
        </a:stretch>
      </xdr:blipFill>
      <xdr:spPr>
        <a:xfrm>
          <a:off x="0" y="298199175"/>
          <a:ext cx="14838095" cy="46476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97446</xdr:colOff>
      <xdr:row>154</xdr:row>
      <xdr:rowOff>0</xdr:rowOff>
    </xdr:from>
    <xdr:to>
      <xdr:col>11</xdr:col>
      <xdr:colOff>293405</xdr:colOff>
      <xdr:row>178</xdr:row>
      <xdr:rowOff>27992</xdr:rowOff>
    </xdr:to>
    <xdr:pic>
      <xdr:nvPicPr>
        <xdr:cNvPr id="6" name="Picture 5">
          <a:extLst>
            <a:ext uri="{FF2B5EF4-FFF2-40B4-BE49-F238E27FC236}">
              <a16:creationId xmlns:a16="http://schemas.microsoft.com/office/drawing/2014/main" id="{E15F68A8-CD82-DF3F-A32F-EB5D50595CB8}"/>
            </a:ext>
          </a:extLst>
        </xdr:cNvPr>
        <xdr:cNvPicPr>
          <a:picLocks noChangeAspect="1"/>
        </xdr:cNvPicPr>
      </xdr:nvPicPr>
      <xdr:blipFill>
        <a:blip xmlns:r="http://schemas.openxmlformats.org/officeDocument/2006/relationships" r:embed="rId1"/>
        <a:stretch>
          <a:fillRect/>
        </a:stretch>
      </xdr:blipFill>
      <xdr:spPr>
        <a:xfrm>
          <a:off x="97446" y="25603200"/>
          <a:ext cx="11816459" cy="3685592"/>
        </a:xfrm>
        <a:prstGeom prst="rect">
          <a:avLst/>
        </a:prstGeom>
      </xdr:spPr>
    </xdr:pic>
    <xdr:clientData/>
  </xdr:twoCellAnchor>
  <xdr:twoCellAnchor editAs="oneCell">
    <xdr:from>
      <xdr:col>0</xdr:col>
      <xdr:colOff>66676</xdr:colOff>
      <xdr:row>178</xdr:row>
      <xdr:rowOff>123825</xdr:rowOff>
    </xdr:from>
    <xdr:to>
      <xdr:col>11</xdr:col>
      <xdr:colOff>75162</xdr:colOff>
      <xdr:row>202</xdr:row>
      <xdr:rowOff>85172</xdr:rowOff>
    </xdr:to>
    <xdr:pic>
      <xdr:nvPicPr>
        <xdr:cNvPr id="7" name="Picture 6">
          <a:extLst>
            <a:ext uri="{FF2B5EF4-FFF2-40B4-BE49-F238E27FC236}">
              <a16:creationId xmlns:a16="http://schemas.microsoft.com/office/drawing/2014/main" id="{68F89BAC-993B-B976-F546-9194DA86C60D}"/>
            </a:ext>
          </a:extLst>
        </xdr:cNvPr>
        <xdr:cNvPicPr>
          <a:picLocks noChangeAspect="1"/>
        </xdr:cNvPicPr>
      </xdr:nvPicPr>
      <xdr:blipFill>
        <a:blip xmlns:r="http://schemas.openxmlformats.org/officeDocument/2006/relationships" r:embed="rId2"/>
        <a:stretch>
          <a:fillRect/>
        </a:stretch>
      </xdr:blipFill>
      <xdr:spPr>
        <a:xfrm>
          <a:off x="66676" y="27251025"/>
          <a:ext cx="11628986" cy="36189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161925</xdr:colOff>
      <xdr:row>491</xdr:row>
      <xdr:rowOff>114300</xdr:rowOff>
    </xdr:from>
    <xdr:to>
      <xdr:col>8</xdr:col>
      <xdr:colOff>298273</xdr:colOff>
      <xdr:row>517</xdr:row>
      <xdr:rowOff>8940</xdr:rowOff>
    </xdr:to>
    <xdr:pic>
      <xdr:nvPicPr>
        <xdr:cNvPr id="3" name="Picture 2">
          <a:extLst>
            <a:ext uri="{FF2B5EF4-FFF2-40B4-BE49-F238E27FC236}">
              <a16:creationId xmlns:a16="http://schemas.microsoft.com/office/drawing/2014/main" id="{D2E1CB42-C225-16B1-6A5C-D4A56B889541}"/>
            </a:ext>
          </a:extLst>
        </xdr:cNvPr>
        <xdr:cNvPicPr>
          <a:picLocks noChangeAspect="1"/>
        </xdr:cNvPicPr>
      </xdr:nvPicPr>
      <xdr:blipFill>
        <a:blip xmlns:r="http://schemas.openxmlformats.org/officeDocument/2006/relationships" r:embed="rId1"/>
        <a:stretch>
          <a:fillRect/>
        </a:stretch>
      </xdr:blipFill>
      <xdr:spPr>
        <a:xfrm>
          <a:off x="161925" y="65589150"/>
          <a:ext cx="9975673" cy="3361740"/>
        </a:xfrm>
        <a:prstGeom prst="rect">
          <a:avLst/>
        </a:prstGeom>
      </xdr:spPr>
    </xdr:pic>
    <xdr:clientData/>
  </xdr:twoCellAnchor>
  <xdr:twoCellAnchor editAs="oneCell">
    <xdr:from>
      <xdr:col>0</xdr:col>
      <xdr:colOff>104775</xdr:colOff>
      <xdr:row>517</xdr:row>
      <xdr:rowOff>95249</xdr:rowOff>
    </xdr:from>
    <xdr:to>
      <xdr:col>10</xdr:col>
      <xdr:colOff>589262</xdr:colOff>
      <xdr:row>544</xdr:row>
      <xdr:rowOff>66122</xdr:rowOff>
    </xdr:to>
    <xdr:pic>
      <xdr:nvPicPr>
        <xdr:cNvPr id="2" name="Picture 1">
          <a:extLst>
            <a:ext uri="{FF2B5EF4-FFF2-40B4-BE49-F238E27FC236}">
              <a16:creationId xmlns:a16="http://schemas.microsoft.com/office/drawing/2014/main" id="{A8656A46-1A44-5849-11FF-4AF2DDD956E2}"/>
            </a:ext>
          </a:extLst>
        </xdr:cNvPr>
        <xdr:cNvPicPr>
          <a:picLocks noChangeAspect="1"/>
        </xdr:cNvPicPr>
      </xdr:nvPicPr>
      <xdr:blipFill>
        <a:blip xmlns:r="http://schemas.openxmlformats.org/officeDocument/2006/relationships" r:embed="rId2"/>
        <a:stretch>
          <a:fillRect/>
        </a:stretch>
      </xdr:blipFill>
      <xdr:spPr>
        <a:xfrm>
          <a:off x="104775" y="69037199"/>
          <a:ext cx="11514437" cy="35713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222187</xdr:colOff>
      <xdr:row>95</xdr:row>
      <xdr:rowOff>141409</xdr:rowOff>
    </xdr:from>
    <xdr:to>
      <xdr:col>9</xdr:col>
      <xdr:colOff>4998241</xdr:colOff>
      <xdr:row>119</xdr:row>
      <xdr:rowOff>120815</xdr:rowOff>
    </xdr:to>
    <xdr:pic>
      <xdr:nvPicPr>
        <xdr:cNvPr id="5" name="Picture 4">
          <a:extLst>
            <a:ext uri="{FF2B5EF4-FFF2-40B4-BE49-F238E27FC236}">
              <a16:creationId xmlns:a16="http://schemas.microsoft.com/office/drawing/2014/main" id="{00000000-0008-0000-2500-000005000000}"/>
            </a:ext>
          </a:extLst>
        </xdr:cNvPr>
        <xdr:cNvPicPr>
          <a:picLocks noChangeAspect="1"/>
        </xdr:cNvPicPr>
      </xdr:nvPicPr>
      <xdr:blipFill>
        <a:blip xmlns:r="http://schemas.openxmlformats.org/officeDocument/2006/relationships" r:embed="rId1"/>
        <a:stretch>
          <a:fillRect/>
        </a:stretch>
      </xdr:blipFill>
      <xdr:spPr>
        <a:xfrm>
          <a:off x="7718362" y="14162209"/>
          <a:ext cx="6252429" cy="340840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293551</xdr:colOff>
      <xdr:row>26</xdr:row>
      <xdr:rowOff>26670</xdr:rowOff>
    </xdr:from>
    <xdr:to>
      <xdr:col>20</xdr:col>
      <xdr:colOff>762000</xdr:colOff>
      <xdr:row>41</xdr:row>
      <xdr:rowOff>97964</xdr:rowOff>
    </xdr:to>
    <xdr:pic>
      <xdr:nvPicPr>
        <xdr:cNvPr id="9" name="Picture 8">
          <a:extLst>
            <a:ext uri="{FF2B5EF4-FFF2-40B4-BE49-F238E27FC236}">
              <a16:creationId xmlns:a16="http://schemas.microsoft.com/office/drawing/2014/main" id="{00000000-0008-0000-2600-000009000000}"/>
            </a:ext>
          </a:extLst>
        </xdr:cNvPr>
        <xdr:cNvPicPr>
          <a:picLocks noChangeAspect="1"/>
        </xdr:cNvPicPr>
      </xdr:nvPicPr>
      <xdr:blipFill>
        <a:blip xmlns:r="http://schemas.openxmlformats.org/officeDocument/2006/relationships" r:embed="rId1"/>
        <a:stretch>
          <a:fillRect/>
        </a:stretch>
      </xdr:blipFill>
      <xdr:spPr>
        <a:xfrm>
          <a:off x="13476151" y="3903345"/>
          <a:ext cx="5030924" cy="2681144"/>
        </a:xfrm>
        <a:prstGeom prst="rect">
          <a:avLst/>
        </a:prstGeom>
      </xdr:spPr>
    </xdr:pic>
    <xdr:clientData/>
  </xdr:twoCellAnchor>
  <xdr:twoCellAnchor editAs="oneCell">
    <xdr:from>
      <xdr:col>13</xdr:col>
      <xdr:colOff>152399</xdr:colOff>
      <xdr:row>0</xdr:row>
      <xdr:rowOff>58595</xdr:rowOff>
    </xdr:from>
    <xdr:to>
      <xdr:col>21</xdr:col>
      <xdr:colOff>313273</xdr:colOff>
      <xdr:row>21</xdr:row>
      <xdr:rowOff>18456</xdr:rowOff>
    </xdr:to>
    <xdr:pic>
      <xdr:nvPicPr>
        <xdr:cNvPr id="2" name="Picture 1">
          <a:extLst>
            <a:ext uri="{FF2B5EF4-FFF2-40B4-BE49-F238E27FC236}">
              <a16:creationId xmlns:a16="http://schemas.microsoft.com/office/drawing/2014/main" id="{DA9BA0FF-FDF4-189C-1853-1D47A29B3D97}"/>
            </a:ext>
          </a:extLst>
        </xdr:cNvPr>
        <xdr:cNvPicPr>
          <a:picLocks noChangeAspect="1"/>
        </xdr:cNvPicPr>
      </xdr:nvPicPr>
      <xdr:blipFill>
        <a:blip xmlns:r="http://schemas.openxmlformats.org/officeDocument/2006/relationships" r:embed="rId2"/>
        <a:stretch>
          <a:fillRect/>
        </a:stretch>
      </xdr:blipFill>
      <xdr:spPr>
        <a:xfrm>
          <a:off x="14687549" y="58595"/>
          <a:ext cx="6266399" cy="354126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180974</xdr:colOff>
      <xdr:row>6</xdr:row>
      <xdr:rowOff>69495</xdr:rowOff>
    </xdr:from>
    <xdr:to>
      <xdr:col>20</xdr:col>
      <xdr:colOff>223915</xdr:colOff>
      <xdr:row>23</xdr:row>
      <xdr:rowOff>113170</xdr:rowOff>
    </xdr:to>
    <xdr:pic>
      <xdr:nvPicPr>
        <xdr:cNvPr id="2" name="Picture 1">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1"/>
        <a:stretch>
          <a:fillRect/>
        </a:stretch>
      </xdr:blipFill>
      <xdr:spPr>
        <a:xfrm>
          <a:off x="15001874" y="926745"/>
          <a:ext cx="4310141" cy="24725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391392</xdr:colOff>
      <xdr:row>17</xdr:row>
      <xdr:rowOff>133350</xdr:rowOff>
    </xdr:from>
    <xdr:to>
      <xdr:col>11</xdr:col>
      <xdr:colOff>74791</xdr:colOff>
      <xdr:row>35</xdr:row>
      <xdr:rowOff>133350</xdr:rowOff>
    </xdr:to>
    <xdr:pic>
      <xdr:nvPicPr>
        <xdr:cNvPr id="3" name="Picture 2">
          <a:extLst>
            <a:ext uri="{FF2B5EF4-FFF2-40B4-BE49-F238E27FC236}">
              <a16:creationId xmlns:a16="http://schemas.microsoft.com/office/drawing/2014/main" id="{00000000-0008-0000-2800-000003000000}"/>
            </a:ext>
          </a:extLst>
        </xdr:cNvPr>
        <xdr:cNvPicPr>
          <a:picLocks noChangeAspect="1"/>
        </xdr:cNvPicPr>
      </xdr:nvPicPr>
      <xdr:blipFill>
        <a:blip xmlns:r="http://schemas.openxmlformats.org/officeDocument/2006/relationships" r:embed="rId1"/>
        <a:stretch>
          <a:fillRect/>
        </a:stretch>
      </xdr:blipFill>
      <xdr:spPr>
        <a:xfrm>
          <a:off x="5792067" y="2590800"/>
          <a:ext cx="5179324" cy="25908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17</xdr:col>
      <xdr:colOff>114300</xdr:colOff>
      <xdr:row>3</xdr:row>
      <xdr:rowOff>262889</xdr:rowOff>
    </xdr:from>
    <xdr:ext cx="4658480" cy="2561486"/>
    <xdr:pic>
      <xdr:nvPicPr>
        <xdr:cNvPr id="2" name="Picture 1">
          <a:extLst>
            <a:ext uri="{FF2B5EF4-FFF2-40B4-BE49-F238E27FC236}">
              <a16:creationId xmlns:a16="http://schemas.microsoft.com/office/drawing/2014/main" id="{58DF1797-2407-4DE1-B837-D02917E4A759}"/>
            </a:ext>
          </a:extLst>
        </xdr:cNvPr>
        <xdr:cNvPicPr>
          <a:picLocks noChangeAspect="1"/>
        </xdr:cNvPicPr>
      </xdr:nvPicPr>
      <xdr:blipFill>
        <a:blip xmlns:r="http://schemas.openxmlformats.org/officeDocument/2006/relationships" r:embed="rId1"/>
        <a:stretch>
          <a:fillRect/>
        </a:stretch>
      </xdr:blipFill>
      <xdr:spPr>
        <a:xfrm>
          <a:off x="11772900" y="758189"/>
          <a:ext cx="4658480" cy="2561486"/>
        </a:xfrm>
        <a:prstGeom prst="rect">
          <a:avLst/>
        </a:prstGeom>
      </xdr:spPr>
    </xdr:pic>
    <xdr:clientData/>
  </xdr:oneCellAnchor>
  <xdr:oneCellAnchor>
    <xdr:from>
      <xdr:col>17</xdr:col>
      <xdr:colOff>13961</xdr:colOff>
      <xdr:row>20</xdr:row>
      <xdr:rowOff>80010</xdr:rowOff>
    </xdr:from>
    <xdr:ext cx="4711358" cy="3034092"/>
    <xdr:pic>
      <xdr:nvPicPr>
        <xdr:cNvPr id="3" name="Picture 2">
          <a:extLst>
            <a:ext uri="{FF2B5EF4-FFF2-40B4-BE49-F238E27FC236}">
              <a16:creationId xmlns:a16="http://schemas.microsoft.com/office/drawing/2014/main" id="{A4F09649-03D0-412D-8093-E161C88B81BD}"/>
            </a:ext>
          </a:extLst>
        </xdr:cNvPr>
        <xdr:cNvPicPr>
          <a:picLocks noChangeAspect="1"/>
        </xdr:cNvPicPr>
      </xdr:nvPicPr>
      <xdr:blipFill>
        <a:blip xmlns:r="http://schemas.openxmlformats.org/officeDocument/2006/relationships" r:embed="rId2"/>
        <a:stretch>
          <a:fillRect/>
        </a:stretch>
      </xdr:blipFill>
      <xdr:spPr>
        <a:xfrm>
          <a:off x="15977861" y="3680460"/>
          <a:ext cx="4711358" cy="303409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editAs="oneCell">
    <xdr:from>
      <xdr:col>11</xdr:col>
      <xdr:colOff>441960</xdr:colOff>
      <xdr:row>1</xdr:row>
      <xdr:rowOff>78502</xdr:rowOff>
    </xdr:from>
    <xdr:to>
      <xdr:col>18</xdr:col>
      <xdr:colOff>542925</xdr:colOff>
      <xdr:row>19</xdr:row>
      <xdr:rowOff>127261</xdr:rowOff>
    </xdr:to>
    <xdr:pic>
      <xdr:nvPicPr>
        <xdr:cNvPr id="4" name="Picture 3">
          <a:extLst>
            <a:ext uri="{FF2B5EF4-FFF2-40B4-BE49-F238E27FC236}">
              <a16:creationId xmlns:a16="http://schemas.microsoft.com/office/drawing/2014/main" id="{00000000-0008-0000-2A00-000004000000}"/>
            </a:ext>
          </a:extLst>
        </xdr:cNvPr>
        <xdr:cNvPicPr>
          <a:picLocks noChangeAspect="1"/>
        </xdr:cNvPicPr>
      </xdr:nvPicPr>
      <xdr:blipFill>
        <a:blip xmlns:r="http://schemas.openxmlformats.org/officeDocument/2006/relationships" r:embed="rId1"/>
        <a:stretch>
          <a:fillRect/>
        </a:stretch>
      </xdr:blipFill>
      <xdr:spPr>
        <a:xfrm>
          <a:off x="10319385" y="221377"/>
          <a:ext cx="4368165" cy="2963409"/>
        </a:xfrm>
        <a:prstGeom prst="rect">
          <a:avLst/>
        </a:prstGeom>
      </xdr:spPr>
    </xdr:pic>
    <xdr:clientData/>
  </xdr:twoCellAnchor>
  <xdr:twoCellAnchor editAs="oneCell">
    <xdr:from>
      <xdr:col>11</xdr:col>
      <xdr:colOff>495300</xdr:colOff>
      <xdr:row>20</xdr:row>
      <xdr:rowOff>49281</xdr:rowOff>
    </xdr:from>
    <xdr:to>
      <xdr:col>19</xdr:col>
      <xdr:colOff>51354</xdr:colOff>
      <xdr:row>37</xdr:row>
      <xdr:rowOff>114299</xdr:rowOff>
    </xdr:to>
    <xdr:pic>
      <xdr:nvPicPr>
        <xdr:cNvPr id="5" name="Picture 4">
          <a:extLst>
            <a:ext uri="{FF2B5EF4-FFF2-40B4-BE49-F238E27FC236}">
              <a16:creationId xmlns:a16="http://schemas.microsoft.com/office/drawing/2014/main" id="{00000000-0008-0000-2A00-000005000000}"/>
            </a:ext>
          </a:extLst>
        </xdr:cNvPr>
        <xdr:cNvPicPr>
          <a:picLocks noChangeAspect="1"/>
        </xdr:cNvPicPr>
      </xdr:nvPicPr>
      <xdr:blipFill>
        <a:blip xmlns:r="http://schemas.openxmlformats.org/officeDocument/2006/relationships" r:embed="rId2"/>
        <a:stretch>
          <a:fillRect/>
        </a:stretch>
      </xdr:blipFill>
      <xdr:spPr>
        <a:xfrm>
          <a:off x="10372725" y="3249681"/>
          <a:ext cx="4432854" cy="253199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333374</xdr:colOff>
      <xdr:row>0</xdr:row>
      <xdr:rowOff>114868</xdr:rowOff>
    </xdr:from>
    <xdr:to>
      <xdr:col>20</xdr:col>
      <xdr:colOff>57513</xdr:colOff>
      <xdr:row>12</xdr:row>
      <xdr:rowOff>104775</xdr:rowOff>
    </xdr:to>
    <xdr:pic>
      <xdr:nvPicPr>
        <xdr:cNvPr id="3" name="Picture 2">
          <a:extLst>
            <a:ext uri="{FF2B5EF4-FFF2-40B4-BE49-F238E27FC236}">
              <a16:creationId xmlns:a16="http://schemas.microsoft.com/office/drawing/2014/main" id="{00000000-0008-0000-2B00-000003000000}"/>
            </a:ext>
          </a:extLst>
        </xdr:cNvPr>
        <xdr:cNvPicPr>
          <a:picLocks noChangeAspect="1"/>
        </xdr:cNvPicPr>
      </xdr:nvPicPr>
      <xdr:blipFill>
        <a:blip xmlns:r="http://schemas.openxmlformats.org/officeDocument/2006/relationships" r:embed="rId1"/>
        <a:stretch>
          <a:fillRect/>
        </a:stretch>
      </xdr:blipFill>
      <xdr:spPr>
        <a:xfrm>
          <a:off x="10239374" y="114868"/>
          <a:ext cx="3991339" cy="2314007"/>
        </a:xfrm>
        <a:prstGeom prst="rect">
          <a:avLst/>
        </a:prstGeom>
      </xdr:spPr>
    </xdr:pic>
    <xdr:clientData/>
  </xdr:twoCellAnchor>
  <xdr:twoCellAnchor editAs="oneCell">
    <xdr:from>
      <xdr:col>20</xdr:col>
      <xdr:colOff>152400</xdr:colOff>
      <xdr:row>0</xdr:row>
      <xdr:rowOff>118035</xdr:rowOff>
    </xdr:from>
    <xdr:to>
      <xdr:col>30</xdr:col>
      <xdr:colOff>84638</xdr:colOff>
      <xdr:row>13</xdr:row>
      <xdr:rowOff>113856</xdr:rowOff>
    </xdr:to>
    <xdr:pic>
      <xdr:nvPicPr>
        <xdr:cNvPr id="2" name="Picture 1">
          <a:extLst>
            <a:ext uri="{FF2B5EF4-FFF2-40B4-BE49-F238E27FC236}">
              <a16:creationId xmlns:a16="http://schemas.microsoft.com/office/drawing/2014/main" id="{47194E78-C921-05E9-8E48-1A29AA081527}"/>
            </a:ext>
          </a:extLst>
        </xdr:cNvPr>
        <xdr:cNvPicPr>
          <a:picLocks noChangeAspect="1"/>
        </xdr:cNvPicPr>
      </xdr:nvPicPr>
      <xdr:blipFill>
        <a:blip xmlns:r="http://schemas.openxmlformats.org/officeDocument/2006/relationships" r:embed="rId2"/>
        <a:stretch>
          <a:fillRect/>
        </a:stretch>
      </xdr:blipFill>
      <xdr:spPr>
        <a:xfrm>
          <a:off x="14325600" y="118035"/>
          <a:ext cx="6028238" cy="2462796"/>
        </a:xfrm>
        <a:prstGeom prst="rect">
          <a:avLst/>
        </a:prstGeom>
      </xdr:spPr>
    </xdr:pic>
    <xdr:clientData/>
  </xdr:twoCellAnchor>
  <xdr:twoCellAnchor editAs="oneCell">
    <xdr:from>
      <xdr:col>10</xdr:col>
      <xdr:colOff>904875</xdr:colOff>
      <xdr:row>14</xdr:row>
      <xdr:rowOff>125557</xdr:rowOff>
    </xdr:from>
    <xdr:to>
      <xdr:col>20</xdr:col>
      <xdr:colOff>579925</xdr:colOff>
      <xdr:row>32</xdr:row>
      <xdr:rowOff>113833</xdr:rowOff>
    </xdr:to>
    <xdr:pic>
      <xdr:nvPicPr>
        <xdr:cNvPr id="6" name="Picture 5">
          <a:extLst>
            <a:ext uri="{FF2B5EF4-FFF2-40B4-BE49-F238E27FC236}">
              <a16:creationId xmlns:a16="http://schemas.microsoft.com/office/drawing/2014/main" id="{C174CC84-9385-A0C3-F4BC-32300D95C2B6}"/>
            </a:ext>
          </a:extLst>
        </xdr:cNvPr>
        <xdr:cNvPicPr>
          <a:picLocks noChangeAspect="1"/>
        </xdr:cNvPicPr>
      </xdr:nvPicPr>
      <xdr:blipFill>
        <a:blip xmlns:r="http://schemas.openxmlformats.org/officeDocument/2006/relationships" r:embed="rId3"/>
        <a:stretch>
          <a:fillRect/>
        </a:stretch>
      </xdr:blipFill>
      <xdr:spPr>
        <a:xfrm>
          <a:off x="8696325" y="2744932"/>
          <a:ext cx="6056800" cy="256955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679890</xdr:colOff>
      <xdr:row>1</xdr:row>
      <xdr:rowOff>9524</xdr:rowOff>
    </xdr:from>
    <xdr:to>
      <xdr:col>14</xdr:col>
      <xdr:colOff>591243</xdr:colOff>
      <xdr:row>26</xdr:row>
      <xdr:rowOff>67634</xdr:rowOff>
    </xdr:to>
    <xdr:pic>
      <xdr:nvPicPr>
        <xdr:cNvPr id="3" name="Picture 2">
          <a:extLst>
            <a:ext uri="{FF2B5EF4-FFF2-40B4-BE49-F238E27FC236}">
              <a16:creationId xmlns:a16="http://schemas.microsoft.com/office/drawing/2014/main" id="{00000000-0008-0000-2C00-000003000000}"/>
            </a:ext>
          </a:extLst>
        </xdr:cNvPr>
        <xdr:cNvPicPr>
          <a:picLocks noChangeAspect="1"/>
        </xdr:cNvPicPr>
      </xdr:nvPicPr>
      <xdr:blipFill>
        <a:blip xmlns:r="http://schemas.openxmlformats.org/officeDocument/2006/relationships" r:embed="rId1"/>
        <a:stretch>
          <a:fillRect/>
        </a:stretch>
      </xdr:blipFill>
      <xdr:spPr>
        <a:xfrm>
          <a:off x="9452415" y="152399"/>
          <a:ext cx="4902453" cy="4220535"/>
        </a:xfrm>
        <a:prstGeom prst="rect">
          <a:avLst/>
        </a:prstGeom>
      </xdr:spPr>
    </xdr:pic>
    <xdr:clientData/>
  </xdr:twoCellAnchor>
  <xdr:twoCellAnchor editAs="oneCell">
    <xdr:from>
      <xdr:col>10</xdr:col>
      <xdr:colOff>58393</xdr:colOff>
      <xdr:row>77</xdr:row>
      <xdr:rowOff>104775</xdr:rowOff>
    </xdr:from>
    <xdr:to>
      <xdr:col>14</xdr:col>
      <xdr:colOff>370410</xdr:colOff>
      <xdr:row>107</xdr:row>
      <xdr:rowOff>103788</xdr:rowOff>
    </xdr:to>
    <xdr:pic>
      <xdr:nvPicPr>
        <xdr:cNvPr id="4" name="Picture 3">
          <a:extLst>
            <a:ext uri="{FF2B5EF4-FFF2-40B4-BE49-F238E27FC236}">
              <a16:creationId xmlns:a16="http://schemas.microsoft.com/office/drawing/2014/main" id="{411D730C-BAE2-557B-E027-47A95B9FFD18}"/>
            </a:ext>
          </a:extLst>
        </xdr:cNvPr>
        <xdr:cNvPicPr>
          <a:picLocks noChangeAspect="1"/>
        </xdr:cNvPicPr>
      </xdr:nvPicPr>
      <xdr:blipFill>
        <a:blip xmlns:r="http://schemas.openxmlformats.org/officeDocument/2006/relationships" r:embed="rId2"/>
        <a:stretch>
          <a:fillRect/>
        </a:stretch>
      </xdr:blipFill>
      <xdr:spPr>
        <a:xfrm>
          <a:off x="9545293" y="11696700"/>
          <a:ext cx="4626842" cy="428526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83821</xdr:colOff>
      <xdr:row>25</xdr:row>
      <xdr:rowOff>148348</xdr:rowOff>
    </xdr:from>
    <xdr:to>
      <xdr:col>16</xdr:col>
      <xdr:colOff>342900</xdr:colOff>
      <xdr:row>39</xdr:row>
      <xdr:rowOff>118551</xdr:rowOff>
    </xdr:to>
    <xdr:pic>
      <xdr:nvPicPr>
        <xdr:cNvPr id="12" name="Picture 11">
          <a:extLst>
            <a:ext uri="{FF2B5EF4-FFF2-40B4-BE49-F238E27FC236}">
              <a16:creationId xmlns:a16="http://schemas.microsoft.com/office/drawing/2014/main" id="{00000000-0008-0000-2D00-00000C000000}"/>
            </a:ext>
          </a:extLst>
        </xdr:cNvPr>
        <xdr:cNvPicPr>
          <a:picLocks noChangeAspect="1"/>
        </xdr:cNvPicPr>
      </xdr:nvPicPr>
      <xdr:blipFill>
        <a:blip xmlns:r="http://schemas.openxmlformats.org/officeDocument/2006/relationships" r:embed="rId1"/>
        <a:stretch>
          <a:fillRect/>
        </a:stretch>
      </xdr:blipFill>
      <xdr:spPr>
        <a:xfrm>
          <a:off x="7980046" y="4691773"/>
          <a:ext cx="5059679" cy="2418128"/>
        </a:xfrm>
        <a:prstGeom prst="rect">
          <a:avLst/>
        </a:prstGeom>
      </xdr:spPr>
    </xdr:pic>
    <xdr:clientData/>
  </xdr:twoCellAnchor>
  <xdr:twoCellAnchor editAs="oneCell">
    <xdr:from>
      <xdr:col>9</xdr:col>
      <xdr:colOff>117572</xdr:colOff>
      <xdr:row>0</xdr:row>
      <xdr:rowOff>133350</xdr:rowOff>
    </xdr:from>
    <xdr:to>
      <xdr:col>14</xdr:col>
      <xdr:colOff>462811</xdr:colOff>
      <xdr:row>24</xdr:row>
      <xdr:rowOff>95250</xdr:rowOff>
    </xdr:to>
    <xdr:pic>
      <xdr:nvPicPr>
        <xdr:cNvPr id="13" name="Picture 12">
          <a:extLst>
            <a:ext uri="{FF2B5EF4-FFF2-40B4-BE49-F238E27FC236}">
              <a16:creationId xmlns:a16="http://schemas.microsoft.com/office/drawing/2014/main" id="{00000000-0008-0000-2D00-00000D000000}"/>
            </a:ext>
          </a:extLst>
        </xdr:cNvPr>
        <xdr:cNvPicPr>
          <a:picLocks noChangeAspect="1"/>
        </xdr:cNvPicPr>
      </xdr:nvPicPr>
      <xdr:blipFill>
        <a:blip xmlns:r="http://schemas.openxmlformats.org/officeDocument/2006/relationships" r:embed="rId2"/>
        <a:stretch>
          <a:fillRect/>
        </a:stretch>
      </xdr:blipFill>
      <xdr:spPr>
        <a:xfrm>
          <a:off x="8013797" y="133350"/>
          <a:ext cx="3774239" cy="4352925"/>
        </a:xfrm>
        <a:prstGeom prst="rect">
          <a:avLst/>
        </a:prstGeom>
      </xdr:spPr>
    </xdr:pic>
    <xdr:clientData/>
  </xdr:twoCellAnchor>
  <xdr:twoCellAnchor editAs="oneCell">
    <xdr:from>
      <xdr:col>14</xdr:col>
      <xdr:colOff>582931</xdr:colOff>
      <xdr:row>6</xdr:row>
      <xdr:rowOff>109422</xdr:rowOff>
    </xdr:from>
    <xdr:to>
      <xdr:col>20</xdr:col>
      <xdr:colOff>204686</xdr:colOff>
      <xdr:row>23</xdr:row>
      <xdr:rowOff>152400</xdr:rowOff>
    </xdr:to>
    <xdr:pic>
      <xdr:nvPicPr>
        <xdr:cNvPr id="14" name="Picture 13">
          <a:extLst>
            <a:ext uri="{FF2B5EF4-FFF2-40B4-BE49-F238E27FC236}">
              <a16:creationId xmlns:a16="http://schemas.microsoft.com/office/drawing/2014/main" id="{00000000-0008-0000-2D00-00000E000000}"/>
            </a:ext>
          </a:extLst>
        </xdr:cNvPr>
        <xdr:cNvPicPr>
          <a:picLocks noChangeAspect="1"/>
        </xdr:cNvPicPr>
      </xdr:nvPicPr>
      <xdr:blipFill>
        <a:blip xmlns:r="http://schemas.openxmlformats.org/officeDocument/2006/relationships" r:embed="rId3"/>
        <a:stretch>
          <a:fillRect/>
        </a:stretch>
      </xdr:blipFill>
      <xdr:spPr>
        <a:xfrm>
          <a:off x="11908156" y="976197"/>
          <a:ext cx="3736555" cy="3405303"/>
        </a:xfrm>
        <a:prstGeom prst="rect">
          <a:avLst/>
        </a:prstGeom>
      </xdr:spPr>
    </xdr:pic>
    <xdr:clientData/>
  </xdr:twoCellAnchor>
  <xdr:twoCellAnchor editAs="oneCell">
    <xdr:from>
      <xdr:col>20</xdr:col>
      <xdr:colOff>380999</xdr:colOff>
      <xdr:row>0</xdr:row>
      <xdr:rowOff>52382</xdr:rowOff>
    </xdr:from>
    <xdr:to>
      <xdr:col>26</xdr:col>
      <xdr:colOff>145438</xdr:colOff>
      <xdr:row>25</xdr:row>
      <xdr:rowOff>19050</xdr:rowOff>
    </xdr:to>
    <xdr:pic>
      <xdr:nvPicPr>
        <xdr:cNvPr id="15" name="Picture 14">
          <a:extLst>
            <a:ext uri="{FF2B5EF4-FFF2-40B4-BE49-F238E27FC236}">
              <a16:creationId xmlns:a16="http://schemas.microsoft.com/office/drawing/2014/main" id="{00000000-0008-0000-2D00-00000F000000}"/>
            </a:ext>
          </a:extLst>
        </xdr:cNvPr>
        <xdr:cNvPicPr>
          <a:picLocks noChangeAspect="1"/>
        </xdr:cNvPicPr>
      </xdr:nvPicPr>
      <xdr:blipFill>
        <a:blip xmlns:r="http://schemas.openxmlformats.org/officeDocument/2006/relationships" r:embed="rId4"/>
        <a:stretch>
          <a:fillRect/>
        </a:stretch>
      </xdr:blipFill>
      <xdr:spPr>
        <a:xfrm>
          <a:off x="15821024" y="52382"/>
          <a:ext cx="3879239" cy="4510093"/>
        </a:xfrm>
        <a:prstGeom prst="rect">
          <a:avLst/>
        </a:prstGeom>
      </xdr:spPr>
    </xdr:pic>
    <xdr:clientData/>
  </xdr:twoCellAnchor>
  <xdr:twoCellAnchor editAs="oneCell">
    <xdr:from>
      <xdr:col>16</xdr:col>
      <xdr:colOff>570356</xdr:colOff>
      <xdr:row>25</xdr:row>
      <xdr:rowOff>133350</xdr:rowOff>
    </xdr:from>
    <xdr:to>
      <xdr:col>23</xdr:col>
      <xdr:colOff>665878</xdr:colOff>
      <xdr:row>58</xdr:row>
      <xdr:rowOff>94338</xdr:rowOff>
    </xdr:to>
    <xdr:pic>
      <xdr:nvPicPr>
        <xdr:cNvPr id="2" name="Picture 1">
          <a:extLst>
            <a:ext uri="{FF2B5EF4-FFF2-40B4-BE49-F238E27FC236}">
              <a16:creationId xmlns:a16="http://schemas.microsoft.com/office/drawing/2014/main" id="{7E8D3182-EC3B-28DB-8440-59821F01A779}"/>
            </a:ext>
          </a:extLst>
        </xdr:cNvPr>
        <xdr:cNvPicPr>
          <a:picLocks noChangeAspect="1"/>
        </xdr:cNvPicPr>
      </xdr:nvPicPr>
      <xdr:blipFill>
        <a:blip xmlns:r="http://schemas.openxmlformats.org/officeDocument/2006/relationships" r:embed="rId5"/>
        <a:stretch>
          <a:fillRect/>
        </a:stretch>
      </xdr:blipFill>
      <xdr:spPr>
        <a:xfrm>
          <a:off x="13267181" y="4676775"/>
          <a:ext cx="4896122" cy="512353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Edwards,Michael D (BPA) - PSRF-6" id="{E1E7E19F-1FB6-46E4-8CC0-BC8433CE9794}" userId="S-1-5-21-2009805145-1601463483-1839490880-180439" providerId="AD"/>
  <person displayName="Zakharova, Elena" id="{C3FCBA68-F2D8-45BC-A624-94B5258571CF}" userId="S::Lena.Zakharova@pse.com::e8a6b8bd-f323-4752-82b4-89107bf522d5" providerId="AD"/>
</personList>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Copy%20of%20PSE_Appendix_1_CY_2022(EZ).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microsoft.com/office/2006/relationships/xlExternalLinkPath/xlPathMissing" Target="Copy%20of%20PSE_Appendix_1_CY_2022(EZ).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microsoft.com/office/2006/relationships/xlExternalLinkPath/xlPathMissing" Target="Copy%20of%20PSE_Appendix_1_CY_2022(EZ).xlsx" TargetMode="External"/><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_rels/pivotCacheDefinition8.xml.rels><?xml version="1.0" encoding="UTF-8" standalone="yes"?>
<Relationships xmlns="http://schemas.openxmlformats.org/package/2006/relationships"><Relationship Id="rId1" Type="http://schemas.openxmlformats.org/officeDocument/2006/relationships/pivotCacheRecords" Target="pivotCacheRecords8.xml"/></Relationships>
</file>

<file path=xl/pivotCache/_rels/pivotCacheDefinition9.xml.rels><?xml version="1.0" encoding="UTF-8" standalone="yes"?>
<Relationships xmlns="http://schemas.openxmlformats.org/package/2006/relationships"><Relationship Id="rId1" Type="http://schemas.openxmlformats.org/officeDocument/2006/relationships/pivotCacheRecords" Target="pivotCacheRecords9.xml"/></Relationships>
</file>

<file path=xl/pivotCache/_rels/pivotCacheDefinition10.xml.rels><?xml version="1.0" encoding="UTF-8" standalone="yes"?>
<Relationships xmlns="http://schemas.openxmlformats.org/package/2006/relationships"><Relationship Id="rId1" Type="http://schemas.openxmlformats.org/officeDocument/2006/relationships/pivotCacheRecords" Target="pivotCacheRecords10.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plyanskaya, Ekaterina - Transmission" refreshedDate="45034.557272685182" createdVersion="6" refreshedVersion="6" minRefreshableVersion="3" recordCount="83" xr:uid="{00000000-000A-0000-FFFF-FFFF00000000}">
  <cacheSource type="worksheet">
    <worksheetSource ref="C11:L94" sheet="FERC p310-311 Sales for Rsl 22" r:id="rId2"/>
  </cacheSource>
  <cacheFields count="10">
    <cacheField name="(b)" numFmtId="0">
      <sharedItems count="3">
        <s v="RQ"/>
        <s v="AD"/>
        <s v="OS"/>
      </sharedItems>
    </cacheField>
    <cacheField name="(c)" numFmtId="0">
      <sharedItems/>
    </cacheField>
    <cacheField name="(d)" numFmtId="0">
      <sharedItems containsString="0" containsBlank="1" containsNumber="1" minValue="3.6999999999999998E-2" maxValue="0.22600000000000001"/>
    </cacheField>
    <cacheField name="(e)" numFmtId="0">
      <sharedItems containsString="0" containsBlank="1" containsNumber="1" minValue="3.6999999999999998E-2" maxValue="0.22600000000000001"/>
    </cacheField>
    <cacheField name="(f)" numFmtId="0">
      <sharedItems containsString="0" containsBlank="1" containsNumber="1" minValue="3.6999999999999998E-2" maxValue="0.22600000000000001"/>
    </cacheField>
    <cacheField name="(g)" numFmtId="0">
      <sharedItems containsString="0" containsBlank="1" containsNumber="1" containsInteger="1" minValue="-400" maxValue="827101"/>
    </cacheField>
    <cacheField name="(h)" numFmtId="0">
      <sharedItems containsString="0" containsBlank="1" containsNumber="1" containsInteger="1" minValue="-410" maxValue="14208"/>
    </cacheField>
    <cacheField name="(i)" numFmtId="0">
      <sharedItems containsString="0" containsBlank="1" containsNumber="1" containsInteger="1" minValue="307" maxValue="74637853"/>
    </cacheField>
    <cacheField name="(j)" numFmtId="0">
      <sharedItems containsString="0" containsBlank="1" containsNumber="1" containsInteger="1" minValue="-46922" maxValue="339855"/>
    </cacheField>
    <cacheField name="(k)" numFmtId="206">
      <sharedItems containsSemiMixedTypes="0" containsString="0" containsNumber="1" containsInteger="1" minValue="-46922" maxValue="74637853"/>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plyanskaya, Ekaterina - Transmission" refreshedDate="45054.483785069446" createdVersion="6" refreshedVersion="6" minRefreshableVersion="3" recordCount="76" xr:uid="{00000000-000A-0000-FFFF-FFFF01000000}">
  <cacheSource type="worksheet">
    <worksheetSource ref="B8:L84" sheet="310-311 - Sales for Rsl 21" r:id="rId2"/>
  </cacheSource>
  <cacheFields count="11">
    <cacheField name="(a)" numFmtId="0">
      <sharedItems/>
    </cacheField>
    <cacheField name="(b)" numFmtId="0">
      <sharedItems count="3">
        <s v="RQ"/>
        <s v="AD"/>
        <s v="OS"/>
      </sharedItems>
    </cacheField>
    <cacheField name="(c)" numFmtId="0">
      <sharedItems/>
    </cacheField>
    <cacheField name="(d)" numFmtId="0">
      <sharedItems containsString="0" containsBlank="1" containsNumber="1" minValue="0.03" maxValue="0.24299999999999999"/>
    </cacheField>
    <cacheField name="(e)" numFmtId="0">
      <sharedItems containsString="0" containsBlank="1" containsNumber="1" minValue="0.03" maxValue="0.24299999999999999"/>
    </cacheField>
    <cacheField name="(f)" numFmtId="0">
      <sharedItems containsString="0" containsBlank="1" containsNumber="1" minValue="0.03" maxValue="0.24299999999999999"/>
    </cacheField>
    <cacheField name="(g)" numFmtId="190">
      <sharedItems containsSemiMixedTypes="0" containsString="0" containsNumber="1" containsInteger="1" minValue="-179" maxValue="1002052"/>
    </cacheField>
    <cacheField name="(h)" numFmtId="0">
      <sharedItems containsString="0" containsBlank="1" containsNumber="1" containsInteger="1" minValue="1088" maxValue="15317"/>
    </cacheField>
    <cacheField name="(i)" numFmtId="189">
      <sharedItems containsSemiMixedTypes="0" containsString="0" containsNumber="1" containsInteger="1" minValue="0" maxValue="42800360"/>
    </cacheField>
    <cacheField name="(j)" numFmtId="189">
      <sharedItems containsSemiMixedTypes="0" containsString="0" containsNumber="1" containsInteger="1" minValue="-2475" maxValue="24021"/>
    </cacheField>
    <cacheField name="(k)" numFmtId="189">
      <sharedItems containsSemiMixedTypes="0" containsString="0" containsNumber="1" containsInteger="1" minValue="-2475" maxValue="42800360"/>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plyanskaya, Ekaterina - Transmission" refreshedDate="45034.63246666667" createdVersion="6" refreshedVersion="6" minRefreshableVersion="3" recordCount="117" xr:uid="{00000000-000A-0000-FFFF-FFFF02000000}">
  <cacheSource type="worksheet">
    <worksheetSource ref="C11:O128" sheet="FERC p326-327 Purchased Pwr 22" r:id="rId2"/>
  </cacheSource>
  <cacheFields count="13">
    <cacheField name="(b)" numFmtId="0">
      <sharedItems count="7">
        <s v="LU"/>
        <s v="OS"/>
        <s v="EX"/>
        <s v="IF"/>
        <s v="AD"/>
        <s v="LF"/>
        <s v="IU"/>
      </sharedItems>
    </cacheField>
    <cacheField name="(c)" numFmtId="0">
      <sharedItems containsNonDate="0" containsString="0" containsBlank="1"/>
    </cacheField>
    <cacheField name="(d)" numFmtId="0">
      <sharedItems containsNonDate="0" containsString="0" containsBlank="1"/>
    </cacheField>
    <cacheField name="(e)" numFmtId="0">
      <sharedItems containsNonDate="0" containsString="0" containsBlank="1"/>
    </cacheField>
    <cacheField name="(f)" numFmtId="0">
      <sharedItems containsNonDate="0" containsString="0" containsBlank="1"/>
    </cacheField>
    <cacheField name="(g)" numFmtId="0">
      <sharedItems containsString="0" containsBlank="1" containsNumber="1" containsInteger="1" minValue="-638" maxValue="3328032"/>
    </cacheField>
    <cacheField name="(h)" numFmtId="0">
      <sharedItems containsNonDate="0" containsString="0" containsBlank="1"/>
    </cacheField>
    <cacheField name="(i)" numFmtId="0">
      <sharedItems containsMixedTypes="1" containsNumber="1" containsInteger="1" minValue="21151" maxValue="413000"/>
    </cacheField>
    <cacheField name="(j)" numFmtId="0">
      <sharedItems containsMixedTypes="1" containsNumber="1" containsInteger="1" minValue="0" maxValue="413000"/>
    </cacheField>
    <cacheField name="(k)" numFmtId="0">
      <sharedItems containsNonDate="0" containsString="0" containsBlank="1"/>
    </cacheField>
    <cacheField name="(l)" numFmtId="0">
      <sharedItems containsString="0" containsBlank="1" containsNumber="1" containsInteger="1" minValue="-3401980" maxValue="187035399"/>
    </cacheField>
    <cacheField name="(m)" numFmtId="0">
      <sharedItems containsMixedTypes="1" containsNumber="1" containsInteger="1" minValue="-77714734" maxValue="42181451"/>
    </cacheField>
    <cacheField name="(n)" numFmtId="0">
      <sharedItems containsSemiMixedTypes="0" containsString="0" containsNumber="1" containsInteger="1" minValue="-3401980" maxValue="187035399"/>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0972219" createdVersion="6" refreshedVersion="6" minRefreshableVersion="3" recordCount="2079" xr:uid="{00000000-000A-0000-FFFF-FFFF03000000}">
  <cacheSource type="worksheet">
    <worksheetSource ref="A1:O2080" sheet="FERC C389-399 Common"/>
  </cacheSource>
  <cacheFields count="15">
    <cacheField name="func_class" numFmtId="0">
      <sharedItems/>
    </cacheField>
    <cacheField name="business_segment" numFmtId="0">
      <sharedItems/>
    </cacheField>
    <cacheField name="asset_location" numFmtId="0">
      <sharedItems/>
    </cacheField>
    <cacheField name="asset_id" numFmtId="0">
      <sharedItems containsSemiMixedTypes="0" containsString="0" containsNumber="1" containsInteger="1" minValue="33030" maxValue="68173613"/>
    </cacheField>
    <cacheField name="depr_group" numFmtId="0">
      <sharedItems/>
    </cacheField>
    <cacheField name="WO#" numFmtId="0">
      <sharedItems containsMixedTypes="1" containsNumber="1" containsInteger="1" minValue="130002961" maxValue="153003148"/>
    </cacheField>
    <cacheField name="WO Description" numFmtId="0">
      <sharedItems containsBlank="1"/>
    </cacheField>
    <cacheField name="SAP WO Description" numFmtId="0">
      <sharedItems containsBlank="1" longText="1"/>
    </cacheField>
    <cacheField name="month" numFmtId="0">
      <sharedItems/>
    </cacheField>
    <cacheField name="quantity" numFmtId="0">
      <sharedItems containsSemiMixedTypes="0" containsString="0" containsNumber="1" minValue="0" maxValue="42360"/>
    </cacheField>
    <cacheField name="book_cost" numFmtId="44">
      <sharedItems containsSemiMixedTypes="0" containsString="0" containsNumber="1" minValue="-186172.18" maxValue="25707803.940000001"/>
    </cacheField>
    <cacheField name="allocated_reserve" numFmtId="44">
      <sharedItems containsSemiMixedTypes="0" containsString="0" containsNumber="1" minValue="-7034.13" maxValue="14245950.5"/>
    </cacheField>
    <cacheField name="net_book_value" numFmtId="44">
      <sharedItems containsSemiMixedTypes="0" containsString="0" containsNumber="1" minValue="-819935.66" maxValue="18486454.109999999"/>
    </cacheField>
    <cacheField name="FERC " numFmtId="0">
      <sharedItems count="11">
        <s v="C389"/>
        <s v="C390"/>
        <s v="C3901"/>
        <s v="C391"/>
        <s v="C392"/>
        <s v="C393"/>
        <s v="C394"/>
        <s v="C396"/>
        <s v="C397"/>
        <s v="C398"/>
        <s v="C399"/>
      </sharedItems>
    </cacheField>
    <cacheField name="Functionalization" numFmtId="0">
      <sharedItems count="5">
        <s v="PTD"/>
        <s v="DIST"/>
        <s v="LABOR"/>
        <s v="TD"/>
        <s v="PROD"/>
      </sharedItems>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189815" createdVersion="8" refreshedVersion="6" minRefreshableVersion="3" recordCount="394" xr:uid="{00000000-000A-0000-FFFF-FFFF04000000}">
  <cacheSource type="worksheet">
    <worksheetSource ref="A1:Q395" sheet="C Intangible New"/>
  </cacheSource>
  <cacheFields count="17">
    <cacheField name="func_class" numFmtId="0">
      <sharedItems/>
    </cacheField>
    <cacheField name="business_segment" numFmtId="0">
      <sharedItems/>
    </cacheField>
    <cacheField name="asset_location" numFmtId="0">
      <sharedItems/>
    </cacheField>
    <cacheField name="asset_id" numFmtId="0">
      <sharedItems containsSemiMixedTypes="0" containsString="0" containsNumber="1" containsInteger="1" minValue="14539052" maxValue="68173662"/>
    </cacheField>
    <cacheField name="depr_group" numFmtId="0">
      <sharedItems/>
    </cacheField>
    <cacheField name="WO#" numFmtId="0">
      <sharedItems containsSemiMixedTypes="0" containsString="0" containsNumber="1" containsInteger="1" minValue="130001349" maxValue="143008062"/>
    </cacheField>
    <cacheField name="WO Description" numFmtId="0">
      <sharedItems/>
    </cacheField>
    <cacheField name="SAP WO Description" numFmtId="0">
      <sharedItems/>
    </cacheField>
    <cacheField name="month" numFmtId="0">
      <sharedItems/>
    </cacheField>
    <cacheField name="quantity" numFmtId="0">
      <sharedItems containsSemiMixedTypes="0" containsString="0" containsNumber="1" containsInteger="1" minValue="0" maxValue="2"/>
    </cacheField>
    <cacheField name="book_cost" numFmtId="44">
      <sharedItems containsSemiMixedTypes="0" containsString="0" containsNumber="1" minValue="329" maxValue="43479309.659999996"/>
    </cacheField>
    <cacheField name="allocated_reserve" numFmtId="44">
      <sharedItems containsSemiMixedTypes="0" containsString="0" containsNumber="1" minValue="89.350000000000009" maxValue="27377508.649999999"/>
    </cacheField>
    <cacheField name="net_book_value" numFmtId="44">
      <sharedItems containsSemiMixedTypes="0" containsString="0" containsNumber="1" minValue="239.65" maxValue="16101801.01"/>
    </cacheField>
    <cacheField name="FERC " numFmtId="0">
      <sharedItems count="2">
        <s v="C303"/>
        <s v="C302"/>
      </sharedItems>
    </cacheField>
    <cacheField name="Functionalization" numFmtId="0">
      <sharedItems count="8">
        <s v="LABOR"/>
        <s v="PROD"/>
        <s v="DIST"/>
        <s v="PTD"/>
        <s v="TD"/>
        <s v="PTDG"/>
        <s v="GAS"/>
        <s v="EXCLUDE" u="1"/>
      </sharedItems>
    </cacheField>
    <cacheField name="PSE's Functionalization Notes" numFmtId="0">
      <sharedItems containsBlank="1"/>
    </cacheField>
    <cacheField name="SAP Long Text Notes"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2824074" createdVersion="6" refreshedVersion="6" minRefreshableVersion="3" recordCount="116" xr:uid="{00000000-000A-0000-FFFF-FFFF05000000}">
  <cacheSource type="worksheet">
    <worksheetSource ref="C11:O127" sheet="FERC p326-327 Purchased Pwr 23"/>
  </cacheSource>
  <cacheFields count="13">
    <cacheField name="(b)" numFmtId="0">
      <sharedItems count="7">
        <s v="LU"/>
        <s v="AD"/>
        <s v="EX"/>
        <s v="OS"/>
        <s v="IF"/>
        <s v="LF"/>
        <s v="IU"/>
      </sharedItems>
    </cacheField>
    <cacheField name="(c)" numFmtId="0">
      <sharedItems containsNonDate="0" containsString="0" containsBlank="1"/>
    </cacheField>
    <cacheField name="(d)" numFmtId="0">
      <sharedItems containsNonDate="0" containsString="0" containsBlank="1"/>
    </cacheField>
    <cacheField name="(e)" numFmtId="0">
      <sharedItems containsNonDate="0" containsString="0" containsBlank="1"/>
    </cacheField>
    <cacheField name="(f)" numFmtId="0">
      <sharedItems containsNonDate="0" containsString="0" containsBlank="1"/>
    </cacheField>
    <cacheField name="(g)" numFmtId="0">
      <sharedItems containsString="0" containsBlank="1" containsNumber="1" containsInteger="1" minValue="-404" maxValue="3326405"/>
    </cacheField>
    <cacheField name="(h)" numFmtId="0">
      <sharedItems containsNonDate="0" containsString="0" containsBlank="1"/>
    </cacheField>
    <cacheField name="(i)" numFmtId="0">
      <sharedItems containsBlank="1" containsMixedTypes="1" containsNumber="1" containsInteger="1" minValue="60" maxValue="413000"/>
    </cacheField>
    <cacheField name="(j)" numFmtId="0">
      <sharedItems containsBlank="1" containsMixedTypes="1" containsNumber="1" containsInteger="1" minValue="70" maxValue="413000"/>
    </cacheField>
    <cacheField name="(k)" numFmtId="0">
      <sharedItems containsNonDate="0" containsString="0" containsBlank="1"/>
    </cacheField>
    <cacheField name="(l)" numFmtId="0">
      <sharedItems containsString="0" containsBlank="1" containsNumber="1" containsInteger="1" minValue="-65513180" maxValue="192038428"/>
    </cacheField>
    <cacheField name="(m)" numFmtId="0">
      <sharedItems containsMixedTypes="1" containsNumber="1" containsInteger="1" minValue="-77223142" maxValue="95942000"/>
    </cacheField>
    <cacheField name="(n)" numFmtId="0">
      <sharedItems containsSemiMixedTypes="0" containsString="0" containsNumber="1" containsInteger="1" minValue="-65513180" maxValue="192038428"/>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3518521" createdVersion="6" refreshedVersion="6" minRefreshableVersion="3" recordCount="90" xr:uid="{00000000-000A-0000-FFFF-FFFF06000000}">
  <cacheSource type="worksheet">
    <worksheetSource ref="B10:O100" sheet="FERC p326-327 Purchased Pwr 21"/>
  </cacheSource>
  <cacheFields count="14">
    <cacheField name="(a)" numFmtId="0">
      <sharedItems/>
    </cacheField>
    <cacheField name="(b)" numFmtId="0">
      <sharedItems count="7">
        <s v="LU"/>
        <s v="AD"/>
        <s v="OS"/>
        <s v="EX"/>
        <s v="IF"/>
        <s v="LF"/>
        <s v="IU"/>
      </sharedItems>
    </cacheField>
    <cacheField name="(c)" numFmtId="0">
      <sharedItems containsNonDate="0" containsString="0" containsBlank="1"/>
    </cacheField>
    <cacheField name="(d)" numFmtId="0">
      <sharedItems containsNonDate="0" containsString="0" containsBlank="1"/>
    </cacheField>
    <cacheField name="(e)" numFmtId="0">
      <sharedItems containsNonDate="0" containsString="0" containsBlank="1"/>
    </cacheField>
    <cacheField name="(f)" numFmtId="0">
      <sharedItems containsNonDate="0" containsString="0" containsBlank="1"/>
    </cacheField>
    <cacheField name="(g)" numFmtId="0">
      <sharedItems containsString="0" containsBlank="1" containsNumber="1" containsInteger="1" minValue="-790" maxValue="3328001"/>
    </cacheField>
    <cacheField name="(h)" numFmtId="0">
      <sharedItems containsNonDate="0" containsString="0" containsBlank="1"/>
    </cacheField>
    <cacheField name="(i)" numFmtId="0">
      <sharedItems containsString="0" containsBlank="1" containsNumber="1" containsInteger="1" minValue="18032" maxValue="413000"/>
    </cacheField>
    <cacheField name="(j)" numFmtId="0">
      <sharedItems containsString="0" containsBlank="1" containsNumber="1" containsInteger="1" minValue="232291" maxValue="413000"/>
    </cacheField>
    <cacheField name="(k)" numFmtId="0">
      <sharedItems containsNonDate="0" containsString="0" containsBlank="1"/>
    </cacheField>
    <cacheField name="(l)" numFmtId="0">
      <sharedItems containsString="0" containsBlank="1" containsNumber="1" containsInteger="1" minValue="-1882184" maxValue="182807805"/>
    </cacheField>
    <cacheField name="(m)" numFmtId="0">
      <sharedItems containsString="0" containsBlank="1" containsNumber="1" containsInteger="1" minValue="-82225303" maxValue="33605571"/>
    </cacheField>
    <cacheField name="(n)" numFmtId="192">
      <sharedItems containsSemiMixedTypes="0" containsString="0" containsNumber="1" containsInteger="1" minValue="-3709346" maxValue="182807805"/>
    </cacheField>
  </cacheFields>
  <extLst>
    <ext xmlns:x14="http://schemas.microsoft.com/office/spreadsheetml/2009/9/main" uri="{725AE2AE-9491-48be-B2B4-4EB974FC3084}">
      <x14:pivotCacheDefinition/>
    </ext>
  </extLst>
</pivotCacheDefinition>
</file>

<file path=xl/pivotCache/pivotCacheDefinition8.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3865744" createdVersion="6" refreshedVersion="6" minRefreshableVersion="3" recordCount="82" xr:uid="{00000000-000A-0000-FFFF-FFFF07000000}">
  <cacheSource type="worksheet">
    <worksheetSource ref="C11:L93" sheet="FERC p310-311 Sales for Rsl 23"/>
  </cacheSource>
  <cacheFields count="10">
    <cacheField name="(b)" numFmtId="0">
      <sharedItems count="3">
        <s v="RQ"/>
        <s v="AD"/>
        <s v="OS"/>
      </sharedItems>
    </cacheField>
    <cacheField name="(c)" numFmtId="0">
      <sharedItems/>
    </cacheField>
    <cacheField name="(d)" numFmtId="0">
      <sharedItems containsString="0" containsBlank="1" containsNumber="1" minValue="3.4000000000000002E-2" maxValue="0.22700000000000001"/>
    </cacheField>
    <cacheField name="(e)" numFmtId="0">
      <sharedItems containsString="0" containsBlank="1" containsNumber="1" minValue="3.4000000000000002E-2" maxValue="0.22700000000000001"/>
    </cacheField>
    <cacheField name="(f)" numFmtId="0">
      <sharedItems containsString="0" containsBlank="1" containsNumber="1" minValue="3.4000000000000002E-2" maxValue="0.22700000000000001"/>
    </cacheField>
    <cacheField name="(g)" numFmtId="0">
      <sharedItems containsString="0" containsBlank="1" containsNumber="1" containsInteger="1" minValue="-1040" maxValue="1279706"/>
    </cacheField>
    <cacheField name="(h)" numFmtId="0">
      <sharedItems containsString="0" containsBlank="1" containsNumber="1" containsInteger="1" minValue="-2525" maxValue="14314"/>
    </cacheField>
    <cacheField name="(i)" numFmtId="0">
      <sharedItems containsString="0" containsBlank="1" containsNumber="1" containsInteger="1" minValue="-6235" maxValue="97465614"/>
    </cacheField>
    <cacheField name="(j)" numFmtId="0">
      <sharedItems containsString="0" containsBlank="1" containsNumber="1" containsInteger="1" minValue="-325795" maxValue="52060"/>
    </cacheField>
    <cacheField name="(k)" numFmtId="193">
      <sharedItems containsSemiMixedTypes="0" containsString="0" containsNumber="1" containsInteger="1" minValue="-325795" maxValue="97465614"/>
    </cacheField>
  </cacheFields>
  <extLst>
    <ext xmlns:x14="http://schemas.microsoft.com/office/spreadsheetml/2009/9/main" uri="{725AE2AE-9491-48be-B2B4-4EB974FC3084}">
      <x14:pivotCacheDefinition/>
    </ext>
  </extLst>
</pivotCacheDefinition>
</file>

<file path=xl/pivotCache/pivotCacheDefinition9.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4328706" createdVersion="6" refreshedVersion="6" minRefreshableVersion="3" recordCount="394" xr:uid="{00000000-000A-0000-FFFF-FFFF08000000}">
  <cacheSource type="worksheet">
    <worksheetSource ref="A1:O395" sheet="C Intangible New"/>
  </cacheSource>
  <cacheFields count="15">
    <cacheField name="func_class" numFmtId="0">
      <sharedItems/>
    </cacheField>
    <cacheField name="business_segment" numFmtId="0">
      <sharedItems/>
    </cacheField>
    <cacheField name="asset_location" numFmtId="0">
      <sharedItems/>
    </cacheField>
    <cacheField name="asset_id" numFmtId="0">
      <sharedItems containsSemiMixedTypes="0" containsString="0" containsNumber="1" containsInteger="1" minValue="14539052" maxValue="68173662"/>
    </cacheField>
    <cacheField name="depr_group" numFmtId="0">
      <sharedItems/>
    </cacheField>
    <cacheField name="WO#" numFmtId="0">
      <sharedItems containsSemiMixedTypes="0" containsString="0" containsNumber="1" containsInteger="1" minValue="130001349" maxValue="143008062"/>
    </cacheField>
    <cacheField name="WO Description" numFmtId="0">
      <sharedItems/>
    </cacheField>
    <cacheField name="SAP WO Description" numFmtId="0">
      <sharedItems/>
    </cacheField>
    <cacheField name="month" numFmtId="0">
      <sharedItems/>
    </cacheField>
    <cacheField name="quantity" numFmtId="0">
      <sharedItems containsSemiMixedTypes="0" containsString="0" containsNumber="1" containsInteger="1" minValue="0" maxValue="2"/>
    </cacheField>
    <cacheField name="book_cost" numFmtId="44">
      <sharedItems containsSemiMixedTypes="0" containsString="0" containsNumber="1" minValue="329" maxValue="43479309.659999996"/>
    </cacheField>
    <cacheField name="allocated_reserve" numFmtId="44">
      <sharedItems containsSemiMixedTypes="0" containsString="0" containsNumber="1" minValue="89.350000000000009" maxValue="27377508.649999999"/>
    </cacheField>
    <cacheField name="net_book_value" numFmtId="44">
      <sharedItems containsSemiMixedTypes="0" containsString="0" containsNumber="1" minValue="239.65" maxValue="16101801.01"/>
    </cacheField>
    <cacheField name="FERC " numFmtId="0">
      <sharedItems count="2">
        <s v="C303"/>
        <s v="C302"/>
      </sharedItems>
    </cacheField>
    <cacheField name="Functionalization" numFmtId="0">
      <sharedItems count="8">
        <s v="LABOR"/>
        <s v="PROD"/>
        <s v="DIST"/>
        <s v="PTD"/>
        <s v="TD"/>
        <s v="PTDG"/>
        <s v="GAS"/>
        <s v="TRANS" u="1"/>
      </sharedItems>
    </cacheField>
  </cacheFields>
  <extLst>
    <ext xmlns:x14="http://schemas.microsoft.com/office/spreadsheetml/2009/9/main" uri="{725AE2AE-9491-48be-B2B4-4EB974FC3084}">
      <x14:pivotCacheDefinition/>
    </ext>
  </extLst>
</pivotCacheDefinition>
</file>

<file path=xl/pivotCache/pivotCacheDefinition10.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egan, Jared" refreshedDate="45460.723994791668" createdVersion="6" refreshedVersion="6" minRefreshableVersion="3" recordCount="136" xr:uid="{00000000-000A-0000-FFFF-FFFF09000000}">
  <cacheSource type="worksheet">
    <worksheetSource ref="A1:O137" sheet="E Intangible"/>
  </cacheSource>
  <cacheFields count="15">
    <cacheField name="func_class" numFmtId="0">
      <sharedItems/>
    </cacheField>
    <cacheField name="business_segment" numFmtId="0">
      <sharedItems/>
    </cacheField>
    <cacheField name="asset_location" numFmtId="0">
      <sharedItems/>
    </cacheField>
    <cacheField name="asset_id" numFmtId="0">
      <sharedItems containsSemiMixedTypes="0" containsString="0" containsNumber="1" containsInteger="1" minValue="48" maxValue="68172486"/>
    </cacheField>
    <cacheField name="depr_group" numFmtId="0">
      <sharedItems/>
    </cacheField>
    <cacheField name="WO#" numFmtId="0">
      <sharedItems containsMixedTypes="1" containsNumber="1" containsInteger="1" minValue="103000085" maxValue="141008374"/>
    </cacheField>
    <cacheField name="WO Description" numFmtId="0">
      <sharedItems containsBlank="1"/>
    </cacheField>
    <cacheField name="SAP WO Description" numFmtId="0">
      <sharedItems containsBlank="1"/>
    </cacheField>
    <cacheField name="month" numFmtId="0">
      <sharedItems/>
    </cacheField>
    <cacheField name="quantity" numFmtId="0">
      <sharedItems containsSemiMixedTypes="0" containsString="0" containsNumber="1" containsInteger="1" minValue="0" maxValue="7"/>
    </cacheField>
    <cacheField name="book_cost" numFmtId="44">
      <sharedItems containsSemiMixedTypes="0" containsString="0" containsNumber="1" minValue="38.74" maxValue="39719237.369999997"/>
    </cacheField>
    <cacheField name="allocated_reserve" numFmtId="44">
      <sharedItems containsSemiMixedTypes="0" containsString="0" containsNumber="1" minValue="0" maxValue="11939281.42"/>
    </cacheField>
    <cacheField name="net_book_value" numFmtId="44">
      <sharedItems containsSemiMixedTypes="0" containsString="0" containsNumber="1" minValue="17.350000000000001" maxValue="27779955.949999999"/>
    </cacheField>
    <cacheField name="FERC " numFmtId="0">
      <sharedItems count="3">
        <s v="E301"/>
        <s v="E302"/>
        <s v="E303"/>
      </sharedItems>
    </cacheField>
    <cacheField name="Functionalization" numFmtId="0">
      <sharedItems count="8">
        <s v="DIST"/>
        <s v="PROD"/>
        <s v="PTD"/>
        <s v="TRANS"/>
        <s v="TD"/>
        <s v="EXCLUDE"/>
        <s v="LABOR"/>
        <s v="DIST "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3">
  <r>
    <x v="0"/>
    <s v="Sch005"/>
    <n v="0.13"/>
    <n v="0.13"/>
    <n v="0.13"/>
    <n v="784"/>
    <n v="8160"/>
    <n v="27546"/>
    <n v="2688"/>
    <n v="38394"/>
  </r>
  <r>
    <x v="0"/>
    <s v="Sch005"/>
    <n v="0.20699999999999999"/>
    <n v="0.20699999999999999"/>
    <n v="0.20699999999999999"/>
    <n v="1448"/>
    <n v="13999"/>
    <n v="50896"/>
    <n v="2733"/>
    <n v="67628"/>
  </r>
  <r>
    <x v="0"/>
    <s v="Sch005"/>
    <n v="0.22600000000000001"/>
    <n v="0.22600000000000001"/>
    <n v="0.22600000000000001"/>
    <n v="1362"/>
    <n v="14208"/>
    <n v="47861"/>
    <n v="2603"/>
    <n v="64672"/>
  </r>
  <r>
    <x v="0"/>
    <s v="Sch005"/>
    <n v="0.127"/>
    <n v="0.127"/>
    <n v="0.127"/>
    <n v="713"/>
    <n v="8031"/>
    <n v="25066"/>
    <n v="1345"/>
    <n v="34442"/>
  </r>
  <r>
    <x v="0"/>
    <s v="Sch005"/>
    <n v="3.6999999999999998E-2"/>
    <n v="3.6999999999999998E-2"/>
    <n v="3.6999999999999998E-2"/>
    <n v="185"/>
    <n v="2742"/>
    <n v="6498"/>
    <n v="0"/>
    <n v="9240"/>
  </r>
  <r>
    <x v="0"/>
    <s v="Sch005"/>
    <n v="0.111"/>
    <n v="0.111"/>
    <n v="0.111"/>
    <n v="619"/>
    <n v="6967"/>
    <n v="21750"/>
    <n v="2368"/>
    <n v="31085"/>
  </r>
  <r>
    <x v="0"/>
    <s v="Sch005"/>
    <n v="8.3000000000000004E-2"/>
    <n v="8.3000000000000004E-2"/>
    <n v="8.3000000000000004E-2"/>
    <n v="508"/>
    <n v="5243"/>
    <n v="17850"/>
    <n v="1389"/>
    <n v="24482"/>
  </r>
  <r>
    <x v="0"/>
    <s v="Sch005"/>
    <n v="8.3000000000000004E-2"/>
    <n v="8.3000000000000004E-2"/>
    <n v="8.3000000000000004E-2"/>
    <n v="522"/>
    <n v="5229"/>
    <n v="18343"/>
    <n v="965"/>
    <n v="24537"/>
  </r>
  <r>
    <x v="0"/>
    <s v="Sch005"/>
    <n v="0.157"/>
    <n v="0.157"/>
    <n v="0.157"/>
    <n v="972"/>
    <n v="9916"/>
    <n v="34146"/>
    <n v="4738"/>
    <n v="48800"/>
  </r>
  <r>
    <x v="0"/>
    <s v="Sch005"/>
    <m/>
    <m/>
    <m/>
    <n v="23"/>
    <n v="-410"/>
    <n v="807"/>
    <n v="0"/>
    <n v="397"/>
  </r>
  <r>
    <x v="1"/>
    <s v="FERC #8"/>
    <m/>
    <m/>
    <m/>
    <n v="-400"/>
    <m/>
    <m/>
    <n v="-13676"/>
    <n v="-13676"/>
  </r>
  <r>
    <x v="2"/>
    <s v="FERC #8"/>
    <m/>
    <m/>
    <m/>
    <n v="626024"/>
    <m/>
    <n v="55799048"/>
    <m/>
    <n v="55799048"/>
  </r>
  <r>
    <x v="2"/>
    <s v="FERC #9"/>
    <m/>
    <m/>
    <m/>
    <n v="86"/>
    <m/>
    <n v="10096"/>
    <m/>
    <n v="10096"/>
  </r>
  <r>
    <x v="1"/>
    <s v="FERC #8"/>
    <m/>
    <m/>
    <m/>
    <n v="45"/>
    <m/>
    <m/>
    <n v="14225"/>
    <n v="14225"/>
  </r>
  <r>
    <x v="2"/>
    <s v="FERC #8"/>
    <m/>
    <m/>
    <m/>
    <n v="37005"/>
    <m/>
    <n v="3677100"/>
    <m/>
    <n v="3677100"/>
  </r>
  <r>
    <x v="2"/>
    <s v="FERC #9"/>
    <m/>
    <m/>
    <m/>
    <n v="41"/>
    <m/>
    <n v="5317"/>
    <m/>
    <n v="5317"/>
  </r>
  <r>
    <x v="2"/>
    <s v="FERC #9"/>
    <m/>
    <m/>
    <m/>
    <n v="100"/>
    <m/>
    <n v="6622"/>
    <m/>
    <n v="6622"/>
  </r>
  <r>
    <x v="1"/>
    <s v="FERC #8"/>
    <m/>
    <m/>
    <m/>
    <n v="-61"/>
    <m/>
    <m/>
    <n v="-25490"/>
    <n v="-25490"/>
  </r>
  <r>
    <x v="2"/>
    <s v="FERC #8"/>
    <m/>
    <m/>
    <m/>
    <n v="433890"/>
    <m/>
    <n v="33834589"/>
    <m/>
    <n v="33834589"/>
  </r>
  <r>
    <x v="2"/>
    <s v="FERC #9"/>
    <m/>
    <m/>
    <m/>
    <n v="76"/>
    <m/>
    <n v="4016"/>
    <m/>
    <n v="4016"/>
  </r>
  <r>
    <x v="1"/>
    <s v="FERC #8"/>
    <m/>
    <m/>
    <m/>
    <n v="16"/>
    <m/>
    <m/>
    <n v="2116"/>
    <n v="2116"/>
  </r>
  <r>
    <x v="2"/>
    <s v="FERC #8"/>
    <m/>
    <m/>
    <m/>
    <n v="302331"/>
    <m/>
    <n v="34923808"/>
    <m/>
    <n v="34923808"/>
  </r>
  <r>
    <x v="2"/>
    <s v="FERC #8"/>
    <m/>
    <m/>
    <m/>
    <n v="14335"/>
    <m/>
    <n v="1190254"/>
    <m/>
    <n v="1190254"/>
  </r>
  <r>
    <x v="2"/>
    <s v="FERC #8"/>
    <m/>
    <m/>
    <m/>
    <n v="704157"/>
    <m/>
    <n v="52231747"/>
    <m/>
    <n v="52231747"/>
  </r>
  <r>
    <x v="2"/>
    <s v="FERC #8"/>
    <m/>
    <m/>
    <m/>
    <n v="810"/>
    <m/>
    <n v="54010"/>
    <m/>
    <n v="54010"/>
  </r>
  <r>
    <x v="2"/>
    <s v="FERC #9"/>
    <m/>
    <m/>
    <m/>
    <n v="10"/>
    <m/>
    <n v="493"/>
    <m/>
    <n v="493"/>
  </r>
  <r>
    <x v="1"/>
    <s v="FERC #8"/>
    <m/>
    <m/>
    <m/>
    <m/>
    <m/>
    <m/>
    <n v="1"/>
    <n v="1"/>
  </r>
  <r>
    <x v="2"/>
    <s v="FERC #8"/>
    <m/>
    <m/>
    <m/>
    <n v="242101"/>
    <m/>
    <n v="32558984"/>
    <m/>
    <n v="32558984"/>
  </r>
  <r>
    <x v="2"/>
    <s v="FERC #8"/>
    <m/>
    <m/>
    <m/>
    <n v="11834"/>
    <m/>
    <n v="447921"/>
    <m/>
    <n v="447921"/>
  </r>
  <r>
    <x v="1"/>
    <s v="FERC #8"/>
    <m/>
    <m/>
    <m/>
    <n v="14"/>
    <m/>
    <m/>
    <n v="2275"/>
    <n v="2275"/>
  </r>
  <r>
    <x v="2"/>
    <s v="FERC #8"/>
    <m/>
    <m/>
    <m/>
    <n v="7555"/>
    <m/>
    <n v="479714"/>
    <m/>
    <n v="479714"/>
  </r>
  <r>
    <x v="1"/>
    <s v="FERC #8"/>
    <m/>
    <m/>
    <m/>
    <n v="-163"/>
    <m/>
    <m/>
    <n v="-13392"/>
    <n v="-13392"/>
  </r>
  <r>
    <x v="2"/>
    <s v="FERC #8"/>
    <m/>
    <m/>
    <m/>
    <n v="647105"/>
    <m/>
    <n v="48870055"/>
    <m/>
    <n v="48870055"/>
  </r>
  <r>
    <x v="1"/>
    <s v="FERC #8"/>
    <m/>
    <m/>
    <m/>
    <n v="-23"/>
    <m/>
    <m/>
    <n v="-46922"/>
    <n v="-46922"/>
  </r>
  <r>
    <x v="2"/>
    <s v="FERC #8"/>
    <m/>
    <m/>
    <m/>
    <n v="22814"/>
    <m/>
    <n v="1553906"/>
    <m/>
    <n v="1553906"/>
  </r>
  <r>
    <x v="2"/>
    <s v="FERC #8"/>
    <m/>
    <m/>
    <m/>
    <n v="7516"/>
    <m/>
    <n v="1173422"/>
    <m/>
    <n v="1173422"/>
  </r>
  <r>
    <x v="2"/>
    <s v="FERC #8"/>
    <m/>
    <m/>
    <m/>
    <n v="22223"/>
    <m/>
    <n v="4777947"/>
    <m/>
    <n v="4777947"/>
  </r>
  <r>
    <x v="1"/>
    <s v="FERC #8"/>
    <m/>
    <m/>
    <m/>
    <n v="12"/>
    <m/>
    <m/>
    <n v="1800"/>
    <n v="1800"/>
  </r>
  <r>
    <x v="2"/>
    <s v="FERC #8"/>
    <m/>
    <m/>
    <m/>
    <n v="4160"/>
    <m/>
    <n v="321492"/>
    <m/>
    <n v="321492"/>
  </r>
  <r>
    <x v="1"/>
    <s v="FERC #8"/>
    <m/>
    <m/>
    <m/>
    <n v="46"/>
    <m/>
    <m/>
    <n v="6275"/>
    <n v="6275"/>
  </r>
  <r>
    <x v="2"/>
    <s v="FERC #8"/>
    <m/>
    <m/>
    <m/>
    <n v="33532"/>
    <m/>
    <n v="2544689"/>
    <m/>
    <n v="2544689"/>
  </r>
  <r>
    <x v="2"/>
    <s v="FERC #9"/>
    <m/>
    <m/>
    <m/>
    <n v="4"/>
    <m/>
    <n v="307"/>
    <m/>
    <n v="307"/>
  </r>
  <r>
    <x v="1"/>
    <s v="FERC #8"/>
    <m/>
    <m/>
    <m/>
    <m/>
    <m/>
    <m/>
    <n v="1944"/>
    <n v="1944"/>
  </r>
  <r>
    <x v="2"/>
    <s v="FERC #9"/>
    <m/>
    <m/>
    <m/>
    <n v="626"/>
    <m/>
    <n v="39271"/>
    <m/>
    <n v="39271"/>
  </r>
  <r>
    <x v="1"/>
    <s v="FERC #8"/>
    <m/>
    <m/>
    <m/>
    <n v="576"/>
    <m/>
    <m/>
    <n v="339855"/>
    <n v="339855"/>
  </r>
  <r>
    <x v="2"/>
    <s v="FERC #8"/>
    <m/>
    <m/>
    <m/>
    <n v="77189"/>
    <m/>
    <n v="10817642"/>
    <m/>
    <n v="10817642"/>
  </r>
  <r>
    <x v="2"/>
    <s v="FERC #9"/>
    <m/>
    <m/>
    <m/>
    <n v="75"/>
    <m/>
    <n v="9924"/>
    <m/>
    <n v="9924"/>
  </r>
  <r>
    <x v="1"/>
    <s v="FERC #8"/>
    <m/>
    <m/>
    <m/>
    <n v="45"/>
    <m/>
    <m/>
    <n v="1068"/>
    <n v="1068"/>
  </r>
  <r>
    <x v="2"/>
    <s v="FERC #8"/>
    <m/>
    <m/>
    <m/>
    <n v="346632"/>
    <m/>
    <n v="38179304"/>
    <m/>
    <n v="38179304"/>
  </r>
  <r>
    <x v="1"/>
    <s v="FERC #8"/>
    <m/>
    <m/>
    <m/>
    <n v="34"/>
    <m/>
    <m/>
    <n v="6104"/>
    <n v="6104"/>
  </r>
  <r>
    <x v="2"/>
    <s v="FERC #8"/>
    <m/>
    <m/>
    <m/>
    <n v="283970"/>
    <m/>
    <n v="38488973"/>
    <m/>
    <n v="38488973"/>
  </r>
  <r>
    <x v="1"/>
    <s v="FERC #8"/>
    <m/>
    <m/>
    <m/>
    <m/>
    <m/>
    <m/>
    <n v="481"/>
    <n v="481"/>
  </r>
  <r>
    <x v="2"/>
    <s v="FERC #9"/>
    <m/>
    <m/>
    <m/>
    <n v="52"/>
    <m/>
    <n v="1659"/>
    <m/>
    <n v="1659"/>
  </r>
  <r>
    <x v="2"/>
    <s v="FERC #8"/>
    <m/>
    <m/>
    <m/>
    <n v="597"/>
    <m/>
    <n v="12537"/>
    <m/>
    <n v="12537"/>
  </r>
  <r>
    <x v="2"/>
    <s v="FERC #8"/>
    <m/>
    <m/>
    <m/>
    <n v="29915"/>
    <m/>
    <n v="2077194"/>
    <m/>
    <n v="2077194"/>
  </r>
  <r>
    <x v="2"/>
    <s v="FERC #9"/>
    <m/>
    <m/>
    <m/>
    <n v="41"/>
    <m/>
    <n v="3657"/>
    <m/>
    <n v="3657"/>
  </r>
  <r>
    <x v="1"/>
    <s v="FERC #8"/>
    <m/>
    <m/>
    <m/>
    <m/>
    <m/>
    <m/>
    <n v="105"/>
    <n v="105"/>
  </r>
  <r>
    <x v="2"/>
    <s v="FERC #8"/>
    <m/>
    <m/>
    <m/>
    <n v="150188"/>
    <m/>
    <n v="14792797"/>
    <m/>
    <n v="14792797"/>
  </r>
  <r>
    <x v="2"/>
    <s v="FERC #9"/>
    <m/>
    <m/>
    <m/>
    <n v="92"/>
    <m/>
    <n v="6656"/>
    <m/>
    <n v="6656"/>
  </r>
  <r>
    <x v="1"/>
    <s v="FERC #8"/>
    <m/>
    <m/>
    <m/>
    <m/>
    <m/>
    <m/>
    <n v="-200"/>
    <n v="-200"/>
  </r>
  <r>
    <x v="2"/>
    <s v="FERC #8"/>
    <m/>
    <m/>
    <m/>
    <n v="334503"/>
    <m/>
    <n v="26400729"/>
    <m/>
    <n v="26400729"/>
  </r>
  <r>
    <x v="2"/>
    <s v="FERC #9"/>
    <m/>
    <m/>
    <m/>
    <n v="39"/>
    <m/>
    <n v="2013"/>
    <m/>
    <n v="2013"/>
  </r>
  <r>
    <x v="2"/>
    <s v="FERC #8"/>
    <m/>
    <m/>
    <m/>
    <n v="199218"/>
    <m/>
    <n v="9720557"/>
    <m/>
    <n v="9720557"/>
  </r>
  <r>
    <x v="2"/>
    <s v="FERC #8"/>
    <m/>
    <m/>
    <m/>
    <n v="200"/>
    <m/>
    <n v="4400"/>
    <m/>
    <n v="4400"/>
  </r>
  <r>
    <x v="2"/>
    <s v="FERC #8"/>
    <m/>
    <m/>
    <m/>
    <n v="8315"/>
    <m/>
    <n v="313404"/>
    <m/>
    <n v="313404"/>
  </r>
  <r>
    <x v="1"/>
    <s v="FERC #8"/>
    <m/>
    <m/>
    <m/>
    <m/>
    <m/>
    <m/>
    <n v="100"/>
    <n v="100"/>
  </r>
  <r>
    <x v="2"/>
    <s v="FERC #8"/>
    <m/>
    <m/>
    <m/>
    <n v="29524"/>
    <m/>
    <n v="852518"/>
    <m/>
    <n v="852518"/>
  </r>
  <r>
    <x v="2"/>
    <s v="FERC #9"/>
    <m/>
    <m/>
    <m/>
    <n v="23"/>
    <m/>
    <n v="1252"/>
    <m/>
    <n v="1252"/>
  </r>
  <r>
    <x v="1"/>
    <s v="FERC #8"/>
    <m/>
    <m/>
    <m/>
    <m/>
    <m/>
    <m/>
    <n v="148"/>
    <n v="148"/>
  </r>
  <r>
    <x v="2"/>
    <s v="FERC #8"/>
    <m/>
    <m/>
    <m/>
    <n v="86365"/>
    <m/>
    <n v="10560206"/>
    <m/>
    <n v="10560206"/>
  </r>
  <r>
    <x v="2"/>
    <s v="FERC #8"/>
    <m/>
    <m/>
    <m/>
    <n v="263034"/>
    <m/>
    <n v="22675558"/>
    <m/>
    <n v="22675558"/>
  </r>
  <r>
    <x v="1"/>
    <s v="FERC #8"/>
    <m/>
    <m/>
    <m/>
    <n v="12"/>
    <m/>
    <m/>
    <n v="2280"/>
    <n v="2280"/>
  </r>
  <r>
    <x v="2"/>
    <s v="FERC #8"/>
    <m/>
    <m/>
    <m/>
    <n v="33043"/>
    <m/>
    <n v="3426565"/>
    <m/>
    <n v="3426565"/>
  </r>
  <r>
    <x v="2"/>
    <s v="FERC #8"/>
    <m/>
    <m/>
    <m/>
    <n v="22227"/>
    <m/>
    <n v="1619779"/>
    <m/>
    <n v="1619779"/>
  </r>
  <r>
    <x v="1"/>
    <s v="FERC #8"/>
    <m/>
    <m/>
    <m/>
    <n v="-18"/>
    <m/>
    <m/>
    <n v="-2286"/>
    <n v="-2286"/>
  </r>
  <r>
    <x v="2"/>
    <s v="FERC #8"/>
    <m/>
    <m/>
    <m/>
    <n v="149976"/>
    <m/>
    <n v="12924763"/>
    <m/>
    <n v="12924763"/>
  </r>
  <r>
    <x v="1"/>
    <s v="FERC #8"/>
    <m/>
    <m/>
    <m/>
    <n v="-1"/>
    <m/>
    <m/>
    <n v="-21973"/>
    <n v="-21973"/>
  </r>
  <r>
    <x v="2"/>
    <s v="FERC #8"/>
    <m/>
    <m/>
    <m/>
    <n v="827101"/>
    <m/>
    <n v="74637853"/>
    <m/>
    <n v="74637853"/>
  </r>
  <r>
    <x v="2"/>
    <s v="FERC #8"/>
    <m/>
    <m/>
    <m/>
    <n v="55475"/>
    <m/>
    <n v="3186566"/>
    <m/>
    <n v="3186566"/>
  </r>
  <r>
    <x v="1"/>
    <s v="FERC #8"/>
    <m/>
    <m/>
    <m/>
    <m/>
    <m/>
    <m/>
    <n v="338"/>
    <n v="338"/>
  </r>
  <r>
    <x v="2"/>
    <s v="FERC #8"/>
    <m/>
    <m/>
    <m/>
    <n v="585"/>
    <m/>
    <n v="26645"/>
    <m/>
    <n v="26645"/>
  </r>
  <r>
    <x v="2"/>
    <s v="FERC #8"/>
    <m/>
    <m/>
    <m/>
    <n v="12449"/>
    <m/>
    <n v="859167"/>
    <m/>
    <n v="859167"/>
  </r>
  <r>
    <x v="2"/>
    <s v="FERC #8"/>
    <m/>
    <m/>
    <m/>
    <n v="8000"/>
    <m/>
    <n v="254700"/>
    <m/>
    <n v="254700"/>
  </r>
</pivotCacheRecords>
</file>

<file path=xl/pivotCache/pivotCacheRecords2.xml><?xml version="1.0" encoding="utf-8"?>
<pivotCacheRecords xmlns="http://schemas.openxmlformats.org/spreadsheetml/2006/main" xmlns:r="http://schemas.openxmlformats.org/officeDocument/2006/relationships" count="76">
  <r>
    <s v="Port of Bremerton"/>
    <x v="0"/>
    <s v="Sch005"/>
    <n v="0.13500000000000001"/>
    <n v="0.13500000000000001"/>
    <n v="0.13500000000000001"/>
    <n v="794"/>
    <n v="8535"/>
    <n v="27915"/>
    <n v="2745"/>
    <n v="39195"/>
  </r>
  <r>
    <s v="Port of Brownsville"/>
    <x v="0"/>
    <s v="Sch005"/>
    <n v="0.17199999999999999"/>
    <n v="0.17199999999999999"/>
    <n v="0.17199999999999999"/>
    <n v="1484"/>
    <n v="14150"/>
    <n v="52162"/>
    <n v="2791"/>
    <n v="69103"/>
  </r>
  <r>
    <s v="City of Des Moines"/>
    <x v="0"/>
    <s v="Sch005"/>
    <n v="0.24299999999999999"/>
    <n v="0.24299999999999999"/>
    <n v="0.24299999999999999"/>
    <n v="1340"/>
    <n v="15317"/>
    <n v="47091"/>
    <n v="2621"/>
    <n v="65029"/>
  </r>
  <r>
    <s v="Kingston Port District"/>
    <x v="0"/>
    <s v="Sch005"/>
    <n v="0.125"/>
    <n v="0.125"/>
    <n v="0.125"/>
    <n v="698"/>
    <n v="7849"/>
    <n v="24516"/>
    <n v="1317"/>
    <n v="33682"/>
  </r>
  <r>
    <s v="Kittitas Co PUD"/>
    <x v="0"/>
    <s v="Sch005"/>
    <n v="0.03"/>
    <n v="0.03"/>
    <n v="0.03"/>
    <n v="195"/>
    <n v="2835"/>
    <n v="6840"/>
    <n v="0"/>
    <n v="9675"/>
  </r>
  <r>
    <s v="City of Oak Harbor"/>
    <x v="0"/>
    <s v="Sch005"/>
    <n v="0.12"/>
    <n v="0.12"/>
    <n v="0.12"/>
    <n v="657"/>
    <n v="7541"/>
    <n v="23087"/>
    <n v="2509"/>
    <n v="33137"/>
  </r>
  <r>
    <s v="Poulsbo Port District"/>
    <x v="0"/>
    <s v="Sch005"/>
    <n v="9.4E-2"/>
    <n v="9.4E-2"/>
    <n v="9.4E-2"/>
    <n v="558"/>
    <n v="5936"/>
    <n v="19622"/>
    <n v="1537"/>
    <n v="27095"/>
  </r>
  <r>
    <s v="Port of Skagit - LaConner Marina"/>
    <x v="0"/>
    <s v="Sch005"/>
    <n v="8.5999999999999993E-2"/>
    <n v="8.5999999999999993E-2"/>
    <n v="8.5999999999999993E-2"/>
    <n v="529"/>
    <n v="5386"/>
    <n v="18586"/>
    <n v="991"/>
    <n v="24963"/>
  </r>
  <r>
    <s v="Port of Skagit - North Basin"/>
    <x v="0"/>
    <s v="Sch005"/>
    <n v="0.14299999999999999"/>
    <n v="0.14299999999999999"/>
    <n v="0.14299999999999999"/>
    <n v="935"/>
    <n v="9022"/>
    <n v="32838"/>
    <n v="4512"/>
    <n v="46372"/>
  </r>
  <r>
    <s v="Change in Unbilled Revenue"/>
    <x v="0"/>
    <s v="Sch005"/>
    <m/>
    <m/>
    <m/>
    <n v="14"/>
    <n v="1088"/>
    <n v="493"/>
    <n v="0"/>
    <n v="1581"/>
  </r>
  <r>
    <s v="Avangrid Renewables, LLC"/>
    <x v="1"/>
    <s v="FERC #8"/>
    <m/>
    <m/>
    <m/>
    <n v="400"/>
    <m/>
    <n v="0"/>
    <n v="13176"/>
    <n v="13176"/>
  </r>
  <r>
    <s v="Avangrid Renewables, LLC"/>
    <x v="2"/>
    <s v="FERC #8"/>
    <m/>
    <m/>
    <m/>
    <n v="506335"/>
    <m/>
    <n v="26276542"/>
    <n v="0"/>
    <n v="26276542"/>
  </r>
  <r>
    <s v="Avangrid Renewables, LLC"/>
    <x v="2"/>
    <s v="FERC #9"/>
    <m/>
    <m/>
    <m/>
    <n v="63"/>
    <m/>
    <n v="1563"/>
    <n v="0"/>
    <n v="1563"/>
  </r>
  <r>
    <s v="Avista Corp. WWP Division"/>
    <x v="2"/>
    <s v="FERC #8"/>
    <m/>
    <m/>
    <m/>
    <n v="55893"/>
    <m/>
    <n v="2883497"/>
    <n v="0"/>
    <n v="2883497"/>
  </r>
  <r>
    <s v="Avista Corp. WWP Division"/>
    <x v="2"/>
    <s v="FERC #9"/>
    <m/>
    <m/>
    <m/>
    <n v="67"/>
    <m/>
    <n v="3006"/>
    <n v="0"/>
    <n v="3006"/>
  </r>
  <r>
    <s v="BC Hydro"/>
    <x v="2"/>
    <s v="FERC #9"/>
    <m/>
    <m/>
    <m/>
    <n v="287"/>
    <m/>
    <n v="22373"/>
    <n v="0"/>
    <n v="22373"/>
  </r>
  <r>
    <s v="Black Hills Power, Inc."/>
    <x v="2"/>
    <s v="FERC #8"/>
    <m/>
    <m/>
    <m/>
    <n v="1620"/>
    <m/>
    <n v="107320"/>
    <n v="0"/>
    <n v="107320"/>
  </r>
  <r>
    <s v="Bonneville Power Administration"/>
    <x v="1"/>
    <s v="FERC #8"/>
    <m/>
    <m/>
    <m/>
    <n v="-5"/>
    <m/>
    <n v="0"/>
    <n v="31"/>
    <n v="31"/>
  </r>
  <r>
    <s v="Bonneville Power Administration"/>
    <x v="2"/>
    <s v="FERC #8"/>
    <m/>
    <m/>
    <m/>
    <n v="965255"/>
    <m/>
    <n v="39253329"/>
    <n v="0"/>
    <n v="39253329"/>
  </r>
  <r>
    <s v="Bonneville Power Administration"/>
    <x v="2"/>
    <s v="FERC #9"/>
    <m/>
    <m/>
    <m/>
    <n v="116"/>
    <m/>
    <n v="3292"/>
    <n v="0"/>
    <n v="3292"/>
  </r>
  <r>
    <s v="BP Energy Company"/>
    <x v="1"/>
    <s v="FERC #8"/>
    <m/>
    <m/>
    <m/>
    <n v="-8"/>
    <m/>
    <n v="0"/>
    <n v="-2475"/>
    <n v="-2475"/>
  </r>
  <r>
    <s v="BP Energy Company"/>
    <x v="2"/>
    <s v="FERC #8"/>
    <m/>
    <m/>
    <m/>
    <n v="348987"/>
    <m/>
    <n v="18067060"/>
    <n v="0"/>
    <n v="18067060"/>
  </r>
  <r>
    <s v="Brookfield Renewable Trading and Marketing LP"/>
    <x v="2"/>
    <s v="FERC #8"/>
    <m/>
    <m/>
    <m/>
    <n v="9678"/>
    <m/>
    <n v="426672"/>
    <n v="0"/>
    <n v="426672"/>
  </r>
  <r>
    <s v="California ISO"/>
    <x v="2"/>
    <s v="FERC #8"/>
    <m/>
    <m/>
    <m/>
    <n v="868617"/>
    <m/>
    <n v="31738855"/>
    <n v="0"/>
    <n v="31738855"/>
  </r>
  <r>
    <s v="Chelan County PUD"/>
    <x v="2"/>
    <s v="FERC #9"/>
    <m/>
    <m/>
    <m/>
    <n v="10"/>
    <m/>
    <n v="255"/>
    <n v="0"/>
    <n v="255"/>
  </r>
  <r>
    <s v="Citigroup Energy Inc."/>
    <x v="2"/>
    <s v="FERC #8"/>
    <m/>
    <m/>
    <m/>
    <n v="153915"/>
    <m/>
    <n v="7998137"/>
    <n v="0"/>
    <n v="7998137"/>
  </r>
  <r>
    <s v="City of Roseville"/>
    <x v="2"/>
    <s v="FERC #8"/>
    <m/>
    <m/>
    <m/>
    <n v="800"/>
    <m/>
    <n v="25600"/>
    <n v="0"/>
    <n v="25600"/>
  </r>
  <r>
    <s v="Clatskanie Peoples Utility District"/>
    <x v="1"/>
    <s v="FERC #8"/>
    <m/>
    <m/>
    <m/>
    <n v="-5"/>
    <m/>
    <n v="0"/>
    <n v="-250"/>
    <n v="-250"/>
  </r>
  <r>
    <s v="Clatskanie Peoples Utility District"/>
    <x v="2"/>
    <s v="FERC #8"/>
    <m/>
    <m/>
    <m/>
    <n v="22755"/>
    <m/>
    <n v="880282"/>
    <n v="0"/>
    <n v="880282"/>
  </r>
  <r>
    <s v="ConocoPhillips Company"/>
    <x v="1"/>
    <s v="FERC #8"/>
    <m/>
    <m/>
    <m/>
    <n v="50"/>
    <m/>
    <n v="0"/>
    <n v="-273"/>
    <n v="-273"/>
  </r>
  <r>
    <s v="ConocoPhillips Company"/>
    <x v="2"/>
    <s v="FERC #8"/>
    <m/>
    <m/>
    <m/>
    <n v="462909"/>
    <m/>
    <n v="18884111"/>
    <n v="0"/>
    <n v="18884111"/>
  </r>
  <r>
    <s v="Constellation Energy"/>
    <x v="2"/>
    <s v="FERC #8"/>
    <m/>
    <m/>
    <m/>
    <n v="126248"/>
    <m/>
    <n v="5641395"/>
    <n v="0"/>
    <n v="5641395"/>
  </r>
  <r>
    <s v="CP Energy Marketing (US) Inc."/>
    <x v="2"/>
    <s v="FERC #8"/>
    <m/>
    <m/>
    <m/>
    <n v="265"/>
    <m/>
    <n v="10441"/>
    <n v="0"/>
    <n v="10441"/>
  </r>
  <r>
    <s v="DTE Energy Trading"/>
    <x v="2"/>
    <s v="FERC #8"/>
    <m/>
    <m/>
    <m/>
    <n v="97400"/>
    <m/>
    <n v="3909046"/>
    <n v="0"/>
    <n v="3909046"/>
  </r>
  <r>
    <s v="EDF Trading N.A., LLC"/>
    <x v="2"/>
    <s v="FERC #8"/>
    <m/>
    <m/>
    <m/>
    <n v="41646"/>
    <m/>
    <n v="2217115"/>
    <n v="0"/>
    <n v="2217115"/>
  </r>
  <r>
    <s v="Energy Keepers, Inc."/>
    <x v="1"/>
    <s v="FERC #8"/>
    <m/>
    <m/>
    <m/>
    <n v="395"/>
    <m/>
    <n v="0"/>
    <n v="24021"/>
    <n v="24021"/>
  </r>
  <r>
    <s v="Energy Keepers, Inc."/>
    <x v="2"/>
    <s v="FERC #8"/>
    <m/>
    <m/>
    <m/>
    <n v="48814"/>
    <m/>
    <n v="2357424"/>
    <n v="0"/>
    <n v="2357424"/>
  </r>
  <r>
    <s v="Eugene Water &amp; Electric Board"/>
    <x v="1"/>
    <s v="FERC #8"/>
    <m/>
    <m/>
    <m/>
    <n v="5"/>
    <m/>
    <n v="0"/>
    <n v="270"/>
    <n v="270"/>
  </r>
  <r>
    <s v="Eugene Water &amp; Electric Board"/>
    <x v="2"/>
    <s v="FERC #8"/>
    <m/>
    <m/>
    <m/>
    <n v="54237"/>
    <m/>
    <n v="2095425"/>
    <n v="0"/>
    <n v="2095425"/>
  </r>
  <r>
    <s v="Grant County PUD No.2"/>
    <x v="2"/>
    <s v="FERC #8"/>
    <m/>
    <m/>
    <m/>
    <n v="7600"/>
    <m/>
    <n v="123500"/>
    <n v="0"/>
    <n v="123500"/>
  </r>
  <r>
    <s v="Grant County PUD No.2"/>
    <x v="2"/>
    <s v="FERC #9"/>
    <m/>
    <m/>
    <m/>
    <n v="3"/>
    <m/>
    <n v="69"/>
    <n v="0"/>
    <n v="69"/>
  </r>
  <r>
    <s v="Gridforce Energy Management, LLC."/>
    <x v="1"/>
    <s v="FERC #8"/>
    <m/>
    <m/>
    <m/>
    <n v="0"/>
    <m/>
    <n v="0"/>
    <n v="-1944"/>
    <n v="-1944"/>
  </r>
  <r>
    <s v="Gridforce Energy Management, LLC."/>
    <x v="2"/>
    <s v="FERC #9"/>
    <m/>
    <m/>
    <m/>
    <n v="379"/>
    <m/>
    <n v="15537"/>
    <n v="0"/>
    <n v="15537"/>
  </r>
  <r>
    <s v="Idaho Power Company"/>
    <x v="1"/>
    <s v="FERC #8"/>
    <m/>
    <m/>
    <m/>
    <n v="638"/>
    <m/>
    <n v="0"/>
    <n v="22744"/>
    <n v="22744"/>
  </r>
  <r>
    <s v="Idaho Power Company"/>
    <x v="2"/>
    <s v="FERC #8"/>
    <m/>
    <m/>
    <m/>
    <n v="42131"/>
    <m/>
    <n v="1782706"/>
    <n v="0"/>
    <n v="1782706"/>
  </r>
  <r>
    <s v="Idaho Power Company"/>
    <x v="2"/>
    <s v="FERC #9"/>
    <m/>
    <m/>
    <m/>
    <n v="27"/>
    <m/>
    <n v="1529"/>
    <n v="0"/>
    <n v="1529"/>
  </r>
  <r>
    <s v="Morgan Stanley Capital Group Inc."/>
    <x v="2"/>
    <s v="FERC #8"/>
    <m/>
    <m/>
    <m/>
    <n v="289686"/>
    <m/>
    <n v="11219849"/>
    <n v="0"/>
    <n v="11219849"/>
  </r>
  <r>
    <s v="NaturEner Power Watch, LLC"/>
    <x v="1"/>
    <s v="FERC #8"/>
    <m/>
    <m/>
    <m/>
    <n v="0"/>
    <m/>
    <n v="0"/>
    <n v="-481"/>
    <n v="-481"/>
  </r>
  <r>
    <s v="NaturEner Power Watch, LLC"/>
    <x v="2"/>
    <s v="FERC #9"/>
    <m/>
    <m/>
    <m/>
    <n v="206"/>
    <m/>
    <n v="5164"/>
    <n v="0"/>
    <n v="5164"/>
  </r>
  <r>
    <s v="NorthWestern Energy"/>
    <x v="2"/>
    <s v="FERC #8"/>
    <m/>
    <m/>
    <m/>
    <n v="35387"/>
    <m/>
    <n v="1718950"/>
    <n v="0"/>
    <n v="1718950"/>
  </r>
  <r>
    <s v="NorthWestern Energy"/>
    <x v="2"/>
    <s v="FERC #9"/>
    <m/>
    <m/>
    <m/>
    <n v="129"/>
    <m/>
    <n v="3494"/>
    <n v="0"/>
    <n v="3494"/>
  </r>
  <r>
    <s v="PacifiCorp"/>
    <x v="1"/>
    <s v="FERC #8"/>
    <m/>
    <m/>
    <m/>
    <n v="0"/>
    <m/>
    <n v="0"/>
    <n v="1496"/>
    <n v="1496"/>
  </r>
  <r>
    <s v="PacifiCorp"/>
    <x v="2"/>
    <s v="FERC #8"/>
    <m/>
    <m/>
    <m/>
    <n v="262595"/>
    <m/>
    <n v="14641372"/>
    <n v="0"/>
    <n v="14641372"/>
  </r>
  <r>
    <s v="PacifiCorp"/>
    <x v="2"/>
    <s v="FERC #9"/>
    <m/>
    <m/>
    <m/>
    <n v="104"/>
    <m/>
    <n v="4851"/>
    <n v="0"/>
    <n v="4851"/>
  </r>
  <r>
    <s v="Portland General Electric Company"/>
    <x v="1"/>
    <s v="FERC #8"/>
    <m/>
    <m/>
    <m/>
    <n v="0"/>
    <m/>
    <n v="0"/>
    <n v="200"/>
    <n v="200"/>
  </r>
  <r>
    <s v="Portland General Electric Company"/>
    <x v="2"/>
    <s v="FERC #8"/>
    <m/>
    <m/>
    <m/>
    <n v="279564"/>
    <m/>
    <n v="13691734"/>
    <n v="0"/>
    <n v="13691734"/>
  </r>
  <r>
    <s v="Portland General Electric Company"/>
    <x v="2"/>
    <s v="FERC #9"/>
    <m/>
    <m/>
    <m/>
    <n v="98"/>
    <m/>
    <n v="4105"/>
    <n v="0"/>
    <n v="4105"/>
  </r>
  <r>
    <s v="Powerex Corp."/>
    <x v="2"/>
    <s v="FERC #8"/>
    <m/>
    <m/>
    <m/>
    <n v="170213"/>
    <m/>
    <n v="5582664"/>
    <n v="0"/>
    <n v="5582664"/>
  </r>
  <r>
    <s v="Rainbow Energy Marketing"/>
    <x v="2"/>
    <s v="FERC #8"/>
    <m/>
    <m/>
    <m/>
    <n v="13483"/>
    <m/>
    <n v="1015431"/>
    <n v="0"/>
    <n v="1015431"/>
  </r>
  <r>
    <s v="Sacramento Municipal Utility District"/>
    <x v="1"/>
    <s v="FERC #8"/>
    <m/>
    <m/>
    <m/>
    <n v="0"/>
    <m/>
    <n v="0"/>
    <n v="-100"/>
    <n v="-100"/>
  </r>
  <r>
    <s v="Sacramento Municipal Utility District"/>
    <x v="2"/>
    <s v="FERC #9"/>
    <m/>
    <m/>
    <m/>
    <n v="15"/>
    <m/>
    <n v="483"/>
    <n v="0"/>
    <n v="483"/>
  </r>
  <r>
    <s v="Seattle City Light Marketing"/>
    <x v="1"/>
    <s v="FERC #8"/>
    <m/>
    <m/>
    <m/>
    <n v="0"/>
    <m/>
    <n v="0"/>
    <n v="-148"/>
    <n v="-148"/>
  </r>
  <r>
    <s v="Seattle City Light Marketing"/>
    <x v="2"/>
    <s v="FERC #8"/>
    <m/>
    <m/>
    <m/>
    <n v="167801"/>
    <m/>
    <n v="6635358"/>
    <n v="0"/>
    <n v="6635358"/>
  </r>
  <r>
    <s v="Seattle City Light Marketing"/>
    <x v="2"/>
    <s v="FERC #9"/>
    <m/>
    <m/>
    <m/>
    <n v="128"/>
    <m/>
    <n v="13682"/>
    <n v="0"/>
    <n v="13682"/>
  </r>
  <r>
    <s v="Shell Energy North America (US)"/>
    <x v="2"/>
    <s v="FERC #8"/>
    <m/>
    <m/>
    <m/>
    <n v="359432"/>
    <m/>
    <n v="20025205"/>
    <n v="0"/>
    <n v="20025205"/>
  </r>
  <r>
    <s v="Snohomish County PUD"/>
    <x v="2"/>
    <s v="FERC #8"/>
    <m/>
    <m/>
    <m/>
    <n v="68320"/>
    <m/>
    <n v="2460117"/>
    <n v="0"/>
    <n v="2460117"/>
  </r>
  <r>
    <s v="Tacoma Power"/>
    <x v="2"/>
    <s v="FERC #8"/>
    <m/>
    <m/>
    <m/>
    <n v="19995"/>
    <m/>
    <n v="735546"/>
    <n v="0"/>
    <n v="735546"/>
  </r>
  <r>
    <s v="Tenaska Power Services Co."/>
    <x v="2"/>
    <s v="FERC #8"/>
    <m/>
    <m/>
    <m/>
    <n v="400"/>
    <m/>
    <n v="18000"/>
    <n v="0"/>
    <n v="18000"/>
  </r>
  <r>
    <s v="The Energy Authority"/>
    <x v="1"/>
    <s v="FERC #8"/>
    <m/>
    <m/>
    <m/>
    <n v="18"/>
    <m/>
    <n v="0"/>
    <n v="2286"/>
    <n v="2286"/>
  </r>
  <r>
    <s v="The Energy Authority"/>
    <x v="2"/>
    <s v="FERC #8"/>
    <m/>
    <m/>
    <m/>
    <n v="115623"/>
    <m/>
    <n v="5625069"/>
    <n v="0"/>
    <n v="5625069"/>
  </r>
  <r>
    <s v="TransAlta Energy Marketing U.S."/>
    <x v="1"/>
    <s v="FERC #8"/>
    <m/>
    <m/>
    <m/>
    <n v="-179"/>
    <m/>
    <n v="0"/>
    <n v="2154"/>
    <n v="2154"/>
  </r>
  <r>
    <s v="TransAlta Energy Marketing U.S."/>
    <x v="2"/>
    <s v="FERC #8"/>
    <m/>
    <m/>
    <m/>
    <n v="1002052"/>
    <m/>
    <n v="42800360"/>
    <n v="0"/>
    <n v="42800360"/>
  </r>
  <r>
    <s v="TransCanada Energy Sales Ltd."/>
    <x v="2"/>
    <s v="FERC #8"/>
    <m/>
    <m/>
    <m/>
    <n v="38742"/>
    <m/>
    <n v="1624873"/>
    <n v="0"/>
    <n v="1624873"/>
  </r>
  <r>
    <s v="Turlock Irrigation District"/>
    <x v="1"/>
    <s v="FERC #8"/>
    <m/>
    <m/>
    <m/>
    <n v="0"/>
    <m/>
    <n v="0"/>
    <n v="-338"/>
    <n v="-338"/>
  </r>
  <r>
    <s v="Turlock Irrigation District"/>
    <x v="2"/>
    <s v="FERC #9"/>
    <m/>
    <m/>
    <m/>
    <n v="5"/>
    <m/>
    <n v="339"/>
    <n v="0"/>
    <n v="339"/>
  </r>
  <r>
    <s v="Vitol Inc."/>
    <x v="2"/>
    <s v="FERC #8"/>
    <m/>
    <m/>
    <m/>
    <n v="1400"/>
    <m/>
    <n v="44230"/>
    <n v="0"/>
    <n v="44230"/>
  </r>
</pivotCacheRecords>
</file>

<file path=xl/pivotCache/pivotCacheRecords3.xml><?xml version="1.0" encoding="utf-8"?>
<pivotCacheRecords xmlns="http://schemas.openxmlformats.org/spreadsheetml/2006/main" xmlns:r="http://schemas.openxmlformats.org/officeDocument/2006/relationships" count="117">
  <r>
    <x v="0"/>
    <m/>
    <m/>
    <m/>
    <m/>
    <n v="72"/>
    <m/>
    <s v="  "/>
    <s v="  "/>
    <m/>
    <n v="2095"/>
    <s v="  "/>
    <n v="2095"/>
  </r>
  <r>
    <x v="0"/>
    <m/>
    <m/>
    <m/>
    <m/>
    <n v="408537"/>
    <m/>
    <s v="  "/>
    <s v="  "/>
    <m/>
    <n v="18267591"/>
    <s v="  "/>
    <n v="18267591"/>
  </r>
  <r>
    <x v="1"/>
    <m/>
    <m/>
    <m/>
    <m/>
    <n v="50554"/>
    <m/>
    <s v="  "/>
    <s v="  "/>
    <m/>
    <n v="2840868"/>
    <s v="  "/>
    <n v="2840868"/>
  </r>
  <r>
    <x v="2"/>
    <m/>
    <m/>
    <m/>
    <m/>
    <m/>
    <m/>
    <n v="21151"/>
    <n v="0"/>
    <m/>
    <n v="1154053"/>
    <s v="  "/>
    <n v="1154053"/>
  </r>
  <r>
    <x v="3"/>
    <m/>
    <m/>
    <m/>
    <m/>
    <n v="20550"/>
    <m/>
    <s v="  "/>
    <s v="  "/>
    <m/>
    <n v="1348791"/>
    <s v="  "/>
    <n v="1348791"/>
  </r>
  <r>
    <x v="0"/>
    <m/>
    <m/>
    <m/>
    <m/>
    <n v="4"/>
    <m/>
    <s v="  "/>
    <s v="  "/>
    <m/>
    <n v="148"/>
    <s v="  "/>
    <n v="148"/>
  </r>
  <r>
    <x v="0"/>
    <m/>
    <m/>
    <m/>
    <m/>
    <n v="5960"/>
    <m/>
    <s v="  "/>
    <s v="  "/>
    <m/>
    <n v="300329"/>
    <s v="  "/>
    <n v="300329"/>
  </r>
  <r>
    <x v="0"/>
    <m/>
    <m/>
    <m/>
    <m/>
    <n v="107"/>
    <m/>
    <s v="  "/>
    <s v="  "/>
    <m/>
    <n v="7560"/>
    <s v="  "/>
    <n v="7560"/>
  </r>
  <r>
    <x v="4"/>
    <m/>
    <m/>
    <m/>
    <m/>
    <n v="16"/>
    <m/>
    <s v="  "/>
    <s v="  "/>
    <m/>
    <m/>
    <n v="1844"/>
    <n v="1844"/>
  </r>
  <r>
    <x v="1"/>
    <m/>
    <m/>
    <m/>
    <m/>
    <n v="60636"/>
    <m/>
    <s v="  "/>
    <s v="  "/>
    <m/>
    <n v="2245618"/>
    <s v="  "/>
    <n v="2245618"/>
  </r>
  <r>
    <x v="5"/>
    <m/>
    <m/>
    <m/>
    <m/>
    <m/>
    <m/>
    <s v="  "/>
    <s v="  "/>
    <m/>
    <n v="9432000"/>
    <s v="  "/>
    <n v="9432000"/>
  </r>
  <r>
    <x v="1"/>
    <m/>
    <m/>
    <m/>
    <m/>
    <n v="829294"/>
    <m/>
    <s v="  "/>
    <s v="  "/>
    <m/>
    <n v="52996305"/>
    <s v="  "/>
    <n v="52996305"/>
  </r>
  <r>
    <x v="1"/>
    <m/>
    <m/>
    <m/>
    <m/>
    <n v="35320"/>
    <m/>
    <s v="  "/>
    <s v="  "/>
    <m/>
    <n v="5386012"/>
    <s v="  "/>
    <n v="5386012"/>
  </r>
  <r>
    <x v="4"/>
    <m/>
    <m/>
    <m/>
    <m/>
    <m/>
    <m/>
    <s v="  "/>
    <s v="  "/>
    <m/>
    <m/>
    <n v="717674"/>
    <n v="717674"/>
  </r>
  <r>
    <x v="4"/>
    <m/>
    <m/>
    <m/>
    <m/>
    <m/>
    <m/>
    <s v="  "/>
    <s v="  "/>
    <m/>
    <m/>
    <n v="-96856"/>
    <n v="-96856"/>
  </r>
  <r>
    <x v="1"/>
    <m/>
    <m/>
    <m/>
    <m/>
    <n v="838627"/>
    <m/>
    <s v="  "/>
    <s v="  "/>
    <m/>
    <n v="48432590"/>
    <s v="  "/>
    <n v="48432590"/>
  </r>
  <r>
    <x v="1"/>
    <m/>
    <m/>
    <m/>
    <m/>
    <n v="16535"/>
    <m/>
    <s v="  "/>
    <s v="  "/>
    <m/>
    <n v="1705372"/>
    <s v="  "/>
    <n v="1705372"/>
  </r>
  <r>
    <x v="0"/>
    <m/>
    <m/>
    <m/>
    <m/>
    <n v="4649"/>
    <m/>
    <s v="  "/>
    <s v="  "/>
    <m/>
    <n v="329887"/>
    <s v="  "/>
    <n v="329887"/>
  </r>
  <r>
    <x v="1"/>
    <m/>
    <m/>
    <m/>
    <m/>
    <n v="29"/>
    <m/>
    <s v="  "/>
    <s v="  "/>
    <m/>
    <n v="722"/>
    <s v="  "/>
    <n v="722"/>
  </r>
  <r>
    <x v="4"/>
    <m/>
    <m/>
    <m/>
    <m/>
    <m/>
    <m/>
    <s v="  "/>
    <s v="  "/>
    <m/>
    <m/>
    <n v="400"/>
    <n v="400"/>
  </r>
  <r>
    <x v="1"/>
    <m/>
    <m/>
    <m/>
    <m/>
    <n v="74041"/>
    <m/>
    <s v="  "/>
    <s v="  "/>
    <m/>
    <n v="3681063"/>
    <s v="  "/>
    <n v="3681063"/>
  </r>
  <r>
    <x v="0"/>
    <m/>
    <m/>
    <m/>
    <m/>
    <n v="2572112"/>
    <m/>
    <s v="  "/>
    <s v="  "/>
    <m/>
    <n v="49567487"/>
    <n v="42181451"/>
    <n v="91748938"/>
  </r>
  <r>
    <x v="1"/>
    <m/>
    <m/>
    <m/>
    <m/>
    <m/>
    <m/>
    <s v="  "/>
    <s v="  "/>
    <m/>
    <n v="-1513069"/>
    <s v="  "/>
    <n v="-1513069"/>
  </r>
  <r>
    <x v="1"/>
    <m/>
    <m/>
    <m/>
    <m/>
    <n v="344618"/>
    <m/>
    <s v="  "/>
    <s v="  "/>
    <m/>
    <n v="18142787"/>
    <s v="  "/>
    <n v="18142787"/>
  </r>
  <r>
    <x v="1"/>
    <m/>
    <m/>
    <m/>
    <m/>
    <n v="1900"/>
    <m/>
    <s v="  "/>
    <s v="  "/>
    <m/>
    <n v="54344"/>
    <s v="  "/>
    <n v="54344"/>
  </r>
  <r>
    <x v="4"/>
    <m/>
    <m/>
    <m/>
    <m/>
    <n v="35"/>
    <m/>
    <s v="  "/>
    <s v="  "/>
    <m/>
    <m/>
    <n v="875"/>
    <n v="875"/>
  </r>
  <r>
    <x v="1"/>
    <m/>
    <m/>
    <m/>
    <m/>
    <n v="3086"/>
    <m/>
    <s v="  "/>
    <s v="  "/>
    <m/>
    <n v="256120"/>
    <s v="  "/>
    <n v="256120"/>
  </r>
  <r>
    <x v="0"/>
    <m/>
    <m/>
    <m/>
    <m/>
    <n v="212049"/>
    <m/>
    <s v="  "/>
    <s v="  "/>
    <m/>
    <n v="5665949"/>
    <s v="  "/>
    <n v="5665949"/>
  </r>
  <r>
    <x v="4"/>
    <m/>
    <m/>
    <m/>
    <m/>
    <n v="44"/>
    <m/>
    <s v="  "/>
    <s v="  "/>
    <m/>
    <m/>
    <n v="2635"/>
    <n v="2635"/>
  </r>
  <r>
    <x v="1"/>
    <m/>
    <m/>
    <m/>
    <m/>
    <n v="1399746"/>
    <m/>
    <s v="  "/>
    <s v="  "/>
    <m/>
    <n v="126274637"/>
    <s v="  "/>
    <n v="126274637"/>
  </r>
  <r>
    <x v="4"/>
    <m/>
    <m/>
    <m/>
    <m/>
    <n v="121"/>
    <m/>
    <s v="  "/>
    <s v="  "/>
    <m/>
    <m/>
    <n v="30367"/>
    <n v="30367"/>
  </r>
  <r>
    <x v="1"/>
    <m/>
    <m/>
    <m/>
    <m/>
    <n v="883427"/>
    <m/>
    <s v="  "/>
    <s v="  "/>
    <m/>
    <n v="73978444"/>
    <s v="  "/>
    <n v="73978444"/>
  </r>
  <r>
    <x v="1"/>
    <m/>
    <m/>
    <m/>
    <m/>
    <n v="7343"/>
    <m/>
    <s v="  "/>
    <s v="  "/>
    <m/>
    <n v="1072720"/>
    <s v="  "/>
    <n v="1072720"/>
  </r>
  <r>
    <x v="2"/>
    <m/>
    <m/>
    <m/>
    <m/>
    <m/>
    <m/>
    <n v="50800"/>
    <n v="178631"/>
    <m/>
    <m/>
    <s v="  "/>
    <n v="0"/>
  </r>
  <r>
    <x v="4"/>
    <m/>
    <m/>
    <m/>
    <m/>
    <m/>
    <m/>
    <s v="  "/>
    <s v="  "/>
    <m/>
    <m/>
    <n v="89090"/>
    <n v="89090"/>
  </r>
  <r>
    <x v="1"/>
    <m/>
    <m/>
    <m/>
    <m/>
    <m/>
    <m/>
    <s v="  "/>
    <s v="  "/>
    <m/>
    <n v="4750694"/>
    <s v="  "/>
    <n v="4750694"/>
  </r>
  <r>
    <x v="6"/>
    <m/>
    <m/>
    <m/>
    <m/>
    <n v="231936"/>
    <m/>
    <s v="  "/>
    <s v="  "/>
    <m/>
    <n v="8340000"/>
    <s v="  "/>
    <n v="8340000"/>
  </r>
  <r>
    <x v="4"/>
    <m/>
    <m/>
    <m/>
    <m/>
    <m/>
    <m/>
    <s v="  "/>
    <s v="  "/>
    <m/>
    <m/>
    <n v="-59623"/>
    <n v="-59623"/>
  </r>
  <r>
    <x v="0"/>
    <m/>
    <m/>
    <m/>
    <m/>
    <n v="1083200"/>
    <m/>
    <s v="  "/>
    <s v="  "/>
    <m/>
    <n v="34368022"/>
    <s v="  "/>
    <n v="34368022"/>
  </r>
  <r>
    <x v="1"/>
    <m/>
    <m/>
    <m/>
    <m/>
    <n v="6500"/>
    <m/>
    <s v="  "/>
    <s v="  "/>
    <m/>
    <n v="1053215"/>
    <s v="  "/>
    <n v="1053215"/>
  </r>
  <r>
    <x v="1"/>
    <m/>
    <m/>
    <m/>
    <m/>
    <n v="3677"/>
    <m/>
    <s v="  "/>
    <s v="  "/>
    <m/>
    <n v="122296"/>
    <s v="  "/>
    <n v="122296"/>
  </r>
  <r>
    <x v="1"/>
    <m/>
    <m/>
    <m/>
    <m/>
    <n v="3474"/>
    <m/>
    <s v="  "/>
    <s v="  "/>
    <m/>
    <n v="150788"/>
    <s v="  "/>
    <n v="150788"/>
  </r>
  <r>
    <x v="0"/>
    <m/>
    <m/>
    <m/>
    <m/>
    <n v="31788"/>
    <m/>
    <s v="  "/>
    <s v="  "/>
    <m/>
    <n v="2283353"/>
    <s v="  "/>
    <n v="2283353"/>
  </r>
  <r>
    <x v="4"/>
    <m/>
    <m/>
    <m/>
    <m/>
    <n v="12"/>
    <m/>
    <s v="  "/>
    <s v="  "/>
    <m/>
    <m/>
    <n v="205"/>
    <n v="205"/>
  </r>
  <r>
    <x v="1"/>
    <m/>
    <m/>
    <m/>
    <m/>
    <n v="1008"/>
    <m/>
    <s v="  "/>
    <s v="  "/>
    <m/>
    <n v="57543"/>
    <s v="  "/>
    <n v="57543"/>
  </r>
  <r>
    <x v="4"/>
    <m/>
    <m/>
    <m/>
    <m/>
    <n v="-35"/>
    <m/>
    <s v="  "/>
    <s v="  "/>
    <m/>
    <m/>
    <n v="-875"/>
    <n v="-875"/>
  </r>
  <r>
    <x v="1"/>
    <m/>
    <m/>
    <m/>
    <m/>
    <n v="7498"/>
    <m/>
    <s v="  "/>
    <s v="  "/>
    <m/>
    <n v="452561"/>
    <s v="  "/>
    <n v="452561"/>
  </r>
  <r>
    <x v="4"/>
    <m/>
    <m/>
    <m/>
    <m/>
    <m/>
    <m/>
    <s v="  "/>
    <s v="  "/>
    <m/>
    <m/>
    <n v="-1676"/>
    <n v="-1676"/>
  </r>
  <r>
    <x v="1"/>
    <m/>
    <m/>
    <m/>
    <m/>
    <n v="3792"/>
    <m/>
    <s v="  "/>
    <s v="  "/>
    <m/>
    <n v="126138"/>
    <s v="  "/>
    <n v="126138"/>
  </r>
  <r>
    <x v="1"/>
    <m/>
    <m/>
    <m/>
    <m/>
    <n v="8607"/>
    <m/>
    <s v="  "/>
    <s v="  "/>
    <m/>
    <n v="300271"/>
    <s v="  "/>
    <n v="300271"/>
  </r>
  <r>
    <x v="4"/>
    <m/>
    <m/>
    <m/>
    <m/>
    <m/>
    <m/>
    <s v="  "/>
    <s v="  "/>
    <m/>
    <m/>
    <n v="64825"/>
    <n v="64825"/>
  </r>
  <r>
    <x v="0"/>
    <m/>
    <m/>
    <m/>
    <m/>
    <n v="464646"/>
    <m/>
    <s v="  "/>
    <s v="  "/>
    <m/>
    <n v="22496259"/>
    <s v="  "/>
    <n v="22496259"/>
  </r>
  <r>
    <x v="4"/>
    <m/>
    <m/>
    <m/>
    <m/>
    <m/>
    <m/>
    <s v="  "/>
    <s v="  "/>
    <m/>
    <m/>
    <n v="1105493"/>
    <n v="1105493"/>
  </r>
  <r>
    <x v="1"/>
    <m/>
    <m/>
    <m/>
    <m/>
    <n v="7"/>
    <m/>
    <s v="  "/>
    <s v="  "/>
    <m/>
    <n v="942"/>
    <s v="  "/>
    <n v="942"/>
  </r>
  <r>
    <x v="1"/>
    <m/>
    <m/>
    <m/>
    <m/>
    <n v="777607"/>
    <m/>
    <s v="  "/>
    <s v="  "/>
    <m/>
    <n v="59154147"/>
    <s v="  "/>
    <n v="59154147"/>
  </r>
  <r>
    <x v="4"/>
    <m/>
    <m/>
    <m/>
    <m/>
    <n v="124"/>
    <m/>
    <s v="  "/>
    <s v="  "/>
    <m/>
    <m/>
    <n v="21615"/>
    <n v="21615"/>
  </r>
  <r>
    <x v="1"/>
    <m/>
    <m/>
    <m/>
    <m/>
    <n v="5537"/>
    <m/>
    <s v="  "/>
    <s v="  "/>
    <m/>
    <n v="327899"/>
    <s v="  "/>
    <n v="327899"/>
  </r>
  <r>
    <x v="0"/>
    <m/>
    <m/>
    <m/>
    <m/>
    <n v="31"/>
    <m/>
    <s v="  "/>
    <s v="  "/>
    <m/>
    <n v="2227"/>
    <s v="  "/>
    <n v="2227"/>
  </r>
  <r>
    <x v="0"/>
    <m/>
    <m/>
    <m/>
    <m/>
    <n v="350341"/>
    <m/>
    <s v="  "/>
    <s v="  "/>
    <m/>
    <n v="16641198"/>
    <s v="  "/>
    <n v="16641198"/>
  </r>
  <r>
    <x v="4"/>
    <m/>
    <m/>
    <m/>
    <m/>
    <m/>
    <m/>
    <s v="  "/>
    <s v="  "/>
    <m/>
    <m/>
    <n v="60549"/>
    <n v="60549"/>
  </r>
  <r>
    <x v="0"/>
    <m/>
    <m/>
    <m/>
    <m/>
    <n v="118007"/>
    <m/>
    <s v="  "/>
    <s v="  "/>
    <m/>
    <n v="8455361"/>
    <s v="  "/>
    <n v="8455361"/>
  </r>
  <r>
    <x v="0"/>
    <m/>
    <m/>
    <m/>
    <m/>
    <n v="78"/>
    <m/>
    <s v="  "/>
    <s v="  "/>
    <m/>
    <n v="2259"/>
    <s v="  "/>
    <n v="2259"/>
  </r>
  <r>
    <x v="4"/>
    <m/>
    <m/>
    <m/>
    <m/>
    <m/>
    <m/>
    <s v="  "/>
    <s v="  "/>
    <m/>
    <m/>
    <n v="-1"/>
    <n v="-1"/>
  </r>
  <r>
    <x v="0"/>
    <m/>
    <m/>
    <m/>
    <m/>
    <n v="30247"/>
    <m/>
    <s v="  "/>
    <s v="  "/>
    <m/>
    <n v="2535781"/>
    <s v="  "/>
    <n v="2535781"/>
  </r>
  <r>
    <x v="1"/>
    <m/>
    <m/>
    <m/>
    <m/>
    <n v="219"/>
    <m/>
    <s v="  "/>
    <s v="  "/>
    <m/>
    <n v="5450"/>
    <s v="  "/>
    <n v="5450"/>
  </r>
  <r>
    <x v="4"/>
    <m/>
    <m/>
    <m/>
    <m/>
    <m/>
    <m/>
    <s v="  "/>
    <s v="  "/>
    <m/>
    <m/>
    <n v="1804"/>
    <n v="1804"/>
  </r>
  <r>
    <x v="0"/>
    <m/>
    <m/>
    <m/>
    <m/>
    <n v="345989"/>
    <m/>
    <s v="  "/>
    <s v="  "/>
    <m/>
    <n v="13183659"/>
    <s v="  "/>
    <n v="13183659"/>
  </r>
  <r>
    <x v="1"/>
    <m/>
    <m/>
    <m/>
    <m/>
    <n v="3407"/>
    <m/>
    <s v="  "/>
    <s v="  "/>
    <m/>
    <n v="991449"/>
    <s v="  "/>
    <n v="991449"/>
  </r>
  <r>
    <x v="1"/>
    <m/>
    <m/>
    <m/>
    <m/>
    <m/>
    <m/>
    <s v="  "/>
    <s v="  "/>
    <m/>
    <n v="-6571"/>
    <s v="  "/>
    <n v="-6571"/>
  </r>
  <r>
    <x v="4"/>
    <m/>
    <m/>
    <m/>
    <m/>
    <n v="-131"/>
    <m/>
    <s v="  "/>
    <s v="  "/>
    <m/>
    <m/>
    <n v="-17110"/>
    <n v="-17110"/>
  </r>
  <r>
    <x v="5"/>
    <m/>
    <m/>
    <m/>
    <m/>
    <n v="244785"/>
    <m/>
    <s v="  "/>
    <s v="  "/>
    <m/>
    <n v="11615048"/>
    <s v="  "/>
    <n v="11615048"/>
  </r>
  <r>
    <x v="1"/>
    <m/>
    <m/>
    <m/>
    <m/>
    <n v="35832"/>
    <m/>
    <s v="  "/>
    <s v="  "/>
    <m/>
    <n v="2479071"/>
    <s v="  "/>
    <n v="2479071"/>
  </r>
  <r>
    <x v="1"/>
    <m/>
    <m/>
    <m/>
    <m/>
    <m/>
    <m/>
    <s v="  "/>
    <s v="  "/>
    <m/>
    <n v="-3401980"/>
    <s v="  "/>
    <n v="-3401980"/>
  </r>
  <r>
    <x v="1"/>
    <m/>
    <m/>
    <m/>
    <m/>
    <n v="200"/>
    <m/>
    <s v="  "/>
    <s v="  "/>
    <m/>
    <n v="22800"/>
    <s v="  "/>
    <n v="22800"/>
  </r>
  <r>
    <x v="1"/>
    <m/>
    <m/>
    <m/>
    <m/>
    <n v="4320"/>
    <m/>
    <s v="  "/>
    <s v="  "/>
    <m/>
    <n v="180437"/>
    <s v="  "/>
    <n v="180437"/>
  </r>
  <r>
    <x v="1"/>
    <m/>
    <m/>
    <m/>
    <m/>
    <n v="15282"/>
    <m/>
    <s v="  "/>
    <s v="  "/>
    <m/>
    <n v="508276"/>
    <s v="  "/>
    <n v="508276"/>
  </r>
  <r>
    <x v="1"/>
    <m/>
    <m/>
    <m/>
    <m/>
    <n v="26859"/>
    <m/>
    <s v="  "/>
    <s v="  "/>
    <m/>
    <n v="1499467"/>
    <s v="  "/>
    <n v="1499467"/>
  </r>
  <r>
    <x v="2"/>
    <m/>
    <m/>
    <m/>
    <m/>
    <m/>
    <m/>
    <n v="413000"/>
    <n v="413000"/>
    <m/>
    <m/>
    <s v="  "/>
    <n v="0"/>
  </r>
  <r>
    <x v="1"/>
    <m/>
    <m/>
    <m/>
    <m/>
    <n v="12967"/>
    <m/>
    <s v="  "/>
    <s v="  "/>
    <m/>
    <n v="986790"/>
    <s v="  "/>
    <n v="986790"/>
  </r>
  <r>
    <x v="0"/>
    <m/>
    <m/>
    <m/>
    <m/>
    <n v="10069"/>
    <m/>
    <s v="  "/>
    <s v="  "/>
    <m/>
    <n v="714488"/>
    <s v="  "/>
    <n v="714488"/>
  </r>
  <r>
    <x v="1"/>
    <m/>
    <m/>
    <m/>
    <m/>
    <n v="58"/>
    <m/>
    <s v="  "/>
    <s v="  "/>
    <m/>
    <n v="1455"/>
    <s v="  "/>
    <n v="1455"/>
  </r>
  <r>
    <x v="1"/>
    <m/>
    <m/>
    <m/>
    <m/>
    <n v="42077"/>
    <m/>
    <s v="  "/>
    <s v="  "/>
    <m/>
    <n v="3147256"/>
    <s v="  "/>
    <n v="3147256"/>
  </r>
  <r>
    <x v="1"/>
    <m/>
    <m/>
    <m/>
    <m/>
    <n v="108213"/>
    <m/>
    <s v="  "/>
    <s v="  "/>
    <m/>
    <n v="8192812"/>
    <s v="  "/>
    <n v="8192812"/>
  </r>
  <r>
    <x v="3"/>
    <m/>
    <m/>
    <m/>
    <m/>
    <n v="488000"/>
    <m/>
    <s v="  "/>
    <s v="  "/>
    <m/>
    <n v="51069200"/>
    <s v="  "/>
    <n v="51069200"/>
  </r>
  <r>
    <x v="3"/>
    <m/>
    <m/>
    <m/>
    <m/>
    <n v="488000"/>
    <m/>
    <s v="  "/>
    <s v="  "/>
    <m/>
    <n v="57559600"/>
    <s v="  "/>
    <n v="57559600"/>
  </r>
  <r>
    <x v="1"/>
    <m/>
    <m/>
    <m/>
    <m/>
    <n v="3"/>
    <m/>
    <s v="  "/>
    <s v="  "/>
    <m/>
    <n v="66"/>
    <s v="  "/>
    <n v="66"/>
  </r>
  <r>
    <x v="1"/>
    <m/>
    <m/>
    <m/>
    <m/>
    <n v="5396"/>
    <m/>
    <s v="  "/>
    <s v="  "/>
    <m/>
    <n v="411275"/>
    <s v="  "/>
    <n v="411275"/>
  </r>
  <r>
    <x v="1"/>
    <m/>
    <m/>
    <m/>
    <m/>
    <n v="3154"/>
    <m/>
    <s v="  "/>
    <s v="  "/>
    <m/>
    <n v="104906"/>
    <s v="  "/>
    <n v="104906"/>
  </r>
  <r>
    <x v="4"/>
    <m/>
    <m/>
    <m/>
    <m/>
    <m/>
    <m/>
    <s v="  "/>
    <s v="  "/>
    <m/>
    <m/>
    <n v="-77714734"/>
    <n v="0"/>
  </r>
  <r>
    <x v="1"/>
    <m/>
    <m/>
    <m/>
    <m/>
    <n v="200"/>
    <m/>
    <s v="  "/>
    <s v="  "/>
    <m/>
    <n v="13600"/>
    <s v="  "/>
    <n v="13600"/>
  </r>
  <r>
    <x v="4"/>
    <m/>
    <m/>
    <m/>
    <m/>
    <n v="-18"/>
    <m/>
    <s v="  "/>
    <s v="  "/>
    <m/>
    <m/>
    <n v="-635"/>
    <n v="-635"/>
  </r>
  <r>
    <x v="1"/>
    <m/>
    <m/>
    <m/>
    <m/>
    <n v="37232"/>
    <m/>
    <s v="  "/>
    <s v="  "/>
    <m/>
    <n v="3048555"/>
    <s v="  "/>
    <n v="3048555"/>
  </r>
  <r>
    <x v="4"/>
    <m/>
    <m/>
    <m/>
    <m/>
    <n v="-638"/>
    <m/>
    <s v="  "/>
    <s v="  "/>
    <m/>
    <m/>
    <n v="-23672"/>
    <n v="-23672"/>
  </r>
  <r>
    <x v="1"/>
    <m/>
    <m/>
    <m/>
    <m/>
    <n v="260623"/>
    <m/>
    <s v="  "/>
    <s v="  "/>
    <m/>
    <n v="11438401"/>
    <s v="  "/>
    <n v="11438401"/>
  </r>
  <r>
    <x v="4"/>
    <m/>
    <m/>
    <m/>
    <m/>
    <m/>
    <m/>
    <s v="  "/>
    <s v="  "/>
    <m/>
    <m/>
    <n v="-22197"/>
    <n v="-22197"/>
  </r>
  <r>
    <x v="0"/>
    <m/>
    <m/>
    <m/>
    <m/>
    <n v="83814"/>
    <m/>
    <s v="  "/>
    <s v="  "/>
    <m/>
    <n v="3616154"/>
    <s v="  "/>
    <n v="3616154"/>
  </r>
  <r>
    <x v="0"/>
    <m/>
    <m/>
    <m/>
    <m/>
    <n v="4809"/>
    <m/>
    <s v="  "/>
    <s v="  "/>
    <m/>
    <n v="197332"/>
    <s v="  "/>
    <n v="197332"/>
  </r>
  <r>
    <x v="0"/>
    <m/>
    <m/>
    <m/>
    <m/>
    <n v="312450"/>
    <m/>
    <s v="  "/>
    <s v="  "/>
    <m/>
    <n v="14530360"/>
    <s v="  "/>
    <n v="14530360"/>
  </r>
  <r>
    <x v="1"/>
    <m/>
    <m/>
    <m/>
    <m/>
    <n v="13730"/>
    <m/>
    <s v="  "/>
    <s v="  "/>
    <m/>
    <n v="374082"/>
    <s v="  "/>
    <n v="374082"/>
  </r>
  <r>
    <x v="4"/>
    <m/>
    <m/>
    <m/>
    <m/>
    <m/>
    <m/>
    <s v="  "/>
    <s v="  "/>
    <m/>
    <m/>
    <n v="596"/>
    <n v="596"/>
  </r>
  <r>
    <x v="1"/>
    <m/>
    <m/>
    <m/>
    <m/>
    <n v="7940"/>
    <m/>
    <s v="  "/>
    <s v="  "/>
    <m/>
    <n v="230406"/>
    <s v="  "/>
    <n v="230406"/>
  </r>
  <r>
    <x v="0"/>
    <m/>
    <m/>
    <m/>
    <m/>
    <n v="563"/>
    <m/>
    <s v="  "/>
    <s v="  "/>
    <m/>
    <n v="39949"/>
    <s v="  "/>
    <n v="39949"/>
  </r>
  <r>
    <x v="1"/>
    <m/>
    <m/>
    <m/>
    <m/>
    <n v="115"/>
    <m/>
    <s v="  "/>
    <s v="  "/>
    <m/>
    <n v="2680"/>
    <s v="  "/>
    <n v="2680"/>
  </r>
  <r>
    <x v="1"/>
    <m/>
    <m/>
    <m/>
    <m/>
    <n v="20369"/>
    <m/>
    <s v="  "/>
    <s v="  "/>
    <m/>
    <n v="1449944"/>
    <s v="  "/>
    <n v="1449944"/>
  </r>
  <r>
    <x v="1"/>
    <m/>
    <m/>
    <m/>
    <m/>
    <n v="32"/>
    <m/>
    <s v="  "/>
    <s v="  "/>
    <m/>
    <n v="320"/>
    <s v="  "/>
    <n v="320"/>
  </r>
  <r>
    <x v="1"/>
    <m/>
    <m/>
    <m/>
    <m/>
    <n v="44098"/>
    <m/>
    <s v="  "/>
    <s v="  "/>
    <m/>
    <n v="2863327"/>
    <s v="  "/>
    <n v="2863327"/>
  </r>
  <r>
    <x v="0"/>
    <m/>
    <m/>
    <m/>
    <m/>
    <n v="3328032"/>
    <m/>
    <s v="  "/>
    <s v="  "/>
    <m/>
    <n v="187035399"/>
    <s v="  "/>
    <n v="187035399"/>
  </r>
  <r>
    <x v="4"/>
    <m/>
    <m/>
    <m/>
    <m/>
    <n v="-409"/>
    <m/>
    <s v="  "/>
    <s v="  "/>
    <m/>
    <m/>
    <n v="-14345"/>
    <n v="-14345"/>
  </r>
  <r>
    <x v="1"/>
    <m/>
    <m/>
    <m/>
    <m/>
    <n v="992660"/>
    <m/>
    <s v="  "/>
    <s v="  "/>
    <m/>
    <n v="96544889"/>
    <s v="  "/>
    <n v="96544889"/>
  </r>
  <r>
    <x v="1"/>
    <m/>
    <m/>
    <m/>
    <m/>
    <n v="150"/>
    <m/>
    <s v="  "/>
    <s v="  "/>
    <m/>
    <n v="9750"/>
    <s v="  "/>
    <n v="9750"/>
  </r>
  <r>
    <x v="1"/>
    <m/>
    <m/>
    <m/>
    <m/>
    <n v="3412"/>
    <m/>
    <s v="  "/>
    <s v="  "/>
    <m/>
    <n v="219788"/>
    <s v="  "/>
    <n v="219788"/>
  </r>
  <r>
    <x v="0"/>
    <m/>
    <m/>
    <m/>
    <m/>
    <n v="70262"/>
    <m/>
    <s v="  "/>
    <s v="  "/>
    <m/>
    <n v="5269633"/>
    <s v="  "/>
    <n v="5269633"/>
  </r>
  <r>
    <x v="0"/>
    <m/>
    <m/>
    <m/>
    <m/>
    <n v="204"/>
    <m/>
    <s v="  "/>
    <s v="  "/>
    <m/>
    <n v="14496"/>
    <s v="  "/>
    <n v="14496"/>
  </r>
  <r>
    <x v="6"/>
    <m/>
    <m/>
    <m/>
    <m/>
    <n v="2514"/>
    <m/>
    <s v="  "/>
    <s v="  "/>
    <m/>
    <n v="83625"/>
    <s v="  "/>
    <n v="83625"/>
  </r>
  <r>
    <x v="1"/>
    <m/>
    <m/>
    <m/>
    <m/>
    <n v="5470"/>
    <m/>
    <s v="  "/>
    <s v="  "/>
    <m/>
    <n v="633646"/>
    <s v="  "/>
    <n v="633646"/>
  </r>
  <r>
    <x v="1"/>
    <m/>
    <m/>
    <m/>
    <m/>
    <n v="12447"/>
    <m/>
    <s v="  "/>
    <s v="  "/>
    <m/>
    <n v="919629"/>
    <s v="  "/>
    <n v="919629"/>
  </r>
  <r>
    <x v="1"/>
    <m/>
    <m/>
    <m/>
    <m/>
    <m/>
    <m/>
    <s v="  "/>
    <s v="  "/>
    <m/>
    <n v="15627862"/>
    <s v="  "/>
    <n v="15627862"/>
  </r>
</pivotCacheRecords>
</file>

<file path=xl/pivotCache/pivotCacheRecords4.xml><?xml version="1.0" encoding="utf-8"?>
<pivotCacheRecords xmlns="http://schemas.openxmlformats.org/spreadsheetml/2006/main" xmlns:r="http://schemas.openxmlformats.org/officeDocument/2006/relationships" count="2079">
  <r>
    <s v="General Plant, Common"/>
    <s v="Common (E &amp; G)"/>
    <s v="BNSF Eastside Easemnt Rail Corridor-Snohomish County WA03100000"/>
    <n v="8982248"/>
    <s v="C389 CMN Easements"/>
    <n v="153001992"/>
    <s v="BNSF EASTSIDE RAIL CORRIDOR EASMENT"/>
    <s v="BNSF EASTSIDE RAIL CORRIDOR EASMENTS RHT"/>
    <s v="12/2023"/>
    <n v="1"/>
    <n v="6618882.04"/>
    <n v="1584148.47"/>
    <n v="5034733.57"/>
    <x v="0"/>
    <x v="0"/>
  </r>
  <r>
    <s v="General Plant, Common"/>
    <s v="Common (E &amp; G)"/>
    <s v="BNSF Eastside Easemnt Rail Corridor-King County WA01700000"/>
    <n v="8982251"/>
    <s v="C389 CMN Easements"/>
    <n v="153001992"/>
    <s v="BNSF EASTSIDE RAIL CORRIDOR EASMENT"/>
    <s v="BNSF EASTSIDE RAIL CORRIDOR EASMENTS RHT"/>
    <s v="12/2023"/>
    <n v="1"/>
    <n v="7463685.54"/>
    <n v="1786341.85"/>
    <n v="5677343.6900000004"/>
    <x v="0"/>
    <x v="0"/>
  </r>
  <r>
    <s v="General Plant, Common"/>
    <s v="Common (E &amp; G)"/>
    <s v="East Side Telecommunication Office : GPL-ESO"/>
    <n v="4992439"/>
    <s v="C389 CMN Land &amp; Land Rights"/>
    <s v="CONV"/>
    <m/>
    <m/>
    <s v="12/2023"/>
    <n v="1"/>
    <n v="15972.710000000001"/>
    <n v="0"/>
    <n v="15972.710000000001"/>
    <x v="0"/>
    <x v="0"/>
  </r>
  <r>
    <s v="General Plant, Common"/>
    <s v="Common (E &amp; G)"/>
    <s v="Commeq - Cougar Mtn : GPL-CMT"/>
    <n v="11406935"/>
    <s v="C389 CMN Land &amp; Land Rights"/>
    <s v="CONV"/>
    <m/>
    <m/>
    <s v="12/2023"/>
    <n v="1"/>
    <n v="1401.8700000000001"/>
    <n v="0"/>
    <n v="1401.8700000000001"/>
    <x v="0"/>
    <x v="0"/>
  </r>
  <r>
    <s v="General Plant, Common"/>
    <s v="Common (E &amp; G)"/>
    <s v="Puyallup Service Center : GPL-VPU"/>
    <n v="56006"/>
    <s v="C389 CMN Land &amp; Land Rights"/>
    <s v="CONV"/>
    <m/>
    <m/>
    <s v="12/2023"/>
    <n v="2"/>
    <n v="14090.6"/>
    <n v="0"/>
    <n v="14090.6"/>
    <x v="0"/>
    <x v="1"/>
  </r>
  <r>
    <s v="General Plant, Common"/>
    <s v="Common (E &amp; G)"/>
    <s v="Factoria Svc Cntr : GPL-VFA"/>
    <n v="33131"/>
    <s v="C389 CMN Land &amp; Land Rights"/>
    <s v="CONV"/>
    <m/>
    <m/>
    <s v="12/2023"/>
    <n v="1"/>
    <n v="21380.95"/>
    <n v="0"/>
    <n v="21380.95"/>
    <x v="0"/>
    <x v="1"/>
  </r>
  <r>
    <s v="General Plant, Common"/>
    <s v="Common (E &amp; G)"/>
    <s v="Puyallup Service Center : GPL-VPU"/>
    <n v="56007"/>
    <s v="C389 CMN Land &amp; Land Rights"/>
    <s v="CONV"/>
    <m/>
    <m/>
    <s v="12/2023"/>
    <n v="2"/>
    <n v="6305.05"/>
    <n v="0"/>
    <n v="6305.05"/>
    <x v="0"/>
    <x v="1"/>
  </r>
  <r>
    <s v="General Plant, Common"/>
    <s v="Common (E &amp; G)"/>
    <s v="Factoria Svc Cntr : GPL-VFA"/>
    <n v="33132"/>
    <s v="C389 CMN Land &amp; Land Rights"/>
    <s v="CONV"/>
    <m/>
    <m/>
    <s v="12/2023"/>
    <n v="1"/>
    <n v="1457.14"/>
    <n v="0"/>
    <n v="1457.14"/>
    <x v="0"/>
    <x v="1"/>
  </r>
  <r>
    <s v="General Plant, Common"/>
    <s v="Common (E &amp; G)"/>
    <s v="Olympia Service Center : GPL-VOL"/>
    <n v="33139"/>
    <s v="C389 CMN Land &amp; Land Rights"/>
    <s v="CONV"/>
    <m/>
    <m/>
    <s v="12/2023"/>
    <n v="1"/>
    <n v="54027.68"/>
    <n v="0"/>
    <n v="54027.68"/>
    <x v="0"/>
    <x v="1"/>
  </r>
  <r>
    <s v="General Plant, Common"/>
    <s v="Common (E &amp; G)"/>
    <s v="East Side Telecommunication Office : GPL-ESO"/>
    <n v="4992438"/>
    <s v="C389 CMN Land &amp; Land Rights"/>
    <s v="CONV"/>
    <m/>
    <m/>
    <s v="12/2023"/>
    <n v="1"/>
    <n v="383.83"/>
    <n v="0"/>
    <n v="383.83"/>
    <x v="0"/>
    <x v="0"/>
  </r>
  <r>
    <s v="General Plant, Common"/>
    <s v="Common (E &amp; G)"/>
    <s v="Tacoma Office/Shop : GPL-TAC"/>
    <n v="33167"/>
    <s v="C389 CMN Land &amp; Land Rights"/>
    <s v="CONV"/>
    <m/>
    <m/>
    <s v="12/2023"/>
    <n v="2"/>
    <n v="60002"/>
    <n v="0"/>
    <n v="60002"/>
    <x v="0"/>
    <x v="0"/>
  </r>
  <r>
    <s v="General Plant, Common"/>
    <s v="Common (E &amp; G)"/>
    <s v="Tacoma Office/Shop : GPL-TAC"/>
    <n v="33168"/>
    <s v="C389 CMN Land &amp; Land Rights"/>
    <s v="CONV"/>
    <m/>
    <m/>
    <s v="12/2023"/>
    <n v="1"/>
    <n v="24994"/>
    <n v="0"/>
    <n v="24994"/>
    <x v="0"/>
    <x v="0"/>
  </r>
  <r>
    <s v="General Plant, Common"/>
    <s v="Common (E &amp; G)"/>
    <s v="East Side Telecommunication Office : GPL-ESO"/>
    <n v="4992440"/>
    <s v="C389 CMN Land &amp; Land Rights"/>
    <s v="CONV"/>
    <m/>
    <m/>
    <s v="12/2023"/>
    <n v="1"/>
    <n v="1648"/>
    <n v="0"/>
    <n v="1648"/>
    <x v="0"/>
    <x v="0"/>
  </r>
  <r>
    <s v="General Plant, Common"/>
    <s v="Common (E &amp; G)"/>
    <s v="Factoria Svc Cntr : GPL-VFA"/>
    <n v="33133"/>
    <s v="C389 CMN Land &amp; Land Rights"/>
    <s v="CONV"/>
    <m/>
    <m/>
    <s v="12/2023"/>
    <n v="1"/>
    <n v="2714.4"/>
    <n v="0"/>
    <n v="2714.4"/>
    <x v="0"/>
    <x v="1"/>
  </r>
  <r>
    <s v="General Plant, Common"/>
    <s v="Common (E &amp; G)"/>
    <s v="East Side Telecommunication Office : GPL-ESO"/>
    <n v="4992442"/>
    <s v="C389 CMN Land &amp; Land Rights"/>
    <s v="CONV"/>
    <m/>
    <m/>
    <s v="12/2023"/>
    <n v="1"/>
    <n v="9858.44"/>
    <n v="0"/>
    <n v="9858.44"/>
    <x v="0"/>
    <x v="0"/>
  </r>
  <r>
    <s v="General Plant, Common"/>
    <s v="Common (E &amp; G)"/>
    <s v="East Side Telecommunication Office : GPL-ESO"/>
    <n v="4992441"/>
    <s v="C389 CMN Land &amp; Land Rights"/>
    <s v="CONV"/>
    <m/>
    <m/>
    <s v="12/2023"/>
    <n v="1"/>
    <n v="3304.21"/>
    <n v="0"/>
    <n v="3304.21"/>
    <x v="0"/>
    <x v="0"/>
  </r>
  <r>
    <s v="General Plant, Common"/>
    <s v="Common (E &amp; G)"/>
    <s v="Tacoma Office/Shop : GPL-TAC"/>
    <n v="33209"/>
    <s v="C389 CMN Land &amp; Land Rights"/>
    <s v="CONV"/>
    <m/>
    <m/>
    <s v="12/2023"/>
    <n v="1"/>
    <n v="831"/>
    <n v="0"/>
    <n v="831"/>
    <x v="0"/>
    <x v="0"/>
  </r>
  <r>
    <s v="General Plant, Common"/>
    <s v="Common (E &amp; G)"/>
    <s v="Factoria Svc Cntr : GPL-VFA"/>
    <n v="33134"/>
    <s v="C389 CMN Land &amp; Land Rights"/>
    <s v="CONV"/>
    <m/>
    <m/>
    <s v="12/2023"/>
    <n v="1"/>
    <n v="8027.3200000000006"/>
    <n v="0"/>
    <n v="8027.3200000000006"/>
    <x v="0"/>
    <x v="1"/>
  </r>
  <r>
    <s v="General Plant, Common"/>
    <s v="Common (E &amp; G)"/>
    <s v="East Side Telecommunication Office : GPL-ESO"/>
    <n v="4992434"/>
    <s v="C389 CMN Land &amp; Land Rights"/>
    <s v="CONV"/>
    <m/>
    <m/>
    <s v="12/2023"/>
    <n v="1"/>
    <n v="1.07"/>
    <n v="0"/>
    <n v="1.07"/>
    <x v="0"/>
    <x v="0"/>
  </r>
  <r>
    <s v="General Plant, Common"/>
    <s v="Common (E &amp; G)"/>
    <s v="Olympia Service Center : GPL-VOL"/>
    <n v="99517"/>
    <s v="C389 CMN Land &amp; Land Rights"/>
    <s v="CONV"/>
    <m/>
    <m/>
    <s v="12/2023"/>
    <n v="1"/>
    <n v="14291.12"/>
    <n v="0"/>
    <n v="14291.12"/>
    <x v="0"/>
    <x v="1"/>
  </r>
  <r>
    <s v="General Plant, Common"/>
    <s v="Common (E &amp; G)"/>
    <s v="Factoria Svc Cntr : GPL-VFA"/>
    <n v="33135"/>
    <s v="C389 CMN Land &amp; Land Rights"/>
    <s v="CONV"/>
    <m/>
    <m/>
    <s v="12/2023"/>
    <n v="1"/>
    <n v="6620.87"/>
    <n v="0"/>
    <n v="6620.87"/>
    <x v="0"/>
    <x v="1"/>
  </r>
  <r>
    <s v="General Plant, Common"/>
    <s v="Common (E &amp; G)"/>
    <s v="North King Svc Cntr (Redmond): GPL-NOK"/>
    <n v="19965229"/>
    <s v="C389 CMN Land &amp; Land Rights"/>
    <s v="CONV"/>
    <m/>
    <m/>
    <s v="12/2023"/>
    <n v="1"/>
    <n v="442183.63"/>
    <n v="0"/>
    <n v="442183.63"/>
    <x v="0"/>
    <x v="1"/>
  </r>
  <r>
    <s v="General Plant, Common"/>
    <s v="Common (E &amp; G)"/>
    <s v="North King Svc Cntr (Redmond): GPL-NOK"/>
    <n v="19965211"/>
    <s v="C389 CMN Land &amp; Land Rights"/>
    <s v="CONV"/>
    <m/>
    <m/>
    <s v="12/2023"/>
    <n v="1"/>
    <n v="1132.9000000000001"/>
    <n v="0"/>
    <n v="1132.9000000000001"/>
    <x v="0"/>
    <x v="1"/>
  </r>
  <r>
    <s v="General Plant, Common"/>
    <s v="Common (E &amp; G)"/>
    <s v="North King Svc Cntr (Redmond): GPL-NOK"/>
    <n v="19965220"/>
    <s v="C389 CMN Land &amp; Land Rights"/>
    <s v="CONV"/>
    <m/>
    <m/>
    <s v="12/2023"/>
    <n v="1"/>
    <n v="44001.89"/>
    <n v="0"/>
    <n v="44001.89"/>
    <x v="0"/>
    <x v="1"/>
  </r>
  <r>
    <s v="General Plant, Common"/>
    <s v="Common (E &amp; G)"/>
    <s v="Tacoma Office/Shop : GPL-TAC"/>
    <n v="33212"/>
    <s v="C389 CMN Land &amp; Land Rights"/>
    <s v="CONV"/>
    <m/>
    <m/>
    <s v="12/2023"/>
    <n v="1"/>
    <n v="179257.65"/>
    <n v="0"/>
    <n v="179257.65"/>
    <x v="0"/>
    <x v="0"/>
  </r>
  <r>
    <s v="General Plant, Common"/>
    <s v="Common (E &amp; G)"/>
    <s v="Kittitas Svc Cntr : GPL-VKT"/>
    <n v="33138"/>
    <s v="C389 CMN Land &amp; Land Rights"/>
    <s v="CONV"/>
    <m/>
    <m/>
    <s v="12/2023"/>
    <n v="1"/>
    <n v="75866.37"/>
    <n v="0"/>
    <n v="75866.37"/>
    <x v="0"/>
    <x v="1"/>
  </r>
  <r>
    <s v="General Plant, Common"/>
    <s v="Common (E &amp; G)"/>
    <s v="Tacoma Office/Shop : GPL-TAC"/>
    <n v="33210"/>
    <s v="C389 CMN Land &amp; Land Rights"/>
    <s v="CONV"/>
    <m/>
    <m/>
    <s v="12/2023"/>
    <n v="1"/>
    <n v="29606"/>
    <n v="0"/>
    <n v="29606"/>
    <x v="0"/>
    <x v="0"/>
  </r>
  <r>
    <s v="General Plant, Common"/>
    <s v="Common (E &amp; G)"/>
    <s v="Fleet Service Facility : GPL-VFL"/>
    <n v="57114"/>
    <s v="C389 CMN Land &amp; Land Rights"/>
    <s v="CONV"/>
    <m/>
    <m/>
    <s v="12/2023"/>
    <n v="0"/>
    <n v="456629.3"/>
    <n v="0"/>
    <n v="456629.3"/>
    <x v="0"/>
    <x v="1"/>
  </r>
  <r>
    <s v="General Plant, Common"/>
    <s v="Common (E &amp; G)"/>
    <s v="Fleet Service Facility : GPL-VFL"/>
    <n v="33136"/>
    <s v="C389 CMN Land &amp; Land Rights"/>
    <s v="CONV"/>
    <m/>
    <m/>
    <s v="12/2023"/>
    <n v="1"/>
    <n v="542204.24"/>
    <n v="0"/>
    <n v="542204.24"/>
    <x v="0"/>
    <x v="1"/>
  </r>
  <r>
    <s v="General Plant, Common"/>
    <s v="Common (E &amp; G)"/>
    <s v="Tacoma Office/Shop : GPL-TAC"/>
    <n v="59903"/>
    <s v="C389 CMN Land &amp; Land Rights"/>
    <s v="CONV"/>
    <m/>
    <m/>
    <s v="12/2023"/>
    <n v="1"/>
    <n v="5175"/>
    <n v="0"/>
    <n v="5175"/>
    <x v="0"/>
    <x v="0"/>
  </r>
  <r>
    <s v="General Plant, Common"/>
    <s v="Common (E &amp; G)"/>
    <s v="Tacoma Office/Shop : GPL-TAC"/>
    <n v="33211"/>
    <s v="C389 CMN Land &amp; Land Rights"/>
    <s v="CONV"/>
    <m/>
    <m/>
    <s v="12/2023"/>
    <n v="1"/>
    <n v="70990"/>
    <n v="0"/>
    <n v="70990"/>
    <x v="0"/>
    <x v="0"/>
  </r>
  <r>
    <s v="General Plant, Common"/>
    <s v="Common (E &amp; G)"/>
    <s v="Olympia Service Center : GPL-VOL"/>
    <n v="33140"/>
    <s v="C389 CMN Land &amp; Land Rights"/>
    <s v="CONV"/>
    <m/>
    <m/>
    <s v="12/2023"/>
    <n v="1"/>
    <n v="86606.82"/>
    <n v="0"/>
    <n v="86606.82"/>
    <x v="0"/>
    <x v="1"/>
  </r>
  <r>
    <s v="General Plant, Common"/>
    <s v="Common (E &amp; G)"/>
    <s v="Howell Building, Tacoma : GPL-HWL"/>
    <n v="99524"/>
    <s v="C389 CMN Land &amp; Land Rights"/>
    <s v="CONV"/>
    <m/>
    <m/>
    <s v="12/2023"/>
    <n v="2"/>
    <n v="203840"/>
    <n v="0"/>
    <n v="203840"/>
    <x v="0"/>
    <x v="0"/>
  </r>
  <r>
    <s v="General Plant, Common"/>
    <s v="Common (E &amp; G)"/>
    <s v="Fleet Service Facility : GPL-VFL"/>
    <n v="57115"/>
    <s v="C389 CMN Land &amp; Land Rights"/>
    <s v="CONV"/>
    <m/>
    <m/>
    <s v="12/2023"/>
    <n v="0"/>
    <n v="7049"/>
    <n v="0"/>
    <n v="7049"/>
    <x v="0"/>
    <x v="1"/>
  </r>
  <r>
    <s v="General Plant, Common"/>
    <s v="Common (E &amp; G)"/>
    <s v="Fleet Service Facility : GPL-VFL"/>
    <n v="33137"/>
    <s v="C389 CMN Land &amp; Land Rights"/>
    <s v="CONV"/>
    <m/>
    <m/>
    <s v="12/2023"/>
    <n v="1"/>
    <n v="9797.24"/>
    <n v="0"/>
    <n v="9797.24"/>
    <x v="0"/>
    <x v="1"/>
  </r>
  <r>
    <s v="General Plant, Common"/>
    <s v="Common (E &amp; G)"/>
    <s v="Commeq - Marysville : COM-MYV"/>
    <n v="6088582"/>
    <s v="C389 CMN Land &amp; Land Rights"/>
    <s v="CONV"/>
    <m/>
    <m/>
    <s v="12/2023"/>
    <n v="0"/>
    <n v="17414.77"/>
    <n v="0"/>
    <n v="17414.77"/>
    <x v="0"/>
    <x v="0"/>
  </r>
  <r>
    <s v="General Plant, Common"/>
    <s v="Common (E &amp; G)"/>
    <s v="Elliott Avenue Property : GPL-ELLIOTT"/>
    <n v="9277563"/>
    <s v="C389 CMN Land &amp; Land Rights"/>
    <n v="153002148"/>
    <s v="ELLIOTT AVE LAND &amp; STRUCTURE PURCHA"/>
    <s v="ELLIOTT AVE LAND &amp; STRUCTURE PURCHASE"/>
    <s v="12/2023"/>
    <n v="1"/>
    <n v="7524446.04"/>
    <n v="0"/>
    <n v="7524446.04"/>
    <x v="0"/>
    <x v="0"/>
  </r>
  <r>
    <s v="General Plant, Common"/>
    <s v="Common (E &amp; G)"/>
    <s v="Vernell Office Land: GPL-VRL"/>
    <n v="39529543"/>
    <s v="C389 CMN Land &amp; Land Rights"/>
    <n v="153002528"/>
    <s v="PURCHASING LAND &amp; STRUCTURE VERNELL"/>
    <s v="PURCHASING LAND &amp; STRUCTURE VERNELL SUB"/>
    <s v="12/2023"/>
    <n v="0"/>
    <n v="3780338.31"/>
    <n v="0"/>
    <n v="3780338.31"/>
    <x v="0"/>
    <x v="0"/>
  </r>
  <r>
    <s v="General Plant, Common"/>
    <s v="Common (E &amp; G)"/>
    <s v="Vernell Office Land: GPL-VRL"/>
    <n v="39529552"/>
    <s v="C389 CMN Land &amp; Land Rights"/>
    <n v="153002528"/>
    <s v="PURCHASING LAND &amp; STRUCTURE VERNELL"/>
    <s v="PURCHASING LAND &amp; STRUCTURE VERNELL SUB"/>
    <s v="12/2023"/>
    <n v="0"/>
    <n v="3581505.44"/>
    <n v="0"/>
    <n v="3581505.44"/>
    <x v="0"/>
    <x v="0"/>
  </r>
  <r>
    <s v="General Plant, Common"/>
    <s v="Common (E &amp; G)"/>
    <s v="S King Svc Complex (PSE) : GPL-SOK"/>
    <n v="27568855"/>
    <s v="C389 CMN Land &amp; Land Rights"/>
    <n v="153002948"/>
    <s v="PURCHASE SOUTH KING FACILITY  LAND "/>
    <s v="PURCHASE SOUTH KING FACILITY  LAND AND B"/>
    <s v="12/2023"/>
    <n v="1"/>
    <n v="18486454.109999999"/>
    <n v="0"/>
    <n v="18486454.109999999"/>
    <x v="0"/>
    <x v="1"/>
  </r>
  <r>
    <s v="General Plant, Common"/>
    <s v="Common (E &amp; G)"/>
    <s v="Snoqualmie Technology Center: GPL-STC"/>
    <n v="30990188"/>
    <s v="C389 CMN Land &amp; Land Rights"/>
    <n v="153003050"/>
    <s v="Snoqualmie Technology Center Purcha"/>
    <s v="Snoqualmie Technology Center Purchase"/>
    <s v="12/2023"/>
    <n v="1"/>
    <n v="1892030.12"/>
    <n v="0"/>
    <n v="1892030.12"/>
    <x v="0"/>
    <x v="0"/>
  </r>
  <r>
    <s v="General Plant, Common"/>
    <s v="Common (E &amp; G)"/>
    <s v="Puyallup Fleet Facility : GPL-PUY"/>
    <n v="33900724"/>
    <s v="C389 CMN Land &amp; Land Rights"/>
    <n v="153003148"/>
    <s v="Puyallup - PSE Fleet Facility"/>
    <s v="Puyallup - PSE Fleet Facility"/>
    <s v="12/2023"/>
    <n v="1"/>
    <n v="15472.9"/>
    <n v="0"/>
    <n v="15472.9"/>
    <x v="0"/>
    <x v="0"/>
  </r>
  <r>
    <s v="General Plant, Common"/>
    <s v="Common (E &amp; G)"/>
    <s v="Puyallup Fleet Facility : GPL-PUY"/>
    <n v="35501844"/>
    <s v="C389 CMN Land &amp; Land Rights"/>
    <n v="153003148"/>
    <s v="Puyallup - PSE Fleet Facility"/>
    <s v="Puyallup - PSE Fleet Facility"/>
    <s v="12/2023"/>
    <n v="1"/>
    <n v="925448.26"/>
    <n v="0"/>
    <n v="925448.26"/>
    <x v="0"/>
    <x v="0"/>
  </r>
  <r>
    <s v="General Plant, Common"/>
    <s v="Common (E &amp; G)"/>
    <s v="Puyallup Fleet Facility : GPL-PUY"/>
    <n v="35501847"/>
    <s v="C389 CMN Land &amp; Land Rights"/>
    <n v="153003148"/>
    <s v="Puyallup - PSE Fleet Facility"/>
    <s v="Puyallup - PSE Fleet Facility"/>
    <s v="12/2023"/>
    <n v="1"/>
    <n v="775998.09"/>
    <n v="0"/>
    <n v="775998.09"/>
    <x v="0"/>
    <x v="0"/>
  </r>
  <r>
    <s v="General Plant, Common"/>
    <s v="Common (E &amp; G)"/>
    <s v="East Side Telecommunication Office : GPL-ESO"/>
    <n v="4992474"/>
    <s v="C3900 CMN Str/Impv, ESO"/>
    <s v="CONV"/>
    <m/>
    <m/>
    <s v="12/2023"/>
    <n v="1"/>
    <n v="4802"/>
    <n v="5042.1000000000004"/>
    <n v="-240.1"/>
    <x v="1"/>
    <x v="0"/>
  </r>
  <r>
    <s v="General Plant, Common"/>
    <s v="Common (E &amp; G)"/>
    <s v="East Side Telecommunication Office : GPL-ESO"/>
    <n v="4992475"/>
    <s v="C3900 CMN Str/Impv, ESO"/>
    <s v="CONV"/>
    <m/>
    <m/>
    <s v="12/2023"/>
    <n v="1"/>
    <n v="32822"/>
    <n v="34463.1"/>
    <n v="-1641.1000000000001"/>
    <x v="1"/>
    <x v="0"/>
  </r>
  <r>
    <s v="General Plant, Common"/>
    <s v="Common (E &amp; G)"/>
    <s v="East Side Telecommunication Office : GPL-ESO"/>
    <n v="4992463"/>
    <s v="C3900 CMN Str/Impv, ESO"/>
    <s v="CONV"/>
    <m/>
    <m/>
    <s v="12/2023"/>
    <n v="1"/>
    <n v="107839.03"/>
    <n v="113230.98"/>
    <n v="-5391.95"/>
    <x v="1"/>
    <x v="0"/>
  </r>
  <r>
    <s v="General Plant, Common"/>
    <s v="Common (E &amp; G)"/>
    <s v="East Side Telecommunication Office : GPL-ESO"/>
    <n v="4992482"/>
    <s v="C3900 CMN Str/Impv, ESO"/>
    <s v="CONV"/>
    <m/>
    <m/>
    <s v="12/2023"/>
    <n v="1"/>
    <n v="2667.2000000000003"/>
    <n v="2800.56"/>
    <n v="-133.36000000000001"/>
    <x v="1"/>
    <x v="0"/>
  </r>
  <r>
    <s v="General Plant, Common"/>
    <s v="Common (E &amp; G)"/>
    <s v="East Side Telecommunication Office : GPL-ESO"/>
    <n v="4992476"/>
    <s v="C3900 CMN Str/Impv, ESO"/>
    <s v="CONV"/>
    <m/>
    <m/>
    <s v="12/2023"/>
    <n v="1"/>
    <n v="6694"/>
    <n v="7028.7"/>
    <n v="-334.7"/>
    <x v="1"/>
    <x v="0"/>
  </r>
  <r>
    <s v="General Plant, Common"/>
    <s v="Common (E &amp; G)"/>
    <s v="East Side Telecommunication Office : GPL-ESO"/>
    <n v="4992477"/>
    <s v="C3900 CMN Str/Impv, ESO"/>
    <s v="CONV"/>
    <m/>
    <m/>
    <s v="12/2023"/>
    <n v="1"/>
    <n v="187"/>
    <n v="196.35"/>
    <n v="-9.35"/>
    <x v="1"/>
    <x v="0"/>
  </r>
  <r>
    <s v="General Plant, Common"/>
    <s v="Common (E &amp; G)"/>
    <s v="East Side Telecommunication Office : GPL-ESO"/>
    <n v="4992479"/>
    <s v="C3900 CMN Str/Impv, ESO"/>
    <s v="CONV"/>
    <m/>
    <m/>
    <s v="12/2023"/>
    <n v="1"/>
    <n v="3993.82"/>
    <n v="4193.51"/>
    <n v="-199.69"/>
    <x v="1"/>
    <x v="0"/>
  </r>
  <r>
    <s v="General Plant, Common"/>
    <s v="Common (E &amp; G)"/>
    <s v="East Side Telecommunication Office : GPL-ESO"/>
    <n v="4992468"/>
    <s v="C3900 CMN Str/Impv, ESO"/>
    <s v="CONV"/>
    <m/>
    <m/>
    <s v="12/2023"/>
    <n v="1"/>
    <n v="1091.29"/>
    <n v="1145.8500000000001"/>
    <n v="-54.56"/>
    <x v="1"/>
    <x v="0"/>
  </r>
  <r>
    <s v="General Plant, Common"/>
    <s v="Common (E &amp; G)"/>
    <s v="East Side Telecommunication Office : GPL-ESO"/>
    <n v="4992480"/>
    <s v="C3900 CMN Str/Impv, ESO"/>
    <s v="CONV"/>
    <m/>
    <m/>
    <s v="12/2023"/>
    <n v="1"/>
    <n v="80"/>
    <n v="84"/>
    <n v="-4"/>
    <x v="1"/>
    <x v="0"/>
  </r>
  <r>
    <s v="General Plant, Common"/>
    <s v="Common (E &amp; G)"/>
    <s v="East Side Telecommunication Office : GPL-ESO"/>
    <n v="4992481"/>
    <s v="C3900 CMN Str/Impv, ESO"/>
    <s v="CONV"/>
    <m/>
    <m/>
    <s v="12/2023"/>
    <n v="1"/>
    <n v="198849.21"/>
    <n v="208791.15"/>
    <n v="-9941.94"/>
    <x v="1"/>
    <x v="0"/>
  </r>
  <r>
    <s v="General Plant, Common"/>
    <s v="Common (E &amp; G)"/>
    <s v="East Side Telecommunication Office : GPL-ESO"/>
    <n v="4992483"/>
    <s v="C3900 CMN Str/Impv, ESO"/>
    <s v="CONV"/>
    <m/>
    <m/>
    <s v="12/2023"/>
    <n v="1"/>
    <n v="89.68"/>
    <n v="94.16"/>
    <n v="-4.4800000000000004"/>
    <x v="1"/>
    <x v="0"/>
  </r>
  <r>
    <s v="General Plant, Common"/>
    <s v="Common (E &amp; G)"/>
    <s v="East Side Telecommunication Office : GPL-ESO"/>
    <n v="4992484"/>
    <s v="C3900 CMN Str/Impv, ESO"/>
    <s v="CONV"/>
    <m/>
    <m/>
    <s v="12/2023"/>
    <n v="1"/>
    <n v="11459.94"/>
    <n v="12032.87"/>
    <n v="-572.93000000000006"/>
    <x v="1"/>
    <x v="0"/>
  </r>
  <r>
    <s v="General Plant, Common"/>
    <s v="Common (E &amp; G)"/>
    <s v="East Side Telecommunication Office : GPL-ESO"/>
    <n v="4992485"/>
    <s v="C3900 CMN Str/Impv, ESO"/>
    <s v="CONV"/>
    <m/>
    <m/>
    <s v="12/2023"/>
    <n v="1"/>
    <n v="7333.56"/>
    <n v="7700.17"/>
    <n v="-366.61"/>
    <x v="1"/>
    <x v="0"/>
  </r>
  <r>
    <s v="General Plant, Common"/>
    <s v="Common (E &amp; G)"/>
    <s v="East Side Telecommunication Office : GPL-ESO"/>
    <n v="4992487"/>
    <s v="C3900 CMN Str/Impv, ESO"/>
    <s v="CONV"/>
    <m/>
    <m/>
    <s v="12/2023"/>
    <n v="1"/>
    <n v="2640.42"/>
    <n v="2772.4"/>
    <n v="-131.97999999999999"/>
    <x v="1"/>
    <x v="0"/>
  </r>
  <r>
    <s v="General Plant, Common"/>
    <s v="Common (E &amp; G)"/>
    <s v="East Side Telecommunication Office : GPL-ESO"/>
    <n v="4992488"/>
    <s v="C3900 CMN Str/Impv, ESO"/>
    <s v="CONV"/>
    <m/>
    <m/>
    <s v="12/2023"/>
    <n v="1"/>
    <n v="523.93000000000006"/>
    <n v="550.12"/>
    <n v="-26.19"/>
    <x v="1"/>
    <x v="0"/>
  </r>
  <r>
    <s v="General Plant, Common"/>
    <s v="Common (E &amp; G)"/>
    <s v="East Side Telecommunication Office : GPL-ESO"/>
    <n v="4992489"/>
    <s v="C3900 CMN Str/Impv, ESO"/>
    <s v="CONV"/>
    <m/>
    <m/>
    <s v="12/2023"/>
    <n v="1"/>
    <n v="1747.18"/>
    <n v="1834.48"/>
    <n v="-87.3"/>
    <x v="1"/>
    <x v="0"/>
  </r>
  <r>
    <s v="General Plant, Common"/>
    <s v="Common (E &amp; G)"/>
    <s v="East Side Telecommunication Office : GPL-ESO"/>
    <n v="4992490"/>
    <s v="C3900 CMN Str/Impv, ESO"/>
    <s v="CONV"/>
    <m/>
    <m/>
    <s v="12/2023"/>
    <n v="1"/>
    <n v="7772.04"/>
    <n v="8160.26"/>
    <n v="-388.22"/>
    <x v="1"/>
    <x v="0"/>
  </r>
  <r>
    <s v="General Plant, Common"/>
    <s v="Common (E &amp; G)"/>
    <s v="East Side Telecommunication Office : GPL-ESO"/>
    <n v="4992478"/>
    <s v="C3900 CMN Str/Impv, ESO"/>
    <s v="CONV"/>
    <m/>
    <m/>
    <s v="12/2023"/>
    <n v="1"/>
    <n v="3741.34"/>
    <n v="3928.13"/>
    <n v="-186.79"/>
    <x v="1"/>
    <x v="0"/>
  </r>
  <r>
    <s v="General Plant, Common"/>
    <s v="Common (E &amp; G)"/>
    <s v="East Side Telecommunication Office : GPL-ESO"/>
    <n v="4992491"/>
    <s v="C3900 CMN Str/Impv, ESO"/>
    <s v="CONV"/>
    <m/>
    <m/>
    <s v="12/2023"/>
    <n v="1"/>
    <n v="550.64"/>
    <n v="578.11"/>
    <n v="-27.47"/>
    <x v="1"/>
    <x v="0"/>
  </r>
  <r>
    <s v="General Plant, Common"/>
    <s v="Common (E &amp; G)"/>
    <s v="East Side Telecommunication Office : GPL-ESO"/>
    <n v="4992390"/>
    <s v="C3900 CMN Str/Impv, ESO"/>
    <s v="CONV"/>
    <m/>
    <m/>
    <s v="12/2023"/>
    <n v="1"/>
    <n v="1455.17"/>
    <n v="1527.7"/>
    <n v="-72.53"/>
    <x v="1"/>
    <x v="0"/>
  </r>
  <r>
    <s v="General Plant, Common"/>
    <s v="Common (E &amp; G)"/>
    <s v="East Side Telecommunication Office : GPL-ESO"/>
    <n v="4992492"/>
    <s v="C3900 CMN Str/Impv, ESO"/>
    <s v="CONV"/>
    <m/>
    <m/>
    <s v="12/2023"/>
    <n v="1"/>
    <n v="16216.65"/>
    <n v="17023.72"/>
    <n v="-807.07"/>
    <x v="1"/>
    <x v="0"/>
  </r>
  <r>
    <s v="General Plant, Common"/>
    <s v="Common (E &amp; G)"/>
    <s v="East Side Telecommunication Office : GPL-ESO"/>
    <n v="4992493"/>
    <s v="C3900 CMN Str/Impv, ESO"/>
    <s v="CONV"/>
    <m/>
    <m/>
    <s v="12/2023"/>
    <n v="1"/>
    <n v="202240.42"/>
    <n v="212254.29"/>
    <n v="-10013.870000000001"/>
    <x v="1"/>
    <x v="0"/>
  </r>
  <r>
    <s v="General Plant, Common"/>
    <s v="Common (E &amp; G)"/>
    <s v="East Side Telecommunication Office : GPL-ESO"/>
    <n v="4992495"/>
    <s v="C3900 CMN Str/Impv, ESO"/>
    <s v="CONV"/>
    <m/>
    <m/>
    <s v="12/2023"/>
    <n v="1"/>
    <n v="3678078.67"/>
    <n v="3858350.5700000003"/>
    <n v="-180271.9"/>
    <x v="1"/>
    <x v="0"/>
  </r>
  <r>
    <s v="General Plant, Common"/>
    <s v="Common (E &amp; G)"/>
    <s v="East Side Telecommunication Office : GPL-ESO"/>
    <n v="4992496"/>
    <s v="C3900 CMN Str/Impv, ESO"/>
    <s v="CONV"/>
    <m/>
    <m/>
    <s v="12/2023"/>
    <n v="1"/>
    <n v="1351774.28"/>
    <n v="1417478.63"/>
    <n v="-65704.350000000006"/>
    <x v="1"/>
    <x v="0"/>
  </r>
  <r>
    <s v="General Plant, Common"/>
    <s v="Common (E &amp; G)"/>
    <s v="East Side Telecommunication Office : GPL-ESO"/>
    <n v="4992497"/>
    <s v="C3900 CMN Str/Impv, ESO"/>
    <s v="CONV"/>
    <m/>
    <m/>
    <s v="12/2023"/>
    <n v="1"/>
    <n v="4693.6900000000005"/>
    <n v="4919.21"/>
    <n v="-225.52"/>
    <x v="1"/>
    <x v="0"/>
  </r>
  <r>
    <s v="General Plant, Common"/>
    <s v="Common (E &amp; G)"/>
    <s v="East Side Telecommunication Office : GPL-ESO"/>
    <n v="4992499"/>
    <s v="C3900 CMN Str/Impv, ESO"/>
    <s v="CONV"/>
    <m/>
    <m/>
    <s v="12/2023"/>
    <n v="1"/>
    <n v="617818.44000000006"/>
    <n v="647032.41"/>
    <n v="-29213.97"/>
    <x v="1"/>
    <x v="0"/>
  </r>
  <r>
    <s v="General Plant, Common"/>
    <s v="Common (E &amp; G)"/>
    <s v="East Side Telecommunication Office : GPL-ESO"/>
    <n v="4992472"/>
    <s v="C3900 CMN Str/Impv, ESO"/>
    <s v="CONV"/>
    <m/>
    <m/>
    <s v="12/2023"/>
    <n v="1"/>
    <n v="70668.97"/>
    <n v="73937.66"/>
    <n v="-3268.69"/>
    <x v="1"/>
    <x v="0"/>
  </r>
  <r>
    <s v="General Plant, Common"/>
    <s v="Common (E &amp; G)"/>
    <s v="East Side Telecommunication Office : GPL-ESO"/>
    <n v="4992494"/>
    <s v="C3900 CMN Str/Impv, ESO"/>
    <s v="CONV"/>
    <m/>
    <m/>
    <s v="12/2023"/>
    <n v="1"/>
    <n v="3188.17"/>
    <n v="3331.23"/>
    <n v="-143.06"/>
    <x v="1"/>
    <x v="0"/>
  </r>
  <r>
    <s v="General Plant, Common"/>
    <s v="Common (E &amp; G)"/>
    <s v="East Side Telecommunication Office : GPL-ESO"/>
    <n v="4992466"/>
    <s v="C3900 CMN Str/Impv, ESO"/>
    <s v="CONV"/>
    <m/>
    <m/>
    <s v="12/2023"/>
    <n v="1"/>
    <n v="2326.7600000000002"/>
    <n v="2426.89"/>
    <n v="-100.13"/>
    <x v="1"/>
    <x v="0"/>
  </r>
  <r>
    <s v="General Plant, Common"/>
    <s v="Common (E &amp; G)"/>
    <s v="East Side Telecommunication Office : GPL-ESO"/>
    <n v="4992375"/>
    <s v="C3900 CMN Str/Impv, ESO"/>
    <s v="CONV"/>
    <m/>
    <m/>
    <s v="12/2023"/>
    <n v="1"/>
    <n v="74108.44"/>
    <n v="77117.990000000005"/>
    <n v="-3009.55"/>
    <x v="1"/>
    <x v="0"/>
  </r>
  <r>
    <s v="General Plant, Common"/>
    <s v="Common (E &amp; G)"/>
    <s v="East Side Telecommunication Office : GPL-ESO"/>
    <n v="4992467"/>
    <s v="C3900 CMN Str/Impv, ESO"/>
    <s v="CONV"/>
    <m/>
    <m/>
    <s v="12/2023"/>
    <n v="1"/>
    <n v="27344.41"/>
    <n v="28368.32"/>
    <n v="-1023.91"/>
    <x v="1"/>
    <x v="0"/>
  </r>
  <r>
    <s v="General Plant, Common"/>
    <s v="Common (E &amp; G)"/>
    <s v="East Side Telecommunication Office : GPL-ESO"/>
    <n v="4992469"/>
    <s v="C3900 CMN Str/Impv, ESO"/>
    <s v="CONV"/>
    <m/>
    <m/>
    <s v="12/2023"/>
    <n v="1"/>
    <n v="12168.300000000001"/>
    <n v="12574.06"/>
    <n v="-405.76"/>
    <x v="1"/>
    <x v="0"/>
  </r>
  <r>
    <s v="General Plant, Common"/>
    <s v="Common (E &amp; G)"/>
    <s v="East Side Telecommunication Office : GPL-ESO"/>
    <n v="4992470"/>
    <s v="C3900 CMN Str/Impv, ESO"/>
    <s v="CONV"/>
    <m/>
    <m/>
    <s v="12/2023"/>
    <n v="1"/>
    <n v="37181.230000000003"/>
    <n v="38224.82"/>
    <n v="-1043.5899999999999"/>
    <x v="1"/>
    <x v="0"/>
  </r>
  <r>
    <s v="General Plant, Common"/>
    <s v="Common (E &amp; G)"/>
    <s v="East Side Telecommunication Office : GPL-ESO"/>
    <n v="4992465"/>
    <s v="C3900 CMN Str/Impv, ESO"/>
    <s v="CONV"/>
    <m/>
    <m/>
    <s v="12/2023"/>
    <n v="1"/>
    <n v="23445.420000000002"/>
    <n v="23945.89"/>
    <n v="-500.47"/>
    <x v="1"/>
    <x v="0"/>
  </r>
  <r>
    <s v="General Plant, Common"/>
    <s v="Common (E &amp; G)"/>
    <s v="East Side Telecommunication Office : GPL-ESO"/>
    <n v="4992471"/>
    <s v="C3900 CMN Str/Impv, ESO"/>
    <s v="CONV"/>
    <m/>
    <m/>
    <s v="12/2023"/>
    <n v="1"/>
    <n v="1244018.5900000001"/>
    <n v="1260013.9099999999"/>
    <n v="-15995.32"/>
    <x v="1"/>
    <x v="0"/>
  </r>
  <r>
    <s v="General Plant, Common"/>
    <s v="Common (E &amp; G)"/>
    <s v="East Side Telecommunication Office : GPL-ESO"/>
    <n v="4992486"/>
    <s v="C3900 CMN Str/Impv, ESO"/>
    <s v="CONV"/>
    <m/>
    <m/>
    <s v="12/2023"/>
    <n v="1"/>
    <n v="63108.83"/>
    <n v="63248.35"/>
    <n v="-139.52000000000001"/>
    <x v="1"/>
    <x v="0"/>
  </r>
  <r>
    <s v="General Plant, Common"/>
    <s v="Common (E &amp; G)"/>
    <s v="East Side Telecommunication Office : GPL-ESO"/>
    <n v="4992473"/>
    <s v="C3900 CMN Str/Impv, ESO"/>
    <s v="CONV"/>
    <m/>
    <m/>
    <s v="12/2023"/>
    <n v="1"/>
    <n v="37807.81"/>
    <n v="37392.129999999997"/>
    <n v="415.68"/>
    <x v="1"/>
    <x v="0"/>
  </r>
  <r>
    <s v="General Plant, Common"/>
    <s v="Common (E &amp; G)"/>
    <s v="East Side Telecommunication Office : GPL-ESO"/>
    <n v="4992498"/>
    <s v="C3900 CMN Str/Impv, ESO"/>
    <s v="CONV"/>
    <m/>
    <m/>
    <s v="12/2023"/>
    <n v="1"/>
    <n v="797968.07000000007"/>
    <n v="776262.13"/>
    <n v="21705.94"/>
    <x v="1"/>
    <x v="0"/>
  </r>
  <r>
    <s v="General Plant, Common"/>
    <s v="Common (E &amp; G)"/>
    <s v="East Side Telecommunication Office : GPL-ESO"/>
    <n v="4992500"/>
    <s v="C3900 CMN Str/Impv, ESO"/>
    <s v="CONV"/>
    <m/>
    <m/>
    <s v="12/2023"/>
    <n v="2"/>
    <n v="778521.5"/>
    <n v="741995.32000000007"/>
    <n v="36526.18"/>
    <x v="1"/>
    <x v="0"/>
  </r>
  <r>
    <s v="General Plant, Common"/>
    <s v="Common (E &amp; G)"/>
    <s v="East Side Telecommunication Office : GPL-ESO"/>
    <n v="4992380"/>
    <s v="C3900 CMN Str/Impv, ESO"/>
    <s v="CONV"/>
    <m/>
    <m/>
    <s v="12/2023"/>
    <n v="2"/>
    <n v="5083.8100000000004"/>
    <n v="4725.12"/>
    <n v="358.69"/>
    <x v="1"/>
    <x v="0"/>
  </r>
  <r>
    <s v="General Plant, Common"/>
    <s v="Common (E &amp; G)"/>
    <s v="East Side Telecommunication Office : GPL-ESO"/>
    <n v="4992383"/>
    <s v="C3900 CMN Str/Impv, ESO"/>
    <s v="CONV"/>
    <m/>
    <m/>
    <s v="12/2023"/>
    <n v="1"/>
    <n v="33444.07"/>
    <n v="30149.97"/>
    <n v="3294.1"/>
    <x v="1"/>
    <x v="0"/>
  </r>
  <r>
    <s v="General Plant, Common"/>
    <s v="Common (E &amp; G)"/>
    <s v="East Side Telecommunication Office : GPL-ESO"/>
    <n v="4992458"/>
    <s v="C3900 CMN Str/Impv, ESO"/>
    <s v="CONV"/>
    <m/>
    <m/>
    <s v="12/2023"/>
    <n v="1"/>
    <n v="111484.31"/>
    <n v="100503.59"/>
    <n v="10980.72"/>
    <x v="1"/>
    <x v="0"/>
  </r>
  <r>
    <s v="General Plant, Common"/>
    <s v="Common (E &amp; G)"/>
    <s v="East Side Telecommunication Office : GPL-ESO"/>
    <n v="4992459"/>
    <s v="C3900 CMN Str/Impv, ESO"/>
    <s v="CONV"/>
    <m/>
    <m/>
    <s v="12/2023"/>
    <n v="0"/>
    <n v="36536.39"/>
    <n v="31746.06"/>
    <n v="4790.33"/>
    <x v="1"/>
    <x v="0"/>
  </r>
  <r>
    <s v="General Plant, Common"/>
    <s v="Common (E &amp; G)"/>
    <s v="East Side Telecommunication Office : GPL-ESO"/>
    <n v="4992457"/>
    <s v="C3900 CMN Str/Impv, ESO"/>
    <s v="CONV"/>
    <m/>
    <m/>
    <s v="12/2023"/>
    <n v="1"/>
    <n v="143904.09"/>
    <n v="125036.64"/>
    <n v="18867.45"/>
    <x v="1"/>
    <x v="0"/>
  </r>
  <r>
    <s v="General Plant, Common"/>
    <s v="Common (E &amp; G)"/>
    <s v="East Side Telecommunication Office : GPL-ESO"/>
    <n v="4992456"/>
    <s v="C3900 CMN Str/Impv, ESO"/>
    <s v="CONV"/>
    <m/>
    <m/>
    <s v="12/2023"/>
    <n v="1"/>
    <n v="11957.72"/>
    <n v="9943.27"/>
    <n v="2014.45"/>
    <x v="1"/>
    <x v="0"/>
  </r>
  <r>
    <s v="General Plant, Common"/>
    <s v="Common (E &amp; G)"/>
    <s v="East Side Telecommunication Office : GPL-ESO"/>
    <n v="4992455"/>
    <s v="C3900 CMN Str/Impv, ESO"/>
    <s v="CONV"/>
    <m/>
    <m/>
    <s v="12/2023"/>
    <n v="1"/>
    <n v="165748.66"/>
    <n v="137825.93"/>
    <n v="27922.73"/>
    <x v="1"/>
    <x v="0"/>
  </r>
  <r>
    <s v="General Plant, Common"/>
    <s v="Common (E &amp; G)"/>
    <s v="East Side Telecommunication Office : GPL-ESO"/>
    <n v="4992460"/>
    <s v="C3900 CMN Str/Impv, ESO"/>
    <s v="CONV"/>
    <m/>
    <m/>
    <s v="12/2023"/>
    <n v="1"/>
    <n v="37650.730000000003"/>
    <n v="31307.93"/>
    <n v="6342.8"/>
    <x v="1"/>
    <x v="0"/>
  </r>
  <r>
    <s v="General Plant, Common"/>
    <s v="Common (E &amp; G)"/>
    <s v="East Side Telecommunication Office : GPL-ESO"/>
    <n v="4992462"/>
    <s v="C3900 CMN Str/Impv, ESO"/>
    <s v="CONV"/>
    <m/>
    <m/>
    <s v="12/2023"/>
    <n v="1"/>
    <n v="919.82"/>
    <n v="726.25"/>
    <n v="193.57"/>
    <x v="1"/>
    <x v="0"/>
  </r>
  <r>
    <s v="General Plant, Common"/>
    <s v="Common (E &amp; G)"/>
    <s v="East Side Telecommunication Office : GPL-ESO"/>
    <n v="4992412"/>
    <s v="C3900 CMN Str/Impv, ESO"/>
    <s v="CONV"/>
    <m/>
    <m/>
    <s v="12/2023"/>
    <n v="1"/>
    <n v="20723.54"/>
    <n v="16362.37"/>
    <n v="4361.17"/>
    <x v="1"/>
    <x v="0"/>
  </r>
  <r>
    <s v="General Plant, Common"/>
    <s v="Common (E &amp; G)"/>
    <s v="East Side Telecommunication Office : GPL-ESO"/>
    <n v="4992461"/>
    <s v="C3900 CMN Str/Impv, ESO"/>
    <s v="CONV"/>
    <m/>
    <m/>
    <s v="12/2023"/>
    <n v="1"/>
    <n v="28871.78"/>
    <n v="22795.850000000002"/>
    <n v="6075.93"/>
    <x v="1"/>
    <x v="2"/>
  </r>
  <r>
    <s v="General Plant, Common"/>
    <s v="Common (E &amp; G)"/>
    <s v="East Side Telecommunication Office : GPL-ESO"/>
    <n v="4992385"/>
    <s v="C3900 CMN Str/Impv, ESO"/>
    <s v="CONV"/>
    <m/>
    <m/>
    <s v="12/2023"/>
    <n v="0.98"/>
    <n v="457212.89"/>
    <n v="360994.56"/>
    <n v="96218.33"/>
    <x v="1"/>
    <x v="0"/>
  </r>
  <r>
    <s v="General Plant, Common"/>
    <s v="Common (E &amp; G)"/>
    <s v="East Side Telecommunication Office : GPL-ESO"/>
    <n v="4992464"/>
    <s v="C3900 CMN Str/Impv, ESO"/>
    <s v="CONV"/>
    <m/>
    <m/>
    <s v="12/2023"/>
    <n v="1"/>
    <n v="357581.4"/>
    <n v="282330.06"/>
    <n v="75251.34"/>
    <x v="1"/>
    <x v="0"/>
  </r>
  <r>
    <s v="General Plant, Common"/>
    <s v="Common (E &amp; G)"/>
    <s v="East Side Telecommunication Office : GPL-ESO"/>
    <n v="4992382"/>
    <s v="C3900 CMN Str/Impv, ESO"/>
    <s v="CONV"/>
    <m/>
    <m/>
    <s v="12/2023"/>
    <n v="0"/>
    <n v="20491.93"/>
    <n v="15227.75"/>
    <n v="5264.18"/>
    <x v="1"/>
    <x v="0"/>
  </r>
  <r>
    <s v="General Plant, Common"/>
    <s v="Common (E &amp; G)"/>
    <s v="East Side Telecommunication Office : GPL-ESO"/>
    <n v="4992389"/>
    <s v="C3900 CMN Str/Impv, ESO"/>
    <s v="CONV"/>
    <m/>
    <m/>
    <s v="12/2023"/>
    <n v="0"/>
    <n v="12149.24"/>
    <n v="9028.2199999999993"/>
    <n v="3121.02"/>
    <x v="1"/>
    <x v="0"/>
  </r>
  <r>
    <s v="General Plant, Common"/>
    <s v="Common (E &amp; G)"/>
    <s v="East Side Telecommunication Office : GPL-ESO"/>
    <n v="4992387"/>
    <s v="C3900 CMN Str/Impv, ESO"/>
    <s v="CONV"/>
    <m/>
    <m/>
    <s v="12/2023"/>
    <n v="0"/>
    <n v="5560.07"/>
    <n v="4131.74"/>
    <n v="1428.33"/>
    <x v="1"/>
    <x v="0"/>
  </r>
  <r>
    <s v="General Plant, Common"/>
    <s v="Common (E &amp; G)"/>
    <s v="East Side Telecommunication Office : GPL-ESO"/>
    <n v="4992447"/>
    <s v="C3900 CMN Str/Impv, ESO"/>
    <s v="CONV"/>
    <m/>
    <m/>
    <s v="12/2023"/>
    <n v="0"/>
    <n v="10147.700000000001"/>
    <n v="7540.8600000000006"/>
    <n v="2606.84"/>
    <x v="1"/>
    <x v="0"/>
  </r>
  <r>
    <s v="General Plant, Common"/>
    <s v="Common (E &amp; G)"/>
    <s v="East Side Telecommunication Office : GPL-ESO"/>
    <n v="4992454"/>
    <s v="C3900 CMN Str/Impv, ESO"/>
    <s v="CONV"/>
    <m/>
    <m/>
    <s v="12/2023"/>
    <n v="0"/>
    <n v="9913.5400000000009"/>
    <n v="6340.2300000000005"/>
    <n v="3573.31"/>
    <x v="1"/>
    <x v="0"/>
  </r>
  <r>
    <s v="General Plant, Common"/>
    <s v="Common (E &amp; G)"/>
    <s v="East Side Telecommunication Office : GPL-ESO"/>
    <n v="4992411"/>
    <s v="C3900 CMN Str/Impv, ESO"/>
    <n v="131202040"/>
    <s v="HVAC - EASTSIDE OPERATIONS"/>
    <s v="HVAC - EASTSIDE OPERATIONS"/>
    <s v="12/2023"/>
    <n v="1"/>
    <n v="276363.32"/>
    <n v="161424.42000000001"/>
    <n v="114938.90000000001"/>
    <x v="1"/>
    <x v="0"/>
  </r>
  <r>
    <s v="General Plant, Common"/>
    <s v="Common (E &amp; G)"/>
    <s v="East Side Telecommunication Office : GPL-ESO"/>
    <n v="7622233"/>
    <s v="C3900 CMN Str/Impv, ESO"/>
    <n v="131201100"/>
    <s v="ESO RENOVATION PROJECT"/>
    <s v="ESO RENOVATION PROJECT"/>
    <s v="12/2023"/>
    <n v="0"/>
    <n v="1489994.08"/>
    <n v="702192.19000000006"/>
    <n v="787801.89"/>
    <x v="1"/>
    <x v="0"/>
  </r>
  <r>
    <s v="General Plant, Common"/>
    <s v="Common (E &amp; G)"/>
    <s v="East Side Telecommunication Office : GPL-ESO"/>
    <n v="7670070"/>
    <s v="C3900 CMN Str/Impv, ESO"/>
    <n v="131201100"/>
    <s v="ESO RENOVATION PROJECT"/>
    <s v="ESO RENOVATION PROJECT"/>
    <s v="12/2023"/>
    <n v="0"/>
    <n v="49423.700000000004"/>
    <n v="23292"/>
    <n v="26131.7"/>
    <x v="1"/>
    <x v="0"/>
  </r>
  <r>
    <s v="General Plant, Common"/>
    <s v="Common (E &amp; G)"/>
    <s v="East Side Telecommunication Office : GPL-ESO"/>
    <n v="7670075"/>
    <s v="C3900 CMN Str/Impv, ESO"/>
    <n v="131201100"/>
    <s v="ESO RENOVATION PROJECT"/>
    <s v="ESO RENOVATION PROJECT"/>
    <s v="12/2023"/>
    <n v="0"/>
    <n v="53270.270000000004"/>
    <n v="25104.78"/>
    <n v="28165.49"/>
    <x v="1"/>
    <x v="0"/>
  </r>
  <r>
    <s v="General Plant, Common"/>
    <s v="Common (E &amp; G)"/>
    <s v="East Side Telecommunication Office : GPL-ESO"/>
    <n v="7670076"/>
    <s v="C3900 CMN Str/Impv, ESO"/>
    <n v="131201100"/>
    <s v="ESO RENOVATION PROJECT"/>
    <s v="ESO RENOVATION PROJECT"/>
    <s v="12/2023"/>
    <n v="0"/>
    <n v="76649.3"/>
    <n v="36122.65"/>
    <n v="40526.65"/>
    <x v="1"/>
    <x v="0"/>
  </r>
  <r>
    <s v="General Plant, Common"/>
    <s v="Common (E &amp; G)"/>
    <s v="East Side Telecommunication Office : GPL-ESO"/>
    <n v="7670077"/>
    <s v="C3900 CMN Str/Impv, ESO"/>
    <n v="131201100"/>
    <s v="ESO RENOVATION PROJECT"/>
    <s v="ESO RENOVATION PROJECT"/>
    <s v="12/2023"/>
    <n v="0"/>
    <n v="78959.86"/>
    <n v="37211.56"/>
    <n v="41748.300000000003"/>
    <x v="1"/>
    <x v="0"/>
  </r>
  <r>
    <s v="General Plant, Common"/>
    <s v="Common (E &amp; G)"/>
    <s v="East Side Telecommunication Office : GPL-ESO"/>
    <n v="7670078"/>
    <s v="C3900 CMN Str/Impv, ESO"/>
    <n v="131201100"/>
    <s v="ESO RENOVATION PROJECT"/>
    <s v="ESO RENOVATION PROJECT"/>
    <s v="12/2023"/>
    <n v="0"/>
    <n v="154735.5"/>
    <n v="72922.48"/>
    <n v="81813.02"/>
    <x v="1"/>
    <x v="0"/>
  </r>
  <r>
    <s v="General Plant, Common"/>
    <s v="Common (E &amp; G)"/>
    <s v="East Side Telecommunication Office : GPL-ESO"/>
    <n v="7670079"/>
    <s v="C3900 CMN Str/Impv, ESO"/>
    <n v="131201100"/>
    <s v="ESO RENOVATION PROJECT"/>
    <s v="ESO RENOVATION PROJECT"/>
    <s v="12/2023"/>
    <n v="0"/>
    <n v="219749.49"/>
    <n v="103561.74"/>
    <n v="116187.75"/>
    <x v="1"/>
    <x v="0"/>
  </r>
  <r>
    <s v="General Plant, Common"/>
    <s v="Common (E &amp; G)"/>
    <s v="East Side Telecommunication Office : GPL-ESO"/>
    <n v="7670080"/>
    <s v="C3900 CMN Str/Impv, ESO"/>
    <n v="131201100"/>
    <s v="ESO RENOVATION PROJECT"/>
    <s v="ESO RENOVATION PROJECT"/>
    <s v="12/2023"/>
    <n v="0"/>
    <n v="244758.24"/>
    <n v="115347.66"/>
    <n v="129410.58"/>
    <x v="1"/>
    <x v="0"/>
  </r>
  <r>
    <s v="General Plant, Common"/>
    <s v="Common (E &amp; G)"/>
    <s v="East Side Telecommunication Office : GPL-ESO"/>
    <n v="7670081"/>
    <s v="C3900 CMN Str/Impv, ESO"/>
    <n v="131201100"/>
    <s v="ESO RENOVATION PROJECT"/>
    <s v="ESO RENOVATION PROJECT"/>
    <s v="12/2023"/>
    <n v="0"/>
    <n v="273979.82"/>
    <n v="129118.96"/>
    <n v="144860.86000000002"/>
    <x v="1"/>
    <x v="0"/>
  </r>
  <r>
    <s v="General Plant, Common"/>
    <s v="Common (E &amp; G)"/>
    <s v="East Side Telecommunication Office : GPL-ESO"/>
    <n v="7670082"/>
    <s v="C3900 CMN Str/Impv, ESO"/>
    <n v="131201100"/>
    <s v="ESO RENOVATION PROJECT"/>
    <s v="ESO RENOVATION PROJECT"/>
    <s v="12/2023"/>
    <n v="0"/>
    <n v="580840.6"/>
    <n v="273733.8"/>
    <n v="307106.8"/>
    <x v="1"/>
    <x v="2"/>
  </r>
  <r>
    <s v="General Plant, Common"/>
    <s v="Common (E &amp; G)"/>
    <s v="East Side Telecommunication Office : GPL-ESO"/>
    <n v="7670083"/>
    <s v="C3900 CMN Str/Impv, ESO"/>
    <n v="131201100"/>
    <s v="ESO RENOVATION PROJECT"/>
    <s v="ESO RENOVATION PROJECT"/>
    <s v="12/2023"/>
    <n v="0"/>
    <n v="1116806.58"/>
    <n v="526319.44999999995"/>
    <n v="590487.13"/>
    <x v="1"/>
    <x v="0"/>
  </r>
  <r>
    <s v="General Plant, Common"/>
    <s v="Common (E &amp; G)"/>
    <s v="East Side Telecommunication Office : GPL-ESO"/>
    <n v="7670084"/>
    <s v="C3900 CMN Str/Impv, ESO"/>
    <n v="131201100"/>
    <s v="ESO RENOVATION PROJECT"/>
    <s v="ESO RENOVATION PROJECT"/>
    <s v="12/2023"/>
    <n v="0"/>
    <n v="1981059.6800000002"/>
    <n v="933617.56"/>
    <n v="1047442.12"/>
    <x v="1"/>
    <x v="0"/>
  </r>
  <r>
    <s v="General Plant, Common"/>
    <s v="Common (E &amp; G)"/>
    <s v="East Side Telecommunication Office : GPL-ESO"/>
    <n v="7670085"/>
    <s v="C3900 CMN Str/Impv, ESO"/>
    <n v="131201100"/>
    <s v="ESO RENOVATION PROJECT"/>
    <s v="ESO RENOVATION PROJECT"/>
    <s v="12/2023"/>
    <n v="0"/>
    <n v="4500835.46"/>
    <n v="2121116.83"/>
    <n v="2379718.63"/>
    <x v="1"/>
    <x v="0"/>
  </r>
  <r>
    <s v="General Plant, Common"/>
    <s v="Common (E &amp; G)"/>
    <s v="East Side Telecommunication Office : GPL-ESO"/>
    <n v="7670086"/>
    <s v="C3900 CMN Str/Impv, ESO"/>
    <n v="131201100"/>
    <s v="ESO RENOVATION PROJECT"/>
    <s v="ESO RENOVATION PROJECT"/>
    <s v="12/2023"/>
    <n v="0"/>
    <n v="14119.81"/>
    <n v="6654.27"/>
    <n v="7465.54"/>
    <x v="1"/>
    <x v="0"/>
  </r>
  <r>
    <s v="General Plant, Common"/>
    <s v="Common (E &amp; G)"/>
    <s v="East Side Telecommunication Office : GPL-ESO"/>
    <n v="7670087"/>
    <s v="C3900 CMN Str/Impv, ESO"/>
    <n v="131201100"/>
    <s v="ESO RENOVATION PROJECT"/>
    <s v="ESO RENOVATION PROJECT"/>
    <s v="12/2023"/>
    <n v="0"/>
    <n v="22901.94"/>
    <n v="10793.04"/>
    <n v="12108.9"/>
    <x v="1"/>
    <x v="0"/>
  </r>
  <r>
    <s v="General Plant, Common"/>
    <s v="Common (E &amp; G)"/>
    <s v="East Side Telecommunication Office : GPL-ESO"/>
    <n v="7684358"/>
    <s v="C3900 CMN Str/Impv, ESO"/>
    <n v="131201100"/>
    <s v="ESO RENOVATION PROJECT"/>
    <s v="ESO RENOVATION PROJECT"/>
    <s v="12/2023"/>
    <n v="0"/>
    <n v="1750.6100000000001"/>
    <n v="825.01"/>
    <n v="925.6"/>
    <x v="1"/>
    <x v="0"/>
  </r>
  <r>
    <s v="General Plant, Common"/>
    <s v="Common (E &amp; G)"/>
    <s v="East Side Telecommunication Office : GPL-ESO"/>
    <n v="7807348"/>
    <s v="C3900 CMN Str/Impv, ESO"/>
    <n v="131201100"/>
    <s v="ESO RENOVATION PROJECT"/>
    <s v="ESO RENOVATION PROJECT"/>
    <s v="12/2023"/>
    <n v="0"/>
    <n v="34656.25"/>
    <n v="16332.51"/>
    <n v="18323.740000000002"/>
    <x v="1"/>
    <x v="0"/>
  </r>
  <r>
    <s v="General Plant, Common"/>
    <s v="Common (E &amp; G)"/>
    <s v="East Side Telecommunication Office : GPL-ESO"/>
    <n v="8167983"/>
    <s v="C3900 CMN Str/Impv, ESO"/>
    <n v="131201100"/>
    <s v="ESO RENOVATION PROJECT"/>
    <s v="ESO RENOVATION PROJECT"/>
    <s v="12/2023"/>
    <n v="0"/>
    <n v="257077.31"/>
    <n v="121153.29000000001"/>
    <n v="135924.01999999999"/>
    <x v="1"/>
    <x v="0"/>
  </r>
  <r>
    <s v="General Plant, Common"/>
    <s v="Common (E &amp; G)"/>
    <s v="East Side Telecommunication Office : GPL-ESO"/>
    <n v="8657688"/>
    <s v="C3900 CMN Str/Impv, ESO"/>
    <n v="131204002"/>
    <s v="ESO Microwave Building Wall HVAC"/>
    <s v="ESO Microwave Building Wall HVAC"/>
    <s v="12/2023"/>
    <n v="0"/>
    <n v="4471.3100000000004"/>
    <n v="2107.1999999999998"/>
    <n v="2364.11"/>
    <x v="1"/>
    <x v="0"/>
  </r>
  <r>
    <s v="General Plant, Common"/>
    <s v="Common (E &amp; G)"/>
    <s v="East Side Telecommunication Office : GPL-ESO"/>
    <n v="10757951"/>
    <s v="C3900 CMN Str/Impv, ESO"/>
    <n v="131203642"/>
    <s v="EASTSIDE OPERATIONS - EXPANSION"/>
    <s v="EASTSIDE OPERATIONS - EXPANSION"/>
    <s v="12/2023"/>
    <n v="1"/>
    <n v="110254.8"/>
    <n v="45862.57"/>
    <n v="64392.23"/>
    <x v="1"/>
    <x v="0"/>
  </r>
  <r>
    <s v="General Plant, Common"/>
    <s v="Common (E &amp; G)"/>
    <s v="East Side Telecommunication Office : GPL-ESO"/>
    <n v="10757955"/>
    <s v="C3900 CMN Str/Impv, ESO"/>
    <n v="131203642"/>
    <s v="EASTSIDE OPERATIONS - EXPANSION"/>
    <s v="EASTSIDE OPERATIONS - EXPANSION"/>
    <s v="12/2023"/>
    <n v="1"/>
    <n v="7136.35"/>
    <n v="2968.5"/>
    <n v="4167.8500000000004"/>
    <x v="1"/>
    <x v="0"/>
  </r>
  <r>
    <s v="General Plant, Common"/>
    <s v="Common (E &amp; G)"/>
    <s v="East Side Telecommunication Office : GPL-ESO"/>
    <n v="10757956"/>
    <s v="C3900 CMN Str/Impv, ESO"/>
    <n v="131203642"/>
    <s v="EASTSIDE OPERATIONS - EXPANSION"/>
    <s v="EASTSIDE OPERATIONS - EXPANSION"/>
    <s v="12/2023"/>
    <n v="1"/>
    <n v="394355.99"/>
    <n v="164039.83000000002"/>
    <n v="230316.16"/>
    <x v="1"/>
    <x v="0"/>
  </r>
  <r>
    <s v="General Plant, Common"/>
    <s v="Common (E &amp; G)"/>
    <s v="East Side Telecommunication Office : GPL-ESO"/>
    <n v="10757957"/>
    <s v="C3900 CMN Str/Impv, ESO"/>
    <n v="131203642"/>
    <s v="EASTSIDE OPERATIONS - EXPANSION"/>
    <s v="EASTSIDE OPERATIONS - EXPANSION"/>
    <s v="12/2023"/>
    <n v="1"/>
    <n v="7279.92"/>
    <n v="3028.2200000000003"/>
    <n v="4251.7"/>
    <x v="1"/>
    <x v="0"/>
  </r>
  <r>
    <s v="General Plant, Common"/>
    <s v="Common (E &amp; G)"/>
    <s v="East Side Telecommunication Office : GPL-ESO"/>
    <n v="10757958"/>
    <s v="C3900 CMN Str/Impv, ESO"/>
    <n v="131203642"/>
    <s v="EASTSIDE OPERATIONS - EXPANSION"/>
    <s v="EASTSIDE OPERATIONS - EXPANSION"/>
    <s v="12/2023"/>
    <n v="1"/>
    <n v="686613.47"/>
    <n v="285609.86"/>
    <n v="401003.61"/>
    <x v="1"/>
    <x v="2"/>
  </r>
  <r>
    <s v="General Plant, Common"/>
    <s v="Common (E &amp; G)"/>
    <s v="East Side Telecommunication Office : GPL-ESO"/>
    <n v="10757959"/>
    <s v="C3900 CMN Str/Impv, ESO"/>
    <n v="131203642"/>
    <s v="EASTSIDE OPERATIONS - EXPANSION"/>
    <s v="EASTSIDE OPERATIONS - EXPANSION"/>
    <s v="12/2023"/>
    <n v="1"/>
    <n v="622699.57000000007"/>
    <n v="259023.66"/>
    <n v="363675.91000000003"/>
    <x v="1"/>
    <x v="0"/>
  </r>
  <r>
    <s v="General Plant, Common"/>
    <s v="Common (E &amp; G)"/>
    <s v="East Side Telecommunication Office : GPL-ESO"/>
    <n v="10757960"/>
    <s v="C3900 CMN Str/Impv, ESO"/>
    <n v="131203642"/>
    <s v="EASTSIDE OPERATIONS - EXPANSION"/>
    <s v="EASTSIDE OPERATIONS - EXPANSION"/>
    <s v="12/2023"/>
    <n v="1"/>
    <n v="11572.880000000001"/>
    <n v="4813.96"/>
    <n v="6758.92"/>
    <x v="1"/>
    <x v="0"/>
  </r>
  <r>
    <s v="General Plant, Common"/>
    <s v="Common (E &amp; G)"/>
    <s v="East Side Telecommunication Office : GPL-ESO"/>
    <n v="10757961"/>
    <s v="C3900 CMN Str/Impv, ESO"/>
    <n v="131203642"/>
    <s v="EASTSIDE OPERATIONS - EXPANSION"/>
    <s v="EASTSIDE OPERATIONS - EXPANSION"/>
    <s v="12/2023"/>
    <n v="1"/>
    <n v="142060.79"/>
    <n v="59092.87"/>
    <n v="82967.92"/>
    <x v="1"/>
    <x v="0"/>
  </r>
  <r>
    <s v="General Plant, Common"/>
    <s v="Common (E &amp; G)"/>
    <s v="East Side Telecommunication Office : GPL-ESO"/>
    <n v="10757962"/>
    <s v="C3900 CMN Str/Impv, ESO"/>
    <n v="131203642"/>
    <s v="EASTSIDE OPERATIONS - EXPANSION"/>
    <s v="EASTSIDE OPERATIONS - EXPANSION"/>
    <s v="12/2023"/>
    <n v="1"/>
    <n v="44737.15"/>
    <n v="18609.260000000002"/>
    <n v="26127.89"/>
    <x v="1"/>
    <x v="0"/>
  </r>
  <r>
    <s v="General Plant, Common"/>
    <s v="Common (E &amp; G)"/>
    <s v="East Side Telecommunication Office : GPL-ESO"/>
    <n v="10757963"/>
    <s v="C3900 CMN Str/Impv, ESO"/>
    <n v="131203642"/>
    <s v="EASTSIDE OPERATIONS - EXPANSION"/>
    <s v="EASTSIDE OPERATIONS - EXPANSION"/>
    <s v="12/2023"/>
    <n v="1"/>
    <n v="721.39"/>
    <n v="300.08"/>
    <n v="421.31"/>
    <x v="1"/>
    <x v="0"/>
  </r>
  <r>
    <s v="General Plant, Common"/>
    <s v="Common (E &amp; G)"/>
    <s v="East Side Telecommunication Office : GPL-ESO"/>
    <n v="10757964"/>
    <s v="C3900 CMN Str/Impv, ESO"/>
    <n v="131203642"/>
    <s v="EASTSIDE OPERATIONS - EXPANSION"/>
    <s v="EASTSIDE OPERATIONS - EXPANSION"/>
    <s v="12/2023"/>
    <n v="1"/>
    <n v="476842.68"/>
    <n v="198351.73"/>
    <n v="278490.95"/>
    <x v="1"/>
    <x v="0"/>
  </r>
  <r>
    <s v="General Plant, Common"/>
    <s v="Common (E &amp; G)"/>
    <s v="East Side Telecommunication Office : GPL-ESO"/>
    <n v="10757965"/>
    <s v="C3900 CMN Str/Impv, ESO"/>
    <n v="131203642"/>
    <s v="EASTSIDE OPERATIONS - EXPANSION"/>
    <s v="EASTSIDE OPERATIONS - EXPANSION"/>
    <s v="12/2023"/>
    <n v="1"/>
    <n v="80216.009999999995"/>
    <n v="33367.370000000003"/>
    <n v="46848.639999999999"/>
    <x v="1"/>
    <x v="0"/>
  </r>
  <r>
    <s v="General Plant, Common"/>
    <s v="Common (E &amp; G)"/>
    <s v="East Side Telecommunication Office : GPL-ESO"/>
    <n v="10757966"/>
    <s v="C3900 CMN Str/Impv, ESO"/>
    <n v="131203642"/>
    <s v="EASTSIDE OPERATIONS - EXPANSION"/>
    <s v="EASTSIDE OPERATIONS - EXPANSION"/>
    <s v="12/2023"/>
    <n v="1"/>
    <n v="391073.36"/>
    <n v="162674.36000000002"/>
    <n v="228399"/>
    <x v="1"/>
    <x v="0"/>
  </r>
  <r>
    <s v="General Plant, Common"/>
    <s v="Common (E &amp; G)"/>
    <s v="East Side Telecommunication Office : GPL-ESO"/>
    <n v="10757967"/>
    <s v="C3900 CMN Str/Impv, ESO"/>
    <n v="131203642"/>
    <s v="EASTSIDE OPERATIONS - EXPANSION"/>
    <s v="EASTSIDE OPERATIONS - EXPANSION"/>
    <s v="12/2023"/>
    <n v="1"/>
    <n v="112939.36"/>
    <n v="46979.26"/>
    <n v="65960.100000000006"/>
    <x v="1"/>
    <x v="0"/>
  </r>
  <r>
    <s v="General Plant, Common"/>
    <s v="Common (E &amp; G)"/>
    <s v="East Side Telecommunication Office : GPL-ESO"/>
    <n v="18908396"/>
    <s v="C3900 CMN Str/Impv, ESO"/>
    <n v="143001546"/>
    <s v="EASTSIDE OPERATIONS - CHILLER"/>
    <s v="EASTSIDE OPERATIONS - CHILLER"/>
    <s v="12/2023"/>
    <n v="1"/>
    <n v="190488.54"/>
    <n v="59497.64"/>
    <n v="130990.90000000001"/>
    <x v="1"/>
    <x v="0"/>
  </r>
  <r>
    <s v="General Plant, Common"/>
    <s v="Common (E &amp; G)"/>
    <s v="East Side Telecommunication Office : GPL-ESO"/>
    <n v="25261466"/>
    <s v="C3900 CMN Str/Impv, ESO"/>
    <n v="141002920"/>
    <s v="EASTSIDE OPERATIONS -STR"/>
    <s v="EASTSIDE OPERATIONS -STR"/>
    <s v="12/2023"/>
    <n v="1"/>
    <n v="123766.58"/>
    <n v="27482.68"/>
    <n v="96283.900000000009"/>
    <x v="1"/>
    <x v="0"/>
  </r>
  <r>
    <s v="General Plant, Common"/>
    <s v="Common (E &amp; G)"/>
    <s v="East Side Telecommunication Office : GPL-ESO"/>
    <n v="24882962"/>
    <s v="C3900 CMN Str/Impv, ESO"/>
    <n v="143002312"/>
    <s v="ESO UPS ROOM BACKUP HVAC COOLING SY"/>
    <s v="ESO UPS ROOM BACKUP HVAC COOLING SYSTEMS"/>
    <s v="12/2023"/>
    <n v="1"/>
    <n v="31402.959999999999"/>
    <n v="5738.57"/>
    <n v="25664.39"/>
    <x v="1"/>
    <x v="0"/>
  </r>
  <r>
    <s v="General Plant, Common"/>
    <s v="Common (E &amp; G)"/>
    <s v="East Side Telecommunication Office : GPL-ESO"/>
    <n v="25098592"/>
    <s v="C3900 CMN Str/Impv, ESO"/>
    <n v="143002274"/>
    <s v="REPLACE END-OF-LIFE EAST SIDE OPERA"/>
    <s v="REPLACE END-OF-LIFE EAST SIDE OPERATIONS"/>
    <s v="12/2023"/>
    <n v="1"/>
    <n v="136612"/>
    <n v="24964.45"/>
    <n v="111647.55"/>
    <x v="1"/>
    <x v="0"/>
  </r>
  <r>
    <s v="General Plant, Common"/>
    <s v="Common (E &amp; G)"/>
    <s v="East Side Telecommunication Office : GPL-ESO"/>
    <n v="25246649"/>
    <s v="C3900 CMN Str/Impv, ESO"/>
    <n v="141002968"/>
    <s v="ESO SOUTH GATE REPLACEMENT"/>
    <s v="ESO SOUTH GATE REPLACEMENT"/>
    <s v="12/2023"/>
    <n v="1"/>
    <n v="38392.770000000004"/>
    <n v="7015.89"/>
    <n v="31376.880000000001"/>
    <x v="1"/>
    <x v="0"/>
  </r>
  <r>
    <s v="General Plant, Common"/>
    <s v="Common (E &amp; G)"/>
    <s v="East Side Telecommunication Office : GPL-ESO"/>
    <n v="31953909"/>
    <s v="C3900 CMN Str/Impv, ESO"/>
    <n v="143002028"/>
    <s v="SECURITY OPERATIONS CENTER REDMOND,"/>
    <s v="SECURITY OPERATIONS CENTER REDMOND, WA"/>
    <s v="12/2023"/>
    <n v="1"/>
    <n v="2805.94"/>
    <n v="413.5"/>
    <n v="2392.44"/>
    <x v="1"/>
    <x v="0"/>
  </r>
  <r>
    <s v="General Plant, Common"/>
    <s v="Common (E &amp; G)"/>
    <s v="East Side Telecommunication Office : GPL-ESO"/>
    <n v="31953914"/>
    <s v="C3900 CMN Str/Impv, ESO"/>
    <n v="143002028"/>
    <s v="SECURITY OPERATIONS CENTER REDMOND,"/>
    <s v="SECURITY OPERATIONS CENTER REDMOND, WA"/>
    <s v="12/2023"/>
    <n v="1"/>
    <n v="50787.700000000004"/>
    <n v="7484.38"/>
    <n v="43303.32"/>
    <x v="1"/>
    <x v="0"/>
  </r>
  <r>
    <s v="General Plant, Common"/>
    <s v="Common (E &amp; G)"/>
    <s v="East Side Telecommunication Office : GPL-ESO"/>
    <n v="29876740"/>
    <s v="C3900 CMN Str/Impv, ESO"/>
    <n v="143002429"/>
    <s v="ESO PHYSICAL SECURITY IMPROVEMENTS "/>
    <s v="ESO PHYSICAL SECURITY IMPROVEMENTS"/>
    <s v="12/2023"/>
    <n v="1"/>
    <n v="421490.7"/>
    <n v="62113.39"/>
    <n v="359377.31"/>
    <x v="1"/>
    <x v="2"/>
  </r>
  <r>
    <s v="General Plant, Common"/>
    <s v="Common (E &amp; G)"/>
    <s v="East Side Telecommunication Office : GPL-ESO"/>
    <n v="31953917"/>
    <s v="C3900 CMN Str/Impv, ESO"/>
    <n v="143002028"/>
    <s v="SECURITY OPERATIONS CENTER REDMOND,"/>
    <s v="SECURITY OPERATIONS CENTER REDMOND, WA"/>
    <s v="12/2023"/>
    <n v="1"/>
    <n v="9540.23"/>
    <n v="1405.91"/>
    <n v="8134.3200000000006"/>
    <x v="1"/>
    <x v="0"/>
  </r>
  <r>
    <s v="General Plant, Common"/>
    <s v="Common (E &amp; G)"/>
    <s v="East Side Telecommunication Office : GPL-ESO"/>
    <n v="31953920"/>
    <s v="C3900 CMN Str/Impv, ESO"/>
    <n v="143002028"/>
    <s v="SECURITY OPERATIONS CENTER REDMOND,"/>
    <s v="SECURITY OPERATIONS CENTER REDMOND, WA"/>
    <s v="12/2023"/>
    <n v="1"/>
    <n v="3367.14"/>
    <n v="496.2"/>
    <n v="2870.94"/>
    <x v="1"/>
    <x v="0"/>
  </r>
  <r>
    <s v="General Plant, Common"/>
    <s v="Common (E &amp; G)"/>
    <s v="East Side Telecommunication Office : GPL-ESO"/>
    <n v="31953923"/>
    <s v="C3900 CMN Str/Impv, ESO"/>
    <n v="143002028"/>
    <s v="SECURITY OPERATIONS CENTER REDMOND,"/>
    <s v="SECURITY OPERATIONS CENTER REDMOND, WA"/>
    <s v="12/2023"/>
    <n v="1"/>
    <n v="17116.29"/>
    <n v="2522.36"/>
    <n v="14593.93"/>
    <x v="1"/>
    <x v="0"/>
  </r>
  <r>
    <s v="General Plant, Common"/>
    <s v="Common (E &amp; G)"/>
    <s v="East Side Telecommunication Office : GPL-ESO"/>
    <n v="31953926"/>
    <s v="C3900 CMN Str/Impv, ESO"/>
    <n v="143002028"/>
    <s v="SECURITY OPERATIONS CENTER REDMOND,"/>
    <s v="SECURITY OPERATIONS CENTER REDMOND, WA"/>
    <s v="12/2023"/>
    <n v="1"/>
    <n v="7295.46"/>
    <n v="1075.0999999999999"/>
    <n v="6220.3600000000006"/>
    <x v="1"/>
    <x v="0"/>
  </r>
  <r>
    <s v="General Plant, Common"/>
    <s v="Common (E &amp; G)"/>
    <s v="East Side Telecommunication Office : GPL-ESO"/>
    <n v="31953929"/>
    <s v="C3900 CMN Str/Impv, ESO"/>
    <n v="143002028"/>
    <s v="SECURITY OPERATIONS CENTER REDMOND,"/>
    <s v="SECURITY OPERATIONS CENTER REDMOND, WA"/>
    <s v="12/2023"/>
    <n v="1"/>
    <n v="46017.590000000004"/>
    <n v="6781.43"/>
    <n v="39236.160000000003"/>
    <x v="1"/>
    <x v="0"/>
  </r>
  <r>
    <s v="General Plant, Common"/>
    <s v="Common (E &amp; G)"/>
    <s v="East Side Telecommunication Office : GPL-ESO"/>
    <n v="31953932"/>
    <s v="C3900 CMN Str/Impv, ESO"/>
    <n v="143002028"/>
    <s v="SECURITY OPERATIONS CENTER REDMOND,"/>
    <s v="SECURITY OPERATIONS CENTER REDMOND, WA"/>
    <s v="12/2023"/>
    <n v="1"/>
    <n v="3367.14"/>
    <n v="496.2"/>
    <n v="2870.94"/>
    <x v="1"/>
    <x v="0"/>
  </r>
  <r>
    <s v="General Plant, Common"/>
    <s v="Common (E &amp; G)"/>
    <s v="Factoria Svc Cntr : GPL-VFA"/>
    <n v="78681"/>
    <s v="C3900 CMN Str/Impv, Factoria Svc Ct"/>
    <s v="CONV"/>
    <m/>
    <m/>
    <s v="12/2023"/>
    <n v="1"/>
    <n v="30490.21"/>
    <n v="28579.91"/>
    <n v="1910.3"/>
    <x v="1"/>
    <x v="1"/>
  </r>
  <r>
    <s v="General Plant, Common"/>
    <s v="Common (E &amp; G)"/>
    <s v="Factoria Svc Cntr : GPL-VFA"/>
    <n v="56329"/>
    <s v="C3900 CMN Str/Impv, Factoria Svc Ct"/>
    <s v="CONV"/>
    <m/>
    <m/>
    <s v="12/2023"/>
    <n v="1"/>
    <n v="40525.15"/>
    <n v="36947.18"/>
    <n v="3577.9700000000003"/>
    <x v="1"/>
    <x v="1"/>
  </r>
  <r>
    <s v="General Plant, Common"/>
    <s v="Common (E &amp; G)"/>
    <s v="Factoria Svc Cntr : GPL-VFA"/>
    <n v="7097450"/>
    <s v="C3900 CMN Str/Impv, Factoria Svc Ct"/>
    <n v="131200760"/>
    <s v="FACTORIA SVC REPLACEMENT PLAN COSTS"/>
    <s v="FACTORIA SVC REPLACEMENT PLAN COSTS CONS"/>
    <s v="12/2023"/>
    <n v="1"/>
    <n v="43602.39"/>
    <n v="22257.9"/>
    <n v="21344.49"/>
    <x v="1"/>
    <x v="1"/>
  </r>
  <r>
    <s v="General Plant, Common"/>
    <s v="Common (E &amp; G)"/>
    <s v="Factoria Svc Cntr : GPL-VFA"/>
    <n v="7097453"/>
    <s v="C3900 CMN Str/Impv, Factoria Svc Ct"/>
    <n v="131200760"/>
    <s v="FACTORIA SVC REPLACEMENT PLAN COSTS"/>
    <s v="FACTORIA SVC REPLACEMENT PLAN COSTS CONS"/>
    <s v="12/2023"/>
    <n v="1"/>
    <n v="21762.100000000002"/>
    <n v="11108.99"/>
    <n v="10653.11"/>
    <x v="1"/>
    <x v="1"/>
  </r>
  <r>
    <s v="General Plant, Common"/>
    <s v="Common (E &amp; G)"/>
    <s v="Factoria Svc Cntr : GPL-VFA"/>
    <n v="7097454"/>
    <s v="C3900 CMN Str/Impv, Factoria Svc Ct"/>
    <n v="131200760"/>
    <s v="FACTORIA SVC REPLACEMENT PLAN COSTS"/>
    <s v="FACTORIA SVC REPLACEMENT PLAN COSTS CONS"/>
    <s v="12/2023"/>
    <n v="1"/>
    <n v="490189.82"/>
    <n v="250229.27000000002"/>
    <n v="239960.55000000002"/>
    <x v="1"/>
    <x v="1"/>
  </r>
  <r>
    <s v="General Plant, Common"/>
    <s v="Common (E &amp; G)"/>
    <s v="Factoria Svc Cntr : GPL-VFA"/>
    <n v="7097455"/>
    <s v="C3900 CMN Str/Impv, Factoria Svc Ct"/>
    <n v="131200760"/>
    <s v="FACTORIA SVC REPLACEMENT PLAN COSTS"/>
    <s v="FACTORIA SVC REPLACEMENT PLAN COSTS CONS"/>
    <s v="12/2023"/>
    <n v="1"/>
    <n v="1273505.03"/>
    <n v="650091.5"/>
    <n v="623413.53"/>
    <x v="1"/>
    <x v="1"/>
  </r>
  <r>
    <s v="General Plant, Common"/>
    <s v="Common (E &amp; G)"/>
    <s v="Factoria Svc Cntr : GPL-VFA"/>
    <n v="7097456"/>
    <s v="C3900 CMN Str/Impv, Factoria Svc Ct"/>
    <n v="131200760"/>
    <s v="FACTORIA SVC REPLACEMENT PLAN COSTS"/>
    <s v="FACTORIA SVC REPLACEMENT PLAN COSTS CONS"/>
    <s v="12/2023"/>
    <n v="1"/>
    <n v="1527692.69"/>
    <n v="779847.75"/>
    <n v="747844.94000000006"/>
    <x v="1"/>
    <x v="1"/>
  </r>
  <r>
    <s v="General Plant, Common"/>
    <s v="Common (E &amp; G)"/>
    <s v="Factoria Svc Cntr : GPL-VFA"/>
    <n v="7097457"/>
    <s v="C3900 CMN Str/Impv, Factoria Svc Ct"/>
    <n v="131200760"/>
    <s v="FACTORIA SVC REPLACEMENT PLAN COSTS"/>
    <s v="FACTORIA SVC REPLACEMENT PLAN COSTS CONS"/>
    <s v="12/2023"/>
    <n v="1"/>
    <n v="765218.12"/>
    <n v="390624.13"/>
    <n v="374593.99"/>
    <x v="1"/>
    <x v="1"/>
  </r>
  <r>
    <s v="General Plant, Common"/>
    <s v="Common (E &amp; G)"/>
    <s v="Factoria Svc Cntr : GPL-VFA"/>
    <n v="7097458"/>
    <s v="C3900 CMN Str/Impv, Factoria Svc Ct"/>
    <n v="131200760"/>
    <s v="FACTORIA SVC REPLACEMENT PLAN COSTS"/>
    <s v="FACTORIA SVC REPLACEMENT PLAN COSTS CONS"/>
    <s v="12/2023"/>
    <n v="1"/>
    <n v="366741.60000000003"/>
    <n v="187212.14"/>
    <n v="179529.46"/>
    <x v="1"/>
    <x v="1"/>
  </r>
  <r>
    <s v="General Plant, Common"/>
    <s v="Common (E &amp; G)"/>
    <s v="Factoria Svc Cntr : GPL-VFA"/>
    <n v="7097459"/>
    <s v="C3900 CMN Str/Impv, Factoria Svc Ct"/>
    <n v="131200760"/>
    <s v="FACTORIA SVC REPLACEMENT PLAN COSTS"/>
    <s v="FACTORIA SVC REPLACEMENT PLAN COSTS CONS"/>
    <s v="12/2023"/>
    <n v="1"/>
    <n v="127975.66"/>
    <n v="65328.28"/>
    <n v="62647.380000000005"/>
    <x v="1"/>
    <x v="1"/>
  </r>
  <r>
    <s v="General Plant, Common"/>
    <s v="Common (E &amp; G)"/>
    <s v="Factoria Svc Cntr : GPL-VFA"/>
    <n v="7097460"/>
    <s v="C3900 CMN Str/Impv, Factoria Svc Ct"/>
    <n v="131200760"/>
    <s v="FACTORIA SVC REPLACEMENT PLAN COSTS"/>
    <s v="FACTORIA SVC REPLACEMENT PLAN COSTS CONS"/>
    <s v="12/2023"/>
    <n v="1"/>
    <n v="993456.24"/>
    <n v="507133.81"/>
    <n v="486322.43"/>
    <x v="1"/>
    <x v="1"/>
  </r>
  <r>
    <s v="General Plant, Common"/>
    <s v="Common (E &amp; G)"/>
    <s v="Factoria Svc Cntr : GPL-VFA"/>
    <n v="7097461"/>
    <s v="C3900 CMN Str/Impv, Factoria Svc Ct"/>
    <n v="131200760"/>
    <s v="FACTORIA SVC REPLACEMENT PLAN COSTS"/>
    <s v="FACTORIA SVC REPLACEMENT PLAN COSTS CONS"/>
    <s v="12/2023"/>
    <n v="1"/>
    <n v="334974.22000000003"/>
    <n v="170995.71"/>
    <n v="163978.51"/>
    <x v="1"/>
    <x v="1"/>
  </r>
  <r>
    <s v="General Plant, Common"/>
    <s v="Common (E &amp; G)"/>
    <s v="Factoria Svc Cntr : GPL-VFA"/>
    <n v="7097462"/>
    <s v="C3900 CMN Str/Impv, Factoria Svc Ct"/>
    <n v="131200760"/>
    <s v="FACTORIA SVC REPLACEMENT PLAN COSTS"/>
    <s v="FACTORIA SVC REPLACEMENT PLAN COSTS CONS"/>
    <s v="12/2023"/>
    <n v="1"/>
    <n v="262844.46000000002"/>
    <n v="134175.32"/>
    <n v="128669.14"/>
    <x v="1"/>
    <x v="1"/>
  </r>
  <r>
    <s v="General Plant, Common"/>
    <s v="Common (E &amp; G)"/>
    <s v="Factoria Svc Cntr : GPL-VFA"/>
    <n v="7097463"/>
    <s v="C3900 CMN Str/Impv, Factoria Svc Ct"/>
    <n v="131200760"/>
    <s v="FACTORIA SVC REPLACEMENT PLAN COSTS"/>
    <s v="FACTORIA SVC REPLACEMENT PLAN COSTS CONS"/>
    <s v="12/2023"/>
    <n v="1"/>
    <n v="10582089.16"/>
    <n v="5401883.8200000003"/>
    <n v="5180205.34"/>
    <x v="1"/>
    <x v="1"/>
  </r>
  <r>
    <s v="General Plant, Common"/>
    <s v="Common (E &amp; G)"/>
    <s v="Factoria Svc Cntr : GPL-VFA"/>
    <n v="7097466"/>
    <s v="C3900 CMN Str/Impv, Factoria Svc Ct"/>
    <n v="131200760"/>
    <s v="FACTORIA SVC REPLACEMENT PLAN COSTS"/>
    <s v="FACTORIA SVC REPLACEMENT PLAN COSTS CONS"/>
    <s v="12/2023"/>
    <n v="1"/>
    <n v="142719.17000000001"/>
    <n v="72854.460000000006"/>
    <n v="69864.710000000006"/>
    <x v="1"/>
    <x v="1"/>
  </r>
  <r>
    <s v="General Plant, Common"/>
    <s v="Common (E &amp; G)"/>
    <s v="Factoria Svc Cntr : GPL-VFA"/>
    <n v="7097467"/>
    <s v="C3900 CMN Str/Impv, Factoria Svc Ct"/>
    <n v="131200760"/>
    <s v="FACTORIA SVC REPLACEMENT PLAN COSTS"/>
    <s v="FACTORIA SVC REPLACEMENT PLAN COSTS CONS"/>
    <s v="12/2023"/>
    <n v="1"/>
    <n v="444622.94"/>
    <n v="226968.55000000002"/>
    <n v="217654.39"/>
    <x v="1"/>
    <x v="1"/>
  </r>
  <r>
    <s v="General Plant, Common"/>
    <s v="Common (E &amp; G)"/>
    <s v="Factoria Svc Cntr : GPL-VFA"/>
    <n v="7097468"/>
    <s v="C3900 CMN Str/Impv, Factoria Svc Ct"/>
    <n v="131200760"/>
    <s v="FACTORIA SVC REPLACEMENT PLAN COSTS"/>
    <s v="FACTORIA SVC REPLACEMENT PLAN COSTS CONS"/>
    <s v="12/2023"/>
    <n v="1"/>
    <n v="191938.04"/>
    <n v="97979.42"/>
    <n v="93958.62"/>
    <x v="1"/>
    <x v="1"/>
  </r>
  <r>
    <s v="General Plant, Common"/>
    <s v="Common (E &amp; G)"/>
    <s v="Factoria Svc Cntr : GPL-VFA"/>
    <n v="7303336"/>
    <s v="C3900 CMN Str/Impv, Factoria Svc Ct"/>
    <n v="131203301"/>
    <s v="RENOVATE EXISTING FACTORIA SVC"/>
    <s v="RENOVATE EXISTING FACTORIA SVC"/>
    <s v="12/2023"/>
    <n v="1"/>
    <n v="2925.54"/>
    <n v="1493.41"/>
    <n v="1432.13"/>
    <x v="1"/>
    <x v="1"/>
  </r>
  <r>
    <s v="General Plant, Common"/>
    <s v="Common (E &amp; G)"/>
    <s v="Factoria Svc Cntr : GPL-VFA"/>
    <n v="7303338"/>
    <s v="C3900 CMN Str/Impv, Factoria Svc Ct"/>
    <n v="131203301"/>
    <s v="RENOVATE EXISTING FACTORIA SVC"/>
    <s v="RENOVATE EXISTING FACTORIA SVC"/>
    <s v="12/2023"/>
    <n v="1"/>
    <n v="60070.29"/>
    <n v="30664.34"/>
    <n v="29405.95"/>
    <x v="1"/>
    <x v="1"/>
  </r>
  <r>
    <s v="General Plant, Common"/>
    <s v="Common (E &amp; G)"/>
    <s v="Factoria Svc Cntr : GPL-VFA"/>
    <n v="7303339"/>
    <s v="C3900 CMN Str/Impv, Factoria Svc Ct"/>
    <n v="131203301"/>
    <s v="RENOVATE EXISTING FACTORIA SVC"/>
    <s v="RENOVATE EXISTING FACTORIA SVC"/>
    <s v="12/2023"/>
    <n v="1"/>
    <n v="74746.53"/>
    <n v="38156.18"/>
    <n v="36590.35"/>
    <x v="1"/>
    <x v="1"/>
  </r>
  <r>
    <s v="General Plant, Common"/>
    <s v="Common (E &amp; G)"/>
    <s v="Factoria Svc Cntr : GPL-VFA"/>
    <n v="7303340"/>
    <s v="C3900 CMN Str/Impv, Factoria Svc Ct"/>
    <n v="131203301"/>
    <s v="RENOVATE EXISTING FACTORIA SVC"/>
    <s v="RENOVATE EXISTING FACTORIA SVC"/>
    <s v="12/2023"/>
    <n v="1"/>
    <n v="250594.67"/>
    <n v="127922.12000000001"/>
    <n v="122672.55"/>
    <x v="1"/>
    <x v="1"/>
  </r>
  <r>
    <s v="General Plant, Common"/>
    <s v="Common (E &amp; G)"/>
    <s v="Factoria Svc Cntr : GPL-VFA"/>
    <n v="7303341"/>
    <s v="C3900 CMN Str/Impv, Factoria Svc Ct"/>
    <n v="131203301"/>
    <s v="RENOVATE EXISTING FACTORIA SVC"/>
    <s v="RENOVATE EXISTING FACTORIA SVC"/>
    <s v="12/2023"/>
    <n v="1"/>
    <n v="15079.970000000001"/>
    <n v="7697.9400000000005"/>
    <n v="7382.03"/>
    <x v="1"/>
    <x v="1"/>
  </r>
  <r>
    <s v="General Plant, Common"/>
    <s v="Common (E &amp; G)"/>
    <s v="Factoria Svc CommSvcTrailer : GPL-VFC"/>
    <n v="99418"/>
    <s v="C3900 CMN Str/Impv, Factoria Trailr"/>
    <s v="CONV"/>
    <m/>
    <m/>
    <s v="12/2023"/>
    <n v="1"/>
    <n v="14417.43"/>
    <n v="13190.35"/>
    <n v="1227.08"/>
    <x v="1"/>
    <x v="1"/>
  </r>
  <r>
    <s v="General Plant, Common"/>
    <s v="Common (E &amp; G)"/>
    <s v="Factoria Svc CommSvcTrailer : GPL-VFC"/>
    <n v="81761"/>
    <s v="C3900 CMN Str/Impv, Factoria Trailr"/>
    <s v="CONV"/>
    <m/>
    <m/>
    <s v="12/2023"/>
    <n v="0"/>
    <n v="6820.8"/>
    <n v="3738.58"/>
    <n v="3082.2200000000003"/>
    <x v="1"/>
    <x v="1"/>
  </r>
  <r>
    <s v="General Plant, Common"/>
    <s v="Common (E &amp; G)"/>
    <s v="Fleet Service Facility : GPL-VFL"/>
    <n v="33442"/>
    <s v="C3900 CMN Str/Impv, Fleet Svc Facl"/>
    <s v="CONV"/>
    <m/>
    <m/>
    <s v="12/2023"/>
    <n v="1"/>
    <n v="1001661.91"/>
    <n v="923747.46"/>
    <n v="77914.45"/>
    <x v="1"/>
    <x v="1"/>
  </r>
  <r>
    <s v="General Plant, Common"/>
    <s v="Common (E &amp; G)"/>
    <s v="Fleet Service Facility : GPL-VFL"/>
    <n v="33443"/>
    <s v="C3900 CMN Str/Impv, Fleet Svc Facl"/>
    <s v="CONV"/>
    <m/>
    <m/>
    <s v="12/2023"/>
    <n v="1"/>
    <n v="1599747.29"/>
    <n v="1452741.01"/>
    <n v="147006.28"/>
    <x v="1"/>
    <x v="1"/>
  </r>
  <r>
    <s v="General Plant, Common"/>
    <s v="Common (E &amp; G)"/>
    <s v="Fleet Service Facility : GPL-VFL"/>
    <n v="33444"/>
    <s v="C3900 CMN Str/Impv, Fleet Svc Facl"/>
    <s v="CONV"/>
    <m/>
    <m/>
    <s v="12/2023"/>
    <n v="1"/>
    <n v="3744.9700000000003"/>
    <n v="3283.08"/>
    <n v="461.89"/>
    <x v="1"/>
    <x v="1"/>
  </r>
  <r>
    <s v="General Plant, Common"/>
    <s v="Common (E &amp; G)"/>
    <s v="Fleet Service Facility : GPL-VFL"/>
    <n v="93168"/>
    <s v="C3900 CMN Str/Impv, Fleet Svc Facl"/>
    <s v="CONV"/>
    <m/>
    <m/>
    <s v="12/2023"/>
    <n v="1"/>
    <n v="615192.72"/>
    <n v="528629.49"/>
    <n v="86563.23"/>
    <x v="1"/>
    <x v="1"/>
  </r>
  <r>
    <s v="General Plant, Common"/>
    <s v="Common (E &amp; G)"/>
    <s v="Fleet Service Facility : GPL-VFL"/>
    <n v="33445"/>
    <s v="C3900 CMN Str/Impv, Fleet Svc Facl"/>
    <s v="CONV"/>
    <m/>
    <m/>
    <s v="12/2023"/>
    <n v="1"/>
    <n v="221817.27000000002"/>
    <n v="186502.21"/>
    <n v="35315.06"/>
    <x v="1"/>
    <x v="1"/>
  </r>
  <r>
    <s v="General Plant, Common"/>
    <s v="Common (E &amp; G)"/>
    <s v="Fleet Service Facility : GPL-VFL"/>
    <n v="33446"/>
    <s v="C3900 CMN Str/Impv, Fleet Svc Facl"/>
    <s v="CONV"/>
    <m/>
    <m/>
    <s v="12/2023"/>
    <n v="1"/>
    <n v="78427.64"/>
    <n v="64402.85"/>
    <n v="14024.79"/>
    <x v="1"/>
    <x v="1"/>
  </r>
  <r>
    <s v="General Plant, Common"/>
    <s v="Common (E &amp; G)"/>
    <s v="Fleet Service Facility : GPL-VFL"/>
    <n v="33447"/>
    <s v="C3900 CMN Str/Impv, Fleet Svc Facl"/>
    <s v="CONV"/>
    <m/>
    <m/>
    <s v="12/2023"/>
    <n v="1"/>
    <n v="13477.29"/>
    <n v="10787.78"/>
    <n v="2689.51"/>
    <x v="1"/>
    <x v="1"/>
  </r>
  <r>
    <s v="General Plant, Common"/>
    <s v="Common (E &amp; G)"/>
    <s v="Fleet Service Facility : GPL-VFL"/>
    <n v="33448"/>
    <s v="C3900 CMN Str/Impv, Fleet Svc Facl"/>
    <s v="CONV"/>
    <m/>
    <m/>
    <s v="12/2023"/>
    <n v="1"/>
    <n v="5966.25"/>
    <n v="4645.3500000000004"/>
    <n v="1320.9"/>
    <x v="1"/>
    <x v="1"/>
  </r>
  <r>
    <s v="General Plant, Common"/>
    <s v="Common (E &amp; G)"/>
    <s v="Fleet Service Facility : GPL-VFL"/>
    <n v="33449"/>
    <s v="C3900 CMN Str/Impv, Fleet Svc Facl"/>
    <s v="CONV"/>
    <m/>
    <m/>
    <s v="12/2023"/>
    <n v="1"/>
    <n v="11191.08"/>
    <n v="8456.9699999999993"/>
    <n v="2734.11"/>
    <x v="1"/>
    <x v="1"/>
  </r>
  <r>
    <s v="General Plant, Common"/>
    <s v="Common (E &amp; G)"/>
    <s v="Fleet Service Facility : GPL-VFL"/>
    <n v="33450"/>
    <s v="C3900 CMN Str/Impv, Fleet Svc Facl"/>
    <s v="CONV"/>
    <m/>
    <m/>
    <s v="12/2023"/>
    <n v="1"/>
    <n v="16612.03"/>
    <n v="12154.97"/>
    <n v="4457.0600000000004"/>
    <x v="1"/>
    <x v="1"/>
  </r>
  <r>
    <s v="General Plant, Common"/>
    <s v="Common (E &amp; G)"/>
    <s v="Fleet Service Facility : GPL-VFL"/>
    <n v="56330"/>
    <s v="C3900 CMN Str/Impv, Fleet Svc Facl"/>
    <s v="CONV"/>
    <m/>
    <m/>
    <s v="12/2023"/>
    <n v="2"/>
    <n v="5576.46"/>
    <n v="3646.15"/>
    <n v="1930.31"/>
    <x v="1"/>
    <x v="1"/>
  </r>
  <r>
    <s v="General Plant, Common"/>
    <s v="Common (E &amp; G)"/>
    <s v="Fleet Service Facility : GPL-VFL"/>
    <n v="56655"/>
    <s v="C3900 CMN Str/Impv, Fleet Svc Facl"/>
    <s v="CONV"/>
    <m/>
    <m/>
    <s v="12/2023"/>
    <n v="1"/>
    <n v="152502.89000000001"/>
    <n v="99713.430000000008"/>
    <n v="52789.46"/>
    <x v="1"/>
    <x v="1"/>
  </r>
  <r>
    <s v="General Plant, Common"/>
    <s v="Common (E &amp; G)"/>
    <s v="Fleet Service Facility : GPL-VFL"/>
    <n v="56819"/>
    <s v="C3900 CMN Str/Impv, Fleet Svc Facl"/>
    <s v="CONV"/>
    <m/>
    <m/>
    <s v="12/2023"/>
    <n v="1"/>
    <n v="8570.1200000000008"/>
    <n v="5603.54"/>
    <n v="2966.58"/>
    <x v="1"/>
    <x v="1"/>
  </r>
  <r>
    <s v="General Plant, Common"/>
    <s v="Common (E &amp; G)"/>
    <s v="Fleet Service Facility : GPL-VFL"/>
    <n v="56656"/>
    <s v="C3900 CMN Str/Impv, Fleet Svc Facl"/>
    <s v="CONV"/>
    <m/>
    <m/>
    <s v="12/2023"/>
    <n v="1"/>
    <n v="14974.65"/>
    <n v="9375.81"/>
    <n v="5598.84"/>
    <x v="1"/>
    <x v="1"/>
  </r>
  <r>
    <s v="General Plant, Common"/>
    <s v="Common (E &amp; G)"/>
    <s v="Fleet Service Facility : GPL-VFL"/>
    <n v="79198"/>
    <s v="C3900 CMN Str/Impv, Fleet Svc Facl"/>
    <s v="CONV"/>
    <m/>
    <m/>
    <s v="12/2023"/>
    <n v="0"/>
    <n v="9796.3000000000011"/>
    <n v="5276.4000000000005"/>
    <n v="4519.9000000000005"/>
    <x v="1"/>
    <x v="1"/>
  </r>
  <r>
    <s v="General Plant, Common"/>
    <s v="Common (E &amp; G)"/>
    <s v="Fleet Service Facility : GPL-VFL"/>
    <n v="79868"/>
    <s v="C3900 CMN Str/Impv, Fleet Svc Facl"/>
    <s v="CONV"/>
    <m/>
    <m/>
    <s v="12/2023"/>
    <n v="1"/>
    <n v="4428.92"/>
    <n v="2385.4700000000003"/>
    <n v="2043.45"/>
    <x v="1"/>
    <x v="1"/>
  </r>
  <r>
    <s v="General Plant, Common"/>
    <s v="Common (E &amp; G)"/>
    <s v="Fleet Service Facility : GPL-VFL"/>
    <n v="82868"/>
    <s v="C3900 CMN Str/Impv, Fleet Svc Facl"/>
    <s v="CONV"/>
    <m/>
    <m/>
    <s v="12/2023"/>
    <n v="0"/>
    <n v="16012.800000000001"/>
    <n v="8139.63"/>
    <n v="7873.17"/>
    <x v="1"/>
    <x v="1"/>
  </r>
  <r>
    <s v="General Plant, Common"/>
    <s v="Common (E &amp; G)"/>
    <s v="Fleet Service Facility : GPL-VFL"/>
    <n v="83201"/>
    <s v="C3900 CMN Str/Impv, Fleet Svc Facl"/>
    <s v="CONV"/>
    <m/>
    <m/>
    <s v="12/2023"/>
    <n v="0"/>
    <n v="55.85"/>
    <n v="26.68"/>
    <n v="29.17"/>
    <x v="1"/>
    <x v="1"/>
  </r>
  <r>
    <s v="General Plant, Common"/>
    <s v="Common (E &amp; G)"/>
    <s v="Fleet Service Facility : GPL-VFL"/>
    <n v="83669"/>
    <s v="C3900 CMN Str/Impv, Fleet Svc Facl"/>
    <s v="CONV"/>
    <m/>
    <m/>
    <s v="12/2023"/>
    <n v="0"/>
    <n v="9851.2900000000009"/>
    <n v="4705.47"/>
    <n v="5145.82"/>
    <x v="1"/>
    <x v="1"/>
  </r>
  <r>
    <s v="General Plant, Common"/>
    <s v="Common (E &amp; G)"/>
    <s v="Fleet Service Facility : GPL-VFL"/>
    <n v="94001"/>
    <s v="C3900 CMN Str/Impv, Fleet Svc Facl"/>
    <s v="CONV"/>
    <m/>
    <m/>
    <s v="12/2023"/>
    <n v="0"/>
    <n v="10529.65"/>
    <n v="4703.62"/>
    <n v="5826.03"/>
    <x v="1"/>
    <x v="1"/>
  </r>
  <r>
    <s v="General Plant, Common"/>
    <s v="Common (E &amp; G)"/>
    <s v="Fleet Service Facility : GPL-VFL"/>
    <n v="105956"/>
    <s v="C3900 CMN Str/Impv, Fleet Svc Facl"/>
    <s v="CONV"/>
    <m/>
    <m/>
    <s v="12/2023"/>
    <n v="0"/>
    <n v="45736.28"/>
    <n v="20430.510000000002"/>
    <n v="25305.77"/>
    <x v="1"/>
    <x v="1"/>
  </r>
  <r>
    <s v="General Plant, Common"/>
    <s v="Common (E &amp; G)"/>
    <s v="Fleet Service Facility : GPL-VFL"/>
    <n v="87022"/>
    <s v="C3900 CMN Str/Impv, Fleet Svc Facl"/>
    <s v="CONV"/>
    <m/>
    <m/>
    <s v="12/2023"/>
    <n v="1"/>
    <n v="11607.65"/>
    <n v="5185.16"/>
    <n v="6422.49"/>
    <x v="1"/>
    <x v="1"/>
  </r>
  <r>
    <s v="General Plant, Common"/>
    <s v="Common (E &amp; G)"/>
    <s v="Fleet Service Facility : GPL-VFL"/>
    <n v="87282"/>
    <s v="C3900 CMN Str/Impv, Fleet Svc Facl"/>
    <s v="CONV"/>
    <m/>
    <m/>
    <s v="12/2023"/>
    <n v="0"/>
    <n v="4944.7"/>
    <n v="2208.81"/>
    <n v="2735.89"/>
    <x v="1"/>
    <x v="1"/>
  </r>
  <r>
    <s v="General Plant, Common"/>
    <s v="Common (E &amp; G)"/>
    <s v="Fleet Service Facility : GPL-VFL"/>
    <n v="9118342"/>
    <s v="C3900 CMN Str/Impv, Fleet Svc Facl"/>
    <n v="131203080"/>
    <s v="EMERGENCY GENERATOR - KENT FLEET"/>
    <s v="EMERGENCY GENERATOR - KENT FLEET"/>
    <s v="12/2023"/>
    <n v="0"/>
    <n v="302763.37"/>
    <n v="116390.56"/>
    <n v="186372.81"/>
    <x v="1"/>
    <x v="1"/>
  </r>
  <r>
    <s v="General Plant, Common"/>
    <s v="Common (E &amp; G)"/>
    <s v="Fleet Service Facility : GPL-VFL"/>
    <n v="9053379"/>
    <s v="C3900 CMN Str/Impv, Fleet Svc Facl"/>
    <n v="131204300"/>
    <s v="KENT FLEET OFFICE HEATER"/>
    <s v="KENT FLEET OFFICE HEATER"/>
    <s v="12/2023"/>
    <n v="4"/>
    <n v="74372.89"/>
    <n v="26281.010000000002"/>
    <n v="48091.88"/>
    <x v="1"/>
    <x v="1"/>
  </r>
  <r>
    <s v="General Plant, Common"/>
    <s v="Common (E &amp; G)"/>
    <s v="Fleet Service Facility : GPL-VFL"/>
    <n v="23758357"/>
    <s v="C3900 CMN Str/Impv, Fleet Svc Facl"/>
    <n v="143000760"/>
    <s v="FLEET SERVICE CENTER IMPROVEMENTS -"/>
    <s v="FLEET SERVICE CENTER IMPROVEMENTS - ROOF"/>
    <s v="12/2023"/>
    <n v="1"/>
    <n v="363230.84"/>
    <n v="73998.790000000008"/>
    <n v="289232.05"/>
    <x v="1"/>
    <x v="1"/>
  </r>
  <r>
    <s v="General Plant, Common"/>
    <s v="Common (E &amp; G)"/>
    <s v="Fleet Service Facility : GPL-VFL"/>
    <n v="24882957"/>
    <s v="C3900 CMN Str/Impv, Fleet Svc Facl"/>
    <n v="143002302"/>
    <s v="KENT FLEET: REPLACE UNSAFE RADIANT "/>
    <s v="KENT FLEET: REPLACE UNSAFE RADIANT HEATI"/>
    <s v="12/2023"/>
    <n v="1"/>
    <n v="38120.239999999998"/>
    <n v="6699.66"/>
    <n v="31420.58"/>
    <x v="1"/>
    <x v="1"/>
  </r>
  <r>
    <s v="General Plant, Common"/>
    <s v="Common (E &amp; G)"/>
    <s v="Fleet Service Facility : GPL-VFL"/>
    <n v="30850584"/>
    <s v="C3900 CMN Str/Impv, Fleet Svc Facl"/>
    <n v="143002549"/>
    <s v="KENT FLEETS HALON FIRE SUPPRESSION "/>
    <s v="KENT FLEETS HALON FIRE SUPPRESSION SYSTE"/>
    <s v="12/2023"/>
    <n v="1"/>
    <n v="91384.11"/>
    <n v="13587.02"/>
    <n v="77797.09"/>
    <x v="1"/>
    <x v="1"/>
  </r>
  <r>
    <s v="General Plant, Common"/>
    <s v="Common (E &amp; G)"/>
    <s v="Howell Building, Tacoma : GPL-HWL"/>
    <n v="33035"/>
    <s v="C3900 CMN Str/Impv, Howell Bldg"/>
    <s v="CONV"/>
    <m/>
    <m/>
    <s v="12/2023"/>
    <n v="1"/>
    <n v="803327"/>
    <n v="665808.87"/>
    <n v="137518.13"/>
    <x v="1"/>
    <x v="0"/>
  </r>
  <r>
    <s v="General Plant, Common"/>
    <s v="Common (E &amp; G)"/>
    <s v="Howell Building, Tacoma : GPL-HWL"/>
    <n v="4924471"/>
    <s v="C3900 CMN Str/Impv, Howell Bldg"/>
    <n v="131202480"/>
    <s v="CARPET - TACOMA ANNEX OFFICE"/>
    <s v="CARPET - TACOMA ANNEX OFFICE"/>
    <s v="12/2023"/>
    <n v="1"/>
    <n v="39002.629999999997"/>
    <n v="16418.37"/>
    <n v="22584.260000000002"/>
    <x v="1"/>
    <x v="0"/>
  </r>
  <r>
    <s v="General Plant, Common"/>
    <s v="Common (E &amp; G)"/>
    <s v="Howell Building, Tacoma : GPL-HWL"/>
    <n v="9459531"/>
    <s v="C3900 CMN Str/Impv, Howell Bldg"/>
    <n v="131204603"/>
    <s v="SECURITY SYSTEM TACOMA ANNEX"/>
    <s v="SECURITY SYSTEM TACOMA ANNEX"/>
    <s v="12/2023"/>
    <n v="0"/>
    <n v="69827.16"/>
    <n v="22780.16"/>
    <n v="47047"/>
    <x v="1"/>
    <x v="2"/>
  </r>
  <r>
    <s v="General Plant, Common"/>
    <s v="Common (E &amp; G)"/>
    <s v="Howell Building, Tacoma : GPL-HWL"/>
    <n v="24952000"/>
    <s v="C3900 CMN Str/Impv, Howell Bldg"/>
    <n v="143002256"/>
    <s v="TACOMA ANNEX HVAC REPLACEMENT"/>
    <s v="TACOMA ANNEX HVAC REPLACEMENT"/>
    <s v="12/2023"/>
    <n v="1"/>
    <n v="55231.14"/>
    <n v="9780.24"/>
    <n v="45450.9"/>
    <x v="1"/>
    <x v="0"/>
  </r>
  <r>
    <s v="General Plant, Common"/>
    <s v="Common (E &amp; G)"/>
    <s v="Kittitas Svc Cntr : GPL-VKT"/>
    <n v="33385"/>
    <s v="C3900 CMN Str/Impv, Kittitas Svc Ct"/>
    <s v="CONV"/>
    <m/>
    <m/>
    <s v="12/2023"/>
    <n v="1"/>
    <n v="1447952.1"/>
    <n v="1379199.6400000001"/>
    <n v="68752.460000000006"/>
    <x v="1"/>
    <x v="1"/>
  </r>
  <r>
    <s v="General Plant, Common"/>
    <s v="Common (E &amp; G)"/>
    <s v="Kittitas Svc Cntr : GPL-VKT"/>
    <n v="33386"/>
    <s v="C3900 CMN Str/Impv, Kittitas Svc Ct"/>
    <s v="CONV"/>
    <m/>
    <m/>
    <s v="12/2023"/>
    <n v="1"/>
    <n v="1156.21"/>
    <n v="1087.8399999999999"/>
    <n v="68.37"/>
    <x v="1"/>
    <x v="1"/>
  </r>
  <r>
    <s v="General Plant, Common"/>
    <s v="Common (E &amp; G)"/>
    <s v="Kittitas Svc Cntr : GPL-VKT"/>
    <n v="33387"/>
    <s v="C3900 CMN Str/Impv, Kittitas Svc Ct"/>
    <s v="CONV"/>
    <m/>
    <m/>
    <s v="12/2023"/>
    <n v="1"/>
    <n v="5981.97"/>
    <n v="5552.35"/>
    <n v="429.62"/>
    <x v="1"/>
    <x v="1"/>
  </r>
  <r>
    <s v="General Plant, Common"/>
    <s v="Common (E &amp; G)"/>
    <s v="Kittitas Svc Cntr : GPL-VKT"/>
    <n v="99400"/>
    <s v="C3900 CMN Str/Impv, Kittitas Svc Ct"/>
    <s v="CONV"/>
    <m/>
    <m/>
    <s v="12/2023"/>
    <n v="1"/>
    <n v="32574.71"/>
    <n v="29300.600000000002"/>
    <n v="3274.11"/>
    <x v="1"/>
    <x v="1"/>
  </r>
  <r>
    <s v="General Plant, Common"/>
    <s v="Common (E &amp; G)"/>
    <s v="Kittitas Svc Cntr : GPL-VKT"/>
    <n v="33388"/>
    <s v="C3900 CMN Str/Impv, Kittitas Svc Ct"/>
    <s v="CONV"/>
    <m/>
    <m/>
    <s v="12/2023"/>
    <n v="1"/>
    <n v="26012.100000000002"/>
    <n v="22979.15"/>
    <n v="3032.9500000000003"/>
    <x v="1"/>
    <x v="1"/>
  </r>
  <r>
    <s v="General Plant, Common"/>
    <s v="Common (E &amp; G)"/>
    <s v="Kittitas Svc Cntr : GPL-VKT"/>
    <n v="33389"/>
    <s v="C3900 CMN Str/Impv, Kittitas Svc Ct"/>
    <s v="CONV"/>
    <m/>
    <m/>
    <s v="12/2023"/>
    <n v="1"/>
    <n v="55575.360000000001"/>
    <n v="48133.75"/>
    <n v="7441.6100000000006"/>
    <x v="1"/>
    <x v="1"/>
  </r>
  <r>
    <s v="General Plant, Common"/>
    <s v="Common (E &amp; G)"/>
    <s v="Kittitas Svc Cntr : GPL-VKT"/>
    <n v="33390"/>
    <s v="C3900 CMN Str/Impv, Kittitas Svc Ct"/>
    <s v="CONV"/>
    <m/>
    <m/>
    <s v="12/2023"/>
    <n v="1"/>
    <n v="1423.89"/>
    <n v="1178.6400000000001"/>
    <n v="245.25"/>
    <x v="1"/>
    <x v="1"/>
  </r>
  <r>
    <s v="General Plant, Common"/>
    <s v="Common (E &amp; G)"/>
    <s v="Kittitas Svc Cntr : GPL-VKT"/>
    <n v="56332"/>
    <s v="C3900 CMN Str/Impv, Kittitas Svc Ct"/>
    <s v="CONV"/>
    <m/>
    <m/>
    <s v="12/2023"/>
    <n v="1"/>
    <n v="92193.89"/>
    <n v="65445.3"/>
    <n v="26748.59"/>
    <x v="1"/>
    <x v="1"/>
  </r>
  <r>
    <s v="General Plant, Common"/>
    <s v="Common (E &amp; G)"/>
    <s v="Kittitas Svc Cntr : GPL-VKT"/>
    <n v="56333"/>
    <s v="C3900 CMN Str/Impv, Kittitas Svc Ct"/>
    <s v="CONV"/>
    <m/>
    <m/>
    <s v="12/2023"/>
    <n v="1"/>
    <n v="45366.8"/>
    <n v="30970.510000000002"/>
    <n v="14396.29"/>
    <x v="1"/>
    <x v="1"/>
  </r>
  <r>
    <s v="General Plant, Common"/>
    <s v="Common (E &amp; G)"/>
    <s v="Kittitas Svc Cntr : GPL-VKT"/>
    <n v="56334"/>
    <s v="C3900 CMN Str/Impv, Kittitas Svc Ct"/>
    <s v="CONV"/>
    <m/>
    <m/>
    <s v="12/2023"/>
    <n v="2"/>
    <n v="31807.33"/>
    <n v="21713.88"/>
    <n v="10093.450000000001"/>
    <x v="1"/>
    <x v="1"/>
  </r>
  <r>
    <s v="General Plant, Common"/>
    <s v="Common (E &amp; G)"/>
    <s v="Kittitas Svc Cntr : GPL-VKT"/>
    <n v="56495"/>
    <s v="C3900 CMN Str/Impv, Kittitas Svc Ct"/>
    <s v="CONV"/>
    <m/>
    <m/>
    <s v="12/2023"/>
    <n v="1"/>
    <n v="10453.219999999999"/>
    <n v="7136.09"/>
    <n v="3317.13"/>
    <x v="1"/>
    <x v="1"/>
  </r>
  <r>
    <s v="General Plant, Common"/>
    <s v="Common (E &amp; G)"/>
    <s v="Kittitas Svc Cntr : GPL-VKT"/>
    <n v="57372"/>
    <s v="C3900 CMN Str/Impv, Kittitas Svc Ct"/>
    <s v="CONV"/>
    <m/>
    <m/>
    <s v="12/2023"/>
    <n v="1"/>
    <n v="87.210000000000008"/>
    <n v="57.07"/>
    <n v="30.14"/>
    <x v="1"/>
    <x v="1"/>
  </r>
  <r>
    <s v="General Plant, Common"/>
    <s v="Common (E &amp; G)"/>
    <s v="Kittitas Svc Cntr : GPL-VKT"/>
    <n v="57379"/>
    <s v="C3900 CMN Str/Impv, Kittitas Svc Ct"/>
    <s v="CONV"/>
    <m/>
    <m/>
    <s v="12/2023"/>
    <n v="1"/>
    <n v="1601.77"/>
    <n v="1048.1600000000001"/>
    <n v="553.61"/>
    <x v="1"/>
    <x v="1"/>
  </r>
  <r>
    <s v="General Plant, Common"/>
    <s v="Common (E &amp; G)"/>
    <s v="Kittitas Svc Cntr : GPL-VKT"/>
    <n v="58221"/>
    <s v="C3900 CMN Str/Impv, Kittitas Svc Ct"/>
    <s v="CONV"/>
    <m/>
    <m/>
    <s v="12/2023"/>
    <n v="1"/>
    <n v="21653"/>
    <n v="14169.2"/>
    <n v="7483.8"/>
    <x v="1"/>
    <x v="1"/>
  </r>
  <r>
    <s v="General Plant, Common"/>
    <s v="Common (E &amp; G)"/>
    <s v="Kittitas Svc Cntr : GPL-VKT"/>
    <n v="79924"/>
    <s v="C3900 CMN Str/Impv, Kittitas Svc Ct"/>
    <s v="CONV"/>
    <m/>
    <m/>
    <s v="12/2023"/>
    <n v="1"/>
    <n v="19511.810000000001"/>
    <n v="11000.91"/>
    <n v="8510.9"/>
    <x v="1"/>
    <x v="1"/>
  </r>
  <r>
    <s v="General Plant, Common"/>
    <s v="Common (E &amp; G)"/>
    <s v="Kittitas Svc Cntr : GPL-VKT"/>
    <n v="79925"/>
    <s v="C3900 CMN Str/Impv, Kittitas Svc Ct"/>
    <s v="CONV"/>
    <m/>
    <m/>
    <s v="12/2023"/>
    <n v="1"/>
    <n v="34398.42"/>
    <n v="19394.100000000002"/>
    <n v="15004.32"/>
    <x v="1"/>
    <x v="1"/>
  </r>
  <r>
    <s v="General Plant, Common"/>
    <s v="Common (E &amp; G)"/>
    <s v="Kittitas Svc Cntr : GPL-VKT"/>
    <n v="80832"/>
    <s v="C3900 CMN Str/Impv, Kittitas Svc Ct"/>
    <s v="CONV"/>
    <m/>
    <m/>
    <s v="12/2023"/>
    <n v="0"/>
    <n v="14.98"/>
    <n v="7.97"/>
    <n v="7.01"/>
    <x v="1"/>
    <x v="1"/>
  </r>
  <r>
    <s v="General Plant, Common"/>
    <s v="Common (E &amp; G)"/>
    <s v="Kittitas Svc Cntr : GPL-VKT"/>
    <n v="80833"/>
    <s v="C3900 CMN Str/Impv, Kittitas Svc Ct"/>
    <s v="CONV"/>
    <m/>
    <m/>
    <s v="12/2023"/>
    <n v="0"/>
    <n v="78.05"/>
    <n v="41.53"/>
    <n v="36.520000000000003"/>
    <x v="1"/>
    <x v="1"/>
  </r>
  <r>
    <s v="General Plant, Common"/>
    <s v="Common (E &amp; G)"/>
    <s v="Kittitas Svc Cntr : GPL-VKT"/>
    <n v="7303329"/>
    <s v="C3900 CMN Str/Impv, Kittitas Svc Ct"/>
    <n v="131203421"/>
    <s v="KITTITAS SVC SECURITY SYSTEM"/>
    <s v="KITTITAS SVC SECURITY SYSTEM"/>
    <s v="12/2023"/>
    <n v="0"/>
    <n v="238207.43"/>
    <n v="95547.87"/>
    <n v="142659.56"/>
    <x v="1"/>
    <x v="1"/>
  </r>
  <r>
    <s v="General Plant, Common"/>
    <s v="Common (E &amp; G)"/>
    <s v="Kittitas Svc Cntr : GPL-VKT"/>
    <n v="11088704"/>
    <s v="C3900 CMN Str/Impv, Kittitas Svc Ct"/>
    <n v="143000204"/>
    <s v="KITTITAS SERVICE CENTER - YARD IMPR"/>
    <s v="KITTITAS SERVICE CENTER - YARD IMPROVEME"/>
    <s v="12/2023"/>
    <n v="1"/>
    <n v="585132.75"/>
    <n v="196227.7"/>
    <n v="388905.05"/>
    <x v="1"/>
    <x v="1"/>
  </r>
  <r>
    <s v="General Plant, Common"/>
    <s v="Common (E &amp; G)"/>
    <s v="Kittitas Svc Cntr : GPL-VKT"/>
    <n v="19863572"/>
    <s v="C3900 CMN Str/Impv, Kittitas Svc Ct"/>
    <n v="143001943"/>
    <s v="KITTITAS SERVICE CENTER HVAC REPLAC"/>
    <s v="KITTITAS SERVICE CENTER HVAC REPLACEMENT"/>
    <s v="12/2023"/>
    <n v="1"/>
    <n v="201921.12"/>
    <n v="48459.51"/>
    <n v="153461.61000000002"/>
    <x v="1"/>
    <x v="1"/>
  </r>
  <r>
    <s v="General Plant, Common"/>
    <s v="Common (E &amp; G)"/>
    <s v="Kittitas Svc Cntr : GPL-VKT"/>
    <n v="33566421"/>
    <s v="C3900 CMN Str/Impv, Kittitas Svc Ct"/>
    <n v="143003703"/>
    <s v="KITTITAS PLUMBING REPLACEMENT- STR"/>
    <s v="KITTITAS PLUMBING REPLACEMENT- STR"/>
    <s v="12/2023"/>
    <n v="1"/>
    <n v="114731.13"/>
    <n v="17446.580000000002"/>
    <n v="97284.55"/>
    <x v="1"/>
    <x v="1"/>
  </r>
  <r>
    <s v="General Plant, Common"/>
    <s v="Common (E &amp; G)"/>
    <s v="Olympia Bus Ofc/Engr Building : GPL-OYM"/>
    <n v="99407"/>
    <s v="C3900 CMN Str/Impv, Olympia Bus/Eng"/>
    <s v="CONV"/>
    <m/>
    <m/>
    <s v="12/2023"/>
    <n v="1"/>
    <n v="754.44"/>
    <n v="772.03"/>
    <n v="-17.59"/>
    <x v="1"/>
    <x v="0"/>
  </r>
  <r>
    <s v="General Plant, Common"/>
    <s v="Common (E &amp; G)"/>
    <s v="Olympia Bus Ofc/Engr Building : GPL-OYM"/>
    <n v="33452"/>
    <s v="C3900 CMN Str/Impv, Olympia Bus/Eng"/>
    <s v="CONV"/>
    <m/>
    <m/>
    <s v="12/2023"/>
    <n v="1"/>
    <n v="356.08"/>
    <n v="359.48"/>
    <n v="-3.4"/>
    <x v="1"/>
    <x v="0"/>
  </r>
  <r>
    <s v="General Plant, Common"/>
    <s v="Common (E &amp; G)"/>
    <s v="Olympia Bus Ofc/Engr Building : GPL-OYM"/>
    <n v="33453"/>
    <s v="C3900 CMN Str/Impv, Olympia Bus/Eng"/>
    <s v="CONV"/>
    <m/>
    <m/>
    <s v="12/2023"/>
    <n v="1"/>
    <n v="3117605.98"/>
    <n v="2584486.44"/>
    <n v="533119.54"/>
    <x v="1"/>
    <x v="0"/>
  </r>
  <r>
    <s v="General Plant, Common"/>
    <s v="Common (E &amp; G)"/>
    <s v="Olympia Bus Ofc/Engr Building : GPL-OYM"/>
    <n v="83939"/>
    <s v="C3900 CMN Str/Impv, Olympia Bus/Eng"/>
    <s v="CONV"/>
    <m/>
    <m/>
    <s v="12/2023"/>
    <n v="0"/>
    <n v="66294.55"/>
    <n v="33201.199999999997"/>
    <n v="33093.35"/>
    <x v="1"/>
    <x v="0"/>
  </r>
  <r>
    <s v="General Plant, Common"/>
    <s v="Common (E &amp; G)"/>
    <s v="Olympia Bus Ofc/Engr Building : GPL-OYM"/>
    <n v="86270"/>
    <s v="C3900 CMN Str/Impv, Olympia Bus/Eng"/>
    <s v="CONV"/>
    <m/>
    <m/>
    <s v="12/2023"/>
    <n v="1"/>
    <n v="50025.700000000004"/>
    <n v="23414.600000000002"/>
    <n v="26611.100000000002"/>
    <x v="1"/>
    <x v="0"/>
  </r>
  <r>
    <s v="General Plant, Common"/>
    <s v="Common (E &amp; G)"/>
    <s v="Olympia Bus Ofc/Engr Building : GPL-OYM"/>
    <n v="7303344"/>
    <s v="C3900 CMN Str/Impv, Olympia Bus/Eng"/>
    <n v="131203702"/>
    <s v="NEW CCTV SYSTEM AT OLYMPIA OFFICE"/>
    <s v="NEW CCTV SYSTEM AT OLYMPIA OFFICE"/>
    <s v="12/2023"/>
    <n v="0"/>
    <n v="15189.220000000001"/>
    <n v="6104.03"/>
    <n v="9085.19"/>
    <x v="1"/>
    <x v="2"/>
  </r>
  <r>
    <s v="General Plant, Common"/>
    <s v="Common (E &amp; G)"/>
    <s v="Olympia Bus Ofc/Engr Building : GPL-OYM"/>
    <n v="9589317"/>
    <s v="C3900 CMN Str/Impv, Olympia Bus/Eng"/>
    <n v="131204620"/>
    <s v="SECURITY SYSTEM OLYMPIA ENGIN. BLDG"/>
    <s v="SECURITY SYSTEM OLYMPIA ENGIN. BLDG"/>
    <s v="12/2023"/>
    <n v="1"/>
    <n v="208430.37"/>
    <n v="70019.210000000006"/>
    <n v="138411.16"/>
    <x v="1"/>
    <x v="2"/>
  </r>
  <r>
    <s v="General Plant, Common"/>
    <s v="Common (E &amp; G)"/>
    <s v="Olympia Service Center : GPL-VOL"/>
    <n v="33476"/>
    <s v="C3900 CMN Str/Impv, Olympia Svc Ctr"/>
    <s v="CONV"/>
    <m/>
    <m/>
    <s v="12/2023"/>
    <n v="1"/>
    <n v="2734.06"/>
    <n v="2870.17"/>
    <n v="-136.11000000000001"/>
    <x v="1"/>
    <x v="1"/>
  </r>
  <r>
    <s v="General Plant, Common"/>
    <s v="Common (E &amp; G)"/>
    <s v="Olympia Service Center : GPL-VOL"/>
    <n v="33477"/>
    <s v="C3900 CMN Str/Impv, Olympia Svc Ctr"/>
    <s v="CONV"/>
    <m/>
    <m/>
    <s v="12/2023"/>
    <n v="1"/>
    <n v="15455.51"/>
    <n v="16208.16"/>
    <n v="-752.65"/>
    <x v="1"/>
    <x v="1"/>
  </r>
  <r>
    <s v="General Plant, Common"/>
    <s v="Common (E &amp; G)"/>
    <s v="Olympia Service Center : GPL-VOL"/>
    <n v="33478"/>
    <s v="C3900 CMN Str/Impv, Olympia Svc Ctr"/>
    <s v="CONV"/>
    <m/>
    <m/>
    <s v="12/2023"/>
    <n v="1"/>
    <n v="391224.83"/>
    <n v="410184.58"/>
    <n v="-18959.75"/>
    <x v="1"/>
    <x v="1"/>
  </r>
  <r>
    <s v="General Plant, Common"/>
    <s v="Common (E &amp; G)"/>
    <s v="Olympia Service Center : GPL-VOL"/>
    <n v="33522"/>
    <s v="C3900 CMN Str/Impv, Olympia Svc Ctr"/>
    <s v="CONV"/>
    <m/>
    <m/>
    <s v="12/2023"/>
    <n v="1"/>
    <n v="3491.92"/>
    <n v="3660.1800000000003"/>
    <n v="-168.26"/>
    <x v="1"/>
    <x v="1"/>
  </r>
  <r>
    <s v="General Plant, Common"/>
    <s v="Common (E &amp; G)"/>
    <s v="Olympia Service Center : GPL-VOL"/>
    <n v="33523"/>
    <s v="C3900 CMN Str/Impv, Olympia Svc Ctr"/>
    <s v="CONV"/>
    <m/>
    <m/>
    <s v="12/2023"/>
    <n v="1"/>
    <n v="613.89"/>
    <n v="643.27"/>
    <n v="-29.38"/>
    <x v="1"/>
    <x v="1"/>
  </r>
  <r>
    <s v="General Plant, Common"/>
    <s v="Common (E &amp; G)"/>
    <s v="Olympia Service Center : GPL-VOL"/>
    <n v="33524"/>
    <s v="C3900 CMN Str/Impv, Olympia Svc Ctr"/>
    <s v="CONV"/>
    <m/>
    <m/>
    <s v="12/2023"/>
    <n v="1"/>
    <n v="559.07000000000005"/>
    <n v="585.61"/>
    <n v="-26.54"/>
    <x v="1"/>
    <x v="1"/>
  </r>
  <r>
    <s v="General Plant, Common"/>
    <s v="Common (E &amp; G)"/>
    <s v="Olympia Service Center : GPL-VOL"/>
    <n v="33525"/>
    <s v="C3900 CMN Str/Impv, Olympia Svc Ctr"/>
    <s v="CONV"/>
    <m/>
    <m/>
    <s v="12/2023"/>
    <n v="1"/>
    <n v="2705.58"/>
    <n v="2832.83"/>
    <n v="-127.25"/>
    <x v="1"/>
    <x v="1"/>
  </r>
  <r>
    <s v="General Plant, Common"/>
    <s v="Common (E &amp; G)"/>
    <s v="Olympia Service Center : GPL-VOL"/>
    <n v="33526"/>
    <s v="C3900 CMN Str/Impv, Olympia Svc Ctr"/>
    <s v="CONV"/>
    <m/>
    <m/>
    <s v="12/2023"/>
    <n v="1"/>
    <n v="17144.990000000002"/>
    <n v="17942.350000000002"/>
    <n v="-797.36"/>
    <x v="1"/>
    <x v="1"/>
  </r>
  <r>
    <s v="General Plant, Common"/>
    <s v="Common (E &amp; G)"/>
    <s v="Olympia Service Center : GPL-VOL"/>
    <n v="33527"/>
    <s v="C3900 CMN Str/Impv, Olympia Svc Ctr"/>
    <s v="CONV"/>
    <m/>
    <m/>
    <s v="12/2023"/>
    <n v="1"/>
    <n v="177.72"/>
    <n v="185.88"/>
    <n v="-8.16"/>
    <x v="1"/>
    <x v="1"/>
  </r>
  <r>
    <s v="General Plant, Common"/>
    <s v="Common (E &amp; G)"/>
    <s v="Olympia Service Center : GPL-VOL"/>
    <n v="33528"/>
    <s v="C3900 CMN Str/Impv, Olympia Svc Ctr"/>
    <s v="CONV"/>
    <m/>
    <m/>
    <s v="12/2023"/>
    <n v="1"/>
    <n v="4853.3100000000004"/>
    <n v="5068.4800000000005"/>
    <n v="-215.17000000000002"/>
    <x v="1"/>
    <x v="1"/>
  </r>
  <r>
    <s v="General Plant, Common"/>
    <s v="Common (E &amp; G)"/>
    <s v="Olympia Service Center : GPL-VOL"/>
    <n v="33529"/>
    <s v="C3900 CMN Str/Impv, Olympia Svc Ctr"/>
    <s v="CONV"/>
    <m/>
    <m/>
    <s v="12/2023"/>
    <n v="1"/>
    <n v="2383.9"/>
    <n v="2487.2600000000002"/>
    <n v="-103.36"/>
    <x v="1"/>
    <x v="1"/>
  </r>
  <r>
    <s v="General Plant, Common"/>
    <s v="Common (E &amp; G)"/>
    <s v="Olympia Service Center : GPL-VOL"/>
    <n v="33530"/>
    <s v="C3900 CMN Str/Impv, Olympia Svc Ctr"/>
    <s v="CONV"/>
    <m/>
    <m/>
    <s v="12/2023"/>
    <n v="1"/>
    <n v="9078.76"/>
    <n v="9462.07"/>
    <n v="-383.31"/>
    <x v="1"/>
    <x v="1"/>
  </r>
  <r>
    <s v="General Plant, Common"/>
    <s v="Common (E &amp; G)"/>
    <s v="Olympia Service Center : GPL-VOL"/>
    <n v="33531"/>
    <s v="C3900 CMN Str/Impv, Olympia Svc Ctr"/>
    <s v="CONV"/>
    <m/>
    <m/>
    <s v="12/2023"/>
    <n v="1"/>
    <n v="5067.6900000000005"/>
    <n v="5274.97"/>
    <n v="-207.28"/>
    <x v="1"/>
    <x v="1"/>
  </r>
  <r>
    <s v="General Plant, Common"/>
    <s v="Common (E &amp; G)"/>
    <s v="Olympia Service Center : GPL-VOL"/>
    <n v="33532"/>
    <s v="C3900 CMN Str/Impv, Olympia Svc Ctr"/>
    <s v="CONV"/>
    <m/>
    <m/>
    <s v="12/2023"/>
    <n v="1"/>
    <n v="176.41"/>
    <n v="183.36"/>
    <n v="-6.95"/>
    <x v="1"/>
    <x v="1"/>
  </r>
  <r>
    <s v="General Plant, Common"/>
    <s v="Common (E &amp; G)"/>
    <s v="Olympia Service Center : GPL-VOL"/>
    <n v="99416"/>
    <s v="C3900 CMN Str/Impv, Olympia Svc Ctr"/>
    <s v="CONV"/>
    <m/>
    <m/>
    <s v="12/2023"/>
    <n v="1"/>
    <n v="141.47999999999999"/>
    <n v="146.51"/>
    <n v="-5.03"/>
    <x v="1"/>
    <x v="1"/>
  </r>
  <r>
    <s v="General Plant, Common"/>
    <s v="Common (E &amp; G)"/>
    <s v="Olympia Service Center : GPL-VOL"/>
    <n v="33533"/>
    <s v="C3900 CMN Str/Impv, Olympia Svc Ctr"/>
    <s v="CONV"/>
    <m/>
    <m/>
    <s v="12/2023"/>
    <n v="1"/>
    <n v="2706.38"/>
    <n v="2796.35"/>
    <n v="-89.97"/>
    <x v="1"/>
    <x v="1"/>
  </r>
  <r>
    <s v="General Plant, Common"/>
    <s v="Common (E &amp; G)"/>
    <s v="Olympia Service Center : GPL-VOL"/>
    <n v="33534"/>
    <s v="C3900 CMN Str/Impv, Olympia Svc Ctr"/>
    <s v="CONV"/>
    <m/>
    <m/>
    <s v="12/2023"/>
    <n v="1"/>
    <n v="49058.78"/>
    <n v="50558.22"/>
    <n v="-1499.44"/>
    <x v="1"/>
    <x v="1"/>
  </r>
  <r>
    <s v="General Plant, Common"/>
    <s v="Common (E &amp; G)"/>
    <s v="Olympia Service Center : GPL-VOL"/>
    <n v="33535"/>
    <s v="C3900 CMN Str/Impv, Olympia Svc Ctr"/>
    <s v="CONV"/>
    <m/>
    <m/>
    <s v="12/2023"/>
    <n v="1"/>
    <n v="138.14000000000001"/>
    <n v="141.94"/>
    <n v="-3.8000000000000003"/>
    <x v="1"/>
    <x v="1"/>
  </r>
  <r>
    <s v="General Plant, Common"/>
    <s v="Common (E &amp; G)"/>
    <s v="Olympia Service Center : GPL-VOL"/>
    <n v="33536"/>
    <s v="C3900 CMN Str/Impv, Olympia Svc Ctr"/>
    <s v="CONV"/>
    <m/>
    <m/>
    <s v="12/2023"/>
    <n v="1"/>
    <n v="18340.439999999999"/>
    <n v="18780.689999999999"/>
    <n v="-440.25"/>
    <x v="1"/>
    <x v="1"/>
  </r>
  <r>
    <s v="General Plant, Common"/>
    <s v="Common (E &amp; G)"/>
    <s v="Olympia Service Center : GPL-VOL"/>
    <n v="33537"/>
    <s v="C3900 CMN Str/Impv, Olympia Svc Ctr"/>
    <s v="CONV"/>
    <m/>
    <m/>
    <s v="12/2023"/>
    <n v="1"/>
    <n v="47101.56"/>
    <n v="48044.68"/>
    <n v="-943.12"/>
    <x v="1"/>
    <x v="1"/>
  </r>
  <r>
    <s v="General Plant, Common"/>
    <s v="Common (E &amp; G)"/>
    <s v="Olympia Service Center : GPL-VOL"/>
    <n v="33538"/>
    <s v="C3900 CMN Str/Impv, Olympia Svc Ctr"/>
    <s v="CONV"/>
    <m/>
    <m/>
    <s v="12/2023"/>
    <n v="1"/>
    <n v="6839.77"/>
    <n v="6945.8"/>
    <n v="-106.03"/>
    <x v="1"/>
    <x v="1"/>
  </r>
  <r>
    <s v="General Plant, Common"/>
    <s v="Common (E &amp; G)"/>
    <s v="Olympia Service Center : GPL-VOL"/>
    <n v="33539"/>
    <s v="C3900 CMN Str/Impv, Olympia Svc Ctr"/>
    <s v="CONV"/>
    <m/>
    <m/>
    <s v="12/2023"/>
    <n v="1"/>
    <n v="35159.120000000003"/>
    <n v="35524.11"/>
    <n v="-364.99"/>
    <x v="1"/>
    <x v="1"/>
  </r>
  <r>
    <s v="General Plant, Common"/>
    <s v="Common (E &amp; G)"/>
    <s v="Olympia Service Center : GPL-VOL"/>
    <n v="33540"/>
    <s v="C3900 CMN Str/Impv, Olympia Svc Ctr"/>
    <s v="CONV"/>
    <m/>
    <m/>
    <s v="12/2023"/>
    <n v="1"/>
    <n v="12874.82"/>
    <n v="12934"/>
    <n v="-59.18"/>
    <x v="1"/>
    <x v="1"/>
  </r>
  <r>
    <s v="General Plant, Common"/>
    <s v="Common (E &amp; G)"/>
    <s v="Olympia Service Center : GPL-VOL"/>
    <n v="33541"/>
    <s v="C3900 CMN Str/Impv, Olympia Svc Ctr"/>
    <s v="CONV"/>
    <m/>
    <m/>
    <s v="12/2023"/>
    <n v="1"/>
    <n v="31474.25"/>
    <n v="31413.8"/>
    <n v="60.45"/>
    <x v="1"/>
    <x v="1"/>
  </r>
  <r>
    <s v="General Plant, Common"/>
    <s v="Common (E &amp; G)"/>
    <s v="Olympia Service Center : GPL-VOL"/>
    <n v="99417"/>
    <s v="C3900 CMN Str/Impv, Olympia Svc Ctr"/>
    <s v="CONV"/>
    <m/>
    <m/>
    <s v="12/2023"/>
    <n v="1"/>
    <n v="360145.74"/>
    <n v="353860.75"/>
    <n v="6284.99"/>
    <x v="1"/>
    <x v="1"/>
  </r>
  <r>
    <s v="General Plant, Common"/>
    <s v="Common (E &amp; G)"/>
    <s v="Olympia Service Center : GPL-VOL"/>
    <n v="33542"/>
    <s v="C3900 CMN Str/Impv, Olympia Svc Ctr"/>
    <s v="CONV"/>
    <m/>
    <m/>
    <s v="12/2023"/>
    <n v="1"/>
    <n v="77502.83"/>
    <n v="75439.400000000009"/>
    <n v="2063.4299999999998"/>
    <x v="1"/>
    <x v="1"/>
  </r>
  <r>
    <s v="General Plant, Common"/>
    <s v="Common (E &amp; G)"/>
    <s v="Olympia Service Center : GPL-VOL"/>
    <n v="33543"/>
    <s v="C3900 CMN Str/Impv, Olympia Svc Ctr"/>
    <s v="CONV"/>
    <m/>
    <m/>
    <s v="12/2023"/>
    <n v="1"/>
    <n v="11541.24"/>
    <n v="11116.050000000001"/>
    <n v="425.19"/>
    <x v="1"/>
    <x v="1"/>
  </r>
  <r>
    <s v="General Plant, Common"/>
    <s v="Common (E &amp; G)"/>
    <s v="Olympia Service Center : GPL-VOL"/>
    <n v="94606"/>
    <s v="C3900 CMN Str/Impv, Olympia Svc Ctr"/>
    <s v="CONV"/>
    <m/>
    <m/>
    <s v="12/2023"/>
    <n v="1"/>
    <n v="96897.25"/>
    <n v="91011.76"/>
    <n v="5885.49"/>
    <x v="1"/>
    <x v="1"/>
  </r>
  <r>
    <s v="General Plant, Common"/>
    <s v="Common (E &amp; G)"/>
    <s v="Olympia Service Center : GPL-VOL"/>
    <n v="33544"/>
    <s v="C3900 CMN Str/Impv, Olympia Svc Ctr"/>
    <s v="CONV"/>
    <m/>
    <m/>
    <s v="12/2023"/>
    <n v="1"/>
    <n v="700659.17"/>
    <n v="637735.46"/>
    <n v="62923.71"/>
    <x v="1"/>
    <x v="1"/>
  </r>
  <r>
    <s v="General Plant, Common"/>
    <s v="Common (E &amp; G)"/>
    <s v="Olympia Service Center : GPL-VOL"/>
    <n v="33545"/>
    <s v="C3900 CMN Str/Impv, Olympia Svc Ctr"/>
    <s v="CONV"/>
    <m/>
    <m/>
    <s v="12/2023"/>
    <n v="2"/>
    <n v="154244.34"/>
    <n v="137822.49"/>
    <n v="16421.849999999999"/>
    <x v="1"/>
    <x v="1"/>
  </r>
  <r>
    <s v="General Plant, Common"/>
    <s v="Common (E &amp; G)"/>
    <s v="Olympia Service Center : GPL-VOL"/>
    <n v="33546"/>
    <s v="C3900 CMN Str/Impv, Olympia Svc Ctr"/>
    <s v="CONV"/>
    <m/>
    <m/>
    <s v="12/2023"/>
    <n v="1"/>
    <n v="478198.74"/>
    <n v="418600.16000000003"/>
    <n v="59598.58"/>
    <x v="1"/>
    <x v="1"/>
  </r>
  <r>
    <s v="General Plant, Common"/>
    <s v="Common (E &amp; G)"/>
    <s v="Olympia Service Center : GPL-VOL"/>
    <n v="33547"/>
    <s v="C3900 CMN Str/Impv, Olympia Svc Ctr"/>
    <s v="CONV"/>
    <m/>
    <m/>
    <s v="12/2023"/>
    <n v="1"/>
    <n v="422556.78"/>
    <n v="361560.25"/>
    <n v="60996.53"/>
    <x v="1"/>
    <x v="1"/>
  </r>
  <r>
    <s v="General Plant, Common"/>
    <s v="Common (E &amp; G)"/>
    <s v="Olympia Service Center : GPL-VOL"/>
    <n v="33548"/>
    <s v="C3900 CMN Str/Impv, Olympia Svc Ctr"/>
    <s v="CONV"/>
    <m/>
    <m/>
    <s v="12/2023"/>
    <n v="1"/>
    <n v="32668.07"/>
    <n v="27256.2"/>
    <n v="5411.87"/>
    <x v="1"/>
    <x v="1"/>
  </r>
  <r>
    <s v="General Plant, Common"/>
    <s v="Common (E &amp; G)"/>
    <s v="Olympia Service Center : GPL-VOL"/>
    <n v="33549"/>
    <s v="C3900 CMN Str/Impv, Olympia Svc Ctr"/>
    <s v="CONV"/>
    <m/>
    <m/>
    <s v="12/2023"/>
    <n v="2"/>
    <n v="26163.81"/>
    <n v="21228.97"/>
    <n v="4934.84"/>
    <x v="1"/>
    <x v="1"/>
  </r>
  <r>
    <s v="General Plant, Common"/>
    <s v="Common (E &amp; G)"/>
    <s v="Olympia Service Center : GPL-VOL"/>
    <n v="92642"/>
    <s v="C3900 CMN Str/Impv, Olympia Svc Ctr"/>
    <s v="CONV"/>
    <m/>
    <m/>
    <s v="12/2023"/>
    <n v="2"/>
    <n v="6899.28"/>
    <n v="5247.87"/>
    <n v="1651.41"/>
    <x v="1"/>
    <x v="1"/>
  </r>
  <r>
    <s v="General Plant, Common"/>
    <s v="Common (E &amp; G)"/>
    <s v="Olympia Service Center : GPL-VOL"/>
    <n v="56335"/>
    <s v="C3900 CMN Str/Impv, Olympia Svc Ctr"/>
    <s v="CONV"/>
    <m/>
    <m/>
    <s v="12/2023"/>
    <n v="2"/>
    <n v="91271.3"/>
    <n v="66891.899999999994"/>
    <n v="24379.4"/>
    <x v="1"/>
    <x v="1"/>
  </r>
  <r>
    <s v="General Plant, Common"/>
    <s v="Common (E &amp; G)"/>
    <s v="Olympia Service Center : GPL-VOL"/>
    <n v="56490"/>
    <s v="C3900 CMN Str/Impv, Olympia Svc Ctr"/>
    <s v="CONV"/>
    <m/>
    <m/>
    <s v="12/2023"/>
    <n v="1"/>
    <n v="10181.77"/>
    <n v="7462.13"/>
    <n v="2719.64"/>
    <x v="1"/>
    <x v="1"/>
  </r>
  <r>
    <s v="General Plant, Common"/>
    <s v="Common (E &amp; G)"/>
    <s v="Olympia Service Center : GPL-VOL"/>
    <n v="56791"/>
    <s v="C3900 CMN Str/Impv, Olympia Svc Ctr"/>
    <s v="CONV"/>
    <m/>
    <m/>
    <s v="12/2023"/>
    <n v="1"/>
    <n v="66633.37"/>
    <n v="48834.98"/>
    <n v="17798.39"/>
    <x v="1"/>
    <x v="1"/>
  </r>
  <r>
    <s v="General Plant, Common"/>
    <s v="Common (E &amp; G)"/>
    <s v="Olympia Service Center : GPL-VOL"/>
    <n v="57385"/>
    <s v="C3900 CMN Str/Impv, Olympia Svc Ctr"/>
    <s v="CONV"/>
    <m/>
    <m/>
    <s v="12/2023"/>
    <n v="1"/>
    <n v="5853.29"/>
    <n v="4118.51"/>
    <n v="1734.78"/>
    <x v="1"/>
    <x v="1"/>
  </r>
  <r>
    <s v="General Plant, Common"/>
    <s v="Common (E &amp; G)"/>
    <s v="Olympia Service Center : GPL-VOL"/>
    <n v="57378"/>
    <s v="C3900 CMN Str/Impv, Olympia Svc Ctr"/>
    <s v="CONV"/>
    <m/>
    <m/>
    <s v="12/2023"/>
    <n v="1"/>
    <n v="6803.39"/>
    <n v="4787.0200000000004"/>
    <n v="2016.3700000000001"/>
    <x v="1"/>
    <x v="1"/>
  </r>
  <r>
    <s v="General Plant, Common"/>
    <s v="Common (E &amp; G)"/>
    <s v="Olympia Service Center : GPL-VOL"/>
    <n v="76093"/>
    <s v="C3900 CMN Str/Impv, Olympia Svc Ctr"/>
    <s v="CONV"/>
    <m/>
    <m/>
    <s v="12/2023"/>
    <n v="1"/>
    <n v="22776.240000000002"/>
    <n v="14597.45"/>
    <n v="8178.79"/>
    <x v="1"/>
    <x v="1"/>
  </r>
  <r>
    <s v="General Plant, Common"/>
    <s v="Common (E &amp; G)"/>
    <s v="Olympia Service Center : GPL-VOL"/>
    <n v="78106"/>
    <s v="C3900 CMN Str/Impv, Olympia Svc Ctr"/>
    <s v="CONV"/>
    <m/>
    <m/>
    <s v="12/2023"/>
    <n v="1"/>
    <n v="13403.67"/>
    <n v="8145.54"/>
    <n v="5258.13"/>
    <x v="1"/>
    <x v="1"/>
  </r>
  <r>
    <s v="General Plant, Common"/>
    <s v="Common (E &amp; G)"/>
    <s v="Olympia Service Center : GPL-VOL"/>
    <n v="78566"/>
    <s v="C3900 CMN Str/Impv, Olympia Svc Ctr"/>
    <s v="CONV"/>
    <m/>
    <m/>
    <s v="12/2023"/>
    <n v="1"/>
    <n v="15905.27"/>
    <n v="9665.7900000000009"/>
    <n v="6239.4800000000005"/>
    <x v="1"/>
    <x v="1"/>
  </r>
  <r>
    <s v="General Plant, Common"/>
    <s v="Common (E &amp; G)"/>
    <s v="Olympia Service Center : GPL-VOL"/>
    <n v="79202"/>
    <s v="C3900 CMN Str/Impv, Olympia Svc Ctr"/>
    <s v="CONV"/>
    <m/>
    <m/>
    <s v="12/2023"/>
    <n v="0"/>
    <n v="14517.31"/>
    <n v="8822.31"/>
    <n v="5695"/>
    <x v="1"/>
    <x v="1"/>
  </r>
  <r>
    <s v="General Plant, Common"/>
    <s v="Common (E &amp; G)"/>
    <s v="Olympia Service Center : GPL-VOL"/>
    <n v="9139956"/>
    <s v="C3900 CMN Str/Impv, Olympia Svc Ctr"/>
    <n v="131204380"/>
    <s v="SECURITY SYSTEM OLYMPIA SVC"/>
    <s v="SECURITY SYSTEM OLYMPIA SVC"/>
    <s v="12/2023"/>
    <n v="1"/>
    <n v="178353.56"/>
    <n v="70241.31"/>
    <n v="108112.25"/>
    <x v="1"/>
    <x v="1"/>
  </r>
  <r>
    <s v="General Plant, Common"/>
    <s v="Common (E &amp; G)"/>
    <s v="Olympia Service Center : GPL-VOL"/>
    <n v="10244719"/>
    <s v="C3900 CMN Str/Impv, Olympia Svc Ctr"/>
    <n v="131204400"/>
    <s v="OLYMPIA SVC FLOORING"/>
    <s v="OLYMPIA SVC FLOORING"/>
    <s v="12/2023"/>
    <n v="1"/>
    <n v="75872.25"/>
    <n v="27141.100000000002"/>
    <n v="48731.15"/>
    <x v="1"/>
    <x v="1"/>
  </r>
  <r>
    <s v="General Plant, Common"/>
    <s v="Common (E &amp; G)"/>
    <s v="Olympia Service Center : GPL-VOL"/>
    <n v="11869429"/>
    <s v="C3900 CMN Str/Impv, Olympia Svc Ctr"/>
    <n v="143000880"/>
    <s v="OLYMPIA SVC - REPLACE SLIDE GATE PA"/>
    <s v="OLYMPIA SVC - REPLACE SLIDE GATE PANEL &amp;"/>
    <s v="12/2023"/>
    <n v="1"/>
    <n v="79093.56"/>
    <n v="25474.53"/>
    <n v="53619.03"/>
    <x v="1"/>
    <x v="1"/>
  </r>
  <r>
    <s v="General Plant, Common"/>
    <s v="Common (E &amp; G)"/>
    <s v="Olympia Service Center : GPL-VOL"/>
    <n v="11952897"/>
    <s v="C3900 CMN Str/Impv, Olympia Svc Ctr"/>
    <n v="143000840"/>
    <s v="OLYMPIA SERVICE CENTER - INSTALL AC"/>
    <s v="OLYMPIA SERVICE CENTER - INSTALL ACCESS"/>
    <s v="12/2023"/>
    <n v="1"/>
    <n v="59243.98"/>
    <n v="19081.36"/>
    <n v="40162.620000000003"/>
    <x v="1"/>
    <x v="1"/>
  </r>
  <r>
    <s v="General Plant, Common"/>
    <s v="Common (E &amp; G)"/>
    <s v="Olympia Service Center : GPL-VOL"/>
    <n v="18037352"/>
    <s v="C3900 CMN Str/Impv, Olympia Svc Ctr"/>
    <n v="143001680"/>
    <s v="OLYMPIA SVC - INSTALL 15 SECURITY M"/>
    <s v="OLYMPIA SVC - INSTALL 15 SECURITY MONITO"/>
    <s v="12/2023"/>
    <n v="1"/>
    <n v="3956.26"/>
    <n v="1001.1700000000001"/>
    <n v="2955.09"/>
    <x v="1"/>
    <x v="1"/>
  </r>
  <r>
    <s v="General Plant, Common"/>
    <s v="Common (E &amp; G)"/>
    <s v="Olympia Service Center : GPL-VOL"/>
    <n v="23766496"/>
    <s v="C3900 CMN Str/Impv, Olympia Svc Ctr"/>
    <n v="143001780"/>
    <s v="OLYMPIA SVC DRAINAGE &amp; YARD IMPROVE"/>
    <s v="OLYMPIA SVC DRAINAGE &amp; YARD IMPROVEMENT"/>
    <s v="12/2023"/>
    <n v="1"/>
    <n v="1314192.0900000001"/>
    <n v="332567.78999999998"/>
    <n v="981624.3"/>
    <x v="1"/>
    <x v="1"/>
  </r>
  <r>
    <s v="General Plant, Common"/>
    <s v="Common (E &amp; G)"/>
    <s v="Olympia Service Center : GPL-VOL"/>
    <n v="24243831"/>
    <s v="C3900 CMN Str/Impv, Olympia Svc Ctr"/>
    <n v="131204180"/>
    <s v="OLYMPIA SVC - PHASE I-DESGN STUDY P"/>
    <s v="OLYMPIA SVC - PHASE I-DESGN STUDY PAVING"/>
    <s v="12/2023"/>
    <n v="0"/>
    <n v="390355.10000000003"/>
    <n v="98782.77"/>
    <n v="291572.33"/>
    <x v="1"/>
    <x v="1"/>
  </r>
  <r>
    <s v="General Plant, Common"/>
    <s v="Common (E &amp; G)"/>
    <s v="Olympia Service Center : GPL-VOL"/>
    <n v="20785199"/>
    <s v="C3900 CMN Str/Impv, Olympia Svc Ctr"/>
    <n v="143001941"/>
    <s v="OLYMPIA SVC - REPLACE HVAC SYSTEM"/>
    <s v="OLYMPIA SVC - REPLACE HVAC SYSTEM"/>
    <s v="12/2023"/>
    <n v="0"/>
    <n v="334168.23"/>
    <n v="73541.990000000005"/>
    <n v="260626.24000000002"/>
    <x v="1"/>
    <x v="1"/>
  </r>
  <r>
    <s v="General Plant, Common"/>
    <s v="Common (E &amp; G)"/>
    <s v="Olympia Service Center : GPL-VOL"/>
    <n v="30850590"/>
    <s v="C3900 CMN Str/Impv, Olympia Svc Ctr"/>
    <n v="143002552"/>
    <s v="OLYMPIA COM HALON FIRE SUPPRESSION "/>
    <s v="OLYMPIA COM HALON FIRE SUPPRESSION SYSTE"/>
    <s v="12/2023"/>
    <n v="1"/>
    <n v="31367.99"/>
    <n v="4954.96"/>
    <n v="26413.03"/>
    <x v="1"/>
    <x v="1"/>
  </r>
  <r>
    <s v="General Plant, Common"/>
    <s v="Common (E &amp; G)"/>
    <s v="Puyallup Service Center : GPL-VPU"/>
    <n v="93631"/>
    <s v="C3900 CMN Str/Impv, Puyallup Svc Ct"/>
    <s v="CONV"/>
    <m/>
    <m/>
    <s v="12/2023"/>
    <n v="2"/>
    <n v="295556.69"/>
    <n v="310334.52"/>
    <n v="-14777.83"/>
    <x v="1"/>
    <x v="1"/>
  </r>
  <r>
    <s v="General Plant, Common"/>
    <s v="Common (E &amp; G)"/>
    <s v="Puyallup Service Center : GPL-VPU"/>
    <n v="55978"/>
    <s v="C3900 CMN Str/Impv, Puyallup Svc Ct"/>
    <s v="CONV"/>
    <m/>
    <m/>
    <s v="12/2023"/>
    <n v="2"/>
    <n v="1853.52"/>
    <n v="1946.2"/>
    <n v="-92.68"/>
    <x v="1"/>
    <x v="1"/>
  </r>
  <r>
    <s v="General Plant, Common"/>
    <s v="Common (E &amp; G)"/>
    <s v="Puyallup Service Center : GPL-VPU"/>
    <n v="55979"/>
    <s v="C3900 CMN Str/Impv, Puyallup Svc Ct"/>
    <s v="CONV"/>
    <m/>
    <m/>
    <s v="12/2023"/>
    <n v="2"/>
    <n v="2776.16"/>
    <n v="2914.9700000000003"/>
    <n v="-138.81"/>
    <x v="1"/>
    <x v="1"/>
  </r>
  <r>
    <s v="General Plant, Common"/>
    <s v="Common (E &amp; G)"/>
    <s v="Puyallup Service Center : GPL-VPU"/>
    <n v="55980"/>
    <s v="C3900 CMN Str/Impv, Puyallup Svc Ct"/>
    <s v="CONV"/>
    <m/>
    <m/>
    <s v="12/2023"/>
    <n v="2"/>
    <n v="31330.760000000002"/>
    <n v="32897.300000000003"/>
    <n v="-1566.54"/>
    <x v="1"/>
    <x v="1"/>
  </r>
  <r>
    <s v="General Plant, Common"/>
    <s v="Common (E &amp; G)"/>
    <s v="Puyallup Service Center : GPL-VPU"/>
    <n v="55981"/>
    <s v="C3900 CMN Str/Impv, Puyallup Svc Ct"/>
    <s v="CONV"/>
    <m/>
    <m/>
    <s v="12/2023"/>
    <n v="2"/>
    <n v="43.68"/>
    <n v="45.86"/>
    <n v="-2.1800000000000002"/>
    <x v="1"/>
    <x v="1"/>
  </r>
  <r>
    <s v="General Plant, Common"/>
    <s v="Common (E &amp; G)"/>
    <s v="Puyallup Service Center : GPL-VPU"/>
    <n v="94877"/>
    <s v="C3900 CMN Str/Impv, Puyallup Svc Ct"/>
    <s v="CONV"/>
    <m/>
    <m/>
    <s v="12/2023"/>
    <n v="2"/>
    <n v="405.55"/>
    <n v="425.83"/>
    <n v="-20.28"/>
    <x v="1"/>
    <x v="1"/>
  </r>
  <r>
    <s v="General Plant, Common"/>
    <s v="Common (E &amp; G)"/>
    <s v="Puyallup Service Center : GPL-VPU"/>
    <n v="55982"/>
    <s v="C3900 CMN Str/Impv, Puyallup Svc Ct"/>
    <s v="CONV"/>
    <m/>
    <m/>
    <s v="12/2023"/>
    <n v="2"/>
    <n v="1468.75"/>
    <n v="1542.19"/>
    <n v="-73.44"/>
    <x v="1"/>
    <x v="1"/>
  </r>
  <r>
    <s v="General Plant, Common"/>
    <s v="Common (E &amp; G)"/>
    <s v="Puyallup Service Center : GPL-VPU"/>
    <n v="102211"/>
    <s v="C3900 CMN Str/Impv, Puyallup Svc Ct"/>
    <s v="CONV"/>
    <m/>
    <m/>
    <s v="12/2023"/>
    <n v="2"/>
    <n v="2206.6799999999998"/>
    <n v="2317.0100000000002"/>
    <n v="-110.33"/>
    <x v="1"/>
    <x v="1"/>
  </r>
  <r>
    <s v="General Plant, Common"/>
    <s v="Common (E &amp; G)"/>
    <s v="Puyallup Service Center : GPL-VPU"/>
    <n v="55983"/>
    <s v="C3900 CMN Str/Impv, Puyallup Svc Ct"/>
    <s v="CONV"/>
    <m/>
    <m/>
    <s v="12/2023"/>
    <n v="2"/>
    <n v="904.86"/>
    <n v="950.1"/>
    <n v="-45.24"/>
    <x v="1"/>
    <x v="1"/>
  </r>
  <r>
    <s v="General Plant, Common"/>
    <s v="Common (E &amp; G)"/>
    <s v="Puyallup Service Center : GPL-VPU"/>
    <n v="55984"/>
    <s v="C3900 CMN Str/Impv, Puyallup Svc Ct"/>
    <s v="CONV"/>
    <m/>
    <m/>
    <s v="12/2023"/>
    <n v="1"/>
    <n v="3366.7400000000002"/>
    <n v="3535.08"/>
    <n v="-168.34"/>
    <x v="1"/>
    <x v="1"/>
  </r>
  <r>
    <s v="General Plant, Common"/>
    <s v="Common (E &amp; G)"/>
    <s v="Puyallup Service Center : GPL-VPU"/>
    <n v="55985"/>
    <s v="C3900 CMN Str/Impv, Puyallup Svc Ct"/>
    <s v="CONV"/>
    <m/>
    <m/>
    <s v="12/2023"/>
    <n v="2"/>
    <n v="702.49"/>
    <n v="737.61"/>
    <n v="-35.119999999999997"/>
    <x v="1"/>
    <x v="1"/>
  </r>
  <r>
    <s v="General Plant, Common"/>
    <s v="Common (E &amp; G)"/>
    <s v="Puyallup Service Center : GPL-VPU"/>
    <n v="55986"/>
    <s v="C3900 CMN Str/Impv, Puyallup Svc Ct"/>
    <s v="CONV"/>
    <m/>
    <m/>
    <s v="12/2023"/>
    <n v="1"/>
    <n v="3716.54"/>
    <n v="3902.37"/>
    <n v="-185.83"/>
    <x v="1"/>
    <x v="1"/>
  </r>
  <r>
    <s v="General Plant, Common"/>
    <s v="Common (E &amp; G)"/>
    <s v="Puyallup Service Center : GPL-VPU"/>
    <n v="55987"/>
    <s v="C3900 CMN Str/Impv, Puyallup Svc Ct"/>
    <s v="CONV"/>
    <m/>
    <m/>
    <s v="12/2023"/>
    <n v="2"/>
    <n v="6327.12"/>
    <n v="6643.47"/>
    <n v="-316.35000000000002"/>
    <x v="1"/>
    <x v="1"/>
  </r>
  <r>
    <s v="General Plant, Common"/>
    <s v="Common (E &amp; G)"/>
    <s v="Puyallup Service Center : GPL-VPU"/>
    <n v="55988"/>
    <s v="C3900 CMN Str/Impv, Puyallup Svc Ct"/>
    <s v="CONV"/>
    <m/>
    <m/>
    <s v="12/2023"/>
    <n v="2"/>
    <n v="2637.98"/>
    <n v="2769.88"/>
    <n v="-131.9"/>
    <x v="1"/>
    <x v="1"/>
  </r>
  <r>
    <s v="General Plant, Common"/>
    <s v="Common (E &amp; G)"/>
    <s v="Puyallup Service Center : GPL-VPU"/>
    <n v="55989"/>
    <s v="C3900 CMN Str/Impv, Puyallup Svc Ct"/>
    <s v="CONV"/>
    <m/>
    <m/>
    <s v="12/2023"/>
    <n v="2"/>
    <n v="18801.02"/>
    <n v="19741.05"/>
    <n v="-940.03"/>
    <x v="1"/>
    <x v="1"/>
  </r>
  <r>
    <s v="General Plant, Common"/>
    <s v="Common (E &amp; G)"/>
    <s v="Puyallup Service Center : GPL-VPU"/>
    <n v="55990"/>
    <s v="C3900 CMN Str/Impv, Puyallup Svc Ct"/>
    <s v="CONV"/>
    <m/>
    <m/>
    <s v="12/2023"/>
    <n v="2"/>
    <n v="7028.43"/>
    <n v="7379.83"/>
    <n v="-351.40000000000003"/>
    <x v="1"/>
    <x v="1"/>
  </r>
  <r>
    <s v="General Plant, Common"/>
    <s v="Common (E &amp; G)"/>
    <s v="Puyallup Service Center : GPL-VPU"/>
    <n v="55991"/>
    <s v="C3900 CMN Str/Impv, Puyallup Svc Ct"/>
    <s v="CONV"/>
    <m/>
    <m/>
    <s v="12/2023"/>
    <n v="2"/>
    <n v="6451.64"/>
    <n v="6774.2"/>
    <n v="-322.56"/>
    <x v="1"/>
    <x v="1"/>
  </r>
  <r>
    <s v="General Plant, Common"/>
    <s v="Common (E &amp; G)"/>
    <s v="Puyallup Service Center : GPL-VPU"/>
    <n v="102212"/>
    <s v="C3900 CMN Str/Impv, Puyallup Svc Ct"/>
    <s v="CONV"/>
    <m/>
    <m/>
    <s v="12/2023"/>
    <n v="2"/>
    <n v="56965.19"/>
    <n v="59812.75"/>
    <n v="-2847.56"/>
    <x v="1"/>
    <x v="1"/>
  </r>
  <r>
    <s v="General Plant, Common"/>
    <s v="Common (E &amp; G)"/>
    <s v="Puyallup Service Center : GPL-VPU"/>
    <n v="90358"/>
    <s v="C3900 CMN Str/Impv, Puyallup Svc Ct"/>
    <s v="CONV"/>
    <m/>
    <m/>
    <s v="12/2023"/>
    <n v="2"/>
    <n v="42113.72"/>
    <n v="44218.53"/>
    <n v="-2104.81"/>
    <x v="1"/>
    <x v="1"/>
  </r>
  <r>
    <s v="General Plant, Common"/>
    <s v="Common (E &amp; G)"/>
    <s v="Puyallup Service Center : GPL-VPU"/>
    <n v="55992"/>
    <s v="C3900 CMN Str/Impv, Puyallup Svc Ct"/>
    <s v="CONV"/>
    <m/>
    <m/>
    <s v="12/2023"/>
    <n v="2"/>
    <n v="16305.75"/>
    <n v="17120.47"/>
    <n v="-814.72"/>
    <x v="1"/>
    <x v="1"/>
  </r>
  <r>
    <s v="General Plant, Common"/>
    <s v="Common (E &amp; G)"/>
    <s v="Puyallup Service Center : GPL-VPU"/>
    <n v="55993"/>
    <s v="C3900 CMN Str/Impv, Puyallup Svc Ct"/>
    <s v="CONV"/>
    <m/>
    <m/>
    <s v="12/2023"/>
    <n v="2"/>
    <n v="6725.45"/>
    <n v="7061.34"/>
    <n v="-335.89"/>
    <x v="1"/>
    <x v="1"/>
  </r>
  <r>
    <s v="General Plant, Common"/>
    <s v="Common (E &amp; G)"/>
    <s v="Puyallup Service Center : GPL-VPU"/>
    <n v="55994"/>
    <s v="C3900 CMN Str/Impv, Puyallup Svc Ct"/>
    <s v="CONV"/>
    <m/>
    <m/>
    <s v="12/2023"/>
    <n v="2"/>
    <n v="23013.34"/>
    <n v="24161.87"/>
    <n v="-1148.53"/>
    <x v="1"/>
    <x v="1"/>
  </r>
  <r>
    <s v="General Plant, Common"/>
    <s v="Common (E &amp; G)"/>
    <s v="Puyallup Service Center : GPL-VPU"/>
    <n v="55995"/>
    <s v="C3900 CMN Str/Impv, Puyallup Svc Ct"/>
    <s v="CONV"/>
    <m/>
    <m/>
    <s v="12/2023"/>
    <n v="2"/>
    <n v="24479.600000000002"/>
    <n v="25699.940000000002"/>
    <n v="-1220.3399999999999"/>
    <x v="1"/>
    <x v="1"/>
  </r>
  <r>
    <s v="General Plant, Common"/>
    <s v="Common (E &amp; G)"/>
    <s v="Puyallup Service Center : GPL-VPU"/>
    <n v="55996"/>
    <s v="C3900 CMN Str/Impv, Puyallup Svc Ct"/>
    <s v="CONV"/>
    <m/>
    <m/>
    <s v="12/2023"/>
    <n v="2"/>
    <n v="191663"/>
    <n v="201201.18"/>
    <n v="-9538.18"/>
    <x v="1"/>
    <x v="1"/>
  </r>
  <r>
    <s v="General Plant, Common"/>
    <s v="Common (E &amp; G)"/>
    <s v="Puyallup Service Center : GPL-VPU"/>
    <n v="55997"/>
    <s v="C3900 CMN Str/Impv, Puyallup Svc Ct"/>
    <s v="CONV"/>
    <m/>
    <m/>
    <s v="12/2023"/>
    <n v="2"/>
    <n v="18267.07"/>
    <n v="19173.75"/>
    <n v="-906.68000000000006"/>
    <x v="1"/>
    <x v="1"/>
  </r>
  <r>
    <s v="General Plant, Common"/>
    <s v="Common (E &amp; G)"/>
    <s v="Puyallup Service Center : GPL-VPU"/>
    <n v="55998"/>
    <s v="C3900 CMN Str/Impv, Puyallup Svc Ct"/>
    <s v="CONV"/>
    <m/>
    <m/>
    <s v="12/2023"/>
    <n v="2"/>
    <n v="3755.75"/>
    <n v="3941.4300000000003"/>
    <n v="-185.68"/>
    <x v="1"/>
    <x v="1"/>
  </r>
  <r>
    <s v="General Plant, Common"/>
    <s v="Common (E &amp; G)"/>
    <s v="Puyallup Service Center : GPL-VPU"/>
    <n v="55999"/>
    <s v="C3900 CMN Str/Impv, Puyallup Svc Ct"/>
    <s v="CONV"/>
    <m/>
    <m/>
    <s v="12/2023"/>
    <n v="2"/>
    <n v="109322.2"/>
    <n v="114695.35"/>
    <n v="-5373.1500000000005"/>
    <x v="1"/>
    <x v="1"/>
  </r>
  <r>
    <s v="General Plant, Common"/>
    <s v="Common (E &amp; G)"/>
    <s v="Puyallup Service Center : GPL-VPU"/>
    <n v="56000"/>
    <s v="C3900 CMN Str/Impv, Puyallup Svc Ct"/>
    <s v="CONV"/>
    <m/>
    <m/>
    <s v="12/2023"/>
    <n v="2"/>
    <n v="2873.44"/>
    <n v="3011.73"/>
    <n v="-138.29"/>
    <x v="1"/>
    <x v="1"/>
  </r>
  <r>
    <s v="General Plant, Common"/>
    <s v="Common (E &amp; G)"/>
    <s v="Puyallup Service Center : GPL-VPU"/>
    <n v="56001"/>
    <s v="C3900 CMN Str/Impv, Puyallup Svc Ct"/>
    <s v="CONV"/>
    <m/>
    <m/>
    <s v="12/2023"/>
    <n v="2"/>
    <n v="2246.56"/>
    <n v="2352.77"/>
    <n v="-106.21000000000001"/>
    <x v="1"/>
    <x v="1"/>
  </r>
  <r>
    <s v="General Plant, Common"/>
    <s v="Common (E &amp; G)"/>
    <s v="Puyallup Service Center : GPL-VPU"/>
    <n v="56002"/>
    <s v="C3900 CMN Str/Impv, Puyallup Svc Ct"/>
    <s v="CONV"/>
    <m/>
    <m/>
    <s v="12/2023"/>
    <n v="2"/>
    <n v="502.21000000000004"/>
    <n v="524.54"/>
    <n v="-22.330000000000002"/>
    <x v="1"/>
    <x v="1"/>
  </r>
  <r>
    <s v="General Plant, Common"/>
    <s v="Common (E &amp; G)"/>
    <s v="Puyallup Service Center : GPL-VPU"/>
    <n v="56003"/>
    <s v="C3900 CMN Str/Impv, Puyallup Svc Ct"/>
    <s v="CONV"/>
    <m/>
    <m/>
    <s v="12/2023"/>
    <n v="2"/>
    <n v="976.67000000000007"/>
    <n v="1017.9300000000001"/>
    <n v="-41.26"/>
    <x v="1"/>
    <x v="1"/>
  </r>
  <r>
    <s v="General Plant, Common"/>
    <s v="Common (E &amp; G)"/>
    <s v="Puyallup Service Center : GPL-VPU"/>
    <n v="56337"/>
    <s v="C3900 CMN Str/Impv, Puyallup Svc Ct"/>
    <s v="CONV"/>
    <m/>
    <m/>
    <s v="12/2023"/>
    <n v="3"/>
    <n v="7642.1100000000006"/>
    <n v="7669.96"/>
    <n v="-27.85"/>
    <x v="1"/>
    <x v="1"/>
  </r>
  <r>
    <s v="General Plant, Common"/>
    <s v="Common (E &amp; G)"/>
    <s v="Puyallup Service Center : GPL-VPU"/>
    <n v="102393"/>
    <s v="C3900 CMN Str/Impv, Puyallup Svc Ct"/>
    <s v="CONV"/>
    <m/>
    <m/>
    <s v="12/2023"/>
    <n v="2"/>
    <n v="2751.92"/>
    <n v="2761.9500000000003"/>
    <n v="-10.029999999999999"/>
    <x v="1"/>
    <x v="1"/>
  </r>
  <r>
    <s v="General Plant, Common"/>
    <s v="Common (E &amp; G)"/>
    <s v="Puyallup Service Center : GPL-VPU"/>
    <n v="56336"/>
    <s v="C3900 CMN Str/Impv, Puyallup Svc Ct"/>
    <s v="CONV"/>
    <m/>
    <m/>
    <s v="12/2023"/>
    <n v="2"/>
    <n v="43604.17"/>
    <n v="43154.700000000004"/>
    <n v="449.47"/>
    <x v="1"/>
    <x v="1"/>
  </r>
  <r>
    <s v="General Plant, Common"/>
    <s v="Common (E &amp; G)"/>
    <s v="Puyallup Service Center : GPL-VPU"/>
    <n v="56340"/>
    <s v="C3900 CMN Str/Impv, Puyallup Svc Ct"/>
    <s v="CONV"/>
    <m/>
    <m/>
    <s v="12/2023"/>
    <n v="2"/>
    <n v="101414.46"/>
    <n v="100369.08"/>
    <n v="1045.3800000000001"/>
    <x v="1"/>
    <x v="1"/>
  </r>
  <r>
    <s v="General Plant, Common"/>
    <s v="Common (E &amp; G)"/>
    <s v="Puyallup Service Center : GPL-VPU"/>
    <n v="57057"/>
    <s v="C3900 CMN Str/Impv, Puyallup Svc Ct"/>
    <s v="CONV"/>
    <m/>
    <m/>
    <s v="12/2023"/>
    <n v="1"/>
    <n v="10176.25"/>
    <n v="9894.34"/>
    <n v="281.91000000000003"/>
    <x v="1"/>
    <x v="1"/>
  </r>
  <r>
    <s v="General Plant, Common"/>
    <s v="Common (E &amp; G)"/>
    <s v="Puyallup Service Center : GPL-VPU"/>
    <n v="73527"/>
    <s v="C3900 CMN Str/Impv, Puyallup Svc Ct"/>
    <s v="CONV"/>
    <m/>
    <m/>
    <s v="12/2023"/>
    <n v="1"/>
    <n v="8688.4699999999993"/>
    <n v="8261.7999999999993"/>
    <n v="426.67"/>
    <x v="1"/>
    <x v="1"/>
  </r>
  <r>
    <s v="General Plant, Common"/>
    <s v="Common (E &amp; G)"/>
    <s v="Puyallup Service Center : GPL-VPU"/>
    <n v="78221"/>
    <s v="C3900 CMN Str/Impv, Puyallup Svc Ct"/>
    <s v="CONV"/>
    <m/>
    <m/>
    <s v="12/2023"/>
    <n v="1"/>
    <n v="13756.31"/>
    <n v="12297.03"/>
    <n v="1459.28"/>
    <x v="1"/>
    <x v="1"/>
  </r>
  <r>
    <s v="General Plant, Common"/>
    <s v="Common (E &amp; G)"/>
    <s v="Puyallup Service Center : GPL-VPU"/>
    <n v="78751"/>
    <s v="C3900 CMN Str/Impv, Puyallup Svc Ct"/>
    <s v="CONV"/>
    <m/>
    <m/>
    <s v="12/2023"/>
    <n v="0"/>
    <n v="14887.54"/>
    <n v="13308.25"/>
    <n v="1579.29"/>
    <x v="1"/>
    <x v="1"/>
  </r>
  <r>
    <s v="General Plant, Common"/>
    <s v="Common (E &amp; G)"/>
    <s v="Puyallup Service Center : GPL-VPU"/>
    <n v="79197"/>
    <s v="C3900 CMN Str/Impv, Puyallup Svc Ct"/>
    <s v="CONV"/>
    <m/>
    <m/>
    <s v="12/2023"/>
    <n v="0"/>
    <n v="15124.62"/>
    <n v="13520.19"/>
    <n v="1604.43"/>
    <x v="1"/>
    <x v="1"/>
  </r>
  <r>
    <s v="General Plant, Common"/>
    <s v="Common (E &amp; G)"/>
    <s v="Puyallup Service Center : GPL-VPU"/>
    <n v="81244"/>
    <s v="C3900 CMN Str/Impv, Puyallup Svc Ct"/>
    <s v="CONV"/>
    <m/>
    <m/>
    <s v="12/2023"/>
    <n v="0"/>
    <n v="50459.61"/>
    <n v="43271.48"/>
    <n v="7188.13"/>
    <x v="1"/>
    <x v="1"/>
  </r>
  <r>
    <s v="General Plant, Common"/>
    <s v="Common (E &amp; G)"/>
    <s v="Puyallup Service Center : GPL-VPU"/>
    <n v="86251"/>
    <s v="C3900 CMN Str/Impv, Puyallup Svc Ct"/>
    <s v="CONV"/>
    <m/>
    <m/>
    <s v="12/2023"/>
    <n v="0"/>
    <n v="64197.8"/>
    <n v="49337.03"/>
    <n v="14860.77"/>
    <x v="1"/>
    <x v="1"/>
  </r>
  <r>
    <s v="General Plant, Common"/>
    <s v="Common (E &amp; G)"/>
    <s v="Puyallup Service Center : GPL-VPU"/>
    <n v="86253"/>
    <s v="C3900 CMN Str/Impv, Puyallup Svc Ct"/>
    <s v="CONV"/>
    <m/>
    <m/>
    <s v="12/2023"/>
    <n v="0"/>
    <n v="49086.18"/>
    <n v="37723.51"/>
    <n v="11362.67"/>
    <x v="1"/>
    <x v="1"/>
  </r>
  <r>
    <s v="General Plant, Common"/>
    <s v="Common (E &amp; G)"/>
    <s v="Puyallup Service Center : GPL-VPU"/>
    <n v="87025"/>
    <s v="C3900 CMN Str/Impv, Puyallup Svc Ct"/>
    <s v="CONV"/>
    <m/>
    <m/>
    <s v="12/2023"/>
    <n v="0"/>
    <n v="78391.839999999997"/>
    <n v="60245.37"/>
    <n v="18146.47"/>
    <x v="1"/>
    <x v="1"/>
  </r>
  <r>
    <s v="General Plant, Common"/>
    <s v="Common (E &amp; G)"/>
    <s v="Puyallup Service Center : GPL-VPU"/>
    <n v="5338759"/>
    <s v="C3900 CMN Str/Impv, Puyallup Svc Ct"/>
    <n v="131202880"/>
    <s v="PUYALLUP SVC TRAILER - CARPETING"/>
    <s v="PUYALLUP SVC TRAILER - CARPETING"/>
    <s v="12/2023"/>
    <n v="0"/>
    <n v="11266.12"/>
    <n v="8071.08"/>
    <n v="3195.04"/>
    <x v="1"/>
    <x v="1"/>
  </r>
  <r>
    <s v="General Plant, Common"/>
    <s v="Common (E &amp; G)"/>
    <s v="Puyallup Service Center : GPL-VPU"/>
    <n v="6793443"/>
    <s v="C3900 CMN Str/Impv, Puyallup Svc Ct"/>
    <n v="131203441"/>
    <s v="PUYALLUP SVC - NEW HVAC UNIT"/>
    <s v="PUYALLUP SVC - NEW HVAC UNIT"/>
    <s v="12/2023"/>
    <n v="0"/>
    <n v="15875.220000000001"/>
    <n v="10480.630000000001"/>
    <n v="5394.59"/>
    <x v="1"/>
    <x v="1"/>
  </r>
  <r>
    <s v="General Plant, Common"/>
    <s v="Common (E &amp; G)"/>
    <s v="Puyallup Service Center : GPL-VPU"/>
    <n v="9467778"/>
    <s v="C3900 CMN Str/Impv, Puyallup Svc Ct"/>
    <n v="131204340"/>
    <s v="PUYALLUP SVC HEAT PUMP REPL"/>
    <s v="PUYALLUP SVC HEAT PUMP REPL"/>
    <s v="12/2023"/>
    <n v="1"/>
    <n v="14573.39"/>
    <n v="7864.89"/>
    <n v="6708.5"/>
    <x v="1"/>
    <x v="1"/>
  </r>
  <r>
    <s v="General Plant, Common"/>
    <s v="Common (E &amp; G)"/>
    <s v="Puyallup Service Center : GPL-VPU"/>
    <n v="23945086"/>
    <s v="C3900 CMN Str/Impv, Puyallup Svc Ct"/>
    <n v="143001000"/>
    <s v="PUYALLUP SERVICE CENTER - STORMWATE"/>
    <s v="PUYALLUP SERVICE CENTER - STORMWATER DRA"/>
    <s v="12/2023"/>
    <n v="1"/>
    <n v="1452.72"/>
    <n v="438.94"/>
    <n v="1013.78"/>
    <x v="1"/>
    <x v="1"/>
  </r>
  <r>
    <s v="General Plant, Common"/>
    <s v="Common (E &amp; G)"/>
    <s v="Puyallup Service Center : GPL-VPU"/>
    <n v="23945093"/>
    <s v="C3900 CMN Str/Impv, Puyallup Svc Ct"/>
    <n v="143001000"/>
    <s v="PUYALLUP SERVICE CENTER - STORMWATE"/>
    <s v="PUYALLUP SERVICE CENTER - STORMWATER DRA"/>
    <s v="12/2023"/>
    <n v="1"/>
    <n v="19300.48"/>
    <n v="5831.63"/>
    <n v="13468.85"/>
    <x v="1"/>
    <x v="1"/>
  </r>
  <r>
    <s v="General Plant, Common"/>
    <s v="Common (E &amp; G)"/>
    <s v="S King Svc Complex (PSE) : GPL-SOK"/>
    <n v="27568834"/>
    <s v="C3900 CMN Str/Impv, S King Complex"/>
    <n v="153002948"/>
    <s v="PURCHASE SOUTH KING FACILITY  LAND "/>
    <s v="PURCHASE SOUTH KING FACILITY  LAND AND B"/>
    <s v="12/2023"/>
    <n v="0"/>
    <n v="176151.6"/>
    <n v="18643.79"/>
    <n v="157507.81"/>
    <x v="1"/>
    <x v="1"/>
  </r>
  <r>
    <s v="General Plant, Common"/>
    <s v="Common (E &amp; G)"/>
    <s v="S King Svc Complex (PSE) : GPL-SOK"/>
    <n v="27568837"/>
    <s v="C3900 CMN Str/Impv, S King Complex"/>
    <n v="143002536"/>
    <s v="SOUTH KING COMPLEX - TRUCK LOADING "/>
    <s v="SOUTH KING COMPLEX - TRUCK LOADING DOCK"/>
    <s v="12/2023"/>
    <n v="1"/>
    <n v="1349972.37"/>
    <n v="142880.35"/>
    <n v="1207092.02"/>
    <x v="1"/>
    <x v="1"/>
  </r>
  <r>
    <s v="General Plant, Common"/>
    <s v="Common (E &amp; G)"/>
    <s v="S King Svc Complex (PSE) : GPL-SOK"/>
    <n v="27568840"/>
    <s v="C3900 CMN Str/Impv, S King Complex"/>
    <n v="153002948"/>
    <s v="PURCHASE SOUTH KING FACILITY  LAND "/>
    <s v="PURCHASE SOUTH KING FACILITY  LAND AND B"/>
    <s v="12/2023"/>
    <n v="0"/>
    <n v="674235.15"/>
    <n v="71360.680000000008"/>
    <n v="602874.47"/>
    <x v="1"/>
    <x v="1"/>
  </r>
  <r>
    <s v="General Plant, Common"/>
    <s v="Common (E &amp; G)"/>
    <s v="S King Svc Complex (PSE) : GPL-SOK"/>
    <n v="27568843"/>
    <s v="C3900 CMN Str/Impv, S King Complex"/>
    <n v="153002948"/>
    <s v="PURCHASE SOUTH KING FACILITY  LAND "/>
    <s v="PURCHASE SOUTH KING FACILITY  LAND AND B"/>
    <s v="12/2023"/>
    <n v="0"/>
    <n v="294598.22000000003"/>
    <n v="31180.12"/>
    <n v="263418.09999999998"/>
    <x v="1"/>
    <x v="1"/>
  </r>
  <r>
    <s v="General Plant, Common"/>
    <s v="Common (E &amp; G)"/>
    <s v="S King Svc Complex (PSE) : GPL-SOK"/>
    <n v="27568846"/>
    <s v="C3900 CMN Str/Impv, S King Complex"/>
    <n v="153002948"/>
    <s v="PURCHASE SOUTH KING FACILITY  LAND "/>
    <s v="PURCHASE SOUTH KING FACILITY  LAND AND B"/>
    <s v="12/2023"/>
    <n v="0"/>
    <n v="118446.7"/>
    <n v="12536.33"/>
    <n v="105910.37"/>
    <x v="1"/>
    <x v="1"/>
  </r>
  <r>
    <s v="General Plant, Common"/>
    <s v="Common (E &amp; G)"/>
    <s v="S King Svc Complex (PSE) : GPL-SOK"/>
    <n v="27568849"/>
    <s v="C3900 CMN Str/Impv, S King Complex"/>
    <n v="153002948"/>
    <s v="PURCHASE SOUTH KING FACILITY  LAND "/>
    <s v="PURCHASE SOUTH KING FACILITY  LAND AND B"/>
    <s v="12/2023"/>
    <n v="0"/>
    <n v="236893.4"/>
    <n v="25072.670000000002"/>
    <n v="211820.73"/>
    <x v="1"/>
    <x v="1"/>
  </r>
  <r>
    <s v="General Plant, Common"/>
    <s v="Common (E &amp; G)"/>
    <s v="S King Svc Complex (PSE) : GPL-SOK"/>
    <n v="27568852"/>
    <s v="C3900 CMN Str/Impv, S King Complex"/>
    <n v="153002948"/>
    <s v="PURCHASE SOUTH KING FACILITY  LAND "/>
    <s v="PURCHASE SOUTH KING FACILITY  LAND AND B"/>
    <s v="12/2023"/>
    <n v="0"/>
    <n v="400896.58"/>
    <n v="42430.68"/>
    <n v="358465.9"/>
    <x v="1"/>
    <x v="1"/>
  </r>
  <r>
    <s v="General Plant, Common"/>
    <s v="Common (E &amp; G)"/>
    <s v="S King Svc Complex (PSE) : GPL-SOK"/>
    <n v="27568858"/>
    <s v="C3900 CMN Str/Impv, S King Complex"/>
    <n v="153002948"/>
    <s v="PURCHASE SOUTH KING FACILITY  LAND "/>
    <s v="PURCHASE SOUTH KING FACILITY  LAND AND B"/>
    <s v="12/2023"/>
    <n v="0"/>
    <n v="176151.52"/>
    <n v="18643.78"/>
    <n v="157507.74"/>
    <x v="1"/>
    <x v="1"/>
  </r>
  <r>
    <s v="General Plant, Common"/>
    <s v="Common (E &amp; G)"/>
    <s v="S King Svc Complex (PSE) : GPL-SOK"/>
    <n v="27568861"/>
    <s v="C3900 CMN Str/Impv, S King Complex"/>
    <n v="153002948"/>
    <s v="PURCHASE SOUTH KING FACILITY  LAND "/>
    <s v="PURCHASE SOUTH KING FACILITY  LAND AND B"/>
    <s v="12/2023"/>
    <n v="0"/>
    <n v="473786.89"/>
    <n v="50145.35"/>
    <n v="423641.54000000004"/>
    <x v="1"/>
    <x v="1"/>
  </r>
  <r>
    <s v="General Plant, Common"/>
    <s v="Common (E &amp; G)"/>
    <s v="S King Svc Complex (PSE) : GPL-SOK"/>
    <n v="27568864"/>
    <s v="C3900 CMN Str/Impv, S King Complex"/>
    <n v="153002948"/>
    <s v="PURCHASE SOUTH KING FACILITY  LAND "/>
    <s v="PURCHASE SOUTH KING FACILITY  LAND AND B"/>
    <s v="12/2023"/>
    <n v="0"/>
    <n v="1533733.1400000001"/>
    <n v="162329.49"/>
    <n v="1371403.65"/>
    <x v="1"/>
    <x v="1"/>
  </r>
  <r>
    <s v="General Plant, Common"/>
    <s v="Common (E &amp; G)"/>
    <s v="S King Svc Complex (PSE) : GPL-SOK"/>
    <n v="27568867"/>
    <s v="C3900 CMN Str/Impv, S King Complex"/>
    <n v="153002948"/>
    <s v="PURCHASE SOUTH KING FACILITY  LAND "/>
    <s v="PURCHASE SOUTH KING FACILITY  LAND AND B"/>
    <s v="12/2023"/>
    <n v="0"/>
    <n v="118446.7"/>
    <n v="12536.33"/>
    <n v="105910.37"/>
    <x v="1"/>
    <x v="1"/>
  </r>
  <r>
    <s v="General Plant, Common"/>
    <s v="Common (E &amp; G)"/>
    <s v="S King Svc Complex (PSE) : GPL-SOK"/>
    <n v="27568870"/>
    <s v="C3900 CMN Str/Impv, S King Complex"/>
    <n v="153002948"/>
    <s v="PURCHASE SOUTH KING FACILITY  LAND "/>
    <s v="PURCHASE SOUTH KING FACILITY  LAND AND B"/>
    <s v="12/2023"/>
    <n v="0"/>
    <n v="118446.7"/>
    <n v="12536.33"/>
    <n v="105910.37"/>
    <x v="1"/>
    <x v="1"/>
  </r>
  <r>
    <s v="General Plant, Common"/>
    <s v="Common (E &amp; G)"/>
    <s v="S King Svc Complex (PSE) : GPL-SOK"/>
    <n v="27568873"/>
    <s v="C3900 CMN Str/Impv, S King Complex"/>
    <n v="153002948"/>
    <s v="PURCHASE SOUTH KING FACILITY  LAND "/>
    <s v="PURCHASE SOUTH KING FACILITY  LAND AND B"/>
    <s v="12/2023"/>
    <n v="0"/>
    <n v="200448.27000000002"/>
    <n v="21215.34"/>
    <n v="179232.93"/>
    <x v="1"/>
    <x v="1"/>
  </r>
  <r>
    <s v="General Plant, Common"/>
    <s v="Common (E &amp; G)"/>
    <s v="S King Svc Complex (PSE) : GPL-SOK"/>
    <n v="27568876"/>
    <s v="C3900 CMN Str/Impv, S King Complex"/>
    <n v="153002948"/>
    <s v="PURCHASE SOUTH KING FACILITY  LAND "/>
    <s v="PURCHASE SOUTH KING FACILITY  LAND AND B"/>
    <s v="12/2023"/>
    <n v="0"/>
    <n v="118446.7"/>
    <n v="12536.33"/>
    <n v="105910.37"/>
    <x v="1"/>
    <x v="1"/>
  </r>
  <r>
    <s v="General Plant, Common"/>
    <s v="Common (E &amp; G)"/>
    <s v="S King Svc Complex (PSE) : GPL-SOK"/>
    <n v="27568879"/>
    <s v="C3900 CMN Str/Impv, S King Complex"/>
    <n v="153002948"/>
    <s v="PURCHASE SOUTH KING FACILITY  LAND "/>
    <s v="PURCHASE SOUTH KING FACILITY  LAND AND B"/>
    <s v="12/2023"/>
    <n v="0"/>
    <n v="425193.31"/>
    <n v="45002.23"/>
    <n v="380191.08"/>
    <x v="1"/>
    <x v="1"/>
  </r>
  <r>
    <s v="General Plant, Common"/>
    <s v="Common (E &amp; G)"/>
    <s v="S King Svc Complex (PSE) : GPL-SOK"/>
    <n v="27568882"/>
    <s v="C3900 CMN Str/Impv, S King Complex"/>
    <n v="153002948"/>
    <s v="PURCHASE SOUTH KING FACILITY  LAND "/>
    <s v="PURCHASE SOUTH KING FACILITY  LAND AND B"/>
    <s v="12/2023"/>
    <n v="0"/>
    <n v="1062983.3500000001"/>
    <n v="112505.58"/>
    <n v="950477.77"/>
    <x v="1"/>
    <x v="1"/>
  </r>
  <r>
    <s v="General Plant, Common"/>
    <s v="Common (E &amp; G)"/>
    <s v="S King Svc Complex (PSE) : GPL-SOK"/>
    <n v="27568885"/>
    <s v="C3900 CMN Str/Impv, S King Complex"/>
    <n v="153002948"/>
    <s v="PURCHASE SOUTH KING FACILITY  LAND "/>
    <s v="PURCHASE SOUTH KING FACILITY  LAND AND B"/>
    <s v="12/2023"/>
    <n v="0"/>
    <n v="1427434.78"/>
    <n v="151078.93"/>
    <n v="1276355.8500000001"/>
    <x v="1"/>
    <x v="1"/>
  </r>
  <r>
    <s v="General Plant, Common"/>
    <s v="Common (E &amp; G)"/>
    <s v="S King Svc Complex (PSE) : GPL-SOK"/>
    <n v="27568888"/>
    <s v="C3900 CMN Str/Impv, S King Complex"/>
    <n v="153002948"/>
    <s v="PURCHASE SOUTH KING FACILITY  LAND "/>
    <s v="PURCHASE SOUTH KING FACILITY  LAND AND B"/>
    <s v="12/2023"/>
    <n v="0"/>
    <n v="2183671.5099999998"/>
    <n v="231118.61000000002"/>
    <n v="1952552.9"/>
    <x v="1"/>
    <x v="1"/>
  </r>
  <r>
    <s v="General Plant, Common"/>
    <s v="Common (E &amp; G)"/>
    <s v="S King Svc Complex (PSE) : GPL-SOK"/>
    <n v="27568891"/>
    <s v="C3900 CMN Str/Impv, S King Complex"/>
    <n v="153002948"/>
    <s v="PURCHASE SOUTH KING FACILITY  LAND "/>
    <s v="PURCHASE SOUTH KING FACILITY  LAND AND B"/>
    <s v="12/2023"/>
    <n v="0"/>
    <n v="190073.4"/>
    <n v="20117.27"/>
    <n v="169956.13"/>
    <x v="1"/>
    <x v="1"/>
  </r>
  <r>
    <s v="General Plant, Common"/>
    <s v="Common (E &amp; G)"/>
    <s v="S King Svc Complex (PSE) : GPL-SOK"/>
    <n v="27568894"/>
    <s v="C3900 CMN Str/Impv, S King Complex"/>
    <n v="153002948"/>
    <s v="PURCHASE SOUTH KING FACILITY  LAND "/>
    <s v="PURCHASE SOUTH KING FACILITY  LAND AND B"/>
    <s v="12/2023"/>
    <n v="0"/>
    <n v="355340.13"/>
    <n v="37609.01"/>
    <n v="317731.12"/>
    <x v="1"/>
    <x v="1"/>
  </r>
  <r>
    <s v="General Plant, Common"/>
    <s v="Common (E &amp; G)"/>
    <s v="S King Svc Complex (PSE) : GPL-SOK"/>
    <n v="27568897"/>
    <s v="C3900 CMN Str/Impv, S King Complex"/>
    <n v="153002948"/>
    <s v="PURCHASE SOUTH KING FACILITY  LAND "/>
    <s v="PURCHASE SOUTH KING FACILITY  LAND AND B"/>
    <s v="12/2023"/>
    <n v="0"/>
    <n v="176151.52"/>
    <n v="18643.78"/>
    <n v="157507.74"/>
    <x v="1"/>
    <x v="1"/>
  </r>
  <r>
    <s v="General Plant, Common"/>
    <s v="Common (E &amp; G)"/>
    <s v="S King Svc Complex (PSE) : GPL-SOK"/>
    <n v="30146482"/>
    <s v="C3900 CMN Str/Impv, S King Complex"/>
    <n v="143002464"/>
    <s v="SOUTH KING COMPLEX - CHILLER REPLAC"/>
    <s v="SOUTH KING COMPLEX - CHILLER REPLACEMENT"/>
    <s v="12/2023"/>
    <n v="0"/>
    <n v="13149.67"/>
    <n v="1391.75"/>
    <n v="11757.92"/>
    <x v="1"/>
    <x v="1"/>
  </r>
  <r>
    <s v="General Plant, Common"/>
    <s v="Common (E &amp; G)"/>
    <s v="S King Svc Complex (PSE) : GPL-SOK"/>
    <n v="33566353"/>
    <s v="C3900 CMN Str/Impv, S King Complex"/>
    <n v="143003233"/>
    <s v="SOUTH KING - RENOVATIONS -STR"/>
    <s v="SOUTH KING - RENOVATIONS -STR"/>
    <s v="12/2023"/>
    <n v="1"/>
    <n v="86037.57"/>
    <n v="8156.51"/>
    <n v="77881.06"/>
    <x v="1"/>
    <x v="1"/>
  </r>
  <r>
    <s v="General Plant, Common"/>
    <s v="Common (E &amp; G)"/>
    <s v="S King Svc Complex (PSE) : GPL-SOK"/>
    <n v="33566358"/>
    <s v="C3900 CMN Str/Impv, S King Complex"/>
    <n v="143003233"/>
    <s v="SOUTH KING - RENOVATIONS -STR"/>
    <s v="SOUTH KING - RENOVATIONS -STR"/>
    <s v="12/2023"/>
    <n v="1"/>
    <n v="430187.84"/>
    <n v="40782.53"/>
    <n v="389405.31"/>
    <x v="1"/>
    <x v="1"/>
  </r>
  <r>
    <s v="General Plant, Common"/>
    <s v="Common (E &amp; G)"/>
    <s v="S King Svc Complex (PSE) : GPL-SOK"/>
    <n v="33566361"/>
    <s v="C3900 CMN Str/Impv, S King Complex"/>
    <n v="143003233"/>
    <s v="SOUTH KING - RENOVATIONS -STR"/>
    <s v="SOUTH KING - RENOVATIONS -STR"/>
    <s v="12/2023"/>
    <n v="1"/>
    <n v="1301318.29"/>
    <n v="123367.16"/>
    <n v="1177951.1299999999"/>
    <x v="1"/>
    <x v="1"/>
  </r>
  <r>
    <s v="General Plant, Common"/>
    <s v="Common (E &amp; G)"/>
    <s v="S King Svc Complex (PSE) : GPL-SOK"/>
    <n v="33566364"/>
    <s v="C3900 CMN Str/Impv, S King Complex"/>
    <n v="143003233"/>
    <s v="SOUTH KING - RENOVATIONS -STR"/>
    <s v="SOUTH KING - RENOVATIONS -STR"/>
    <s v="12/2023"/>
    <n v="1"/>
    <n v="279622.09000000003"/>
    <n v="26508.639999999999"/>
    <n v="253113.45"/>
    <x v="1"/>
    <x v="1"/>
  </r>
  <r>
    <s v="General Plant, Common"/>
    <s v="Common (E &amp; G)"/>
    <s v="S King Svc Complex (PSE) : GPL-SOK"/>
    <n v="33566367"/>
    <s v="C3900 CMN Str/Impv, S King Complex"/>
    <n v="143003233"/>
    <s v="SOUTH KING - RENOVATIONS -STR"/>
    <s v="SOUTH KING - RENOVATIONS -STR"/>
    <s v="12/2023"/>
    <n v="2"/>
    <n v="4148198.16"/>
    <n v="393256.15"/>
    <n v="3754942.01"/>
    <x v="1"/>
    <x v="1"/>
  </r>
  <r>
    <s v="General Plant, Common"/>
    <s v="Common (E &amp; G)"/>
    <s v="S King Svc Complex (PSE) : GPL-SOK"/>
    <n v="33566372"/>
    <s v="C3900 CMN Str/Impv, S King Complex"/>
    <n v="143003233"/>
    <s v="SOUTH KING - RENOVATIONS -STR"/>
    <s v="SOUTH KING - RENOVATIONS -STR"/>
    <s v="12/2023"/>
    <n v="1"/>
    <n v="301131.48"/>
    <n v="28547.77"/>
    <n v="272583.71000000002"/>
    <x v="1"/>
    <x v="1"/>
  </r>
  <r>
    <s v="General Plant, Common"/>
    <s v="Common (E &amp; G)"/>
    <s v="S King Svc Complex (PSE) : GPL-SOK"/>
    <n v="31559975"/>
    <s v="C3900 CMN Str/Impv, S King Complex"/>
    <n v="143002760"/>
    <s v="SKC NE GATE REPLACEMENT            "/>
    <s v="SKC NE GATE REPLACEMENT"/>
    <s v="12/2023"/>
    <n v="1"/>
    <n v="58352.29"/>
    <n v="5531.9000000000005"/>
    <n v="52820.39"/>
    <x v="1"/>
    <x v="1"/>
  </r>
  <r>
    <s v="General Plant, Common"/>
    <s v="Common (E &amp; G)"/>
    <s v="S King Svc Complex (PSE) : GPL-SOK"/>
    <n v="33566375"/>
    <s v="C3900 CMN Str/Impv, S King Complex"/>
    <n v="143003233"/>
    <s v="SOUTH KING - RENOVATIONS -STR"/>
    <s v="SOUTH KING - RENOVATIONS -STR"/>
    <s v="12/2023"/>
    <n v="1"/>
    <n v="150564.75"/>
    <n v="14273.79"/>
    <n v="136290.96"/>
    <x v="1"/>
    <x v="1"/>
  </r>
  <r>
    <s v="General Plant, Common"/>
    <s v="Common (E &amp; G)"/>
    <s v="S King Svc Complex (PSE) : GPL-SOK"/>
    <n v="33566378"/>
    <s v="C3900 CMN Str/Impv, S King Complex"/>
    <n v="143003233"/>
    <s v="SOUTH KING - RENOVATIONS -STR"/>
    <s v="SOUTH KING - RENOVATIONS -STR"/>
    <s v="12/2023"/>
    <n v="1"/>
    <n v="161319.35"/>
    <n v="15293.35"/>
    <n v="146026"/>
    <x v="1"/>
    <x v="1"/>
  </r>
  <r>
    <s v="General Plant, Common"/>
    <s v="Common (E &amp; G)"/>
    <s v="S King Svc Complex (PSE) : GPL-SOK"/>
    <n v="33566381"/>
    <s v="C3900 CMN Str/Impv, S King Complex"/>
    <n v="143003233"/>
    <s v="SOUTH KING - RENOVATIONS -STR"/>
    <s v="SOUTH KING - RENOVATIONS -STR"/>
    <s v="12/2023"/>
    <n v="1"/>
    <n v="1419610.19"/>
    <n v="134581.43"/>
    <n v="1285028.76"/>
    <x v="1"/>
    <x v="1"/>
  </r>
  <r>
    <s v="General Plant, Common"/>
    <s v="Common (E &amp; G)"/>
    <s v="S King Svc Complex (PSE) : GPL-SOK"/>
    <n v="33566384"/>
    <s v="C3900 CMN Str/Impv, S King Complex"/>
    <n v="143003233"/>
    <s v="SOUTH KING - RENOVATIONS -STR"/>
    <s v="SOUTH KING - RENOVATIONS -STR"/>
    <s v="12/2023"/>
    <n v="1"/>
    <n v="225846.99"/>
    <n v="21410.670000000002"/>
    <n v="204436.32"/>
    <x v="1"/>
    <x v="1"/>
  </r>
  <r>
    <s v="General Plant, Common"/>
    <s v="Common (E &amp; G)"/>
    <s v="S King Svc Complex (PSE) : GPL-SOK"/>
    <n v="33566387"/>
    <s v="C3900 CMN Str/Impv, S King Complex"/>
    <n v="143003233"/>
    <s v="SOUTH KING - RENOVATIONS -STR"/>
    <s v="SOUTH KING - RENOVATIONS -STR"/>
    <s v="12/2023"/>
    <n v="1"/>
    <n v="451694.15"/>
    <n v="42821.36"/>
    <n v="408872.79000000004"/>
    <x v="1"/>
    <x v="1"/>
  </r>
  <r>
    <s v="General Plant, Common"/>
    <s v="Common (E &amp; G)"/>
    <s v="S King Svc Complex (PSE) : GPL-SOK"/>
    <n v="33566390"/>
    <s v="C3900 CMN Str/Impv, S King Complex"/>
    <n v="143003233"/>
    <s v="SOUTH KING - RENOVATIONS -STR"/>
    <s v="SOUTH KING - RENOVATIONS -STR"/>
    <s v="12/2023"/>
    <n v="1"/>
    <n v="193583.2"/>
    <n v="18352.010000000002"/>
    <n v="175231.19"/>
    <x v="1"/>
    <x v="1"/>
  </r>
  <r>
    <s v="General Plant, Common"/>
    <s v="Common (E &amp; G)"/>
    <s v="S King Svc Complex (PSE) : GPL-SOK"/>
    <n v="33566393"/>
    <s v="C3900 CMN Str/Impv, S King Complex"/>
    <n v="143003233"/>
    <s v="SOUTH KING - RENOVATIONS -STR"/>
    <s v="SOUTH KING - RENOVATIONS -STR"/>
    <s v="12/2023"/>
    <n v="1"/>
    <n v="53773.1"/>
    <n v="5097.78"/>
    <n v="48675.32"/>
    <x v="1"/>
    <x v="1"/>
  </r>
  <r>
    <s v="General Plant, Common"/>
    <s v="Common (E &amp; G)"/>
    <s v="S King Svc Complex (PSE) : GPL-SOK"/>
    <n v="33566396"/>
    <s v="C3900 CMN Str/Impv, S King Complex"/>
    <n v="143003233"/>
    <s v="SOUTH KING - RENOVATIONS -STR"/>
    <s v="SOUTH KING - RENOVATIONS -STR"/>
    <s v="12/2023"/>
    <n v="1"/>
    <n v="451694.15"/>
    <n v="42821.36"/>
    <n v="408872.79000000004"/>
    <x v="1"/>
    <x v="1"/>
  </r>
  <r>
    <s v="General Plant, Common"/>
    <s v="Common (E &amp; G)"/>
    <s v="S King Svc Complex (PSE) : GPL-SOK"/>
    <n v="33566399"/>
    <s v="C3900 CMN Str/Impv, S King Complex"/>
    <n v="143003233"/>
    <s v="SOUTH KING - RENOVATIONS -STR"/>
    <s v="SOUTH KING - RENOVATIONS -STR"/>
    <s v="12/2023"/>
    <n v="1"/>
    <n v="1462628.7"/>
    <n v="138659.66"/>
    <n v="1323969.04"/>
    <x v="1"/>
    <x v="1"/>
  </r>
  <r>
    <s v="General Plant, Common"/>
    <s v="Common (E &amp; G)"/>
    <s v="S King Svc Complex (PSE) : GPL-SOK"/>
    <n v="33566402"/>
    <s v="C3900 CMN Str/Impv, S King Complex"/>
    <n v="143003233"/>
    <s v="SOUTH KING - RENOVATIONS -STR"/>
    <s v="SOUTH KING - RENOVATIONS -STR"/>
    <s v="12/2023"/>
    <n v="1"/>
    <n v="322638.68"/>
    <n v="30586.690000000002"/>
    <n v="292051.99"/>
    <x v="1"/>
    <x v="1"/>
  </r>
  <r>
    <s v="General Plant, Common"/>
    <s v="Common (E &amp; G)"/>
    <s v="S King Svc Complex (PSE) : GPL-SOK"/>
    <n v="33566405"/>
    <s v="C3900 CMN Str/Impv, S King Complex"/>
    <n v="143003233"/>
    <s v="SOUTH KING - RENOVATIONS -STR"/>
    <s v="SOUTH KING - RENOVATIONS -STR"/>
    <s v="12/2023"/>
    <n v="1"/>
    <n v="1720739.73"/>
    <n v="163129.01999999999"/>
    <n v="1557610.71"/>
    <x v="1"/>
    <x v="1"/>
  </r>
  <r>
    <s v="General Plant, Common"/>
    <s v="Common (E &amp; G)"/>
    <s v="S King Svc Complex (PSE) : GPL-SOK"/>
    <n v="33566408"/>
    <s v="C3900 CMN Str/Impv, S King Complex"/>
    <n v="143003233"/>
    <s v="SOUTH KING - RENOVATIONS -STR"/>
    <s v="SOUTH KING - RENOVATIONS -STR"/>
    <s v="12/2023"/>
    <n v="1"/>
    <n v="666786.59"/>
    <n v="63212.49"/>
    <n v="603574.1"/>
    <x v="1"/>
    <x v="1"/>
  </r>
  <r>
    <s v="General Plant, Common"/>
    <s v="Common (E &amp; G)"/>
    <s v="S King Svc Complex (PSE) : GPL-SOK"/>
    <n v="33566411"/>
    <s v="C3900 CMN Str/Impv, S King Complex"/>
    <n v="143003233"/>
    <s v="SOUTH KING - RENOVATIONS -STR"/>
    <s v="SOUTH KING - RENOVATIONS -STR"/>
    <s v="12/2023"/>
    <n v="1"/>
    <n v="365657.21"/>
    <n v="34664.92"/>
    <n v="330992.28999999998"/>
    <x v="1"/>
    <x v="1"/>
  </r>
  <r>
    <s v="General Plant, Common"/>
    <s v="Common (E &amp; G)"/>
    <s v="S King Svc Complex (PSE) : GPL-SOK"/>
    <n v="33566414"/>
    <s v="C3900 CMN Str/Impv, S King Complex"/>
    <n v="143003233"/>
    <s v="SOUTH KING - RENOVATIONS -STR"/>
    <s v="SOUTH KING - RENOVATIONS -STR"/>
    <s v="12/2023"/>
    <n v="1"/>
    <n v="247356.31"/>
    <n v="23449.79"/>
    <n v="223906.52000000002"/>
    <x v="1"/>
    <x v="1"/>
  </r>
  <r>
    <s v="General Plant, Common"/>
    <s v="Common (E &amp; G)"/>
    <s v="S King Svc Complex (PSE) : GPL-SOK"/>
    <n v="33311035"/>
    <s v="C3900 CMN Str/Impv, S King Complex"/>
    <n v="143003235"/>
    <s v="SOUTH KING - SECURITY IMPROVEMENTS-"/>
    <s v="SOUTH KING - SECURITY IMPROVEMENTS- STR"/>
    <s v="12/2023"/>
    <n v="1"/>
    <n v="115655.57"/>
    <n v="10964.34"/>
    <n v="104691.23"/>
    <x v="1"/>
    <x v="1"/>
  </r>
  <r>
    <s v="General Plant, Common"/>
    <s v="Common (E &amp; G)"/>
    <s v="S King Svc Complex (PSE) : GPL-SOK"/>
    <n v="51726728"/>
    <s v="C3900 CMN Str/Impv, S King Complex"/>
    <n v="143003483"/>
    <s v="Shuffleton-SKC-Fleet Area Renovatio"/>
    <s v="Shuffleton-SKC-Fleet Area Renovations -"/>
    <s v="12/2023"/>
    <n v="0"/>
    <n v="94847.17"/>
    <n v="7874.81"/>
    <n v="86972.36"/>
    <x v="1"/>
    <x v="0"/>
  </r>
  <r>
    <s v="General Plant, Common"/>
    <s v="Common (E &amp; G)"/>
    <s v="S King Svc Complex (PSE) : GPL-SOK"/>
    <n v="51726733"/>
    <s v="C3900 CMN Str/Impv, S King Complex"/>
    <n v="143003483"/>
    <s v="Shuffleton-SKC-Fleet Area Renovatio"/>
    <s v="Shuffleton-SKC-Fleet Area Renovations -"/>
    <s v="12/2023"/>
    <n v="1"/>
    <n v="951896.98"/>
    <n v="79032.47"/>
    <n v="872864.51"/>
    <x v="1"/>
    <x v="0"/>
  </r>
  <r>
    <s v="General Plant, Common"/>
    <s v="Common (E &amp; G)"/>
    <s v="S King Svc Complex (PSE) : GPL-SOK"/>
    <n v="51726736"/>
    <s v="C3900 CMN Str/Impv, S King Complex"/>
    <n v="143003483"/>
    <s v="Shuffleton-SKC-Fleet Area Renovatio"/>
    <s v="Shuffleton-SKC-Fleet Area Renovations -"/>
    <s v="12/2023"/>
    <n v="0"/>
    <n v="305781.5"/>
    <n v="25387.9"/>
    <n v="280393.60000000003"/>
    <x v="1"/>
    <x v="0"/>
  </r>
  <r>
    <s v="General Plant, Common"/>
    <s v="Common (E &amp; G)"/>
    <s v="S King Svc Complex (PSE) : GPL-SOK"/>
    <n v="51726739"/>
    <s v="C3900 CMN Str/Impv, S King Complex"/>
    <n v="143003483"/>
    <s v="Shuffleton-SKC-Fleet Area Renovatio"/>
    <s v="Shuffleton-SKC-Fleet Area Renovations -"/>
    <s v="12/2023"/>
    <n v="0"/>
    <n v="41015"/>
    <n v="3405.32"/>
    <n v="37609.68"/>
    <x v="1"/>
    <x v="0"/>
  </r>
  <r>
    <s v="General Plant, Common"/>
    <s v="Common (E &amp; G)"/>
    <s v="S King Svc Complex (PSE) : GPL-SOK"/>
    <n v="51726742"/>
    <s v="C3900 CMN Str/Impv, S King Complex"/>
    <n v="143003483"/>
    <s v="Shuffleton-SKC-Fleet Area Renovatio"/>
    <s v="Shuffleton-SKC-Fleet Area Renovations -"/>
    <s v="12/2023"/>
    <n v="0"/>
    <n v="192624"/>
    <n v="15992.86"/>
    <n v="176631.14"/>
    <x v="1"/>
    <x v="0"/>
  </r>
  <r>
    <s v="General Plant, Common"/>
    <s v="Common (E &amp; G)"/>
    <s v="S King Svc Complex (PSE) : GPL-SOK"/>
    <n v="51726745"/>
    <s v="C3900 CMN Str/Impv, S King Complex"/>
    <n v="143003483"/>
    <s v="Shuffleton-SKC-Fleet Area Renovatio"/>
    <s v="Shuffleton-SKC-Fleet Area Renovations -"/>
    <s v="12/2023"/>
    <n v="0"/>
    <n v="235470.05000000002"/>
    <n v="19550.2"/>
    <n v="215919.85"/>
    <x v="1"/>
    <x v="0"/>
  </r>
  <r>
    <s v="General Plant, Common"/>
    <s v="Common (E &amp; G)"/>
    <s v="S King Svc Complex (PSE) : GPL-SOK"/>
    <n v="51726748"/>
    <s v="C3900 CMN Str/Impv, S King Complex"/>
    <n v="143003483"/>
    <s v="Shuffleton-SKC-Fleet Area Renovatio"/>
    <s v="Shuffleton-SKC-Fleet Area Renovations -"/>
    <s v="12/2023"/>
    <n v="0"/>
    <n v="669057.19000000006"/>
    <n v="55549.340000000004"/>
    <n v="613507.85"/>
    <x v="1"/>
    <x v="0"/>
  </r>
  <r>
    <s v="General Plant, Common"/>
    <s v="Common (E &amp; G)"/>
    <s v="S King Svc Complex (PSE) : GPL-SOK"/>
    <n v="51726751"/>
    <s v="C3900 CMN Str/Impv, S King Complex"/>
    <n v="143003483"/>
    <s v="Shuffleton-SKC-Fleet Area Renovatio"/>
    <s v="Shuffleton-SKC-Fleet Area Renovations -"/>
    <s v="12/2023"/>
    <n v="0"/>
    <n v="154904.85"/>
    <n v="12861.17"/>
    <n v="142043.68"/>
    <x v="1"/>
    <x v="0"/>
  </r>
  <r>
    <s v="General Plant, Common"/>
    <s v="Common (E &amp; G)"/>
    <s v="S King Svc Complex (PSE) : GPL-SOK"/>
    <n v="51726754"/>
    <s v="C3900 CMN Str/Impv, S King Complex"/>
    <n v="143003483"/>
    <s v="Shuffleton-SKC-Fleet Area Renovatio"/>
    <s v="Shuffleton-SKC-Fleet Area Renovations -"/>
    <s v="12/2023"/>
    <n v="0"/>
    <n v="105100.96"/>
    <n v="8726.14"/>
    <n v="96374.82"/>
    <x v="1"/>
    <x v="0"/>
  </r>
  <r>
    <s v="General Plant, Common"/>
    <s v="Common (E &amp; G)"/>
    <s v="S King Svc Complex (PSE) : GPL-SOK"/>
    <n v="51726757"/>
    <s v="C3900 CMN Str/Impv, S King Complex"/>
    <n v="143003483"/>
    <s v="Shuffleton-SKC-Fleet Area Renovatio"/>
    <s v="Shuffleton-SKC-Fleet Area Renovations -"/>
    <s v="12/2023"/>
    <n v="0"/>
    <n v="10253.74"/>
    <n v="851.33"/>
    <n v="9402.41"/>
    <x v="1"/>
    <x v="0"/>
  </r>
  <r>
    <s v="General Plant, Common"/>
    <s v="Common (E &amp; G)"/>
    <s v="S King Svc Complex (PSE) : GPL-SOK"/>
    <n v="51726760"/>
    <s v="C3900 CMN Str/Impv, S King Complex"/>
    <n v="143003483"/>
    <s v="Shuffleton-SKC-Fleet Area Renovatio"/>
    <s v="Shuffleton-SKC-Fleet Area Renovations -"/>
    <s v="12/2023"/>
    <n v="0"/>
    <n v="328120.01"/>
    <n v="27242.59"/>
    <n v="300877.42"/>
    <x v="1"/>
    <x v="0"/>
  </r>
  <r>
    <s v="General Plant, Common"/>
    <s v="Common (E &amp; G)"/>
    <s v="S King Svc Complex (PSE) : GPL-SOK"/>
    <n v="51726763"/>
    <s v="C3900 CMN Str/Impv, S King Complex"/>
    <n v="143003483"/>
    <s v="Shuffleton-SKC-Fleet Area Renovatio"/>
    <s v="Shuffleton-SKC-Fleet Area Renovations -"/>
    <s v="12/2023"/>
    <n v="0"/>
    <n v="784778.01"/>
    <n v="65157.21"/>
    <n v="719620.8"/>
    <x v="1"/>
    <x v="0"/>
  </r>
  <r>
    <s v="General Plant, Common"/>
    <s v="Common (E &amp; G)"/>
    <s v="S King Svc Complex (PSE) : GPL-SOK"/>
    <n v="51726766"/>
    <s v="C3900 CMN Str/Impv, S King Complex"/>
    <n v="143003483"/>
    <s v="Shuffleton-SKC-Fleet Area Renovatio"/>
    <s v="Shuffleton-SKC-Fleet Area Renovations -"/>
    <s v="12/2023"/>
    <n v="0"/>
    <n v="21972.28"/>
    <n v="1824.28"/>
    <n v="20148"/>
    <x v="1"/>
    <x v="0"/>
  </r>
  <r>
    <s v="General Plant, Common"/>
    <s v="Common (E &amp; G)"/>
    <s v="S King Svc Complex (PSE) : GPL-SOK"/>
    <n v="51726769"/>
    <s v="C3900 CMN Str/Impv, S King Complex"/>
    <n v="143003483"/>
    <s v="Shuffleton-SKC-Fleet Area Renovatio"/>
    <s v="Shuffleton-SKC-Fleet Area Renovations -"/>
    <s v="12/2023"/>
    <n v="0"/>
    <n v="184567.49"/>
    <n v="15323.95"/>
    <n v="169243.54"/>
    <x v="1"/>
    <x v="0"/>
  </r>
  <r>
    <s v="General Plant, Common"/>
    <s v="Common (E &amp; G)"/>
    <s v="S King Svc Complex (PSE) : GPL-SOK"/>
    <n v="51726772"/>
    <s v="C3900 CMN Str/Impv, S King Complex"/>
    <n v="143003483"/>
    <s v="Shuffleton-SKC-Fleet Area Renovatio"/>
    <s v="Shuffleton-SKC-Fleet Area Renovations -"/>
    <s v="12/2023"/>
    <n v="0"/>
    <n v="54930.81"/>
    <n v="4560.7"/>
    <n v="50370.11"/>
    <x v="1"/>
    <x v="0"/>
  </r>
  <r>
    <s v="General Plant, Common"/>
    <s v="Common (E &amp; G)"/>
    <s v="S King Svc Complex (PSE) : GPL-SOK"/>
    <n v="51726775"/>
    <s v="C3900 CMN Str/Impv, S King Complex"/>
    <n v="143003483"/>
    <s v="Shuffleton-SKC-Fleet Area Renovatio"/>
    <s v="Shuffleton-SKC-Fleet Area Renovations -"/>
    <s v="12/2023"/>
    <n v="0"/>
    <n v="74339.7"/>
    <n v="6172.1500000000005"/>
    <n v="68167.55"/>
    <x v="1"/>
    <x v="0"/>
  </r>
  <r>
    <s v="General Plant, Common"/>
    <s v="Common (E &amp; G)"/>
    <s v="S King Svc Complex (PSE) : GPL-SOK"/>
    <n v="57971835"/>
    <s v="C3900 CMN Str/Impv, S King Complex"/>
    <n v="143003508"/>
    <s v="SHUFFLETON-SKC-MEZZANINE BLD OUT"/>
    <s v="SHUFFLETON-SKC-MEZZANINE BLD OUT"/>
    <s v="12/2023"/>
    <n v="1"/>
    <n v="68450.8"/>
    <n v="5683.22"/>
    <n v="62767.58"/>
    <x v="1"/>
    <x v="0"/>
  </r>
  <r>
    <s v="General Plant, Common"/>
    <s v="Common (E &amp; G)"/>
    <s v="S King Svc Complex (PSE) : GPL-SOK"/>
    <n v="57971838"/>
    <s v="C3900 CMN Str/Impv, S King Complex"/>
    <n v="143003508"/>
    <s v="SHUFFLETON-SKC-MEZZANINE BLD OUT"/>
    <s v="SHUFFLETON-SKC-MEZZANINE BLD OUT"/>
    <s v="12/2023"/>
    <n v="2"/>
    <n v="205352.36000000002"/>
    <n v="17049.64"/>
    <n v="188302.72"/>
    <x v="1"/>
    <x v="0"/>
  </r>
  <r>
    <s v="General Plant, Common"/>
    <s v="Common (E &amp; G)"/>
    <s v="S King Svc Complex (PSE) : GPL-SOK"/>
    <n v="57971841"/>
    <s v="C3900 CMN Str/Impv, S King Complex"/>
    <n v="143003508"/>
    <s v="SHUFFLETON-SKC-MEZZANINE BLD OUT"/>
    <s v="SHUFFLETON-SKC-MEZZANINE BLD OUT"/>
    <s v="12/2023"/>
    <n v="1"/>
    <n v="68450.8"/>
    <n v="5683.22"/>
    <n v="62767.58"/>
    <x v="1"/>
    <x v="0"/>
  </r>
  <r>
    <s v="General Plant, Common"/>
    <s v="Common (E &amp; G)"/>
    <s v="S King Svc Complex (PSE) : GPL-SOK"/>
    <n v="57971844"/>
    <s v="C3900 CMN Str/Impv, S King Complex"/>
    <n v="143003508"/>
    <s v="SHUFFLETON-SKC-MEZZANINE BLD OUT"/>
    <s v="SHUFFLETON-SKC-MEZZANINE BLD OUT"/>
    <s v="12/2023"/>
    <n v="1"/>
    <n v="136901.57"/>
    <n v="11366.43"/>
    <n v="125535.14"/>
    <x v="1"/>
    <x v="0"/>
  </r>
  <r>
    <s v="General Plant, Common"/>
    <s v="Common (E &amp; G)"/>
    <s v="S King Svc Complex (PSE) : GPL-SOK"/>
    <n v="57971847"/>
    <s v="C3900 CMN Str/Impv, S King Complex"/>
    <n v="143003508"/>
    <s v="SHUFFLETON-SKC-MEZZANINE BLD OUT"/>
    <s v="SHUFFLETON-SKC-MEZZANINE BLD OUT"/>
    <s v="12/2023"/>
    <n v="1"/>
    <n v="41070.46"/>
    <n v="3409.9300000000003"/>
    <n v="37660.53"/>
    <x v="1"/>
    <x v="0"/>
  </r>
  <r>
    <s v="General Plant, Common"/>
    <s v="Common (E &amp; G)"/>
    <s v="S King Svc Complex (PSE) : GPL-SOK"/>
    <n v="57971850"/>
    <s v="C3900 CMN Str/Impv, S King Complex"/>
    <n v="143003508"/>
    <s v="SHUFFLETON-SKC-MEZZANINE BLD OUT"/>
    <s v="SHUFFLETON-SKC-MEZZANINE BLD OUT"/>
    <s v="12/2023"/>
    <n v="1"/>
    <n v="136901.57"/>
    <n v="11366.43"/>
    <n v="125535.14"/>
    <x v="1"/>
    <x v="0"/>
  </r>
  <r>
    <s v="General Plant, Common"/>
    <s v="Common (E &amp; G)"/>
    <s v="S King Svc Complex (PSE) : GPL-SOK"/>
    <n v="57971853"/>
    <s v="C3900 CMN Str/Impv, S King Complex"/>
    <n v="143003508"/>
    <s v="SHUFFLETON-SKC-MEZZANINE BLD OUT"/>
    <s v="SHUFFLETON-SKC-MEZZANINE BLD OUT"/>
    <s v="12/2023"/>
    <n v="1"/>
    <n v="68450.8"/>
    <n v="5683.22"/>
    <n v="62767.58"/>
    <x v="1"/>
    <x v="0"/>
  </r>
  <r>
    <s v="General Plant, Common"/>
    <s v="Common (E &amp; G)"/>
    <s v="S King Svc Complex (PSE) : GPL-SOK"/>
    <n v="57971856"/>
    <s v="C3900 CMN Str/Impv, S King Complex"/>
    <n v="143003508"/>
    <s v="SHUFFLETON-SKC-MEZZANINE BLD OUT"/>
    <s v="SHUFFLETON-SKC-MEZZANINE BLD OUT"/>
    <s v="12/2023"/>
    <n v="1"/>
    <n v="27380.3"/>
    <n v="2273.2800000000002"/>
    <n v="25107.02"/>
    <x v="1"/>
    <x v="0"/>
  </r>
  <r>
    <s v="General Plant, Common"/>
    <s v="Common (E &amp; G)"/>
    <s v="S King Svc Complex (PSE) : GPL-SOK"/>
    <n v="57971859"/>
    <s v="C3900 CMN Str/Impv, S King Complex"/>
    <n v="143003508"/>
    <s v="SHUFFLETON-SKC-MEZZANINE BLD OUT"/>
    <s v="SHUFFLETON-SKC-MEZZANINE BLD OUT"/>
    <s v="12/2023"/>
    <n v="1"/>
    <n v="68450.8"/>
    <n v="5683.22"/>
    <n v="62767.58"/>
    <x v="1"/>
    <x v="0"/>
  </r>
  <r>
    <s v="General Plant, Common"/>
    <s v="Common (E &amp; G)"/>
    <s v="Tacoma Office/Shop : GPL-TAC"/>
    <n v="99503"/>
    <s v="C3900 CMN Str/Impv, Tacoma Office"/>
    <s v="CONV"/>
    <m/>
    <m/>
    <s v="12/2023"/>
    <n v="2"/>
    <n v="5548057.8700000001"/>
    <n v="4631355.5999999996"/>
    <n v="916702.27"/>
    <x v="1"/>
    <x v="0"/>
  </r>
  <r>
    <s v="General Plant, Common"/>
    <s v="Common (E &amp; G)"/>
    <s v="Tacoma Office/Shop : GPL-TAC"/>
    <n v="33030"/>
    <s v="C3900 CMN Str/Impv, Tacoma Office"/>
    <s v="CONV"/>
    <m/>
    <m/>
    <s v="12/2023"/>
    <n v="2"/>
    <n v="61335.17"/>
    <n v="47256.66"/>
    <n v="14078.51"/>
    <x v="1"/>
    <x v="0"/>
  </r>
  <r>
    <s v="General Plant, Common"/>
    <s v="Common (E &amp; G)"/>
    <s v="Tacoma Office/Shop : GPL-TAC"/>
    <n v="33031"/>
    <s v="C3900 CMN Str/Impv, Tacoma Office"/>
    <s v="CONV"/>
    <m/>
    <m/>
    <s v="12/2023"/>
    <n v="2"/>
    <n v="27287.86"/>
    <n v="20375.010000000002"/>
    <n v="6912.85"/>
    <x v="1"/>
    <x v="0"/>
  </r>
  <r>
    <s v="General Plant, Common"/>
    <s v="Common (E &amp; G)"/>
    <s v="Tacoma Office/Shop : GPL-TAC"/>
    <n v="33032"/>
    <s v="C3900 CMN Str/Impv, Tacoma Office"/>
    <s v="CONV"/>
    <m/>
    <m/>
    <s v="12/2023"/>
    <n v="1"/>
    <n v="193123.05000000002"/>
    <n v="139386.01999999999"/>
    <n v="53737.03"/>
    <x v="1"/>
    <x v="0"/>
  </r>
  <r>
    <s v="General Plant, Common"/>
    <s v="Common (E &amp; G)"/>
    <s v="Tacoma Office/Shop : GPL-TAC"/>
    <n v="33420"/>
    <s v="C3900 CMN Str/Impv, Tacoma Office"/>
    <s v="CONV"/>
    <m/>
    <m/>
    <s v="12/2023"/>
    <n v="0"/>
    <n v="34750.78"/>
    <n v="25081.279999999999"/>
    <n v="9669.5"/>
    <x v="1"/>
    <x v="0"/>
  </r>
  <r>
    <s v="General Plant, Common"/>
    <s v="Common (E &amp; G)"/>
    <s v="Tacoma Office/Shop : GPL-TAC"/>
    <n v="56324"/>
    <s v="C3900 CMN Str/Impv, Tacoma Office"/>
    <s v="CONV"/>
    <m/>
    <m/>
    <s v="12/2023"/>
    <n v="1"/>
    <n v="73951.91"/>
    <n v="51451.360000000001"/>
    <n v="22500.55"/>
    <x v="1"/>
    <x v="0"/>
  </r>
  <r>
    <s v="General Plant, Common"/>
    <s v="Common (E &amp; G)"/>
    <s v="Tacoma Office/Shop : GPL-TAC"/>
    <n v="56326"/>
    <s v="C3900 CMN Str/Impv, Tacoma Office"/>
    <s v="CONV"/>
    <m/>
    <m/>
    <s v="12/2023"/>
    <n v="3"/>
    <n v="5919.03"/>
    <n v="4118.1099999999997"/>
    <n v="1800.92"/>
    <x v="1"/>
    <x v="0"/>
  </r>
  <r>
    <s v="General Plant, Common"/>
    <s v="Common (E &amp; G)"/>
    <s v="Tacoma Office/Shop : GPL-TAC"/>
    <n v="56327"/>
    <s v="C3900 CMN Str/Impv, Tacoma Office"/>
    <s v="CONV"/>
    <m/>
    <m/>
    <s v="12/2023"/>
    <n v="1"/>
    <n v="33472.14"/>
    <n v="23287.93"/>
    <n v="10184.210000000001"/>
    <x v="1"/>
    <x v="0"/>
  </r>
  <r>
    <s v="General Plant, Common"/>
    <s v="Common (E &amp; G)"/>
    <s v="Tacoma Office/Shop : GPL-TAC"/>
    <n v="56325"/>
    <s v="C3900 CMN Str/Impv, Tacoma Office"/>
    <s v="CONV"/>
    <m/>
    <m/>
    <s v="12/2023"/>
    <n v="2"/>
    <n v="88994.12"/>
    <n v="59510.16"/>
    <n v="29483.96"/>
    <x v="1"/>
    <x v="0"/>
  </r>
  <r>
    <s v="General Plant, Common"/>
    <s v="Common (E &amp; G)"/>
    <s v="Tacoma Office/Shop : GPL-TAC"/>
    <n v="56474"/>
    <s v="C3900 CMN Str/Impv, Tacoma Office"/>
    <s v="CONV"/>
    <m/>
    <m/>
    <s v="12/2023"/>
    <n v="1"/>
    <n v="6188.87"/>
    <n v="4138.4800000000005"/>
    <n v="2050.39"/>
    <x v="1"/>
    <x v="0"/>
  </r>
  <r>
    <s v="General Plant, Common"/>
    <s v="Common (E &amp; G)"/>
    <s v="Tacoma Office/Shop : GPL-TAC"/>
    <n v="57116"/>
    <s v="C3900 CMN Str/Impv, Tacoma Office"/>
    <s v="CONV"/>
    <m/>
    <m/>
    <s v="12/2023"/>
    <n v="1"/>
    <n v="263425.88"/>
    <n v="168770.52"/>
    <n v="94655.360000000001"/>
    <x v="1"/>
    <x v="0"/>
  </r>
  <r>
    <s v="General Plant, Common"/>
    <s v="Common (E &amp; G)"/>
    <s v="Tacoma Office/Shop : GPL-TAC"/>
    <n v="57586"/>
    <s v="C3900 CMN Str/Impv, Tacoma Office"/>
    <s v="CONV"/>
    <m/>
    <m/>
    <s v="12/2023"/>
    <n v="1"/>
    <n v="9723.31"/>
    <n v="6229.49"/>
    <n v="3493.82"/>
    <x v="1"/>
    <x v="0"/>
  </r>
  <r>
    <s v="General Plant, Common"/>
    <s v="Common (E &amp; G)"/>
    <s v="Tacoma Office/Shop : GPL-TAC"/>
    <n v="58232"/>
    <s v="C3900 CMN Str/Impv, Tacoma Office"/>
    <s v="CONV"/>
    <m/>
    <m/>
    <s v="12/2023"/>
    <n v="1"/>
    <n v="6710.59"/>
    <n v="4299.3100000000004"/>
    <n v="2411.2800000000002"/>
    <x v="1"/>
    <x v="0"/>
  </r>
  <r>
    <s v="General Plant, Common"/>
    <s v="Common (E &amp; G)"/>
    <s v="Tacoma Office/Shop : GPL-TAC"/>
    <n v="73093"/>
    <s v="C3900 CMN Str/Impv, Tacoma Office"/>
    <s v="CONV"/>
    <m/>
    <m/>
    <s v="12/2023"/>
    <n v="1"/>
    <n v="13266.12"/>
    <n v="8115.64"/>
    <n v="5150.4800000000005"/>
    <x v="1"/>
    <x v="0"/>
  </r>
  <r>
    <s v="General Plant, Common"/>
    <s v="Common (E &amp; G)"/>
    <s v="Tacoma Office/Shop : GPL-TAC"/>
    <n v="78218"/>
    <s v="C3900 CMN Str/Impv, Tacoma Office"/>
    <s v="CONV"/>
    <m/>
    <m/>
    <s v="12/2023"/>
    <n v="1"/>
    <n v="38062.620000000003"/>
    <n v="20995.13"/>
    <n v="17067.490000000002"/>
    <x v="1"/>
    <x v="2"/>
  </r>
  <r>
    <s v="General Plant, Common"/>
    <s v="Common (E &amp; G)"/>
    <s v="Tacoma Office/Shop : GPL-TAC"/>
    <n v="79172"/>
    <s v="C3900 CMN Str/Impv, Tacoma Office"/>
    <s v="CONV"/>
    <m/>
    <m/>
    <s v="12/2023"/>
    <n v="0"/>
    <n v="146507.01"/>
    <n v="80812.44"/>
    <n v="65694.570000000007"/>
    <x v="1"/>
    <x v="0"/>
  </r>
  <r>
    <s v="General Plant, Common"/>
    <s v="Common (E &amp; G)"/>
    <s v="Tacoma Office/Shop : GPL-TAC"/>
    <n v="79174"/>
    <s v="C3900 CMN Str/Impv, Tacoma Office"/>
    <s v="CONV"/>
    <m/>
    <m/>
    <s v="12/2023"/>
    <n v="0"/>
    <n v="67598.710000000006"/>
    <n v="37287.07"/>
    <n v="30311.64"/>
    <x v="1"/>
    <x v="0"/>
  </r>
  <r>
    <s v="General Plant, Common"/>
    <s v="Common (E &amp; G)"/>
    <s v="Tacoma Office/Shop : GPL-TAC"/>
    <n v="82869"/>
    <s v="C3900 CMN Str/Impv, Tacoma Office"/>
    <s v="CONV"/>
    <m/>
    <m/>
    <s v="12/2023"/>
    <n v="0"/>
    <n v="129885.07"/>
    <n v="67613.48"/>
    <n v="62271.590000000004"/>
    <x v="1"/>
    <x v="0"/>
  </r>
  <r>
    <s v="General Plant, Common"/>
    <s v="Common (E &amp; G)"/>
    <s v="Tacoma Office/Shop : GPL-TAC"/>
    <n v="83200"/>
    <s v="C3900 CMN Str/Impv, Tacoma Office"/>
    <s v="CONV"/>
    <m/>
    <m/>
    <s v="12/2023"/>
    <n v="0"/>
    <n v="450.69"/>
    <n v="220.42000000000002"/>
    <n v="230.27"/>
    <x v="1"/>
    <x v="0"/>
  </r>
  <r>
    <s v="General Plant, Common"/>
    <s v="Common (E &amp; G)"/>
    <s v="Tacoma Office/Shop : GPL-TAC"/>
    <n v="84681"/>
    <s v="C3900 CMN Str/Impv, Tacoma Office"/>
    <s v="CONV"/>
    <m/>
    <m/>
    <s v="12/2023"/>
    <n v="0"/>
    <n v="61162.91"/>
    <n v="29912.920000000002"/>
    <n v="31249.99"/>
    <x v="1"/>
    <x v="0"/>
  </r>
  <r>
    <s v="General Plant, Common"/>
    <s v="Common (E &amp; G)"/>
    <s v="Tacoma Office/Shop : GPL-TAC"/>
    <n v="86030"/>
    <s v="C3900 CMN Str/Impv, Tacoma Office"/>
    <s v="CONV"/>
    <m/>
    <m/>
    <s v="12/2023"/>
    <n v="2"/>
    <n v="6181.56"/>
    <n v="3023.21"/>
    <n v="3158.35"/>
    <x v="1"/>
    <x v="0"/>
  </r>
  <r>
    <s v="General Plant, Common"/>
    <s v="Common (E &amp; G)"/>
    <s v="Tacoma Office/Shop : GPL-TAC"/>
    <n v="93989"/>
    <s v="C3900 CMN Str/Impv, Tacoma Office"/>
    <s v="CONV"/>
    <m/>
    <m/>
    <s v="12/2023"/>
    <n v="1"/>
    <n v="10749.02"/>
    <n v="4914.75"/>
    <n v="5834.27"/>
    <x v="1"/>
    <x v="0"/>
  </r>
  <r>
    <s v="General Plant, Common"/>
    <s v="Common (E &amp; G)"/>
    <s v="Tacoma Office/Shop : GPL-TAC"/>
    <n v="88673"/>
    <s v="C3900 CMN Str/Impv, Tacoma Office"/>
    <s v="CONV"/>
    <m/>
    <m/>
    <s v="12/2023"/>
    <n v="0"/>
    <n v="3205.78"/>
    <n v="1465.77"/>
    <n v="1740.01"/>
    <x v="1"/>
    <x v="0"/>
  </r>
  <r>
    <s v="General Plant, Common"/>
    <s v="Common (E &amp; G)"/>
    <s v="Tacoma Office/Shop : GPL-TAC"/>
    <n v="7093614"/>
    <s v="C3900 CMN Str/Impv, Tacoma Office"/>
    <n v="131203520"/>
    <s v="WALL HEATER AT TACOMA OFFICE"/>
    <s v="WALL HEATER AT TACOMA OFFICE"/>
    <s v="12/2023"/>
    <n v="0"/>
    <n v="2993.39"/>
    <n v="1176.48"/>
    <n v="1816.91"/>
    <x v="1"/>
    <x v="0"/>
  </r>
  <r>
    <s v="General Plant, Common"/>
    <s v="Common (E &amp; G)"/>
    <s v="Tacoma Office/Shop : GPL-TAC"/>
    <n v="7303342"/>
    <s v="C3900 CMN Str/Impv, Tacoma Office"/>
    <n v="131203640"/>
    <s v="TACOMA OFFICE - NEW CCTV SYSTEM"/>
    <s v="TACOMA OFFICE - NEW CCTV SYSTEM"/>
    <s v="12/2023"/>
    <n v="0"/>
    <n v="26332.37"/>
    <n v="10349.27"/>
    <n v="15983.1"/>
    <x v="1"/>
    <x v="2"/>
  </r>
  <r>
    <s v="General Plant, Common"/>
    <s v="Common (E &amp; G)"/>
    <s v="Tacoma Office/Shop : GPL-TAC"/>
    <n v="9459529"/>
    <s v="C3900 CMN Str/Impv, Tacoma Office"/>
    <n v="131204602"/>
    <s v="SECURITY SYSTEM TACOMA WAREHOUSE"/>
    <s v="SECURITY SYSTEM TACOMA WAREHOUSE"/>
    <s v="12/2023"/>
    <n v="0"/>
    <n v="116601.83"/>
    <n v="38377.620000000003"/>
    <n v="78224.210000000006"/>
    <x v="1"/>
    <x v="0"/>
  </r>
  <r>
    <s v="General Plant, Common"/>
    <s v="Common (E &amp; G)"/>
    <s v="Tacoma Office/Shop : GPL-TAC"/>
    <n v="9585032"/>
    <s v="C3900 CMN Str/Impv, Tacoma Office"/>
    <n v="131204585"/>
    <s v="HEAT PUMP-TACOMA OFFICE WAREHOUSE"/>
    <s v="HEAT PUMP-TACOMA OFFICE WAREHOUSE"/>
    <s v="12/2023"/>
    <n v="1"/>
    <n v="7102.77"/>
    <n v="2337.7600000000002"/>
    <n v="4765.01"/>
    <x v="1"/>
    <x v="0"/>
  </r>
  <r>
    <s v="General Plant, Common"/>
    <s v="Common (E &amp; G)"/>
    <s v="Tacoma Office/Shop : GPL-TAC"/>
    <n v="10911907"/>
    <s v="C3900 CMN Str/Impv, Tacoma Office"/>
    <n v="143000481"/>
    <s v="TACOMA SHOP - REPLACE (8) REZNOR HE"/>
    <s v="TACOMA SHOP - REPLACE (8) REZNOR HEATERS"/>
    <s v="12/2023"/>
    <n v="8"/>
    <n v="23221.5"/>
    <n v="7642.9800000000005"/>
    <n v="15578.52"/>
    <x v="1"/>
    <x v="0"/>
  </r>
  <r>
    <s v="General Plant, Common"/>
    <s v="Common (E &amp; G)"/>
    <s v="Tacoma Office/Shop : GPL-TAC"/>
    <n v="10961045"/>
    <s v="C3900 CMN Str/Impv, Tacoma Office"/>
    <n v="131204480"/>
    <s v="SECURITY SYSTEM TACOMA OFFICE COMPL"/>
    <s v="SECURITY SYSTEM TACOMA OFFICE COMPLEX"/>
    <s v="12/2023"/>
    <n v="1"/>
    <n v="124355.89"/>
    <n v="37015.93"/>
    <n v="87339.96"/>
    <x v="1"/>
    <x v="2"/>
  </r>
  <r>
    <s v="General Plant, Common"/>
    <s v="Common (E &amp; G)"/>
    <s v="Tacoma Office/Shop : GPL-TAC"/>
    <n v="11033386"/>
    <s v="C3900 CMN Str/Impv, Tacoma Office"/>
    <n v="143000280"/>
    <s v="TACOMA MAIN GATE REPLACEMENT"/>
    <s v="TACOMA MAIN GATE REPLACEMENT"/>
    <s v="12/2023"/>
    <n v="1"/>
    <n v="46237.03"/>
    <n v="15218.18"/>
    <n v="31018.850000000002"/>
    <x v="1"/>
    <x v="0"/>
  </r>
  <r>
    <s v="General Plant, Common"/>
    <s v="Common (E &amp; G)"/>
    <s v="Tacoma Office/Shop : GPL-TAC"/>
    <n v="11404076"/>
    <s v="C3900 CMN Str/Impv, Tacoma Office"/>
    <n v="143000720"/>
    <s v="TACOMA SHOP - HEATER IN METER TEST "/>
    <s v="TACOMA SHOP - HEATER IN METER TEST AREA"/>
    <s v="12/2023"/>
    <n v="1"/>
    <n v="4022.03"/>
    <n v="1197.2"/>
    <n v="2824.83"/>
    <x v="1"/>
    <x v="0"/>
  </r>
  <r>
    <s v="General Plant, Common"/>
    <s v="Common (E &amp; G)"/>
    <s v="Tacoma Office/Shop : GPL-TAC"/>
    <n v="11952901"/>
    <s v="C3900 CMN Str/Impv, Tacoma Office"/>
    <n v="143000960"/>
    <s v="TACOMA OFFICE - IT ROOM A/C REPLACE"/>
    <s v="TACOMA OFFICE - IT ROOM A/C REPLACEMENT"/>
    <s v="12/2023"/>
    <n v="1"/>
    <n v="10068.460000000001"/>
    <n v="2996.9900000000002"/>
    <n v="7071.47"/>
    <x v="1"/>
    <x v="0"/>
  </r>
  <r>
    <s v="General Plant, Common"/>
    <s v="Common (E &amp; G)"/>
    <s v="Tacoma Office/Shop : GPL-TAC"/>
    <n v="20785210"/>
    <s v="C3900 CMN Str/Impv, Tacoma Office"/>
    <n v="143002023"/>
    <s v="TACOMA WAREHOUSE REPLACE HVAC SYSTE"/>
    <s v="TACOMA WAREHOUSE REPLACE HVAC SYSTEM IN"/>
    <s v="12/2023"/>
    <n v="0"/>
    <n v="29464.639999999999"/>
    <n v="6093.17"/>
    <n v="23371.47"/>
    <x v="1"/>
    <x v="0"/>
  </r>
  <r>
    <s v="General Plant, Common"/>
    <s v="Common (E &amp; G)"/>
    <s v="Tacoma Office/Shop : GPL-TAC"/>
    <n v="25098585"/>
    <s v="C3900 CMN Str/Impv, Tacoma Office"/>
    <n v="143002231"/>
    <s v="TACOMA OFFICE ELEVATOR REPLACEMENT"/>
    <s v="TACOMA OFFICE ELEVATOR REPLACEMENT"/>
    <s v="12/2023"/>
    <n v="1"/>
    <n v="223424.46"/>
    <n v="39794.910000000003"/>
    <n v="183629.55000000002"/>
    <x v="1"/>
    <x v="0"/>
  </r>
  <r>
    <s v="General Plant, Common"/>
    <s v="Common (E &amp; G)"/>
    <s v="Tacoma Office/Shop : GPL-TAC"/>
    <n v="30850587"/>
    <s v="C3900 CMN Str/Impv, Tacoma Office"/>
    <n v="143002551"/>
    <s v="TACOMA ANNEX FIRE ALARM SYSTEM ADDI"/>
    <s v="TACOMA ANNEX FIRE ALARM SYSTEM ADDITION"/>
    <s v="12/2023"/>
    <n v="1"/>
    <n v="43174.23"/>
    <n v="6494.45"/>
    <n v="36679.78"/>
    <x v="1"/>
    <x v="0"/>
  </r>
  <r>
    <s v="General Plant, Common"/>
    <s v="Common (E &amp; G)"/>
    <s v="Tacoma Office/Shop : GPL-TAC"/>
    <n v="31188926"/>
    <s v="C3900 CMN Str/Impv, Tacoma Office"/>
    <n v="143002704"/>
    <s v="TACOMA ANNEX ROOF REPLACEMENT      "/>
    <s v="TACOMA ANNEX ROOF REPLACEMENT"/>
    <s v="12/2023"/>
    <n v="1"/>
    <n v="25871.260000000002"/>
    <n v="3891.67"/>
    <n v="21979.59"/>
    <x v="1"/>
    <x v="0"/>
  </r>
  <r>
    <s v="General Plant, Common"/>
    <s v="Common (E &amp; G)"/>
    <s v="Tacoma Office/Shop : GPL-TAC"/>
    <n v="33566424"/>
    <s v="C3900 CMN Str/Impv, Tacoma Office"/>
    <n v="143003704"/>
    <s v="TACOMA OFFICE FIRE ALARM REPLACEMEN"/>
    <s v="TACOMA OFFICE FIRE ALARM REPLACEMENT- ST"/>
    <s v="12/2023"/>
    <n v="1"/>
    <n v="125926.40000000001"/>
    <n v="18942.39"/>
    <n v="106984.01000000001"/>
    <x v="1"/>
    <x v="0"/>
  </r>
  <r>
    <s v="General Plant, Common"/>
    <s v="Common (E &amp; G)"/>
    <s v="Tacoma Office/Shop : GPL-TAC"/>
    <n v="33702558"/>
    <s v="C3900 CMN Str/Impv, Tacoma Office"/>
    <n v="143003822"/>
    <s v="TACOMA WELD SHOP - PHASE 2- STR"/>
    <s v="TACOMA WELD SHOP - PHASE 2- STR"/>
    <s v="12/2023"/>
    <n v="17"/>
    <n v="897753.51"/>
    <n v="135043.96"/>
    <n v="762709.55"/>
    <x v="1"/>
    <x v="0"/>
  </r>
  <r>
    <s v="General Plant, Common"/>
    <s v="Common (E &amp; G)"/>
    <s v="Commeq - Cougar Mtn : GPL-CMT"/>
    <n v="11406945"/>
    <s v="C3900 CMN Structure &amp; Improvement"/>
    <s v="CONV"/>
    <m/>
    <m/>
    <s v="12/2023"/>
    <n v="1"/>
    <n v="1452.69"/>
    <n v="1398.53"/>
    <n v="54.160000000000004"/>
    <x v="1"/>
    <x v="0"/>
  </r>
  <r>
    <s v="General Plant, Common"/>
    <s v="Common (E &amp; G)"/>
    <s v="Commeq - Cougar Mtn : GPL-CMT"/>
    <n v="11406942"/>
    <s v="C3900 CMN Structure &amp; Improvement"/>
    <s v="CONV"/>
    <m/>
    <m/>
    <s v="12/2023"/>
    <n v="1"/>
    <n v="987.23"/>
    <n v="910.33"/>
    <n v="76.900000000000006"/>
    <x v="1"/>
    <x v="0"/>
  </r>
  <r>
    <s v="General Plant, Common"/>
    <s v="Common (E &amp; G)"/>
    <s v="Lake Tapps Co Camp : GPL-LTP"/>
    <n v="33353"/>
    <s v="C3900 CMN Structure &amp; Improvement"/>
    <s v="CONV"/>
    <m/>
    <m/>
    <s v="12/2023"/>
    <n v="1"/>
    <n v="385.79"/>
    <n v="353.36"/>
    <n v="32.43"/>
    <x v="1"/>
    <x v="0"/>
  </r>
  <r>
    <s v="General Plant, Common"/>
    <s v="Common (E &amp; G)"/>
    <s v="Commeq - Cougar Mtn : GPL-CMT"/>
    <n v="11406939"/>
    <s v="C3900 CMN Structure &amp; Improvement"/>
    <s v="CONV"/>
    <m/>
    <m/>
    <s v="12/2023"/>
    <n v="1"/>
    <n v="10512.85"/>
    <n v="9629.17"/>
    <n v="883.68000000000006"/>
    <x v="1"/>
    <x v="0"/>
  </r>
  <r>
    <s v="General Plant, Common"/>
    <s v="Common (E &amp; G)"/>
    <s v="Lake Tapps Co Camp : GPL-LTP"/>
    <n v="33354"/>
    <s v="C3900 CMN Structure &amp; Improvement"/>
    <s v="CONV"/>
    <m/>
    <m/>
    <s v="12/2023"/>
    <n v="1"/>
    <n v="1901.99"/>
    <n v="1729.79"/>
    <n v="172.20000000000002"/>
    <x v="1"/>
    <x v="0"/>
  </r>
  <r>
    <s v="General Plant, Common"/>
    <s v="Common (E &amp; G)"/>
    <s v="Commeq - Cougar Mtn : GPL-CMT"/>
    <n v="11406940"/>
    <s v="C3900 CMN Structure &amp; Improvement"/>
    <s v="CONV"/>
    <m/>
    <m/>
    <s v="12/2023"/>
    <n v="1"/>
    <n v="1973.52"/>
    <n v="1794.8400000000001"/>
    <n v="178.68"/>
    <x v="1"/>
    <x v="0"/>
  </r>
  <r>
    <s v="General Plant, Common"/>
    <s v="Common (E &amp; G)"/>
    <s v="Lake Tapps Co Camp : GPL-LTP"/>
    <n v="33459"/>
    <s v="C3900 CMN Structure &amp; Improvement"/>
    <s v="CONV"/>
    <m/>
    <m/>
    <s v="12/2023"/>
    <n v="0"/>
    <n v="3181.52"/>
    <n v="2871.85"/>
    <n v="309.67"/>
    <x v="1"/>
    <x v="0"/>
  </r>
  <r>
    <s v="General Plant, Common"/>
    <s v="Common (E &amp; G)"/>
    <s v="Commeq - Cougar Mtn : GPL-CMT"/>
    <n v="11406937"/>
    <s v="C3900 CMN Structure &amp; Improvement"/>
    <s v="CONV"/>
    <m/>
    <m/>
    <s v="12/2023"/>
    <n v="1"/>
    <n v="2416.98"/>
    <n v="2181.73"/>
    <n v="235.25"/>
    <x v="1"/>
    <x v="0"/>
  </r>
  <r>
    <s v="General Plant, Common"/>
    <s v="Common (E &amp; G)"/>
    <s v="Lake Tapps Co Camp : GPL-LTP"/>
    <n v="33460"/>
    <s v="C3900 CMN Structure &amp; Improvement"/>
    <s v="CONV"/>
    <m/>
    <m/>
    <s v="12/2023"/>
    <n v="1"/>
    <n v="10552.29"/>
    <n v="9371.33"/>
    <n v="1180.96"/>
    <x v="1"/>
    <x v="0"/>
  </r>
  <r>
    <s v="General Plant, Common"/>
    <s v="Common (E &amp; G)"/>
    <s v="Lake Tapps Co Camp : GPL-LTP"/>
    <n v="33461"/>
    <s v="C3900 CMN Structure &amp; Improvement"/>
    <s v="CONV"/>
    <m/>
    <m/>
    <s v="12/2023"/>
    <n v="1"/>
    <n v="714.93000000000006"/>
    <n v="629.34"/>
    <n v="85.59"/>
    <x v="1"/>
    <x v="0"/>
  </r>
  <r>
    <s v="General Plant, Common"/>
    <s v="Common (E &amp; G)"/>
    <s v="Lake Tapps Co Camp : GPL-LTP"/>
    <n v="94605"/>
    <s v="C3900 CMN Structure &amp; Improvement"/>
    <s v="CONV"/>
    <m/>
    <m/>
    <s v="12/2023"/>
    <n v="1"/>
    <n v="3483.58"/>
    <n v="3038.06"/>
    <n v="445.52"/>
    <x v="1"/>
    <x v="0"/>
  </r>
  <r>
    <s v="General Plant, Common"/>
    <s v="Common (E &amp; G)"/>
    <s v="Lake Tapps Co Camp : GPL-LTP"/>
    <n v="33462"/>
    <s v="C3900 CMN Structure &amp; Improvement"/>
    <s v="CONV"/>
    <m/>
    <m/>
    <s v="12/2023"/>
    <n v="1"/>
    <n v="122.60000000000001"/>
    <n v="105.87"/>
    <n v="16.73"/>
    <x v="1"/>
    <x v="0"/>
  </r>
  <r>
    <s v="General Plant, Common"/>
    <s v="Common (E &amp; G)"/>
    <s v="Commeq - Cougar Mtn : GPL-CMT"/>
    <n v="11406946"/>
    <s v="C3900 CMN Structure &amp; Improvement"/>
    <s v="CONV"/>
    <m/>
    <m/>
    <s v="12/2023"/>
    <n v="1"/>
    <n v="363.73"/>
    <n v="314.11"/>
    <n v="49.620000000000005"/>
    <x v="1"/>
    <x v="0"/>
  </r>
  <r>
    <s v="General Plant, Common"/>
    <s v="Common (E &amp; G)"/>
    <s v="Lake Tapps Co Camp : GPL-LTP"/>
    <n v="33463"/>
    <s v="C3900 CMN Structure &amp; Improvement"/>
    <s v="CONV"/>
    <m/>
    <m/>
    <s v="12/2023"/>
    <n v="1"/>
    <n v="1136.29"/>
    <n v="971.14"/>
    <n v="165.15"/>
    <x v="1"/>
    <x v="0"/>
  </r>
  <r>
    <s v="General Plant, Common"/>
    <s v="Common (E &amp; G)"/>
    <s v="Lake Tapps Co Camp : GPL-LTP"/>
    <n v="78532"/>
    <s v="C3900 CMN Structure &amp; Improvement"/>
    <s v="CONV"/>
    <m/>
    <m/>
    <s v="12/2023"/>
    <n v="1"/>
    <n v="48712.21"/>
    <n v="41180.33"/>
    <n v="7531.88"/>
    <x v="1"/>
    <x v="0"/>
  </r>
  <r>
    <s v="General Plant, Common"/>
    <s v="Common (E &amp; G)"/>
    <s v="Lake Tapps Co Camp : GPL-LTP"/>
    <n v="78533"/>
    <s v="C3900 CMN Structure &amp; Improvement"/>
    <s v="CONV"/>
    <m/>
    <m/>
    <s v="12/2023"/>
    <n v="2"/>
    <n v="16303.18"/>
    <n v="13782.380000000001"/>
    <n v="2520.8000000000002"/>
    <x v="1"/>
    <x v="0"/>
  </r>
  <r>
    <s v="General Plant, Common"/>
    <s v="Common (E &amp; G)"/>
    <s v="Lake Tapps Co Camp : GPL-LTP"/>
    <n v="78534"/>
    <s v="C3900 CMN Structure &amp; Improvement"/>
    <s v="CONV"/>
    <m/>
    <m/>
    <s v="12/2023"/>
    <n v="1"/>
    <n v="14952.5"/>
    <n v="12640.54"/>
    <n v="2311.96"/>
    <x v="1"/>
    <x v="0"/>
  </r>
  <r>
    <s v="General Plant, Common"/>
    <s v="Common (E &amp; G)"/>
    <s v="Lake Tapps Co Camp : GPL-LTP"/>
    <n v="99408"/>
    <s v="C3900 CMN Structure &amp; Improvement"/>
    <s v="CONV"/>
    <m/>
    <m/>
    <s v="12/2023"/>
    <n v="8"/>
    <n v="72149.45"/>
    <n v="60993.700000000004"/>
    <n v="11155.75"/>
    <x v="1"/>
    <x v="0"/>
  </r>
  <r>
    <s v="General Plant, Common"/>
    <s v="Common (E &amp; G)"/>
    <s v="Lake Tapps Co Camp : GPL-LTP"/>
    <n v="104916"/>
    <s v="C3900 CMN Structure &amp; Improvement"/>
    <s v="CONV"/>
    <m/>
    <m/>
    <s v="12/2023"/>
    <n v="1"/>
    <n v="19262.61"/>
    <n v="16098.32"/>
    <n v="3164.29"/>
    <x v="1"/>
    <x v="0"/>
  </r>
  <r>
    <s v="General Plant, Common"/>
    <s v="Common (E &amp; G)"/>
    <s v="Lake Tapps Co Camp : GPL-LTP"/>
    <n v="33464"/>
    <s v="C3900 CMN Structure &amp; Improvement"/>
    <s v="CONV"/>
    <m/>
    <m/>
    <s v="12/2023"/>
    <n v="1"/>
    <n v="5449.1500000000005"/>
    <n v="4554.01"/>
    <n v="895.14"/>
    <x v="1"/>
    <x v="0"/>
  </r>
  <r>
    <s v="General Plant, Common"/>
    <s v="Common (E &amp; G)"/>
    <s v="Lake Tapps Co Camp : GPL-LTP"/>
    <n v="33465"/>
    <s v="C3900 CMN Structure &amp; Improvement"/>
    <s v="CONV"/>
    <m/>
    <m/>
    <s v="12/2023"/>
    <n v="1"/>
    <n v="181.17000000000002"/>
    <n v="149.59"/>
    <n v="31.580000000000002"/>
    <x v="1"/>
    <x v="0"/>
  </r>
  <r>
    <s v="General Plant, Common"/>
    <s v="Common (E &amp; G)"/>
    <s v="Lake Tapps Co Camp : GPL-LTP"/>
    <n v="33466"/>
    <s v="C3900 CMN Structure &amp; Improvement"/>
    <s v="CONV"/>
    <m/>
    <m/>
    <s v="12/2023"/>
    <n v="0"/>
    <n v="50.64"/>
    <n v="40.18"/>
    <n v="10.46"/>
    <x v="1"/>
    <x v="0"/>
  </r>
  <r>
    <s v="General Plant, Common"/>
    <s v="Common (E &amp; G)"/>
    <s v="Svc Shop&amp;Storage Bldg(@Lakeside Substn) : GPL-BLD"/>
    <n v="84968"/>
    <s v="C3900 CMN Structure &amp; Improvement"/>
    <s v="CONV"/>
    <m/>
    <m/>
    <s v="12/2023"/>
    <n v="0"/>
    <n v="53738.3"/>
    <n v="41376.86"/>
    <n v="12361.44"/>
    <x v="1"/>
    <x v="1"/>
  </r>
  <r>
    <s v="General Plant, Common"/>
    <s v="Common (E &amp; G)"/>
    <s v="Lake Tapps Co Camp : GPL-LTP"/>
    <n v="33467"/>
    <s v="C3900 CMN Structure &amp; Improvement"/>
    <s v="CONV"/>
    <m/>
    <m/>
    <s v="12/2023"/>
    <n v="1"/>
    <n v="21678.720000000001"/>
    <n v="16691.96"/>
    <n v="4986.76"/>
    <x v="1"/>
    <x v="0"/>
  </r>
  <r>
    <s v="General Plant, Common"/>
    <s v="Common (E &amp; G)"/>
    <s v="Commeq - Cougar Mtn : GPL-CMT"/>
    <n v="11406943"/>
    <s v="C3900 CMN Structure &amp; Improvement"/>
    <s v="CONV"/>
    <m/>
    <m/>
    <s v="12/2023"/>
    <n v="1"/>
    <n v="73.540000000000006"/>
    <n v="56.620000000000005"/>
    <n v="16.920000000000002"/>
    <x v="1"/>
    <x v="0"/>
  </r>
  <r>
    <s v="General Plant, Common"/>
    <s v="Common (E &amp; G)"/>
    <s v="North King Svc Cntr (Redmond): GPL-NOK"/>
    <n v="19965316"/>
    <s v="C3900 CMN Structure &amp; Improvement"/>
    <s v="CONV"/>
    <m/>
    <m/>
    <s v="12/2023"/>
    <n v="1"/>
    <n v="1789015.49"/>
    <n v="1377487.52"/>
    <n v="411527.97000000003"/>
    <x v="1"/>
    <x v="1"/>
  </r>
  <r>
    <s v="General Plant, Common"/>
    <s v="Common (E &amp; G)"/>
    <s v="Lake Tapps Co Camp : GPL-LTP"/>
    <n v="33468"/>
    <s v="C3900 CMN Structure &amp; Improvement"/>
    <s v="CONV"/>
    <m/>
    <m/>
    <s v="12/2023"/>
    <n v="0"/>
    <n v="10418.32"/>
    <n v="7894.3200000000006"/>
    <n v="2524"/>
    <x v="1"/>
    <x v="0"/>
  </r>
  <r>
    <s v="General Plant, Common"/>
    <s v="Common (E &amp; G)"/>
    <s v="North King Svc Cntr (Redmond): GPL-NOK"/>
    <n v="19965329"/>
    <s v="C3900 CMN Structure &amp; Improvement"/>
    <s v="CONV"/>
    <m/>
    <m/>
    <s v="12/2023"/>
    <n v="1"/>
    <n v="397585.15"/>
    <n v="301264.16000000003"/>
    <n v="96320.99"/>
    <x v="1"/>
    <x v="1"/>
  </r>
  <r>
    <s v="General Plant, Common"/>
    <s v="Common (E &amp; G)"/>
    <s v="North King Svc Cntr (Redmond): GPL-NOK"/>
    <n v="19965342"/>
    <s v="C3900 CMN Structure &amp; Improvement"/>
    <s v="CONV"/>
    <m/>
    <m/>
    <s v="12/2023"/>
    <n v="1"/>
    <n v="26393.09"/>
    <n v="19666.78"/>
    <n v="6726.31"/>
    <x v="1"/>
    <x v="1"/>
  </r>
  <r>
    <s v="General Plant, Common"/>
    <s v="Common (E &amp; G)"/>
    <s v="Commeq - Cougar Mtn : GPL-CMT"/>
    <n v="11406941"/>
    <s v="C3900 CMN Structure &amp; Improvement"/>
    <s v="CONV"/>
    <m/>
    <m/>
    <s v="12/2023"/>
    <n v="1"/>
    <n v="20338.189999999999"/>
    <n v="14892.09"/>
    <n v="5446.1"/>
    <x v="1"/>
    <x v="0"/>
  </r>
  <r>
    <s v="General Plant, Common"/>
    <s v="Common (E &amp; G)"/>
    <s v="North King Svc Cntr (Redmond): GPL-NOK"/>
    <n v="19965238"/>
    <s v="C3900 CMN Structure &amp; Improvement"/>
    <s v="CONV"/>
    <m/>
    <m/>
    <s v="12/2023"/>
    <n v="1"/>
    <n v="32872.92"/>
    <n v="24070.3"/>
    <n v="8802.6200000000008"/>
    <x v="1"/>
    <x v="1"/>
  </r>
  <r>
    <s v="General Plant, Common"/>
    <s v="Common (E &amp; G)"/>
    <s v="Lake Tapps Co Camp : GPL-LTP"/>
    <n v="33469"/>
    <s v="C3900 CMN Structure &amp; Improvement"/>
    <s v="CONV"/>
    <m/>
    <m/>
    <s v="12/2023"/>
    <n v="1"/>
    <n v="973.30000000000007"/>
    <n v="699.77"/>
    <n v="273.53000000000003"/>
    <x v="1"/>
    <x v="0"/>
  </r>
  <r>
    <s v="General Plant, Common"/>
    <s v="Common (E &amp; G)"/>
    <s v="Commeq - Cougar Mtn : GPL-CMT"/>
    <n v="11406947"/>
    <s v="C3900 CMN Structure &amp; Improvement"/>
    <s v="CONV"/>
    <m/>
    <m/>
    <s v="12/2023"/>
    <n v="1"/>
    <n v="8408.880000000001"/>
    <n v="6045.67"/>
    <n v="2363.21"/>
    <x v="1"/>
    <x v="0"/>
  </r>
  <r>
    <s v="General Plant, Common"/>
    <s v="Common (E &amp; G)"/>
    <s v="Lake Tapps Co Camp : GPL-LTP"/>
    <n v="33470"/>
    <s v="C3900 CMN Structure &amp; Improvement"/>
    <s v="CONV"/>
    <m/>
    <m/>
    <s v="12/2023"/>
    <n v="1"/>
    <n v="14166.48"/>
    <n v="9992.65"/>
    <n v="4173.83"/>
    <x v="1"/>
    <x v="0"/>
  </r>
  <r>
    <s v="General Plant, Common"/>
    <s v="Common (E &amp; G)"/>
    <s v="Commeq - Cougar Mtn : GPL-CMT"/>
    <n v="11406944"/>
    <s v="C3900 CMN Structure &amp; Improvement"/>
    <s v="CONV"/>
    <m/>
    <m/>
    <s v="12/2023"/>
    <n v="1"/>
    <n v="2533.15"/>
    <n v="1786.82"/>
    <n v="746.33"/>
    <x v="1"/>
    <x v="0"/>
  </r>
  <r>
    <s v="General Plant, Common"/>
    <s v="Common (E &amp; G)"/>
    <s v="North King Svc Cntr (Redmond): GPL-NOK"/>
    <n v="19965251"/>
    <s v="C3900 CMN Structure &amp; Improvement"/>
    <s v="CONV"/>
    <m/>
    <m/>
    <s v="12/2023"/>
    <n v="1"/>
    <n v="5109.3500000000004"/>
    <n v="3604"/>
    <n v="1505.3500000000001"/>
    <x v="1"/>
    <x v="1"/>
  </r>
  <r>
    <s v="General Plant, Common"/>
    <s v="Common (E &amp; G)"/>
    <s v="North King Svc Cntr (Redmond): GPL-NOK"/>
    <n v="19965264"/>
    <s v="C3900 CMN Structure &amp; Improvement"/>
    <s v="CONV"/>
    <m/>
    <m/>
    <s v="12/2023"/>
    <n v="1"/>
    <n v="3574.16"/>
    <n v="2471.42"/>
    <n v="1102.74"/>
    <x v="1"/>
    <x v="1"/>
  </r>
  <r>
    <s v="General Plant, Common"/>
    <s v="Common (E &amp; G)"/>
    <s v="Lake Tapps Co Camp : GPL-LTP"/>
    <n v="33471"/>
    <s v="C3900 CMN Structure &amp; Improvement"/>
    <s v="CONV"/>
    <m/>
    <m/>
    <s v="12/2023"/>
    <n v="1"/>
    <n v="150891.51999999999"/>
    <n v="102189.49"/>
    <n v="48702.03"/>
    <x v="1"/>
    <x v="0"/>
  </r>
  <r>
    <s v="General Plant, Common"/>
    <s v="Common (E &amp; G)"/>
    <s v="Lake Tapps Co Camp : GPL-LTP"/>
    <n v="33552"/>
    <s v="C3900 CMN Structure &amp; Improvement"/>
    <s v="CONV"/>
    <m/>
    <m/>
    <s v="12/2023"/>
    <n v="1"/>
    <n v="1029.3600000000001"/>
    <n v="697.12"/>
    <n v="332.24"/>
    <x v="1"/>
    <x v="0"/>
  </r>
  <r>
    <s v="General Plant, Common"/>
    <s v="Common (E &amp; G)"/>
    <s v="North King Svc Cntr (Redmond): GPL-NOK"/>
    <n v="19965277"/>
    <s v="C3900 CMN Structure &amp; Improvement"/>
    <s v="CONV"/>
    <m/>
    <m/>
    <s v="12/2023"/>
    <n v="1"/>
    <n v="103621.04000000001"/>
    <n v="70176.12"/>
    <n v="33444.92"/>
    <x v="1"/>
    <x v="1"/>
  </r>
  <r>
    <s v="General Plant, Common"/>
    <s v="Common (E &amp; G)"/>
    <s v="Lake Tapps Co Camp : GPL-LTP"/>
    <n v="33553"/>
    <s v="C3900 CMN Structure &amp; Improvement"/>
    <s v="CONV"/>
    <m/>
    <m/>
    <s v="12/2023"/>
    <n v="1"/>
    <n v="486.81"/>
    <n v="322.61"/>
    <n v="164.20000000000002"/>
    <x v="1"/>
    <x v="0"/>
  </r>
  <r>
    <s v="General Plant, Common"/>
    <s v="Common (E &amp; G)"/>
    <s v="Commeq - Olympia : GPL-OLM"/>
    <n v="11406956"/>
    <s v="C3900 CMN Structure &amp; Improvement"/>
    <s v="CONV"/>
    <m/>
    <m/>
    <s v="12/2023"/>
    <n v="1"/>
    <n v="60937.66"/>
    <n v="40383.5"/>
    <n v="20554.16"/>
    <x v="1"/>
    <x v="0"/>
  </r>
  <r>
    <s v="General Plant, Common"/>
    <s v="Common (E &amp; G)"/>
    <s v="North King Svc Cntr (Redmond): GPL-NOK"/>
    <n v="19965290"/>
    <s v="C3900 CMN Structure &amp; Improvement"/>
    <s v="CONV"/>
    <m/>
    <m/>
    <s v="12/2023"/>
    <n v="1"/>
    <n v="54536.19"/>
    <n v="36141.230000000003"/>
    <n v="18394.96"/>
    <x v="1"/>
    <x v="1"/>
  </r>
  <r>
    <s v="General Plant, Common"/>
    <s v="Common (E &amp; G)"/>
    <s v="Lake Tapps Co Camp : GPL-LTP"/>
    <n v="90052"/>
    <s v="C3900 CMN Structure &amp; Improvement"/>
    <s v="CONV"/>
    <m/>
    <m/>
    <s v="12/2023"/>
    <n v="1"/>
    <n v="30676.560000000001"/>
    <n v="19874.330000000002"/>
    <n v="10802.23"/>
    <x v="1"/>
    <x v="0"/>
  </r>
  <r>
    <s v="General Plant, Common"/>
    <s v="Common (E &amp; G)"/>
    <s v="North King Svc Cntr (Redmond): GPL-NOK"/>
    <n v="19965303"/>
    <s v="C3900 CMN Structure &amp; Improvement"/>
    <s v="CONV"/>
    <m/>
    <m/>
    <s v="12/2023"/>
    <n v="1"/>
    <n v="43575.88"/>
    <n v="28231.37"/>
    <n v="15344.51"/>
    <x v="1"/>
    <x v="1"/>
  </r>
  <r>
    <s v="General Plant, Common"/>
    <s v="Common (E &amp; G)"/>
    <s v="North King Svc Cntr (Redmond): GPL-NOK"/>
    <n v="19965355"/>
    <s v="C3900 CMN Structure &amp; Improvement"/>
    <s v="CONV"/>
    <m/>
    <m/>
    <s v="12/2023"/>
    <n v="1"/>
    <n v="69463.55"/>
    <n v="45003.14"/>
    <n v="24460.41"/>
    <x v="1"/>
    <x v="1"/>
  </r>
  <r>
    <s v="General Plant, Common"/>
    <s v="Common (E &amp; G)"/>
    <s v="General Plant, King County outside RTA District, WA : GPL-0000 WA01700000"/>
    <n v="33384"/>
    <s v="C3900 CMN Structure &amp; Improvement"/>
    <s v="CONV"/>
    <m/>
    <m/>
    <s v="12/2023"/>
    <n v="1"/>
    <n v="43637.18"/>
    <n v="27611"/>
    <n v="16026.18"/>
    <x v="1"/>
    <x v="0"/>
  </r>
  <r>
    <s v="General Plant, Common"/>
    <s v="Common (E &amp; G)"/>
    <s v="Commeq - Mt Blyn : GPL-MTB"/>
    <n v="11406968"/>
    <s v="C3900 CMN Structure &amp; Improvement"/>
    <s v="CONV"/>
    <m/>
    <m/>
    <s v="12/2023"/>
    <n v="1"/>
    <n v="80910.62"/>
    <n v="51195.4"/>
    <n v="29715.22"/>
    <x v="1"/>
    <x v="0"/>
  </r>
  <r>
    <s v="General Plant, Common"/>
    <s v="Common (E &amp; G)"/>
    <s v="Lake Tapps Co Camp : GPL-LTP"/>
    <n v="33472"/>
    <s v="C3900 CMN Structure &amp; Improvement"/>
    <s v="CONV"/>
    <m/>
    <m/>
    <s v="12/2023"/>
    <n v="1"/>
    <n v="15083.33"/>
    <n v="9311.3700000000008"/>
    <n v="5771.96"/>
    <x v="1"/>
    <x v="0"/>
  </r>
  <r>
    <s v="General Plant, Common"/>
    <s v="Common (E &amp; G)"/>
    <s v="North King Svc Cntr (Redmond): GPL-NOK"/>
    <n v="19965368"/>
    <s v="C3900 CMN Structure &amp; Improvement"/>
    <s v="CONV"/>
    <m/>
    <m/>
    <s v="12/2023"/>
    <n v="1"/>
    <n v="52181.599999999999"/>
    <n v="32213.190000000002"/>
    <n v="19968.41"/>
    <x v="1"/>
    <x v="1"/>
  </r>
  <r>
    <s v="General Plant, Common"/>
    <s v="Common (E &amp; G)"/>
    <s v="North King Svc Cntr (Redmond): GPL-NOK"/>
    <n v="19965381"/>
    <s v="C3900 CMN Structure &amp; Improvement"/>
    <s v="CONV"/>
    <m/>
    <m/>
    <s v="12/2023"/>
    <n v="1"/>
    <n v="2876.13"/>
    <n v="1730.39"/>
    <n v="1145.74"/>
    <x v="1"/>
    <x v="1"/>
  </r>
  <r>
    <s v="General Plant, Common"/>
    <s v="Common (E &amp; G)"/>
    <s v="North King Svc Cntr (Redmond): GPL-NOK"/>
    <n v="19965394"/>
    <s v="C3900 CMN Structure &amp; Improvement"/>
    <s v="CONV"/>
    <m/>
    <m/>
    <s v="12/2023"/>
    <n v="1"/>
    <n v="7034.29"/>
    <n v="4005.56"/>
    <n v="3028.73"/>
    <x v="1"/>
    <x v="1"/>
  </r>
  <r>
    <s v="General Plant, Common"/>
    <s v="Common (E &amp; G)"/>
    <s v="Lake Tapps Co Camp : GPL-LTP"/>
    <n v="78606"/>
    <s v="C3900 CMN Structure &amp; Improvement"/>
    <s v="CONV"/>
    <m/>
    <m/>
    <s v="12/2023"/>
    <n v="1"/>
    <n v="188047.56"/>
    <n v="100830.52"/>
    <n v="87217.040000000008"/>
    <x v="1"/>
    <x v="0"/>
  </r>
  <r>
    <s v="General Plant, Common"/>
    <s v="Common (E &amp; G)"/>
    <s v="Lake Tapps Co Camp : GPL-LTP"/>
    <n v="78607"/>
    <s v="C3900 CMN Structure &amp; Improvement"/>
    <s v="CONV"/>
    <m/>
    <m/>
    <s v="12/2023"/>
    <n v="1"/>
    <n v="566309.18000000005"/>
    <n v="303653.22000000003"/>
    <n v="262655.96000000002"/>
    <x v="1"/>
    <x v="0"/>
  </r>
  <r>
    <s v="General Plant, Common"/>
    <s v="Common (E &amp; G)"/>
    <s v="Lake Tapps Co Camp : GPL-LTP"/>
    <n v="99409"/>
    <s v="C3900 CMN Structure &amp; Improvement"/>
    <s v="CONV"/>
    <m/>
    <m/>
    <s v="12/2023"/>
    <n v="1"/>
    <n v="72782.150000000009"/>
    <n v="39025.56"/>
    <n v="33756.590000000004"/>
    <x v="1"/>
    <x v="0"/>
  </r>
  <r>
    <s v="General Plant, Common"/>
    <s v="Common (E &amp; G)"/>
    <s v="North King Svc Cntr (Redmond): GPL-NOK"/>
    <n v="19965407"/>
    <s v="C3900 CMN Structure &amp; Improvement"/>
    <s v="CONV"/>
    <m/>
    <m/>
    <s v="12/2023"/>
    <n v="1"/>
    <n v="12978.34"/>
    <n v="6958.95"/>
    <n v="6019.39"/>
    <x v="1"/>
    <x v="1"/>
  </r>
  <r>
    <s v="General Plant, Common"/>
    <s v="Common (E &amp; G)"/>
    <s v="Olympus Dr Comm (Leased) : GPL-OLB"/>
    <n v="56321"/>
    <s v="C3900 CMN Structure &amp; Improvement"/>
    <s v="CONV"/>
    <m/>
    <m/>
    <s v="12/2023"/>
    <n v="1"/>
    <n v="135138.41"/>
    <n v="63089.26"/>
    <n v="72049.150000000009"/>
    <x v="1"/>
    <x v="0"/>
  </r>
  <r>
    <s v="General Plant, Common"/>
    <s v="Common (E &amp; G)"/>
    <s v="Lake Tapps Co Camp : GPL-LTP"/>
    <n v="102391"/>
    <s v="C3900 CMN Structure &amp; Improvement"/>
    <s v="CONV"/>
    <m/>
    <m/>
    <s v="12/2023"/>
    <n v="3"/>
    <n v="223361.32"/>
    <n v="104276.05"/>
    <n v="119085.27"/>
    <x v="1"/>
    <x v="0"/>
  </r>
  <r>
    <s v="General Plant, Common"/>
    <s v="Common (E &amp; G)"/>
    <s v="Commeq - Olympia : GPL-OLM"/>
    <n v="11406955"/>
    <s v="C3900 CMN Structure &amp; Improvement"/>
    <s v="CONV"/>
    <m/>
    <m/>
    <s v="12/2023"/>
    <n v="2"/>
    <n v="5965.1"/>
    <n v="2784.8"/>
    <n v="3180.3"/>
    <x v="1"/>
    <x v="0"/>
  </r>
  <r>
    <s v="General Plant, Common"/>
    <s v="Common (E &amp; G)"/>
    <s v="Olympus Dr Comm (Leased) : GPL-OLB"/>
    <n v="57581"/>
    <s v="C3900 CMN Structure &amp; Improvement"/>
    <s v="CONV"/>
    <m/>
    <m/>
    <s v="12/2023"/>
    <n v="2"/>
    <n v="3434.51"/>
    <n v="1541.99"/>
    <n v="1892.52"/>
    <x v="1"/>
    <x v="0"/>
  </r>
  <r>
    <s v="General Plant, Common"/>
    <s v="Common (E &amp; G)"/>
    <s v="North King Svc Cntr (Redmond): GPL-NOK"/>
    <n v="19965420"/>
    <s v="C3900 CMN Structure &amp; Improvement"/>
    <s v="CONV"/>
    <m/>
    <m/>
    <s v="12/2023"/>
    <n v="0"/>
    <n v="64417.380000000005"/>
    <n v="28921.360000000001"/>
    <n v="35496.020000000004"/>
    <x v="1"/>
    <x v="1"/>
  </r>
  <r>
    <s v="General Plant, Common"/>
    <s v="Common (E &amp; G)"/>
    <s v="Lake Tapps Co Camp : GPL-LTP"/>
    <n v="56318"/>
    <s v="C3900 CMN Structure &amp; Improvement"/>
    <s v="CONV"/>
    <m/>
    <m/>
    <s v="12/2023"/>
    <n v="0"/>
    <n v="2472.12"/>
    <n v="1109.9000000000001"/>
    <n v="1362.22"/>
    <x v="1"/>
    <x v="0"/>
  </r>
  <r>
    <s v="General Plant, Common"/>
    <s v="Common (E &amp; G)"/>
    <s v="Commeq - Olympia : GPL-OLM"/>
    <n v="11406954"/>
    <s v="C3900 CMN Structure &amp; Improvement"/>
    <s v="CONV"/>
    <m/>
    <m/>
    <s v="12/2023"/>
    <n v="2"/>
    <n v="529.78"/>
    <n v="237.85"/>
    <n v="291.93"/>
    <x v="1"/>
    <x v="0"/>
  </r>
  <r>
    <s v="General Plant, Common"/>
    <s v="Common (E &amp; G)"/>
    <s v="North King Svc Cntr (Redmond): GPL-NOK"/>
    <n v="19965433"/>
    <s v="C3900 CMN Structure &amp; Improvement"/>
    <s v="CONV"/>
    <m/>
    <m/>
    <s v="12/2023"/>
    <n v="1"/>
    <n v="83897.86"/>
    <n v="36150.230000000003"/>
    <n v="47747.63"/>
    <x v="1"/>
    <x v="1"/>
  </r>
  <r>
    <s v="General Plant, Common"/>
    <s v="Common (E &amp; G)"/>
    <s v="Lake Tapps Co Camp : GPL-LTP"/>
    <n v="58231"/>
    <s v="C3900 CMN Structure &amp; Improvement"/>
    <s v="CONV"/>
    <m/>
    <m/>
    <s v="12/2023"/>
    <n v="1"/>
    <n v="40724.800000000003"/>
    <n v="17547.66"/>
    <n v="23177.14"/>
    <x v="1"/>
    <x v="0"/>
  </r>
  <r>
    <s v="General Plant, Common"/>
    <s v="Common (E &amp; G)"/>
    <s v="North King Svc Cntr (Redmond): GPL-NOK"/>
    <n v="19965446"/>
    <s v="C3900 CMN Structure &amp; Improvement"/>
    <s v="CONV"/>
    <m/>
    <m/>
    <s v="12/2023"/>
    <n v="1"/>
    <n v="146.26"/>
    <n v="60.35"/>
    <n v="85.91"/>
    <x v="1"/>
    <x v="1"/>
  </r>
  <r>
    <s v="General Plant, Common"/>
    <s v="Common (E &amp; G)"/>
    <s v="Commeq - Marysville : COM-MYV"/>
    <n v="6088356"/>
    <s v="C3900 CMN Structure &amp; Improvement"/>
    <s v="CONV"/>
    <m/>
    <m/>
    <s v="12/2023"/>
    <n v="2"/>
    <n v="1391.79"/>
    <n v="574.27"/>
    <n v="817.52"/>
    <x v="1"/>
    <x v="0"/>
  </r>
  <r>
    <s v="General Plant, Common"/>
    <s v="Common (E &amp; G)"/>
    <s v="Commeq - Marysville : COM-MYV"/>
    <n v="6088357"/>
    <s v="C3900 CMN Structure &amp; Improvement"/>
    <s v="CONV"/>
    <m/>
    <m/>
    <s v="12/2023"/>
    <n v="1"/>
    <n v="3481.56"/>
    <n v="1436.53"/>
    <n v="2045.03"/>
    <x v="1"/>
    <x v="0"/>
  </r>
  <r>
    <s v="General Plant, Common"/>
    <s v="Common (E &amp; G)"/>
    <s v="Commeq - Marysville : COM-MYV"/>
    <n v="6088777"/>
    <s v="C3900 CMN Structure &amp; Improvement"/>
    <s v="CONV"/>
    <m/>
    <m/>
    <s v="12/2023"/>
    <n v="1"/>
    <n v="1069.96"/>
    <n v="441.48"/>
    <n v="628.48"/>
    <x v="1"/>
    <x v="0"/>
  </r>
  <r>
    <s v="General Plant, Common"/>
    <s v="Common (E &amp; G)"/>
    <s v="Commeq - Marysville : COM-MYV"/>
    <n v="6088778"/>
    <s v="C3900 CMN Structure &amp; Improvement"/>
    <s v="CONV"/>
    <m/>
    <m/>
    <s v="12/2023"/>
    <n v="1"/>
    <n v="4288.21"/>
    <n v="1769.3600000000001"/>
    <n v="2518.85"/>
    <x v="1"/>
    <x v="0"/>
  </r>
  <r>
    <s v="General Plant, Common"/>
    <s v="Common (E &amp; G)"/>
    <s v="Commeq - Marysville : COM-MYV"/>
    <n v="6088779"/>
    <s v="C3900 CMN Structure &amp; Improvement"/>
    <s v="CONV"/>
    <m/>
    <m/>
    <s v="12/2023"/>
    <n v="1"/>
    <n v="697.98"/>
    <n v="287.99"/>
    <n v="409.99"/>
    <x v="1"/>
    <x v="0"/>
  </r>
  <r>
    <s v="General Plant, Common"/>
    <s v="Common (E &amp; G)"/>
    <s v="Svc Shop&amp;Storage Bldg(@Lakeside Substn) : GPL-BLD"/>
    <n v="104851"/>
    <s v="C3900 CMN Structure &amp; Improvement"/>
    <s v="CONV"/>
    <m/>
    <m/>
    <s v="12/2023"/>
    <n v="0"/>
    <n v="5588.7300000000005"/>
    <n v="2098.7800000000002"/>
    <n v="3489.9500000000003"/>
    <x v="1"/>
    <x v="1"/>
  </r>
  <r>
    <s v="General Plant, Common"/>
    <s v="Common (E &amp; G)"/>
    <s v="Lake Tapps Co Camp : GPL-LTP"/>
    <n v="81249"/>
    <s v="C3900 CMN Structure &amp; Improvement"/>
    <s v="CONV"/>
    <m/>
    <m/>
    <s v="12/2023"/>
    <n v="0"/>
    <n v="8767.69"/>
    <n v="3128"/>
    <n v="5639.6900000000005"/>
    <x v="1"/>
    <x v="0"/>
  </r>
  <r>
    <s v="General Plant, Common"/>
    <s v="Common (E &amp; G)"/>
    <s v="Lake Tapps Co Camp : GPL-LTP"/>
    <n v="81250"/>
    <s v="C3900 CMN Structure &amp; Improvement"/>
    <s v="CONV"/>
    <m/>
    <m/>
    <s v="12/2023"/>
    <n v="0"/>
    <n v="9726.85"/>
    <n v="3470.19"/>
    <n v="6256.66"/>
    <x v="1"/>
    <x v="0"/>
  </r>
  <r>
    <s v="General Plant, Common"/>
    <s v="Common (E &amp; G)"/>
    <s v="Lake Tapps Co Camp : GPL-LTP"/>
    <n v="81251"/>
    <s v="C3900 CMN Structure &amp; Improvement"/>
    <s v="CONV"/>
    <m/>
    <m/>
    <s v="12/2023"/>
    <n v="0"/>
    <n v="60005.760000000002"/>
    <n v="21407.91"/>
    <n v="38597.85"/>
    <x v="1"/>
    <x v="0"/>
  </r>
  <r>
    <s v="General Plant, Common"/>
    <s v="Common (E &amp; G)"/>
    <s v="Lake Tapps Co Camp : GPL-LTP"/>
    <n v="105248"/>
    <s v="C3900 CMN Structure &amp; Improvement"/>
    <s v="CONV"/>
    <m/>
    <m/>
    <s v="12/2023"/>
    <n v="0"/>
    <n v="9592.99"/>
    <n v="3422.44"/>
    <n v="6170.55"/>
    <x v="1"/>
    <x v="0"/>
  </r>
  <r>
    <s v="General Plant, Common"/>
    <s v="Common (E &amp; G)"/>
    <s v="North King Svc Cntr (Redmond): GPL-NOK"/>
    <n v="19965472"/>
    <s v="C3900 CMN Structure &amp; Improvement"/>
    <s v="CONV"/>
    <m/>
    <m/>
    <s v="12/2023"/>
    <n v="0"/>
    <n v="13501.01"/>
    <n v="4816.68"/>
    <n v="8684.33"/>
    <x v="1"/>
    <x v="1"/>
  </r>
  <r>
    <s v="General Plant, Common"/>
    <s v="Common (E &amp; G)"/>
    <s v="Commeq - Marysville : COM-MYV"/>
    <n v="6088781"/>
    <s v="C3900 CMN Structure &amp; Improvement"/>
    <s v="CONV"/>
    <m/>
    <m/>
    <s v="12/2023"/>
    <n v="0"/>
    <n v="7340.9800000000005"/>
    <n v="2480.2000000000003"/>
    <n v="4860.78"/>
    <x v="1"/>
    <x v="0"/>
  </r>
  <r>
    <s v="General Plant, Common"/>
    <s v="Common (E &amp; G)"/>
    <s v="North King Svc Cntr (Redmond): GPL-NOK"/>
    <n v="19965459"/>
    <s v="C3900 CMN Structure &amp; Improvement"/>
    <s v="CONV"/>
    <m/>
    <m/>
    <s v="12/2023"/>
    <n v="1"/>
    <n v="72587.06"/>
    <n v="23142.28"/>
    <n v="49444.78"/>
    <x v="1"/>
    <x v="1"/>
  </r>
  <r>
    <s v="General Plant, Common"/>
    <s v="Common (E &amp; G)"/>
    <s v="Commeq - Stampede : COM-SMP"/>
    <n v="6040146"/>
    <s v="C3900 CMN Structure &amp; Improvement"/>
    <n v="131202841"/>
    <s v="ACCESS CONTROL - STAMBEDE PASS MICR"/>
    <s v="ACCESS CONTROL - STAMBEDE PASS MICROWAVE"/>
    <s v="12/2023"/>
    <n v="1"/>
    <n v="30334.25"/>
    <n v="9089.9"/>
    <n v="21244.350000000002"/>
    <x v="1"/>
    <x v="2"/>
  </r>
  <r>
    <s v="General Plant, Common"/>
    <s v="Common (E &amp; G)"/>
    <s v="Commeq - Mt Baldi : COM-BAL"/>
    <n v="6040155"/>
    <s v="C3900 CMN Structure &amp; Improvement"/>
    <n v="131202840"/>
    <s v="ACCESS CONTROL - MT BALDI MICROWAVE"/>
    <s v="ACCESS CONTROL - MT BALDI MICROWAVE TOWE"/>
    <s v="12/2023"/>
    <n v="1"/>
    <n v="31306.39"/>
    <n v="9381.2100000000009"/>
    <n v="21925.18"/>
    <x v="1"/>
    <x v="2"/>
  </r>
  <r>
    <s v="General Plant, Common"/>
    <s v="Common (E &amp; G)"/>
    <s v="North King Svc Cntr (Redmond): GPL-NOK"/>
    <n v="19965108"/>
    <s v="C3900 CMN Structure &amp; Improvement"/>
    <n v="131102322"/>
    <s v="HEATER AT REDMOND SVC"/>
    <s v="HEATER AT REDMOND SVC"/>
    <s v="12/2023"/>
    <n v="1"/>
    <n v="6980.1900000000005"/>
    <n v="2091.67"/>
    <n v="4888.5200000000004"/>
    <x v="1"/>
    <x v="1"/>
  </r>
  <r>
    <s v="General Plant, Common"/>
    <s v="Common (E &amp; G)"/>
    <s v="Commeq - Marysville : COM-MYV"/>
    <n v="6922116"/>
    <s v="C3900 CMN Structure &amp; Improvement"/>
    <n v="131203340"/>
    <s v="LAKE LOMA CELL TOWER A/C UNIT - MAR"/>
    <s v="LAKE LOMA CELL TOWER A/C UNIT - MARYSVIL"/>
    <s v="12/2023"/>
    <n v="0"/>
    <n v="12425.61"/>
    <n v="3484.23"/>
    <n v="8941.380000000001"/>
    <x v="1"/>
    <x v="0"/>
  </r>
  <r>
    <s v="General Plant, Common"/>
    <s v="Common (E &amp; G)"/>
    <s v="Lake Tapps Co Camp : GPL-LTP"/>
    <n v="7303351"/>
    <s v="C3900 CMN Structure &amp; Improvement"/>
    <n v="131202060"/>
    <s v="LAKE TAPPS EMPLOYEE  CAMP CABINS"/>
    <s v="LAKE TAPPS EMPLOYEE  CAMP CABINS"/>
    <s v="12/2023"/>
    <n v="0"/>
    <n v="463736.06"/>
    <n v="121068.75"/>
    <n v="342667.31"/>
    <x v="1"/>
    <x v="0"/>
  </r>
  <r>
    <s v="General Plant, Common"/>
    <s v="Common (E &amp; G)"/>
    <s v="Lake Tapps Co Camp : GPL-LTP"/>
    <n v="8504647"/>
    <s v="C3900 CMN Structure &amp; Improvement"/>
    <n v="131203540"/>
    <s v="PICNIC SHELTER AT LAKE TAPPS"/>
    <s v="PICNIC SHELTER AT LAKE TAPPS"/>
    <s v="12/2023"/>
    <n v="1"/>
    <n v="6022.22"/>
    <n v="1572.24"/>
    <n v="4449.9800000000005"/>
    <x v="1"/>
    <x v="0"/>
  </r>
  <r>
    <s v="General Plant, Common"/>
    <s v="Common (E &amp; G)"/>
    <s v="Lake Tapps Co Camp : GPL-LTP"/>
    <n v="8504652"/>
    <s v="C3900 CMN Structure &amp; Improvement"/>
    <n v="131203540"/>
    <s v="PICNIC SHELTER AT LAKE TAPPS"/>
    <s v="PICNIC SHELTER AT LAKE TAPPS"/>
    <s v="12/2023"/>
    <n v="1"/>
    <n v="135658.43"/>
    <n v="35416.69"/>
    <n v="100241.74"/>
    <x v="1"/>
    <x v="0"/>
  </r>
  <r>
    <s v="General Plant, Common"/>
    <s v="Common (E &amp; G)"/>
    <s v="Lake Tapps Co Camp : GPL-LTP"/>
    <n v="8504653"/>
    <s v="C3900 CMN Structure &amp; Improvement"/>
    <n v="131203540"/>
    <s v="PICNIC SHELTER AT LAKE TAPPS"/>
    <s v="PICNIC SHELTER AT LAKE TAPPS"/>
    <s v="12/2023"/>
    <n v="1"/>
    <n v="4998.4400000000005"/>
    <n v="1304.96"/>
    <n v="3693.48"/>
    <x v="1"/>
    <x v="0"/>
  </r>
  <r>
    <s v="General Plant, Common"/>
    <s v="Common (E &amp; G)"/>
    <s v="Lake Tapps Co Camp : GPL-LTP"/>
    <n v="8504654"/>
    <s v="C3900 CMN Structure &amp; Improvement"/>
    <n v="131203540"/>
    <s v="PICNIC SHELTER AT LAKE TAPPS"/>
    <s v="PICNIC SHELTER AT LAKE TAPPS"/>
    <s v="12/2023"/>
    <n v="1"/>
    <n v="10417.33"/>
    <n v="2719.68"/>
    <n v="7697.6500000000005"/>
    <x v="1"/>
    <x v="0"/>
  </r>
  <r>
    <s v="General Plant, Common"/>
    <s v="Common (E &amp; G)"/>
    <s v="Lake Tapps Co Camp : GPL-LTP"/>
    <n v="8504655"/>
    <s v="C3900 CMN Structure &amp; Improvement"/>
    <n v="131203540"/>
    <s v="PICNIC SHELTER AT LAKE TAPPS"/>
    <s v="PICNIC SHELTER AT LAKE TAPPS"/>
    <s v="12/2023"/>
    <n v="1"/>
    <n v="437.86"/>
    <n v="114.31"/>
    <n v="323.55"/>
    <x v="1"/>
    <x v="0"/>
  </r>
  <r>
    <s v="General Plant, Common"/>
    <s v="Common (E &amp; G)"/>
    <s v="Lake Tapps Co Camp : GPL-LTP"/>
    <n v="7857716"/>
    <s v="C3900 CMN Structure &amp; Improvement"/>
    <n v="131202060"/>
    <s v="LAKE TAPPS EMPLOYEE  CAMP CABINS"/>
    <s v="LAKE TAPPS EMPLOYEE  CAMP CABINS"/>
    <s v="12/2023"/>
    <n v="0"/>
    <n v="107417.23"/>
    <n v="30120.59"/>
    <n v="77296.639999999999"/>
    <x v="1"/>
    <x v="0"/>
  </r>
  <r>
    <s v="General Plant, Common"/>
    <s v="Common (E &amp; G)"/>
    <s v="Commeq - Olympia : GPL-OLM"/>
    <n v="11406933"/>
    <s v="C3900 CMN Structure &amp; Improvement"/>
    <n v="131204280"/>
    <s v="SECURITY SYSTEM-OLYMPIA WAREHOUSE"/>
    <s v="SECURITY SYSTEM-OLYMPIA WAREHOUSE"/>
    <s v="12/2023"/>
    <n v="0"/>
    <n v="212464.28"/>
    <n v="55468.590000000004"/>
    <n v="156995.69"/>
    <x v="1"/>
    <x v="2"/>
  </r>
  <r>
    <s v="General Plant, Common"/>
    <s v="Common (E &amp; G)"/>
    <s v="North King Svc Cntr (Redmond): GPL-NOK"/>
    <n v="19965147"/>
    <s v="C3900 CMN Structure &amp; Improvement"/>
    <n v="131104440"/>
    <s v="N King SVC AKA Redmond SVC (Heat Pu"/>
    <s v="N King SVC AKA Redmond SVC (Heat Pump)"/>
    <s v="12/2023"/>
    <n v="3"/>
    <n v="51604.58"/>
    <n v="12471.18"/>
    <n v="39133.4"/>
    <x v="1"/>
    <x v="1"/>
  </r>
  <r>
    <s v="General Plant, Common"/>
    <s v="Common (E &amp; G)"/>
    <s v="North King Svc Cntr (Redmond): GPL-NOK"/>
    <n v="19965134"/>
    <s v="C3900 CMN Structure &amp; Improvement"/>
    <n v="131104401"/>
    <s v="NOK Fire Alarm System"/>
    <s v="NOK Fire Alarm System"/>
    <s v="12/2023"/>
    <n v="1"/>
    <n v="42403.55"/>
    <n v="10247.59"/>
    <n v="32155.96"/>
    <x v="1"/>
    <x v="1"/>
  </r>
  <r>
    <s v="General Plant, Common"/>
    <s v="Common (E &amp; G)"/>
    <s v="Commeq - Mt Blyn : GPL-MTB"/>
    <n v="11414799"/>
    <s v="C3900 CMN Structure &amp; Improvement"/>
    <n v="143000881"/>
    <s v="MT.BLYN COMMUNICATION EQUIPMENT BUI"/>
    <s v="MT.BLYN COMMUNICATION EQUIPMENT BUILDING"/>
    <s v="12/2023"/>
    <n v="2"/>
    <n v="20564.95"/>
    <n v="4569.78"/>
    <n v="15995.17"/>
    <x v="1"/>
    <x v="0"/>
  </r>
  <r>
    <s v="General Plant, Common"/>
    <s v="Common (E &amp; G)"/>
    <s v="Lake Tapps Co Camp : GPL-LTP"/>
    <n v="14228738"/>
    <s v="C3900 CMN Structure &amp; Improvement"/>
    <n v="143001042"/>
    <s v="LAKE TAPPS EMPLOYEE CAMP - INSTALL "/>
    <s v="LAKE TAPPS EMPLOYEE CAMP - INSTALL ALARM"/>
    <s v="12/2023"/>
    <n v="1"/>
    <n v="6421.68"/>
    <n v="1426.98"/>
    <n v="4994.7"/>
    <x v="1"/>
    <x v="2"/>
  </r>
  <r>
    <s v="General Plant, Common"/>
    <s v="Common (E &amp; G)"/>
    <s v="Vernell Office: GPL-VER"/>
    <n v="39529561"/>
    <s v="C3900 CMN Structure &amp; Improvement"/>
    <n v="153002528"/>
    <s v="PURCHASING LAND &amp; STRUCTURE VERNELL"/>
    <s v="PURCHASING LAND &amp; STRUCTURE VERNELL SUB"/>
    <s v="12/2023"/>
    <n v="0"/>
    <n v="1875043.47"/>
    <n v="380104.57"/>
    <n v="1494938.9"/>
    <x v="1"/>
    <x v="0"/>
  </r>
  <r>
    <s v="General Plant, Common"/>
    <s v="Common (E &amp; G)"/>
    <s v="North King Svc Cntr (Redmond): GPL-NOK"/>
    <n v="19965172"/>
    <s v="C3900 CMN Structure &amp; Improvement"/>
    <n v="141001580"/>
    <s v="REPLACE GATES AT NORTH KING AKA RED"/>
    <s v="REPLACE GATES AT NORTH KING AKA REDMOND"/>
    <s v="12/2023"/>
    <n v="2"/>
    <n v="178288.82"/>
    <n v="36142.31"/>
    <n v="142146.51"/>
    <x v="1"/>
    <x v="1"/>
  </r>
  <r>
    <s v="General Plant, Common"/>
    <s v="Common (E &amp; G)"/>
    <s v="North King Svc Cntr (Redmond): GPL-NOK"/>
    <n v="19965185"/>
    <s v="C3900 CMN Structure &amp; Improvement"/>
    <n v="141001580"/>
    <s v="REPLACE GATES AT NORTH KING AKA RED"/>
    <s v="REPLACE GATES AT NORTH KING AKA REDMOND"/>
    <s v="12/2023"/>
    <n v="2"/>
    <n v="19809.88"/>
    <n v="4015.81"/>
    <n v="15794.07"/>
    <x v="1"/>
    <x v="1"/>
  </r>
  <r>
    <s v="General Plant, Common"/>
    <s v="Common (E &amp; G)"/>
    <s v="North King Svc Cntr (Redmond): GPL-NOK"/>
    <n v="19917960"/>
    <s v="C3900 CMN Structure &amp; Improvement"/>
    <n v="143001942"/>
    <s v="NORTH KING SERVICE CENTER - REPLACE"/>
    <s v="NORTH KING SERVICE CENTER - REPLACE COMM"/>
    <s v="12/2023"/>
    <n v="1"/>
    <n v="2026.5900000000001"/>
    <n v="371.28000000000003"/>
    <n v="1655.31"/>
    <x v="1"/>
    <x v="1"/>
  </r>
  <r>
    <s v="General Plant, Common"/>
    <s v="Common (E &amp; G)"/>
    <s v="North King Svc Cntr (Redmond): GPL-NOK"/>
    <n v="19965198"/>
    <s v="C3900 CMN Structure &amp; Improvement"/>
    <n v="141002480"/>
    <s v="REDMOND SVC CTR - REPLACE UNIT HEAT"/>
    <s v="REDMOND SVC CTR - REPLACE UNIT HEATER"/>
    <s v="12/2023"/>
    <n v="3"/>
    <n v="11108.12"/>
    <n v="2035.07"/>
    <n v="9073.0500000000011"/>
    <x v="1"/>
    <x v="1"/>
  </r>
  <r>
    <s v="General Plant, Common"/>
    <s v="Common (E &amp; G)"/>
    <s v="Tacoma Warehouse &amp; Shop Improvement : GPL-TWSI"/>
    <n v="20970249"/>
    <s v="C3900 CMN Structure &amp; Improvement"/>
    <n v="143001940"/>
    <s v="TACOMA WAREHOUSE/SHOP IMPROVEMENTS"/>
    <s v="TACOMA WAREHOUSE/SHOP IMPROVEMENTS"/>
    <s v="12/2023"/>
    <n v="0"/>
    <n v="426729.5"/>
    <n v="69852.59"/>
    <n v="356876.91000000003"/>
    <x v="1"/>
    <x v="0"/>
  </r>
  <r>
    <s v="General Plant, Common"/>
    <s v="Common (E &amp; G)"/>
    <s v="North King Svc Cntr (Redmond): GPL-NOK"/>
    <n v="25018697"/>
    <s v="C3900 CMN Structure &amp; Improvement"/>
    <n v="141002896"/>
    <s v="NORTH KING SVC - REPLACE DRY ROOM E"/>
    <s v="NORTH KING SVC - REPLACE DRY ROOM EXHAUS"/>
    <s v="12/2023"/>
    <n v="1"/>
    <n v="6805.99"/>
    <n v="981.35"/>
    <n v="5824.64"/>
    <x v="1"/>
    <x v="1"/>
  </r>
  <r>
    <s v="General Plant, Common"/>
    <s v="Common (E &amp; G)"/>
    <s v="Commeq - Cougar Mtn : GPL-CMT"/>
    <n v="27906467"/>
    <s v="C3900 CMN Structure &amp; Improvement"/>
    <n v="143002255"/>
    <s v="COUGAR MOUNTAIN HVAC REPLACEMENT - "/>
    <s v="COUGAR MOUNTAIN HVAC REPLACEMENT - TELEC"/>
    <s v="12/2023"/>
    <n v="1"/>
    <n v="10146.36"/>
    <n v="1463"/>
    <n v="8683.36"/>
    <x v="1"/>
    <x v="0"/>
  </r>
  <r>
    <s v="General Plant, Common"/>
    <s v="Common (E &amp; G)"/>
    <s v="Cascade Data Center : GPL-CAS"/>
    <n v="35070322"/>
    <s v="C3900 CMN Structure &amp; Improvement"/>
    <n v="143002333"/>
    <s v="DATA CENTER - STR.  IT INFRASTRUCTU"/>
    <s v="DATA CENTER - STR.  IT INFRASTRUCTURE PL"/>
    <s v="12/2023"/>
    <n v="1"/>
    <n v="214809.92"/>
    <n v="26790.22"/>
    <n v="188019.7"/>
    <x v="1"/>
    <x v="0"/>
  </r>
  <r>
    <s v="General Plant, Common"/>
    <s v="Common (E &amp; G)"/>
    <s v="Cascade Data Center : GPL-CAS"/>
    <n v="35070327"/>
    <s v="C3900 CMN Structure &amp; Improvement"/>
    <n v="143002333"/>
    <s v="DATA CENTER - STR.  IT INFRASTRUCTU"/>
    <s v="DATA CENTER - STR.  IT INFRASTRUCTURE PL"/>
    <s v="12/2023"/>
    <n v="2"/>
    <n v="717660.39"/>
    <n v="89503.680000000008"/>
    <n v="628156.71"/>
    <x v="1"/>
    <x v="0"/>
  </r>
  <r>
    <s v="General Plant, Common"/>
    <s v="Common (E &amp; G)"/>
    <s v="Snoqualmie Data Center : GPL-SQE"/>
    <n v="35070348"/>
    <s v="C3900 CMN Structure &amp; Improvement"/>
    <n v="143003443"/>
    <s v="Data Center SQE - STR"/>
    <s v="Data Center SQE - STR"/>
    <s v="12/2023"/>
    <n v="1"/>
    <n v="286354.95"/>
    <n v="35713.020000000004"/>
    <n v="250641.93"/>
    <x v="1"/>
    <x v="0"/>
  </r>
  <r>
    <s v="General Plant, Common"/>
    <s v="Common (E &amp; G)"/>
    <s v="Snoqualmie Data Center : GPL-SQE"/>
    <n v="36001883"/>
    <s v="C3900 CMN Structure &amp; Improvement"/>
    <n v="143003067"/>
    <s v="SNOQUALMIE TECHNOLOGY CENTER- STR"/>
    <s v="SNOQUALMIE TECHNOLOGY CENTER- STR"/>
    <s v="12/2023"/>
    <n v="1"/>
    <n v="621818.57000000007"/>
    <n v="77550.680000000008"/>
    <n v="544267.89"/>
    <x v="1"/>
    <x v="0"/>
  </r>
  <r>
    <s v="General Plant, Common"/>
    <s v="Common (E &amp; G)"/>
    <s v="Snoqualmie Data Center : GPL-SQE"/>
    <n v="36001888"/>
    <s v="C3900 CMN Structure &amp; Improvement"/>
    <n v="143003067"/>
    <s v="SNOQUALMIE TECHNOLOGY CENTER- STR"/>
    <s v="SNOQUALMIE TECHNOLOGY CENTER- STR"/>
    <s v="12/2023"/>
    <n v="1"/>
    <n v="88831.23"/>
    <n v="11078.67"/>
    <n v="77752.56"/>
    <x v="1"/>
    <x v="0"/>
  </r>
  <r>
    <s v="General Plant, Common"/>
    <s v="Common (E &amp; G)"/>
    <s v="General Plant, Pierce County outside RTA District, WA : GPL-0000 WA02700000"/>
    <n v="52234871"/>
    <s v="C3900 CMN Structure &amp; Improvement"/>
    <n v="143003720"/>
    <s v="LAKE TAPPS CAPITAL RENOVATIONS"/>
    <s v="LAKE TAPPS CAPITAL RENOVATIONS"/>
    <s v="12/2023"/>
    <n v="1"/>
    <n v="53864.79"/>
    <n v="6717.8"/>
    <n v="47146.99"/>
    <x v="1"/>
    <x v="0"/>
  </r>
  <r>
    <s v="General Plant, Common"/>
    <s v="Common (E &amp; G)"/>
    <s v="Snoqualmie Technology Center: GPL-STC"/>
    <n v="30990191"/>
    <s v="C3900 CMN Structure &amp; Improvement"/>
    <n v="153003050"/>
    <s v="Snoqualmie Technology Center Purcha"/>
    <s v="Snoqualmie Technology Center Purchase"/>
    <s v="12/2023"/>
    <n v="1"/>
    <n v="1839473.8"/>
    <n v="229411.69"/>
    <n v="1610062.1099999999"/>
    <x v="1"/>
    <x v="0"/>
  </r>
  <r>
    <s v="General Plant, Common"/>
    <s v="Common (E &amp; G)"/>
    <s v="Snoqualmie Technology Center: GPL-STC"/>
    <n v="32787780"/>
    <s v="C3900 CMN Structure &amp; Improvement"/>
    <n v="153003050"/>
    <s v="Snoqualmie Technology Center Purcha"/>
    <s v="Snoqualmie Technology Center Purchase"/>
    <s v="12/2023"/>
    <n v="1"/>
    <n v="364292.97000000003"/>
    <n v="45433.14"/>
    <n v="318859.83"/>
    <x v="1"/>
    <x v="0"/>
  </r>
  <r>
    <s v="General Plant, Common"/>
    <s v="Common (E &amp; G)"/>
    <s v="Snoqualmie Technology Center: GPL-STC"/>
    <n v="32787787"/>
    <s v="C3900 CMN Structure &amp; Improvement"/>
    <n v="153003050"/>
    <s v="Snoqualmie Technology Center Purcha"/>
    <s v="Snoqualmie Technology Center Purchase"/>
    <s v="12/2023"/>
    <n v="1"/>
    <n v="291434.38"/>
    <n v="36346.51"/>
    <n v="255087.87"/>
    <x v="1"/>
    <x v="0"/>
  </r>
  <r>
    <s v="General Plant, Common"/>
    <s v="Common (E &amp; G)"/>
    <s v="Snoqualmie Technology Center: GPL-STC"/>
    <n v="32787794"/>
    <s v="C3900 CMN Structure &amp; Improvement"/>
    <n v="153003050"/>
    <s v="Snoqualmie Technology Center Purcha"/>
    <s v="Snoqualmie Technology Center Purchase"/>
    <s v="12/2023"/>
    <n v="1"/>
    <n v="874303.13"/>
    <n v="109039.53"/>
    <n v="765263.6"/>
    <x v="1"/>
    <x v="0"/>
  </r>
  <r>
    <s v="General Plant, Common"/>
    <s v="Common (E &amp; G)"/>
    <s v="Snoqualmie Technology Center: GPL-STC"/>
    <n v="32787801"/>
    <s v="C3900 CMN Structure &amp; Improvement"/>
    <n v="153003050"/>
    <s v="Snoqualmie Technology Center Purcha"/>
    <s v="Snoqualmie Technology Center Purchase"/>
    <s v="12/2023"/>
    <n v="1"/>
    <n v="728585.94000000006"/>
    <n v="90866.27"/>
    <n v="637719.67000000004"/>
    <x v="1"/>
    <x v="0"/>
  </r>
  <r>
    <s v="General Plant, Common"/>
    <s v="Common (E &amp; G)"/>
    <s v="Snoqualmie Technology Center: GPL-STC"/>
    <n v="32787808"/>
    <s v="C3900 CMN Structure &amp; Improvement"/>
    <n v="153003050"/>
    <s v="Snoqualmie Technology Center Purcha"/>
    <s v="Snoqualmie Technology Center Purchase"/>
    <s v="12/2023"/>
    <n v="1"/>
    <n v="218575.78"/>
    <n v="27259.88"/>
    <n v="191315.9"/>
    <x v="1"/>
    <x v="0"/>
  </r>
  <r>
    <s v="General Plant, Common"/>
    <s v="Common (E &amp; G)"/>
    <s v="Snoqualmie Technology Center: GPL-STC"/>
    <n v="32787815"/>
    <s v="C3900 CMN Structure &amp; Improvement"/>
    <n v="153003050"/>
    <s v="Snoqualmie Technology Center Purcha"/>
    <s v="Snoqualmie Technology Center Purchase"/>
    <s v="12/2023"/>
    <n v="1"/>
    <n v="291434.38"/>
    <n v="36346.51"/>
    <n v="255087.87"/>
    <x v="1"/>
    <x v="0"/>
  </r>
  <r>
    <s v="General Plant, Common"/>
    <s v="Common (E &amp; G)"/>
    <s v="Snoqualmie Technology Center: GPL-STC"/>
    <n v="32787822"/>
    <s v="C3900 CMN Structure &amp; Improvement"/>
    <n v="153003050"/>
    <s v="Snoqualmie Technology Center Purcha"/>
    <s v="Snoqualmie Technology Center Purchase"/>
    <s v="12/2023"/>
    <n v="1"/>
    <n v="582868.75"/>
    <n v="72693.02"/>
    <n v="510175.73000000004"/>
    <x v="1"/>
    <x v="0"/>
  </r>
  <r>
    <s v="General Plant, Common"/>
    <s v="Common (E &amp; G)"/>
    <s v="Snoqualmie Technology Center: GPL-STC"/>
    <n v="32787829"/>
    <s v="C3900 CMN Structure &amp; Improvement"/>
    <n v="153003050"/>
    <s v="Snoqualmie Technology Center Purcha"/>
    <s v="Snoqualmie Technology Center Purchase"/>
    <s v="12/2023"/>
    <n v="1"/>
    <n v="364292.97000000003"/>
    <n v="45433.14"/>
    <n v="318859.83"/>
    <x v="1"/>
    <x v="0"/>
  </r>
  <r>
    <s v="General Plant, Common"/>
    <s v="Common (E &amp; G)"/>
    <s v="Snoqualmie Technology Center: GPL-STC"/>
    <n v="32787836"/>
    <s v="C3900 CMN Structure &amp; Improvement"/>
    <n v="153003050"/>
    <s v="Snoqualmie Technology Center Purcha"/>
    <s v="Snoqualmie Technology Center Purchase"/>
    <s v="12/2023"/>
    <n v="1"/>
    <n v="218575.78"/>
    <n v="27259.88"/>
    <n v="191315.9"/>
    <x v="1"/>
    <x v="0"/>
  </r>
  <r>
    <s v="General Plant, Common"/>
    <s v="Common (E &amp; G)"/>
    <s v="Snoqualmie Technology Center: GPL-STC"/>
    <n v="32787843"/>
    <s v="C3900 CMN Structure &amp; Improvement"/>
    <n v="153003050"/>
    <s v="Snoqualmie Technology Center Purcha"/>
    <s v="Snoqualmie Technology Center Purchase"/>
    <s v="12/2023"/>
    <n v="1"/>
    <n v="218575.78"/>
    <n v="27259.88"/>
    <n v="191315.9"/>
    <x v="1"/>
    <x v="0"/>
  </r>
  <r>
    <s v="General Plant, Common"/>
    <s v="Common (E &amp; G)"/>
    <s v="Snoqualmie Technology Center: GPL-STC"/>
    <n v="32787850"/>
    <s v="C3900 CMN Structure &amp; Improvement"/>
    <n v="153003050"/>
    <s v="Snoqualmie Technology Center Purcha"/>
    <s v="Snoqualmie Technology Center Purchase"/>
    <s v="12/2023"/>
    <n v="1"/>
    <n v="145717.19"/>
    <n v="18173.25"/>
    <n v="127543.94"/>
    <x v="1"/>
    <x v="0"/>
  </r>
  <r>
    <s v="General Plant, Common"/>
    <s v="Common (E &amp; G)"/>
    <s v="Snoqualmie Technology Center: GPL-STC"/>
    <n v="32787857"/>
    <s v="C3900 CMN Structure &amp; Improvement"/>
    <n v="153003050"/>
    <s v="Snoqualmie Technology Center Purcha"/>
    <s v="Snoqualmie Technology Center Purchase"/>
    <s v="12/2023"/>
    <n v="1"/>
    <n v="218575.78"/>
    <n v="27259.88"/>
    <n v="191315.9"/>
    <x v="1"/>
    <x v="0"/>
  </r>
  <r>
    <s v="General Plant, Common"/>
    <s v="Common (E &amp; G)"/>
    <s v="Snoqualmie Technology Center: GPL-STC"/>
    <n v="32787864"/>
    <s v="C3900 CMN Structure &amp; Improvement"/>
    <n v="153003050"/>
    <s v="Snoqualmie Technology Center Purcha"/>
    <s v="Snoqualmie Technology Center Purchase"/>
    <s v="12/2023"/>
    <n v="1"/>
    <n v="655727.35"/>
    <n v="81779.650000000009"/>
    <n v="573947.70000000007"/>
    <x v="1"/>
    <x v="0"/>
  </r>
  <r>
    <s v="General Plant, Common"/>
    <s v="Common (E &amp; G)"/>
    <s v="Snoqualmie Technology Center: GPL-STC"/>
    <n v="32787871"/>
    <s v="C3900 CMN Structure &amp; Improvement"/>
    <n v="153003050"/>
    <s v="Snoqualmie Technology Center Purcha"/>
    <s v="Snoqualmie Technology Center Purchase"/>
    <s v="12/2023"/>
    <n v="1"/>
    <n v="72858.59"/>
    <n v="9086.630000000001"/>
    <n v="63771.96"/>
    <x v="1"/>
    <x v="0"/>
  </r>
  <r>
    <s v="General Plant, Common"/>
    <s v="Common (E &amp; G)"/>
    <s v="Snoqualmie Technology Center: GPL-STC"/>
    <n v="32787878"/>
    <s v="C3900 CMN Structure &amp; Improvement"/>
    <n v="153003050"/>
    <s v="Snoqualmie Technology Center Purcha"/>
    <s v="Snoqualmie Technology Center Purchase"/>
    <s v="12/2023"/>
    <n v="1"/>
    <n v="145717.19"/>
    <n v="18173.25"/>
    <n v="127543.94"/>
    <x v="1"/>
    <x v="0"/>
  </r>
  <r>
    <s v="General Plant, Common"/>
    <s v="Common (E &amp; G)"/>
    <s v="Snoqualmie Technology Center: GPL-STC"/>
    <n v="32794014"/>
    <s v="C3900 CMN Structure &amp; Improvement"/>
    <n v="153003050"/>
    <s v="Snoqualmie Technology Center Purcha"/>
    <s v="Snoqualmie Technology Center Purchase"/>
    <s v="12/2023"/>
    <n v="1"/>
    <n v="72858.59"/>
    <n v="9086.630000000001"/>
    <n v="63771.96"/>
    <x v="1"/>
    <x v="0"/>
  </r>
  <r>
    <s v="General Plant, Common"/>
    <s v="Common (E &amp; G)"/>
    <s v="Snoqualmie Data Center : GPL-SQE"/>
    <n v="36001891"/>
    <s v="C3900 CMN Structure &amp; Improvement"/>
    <n v="143003067"/>
    <s v="SNOQUALMIE TECHNOLOGY CENTER- STR"/>
    <s v="SNOQUALMIE TECHNOLOGY CENTER- STR"/>
    <s v="12/2023"/>
    <n v="1"/>
    <n v="53298.73"/>
    <n v="6647.2"/>
    <n v="46651.53"/>
    <x v="1"/>
    <x v="0"/>
  </r>
  <r>
    <s v="General Plant, Common"/>
    <s v="Common (E &amp; G)"/>
    <s v="Snoqualmie Data Center : GPL-SQE"/>
    <n v="36001894"/>
    <s v="C3900 CMN Structure &amp; Improvement"/>
    <n v="143003067"/>
    <s v="SNOQUALMIE TECHNOLOGY CENTER- STR"/>
    <s v="SNOQUALMIE TECHNOLOGY CENTER- STR"/>
    <s v="12/2023"/>
    <n v="1"/>
    <n v="142129.99"/>
    <n v="17725.87"/>
    <n v="124404.12"/>
    <x v="1"/>
    <x v="0"/>
  </r>
  <r>
    <s v="General Plant, Common"/>
    <s v="Common (E &amp; G)"/>
    <s v="Snoqualmie Data Center : GPL-SQE"/>
    <n v="36001897"/>
    <s v="C3900 CMN Structure &amp; Improvement"/>
    <n v="143003067"/>
    <s v="SNOQUALMIE TECHNOLOGY CENTER- STR"/>
    <s v="SNOQUALMIE TECHNOLOGY CENTER- STR"/>
    <s v="12/2023"/>
    <n v="1"/>
    <n v="621818.56000000006"/>
    <n v="77550.680000000008"/>
    <n v="544267.88"/>
    <x v="1"/>
    <x v="0"/>
  </r>
  <r>
    <s v="General Plant, Common"/>
    <s v="Common (E &amp; G)"/>
    <s v="Snoqualmie Data Center : GPL-SQE"/>
    <n v="36001900"/>
    <s v="C3900 CMN Structure &amp; Improvement"/>
    <n v="143003067"/>
    <s v="SNOQUALMIE TECHNOLOGY CENTER- STR"/>
    <s v="SNOQUALMIE TECHNOLOGY CENTER- STR"/>
    <s v="12/2023"/>
    <n v="1"/>
    <n v="159896.22"/>
    <n v="19941.61"/>
    <n v="139954.61000000002"/>
    <x v="1"/>
    <x v="0"/>
  </r>
  <r>
    <s v="General Plant, Common"/>
    <s v="Common (E &amp; G)"/>
    <s v="Snoqualmie Data Center : GPL-SQE"/>
    <n v="36001903"/>
    <s v="C3900 CMN Structure &amp; Improvement"/>
    <n v="143003067"/>
    <s v="SNOQUALMIE TECHNOLOGY CENTER- STR"/>
    <s v="SNOQUALMIE TECHNOLOGY CENTER- STR"/>
    <s v="12/2023"/>
    <n v="1"/>
    <n v="88831.23"/>
    <n v="11078.67"/>
    <n v="77752.56"/>
    <x v="1"/>
    <x v="0"/>
  </r>
  <r>
    <s v="General Plant, Common"/>
    <s v="Common (E &amp; G)"/>
    <s v="North King Svc Cntr (Redmond): GPL-NOK"/>
    <n v="34959935"/>
    <s v="C3900 CMN Structure &amp; Improvement"/>
    <n v="143002684"/>
    <s v="NORTH KING SVC FUEL TANK UPGRADE   "/>
    <s v="NORTH KING SVC FUEL TANK UPGRADE"/>
    <s v="12/2023"/>
    <n v="0"/>
    <n v="26276.11"/>
    <n v="3277.05"/>
    <n v="22999.06"/>
    <x v="1"/>
    <x v="0"/>
  </r>
  <r>
    <s v="General Plant, Common"/>
    <s v="Common (E &amp; G)"/>
    <s v="Cascade Data Center : GPL-CAS"/>
    <n v="35070330"/>
    <s v="C3900 CMN Structure &amp; Improvement"/>
    <n v="143002333"/>
    <s v="DATA CENTER - STR.  IT INFRASTRUCTU"/>
    <s v="DATA CENTER - STR.  IT INFRASTRUCTURE PL"/>
    <s v="12/2023"/>
    <n v="1"/>
    <n v="248984.24"/>
    <n v="31052.3"/>
    <n v="217931.94"/>
    <x v="1"/>
    <x v="0"/>
  </r>
  <r>
    <s v="General Plant, Common"/>
    <s v="Common (E &amp; G)"/>
    <s v="Cascade Data Center : GPL-CAS"/>
    <n v="35070333"/>
    <s v="C3900 CMN Structure &amp; Improvement"/>
    <n v="143002333"/>
    <s v="DATA CENTER - STR.  IT INFRASTRUCTU"/>
    <s v="DATA CENTER - STR.  IT INFRASTRUCTURE PL"/>
    <s v="12/2023"/>
    <n v="1"/>
    <n v="1754281.03"/>
    <n v="218786.79"/>
    <n v="1535494.24"/>
    <x v="1"/>
    <x v="0"/>
  </r>
  <r>
    <s v="General Plant, Common"/>
    <s v="Common (E &amp; G)"/>
    <s v="Cascade Data Center : GPL-CAS"/>
    <n v="35070336"/>
    <s v="C3900 CMN Structure &amp; Improvement"/>
    <n v="143002333"/>
    <s v="DATA CENTER - STR.  IT INFRASTRUCTU"/>
    <s v="DATA CENTER - STR.  IT INFRASTRUCTURE PL"/>
    <s v="12/2023"/>
    <n v="1"/>
    <n v="3349081.96"/>
    <n v="417683.87"/>
    <n v="2931398.09"/>
    <x v="1"/>
    <x v="0"/>
  </r>
  <r>
    <s v="General Plant, Common"/>
    <s v="Common (E &amp; G)"/>
    <s v="Cascade Data Center : GPL-CAS"/>
    <n v="35070339"/>
    <s v="C3900 CMN Structure &amp; Improvement"/>
    <n v="143002333"/>
    <s v="DATA CENTER - STR.  IT INFRASTRUCTU"/>
    <s v="DATA CENTER - STR.  IT INFRASTRUCTURE PL"/>
    <s v="12/2023"/>
    <n v="1"/>
    <n v="179008.27"/>
    <n v="22325.18"/>
    <n v="156683.09"/>
    <x v="1"/>
    <x v="0"/>
  </r>
  <r>
    <s v="General Plant, Common"/>
    <s v="Common (E &amp; G)"/>
    <s v="Cascade Data Center : GPL-CAS"/>
    <n v="35070342"/>
    <s v="C3900 CMN Structure &amp; Improvement"/>
    <n v="143002333"/>
    <s v="DATA CENTER - STR.  IT INFRASTRUCTU"/>
    <s v="DATA CENTER - STR.  IT INFRASTRUCTURE PL"/>
    <s v="12/2023"/>
    <n v="1"/>
    <n v="9630644.7799999993"/>
    <n v="1201094.82"/>
    <n v="8429549.9600000009"/>
    <x v="1"/>
    <x v="0"/>
  </r>
  <r>
    <s v="General Plant, Common"/>
    <s v="Common (E &amp; G)"/>
    <s v="Cascade Data Center : GPL-CAS"/>
    <n v="35070345"/>
    <s v="C3900 CMN Structure &amp; Improvement"/>
    <n v="143002333"/>
    <s v="DATA CENTER - STR.  IT INFRASTRUCTU"/>
    <s v="DATA CENTER - STR.  IT INFRASTRUCTURE PL"/>
    <s v="12/2023"/>
    <n v="1"/>
    <n v="179008.27"/>
    <n v="22325.18"/>
    <n v="156683.09"/>
    <x v="1"/>
    <x v="0"/>
  </r>
  <r>
    <s v="General Plant, Common"/>
    <s v="Common (E &amp; G)"/>
    <s v="Snoqualmie Data Center : GPL-SQE"/>
    <n v="35070353"/>
    <s v="C3900 CMN Structure &amp; Improvement"/>
    <n v="143003443"/>
    <s v="Data Center SQE - STR"/>
    <s v="Data Center SQE - STR"/>
    <s v="12/2023"/>
    <n v="1"/>
    <n v="1859582.22"/>
    <n v="231919.53"/>
    <n v="1627662.69"/>
    <x v="1"/>
    <x v="0"/>
  </r>
  <r>
    <s v="General Plant, Common"/>
    <s v="Common (E &amp; G)"/>
    <s v="Snoqualmie Data Center : GPL-SQE"/>
    <n v="35070356"/>
    <s v="C3900 CMN Structure &amp; Improvement"/>
    <n v="143003443"/>
    <s v="Data Center SQE - STR"/>
    <s v="Data Center SQE - STR"/>
    <s v="12/2023"/>
    <n v="1"/>
    <n v="25875.46"/>
    <n v="3227.08"/>
    <n v="22648.38"/>
    <x v="1"/>
    <x v="0"/>
  </r>
  <r>
    <s v="General Plant, Common"/>
    <s v="Common (E &amp; G)"/>
    <s v="Snoqualmie Data Center : GPL-SQE"/>
    <n v="35070359"/>
    <s v="C3900 CMN Structure &amp; Improvement"/>
    <n v="143003443"/>
    <s v="Data Center SQE - STR"/>
    <s v="Data Center SQE - STR"/>
    <s v="12/2023"/>
    <n v="1"/>
    <n v="1328273.03"/>
    <n v="165656.81"/>
    <n v="1162616.22"/>
    <x v="1"/>
    <x v="0"/>
  </r>
  <r>
    <s v="General Plant, Common"/>
    <s v="Common (E &amp; G)"/>
    <s v="Snoqualmie Data Center : GPL-SQE"/>
    <n v="35070362"/>
    <s v="C3900 CMN Structure &amp; Improvement"/>
    <n v="143003443"/>
    <s v="Data Center SQE - STR"/>
    <s v="Data Center SQE - STR"/>
    <s v="12/2023"/>
    <n v="1"/>
    <n v="13118852.35"/>
    <n v="1636129.87"/>
    <n v="11482722.48"/>
    <x v="1"/>
    <x v="0"/>
  </r>
  <r>
    <s v="General Plant, Common"/>
    <s v="Common (E &amp; G)"/>
    <s v="Snoqualmie Data Center : GPL-SQE"/>
    <n v="35070365"/>
    <s v="C3900 CMN Structure &amp; Improvement"/>
    <n v="143003443"/>
    <s v="Data Center SQE - STR"/>
    <s v="Data Center SQE - STR"/>
    <s v="12/2023"/>
    <n v="2"/>
    <n v="631360.93000000005"/>
    <n v="78740.77"/>
    <n v="552620.16"/>
    <x v="1"/>
    <x v="0"/>
  </r>
  <r>
    <s v="General Plant, Common"/>
    <s v="Common (E &amp; G)"/>
    <s v="General Plant, Pierce County outside RTA District, WA : GPL-0000 WA02700000"/>
    <n v="52234876"/>
    <s v="C3900 CMN Structure &amp; Improvement"/>
    <n v="143003720"/>
    <s v="LAKE TAPPS CAPITAL RENOVATIONS"/>
    <s v="LAKE TAPPS CAPITAL RENOVATIONS"/>
    <s v="12/2023"/>
    <n v="1"/>
    <n v="53864.75"/>
    <n v="6717.79"/>
    <n v="47146.96"/>
    <x v="1"/>
    <x v="0"/>
  </r>
  <r>
    <s v="General Plant, Common"/>
    <s v="Common (E &amp; G)"/>
    <s v="General Plant, King County Unincorporated within RTA District, WA : GPL-0000 WA11700990"/>
    <n v="51217710"/>
    <s v="C3900 CMN Structure &amp; Improvement"/>
    <n v="143003563"/>
    <s v="PSE 09 IMPROVEMENTS - STR"/>
    <s v="PSE 09 IMPROVEMENTS - STR"/>
    <s v="12/2023"/>
    <n v="1"/>
    <n v="-66737.02"/>
    <n v="-7026.4000000000005"/>
    <n v="-59710.62"/>
    <x v="1"/>
    <x v="0"/>
  </r>
  <r>
    <s v="General Plant, Common"/>
    <s v="Common (E &amp; G)"/>
    <s v="Vernell Office: GPL-VER"/>
    <n v="57971862"/>
    <s v="C3900 CMN Structure &amp; Improvement"/>
    <n v="143003580"/>
    <s v="VERNELL BLDG- STR"/>
    <s v="VERNELL BLDG- STR"/>
    <s v="12/2023"/>
    <n v="1"/>
    <n v="212571.57"/>
    <n v="22380.57"/>
    <n v="190191"/>
    <x v="1"/>
    <x v="0"/>
  </r>
  <r>
    <s v="General Plant, Common"/>
    <s v="Common (E &amp; G)"/>
    <s v="Vernell Office: GPL-VER"/>
    <n v="57971867"/>
    <s v="C3900 CMN Structure &amp; Improvement"/>
    <n v="143003580"/>
    <s v="VERNELL BLDG- STR"/>
    <s v="VERNELL BLDG- STR"/>
    <s v="12/2023"/>
    <n v="1"/>
    <n v="177142.98"/>
    <n v="18650.47"/>
    <n v="158492.51"/>
    <x v="1"/>
    <x v="0"/>
  </r>
  <r>
    <s v="General Plant, Common"/>
    <s v="Common (E &amp; G)"/>
    <s v="Vernell Office: GPL-VER"/>
    <n v="57971870"/>
    <s v="C3900 CMN Structure &amp; Improvement"/>
    <n v="143003580"/>
    <s v="VERNELL BLDG- STR"/>
    <s v="VERNELL BLDG- STR"/>
    <s v="12/2023"/>
    <n v="1"/>
    <n v="708571.85"/>
    <n v="74601.88"/>
    <n v="633969.97"/>
    <x v="1"/>
    <x v="0"/>
  </r>
  <r>
    <s v="General Plant, Common"/>
    <s v="Common (E &amp; G)"/>
    <s v="General Plant, Thurston County, WA : GPL-0000 WA03400000"/>
    <n v="36901949"/>
    <s v="C3900 CMN Structure &amp; Improvement"/>
    <n v="143003880"/>
    <s v="OLYMPIA SVC CTR METER SHOP EXPANSIO"/>
    <s v="OLYMPIA SVC CTR METER SHOP EXPANSION-STR"/>
    <s v="12/2023"/>
    <n v="1"/>
    <n v="26370.7"/>
    <n v="2776.44"/>
    <n v="23594.260000000002"/>
    <x v="1"/>
    <x v="0"/>
  </r>
  <r>
    <s v="General Plant, Common"/>
    <s v="Common (E &amp; G)"/>
    <s v="General Plant, Thurston County, WA : GPL-0000 WA03400000"/>
    <n v="36901952"/>
    <s v="C3900 CMN Structure &amp; Improvement"/>
    <n v="143003880"/>
    <s v="OLYMPIA SVC CTR METER SHOP EXPANSIO"/>
    <s v="OLYMPIA SVC CTR METER SHOP EXPANSION-STR"/>
    <s v="12/2023"/>
    <n v="1"/>
    <n v="43951.11"/>
    <n v="4627.3900000000003"/>
    <n v="39323.72"/>
    <x v="1"/>
    <x v="0"/>
  </r>
  <r>
    <s v="General Plant, Common"/>
    <s v="Common (E &amp; G)"/>
    <s v="General Plant, Thurston County, WA : GPL-0000 WA03400000"/>
    <n v="36901955"/>
    <s v="C3900 CMN Structure &amp; Improvement"/>
    <n v="143003880"/>
    <s v="OLYMPIA SVC CTR METER SHOP EXPANSIO"/>
    <s v="OLYMPIA SVC CTR METER SHOP EXPANSION-STR"/>
    <s v="12/2023"/>
    <n v="1"/>
    <n v="105482.68000000001"/>
    <n v="11105.73"/>
    <n v="94376.95"/>
    <x v="1"/>
    <x v="0"/>
  </r>
  <r>
    <s v="General Plant, Common"/>
    <s v="Common (E &amp; G)"/>
    <s v="General Plant, King County Unincorporated within RTA District, WA : GPL-0000 WA11700990"/>
    <n v="51217715"/>
    <s v="C3900 CMN Structure &amp; Improvement"/>
    <n v="143003563"/>
    <s v="PSE 09 IMPROVEMENTS - STR"/>
    <s v="PSE 09 IMPROVEMENTS - STR"/>
    <s v="12/2023"/>
    <n v="1"/>
    <n v="-66810.42"/>
    <n v="-7034.13"/>
    <n v="-59776.29"/>
    <x v="1"/>
    <x v="0"/>
  </r>
  <r>
    <s v="General Plant, Common"/>
    <s v="Common (E &amp; G)"/>
    <s v="General Plant, King County Unincorporated within RTA District, WA : GPL-0000 WA11700990"/>
    <n v="51217718"/>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21"/>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24"/>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27"/>
    <s v="C3900 CMN Structure &amp; Improvement"/>
    <n v="143003563"/>
    <s v="PSE 09 IMPROVEMENTS - STR"/>
    <s v="PSE 09 IMPROVEMENTS - STR"/>
    <s v="12/2023"/>
    <n v="1"/>
    <n v="-66736.98"/>
    <n v="-7026.39"/>
    <n v="-59710.590000000004"/>
    <x v="1"/>
    <x v="0"/>
  </r>
  <r>
    <s v="General Plant, Common"/>
    <s v="Common (E &amp; G)"/>
    <s v="General Plant, King County Unincorporated within RTA District, WA : GPL-0000 WA11700990"/>
    <n v="51217730"/>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33"/>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36"/>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39"/>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51217742"/>
    <s v="C3900 CMN Structure &amp; Improvement"/>
    <n v="143003563"/>
    <s v="PSE 09 IMPROVEMENTS - STR"/>
    <s v="PSE 09 IMPROVEMENTS - STR"/>
    <s v="12/2023"/>
    <n v="1"/>
    <n v="-66737.02"/>
    <n v="-7026.4000000000005"/>
    <n v="-59710.62"/>
    <x v="1"/>
    <x v="0"/>
  </r>
  <r>
    <s v="General Plant, Common"/>
    <s v="Common (E &amp; G)"/>
    <s v="General Plant, King County Unincorporated within RTA District, WA : GPL-0000 WA11700990"/>
    <n v="37737024"/>
    <s v="C3900 CMN Structure &amp; Improvement"/>
    <n v="143004526"/>
    <s v="IT - PSE SUMMIT CAMPUS CONSOLIDATIO"/>
    <s v="IT - PSE SUMMIT CAMPUS CONSOLIDATION PRO"/>
    <s v="12/2023"/>
    <n v="1"/>
    <n v="4180.54"/>
    <n v="440.15000000000003"/>
    <n v="3740.39"/>
    <x v="1"/>
    <x v="0"/>
  </r>
  <r>
    <s v="General Plant, Common"/>
    <s v="Common (E &amp; G)"/>
    <s v="General Plant, King County Unincorporated within RTA District, WA : GPL-0000 WA11700990"/>
    <n v="38929256"/>
    <s v="C3900 CMN Structure &amp; Improvement"/>
    <n v="143003509"/>
    <s v="SHUFFLETON-SKC-ANNEXWAREHOUSE UPGRA"/>
    <s v="SHUFFLETON-SKC-ANNEXWAREHOUSE UPGRADES"/>
    <s v="12/2023"/>
    <n v="2"/>
    <n v="388.92"/>
    <n v="40.950000000000003"/>
    <n v="347.97"/>
    <x v="1"/>
    <x v="0"/>
  </r>
  <r>
    <s v="General Plant, Common"/>
    <s v="Common (E &amp; G)"/>
    <s v="General Plant, King County Unincorporated within RTA District, WA : GPL-0000 WA11700990"/>
    <n v="38929261"/>
    <s v="C3900 CMN Structure &amp; Improvement"/>
    <n v="143003561"/>
    <s v="BOTHELL-O -STR"/>
    <s v="BOTHELL-O -STR"/>
    <s v="12/2023"/>
    <n v="3"/>
    <n v="150115.39000000001"/>
    <n v="15804.880000000001"/>
    <n v="134310.51"/>
    <x v="1"/>
    <x v="0"/>
  </r>
  <r>
    <s v="General Plant, Common"/>
    <s v="Common (E &amp; G)"/>
    <s v="General Plant, King County Unincorporated within RTA District, WA : GPL-0000 WA11700990"/>
    <n v="38929303"/>
    <s v="C3900 CMN Structure &amp; Improvement"/>
    <n v="143004400"/>
    <s v="SNOQUALMIE BACK UP CONTROL CENTER"/>
    <s v="SNOQUALMIE BACK UP CONTROL CENTER"/>
    <s v="12/2023"/>
    <n v="3"/>
    <n v="26681.78"/>
    <n v="2809.19"/>
    <n v="23872.59"/>
    <x v="1"/>
    <x v="0"/>
  </r>
  <r>
    <s v="General Plant, Common"/>
    <s v="Common (E &amp; G)"/>
    <s v="General Plant, King County Unincorporated within RTA District, WA : GPL-0000 WA11700990"/>
    <n v="39045331"/>
    <s v="C3900 CMN Structure &amp; Improvement"/>
    <n v="143003502"/>
    <s v="SHU RELO - SOUTH KING - STR"/>
    <s v="SHU RELO - SOUTH KING - STR"/>
    <s v="12/2023"/>
    <n v="24"/>
    <n v="132718.64000000001"/>
    <n v="13973.26"/>
    <n v="118745.38"/>
    <x v="1"/>
    <x v="0"/>
  </r>
  <r>
    <s v="General Plant, Common"/>
    <s v="Common (E &amp; G)"/>
    <s v="Snoqualmie Technology Center: GPL-STC"/>
    <n v="45469072"/>
    <s v="C3900 CMN Structure &amp; Improvement"/>
    <n v="143003062"/>
    <s v="SNOQUALMIE TECHNOLOGY CTR- SECURITY"/>
    <s v="SNOQUALMIE TECHNOLOGY CTR- SECURITY SYST"/>
    <s v="12/2023"/>
    <n v="1"/>
    <n v="2069.5"/>
    <n v="217.89000000000001"/>
    <n v="1851.6100000000001"/>
    <x v="1"/>
    <x v="0"/>
  </r>
  <r>
    <s v="General Plant, Common"/>
    <s v="Common (E &amp; G)"/>
    <s v="Vernell Office: GPL-VER"/>
    <n v="57971873"/>
    <s v="C3900 CMN Structure &amp; Improvement"/>
    <n v="143003580"/>
    <s v="VERNELL BLDG- STR"/>
    <s v="VERNELL BLDG- STR"/>
    <s v="12/2023"/>
    <n v="1"/>
    <n v="177142.98"/>
    <n v="18650.47"/>
    <n v="158492.51"/>
    <x v="1"/>
    <x v="0"/>
  </r>
  <r>
    <s v="General Plant, Common"/>
    <s v="Common (E &amp; G)"/>
    <s v="Vernell Office: GPL-VER"/>
    <n v="57971876"/>
    <s v="C3900 CMN Structure &amp; Improvement"/>
    <n v="143003580"/>
    <s v="VERNELL BLDG- STR"/>
    <s v="VERNELL BLDG- STR"/>
    <s v="12/2023"/>
    <n v="1"/>
    <n v="708571.85"/>
    <n v="74601.88"/>
    <n v="633969.97"/>
    <x v="1"/>
    <x v="0"/>
  </r>
  <r>
    <s v="General Plant, Common"/>
    <s v="Common (E &amp; G)"/>
    <s v="Vernell Office: GPL-VER"/>
    <n v="57971879"/>
    <s v="C3900 CMN Structure &amp; Improvement"/>
    <n v="143003580"/>
    <s v="VERNELL BLDG- STR"/>
    <s v="VERNELL BLDG- STR"/>
    <s v="12/2023"/>
    <n v="1"/>
    <n v="177142.98"/>
    <n v="18650.47"/>
    <n v="158492.51"/>
    <x v="1"/>
    <x v="0"/>
  </r>
  <r>
    <s v="General Plant, Common"/>
    <s v="Common (E &amp; G)"/>
    <s v="Vernell Office: GPL-VER"/>
    <n v="57971882"/>
    <s v="C3900 CMN Structure &amp; Improvement"/>
    <n v="143003580"/>
    <s v="VERNELL BLDG- STR"/>
    <s v="VERNELL BLDG- STR"/>
    <s v="12/2023"/>
    <n v="1"/>
    <n v="354285.86"/>
    <n v="37300.93"/>
    <n v="316984.93"/>
    <x v="1"/>
    <x v="0"/>
  </r>
  <r>
    <s v="General Plant, Common"/>
    <s v="Common (E &amp; G)"/>
    <s v="Vernell Office: GPL-VER"/>
    <n v="57971885"/>
    <s v="C3900 CMN Structure &amp; Improvement"/>
    <n v="143003580"/>
    <s v="VERNELL BLDG- STR"/>
    <s v="VERNELL BLDG- STR"/>
    <s v="12/2023"/>
    <n v="1"/>
    <n v="354285.93"/>
    <n v="37300.94"/>
    <n v="316984.99"/>
    <x v="1"/>
    <x v="0"/>
  </r>
  <r>
    <s v="General Plant, Common"/>
    <s v="Common (E &amp; G)"/>
    <s v="Vernell Office: GPL-VER"/>
    <n v="57971888"/>
    <s v="C3900 CMN Structure &amp; Improvement"/>
    <n v="143003580"/>
    <s v="VERNELL BLDG- STR"/>
    <s v="VERNELL BLDG- STR"/>
    <s v="12/2023"/>
    <n v="1"/>
    <n v="283428.74"/>
    <n v="29840.75"/>
    <n v="253587.99000000002"/>
    <x v="1"/>
    <x v="0"/>
  </r>
  <r>
    <s v="General Plant, Common"/>
    <s v="Common (E &amp; G)"/>
    <s v="Vernell Office: GPL-VER"/>
    <n v="57971891"/>
    <s v="C3900 CMN Structure &amp; Improvement"/>
    <n v="143003580"/>
    <s v="VERNELL BLDG- STR"/>
    <s v="VERNELL BLDG- STR"/>
    <s v="12/2023"/>
    <n v="1"/>
    <n v="177142.98"/>
    <n v="18650.47"/>
    <n v="158492.51"/>
    <x v="1"/>
    <x v="0"/>
  </r>
  <r>
    <s v="General Plant, Common"/>
    <s v="Common (E &amp; G)"/>
    <s v="Vernell Office: GPL-VER"/>
    <n v="57971894"/>
    <s v="C3900 CMN Structure &amp; Improvement"/>
    <n v="143003580"/>
    <s v="VERNELL BLDG- STR"/>
    <s v="VERNELL BLDG- STR"/>
    <s v="12/2023"/>
    <n v="1"/>
    <n v="212571.57"/>
    <n v="22380.57"/>
    <n v="190191"/>
    <x v="1"/>
    <x v="0"/>
  </r>
  <r>
    <s v="General Plant, Common"/>
    <s v="Common (E &amp; G)"/>
    <s v="Pse East Ofc Bldg (Leased) 110Th Ave Ne : GPL-PSEE"/>
    <n v="51556526"/>
    <s v="C3900 CMN Structure &amp; Improvement"/>
    <n v="143004587"/>
    <s v="PSE LOBBY RECEPTION DESK RELOCATION"/>
    <s v="PSE LOBBY RECEPTION DESK RELOCATION"/>
    <s v="12/2023"/>
    <n v="1"/>
    <n v="126620.51000000001"/>
    <n v="10879.36"/>
    <n v="115741.15000000001"/>
    <x v="1"/>
    <x v="0"/>
  </r>
  <r>
    <s v="General Plant, Common"/>
    <s v="Common (E &amp; G)"/>
    <s v="Pse East Ofc Bldg (Leased) 110Th Ave Ne : GPL-PSEE"/>
    <n v="51556531"/>
    <s v="C3900 CMN Structure &amp; Improvement"/>
    <n v="143004587"/>
    <s v="PSE LOBBY RECEPTION DESK RELOCATION"/>
    <s v="PSE LOBBY RECEPTION DESK RELOCATION"/>
    <s v="12/2023"/>
    <n v="1"/>
    <n v="126620.51000000001"/>
    <n v="10879.36"/>
    <n v="115741.15000000001"/>
    <x v="1"/>
    <x v="0"/>
  </r>
  <r>
    <s v="General Plant, Common"/>
    <s v="Common (E &amp; G)"/>
    <s v="Bothell Data Center (leased) : GPL-BOTA2"/>
    <n v="53040042"/>
    <s v="C3900 CMN Structure &amp; Improvement"/>
    <n v="143004529"/>
    <s v="DCDR - DATA CENTER- A/C UNIT &amp; POWE"/>
    <s v="DCDR - DATA CENTER- A/C UNIT &amp; POWER/LIG"/>
    <s v="12/2023"/>
    <n v="1"/>
    <n v="340896.5"/>
    <n v="29290.170000000002"/>
    <n v="311606.33"/>
    <x v="1"/>
    <x v="0"/>
  </r>
  <r>
    <s v="General Plant, Common"/>
    <s v="Common (E &amp; G)"/>
    <s v="Bothell Data Center (leased) : GPL-BOTA2"/>
    <n v="53040047"/>
    <s v="C3900 CMN Structure &amp; Improvement"/>
    <n v="143004529"/>
    <s v="DCDR - DATA CENTER- A/C UNIT &amp; POWE"/>
    <s v="DCDR - DATA CENTER- A/C UNIT &amp; POWER/LIG"/>
    <s v="12/2023"/>
    <n v="1"/>
    <n v="795425.16"/>
    <n v="68343.73"/>
    <n v="727081.43"/>
    <x v="1"/>
    <x v="0"/>
  </r>
  <r>
    <s v="General Plant, Common"/>
    <s v="Common (E &amp; G)"/>
    <s v="General Plant, King County Unincorporated within RTA District, WA : GPL-0000 WA11700990"/>
    <n v="53040050"/>
    <s v="C3900 CMN Structure &amp; Improvement"/>
    <n v="143005140"/>
    <s v="VERNELL FIRST FLOOR TI"/>
    <s v="VERNELL FIRST FLOOR TI"/>
    <s v="12/2023"/>
    <n v="15"/>
    <n v="74268.479999999996"/>
    <n v="4949.4000000000005"/>
    <n v="69319.08"/>
    <x v="1"/>
    <x v="0"/>
  </r>
  <r>
    <s v="General Plant, Common"/>
    <s v="Common (E &amp; G)"/>
    <s v="General Plant, King County Unincorporated within RTA District, WA : GPL-0000 WA11700990"/>
    <n v="57971962"/>
    <s v="C3900 CMN Structure &amp; Improvement"/>
    <n v="143004564"/>
    <s v="POULSBO GEN LOAD BANK SWITCH"/>
    <s v="POULSBO GEN LOAD BANK SWITCH"/>
    <s v="12/2023"/>
    <n v="1"/>
    <n v="10976.58"/>
    <n v="731.5"/>
    <n v="10245.08"/>
    <x v="1"/>
    <x v="0"/>
  </r>
  <r>
    <s v="General Plant, Common"/>
    <s v="Common (E &amp; G)"/>
    <s v="General Plant, King County Unincorporated within RTA District, WA : GPL-0000 WA11700990"/>
    <n v="47865911"/>
    <s v="C3900 CMN Structure &amp; Improvement"/>
    <n v="143003600"/>
    <s v="SOUTH KING - RENOVATIONS - PHASE II"/>
    <s v="SOUTH KING - RENOVATIONS - PHASE II-STR"/>
    <s v="12/2023"/>
    <n v="8"/>
    <n v="68246.63"/>
    <n v="4548.09"/>
    <n v="63698.54"/>
    <x v="1"/>
    <x v="0"/>
  </r>
  <r>
    <s v="General Plant, Common"/>
    <s v="Common (E &amp; G)"/>
    <s v="General Plant, Pierce County outside RTA District, WA : GPL-0000 WA02700000"/>
    <n v="47865923"/>
    <s v="C3900 CMN Structure &amp; Improvement"/>
    <n v="143004008"/>
    <s v="SHUFFLETON RELOCATION - PUYALLUP FL"/>
    <s v="SHUFFLETON RELOCATION - PUYALLUP FLEET"/>
    <s v="12/2023"/>
    <n v="5"/>
    <n v="567917.80000000005"/>
    <n v="37847.160000000003"/>
    <n v="530070.64"/>
    <x v="1"/>
    <x v="0"/>
  </r>
  <r>
    <s v="General Plant, Common"/>
    <s v="Common (E &amp; G)"/>
    <s v="General Plant, King County Unincorporated within RTA District, WA : GPL-0000 WA11700990"/>
    <n v="53040055"/>
    <s v="C3900 CMN Structure &amp; Improvement"/>
    <n v="143005140"/>
    <s v="VERNELL FIRST FLOOR TI"/>
    <s v="VERNELL FIRST FLOOR TI"/>
    <s v="12/2023"/>
    <n v="23"/>
    <n v="114497.21"/>
    <n v="7630.32"/>
    <n v="106866.89"/>
    <x v="1"/>
    <x v="0"/>
  </r>
  <r>
    <s v="General Plant, Common"/>
    <s v="Common (E &amp; G)"/>
    <s v="General Plant, King County Unincorporated within RTA District, WA : GPL-0000 WA11700990"/>
    <n v="53040058"/>
    <s v="C3900 CMN Structure &amp; Improvement"/>
    <n v="143005140"/>
    <s v="VERNELL FIRST FLOOR TI"/>
    <s v="VERNELL FIRST FLOOR TI"/>
    <s v="12/2023"/>
    <n v="1"/>
    <n v="9283.5500000000011"/>
    <n v="618.66999999999996"/>
    <n v="8664.880000000001"/>
    <x v="1"/>
    <x v="0"/>
  </r>
  <r>
    <s v="General Plant, Common"/>
    <s v="Common (E &amp; G)"/>
    <s v="General Plant, King County Unincorporated within RTA District, WA : GPL-0000 WA11700990"/>
    <n v="53040061"/>
    <s v="C3900 CMN Structure &amp; Improvement"/>
    <n v="143005140"/>
    <s v="VERNELL FIRST FLOOR TI"/>
    <s v="VERNELL FIRST FLOOR TI"/>
    <s v="12/2023"/>
    <n v="11"/>
    <n v="52606.82"/>
    <n v="3505.82"/>
    <n v="49101"/>
    <x v="1"/>
    <x v="0"/>
  </r>
  <r>
    <s v="General Plant, Common"/>
    <s v="Common (E &amp; G)"/>
    <s v="General Plant, King County Unincorporated within RTA District, WA : GPL-0000 WA11700990"/>
    <n v="53040064"/>
    <s v="C3900 CMN Structure &amp; Improvement"/>
    <n v="143005140"/>
    <s v="VERNELL FIRST FLOOR TI"/>
    <s v="VERNELL FIRST FLOOR TI"/>
    <s v="12/2023"/>
    <n v="12"/>
    <n v="58795.86"/>
    <n v="3918.27"/>
    <n v="54877.590000000004"/>
    <x v="1"/>
    <x v="0"/>
  </r>
  <r>
    <s v="General Plant, Common"/>
    <s v="Common (E &amp; G)"/>
    <s v="General Plant, King County Unincorporated within RTA District, WA : GPL-0000 WA11700990"/>
    <n v="48746594"/>
    <s v="C3900 CMN Structure &amp; Improvement"/>
    <n v="143003540"/>
    <s v="SHU RELO - KENT SVC CTR RENOVATION-"/>
    <s v="SHU RELO - KENT SVC CTR RENOVATION-STR"/>
    <s v="12/2023"/>
    <n v="39"/>
    <n v="41310.68"/>
    <n v="2753.02"/>
    <n v="38557.660000000003"/>
    <x v="1"/>
    <x v="0"/>
  </r>
  <r>
    <s v="General Plant, Common"/>
    <s v="Common (E &amp; G)"/>
    <s v="General Plant, King County Unincorporated within RTA District, WA : GPL-0000 WA11700990"/>
    <n v="49828474"/>
    <s v="C3900 CMN Structure &amp; Improvement"/>
    <n v="143005584"/>
    <s v="ESO-COM ROOF REPLACEMENT"/>
    <s v="ESO-COM ROOF REPLACEMENT"/>
    <s v="12/2023"/>
    <n v="2"/>
    <n v="24330.080000000002"/>
    <n v="1621.4"/>
    <n v="22708.68"/>
    <x v="1"/>
    <x v="0"/>
  </r>
  <r>
    <s v="General Plant, Common"/>
    <s v="Common (E &amp; G)"/>
    <s v="General Plant, Kittitas County, WA : GPL-0000 WA01900000"/>
    <n v="51353681"/>
    <s v="C3900 CMN Structure &amp; Improvement"/>
    <n v="143004343"/>
    <s v="Kittitas Roof Replacement"/>
    <s v="Kittitas Roof Replacement"/>
    <s v="12/2023"/>
    <n v="1"/>
    <n v="4483.0600000000004"/>
    <n v="212.73000000000002"/>
    <n v="4270.33"/>
    <x v="1"/>
    <x v="0"/>
  </r>
  <r>
    <s v="General Plant, Common"/>
    <s v="Common (E &amp; G)"/>
    <s v="General Plant, King County Unincorporated within RTA District, WA : GPL-0000 WA11700990"/>
    <n v="53009575"/>
    <s v="C3900 CMN Structure &amp; Improvement"/>
    <n v="143003510"/>
    <s v="Shuffleton-SKC-Security"/>
    <s v="Shuffleton-SKC-Security"/>
    <s v="12/2023"/>
    <n v="1"/>
    <n v="1149.1400000000001"/>
    <n v="54.53"/>
    <n v="1094.6100000000001"/>
    <x v="1"/>
    <x v="0"/>
  </r>
  <r>
    <s v="General Plant, Common"/>
    <s v="Common (E &amp; G)"/>
    <s v="General Plant, Pierce County outside RTA District, WA : GPL-0000 WA02700000"/>
    <n v="53319910"/>
    <s v="C3900 CMN Structure &amp; Improvement"/>
    <n v="143003361"/>
    <s v="PUYALLUP REBUILD CONSTRUCTION-STR"/>
    <s v="PUYALLUP REBUILD CONSTRUCTION-STR"/>
    <s v="12/2023"/>
    <n v="30"/>
    <n v="620925.70000000007"/>
    <n v="29463.58"/>
    <n v="591462.12"/>
    <x v="1"/>
    <x v="0"/>
  </r>
  <r>
    <s v="General Plant, Common"/>
    <s v="Common (E &amp; G)"/>
    <s v="General Plant, Skagit County, WA : GPL-0000 WA02900000"/>
    <n v="53824355"/>
    <s v="C3900 CMN Structure &amp; Improvement"/>
    <n v="143006019"/>
    <s v="MTE-COM BOLLARDS"/>
    <s v="MTE-COM BOLLARDS"/>
    <s v="12/2023"/>
    <n v="6"/>
    <n v="34200.770000000004"/>
    <n v="1622.8600000000001"/>
    <n v="32577.91"/>
    <x v="1"/>
    <x v="0"/>
  </r>
  <r>
    <s v="General Plant, Common"/>
    <s v="Common (E &amp; G)"/>
    <s v="General Plant, King County Unincorporated within RTA District, WA : GPL-0000 WA11700990"/>
    <n v="57971999"/>
    <s v="C3900 CMN Structure &amp; Improvement"/>
    <n v="143005314"/>
    <s v="SKC FIRE ALARM AND SUPPRESSION"/>
    <s v="SKC FIRE ALARM AND SUPPRESSION"/>
    <s v="12/2023"/>
    <n v="1"/>
    <n v="2821071.48"/>
    <n v="133862.79999999999"/>
    <n v="2687208.68"/>
    <x v="1"/>
    <x v="0"/>
  </r>
  <r>
    <s v="General Plant, Common"/>
    <s v="Common (E &amp; G)"/>
    <s v="General Plant, Skagit County, WA : GPL-0000 WA02900000"/>
    <n v="58131293"/>
    <s v="C3900 CMN Structure &amp; Improvement"/>
    <n v="143006200"/>
    <s v="MTE-COM ROOF REPLACEMENT"/>
    <s v="MTE-COM ROOF REPLACEMENT"/>
    <s v="12/2023"/>
    <n v="6"/>
    <n v="39197.370000000003"/>
    <n v="1859.96"/>
    <n v="37337.410000000003"/>
    <x v="1"/>
    <x v="0"/>
  </r>
  <r>
    <s v="General Plant, Common"/>
    <s v="Common (E &amp; G)"/>
    <s v="General Plant, King County Unincorporated within RTA District, WA : GPL-0000 WA11700990"/>
    <n v="67206440"/>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8"/>
    <n v="6623.76"/>
    <n v="187.91"/>
    <n v="6435.85"/>
    <x v="1"/>
    <x v="0"/>
  </r>
  <r>
    <s v="General Plant, Common"/>
    <s v="Common (E &amp; G)"/>
    <s v="General Plant, King County Unincorporated within RTA District, WA : GPL-0000 WA11700990"/>
    <n v="67206445"/>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21"/>
    <n v="26495.03"/>
    <n v="751.65"/>
    <n v="25743.38"/>
    <x v="1"/>
    <x v="0"/>
  </r>
  <r>
    <s v="General Plant, Common"/>
    <s v="Common (E &amp; G)"/>
    <s v="General Plant, King County Unincorporated within RTA District, WA : GPL-0000 WA11700990"/>
    <n v="67206448"/>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22"/>
    <n v="26495.03"/>
    <n v="751.65"/>
    <n v="25743.38"/>
    <x v="1"/>
    <x v="0"/>
  </r>
  <r>
    <s v="General Plant, Common"/>
    <s v="Common (E &amp; G)"/>
    <s v="General Plant, King County Unincorporated within RTA District, WA : GPL-0000 WA11700990"/>
    <n v="58680926"/>
    <s v="C3900 CMN Structure &amp; Improvement"/>
    <n v="143005203"/>
    <s v="TRANSMISSION POLE STORAGE FACILITY"/>
    <s v="TRANSMISSION POLE STORAGE FACILITY"/>
    <s v="12/2023"/>
    <n v="2"/>
    <n v="416353.13"/>
    <n v="11811.74"/>
    <n v="404541.39"/>
    <x v="1"/>
    <x v="0"/>
  </r>
  <r>
    <s v="General Plant, Common"/>
    <s v="Common (E &amp; G)"/>
    <s v="General Plant, King County Unincorporated within RTA District, WA : GPL-0000 WA11700990"/>
    <n v="59041363"/>
    <s v="C3900 CMN Structure &amp; Improvement"/>
    <n v="143005930"/>
    <s v="EST BUILDING VACATE - BELLEVUE"/>
    <s v="EST BUILDING VACATE - BELLEVUE"/>
    <s v="12/2023"/>
    <n v="3"/>
    <n v="8334.7999999999993"/>
    <n v="236.45000000000002"/>
    <n v="8098.35"/>
    <x v="1"/>
    <x v="0"/>
  </r>
  <r>
    <s v="General Plant, Common"/>
    <s v="Common (E &amp; G)"/>
    <s v="General Plant, King County Unincorporated within RTA District, WA : GPL-0000 WA11700990"/>
    <n v="60414601"/>
    <s v="C3900 CMN Structure &amp; Improvement"/>
    <n v="143005997"/>
    <s v="PSE NEW HEADQUARTER"/>
    <s v="PSE NEW HEADQUARTER"/>
    <s v="12/2023"/>
    <n v="2"/>
    <n v="25402.97"/>
    <n v="720.67"/>
    <n v="24682.3"/>
    <x v="1"/>
    <x v="0"/>
  </r>
  <r>
    <s v="General Plant, Common"/>
    <s v="Common (E &amp; G)"/>
    <s v="General Plant, Snohomish County outside RTA Dst, WA : GPL-0000 WA03100000"/>
    <n v="60414612"/>
    <s v="C3900 CMN Structure &amp; Improvement"/>
    <n v="143006064"/>
    <s v="BUCC BUILDOUT BOTHELL H - SECURITY"/>
    <s v="BUCC BUILDOUT BOTHELL H - SECURITY"/>
    <s v="12/2023"/>
    <n v="2"/>
    <n v="176412.92"/>
    <n v="5004.75"/>
    <n v="171408.17"/>
    <x v="1"/>
    <x v="0"/>
  </r>
  <r>
    <s v="General Plant, Common"/>
    <s v="Common (E &amp; G)"/>
    <s v="General Plant, King County Unincorporated within RTA District, WA : GPL-0000 WA11700990"/>
    <n v="61702511"/>
    <s v="C3900 CMN Structure &amp; Improvement"/>
    <n v="143005935"/>
    <s v="EST BUILDING VACATE - FF&amp;E BUILDOUT"/>
    <s v="EST BUILDING VACATE - FF&amp;E BUILDOUT"/>
    <s v="12/2023"/>
    <n v="2"/>
    <n v="52656.160000000003"/>
    <n v="1493.83"/>
    <n v="51162.33"/>
    <x v="1"/>
    <x v="0"/>
  </r>
  <r>
    <s v="General Plant, Common"/>
    <s v="Common (E &amp; G)"/>
    <s v="General Plant, King County Unincorporated within RTA District, WA : GPL-0000 WA11700990"/>
    <n v="61702514"/>
    <s v="C3900 CMN Structure &amp; Improvement"/>
    <n v="143005938"/>
    <s v="EST BUILDING VACATE - PLANNING &amp; MA"/>
    <s v="EST BUILDING VACATE - PLANNING &amp; MANAGEM"/>
    <s v="12/2023"/>
    <n v="2"/>
    <n v="244088.46"/>
    <n v="6924.67"/>
    <n v="237163.79"/>
    <x v="1"/>
    <x v="0"/>
  </r>
  <r>
    <s v="General Plant, Common"/>
    <s v="Common (E &amp; G)"/>
    <s v="General Plant, Snohomish County outside RTA Dst, WA : GPL-0000 WA03100000"/>
    <n v="61702520"/>
    <s v="C3900 CMN Structure &amp; Improvement"/>
    <n v="143006065"/>
    <s v="BUCC BUILDOUT BOTHELL H - FF&amp;E"/>
    <s v="BUCC BUILDOUT BOTHELL H - FF&amp;E"/>
    <s v="12/2023"/>
    <n v="2"/>
    <n v="595218.62"/>
    <n v="16886.07"/>
    <n v="578332.55000000005"/>
    <x v="1"/>
    <x v="0"/>
  </r>
  <r>
    <s v="General Plant, Common"/>
    <s v="Common (E &amp; G)"/>
    <s v="General Plant, King County Unincorporated within RTA District, WA : GPL-0000 WA11700990"/>
    <n v="61702523"/>
    <s v="C3900 CMN Structure &amp; Improvement"/>
    <n v="143006180"/>
    <s v="PSE BELL HQ REFRESH - FLOORS 10/11 "/>
    <s v="PSE BELL HQ REFRESH - FLOORS 10/11 2021"/>
    <s v="12/2023"/>
    <n v="2"/>
    <n v="78731.72"/>
    <n v="2233.58"/>
    <n v="76498.14"/>
    <x v="1"/>
    <x v="0"/>
  </r>
  <r>
    <s v="General Plant, Common"/>
    <s v="Common (E &amp; G)"/>
    <s v="General Plant, King County Unincorporated within RTA District, WA : GPL-0000 WA11700990"/>
    <n v="61702541"/>
    <s v="C3900 CMN Structure &amp; Improvement"/>
    <n v="143006428"/>
    <s v="PSE BELL HQ REFRESH - FL8 - LABOR &amp;"/>
    <s v="PSE BELL HQ REFRESH - FL8 - LABOR &amp; EXP"/>
    <s v="12/2023"/>
    <n v="9"/>
    <n v="281915.5"/>
    <n v="7997.81"/>
    <n v="273917.69"/>
    <x v="1"/>
    <x v="0"/>
  </r>
  <r>
    <s v="General Plant, Common"/>
    <s v="Common (E &amp; G)"/>
    <s v="General Plant, King County Unincorporated within RTA District, WA : GPL-0000 WA11700990"/>
    <n v="61702544"/>
    <s v="C3900 CMN Structure &amp; Improvement"/>
    <n v="143006429"/>
    <s v="PSE HQ REFRESH PH2 - SECURITY FL8"/>
    <s v="PSE HQ REFRESH PH2 - SECURITY FL8"/>
    <s v="12/2023"/>
    <n v="2"/>
    <n v="6423.16"/>
    <n v="182.22"/>
    <n v="6240.9400000000005"/>
    <x v="1"/>
    <x v="0"/>
  </r>
  <r>
    <s v="General Plant, Common"/>
    <s v="Common (E &amp; G)"/>
    <s v="General Plant, King County Unincorporated within RTA District, WA : GPL-0000 WA11700990"/>
    <n v="61702547"/>
    <s v="C3900 CMN Structure &amp; Improvement"/>
    <n v="143006430"/>
    <s v="PSE BELL HQ REFRESH O/S FL8"/>
    <s v="PSE BELL HQ REFRESH O/S FL8"/>
    <s v="12/2023"/>
    <n v="2"/>
    <n v="580943.74"/>
    <n v="16481.099999999999"/>
    <n v="564462.64"/>
    <x v="1"/>
    <x v="0"/>
  </r>
  <r>
    <s v="General Plant, Common"/>
    <s v="Common (E &amp; G)"/>
    <s v="General Plant, King County Unincorporated within RTA District, WA : GPL-0000 WA11700990"/>
    <n v="67206451"/>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12"/>
    <n v="6623.76"/>
    <n v="187.91"/>
    <n v="6435.85"/>
    <x v="1"/>
    <x v="0"/>
  </r>
  <r>
    <s v="General Plant, Common"/>
    <s v="Common (E &amp; G)"/>
    <s v="General Plant, King County Unincorporated within RTA District, WA : GPL-0000 WA11700990"/>
    <n v="67206454"/>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14"/>
    <n v="6623.76"/>
    <n v="187.91"/>
    <n v="6435.85"/>
    <x v="1"/>
    <x v="0"/>
  </r>
  <r>
    <s v="General Plant, Common"/>
    <s v="Common (E &amp; G)"/>
    <s v="General Plant, King County Unincorporated within RTA District, WA : GPL-0000 WA11700990"/>
    <n v="67206457"/>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19"/>
    <n v="26495.03"/>
    <n v="751.65"/>
    <n v="25743.38"/>
    <x v="1"/>
    <x v="0"/>
  </r>
  <r>
    <s v="General Plant, Common"/>
    <s v="Common (E &amp; G)"/>
    <s v="General Plant, King County Unincorporated within RTA District, WA : GPL-0000 WA11700990"/>
    <n v="67206460"/>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6"/>
    <n v="6623.72"/>
    <n v="187.91"/>
    <n v="6435.81"/>
    <x v="1"/>
    <x v="0"/>
  </r>
  <r>
    <s v="General Plant, Common"/>
    <s v="Common (E &amp; G)"/>
    <s v="General Plant, King County Unincorporated within RTA District, WA : GPL-0000 WA11700990"/>
    <n v="67206463"/>
    <s v="C3900 CMN Structure &amp; Improvement"/>
    <n v="143005251"/>
    <s v="CONCEPT DESIGN FOR THE SERVICE CENT"/>
    <s v="CONCEPT DESIGN FOR THE SERVICE CENTERS. UOP: 6 FENCING/WALLS COMPLETE WITH GATE, 8 FOUNDATION, EQUIPMENT, 12 POWER/LIGHTING SYSTEM, 14 ROOFS, WITH OR WITHOUT SUPPORTING MEMBERS, 19 STRUCTURE, PERMANENT, 20 YARD DRAINAGE SYSTEM, 21 YARD IMPROVEMENTS (OUTSIDE STRUCTURE), 22 YARD LIGHTING SYSTEM"/>
    <s v="12/2023"/>
    <n v="20"/>
    <n v="26495.03"/>
    <n v="751.65"/>
    <n v="25743.38"/>
    <x v="1"/>
    <x v="0"/>
  </r>
  <r>
    <s v="General Plant, Common"/>
    <s v="Common (E &amp; G)"/>
    <s v="General Plant, Pierce County outside RTA District, WA : GPL-0000 WA02700000"/>
    <n v="67206466"/>
    <s v="C3900 CMN Structure &amp; Improvement"/>
    <n v="143005318"/>
    <s v="PUY SVC SECURITY CONSTRUCTION"/>
    <s v="Puyallup Service Center. Security's work during construction."/>
    <s v="12/2023"/>
    <n v="1"/>
    <n v="15449.880000000001"/>
    <n v="438.31"/>
    <n v="15011.57"/>
    <x v="1"/>
    <x v="0"/>
  </r>
  <r>
    <s v="General Plant, Common"/>
    <s v="Common (E &amp; G)"/>
    <s v="General Plant, King County outside RTA District, WA : GPL-0000 WA01700000"/>
    <n v="62433294"/>
    <s v="C3900 CMN Structure &amp; Improvement"/>
    <n v="143006183"/>
    <s v="OPERATIONAL TRAINING CENTER"/>
    <s v="OPERATIONAL TRAINING CENTER"/>
    <s v="12/2023"/>
    <n v="2"/>
    <n v="142165.15"/>
    <n v="4033.1600000000003"/>
    <n v="138131.99"/>
    <x v="1"/>
    <x v="0"/>
  </r>
  <r>
    <s v="General Plant, Common"/>
    <s v="Common (E &amp; G)"/>
    <s v="General Plant, King County Unincorporated within RTA District, WA : GPL-0000 WA11700990"/>
    <n v="62782991"/>
    <s v="C3900 CMN Structure &amp; Improvement"/>
    <n v="143006182"/>
    <s v="PSE BELL HQ REFRESH O/S FLRS 10/11 "/>
    <s v="PSE BELL HQ REFRESH O/S FLRS 10/11 2021"/>
    <s v="12/2023"/>
    <n v="2"/>
    <n v="2393125.17"/>
    <n v="67891.839999999997"/>
    <n v="2325233.33"/>
    <x v="1"/>
    <x v="0"/>
  </r>
  <r>
    <s v="General Plant, Common"/>
    <s v="Common (E &amp; G)"/>
    <s v="General Plant, King County Unincorporated within RTA District, WA : GPL-0000 WA11700990"/>
    <n v="63116590"/>
    <s v="C3900 CMN Structure &amp; Improvement"/>
    <n v="143006032"/>
    <s v="BELMORE SUBSTATION PERIMETER FENCIN"/>
    <s v="BELMORE SUBSTATION PERIMETER FENCING"/>
    <s v="12/2023"/>
    <n v="6"/>
    <n v="184373.08000000002"/>
    <n v="5230.58"/>
    <n v="179142.5"/>
    <x v="1"/>
    <x v="0"/>
  </r>
  <r>
    <s v="General Plant, Common"/>
    <s v="Common (E &amp; G)"/>
    <s v="General Plant, King County Unincorporated within RTA District, WA : GPL-0000 WA11700990"/>
    <n v="63116616"/>
    <s v="C3900 CMN Structure &amp; Improvement"/>
    <n v="143006434"/>
    <s v="NVR - Bothell G"/>
    <s v="NVR - Bothell G"/>
    <s v="12/2023"/>
    <n v="1"/>
    <n v="23681.29"/>
    <n v="671.83"/>
    <n v="23009.46"/>
    <x v="1"/>
    <x v="0"/>
  </r>
  <r>
    <s v="General Plant, Common"/>
    <s v="Common (E &amp; G)"/>
    <s v="General Plant, Whatcom County, WA : GPL-0000 WA03700000"/>
    <n v="63116619"/>
    <s v="C3900 CMN Structure &amp; Improvement"/>
    <n v="143006436"/>
    <s v="NVR - ENCOGEN (GEN)"/>
    <s v="NVR - ENCOGEN (GEN)"/>
    <s v="12/2023"/>
    <n v="1"/>
    <n v="24356.99"/>
    <n v="691"/>
    <n v="23665.99"/>
    <x v="1"/>
    <x v="0"/>
  </r>
  <r>
    <s v="General Plant, Common"/>
    <s v="Common (E &amp; G)"/>
    <s v="General Plant, Whatcom County, WA : GPL-0000 WA03700000"/>
    <n v="63116700"/>
    <s v="C3900 CMN Structure &amp; Improvement"/>
    <n v="143006540"/>
    <s v="IP Camera - Encogen (Gen)"/>
    <s v="IP Camera - Encogen (Gen)"/>
    <s v="12/2023"/>
    <n v="1"/>
    <n v="94349.42"/>
    <n v="2676.65"/>
    <n v="91672.77"/>
    <x v="1"/>
    <x v="0"/>
  </r>
  <r>
    <s v="General Plant, Common"/>
    <s v="Common (E &amp; G)"/>
    <s v="General Plant, Kitsap County, WA : GPL-0000 WA01800000"/>
    <n v="63116703"/>
    <s v="C3900 CMN Structure &amp; Improvement"/>
    <n v="143006541"/>
    <s v="IP Camera - Kitsap Service"/>
    <s v="IP Camera - Kitsap Service"/>
    <s v="12/2023"/>
    <n v="1"/>
    <n v="56492.67"/>
    <n v="1602.67"/>
    <n v="54890"/>
    <x v="1"/>
    <x v="0"/>
  </r>
  <r>
    <s v="General Plant, Common"/>
    <s v="Common (E &amp; G)"/>
    <s v="General Plant, Kitsap County, WA : GPL-0000 WA01800000"/>
    <n v="63116706"/>
    <s v="C3900 CMN Structure &amp; Improvement"/>
    <n v="143006542"/>
    <s v="IP Camera - SUB South Bremerton"/>
    <s v="IP Camera - SUB South Bremerton"/>
    <s v="12/2023"/>
    <n v="2"/>
    <n v="155922.80000000002"/>
    <n v="4423.46"/>
    <n v="151499.34"/>
    <x v="1"/>
    <x v="0"/>
  </r>
  <r>
    <s v="General Plant, Common"/>
    <s v="Common (E &amp; G)"/>
    <s v="General Plant, Skagit County, WA : GPL-0000 WA02900000"/>
    <n v="63116709"/>
    <s v="C3900 CMN Structure &amp; Improvement"/>
    <n v="143006543"/>
    <s v="IP Camera - Skagit Service"/>
    <s v="IP Camera - Skagit Service"/>
    <s v="12/2023"/>
    <n v="1"/>
    <n v="145635.49"/>
    <n v="4131.6099999999997"/>
    <n v="141503.88"/>
    <x v="1"/>
    <x v="0"/>
  </r>
  <r>
    <s v="General Plant, Common"/>
    <s v="Common (E &amp; G)"/>
    <s v="General Plant, Lewis County, WA : GPL-0000 WA02100000"/>
    <n v="63116712"/>
    <s v="C3900 CMN Structure &amp; Improvement"/>
    <n v="143006544"/>
    <s v="IP Camera - Centralia Office"/>
    <s v="IP Camera - Centralia Office"/>
    <s v="12/2023"/>
    <n v="1"/>
    <n v="23195.38"/>
    <n v="658.04"/>
    <n v="22537.34"/>
    <x v="1"/>
    <x v="0"/>
  </r>
  <r>
    <s v="General Plant, Common"/>
    <s v="Common (E &amp; G)"/>
    <s v="General Plant, Kittitas County, WA : GPL-0000 WA01900000"/>
    <n v="63116715"/>
    <s v="C3900 CMN Structure &amp; Improvement"/>
    <n v="143006545"/>
    <s v="IP Camera - Ellensburg Office"/>
    <s v="IP Camera - Ellensburg Office"/>
    <s v="12/2023"/>
    <n v="1"/>
    <n v="22712.79"/>
    <n v="644.35"/>
    <n v="22068.44"/>
    <x v="1"/>
    <x v="0"/>
  </r>
  <r>
    <s v="General Plant, Common"/>
    <s v="Common (E &amp; G)"/>
    <s v="General Plant, Kittitas County, WA : GPL-0000 WA01900000"/>
    <n v="63116718"/>
    <s v="C3900 CMN Structure &amp; Improvement"/>
    <n v="143006546"/>
    <s v="IP Camera - Wild Horse O&amp;M"/>
    <s v="IP Camera - Wild Horse O&amp;M"/>
    <s v="12/2023"/>
    <n v="1"/>
    <n v="71400.290000000008"/>
    <n v="2025.5900000000001"/>
    <n v="69374.7"/>
    <x v="1"/>
    <x v="0"/>
  </r>
  <r>
    <s v="General Plant, Common"/>
    <s v="Common (E &amp; G)"/>
    <s v="General Plant, Kittitas County, WA : GPL-0000 WA01900000"/>
    <n v="63116721"/>
    <s v="C3900 CMN Structure &amp; Improvement"/>
    <n v="143006547"/>
    <s v="IP Camera - Wild Horse REC"/>
    <s v="IP Camera - Wild Horse REC"/>
    <s v="12/2023"/>
    <n v="1"/>
    <n v="58195.25"/>
    <n v="1650.97"/>
    <n v="56544.28"/>
    <x v="1"/>
    <x v="0"/>
  </r>
  <r>
    <s v="General Plant, Common"/>
    <s v="Common (E &amp; G)"/>
    <s v="General Plant, Kittitas County, WA : GPL-0000 WA01900000"/>
    <n v="63116724"/>
    <s v="C3900 CMN Structure &amp; Improvement"/>
    <n v="143006548"/>
    <s v="IP Camera - SUB Poison Spring"/>
    <s v="IP Camera - SUB Poison Spring"/>
    <s v="12/2023"/>
    <n v="1"/>
    <n v="40044.559999999998"/>
    <n v="1136.05"/>
    <n v="38908.51"/>
    <x v="1"/>
    <x v="0"/>
  </r>
  <r>
    <s v="General Plant, Common"/>
    <s v="Common (E &amp; G)"/>
    <s v="General Plant, Kittitas County, WA : GPL-0000 WA01900000"/>
    <n v="63116727"/>
    <s v="C3900 CMN Structure &amp; Improvement"/>
    <n v="143006549"/>
    <s v="IP Camera - SUB Wild Horse"/>
    <s v="IP Camera - SUB Wild Horse"/>
    <s v="12/2023"/>
    <n v="1"/>
    <n v="69783.41"/>
    <n v="1979.72"/>
    <n v="67803.69"/>
    <x v="1"/>
    <x v="0"/>
  </r>
  <r>
    <s v="General Plant, Common"/>
    <s v="Common (E &amp; G)"/>
    <s v="General Plant, King County outside RTA District, WA : GPL-0000 WA01700000"/>
    <n v="63116730"/>
    <s v="C3900 CMN Structure &amp; Improvement"/>
    <n v="143006550"/>
    <s v="IP Camera - Crystal Mountain (Gen)"/>
    <s v="IP Camera - Crystal Mountain (Gen)"/>
    <s v="12/2023"/>
    <n v="1"/>
    <n v="35547.43"/>
    <n v="1008.46"/>
    <n v="34538.97"/>
    <x v="1"/>
    <x v="0"/>
  </r>
  <r>
    <s v="General Plant, Common"/>
    <s v="Common (E &amp; G)"/>
    <s v="General Plant, King County outside RTA District, WA : GPL-0000 WA01700000"/>
    <n v="63116733"/>
    <s v="C3900 CMN Structure &amp; Improvement"/>
    <n v="143006551"/>
    <s v="IP Camera - Enumclaw Service"/>
    <s v="IP Camera - Enumclaw Service"/>
    <s v="12/2023"/>
    <n v="1"/>
    <n v="51526.48"/>
    <n v="1461.78"/>
    <n v="50064.700000000004"/>
    <x v="1"/>
    <x v="0"/>
  </r>
  <r>
    <s v="General Plant, Common"/>
    <s v="Common (E &amp; G)"/>
    <s v="General Plant, King County Unincorporated within RTA District, WA : GPL-0000 WA11700990"/>
    <n v="63116736"/>
    <s v="C3900 CMN Structure &amp; Improvement"/>
    <n v="143006552"/>
    <s v="IP Camera - Factoria Service"/>
    <s v="IP Camera - Factoria Service"/>
    <s v="12/2023"/>
    <n v="1"/>
    <n v="188582.55000000002"/>
    <n v="5350"/>
    <n v="183232.55000000002"/>
    <x v="1"/>
    <x v="0"/>
  </r>
  <r>
    <s v="General Plant, Common"/>
    <s v="Common (E &amp; G)"/>
    <s v="General Plant, Pierce County outside RTA District, WA : GPL-0000 WA02700000"/>
    <n v="63116739"/>
    <s v="C3900 CMN Structure &amp; Improvement"/>
    <n v="143006553"/>
    <s v="IP Camera - Lakewood Service"/>
    <s v="IP Camera - Lakewood Service"/>
    <s v="12/2023"/>
    <n v="1"/>
    <n v="55459.98"/>
    <n v="1573.3700000000001"/>
    <n v="53886.61"/>
    <x v="1"/>
    <x v="0"/>
  </r>
  <r>
    <s v="General Plant, Common"/>
    <s v="Common (E &amp; G)"/>
    <s v="General Plant, Island County, WA : GPL-0000 WA01500000"/>
    <n v="63116742"/>
    <s v="C3900 CMN Structure &amp; Improvement"/>
    <n v="143006554"/>
    <s v="IP Camera - Whidbey Service"/>
    <s v="IP Camera - Whidbey Service"/>
    <s v="12/2023"/>
    <n v="1"/>
    <n v="51149.55"/>
    <n v="1451.09"/>
    <n v="49698.46"/>
    <x v="1"/>
    <x v="0"/>
  </r>
  <r>
    <s v="General Plant, Common"/>
    <s v="Common (E &amp; G)"/>
    <s v="General Plant, Thurston County, WA : GPL-0000 WA03400000"/>
    <n v="63116745"/>
    <s v="C3900 CMN Structure &amp; Improvement"/>
    <n v="143006555"/>
    <s v="IP Camera - SUB St Clair"/>
    <s v="IP Camera - SUB St Clair"/>
    <s v="12/2023"/>
    <n v="1"/>
    <n v="204729.4"/>
    <n v="5808.08"/>
    <n v="198921.32"/>
    <x v="1"/>
    <x v="0"/>
  </r>
  <r>
    <s v="General Plant, Common"/>
    <s v="Common (E &amp; G)"/>
    <s v="General Plant, Kitsap County, WA : GPL-0000 WA01800000"/>
    <n v="63116748"/>
    <s v="C3900 CMN Structure &amp; Improvement"/>
    <n v="143006556"/>
    <s v="IP Camera - Poulsbo Service"/>
    <s v="IP Camera - Poulsbo Service"/>
    <s v="12/2023"/>
    <n v="1"/>
    <n v="53354.41"/>
    <n v="1513.64"/>
    <n v="51840.770000000004"/>
    <x v="1"/>
    <x v="0"/>
  </r>
  <r>
    <s v="General Plant, Common"/>
    <s v="Common (E &amp; G)"/>
    <s v="General Plant, Pierce County outside RTA District, WA : GPL-0000 WA02700000"/>
    <n v="63116751"/>
    <s v="C3900 CMN Structure &amp; Improvement"/>
    <n v="143006557"/>
    <s v="IP Camera - SUB Alderton"/>
    <s v="IP Camera - SUB Alderton"/>
    <s v="12/2023"/>
    <n v="1"/>
    <n v="156007.55000000002"/>
    <n v="4425.8599999999997"/>
    <n v="151581.69"/>
    <x v="1"/>
    <x v="0"/>
  </r>
  <r>
    <s v="General Plant, Common"/>
    <s v="Common (E &amp; G)"/>
    <s v="General Plant, King County Unincorporated within RTA District, WA : GPL-0000 WA11700990"/>
    <n v="63116754"/>
    <s v="C3900 CMN Structure &amp; Improvement"/>
    <n v="143006558"/>
    <s v="IP Camera - North King Service"/>
    <s v="IP Camera - North King Service"/>
    <s v="12/2023"/>
    <n v="1"/>
    <n v="62360.04"/>
    <n v="1769.13"/>
    <n v="60590.91"/>
    <x v="1"/>
    <x v="0"/>
  </r>
  <r>
    <s v="General Plant, Common"/>
    <s v="Common (E &amp; G)"/>
    <s v="General Plant, King County Unincorporated within RTA District, WA : GPL-0000 WA11700990"/>
    <n v="63116757"/>
    <s v="C3900 CMN Structure &amp; Improvement"/>
    <n v="143006559"/>
    <s v="IP Camera - SUB Ardmore"/>
    <s v="IP Camera - SUB Ardmore"/>
    <s v="12/2023"/>
    <n v="1"/>
    <n v="82286.259999999995"/>
    <n v="2334.42"/>
    <n v="79951.839999999997"/>
    <x v="1"/>
    <x v="0"/>
  </r>
  <r>
    <s v="General Plant, Common"/>
    <s v="Common (E &amp; G)"/>
    <s v="General Plant, King County Unincorporated within RTA District, WA : GPL-0000 WA11700990"/>
    <n v="63116760"/>
    <s v="C3900 CMN Structure &amp; Improvement"/>
    <n v="143006560"/>
    <s v="IP Camera - North Operating Base"/>
    <s v="IP Camera - North Operating Base"/>
    <s v="12/2023"/>
    <n v="1"/>
    <n v="55943.93"/>
    <n v="1587.1000000000001"/>
    <n v="54356.83"/>
    <x v="1"/>
    <x v="0"/>
  </r>
  <r>
    <s v="General Plant, Common"/>
    <s v="Common (E &amp; G)"/>
    <s v="General Plant, King County Unincorporated within RTA District, WA : GPL-0000 WA11700990"/>
    <n v="63116763"/>
    <s v="C3900 CMN Structure &amp; Improvement"/>
    <n v="143006561"/>
    <s v="IP Camera - North Seattle Operation"/>
    <s v="IP Camera - North Seattle Operations"/>
    <s v="12/2023"/>
    <n v="1"/>
    <n v="146537.75"/>
    <n v="4157.21"/>
    <n v="142380.54"/>
    <x v="1"/>
    <x v="0"/>
  </r>
  <r>
    <s v="General Plant, Common"/>
    <s v="Common (E &amp; G)"/>
    <s v="General Plant, King County outside RTA District, WA : GPL-0000 WA01700000"/>
    <n v="63116766"/>
    <s v="C3900 CMN Structure &amp; Improvement"/>
    <n v="143006562"/>
    <s v="IP Camera - Snoqualmie Conference ("/>
    <s v="IP Camera - Snoqualmie Conference (Gen)"/>
    <s v="12/2023"/>
    <n v="1"/>
    <n v="49290.020000000004"/>
    <n v="1398.33"/>
    <n v="47891.69"/>
    <x v="1"/>
    <x v="0"/>
  </r>
  <r>
    <s v="General Plant, Common"/>
    <s v="Common (E &amp; G)"/>
    <s v="General Plant, King County outside RTA District, WA : GPL-0000 WA01700000"/>
    <n v="63116769"/>
    <s v="C3900 CMN Structure &amp; Improvement"/>
    <n v="143006563"/>
    <s v="IP Camera - SUB Mt Si"/>
    <s v="IP Camera - SUB Mt Si"/>
    <s v="12/2023"/>
    <n v="1"/>
    <n v="69287.45"/>
    <n v="1965.65"/>
    <n v="67321.8"/>
    <x v="1"/>
    <x v="0"/>
  </r>
  <r>
    <s v="General Plant, Common"/>
    <s v="Common (E &amp; G)"/>
    <s v="General Plant, Pierce County outside RTA District, WA : GPL-0000 WA02700000"/>
    <n v="63116772"/>
    <s v="C3900 CMN Structure &amp; Improvement"/>
    <n v="143006564"/>
    <s v="IP Camera - Tacoma Annex"/>
    <s v="IP Camera - Tacoma Annex"/>
    <s v="12/2023"/>
    <n v="1"/>
    <n v="41355.64"/>
    <n v="1173.24"/>
    <n v="40182.400000000001"/>
    <x v="1"/>
    <x v="0"/>
  </r>
  <r>
    <s v="General Plant, Common"/>
    <s v="Common (E &amp; G)"/>
    <s v="General Plant, Pierce County outside RTA District, WA : GPL-0000 WA02700000"/>
    <n v="63116775"/>
    <s v="C3900 CMN Structure &amp; Improvement"/>
    <n v="143006565"/>
    <s v="IP Camera - Tacoma Office"/>
    <s v="IP Camera - Tacoma Office"/>
    <s v="12/2023"/>
    <n v="1"/>
    <n v="121280.46"/>
    <n v="3440.67"/>
    <n v="117839.79000000001"/>
    <x v="1"/>
    <x v="0"/>
  </r>
  <r>
    <s v="General Plant, Common"/>
    <s v="Common (E &amp; G)"/>
    <s v="General Plant, Kitsap County, WA : GPL-0000 WA01800000"/>
    <n v="63116778"/>
    <s v="C3900 CMN Structure &amp; Improvement"/>
    <n v="143006566"/>
    <s v="IP Camera - Kittitas Service"/>
    <s v="IP Camera - Kittitas Service"/>
    <s v="12/2023"/>
    <n v="1"/>
    <n v="65645.850000000006"/>
    <n v="1862.3400000000001"/>
    <n v="63783.51"/>
    <x v="1"/>
    <x v="0"/>
  </r>
  <r>
    <s v="General Plant, Common"/>
    <s v="Common (E &amp; G)"/>
    <s v="General Plant, King County outside RTA District, WA : GPL-0000 WA01700000"/>
    <n v="63116781"/>
    <s v="C3900 CMN Structure &amp; Improvement"/>
    <n v="143006567"/>
    <s v="IP Camera - Vashon Service"/>
    <s v="IP Camera - Vashon Service"/>
    <s v="12/2023"/>
    <n v="1"/>
    <n v="51062.76"/>
    <n v="1448.63"/>
    <n v="49614.130000000005"/>
    <x v="1"/>
    <x v="0"/>
  </r>
  <r>
    <s v="General Plant, Common"/>
    <s v="Common (E &amp; G)"/>
    <s v="General Plant, Snohomish County outside RTA Dst, WA : GPL-0000 WA03100000"/>
    <n v="63116784"/>
    <s v="C3900 CMN Structure &amp; Improvement"/>
    <n v="143006568"/>
    <s v="IP Camera - SUB Horse Ranch"/>
    <s v="IP Camera - SUB Horse Ranch"/>
    <s v="12/2023"/>
    <n v="4"/>
    <n v="95190.05"/>
    <n v="2700.5"/>
    <n v="92489.55"/>
    <x v="1"/>
    <x v="0"/>
  </r>
  <r>
    <s v="General Plant, Common"/>
    <s v="Common (E &amp; G)"/>
    <s v="General Plant, Thurston County, WA : GPL-0000 WA03400000"/>
    <n v="63116787"/>
    <s v="C3900 CMN Structure &amp; Improvement"/>
    <n v="143006569"/>
    <s v="IP Camera - SUB Yelm"/>
    <s v="IP Camera - SUB Yelm"/>
    <s v="12/2023"/>
    <n v="1"/>
    <n v="99659.74"/>
    <n v="2827.3"/>
    <n v="96832.44"/>
    <x v="1"/>
    <x v="0"/>
  </r>
  <r>
    <s v="General Plant, Common"/>
    <s v="Common (E &amp; G)"/>
    <s v="General Plant, Kitsap County, WA : GPL-0000 WA01800000"/>
    <n v="63116790"/>
    <s v="C3900 CMN Structure &amp; Improvement"/>
    <n v="143006570"/>
    <s v="NNVR - Kitsap Service Center"/>
    <s v="NNVR - Kitsap Service Center"/>
    <s v="12/2023"/>
    <n v="1"/>
    <n v="20579.82"/>
    <n v="583.84"/>
    <n v="19995.98"/>
    <x v="1"/>
    <x v="0"/>
  </r>
  <r>
    <s v="General Plant, Common"/>
    <s v="Common (E &amp; G)"/>
    <s v="General Plant, Lewis County, WA : GPL-0000 WA02100000"/>
    <n v="63116793"/>
    <s v="C3900 CMN Structure &amp; Improvement"/>
    <n v="143006571"/>
    <s v="NVR - Centralia Office"/>
    <s v="NVR - Centralia Office"/>
    <s v="12/2023"/>
    <n v="1"/>
    <n v="16428.98"/>
    <n v="466.08"/>
    <n v="15962.9"/>
    <x v="1"/>
    <x v="0"/>
  </r>
  <r>
    <s v="General Plant, Common"/>
    <s v="Common (E &amp; G)"/>
    <s v="General Plant, Lewis County, WA : GPL-0000 WA02100000"/>
    <n v="63116796"/>
    <s v="C3900 CMN Structure &amp; Improvement"/>
    <n v="143006572"/>
    <s v="NVR - Jackson Prairie (Gas) *"/>
    <s v="NVR - Jackson Prairie (Gas) *"/>
    <s v="12/2023"/>
    <n v="1"/>
    <n v="14870.67"/>
    <n v="421.87"/>
    <n v="14448.800000000001"/>
    <x v="1"/>
    <x v="0"/>
  </r>
  <r>
    <s v="General Plant, Common"/>
    <s v="Common (E &amp; G)"/>
    <s v="General Plant, Kittitas County, WA : GPL-0000 WA01900000"/>
    <n v="63116799"/>
    <s v="C3900 CMN Structure &amp; Improvement"/>
    <n v="143006573"/>
    <s v="NNVR - SUB Cascade"/>
    <s v="NNVR - SUB Cascade"/>
    <s v="12/2023"/>
    <n v="1"/>
    <n v="60175.41"/>
    <n v="1707.15"/>
    <n v="58468.26"/>
    <x v="1"/>
    <x v="0"/>
  </r>
  <r>
    <s v="General Plant, Common"/>
    <s v="Common (E &amp; G)"/>
    <s v="General Plant, Skagit County, WA : GPL-0000 WA02900000"/>
    <n v="63116802"/>
    <s v="C3900 CMN Structure &amp; Improvement"/>
    <n v="143006574"/>
    <s v="NVR - Baker Lower Adult Fish Trap"/>
    <s v="NVR - Baker Lower Adult Fish Trap"/>
    <s v="12/2023"/>
    <n v="1"/>
    <n v="3774.11"/>
    <n v="107.07000000000001"/>
    <n v="3667.04"/>
    <x v="1"/>
    <x v="0"/>
  </r>
  <r>
    <s v="General Plant, Common"/>
    <s v="Common (E &amp; G)"/>
    <s v="General Plant, Skagit County, WA : GPL-0000 WA02900000"/>
    <n v="63116805"/>
    <s v="C3900 CMN Structure &amp; Improvement"/>
    <n v="143006575"/>
    <s v="NVR - Baker Lower Crest &amp; Pier"/>
    <s v="NVR - Baker Lower Crest &amp; Pier"/>
    <s v="12/2023"/>
    <n v="1"/>
    <n v="130.06"/>
    <n v="3.69"/>
    <n v="126.37"/>
    <x v="1"/>
    <x v="0"/>
  </r>
  <r>
    <s v="General Plant, Common"/>
    <s v="Common (E &amp; G)"/>
    <s v="General Plant, Skagit County, WA : GPL-0000 WA02900000"/>
    <n v="63116808"/>
    <s v="C3900 CMN Structure &amp; Improvement"/>
    <n v="143006576"/>
    <s v="NVR - Baker Lower PH 4"/>
    <s v="NVR - Baker Lower PH 4"/>
    <s v="12/2023"/>
    <n v="1"/>
    <n v="3580.9"/>
    <n v="101.59"/>
    <n v="3479.31"/>
    <x v="1"/>
    <x v="0"/>
  </r>
  <r>
    <s v="General Plant, Common"/>
    <s v="Common (E &amp; G)"/>
    <s v="General Plant, Skagit County, WA : GPL-0000 WA02900000"/>
    <n v="63116811"/>
    <s v="C3900 CMN Structure &amp; Improvement"/>
    <n v="143006577"/>
    <s v="NVR - Baker Upper FSC"/>
    <s v="NVR - Baker Upper FSC"/>
    <s v="12/2023"/>
    <n v="1"/>
    <n v="20178.3"/>
    <n v="572.45000000000005"/>
    <n v="19605.850000000002"/>
    <x v="1"/>
    <x v="0"/>
  </r>
  <r>
    <s v="General Plant, Common"/>
    <s v="Common (E &amp; G)"/>
    <s v="General Plant, Skagit County, WA : GPL-0000 WA02900000"/>
    <n v="63116814"/>
    <s v="C3900 CMN Structure &amp; Improvement"/>
    <n v="143006578"/>
    <s v="NVR - Baker Upper Hatchery"/>
    <s v="NVR - Baker Upper Hatchery"/>
    <s v="12/2023"/>
    <n v="1"/>
    <n v="38294.85"/>
    <n v="1086.4100000000001"/>
    <n v="37208.44"/>
    <x v="1"/>
    <x v="0"/>
  </r>
  <r>
    <s v="General Plant, Common"/>
    <s v="Common (E &amp; G)"/>
    <s v="General Plant, Skagit County, WA : GPL-0000 WA02900000"/>
    <n v="63116817"/>
    <s v="C3900 CMN Structure &amp; Improvement"/>
    <n v="143006579"/>
    <s v="NVR - Baker upper Moon Base"/>
    <s v="NVR - Baker upper Moon Base"/>
    <s v="12/2023"/>
    <n v="1"/>
    <n v="17292.52"/>
    <n v="490.58"/>
    <n v="16801.939999999999"/>
    <x v="1"/>
    <x v="0"/>
  </r>
  <r>
    <s v="General Plant, Common"/>
    <s v="Common (E &amp; G)"/>
    <s v="General Plant, Skagit County, WA : GPL-0000 WA02900000"/>
    <n v="63116820"/>
    <s v="C3900 CMN Structure &amp; Improvement"/>
    <n v="143006580"/>
    <s v="NVR - Baker Upper Power House*"/>
    <s v="NVR - Baker Upper Power House*"/>
    <s v="12/2023"/>
    <n v="1"/>
    <n v="17486.34"/>
    <n v="496.08"/>
    <n v="16990.260000000002"/>
    <x v="1"/>
    <x v="0"/>
  </r>
  <r>
    <s v="General Plant, Common"/>
    <s v="Common (E &amp; G)"/>
    <s v="General Plant, Skagit County, WA : GPL-0000 WA02900000"/>
    <n v="63116823"/>
    <s v="C3900 CMN Structure &amp; Improvement"/>
    <n v="143006581"/>
    <s v="NVR - Baker upper shop"/>
    <s v="NVR - Baker upper shop"/>
    <s v="12/2023"/>
    <n v="1"/>
    <n v="17268.39"/>
    <n v="489.90000000000003"/>
    <n v="16778.490000000002"/>
    <x v="1"/>
    <x v="0"/>
  </r>
  <r>
    <s v="General Plant, Common"/>
    <s v="Common (E &amp; G)"/>
    <s v="General Plant, Kittitas County, WA : GPL-0000 WA01900000"/>
    <n v="63116826"/>
    <s v="C3900 CMN Structure &amp; Improvement"/>
    <n v="143006582"/>
    <s v="NVR - MWR Renslow"/>
    <s v="NVR - MWR Renslow"/>
    <s v="12/2023"/>
    <n v="1"/>
    <n v="30538.95"/>
    <n v="866.38"/>
    <n v="29672.57"/>
    <x v="1"/>
    <x v="0"/>
  </r>
  <r>
    <s v="General Plant, Common"/>
    <s v="Common (E &amp; G)"/>
    <s v="General Plant, Kittitas County, WA : GPL-0000 WA01900000"/>
    <n v="63116829"/>
    <s v="C3900 CMN Structure &amp; Improvement"/>
    <n v="143006583"/>
    <s v="NVR - Ellensburg Office"/>
    <s v="NVR - Ellensburg Office"/>
    <s v="12/2023"/>
    <n v="1"/>
    <n v="4019.4"/>
    <n v="114.03"/>
    <n v="3905.37"/>
    <x v="1"/>
    <x v="0"/>
  </r>
  <r>
    <s v="General Plant, Common"/>
    <s v="Common (E &amp; G)"/>
    <s v="General Plant, Kittitas County, WA : GPL-0000 WA01900000"/>
    <n v="63116832"/>
    <s v="C3900 CMN Structure &amp; Improvement"/>
    <n v="143006584"/>
    <s v="NVR - Wild Horse REC"/>
    <s v="NVR - Wild Horse REC"/>
    <s v="12/2023"/>
    <n v="1"/>
    <n v="19167.59"/>
    <n v="543.78"/>
    <n v="18623.810000000001"/>
    <x v="1"/>
    <x v="0"/>
  </r>
  <r>
    <s v="General Plant, Common"/>
    <s v="Common (E &amp; G)"/>
    <s v="General Plant, Kittitas County, WA : GPL-0000 WA01900000"/>
    <n v="63116835"/>
    <s v="C3900 CMN Structure &amp; Improvement"/>
    <n v="143006585"/>
    <s v="NVR - SUB Poison Spring"/>
    <s v="NVR - SUB Poison Spring"/>
    <s v="12/2023"/>
    <n v="1"/>
    <n v="18778.240000000002"/>
    <n v="532.73"/>
    <n v="18245.510000000002"/>
    <x v="1"/>
    <x v="0"/>
  </r>
  <r>
    <s v="General Plant, Common"/>
    <s v="Common (E &amp; G)"/>
    <s v="General Plant, Kittitas County, WA : GPL-0000 WA01900000"/>
    <n v="63116838"/>
    <s v="C3900 CMN Structure &amp; Improvement"/>
    <n v="143006586"/>
    <s v="NVR - SUB Wild Horse"/>
    <s v="NVR - SUB Wild Horse"/>
    <s v="12/2023"/>
    <n v="1"/>
    <n v="21014.58"/>
    <n v="596.16999999999996"/>
    <n v="20418.41"/>
    <x v="1"/>
    <x v="0"/>
  </r>
  <r>
    <s v="General Plant, Common"/>
    <s v="Common (E &amp; G)"/>
    <s v="General Plant, Kittitas County, WA : GPL-0000 WA01900000"/>
    <n v="63116841"/>
    <s v="C3900 CMN Structure &amp; Improvement"/>
    <n v="143006587"/>
    <s v="NVR - SUB Wind Ridge"/>
    <s v="NVR - SUB Wind Ridge"/>
    <s v="12/2023"/>
    <n v="1"/>
    <n v="6756.9800000000005"/>
    <n v="191.69"/>
    <n v="6565.29"/>
    <x v="1"/>
    <x v="0"/>
  </r>
  <r>
    <s v="General Plant, Common"/>
    <s v="Common (E &amp; G)"/>
    <s v="General Plant, Kittitas County, WA : GPL-0000 WA01900000"/>
    <n v="63116844"/>
    <s v="C3900 CMN Structure &amp; Improvement"/>
    <n v="143006588"/>
    <s v="NVR - MWR Whiskey Dick"/>
    <s v="NVR - MWR Whiskey Dick"/>
    <s v="12/2023"/>
    <n v="1"/>
    <n v="35640.18"/>
    <n v="1011.1"/>
    <n v="34629.08"/>
    <x v="1"/>
    <x v="0"/>
  </r>
  <r>
    <s v="General Plant, Common"/>
    <s v="Common (E &amp; G)"/>
    <s v="General Plant, King County outside RTA District, WA : GPL-0000 WA01700000"/>
    <n v="63116847"/>
    <s v="C3900 CMN Structure &amp; Improvement"/>
    <n v="143006589"/>
    <s v="NVR - Crystal Mountian (Gen)"/>
    <s v="NVR - Crystal Mountian (Gen)"/>
    <s v="12/2023"/>
    <n v="1"/>
    <n v="17051.240000000002"/>
    <n v="483.74"/>
    <n v="16567.5"/>
    <x v="1"/>
    <x v="0"/>
  </r>
  <r>
    <s v="General Plant, Common"/>
    <s v="Common (E &amp; G)"/>
    <s v="General Plant, King County outside RTA District, WA : GPL-0000 WA01700000"/>
    <n v="63116850"/>
    <s v="C3900 CMN Structure &amp; Improvement"/>
    <n v="143006590"/>
    <s v="NVR - Enumclaw Service Center"/>
    <s v="NVR - Enumclaw Service Center"/>
    <s v="12/2023"/>
    <n v="1"/>
    <n v="34121.699999999997"/>
    <n v="968.02"/>
    <n v="33153.68"/>
    <x v="1"/>
    <x v="0"/>
  </r>
  <r>
    <s v="General Plant, Common"/>
    <s v="Common (E &amp; G)"/>
    <s v="General Plant, King County outside RTA District, WA : GPL-0000 WA01700000"/>
    <n v="63116853"/>
    <s v="C3900 CMN Structure &amp; Improvement"/>
    <n v="143006591"/>
    <s v="NVR - SUB Greenwater"/>
    <s v="NVR - SUB Greenwater"/>
    <s v="12/2023"/>
    <n v="1"/>
    <n v="22427.27"/>
    <n v="636.25"/>
    <n v="21791.02"/>
    <x v="1"/>
    <x v="0"/>
  </r>
  <r>
    <s v="General Plant, Common"/>
    <s v="Common (E &amp; G)"/>
    <s v="General Plant, Snohomish County outside RTA Dst, WA : GPL-0000 WA03100000"/>
    <n v="63116856"/>
    <s v="C3900 CMN Structure &amp; Improvement"/>
    <n v="143006592"/>
    <s v="NVR - Everett Operating Base"/>
    <s v="NVR - Everett Operating Base"/>
    <s v="12/2023"/>
    <n v="1"/>
    <n v="17000.010000000002"/>
    <n v="482.28000000000003"/>
    <n v="16517.73"/>
    <x v="1"/>
    <x v="0"/>
  </r>
  <r>
    <s v="General Plant, Common"/>
    <s v="Common (E &amp; G)"/>
    <s v="General Plant, Whitman County, WA : GPL-0000 WA03800000"/>
    <n v="63116859"/>
    <s v="C3900 CMN Structure &amp; Improvement"/>
    <n v="143006593"/>
    <s v="NVR - MWR Ridpath"/>
    <s v="NVR - MWR Ridpath"/>
    <s v="12/2023"/>
    <n v="1"/>
    <n v="21494.600000000002"/>
    <n v="609.79"/>
    <n v="20884.810000000001"/>
    <x v="1"/>
    <x v="0"/>
  </r>
  <r>
    <s v="General Plant, Common"/>
    <s v="Common (E &amp; G)"/>
    <s v="General Plant, Snohomish County outside RTA Dst, WA : GPL-0000 WA03100000"/>
    <n v="63116862"/>
    <s v="C3900 CMN Structure &amp; Improvement"/>
    <n v="143006594"/>
    <s v="NVR - SUB Horse Ranch"/>
    <s v="NVR - SUB Horse Ranch"/>
    <s v="12/2023"/>
    <n v="1"/>
    <n v="24965.23"/>
    <n v="708.25"/>
    <n v="24256.98"/>
    <x v="1"/>
    <x v="0"/>
  </r>
  <r>
    <s v="General Plant, Common"/>
    <s v="Common (E &amp; G)"/>
    <s v="General Plant, Pierce County outside RTA District, WA : GPL-0000 WA02700000"/>
    <n v="63116865"/>
    <s v="C3900 CMN Structure &amp; Improvement"/>
    <n v="143006595"/>
    <s v="NVR - Lakewood Service"/>
    <s v="NVR - Lakewood Service"/>
    <s v="12/2023"/>
    <n v="1"/>
    <n v="2928.37"/>
    <n v="83.08"/>
    <n v="2845.29"/>
    <x v="1"/>
    <x v="0"/>
  </r>
  <r>
    <s v="General Plant, Common"/>
    <s v="Common (E &amp; G)"/>
    <s v="General Plant, Skagit County, WA : GPL-0000 WA02900000"/>
    <n v="63116868"/>
    <s v="C3900 CMN Structure &amp; Improvement"/>
    <n v="143006597"/>
    <s v="NVR - Fredonia (Gen)"/>
    <s v="NVR - Fredonia (Gen)"/>
    <s v="12/2023"/>
    <n v="1"/>
    <n v="18399.580000000002"/>
    <n v="521.99"/>
    <n v="17877.59"/>
    <x v="1"/>
    <x v="0"/>
  </r>
  <r>
    <s v="General Plant, Common"/>
    <s v="Common (E &amp; G)"/>
    <s v="General Plant, King County outside RTA District, WA : GPL-0000 WA01700000"/>
    <n v="63116871"/>
    <s v="C3900 CMN Structure &amp; Improvement"/>
    <n v="143006598"/>
    <s v="NVR - SUB MT Si"/>
    <s v="NVR - SUB MT Si"/>
    <s v="12/2023"/>
    <n v="1"/>
    <n v="20223.170000000002"/>
    <n v="573.72"/>
    <n v="19649.45"/>
    <x v="1"/>
    <x v="0"/>
  </r>
  <r>
    <s v="General Plant, Common"/>
    <s v="Common (E &amp; G)"/>
    <s v="General Plant, Island County, WA : GPL-0000 WA01500000"/>
    <n v="63116874"/>
    <s v="C3900 CMN Structure &amp; Improvement"/>
    <n v="143006599"/>
    <s v="NVR - Whidbey Service Center"/>
    <s v="NVR - Whidbey Service Center"/>
    <s v="12/2023"/>
    <n v="1"/>
    <n v="3657.4"/>
    <n v="103.76"/>
    <n v="3553.64"/>
    <x v="1"/>
    <x v="0"/>
  </r>
  <r>
    <s v="General Plant, Common"/>
    <s v="Common (E &amp; G)"/>
    <s v="General Plant, Thurston County, WA : GPL-0000 WA03400000"/>
    <n v="63116877"/>
    <s v="C3900 CMN Structure &amp; Improvement"/>
    <n v="143006600"/>
    <s v="NVR - Olympia Engineering"/>
    <s v="NVR - Olympia Engineering"/>
    <s v="12/2023"/>
    <n v="1"/>
    <n v="2239.9299999999998"/>
    <n v="63.550000000000004"/>
    <n v="2176.38"/>
    <x v="1"/>
    <x v="0"/>
  </r>
  <r>
    <s v="General Plant, Common"/>
    <s v="Common (E &amp; G)"/>
    <s v="General Plant, Thurston County, WA : GPL-0000 WA03400000"/>
    <n v="63116880"/>
    <s v="C3900 CMN Structure &amp; Improvement"/>
    <n v="143006601"/>
    <s v="NVR - Olympia Service Center"/>
    <s v="NVR - Olympia Service Center"/>
    <s v="12/2023"/>
    <n v="1"/>
    <n v="3370.71"/>
    <n v="95.63"/>
    <n v="3275.08"/>
    <x v="1"/>
    <x v="0"/>
  </r>
  <r>
    <s v="General Plant, Common"/>
    <s v="Common (E &amp; G)"/>
    <s v="General Plant, Thurston County, WA : GPL-0000 WA03400000"/>
    <n v="63116883"/>
    <s v="C3900 CMN Structure &amp; Improvement"/>
    <n v="143006602"/>
    <s v="NVR - Olympia Warehouse"/>
    <s v="NVR - Olympia Warehouse"/>
    <s v="12/2023"/>
    <n v="1"/>
    <n v="3370.71"/>
    <n v="95.63"/>
    <n v="3275.08"/>
    <x v="1"/>
    <x v="0"/>
  </r>
  <r>
    <s v="General Plant, Common"/>
    <s v="Common (E &amp; G)"/>
    <s v="General Plant, Thurston County, WA : GPL-0000 WA03400000"/>
    <n v="63116886"/>
    <s v="C3900 CMN Structure &amp; Improvement"/>
    <n v="143006603"/>
    <s v="NVR - SUB OLYMPIA"/>
    <s v="NVR - SUB OLYMPIA"/>
    <s v="12/2023"/>
    <n v="1"/>
    <n v="33848.94"/>
    <n v="960.28"/>
    <n v="32888.660000000003"/>
    <x v="1"/>
    <x v="0"/>
  </r>
  <r>
    <s v="General Plant, Common"/>
    <s v="Common (E &amp; G)"/>
    <s v="General Plant, Thurston County, WA : GPL-0000 WA03400000"/>
    <n v="63116889"/>
    <s v="C3900 CMN Structure &amp; Improvement"/>
    <n v="143006604"/>
    <s v="NVR - SUB Saint Clair"/>
    <s v="NVR - SUB Saint Clair"/>
    <s v="12/2023"/>
    <n v="1"/>
    <n v="3764.1800000000003"/>
    <n v="106.79"/>
    <n v="3657.39"/>
    <x v="1"/>
    <x v="0"/>
  </r>
  <r>
    <s v="General Plant, Common"/>
    <s v="Common (E &amp; G)"/>
    <s v="General Plant, Pierce County outside RTA District, WA : GPL-0000 WA02700000"/>
    <n v="63116892"/>
    <s v="C3900 CMN Structure &amp; Improvement"/>
    <n v="143006605"/>
    <s v="NVR - MWR Electron"/>
    <s v="NVR - MWR Electron"/>
    <s v="12/2023"/>
    <n v="1"/>
    <n v="12357.94"/>
    <n v="350.59000000000003"/>
    <n v="12007.35"/>
    <x v="1"/>
    <x v="0"/>
  </r>
  <r>
    <s v="General Plant, Common"/>
    <s v="Common (E &amp; G)"/>
    <s v="General Plant, Whitman County, WA : GPL-0000 WA03800000"/>
    <n v="63116895"/>
    <s v="C3900 CMN Structure &amp; Improvement"/>
    <n v="143006606"/>
    <s v="NVR - Sub Point Roberts"/>
    <s v="NVR - Sub Point Roberts"/>
    <s v="12/2023"/>
    <n v="1"/>
    <n v="9341.58"/>
    <n v="265.02"/>
    <n v="9076.56"/>
    <x v="1"/>
    <x v="0"/>
  </r>
  <r>
    <s v="General Plant, Common"/>
    <s v="Common (E &amp; G)"/>
    <s v="General Plant, Garfield County, WA : GPL-0000 WA01200990"/>
    <n v="63116898"/>
    <s v="C3900 CMN Structure &amp; Improvement"/>
    <n v="143006607"/>
    <s v="NVR - MWR Linville Ridge"/>
    <s v="NVR - MWR Linville Ridge"/>
    <s v="12/2023"/>
    <n v="1"/>
    <n v="43149.64"/>
    <n v="1224.1400000000001"/>
    <n v="41925.5"/>
    <x v="1"/>
    <x v="0"/>
  </r>
  <r>
    <s v="General Plant, Common"/>
    <s v="Common (E &amp; G)"/>
    <s v="General Plant, Kitsap County, WA : GPL-0000 WA01800000"/>
    <n v="63116901"/>
    <s v="C3900 CMN Structure &amp; Improvement"/>
    <n v="143006608"/>
    <s v="NVR - Poulsbo Service Center"/>
    <s v="NVR - Poulsbo Service Center"/>
    <s v="12/2023"/>
    <n v="1"/>
    <n v="18660.400000000001"/>
    <n v="529.39"/>
    <n v="18131.010000000002"/>
    <x v="1"/>
    <x v="0"/>
  </r>
  <r>
    <s v="General Plant, Common"/>
    <s v="Common (E &amp; G)"/>
    <s v="General Plant, King County Unincorporated within RTA District, WA : GPL-0000 WA11700990"/>
    <n v="63116904"/>
    <s v="C3900 CMN Structure &amp; Improvement"/>
    <n v="143006609"/>
    <s v="NVR - Eastside Operations"/>
    <s v="NVR - Eastside Operations"/>
    <s v="12/2023"/>
    <n v="10"/>
    <n v="27611.95"/>
    <n v="783.34"/>
    <n v="26828.61"/>
    <x v="1"/>
    <x v="0"/>
  </r>
  <r>
    <s v="General Plant, Common"/>
    <s v="Common (E &amp; G)"/>
    <s v="General Plant, King County Unincorporated within RTA District, WA : GPL-0000 WA11700990"/>
    <n v="63116907"/>
    <s v="C3900 CMN Structure &amp; Improvement"/>
    <n v="143006610"/>
    <s v="NVR - North King Service Center"/>
    <s v="NVR - North King Service Center"/>
    <s v="12/2023"/>
    <n v="1"/>
    <n v="18842.37"/>
    <n v="534.54999999999995"/>
    <n v="18307.82"/>
    <x v="1"/>
    <x v="0"/>
  </r>
  <r>
    <s v="General Plant, Common"/>
    <s v="Common (E &amp; G)"/>
    <s v="General Plant, King County Unincorporated within RTA District, WA : GPL-0000 WA11700990"/>
    <n v="63116910"/>
    <s v="C3900 CMN Structure &amp; Improvement"/>
    <n v="143006612"/>
    <s v="NVR - SUB Sterling"/>
    <s v="NVR - SUB Sterling"/>
    <s v="12/2023"/>
    <n v="1"/>
    <n v="88828.37"/>
    <n v="2520.02"/>
    <n v="86308.35"/>
    <x v="1"/>
    <x v="0"/>
  </r>
  <r>
    <s v="General Plant, Common"/>
    <s v="Common (E &amp; G)"/>
    <s v="General Plant, Pierce County outside RTA District, WA : GPL-0000 WA02700000"/>
    <n v="63116913"/>
    <s v="C3900 CMN Structure &amp; Improvement"/>
    <n v="143006613"/>
    <s v="NVR - Tacoma Annex"/>
    <s v="NVR - Tacoma Annex"/>
    <s v="12/2023"/>
    <n v="1"/>
    <n v="2815.63"/>
    <n v="79.88"/>
    <n v="2735.75"/>
    <x v="1"/>
    <x v="0"/>
  </r>
  <r>
    <s v="General Plant, Common"/>
    <s v="Common (E &amp; G)"/>
    <s v="General Plant, Kitsap County, WA : GPL-0000 WA01800000"/>
    <n v="63116916"/>
    <s v="C3900 CMN Structure &amp; Improvement"/>
    <n v="143006614"/>
    <s v="NVR - Kittitas Service Center"/>
    <s v="NVR - Kittitas Service Center"/>
    <s v="12/2023"/>
    <n v="1"/>
    <n v="35586.15"/>
    <n v="1009.5600000000001"/>
    <n v="34576.590000000004"/>
    <x v="1"/>
    <x v="0"/>
  </r>
  <r>
    <s v="General Plant, Common"/>
    <s v="Common (E &amp; G)"/>
    <s v="General Plant, King County outside RTA District, WA : GPL-0000 WA01700000"/>
    <n v="63116919"/>
    <s v="C3900 CMN Structure &amp; Improvement"/>
    <n v="143006615"/>
    <s v="NVR - Vashon Service Center"/>
    <s v="NVR - Vashon Service Center"/>
    <s v="12/2023"/>
    <n v="1"/>
    <n v="2755.87"/>
    <n v="78.180000000000007"/>
    <n v="2677.69"/>
    <x v="1"/>
    <x v="0"/>
  </r>
  <r>
    <s v="General Plant, Common"/>
    <s v="Common (E &amp; G)"/>
    <s v="General Plant, Franklin County, WA : GPL-0000 WA01100990"/>
    <n v="63116922"/>
    <s v="C3900 CMN Structure &amp; Improvement"/>
    <n v="143006616"/>
    <s v="NVR - MWR Fields Gulch"/>
    <s v="NVR - MWR Fields Gulch"/>
    <s v="12/2023"/>
    <n v="1"/>
    <n v="20675.170000000002"/>
    <n v="586.54"/>
    <n v="20088.63"/>
    <x v="1"/>
    <x v="0"/>
  </r>
  <r>
    <s v="General Plant, Common"/>
    <s v="Common (E &amp; G)"/>
    <s v="General Plant, Thurston County, WA : GPL-0000 WA03400000"/>
    <n v="63116925"/>
    <s v="C3900 CMN Structure &amp; Improvement"/>
    <n v="143006617"/>
    <s v="NVR - SUB Yelm"/>
    <s v="NVR - SUB Yelm"/>
    <s v="12/2023"/>
    <n v="1"/>
    <n v="4785.3500000000004"/>
    <n v="135.76"/>
    <n v="4649.59"/>
    <x v="1"/>
    <x v="0"/>
  </r>
  <r>
    <s v="General Plant, Common"/>
    <s v="Common (E &amp; G)"/>
    <s v="General Plant, King County Unincorporated within RTA District, WA : GPL-0000 WA11700990"/>
    <n v="63355641"/>
    <s v="C3900 CMN Structure &amp; Improvement"/>
    <n v="143006527"/>
    <s v="IP CAMERA - EASTSIDE OPERATIONS"/>
    <s v="Eastside Operations IP Camera installation"/>
    <s v="12/2023"/>
    <n v="2"/>
    <n v="111069.81"/>
    <n v="1047.01"/>
    <n v="110022.8"/>
    <x v="1"/>
    <x v="0"/>
  </r>
  <r>
    <s v="General Plant, Common"/>
    <s v="Common (E &amp; G)"/>
    <s v="General Plant, King County Unincorporated within RTA District, WA : GPL-0000 WA11700990"/>
    <n v="67206483"/>
    <s v="C3900 CMN Structure &amp; Improvement"/>
    <n v="143006982"/>
    <s v="BELLEVUE BLDG SYST &amp; COMP"/>
    <s v="Bellevue HQ -  Building Systems and Components."/>
    <s v="12/2023"/>
    <n v="2"/>
    <n v="78764.25"/>
    <n v="742.48"/>
    <n v="78021.77"/>
    <x v="1"/>
    <x v="0"/>
  </r>
  <r>
    <s v="General Plant, Common"/>
    <s v="Common (E &amp; G)"/>
    <s v="General Plant, King County Unincorporated within RTA District, WA : GPL-0000 WA11700990"/>
    <n v="64102458"/>
    <s v="C3900 CMN Structure &amp; Improvement"/>
    <n v="143006805"/>
    <s v="PSE BELL HQ REFRESH - FL9 - LABOR"/>
    <s v="PSE Bellevue Corporate HQ Refresh"/>
    <s v="12/2023"/>
    <n v="5"/>
    <n v="203943.38"/>
    <n v="1922.48"/>
    <n v="202020.9"/>
    <x v="1"/>
    <x v="0"/>
  </r>
  <r>
    <s v="General Plant, Common"/>
    <s v="Common (E &amp; G)"/>
    <s v="General Plant, King County Unincorporated within RTA District, WA : GPL-0000 WA11700990"/>
    <n v="64102464"/>
    <s v="C3900 CMN Structure &amp; Improvement"/>
    <n v="143006881"/>
    <s v="PSE BELL HQ REFRESH - FL9 - O/S"/>
    <s v="PSE Bellevue Corporate HQ Refresh"/>
    <s v="12/2023"/>
    <n v="2"/>
    <n v="1238023.77"/>
    <n v="11670.29"/>
    <n v="1226353.48"/>
    <x v="1"/>
    <x v="0"/>
  </r>
  <r>
    <s v="General Plant, Common"/>
    <s v="Common (E &amp; G)"/>
    <s v="General Plant, King County Unincorporated within RTA District, WA : GPL-0000 WA11700990"/>
    <n v="64102477"/>
    <s v="C3900 CMN Structure &amp; Improvement"/>
    <n v="143006966"/>
    <s v="BOTHELL G VACATE - LABOR"/>
    <s v="Bothell G Vacate - Capital Labor and Gen Expenses_x000a_Vacate employees and business units from Bothell G to Bothell H and O._x000a_Office interior repair, demo, touch up, restoration."/>
    <s v="12/2023"/>
    <n v="2"/>
    <n v="95495.41"/>
    <n v="900.19"/>
    <n v="94595.22"/>
    <x v="1"/>
    <x v="0"/>
  </r>
  <r>
    <s v="General Plant, Common"/>
    <s v="Common (E &amp; G)"/>
    <s v="General Plant, Kitsap County, WA : GPL-0000 WA01800000"/>
    <n v="66946122"/>
    <s v="C3900 CMN Structure &amp; Improvement"/>
    <n v="143007583"/>
    <s v="PORT ORCHARD COMM ROOM IMPROVEMENTS"/>
    <m/>
    <s v="12/2023"/>
    <n v="4"/>
    <n v="25743.46"/>
    <n v="242.67000000000002"/>
    <n v="25500.79"/>
    <x v="1"/>
    <x v="0"/>
  </r>
  <r>
    <s v="General Plant, Common"/>
    <s v="Common (E &amp; G)"/>
    <s v="General Plant, King County Unincorporated within RTA District, WA : GPL-0000 WA11700990"/>
    <n v="67959758"/>
    <s v="C3900 CMN Structure &amp; Improvement"/>
    <n v="143007385"/>
    <s v="NVR REPLMNT - BOTHELL H PAYMNT PROC"/>
    <m/>
    <s v="12/2023"/>
    <n v="2"/>
    <n v="57501.06"/>
    <n v="542.04"/>
    <n v="56959.020000000004"/>
    <x v="1"/>
    <x v="0"/>
  </r>
  <r>
    <s v="General Plant, Common"/>
    <s v="Common (E &amp; G)"/>
    <s v="General Plant, Snohomish County outside RTA Dst, WA : GPL-0000 WA03100000"/>
    <n v="67959761"/>
    <s v="C3900 CMN Structure &amp; Improvement"/>
    <n v="143007386"/>
    <s v="NVR REPLMNT - EVERETT OPERATING BAS"/>
    <m/>
    <s v="12/2023"/>
    <n v="2"/>
    <n v="37215.86"/>
    <n v="350.82"/>
    <n v="36865.040000000001"/>
    <x v="1"/>
    <x v="0"/>
  </r>
  <r>
    <s v="General Plant, Common"/>
    <s v="Common (E &amp; G)"/>
    <s v="General Plant, Pierce County outside RTA District, WA : GPL-0000 WA02700000"/>
    <n v="67959764"/>
    <s v="C3900 CMN Structure &amp; Improvement"/>
    <n v="143007390"/>
    <s v="NVR REPLMNT - MWR ELECTRON"/>
    <m/>
    <s v="12/2023"/>
    <n v="2"/>
    <n v="18688.59"/>
    <n v="176.17000000000002"/>
    <n v="18512.420000000002"/>
    <x v="1"/>
    <x v="0"/>
  </r>
  <r>
    <s v="General Plant, Common"/>
    <s v="Common (E &amp; G)"/>
    <s v="General Plant, Columbia County, WA : GPL-0000 WA00700000"/>
    <n v="67959767"/>
    <s v="C3900 CMN Structure &amp; Improvement"/>
    <n v="143007391"/>
    <s v="NVR REPLMNT - MWR FIELDS GULCH"/>
    <m/>
    <s v="12/2023"/>
    <n v="2"/>
    <n v="41351.25"/>
    <n v="389.8"/>
    <n v="40961.450000000004"/>
    <x v="1"/>
    <x v="0"/>
  </r>
  <r>
    <s v="General Plant, Common"/>
    <s v="Common (E &amp; G)"/>
    <s v="General Plant, Garfield County, WA : GPL-0000 WA01200990"/>
    <n v="67959770"/>
    <s v="C3900 CMN Structure &amp; Improvement"/>
    <n v="143007392"/>
    <s v="NVR REPLMNT - MWR LINVILLE RIDGE"/>
    <m/>
    <s v="12/2023"/>
    <n v="2"/>
    <n v="10626.37"/>
    <n v="100.17"/>
    <n v="10526.2"/>
    <x v="1"/>
    <x v="0"/>
  </r>
  <r>
    <s v="General Plant, Common"/>
    <s v="Common (E &amp; G)"/>
    <s v="General Plant, Kittitas County, WA : GPL-0000 WA01900000"/>
    <n v="67959773"/>
    <s v="C3900 CMN Structure &amp; Improvement"/>
    <n v="143007393"/>
    <s v="NVR REPLMNT - MWR RENSLOW"/>
    <m/>
    <s v="12/2023"/>
    <n v="2"/>
    <n v="67905.42"/>
    <n v="640.11"/>
    <n v="67265.31"/>
    <x v="1"/>
    <x v="0"/>
  </r>
  <r>
    <s v="General Plant, Common"/>
    <s v="Common (E &amp; G)"/>
    <s v="General Plant, Whitman County, WA : GPL-0000 WA03800000"/>
    <n v="67959776"/>
    <s v="C3900 CMN Structure &amp; Improvement"/>
    <n v="143007394"/>
    <s v="NVR REPLMNT - MWR RIDPATH"/>
    <m/>
    <s v="12/2023"/>
    <n v="2"/>
    <n v="42348.340000000004"/>
    <n v="399.2"/>
    <n v="41949.14"/>
    <x v="1"/>
    <x v="0"/>
  </r>
  <r>
    <s v="General Plant, Common"/>
    <s v="Common (E &amp; G)"/>
    <s v="General Plant, Kittitas County, WA : GPL-0000 WA01900000"/>
    <n v="67959779"/>
    <s v="C3900 CMN Structure &amp; Improvement"/>
    <n v="143007395"/>
    <s v="NVR REPLMNT - MWR WHISKEY DICK"/>
    <m/>
    <s v="12/2023"/>
    <n v="2"/>
    <n v="55822.380000000005"/>
    <n v="526.21"/>
    <n v="55296.17"/>
    <x v="1"/>
    <x v="0"/>
  </r>
  <r>
    <s v="General Plant, Common"/>
    <s v="Common (E &amp; G)"/>
    <s v="General Plant, Thurston County, WA : GPL-0000 WA03400000"/>
    <n v="67959782"/>
    <s v="C3900 CMN Structure &amp; Improvement"/>
    <n v="143007396"/>
    <s v="NVR REPLMNT - OLYMPIA ENGINEERING"/>
    <m/>
    <s v="12/2023"/>
    <n v="2"/>
    <n v="70532.19"/>
    <n v="664.88"/>
    <n v="69867.31"/>
    <x v="1"/>
    <x v="0"/>
  </r>
  <r>
    <s v="General Plant, Common"/>
    <s v="Common (E &amp; G)"/>
    <s v="General Plant, King County Unincorporated within RTA District, WA : GPL-0000 WA11700990"/>
    <n v="67959785"/>
    <s v="C3900 CMN Structure &amp; Improvement"/>
    <n v="143007399"/>
    <s v="NVR REPLMNT-SOUTH KING CNTY FLEET"/>
    <m/>
    <s v="12/2023"/>
    <n v="2"/>
    <n v="55640.380000000005"/>
    <n v="524.5"/>
    <n v="55115.880000000005"/>
    <x v="1"/>
    <x v="0"/>
  </r>
  <r>
    <s v="General Plant, Common"/>
    <s v="Common (E &amp; G)"/>
    <s v="General Plant, King County Unincorporated within RTA District, WA : GPL-0000 WA11700990"/>
    <n v="67959788"/>
    <s v="C3900 CMN Structure &amp; Improvement"/>
    <n v="143007400"/>
    <s v="NVR REPLMNT-SOUTH KING CNTY OTHR"/>
    <m/>
    <s v="12/2023"/>
    <n v="2"/>
    <n v="94563.5"/>
    <n v="891.41"/>
    <n v="93672.09"/>
    <x v="1"/>
    <x v="0"/>
  </r>
  <r>
    <s v="General Plant, Common"/>
    <s v="Common (E &amp; G)"/>
    <s v="General Plant, King County Unincorporated within RTA District, WA : GPL-0000 WA11700990"/>
    <n v="67959791"/>
    <s v="C3900 CMN Structure &amp; Improvement"/>
    <n v="143007401"/>
    <s v="NVR REPLMNT-S KING COUNTY WAREHOUSE"/>
    <m/>
    <s v="12/2023"/>
    <n v="2"/>
    <n v="48534.61"/>
    <n v="457.51"/>
    <n v="48077.1"/>
    <x v="1"/>
    <x v="0"/>
  </r>
  <r>
    <s v="General Plant, Common"/>
    <s v="Common (E &amp; G)"/>
    <s v="General Plant, King County Unincorporated within RTA District, WA : GPL-0000 WA11700990"/>
    <n v="68173516"/>
    <s v="C3900 CMN Structure &amp; Improvement"/>
    <n v="143007293"/>
    <s v="2023 - IN SVC BLDG SYST &amp; COMP"/>
    <s v="Building System and Components, HVAC equip, roofs, flooring"/>
    <s v="12/2023"/>
    <n v="1"/>
    <n v="1613778.46"/>
    <n v="15212.36"/>
    <n v="1598566.1"/>
    <x v="1"/>
    <x v="0"/>
  </r>
  <r>
    <s v="General Plant, Common"/>
    <s v="Common (E &amp; G)"/>
    <s v="General Plant, Skagit County, WA : GPL-0000 WA02900000"/>
    <n v="68173543"/>
    <s v="C3900 CMN Structure &amp; Improvement"/>
    <n v="143007380"/>
    <s v="NVR REPLMNT - BAKER UPPER FSC"/>
    <m/>
    <s v="12/2023"/>
    <n v="1"/>
    <n v="-147339.87"/>
    <n v="-1388.91"/>
    <n v="-145950.96"/>
    <x v="1"/>
    <x v="0"/>
  </r>
  <r>
    <s v="General Plant, Common"/>
    <s v="Common (E &amp; G)"/>
    <s v="Bothell Access Center (leased) : GPL-BOTA"/>
    <n v="16230523"/>
    <s v="C3901 CMN LH, Bothell Access Center"/>
    <n v="143001544"/>
    <s v="BOTHELL ACCESS CENTER - BUILDING G"/>
    <s v="BOTHELL ACCESS CENTER - BUILDING G"/>
    <s v="12/2023"/>
    <n v="1"/>
    <n v="248063.69"/>
    <n v="248063.69"/>
    <n v="0"/>
    <x v="2"/>
    <x v="0"/>
  </r>
  <r>
    <s v="General Plant, Common"/>
    <s v="Common (E &amp; G)"/>
    <s v="Bothell Access Center (leased) : GPL-BOTA"/>
    <n v="22922726"/>
    <s v="C3901 CMN LH, Bothell Access Center"/>
    <n v="143001660"/>
    <s v="PSE - REPLACE ENTERPRISE ACCESS CON"/>
    <s v="PSE - REPLACE ENTERPRISE ACCESS CONTROL"/>
    <s v="12/2023"/>
    <n v="0"/>
    <n v="926619.01"/>
    <n v="926619.01"/>
    <n v="0"/>
    <x v="2"/>
    <x v="0"/>
  </r>
  <r>
    <s v="General Plant, Common"/>
    <s v="Common (E &amp; G)"/>
    <s v="Bothell Data Center (leased) : GPL-BOTA2"/>
    <n v="9404534"/>
    <s v="C3901 CMN LH, Bothell Data Center"/>
    <n v="131204320"/>
    <s v="Bothell Data Center Blg H-Ext. 1312"/>
    <s v="Bothell Data Center Blg H-Ext. 131203703"/>
    <s v="12/2023"/>
    <n v="0"/>
    <n v="103600.09"/>
    <n v="103600.09"/>
    <n v="0"/>
    <x v="2"/>
    <x v="0"/>
  </r>
  <r>
    <s v="General Plant, Common"/>
    <s v="Common (E &amp; G)"/>
    <s v="Bothell Data Center (leased) : GPL-BOTA2"/>
    <n v="9404538"/>
    <s v="C3901 CMN LH, Bothell Data Center"/>
    <n v="131204320"/>
    <s v="Bothell Data Center Blg H-Ext. 1312"/>
    <s v="Bothell Data Center Blg H-Ext. 131203703"/>
    <s v="12/2023"/>
    <n v="0"/>
    <n v="388666.57"/>
    <n v="388666.57"/>
    <n v="0"/>
    <x v="2"/>
    <x v="0"/>
  </r>
  <r>
    <s v="General Plant, Common"/>
    <s v="Common (E &amp; G)"/>
    <s v="Bothell Data Center (leased) : GPL-BOTA2"/>
    <n v="9404540"/>
    <s v="C3901 CMN LH, Bothell Data Center"/>
    <n v="131204320"/>
    <s v="Bothell Data Center Blg H-Ext. 1312"/>
    <s v="Bothell Data Center Blg H-Ext. 131203703"/>
    <s v="12/2023"/>
    <n v="0"/>
    <n v="1366470.6400000001"/>
    <n v="1366470.6400000001"/>
    <n v="0"/>
    <x v="2"/>
    <x v="0"/>
  </r>
  <r>
    <s v="General Plant, Common"/>
    <s v="Common (E &amp; G)"/>
    <s v="Bothell Data Center (leased) : GPL-BOTA2"/>
    <n v="9404541"/>
    <s v="C3901 CMN LH, Bothell Data Center"/>
    <n v="131204320"/>
    <s v="Bothell Data Center Blg H-Ext. 1312"/>
    <s v="Bothell Data Center Blg H-Ext. 131203703"/>
    <s v="12/2023"/>
    <n v="0"/>
    <n v="26434.9"/>
    <n v="26434.9"/>
    <n v="0"/>
    <x v="2"/>
    <x v="0"/>
  </r>
  <r>
    <s v="General Plant, Common"/>
    <s v="Common (E &amp; G)"/>
    <s v="Bothell Data Center (leased) : GPL-BOTA2"/>
    <n v="9404542"/>
    <s v="C3901 CMN LH, Bothell Data Center"/>
    <n v="131204320"/>
    <s v="Bothell Data Center Blg H-Ext. 1312"/>
    <s v="Bothell Data Center Blg H-Ext. 131203703"/>
    <s v="12/2023"/>
    <n v="0"/>
    <n v="23810.66"/>
    <n v="23810.66"/>
    <n v="0"/>
    <x v="2"/>
    <x v="0"/>
  </r>
  <r>
    <s v="General Plant, Common"/>
    <s v="Common (E &amp; G)"/>
    <s v="Bothell Data Center (leased) : GPL-BOTA2"/>
    <n v="9404543"/>
    <s v="C3901 CMN LH, Bothell Data Center"/>
    <n v="131204320"/>
    <s v="Bothell Data Center Blg H-Ext. 1312"/>
    <s v="Bothell Data Center Blg H-Ext. 131203703"/>
    <s v="12/2023"/>
    <n v="0"/>
    <n v="1433000.62"/>
    <n v="1433000.62"/>
    <n v="0"/>
    <x v="2"/>
    <x v="0"/>
  </r>
  <r>
    <s v="General Plant, Common"/>
    <s v="Common (E &amp; G)"/>
    <s v="Bothell Data Center (leased) : GPL-BOTA2"/>
    <n v="9404544"/>
    <s v="C3901 CMN LH, Bothell Data Center"/>
    <n v="131204320"/>
    <s v="Bothell Data Center Blg H-Ext. 1312"/>
    <s v="Bothell Data Center Blg H-Ext. 131203703"/>
    <s v="12/2023"/>
    <n v="0"/>
    <n v="157393.06"/>
    <n v="157393.06"/>
    <n v="0"/>
    <x v="2"/>
    <x v="0"/>
  </r>
  <r>
    <s v="General Plant, Common"/>
    <s v="Common (E &amp; G)"/>
    <s v="Bothell Data Center (leased) : GPL-BOTA2"/>
    <n v="9404545"/>
    <s v="C3901 CMN LH, Bothell Data Center"/>
    <n v="131204320"/>
    <s v="Bothell Data Center Blg H-Ext. 1312"/>
    <s v="Bothell Data Center Blg H-Ext. 131203703"/>
    <s v="12/2023"/>
    <n v="0"/>
    <n v="62792.42"/>
    <n v="62792.42"/>
    <n v="0"/>
    <x v="2"/>
    <x v="0"/>
  </r>
  <r>
    <s v="General Plant, Common"/>
    <s v="Common (E &amp; G)"/>
    <s v="Bothell Data Center (leased) : GPL-BOTA2"/>
    <n v="9404546"/>
    <s v="C3901 CMN LH, Bothell Data Center"/>
    <n v="131204320"/>
    <s v="Bothell Data Center Blg H-Ext. 1312"/>
    <s v="Bothell Data Center Blg H-Ext. 131203703"/>
    <s v="12/2023"/>
    <n v="0"/>
    <n v="4312.8"/>
    <n v="4312.8"/>
    <n v="0"/>
    <x v="2"/>
    <x v="0"/>
  </r>
  <r>
    <s v="General Plant, Common"/>
    <s v="Common (E &amp; G)"/>
    <s v="Bothell Data Center (leased) : GPL-BOTA2"/>
    <n v="9404547"/>
    <s v="C3901 CMN LH, Bothell Data Center"/>
    <n v="131204320"/>
    <s v="Bothell Data Center Blg H-Ext. 1312"/>
    <s v="Bothell Data Center Blg H-Ext. 131203703"/>
    <s v="12/2023"/>
    <n v="0"/>
    <n v="31767.24"/>
    <n v="31767.24"/>
    <n v="0"/>
    <x v="2"/>
    <x v="0"/>
  </r>
  <r>
    <s v="General Plant, Common"/>
    <s v="Common (E &amp; G)"/>
    <s v="Bothell Data Center (leased) : GPL-BOTA2"/>
    <n v="9404548"/>
    <s v="C3901 CMN LH, Bothell Data Center"/>
    <n v="131204320"/>
    <s v="Bothell Data Center Blg H-Ext. 1312"/>
    <s v="Bothell Data Center Blg H-Ext. 131203703"/>
    <s v="12/2023"/>
    <n v="0"/>
    <n v="593121.4"/>
    <n v="593121.4"/>
    <n v="0"/>
    <x v="2"/>
    <x v="0"/>
  </r>
  <r>
    <s v="General Plant, Common"/>
    <s v="Common (E &amp; G)"/>
    <s v="Bothell Data Center (leased) : GPL-BOTA2"/>
    <n v="9404549"/>
    <s v="C3901 CMN LH, Bothell Data Center"/>
    <n v="131204320"/>
    <s v="Bothell Data Center Blg H-Ext. 1312"/>
    <s v="Bothell Data Center Blg H-Ext. 131203703"/>
    <s v="12/2023"/>
    <n v="0"/>
    <n v="156709.94"/>
    <n v="156709.94"/>
    <n v="0"/>
    <x v="2"/>
    <x v="0"/>
  </r>
  <r>
    <s v="General Plant, Common"/>
    <s v="Common (E &amp; G)"/>
    <s v="Bothell Data Center (leased) : GPL-BOTA2"/>
    <n v="9404550"/>
    <s v="C3901 CMN LH, Bothell Data Center"/>
    <n v="131204320"/>
    <s v="Bothell Data Center Blg H-Ext. 1312"/>
    <s v="Bothell Data Center Blg H-Ext. 131203703"/>
    <s v="12/2023"/>
    <n v="0"/>
    <n v="224017.32"/>
    <n v="224017.32"/>
    <n v="0"/>
    <x v="2"/>
    <x v="0"/>
  </r>
  <r>
    <s v="General Plant, Common"/>
    <s v="Common (E &amp; G)"/>
    <s v="Bothell Data Center (leased) : GPL-BOTA2"/>
    <n v="9404551"/>
    <s v="C3901 CMN LH, Bothell Data Center"/>
    <n v="131204320"/>
    <s v="Bothell Data Center Blg H-Ext. 1312"/>
    <s v="Bothell Data Center Blg H-Ext. 131203703"/>
    <s v="12/2023"/>
    <n v="0"/>
    <n v="418606.55"/>
    <n v="418606.55"/>
    <n v="0"/>
    <x v="2"/>
    <x v="0"/>
  </r>
  <r>
    <s v="General Plant, Common"/>
    <s v="Common (E &amp; G)"/>
    <s v="Bothell Data Center (leased) : GPL-BOTA2"/>
    <n v="9404552"/>
    <s v="C3901 CMN LH, Bothell Data Center"/>
    <n v="131204320"/>
    <s v="Bothell Data Center Blg H-Ext. 1312"/>
    <s v="Bothell Data Center Blg H-Ext. 131203703"/>
    <s v="12/2023"/>
    <n v="0"/>
    <n v="41665.26"/>
    <n v="41665.26"/>
    <n v="0"/>
    <x v="2"/>
    <x v="0"/>
  </r>
  <r>
    <s v="General Plant, Common"/>
    <s v="Common (E &amp; G)"/>
    <s v="Bothell Data Center (leased) : GPL-BOTA2"/>
    <n v="9404554"/>
    <s v="C3901 CMN LH, Bothell Data Center"/>
    <n v="131203703"/>
    <s v="BOTHELL DATA CENTER TENANT IMPRV. B"/>
    <s v="BOTHELL DATA CENTER TENANT IMPRV. BLDG H"/>
    <s v="12/2023"/>
    <n v="0"/>
    <n v="27579.62"/>
    <n v="27579.62"/>
    <n v="0"/>
    <x v="2"/>
    <x v="0"/>
  </r>
  <r>
    <s v="General Plant, Common"/>
    <s v="Common (E &amp; G)"/>
    <s v="Bothell Data Center (leased) : GPL-BOTA2"/>
    <n v="9404555"/>
    <s v="C3901 CMN LH, Bothell Data Center"/>
    <n v="131203703"/>
    <s v="BOTHELL DATA CENTER TENANT IMPRV. B"/>
    <s v="BOTHELL DATA CENTER TENANT IMPRV. BLDG H"/>
    <s v="12/2023"/>
    <n v="0"/>
    <n v="24841.7"/>
    <n v="24841.7"/>
    <n v="0"/>
    <x v="2"/>
    <x v="0"/>
  </r>
  <r>
    <s v="General Plant, Common"/>
    <s v="Common (E &amp; G)"/>
    <s v="Bothell Data Center (leased) : GPL-BOTA2"/>
    <n v="9404556"/>
    <s v="C3901 CMN LH, Bothell Data Center"/>
    <n v="131203703"/>
    <s v="BOTHELL DATA CENTER TENANT IMPRV. B"/>
    <s v="BOTHELL DATA CENTER TENANT IMPRV. BLDG H"/>
    <s v="12/2023"/>
    <n v="0"/>
    <n v="1495051.7"/>
    <n v="1495051.7"/>
    <n v="0"/>
    <x v="2"/>
    <x v="0"/>
  </r>
  <r>
    <s v="General Plant, Common"/>
    <s v="Common (E &amp; G)"/>
    <s v="Bothell Data Center (leased) : GPL-BOTA2"/>
    <n v="9404557"/>
    <s v="C3901 CMN LH, Bothell Data Center"/>
    <n v="131203703"/>
    <s v="BOTHELL DATA CENTER TENANT IMPRV. B"/>
    <s v="BOTHELL DATA CENTER TENANT IMPRV. BLDG H"/>
    <s v="12/2023"/>
    <n v="0"/>
    <n v="164208.35"/>
    <n v="164208.35"/>
    <n v="0"/>
    <x v="2"/>
    <x v="0"/>
  </r>
  <r>
    <s v="General Plant, Common"/>
    <s v="Common (E &amp; G)"/>
    <s v="Bothell Data Center (leased) : GPL-BOTA2"/>
    <n v="9404558"/>
    <s v="C3901 CMN LH, Bothell Data Center"/>
    <n v="131203703"/>
    <s v="BOTHELL DATA CENTER TENANT IMPRV. B"/>
    <s v="BOTHELL DATA CENTER TENANT IMPRV. BLDG H"/>
    <s v="12/2023"/>
    <n v="0"/>
    <n v="65511.43"/>
    <n v="65511.43"/>
    <n v="0"/>
    <x v="2"/>
    <x v="0"/>
  </r>
  <r>
    <s v="General Plant, Common"/>
    <s v="Common (E &amp; G)"/>
    <s v="Bothell Data Center (leased) : GPL-BOTA2"/>
    <n v="9404559"/>
    <s v="C3901 CMN LH, Bothell Data Center"/>
    <n v="131203703"/>
    <s v="BOTHELL DATA CENTER TENANT IMPRV. B"/>
    <s v="BOTHELL DATA CENTER TENANT IMPRV. BLDG H"/>
    <s v="12/2023"/>
    <n v="0"/>
    <n v="4499.5600000000004"/>
    <n v="4499.5600000000004"/>
    <n v="0"/>
    <x v="2"/>
    <x v="0"/>
  </r>
  <r>
    <s v="General Plant, Common"/>
    <s v="Common (E &amp; G)"/>
    <s v="Bothell Data Center (leased) : GPL-BOTA2"/>
    <n v="9404560"/>
    <s v="C3901 CMN LH, Bothell Data Center"/>
    <n v="131203703"/>
    <s v="BOTHELL DATA CENTER TENANT IMPRV. B"/>
    <s v="BOTHELL DATA CENTER TENANT IMPRV. BLDG H"/>
    <s v="12/2023"/>
    <n v="0"/>
    <n v="38316.42"/>
    <n v="38316.42"/>
    <n v="0"/>
    <x v="2"/>
    <x v="0"/>
  </r>
  <r>
    <s v="General Plant, Common"/>
    <s v="Common (E &amp; G)"/>
    <s v="Bothell Data Center (leased) : GPL-BOTA2"/>
    <n v="9404561"/>
    <s v="C3901 CMN LH, Bothell Data Center"/>
    <n v="131203703"/>
    <s v="BOTHELL DATA CENTER TENANT IMPRV. B"/>
    <s v="BOTHELL DATA CENTER TENANT IMPRV. BLDG H"/>
    <s v="12/2023"/>
    <n v="0"/>
    <n v="618804.31000000006"/>
    <n v="618804.31000000006"/>
    <n v="0"/>
    <x v="2"/>
    <x v="0"/>
  </r>
  <r>
    <s v="General Plant, Common"/>
    <s v="Common (E &amp; G)"/>
    <s v="Bothell Data Center (leased) : GPL-BOTA2"/>
    <n v="9404562"/>
    <s v="C3901 CMN LH, Bothell Data Center"/>
    <n v="131203703"/>
    <s v="BOTHELL DATA CENTER TENANT IMPRV. B"/>
    <s v="BOTHELL DATA CENTER TENANT IMPRV. BLDG H"/>
    <s v="12/2023"/>
    <n v="0"/>
    <n v="163495.66"/>
    <n v="163495.66"/>
    <n v="0"/>
    <x v="2"/>
    <x v="0"/>
  </r>
  <r>
    <s v="General Plant, Common"/>
    <s v="Common (E &amp; G)"/>
    <s v="Bothell Data Center (leased) : GPL-BOTA2"/>
    <n v="9404563"/>
    <s v="C3901 CMN LH, Bothell Data Center"/>
    <n v="131203703"/>
    <s v="BOTHELL DATA CENTER TENANT IMPRV. B"/>
    <s v="BOTHELL DATA CENTER TENANT IMPRV. BLDG H"/>
    <s v="12/2023"/>
    <n v="0"/>
    <n v="233717.55000000002"/>
    <n v="233717.55000000002"/>
    <n v="0"/>
    <x v="2"/>
    <x v="0"/>
  </r>
  <r>
    <s v="General Plant, Common"/>
    <s v="Common (E &amp; G)"/>
    <s v="Bothell Data Center (leased) : GPL-BOTA2"/>
    <n v="9404564"/>
    <s v="C3901 CMN LH, Bothell Data Center"/>
    <n v="131203703"/>
    <s v="BOTHELL DATA CENTER TENANT IMPRV. B"/>
    <s v="BOTHELL DATA CENTER TENANT IMPRV. BLDG H"/>
    <s v="12/2023"/>
    <n v="0"/>
    <n v="436732.82"/>
    <n v="436732.82"/>
    <n v="0"/>
    <x v="2"/>
    <x v="0"/>
  </r>
  <r>
    <s v="General Plant, Common"/>
    <s v="Common (E &amp; G)"/>
    <s v="Bothell Data Center (leased) : GPL-BOTA2"/>
    <n v="9404565"/>
    <s v="C3901 CMN LH, Bothell Data Center"/>
    <n v="131203703"/>
    <s v="BOTHELL DATA CENTER TENANT IMPRV. B"/>
    <s v="BOTHELL DATA CENTER TENANT IMPRV. BLDG H"/>
    <s v="12/2023"/>
    <n v="0"/>
    <n v="38295.74"/>
    <n v="38295.74"/>
    <n v="0"/>
    <x v="2"/>
    <x v="0"/>
  </r>
  <r>
    <s v="General Plant, Common"/>
    <s v="Common (E &amp; G)"/>
    <s v="Bothell Data Center (leased) : GPL-BOTA2"/>
    <n v="11853781"/>
    <s v="C3901 CMN LH, Bothell Data Center"/>
    <n v="131204882"/>
    <s v="IOC FIAL SECURITY SYSTEM"/>
    <s v="IOC FIAL SECURITY SYSTEM"/>
    <s v="12/2023"/>
    <n v="1"/>
    <n v="6139.52"/>
    <n v="6139.52"/>
    <n v="0"/>
    <x v="2"/>
    <x v="0"/>
  </r>
  <r>
    <s v="General Plant, Common"/>
    <s v="Common (E &amp; G)"/>
    <s v="Bothell Data Center (leased) : GPL-BOTA2"/>
    <n v="25928415"/>
    <s v="C3901 CMN LH, Bothell Data Center"/>
    <n v="143002319"/>
    <s v="BOTHELL H DATA CENTER UPS REPLACEME"/>
    <s v="BOTHELL H DATA CENTER UPS REPLACEMENT"/>
    <s v="12/2023"/>
    <n v="1"/>
    <n v="526508.94000000006"/>
    <n v="526508.94000000006"/>
    <n v="0"/>
    <x v="2"/>
    <x v="0"/>
  </r>
  <r>
    <s v="General Plant, Common"/>
    <s v="Common (E &amp; G)"/>
    <s v="Freeland Business Ofc(Leased) : GPL-FREE"/>
    <n v="5258809"/>
    <s v="C3901 CMN LH, Freeland Bus Ofc"/>
    <n v="131202540"/>
    <s v="SO WHIDBEY BUSINE OFFICE-TENANT IMP"/>
    <s v="SO WHIDBEY BUSINE OFFICE-TENANT IMPROV."/>
    <s v="12/2023"/>
    <n v="0"/>
    <n v="76881.61"/>
    <n v="73677.81"/>
    <n v="3203.8"/>
    <x v="2"/>
    <x v="0"/>
  </r>
  <r>
    <s v="General Plant, Common"/>
    <s v="Common (E &amp; G)"/>
    <s v="Freeland Business Ofc(Leased) : GPL-FREE"/>
    <n v="6040148"/>
    <s v="C3901 CMN LH, Freeland Bus Ofc"/>
    <n v="131202540"/>
    <s v="SO WHIDBEY BUSINE OFFICE-TENANT IMP"/>
    <s v="SO WHIDBEY BUSINE OFFICE-TENANT IMPROV."/>
    <s v="12/2023"/>
    <n v="0"/>
    <n v="56256.28"/>
    <n v="53911.98"/>
    <n v="2344.3000000000002"/>
    <x v="2"/>
    <x v="0"/>
  </r>
  <r>
    <s v="General Plant, Common"/>
    <s v="Common (E &amp; G)"/>
    <s v="Freeland Business Ofc(Leased) : GPL-FREE"/>
    <n v="6040150"/>
    <s v="C3901 CMN LH, Freeland Bus Ofc"/>
    <n v="131202540"/>
    <s v="SO WHIDBEY BUSINE OFFICE-TENANT IMP"/>
    <s v="SO WHIDBEY BUSINE OFFICE-TENANT IMPROV."/>
    <s v="12/2023"/>
    <n v="0"/>
    <n v="36596.590000000004"/>
    <n v="35071.54"/>
    <n v="1525.05"/>
    <x v="2"/>
    <x v="0"/>
  </r>
  <r>
    <s v="General Plant, Common"/>
    <s v="Common (E &amp; G)"/>
    <s v="Freeland Business Ofc(Leased) : GPL-FREE"/>
    <n v="6040151"/>
    <s v="C3901 CMN LH, Freeland Bus Ofc"/>
    <n v="131202540"/>
    <s v="SO WHIDBEY BUSINE OFFICE-TENANT IMP"/>
    <s v="SO WHIDBEY BUSINE OFFICE-TENANT IMPROV."/>
    <s v="12/2023"/>
    <n v="0"/>
    <n v="109789.78"/>
    <n v="105214.64"/>
    <n v="4575.1400000000003"/>
    <x v="2"/>
    <x v="0"/>
  </r>
  <r>
    <s v="General Plant, Common"/>
    <s v="Common (E &amp; G)"/>
    <s v="Freeland Business Ofc(Leased) : GPL-FREE"/>
    <n v="6040152"/>
    <s v="C3901 CMN LH, Freeland Bus Ofc"/>
    <n v="131202540"/>
    <s v="SO WHIDBEY BUSINE OFFICE-TENANT IMP"/>
    <s v="SO WHIDBEY BUSINE OFFICE-TENANT IMPROV."/>
    <s v="12/2023"/>
    <n v="0"/>
    <n v="7319.32"/>
    <n v="7014.31"/>
    <n v="305.01"/>
    <x v="2"/>
    <x v="0"/>
  </r>
  <r>
    <s v="General Plant, Common"/>
    <s v="Common (E &amp; G)"/>
    <s v="Freeland Business Ofc(Leased) : GPL-FREE"/>
    <n v="6040153"/>
    <s v="C3901 CMN LH, Freeland Bus Ofc"/>
    <n v="131202540"/>
    <s v="SO WHIDBEY BUSINE OFFICE-TENANT IMP"/>
    <s v="SO WHIDBEY BUSINE OFFICE-TENANT IMPROV."/>
    <s v="12/2023"/>
    <n v="0"/>
    <n v="45621.31"/>
    <n v="43720.19"/>
    <n v="1901.1200000000001"/>
    <x v="2"/>
    <x v="0"/>
  </r>
  <r>
    <s v="General Plant, Common"/>
    <s v="Common (E &amp; G)"/>
    <s v="Freeland Business Ofc(Leased) : GPL-FREE"/>
    <n v="6040154"/>
    <s v="C3901 CMN LH, Freeland Bus Ofc"/>
    <n v="131202540"/>
    <s v="SO WHIDBEY BUSINE OFFICE-TENANT IMP"/>
    <s v="SO WHIDBEY BUSINE OFFICE-TENANT IMPROV."/>
    <s v="12/2023"/>
    <n v="0"/>
    <n v="36596.590000000004"/>
    <n v="35071.54"/>
    <n v="1525.05"/>
    <x v="2"/>
    <x v="0"/>
  </r>
  <r>
    <s v="General Plant, Common"/>
    <s v="Common (E &amp; G)"/>
    <s v="Lincoln Executive Center I - Bellevue : GPL-LEC"/>
    <n v="25098597"/>
    <s v="C3901 CMN LH, Lincoln Exec Ctr"/>
    <n v="143002366"/>
    <s v="LINCOLN EXECUTIVE CENTER - TENANT I"/>
    <s v="LINCOLN EXECUTIVE CENTER - TENANT IMPROV"/>
    <s v="12/2023"/>
    <n v="1"/>
    <n v="38904.090000000004"/>
    <n v="38904.090000000004"/>
    <n v="0"/>
    <x v="2"/>
    <x v="0"/>
  </r>
  <r>
    <s v="General Plant, Common"/>
    <s v="Common (E &amp; G)"/>
    <s v="Lincoln Executive Center I - Bellevue : GPL-LEC"/>
    <n v="25098602"/>
    <s v="C3901 CMN LH, Lincoln Exec Ctr"/>
    <n v="143002366"/>
    <s v="LINCOLN EXECUTIVE CENTER - TENANT I"/>
    <s v="LINCOLN EXECUTIVE CENTER - TENANT IMPROV"/>
    <s v="12/2023"/>
    <n v="1"/>
    <n v="73967.25"/>
    <n v="73967.25"/>
    <n v="0"/>
    <x v="2"/>
    <x v="0"/>
  </r>
  <r>
    <s v="General Plant, Common"/>
    <s v="Common (E &amp; G)"/>
    <s v="Pse East Ofc Bldg (Leased) 2nd Amendment : GPL-PSEE2"/>
    <n v="51295307"/>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318"/>
    <s v="C3901 CMN LH, PSE East Amend 2"/>
    <n v="143003500"/>
    <s v="PSE EAST BUILDING RELOCATION-STR"/>
    <s v="PSE EAST BUILDING RELOCATION-STR"/>
    <s v="12/2023"/>
    <n v="2"/>
    <n v="1169919.45"/>
    <n v="373514.96"/>
    <n v="796404.49"/>
    <x v="2"/>
    <x v="0"/>
  </r>
  <r>
    <s v="General Plant, Common"/>
    <s v="Common (E &amp; G)"/>
    <s v="Pse East Ofc Bldg (Leased) 2nd Amendment : GPL-PSEE2"/>
    <n v="57971931"/>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7971938"/>
    <s v="C3901 CMN LH, PSE East Amend 2"/>
    <n v="143004527"/>
    <s v="PSE SUMMIT CAMPUS CONSOLIDATION PRO"/>
    <s v="PSE SUMMIT CAMPUS CONSOLIDATION PROJECT"/>
    <s v="12/2023"/>
    <n v="1"/>
    <n v="278865.77"/>
    <n v="89032.23"/>
    <n v="189833.54"/>
    <x v="2"/>
    <x v="0"/>
  </r>
  <r>
    <s v="General Plant, Common"/>
    <s v="Common (E &amp; G)"/>
    <s v="Pse East Ofc Bldg (Leased) 2nd Amendment : GPL-PSEE2"/>
    <n v="57971941"/>
    <s v="C3901 CMN LH, PSE East Amend 2"/>
    <n v="143004527"/>
    <s v="PSE SUMMIT CAMPUS CONSOLIDATION PRO"/>
    <s v="PSE SUMMIT CAMPUS CONSOLIDATION PROJECT"/>
    <s v="12/2023"/>
    <n v="1"/>
    <n v="278865.77"/>
    <n v="89032.23"/>
    <n v="189833.54"/>
    <x v="2"/>
    <x v="0"/>
  </r>
  <r>
    <s v="General Plant, Common"/>
    <s v="Common (E &amp; G)"/>
    <s v="Pse East Ofc Bldg (Leased) 2nd Amendment : GPL-PSEE2"/>
    <n v="57971944"/>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7971947"/>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7971950"/>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7971953"/>
    <s v="C3901 CMN LH, PSE East Amend 2"/>
    <n v="143004527"/>
    <s v="PSE SUMMIT CAMPUS CONSOLIDATION PRO"/>
    <s v="PSE SUMMIT CAMPUS CONSOLIDATION PROJECT"/>
    <s v="12/2023"/>
    <n v="1"/>
    <n v="278865.88"/>
    <n v="89032.27"/>
    <n v="189833.61000000002"/>
    <x v="2"/>
    <x v="0"/>
  </r>
  <r>
    <s v="General Plant, Common"/>
    <s v="Common (E &amp; G)"/>
    <s v="Pse East Ofc Bldg (Leased) 2nd Amendment : GPL-PSEE2"/>
    <n v="57971956"/>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7971959"/>
    <s v="C3901 CMN LH, PSE East Amend 2"/>
    <n v="143004527"/>
    <s v="PSE SUMMIT CAMPUS CONSOLIDATION PRO"/>
    <s v="PSE SUMMIT CAMPUS CONSOLIDATION PROJECT"/>
    <s v="12/2023"/>
    <n v="1"/>
    <n v="139432.87"/>
    <n v="44516.11"/>
    <n v="94916.76"/>
    <x v="2"/>
    <x v="0"/>
  </r>
  <r>
    <s v="General Plant, Common"/>
    <s v="Common (E &amp; G)"/>
    <s v="Pse East Ofc Bldg (Leased) 2nd Amendment : GPL-PSEE2"/>
    <n v="51295212"/>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23"/>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34"/>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45"/>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56"/>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67"/>
    <s v="C3901 CMN LH, PSE East Amend 2"/>
    <n v="143003500"/>
    <s v="PSE EAST BUILDING RELOCATION-STR"/>
    <s v="PSE EAST BUILDING RELOCATION-STR"/>
    <s v="12/2023"/>
    <n v="5"/>
    <n v="271873.59999999998"/>
    <n v="86799.87"/>
    <n v="185073.73"/>
    <x v="2"/>
    <x v="0"/>
  </r>
  <r>
    <s v="General Plant, Common"/>
    <s v="Common (E &amp; G)"/>
    <s v="Pse East Ofc Bldg (Leased) 2nd Amendment : GPL-PSEE2"/>
    <n v="51295276"/>
    <s v="C3901 CMN LH, PSE East Amend 2"/>
    <n v="143003500"/>
    <s v="PSE EAST BUILDING RELOCATION-STR"/>
    <s v="PSE EAST BUILDING RELOCATION-STR"/>
    <s v="12/2023"/>
    <n v="1"/>
    <n v="54456.37"/>
    <n v="17386.04"/>
    <n v="37070.33"/>
    <x v="2"/>
    <x v="0"/>
  </r>
  <r>
    <s v="General Plant, Common"/>
    <s v="Common (E &amp; G)"/>
    <s v="Pse East Ofc Bldg (Leased) 2nd Amendment : GPL-PSEE2"/>
    <n v="51295287"/>
    <s v="C3901 CMN LH, PSE East Amend 2"/>
    <n v="143003500"/>
    <s v="PSE EAST BUILDING RELOCATION-STR"/>
    <s v="PSE EAST BUILDING RELOCATION-STR"/>
    <s v="12/2023"/>
    <n v="1"/>
    <n v="54456.33"/>
    <n v="17386.03"/>
    <n v="37070.300000000003"/>
    <x v="2"/>
    <x v="0"/>
  </r>
  <r>
    <s v="General Plant, Common"/>
    <s v="Common (E &amp; G)"/>
    <s v="Pse East Ofc Bldg (Leased) 2nd Amendment : GPL-PSEE2"/>
    <n v="51295296"/>
    <s v="C3901 CMN LH, PSE East Amend 2"/>
    <n v="143003500"/>
    <s v="PSE EAST BUILDING RELOCATION-STR"/>
    <s v="PSE EAST BUILDING RELOCATION-STR"/>
    <s v="12/2023"/>
    <n v="1"/>
    <n v="54456.37"/>
    <n v="17386.04"/>
    <n v="37070.33"/>
    <x v="2"/>
    <x v="0"/>
  </r>
  <r>
    <s v="General Plant, Common"/>
    <s v="Common (E &amp; G)"/>
    <s v="Pse East Ofc Bldg (Leased) 110Th Ave Ne : GPL-PSEE"/>
    <n v="81541"/>
    <s v="C3901 CMN LH, PSE East Building"/>
    <s v="CONV"/>
    <m/>
    <m/>
    <s v="12/2023"/>
    <n v="0"/>
    <n v="470048.94"/>
    <n v="470048.94"/>
    <n v="0"/>
    <x v="2"/>
    <x v="0"/>
  </r>
  <r>
    <s v="General Plant, Common"/>
    <s v="Common (E &amp; G)"/>
    <s v="Pse East Ofc Bldg (Leased) 110Th Ave Ne : GPL-PSEE"/>
    <n v="81543"/>
    <s v="C3901 CMN LH, PSE East Building"/>
    <s v="CONV"/>
    <m/>
    <m/>
    <s v="12/2023"/>
    <n v="0"/>
    <n v="3714589.91"/>
    <n v="3714589.91"/>
    <n v="0"/>
    <x v="2"/>
    <x v="0"/>
  </r>
  <r>
    <s v="General Plant, Common"/>
    <s v="Common (E &amp; G)"/>
    <s v="Pse East Ofc Bldg (Leased) 110Th Ave Ne : GPL-PSEE"/>
    <n v="81547"/>
    <s v="C3901 CMN LH, PSE East Building"/>
    <s v="CONV"/>
    <m/>
    <m/>
    <s v="12/2023"/>
    <n v="0"/>
    <n v="11248000"/>
    <n v="11248000"/>
    <n v="0"/>
    <x v="2"/>
    <x v="0"/>
  </r>
  <r>
    <s v="General Plant, Common"/>
    <s v="Common (E &amp; G)"/>
    <s v="Pse East Ofc Bldg (Leased) 110Th Ave Ne : GPL-PSEE"/>
    <n v="81550"/>
    <s v="C3901 CMN LH, PSE East Building"/>
    <s v="CONV"/>
    <m/>
    <m/>
    <s v="12/2023"/>
    <n v="0"/>
    <n v="5628705.3399999999"/>
    <n v="5628705.3399999999"/>
    <n v="0"/>
    <x v="2"/>
    <x v="0"/>
  </r>
  <r>
    <s v="General Plant, Common"/>
    <s v="Common (E &amp; G)"/>
    <s v="Pse East Ofc Bldg (Leased) 110Th Ave Ne : GPL-PSEE"/>
    <n v="83198"/>
    <s v="C3901 CMN LH, PSE East Building"/>
    <s v="CONV"/>
    <m/>
    <m/>
    <s v="12/2023"/>
    <n v="0"/>
    <n v="18141.900000000001"/>
    <n v="18141.900000000001"/>
    <n v="0"/>
    <x v="2"/>
    <x v="0"/>
  </r>
  <r>
    <s v="General Plant, Common"/>
    <s v="Common (E &amp; G)"/>
    <s v="Pse East Ofc Bldg (Leased) 110Th Ave Ne : GPL-PSEE"/>
    <n v="105478"/>
    <s v="C3901 CMN LH, PSE East Building"/>
    <s v="CONV"/>
    <m/>
    <m/>
    <s v="12/2023"/>
    <n v="0"/>
    <n v="112630.27"/>
    <n v="112630.27"/>
    <n v="0"/>
    <x v="2"/>
    <x v="0"/>
  </r>
  <r>
    <s v="General Plant, Common"/>
    <s v="Common (E &amp; G)"/>
    <s v="Pse East Ofc Bldg (Leased) 110Th Ave Ne : GPL-PSEE"/>
    <n v="86317"/>
    <s v="C3901 CMN LH, PSE East Building"/>
    <s v="CONV"/>
    <m/>
    <m/>
    <s v="12/2023"/>
    <n v="0"/>
    <n v="3518.62"/>
    <n v="3518.62"/>
    <n v="0"/>
    <x v="2"/>
    <x v="0"/>
  </r>
  <r>
    <s v="General Plant, Common"/>
    <s v="Common (E &amp; G)"/>
    <s v="Pse East Ofc Bldg (Leased) 110Th Ave Ne : GPL-PSEE"/>
    <n v="3241785"/>
    <s v="C3901 CMN LH, PSE East Building"/>
    <n v="131202140"/>
    <s v="PSE EAST BLDG- 11TH FLOOR RENOVATIO"/>
    <s v="PSE EAST BLDG- 11TH FLOOR RENOVATION"/>
    <s v="12/2023"/>
    <n v="1"/>
    <n v="11285.53"/>
    <n v="11285.53"/>
    <n v="0"/>
    <x v="2"/>
    <x v="0"/>
  </r>
  <r>
    <s v="General Plant, Common"/>
    <s v="Common (E &amp; G)"/>
    <s v="Pse East Ofc Bldg (Leased) 110Th Ave Ne : GPL-PSEE"/>
    <n v="6529628"/>
    <s v="C3901 CMN LH, PSE East Building"/>
    <n v="131203200"/>
    <s v="PSE EAST BLDG FL 2&amp;6- CYBER ASSETS "/>
    <s v="PSE EAST BLDG FL 2&amp;6- CYBER ASSETS SECUR"/>
    <s v="12/2023"/>
    <n v="0"/>
    <n v="29627.600000000002"/>
    <n v="29627.600000000002"/>
    <n v="0"/>
    <x v="2"/>
    <x v="0"/>
  </r>
  <r>
    <s v="General Plant, Common"/>
    <s v="Common (E &amp; G)"/>
    <s v="Pse East Ofc Bldg (Leased) 110Th Ave Ne : GPL-PSEE"/>
    <n v="11853806"/>
    <s v="C3901 CMN LH, PSE East Building"/>
    <n v="143000360"/>
    <s v="ADD 225 KVA MGE UPS - PSE EAST BLDG"/>
    <s v="ADD 225 KVA MGE UPS - PSE EAST BLDG P1"/>
    <s v="12/2023"/>
    <n v="1"/>
    <n v="712740.67"/>
    <n v="712740.67"/>
    <n v="0"/>
    <x v="2"/>
    <x v="0"/>
  </r>
  <r>
    <s v="General Plant, Common"/>
    <s v="Common (E &amp; G)"/>
    <s v="Pse East Ofc Bldg (Leased) 110Th Ave Ne : GPL-PSEE"/>
    <n v="22922684"/>
    <s v="C3901 CMN LH, PSE East Building"/>
    <n v="143001660"/>
    <s v="PSE - REPLACE ENTERPRISE ACCESS CON"/>
    <s v="PSE - REPLACE ENTERPRISE ACCESS CONTROL"/>
    <s v="12/2023"/>
    <n v="0"/>
    <n v="930255.84"/>
    <n v="930255.84"/>
    <n v="0"/>
    <x v="2"/>
    <x v="0"/>
  </r>
  <r>
    <s v="General Plant, Common"/>
    <s v="Common (E &amp; G)"/>
    <s v="Pse East Ofc Bldg (Leased) 110Th Ave Ne : GPL-PSEE"/>
    <n v="24726034"/>
    <s v="C3901 CMN LH, PSE East Building"/>
    <n v="143002168"/>
    <s v="REPLACE PSE EAST BLDG 5TH FLOOR HEA"/>
    <s v="REPLACE PSE EAST BLDG 5TH FLOOR HEAT PUM"/>
    <s v="12/2023"/>
    <n v="1"/>
    <n v="13278.67"/>
    <n v="13278.67"/>
    <n v="0"/>
    <x v="2"/>
    <x v="0"/>
  </r>
  <r>
    <s v="General Plant, Common"/>
    <s v="Common (E &amp; G)"/>
    <s v="Pse East Ofc Bldg (Leased) 110Th Ave Ne : GPL-PSEE"/>
    <n v="28368905"/>
    <s v="C3901 CMN LH, PSE East Building"/>
    <n v="143002680"/>
    <s v="EST 2ND FLOOR HEAT PUMP A211 REPLAC"/>
    <s v="EST 2ND FLOOR HEAT PUMP A211 REPLACEMENT"/>
    <s v="12/2023"/>
    <n v="1"/>
    <n v="11211.81"/>
    <n v="11211.81"/>
    <n v="0"/>
    <x v="2"/>
    <x v="0"/>
  </r>
  <r>
    <s v="General Plant, Common"/>
    <s v="Common (E &amp; G)"/>
    <s v="Redmond West/Willow : GPL-WLW"/>
    <n v="4822226"/>
    <s v="C3901 CMN LH, Redmond West/Willow"/>
    <n v="131201501"/>
    <s v="REDMOND WEST/WILLOW WAREH LEAS IMPR"/>
    <s v="REDMOND WEST/WILLOW WAREH LEAS IMPROV"/>
    <s v="12/2023"/>
    <n v="1"/>
    <n v="176997.4"/>
    <n v="149493.12"/>
    <n v="27504.28"/>
    <x v="2"/>
    <x v="0"/>
  </r>
  <r>
    <s v="General Plant, Common"/>
    <s v="Common (E &amp; G)"/>
    <s v="Redmond West/Willow : GPL-WLW"/>
    <n v="3260089"/>
    <s v="C3901 CMN LH, Redmond West/Willow"/>
    <n v="130003341"/>
    <s v="REDMOND WEST/WILLOW TENANT INCENTIV"/>
    <s v="REDMOND WEST/WILLOW TENANT INCENTIVES"/>
    <s v="12/2023"/>
    <n v="1"/>
    <n v="731500"/>
    <n v="625476.13"/>
    <n v="106023.87"/>
    <x v="2"/>
    <x v="0"/>
  </r>
  <r>
    <s v="General Plant, Common"/>
    <s v="Common (E &amp; G)"/>
    <s v="Redmond West/Willow : GPL-WLW"/>
    <n v="4822229"/>
    <s v="C3901 CMN LH, Redmond West/Willow"/>
    <n v="131201501"/>
    <s v="REDMOND WEST/WILLOW WAREH LEAS IMPR"/>
    <s v="REDMOND WEST/WILLOW WAREH LEAS IMPROV"/>
    <s v="12/2023"/>
    <n v="0"/>
    <n v="1197034.02"/>
    <n v="1011022.51"/>
    <n v="186011.51"/>
    <x v="2"/>
    <x v="0"/>
  </r>
  <r>
    <s v="General Plant, Common"/>
    <s v="Common (E &amp; G)"/>
    <s v="Redmond West/Willow : GPL-WLW"/>
    <n v="5286682"/>
    <s v="C3901 CMN LH, Redmond West/Willow"/>
    <n v="131201501"/>
    <s v="REDMOND WEST/WILLOW WAREH LEAS IMPR"/>
    <s v="REDMOND WEST/WILLOW WAREH LEAS IMPROV"/>
    <s v="12/2023"/>
    <n v="0"/>
    <n v="227935.31"/>
    <n v="192515.61000000002"/>
    <n v="35419.700000000004"/>
    <x v="2"/>
    <x v="0"/>
  </r>
  <r>
    <s v="General Plant, Common"/>
    <s v="Common (E &amp; G)"/>
    <s v="Redmond West/Willow : GPL-WLW"/>
    <n v="7141021"/>
    <s v="C3901 CMN LH, Redmond West/Willow"/>
    <n v="131203260"/>
    <s v="REDMOND WEST A/C's MONITOR &amp; SERVIC"/>
    <s v="REDMOND WEST A/C's MONITOR &amp; SERVICE ROO"/>
    <s v="12/2023"/>
    <n v="0"/>
    <n v="59053.440000000002"/>
    <n v="49192.57"/>
    <n v="9860.8700000000008"/>
    <x v="2"/>
    <x v="0"/>
  </r>
  <r>
    <s v="General Plant, Common"/>
    <s v="Common (E &amp; G)"/>
    <s v="Redmond West/Willow : GPL-WLW"/>
    <n v="7300058"/>
    <s v="C3901 CMN LH, Redmond West/Willow"/>
    <n v="131203600"/>
    <s v="A/C for Lab Room Lab at Redmond Wes"/>
    <s v="A/C for Lab Room Lab at Redmond West"/>
    <s v="12/2023"/>
    <n v="0"/>
    <n v="43897.03"/>
    <n v="36567.01"/>
    <n v="7330.02"/>
    <x v="2"/>
    <x v="0"/>
  </r>
  <r>
    <s v="General Plant, Common"/>
    <s v="Common (E &amp; G)"/>
    <s v="Redmond West/Willow : GPL-WLW"/>
    <n v="7303332"/>
    <s v="C3901 CMN LH, Redmond West/Willow"/>
    <n v="131203400"/>
    <s v="REDMOND WEST EXPANSION LEASE, 10,26"/>
    <s v="REDMOND WEST EXPANSION LEASE, 10,262 SQ"/>
    <s v="12/2023"/>
    <n v="0"/>
    <n v="213736.41"/>
    <n v="178046.23"/>
    <n v="35690.18"/>
    <x v="2"/>
    <x v="0"/>
  </r>
  <r>
    <s v="General Plant, Common"/>
    <s v="Common (E &amp; G)"/>
    <s v="Redmond West/Willow : GPL-WLW"/>
    <n v="7304028"/>
    <s v="C3901 CMN LH, Redmond West/Willow"/>
    <n v="130004981"/>
    <s v="REDMOND WEST EXPANSION"/>
    <s v="REDMOND WEST EXPANSION"/>
    <s v="12/2023"/>
    <n v="0"/>
    <n v="159000"/>
    <n v="132449.83000000002"/>
    <n v="26550.170000000002"/>
    <x v="2"/>
    <x v="0"/>
  </r>
  <r>
    <s v="General Plant, Common"/>
    <s v="Common (E &amp; G)"/>
    <s v="Redmond West/Willow : GPL-WLW"/>
    <n v="12233140"/>
    <s v="C3901 CMN LH, Redmond West/Willow"/>
    <n v="143001041"/>
    <s v="REDMOND WEST 2ND AMENDMENT LEASE - "/>
    <s v="REDMOND WEST 2ND AMENDMENT LEASE - FURNI"/>
    <s v="12/2023"/>
    <n v="0"/>
    <n v="1890.45"/>
    <n v="1492"/>
    <n v="398.45"/>
    <x v="2"/>
    <x v="0"/>
  </r>
  <r>
    <s v="General Plant, Common"/>
    <s v="Common (E &amp; G)"/>
    <s v="Redmond West/Willow : GPL-WLW"/>
    <n v="12233137"/>
    <s v="C3901 CMN LH, Redmond West/Willow"/>
    <n v="143001040"/>
    <s v="REDMOND WEST 2ND AMENDMENT TENANT I"/>
    <s v="REDMOND WEST 2ND AMENDMENT TENANT IMPROV"/>
    <s v="12/2023"/>
    <n v="1"/>
    <n v="299284.33"/>
    <n v="236204.76"/>
    <n v="63079.57"/>
    <x v="2"/>
    <x v="0"/>
  </r>
  <r>
    <s v="General Plant, Common"/>
    <s v="Common (E &amp; G)"/>
    <s v="Redmond West/Willow : GPL-WLW"/>
    <n v="17563693"/>
    <s v="C3901 CMN LH, Redmond West/Willow"/>
    <n v="143001061"/>
    <s v="REDMOND WEST 2ND AMEND TENANT INCEN"/>
    <s v="REDMOND WEST 2ND AMEND TENANT INCENTIVS"/>
    <s v="12/2023"/>
    <n v="0"/>
    <n v="232145"/>
    <n v="173914.43"/>
    <n v="58230.57"/>
    <x v="2"/>
    <x v="0"/>
  </r>
  <r>
    <s v="General Plant, Common"/>
    <s v="Common (E &amp; G)"/>
    <s v="Redmond West/Willow : GPL-WLW"/>
    <n v="20821257"/>
    <s v="C3901 CMN LH, Redmond West/Willow"/>
    <n v="143001543"/>
    <s v="HVAC REPLACEMENT REDMOND WEST NORTH"/>
    <s v="HVAC REPLACEMENT REDMOND WEST NORTH OFFI"/>
    <s v="12/2023"/>
    <n v="0"/>
    <n v="-5589.96"/>
    <n v="-4307.55"/>
    <n v="-1282.4100000000001"/>
    <x v="2"/>
    <x v="0"/>
  </r>
  <r>
    <s v="General Plant, Common"/>
    <s v="Common (E &amp; G)"/>
    <s v="Redmond West/Willow : GPL-WLW"/>
    <n v="25942234"/>
    <s v="C3901 CMN LH, Redmond West/Willow"/>
    <n v="143002151"/>
    <s v="REDMOND WEST TENANT IMPROVEMENTS - "/>
    <s v="REDMOND WEST TENANT IMPROVEMENTS - STR"/>
    <s v="12/2023"/>
    <n v="1"/>
    <n v="46983.15"/>
    <n v="32655.88"/>
    <n v="14327.27"/>
    <x v="2"/>
    <x v="0"/>
  </r>
  <r>
    <s v="General Plant, Common"/>
    <s v="Common (E &amp; G)"/>
    <s v="Redmond West/Willow : GPL-WLW"/>
    <n v="25942239"/>
    <s v="C3901 CMN LH, Redmond West/Willow"/>
    <n v="143002151"/>
    <s v="REDMOND WEST TENANT IMPROVEMENTS - "/>
    <s v="REDMOND WEST TENANT IMPROVEMENTS - STR"/>
    <s v="12/2023"/>
    <n v="1"/>
    <n v="32442.74"/>
    <n v="22549.49"/>
    <n v="9893.25"/>
    <x v="2"/>
    <x v="0"/>
  </r>
  <r>
    <s v="General Plant, Common"/>
    <s v="Common (E &amp; G)"/>
    <s v="Redmond West/Willow : GPL-WLW"/>
    <n v="25942242"/>
    <s v="C3901 CMN LH, Redmond West/Willow"/>
    <n v="143002151"/>
    <s v="REDMOND WEST TENANT IMPROVEMENTS - "/>
    <s v="REDMOND WEST TENANT IMPROVEMENTS - STR"/>
    <s v="12/2023"/>
    <n v="1"/>
    <n v="4622.66"/>
    <n v="3213"/>
    <n v="1409.66"/>
    <x v="2"/>
    <x v="0"/>
  </r>
  <r>
    <s v="General Plant, Common"/>
    <s v="Common (E &amp; G)"/>
    <s v="General Plant, King County outside RTA District, WA : GPL-0000 WA01700000"/>
    <n v="36542534"/>
    <s v="C3911 CMN Office Furn &amp; Eq, new"/>
    <s v="CONV"/>
    <m/>
    <m/>
    <s v="12/2023"/>
    <n v="0"/>
    <n v="197635.35"/>
    <n v="103938.17"/>
    <n v="93697.180000000008"/>
    <x v="3"/>
    <x v="2"/>
  </r>
  <r>
    <s v="General Plant, Common"/>
    <s v="Common (E &amp; G)"/>
    <s v="General Plant, King County outside RTA District, WA : GPL-0000 WA01700000"/>
    <n v="36542543"/>
    <s v="C3911 CMN Office Furn &amp; Eq, new"/>
    <s v="CONV"/>
    <m/>
    <m/>
    <s v="12/2023"/>
    <n v="0"/>
    <n v="19859.88"/>
    <n v="10444.49"/>
    <n v="9415.39"/>
    <x v="3"/>
    <x v="2"/>
  </r>
  <r>
    <s v="General Plant, Common"/>
    <s v="Common (E &amp; G)"/>
    <s v="General Plant, King County outside RTA District, WA : GPL-0000 WA01700000"/>
    <n v="36542552"/>
    <s v="C3911 CMN Office Furn &amp; Eq, new"/>
    <s v="CONV"/>
    <m/>
    <m/>
    <s v="12/2023"/>
    <n v="0"/>
    <n v="8377.43"/>
    <n v="4405.76"/>
    <n v="3971.67"/>
    <x v="3"/>
    <x v="2"/>
  </r>
  <r>
    <s v="General Plant, Common"/>
    <s v="Common (E &amp; G)"/>
    <s v="General Plant, King County outside RTA District, WA : GPL-0000 WA01700000"/>
    <n v="36542563"/>
    <s v="C3911 CMN Office Furn &amp; Eq, new"/>
    <s v="CONV"/>
    <m/>
    <m/>
    <s v="12/2023"/>
    <n v="0"/>
    <n v="2459533.08"/>
    <n v="812369.63"/>
    <n v="1647163.4500000002"/>
    <x v="3"/>
    <x v="2"/>
  </r>
  <r>
    <s v="General Plant, Common"/>
    <s v="Common (E &amp; G)"/>
    <s v="General Plant, King County outside RTA District, WA : GPL-0000 WA01700000"/>
    <n v="36542572"/>
    <s v="C3911 CMN Office Furn &amp; Eq, new"/>
    <s v="CONV"/>
    <m/>
    <m/>
    <s v="12/2023"/>
    <n v="0"/>
    <n v="32160.87"/>
    <n v="10622.550000000001"/>
    <n v="21538.32"/>
    <x v="3"/>
    <x v="2"/>
  </r>
  <r>
    <s v="General Plant, Common"/>
    <s v="Common (E &amp; G)"/>
    <s v="Pse East Ofc Bldg (Leased) 110Th Ave Ne : GPL-PSEE"/>
    <n v="36542581"/>
    <s v="C3911 CMN Office Furn &amp; Eq, new"/>
    <s v="CONV"/>
    <m/>
    <m/>
    <s v="12/2023"/>
    <n v="0"/>
    <n v="27763.32"/>
    <n v="9170.06"/>
    <n v="18593.260000000002"/>
    <x v="3"/>
    <x v="2"/>
  </r>
  <r>
    <s v="General Plant, Common"/>
    <s v="Common (E &amp; G)"/>
    <s v="General Plant, King County outside RTA District, WA : GPL-0000 WA01700000"/>
    <n v="36542590"/>
    <s v="C3911 CMN Office Furn &amp; Eq, new"/>
    <s v="CONV"/>
    <m/>
    <m/>
    <s v="12/2023"/>
    <n v="0"/>
    <n v="1775003.63"/>
    <n v="586273.49"/>
    <n v="1188730.1400000001"/>
    <x v="3"/>
    <x v="2"/>
  </r>
  <r>
    <s v="General Plant, Common"/>
    <s v="Common (E &amp; G)"/>
    <s v="Pse Ofc Bldg (Leased) Ne 4Th Street : GPL-PSE"/>
    <n v="36543734"/>
    <s v="C3911 CMN Office Furn &amp; Eq, new"/>
    <s v="CONV"/>
    <m/>
    <m/>
    <s v="12/2023"/>
    <n v="1"/>
    <n v="25559.95"/>
    <n v="8442.2999999999993"/>
    <n v="17117.650000000001"/>
    <x v="3"/>
    <x v="2"/>
  </r>
  <r>
    <s v="General Plant, Common"/>
    <s v="Common (E &amp; G)"/>
    <s v="General Plant, King County outside RTA District, WA : GPL-0000 WA01700000"/>
    <n v="36543743"/>
    <s v="C3911 CMN Office Furn &amp; Eq, new"/>
    <s v="CONV"/>
    <m/>
    <m/>
    <s v="12/2023"/>
    <n v="0"/>
    <n v="328920.69"/>
    <n v="88233.2"/>
    <n v="240687.49"/>
    <x v="3"/>
    <x v="2"/>
  </r>
  <r>
    <s v="General Plant, Common"/>
    <s v="Common (E &amp; G)"/>
    <s v="General Plant, King County outside RTA District, WA : GPL-0000 WA01700000"/>
    <n v="36543754"/>
    <s v="C3911 CMN Office Furn &amp; Eq, new"/>
    <s v="CONV"/>
    <m/>
    <m/>
    <s v="12/2023"/>
    <n v="0"/>
    <n v="19154.02"/>
    <n v="5138.08"/>
    <n v="14015.94"/>
    <x v="3"/>
    <x v="2"/>
  </r>
  <r>
    <s v="General Plant, Common"/>
    <s v="Common (E &amp; G)"/>
    <s v="East Side Telecommunication Office : GPL-ESO"/>
    <n v="36543763"/>
    <s v="C3911 CMN Office Furn &amp; Eq, new"/>
    <s v="CONV"/>
    <m/>
    <m/>
    <s v="12/2023"/>
    <n v="1"/>
    <n v="34605.93"/>
    <n v="9283.06"/>
    <n v="25322.87"/>
    <x v="3"/>
    <x v="2"/>
  </r>
  <r>
    <s v="General Plant, Common"/>
    <s v="Common (E &amp; G)"/>
    <s v="East Side Telecommunication Office : GPL-ESO"/>
    <n v="36541060"/>
    <s v="C3911 CMN Office Furn &amp; Eq, new"/>
    <n v="130002961"/>
    <s v="XEROX 6030"/>
    <s v="XEROX 6030"/>
    <s v="12/2023"/>
    <n v="0"/>
    <n v="51268.07"/>
    <n v="12067.94"/>
    <n v="39200.129999999997"/>
    <x v="3"/>
    <x v="2"/>
  </r>
  <r>
    <s v="General Plant, Common"/>
    <s v="Common (E &amp; G)"/>
    <s v="General Plant, King County outside RTA District, WA : GPL-0000 WA01700000"/>
    <n v="36543772"/>
    <s v="C3911 CMN Office Furn &amp; Eq, new"/>
    <s v="CONV"/>
    <m/>
    <m/>
    <s v="12/2023"/>
    <n v="0"/>
    <n v="11305.67"/>
    <n v="2661.23"/>
    <n v="8644.44"/>
    <x v="3"/>
    <x v="2"/>
  </r>
  <r>
    <s v="General Plant, Common"/>
    <s v="Common (E &amp; G)"/>
    <s v="General Plant, King County outside RTA District, WA : GPL-0000 WA01700000"/>
    <n v="36543781"/>
    <s v="C3911 CMN Office Furn &amp; Eq, new"/>
    <s v="CONV"/>
    <m/>
    <m/>
    <s v="12/2023"/>
    <n v="1"/>
    <n v="51922.39"/>
    <n v="12221.960000000001"/>
    <n v="39700.43"/>
    <x v="3"/>
    <x v="2"/>
  </r>
  <r>
    <s v="General Plant, Common"/>
    <s v="Common (E &amp; G)"/>
    <s v="Freeland Business Ofc(Leased) : GPL-FREE"/>
    <n v="5256430"/>
    <s v="C3911 CMN Office Furn &amp; Eq, new"/>
    <n v="130003801"/>
    <s v="FREELAND OFFICE - FURNITURE"/>
    <s v="FREELAND OFFICE - FURNITURE"/>
    <s v="12/2023"/>
    <n v="0"/>
    <n v="66652.430000000008"/>
    <n v="14254.26"/>
    <n v="52398.17"/>
    <x v="3"/>
    <x v="2"/>
  </r>
  <r>
    <s v="General Plant, Common"/>
    <s v="Common (E &amp; G)"/>
    <s v="Olympia Bus Ofc/Engr Building : GPL-OYM"/>
    <n v="7040293"/>
    <s v="C3911 CMN Office Furn &amp; Eq, new"/>
    <n v="130003941"/>
    <s v="PRINTER FOR SUBSTATION DEP(HP 1100)"/>
    <s v="PRINTER FOR SUBSTATION DEP(HP 1100)"/>
    <s v="12/2023"/>
    <n v="1"/>
    <n v="4448.59"/>
    <n v="951.37"/>
    <n v="3497.2200000000003"/>
    <x v="3"/>
    <x v="2"/>
  </r>
  <r>
    <s v="General Plant, Common"/>
    <s v="Common (E &amp; G)"/>
    <s v="General Plant, King County outside RTA District, WA : GPL-0000 WA01700000"/>
    <n v="9414158"/>
    <s v="C3911 CMN Office Furn &amp; Eq, new"/>
    <n v="130003067"/>
    <s v="FAX INSTALLATIONS"/>
    <s v="FAX INSTALLATIONS"/>
    <s v="12/2023"/>
    <n v="0"/>
    <n v="9121.9500000000007"/>
    <n v="1806.14"/>
    <n v="7315.81"/>
    <x v="3"/>
    <x v="2"/>
  </r>
  <r>
    <s v="General Plant, Common"/>
    <s v="Common (E &amp; G)"/>
    <s v="Redmond West/Willow : GPL-WLW"/>
    <n v="36541499"/>
    <s v="C3911 CMN Office Furn &amp; Eq, new"/>
    <n v="130003340"/>
    <s v="REDMOND WEST/ WILLOW - FURNITURE"/>
    <s v="REDMOND WEST/ WILLOW - FURNITURE"/>
    <s v="12/2023"/>
    <n v="0"/>
    <n v="178381.19"/>
    <n v="38148.520000000004"/>
    <n v="140232.67000000001"/>
    <x v="3"/>
    <x v="2"/>
  </r>
  <r>
    <s v="General Plant, Common"/>
    <s v="Common (E &amp; G)"/>
    <s v="General Plant, King County outside RTA District, WA : GPL-0000 WA01700000"/>
    <n v="36541519"/>
    <s v="C3911 CMN Office Furn &amp; Eq, new"/>
    <n v="130003721"/>
    <s v="PRINTER FOR ENG. DEP - PSE EST 4S"/>
    <s v="PRINTER FOR ENG. DEP - PSE EST 4S"/>
    <s v="12/2023"/>
    <n v="1"/>
    <n v="47348.86"/>
    <n v="10126.01"/>
    <n v="37222.85"/>
    <x v="3"/>
    <x v="2"/>
  </r>
  <r>
    <s v="General Plant, Common"/>
    <s v="Common (E &amp; G)"/>
    <s v="Bothell Business Office (leased): GPL-BOT"/>
    <n v="36542230"/>
    <s v="C3911 CMN Office Furn &amp; Eq, new"/>
    <n v="131201861"/>
    <s v="FURNITURE - BOTHELL ACCESS CENTER"/>
    <s v="FURNITURE - BOTHELL ACCESS CENTER"/>
    <s v="12/2023"/>
    <n v="2"/>
    <n v="443205.15"/>
    <n v="104325.66"/>
    <n v="338879.49"/>
    <x v="3"/>
    <x v="2"/>
  </r>
  <r>
    <s v="General Plant, Common"/>
    <s v="Common (E &amp; G)"/>
    <s v="Fleet Service Facility : GPL-VFL"/>
    <n v="5633552"/>
    <s v="C3911 CMN Office Furn &amp; Eq, new"/>
    <n v="130004002"/>
    <s v="PRINTER FOR CONTRACT MNG KENT OFFIC"/>
    <s v="PRINTER FOR CONTRACT MNG KENT OFFICE"/>
    <s v="12/2023"/>
    <n v="0"/>
    <n v="5563.95"/>
    <n v="1189.9000000000001"/>
    <n v="4374.05"/>
    <x v="3"/>
    <x v="1"/>
  </r>
  <r>
    <s v="General Plant, Common"/>
    <s v="Common (E &amp; G)"/>
    <s v="Pse Ofc Bldg (Leased) Ne 4Th Street : GPL-PSE"/>
    <n v="5891703"/>
    <s v="C3911 CMN Office Furn &amp; Eq, new"/>
    <n v="130004081"/>
    <s v="PSE 4TH FLOOR TI FURNITURE"/>
    <s v="PSE 4TH FLOOR TI FURNITURE"/>
    <s v="12/2023"/>
    <n v="1"/>
    <n v="692695.36"/>
    <n v="137153.13"/>
    <n v="555542.23"/>
    <x v="3"/>
    <x v="2"/>
  </r>
  <r>
    <s v="General Plant, Common"/>
    <s v="Common (E &amp; G)"/>
    <s v="Pse East Ofc Bldg (Leased) 110Th Ave Ne : GPL-PSEE"/>
    <n v="5932822"/>
    <s v="C3911 CMN Office Furn &amp; Eq, new"/>
    <n v="130003281"/>
    <s v="PSE EAST AUDITORIUM ADD'L EQUIP"/>
    <s v="PSE EAST AUDITORIUM ADD'L EQUIP"/>
    <s v="12/2023"/>
    <n v="0"/>
    <n v="200749.2"/>
    <n v="39748.18"/>
    <n v="161001.01999999999"/>
    <x v="3"/>
    <x v="2"/>
  </r>
  <r>
    <s v="General Plant, Common"/>
    <s v="Common (E &amp; G)"/>
    <s v="Factoria Svc Cntr : GPL-VFA"/>
    <n v="7054843"/>
    <s v="C3911 CMN Office Furn &amp; Eq, new"/>
    <n v="130004721"/>
    <s v="FACTORIA OFFICE - FURNITURE"/>
    <s v="FACTORIA OFFICE - FURNITURE"/>
    <s v="12/2023"/>
    <n v="1"/>
    <n v="824882.15"/>
    <n v="163326.01"/>
    <n v="661556.14"/>
    <x v="3"/>
    <x v="1"/>
  </r>
  <r>
    <s v="General Plant, Common"/>
    <s v="Common (E &amp; G)"/>
    <s v="Redmond West/Willow : GPL-WLW"/>
    <n v="7168717"/>
    <s v="C3911 CMN Office Furn &amp; Eq, new"/>
    <n v="130004801"/>
    <s v="FURNITURE - REDMOND WEST ADDIT. SPA"/>
    <s v="FURNITURE - REDMOND WEST ADDIT. SPACE"/>
    <s v="12/2023"/>
    <n v="0"/>
    <n v="289953.52"/>
    <n v="57410.57"/>
    <n v="232542.95"/>
    <x v="3"/>
    <x v="2"/>
  </r>
  <r>
    <s v="General Plant, Common"/>
    <s v="Common (E &amp; G)"/>
    <s v="General Plant, King County outside RTA District, WA : GPL-0000 WA01700000"/>
    <n v="9414159"/>
    <s v="C3911 CMN Office Furn &amp; Eq, new"/>
    <n v="130003062"/>
    <s v="OFFICE FURNITURE_ &lt; $20K"/>
    <s v="OFFICE FURNITURE_ &lt; $20K"/>
    <s v="12/2023"/>
    <n v="0"/>
    <n v="535670.84"/>
    <n v="106062.40000000001"/>
    <n v="429608.44"/>
    <x v="3"/>
    <x v="2"/>
  </r>
  <r>
    <s v="General Plant, Common"/>
    <s v="Common (E &amp; G)"/>
    <s v="S King Svc Complex (PSE) : GPL-SOK"/>
    <n v="27792517"/>
    <s v="C3911 CMN Office Furn &amp; Eq, new"/>
    <n v="130003802"/>
    <s v="SOUTH KING COMPLEX - FRUNITURE"/>
    <s v="SOUTH KING COMPLEX - FRUNITURE"/>
    <s v="12/2023"/>
    <n v="0"/>
    <n v="199083.72"/>
    <n v="39418.42"/>
    <n v="159665.30000000002"/>
    <x v="3"/>
    <x v="1"/>
  </r>
  <r>
    <s v="General Plant, Common"/>
    <s v="Common (E &amp; G)"/>
    <s v="Pse East Ofc Bldg (Leased) 110Th Ave Ne : GPL-PSEE"/>
    <n v="7601096"/>
    <s v="C3911 CMN Office Furn &amp; Eq, new"/>
    <n v="130005361"/>
    <s v="H T1200 PS JET PLOTTER PRINTER"/>
    <s v="H T1200 PS JET PLOTTER PRINTER"/>
    <s v="12/2023"/>
    <n v="0"/>
    <n v="7625.53"/>
    <n v="1413.7"/>
    <n v="6211.83"/>
    <x v="3"/>
    <x v="2"/>
  </r>
  <r>
    <s v="General Plant, Common"/>
    <s v="Common (E &amp; G)"/>
    <s v="SeaTac Business Office &amp; Warehouse (Leased) : GPL-STOW"/>
    <n v="8192791"/>
    <s v="C3911 CMN Office Furn &amp; Eq, new"/>
    <n v="130005401"/>
    <s v="FURNITURE - SEATAC OFFICE/WAREHOUSE"/>
    <s v="FURNITURE - SEATAC OFFICE/WAREHOUSE"/>
    <s v="12/2023"/>
    <n v="0"/>
    <n v="27867.83"/>
    <n v="5166.42"/>
    <n v="22701.41"/>
    <x v="3"/>
    <x v="2"/>
  </r>
  <r>
    <s v="General Plant, Common"/>
    <s v="Common (E &amp; G)"/>
    <s v="Lake Tapps Co Camp : GPL-LTP"/>
    <n v="8361531"/>
    <s v="C3911 CMN Office Furn &amp; Eq, new"/>
    <n v="130005661"/>
    <s v="Lake Tapp Cabin Furniture"/>
    <s v="Lake Tapp Cabin Furniture"/>
    <s v="12/2023"/>
    <n v="0"/>
    <n v="8951.8000000000011"/>
    <n v="1659.58"/>
    <n v="7292.22"/>
    <x v="3"/>
    <x v="2"/>
  </r>
  <r>
    <s v="General Plant, Common"/>
    <s v="Common (E &amp; G)"/>
    <s v="PwrSysBldg : GPL-EAS"/>
    <n v="8943669"/>
    <s v="C3911 CMN Office Furn &amp; Eq, new"/>
    <n v="130003861"/>
    <s v="ESO RENOVATION PROJECT - FURNITURE"/>
    <s v="ESO RENOVATION PROJECT - FURNITURE"/>
    <s v="12/2023"/>
    <n v="1"/>
    <n v="1152331.5"/>
    <n v="213630.88"/>
    <n v="938700.62"/>
    <x v="3"/>
    <x v="2"/>
  </r>
  <r>
    <s v="General Plant, Common"/>
    <s v="Common (E &amp; G)"/>
    <s v="General Plant, King County outside RTA District, WA : GPL-0000 WA01700000"/>
    <n v="9414160"/>
    <s v="C3911 CMN Office Furn &amp; Eq, new"/>
    <n v="130004505"/>
    <s v="2009 FAX NSTALLATIONS"/>
    <s v="2009 FAX NSTALLATIONS"/>
    <s v="12/2023"/>
    <n v="0"/>
    <n v="380994.25"/>
    <n v="70632.570000000007"/>
    <n v="310361.68"/>
    <x v="3"/>
    <x v="2"/>
  </r>
  <r>
    <s v="General Plant, Common"/>
    <s v="Common (E &amp; G)"/>
    <s v="Bothell Business Office (leased): GPL-BOT"/>
    <n v="9292533"/>
    <s v="C3911 CMN Office Furn &amp; Eq, new"/>
    <n v="130006005"/>
    <s v="FURNITURE-BOTHELL DATA CENTER BLDG "/>
    <s v="FURNITURE-BOTHELL DATA CENTER BLDG H"/>
    <s v="12/2023"/>
    <n v="0"/>
    <n v="199322.80000000002"/>
    <n v="34840.35"/>
    <n v="164482.45000000001"/>
    <x v="3"/>
    <x v="2"/>
  </r>
  <r>
    <s v="General Plant, Common"/>
    <s v="Common (E &amp; G)"/>
    <s v="East Side Telecommunication Office : GPL-ESO"/>
    <n v="9418858"/>
    <s v="C3911 CMN Office Furn &amp; Eq, new"/>
    <n v="130005541"/>
    <s v="ESO Phase 2 -2nd Floor Expansion Fu"/>
    <s v="ESO Phase 2 -2nd Floor Expansion Furnitu"/>
    <s v="12/2023"/>
    <n v="0"/>
    <n v="195740.03"/>
    <n v="34214.1"/>
    <n v="161525.93"/>
    <x v="3"/>
    <x v="2"/>
  </r>
  <r>
    <s v="General Plant, Common"/>
    <s v="Common (E &amp; G)"/>
    <s v="Factoria Svc Cntr : GPL-VFA"/>
    <n v="9722066"/>
    <s v="C3911 CMN Office Furn &amp; Eq, new"/>
    <n v="130006141"/>
    <s v="HP T2300ps Emfp 44"/>
    <s v="HP T2300ps Emfp 44&quot;"/>
    <s v="12/2023"/>
    <n v="1"/>
    <n v="8293.52"/>
    <n v="1449.65"/>
    <n v="6843.87"/>
    <x v="3"/>
    <x v="1"/>
  </r>
  <r>
    <s v="General Plant, Common"/>
    <s v="Common (E &amp; G)"/>
    <s v="General Plant, King County outside RTA District, WA : GPL-0000 WA01700000"/>
    <n v="10232608"/>
    <s v="C3911 CMN Office Furn &amp; Eq, new"/>
    <n v="130005235"/>
    <s v="2010 OFFICE FURNITURE_ &lt; $20K"/>
    <s v="2010 OFFICE FURNITURE_ &lt; $20K"/>
    <s v="12/2023"/>
    <n v="0"/>
    <n v="213633.64"/>
    <n v="37341.79"/>
    <n v="176291.85"/>
    <x v="3"/>
    <x v="2"/>
  </r>
  <r>
    <s v="General Plant, Common"/>
    <s v="Common (E &amp; G)"/>
    <s v="General Plant, King County Unincorporated within RTA District, WA : GPL-0000 WA11700990"/>
    <n v="10238342"/>
    <s v="C3911 CMN Office Furn &amp; Eq, new"/>
    <n v="130005227"/>
    <s v="2010 FAX INSTALLATIONS"/>
    <s v="2010 FAX INSTALLATIONS"/>
    <s v="12/2023"/>
    <n v="2"/>
    <n v="292824.03000000003"/>
    <n v="51183.76"/>
    <n v="241640.27000000002"/>
    <x v="3"/>
    <x v="2"/>
  </r>
  <r>
    <s v="General Plant, Common"/>
    <s v="Common (E &amp; G)"/>
    <s v="Pse East Ofc Bldg (Leased) 110Th Ave Ne : GPL-PSEE"/>
    <n v="10335885"/>
    <s v="C3911 CMN Office Furn &amp; Eq, new"/>
    <n v="130006382"/>
    <s v="Plotter for Project Management"/>
    <s v="Plotter for Project Management"/>
    <s v="12/2023"/>
    <n v="1"/>
    <n v="11101.53"/>
    <n v="1940.48"/>
    <n v="9161.0500000000011"/>
    <x v="3"/>
    <x v="2"/>
  </r>
  <r>
    <s v="General Plant, Common"/>
    <s v="Common (E &amp; G)"/>
    <s v="Pse Ofc Bldg (Leased) Ne 4Th Street : GPL-PSE"/>
    <n v="10529637"/>
    <s v="C3911 CMN Office Furn &amp; Eq, new"/>
    <n v="130006403"/>
    <s v="Plotter-Scanner Unit -PSE"/>
    <s v="Plotter-Scanner Unit -PSE"/>
    <s v="12/2023"/>
    <n v="1"/>
    <n v="8614.35"/>
    <n v="1505.73"/>
    <n v="7108.62"/>
    <x v="3"/>
    <x v="2"/>
  </r>
  <r>
    <s v="General Plant, Common"/>
    <s v="Common (E &amp; G)"/>
    <s v="General Plant, King County Unincorporated within RTA District, WA : GPL-0000 WA11700990"/>
    <n v="10814781"/>
    <s v="C3911 CMN Office Furn &amp; Eq, new"/>
    <n v="130005919"/>
    <s v="STANDING ORDER FAX INSTALLATIONS"/>
    <s v="STANDING ORDER FAX INSTALLATIONS"/>
    <s v="12/2023"/>
    <n v="1"/>
    <n v="2689.26"/>
    <n v="470.07"/>
    <n v="2219.19"/>
    <x v="3"/>
    <x v="2"/>
  </r>
  <r>
    <s v="General Plant, Common"/>
    <s v="Common (E &amp; G)"/>
    <s v="Redmond West/Willow : GPL-WLW"/>
    <n v="13327236"/>
    <s v="C3911 CMN Office Furn &amp; Eq, new"/>
    <n v="143001041"/>
    <s v="REDMOND WEST 2ND AMENDMENT LEASE - "/>
    <s v="REDMOND WEST 2ND AMENDMENT LEASE - FURNI"/>
    <s v="12/2023"/>
    <n v="1"/>
    <n v="359602.91000000003"/>
    <n v="59508.75"/>
    <n v="300094.16000000003"/>
    <x v="3"/>
    <x v="2"/>
  </r>
  <r>
    <s v="General Plant, Common"/>
    <s v="Common (E &amp; G)"/>
    <s v="Pse East Ofc Bldg (Leased) 110Th Ave Ne : GPL-PSEE"/>
    <n v="18037358"/>
    <s v="C3911 CMN Office Furn &amp; Eq, new"/>
    <n v="141002414"/>
    <s v="M&amp;R PURCHASE OF NEW PROJECTOR"/>
    <s v="M&amp;R PURCHASE OF NEW PROJECTOR"/>
    <s v="12/2023"/>
    <n v="2"/>
    <n v="7960.76"/>
    <n v="1185.74"/>
    <n v="6775.02"/>
    <x v="3"/>
    <x v="2"/>
  </r>
  <r>
    <s v="General Plant, Common"/>
    <s v="Common (E &amp; G)"/>
    <s v="Skagit Service Ctr : GPL-SKA"/>
    <n v="18037361"/>
    <s v="C3911 CMN Office Furn &amp; Eq, new"/>
    <n v="143001781"/>
    <s v="REAL ESTATE - 2 FUJITSU SCANNERS - "/>
    <s v="REAL ESTATE - 2 FUJITSU SCANNERS - HW"/>
    <s v="12/2023"/>
    <n v="1"/>
    <n v="7129.14"/>
    <n v="1061.8700000000001"/>
    <n v="6067.27"/>
    <x v="3"/>
    <x v="1"/>
  </r>
  <r>
    <s v="General Plant, Common"/>
    <s v="Common (E &amp; G)"/>
    <s v="Pse East Ofc Bldg (Leased) 110Th Ave Ne : GPL-PSEE"/>
    <n v="18161177"/>
    <s v="C3911 CMN Office Furn &amp; Eq, new"/>
    <n v="143001623"/>
    <s v="MAPS AND RECORDS CONTEX IQ SCANNER "/>
    <s v="MAPS AND RECORDS CONTEX IQ SCANNER (HW)"/>
    <s v="12/2023"/>
    <n v="1"/>
    <n v="10932.98"/>
    <n v="1716.33"/>
    <n v="9216.65"/>
    <x v="3"/>
    <x v="2"/>
  </r>
  <r>
    <s v="General Plant, Common"/>
    <s v="Common (E &amp; G)"/>
    <s v="General Plant, King County outside RTA District, WA : GPL-0000 WA01700000"/>
    <n v="19964046"/>
    <s v="C3911 CMN Office Furn &amp; Eq, new"/>
    <n v="143000603"/>
    <s v="2012 - 2016 - STANDING STOCK OFFICE"/>
    <s v="2012 - 2016 - STANDING STOCK OFFICE FURN"/>
    <s v="12/2023"/>
    <n v="1"/>
    <n v="1442967.46"/>
    <n v="214926.66"/>
    <n v="1228040.8"/>
    <x v="3"/>
    <x v="2"/>
  </r>
  <r>
    <s v="General Plant, Common"/>
    <s v="Common (E &amp; G)"/>
    <s v="Pse Ofc Bldg (Leased) Ne 4Th Street : GPL-PSE"/>
    <n v="20287436"/>
    <s v="C3911 CMN Office Furn &amp; Eq, new"/>
    <n v="143001932"/>
    <s v="HIGH SPEED SCANNER FOR TRAINING DEP"/>
    <s v="HIGH SPEED SCANNER FOR TRAINING DEPARTME"/>
    <s v="12/2023"/>
    <n v="1"/>
    <n v="4834.42"/>
    <n v="720.08"/>
    <n v="4114.34"/>
    <x v="3"/>
    <x v="2"/>
  </r>
  <r>
    <s v="General Plant, Common"/>
    <s v="Common (E &amp; G)"/>
    <s v="Kittitas Svc Cntr : GPL-VKT"/>
    <n v="21574921"/>
    <s v="C3911 CMN Office Furn &amp; Eq, new"/>
    <n v="141002042"/>
    <s v="KITTITAS SVC CTNR T2300 PRINTER PUR"/>
    <s v="KITTITAS SVC CTNR T2300 PRINTER PURCHASE"/>
    <s v="12/2023"/>
    <n v="1"/>
    <n v="8959.59"/>
    <n v="1406.54"/>
    <n v="7553.05"/>
    <x v="3"/>
    <x v="1"/>
  </r>
  <r>
    <s v="General Plant, Common"/>
    <s v="Common (E &amp; G)"/>
    <s v="Tacoma Office/Shop : GPL-TAC"/>
    <n v="21574934"/>
    <s v="C3911 CMN Office Furn &amp; Eq, new"/>
    <n v="141002161"/>
    <s v="TACOMA OFFICE T2300 PRINTER PURCHAS"/>
    <s v="TACOMA OFFICE T2300 PRINTER PURCHASE"/>
    <s v="12/2023"/>
    <n v="1"/>
    <n v="10114.69"/>
    <n v="1587.8700000000001"/>
    <n v="8526.82"/>
    <x v="3"/>
    <x v="2"/>
  </r>
  <r>
    <s v="General Plant, Common"/>
    <s v="Common (E &amp; G)"/>
    <s v="Pse East Ofc Bldg (Leased) 110Th Ave Ne : GPL-PSEE"/>
    <n v="21376253"/>
    <s v="C3911 CMN Office Furn &amp; Eq, new"/>
    <n v="141002813"/>
    <s v="PROJECTOR FOR BUDGETING DEPARTMENT"/>
    <s v="PROJECTOR FOR BUDGETING DEPARTMENT"/>
    <s v="12/2023"/>
    <n v="0"/>
    <n v="21551.87"/>
    <n v="3040.32"/>
    <n v="18511.55"/>
    <x v="3"/>
    <x v="2"/>
  </r>
  <r>
    <s v="General Plant, Common"/>
    <s v="Common (E &amp; G)"/>
    <s v="Factoria Svc Cntr : GPL-VFA"/>
    <n v="22930129"/>
    <s v="C3911 CMN Office Furn &amp; Eq, new"/>
    <n v="143002131"/>
    <s v="NEW PRINTER FOR C&amp;SP, SEIKO LP2050M"/>
    <s v="NEW PRINTER FOR C&amp;SP, SEIKO LP2050MFP LA"/>
    <s v="12/2023"/>
    <n v="0"/>
    <n v="27062.77"/>
    <n v="3817.7400000000002"/>
    <n v="23245.03"/>
    <x v="3"/>
    <x v="1"/>
  </r>
  <r>
    <s v="General Plant, Common"/>
    <s v="Common (E &amp; G)"/>
    <s v="Olympia Bus Ofc/Engr Building : GPL-OYM"/>
    <n v="22930134"/>
    <s v="C3911 CMN Office Furn &amp; Eq, new"/>
    <n v="143002132"/>
    <s v="NEW PRINTER FOR C&amp;SP, SEIKO LP2050M"/>
    <s v="NEW PRINTER FOR C&amp;SP, SEIKO LP2050MFP LA"/>
    <s v="12/2023"/>
    <n v="0"/>
    <n v="26889.77"/>
    <n v="3793.34"/>
    <n v="23096.43"/>
    <x v="3"/>
    <x v="2"/>
  </r>
  <r>
    <s v="General Plant, Common"/>
    <s v="Common (E &amp; G)"/>
    <s v="Lincoln Executive Center I - Bellevue : GPL-LEC"/>
    <n v="23668119"/>
    <s v="C3911 CMN Office Furn &amp; Eq, new"/>
    <n v="143002060"/>
    <s v="PLOTTER - SEIKO LP2050MFP"/>
    <s v="PLOTTER - SEIKO LP2050MFP"/>
    <s v="12/2023"/>
    <n v="0"/>
    <n v="25489.41"/>
    <n v="3595.79"/>
    <n v="21893.62"/>
    <x v="3"/>
    <x v="2"/>
  </r>
  <r>
    <s v="General Plant, Common"/>
    <s v="Common (E &amp; G)"/>
    <s v="General Plant, King County outside RTA District, WA : GPL-0000 WA01700000"/>
    <n v="23721649"/>
    <s v="C3911 CMN Office Furn &amp; Eq, new"/>
    <n v="143000642"/>
    <s v="2012-2017 - STANDING - OFFICE EQUIP"/>
    <s v="2012-2017 - STANDING - OFFICE EQUIPMENT"/>
    <s v="12/2023"/>
    <n v="0"/>
    <n v="13284.87"/>
    <n v="1874.1000000000001"/>
    <n v="11410.77"/>
    <x v="3"/>
    <x v="2"/>
  </r>
  <r>
    <s v="General Plant, Common"/>
    <s v="Common (E &amp; G)"/>
    <s v="East Side Telecommunication Office : GPL-ESO"/>
    <n v="26624005"/>
    <s v="C3911 CMN Office Furn &amp; Eq, new"/>
    <n v="142000742"/>
    <s v="ESO GAS CONTROL HD DISPLAY SCREENS"/>
    <s v="ESO GAS CONTROL HD DISPLAY SCREENS"/>
    <s v="12/2023"/>
    <n v="0"/>
    <n v="17000.260000000002"/>
    <n v="2398.23"/>
    <n v="14602.03"/>
    <x v="3"/>
    <x v="2"/>
  </r>
  <r>
    <s v="General Plant, Common"/>
    <s v="Common (E &amp; G)"/>
    <s v="Bothell Business Office (leased): GPL-BOT"/>
    <n v="26624016"/>
    <s v="C3911 CMN Office Furn &amp; Eq, new"/>
    <n v="142000780"/>
    <s v="NEW PRINTERS FOR C&amp;SP FOR BOTHELL O"/>
    <s v="NEW PRINTERS FOR C&amp;SP FOR BOTHELL OFFICE"/>
    <s v="12/2023"/>
    <n v="2"/>
    <n v="23226.9"/>
    <n v="3276.62"/>
    <n v="19950.28"/>
    <x v="3"/>
    <x v="2"/>
  </r>
  <r>
    <s v="General Plant, Common"/>
    <s v="Common (E &amp; G)"/>
    <s v="S King Svc Complex (PSE) : GPL-SOK"/>
    <n v="27792566"/>
    <s v="C3911 CMN Office Furn &amp; Eq, new"/>
    <n v="143002133"/>
    <s v="NEW PRINTERS FOR C&amp;SP, SEIKO LP2050"/>
    <s v="NEW PRINTERS FOR C&amp;SP, SEIKO LP2050MFP L"/>
    <s v="12/2023"/>
    <n v="0"/>
    <n v="54125.520000000004"/>
    <n v="7635.4800000000005"/>
    <n v="46490.04"/>
    <x v="3"/>
    <x v="1"/>
  </r>
  <r>
    <s v="General Plant, Common"/>
    <s v="Common (E &amp; G)"/>
    <s v="Pse East Ofc Bldg (Leased) 110Th Ave Ne : GPL-PSEE"/>
    <n v="25389308"/>
    <s v="C3911 CMN Office Furn &amp; Eq, new"/>
    <n v="143002020"/>
    <s v="HIGH SPEED LED PRINTER FOR MAPS AND"/>
    <s v="HIGH SPEED LED PRINTER FOR MAPS AND RECO"/>
    <s v="12/2023"/>
    <n v="1"/>
    <n v="16405.260000000002"/>
    <n v="2182.98"/>
    <n v="14222.28"/>
    <x v="3"/>
    <x v="2"/>
  </r>
  <r>
    <s v="General Plant, Common"/>
    <s v="Common (E &amp; G)"/>
    <s v="General Plant, Bellevue, WA : GPL-0000 WA11700040"/>
    <n v="26234333"/>
    <s v="C3911 CMN Office Furn &amp; Eq, new"/>
    <n v="143000603"/>
    <s v="2012 - 2016 - STANDING STOCK OFFICE"/>
    <s v="2012 - 2016 - STANDING STOCK OFFICE FURN"/>
    <s v="12/2023"/>
    <n v="0"/>
    <n v="640503.34"/>
    <n v="85228.97"/>
    <n v="555274.37"/>
    <x v="3"/>
    <x v="2"/>
  </r>
  <r>
    <s v="General Plant, Common"/>
    <s v="Common (E &amp; G)"/>
    <s v="General Plant, Bellevue, WA : GPL-0000 WA11700040"/>
    <n v="27568824"/>
    <s v="C3911 CMN Office Furn &amp; Eq, new"/>
    <n v="143002189"/>
    <s v="CAMERA/LENS EQUIPMENT - OFE"/>
    <s v="CAMERA/LENS EQUIPMENT - OFE"/>
    <s v="12/2023"/>
    <n v="1"/>
    <n v="1466.19"/>
    <n v="195.1"/>
    <n v="1271.0899999999999"/>
    <x v="3"/>
    <x v="2"/>
  </r>
  <r>
    <s v="General Plant, Common"/>
    <s v="Common (E &amp; G)"/>
    <s v="East Side Telecommunication Office : GPL-ESO"/>
    <n v="28676575"/>
    <s v="C3911 CMN Office Furn &amp; Eq, new"/>
    <n v="143002051"/>
    <s v="SECURITY OPERATIONS CENTER EQUIPMEN"/>
    <s v="SECURITY OPERATIONS CENTER EQUIPMENT"/>
    <s v="12/2023"/>
    <n v="1"/>
    <n v="1497449.1099999999"/>
    <n v="199258.99"/>
    <n v="1298190.1200000001"/>
    <x v="3"/>
    <x v="2"/>
  </r>
  <r>
    <s v="General Plant, Common"/>
    <s v="Common (E &amp; G)"/>
    <s v="S King Svc Complex (PSE) : GPL-SOK"/>
    <n v="31152288"/>
    <s v="C3911 CMN Office Furn &amp; Eq, new"/>
    <n v="143002560"/>
    <s v="PAGEWIDE COLOR PLOTTER 2016        "/>
    <s v="PAGEWIDE COLOR PLOTTER 2016"/>
    <s v="12/2023"/>
    <n v="1"/>
    <n v="38011.94"/>
    <n v="4736.91"/>
    <n v="33275.03"/>
    <x v="3"/>
    <x v="1"/>
  </r>
  <r>
    <s v="General Plant, Common"/>
    <s v="Common (E &amp; G)"/>
    <s v="Pse East Ofc Bldg (Leased) 110Th Ave Ne : GPL-PSEE"/>
    <n v="31152308"/>
    <s v="C3911 CMN Office Furn &amp; Eq, new"/>
    <n v="143002698"/>
    <s v="FACILITY WORKPLACE MOBILITY PROOF O"/>
    <s v="FACILITY WORKPLACE MOBILITY PROOF OF CON"/>
    <s v="12/2023"/>
    <n v="1"/>
    <n v="50932.93"/>
    <n v="6347.08"/>
    <n v="44585.85"/>
    <x v="3"/>
    <x v="2"/>
  </r>
  <r>
    <s v="General Plant, Common"/>
    <s v="Common (E &amp; G)"/>
    <s v="Snoqualmie Technology Center: GPL-STC"/>
    <n v="32788896"/>
    <s v="C3911 CMN Office Furn &amp; Eq, new"/>
    <n v="143003066"/>
    <s v="SNOQUALMIE TECHNOLOGY CENTER- OFE"/>
    <s v="SNOQUALMIE TECHNOLOGY CENTER- OFE"/>
    <s v="12/2023"/>
    <n v="1"/>
    <n v="794766.78"/>
    <n v="99041.010000000009"/>
    <n v="695725.77"/>
    <x v="3"/>
    <x v="2"/>
  </r>
  <r>
    <s v="General Plant, Common"/>
    <s v="Common (E &amp; G)"/>
    <s v="General Plant, Bellevue, WA : GPL-0000 WA11700040"/>
    <n v="33169045"/>
    <s v="C3911 CMN Office Furn &amp; Eq, new"/>
    <n v="143002864"/>
    <s v="2017 - STANDING STOCK OFFICE FURNIT"/>
    <s v="2017 - STANDING STOCK OFFICE FURNITURE &amp;"/>
    <s v="12/2023"/>
    <n v="0"/>
    <n v="947802.26"/>
    <n v="118111.75"/>
    <n v="829690.51"/>
    <x v="3"/>
    <x v="2"/>
  </r>
  <r>
    <s v="General Plant, Common"/>
    <s v="Common (E &amp; G)"/>
    <s v="Pse Ofc Bldg (Leased) Ne 4Th Street : GPL-PSE"/>
    <n v="33310989"/>
    <s v="C3911 CMN Office Furn &amp; Eq, new"/>
    <n v="143002865"/>
    <s v="GTZ PROGRAM - FACILITIES - OFE"/>
    <s v="GTZ PROGRAM - FACILITIES - OFE"/>
    <s v="12/2023"/>
    <n v="0"/>
    <n v="7677.85"/>
    <n v="956.79"/>
    <n v="6721.06"/>
    <x v="3"/>
    <x v="2"/>
  </r>
  <r>
    <s v="General Plant, Common"/>
    <s v="Common (E &amp; G)"/>
    <s v="S King Svc Complex (PSE) : GPL-SOK"/>
    <n v="33311030"/>
    <s v="C3911 CMN Office Furn &amp; Eq, new"/>
    <n v="143003234"/>
    <s v="SOUTH KING - FURNITURE AND FIXTURES"/>
    <s v="SOUTH KING - FURNITURE AND FIXTURES"/>
    <s v="12/2023"/>
    <n v="0"/>
    <n v="1044149.8"/>
    <n v="130118.24"/>
    <n v="914031.56"/>
    <x v="3"/>
    <x v="1"/>
  </r>
  <r>
    <s v="General Plant, Common"/>
    <s v="Common (E &amp; G)"/>
    <s v="Bothell Business Office (leased): GPL-BOT"/>
    <n v="41166496"/>
    <s v="C3911 CMN Office Furn &amp; Eq, new"/>
    <n v="143003562"/>
    <s v="BOTHELL-O - OFE"/>
    <s v="BOTHELL-O - OFE"/>
    <s v="12/2023"/>
    <n v="0"/>
    <n v="4209523.22"/>
    <n v="485479.72000000003"/>
    <n v="3724043.5"/>
    <x v="3"/>
    <x v="2"/>
  </r>
  <r>
    <s v="General Plant, Common"/>
    <s v="Common (E &amp; G)"/>
    <s v="Vernell Office: GPL-VER"/>
    <n v="44445716"/>
    <s v="C3911 CMN Office Furn &amp; Eq, new"/>
    <n v="143003581"/>
    <s v="VERNELL BLDG FURNITURE"/>
    <s v="VERNELL BLDG FURNITURE"/>
    <s v="12/2023"/>
    <n v="0"/>
    <n v="669732.32999999996"/>
    <n v="70099.98"/>
    <n v="599632.35"/>
    <x v="3"/>
    <x v="2"/>
  </r>
  <r>
    <s v="General Plant, Common"/>
    <s v="Common (E &amp; G)"/>
    <s v="Pse East Ofc Bldg (Leased) 110Th Ave Ne : GPL-PSEE"/>
    <n v="44445744"/>
    <s v="C3911 CMN Office Furn &amp; Eq, new"/>
    <n v="143003904"/>
    <s v="2018 - STANDING STOCK OFFICE FURNIT"/>
    <s v="2018 - STANDING STOCK OFFICE FURNITURE &amp;"/>
    <s v="12/2023"/>
    <n v="0"/>
    <n v="537853.26"/>
    <n v="56296.37"/>
    <n v="481556.89"/>
    <x v="3"/>
    <x v="2"/>
  </r>
  <r>
    <s v="General Plant, Common"/>
    <s v="Common (E &amp; G)"/>
    <s v="General Plant, King County Unincorporated within RTA District, WA : GPL-0000 WA11700990"/>
    <n v="47000030"/>
    <s v="C3911 CMN Office Furn &amp; Eq, new"/>
    <n v="143004772"/>
    <s v="2019 - STANDING STOCK OFFICE FURNIT"/>
    <s v="2019 - STANDING STOCK OFFICE FURNITURE"/>
    <s v="12/2023"/>
    <n v="0"/>
    <n v="729888.44000000006"/>
    <n v="76396.44"/>
    <n v="653492"/>
    <x v="3"/>
    <x v="2"/>
  </r>
  <r>
    <s v="General Plant, Common"/>
    <s v="Common (E &amp; G)"/>
    <s v="General Plant, Pierce County outside RTA District, WA : GPL-0000 WA02700000"/>
    <n v="47865914"/>
    <s v="C3911 CMN Office Furn &amp; Eq, new"/>
    <n v="143003823"/>
    <s v="TACOMA WELD SHOP - OFE - PHASE 2"/>
    <s v="TACOMA WELD SHOP - OFE - PHASE 2"/>
    <s v="12/2023"/>
    <n v="1"/>
    <n v="6411.6"/>
    <n v="588.89"/>
    <n v="5822.71"/>
    <x v="3"/>
    <x v="2"/>
  </r>
  <r>
    <s v="General Plant, Common"/>
    <s v="Common (E &amp; G)"/>
    <s v="General Plant, King County Unincorporated within RTA District, WA : GPL-0000 WA11700990"/>
    <n v="47865917"/>
    <s v="C3911 CMN Office Furn &amp; Eq, new"/>
    <n v="143003824"/>
    <s v="PSE BOTHELL BLDG G - ANCILLARY FURN"/>
    <s v="PSE BOTHELL BLDG G - ANCILLARY FURNITURE"/>
    <s v="12/2023"/>
    <n v="1"/>
    <n v="16741.47"/>
    <n v="1537.67"/>
    <n v="15203.800000000001"/>
    <x v="3"/>
    <x v="2"/>
  </r>
  <r>
    <s v="General Plant, Common"/>
    <s v="Common (E &amp; G)"/>
    <s v="General Plant, Thurston County, WA : GPL-0000 WA03400000"/>
    <n v="47865920"/>
    <s v="C3911 CMN Office Furn &amp; Eq, new"/>
    <n v="143003883"/>
    <s v="OLYMPIA METER SHOP EXPANSION-OFE"/>
    <s v="OLYMPIA METER SHOP EXPANSION-OFE"/>
    <s v="12/2023"/>
    <n v="1"/>
    <n v="18967.91"/>
    <n v="1742.16"/>
    <n v="17225.75"/>
    <x v="3"/>
    <x v="2"/>
  </r>
  <r>
    <s v="General Plant, Common"/>
    <s v="Common (E &amp; G)"/>
    <s v="General Plant, Pierce County outside RTA District, WA : GPL-0000 WA02700000"/>
    <n v="66362715"/>
    <s v="C3911 CMN Office Furn &amp; Eq, new"/>
    <n v="143005321"/>
    <s v="Puyallup Svc FF&amp;E Construction"/>
    <s v="Puyallup Service Center. Furnishing the building with furniture, fixtures and equipment."/>
    <s v="12/2023"/>
    <n v="0"/>
    <n v="128278.81"/>
    <n v="9699.07"/>
    <n v="118579.74"/>
    <x v="3"/>
    <x v="2"/>
  </r>
  <r>
    <s v="General Plant, Common"/>
    <s v="Common (E &amp; G)"/>
    <s v="General Plant, King County Unincorporated within RTA District, WA : GPL-0000 WA11700990"/>
    <n v="53319913"/>
    <s v="C3911 CMN Office Furn &amp; Eq, new"/>
    <n v="143003702"/>
    <s v="Lincoln Exec Cntr-Conf Rm Upgrades"/>
    <s v="Lincoln Exec Cntr-Conf Rm Upgrades"/>
    <s v="12/2023"/>
    <n v="1"/>
    <n v="23197.7"/>
    <n v="1753.96"/>
    <n v="21443.74"/>
    <x v="3"/>
    <x v="2"/>
  </r>
  <r>
    <s v="General Plant, Common"/>
    <s v="Common (E &amp; G)"/>
    <s v="General Plant, King County Unincorporated within RTA District, WA : GPL-0000 WA11700990"/>
    <n v="53319954"/>
    <s v="C3911 CMN Office Furn &amp; Eq, new"/>
    <n v="143005680"/>
    <s v="FF&amp;E - KENT SUBSTATION OPS"/>
    <s v="FF&amp;E - KENT SUBSTATION OPS"/>
    <s v="12/2023"/>
    <n v="17"/>
    <n v="63546.07"/>
    <n v="4804.67"/>
    <n v="58741.4"/>
    <x v="3"/>
    <x v="2"/>
  </r>
  <r>
    <s v="General Plant, Common"/>
    <s v="Common (E &amp; G)"/>
    <s v="General Plant, King County Unincorporated within RTA District, WA : GPL-0000 WA11700990"/>
    <n v="66072357"/>
    <s v="C3911 CMN Office Furn &amp; Eq, new"/>
    <n v="143006181"/>
    <s v="PSE BELL HQ REFRESH FFE FLRS 10/11 "/>
    <s v="PSE Bellevue HQ Refresh"/>
    <s v="12/2023"/>
    <n v="0"/>
    <n v="4190341.64"/>
    <n v="225285.09"/>
    <n v="3965056.55"/>
    <x v="3"/>
    <x v="2"/>
  </r>
  <r>
    <s v="General Plant, Common"/>
    <s v="Common (E &amp; G)"/>
    <s v="General Plant, King County Unincorporated within RTA District, WA : GPL-0000 WA11700990"/>
    <n v="61702497"/>
    <s v="C3911 CMN Office Furn &amp; Eq, new"/>
    <n v="143005740"/>
    <s v="COVID RESPONSE"/>
    <s v="COVID RESPONSE"/>
    <s v="12/2023"/>
    <n v="1"/>
    <n v="77912.790000000008"/>
    <n v="4188.82"/>
    <n v="73723.97"/>
    <x v="3"/>
    <x v="2"/>
  </r>
  <r>
    <s v="General Plant, Common"/>
    <s v="Common (E &amp; G)"/>
    <s v="General Plant, King County outside RTA District, WA : GPL-0000 WA01700000"/>
    <n v="67206478"/>
    <s v="C3911 CMN Office Furn &amp; Eq, new"/>
    <n v="143006763"/>
    <s v="OPS TRAINING CENTER - LABOR &amp; EXP"/>
    <s v="Operational Training Center IT Labor for Routers, Switches, Audio Visual, Wireless Access Points, IP SCADA"/>
    <s v="12/2023"/>
    <n v="0"/>
    <n v="866992.46"/>
    <n v="19141.23"/>
    <n v="847851.23"/>
    <x v="3"/>
    <x v="2"/>
  </r>
  <r>
    <s v="General Plant, Common"/>
    <s v="Common (E &amp; G)"/>
    <s v="General Plant, King County Unincorporated within RTA District, WA : GPL-0000 WA11700990"/>
    <n v="64102461"/>
    <s v="C3911 CMN Office Furn &amp; Eq, new"/>
    <n v="143006880"/>
    <s v="PSE BELL HQ REFRESH - FL9 - FFE"/>
    <s v="PSE Bellevue Corporate HQ Refresh"/>
    <s v="12/2023"/>
    <n v="1"/>
    <n v="1434731.75"/>
    <n v="31675.62"/>
    <n v="1403056.13"/>
    <x v="3"/>
    <x v="2"/>
  </r>
  <r>
    <s v="General Plant, Common"/>
    <s v="Common (E &amp; G)"/>
    <s v="General Plant, King County Unincorporated within RTA District, WA : GPL-0000 WA11700990"/>
    <n v="64102480"/>
    <s v="C3911 CMN Office Furn &amp; Eq, new"/>
    <n v="143006967"/>
    <s v="BOTHELL G VACATE - FFE BUILDOUT"/>
    <s v="Bothell G Vacate - Alteration of spaces impacted by vacating Bothell G_x000a_and moving to Bothell H and O._x000a_Vacate employees and business units from Bothell G to Bothell H and O."/>
    <s v="12/2023"/>
    <n v="1"/>
    <n v="8514.0499999999993"/>
    <n v="187.97"/>
    <n v="8326.08"/>
    <x v="3"/>
    <x v="2"/>
  </r>
  <r>
    <s v="General Plant, Common"/>
    <s v="Common (E &amp; G)"/>
    <s v="General Plant, King County Unincorporated within RTA District, WA : GPL-0000 WA11700990"/>
    <n v="67515279"/>
    <s v="C3911 CMN Office Furn &amp; Eq, new"/>
    <n v="143005339"/>
    <s v="FURNITURE AND FIXTURE INSTALLATION"/>
    <s v="Throughout PSE We need a # to charge labor associated with this effort._x000a__x000a_UOP: 15 CEILINGS, 3 COMPACT KITCHENS, 5 EQUIPMENT ITEM, 10 PARTITIONS -_x000a_EXCLUDING PORTABLE, 12 POWER/LIGHTING SYSTEM,_x000a_17 RAISED FLOOR (REMOVABLE)."/>
    <s v="12/2023"/>
    <n v="1"/>
    <n v="221052.99"/>
    <n v="4880.3500000000004"/>
    <n v="216172.64"/>
    <x v="3"/>
    <x v="2"/>
  </r>
  <r>
    <s v="General Plant, Common"/>
    <s v="Common (E &amp; G)"/>
    <s v="General Plant, King County Unincorporated within RTA District, WA : GPL-0000 WA11700990"/>
    <n v="68173510"/>
    <s v="C3911 CMN Office Furn &amp; Eq, new"/>
    <n v="143007291"/>
    <s v="2023 - STANDING STOCK FURNITURE"/>
    <m/>
    <s v="12/2023"/>
    <n v="1"/>
    <n v="260410.62"/>
    <n v="5749.28"/>
    <n v="254661.34"/>
    <x v="3"/>
    <x v="2"/>
  </r>
  <r>
    <s v="General Plant, Common"/>
    <s v="Common (E &amp; G)"/>
    <s v="General Plant, King County Unincorporated within RTA District, WA : GPL-0000 WA11700990"/>
    <n v="68173513"/>
    <s v="C3911 CMN Office Furn &amp; Eq, new"/>
    <n v="143007292"/>
    <s v="2023 - STANDING STOCK MEDICAL ACCOM"/>
    <m/>
    <s v="12/2023"/>
    <n v="1"/>
    <n v="14525.210000000001"/>
    <n v="320.68"/>
    <n v="14204.53"/>
    <x v="3"/>
    <x v="2"/>
  </r>
  <r>
    <s v="General Plant, Common"/>
    <s v="Common (E &amp; G)"/>
    <s v="General Plant, King County Unincorporated within RTA District, WA : GPL-0000 WA11700990"/>
    <n v="68173519"/>
    <s v="C3911 CMN Office Furn &amp; Eq, new"/>
    <n v="143007295"/>
    <s v="FURNITURE &amp; FIXTURE INSTALLATION"/>
    <m/>
    <s v="12/2023"/>
    <n v="1"/>
    <n v="226541.13"/>
    <n v="5001.51"/>
    <n v="221539.62"/>
    <x v="3"/>
    <x v="2"/>
  </r>
  <r>
    <s v="General Plant, Common"/>
    <s v="Common (E &amp; G)"/>
    <s v="General Plant, King County Unincorporated within RTA District, WA : GPL-0000 WA11700990"/>
    <n v="68173535"/>
    <s v="C3911 CMN Office Furn &amp; Eq, new"/>
    <n v="143007344"/>
    <s v="Furniture Fixtures HVAC Refresh"/>
    <m/>
    <s v="12/2023"/>
    <n v="1"/>
    <n v="899690.24"/>
    <n v="19863.12"/>
    <n v="879827.12"/>
    <x v="3"/>
    <x v="2"/>
  </r>
  <r>
    <s v="General Plant, Common"/>
    <s v="Common (E &amp; G)"/>
    <s v="General Plant, King County Unincorporated within RTA District, WA : GPL-0000 WA11700990"/>
    <n v="68173607"/>
    <s v="C3911 CMN Office Furn &amp; Eq, new"/>
    <n v="143007661"/>
    <s v="HYBRID WORK TRANSITION - FFE"/>
    <m/>
    <s v="12/2023"/>
    <n v="1"/>
    <n v="244595.79"/>
    <n v="5400.12"/>
    <n v="239195.67"/>
    <x v="3"/>
    <x v="2"/>
  </r>
  <r>
    <s v="General Plant, Common"/>
    <s v="Common (E &amp; G)"/>
    <s v="General Plant, King County Unincorporated within RTA District, WA : GPL-0000 WA11700990"/>
    <n v="68173610"/>
    <s v="C3911 CMN Office Furn &amp; Eq, new"/>
    <n v="143007662"/>
    <s v="HYBRID WORK TRANSITION - LABOR"/>
    <m/>
    <s v="12/2023"/>
    <n v="1"/>
    <n v="189246.76"/>
    <n v="4178.1400000000003"/>
    <n v="185068.62"/>
    <x v="3"/>
    <x v="2"/>
  </r>
  <r>
    <s v="General Plant, Common"/>
    <s v="Common (E &amp; G)"/>
    <s v="General Plant, King County Unincorporated within RTA District, WA : GPL-0000 WA11700990"/>
    <n v="68173613"/>
    <s v="C3911 CMN Office Furn &amp; Eq, new"/>
    <n v="143007663"/>
    <s v="HYBRID WORK TRANSITION - O/S"/>
    <m/>
    <s v="12/2023"/>
    <n v="1"/>
    <n v="611983.03"/>
    <n v="13511.2"/>
    <n v="598471.82999999996"/>
    <x v="3"/>
    <x v="2"/>
  </r>
  <r>
    <s v="General Plant, Common"/>
    <s v="Common (E &amp; G)"/>
    <s v="General Plant, Bellevue, WA : GPL-0000 WA11700040"/>
    <n v="33531629"/>
    <s v="C3912 CMN Computer Eq, new"/>
    <n v="143002943"/>
    <s v="2017 CAD LAPTOP FOR MAPS AND RECORD"/>
    <s v="2017 CAD LAPTOP FOR MAPS AND RECORDS"/>
    <s v="12/2023"/>
    <n v="1"/>
    <n v="362.34000000000003"/>
    <n v="362.34000000000003"/>
    <n v="0"/>
    <x v="3"/>
    <x v="2"/>
  </r>
  <r>
    <s v="General Plant, Common"/>
    <s v="Common (E &amp; G)"/>
    <s v="General Plant, King County Unincorporated within RTA District, WA : GPL-0000 WA11700990"/>
    <n v="39960190"/>
    <s v="C3912 CMN Computer Eq, new"/>
    <n v="143004079"/>
    <s v="GTZ - PROJECT MANAGEMENT  HW.CE"/>
    <s v="GTZ - PROJECT MANAGEMENT  HW.CE"/>
    <s v="12/2023"/>
    <n v="1"/>
    <n v="88615.05"/>
    <n v="53376.78"/>
    <n v="35238.270000000004"/>
    <x v="3"/>
    <x v="2"/>
  </r>
  <r>
    <s v="General Plant, Common"/>
    <s v="Common (E &amp; G)"/>
    <s v="General Plant, King County Unincorporated within RTA District, WA : GPL-0000 WA11700990"/>
    <n v="39960210"/>
    <s v="C3912 CMN Computer Eq, new"/>
    <n v="143004552"/>
    <s v="IWM-Work Mgmt-MNS-HW.CE"/>
    <s v="IWM-Work Mgmt-MNS-HW.CE"/>
    <s v="12/2023"/>
    <n v="1"/>
    <n v="85433.82"/>
    <n v="51460.590000000004"/>
    <n v="33973.230000000003"/>
    <x v="3"/>
    <x v="0"/>
  </r>
  <r>
    <s v="General Plant, Common"/>
    <s v="Common (E &amp; G)"/>
    <s v="General Plant, King County outside RTA District, WA : GPL-0000 WA01700000"/>
    <n v="40839809"/>
    <s v="C3912 CMN Computer Eq, new"/>
    <n v="143004786"/>
    <s v="NEW NPCS FOR FIREWALLS HW.CE"/>
    <s v="NEW NPCS FOR FIREWALLS HW.CE"/>
    <s v="12/2023"/>
    <n v="1"/>
    <n v="11932.31"/>
    <n v="7187.3600000000006"/>
    <n v="4744.95"/>
    <x v="3"/>
    <x v="2"/>
  </r>
  <r>
    <s v="General Plant, Common"/>
    <s v="Common (E &amp; G)"/>
    <s v="General Plant, Snohomish County outside RTA Dst, WA : GPL-0000 WA03100000"/>
    <n v="41266123"/>
    <s v="C3912 CMN Computer Eq, new"/>
    <n v="143004460"/>
    <s v="NOKIA 7705 INSTALLATION AT MYV-COM-"/>
    <s v="NOKIA 7705 INSTALLATION AT MYV-COM-HW.CE"/>
    <s v="12/2023"/>
    <n v="1"/>
    <n v="42864.15"/>
    <n v="25818.98"/>
    <n v="17045.170000000002"/>
    <x v="3"/>
    <x v="2"/>
  </r>
  <r>
    <s v="General Plant, Common"/>
    <s v="Common (E &amp; G)"/>
    <s v="General Plant, King County Unincorporated within RTA District, WA : GPL-0000 WA11700990"/>
    <n v="41266126"/>
    <s v="C3912 CMN Computer Eq, new"/>
    <n v="143004461"/>
    <s v="NOKIA 7705 INSTALLATION AT CMT-COM-"/>
    <s v="NOKIA 7705 INSTALLATION AT CMT-COM-HW.CE"/>
    <s v="12/2023"/>
    <n v="1"/>
    <n v="47498.590000000004"/>
    <n v="28610.510000000002"/>
    <n v="18888.080000000002"/>
    <x v="3"/>
    <x v="2"/>
  </r>
  <r>
    <s v="General Plant, Common"/>
    <s v="Common (E &amp; G)"/>
    <s v="General Plant, Skagit County, WA : GPL-0000 WA02900000"/>
    <n v="41266129"/>
    <s v="C3912 CMN Computer Eq, new"/>
    <n v="143004462"/>
    <s v="NOKIA 7705 INSTALLATION AT MTE-COM-"/>
    <s v="NOKIA 7705 INSTALLATION AT MTE-COM-HW.CE"/>
    <s v="12/2023"/>
    <n v="1"/>
    <n v="47509.29"/>
    <n v="28616.959999999999"/>
    <n v="18892.330000000002"/>
    <x v="3"/>
    <x v="2"/>
  </r>
  <r>
    <s v="General Plant, Common"/>
    <s v="Common (E &amp; G)"/>
    <s v="General Plant, Thurston County, WA : GPL-0000 WA03400000"/>
    <n v="41266132"/>
    <s v="C3912 CMN Computer Eq, new"/>
    <n v="143004480"/>
    <s v="NOKIA 7705 INSTALLATION AT OLY-COM-"/>
    <s v="NOKIA 7705 INSTALLATION AT OLY-COM-HW.CE"/>
    <s v="12/2023"/>
    <n v="1"/>
    <n v="12422.16"/>
    <n v="7482.42"/>
    <n v="4939.74"/>
    <x v="3"/>
    <x v="2"/>
  </r>
  <r>
    <s v="General Plant, Common"/>
    <s v="Common (E &amp; G)"/>
    <s v="General Plant, Pierce County outside RTA District, WA : GPL-0000 WA02700000"/>
    <n v="41266137"/>
    <s v="C3912 CMN Computer Eq, new"/>
    <n v="143004500"/>
    <s v="NOKIA 7705 INSTALLATION AT ELC-COM-"/>
    <s v="NOKIA 7705 INSTALLATION AT ELC-COM-HW.CE"/>
    <s v="12/2023"/>
    <n v="1"/>
    <n v="16601.45"/>
    <n v="9999.7900000000009"/>
    <n v="6601.66"/>
    <x v="3"/>
    <x v="2"/>
  </r>
  <r>
    <s v="General Plant, Common"/>
    <s v="Common (E &amp; G)"/>
    <s v="General Plant, Kitsap County, WA : GPL-0000 WA01800000"/>
    <n v="41266140"/>
    <s v="C3912 CMN Computer Eq, new"/>
    <n v="143004501"/>
    <s v="NOKIA 7705 INSTALLATION AT BRC-COM-"/>
    <s v="NOKIA 7705 INSTALLATION AT BRC-COM-HW.CE"/>
    <s v="12/2023"/>
    <n v="1"/>
    <n v="11740.78"/>
    <n v="7071.99"/>
    <n v="4668.79"/>
    <x v="3"/>
    <x v="2"/>
  </r>
  <r>
    <s v="General Plant, Common"/>
    <s v="Common (E &amp; G)"/>
    <s v="General Plant, Kitsap County, WA : GPL-0000 WA01800000"/>
    <n v="41266143"/>
    <s v="C3912 CMN Computer Eq, new"/>
    <n v="143004502"/>
    <s v="NOKIA 7705 INSTALLATION AT GRN-COM-"/>
    <s v="NOKIA 7705 INSTALLATION AT GRN-COM-HW.CE"/>
    <s v="12/2023"/>
    <n v="1"/>
    <n v="18547.560000000001"/>
    <n v="11172.02"/>
    <n v="7375.54"/>
    <x v="3"/>
    <x v="2"/>
  </r>
  <r>
    <s v="General Plant, Common"/>
    <s v="Common (E &amp; G)"/>
    <s v="General Plant, King County Unincorporated within RTA District, WA : GPL-0000 WA11700990"/>
    <n v="59148311"/>
    <s v="C3912 CMN Computer Eq, new"/>
    <n v="143003924"/>
    <s v="700MHz - Server - HW.CE"/>
    <s v="700MHz - Server - HW.CE"/>
    <s v="12/2023"/>
    <n v="1"/>
    <n v="26176.9"/>
    <n v="15767.51"/>
    <n v="10409.39"/>
    <x v="3"/>
    <x v="2"/>
  </r>
  <r>
    <s v="General Plant, Common"/>
    <s v="Common (E &amp; G)"/>
    <s v="General Plant, King County Unincorporated within RTA District, WA : GPL-0000 WA11700990"/>
    <n v="42607543"/>
    <s v="C3912 CMN Computer Eq, new"/>
    <n v="143004242"/>
    <s v="Load Forecasting Model HW.CE"/>
    <s v="Load Forecasting Model HW.CE"/>
    <s v="12/2023"/>
    <n v="1"/>
    <n v="7271.95"/>
    <n v="4380.22"/>
    <n v="2891.73"/>
    <x v="3"/>
    <x v="2"/>
  </r>
  <r>
    <s v="General Plant, Common"/>
    <s v="Common (E &amp; G)"/>
    <s v="General Plant, King County Unincorporated within RTA District, WA : GPL-0000 WA11700990"/>
    <n v="42607564"/>
    <s v="C3912 CMN Computer Eq, new"/>
    <n v="143004807"/>
    <s v="VOICE EQUIPMENT REFRESH - HW.CE"/>
    <s v="VOICE EQUIPMENT REFRESH - HW.CE"/>
    <s v="12/2023"/>
    <n v="1"/>
    <n v="88666.930000000008"/>
    <n v="53408.03"/>
    <n v="35258.9"/>
    <x v="3"/>
    <x v="2"/>
  </r>
  <r>
    <s v="General Plant, Common"/>
    <s v="Common (E &amp; G)"/>
    <s v="General Plant, Skagit County, WA : GPL-0000 WA02900000"/>
    <n v="42832344"/>
    <s v="C3912 CMN Computer Eq, new"/>
    <n v="143004853"/>
    <s v="MTE - MOUNT ERIE 700MHZ_HRD - HW.CE"/>
    <s v="MTE - MOUNT ERIE 700MHZ_HRD - HW.CE"/>
    <s v="12/2023"/>
    <n v="1"/>
    <n v="85795.38"/>
    <n v="51678.37"/>
    <n v="34117.01"/>
    <x v="3"/>
    <x v="2"/>
  </r>
  <r>
    <s v="General Plant, Common"/>
    <s v="Common (E &amp; G)"/>
    <s v="General Plant, King County Unincorporated within RTA District, WA : GPL-0000 WA11700990"/>
    <n v="59148320"/>
    <s v="C3912 CMN Computer Eq, new"/>
    <n v="143004864"/>
    <s v="RITM0061768 New Badge Printer - HW."/>
    <s v="RITM0061768 New Badge Printer - HW.CE"/>
    <s v="12/2023"/>
    <n v="1"/>
    <n v="6940.53"/>
    <n v="4180.59"/>
    <n v="2759.94"/>
    <x v="3"/>
    <x v="2"/>
  </r>
  <r>
    <s v="General Plant, Common"/>
    <s v="Common (E &amp; G)"/>
    <s v="General Plant, King County Unincorporated within RTA District, WA : GPL-0000 WA11700990"/>
    <n v="43080592"/>
    <s v="C3912 CMN Computer Eq, new"/>
    <n v="143004828"/>
    <s v="AUD UPGRADE HARDWARE - HW.CE"/>
    <s v="AUD UPGRADE HARDWARE - HW.CE"/>
    <s v="12/2023"/>
    <n v="1"/>
    <n v="3692.36"/>
    <n v="2224.0700000000002"/>
    <n v="1468.29"/>
    <x v="3"/>
    <x v="2"/>
  </r>
  <r>
    <s v="General Plant, Common"/>
    <s v="Common (E &amp; G)"/>
    <s v="General Plant, King County Unincorporated within RTA District, WA : GPL-0000 WA11700990"/>
    <n v="43566341"/>
    <s v="C3912 CMN Computer Eq, new"/>
    <n v="143004505"/>
    <s v="Bothell DC Telecom Migration HW.CE"/>
    <s v="Bothell DC Telecom Migration HW.CE"/>
    <s v="12/2023"/>
    <n v="1"/>
    <n v="371610.79"/>
    <n v="223837.69"/>
    <n v="147773.1"/>
    <x v="3"/>
    <x v="2"/>
  </r>
  <r>
    <s v="General Plant, Common"/>
    <s v="Common (E &amp; G)"/>
    <s v="General Plant, King County outside RTA District, WA : GPL-0000 WA01700000"/>
    <n v="43566366"/>
    <s v="C3912 CMN Computer Eq, new"/>
    <n v="143004882"/>
    <s v="CMT - COUGAR MOUNTAIN 700MHZ - HW.C"/>
    <s v="CMT - COUGAR MOUNTAIN 700MHZ - HW.CE"/>
    <s v="12/2023"/>
    <n v="1"/>
    <n v="94168.37"/>
    <n v="56721.79"/>
    <n v="37446.58"/>
    <x v="3"/>
    <x v="2"/>
  </r>
  <r>
    <s v="General Plant, Common"/>
    <s v="Common (E &amp; G)"/>
    <s v="General Plant, Thurston County, WA : GPL-0000 WA03400000"/>
    <n v="43566373"/>
    <s v="C3912 CMN Computer Eq, new"/>
    <n v="143004927"/>
    <s v="OLM - COM OLYMPIA MICROWAVE 700MHZ "/>
    <s v="OLM - COM OLYMPIA MICROWAVE 700MHZ - HW."/>
    <s v="12/2023"/>
    <n v="1"/>
    <n v="63824.58"/>
    <n v="38444.379999999997"/>
    <n v="25380.2"/>
    <x v="3"/>
    <x v="2"/>
  </r>
  <r>
    <s v="General Plant, Common"/>
    <s v="Common (E &amp; G)"/>
    <s v="General Plant, Kittitas County, WA : GPL-0000 WA01900000"/>
    <n v="43986599"/>
    <s v="C3912 CMN Computer Eq, new"/>
    <n v="143004838"/>
    <s v="MV90 Upgrade CAS - HW.CE"/>
    <s v="MV90 Upgrade CAS - HW.CE"/>
    <s v="12/2023"/>
    <n v="1"/>
    <n v="2507.71"/>
    <n v="1510.51"/>
    <n v="997.2"/>
    <x v="3"/>
    <x v="2"/>
  </r>
  <r>
    <s v="General Plant, Common"/>
    <s v="Common (E &amp; G)"/>
    <s v="General Plant, King County outside RTA District, WA : GPL-0000 WA01700000"/>
    <n v="43986607"/>
    <s v="C3912 CMN Computer Eq, new"/>
    <n v="143004880"/>
    <s v="MV90 Upgrade SQE - HW.CE"/>
    <s v="MV90 Upgrade SQE - HW.CE"/>
    <s v="12/2023"/>
    <n v="1"/>
    <n v="3232.51"/>
    <n v="1947.08"/>
    <n v="1285.43"/>
    <x v="3"/>
    <x v="2"/>
  </r>
  <r>
    <s v="General Plant, Common"/>
    <s v="Common (E &amp; G)"/>
    <s v="General Plant, King County Unincorporated within RTA District, WA : GPL-0000 WA11700990"/>
    <n v="43986615"/>
    <s v="C3912 CMN Computer Eq, new"/>
    <n v="143004980"/>
    <s v="ESO-EMS DC PP TELECOM IMPROVEMENTS-"/>
    <s v="ESO-EMS DC PP TELECOM IMPROVEMENTS-HW.CE"/>
    <s v="12/2023"/>
    <n v="1"/>
    <n v="15209.57"/>
    <n v="9161.4"/>
    <n v="6048.17"/>
    <x v="3"/>
    <x v="2"/>
  </r>
  <r>
    <s v="General Plant, Common"/>
    <s v="Common (E &amp; G)"/>
    <s v="General Plant, King County Unincorporated within RTA District, WA : GPL-0000 WA11700990"/>
    <n v="44534529"/>
    <s v="C3912 CMN Computer Eq, new"/>
    <n v="143004640"/>
    <s v="DCDR-Bothell Communications Room-HW"/>
    <s v="DCDR-Bothell Communications Room-HW.CE"/>
    <s v="12/2023"/>
    <n v="1"/>
    <n v="221682.5"/>
    <n v="133529.22"/>
    <n v="88153.279999999999"/>
    <x v="3"/>
    <x v="2"/>
  </r>
  <r>
    <s v="General Plant, Common"/>
    <s v="Common (E &amp; G)"/>
    <s v="General Plant, King County outside RTA District, WA : GPL-0000 WA01700000"/>
    <n v="44534560"/>
    <s v="C3912 CMN Computer Eq, new"/>
    <n v="143004783"/>
    <s v="LOGRHYTHM UPGRADE - HW.CE"/>
    <s v="LOGRHYTHM UPGRADE - HW.CE"/>
    <s v="12/2023"/>
    <n v="1"/>
    <n v="74089.03"/>
    <n v="44627.11"/>
    <n v="29461.920000000002"/>
    <x v="3"/>
    <x v="2"/>
  </r>
  <r>
    <s v="General Plant, Common"/>
    <s v="Common (E &amp; G)"/>
    <s v="General Plant, King County Unincorporated within RTA District, WA : GPL-0000 WA11700990"/>
    <n v="44534573"/>
    <s v="C3912 CMN Computer Eq, new"/>
    <n v="143004788"/>
    <s v="2019 -TELECOM EQUIP GROWTH REFRESH "/>
    <s v="2019 -TELECOM EQUIP GROWTH REFRESH - HW."/>
    <s v="12/2023"/>
    <n v="1"/>
    <n v="71300.88"/>
    <n v="42947.69"/>
    <n v="28353.190000000002"/>
    <x v="3"/>
    <x v="2"/>
  </r>
  <r>
    <s v="General Plant, Common"/>
    <s v="Common (E &amp; G)"/>
    <s v="General Plant, King County Unincorporated within RTA District, WA : GPL-0000 WA11700990"/>
    <n v="44534578"/>
    <s v="C3912 CMN Computer Eq, new"/>
    <n v="143004793"/>
    <s v="2019 IT PC Refresh - HW.CE"/>
    <s v="2019 IT PC Refresh - HW.CE"/>
    <s v="12/2023"/>
    <n v="1"/>
    <n v="714592.5"/>
    <n v="430430.81"/>
    <n v="284161.69"/>
    <x v="3"/>
    <x v="2"/>
  </r>
  <r>
    <s v="General Plant, Common"/>
    <s v="Common (E &amp; G)"/>
    <s v="General Plant, King County Unincorporated within RTA District, WA : GPL-0000 WA11700990"/>
    <n v="44534585"/>
    <s v="C3912 CMN Computer Eq, new"/>
    <n v="143004797"/>
    <s v="GTZ PMT Support Hardware - HW.CE"/>
    <s v="GTZ PMT Support Hardware - HW.CE"/>
    <s v="12/2023"/>
    <n v="1"/>
    <n v="10348.94"/>
    <n v="6233.63"/>
    <n v="4115.3100000000004"/>
    <x v="3"/>
    <x v="2"/>
  </r>
  <r>
    <s v="General Plant, Common"/>
    <s v="Common (E &amp; G)"/>
    <s v="General Plant, King County Unincorporated within RTA District, WA : GPL-0000 WA11700990"/>
    <n v="44534608"/>
    <s v="C3912 CMN Computer Eq, new"/>
    <n v="143004806"/>
    <s v="Annual Network Technology Refresh &amp;"/>
    <s v="Annual Network Technology Refresh &amp; Grow"/>
    <s v="12/2023"/>
    <n v="1"/>
    <n v="681259.24"/>
    <n v="410352.71"/>
    <n v="270906.53000000003"/>
    <x v="3"/>
    <x v="2"/>
  </r>
  <r>
    <s v="General Plant, Common"/>
    <s v="Common (E &amp; G)"/>
    <s v="General Plant, King County Unincorporated within RTA District, WA : GPL-0000 WA11700990"/>
    <n v="44534611"/>
    <s v="C3912 CMN Computer Eq, new"/>
    <n v="143004810"/>
    <s v="2019 TELECOM ANNUAL NETWORK REFRESH"/>
    <s v="2019 TELECOM ANNUAL NETWORK REFRESH - HW"/>
    <s v="12/2023"/>
    <n v="1"/>
    <n v="331873.53000000003"/>
    <n v="199902.17"/>
    <n v="131971.36000000002"/>
    <x v="3"/>
    <x v="2"/>
  </r>
  <r>
    <s v="General Plant, Common"/>
    <s v="Common (E &amp; G)"/>
    <s v="General Plant, King County outside RTA District, WA : GPL-0000 WA01700000"/>
    <n v="44534616"/>
    <s v="C3912 CMN Computer Eq, new"/>
    <n v="143004813"/>
    <s v="ANNUAL SERVER GROWTH AND REFRESH - "/>
    <s v="ANNUAL SERVER GROWTH AND REFRESH - HW.CE"/>
    <s v="12/2023"/>
    <n v="1"/>
    <n v="683951.09"/>
    <n v="411974.13"/>
    <n v="271976.96000000002"/>
    <x v="3"/>
    <x v="2"/>
  </r>
  <r>
    <s v="General Plant, Common"/>
    <s v="Common (E &amp; G)"/>
    <s v="General Plant, King County Unincorporated within RTA District, WA : GPL-0000 WA11700990"/>
    <n v="44534625"/>
    <s v="C3912 CMN Computer Eq, new"/>
    <n v="143004829"/>
    <s v="AM-200 UPGRADE VERNELL - HW.CE"/>
    <s v="AM-200 UPGRADE VERNELL - HW.CE"/>
    <s v="12/2023"/>
    <n v="1"/>
    <n v="13535.380000000001"/>
    <n v="8152.96"/>
    <n v="5382.42"/>
    <x v="3"/>
    <x v="2"/>
  </r>
  <r>
    <s v="General Plant, Common"/>
    <s v="Common (E &amp; G)"/>
    <s v="General Plant, King County Unincorporated within RTA District, WA : GPL-0000 WA11700990"/>
    <n v="44534630"/>
    <s v="C3912 CMN Computer Eq, new"/>
    <n v="143004830"/>
    <s v="AM-200 upgrade EST - HW.CE"/>
    <s v="AM-200 upgrade EST - HW.CE"/>
    <s v="12/2023"/>
    <n v="1"/>
    <n v="6167.4000000000005"/>
    <n v="3714.9"/>
    <n v="2452.5"/>
    <x v="3"/>
    <x v="2"/>
  </r>
  <r>
    <s v="General Plant, Common"/>
    <s v="Common (E &amp; G)"/>
    <s v="General Plant, King County outside RTA District, WA : GPL-0000 WA01700000"/>
    <n v="44534637"/>
    <s v="C3912 CMN Computer Eq, new"/>
    <n v="143004834"/>
    <s v="SQE DC Telecom Hardware - HW.CE"/>
    <s v="SQE DC Telecom Hardware - HW.CE"/>
    <s v="12/2023"/>
    <n v="1"/>
    <n v="60162.12"/>
    <n v="36238.32"/>
    <n v="23923.8"/>
    <x v="3"/>
    <x v="2"/>
  </r>
  <r>
    <s v="General Plant, Common"/>
    <s v="Common (E &amp; G)"/>
    <s v="General Plant, Kittitas County, WA : GPL-0000 WA01900000"/>
    <n v="44534642"/>
    <s v="C3912 CMN Computer Eq, new"/>
    <n v="143004835"/>
    <s v="CAS DC Telecom Hardware - HW.CE"/>
    <s v="CAS DC Telecom Hardware - HW.CE"/>
    <s v="12/2023"/>
    <n v="1"/>
    <n v="76812.84"/>
    <n v="46267.79"/>
    <n v="30545.05"/>
    <x v="3"/>
    <x v="2"/>
  </r>
  <r>
    <s v="General Plant, Common"/>
    <s v="Common (E &amp; G)"/>
    <s v="General Plant, Snohomish County outside RTA Dst, WA : GPL-0000 WA03100000"/>
    <n v="44534647"/>
    <s v="C3912 CMN Computer Eq, new"/>
    <n v="143004851"/>
    <s v="2019 EVERETT VOIP UPGRADES - HW.CE"/>
    <s v="2019 EVERETT VOIP UPGRADES - HW.CE"/>
    <s v="12/2023"/>
    <n v="1"/>
    <n v="149025.61000000002"/>
    <n v="89764.75"/>
    <n v="59260.86"/>
    <x v="3"/>
    <x v="2"/>
  </r>
  <r>
    <s v="General Plant, Common"/>
    <s v="Common (E &amp; G)"/>
    <s v="General Plant, King County outside RTA District, WA : GPL-0000 WA01700000"/>
    <n v="44534652"/>
    <s v="C3912 CMN Computer Eq, new"/>
    <n v="143004852"/>
    <s v="2019 ENUMCLAW VOIP UPGRADES - HW.CE"/>
    <s v="2019 ENUMCLAW VOIP UPGRADES - HW.CE"/>
    <s v="12/2023"/>
    <n v="1"/>
    <n v="72593"/>
    <n v="43725.99"/>
    <n v="28867.010000000002"/>
    <x v="3"/>
    <x v="2"/>
  </r>
  <r>
    <s v="General Plant, Common"/>
    <s v="Common (E &amp; G)"/>
    <s v="General Plant, King County Unincorporated within RTA District, WA : GPL-0000 WA11700990"/>
    <n v="44534657"/>
    <s v="C3912 CMN Computer Eq, new"/>
    <n v="143004861"/>
    <s v="IWM-GFR - HW.CE"/>
    <s v="IWM-GFR - HW.CE"/>
    <s v="12/2023"/>
    <n v="1"/>
    <n v="561374.4"/>
    <n v="338140.74"/>
    <n v="223233.66"/>
    <x v="3"/>
    <x v="0"/>
  </r>
  <r>
    <s v="General Plant, Common"/>
    <s v="Common (E &amp; G)"/>
    <s v="General Plant, Kittitas County, WA : GPL-0000 WA01900000"/>
    <n v="44534668"/>
    <s v="C3912 CMN Computer Eq, new"/>
    <n v="143004881"/>
    <s v="2019 KITTITAS VOIP UPGRADES - HW.CE"/>
    <s v="2019 KITTITAS VOIP UPGRADES - HW.CE"/>
    <s v="12/2023"/>
    <n v="1"/>
    <n v="72629.31"/>
    <n v="43747.86"/>
    <n v="28881.45"/>
    <x v="3"/>
    <x v="2"/>
  </r>
  <r>
    <s v="General Plant, Common"/>
    <s v="Common (E &amp; G)"/>
    <s v="General Plant, Pierce County outside RTA District, WA : GPL-0000 WA02700000"/>
    <n v="44534676"/>
    <s v="C3912 CMN Computer Eq, new"/>
    <n v="143004926"/>
    <s v="ELC-COM ELECTRON MICROWAVE 700MHZ-H"/>
    <s v="ELC-COM ELECTRON MICROWAVE 700MHZ-HW.CE"/>
    <s v="12/2023"/>
    <n v="1"/>
    <n v="71497.59"/>
    <n v="43066.18"/>
    <n v="28431.41"/>
    <x v="3"/>
    <x v="2"/>
  </r>
  <r>
    <s v="General Plant, Common"/>
    <s v="Common (E &amp; G)"/>
    <s v="General Plant, Whatcom County, WA : GPL-0000 WA03700000"/>
    <n v="44534681"/>
    <s v="C3912 CMN Computer Eq, new"/>
    <n v="143004940"/>
    <s v="SMN - COM SQUALICUM MTN. 700MHZ - H"/>
    <s v="SMN - COM SQUALICUM MTN. 700MHZ - HW.CE"/>
    <s v="12/2023"/>
    <n v="1"/>
    <n v="47036.340000000004"/>
    <n v="28332.080000000002"/>
    <n v="18704.260000000002"/>
    <x v="3"/>
    <x v="2"/>
  </r>
  <r>
    <s v="General Plant, Common"/>
    <s v="Common (E &amp; G)"/>
    <s v="General Plant, King County Unincorporated within RTA District, WA : GPL-0000 WA11700990"/>
    <n v="44534692"/>
    <s v="C3912 CMN Computer Eq, new"/>
    <n v="143005025"/>
    <s v="AV UPGRADES REDMOND CAMPUS - HW.CE"/>
    <s v="AV UPGRADES REDMOND CAMPUS - HW.CE"/>
    <s v="12/2023"/>
    <n v="1"/>
    <n v="24394.54"/>
    <n v="14693.92"/>
    <n v="9700.6200000000008"/>
    <x v="3"/>
    <x v="2"/>
  </r>
  <r>
    <s v="General Plant, Common"/>
    <s v="Common (E &amp; G)"/>
    <s v="General Plant, King County Unincorporated within RTA District, WA : GPL-0000 WA11700990"/>
    <n v="44534711"/>
    <s v="C3912 CMN Computer Eq, new"/>
    <n v="143005170"/>
    <s v="PSE Web 2.0 - HW.CE"/>
    <s v="PSE Web 2.0 - HW.CE"/>
    <s v="12/2023"/>
    <n v="1"/>
    <n v="11350.03"/>
    <n v="6836.63"/>
    <n v="4513.4000000000005"/>
    <x v="3"/>
    <x v="2"/>
  </r>
  <r>
    <s v="General Plant, Common"/>
    <s v="Common (E &amp; G)"/>
    <s v="General Plant, King County Unincorporated within RTA District, WA : GPL-0000 WA11700990"/>
    <n v="45059393"/>
    <s v="C3912 CMN Computer Eq, new"/>
    <n v="143004538"/>
    <s v="WESTIN CIRCUIT TELECOM-HW.CE"/>
    <s v="WESTIN CIRCUIT TELECOM-HW.CE"/>
    <s v="12/2023"/>
    <n v="1"/>
    <n v="226128.24"/>
    <n v="79332.52"/>
    <n v="146795.72"/>
    <x v="3"/>
    <x v="2"/>
  </r>
  <r>
    <s v="General Plant, Common"/>
    <s v="Common (E &amp; G)"/>
    <s v="General Plant, King County outside RTA District, WA : GPL-0000 WA01700000"/>
    <n v="45059424"/>
    <s v="C3912 CMN Computer Eq, new"/>
    <n v="143004805"/>
    <s v="Storage and Backup Growth and Refre"/>
    <s v="Storage and Backup Growth and Refresh HW"/>
    <s v="12/2023"/>
    <n v="1"/>
    <n v="909244.68"/>
    <n v="318990.10000000003"/>
    <n v="590254.57999999996"/>
    <x v="3"/>
    <x v="2"/>
  </r>
  <r>
    <s v="General Plant, Common"/>
    <s v="Common (E &amp; G)"/>
    <s v="General Plant, King County outside RTA District, WA : GPL-0000 WA01700000"/>
    <n v="45059429"/>
    <s v="C3912 CMN Computer Eq, new"/>
    <n v="143004812"/>
    <s v="Annual Virtualization Growth and Re"/>
    <s v="Annual Virtualization Growth and Refresh"/>
    <s v="12/2023"/>
    <n v="1"/>
    <n v="60955.31"/>
    <n v="21384.94"/>
    <n v="39570.370000000003"/>
    <x v="3"/>
    <x v="2"/>
  </r>
  <r>
    <s v="General Plant, Common"/>
    <s v="Common (E &amp; G)"/>
    <s v="General Plant, Thurston County, WA : GPL-0000 WA03400000"/>
    <n v="45059453"/>
    <s v="C3912 CMN Computer Eq, new"/>
    <n v="143004974"/>
    <s v="BLU-SUB MPLS TRNSPRT NTWRK IMPRVMNT"/>
    <s v="BLU-SUB MPLS TRNSPRT NTWRK IMPRVMNT - HW"/>
    <s v="12/2023"/>
    <n v="1"/>
    <n v="74041.440000000002"/>
    <n v="25975.940000000002"/>
    <n v="48065.5"/>
    <x v="3"/>
    <x v="2"/>
  </r>
  <r>
    <s v="General Plant, Common"/>
    <s v="Common (E &amp; G)"/>
    <s v="General Plant, King County outside RTA District, WA : GPL-0000 WA01700000"/>
    <n v="45059493"/>
    <s v="C3912 CMN Computer Eq, new"/>
    <n v="143005181"/>
    <s v="SAP Training Environment - HW.CE"/>
    <s v="SAP Training Environment - HW.CE"/>
    <s v="12/2023"/>
    <n v="1"/>
    <n v="177028.65"/>
    <n v="62106.92"/>
    <n v="114921.73"/>
    <x v="3"/>
    <x v="2"/>
  </r>
  <r>
    <s v="General Plant, Common"/>
    <s v="Common (E &amp; G)"/>
    <s v="General Plant, King County Unincorporated within RTA District, WA : GPL-0000 WA11700990"/>
    <n v="45059509"/>
    <s v="C3912 CMN Computer Eq, new"/>
    <n v="143005224"/>
    <s v="E911 JABBER IMPLEMENTATION - HW.CE"/>
    <s v="E911 JABBER IMPLEMENTATION - HW.CE"/>
    <s v="12/2023"/>
    <n v="1"/>
    <n v="150411.20000000001"/>
    <n v="52768.73"/>
    <n v="97642.47"/>
    <x v="3"/>
    <x v="2"/>
  </r>
  <r>
    <s v="General Plant, Common"/>
    <s v="Common (E &amp; G)"/>
    <s v="General Plant, King County Unincorporated within RTA District, WA : GPL-0000 WA11700990"/>
    <n v="45059514"/>
    <s v="C3912 CMN Computer Eq, new"/>
    <n v="143005303"/>
    <s v="CI-SAP Multichannel Foundation Cust"/>
    <s v="CI-SAP Multichannel Foundation Cust - HW"/>
    <s v="12/2023"/>
    <n v="1"/>
    <n v="340066.84"/>
    <n v="119305.57"/>
    <n v="220761.27000000002"/>
    <x v="3"/>
    <x v="2"/>
  </r>
  <r>
    <s v="General Plant, Common"/>
    <s v="Common (E &amp; G)"/>
    <s v="General Plant, King County Unincorporated within RTA District, WA : GPL-0000 WA11700990"/>
    <n v="45479470"/>
    <s v="C3912 CMN Computer Eq, new"/>
    <n v="143005168"/>
    <s v="VERNELL 1ST FLOOR TI - IT - HW.CE"/>
    <s v="VERNELL 1ST FLOOR TI - IT - HW.CE"/>
    <s v="12/2023"/>
    <n v="1"/>
    <n v="190991.27"/>
    <n v="67005.42"/>
    <n v="123985.85"/>
    <x v="3"/>
    <x v="2"/>
  </r>
  <r>
    <s v="General Plant, Common"/>
    <s v="Common (E &amp; G)"/>
    <s v="General Plant, King County Unincorporated within RTA District, WA : GPL-0000 WA11700990"/>
    <n v="45895531"/>
    <s v="C3912 CMN Computer Eq, new"/>
    <n v="143004930"/>
    <s v="TAL - SUB TALBOT HILL SUB 700MHZ - "/>
    <s v="TAL - SUB TALBOT HILL SUB 700MHZ - HW.CE"/>
    <s v="12/2023"/>
    <n v="1"/>
    <n v="60837.01"/>
    <n v="21343.43"/>
    <n v="39493.58"/>
    <x v="3"/>
    <x v="2"/>
  </r>
  <r>
    <s v="General Plant, Common"/>
    <s v="Common (E &amp; G)"/>
    <s v="General Plant, Pierce County outside RTA District, WA : GPL-0000 WA02700000"/>
    <n v="45895536"/>
    <s v="C3912 CMN Computer Eq, new"/>
    <n v="143004948"/>
    <s v="WRT - WHITE RIVER SUB 700MHZ - HW.C"/>
    <s v="WRT - WHITE RIVER SUB 700MHZ - HW.CE"/>
    <s v="12/2023"/>
    <n v="1"/>
    <n v="58361.4"/>
    <n v="20474.920000000002"/>
    <n v="37886.480000000003"/>
    <x v="3"/>
    <x v="2"/>
  </r>
  <r>
    <s v="General Plant, Common"/>
    <s v="Common (E &amp; G)"/>
    <s v="General Plant, King County Unincorporated within RTA District, WA : GPL-0000 WA11700990"/>
    <n v="46274079"/>
    <s v="C3912 CMN Computer Eq, new"/>
    <n v="143005279"/>
    <s v="3 DELL HIGH PERFORMANCE WORKSTATION"/>
    <s v="3 DELL HIGH PERFORMANCE WORKSTATIONS - H"/>
    <s v="12/2023"/>
    <n v="1"/>
    <n v="14992.57"/>
    <n v="5259.84"/>
    <n v="9732.73"/>
    <x v="3"/>
    <x v="2"/>
  </r>
  <r>
    <s v="General Plant, Common"/>
    <s v="Common (E &amp; G)"/>
    <s v="General Plant, Pierce County outside RTA District, WA : GPL-0000 WA02700000"/>
    <n v="46648207"/>
    <s v="C3912 CMN Computer Eq, new"/>
    <n v="143002280"/>
    <s v="TAC-OFC-HW.CE-MPLS TRANSPORT NETWOR"/>
    <s v="TAC-OFC-HW.CE-MPLS TRANSPORT NETWORK IMP"/>
    <s v="12/2023"/>
    <n v="1"/>
    <n v="35219.24"/>
    <n v="12355.960000000001"/>
    <n v="22863.279999999999"/>
    <x v="3"/>
    <x v="2"/>
  </r>
  <r>
    <s v="General Plant, Common"/>
    <s v="Common (E &amp; G)"/>
    <s v="General Plant, Snohomish County outside RTA Dst, WA : GPL-0000 WA03100000"/>
    <n v="46648212"/>
    <s v="C3912 CMN Computer Eq, new"/>
    <n v="143004942"/>
    <s v="MYV - COM MARYSVILLE COMM 700MHZ - "/>
    <s v="MYV - COM MARYSVILLE COMM 700MHZ - HW.CE"/>
    <s v="12/2023"/>
    <n v="1"/>
    <n v="44923.3"/>
    <n v="15760.43"/>
    <n v="29162.87"/>
    <x v="3"/>
    <x v="2"/>
  </r>
  <r>
    <s v="General Plant, Common"/>
    <s v="Common (E &amp; G)"/>
    <s v="General Plant, Kitsap County, WA : GPL-0000 WA01800000"/>
    <n v="46648217"/>
    <s v="C3912 CMN Computer Eq, new"/>
    <n v="143004943"/>
    <s v="GRN - COM GREEN MTN. COMM 700MHZ - "/>
    <s v="GRN - COM GREEN MTN. COMM 700MHZ - HW.CE"/>
    <s v="12/2023"/>
    <n v="1"/>
    <n v="100106.53"/>
    <n v="35120.35"/>
    <n v="64986.18"/>
    <x v="3"/>
    <x v="2"/>
  </r>
  <r>
    <s v="General Plant, Common"/>
    <s v="Common (E &amp; G)"/>
    <s v="General Plant, King County Unincorporated within RTA District, WA : GPL-0000 WA11700990"/>
    <n v="46648222"/>
    <s v="C3912 CMN Computer Eq, new"/>
    <n v="143004945"/>
    <s v="ESO - COM EASTSIDE OPS COMM 700MHZ "/>
    <s v="ESO - COM EASTSIDE OPS COMM 700MHZ - HW."/>
    <s v="12/2023"/>
    <n v="1"/>
    <n v="57504.4"/>
    <n v="20174.260000000002"/>
    <n v="37330.14"/>
    <x v="3"/>
    <x v="2"/>
  </r>
  <r>
    <s v="General Plant, Common"/>
    <s v="Common (E &amp; G)"/>
    <s v="General Plant, King County Unincorporated within RTA District, WA : GPL-0000 WA11700990"/>
    <n v="46648227"/>
    <s v="C3912 CMN Computer Eq, new"/>
    <n v="143005276"/>
    <s v="AV UPDATES - MT ERIE- RDW - HW.CE"/>
    <s v="AV UPDATES - MT ERIE- RDW - HW.CE"/>
    <s v="12/2023"/>
    <n v="1"/>
    <n v="38617.040000000001"/>
    <n v="13548.01"/>
    <n v="25069.03"/>
    <x v="3"/>
    <x v="2"/>
  </r>
  <r>
    <s v="General Plant, Common"/>
    <s v="Common (E &amp; G)"/>
    <s v="General Plant, King County Unincorporated within RTA District, WA : GPL-0000 WA11700990"/>
    <n v="47865947"/>
    <s v="C3912 CMN Computer Eq, new"/>
    <n v="143005232"/>
    <s v="2020 VOIP UPGRADES - HW.CE"/>
    <s v="2020 VOIP UPGRADES - HW.CE"/>
    <s v="12/2023"/>
    <n v="1"/>
    <n v="211737.43"/>
    <n v="74283.790000000008"/>
    <n v="137453.64000000001"/>
    <x v="3"/>
    <x v="2"/>
  </r>
  <r>
    <s v="General Plant, Common"/>
    <s v="Common (E &amp; G)"/>
    <s v="General Plant, King County Unincorporated within RTA District, WA : GPL-0000 WA11700990"/>
    <n v="48333504"/>
    <s v="C3912 CMN Computer Eq, new"/>
    <n v="143004900"/>
    <s v="RDW - RED WEST LAB - HW.CE"/>
    <s v="RDW - RED WEST LAB - HW.CE"/>
    <s v="12/2023"/>
    <n v="1"/>
    <n v="60985.440000000002"/>
    <n v="21395.510000000002"/>
    <n v="39589.93"/>
    <x v="3"/>
    <x v="2"/>
  </r>
  <r>
    <s v="General Plant, Common"/>
    <s v="Common (E &amp; G)"/>
    <s v="General Plant, Pierce County outside RTA District, WA : GPL-0000 WA02700000"/>
    <n v="48333509"/>
    <s v="C3912 CMN Computer Eq, new"/>
    <n v="143004925"/>
    <s v="TAC-GAR TACOMA GARAGE 700MHZ-HW.CE"/>
    <s v="TAC-GAR TACOMA GARAGE 700MHZ-HW.CE"/>
    <s v="12/2023"/>
    <n v="1"/>
    <n v="48652.520000000004"/>
    <n v="17068.75"/>
    <n v="31583.77"/>
    <x v="3"/>
    <x v="2"/>
  </r>
  <r>
    <s v="General Plant, Common"/>
    <s v="Common (E &amp; G)"/>
    <s v="General Plant, Kittitas County, WA : GPL-0000 WA01900000"/>
    <n v="48333514"/>
    <s v="C3912 CMN Computer Eq, new"/>
    <n v="143004928"/>
    <s v="SPD - COM STAMPEDE MICROWAVE 700MHZ"/>
    <s v="SPD - COM STAMPEDE MICROWAVE 700MHZ - HW"/>
    <s v="12/2023"/>
    <n v="1"/>
    <n v="37185.629999999997"/>
    <n v="13045.83"/>
    <n v="24139.8"/>
    <x v="3"/>
    <x v="2"/>
  </r>
  <r>
    <s v="General Plant, Common"/>
    <s v="Common (E &amp; G)"/>
    <s v="General Plant, Pierce County outside RTA District, WA : GPL-0000 WA02700000"/>
    <n v="48333519"/>
    <s v="C3912 CMN Computer Eq, new"/>
    <n v="143004929"/>
    <s v="BLD-COM BALDI MTN MICROWAVE 700MHZ-"/>
    <s v="BLD-COM BALDI MTN MICROWAVE 700MHZ-HW.CE"/>
    <s v="12/2023"/>
    <n v="1"/>
    <n v="63784.05"/>
    <n v="22377.34"/>
    <n v="41406.71"/>
    <x v="3"/>
    <x v="2"/>
  </r>
  <r>
    <s v="General Plant, Common"/>
    <s v="Common (E &amp; G)"/>
    <s v="General Plant, King County Unincorporated within RTA District, WA : GPL-0000 WA11700990"/>
    <n v="48333524"/>
    <s v="C3912 CMN Computer Eq, new"/>
    <n v="143004944"/>
    <s v="NHL - COM NORWAY HILL COMM 700MHZ -"/>
    <s v="NHL - COM NORWAY HILL COMM 700MHZ - HW.C"/>
    <s v="12/2023"/>
    <n v="1"/>
    <n v="78749.56"/>
    <n v="27627.690000000002"/>
    <n v="51121.87"/>
    <x v="3"/>
    <x v="2"/>
  </r>
  <r>
    <s v="General Plant, Common"/>
    <s v="Common (E &amp; G)"/>
    <s v="General Plant, King County Unincorporated within RTA District, WA : GPL-0000 WA11700990"/>
    <n v="48333529"/>
    <s v="C3912 CMN Computer Eq, new"/>
    <n v="143004946"/>
    <s v="SSC-COM SO. SEATTLE COLL COMM 700MH"/>
    <s v="SSC-COM SO. SEATTLE COLL COMM 700MHZ-HW."/>
    <s v="12/2023"/>
    <n v="1"/>
    <n v="51670.04"/>
    <n v="18127.39"/>
    <n v="33542.65"/>
    <x v="3"/>
    <x v="2"/>
  </r>
  <r>
    <s v="General Plant, Common"/>
    <s v="Common (E &amp; G)"/>
    <s v="General Plant, King County outside RTA District, WA : GPL-0000 WA01700000"/>
    <n v="48333534"/>
    <s v="C3912 CMN Computer Eq, new"/>
    <n v="143004947"/>
    <s v="RSC-COM RATTLESNAKE MTN. COMM 700MH"/>
    <s v="RSC-COM RATTLESNAKE MTN. COMM 700MHZ-HW."/>
    <s v="12/2023"/>
    <n v="1"/>
    <n v="53520.480000000003"/>
    <n v="18776.580000000002"/>
    <n v="34743.9"/>
    <x v="3"/>
    <x v="2"/>
  </r>
  <r>
    <s v="General Plant, Common"/>
    <s v="Common (E &amp; G)"/>
    <s v="General Plant, Pierce County outside RTA District, WA : GPL-0000 WA02700000"/>
    <n v="48333558"/>
    <s v="C3912 CMN Computer Eq, new"/>
    <n v="143005403"/>
    <s v="SAR8 INSTALLATION GRAVELLY LAKE SUB"/>
    <s v="SAR8 INSTALLATION GRAVELLY LAKE SUB - HW"/>
    <s v="12/2023"/>
    <n v="1"/>
    <n v="25979.940000000002"/>
    <n v="9114.5400000000009"/>
    <n v="16865.400000000001"/>
    <x v="3"/>
    <x v="2"/>
  </r>
  <r>
    <s v="General Plant, Common"/>
    <s v="Common (E &amp; G)"/>
    <s v="General Plant, King County Unincorporated within RTA District, WA : GPL-0000 WA11700990"/>
    <n v="48333571"/>
    <s v="C3912 CMN Computer Eq, new"/>
    <n v="143005481"/>
    <s v="RDW-LAB TRANSPORT ADDS - HW.CE"/>
    <s v="RDW-LAB TRANSPORT ADDS - HW.CE"/>
    <s v="12/2023"/>
    <n v="1"/>
    <n v="18313.84"/>
    <n v="6425.04"/>
    <n v="11888.800000000001"/>
    <x v="3"/>
    <x v="2"/>
  </r>
  <r>
    <s v="General Plant, Common"/>
    <s v="Common (E &amp; G)"/>
    <s v="General Plant, Pierce County outside RTA District, WA : GPL-0000 WA02700000"/>
    <n v="48922445"/>
    <s v="C3912 CMN Computer Eq, new"/>
    <n v="143005246"/>
    <s v="2020 VOIP UPGRADES FREDERICKSON - H"/>
    <s v="2020 VOIP UPGRADES FREDERICKSON - HW.CE"/>
    <s v="12/2023"/>
    <n v="1"/>
    <n v="119611.02"/>
    <n v="41963.11"/>
    <n v="77647.91"/>
    <x v="3"/>
    <x v="2"/>
  </r>
  <r>
    <s v="General Plant, Common"/>
    <s v="Common (E &amp; G)"/>
    <s v="General Plant, King County Unincorporated within RTA District, WA : GPL-0000 WA11700990"/>
    <n v="48922448"/>
    <s v="C3912 CMN Computer Eq, new"/>
    <n v="143005283"/>
    <s v="ANNUAL VOICE TECH REFRESH - HW.CE"/>
    <s v="ANNUAL VOICE TECH REFRESH - HW.CE"/>
    <s v="12/2023"/>
    <n v="1"/>
    <n v="127036.84"/>
    <n v="44568.31"/>
    <n v="82468.53"/>
    <x v="3"/>
    <x v="2"/>
  </r>
  <r>
    <s v="General Plant, Common"/>
    <s v="Common (E &amp; G)"/>
    <s v="General Plant, King County Unincorporated within RTA District, WA : GPL-0000 WA11700990"/>
    <n v="48922451"/>
    <s v="C3912 CMN Computer Eq, new"/>
    <n v="143005293"/>
    <s v="AV CONFERENCE ROOM UPDATES BOT - HW"/>
    <s v="AV CONFERENCE ROOM UPDATES BOT - HW.CE"/>
    <s v="12/2023"/>
    <n v="1"/>
    <n v="37342.75"/>
    <n v="13100.95"/>
    <n v="24241.8"/>
    <x v="3"/>
    <x v="2"/>
  </r>
  <r>
    <s v="General Plant, Common"/>
    <s v="Common (E &amp; G)"/>
    <s v="General Plant, Thurston County, WA : GPL-0000 WA03400000"/>
    <n v="48922458"/>
    <s v="C3912 CMN Computer Eq, new"/>
    <n v="143005438"/>
    <s v="OLYMPIA DNX-88 INTERCONNECT - HW.CE"/>
    <s v="OLYMPIA DNX-88 INTERCONNECT - HW.CE"/>
    <s v="12/2023"/>
    <n v="1"/>
    <n v="167064.89000000001"/>
    <n v="58611.340000000004"/>
    <n v="108453.55"/>
    <x v="3"/>
    <x v="2"/>
  </r>
  <r>
    <s v="General Plant, Common"/>
    <s v="Common (E &amp; G)"/>
    <s v="General Plant, King County Unincorporated within RTA District, WA : GPL-0000 WA11700990"/>
    <n v="48922482"/>
    <s v="C3912 CMN Computer Eq, new"/>
    <n v="143005642"/>
    <s v="REPLACEMENT OF SEL TO PA-220R - HW."/>
    <s v="REPLACEMENT OF SEL TO PA-220R - HW.CE"/>
    <s v="12/2023"/>
    <n v="1"/>
    <n v="414852.73"/>
    <n v="145542.69"/>
    <n v="269310.03999999998"/>
    <x v="3"/>
    <x v="2"/>
  </r>
  <r>
    <s v="General Plant, Common"/>
    <s v="Common (E &amp; G)"/>
    <s v="General Plant, Pierce County outside RTA District, WA : GPL-0000 WA02700000"/>
    <n v="49413708"/>
    <s v="C3912 CMN Computer Eq, new"/>
    <n v="143005505"/>
    <s v="ELC-COM - KITSAP PENINSULA MW UPGRA"/>
    <s v="ELC-COM - KITSAP PENINSULA MW UPGRADE -"/>
    <s v="12/2023"/>
    <n v="1"/>
    <n v="6819.46"/>
    <n v="2392.4700000000003"/>
    <n v="4426.99"/>
    <x v="3"/>
    <x v="2"/>
  </r>
  <r>
    <s v="General Plant, Common"/>
    <s v="Common (E &amp; G)"/>
    <s v="General Plant, Pierce County outside RTA District, WA : GPL-0000 WA02700000"/>
    <n v="49413729"/>
    <s v="C3912 CMN Computer Eq, new"/>
    <n v="143005535"/>
    <s v="TRNSPRT NTWRK MOD-GRAVELLY LAKE-HW."/>
    <s v="TRNSPRT NTWRK MOD-GRAVELLY LAKE-HW.CE"/>
    <s v="12/2023"/>
    <n v="1"/>
    <n v="29854.71"/>
    <n v="10473.92"/>
    <n v="19380.79"/>
    <x v="3"/>
    <x v="2"/>
  </r>
  <r>
    <s v="General Plant, Common"/>
    <s v="Common (E &amp; G)"/>
    <s v="General Plant, King County Unincorporated within RTA District, WA : GPL-0000 WA11700990"/>
    <n v="49945132"/>
    <s v="C3912 CMN Computer Eq, new"/>
    <n v="143004762"/>
    <s v="Workspace Mobility-HW Procurement-H"/>
    <s v="Workspace Mobility-HW Procurement-HW.CE"/>
    <s v="12/2023"/>
    <n v="1"/>
    <n v="71696.070000000007"/>
    <n v="25153.119999999999"/>
    <n v="46542.950000000004"/>
    <x v="3"/>
    <x v="2"/>
  </r>
  <r>
    <s v="General Plant, Common"/>
    <s v="Common (E &amp; G)"/>
    <s v="General Plant, King County outside RTA District, WA : GPL-0000 WA01700000"/>
    <n v="49945151"/>
    <s v="C3912 CMN Computer Eq, new"/>
    <n v="143005199"/>
    <s v="ANNUAL STORAGE/BACKUP GROWTH 2020 -"/>
    <s v="ANNUAL STORAGE/BACKUP GROWTH 2020 - HW.C"/>
    <s v="12/2023"/>
    <n v="1"/>
    <n v="255141.81"/>
    <n v="89511.34"/>
    <n v="165630.47"/>
    <x v="3"/>
    <x v="2"/>
  </r>
  <r>
    <s v="General Plant, Common"/>
    <s v="Common (E &amp; G)"/>
    <s v="General Plant, King County Unincorporated within RTA District, WA : GPL-0000 WA11700990"/>
    <n v="49945162"/>
    <s v="C3912 CMN Computer Eq, new"/>
    <n v="143005242"/>
    <s v="EASYLOBBY SCANNER - HW.CE"/>
    <s v="EASYLOBBY SCANNER - HW.CE"/>
    <s v="12/2023"/>
    <n v="1"/>
    <n v="35950.370000000003"/>
    <n v="12612.460000000001"/>
    <n v="23337.91"/>
    <x v="3"/>
    <x v="2"/>
  </r>
  <r>
    <s v="General Plant, Common"/>
    <s v="Common (E &amp; G)"/>
    <s v="General Plant, King County Unincorporated within RTA District, WA : GPL-0000 WA11700990"/>
    <n v="49945165"/>
    <s v="C3912 CMN Computer Eq, new"/>
    <n v="143005248"/>
    <s v="AV CONF/LAB IMPROVEMENTS - ESO - HW"/>
    <s v="AV CONF/LAB IMPROVEMENTS - ESO - HW.CE"/>
    <s v="12/2023"/>
    <n v="1"/>
    <n v="119931.19"/>
    <n v="42075.43"/>
    <n v="77855.759999999995"/>
    <x v="3"/>
    <x v="2"/>
  </r>
  <r>
    <s v="General Plant, Common"/>
    <s v="Common (E &amp; G)"/>
    <s v="General Plant, King County outside RTA District, WA : GPL-0000 WA01700000"/>
    <n v="49945170"/>
    <s v="C3912 CMN Computer Eq, new"/>
    <n v="143005260"/>
    <s v="ANNUAL SERVER GROWTH/REFRESH 2020 -"/>
    <s v="ANNUAL SERVER GROWTH/REFRESH 2020 - HW.C"/>
    <s v="12/2023"/>
    <n v="1"/>
    <n v="410560.58"/>
    <n v="144036.87"/>
    <n v="266523.71000000002"/>
    <x v="3"/>
    <x v="2"/>
  </r>
  <r>
    <s v="General Plant, Common"/>
    <s v="Common (E &amp; G)"/>
    <s v="General Plant, Kittitas County, WA : GPL-0000 WA01900000"/>
    <n v="49945181"/>
    <s v="C3912 CMN Computer Eq, new"/>
    <n v="143005265"/>
    <s v="CAS-DC 2020 ANNUAL IMPROVEMENTS - H"/>
    <s v="CAS-DC 2020 ANNUAL IMPROVEMENTS - HW.CE"/>
    <s v="12/2023"/>
    <n v="1"/>
    <n v="226539.82"/>
    <n v="79476.91"/>
    <n v="147062.91"/>
    <x v="3"/>
    <x v="2"/>
  </r>
  <r>
    <s v="General Plant, Common"/>
    <s v="Common (E &amp; G)"/>
    <s v="General Plant, King County Unincorporated within RTA District, WA : GPL-0000 WA11700990"/>
    <n v="49945186"/>
    <s v="C3912 CMN Computer Eq, new"/>
    <n v="143005266"/>
    <s v="ESO 2020 ANNUAL IMPROVEMENTS - HW.C"/>
    <s v="ESO 2020 ANNUAL IMPROVEMENTS - HW.CE"/>
    <s v="12/2023"/>
    <n v="1"/>
    <n v="91135.430000000008"/>
    <n v="31973.02"/>
    <n v="59162.41"/>
    <x v="3"/>
    <x v="2"/>
  </r>
  <r>
    <s v="General Plant, Common"/>
    <s v="Common (E &amp; G)"/>
    <s v="General Plant, King County outside RTA District, WA : GPL-0000 WA01700000"/>
    <n v="49945191"/>
    <s v="C3912 CMN Computer Eq, new"/>
    <n v="143005267"/>
    <s v="SQE-DC 2020 ANNUAL IMPROVEMENTS - H"/>
    <s v="SQE-DC 2020 ANNUAL IMPROVEMENTS - HW.CE"/>
    <s v="12/2023"/>
    <n v="1"/>
    <n v="132693.63"/>
    <n v="46552.88"/>
    <n v="86140.75"/>
    <x v="3"/>
    <x v="2"/>
  </r>
  <r>
    <s v="General Plant, Common"/>
    <s v="Common (E &amp; G)"/>
    <s v="General Plant, King County Unincorporated within RTA District, WA : GPL-0000 WA11700990"/>
    <n v="49945196"/>
    <s v="C3912 CMN Computer Eq, new"/>
    <n v="143005268"/>
    <s v="2020 IT PC Refresh - HW.CE"/>
    <s v="2020 IT PC Refresh - HW.CE"/>
    <s v="12/2023"/>
    <n v="1"/>
    <n v="2320700.71"/>
    <n v="814170.9"/>
    <n v="1506529.81"/>
    <x v="3"/>
    <x v="2"/>
  </r>
  <r>
    <s v="General Plant, Common"/>
    <s v="Common (E &amp; G)"/>
    <s v="General Plant, Columbia County, WA : GPL-0000 WA00700000"/>
    <n v="49945201"/>
    <s v="C3912 CMN Computer Eq, new"/>
    <n v="143005277"/>
    <s v="INCREASE NETWORK BANDWIDTH - DAYTON"/>
    <s v="INCREASE NETWORK BANDWIDTH - DAYTON - HW"/>
    <s v="12/2023"/>
    <n v="1"/>
    <n v="46556.1"/>
    <n v="16333.27"/>
    <n v="30222.83"/>
    <x v="3"/>
    <x v="2"/>
  </r>
  <r>
    <s v="General Plant, Common"/>
    <s v="Common (E &amp; G)"/>
    <s v="General Plant, King County Unincorporated within RTA District, WA : GPL-0000 WA11700990"/>
    <n v="49945213"/>
    <s v="C3912 CMN Computer Eq, new"/>
    <n v="143005286"/>
    <s v="ANNUAL NETWORK TECH REFRESH/GROW - "/>
    <s v="ANNUAL NETWORK TECH REFRESH/GROW - HW.CE"/>
    <s v="12/2023"/>
    <n v="1"/>
    <n v="1016652.42"/>
    <n v="356671.93"/>
    <n v="659980.49"/>
    <x v="3"/>
    <x v="2"/>
  </r>
  <r>
    <s v="General Plant, Common"/>
    <s v="Common (E &amp; G)"/>
    <s v="General Plant, King County Unincorporated within RTA District, WA : GPL-0000 WA11700990"/>
    <n v="49945249"/>
    <s v="C3912 CMN Computer Eq, new"/>
    <n v="143005367"/>
    <s v="NERC USB SCANNING STATIONS - HW.CE"/>
    <s v="NERC USB SCANNING STATIONS - HW.CE"/>
    <s v="12/2023"/>
    <n v="1"/>
    <n v="13758.98"/>
    <n v="4827.0600000000004"/>
    <n v="8931.92"/>
    <x v="3"/>
    <x v="2"/>
  </r>
  <r>
    <s v="General Plant, Common"/>
    <s v="Common (E &amp; G)"/>
    <s v="General Plant, King County Unincorporated within RTA District, WA : GPL-0000 WA11700990"/>
    <n v="49945271"/>
    <s v="C3912 CMN Computer Eq, new"/>
    <n v="143005482"/>
    <s v="COVID-19 HW - MISC - HW.CE"/>
    <s v="COVID-19 HW - MISC - HW.CE"/>
    <s v="12/2023"/>
    <n v="1"/>
    <n v="144289.01"/>
    <n v="50620.880000000005"/>
    <n v="93668.13"/>
    <x v="3"/>
    <x v="2"/>
  </r>
  <r>
    <s v="General Plant, Common"/>
    <s v="Common (E &amp; G)"/>
    <s v="General Plant, King County Unincorporated within RTA District, WA : GPL-0000 WA11700990"/>
    <n v="49945291"/>
    <s v="C3912 CMN Computer Eq, new"/>
    <n v="143005565"/>
    <s v="PAYMENT PROCESSING REPLACEMENT - HW"/>
    <s v="PAYMENT PROCESSING REPLACEMENT - HW.CE"/>
    <s v="12/2023"/>
    <n v="1"/>
    <n v="10620.460000000001"/>
    <n v="3725.9700000000003"/>
    <n v="6894.49"/>
    <x v="3"/>
    <x v="2"/>
  </r>
  <r>
    <s v="General Plant, Common"/>
    <s v="Common (E &amp; G)"/>
    <s v="General Plant, King County outside RTA District, WA : GPL-0000 WA01700000"/>
    <n v="49945302"/>
    <s v="C3912 CMN Computer Eq, new"/>
    <n v="143005668"/>
    <s v="Backup Security Command Center - HW"/>
    <s v="Backup Security Command Center - HW.CE"/>
    <s v="12/2023"/>
    <n v="1"/>
    <n v="44476.01"/>
    <n v="15603.51"/>
    <n v="28872.5"/>
    <x v="3"/>
    <x v="2"/>
  </r>
  <r>
    <s v="General Plant, Common"/>
    <s v="Common (E &amp; G)"/>
    <s v="General Plant, King County outside RTA District, WA : GPL-0000 WA01700000"/>
    <n v="49945311"/>
    <s v="C3912 CMN Computer Eq, new"/>
    <n v="143005742"/>
    <s v="IT INFRA CAPABILITY ENHANCEMENTS - "/>
    <s v="IT INFRA CAPABILITY ENHANCEMENTS - HW.CE"/>
    <s v="12/2023"/>
    <n v="1"/>
    <n v="47652.42"/>
    <n v="16717.89"/>
    <n v="30934.53"/>
    <x v="3"/>
    <x v="2"/>
  </r>
  <r>
    <s v="General Plant, Common"/>
    <s v="Common (E &amp; G)"/>
    <s v="General Plant, Kittitas County, WA : GPL-0000 WA01900000"/>
    <n v="59148349"/>
    <s v="C3912 CMN Computer Eq, new"/>
    <n v="143005439"/>
    <s v="LOOKOUT MT EAST MPLS TRNSPRT NTWRK "/>
    <s v="LOOKOUT MT EAST MPLS TRNSPRT NTWRK - HW."/>
    <s v="12/2023"/>
    <n v="1"/>
    <n v="36917.07"/>
    <n v="9195.1200000000008"/>
    <n v="27721.95"/>
    <x v="3"/>
    <x v="2"/>
  </r>
  <r>
    <s v="General Plant, Common"/>
    <s v="Common (E &amp; G)"/>
    <s v="General Plant, King County outside RTA District, WA : GPL-0000 WA01700000"/>
    <n v="59148356"/>
    <s v="C3912 CMN Computer Eq, new"/>
    <n v="143005500"/>
    <s v="BALDI SUB MPLS TRANSPORT NETWORK - "/>
    <s v="BALDI SUB MPLS TRANSPORT NETWORK - HW.CE"/>
    <s v="12/2023"/>
    <n v="1"/>
    <n v="35992.99"/>
    <n v="8964.9500000000007"/>
    <n v="27028.04"/>
    <x v="3"/>
    <x v="2"/>
  </r>
  <r>
    <s v="General Plant, Common"/>
    <s v="Common (E &amp; G)"/>
    <s v="General Plant, Kittitas County, WA : GPL-0000 WA01900000"/>
    <n v="59148361"/>
    <s v="C3912 CMN Computer Eq, new"/>
    <n v="143005506"/>
    <s v="SPD-COM MPLS TRANSPORT NETWORK IMP "/>
    <s v="SPD-COM MPLS TRANSPORT NETWORK IMP - HW."/>
    <s v="12/2023"/>
    <n v="1"/>
    <n v="35992.99"/>
    <n v="8964.9500000000007"/>
    <n v="27028.04"/>
    <x v="3"/>
    <x v="2"/>
  </r>
  <r>
    <s v="General Plant, Common"/>
    <s v="Common (E &amp; G)"/>
    <s v="General Plant, Skagit County, WA : GPL-0000 WA02900000"/>
    <n v="50997926"/>
    <s v="C3912 CMN Computer Eq, new"/>
    <n v="143005502"/>
    <s v="SKA-SVC TO BRC-COM TRANS NETWORK IM"/>
    <s v="SKA-SVC TO BRC-COM TRANS NETWORK IMP - H"/>
    <s v="12/2023"/>
    <n v="1"/>
    <n v="10026.92"/>
    <n v="2497.4500000000003"/>
    <n v="7529.47"/>
    <x v="3"/>
    <x v="2"/>
  </r>
  <r>
    <s v="General Plant, Common"/>
    <s v="Common (E &amp; G)"/>
    <s v="General Plant, King County Unincorporated within RTA District, WA : GPL-0000 WA11700990"/>
    <n v="52052298"/>
    <s v="C3912 CMN Computer Eq, new"/>
    <n v="143005925"/>
    <s v="LTN-SUB SAR8 TRANSPORT IMPROV - HW."/>
    <s v="LTN-SUB SAR8 TRANSPORT IMPROV - HW.CE"/>
    <s v="12/2023"/>
    <n v="1"/>
    <n v="38747.410000000003"/>
    <n v="9651.01"/>
    <n v="29096.400000000001"/>
    <x v="3"/>
    <x v="2"/>
  </r>
  <r>
    <s v="General Plant, Common"/>
    <s v="Common (E &amp; G)"/>
    <s v="General Plant, King County outside RTA District, WA : GPL-0000 WA01700000"/>
    <n v="52052305"/>
    <s v="C3912 CMN Computer Eq, new"/>
    <n v="143005943"/>
    <s v="FCR-SUB SAR8 INSTALLATION - HW.CE"/>
    <s v="FCR-SUB SAR8 INSTALLATION - HW.CE"/>
    <s v="12/2023"/>
    <n v="1"/>
    <n v="36263.270000000004"/>
    <n v="9032.27"/>
    <n v="27231"/>
    <x v="3"/>
    <x v="2"/>
  </r>
  <r>
    <s v="General Plant, Common"/>
    <s v="Common (E &amp; G)"/>
    <s v="General Plant, King County outside RTA District, WA : GPL-0000 WA01700000"/>
    <n v="52235269"/>
    <s v="C3912 CMN Computer Eq, new"/>
    <n v="143005635"/>
    <s v="SQE DC TRANSPORT IMP - MEGAPORT - H"/>
    <s v="SQE DC TRANSPORT IMP - MEGAPORT - HW.CE"/>
    <s v="12/2023"/>
    <n v="1"/>
    <n v="29762.36"/>
    <n v="7413.06"/>
    <n v="22349.3"/>
    <x v="3"/>
    <x v="2"/>
  </r>
  <r>
    <s v="General Plant, Common"/>
    <s v="Common (E &amp; G)"/>
    <s v="General Plant, King County outside RTA District, WA : GPL-0000 WA01700000"/>
    <n v="52235330"/>
    <s v="C3912 CMN Computer Eq, new"/>
    <n v="143005941"/>
    <s v="FRC-SUB TRANSPORT NETWORK IMPRVMNT "/>
    <s v="FRC-SUB TRANSPORT NETWORK IMPRVMNT - HW."/>
    <s v="12/2023"/>
    <n v="1"/>
    <n v="17298.990000000002"/>
    <n v="4308.75"/>
    <n v="12990.24"/>
    <x v="3"/>
    <x v="2"/>
  </r>
  <r>
    <s v="General Plant, Common"/>
    <s v="Common (E &amp; G)"/>
    <s v="General Plant, King County outside RTA District, WA : GPL-0000 WA01700000"/>
    <n v="53009600"/>
    <s v="C3912 CMN Computer Eq, new"/>
    <n v="143005272"/>
    <s v="Transport Telco SQE-DC - HW.CE"/>
    <s v="Transport Telco SQE-DC - HW.CE"/>
    <s v="12/2023"/>
    <n v="1"/>
    <n v="11451.18"/>
    <n v="2852.2000000000003"/>
    <n v="8598.98"/>
    <x v="3"/>
    <x v="2"/>
  </r>
  <r>
    <s v="General Plant, Common"/>
    <s v="Common (E &amp; G)"/>
    <s v="General Plant, King County Unincorporated within RTA District, WA : GPL-0000 WA11700990"/>
    <n v="53506951"/>
    <s v="C3912 CMN Computer Eq, new"/>
    <n v="143005274"/>
    <s v="SAFETY TELEMATICS FOR FLEET - HW.CE"/>
    <s v="SAFETY TELEMATICS FOR FLEET - HW.CE"/>
    <s v="12/2023"/>
    <n v="1"/>
    <n v="167340.14000000001"/>
    <n v="41680.239999999998"/>
    <n v="125659.90000000001"/>
    <x v="3"/>
    <x v="2"/>
  </r>
  <r>
    <s v="General Plant, Common"/>
    <s v="Common (E &amp; G)"/>
    <s v="General Plant, King County Unincorporated within RTA District, WA : GPL-0000 WA11700990"/>
    <n v="53506995"/>
    <s v="C3912 CMN Computer Eq, new"/>
    <n v="143006017"/>
    <s v="BOTO TEAMS DEMO ROOM AV - HW.CE"/>
    <s v="BOTO TEAMS DEMO ROOM AV - HW.CE"/>
    <s v="12/2023"/>
    <n v="1"/>
    <n v="15710.67"/>
    <n v="3913.13"/>
    <n v="11797.54"/>
    <x v="3"/>
    <x v="2"/>
  </r>
  <r>
    <s v="General Plant, Common"/>
    <s v="Common (E &amp; G)"/>
    <s v="General Plant, King County outside RTA District, WA : GPL-0000 WA01700000"/>
    <n v="59148344"/>
    <s v="C3912 CMN Computer Eq, new"/>
    <n v="143005364"/>
    <s v="Hana 2.0 HW Upgrade - HW.CE"/>
    <s v="Hana 2.0 HW Upgrade - HW.CE"/>
    <s v="12/2023"/>
    <n v="1"/>
    <n v="4027490.64"/>
    <n v="1003147.03"/>
    <n v="3024343.61"/>
    <x v="3"/>
    <x v="2"/>
  </r>
  <r>
    <s v="General Plant, Common"/>
    <s v="Common (E &amp; G)"/>
    <s v="General Plant, Skagit County, WA : GPL-0000 WA02900000"/>
    <n v="56540279"/>
    <s v="C3912 CMN Computer Eq, new"/>
    <n v="143005247"/>
    <s v="VOIP UPGRADES FREDONIA - HW.CE"/>
    <s v="VOIP UPGRADES FREDONIA - HW.CE"/>
    <s v="12/2023"/>
    <n v="1"/>
    <n v="69912.22"/>
    <n v="17413.38"/>
    <n v="52498.840000000004"/>
    <x v="3"/>
    <x v="2"/>
  </r>
  <r>
    <s v="General Plant, Common"/>
    <s v="Common (E &amp; G)"/>
    <s v="General Plant, Whatcom County, WA : GPL-0000 WA03700000"/>
    <n v="57126256"/>
    <s v="C3912 CMN Computer Eq, new"/>
    <n v="143005926"/>
    <s v="TER-SUB SAR8 TRANSPORT IMPROV - HW."/>
    <s v="TER-SUB SAR8 TRANSPORT IMPROV - HW.CE"/>
    <s v="12/2023"/>
    <n v="1"/>
    <n v="52958.270000000004"/>
    <n v="13190.58"/>
    <n v="39767.69"/>
    <x v="3"/>
    <x v="2"/>
  </r>
  <r>
    <s v="General Plant, Common"/>
    <s v="Common (E &amp; G)"/>
    <s v="General Plant, Skagit County, WA : GPL-0000 WA02900000"/>
    <n v="57126261"/>
    <s v="C3912 CMN Computer Eq, new"/>
    <n v="143005927"/>
    <s v="BKB-SUB SAR8 TRANSPORT IMPROV - HW."/>
    <s v="BKB-SUB SAR8 TRANSPORT IMPROV - HW.CE"/>
    <s v="12/2023"/>
    <n v="1"/>
    <n v="57332.630000000005"/>
    <n v="14280.12"/>
    <n v="43052.51"/>
    <x v="3"/>
    <x v="2"/>
  </r>
  <r>
    <s v="General Plant, Common"/>
    <s v="Common (E &amp; G)"/>
    <s v="General Plant, King County Unincorporated within RTA District, WA : GPL-0000 WA11700990"/>
    <n v="57360976"/>
    <s v="C3912 CMN Computer Eq, new"/>
    <n v="143005975"/>
    <s v="TRANSP NET MODERNIZATION-SAM SUB - "/>
    <s v="TRANSP NET MODERNIZATION-SAM SUB - HW.CE"/>
    <s v="12/2023"/>
    <n v="1"/>
    <n v="101048.89"/>
    <n v="25168.75"/>
    <n v="75880.14"/>
    <x v="3"/>
    <x v="2"/>
  </r>
  <r>
    <s v="General Plant, Common"/>
    <s v="Common (E &amp; G)"/>
    <s v="General Plant, King County Unincorporated within RTA District, WA : GPL-0000 WA11700990"/>
    <n v="57360979"/>
    <s v="C3912 CMN Computer Eq, new"/>
    <n v="143005976"/>
    <s v="TRANSP NET MODERNIZATION-SHU SUB - "/>
    <s v="TRANSP NET MODERNIZATION-SHU SUB - HW.CE"/>
    <s v="12/2023"/>
    <n v="1"/>
    <n v="42871.200000000004"/>
    <n v="10678.14"/>
    <n v="32193.06"/>
    <x v="3"/>
    <x v="2"/>
  </r>
  <r>
    <s v="General Plant, Common"/>
    <s v="Common (E &amp; G)"/>
    <s v="General Plant, King County Unincorporated within RTA District, WA : GPL-0000 WA11700990"/>
    <n v="57360982"/>
    <s v="C3912 CMN Computer Eq, new"/>
    <n v="143005977"/>
    <s v="TRANSP NET MODERNIZATION-FAC SUB - "/>
    <s v="TRANSP NET MODERNIZATION-FAC SUB - HW.CE"/>
    <s v="12/2023"/>
    <n v="1"/>
    <n v="146209.46"/>
    <n v="36417.11"/>
    <n v="109792.35"/>
    <x v="3"/>
    <x v="2"/>
  </r>
  <r>
    <s v="General Plant, Common"/>
    <s v="Common (E &amp; G)"/>
    <s v="General Plant, King County Unincorporated within RTA District, WA : GPL-0000 WA11700990"/>
    <n v="57360985"/>
    <s v="C3912 CMN Computer Eq, new"/>
    <n v="143005978"/>
    <s v="TRANSP NET MODERNIZATION-FAC SVC - "/>
    <s v="TRANSP NET MODERNIZATION-FAC SVC - HW.CE"/>
    <s v="12/2023"/>
    <n v="1"/>
    <n v="172554.67"/>
    <n v="42979.05"/>
    <n v="129575.62000000001"/>
    <x v="3"/>
    <x v="2"/>
  </r>
  <r>
    <s v="General Plant, Common"/>
    <s v="Common (E &amp; G)"/>
    <s v="General Plant, King County Unincorporated within RTA District, WA : GPL-0000 WA11700990"/>
    <n v="57360988"/>
    <s v="C3912 CMN Computer Eq, new"/>
    <n v="143005979"/>
    <s v="TRANSP NET MODERNIZATION-ARD SUB - "/>
    <s v="TRANSP NET MODERNIZATION-ARD SUB - HW.CE"/>
    <s v="12/2023"/>
    <n v="1"/>
    <n v="57895.6"/>
    <n v="14420.34"/>
    <n v="43475.26"/>
    <x v="3"/>
    <x v="2"/>
  </r>
  <r>
    <s v="General Plant, Common"/>
    <s v="Common (E &amp; G)"/>
    <s v="General Plant, King County outside RTA District, WA : GPL-0000 WA01700000"/>
    <n v="57360993"/>
    <s v="C3912 CMN Computer Eq, new"/>
    <n v="143006142"/>
    <s v="TRANSP NET MODERNIZATION-RSC COM - "/>
    <s v="TRANSP NET MODERNIZATION-RSC COM - HW.CE"/>
    <s v="12/2023"/>
    <n v="1"/>
    <n v="32833.47"/>
    <n v="8177.99"/>
    <n v="24655.48"/>
    <x v="3"/>
    <x v="2"/>
  </r>
  <r>
    <s v="General Plant, Common"/>
    <s v="Common (E &amp; G)"/>
    <s v="General Plant, Kittitas County, WA : GPL-0000 WA01900000"/>
    <n v="59148333"/>
    <s v="C3912 CMN Computer Eq, new"/>
    <n v="143005273"/>
    <s v="TRANSPORT TELCO CAS-DC - HW.CE"/>
    <s v="TRANSPORT TELCO CAS-DC - HW.CE"/>
    <s v="12/2023"/>
    <n v="1"/>
    <n v="43475.1"/>
    <n v="10828.56"/>
    <n v="32646.54"/>
    <x v="3"/>
    <x v="2"/>
  </r>
  <r>
    <s v="General Plant, Common"/>
    <s v="Common (E &amp; G)"/>
    <s v="General Plant, Kittitas County, WA : GPL-0000 WA01900000"/>
    <n v="59148384"/>
    <s v="C3912 CMN Computer Eq, new"/>
    <n v="143005924"/>
    <s v="KIT-SVC SAR8 TRANSPORT IIMPROVEMENT"/>
    <s v="KIT-SVC SAR8 TRANSPORT IIMPROVEMENTS - H"/>
    <s v="12/2023"/>
    <n v="1"/>
    <n v="16808.830000000002"/>
    <n v="4186.66"/>
    <n v="12622.17"/>
    <x v="3"/>
    <x v="2"/>
  </r>
  <r>
    <s v="General Plant, Common"/>
    <s v="Common (E &amp; G)"/>
    <s v="General Plant, King County Unincorporated within RTA District, WA : GPL-0000 WA11700990"/>
    <n v="57917050"/>
    <s v="C3912 CMN Computer Eq, new"/>
    <n v="143005237"/>
    <s v="TRANSPORT NETWORK MODERNIZATION - H"/>
    <s v="TRANSPORT NETWORK MODERNIZATION - HW.CE"/>
    <s v="12/2023"/>
    <n v="1"/>
    <n v="1064352.21"/>
    <n v="265103.47000000003"/>
    <n v="799248.74"/>
    <x v="3"/>
    <x v="2"/>
  </r>
  <r>
    <s v="General Plant, Common"/>
    <s v="Common (E &amp; G)"/>
    <s v="General Plant, King County Unincorporated within RTA District, WA : GPL-0000 WA11700990"/>
    <n v="57917065"/>
    <s v="C3912 CMN Computer Eq, new"/>
    <n v="143005866"/>
    <s v="ANNUAL TELECOM EQUIP GROWTH (2021) "/>
    <s v="ANNUAL TELECOM EQUIP GROWTH (2021) - HW."/>
    <s v="12/2023"/>
    <n v="1"/>
    <n v="85476.44"/>
    <n v="21290.04"/>
    <n v="64186.400000000001"/>
    <x v="3"/>
    <x v="2"/>
  </r>
  <r>
    <s v="General Plant, Common"/>
    <s v="Common (E &amp; G)"/>
    <s v="General Plant, Kitsap County, WA : GPL-0000 WA01800000"/>
    <n v="57917105"/>
    <s v="C3912 CMN Computer Eq, new"/>
    <n v="143006011"/>
    <s v="SBR-SUB SAR8 TRANSPORT IMPROV - HW."/>
    <s v="SBR-SUB SAR8 TRANSPORT IMPROV - HW.CE"/>
    <s v="12/2023"/>
    <n v="1"/>
    <n v="56371.23"/>
    <n v="14040.66"/>
    <n v="42330.57"/>
    <x v="3"/>
    <x v="2"/>
  </r>
  <r>
    <s v="General Plant, Common"/>
    <s v="Common (E &amp; G)"/>
    <s v="General Plant, King County Unincorporated within RTA District, WA : GPL-0000 WA11700990"/>
    <n v="57917111"/>
    <s v="C3912 CMN Computer Eq, new"/>
    <n v="143006018"/>
    <s v="2021 ANNUAL COMM ROOM HW REFRESH - "/>
    <s v="2021 ANNUAL COMM ROOM HW REFRESH - HW.CE"/>
    <s v="12/2023"/>
    <n v="1"/>
    <n v="9099.2900000000009"/>
    <n v="2266.41"/>
    <n v="6832.88"/>
    <x v="3"/>
    <x v="2"/>
  </r>
  <r>
    <s v="General Plant, Common"/>
    <s v="Common (E &amp; G)"/>
    <s v="General Plant, King County Unincorporated within RTA District, WA : GPL-0000 WA11700990"/>
    <n v="58131180"/>
    <s v="C3912 CMN Computer Eq, new"/>
    <n v="143005867"/>
    <s v="ANNUAL TELECOM NETWORK RFRSH (2021)"/>
    <s v="ANNUAL TELECOM NETWORK RFRSH (2021) - HW"/>
    <s v="12/2023"/>
    <n v="1"/>
    <n v="46051.99"/>
    <n v="11470.4"/>
    <n v="34581.590000000004"/>
    <x v="3"/>
    <x v="2"/>
  </r>
  <r>
    <s v="General Plant, Common"/>
    <s v="Common (E &amp; G)"/>
    <s v="General Plant, King County Unincorporated within RTA District, WA : GPL-0000 WA11700990"/>
    <n v="58131183"/>
    <s v="C3912 CMN Computer Eq, new"/>
    <n v="143005870"/>
    <s v="ANNUAL END USER PC REFRESH (2021) -"/>
    <s v="ANNUAL END USER PC REFRESH (2021) - HW.C"/>
    <s v="12/2023"/>
    <n v="1"/>
    <n v="2322844.67"/>
    <n v="578562.42000000004"/>
    <n v="1744282.25"/>
    <x v="3"/>
    <x v="2"/>
  </r>
  <r>
    <s v="General Plant, Common"/>
    <s v="Common (E &amp; G)"/>
    <s v="General Plant, King County outside RTA District, WA : GPL-0000 WA01700000"/>
    <n v="58131243"/>
    <s v="C3912 CMN Computer Eq, new"/>
    <n v="143006008"/>
    <s v="SQE-DC 2021 ANNUAL IMPROVEMENTS - H"/>
    <s v="SQE-DC 2021 ANNUAL IMPROVEMENTS - HW.CE"/>
    <s v="12/2023"/>
    <n v="1"/>
    <n v="85128.63"/>
    <n v="21203.41"/>
    <n v="63925.22"/>
    <x v="3"/>
    <x v="2"/>
  </r>
  <r>
    <s v="General Plant, Common"/>
    <s v="Common (E &amp; G)"/>
    <s v="General Plant, Kittitas County, WA : GPL-0000 WA01900000"/>
    <n v="58131246"/>
    <s v="C3912 CMN Computer Eq, new"/>
    <n v="143006009"/>
    <s v="CAS-DC 2021 ANNUAL IMPROVEMENTS - H"/>
    <s v="CAS-DC 2021 ANNUAL IMPROVEMENTS - HW.CE"/>
    <s v="12/2023"/>
    <n v="1"/>
    <n v="153276.26999999999"/>
    <n v="38177.279999999999"/>
    <n v="115098.99"/>
    <x v="3"/>
    <x v="2"/>
  </r>
  <r>
    <s v="General Plant, Common"/>
    <s v="Common (E &amp; G)"/>
    <s v="General Plant, King County Unincorporated within RTA District, WA : GPL-0000 WA11700990"/>
    <n v="67452114"/>
    <s v="C3912 CMN Computer Eq, new"/>
    <n v="143006042"/>
    <s v="FIB - NJUNS TICKETS"/>
    <s v="WIRING - FIBER OPTIC CABLE"/>
    <s v="12/2023"/>
    <n v="0"/>
    <n v="69700.36"/>
    <n v="17360.61"/>
    <n v="52339.75"/>
    <x v="3"/>
    <x v="2"/>
  </r>
  <r>
    <s v="General Plant, Common"/>
    <s v="Common (E &amp; G)"/>
    <s v="General Plant, King County Unincorporated within RTA District, WA : GPL-0000 WA11700990"/>
    <n v="58341051"/>
    <s v="C3912 CMN Computer Eq, new"/>
    <n v="143005287"/>
    <s v="DATA GOVERNANCE &amp; ENABLEMENT - HW.C"/>
    <s v="DATA GOVERNANCE &amp; ENABLEMENT - HW.CE"/>
    <s v="12/2023"/>
    <n v="1"/>
    <n v="269818.5"/>
    <n v="47079.03"/>
    <n v="222739.47"/>
    <x v="3"/>
    <x v="2"/>
  </r>
  <r>
    <s v="General Plant, Common"/>
    <s v="Common (E &amp; G)"/>
    <s v="General Plant, Kitsap County, WA : GPL-0000 WA01800000"/>
    <n v="58341060"/>
    <s v="C3912 CMN Computer Eq, new"/>
    <n v="143005503"/>
    <s v="BRC-COM - KITSAP PENINSULA MW UPGRA"/>
    <s v="BRC-COM - KITSAP PENINSULA MW UPGRADE -"/>
    <s v="12/2023"/>
    <n v="1"/>
    <n v="38814.04"/>
    <n v="6772.43"/>
    <n v="32041.61"/>
    <x v="3"/>
    <x v="2"/>
  </r>
  <r>
    <s v="General Plant, Common"/>
    <s v="Common (E &amp; G)"/>
    <s v="General Plant, King County Unincorporated within RTA District, WA : GPL-0000 WA11700990"/>
    <n v="58341063"/>
    <s v="C3912 CMN Computer Eq, new"/>
    <n v="143005869"/>
    <s v="DATA CENTER HARDWARE REFRESH - HW.C"/>
    <s v="DATA CENTER HARDWARE REFRESH - HW.CE"/>
    <s v="12/2023"/>
    <n v="1"/>
    <n v="1348659.73"/>
    <n v="235319.65"/>
    <n v="1113340.08"/>
    <x v="3"/>
    <x v="2"/>
  </r>
  <r>
    <s v="General Plant, Common"/>
    <s v="Common (E &amp; G)"/>
    <s v="General Plant, King County outside RTA District, WA : GPL-0000 WA01700000"/>
    <n v="58341177"/>
    <s v="C3912 CMN Computer Eq, new"/>
    <n v="143006362"/>
    <s v="ANNUAL STORAGE/BACKUP GROWTH 2021 ."/>
    <s v="ANNUAL STORAGE/BACKUP GROWTH 2021 – HW.C"/>
    <s v="12/2023"/>
    <n v="1"/>
    <n v="470084.62"/>
    <n v="82022.28"/>
    <n v="388062.34"/>
    <x v="3"/>
    <x v="2"/>
  </r>
  <r>
    <s v="General Plant, Common"/>
    <s v="Common (E &amp; G)"/>
    <s v="General Plant, Whatcom County, WA : GPL-0000 WA03700000"/>
    <n v="58533199"/>
    <s v="C3912 CMN Computer Eq, new"/>
    <n v="143005245"/>
    <s v="VOIP UPGRADES WHITEHORN - HW.CE"/>
    <s v="VOIP UPGRADES WHITEHORN - HW.CE"/>
    <s v="12/2023"/>
    <n v="1"/>
    <n v="137678.99"/>
    <n v="24022.79"/>
    <n v="113656.2"/>
    <x v="3"/>
    <x v="2"/>
  </r>
  <r>
    <s v="General Plant, Common"/>
    <s v="Common (E &amp; G)"/>
    <s v="General Plant, Kittitas County, WA : GPL-0000 WA01900000"/>
    <n v="62712049"/>
    <s v="C3912 CMN Computer Eq, new"/>
    <n v="143005869"/>
    <s v="DATA CENTER HARDWARE REFRESH - HW.C"/>
    <s v="DATA CENTER HARDWARE REFRESH - HW.CE"/>
    <s v="12/2023"/>
    <n v="1"/>
    <n v="1349469.92"/>
    <n v="235461.02000000002"/>
    <n v="1114008.8999999999"/>
    <x v="3"/>
    <x v="2"/>
  </r>
  <r>
    <s v="General Plant, Common"/>
    <s v="Common (E &amp; G)"/>
    <s v="General Plant, King County Unincorporated within RTA District, WA : GPL-0000 WA11700990"/>
    <n v="58630182"/>
    <s v="C3912 CMN Computer Eq, new"/>
    <n v="143006223"/>
    <s v="EST CORE MOVE - IT CEN-SUB - HW.CE"/>
    <s v="EST CORE MOVE - IT CEN-SUB - HW.CE"/>
    <s v="12/2023"/>
    <n v="1"/>
    <n v="1093.76"/>
    <n v="190.84"/>
    <n v="902.92000000000007"/>
    <x v="3"/>
    <x v="2"/>
  </r>
  <r>
    <s v="General Plant, Common"/>
    <s v="Common (E &amp; G)"/>
    <s v="General Plant, King County Unincorporated within RTA District, WA : GPL-0000 WA11700990"/>
    <n v="58630185"/>
    <s v="C3912 CMN Computer Eq, new"/>
    <n v="143006229"/>
    <s v="EST CORE MOVE - IT LAK-SUB - HW.CE"/>
    <s v="EST CORE MOVE - IT LAK-SUB - HW.CE"/>
    <s v="12/2023"/>
    <n v="1"/>
    <n v="11389.08"/>
    <n v="1987.21"/>
    <n v="9401.8700000000008"/>
    <x v="3"/>
    <x v="2"/>
  </r>
  <r>
    <s v="General Plant, Common"/>
    <s v="Common (E &amp; G)"/>
    <s v="General Plant, King County Unincorporated within RTA District, WA : GPL-0000 WA11700990"/>
    <n v="59041376"/>
    <s v="C3912 CMN Computer Eq, new"/>
    <n v="143006423"/>
    <s v="CHECK PAYMENT - SHORT TERM - HW.CE"/>
    <s v="CHECK PAYMENT - SHORT TERM - HW.CE"/>
    <s v="12/2023"/>
    <n v="1"/>
    <n v="139652.47"/>
    <n v="24367.13"/>
    <n v="115285.34"/>
    <x v="3"/>
    <x v="2"/>
  </r>
  <r>
    <s v="General Plant, Common"/>
    <s v="Common (E &amp; G)"/>
    <s v="General Plant, King County Unincorporated within RTA District, WA : GPL-0000 WA11700990"/>
    <n v="59204290"/>
    <s v="C3912 CMN Computer Eq, new"/>
    <n v="143005863"/>
    <s v="ANNUAL NETWORK TECH REFRESH(2021) -"/>
    <s v="ANNUAL NETWORK TECH REFRESH(2021) - HW.C"/>
    <s v="12/2023"/>
    <n v="1"/>
    <n v="405774.37"/>
    <n v="70801.17"/>
    <n v="334973.2"/>
    <x v="3"/>
    <x v="2"/>
  </r>
  <r>
    <s v="General Plant, Common"/>
    <s v="Common (E &amp; G)"/>
    <s v="General Plant, Pierce County outside RTA District, WA : GPL-0000 WA02700000"/>
    <n v="60027341"/>
    <s v="C3912 CMN Computer Eq, new"/>
    <n v="143006111"/>
    <s v="TRANSP NET MODERNIZATION-WRT SUB - "/>
    <s v="TRANSP NET MODERNIZATION-WRT SUB - HW.CE"/>
    <s v="12/2023"/>
    <n v="1"/>
    <n v="41387.14"/>
    <n v="7221.4000000000005"/>
    <n v="34165.74"/>
    <x v="3"/>
    <x v="2"/>
  </r>
  <r>
    <s v="General Plant, Common"/>
    <s v="Common (E &amp; G)"/>
    <s v="General Plant, King County Unincorporated within RTA District, WA : GPL-0000 WA11700990"/>
    <n v="60027346"/>
    <s v="C3912 CMN Computer Eq, new"/>
    <n v="143006112"/>
    <s v="TRANSP NET MODERNIZATION-TAL SUB - "/>
    <s v="TRANSP NET MODERNIZATION-TAL SUB - HW.CE"/>
    <s v="12/2023"/>
    <n v="1"/>
    <n v="33393.65"/>
    <n v="5826.66"/>
    <n v="27566.99"/>
    <x v="3"/>
    <x v="2"/>
  </r>
  <r>
    <s v="General Plant, Common"/>
    <s v="Common (E &amp; G)"/>
    <s v="General Plant, Skagit County, WA : GPL-0000 WA02900000"/>
    <n v="60027353"/>
    <s v="C3912 CMN Computer Eq, new"/>
    <n v="143006238"/>
    <s v="TRANSPORT NW MOD - BHL COM - HW.CE"/>
    <s v="TRANSPORT NW MOD - BHL COM - HW.CE"/>
    <s v="12/2023"/>
    <n v="1"/>
    <n v="21777.33"/>
    <n v="3799.8"/>
    <n v="17977.53"/>
    <x v="3"/>
    <x v="2"/>
  </r>
  <r>
    <s v="General Plant, Common"/>
    <s v="Common (E &amp; G)"/>
    <s v="General Plant, Skagit County, WA : GPL-0000 WA02900000"/>
    <n v="60027358"/>
    <s v="C3912 CMN Computer Eq, new"/>
    <n v="143006240"/>
    <s v="TRANSPORT NW MOD - HW-BAKER CAMPUS "/>
    <s v="TRANSPORT NW MOD - HW-BAKER CAMPUS - HW."/>
    <s v="12/2023"/>
    <n v="1"/>
    <n v="92498.26"/>
    <n v="16139.470000000001"/>
    <n v="76358.790000000008"/>
    <x v="3"/>
    <x v="2"/>
  </r>
  <r>
    <s v="General Plant, Common"/>
    <s v="Common (E &amp; G)"/>
    <s v="General Plant, King County Unincorporated within RTA District, WA : GPL-0000 WA11700990"/>
    <n v="60027363"/>
    <s v="C3912 CMN Computer Eq, new"/>
    <n v="143006262"/>
    <s v="TRANSP NET MODERNIZATION - BAS SUB "/>
    <s v="TRANSP NET MODERNIZATION - BAS SUB - HW."/>
    <s v="12/2023"/>
    <n v="1"/>
    <n v="24235.33"/>
    <n v="4228.68"/>
    <n v="20006.650000000001"/>
    <x v="3"/>
    <x v="2"/>
  </r>
  <r>
    <s v="General Plant, Common"/>
    <s v="Common (E &amp; G)"/>
    <s v="General Plant, King County Unincorporated within RTA District, WA : GPL-0000 WA11700990"/>
    <n v="59576041"/>
    <s v="C3912 CMN Computer Eq, new"/>
    <n v="143005234"/>
    <s v="CORP SIP TRUNKING EXPANSION - HW.CE"/>
    <s v="CORP SIP TRUNKING EXPANSION - HW.CE"/>
    <s v="12/2023"/>
    <n v="1"/>
    <n v="56755.65"/>
    <n v="9902.9600000000009"/>
    <n v="46852.69"/>
    <x v="3"/>
    <x v="2"/>
  </r>
  <r>
    <s v="General Plant, Common"/>
    <s v="Common (E &amp; G)"/>
    <s v="General Plant, Kitsap County, WA : GPL-0000 WA01800000"/>
    <n v="60305801"/>
    <s v="C3912 CMN Computer Eq, new"/>
    <n v="143006110"/>
    <s v="TRANSP NET MODERNIZATION-BRE SUB - "/>
    <s v="TRANSP NET MODERNIZATION-BRE SUB - HW.CE"/>
    <s v="12/2023"/>
    <n v="1"/>
    <n v="74397.67"/>
    <n v="12981.210000000001"/>
    <n v="61416.46"/>
    <x v="3"/>
    <x v="2"/>
  </r>
  <r>
    <s v="General Plant, Common"/>
    <s v="Common (E &amp; G)"/>
    <s v="General Plant, King County Unincorporated within RTA District, WA : GPL-0000 WA11700990"/>
    <n v="60305804"/>
    <s v="C3912 CMN Computer Eq, new"/>
    <n v="143006114"/>
    <s v="TRANSP NET MODERNIZATION-BCO SUB - "/>
    <s v="TRANSP NET MODERNIZATION-BCO SUB - HW.CE"/>
    <s v="12/2023"/>
    <n v="1"/>
    <n v="30016.100000000002"/>
    <n v="5237.33"/>
    <n v="24778.77"/>
    <x v="3"/>
    <x v="2"/>
  </r>
  <r>
    <s v="General Plant, Common"/>
    <s v="Common (E &amp; G)"/>
    <s v="General Plant, King County Unincorporated within RTA District, WA : GPL-0000 WA11700990"/>
    <n v="60305807"/>
    <s v="C3912 CMN Computer Eq, new"/>
    <n v="143006241"/>
    <s v="TRANSPORT NW MOD - COT SUB - HW.CE"/>
    <s v="TRANSPORT NW MOD - COT SUB - HW.CE"/>
    <s v="12/2023"/>
    <n v="1"/>
    <n v="40652.42"/>
    <n v="7093.2"/>
    <n v="33559.22"/>
    <x v="3"/>
    <x v="2"/>
  </r>
  <r>
    <s v="General Plant, Common"/>
    <s v="Common (E &amp; G)"/>
    <s v="General Plant, King County Unincorporated within RTA District, WA : GPL-0000 WA11700990"/>
    <n v="60305810"/>
    <s v="C3912 CMN Computer Eq, new"/>
    <n v="143006243"/>
    <s v="TRANSPORT NW MOD - NOV SUB - HW.CE"/>
    <s v="TRANSPORT NW MOD - NOV SUB - HW.CE"/>
    <s v="12/2023"/>
    <n v="1"/>
    <n v="56733.520000000004"/>
    <n v="9899.1"/>
    <n v="46834.42"/>
    <x v="3"/>
    <x v="2"/>
  </r>
  <r>
    <s v="General Plant, Common"/>
    <s v="Common (E &amp; G)"/>
    <s v="General Plant, King County outside RTA District, WA : GPL-0000 WA01700000"/>
    <n v="60305813"/>
    <s v="C3912 CMN Computer Eq, new"/>
    <n v="143006246"/>
    <s v="TRANSPORT NW MOD - MSI SUB - HW.CE"/>
    <s v="TRANSPORT NW MOD - MSI SUB - HW.CE"/>
    <s v="12/2023"/>
    <n v="1"/>
    <n v="58285.41"/>
    <n v="10169.880000000001"/>
    <n v="48115.53"/>
    <x v="3"/>
    <x v="2"/>
  </r>
  <r>
    <s v="General Plant, Common"/>
    <s v="Common (E &amp; G)"/>
    <s v="General Plant, Kitsap County, WA : GPL-0000 WA01800000"/>
    <n v="60305816"/>
    <s v="C3912 CMN Computer Eq, new"/>
    <n v="143006249"/>
    <s v="TRANSP. NET. MODERNIZATION-HW-VJU S"/>
    <s v="TRANSP. NET. MODERNIZATION-HW-VJU SUB"/>
    <s v="12/2023"/>
    <n v="1"/>
    <n v="8281.130000000001"/>
    <n v="1444.93"/>
    <n v="6836.2"/>
    <x v="3"/>
    <x v="2"/>
  </r>
  <r>
    <s v="General Plant, Common"/>
    <s v="Common (E &amp; G)"/>
    <s v="General Plant, King County Unincorporated within RTA District, WA : GPL-0000 WA11700990"/>
    <n v="60414598"/>
    <s v="C3912 CMN Computer Eq, new"/>
    <n v="143005974"/>
    <s v="VACATE EST - IT BOT/BUCC - HW.CE"/>
    <s v="VACATE EST - IT BOT/BUCC - HW.CE"/>
    <s v="12/2023"/>
    <n v="1"/>
    <n v="1121381.3600000001"/>
    <n v="195663.19"/>
    <n v="925718.17"/>
    <x v="3"/>
    <x v="2"/>
  </r>
  <r>
    <s v="General Plant, Common"/>
    <s v="Common (E &amp; G)"/>
    <s v="General Plant, Snohomish County outside RTA Dst, WA : GPL-0000 WA03100000"/>
    <n v="61167627"/>
    <s v="C3912 CMN Computer Eq, new"/>
    <n v="143006109"/>
    <s v="TRANSP NET MODERNIZATION - HRS SUB "/>
    <s v="TRANSP NET MODERNIZATION - HRS SUB - HW."/>
    <s v="12/2023"/>
    <n v="1"/>
    <n v="47640.270000000004"/>
    <n v="8312.4699999999993"/>
    <n v="39327.800000000003"/>
    <x v="3"/>
    <x v="2"/>
  </r>
  <r>
    <s v="General Plant, Common"/>
    <s v="Common (E &amp; G)"/>
    <s v="General Plant, Snohomish County outside RTA Dst, WA : GPL-0000 WA03100000"/>
    <n v="61167630"/>
    <s v="C3912 CMN Computer Eq, new"/>
    <n v="143006113"/>
    <s v="TRANSP NET MODERNIZATION-BSN SUB - "/>
    <s v="TRANSP NET MODERNIZATION-BSN SUB - HW.CE"/>
    <s v="12/2023"/>
    <n v="1"/>
    <n v="8117.16"/>
    <n v="1416.32"/>
    <n v="6700.84"/>
    <x v="3"/>
    <x v="2"/>
  </r>
  <r>
    <s v="General Plant, Common"/>
    <s v="Common (E &amp; G)"/>
    <s v="General Plant, King County Unincorporated within RTA District, WA : GPL-0000 WA11700990"/>
    <n v="61702563"/>
    <s v="C3912 CMN Computer Eq, new"/>
    <n v="143006524"/>
    <s v="PSE BELL HQ REFRESH - FL8 - HW.CE"/>
    <s v="PSE BELL HQ REFRESH - FL8 - HW.CE"/>
    <s v="12/2023"/>
    <n v="1"/>
    <n v="235752.33000000002"/>
    <n v="41135.03"/>
    <n v="194617.30000000002"/>
    <x v="3"/>
    <x v="2"/>
  </r>
  <r>
    <s v="General Plant, Common"/>
    <s v="Common (E &amp; G)"/>
    <s v="General Plant, Skagit County, WA : GPL-0000 WA02900000"/>
    <n v="61897137"/>
    <s v="C3912 CMN Computer Eq, new"/>
    <n v="143005501"/>
    <s v="SKA-SVC TO WRT-COM NETWORK IMP - HW"/>
    <s v="SKA-SVC TO WRT-COM NETWORK IMP - HW.CE"/>
    <s v="12/2023"/>
    <n v="1"/>
    <n v="2572.6"/>
    <n v="448.88"/>
    <n v="2123.7200000000003"/>
    <x v="3"/>
    <x v="2"/>
  </r>
  <r>
    <s v="General Plant, Common"/>
    <s v="Common (E &amp; G)"/>
    <s v="General Plant, King County outside RTA District, WA : GPL-0000 WA01700000"/>
    <n v="61897140"/>
    <s v="C3912 CMN Computer Eq, new"/>
    <n v="143005504"/>
    <s v="SNO-SUB MPLS TRANSPORT NETWORK IMP "/>
    <s v="SNO-SUB MPLS TRANSPORT NETWORK IMP - HW."/>
    <s v="12/2023"/>
    <n v="1"/>
    <n v="3071.82"/>
    <n v="535.98"/>
    <n v="2535.84"/>
    <x v="3"/>
    <x v="2"/>
  </r>
  <r>
    <s v="General Plant, Common"/>
    <s v="Common (E &amp; G)"/>
    <s v="General Plant, King County outside RTA District, WA : GPL-0000 WA01700000"/>
    <n v="61897175"/>
    <s v="C3912 CMN Computer Eq, new"/>
    <n v="143006245"/>
    <s v="TRANSPORT NW MOD - SNO SUB - HW.CE"/>
    <s v="TRANSPORT NW MOD - SNO SUB - HW.CE"/>
    <s v="12/2023"/>
    <n v="1"/>
    <n v="134815.9"/>
    <n v="23523.23"/>
    <n v="111292.67"/>
    <x v="3"/>
    <x v="2"/>
  </r>
  <r>
    <s v="General Plant, Common"/>
    <s v="Common (E &amp; G)"/>
    <s v="General Plant, Whatcom County, WA : GPL-0000 WA03700000"/>
    <n v="61897184"/>
    <s v="C3912 CMN Computer Eq, new"/>
    <n v="143006320"/>
    <s v="TRANSPORT NW MOD - WHAT CNTY - HW.C"/>
    <s v="TRANSPORT NW MOD - WHAT CNTY - HW.CE"/>
    <s v="12/2023"/>
    <n v="1"/>
    <n v="117786.32"/>
    <n v="20551.84"/>
    <n v="97234.48"/>
    <x v="3"/>
    <x v="2"/>
  </r>
  <r>
    <s v="General Plant, Common"/>
    <s v="Common (E &amp; G)"/>
    <s v="General Plant, Kitsap County, WA : GPL-0000 WA01800000"/>
    <n v="61897189"/>
    <s v="C3912 CMN Computer Eq, new"/>
    <n v="143006324"/>
    <s v="TRANSPORT NW MOD - KITS CNTY - HW.C"/>
    <s v="TRANSPORT NW MOD - KITS CNTY - HW.CE"/>
    <s v="12/2023"/>
    <n v="1"/>
    <n v="36063.15"/>
    <n v="6292.45"/>
    <n v="29770.7"/>
    <x v="3"/>
    <x v="2"/>
  </r>
  <r>
    <s v="General Plant, Common"/>
    <s v="Common (E &amp; G)"/>
    <s v="General Plant, Thurston County, WA : GPL-0000 WA03400000"/>
    <n v="61897194"/>
    <s v="C3912 CMN Computer Eq, new"/>
    <n v="143006340"/>
    <s v="TRANSPORT NW MOD - THURS CNTY - HW."/>
    <s v="TRANSPORT NW MOD - THURS CNTY - HW.CE"/>
    <s v="12/2023"/>
    <n v="1"/>
    <n v="22663.27"/>
    <n v="3954.38"/>
    <n v="18708.89"/>
    <x v="3"/>
    <x v="2"/>
  </r>
  <r>
    <s v="General Plant, Common"/>
    <s v="Common (E &amp; G)"/>
    <s v="General Plant, King County Unincorporated within RTA District, WA : GPL-0000 WA11700990"/>
    <n v="61897205"/>
    <s v="C3912 CMN Computer Eq, new"/>
    <n v="143006435"/>
    <s v="TRANSP. NET. MODERNIZATION-HW-MOR S"/>
    <s v="TRANSP. NET. MODERNIZATION-HW-MOR SUB -H"/>
    <s v="12/2023"/>
    <n v="1"/>
    <n v="38181.08"/>
    <n v="6661.99"/>
    <n v="31519.09"/>
    <x v="3"/>
    <x v="2"/>
  </r>
  <r>
    <s v="General Plant, Common"/>
    <s v="Common (E &amp; G)"/>
    <s v="General Plant, King County Unincorporated within RTA District, WA : GPL-0000 WA11700990"/>
    <n v="61897222"/>
    <s v="C3912 CMN Computer Eq, new"/>
    <n v="143006660"/>
    <s v="TRANSP NETWORK MODERNIZATION-HRD-ES"/>
    <s v="TRANSP NETWORK MODERNIZATION-HRD-ESO SUB"/>
    <s v="12/2023"/>
    <n v="1"/>
    <n v="46972.36"/>
    <n v="8195.93"/>
    <n v="38776.43"/>
    <x v="3"/>
    <x v="2"/>
  </r>
  <r>
    <s v="General Plant, Common"/>
    <s v="Common (E &amp; G)"/>
    <s v="General Plant, Pierce County outside RTA District, WA : GPL-0000 WA02700000"/>
    <n v="61897231"/>
    <s v="C3912 CMN Computer Eq, new"/>
    <n v="143006720"/>
    <s v="TRANSP NETWORK MODERNIZATION-ALD-SU"/>
    <s v="TRANSP NETWORK MODERNIZATION-ALD-SUB -HW"/>
    <s v="12/2023"/>
    <n v="1"/>
    <n v="67184.69"/>
    <n v="11722.66"/>
    <n v="55462.03"/>
    <x v="3"/>
    <x v="2"/>
  </r>
  <r>
    <s v="General Plant, Common"/>
    <s v="Common (E &amp; G)"/>
    <s v="General Plant, Pierce County outside RTA District, WA : GPL-0000 WA02700000"/>
    <n v="62124134"/>
    <s v="C3912 CMN Computer Eq, new"/>
    <n v="143004545"/>
    <s v="TODD ROAD FACILITY_IT AV-HW.CE"/>
    <s v="TODD ROAD FACILITY_IT AV-HW.CE"/>
    <s v="12/2023"/>
    <n v="1"/>
    <n v="23526.23"/>
    <n v="4104.95"/>
    <n v="19421.28"/>
    <x v="3"/>
    <x v="2"/>
  </r>
  <r>
    <s v="General Plant, Common"/>
    <s v="Common (E &amp; G)"/>
    <s v="General Plant, Pierce County outside RTA District, WA : GPL-0000 WA02700000"/>
    <n v="62124139"/>
    <s v="C3912 CMN Computer Eq, new"/>
    <n v="143004546"/>
    <s v="TODD ROAD FACILITY-IT-HW.CE"/>
    <s v="TODD ROAD FACILITY-IT-HW.CE"/>
    <s v="12/2023"/>
    <n v="1"/>
    <n v="17111.07"/>
    <n v="2985.61"/>
    <n v="14125.460000000001"/>
    <x v="3"/>
    <x v="2"/>
  </r>
  <r>
    <s v="General Plant, Common"/>
    <s v="Common (E &amp; G)"/>
    <s v="General Plant, King County Unincorporated within RTA District, WA : GPL-0000 WA11700990"/>
    <n v="62124182"/>
    <s v="C3912 CMN Computer Eq, new"/>
    <n v="143006221"/>
    <s v="EST CORE MOVE - IT EST - HW.CE"/>
    <s v="EST CORE MOVE - IT EST - HW.CE"/>
    <s v="12/2023"/>
    <n v="1"/>
    <n v="102475.47"/>
    <n v="17880.34"/>
    <n v="84595.13"/>
    <x v="3"/>
    <x v="2"/>
  </r>
  <r>
    <s v="General Plant, Common"/>
    <s v="Common (E &amp; G)"/>
    <s v="General Plant, King County Unincorporated within RTA District, WA : GPL-0000 WA11700990"/>
    <n v="62124189"/>
    <s v="C3912 CMN Computer Eq, new"/>
    <n v="143006225"/>
    <s v="NOB-NORTH BELLEVUE SCADA NETWORK UP"/>
    <s v="NOB-NORTH BELLEVUE SCADA NETWORK UPGRADE"/>
    <s v="12/2023"/>
    <n v="1"/>
    <n v="102508.32"/>
    <n v="17886.07"/>
    <n v="84622.25"/>
    <x v="3"/>
    <x v="2"/>
  </r>
  <r>
    <s v="General Plant, Common"/>
    <s v="Common (E &amp; G)"/>
    <s v="General Plant, Columbia County, WA : GPL-0000 WA00700000"/>
    <n v="62124194"/>
    <s v="C3912 CMN Computer Eq, new"/>
    <n v="143006227"/>
    <s v="EST CORE MOVE - IT HPR-GEN - HW.CE"/>
    <s v="EST CORE MOVE - IT HPR-GEN - HW.CE"/>
    <s v="12/2023"/>
    <n v="1"/>
    <n v="38365.78"/>
    <n v="6694.22"/>
    <n v="31671.56"/>
    <x v="3"/>
    <x v="2"/>
  </r>
  <r>
    <s v="General Plant, Common"/>
    <s v="Common (E &amp; G)"/>
    <s v="General Plant, Klickitat County, WA : GPL-0000 WA02000000"/>
    <n v="62124199"/>
    <s v="C3912 CMN Computer Eq, new"/>
    <n v="143006228"/>
    <s v="EST CORE MOVE - IT GLD-GEN - HW.CE"/>
    <s v="EST CORE MOVE - IT GLD-GEN - HW.CE"/>
    <s v="12/2023"/>
    <n v="1"/>
    <n v="24763.48"/>
    <n v="4320.83"/>
    <n v="20442.650000000001"/>
    <x v="3"/>
    <x v="2"/>
  </r>
  <r>
    <s v="General Plant, Common"/>
    <s v="Common (E &amp; G)"/>
    <s v="General Plant, King County Unincorporated within RTA District, WA : GPL-0000 WA11700990"/>
    <n v="62124204"/>
    <s v="C3912 CMN Computer Eq, new"/>
    <n v="143006230"/>
    <s v="EST CORE MOVE - IT LOC SUBSTATION -"/>
    <s v="EST CORE MOVE - IT LOC SUBSTATION - HW.C"/>
    <s v="12/2023"/>
    <n v="1"/>
    <n v="41721.42"/>
    <n v="7279.72"/>
    <n v="34441.699999999997"/>
    <x v="3"/>
    <x v="2"/>
  </r>
  <r>
    <s v="General Plant, Common"/>
    <s v="Common (E &amp; G)"/>
    <s v="General Plant, King County Unincorporated within RTA District, WA : GPL-0000 WA11700990"/>
    <n v="62124209"/>
    <s v="C3912 CMN Computer Eq, new"/>
    <n v="143006232"/>
    <s v="EST CORE NETWORK - IT VERNELL - HW."/>
    <s v="EST CORE NETWORK - IT VERNELL - HW.CE"/>
    <s v="12/2023"/>
    <n v="1"/>
    <n v="511772.21"/>
    <n v="89296.1"/>
    <n v="422476.11"/>
    <x v="3"/>
    <x v="2"/>
  </r>
  <r>
    <s v="General Plant, Common"/>
    <s v="Common (E &amp; G)"/>
    <s v="General Plant, King County Unincorporated within RTA District, WA : GPL-0000 WA11700990"/>
    <n v="64678947"/>
    <s v="C3912 CMN Computer Eq, new"/>
    <n v="143006224"/>
    <s v="EST CORE MOVE - IT ESO-OPS - HW.CE"/>
    <s v="IT EASTSIDE-OPS Purchase and install Transport (Nokia) Routers"/>
    <s v="12/2023"/>
    <n v="1"/>
    <n v="42751.73"/>
    <n v="7459.5"/>
    <n v="35292.230000000003"/>
    <x v="3"/>
    <x v="2"/>
  </r>
  <r>
    <s v="General Plant, Common"/>
    <s v="Common (E &amp; G)"/>
    <s v="General Plant, Pierce County outside RTA District, WA : GPL-0000 WA02700000"/>
    <n v="62433312"/>
    <s v="C3912 CMN Computer Eq, new"/>
    <n v="143006640"/>
    <s v="WRT- SUB FIBER RACEWAY - HW.CE"/>
    <s v="WRT- SUB FIBER RACEWAY - HW.CE"/>
    <s v="12/2023"/>
    <n v="1"/>
    <n v="3313.4900000000002"/>
    <n v="578.15"/>
    <n v="2735.34"/>
    <x v="3"/>
    <x v="2"/>
  </r>
  <r>
    <s v="General Plant, Common"/>
    <s v="Common (E &amp; G)"/>
    <s v="General Plant, Kittitas County, WA : GPL-0000 WA01900000"/>
    <n v="62433319"/>
    <s v="C3912 CMN Computer Eq, new"/>
    <n v="143006742"/>
    <s v="KITTITAS MW TRANSPORT IMPROVEMENTS-"/>
    <s v="KITTITAS MW TRANSPORT IMPROVEMENTS- HW.C"/>
    <s v="12/2023"/>
    <n v="1"/>
    <n v="599.1"/>
    <n v="104.53"/>
    <n v="494.57"/>
    <x v="3"/>
    <x v="2"/>
  </r>
  <r>
    <s v="General Plant, Common"/>
    <s v="Common (E &amp; G)"/>
    <s v="General Plant, King County Unincorporated within RTA District, WA : GPL-0000 WA11700990"/>
    <n v="64678942"/>
    <s v="C3912 CMN Computer Eq, new"/>
    <n v="143006022"/>
    <s v="RDW - REDWEST LAB - HW.CE"/>
    <s v="Switch, PC. Establish the 700MHz Lab at RedWest. Hardware and labor costs for the RedWest Lab"/>
    <s v="12/2023"/>
    <n v="1"/>
    <n v="28340.97"/>
    <n v="4945.05"/>
    <n v="23395.920000000002"/>
    <x v="3"/>
    <x v="2"/>
  </r>
  <r>
    <s v="General Plant, Common"/>
    <s v="Common (E &amp; G)"/>
    <s v="General Plant, King County Unincorporated within RTA District, WA : GPL-0000 WA11700990"/>
    <n v="62898279"/>
    <s v="C3912 CMN Computer Eq, new"/>
    <n v="143006117"/>
    <s v="AV UPDATES FOR MSTEAMS - HW.CE"/>
    <s v="AV UPDATES FOR MSTEAMS - HW.CE"/>
    <s v="12/2023"/>
    <n v="1"/>
    <n v="425238.88"/>
    <n v="74197.41"/>
    <n v="351041.47000000003"/>
    <x v="3"/>
    <x v="2"/>
  </r>
  <r>
    <s v="General Plant, Common"/>
    <s v="Common (E &amp; G)"/>
    <s v="General Plant, King County Unincorporated within RTA District, WA : GPL-0000 WA11700990"/>
    <n v="62898290"/>
    <s v="C3912 CMN Computer Eq, new"/>
    <n v="143006341"/>
    <s v="2022 DATA CENTER HARDWARE REFRESH -"/>
    <s v="2022 DATA CENTER HARDWARE REFRESH - HW.C"/>
    <s v="12/2023"/>
    <n v="1"/>
    <n v="2866480.04"/>
    <n v="500155.13"/>
    <n v="2366324.91"/>
    <x v="3"/>
    <x v="2"/>
  </r>
  <r>
    <s v="General Plant, Common"/>
    <s v="Common (E &amp; G)"/>
    <s v="General Plant, King County Unincorporated within RTA District, WA : GPL-0000 WA11700990"/>
    <n v="62898299"/>
    <s v="C3912 CMN Computer Eq, new"/>
    <n v="143006427"/>
    <s v="TRANSP NETWORK MOD-RDW-LAB2022 . HW"/>
    <s v="TRANSP NETWORK MOD-RDW-LAB2022 – HW.CE"/>
    <s v="12/2023"/>
    <n v="1"/>
    <n v="460631.59"/>
    <n v="80372.88"/>
    <n v="380258.71"/>
    <x v="3"/>
    <x v="2"/>
  </r>
  <r>
    <s v="General Plant, Common"/>
    <s v="Common (E &amp; G)"/>
    <s v="General Plant, King County Unincorporated within RTA District, WA : GPL-0000 WA11700990"/>
    <n v="62898321"/>
    <s v="C3912 CMN Computer Eq, new"/>
    <n v="143006461"/>
    <s v="ANNUAL TELECOM EQUIP GROWTH  - HW.C"/>
    <s v="ANNUAL TELECOM EQUIP GROWTH  - HW.CE"/>
    <s v="12/2023"/>
    <n v="1"/>
    <n v="47687.89"/>
    <n v="8320.7800000000007"/>
    <n v="39367.11"/>
    <x v="3"/>
    <x v="2"/>
  </r>
  <r>
    <s v="General Plant, Common"/>
    <s v="Common (E &amp; G)"/>
    <s v="General Plant, King County Unincorporated within RTA District, WA : GPL-0000 WA11700990"/>
    <n v="62898324"/>
    <s v="C3912 CMN Computer Eq, new"/>
    <n v="143006462"/>
    <s v="ANNUAL TELECOM NETWORK REFRESH  - H"/>
    <s v="ANNUAL TELECOM NETWORK REFRESH  - HW.CE"/>
    <s v="12/2023"/>
    <n v="1"/>
    <n v="130581.23"/>
    <n v="22784.350000000002"/>
    <n v="107796.88"/>
    <x v="3"/>
    <x v="2"/>
  </r>
  <r>
    <s v="General Plant, Common"/>
    <s v="Common (E &amp; G)"/>
    <s v="General Plant, King County Unincorporated within RTA District, WA : GPL-0000 WA11700990"/>
    <n v="62898327"/>
    <s v="C3912 CMN Computer Eq, new"/>
    <n v="143006463"/>
    <s v="ANNUAL NETWORK TECH REFRESH 2022 - "/>
    <s v="ANNUAL NETWORK TECH REFRESH 2022 - HW.CE"/>
    <s v="12/2023"/>
    <n v="1"/>
    <n v="957831.42"/>
    <n v="167126.33000000002"/>
    <n v="790705.09"/>
    <x v="3"/>
    <x v="2"/>
  </r>
  <r>
    <s v="General Plant, Common"/>
    <s v="Common (E &amp; G)"/>
    <s v="General Plant, King County outside RTA District, WA : GPL-0000 WA01700000"/>
    <n v="62898341"/>
    <s v="C3912 CMN Computer Eq, new"/>
    <n v="143006480"/>
    <s v="ANNUAL STORAGE/BACKUP GROWTH . HW.C"/>
    <s v="ANNUAL STORAGE/BACKUP GROWTH – HW.CE"/>
    <s v="12/2023"/>
    <n v="1"/>
    <n v="576246.18000000005"/>
    <n v="100545.78"/>
    <n v="475700.4"/>
    <x v="3"/>
    <x v="2"/>
  </r>
  <r>
    <s v="General Plant, Common"/>
    <s v="Common (E &amp; G)"/>
    <s v="General Plant, King County outside RTA District, WA : GPL-0000 WA01700000"/>
    <n v="62898344"/>
    <s v="C3912 CMN Computer Eq, new"/>
    <n v="143006481"/>
    <s v="ANNUAL SERVER GROWTH/REFRESH . HW.C"/>
    <s v="ANNUAL SERVER GROWTH/REFRESH – HW.CE"/>
    <s v="12/2023"/>
    <n v="1"/>
    <n v="173015.98"/>
    <n v="30188.53"/>
    <n v="142827.45000000001"/>
    <x v="3"/>
    <x v="2"/>
  </r>
  <r>
    <s v="General Plant, Common"/>
    <s v="Common (E &amp; G)"/>
    <s v="General Plant, King County outside RTA District, WA : GPL-0000 WA01700000"/>
    <n v="62898347"/>
    <s v="C3912 CMN Computer Eq, new"/>
    <n v="143006482"/>
    <s v="SQE-DC 2022 ANNUAL IMPROVEMENTS . H"/>
    <s v="SQE-DC 2022 ANNUAL IMPROVEMENTS – HW.CE"/>
    <s v="12/2023"/>
    <n v="1"/>
    <n v="149437.68"/>
    <n v="26074.5"/>
    <n v="123363.18000000001"/>
    <x v="3"/>
    <x v="2"/>
  </r>
  <r>
    <s v="General Plant, Common"/>
    <s v="Common (E &amp; G)"/>
    <s v="General Plant, Kittitas County, WA : GPL-0000 WA01900000"/>
    <n v="62898350"/>
    <s v="C3912 CMN Computer Eq, new"/>
    <n v="143006483"/>
    <s v="CAS-DC 2022 ANNUAL IMPROVEMENTS . H"/>
    <s v="CAS-DC 2022 ANNUAL IMPROVEMENTS – HW.CE"/>
    <s v="12/2023"/>
    <n v="1"/>
    <n v="143116.97"/>
    <n v="24971.63"/>
    <n v="118145.34"/>
    <x v="3"/>
    <x v="2"/>
  </r>
  <r>
    <s v="General Plant, Common"/>
    <s v="Common (E &amp; G)"/>
    <s v="General Plant, King County Unincorporated within RTA District, WA : GPL-0000 WA11700990"/>
    <n v="62898353"/>
    <s v="C3912 CMN Computer Eq, new"/>
    <n v="143006484"/>
    <s v="ANNUAL COMM ROOM HW REFRESH 2022. H"/>
    <s v="ANNUAL COMM ROOM HW REFRESH 2022– HW.CE"/>
    <s v="12/2023"/>
    <n v="1"/>
    <n v="249582.87"/>
    <n v="43548.24"/>
    <n v="206034.63"/>
    <x v="3"/>
    <x v="2"/>
  </r>
  <r>
    <s v="General Plant, Common"/>
    <s v="Common (E &amp; G)"/>
    <s v="General Plant, King County Unincorporated within RTA District, WA : GPL-0000 WA11700990"/>
    <n v="62898356"/>
    <s v="C3912 CMN Computer Eq, new"/>
    <n v="143006485"/>
    <s v="ANNUAL END USER PC REFRESH 2022. HW"/>
    <s v="ANNUAL END USER PC REFRESH 2022– HW.CE"/>
    <s v="12/2023"/>
    <n v="1"/>
    <n v="2769736.85"/>
    <n v="483274.99"/>
    <n v="2286461.86"/>
    <x v="3"/>
    <x v="2"/>
  </r>
  <r>
    <s v="General Plant, Common"/>
    <s v="Common (E &amp; G)"/>
    <s v="General Plant, King County Unincorporated within RTA District, WA : GPL-0000 WA11700990"/>
    <n v="62898359"/>
    <s v="C3912 CMN Computer Eq, new"/>
    <n v="143006486"/>
    <s v="ESO VIDEO WALL REPLACEMENT . HW.CE"/>
    <s v="ESO VIDEO WALL REPLACEMENT – HW.CE"/>
    <s v="12/2023"/>
    <n v="1"/>
    <n v="386246.23"/>
    <n v="67393.820000000007"/>
    <n v="318852.41000000003"/>
    <x v="3"/>
    <x v="2"/>
  </r>
  <r>
    <s v="General Plant, Common"/>
    <s v="Common (E &amp; G)"/>
    <s v="General Plant, King County outside RTA District, WA : GPL-0000 WA01700000"/>
    <n v="62898379"/>
    <s v="C3912 CMN Computer Eq, new"/>
    <n v="143006502"/>
    <s v="SNOQUALMIE- HCI - HW.CE"/>
    <s v="SNOQUALMIE- HCI - HW.CE"/>
    <s v="12/2023"/>
    <n v="1"/>
    <n v="31789.850000000002"/>
    <n v="5546.82"/>
    <n v="26243.03"/>
    <x v="3"/>
    <x v="2"/>
  </r>
  <r>
    <s v="General Plant, Common"/>
    <s v="Common (E &amp; G)"/>
    <s v="General Plant, Pierce County outside RTA District, WA : GPL-0000 WA02700000"/>
    <n v="62898394"/>
    <s v="C3912 CMN Computer Eq, new"/>
    <n v="143006703"/>
    <s v="SECURITY SYSTEM BREAK/FIX - HW.CE"/>
    <s v="SECURITY SYSTEM BREAK/FIX - HW.CE"/>
    <s v="12/2023"/>
    <n v="1"/>
    <n v="68843.100000000006"/>
    <n v="12012.02"/>
    <n v="56831.08"/>
    <x v="3"/>
    <x v="2"/>
  </r>
  <r>
    <s v="General Plant, Common"/>
    <s v="Common (E &amp; G)"/>
    <s v="General Plant, King County Unincorporated within RTA District, WA : GPL-0000 WA11700990"/>
    <n v="62898400"/>
    <s v="C3912 CMN Computer Eq, new"/>
    <n v="143006727"/>
    <s v="2022 ANNUAL AUDIO VISUAL TECH REFRE"/>
    <s v="2022 ANNUAL AUDIO VISUAL TECH REFRESH -H"/>
    <s v="12/2023"/>
    <n v="1"/>
    <n v="77835.360000000001"/>
    <n v="13581.03"/>
    <n v="64254.33"/>
    <x v="3"/>
    <x v="2"/>
  </r>
  <r>
    <s v="General Plant, Common"/>
    <s v="Common (E &amp; G)"/>
    <s v="General Plant, King County outside RTA District, WA : GPL-0000 WA01700000"/>
    <n v="62898418"/>
    <s v="C3912 CMN Computer Eq, new"/>
    <n v="143006784"/>
    <s v="CYBER AUDIT WEB SERVER UPGRADE HW S"/>
    <s v="CYBER AUDIT WEB SERVER UPGRADE HW SQE -H"/>
    <s v="12/2023"/>
    <n v="1"/>
    <n v="8393.26"/>
    <n v="1464.49"/>
    <n v="6928.77"/>
    <x v="3"/>
    <x v="2"/>
  </r>
  <r>
    <s v="General Plant, Common"/>
    <s v="Common (E &amp; G)"/>
    <s v="General Plant, King County Unincorporated within RTA District, WA : GPL-0000 WA11700990"/>
    <n v="62898430"/>
    <s v="C3912 CMN Computer Eq, new"/>
    <n v="143006923"/>
    <s v="FACTORIA BUSINESS OFFICE - HW.CE"/>
    <s v="FACTORIA BUSINESS OFFICE - HW.CE"/>
    <s v="12/2023"/>
    <n v="1"/>
    <n v="41146.129999999997"/>
    <n v="7179.34"/>
    <n v="33966.79"/>
    <x v="3"/>
    <x v="2"/>
  </r>
  <r>
    <s v="General Plant, Common"/>
    <s v="Common (E &amp; G)"/>
    <s v="General Plant, King County Unincorporated within RTA District, WA : GPL-0000 WA11700990"/>
    <n v="62898433"/>
    <s v="C3912 CMN Computer Eq, new"/>
    <n v="143006947"/>
    <s v="KENT SOUTH KING SERVICE CENTER- SKC"/>
    <s v="KENT SOUTH KING SERVICE CENTER- SKC - HW"/>
    <s v="12/2023"/>
    <n v="1"/>
    <n v="41201.14"/>
    <n v="7188.9400000000005"/>
    <n v="34012.199999999997"/>
    <x v="3"/>
    <x v="2"/>
  </r>
  <r>
    <s v="General Plant, Common"/>
    <s v="Common (E &amp; G)"/>
    <s v="General Plant, Kittitas County, WA : GPL-0000 WA01900000"/>
    <n v="62898442"/>
    <s v="C3912 CMN Computer Eq, new"/>
    <n v="143007180"/>
    <s v="2022 HARDWARE ORDER FOR DCHR"/>
    <s v="2022 HARDWARE ORDER FOR DCHR"/>
    <s v="12/2023"/>
    <n v="1"/>
    <n v="600716.4"/>
    <n v="104815.45"/>
    <n v="495900.95"/>
    <x v="3"/>
    <x v="2"/>
  </r>
  <r>
    <s v="General Plant, Common"/>
    <s v="Common (E &amp; G)"/>
    <s v="General Plant, King County Unincorporated within RTA District, WA : GPL-0000 WA11700990"/>
    <n v="63116595"/>
    <s v="C3912 CMN Computer Eq, new"/>
    <n v="143006140"/>
    <s v="CAPITAL TRAINING ENHANCEMENTS - HW."/>
    <s v="CAPITAL TRAINING ENHANCEMENTS - HW.CE"/>
    <s v="12/2023"/>
    <n v="1"/>
    <n v="195993.73"/>
    <n v="34197.79"/>
    <n v="161795.94"/>
    <x v="3"/>
    <x v="2"/>
  </r>
  <r>
    <s v="General Plant, Common"/>
    <s v="Common (E &amp; G)"/>
    <s v="General Plant, King County Unincorporated within RTA District, WA : GPL-0000 WA11700990"/>
    <n v="63355669"/>
    <s v="C3912 CMN Computer Eq, new"/>
    <n v="143006983"/>
    <s v="NVR REPLACEMENT - N SEATTLE OPERATI"/>
    <s v="Replacement of NVRs at the North Seattle Operations Center (NSOC) in alignment with the 2022 security roadmap"/>
    <s v="12/2023"/>
    <n v="1"/>
    <n v="42079.520000000004"/>
    <n v="3338.56"/>
    <n v="38740.959999999999"/>
    <x v="3"/>
    <x v="2"/>
  </r>
  <r>
    <s v="General Plant, Common"/>
    <s v="Common (E &amp; G)"/>
    <s v="General Plant, King County Unincorporated within RTA District, WA : GPL-0000 WA11700990"/>
    <n v="63355678"/>
    <s v="C3912 CMN Computer Eq, new"/>
    <n v="143007161"/>
    <s v="NVR REPLACEMENT - EST BUILDING - HW"/>
    <s v="EST Building - Replacement of NVRs at the EST Building in alignment with the 2022 security roadmap"/>
    <s v="12/2023"/>
    <n v="1"/>
    <n v="17152.86"/>
    <n v="1360.9"/>
    <n v="15791.960000000001"/>
    <x v="3"/>
    <x v="2"/>
  </r>
  <r>
    <s v="General Plant, Common"/>
    <s v="Common (E &amp; G)"/>
    <s v="General Plant, Pierce County outside RTA District, WA : GPL-0000 WA02700000"/>
    <n v="63355681"/>
    <s v="C3912 CMN Computer Eq, new"/>
    <n v="143007162"/>
    <s v="VNVR REPLACEMENT - ALDERTON SUBSTAT"/>
    <s v="Replacement of NVRs at the Alderton Substation in alignment with the 2022 security roadmap"/>
    <s v="12/2023"/>
    <n v="1"/>
    <n v="17119.23"/>
    <n v="1358.23"/>
    <n v="15761"/>
    <x v="3"/>
    <x v="2"/>
  </r>
  <r>
    <s v="General Plant, Common"/>
    <s v="Common (E &amp; G)"/>
    <s v="General Plant, King County outside RTA District, WA : GPL-0000 WA01700000"/>
    <n v="64679008"/>
    <s v="C3912 CMN Computer Eq, new"/>
    <n v="143006745"/>
    <s v="OPERATIONAL TRAINING CENTER IT HRD-"/>
    <s v="Operational Training Center IT Hardware for Routers, Switches, Audio Visual, Wireless Access Points, IP SCADA"/>
    <s v="12/2023"/>
    <n v="1"/>
    <n v="91003.650000000009"/>
    <n v="7220.16"/>
    <n v="83783.490000000005"/>
    <x v="3"/>
    <x v="2"/>
  </r>
  <r>
    <s v="General Plant, Common"/>
    <s v="Common (E &amp; G)"/>
    <s v="General Plant, King County Unincorporated within RTA District, WA : GPL-0000 WA11700990"/>
    <n v="63877969"/>
    <s v="C3912 CMN Computer Eq, new"/>
    <n v="143006781"/>
    <s v="PSE BELL HQ REFRESH - FL9 - HW.CE"/>
    <s v="PSE Bellevue Corporate HQ Refresh"/>
    <s v="12/2023"/>
    <n v="1"/>
    <n v="191237.95"/>
    <n v="15172.68"/>
    <n v="176065.27"/>
    <x v="3"/>
    <x v="2"/>
  </r>
  <r>
    <s v="General Plant, Common"/>
    <s v="Common (E &amp; G)"/>
    <s v="General Plant, King County Unincorporated within RTA District, WA : GPL-0000 WA11700990"/>
    <n v="64102402"/>
    <s v="C3912 CMN Computer Eq, new"/>
    <n v="143006321"/>
    <s v="TRANSPORT NW MOD - SNOH CNTY - HW.C"/>
    <s v="Snohomish County, Transport Network Modernization - HW WO for Installation of_x000a_SAR Router"/>
    <s v="12/2023"/>
    <n v="1"/>
    <n v="967.26"/>
    <n v="76.739999999999995"/>
    <n v="890.52"/>
    <x v="3"/>
    <x v="2"/>
  </r>
  <r>
    <s v="General Plant, Common"/>
    <s v="Common (E &amp; G)"/>
    <s v="General Plant, Skagit County, WA : GPL-0000 WA02900000"/>
    <n v="64102405"/>
    <s v="C3912 CMN Computer Eq, new"/>
    <n v="143006322"/>
    <s v="TRANSPORT NW MOD - SKAG CNTY - HW.C"/>
    <s v="Skagit County, Transport Network Modernization - HW WO for Installation of_x000a_SAR Router"/>
    <s v="12/2023"/>
    <n v="1"/>
    <n v="644.82000000000005"/>
    <n v="51.160000000000004"/>
    <n v="593.66"/>
    <x v="3"/>
    <x v="2"/>
  </r>
  <r>
    <s v="General Plant, Common"/>
    <s v="Common (E &amp; G)"/>
    <s v="General Plant, King County Unincorporated within RTA District, WA : GPL-0000 WA11700990"/>
    <n v="64102408"/>
    <s v="C3912 CMN Computer Eq, new"/>
    <n v="143006323"/>
    <s v="TRANSPORT NW MOD - KING CNTY - HW.C"/>
    <s v="King County, Transport Network Modernization - HW WO for Installation of_x000a_SAR Router"/>
    <s v="12/2023"/>
    <n v="1"/>
    <n v="100360.28"/>
    <n v="7962.51"/>
    <n v="92397.77"/>
    <x v="3"/>
    <x v="2"/>
  </r>
  <r>
    <s v="General Plant, Common"/>
    <s v="Common (E &amp; G)"/>
    <s v="General Plant, Kittitas County, WA : GPL-0000 WA01900000"/>
    <n v="64102411"/>
    <s v="C3912 CMN Computer Eq, new"/>
    <n v="143006326"/>
    <s v="TRANSPORT NW MOD - KITT CNTY - HW.C"/>
    <s v="Kittitas County, Transport Network Modernization - HW WO for Installation of_x000a_SAR Router"/>
    <s v="12/2023"/>
    <n v="1"/>
    <n v="8645.52"/>
    <n v="685.93000000000006"/>
    <n v="7959.59"/>
    <x v="3"/>
    <x v="2"/>
  </r>
  <r>
    <s v="General Plant, Common"/>
    <s v="Common (E &amp; G)"/>
    <s v="General Plant, King County outside RTA District, WA : GPL-0000 WA01700000"/>
    <n v="64102429"/>
    <s v="C3912 CMN Computer Eq, new"/>
    <n v="143006489"/>
    <s v="LOGGING INFRASTRUCTURE UPGRADE - HW"/>
    <s v="CyberSec. Microsegmentation Enhancements will allow us to apply_x000a_policies to isolate workloads in the Control Systems from our Corporate_x000a_environment which will improve our cybersecurity posture. This is_x000a_Foundational work focused on firewall analysis and data flow_x000a_enumeration."/>
    <s v="12/2023"/>
    <n v="1"/>
    <n v="122595.67"/>
    <n v="21390.99"/>
    <n v="101204.68000000001"/>
    <x v="3"/>
    <x v="2"/>
  </r>
  <r>
    <s v="General Plant, Common"/>
    <s v="Common (E &amp; G)"/>
    <s v="General Plant, Garfield County, WA : GPL-0000 WA01200990"/>
    <n v="64102444"/>
    <s v="C3912 CMN Computer Eq, new"/>
    <n v="143006743"/>
    <s v="GARFIELD COUNTY MW TRANSPORT IMPROV"/>
    <s v=" BANDWIDTH IMPROVEMENTS TO SUPPORT THE MICROWAVE PATH FROM RIDFIELD AND FIELDS GULCH TO LINVILLE."/>
    <s v="12/2023"/>
    <n v="1"/>
    <n v="2349.41"/>
    <n v="186.4"/>
    <n v="2163.0100000000002"/>
    <x v="3"/>
    <x v="2"/>
  </r>
  <r>
    <s v="General Plant, Common"/>
    <s v="Common (E &amp; G)"/>
    <s v="General Plant, King County Unincorporated within RTA District, WA : GPL-0000 WA11700990"/>
    <n v="64102467"/>
    <s v="C3912 CMN Computer Eq, new"/>
    <n v="143006929"/>
    <s v="BOTHELL G MIGRATION TO BOTHELL BUCC"/>
    <s v="Transport improvments for the migration from BOT-G to the BUCC"/>
    <s v="12/2023"/>
    <n v="1"/>
    <n v="31357.29"/>
    <n v="2487.87"/>
    <n v="28869.420000000002"/>
    <x v="3"/>
    <x v="2"/>
  </r>
  <r>
    <s v="General Plant, Common"/>
    <s v="Common (E &amp; G)"/>
    <s v="General Plant, Washington State : GPL-0000 WA00000000"/>
    <n v="64102488"/>
    <s v="C3912 CMN Computer Eq, new"/>
    <n v="143007122"/>
    <s v="NVR INSTALLATION - HW.CE"/>
    <s v="Longview, WA - Upgraded from DVR to NVR and site needs new equipment to view cameras"/>
    <s v="12/2023"/>
    <n v="1"/>
    <n v="1573.96"/>
    <n v="124.88000000000001"/>
    <n v="1449.08"/>
    <x v="3"/>
    <x v="2"/>
  </r>
  <r>
    <s v="General Plant, Common"/>
    <s v="Common (E &amp; G)"/>
    <s v="General Plant, Whatcom County, WA : GPL-0000 WA03700000"/>
    <n v="64102496"/>
    <s v="C3912 CMN Computer Eq, new"/>
    <n v="143007284"/>
    <s v="TRANSPORT NW MOD - HW-WHAT CNTY - H"/>
    <s v="Transport Network Modernization - HW WO for Installation of SAR Router in Whatcom County"/>
    <s v="12/2023"/>
    <n v="1"/>
    <n v="67144.19"/>
    <n v="5327.17"/>
    <n v="61817.020000000004"/>
    <x v="3"/>
    <x v="2"/>
  </r>
  <r>
    <s v="General Plant, Common"/>
    <s v="Common (E &amp; G)"/>
    <s v="General Plant, King County Unincorporated within RTA District, WA : GPL-0000 WA11700990"/>
    <n v="67515296"/>
    <s v="C3912 CMN Computer Eq, new"/>
    <n v="143006782"/>
    <s v="PSE BELL HQ REFRESH - FL9 - CMM"/>
    <s v="PSE Bellevue Corporate HQ Refresh"/>
    <s v="12/2023"/>
    <n v="0"/>
    <n v="69523.34"/>
    <n v="5515.93"/>
    <n v="64007.41"/>
    <x v="3"/>
    <x v="2"/>
  </r>
  <r>
    <s v="General Plant, Common"/>
    <s v="Common (E &amp; G)"/>
    <s v="General Plant, Lewis County, WA : GPL-0000 WA02100000"/>
    <n v="64678990"/>
    <s v="C3912 CMN Computer Eq, new"/>
    <n v="143006661"/>
    <s v="HRD - IT - TSA GPL JAK-STORAGE - HW"/>
    <s v="Upgrade network security posture. UOP: Switches, Routers, Cabling, Firewall and Network configuration"/>
    <s v="12/2023"/>
    <n v="1"/>
    <n v="110885.44"/>
    <n v="8797.57"/>
    <n v="102087.87"/>
    <x v="3"/>
    <x v="2"/>
  </r>
  <r>
    <s v="General Plant, Common"/>
    <s v="Common (E &amp; G)"/>
    <s v="General Plant, Lewis County, WA : GPL-0000 WA02100000"/>
    <n v="64679051"/>
    <s v="C3912 CMN Computer Eq, new"/>
    <n v="143007268"/>
    <s v="HRD . ZERO TRUST . JAKPRE . IT INFR"/>
    <s v="Cyber &amp; Corporate Security Operational Program"/>
    <s v="12/2023"/>
    <n v="1"/>
    <n v="609.57000000000005"/>
    <n v="48.36"/>
    <n v="561.21"/>
    <x v="3"/>
    <x v="2"/>
  </r>
  <r>
    <s v="General Plant, Common"/>
    <s v="Common (E &amp; G)"/>
    <s v="General Plant, King County Unincorporated within RTA District, WA : GPL-0000 WA11700990"/>
    <n v="65324077"/>
    <s v="C3912 CMN Computer Eq, new"/>
    <n v="143006963"/>
    <s v="BOTHELL G VACATE - IT HW &amp; SECURITY"/>
    <s v="Bothell G Vacate - IT Hardware and Corporate Security_x000a_Vacate employees and business units from Bothell G to Bothell H and O._x000a_Installation of Network Switches, Audio Visual, and Wireless Access Points."/>
    <s v="12/2023"/>
    <n v="1"/>
    <n v="600428.71"/>
    <n v="47637.590000000004"/>
    <n v="552791.12"/>
    <x v="3"/>
    <x v="2"/>
  </r>
  <r>
    <s v="General Plant, Common"/>
    <s v="Common (E &amp; G)"/>
    <s v="General Plant, Whatcom County, WA : GPL-0000 WA03700000"/>
    <n v="65894539"/>
    <s v="C3912 CMN Computer Eq, new"/>
    <n v="143006924"/>
    <s v="BELLINGHAM SERVICE CENTER - BHS - H"/>
    <s v="BELLINGHAM SERVICE CENTER - Installation of hyperconverged infrastructure hardware including memory modules, processors, network adapters, and solid state drives"/>
    <s v="12/2023"/>
    <n v="1"/>
    <n v="37080.22"/>
    <n v="2941.92"/>
    <n v="34138.300000000003"/>
    <x v="3"/>
    <x v="2"/>
  </r>
  <r>
    <s v="General Plant, Common"/>
    <s v="Common (E &amp; G)"/>
    <s v="General Plant, Skagit County, WA : GPL-0000 WA02900000"/>
    <n v="65894544"/>
    <s v="C3912 CMN Computer Eq, new"/>
    <n v="143006941"/>
    <s v="SKAGIT SERVICE CENTER - SKA - HW.CE"/>
    <s v="Installation of hyperconverged infrastructure hardware including memory modules, processors, network adapters, and solid state drives"/>
    <s v="12/2023"/>
    <n v="1"/>
    <n v="38279.81"/>
    <n v="3037.09"/>
    <n v="35242.720000000001"/>
    <x v="3"/>
    <x v="2"/>
  </r>
  <r>
    <s v="General Plant, Common"/>
    <s v="Common (E &amp; G)"/>
    <s v="General Plant, Lewis County, WA : GPL-0000 WA02100000"/>
    <n v="65894549"/>
    <s v="C3912 CMN Computer Eq, new"/>
    <n v="143006942"/>
    <s v="JACKSON PRAIRIE - JAK - HW.CE"/>
    <s v="Installation of hyperconverged infrastructure hardware including memory modules, processors, network adapters, and solid state drives"/>
    <s v="12/2023"/>
    <n v="1"/>
    <n v="38680.82"/>
    <n v="3068.91"/>
    <n v="35611.910000000003"/>
    <x v="3"/>
    <x v="2"/>
  </r>
  <r>
    <s v="General Plant, Common"/>
    <s v="Common (E &amp; G)"/>
    <s v="General Plant, Thurston County, WA : GPL-0000 WA03400000"/>
    <n v="65894554"/>
    <s v="C3912 CMN Computer Eq, new"/>
    <n v="143006949"/>
    <s v="OLYMPIA BUSINESS OFFICE - OLY - HW."/>
    <s v="Installation of hyperconverged infrastructure hardware including memory modules, processors, network adapters, and solid state drives"/>
    <s v="12/2023"/>
    <n v="1"/>
    <n v="38861.760000000002"/>
    <n v="3083.26"/>
    <n v="35778.5"/>
    <x v="3"/>
    <x v="2"/>
  </r>
  <r>
    <s v="General Plant, Common"/>
    <s v="Common (E &amp; G)"/>
    <s v="General Plant, Pierce County outside RTA District, WA : GPL-0000 WA02700000"/>
    <n v="65894559"/>
    <s v="C3912 CMN Computer Eq, new"/>
    <n v="143006952"/>
    <s v="PUYALLUP SERVICE CENTER - PUY  - HW"/>
    <s v="Installation of hyperconverged infrastructure hardware including memory modules, processors, network adapters, and solid state drives"/>
    <s v="12/2023"/>
    <n v="1"/>
    <n v="37706.910000000003"/>
    <n v="2991.64"/>
    <n v="34715.270000000004"/>
    <x v="3"/>
    <x v="2"/>
  </r>
  <r>
    <s v="General Plant, Common"/>
    <s v="Common (E &amp; G)"/>
    <s v="General Plant, King County Unincorporated within RTA District, WA : GPL-0000 WA11700990"/>
    <n v="65894564"/>
    <s v="C3912 CMN Computer Eq, new"/>
    <n v="143006953"/>
    <s v="EASTSIDE SYSTEM OPERATIONS NON-NERC"/>
    <s v="Installation of hyperconverged infrastructure hardware including memory modules, processors, network adapters, and solid state drives"/>
    <s v="12/2023"/>
    <n v="1"/>
    <n v="37235.71"/>
    <n v="2954.25"/>
    <n v="34281.46"/>
    <x v="3"/>
    <x v="2"/>
  </r>
  <r>
    <s v="General Plant, Common"/>
    <s v="Common (E &amp; G)"/>
    <s v="General Plant, King County Unincorporated within RTA District, WA : GPL-0000 WA11700990"/>
    <n v="65894569"/>
    <s v="C3912 CMN Computer Eq, new"/>
    <n v="143006955"/>
    <s v="NORTH KING SERVICE CENTER - NOK - H"/>
    <s v="Installation of hyperconverged infrastructure hardware including memory modules, processors, network adapters, and solid state drives"/>
    <s v="12/2023"/>
    <n v="1"/>
    <n v="40156.870000000003"/>
    <n v="3186.02"/>
    <n v="36970.85"/>
    <x v="3"/>
    <x v="2"/>
  </r>
  <r>
    <s v="General Plant, Common"/>
    <s v="Common (E &amp; G)"/>
    <s v="General Plant, King County Unincorporated within RTA District, WA : GPL-0000 WA11700990"/>
    <n v="65894574"/>
    <s v="C3912 CMN Computer Eq, new"/>
    <n v="143006957"/>
    <s v="NORTH OPERATING BASE - NOB - HW.CE"/>
    <s v="Installation of hyperconverged infrastructure hardware including memory modules, processors, network adapters, and solid state drives"/>
    <s v="12/2023"/>
    <n v="1"/>
    <n v="37187.46"/>
    <n v="2950.43"/>
    <n v="34237.03"/>
    <x v="3"/>
    <x v="2"/>
  </r>
  <r>
    <s v="General Plant, Common"/>
    <s v="Common (E &amp; G)"/>
    <s v="General Plant, King County Unincorporated within RTA District, WA : GPL-0000 WA11700990"/>
    <n v="65894579"/>
    <s v="C3912 CMN Computer Eq, new"/>
    <n v="143006958"/>
    <s v="NORTH SEATTLE OPERATIONS CENTER - N"/>
    <s v="Installation of hyperconverged infrastructure hardware including memory modules, processors, network adapters, and solid state drives"/>
    <s v="12/2023"/>
    <n v="1"/>
    <n v="40110.379999999997"/>
    <n v="3182.33"/>
    <n v="36928.050000000003"/>
    <x v="3"/>
    <x v="2"/>
  </r>
  <r>
    <s v="General Plant, Common"/>
    <s v="Common (E &amp; G)"/>
    <s v="General Plant, Pierce County outside RTA District, WA : GPL-0000 WA02700000"/>
    <n v="65894584"/>
    <s v="C3912 CMN Computer Eq, new"/>
    <n v="143006962"/>
    <s v="TACOMA BUSINESS OFFICE - TAC - HW.C"/>
    <s v="Installation of hyperconverged infrastructure hardware including memory modules, processors, network adapters, and solid state drives"/>
    <s v="12/2023"/>
    <n v="1"/>
    <n v="42282.68"/>
    <n v="3354.6800000000003"/>
    <n v="38928"/>
    <x v="3"/>
    <x v="2"/>
  </r>
  <r>
    <s v="General Plant, Common"/>
    <s v="Common (E &amp; G)"/>
    <s v="General Plant, Kittitas County, WA : GPL-0000 WA01900000"/>
    <n v="66096352"/>
    <s v="C3912 CMN Computer Eq, new"/>
    <n v="143006948"/>
    <s v="MINT FARM GENERATION PLANT- MTF - H"/>
    <s v="Installation of hyperconverged infrastructure hardware including memory modules, processors, network adapters, and solid state drives"/>
    <s v="12/2023"/>
    <n v="1"/>
    <n v="39989.230000000003"/>
    <n v="3172.7200000000003"/>
    <n v="36816.51"/>
    <x v="3"/>
    <x v="2"/>
  </r>
  <r>
    <s v="General Plant, Common"/>
    <s v="Common (E &amp; G)"/>
    <s v="General Plant, King County Unincorporated within RTA District, WA : GPL-0000 WA11700990"/>
    <n v="66470187"/>
    <s v="C3912 CMN Computer Eq, new"/>
    <n v="143005861"/>
    <s v="ACTR 2021 - HW.CE"/>
    <s v="Servers. Upgrade of the Contact Center UCCE environment to bring the software to N currency and increase reliability"/>
    <s v="12/2023"/>
    <n v="1"/>
    <n v="49042.35"/>
    <n v="3890.9900000000002"/>
    <n v="45151.360000000001"/>
    <x v="3"/>
    <x v="2"/>
  </r>
  <r>
    <s v="General Plant, Common"/>
    <s v="Common (E &amp; G)"/>
    <s v="General Plant, King County Unincorporated within RTA District, WA : GPL-0000 WA11700990"/>
    <n v="66470190"/>
    <s v="C3912 CMN Computer Eq, new"/>
    <n v="143006068"/>
    <s v="VOICE RECORDING TECH REFRESH CORP T"/>
    <s v="hardware to install new version of recording software that is being used by PSE operational groups, such as Systems Operations, and the Energy Traders."/>
    <s v="12/2023"/>
    <n v="1"/>
    <n v="17605.2"/>
    <n v="1396.78"/>
    <n v="16208.42"/>
    <x v="3"/>
    <x v="2"/>
  </r>
  <r>
    <s v="General Plant, Common"/>
    <s v="Common (E &amp; G)"/>
    <s v="General Plant, King County Unincorporated within RTA District, WA : GPL-0000 WA11700990"/>
    <n v="66470193"/>
    <s v="C3912 CMN Computer Eq, new"/>
    <n v="143006070"/>
    <s v="VOICE RECORDING TECH REFRESH CONTAC"/>
    <s v="hardware for the new version of recording software that is being used by Contact Center agents."/>
    <s v="12/2023"/>
    <n v="1"/>
    <n v="31788.06"/>
    <n v="2522.04"/>
    <n v="29266.02"/>
    <x v="3"/>
    <x v="2"/>
  </r>
  <r>
    <s v="General Plant, Common"/>
    <s v="Common (E &amp; G)"/>
    <s v="General Plant, King County Unincorporated within RTA District, WA : GPL-0000 WA11700990"/>
    <n v="66594793"/>
    <s v="C3912 CMN Computer Eq, new"/>
    <n v="143007642"/>
    <s v="AURORA HARDWARE 2023 - HW.CE"/>
    <s v="Upgrade Aurora (forecasting and analysis software for power planning and forecasting) for more processing power, shared datasets and future extensibility"/>
    <s v="12/2023"/>
    <n v="1"/>
    <n v="621.29"/>
    <n v="49.29"/>
    <n v="572"/>
    <x v="3"/>
    <x v="2"/>
  </r>
  <r>
    <s v="General Plant, Common"/>
    <s v="Common (E &amp; G)"/>
    <s v="General Plant, Pierce County outside RTA District, WA : GPL-0000 WA02700000"/>
    <n v="66946101"/>
    <s v="C3912 CMN Computer Eq, new"/>
    <n v="143007095"/>
    <s v="WRT-SUB IT COMM BATTERY - HW.CE"/>
    <s v="(White River SW/COMM) &quot;Battery &amp; charger replacement which will provide visibility and_x000a_proactive monitoring for battery string health, and direct a just-in-_x000a_time response and maintenance for mission critical radio and IT comm_x000a_equipment"/>
    <s v="12/2023"/>
    <n v="1"/>
    <n v="107163.40000000001"/>
    <n v="8502.27"/>
    <n v="98661.13"/>
    <x v="3"/>
    <x v="2"/>
  </r>
  <r>
    <s v="General Plant, Common"/>
    <s v="Common (E &amp; G)"/>
    <s v="General Plant, King County Unincorporated within RTA District, WA : GPL-0000 WA11700990"/>
    <n v="66946104"/>
    <s v="C3912 CMN Computer Eq, new"/>
    <n v="143007098"/>
    <s v="FAC-SVC IT COMM BATTERY - HW.CE"/>
    <s v="Bellevue Battery &amp; charger replacement which will provide visibility and_x000a_proactive monitoring for battery string health, and direct a just-in-_x000a_time response and maintenance for mission critical radio and IT comm_x000a_equipment"/>
    <s v="12/2023"/>
    <n v="3"/>
    <n v="79736.08"/>
    <n v="6326.2"/>
    <n v="73409.88"/>
    <x v="3"/>
    <x v="2"/>
  </r>
  <r>
    <s v="General Plant, Common"/>
    <s v="Common (E &amp; G)"/>
    <s v="General Plant, Kitsap County, WA : GPL-0000 WA01800000"/>
    <n v="67019458"/>
    <s v="C3912 CMN Computer Eq, new"/>
    <n v="143006940"/>
    <s v="KITSAP SERVICE CENTER - KSP - HW.CE"/>
    <s v="Installation of hyperconverged infrastructure hardware including memory modules, processors, network adapters, and solid state drives"/>
    <s v="12/2023"/>
    <n v="1"/>
    <n v="39889.06"/>
    <n v="3164.77"/>
    <n v="36724.29"/>
    <x v="3"/>
    <x v="2"/>
  </r>
  <r>
    <s v="General Plant, Common"/>
    <s v="Common (E &amp; G)"/>
    <s v="General Plant, Skagit County, WA : GPL-0000 WA02900000"/>
    <n v="67019461"/>
    <s v="C3912 CMN Computer Eq, new"/>
    <n v="143006943"/>
    <s v="BAKER GENERATION  - HW.CE"/>
    <s v="Installation of hyperconverged infrastructure hardware including memory modules, processors, network adapters, and solid state drives"/>
    <s v="12/2023"/>
    <n v="1"/>
    <n v="39045.39"/>
    <n v="3097.83"/>
    <n v="35947.56"/>
    <x v="3"/>
    <x v="2"/>
  </r>
  <r>
    <s v="General Plant, Common"/>
    <s v="Common (E &amp; G)"/>
    <s v="General Plant, Garfield County, WA : GPL-0000 WA01200990"/>
    <n v="67019464"/>
    <s v="C3912 CMN Computer Eq, new"/>
    <n v="143006950"/>
    <s v="LOWER SNAKE RIVER -LSR OR POMEROY O"/>
    <s v="Installation of hyperconverged infrastructure hardware including memory modules, processors, network adapters, and solid state drives"/>
    <s v="12/2023"/>
    <n v="1"/>
    <n v="39079.53"/>
    <n v="3100.54"/>
    <n v="35978.99"/>
    <x v="3"/>
    <x v="2"/>
  </r>
  <r>
    <s v="General Plant, Common"/>
    <s v="Common (E &amp; G)"/>
    <s v="General Plant, King County outside RTA District, WA : GPL-0000 WA01700000"/>
    <n v="67019467"/>
    <s v="C3912 CMN Computer Eq, new"/>
    <n v="143006960"/>
    <s v="SNOQUALMIE OPERATIONS AND CONFERENC"/>
    <s v="Installation of hyperconverged infrastructure hardware including memory modules, processors, network adapters, and solid state drives"/>
    <s v="12/2023"/>
    <n v="1"/>
    <n v="36592.550000000003"/>
    <n v="2903.23"/>
    <n v="33689.32"/>
    <x v="3"/>
    <x v="2"/>
  </r>
  <r>
    <s v="General Plant, Common"/>
    <s v="Common (E &amp; G)"/>
    <s v="General Plant, King County outside RTA District, WA : GPL-0000 WA01700000"/>
    <n v="67797769"/>
    <s v="C3912 CMN Computer Eq, new"/>
    <n v="143006242"/>
    <s v="TRANSPORT NW MOD - STI SUB - HW.CE"/>
    <s v="Stillwater Substation, Transport Network Modernization - HW WO for Installation of SAR Router"/>
    <s v="12/2023"/>
    <n v="1"/>
    <n v="40187.200000000004"/>
    <n v="3188.42"/>
    <n v="36998.78"/>
    <x v="3"/>
    <x v="2"/>
  </r>
  <r>
    <s v="General Plant, Common"/>
    <s v="Common (E &amp; G)"/>
    <s v="General Plant, King County Unincorporated within RTA District, WA : GPL-0000 WA11700990"/>
    <n v="67797772"/>
    <s v="C3912 CMN Computer Eq, new"/>
    <n v="143006244"/>
    <s v="TRANSPORT NW MOD - STR SUB - HW.CE"/>
    <s v="Sterling Substation, Transport Network Modernization - HW WO for Installation of_x000a_SAR Router"/>
    <s v="12/2023"/>
    <n v="1"/>
    <n v="66137.81"/>
    <n v="5247.33"/>
    <n v="60890.48"/>
    <x v="3"/>
    <x v="2"/>
  </r>
  <r>
    <s v="General Plant, Common"/>
    <s v="Common (E &amp; G)"/>
    <s v="General Plant, Kitsap County, WA : GPL-0000 WA01800000"/>
    <n v="67797775"/>
    <s v="C3912 CMN Computer Eq, new"/>
    <n v="143006248"/>
    <s v="TRANSP. NET. MODERNIZATION-HW-USB-S"/>
    <s v="U.S. Navy Bangor Substation, Transport Network Modernization - HW WO for Nokia MPLS Router Deployment"/>
    <s v="12/2023"/>
    <n v="1"/>
    <n v="11762.53"/>
    <n v="933.23"/>
    <n v="10829.300000000001"/>
    <x v="3"/>
    <x v="2"/>
  </r>
  <r>
    <s v="General Plant, Common"/>
    <s v="Common (E &amp; G)"/>
    <s v="General Plant, King County Unincorporated within RTA District, WA : GPL-0000 WA11700990"/>
    <n v="67797794"/>
    <s v="C3912 CMN Computer Eq, new"/>
    <n v="143006926"/>
    <s v="BOTHELL BUCC(BACKUP AND CONTROL CEN"/>
    <s v="BOTHELL BUCC(BACKUP AND CONTROL CENTER) - Installation of hyperconverged infrastructure hardware including memory modules, processors, network adapters, and solid state drives"/>
    <s v="12/2023"/>
    <n v="3"/>
    <n v="38467.96"/>
    <n v="3052.02"/>
    <n v="35415.94"/>
    <x v="3"/>
    <x v="2"/>
  </r>
  <r>
    <s v="General Plant, Common"/>
    <s v="Common (E &amp; G)"/>
    <s v="General Plant, Columbia County, WA : GPL-0000 WA00700000"/>
    <n v="67797797"/>
    <s v="C3912 CMN Computer Eq, new"/>
    <n v="143006944"/>
    <s v="HOPKINS RIDGE GENERATION - HOP - HW"/>
    <s v="Installation of hyperconverged infrastructure hardware including memory modules, processors, network adapters, and solid state drives"/>
    <s v="12/2023"/>
    <n v="3"/>
    <n v="37889.700000000004"/>
    <n v="3006.14"/>
    <n v="34883.56"/>
    <x v="3"/>
    <x v="2"/>
  </r>
  <r>
    <s v="General Plant, Common"/>
    <s v="Common (E &amp; G)"/>
    <s v="General Plant, Kitsap County, WA : GPL-0000 WA01800000"/>
    <n v="67797800"/>
    <s v="C3912 CMN Computer Eq, new"/>
    <n v="143006951"/>
    <s v="POULSBO SERVICE CENTER - POU - HW.C"/>
    <s v="Installation of hyperconverged infrastructure hardware including memory modules, processors, network adapters, and solid state drives"/>
    <s v="12/2023"/>
    <n v="3"/>
    <n v="40880.080000000002"/>
    <n v="3243.4"/>
    <n v="37636.68"/>
    <x v="3"/>
    <x v="2"/>
  </r>
  <r>
    <s v="General Plant, Common"/>
    <s v="Common (E &amp; G)"/>
    <s v="General Plant, King County outside RTA District, WA : GPL-0000 WA01700000"/>
    <n v="67797806"/>
    <s v="C3912 CMN Computer Eq, new"/>
    <n v="143007089"/>
    <s v="ANNUAL SERVER GROWTH/REFRESH (2023)"/>
    <s v="Annual Server purchase and replacement to meet PSE growing_x000a_capacity needs"/>
    <s v="12/2023"/>
    <n v="1"/>
    <n v="135166.42000000001"/>
    <n v="10724.01"/>
    <n v="124442.41"/>
    <x v="3"/>
    <x v="2"/>
  </r>
  <r>
    <s v="General Plant, Common"/>
    <s v="Common (E &amp; G)"/>
    <s v="General Plant, King County Unincorporated within RTA District, WA : GPL-0000 WA11700990"/>
    <n v="67797815"/>
    <s v="C3912 CMN Computer Eq, new"/>
    <n v="143007194"/>
    <s v="2023 NETWORK REFRESH/GROWTH - HW.CE"/>
    <s v="various PSE locations; WiFi access, and mgt. networking updates.  Covers both the cost of hardware/software but also the labor costs to implement."/>
    <s v="12/2023"/>
    <n v="2"/>
    <n v="799360.76"/>
    <n v="63420.72"/>
    <n v="735940.04"/>
    <x v="3"/>
    <x v="2"/>
  </r>
  <r>
    <s v="General Plant, Common"/>
    <s v="Common (E &amp; G)"/>
    <s v="General Plant, King County Unincorporated within RTA District, WA : GPL-0000 WA11700990"/>
    <n v="67797824"/>
    <s v="C3912 CMN Computer Eq, new"/>
    <n v="143007205"/>
    <s v="STANDING AV/CONFERENCE ROOM TECH RE"/>
    <s v="Client Engineering is responsible for managing and maintaining Audio Video &amp; Conference Room technology across all PSE facilities. These rooms can be broken down into different usage/experience categories, based on the size of the room, location, and business requirements for that meeting space"/>
    <s v="12/2023"/>
    <n v="3"/>
    <n v="139126.70000000001"/>
    <n v="11038.210000000001"/>
    <n v="128088.49"/>
    <x v="3"/>
    <x v="2"/>
  </r>
  <r>
    <s v="General Plant, Common"/>
    <s v="Common (E &amp; G)"/>
    <s v="General Plant, King County Unincorporated within RTA District, WA : GPL-0000 WA11700990"/>
    <n v="67797827"/>
    <s v="C3912 CMN Computer Eq, new"/>
    <n v="143007206"/>
    <s v="STANDING 2023 IT CORP FACILITIES"/>
    <s v="Growth and support of PSE's Corporate Communication sites located in PSE Buildings (non-Telecom) located around the Puget Sound and Eastern Washington. Refresh of infrastructure such as Electrical distribution, Standalone Fire Systems, and Copper and Fiber distribution. Funding will cover capital equipment upgrades and or replacements of infrastructure."/>
    <s v="12/2023"/>
    <n v="3"/>
    <n v="129316.09"/>
    <n v="10259.85"/>
    <n v="119056.24"/>
    <x v="3"/>
    <x v="2"/>
  </r>
  <r>
    <s v="General Plant, Common"/>
    <s v="Common (E &amp; G)"/>
    <s v="General Plant, King County outside RTA District, WA : GPL-0000 WA01700000"/>
    <n v="67797840"/>
    <s v="C3912 CMN Computer Eq, new"/>
    <n v="143007266"/>
    <s v="SQE-DC 2023 ANNUAL IMPROVEMENTS - H"/>
    <s v="Annual Data-center refresh and growth to support any_x000a_infrastructure activities supporting Snoqualmie Datacenter."/>
    <s v="12/2023"/>
    <n v="3"/>
    <n v="230263.99"/>
    <n v="18268.98"/>
    <n v="211995.01"/>
    <x v="3"/>
    <x v="2"/>
  </r>
  <r>
    <s v="General Plant, Common"/>
    <s v="Common (E &amp; G)"/>
    <s v="General Plant, Kittitas County, WA : GPL-0000 WA01900000"/>
    <n v="67797843"/>
    <s v="C3912 CMN Computer Eq, new"/>
    <n v="143007267"/>
    <s v="CAS-DC 2023 ANNUAL IMPROVEMENTS - H"/>
    <s v="Annual Data-center refresh and growth to support any_x000a_infrastructure activities supporting Cascade Datacenter."/>
    <s v="12/2023"/>
    <n v="3"/>
    <n v="197936.26"/>
    <n v="15704.12"/>
    <n v="182232.14"/>
    <x v="3"/>
    <x v="2"/>
  </r>
  <r>
    <s v="General Plant, Common"/>
    <s v="Common (E &amp; G)"/>
    <s v="General Plant, Kitsap County, WA : GPL-0000 WA01800000"/>
    <n v="67797846"/>
    <s v="C3912 CMN Computer Eq, new"/>
    <n v="143007564"/>
    <s v="TRANSPORT NW MOD - BRE -TAL SUB - H"/>
    <s v="Transport Network Modernization - Bremerton to Tallbot  SUB"/>
    <s v="12/2023"/>
    <n v="1"/>
    <n v="52518.73"/>
    <n v="4166.8"/>
    <n v="48351.93"/>
    <x v="3"/>
    <x v="2"/>
  </r>
  <r>
    <s v="General Plant, Common"/>
    <s v="Common (E &amp; G)"/>
    <s v="General Plant, Whatcom County, WA : GPL-0000 WA03700000"/>
    <n v="67797855"/>
    <s v="C3912 CMN Computer Eq, new"/>
    <n v="143007645"/>
    <s v="TRANSPORT NW MOD - ESR SUB - HW.CE"/>
    <s v="Transport Network Modernization - Ensearch SUB HW WO for Second SAR at ESR SUB"/>
    <s v="12/2023"/>
    <n v="1"/>
    <n v="3669.46"/>
    <n v="291.13"/>
    <n v="3378.33"/>
    <x v="3"/>
    <x v="2"/>
  </r>
  <r>
    <s v="General Plant, Common"/>
    <s v="Common (E &amp; G)"/>
    <s v="General Plant, Pierce County outside RTA District, WA : GPL-0000 WA02700000"/>
    <n v="67797858"/>
    <s v="C3912 CMN Computer Eq, new"/>
    <n v="143007726"/>
    <s v="TRANSP. NET. MODERNIZATION-TAC-OFC "/>
    <s v="Transport Network Modernization - HW WO for Nokia MPLS Router Deployment at Tacoma Business Offic"/>
    <s v="12/2023"/>
    <n v="1"/>
    <n v="6047.16"/>
    <n v="479.78000000000003"/>
    <n v="5567.38"/>
    <x v="3"/>
    <x v="2"/>
  </r>
  <r>
    <s v="General Plant, Common"/>
    <s v="Common (E &amp; G)"/>
    <s v="General Plant, Pierce County outside RTA District, WA : GPL-0000 WA02700000"/>
    <n v="67797861"/>
    <s v="C3912 CMN Computer Eq, new"/>
    <n v="143007809"/>
    <s v="TRANSP NET MODERNIZATION-HW-RET SUB"/>
    <s v="Transport Network Modernization - HW WO for Nokia MPLS Router Deployment at Whiter River Substation"/>
    <s v="12/2023"/>
    <n v="1"/>
    <n v="15444.11"/>
    <n v="1225.32"/>
    <n v="14218.79"/>
    <x v="3"/>
    <x v="2"/>
  </r>
  <r>
    <s v="General Plant, Common"/>
    <s v="Common (E &amp; G)"/>
    <s v="General Plant, King County Unincorporated within RTA District, WA : GPL-0000 WA11700990"/>
    <n v="67959652"/>
    <s v="C3912 CMN Computer Eq, new"/>
    <n v="143006724"/>
    <s v="2023 DATA CENTER HARDWARE REFRESH -"/>
    <s v="Snoqualmie and Cascade data centers"/>
    <s v="12/2023"/>
    <n v="2"/>
    <n v="7097314.1900000004"/>
    <n v="563095.87"/>
    <n v="6534218.3200000003"/>
    <x v="3"/>
    <x v="2"/>
  </r>
  <r>
    <s v="General Plant, Common"/>
    <s v="Common (E &amp; G)"/>
    <s v="General Plant, Whatcom County, WA : GPL-0000 WA03700000"/>
    <n v="67959657"/>
    <s v="C3912 CMN Computer Eq, new"/>
    <n v="143006925"/>
    <s v="ENCOGEN GENERATION - ENC - HW.CE"/>
    <s v="ENCOGEN GENERATION - Installation of hyperconverged infrastructure hardware including memory modules, processors, network adapters, and solid state drives"/>
    <s v="12/2023"/>
    <n v="2"/>
    <n v="43399.770000000004"/>
    <n v="3443.31"/>
    <n v="39956.46"/>
    <x v="3"/>
    <x v="2"/>
  </r>
  <r>
    <s v="General Plant, Common"/>
    <s v="Common (E &amp; G)"/>
    <s v="General Plant, Kittitas County, WA : GPL-0000 WA01900000"/>
    <n v="67959664"/>
    <s v="C3912 CMN Computer Eq, new"/>
    <n v="143006945"/>
    <s v="WILD HORSE - WLD - HW.CE"/>
    <s v="Installation of hyperconverged infrastructure hardware including memory modules, processors, network adapters, and solid state drives"/>
    <s v="12/2023"/>
    <n v="1"/>
    <n v="38495.629999999997"/>
    <n v="3054.2200000000003"/>
    <n v="35441.410000000003"/>
    <x v="3"/>
    <x v="2"/>
  </r>
  <r>
    <s v="General Plant, Common"/>
    <s v="Common (E &amp; G)"/>
    <s v="General Plant, Klickitat County, WA : GPL-0000 WA02000000"/>
    <n v="67959667"/>
    <s v="C3912 CMN Computer Eq, new"/>
    <n v="143006946"/>
    <s v="GOLDENDALE GENERATING STATION - GLD"/>
    <s v="Installation of hyperconverged infrastructure hardware including memory modules, processors, network adapters, and solid state drives"/>
    <s v="12/2023"/>
    <n v="2"/>
    <n v="49292.76"/>
    <n v="3910.85"/>
    <n v="45381.91"/>
    <x v="3"/>
    <x v="2"/>
  </r>
  <r>
    <s v="General Plant, Common"/>
    <s v="Common (E &amp; G)"/>
    <s v="General Plant, King County Unincorporated within RTA District, WA : GPL-0000 WA11700990"/>
    <n v="67959672"/>
    <s v="C3912 CMN Computer Eq, new"/>
    <n v="143006954"/>
    <s v="EASTSIDE SYSTEM OPERATIONS NERC  - "/>
    <s v="Installation of hyperconverged infrastructure hardware including memory modules, processors, network adapters, and solid state drives"/>
    <s v="12/2023"/>
    <n v="2"/>
    <n v="52395.51"/>
    <n v="4157.0200000000004"/>
    <n v="48238.49"/>
    <x v="3"/>
    <x v="2"/>
  </r>
  <r>
    <s v="General Plant, Common"/>
    <s v="Common (E &amp; G)"/>
    <s v="General Plant, King County Unincorporated within RTA District, WA : GPL-0000 WA11700990"/>
    <n v="67959675"/>
    <s v="C3912 CMN Computer Eq, new"/>
    <n v="143006956"/>
    <s v="GEORGETOWN OPERATING BASE - GTO - H"/>
    <s v="Installation of hyperconverged infrastructure hardware including memory modules, processors, network adapters, and solid state drives"/>
    <s v="12/2023"/>
    <n v="2"/>
    <n v="39785.83"/>
    <n v="3156.58"/>
    <n v="36629.25"/>
    <x v="3"/>
    <x v="2"/>
  </r>
  <r>
    <s v="General Plant, Common"/>
    <s v="Common (E &amp; G)"/>
    <s v="General Plant, King County outside RTA District, WA : GPL-0000 WA01700000"/>
    <n v="67959678"/>
    <s v="C3912 CMN Computer Eq, new"/>
    <n v="143006959"/>
    <s v="SNOQUALMIE HYDOELECTRIC - SNO - HW."/>
    <s v="Installation of hyperconverged infrastructure hardware including memory modules, processors, network adapters, and solid state drives"/>
    <s v="12/2023"/>
    <n v="2"/>
    <n v="45233.270000000004"/>
    <n v="3588.78"/>
    <n v="41644.49"/>
    <x v="3"/>
    <x v="2"/>
  </r>
  <r>
    <s v="General Plant, Common"/>
    <s v="Common (E &amp; G)"/>
    <s v="General Plant, Whatcom County, WA : GPL-0000 WA03700000"/>
    <n v="67959681"/>
    <s v="C3912 CMN Computer Eq, new"/>
    <n v="143006961"/>
    <s v="SUMAS PLANT - SMS - HW.CE"/>
    <s v="Installation of hyperconverged infrastructure hardware including memory modules, processors, network adapters, and solid state drives"/>
    <s v="12/2023"/>
    <n v="2"/>
    <n v="44371.85"/>
    <n v="3520.4300000000003"/>
    <n v="40851.42"/>
    <x v="3"/>
    <x v="2"/>
  </r>
  <r>
    <s v="General Plant, Common"/>
    <s v="Common (E &amp; G)"/>
    <s v="General Plant, King County outside RTA District, WA : GPL-0000 WA01700000"/>
    <n v="67959686"/>
    <s v="C3912 CMN Computer Eq, new"/>
    <n v="143007001"/>
    <s v="GIS UPGRADE - SMALLWORLD - SNOQUALM"/>
    <s v="Upgrade GE Smallworld from version 4.3 to 5.2, and ensure integrated systems remain operational."/>
    <s v="12/2023"/>
    <n v="1"/>
    <n v="101661.18000000001"/>
    <n v="8065.7300000000005"/>
    <n v="93595.45"/>
    <x v="3"/>
    <x v="2"/>
  </r>
  <r>
    <s v="General Plant, Common"/>
    <s v="Common (E &amp; G)"/>
    <s v="General Plant, Kittitas County, WA : GPL-0000 WA01900000"/>
    <n v="67959689"/>
    <s v="C3912 CMN Computer Eq, new"/>
    <n v="143007002"/>
    <s v="GIS UPGRADE - SMALLWORLD - CASCADE "/>
    <s v="Upgrade GE Smallworld from version 4.3 to 5.2, and ensure integrated systems remain operational."/>
    <s v="12/2023"/>
    <n v="1"/>
    <n v="100042.63"/>
    <n v="7937.31"/>
    <n v="92105.32"/>
    <x v="3"/>
    <x v="2"/>
  </r>
  <r>
    <s v="General Plant, Common"/>
    <s v="Common (E &amp; G)"/>
    <s v="General Plant, King County Unincorporated within RTA District, WA : GPL-0000 WA11700990"/>
    <n v="67959699"/>
    <s v="C3912 CMN Computer Eq, new"/>
    <n v="143007085"/>
    <s v="STANDING TELECOM EQUIP GROWTH TOOL "/>
    <s v="Cables, cards, routers, radio 2-way"/>
    <s v="12/2023"/>
    <n v="2"/>
    <n v="148731.03"/>
    <n v="11800.210000000001"/>
    <n v="136930.82"/>
    <x v="3"/>
    <x v="2"/>
  </r>
  <r>
    <s v="General Plant, Common"/>
    <s v="Common (E &amp; G)"/>
    <s v="General Plant, King County Unincorporated within RTA District, WA : GPL-0000 WA11700990"/>
    <n v="67959702"/>
    <s v="C3912 CMN Computer Eq, new"/>
    <n v="143007086"/>
    <s v="ANNUAL TELECOM NETWORK REFRESH (202"/>
    <s v="New or repaired transport network, Routers, switch, cards, modules"/>
    <s v="12/2023"/>
    <n v="2"/>
    <n v="135795"/>
    <n v="10773.880000000001"/>
    <n v="125021.12"/>
    <x v="3"/>
    <x v="2"/>
  </r>
  <r>
    <s v="General Plant, Common"/>
    <s v="Common (E &amp; G)"/>
    <s v="General Plant, Kittitas County, WA : GPL-0000 WA01900000"/>
    <n v="67959707"/>
    <s v="C3912 CMN Computer Eq, new"/>
    <n v="143007181"/>
    <s v="2023 HARDWARE ORDER FOR DCHR"/>
    <s v="equipment in Snoqualmie and Cascade data centers"/>
    <s v="12/2023"/>
    <n v="2"/>
    <n v="4199185.45"/>
    <n v="333160.39"/>
    <n v="3866025.06"/>
    <x v="3"/>
    <x v="2"/>
  </r>
  <r>
    <s v="General Plant, Common"/>
    <s v="Common (E &amp; G)"/>
    <s v="General Plant, King County Unincorporated within RTA District, WA : GPL-0000 WA11700990"/>
    <n v="67959716"/>
    <s v="C3912 CMN Computer Eq, new"/>
    <n v="143007204"/>
    <s v="POI - HANA DR ENABLEMENT - HW.CE"/>
    <s v="Platform of Insights (POI) is widely used by many business groups for doing self service analytics including performing analytics and data science on AMI meter data. Currently, POI does not have DR enabled as it is categorized as a Tier 4 system. With the growth and usage especially with AMI data the application needs a higher category (Tier 2) and DR enabled."/>
    <s v="12/2023"/>
    <n v="2"/>
    <n v="114416.16"/>
    <n v="9077.7000000000007"/>
    <n v="105338.46"/>
    <x v="3"/>
    <x v="2"/>
  </r>
  <r>
    <s v="General Plant, Common"/>
    <s v="Common (E &amp; G)"/>
    <s v="General Plant, Island County, WA : GPL-0000 WA01500000"/>
    <n v="67959728"/>
    <s v="C3912 CMN Computer Eq, new"/>
    <n v="143007218"/>
    <s v="WBY-WHIDBEY SUB NOKIA SAR DEPLOY_HW"/>
    <s v="Add/Upgrade transport node equipment at Whidbey Sub."/>
    <s v="12/2023"/>
    <n v="2"/>
    <n v="32942.22"/>
    <n v="2613.61"/>
    <n v="30328.61"/>
    <x v="3"/>
    <x v="2"/>
  </r>
  <r>
    <s v="General Plant, Common"/>
    <s v="Common (E &amp; G)"/>
    <s v="General Plant, Pierce County outside RTA District, WA : GPL-0000 WA02700000"/>
    <n v="67959752"/>
    <s v="C3912 CMN Computer Eq, new"/>
    <n v="143007301"/>
    <s v="SECURITY SYSTEM BREAK/FIX  - HW.CE"/>
    <m/>
    <s v="12/2023"/>
    <n v="2"/>
    <n v="261569.27000000002"/>
    <n v="20752.72"/>
    <n v="240816.55000000002"/>
    <x v="3"/>
    <x v="2"/>
  </r>
  <r>
    <s v="General Plant, Common"/>
    <s v="Common (E &amp; G)"/>
    <s v="General Plant, Island County, WA : GPL-0000 WA01500000"/>
    <n v="67959755"/>
    <s v="C3912 CMN Computer Eq, new"/>
    <n v="143007343"/>
    <s v="WHB-WHIDBEY SERVICE NOKIA SAR DEPLO"/>
    <m/>
    <s v="12/2023"/>
    <n v="2"/>
    <n v="105064.14"/>
    <n v="8335.7100000000009"/>
    <n v="96728.430000000008"/>
    <x v="3"/>
    <x v="2"/>
  </r>
  <r>
    <s v="General Plant, Common"/>
    <s v="Common (E &amp; G)"/>
    <s v="General Plant, King County Unincorporated within RTA District, WA : GPL-0000 WA11700990"/>
    <n v="67959800"/>
    <s v="C3912 CMN Computer Eq, new"/>
    <n v="143007621"/>
    <s v="TRANSP. NET. MODERNIZATION-HW-MIR-S"/>
    <m/>
    <s v="12/2023"/>
    <n v="2"/>
    <n v="72477.69"/>
    <n v="5750.33"/>
    <n v="66727.360000000001"/>
    <x v="3"/>
    <x v="2"/>
  </r>
  <r>
    <s v="General Plant, Common"/>
    <s v="Common (E &amp; G)"/>
    <s v="General Plant, King County Unincorporated within RTA District, WA : GPL-0000 WA11700990"/>
    <n v="67959806"/>
    <s v="C3912 CMN Computer Eq, new"/>
    <n v="143007822"/>
    <s v="XAMARIN FORMS MIGRATION TO MAUI - H"/>
    <m/>
    <s v="12/2023"/>
    <n v="1"/>
    <n v="7492.76"/>
    <n v="594.47"/>
    <n v="6898.29"/>
    <x v="3"/>
    <x v="2"/>
  </r>
  <r>
    <s v="General Plant, Common"/>
    <s v="Common (E &amp; G)"/>
    <s v="General Plant, Skagit County, WA : GPL-0000 WA02900000"/>
    <n v="67959809"/>
    <s v="C3912 CMN Computer Eq, new"/>
    <n v="143007824"/>
    <s v="MWR MT ERIE - RED3 NVR REPL - HW.CE"/>
    <m/>
    <s v="12/2023"/>
    <n v="1"/>
    <n v="6739.9400000000005"/>
    <n v="534.74"/>
    <n v="6205.2"/>
    <x v="3"/>
    <x v="2"/>
  </r>
  <r>
    <s v="General Plant, Common"/>
    <s v="Common (E &amp; G)"/>
    <s v="General Plant, King County Unincorporated within RTA District, WA : GPL-0000 WA11700990"/>
    <n v="67959812"/>
    <s v="C3912 CMN Computer Eq, new"/>
    <n v="143007827"/>
    <s v="2023 ROADMAP UPGRADE HARD DRIVE - H"/>
    <m/>
    <s v="12/2023"/>
    <n v="1"/>
    <n v="682.41"/>
    <n v="54.14"/>
    <n v="628.27"/>
    <x v="3"/>
    <x v="2"/>
  </r>
  <r>
    <s v="General Plant, Common"/>
    <s v="Common (E &amp; G)"/>
    <s v="General Plant, Kitsap County, WA : GPL-0000 WA01800000"/>
    <n v="67959815"/>
    <s v="C3912 CMN Computer Eq, new"/>
    <n v="143007828"/>
    <s v="MWR GREEN MOUNTAIN RED3-NVR SERVER "/>
    <m/>
    <s v="12/2023"/>
    <n v="1"/>
    <n v="6739.9400000000005"/>
    <n v="534.74"/>
    <n v="6205.2"/>
    <x v="3"/>
    <x v="2"/>
  </r>
  <r>
    <s v="General Plant, Common"/>
    <s v="Common (E &amp; G)"/>
    <s v="General Plant, Skagit County, WA : GPL-0000 WA02900000"/>
    <n v="67959818"/>
    <s v="C3912 CMN Computer Eq, new"/>
    <n v="143007829"/>
    <s v="MWR BURLINGTON-NVR SERVER REPLACEME"/>
    <m/>
    <s v="12/2023"/>
    <n v="1"/>
    <n v="6739.9400000000005"/>
    <n v="534.74"/>
    <n v="6205.2"/>
    <x v="3"/>
    <x v="2"/>
  </r>
  <r>
    <s v="General Plant, Common"/>
    <s v="Common (E &amp; G)"/>
    <s v="General Plant, King County Unincorporated within RTA District, WA : GPL-0000 WA11700990"/>
    <n v="67959821"/>
    <s v="C3912 CMN Computer Eq, new"/>
    <n v="143007837"/>
    <s v="FRONT OFFICE VERNELL - HW.CE"/>
    <m/>
    <s v="12/2023"/>
    <n v="1"/>
    <n v="28165.39"/>
    <n v="2234.62"/>
    <n v="25930.77"/>
    <x v="3"/>
    <x v="2"/>
  </r>
  <r>
    <s v="General Plant, Common"/>
    <s v="Common (E &amp; G)"/>
    <s v="General Plant, King County Unincorporated within RTA District, WA : GPL-0000 WA11700990"/>
    <n v="67959824"/>
    <s v="C3912 CMN Computer Eq, new"/>
    <n v="143007920"/>
    <s v="ANNUAL ENTERPRISE APPLICATIONS GROW"/>
    <m/>
    <s v="12/2023"/>
    <n v="1"/>
    <n v="715.13"/>
    <n v="56.74"/>
    <n v="658.39"/>
    <x v="3"/>
    <x v="2"/>
  </r>
  <r>
    <s v="General Plant, Common"/>
    <s v="Common (E &amp; G)"/>
    <s v="General Plant, King County Unincorporated within RTA District, WA : GPL-0000 WA11700990"/>
    <n v="68173386"/>
    <s v="C3912 CMN Computer Eq, new"/>
    <n v="143007090"/>
    <s v="ANNUAL END USER PC REFRESH (2023) -"/>
    <s v="Laptops and Workstations"/>
    <s v="12/2023"/>
    <n v="1"/>
    <n v="5543456.8799999999"/>
    <n v="439813.93"/>
    <n v="5103642.95"/>
    <x v="3"/>
    <x v="2"/>
  </r>
  <r>
    <s v="General Plant, Common"/>
    <s v="Common (E &amp; G)"/>
    <s v="General Plant, King County outside RTA District, WA : GPL-0000 WA01700000"/>
    <n v="23721642"/>
    <s v="C3920 GEN Trans Equip, new"/>
    <n v="143000500"/>
    <s v="STANDING FLEET VEHICLES PURCH - COM"/>
    <s v="STANDING FLEET VEHICLES PURCH - COM"/>
    <s v="12/2023"/>
    <n v="0"/>
    <n v="79217.600000000006"/>
    <n v="151540.17000000001"/>
    <n v="-72322.570000000007"/>
    <x v="4"/>
    <x v="3"/>
  </r>
  <r>
    <s v="General Plant, Common"/>
    <s v="Common (E &amp; G)"/>
    <s v="General Plant, King County Unincorporated within RTA District, WA : GPL-0000 WA11700990"/>
    <n v="24038037"/>
    <s v="C3920 GEN Trans Equip, new"/>
    <n v="143001927"/>
    <s v="FIBER REEL TRAILER- RDW-OFC"/>
    <s v="FIBER REEL TRAILER- RDW-OFC"/>
    <s v="12/2023"/>
    <n v="0"/>
    <n v="10323.07"/>
    <n v="19747.63"/>
    <n v="-9424.56"/>
    <x v="4"/>
    <x v="3"/>
  </r>
  <r>
    <s v="General Plant, Common"/>
    <s v="Common (E &amp; G)"/>
    <s v="General Plant, King County Unincorporated within RTA District, WA : GPL-0000 WA11700990"/>
    <n v="34258057"/>
    <s v="C3920 GEN Trans Equip, new"/>
    <n v="143002621"/>
    <s v="2017 STANDING ORDER SERVICE TRUCKS-"/>
    <s v="2017 STANDING ORDER SERVICE TRUCKS- COMM"/>
    <s v="12/2023"/>
    <n v="0"/>
    <n v="30322.560000000001"/>
    <n v="50778.68"/>
    <n v="-20456.12"/>
    <x v="4"/>
    <x v="3"/>
  </r>
  <r>
    <s v="General Plant, Common"/>
    <s v="Common (E &amp; G)"/>
    <s v="General Plant, Bellevue, WA : GPL-0000 WA11700040"/>
    <n v="33531601"/>
    <s v="C3920 GEN Trans Equip, new"/>
    <n v="143002620"/>
    <s v="2017 STANDING ORDER PASSENGER CARS "/>
    <s v="2017 STANDING ORDER PASSENGER CARS AND T"/>
    <s v="12/2023"/>
    <n v="1"/>
    <n v="4140.63"/>
    <n v="6933.97"/>
    <n v="-2793.34"/>
    <x v="4"/>
    <x v="3"/>
  </r>
  <r>
    <s v="General Plant, Common"/>
    <s v="Common (E &amp; G)"/>
    <s v="General Plant, King County Unincorporated within RTA District, WA : GPL-0000 WA11700990"/>
    <n v="44445721"/>
    <s v="C3920 GEN Trans Equip, new"/>
    <n v="143003848"/>
    <s v="2018 STANDING ORDER FLEET VEHICLES "/>
    <s v="2018 STANDING ORDER FLEET VEHICLES - COM"/>
    <s v="12/2023"/>
    <n v="0"/>
    <n v="167516.01999999999"/>
    <n v="260562"/>
    <n v="-93045.98"/>
    <x v="4"/>
    <x v="3"/>
  </r>
  <r>
    <s v="General Plant, Common"/>
    <s v="Common (E &amp; G)"/>
    <s v="General Plant, King County Unincorporated within RTA District, WA : GPL-0000 WA11700990"/>
    <n v="44445732"/>
    <s v="C3920 GEN Trans Equip, new"/>
    <n v="143003891"/>
    <s v="FLEET SERVICES HYBRID UPGRADES"/>
    <s v="FLEET SERVICES HYBRID UPGRADES"/>
    <s v="12/2023"/>
    <n v="0"/>
    <n v="430595.26"/>
    <n v="618452.53"/>
    <n v="-187857.27"/>
    <x v="4"/>
    <x v="3"/>
  </r>
  <r>
    <s v="General Plant, Common"/>
    <s v="Common (E &amp; G)"/>
    <s v="General Plant, Bellevue, WA : GPL-0000 WA11700040"/>
    <n v="45758205"/>
    <s v="C3920 GEN Trans Equip, new"/>
    <n v="143003878"/>
    <s v="FLIGHT SERVICES_AVIONICS SYSTEMS UP"/>
    <s v="FLIGHT SERVICES_AVIONICS SYSTEMS UPGRADE"/>
    <s v="12/2023"/>
    <n v="0"/>
    <n v="306654.46000000002"/>
    <n v="440439.65"/>
    <n v="-133785.19"/>
    <x v="4"/>
    <x v="3"/>
  </r>
  <r>
    <s v="General Plant, Common"/>
    <s v="Common (E &amp; G)"/>
    <s v="General Plant, King County Unincorporated within RTA District, WA : GPL-0000 WA11700990"/>
    <n v="44534605"/>
    <s v="C3920 GEN Trans Equip, new"/>
    <n v="143004804"/>
    <s v="2019 STANDING ORDER FLEET VEHICLES "/>
    <s v="2019 STANDING ORDER FLEET VEHICLES - COM"/>
    <s v="12/2023"/>
    <n v="4"/>
    <n v="25407.78"/>
    <n v="36492.520000000004"/>
    <n v="-11084.74"/>
    <x v="4"/>
    <x v="3"/>
  </r>
  <r>
    <s v="General Plant, Common"/>
    <s v="Common (E &amp; G)"/>
    <s v="General Plant, King County Unincorporated within RTA District, WA : GPL-0000 WA11700990"/>
    <n v="49945268"/>
    <s v="C3920 GEN Trans Equip, new"/>
    <n v="143005461"/>
    <s v="2020 STANDING ORDER FLEET VEHICLES "/>
    <s v="2020 STANDING ORDER FLEET VEHICLES - COM"/>
    <s v="12/2023"/>
    <n v="1"/>
    <n v="59517.11"/>
    <n v="78390.080000000002"/>
    <n v="-18872.97"/>
    <x v="4"/>
    <x v="3"/>
  </r>
  <r>
    <s v="General Plant, Common"/>
    <s v="Common (E &amp; G)"/>
    <s v="General Plant, King County Unincorporated within RTA District, WA : GPL-0000 WA11700990"/>
    <n v="67206471"/>
    <s v="C3920 GEN Trans Equip, new"/>
    <n v="143006509"/>
    <s v="2022 STANDING ORDER FLEET VEHICLES "/>
    <s v="Fleet Vehicles"/>
    <s v="12/2023"/>
    <n v="0"/>
    <n v="195935.1"/>
    <n v="211366.52000000002"/>
    <n v="-15431.42"/>
    <x v="4"/>
    <x v="3"/>
  </r>
  <r>
    <s v="General Plant, Common"/>
    <s v="Common (E &amp; G)"/>
    <s v="General Plant, King County Unincorporated within RTA District, WA : GPL-0000 WA11700990"/>
    <n v="68173446"/>
    <s v="C3920 GEN Trans Equip, new"/>
    <n v="143007212"/>
    <s v="2023 STANDING ORDER FLEET VEHICLES "/>
    <s v="Fleet Vehicles"/>
    <s v="12/2023"/>
    <n v="1"/>
    <n v="160148.65"/>
    <n v="153676.39000000001"/>
    <n v="6472.26"/>
    <x v="4"/>
    <x v="3"/>
  </r>
  <r>
    <s v="General Plant, Common"/>
    <s v="Common (E &amp; G)"/>
    <s v="Puyallup Service Center : GPL-VPU"/>
    <n v="36543790"/>
    <s v="C393 CMN Stores Equipment new"/>
    <s v="CONV"/>
    <m/>
    <m/>
    <s v="12/2023"/>
    <n v="0"/>
    <n v="38901.93"/>
    <n v="25160.13"/>
    <n v="13741.800000000001"/>
    <x v="5"/>
    <x v="0"/>
  </r>
  <r>
    <s v="General Plant, Common"/>
    <s v="Common (E &amp; G)"/>
    <s v="General Plant, King County outside RTA District, WA : GPL-0000 WA01700000"/>
    <n v="5712959"/>
    <s v="C393 CMN Stores Equipment new"/>
    <n v="130003983"/>
    <s v="STANDING-CORP FLEET VEHICLES PURCH "/>
    <s v="STANDING-CORP FLEET VEHICLES PURCH - COM"/>
    <s v="12/2023"/>
    <n v="0"/>
    <n v="38474.870000000003"/>
    <n v="16954.86"/>
    <n v="21520.010000000002"/>
    <x v="5"/>
    <x v="0"/>
  </r>
  <r>
    <s v="General Plant, Common"/>
    <s v="Common (E &amp; G)"/>
    <s v="General Plant, King County outside RTA District, WA : GPL-0000 WA01700000"/>
    <n v="7627435"/>
    <s v="C393 CMN Stores Equipment new"/>
    <n v="130003983"/>
    <s v="STANDING-CORP FLEET VEHICLES PURCH "/>
    <s v="STANDING-CORP FLEET VEHICLES PURCH - COM"/>
    <s v="12/2023"/>
    <n v="0"/>
    <n v="15198.970000000001"/>
    <n v="7509.13"/>
    <n v="7689.84"/>
    <x v="5"/>
    <x v="0"/>
  </r>
  <r>
    <s v="General Plant, Common"/>
    <s v="Common (E &amp; G)"/>
    <s v="General Plant, Washington State : GPL-0000 WA00000000"/>
    <n v="36543817"/>
    <s v="C3940 CMN Tools/Shop/Garage new"/>
    <s v="CONV"/>
    <m/>
    <m/>
    <s v="12/2023"/>
    <n v="0"/>
    <n v="144193.65"/>
    <n v="144193.31"/>
    <n v="0.34"/>
    <x v="6"/>
    <x v="0"/>
  </r>
  <r>
    <s v="General Plant, Common"/>
    <s v="Common (E &amp; G)"/>
    <s v="General Plant, Kittitas County, WA : GPL-0000 WA01900000"/>
    <n v="36543828"/>
    <s v="C3940 CMN Tools/Shop/Garage new"/>
    <s v="CONV"/>
    <m/>
    <m/>
    <s v="12/2023"/>
    <n v="1"/>
    <n v="4392.9400000000005"/>
    <n v="4392.93"/>
    <n v="0.01"/>
    <x v="6"/>
    <x v="0"/>
  </r>
  <r>
    <s v="General Plant, Common"/>
    <s v="Common (E &amp; G)"/>
    <s v="General Plant, Washington State : GPL-0000 WA00000000"/>
    <n v="36543839"/>
    <s v="C3940 CMN Tools/Shop/Garage new"/>
    <s v="CONV"/>
    <m/>
    <m/>
    <s v="12/2023"/>
    <n v="0"/>
    <n v="82389.91"/>
    <n v="82375.210000000006"/>
    <n v="14.700000000000001"/>
    <x v="6"/>
    <x v="0"/>
  </r>
  <r>
    <s v="General Plant, Common"/>
    <s v="Common (E &amp; G)"/>
    <s v="General Plant, Washington State : GPL-0000 WA00000000"/>
    <n v="36543881"/>
    <s v="C3940 CMN Tools/Shop/Garage new"/>
    <s v="CONV"/>
    <m/>
    <m/>
    <s v="12/2023"/>
    <n v="0"/>
    <n v="82258.5"/>
    <n v="82151.960000000006"/>
    <n v="106.54"/>
    <x v="6"/>
    <x v="0"/>
  </r>
  <r>
    <s v="General Plant, Common"/>
    <s v="Common (E &amp; G)"/>
    <s v="Puyallup Service Center : GPL-VPU"/>
    <n v="36543890"/>
    <s v="C3940 CMN Tools/Shop/Garage new"/>
    <s v="CONV"/>
    <m/>
    <m/>
    <s v="12/2023"/>
    <n v="0"/>
    <n v="39233.54"/>
    <n v="39182.730000000003"/>
    <n v="50.81"/>
    <x v="6"/>
    <x v="0"/>
  </r>
  <r>
    <s v="General Plant, Common"/>
    <s v="Common (E &amp; G)"/>
    <s v="General Plant, Washington State : GPL-0000 WA00000000"/>
    <n v="36543899"/>
    <s v="C3940 CMN Tools/Shop/Garage new"/>
    <s v="CONV"/>
    <m/>
    <m/>
    <s v="12/2023"/>
    <n v="0"/>
    <n v="18525.21"/>
    <n v="18438.830000000002"/>
    <n v="86.38"/>
    <x v="6"/>
    <x v="0"/>
  </r>
  <r>
    <s v="General Plant, Common"/>
    <s v="Common (E &amp; G)"/>
    <s v="General Plant, Washington State : GPL-0000 WA00000000"/>
    <n v="36541437"/>
    <s v="C3940 CMN Tools/Shop/Garage new"/>
    <n v="130003321"/>
    <s v="Stores Equipment Purchases - 2008"/>
    <s v="Stores Equipment Purchases - 2008"/>
    <s v="12/2023"/>
    <n v="1"/>
    <n v="1691.49"/>
    <n v="1683.6000000000001"/>
    <n v="7.8900000000000006"/>
    <x v="6"/>
    <x v="0"/>
  </r>
  <r>
    <s v="General Plant, Common"/>
    <s v="Common (E &amp; G)"/>
    <s v="Fleet Service Facility : GPL-VFL"/>
    <n v="5962151"/>
    <s v="C3940 CMN Tools/Shop/Garage new"/>
    <n v="131203000"/>
    <s v="VEHICLE LIFTS AT KENT FLEET"/>
    <s v="VEHICLE LIFTS AT KENT FLEET"/>
    <s v="12/2023"/>
    <n v="0"/>
    <n v="162755.58000000002"/>
    <n v="158718.39999999999"/>
    <n v="4037.1800000000003"/>
    <x v="6"/>
    <x v="1"/>
  </r>
  <r>
    <s v="General Plant, Common"/>
    <s v="Common (E &amp; G)"/>
    <s v="Bothell Business Office (leased): GPL-BOT"/>
    <n v="10265824"/>
    <s v="C3940 CMN Tools/Shop/Garage new"/>
    <n v="131204663"/>
    <s v="Electric Vehicle Charg Stations -Bo"/>
    <s v="Electric Vehicle Charg Stations -Bothell"/>
    <s v="12/2023"/>
    <n v="1"/>
    <n v="24862.82"/>
    <n v="23008.12"/>
    <n v="1854.7"/>
    <x v="6"/>
    <x v="0"/>
  </r>
  <r>
    <s v="General Plant, Common"/>
    <s v="Common (E &amp; G)"/>
    <s v="East Side Telecommunication Office : GPL-ESO"/>
    <n v="10265827"/>
    <s v="C3940 CMN Tools/Shop/Garage new"/>
    <n v="131204662"/>
    <s v="Electric Vehicle Charging Stations "/>
    <s v="Electric Vehicle Charging Stations - ESO"/>
    <s v="12/2023"/>
    <n v="1"/>
    <n v="11368.64"/>
    <n v="10520.57"/>
    <n v="848.07"/>
    <x v="6"/>
    <x v="0"/>
  </r>
  <r>
    <s v="General Plant, Common"/>
    <s v="Common (E &amp; G)"/>
    <s v="Tacoma Office/Shop : GPL-TAC"/>
    <n v="10529633"/>
    <s v="C3940 CMN Tools/Shop/Garage new"/>
    <n v="131204700"/>
    <s v="Electric Vehicle Charging Stations "/>
    <s v="Electric Vehicle Charging Stations - TAC"/>
    <s v="12/2023"/>
    <n v="1"/>
    <n v="36288.370000000003"/>
    <n v="33581.360000000001"/>
    <n v="2707.01"/>
    <x v="6"/>
    <x v="0"/>
  </r>
  <r>
    <s v="General Plant, Common"/>
    <s v="Common (E &amp; G)"/>
    <s v="Pse East Ofc Bldg (Leased) 110Th Ave Ne : GPL-PSEE"/>
    <n v="10814467"/>
    <s v="C3940 CMN Tools/Shop/Garage new"/>
    <n v="143000220"/>
    <s v="GE ENERGY-BENTLEY ADRE408 TOOL"/>
    <s v="GE ENERGY-BENTLEY ADRE408 TOOL"/>
    <s v="12/2023"/>
    <n v="1"/>
    <n v="29522.100000000002"/>
    <n v="27319.83"/>
    <n v="2202.27"/>
    <x v="6"/>
    <x v="0"/>
  </r>
  <r>
    <s v="General Plant, Common"/>
    <s v="Common (E &amp; G)"/>
    <s v="Pse Ofc Bldg (Leased) Ne 4Th Street : GPL-PSE"/>
    <n v="10814470"/>
    <s v="C3940 CMN Tools/Shop/Garage new"/>
    <n v="143000181"/>
    <s v="BELLEVUE CAMPUS  - CHARGING STATION"/>
    <s v="BELLEVUE CAMPUS  - CHARGING STATION"/>
    <s v="12/2023"/>
    <n v="1"/>
    <n v="10223.94"/>
    <n v="9461.26"/>
    <n v="762.68000000000006"/>
    <x v="6"/>
    <x v="0"/>
  </r>
  <r>
    <s v="General Plant, Common"/>
    <s v="Common (E &amp; G)"/>
    <s v="S King Svc Complex (PSE) : GPL-SOK"/>
    <n v="27792538"/>
    <s v="C3940 CMN Tools/Shop/Garage new"/>
    <n v="131204701"/>
    <s v="Electric Vehicle Charging Stations "/>
    <s v="Electric Vehicle Charging Stations - SKC"/>
    <s v="12/2023"/>
    <n v="1"/>
    <n v="11518.79"/>
    <n v="10659.52"/>
    <n v="859.27"/>
    <x v="6"/>
    <x v="1"/>
  </r>
  <r>
    <s v="General Plant, Common"/>
    <s v="Common (E &amp; G)"/>
    <s v="Pse Ofc Bldg (Leased) Ne 4Th Street : GPL-PSE"/>
    <n v="12653327"/>
    <s v="C3940 CMN Tools/Shop/Garage new"/>
    <n v="143001261"/>
    <s v="CHARGING STATION - BELLEVUE"/>
    <s v="CHARGING STATION - BELLEVUE"/>
    <s v="12/2023"/>
    <n v="1"/>
    <n v="3718.73"/>
    <n v="3292.4300000000003"/>
    <n v="426.3"/>
    <x v="6"/>
    <x v="0"/>
  </r>
  <r>
    <s v="General Plant, Common"/>
    <s v="Common (E &amp; G)"/>
    <s v="General Plant, King County outside RTA District, WA : GPL-0000 WA01700000"/>
    <n v="13250741"/>
    <s v="C3940 CMN Tools/Shop/Garage new"/>
    <n v="143000580"/>
    <s v="STANDING 2012 STORES CAPITAL EQUIPM"/>
    <s v="STANDING 2012 STORES CAPITAL EQUIPMENT"/>
    <s v="12/2023"/>
    <n v="1"/>
    <n v="25992.260000000002"/>
    <n v="21670.86"/>
    <n v="4321.3999999999996"/>
    <x v="6"/>
    <x v="0"/>
  </r>
  <r>
    <s v="General Plant, Common"/>
    <s v="Common (E &amp; G)"/>
    <s v="Olympia Service Center : GPL-VOL"/>
    <n v="13250755"/>
    <s v="C3940 CMN Tools/Shop/Garage new"/>
    <n v="143001260"/>
    <s v="ELECTRIC VEH CHARG STATIONS-OLYMPIA"/>
    <s v="ELECTRIC VEH CHARG STATIONS-OLYMPIA SVC"/>
    <s v="12/2023"/>
    <n v="1"/>
    <n v="8685.17"/>
    <n v="7689.55"/>
    <n v="995.62"/>
    <x v="6"/>
    <x v="1"/>
  </r>
  <r>
    <s v="General Plant, Common"/>
    <s v="Common (E &amp; G)"/>
    <s v="General Plant, King County outside RTA District, WA : GPL-0000 WA01700000"/>
    <n v="13250758"/>
    <s v="C3940 CMN Tools/Shop/Garage new"/>
    <n v="143001300"/>
    <s v="STANDING 2012 PTS CAPITAL TOOLS"/>
    <s v="STANDING 2012 PTS CAPITAL TOOLS"/>
    <s v="12/2023"/>
    <n v="1"/>
    <n v="14388.41"/>
    <n v="12738.99"/>
    <n v="1649.42"/>
    <x v="6"/>
    <x v="0"/>
  </r>
  <r>
    <s v="General Plant, Common"/>
    <s v="Common (E &amp; G)"/>
    <s v="Tacoma Office/Shop : GPL-TAC"/>
    <n v="19159730"/>
    <s v="C3940 CMN Tools/Shop/Garage new"/>
    <n v="143001540"/>
    <s v="TACOMA CNG FLEET DISPENSING IMPROVE"/>
    <s v="TACOMA CNG FLEET DISPENSING IMPROVEMENTS"/>
    <s v="12/2023"/>
    <n v="2"/>
    <n v="270212.32"/>
    <n v="208125.13"/>
    <n v="62087.19"/>
    <x v="6"/>
    <x v="0"/>
  </r>
  <r>
    <s v="General Plant, Common"/>
    <s v="Common (E &amp; G)"/>
    <s v="General Plant, King County Unincorporated within RTA District, WA : GPL-0000 WA11700990"/>
    <n v="19964051"/>
    <s v="C3940 CMN Tools/Shop/Garage new"/>
    <n v="143001400"/>
    <s v="2013-2017 STANDING STORES CAPITAL E"/>
    <s v="2013-2017 STANDING STORES CAPITAL EQUIPM"/>
    <s v="12/2023"/>
    <n v="1"/>
    <n v="105933.94"/>
    <n v="81593.3"/>
    <n v="24340.639999999999"/>
    <x v="6"/>
    <x v="0"/>
  </r>
  <r>
    <s v="General Plant, Common"/>
    <s v="Common (E &amp; G)"/>
    <s v="S King Svc Complex (PSE) : GPL-SOK"/>
    <n v="27792545"/>
    <s v="C3940 CMN Tools/Shop/Garage new"/>
    <n v="142000440"/>
    <s v="GAS METER DEPARTMENT MOTORIZED PALL"/>
    <s v="GAS METER DEPARTMENT MOTORIZED PALLET JA"/>
    <s v="12/2023"/>
    <n v="1"/>
    <n v="4038.9300000000003"/>
    <n v="3367.4300000000003"/>
    <n v="671.5"/>
    <x v="6"/>
    <x v="1"/>
  </r>
  <r>
    <s v="General Plant, Common"/>
    <s v="Common (E &amp; G)"/>
    <s v="S King Svc Complex (PSE) : GPL-SOK"/>
    <n v="27792559"/>
    <s v="C3940 CMN Tools/Shop/Garage new"/>
    <n v="143001900"/>
    <s v="PRESSURE WASHER - SOUTH KING COMPLE"/>
    <s v="PRESSURE WASHER - SOUTH KING COMPLEX"/>
    <s v="12/2023"/>
    <n v="1"/>
    <n v="10318.700000000001"/>
    <n v="7947.75"/>
    <n v="2370.9500000000003"/>
    <x v="6"/>
    <x v="1"/>
  </r>
  <r>
    <s v="General Plant, Common"/>
    <s v="Common (E &amp; G)"/>
    <s v="General Plant, King County outside RTA District, WA : GPL-0000 WA01700000"/>
    <n v="25879728"/>
    <s v="C3940 CMN Tools/Shop/Garage new"/>
    <n v="143001624"/>
    <s v="T AND D ENGINEERING GPS SURVEYING U"/>
    <s v="T AND D ENGINEERING GPS SURVEYING UNIT P"/>
    <s v="12/2023"/>
    <n v="0"/>
    <n v="15966.04"/>
    <n v="9757.11"/>
    <n v="6208.93"/>
    <x v="6"/>
    <x v="0"/>
  </r>
  <r>
    <s v="General Plant, Common"/>
    <s v="Common (E &amp; G)"/>
    <s v="General Plant, King County outside RTA District, WA : GPL-0000 WA01700000"/>
    <n v="26676498"/>
    <s v="C3940 CMN Tools/Shop/Garage new"/>
    <n v="143001840"/>
    <s v="STANDING IT TOOLS (TEST EQUIPMENT) "/>
    <s v="STANDING IT TOOLS (TEST EQUIPMENT) 2014"/>
    <s v="12/2023"/>
    <n v="1"/>
    <n v="130959.28"/>
    <n v="80031.400000000009"/>
    <n v="50927.880000000005"/>
    <x v="6"/>
    <x v="0"/>
  </r>
  <r>
    <s v="General Plant, Common"/>
    <s v="Common (E &amp; G)"/>
    <s v="General Plant, Redmond, WA : GPL-0000 WA11700240"/>
    <n v="27568810"/>
    <s v="C3940 CMN Tools/Shop/Garage new"/>
    <n v="143000682"/>
    <s v="2012-2017 TELECOMMUNICATIONS TOOL P"/>
    <s v="2012-2017 TELECOMMUNICATIONS TOOL PURCHA"/>
    <s v="12/2023"/>
    <n v="0"/>
    <n v="48061.5"/>
    <n v="29371.18"/>
    <n v="18690.32"/>
    <x v="6"/>
    <x v="0"/>
  </r>
  <r>
    <s v="General Plant, Common"/>
    <s v="Common (E &amp; G)"/>
    <s v="General Plant, Bellevue, WA : GPL-0000 WA11700040"/>
    <n v="28379257"/>
    <s v="C3940 CMN Tools/Shop/Garage new"/>
    <n v="143002509"/>
    <s v="AED REPLACEMENT PROGRAM            "/>
    <s v="AED REPLACEMENT PROGRAM"/>
    <s v="12/2023"/>
    <n v="63"/>
    <n v="152146.4"/>
    <n v="92979.199999999997"/>
    <n v="59167.200000000004"/>
    <x v="6"/>
    <x v="0"/>
  </r>
  <r>
    <s v="General Plant, Common"/>
    <s v="Common (E &amp; G)"/>
    <s v="General Plant, Redmond, WA : GPL-0000 WA11700240"/>
    <n v="30860280"/>
    <s v="C3940 CMN Tools/Shop/Garage new"/>
    <n v="143002880"/>
    <s v="STANDING IT TOOLS (TEST EQUIPMENT) "/>
    <s v="STANDING IT TOOLS (TEST EQUIPMENT) 2017"/>
    <s v="12/2023"/>
    <n v="1"/>
    <n v="35694.68"/>
    <n v="18559.88"/>
    <n v="17134.8"/>
    <x v="6"/>
    <x v="0"/>
  </r>
  <r>
    <s v="General Plant, Common"/>
    <s v="Common (E &amp; G)"/>
    <s v="Fleet Service Facility : GPL-VFL"/>
    <n v="31559970"/>
    <s v="C3940 CMN Tools/Shop/Garage new"/>
    <n v="143002741"/>
    <s v="KENT FLEETS HOIST REPLACEMENT      "/>
    <s v="KENT FLEETS HOIST REPLACEMENT"/>
    <s v="12/2023"/>
    <n v="1"/>
    <n v="26544.27"/>
    <n v="13802.01"/>
    <n v="12742.26"/>
    <x v="6"/>
    <x v="1"/>
  </r>
  <r>
    <s v="General Plant, Common"/>
    <s v="Common (E &amp; G)"/>
    <s v="General Plant, King County outside RTA District, WA : GPL-0000 WA01700000"/>
    <n v="9414151"/>
    <s v="C396 GEN Power Op Equip, new"/>
    <n v="130005321"/>
    <s v="GE Capital  Fleet Lease Buyout - Co"/>
    <s v="GE Capital  Fleet Lease Buyout - Common"/>
    <s v="12/2023"/>
    <n v="0"/>
    <n v="294889.55"/>
    <n v="161461.41"/>
    <n v="133428.14000000001"/>
    <x v="7"/>
    <x v="3"/>
  </r>
  <r>
    <s v="General Plant, Common"/>
    <s v="Common (E &amp; G)"/>
    <s v="General Plant, King County outside RTA District, WA : GPL-0000 WA01700000"/>
    <n v="9414156"/>
    <s v="C396 GEN Power Op Equip, new"/>
    <n v="130005321"/>
    <s v="GE Capital  Fleet Lease Buyout - Co"/>
    <s v="GE Capital  Fleet Lease Buyout - Common"/>
    <s v="12/2023"/>
    <n v="0"/>
    <n v="19450.18"/>
    <n v="10649.59"/>
    <n v="8800.59"/>
    <x v="7"/>
    <x v="3"/>
  </r>
  <r>
    <s v="General Plant, Common"/>
    <s v="Common (E &amp; G)"/>
    <s v="General Plant, King County outside RTA District, WA : GPL-0000 WA01700000"/>
    <n v="34421362"/>
    <s v="C396 GEN Power Op Equip, new"/>
    <n v="130005321"/>
    <s v="GE Capital  Fleet Lease Buyout - Co"/>
    <s v="GE Capital  Fleet Lease Buyout - Common"/>
    <s v="12/2023"/>
    <n v="0"/>
    <n v="72213.84"/>
    <n v="39539.379999999997"/>
    <n v="32674.46"/>
    <x v="7"/>
    <x v="3"/>
  </r>
  <r>
    <s v="General Plant, Common"/>
    <s v="Common (E &amp; G)"/>
    <s v="General Plant, King County outside RTA District, WA : GPL-0000 WA01700000"/>
    <n v="34421373"/>
    <s v="C396 GEN Power Op Equip, new"/>
    <n v="130005321"/>
    <s v="GE Capital  Fleet Lease Buyout - Co"/>
    <s v="GE Capital  Fleet Lease Buyout - Common"/>
    <s v="12/2023"/>
    <n v="0"/>
    <n v="172291.27"/>
    <n v="94334.95"/>
    <n v="77956.320000000007"/>
    <x v="7"/>
    <x v="3"/>
  </r>
  <r>
    <s v="General Plant, Common"/>
    <s v="Common (E &amp; G)"/>
    <s v="General Plant, King County Unincorporated within RTA District, WA : GPL-0000 WA11700990"/>
    <n v="34258050"/>
    <s v="C396 GEN Power Op Equip, new"/>
    <n v="143002621"/>
    <s v="2017 STANDING ORDER SERVICE TRUCKS-"/>
    <s v="2017 STANDING ORDER SERVICE TRUCKS- COMM"/>
    <s v="12/2023"/>
    <n v="0"/>
    <n v="9305"/>
    <n v="3187.08"/>
    <n v="6117.92"/>
    <x v="7"/>
    <x v="3"/>
  </r>
  <r>
    <s v="General Plant, Common"/>
    <s v="Common (E &amp; G)"/>
    <s v="General Plant, Bellevue, WA : GPL-0000 WA11700040"/>
    <n v="33531598"/>
    <s v="C396 GEN Power Op Equip, new"/>
    <n v="143002620"/>
    <s v="2017 STANDING ORDER PASSENGER CARS "/>
    <s v="2017 STANDING ORDER PASSENGER CARS AND T"/>
    <s v="12/2023"/>
    <n v="1"/>
    <n v="460.08"/>
    <n v="157.58000000000001"/>
    <n v="302.5"/>
    <x v="7"/>
    <x v="3"/>
  </r>
  <r>
    <s v="General Plant, Common"/>
    <s v="Common (E &amp; G)"/>
    <s v="General Plant, King County Unincorporated within RTA District, WA : GPL-0000 WA11700990"/>
    <n v="44534602"/>
    <s v="C396 GEN Power Op Equip, new"/>
    <n v="143004804"/>
    <s v="2019 STANDING ORDER FLEET VEHICLES "/>
    <s v="2019 STANDING ORDER FLEET VEHICLES - COM"/>
    <s v="12/2023"/>
    <n v="4"/>
    <n v="2823.07"/>
    <n v="702.39"/>
    <n v="2120.6799999999998"/>
    <x v="7"/>
    <x v="3"/>
  </r>
  <r>
    <s v="General Plant, Common"/>
    <s v="Common (E &amp; G)"/>
    <s v="General Plant, King County Unincorporated within RTA District, WA : GPL-0000 WA11700990"/>
    <n v="49945265"/>
    <s v="C396 GEN Power Op Equip, new"/>
    <n v="143005461"/>
    <s v="2020 STANDING ORDER FLEET VEHICLES "/>
    <s v="2020 STANDING ORDER FLEET VEHICLES - COM"/>
    <s v="12/2023"/>
    <n v="1"/>
    <n v="6613.02"/>
    <n v="1317.16"/>
    <n v="5295.86"/>
    <x v="7"/>
    <x v="3"/>
  </r>
  <r>
    <s v="General Plant, Common"/>
    <s v="Common (E &amp; G)"/>
    <s v="East Side Telecommunication Office : GPL-ESO"/>
    <n v="36542124"/>
    <s v="C3970 CMN Comm Equip, new"/>
    <n v="131201346"/>
    <s v="COMPANY WIDE TRM INSTALL"/>
    <s v="COMPANY WIDE TRM INSTALL"/>
    <s v="12/2023"/>
    <n v="0"/>
    <n v="428742.36"/>
    <n v="351411.43"/>
    <n v="77330.930000000008"/>
    <x v="8"/>
    <x v="0"/>
  </r>
  <r>
    <s v="General Plant, Common"/>
    <s v="Common (E &amp; G)"/>
    <s v="RETIREDEllensburg Bus Ofc (Leased) : GPL-ELN"/>
    <n v="5365601"/>
    <s v="C3970 CMN Comm Equip, new"/>
    <n v="131202400"/>
    <s v="ANTENNAS - ELLENSBURG OFFICE"/>
    <s v="ANTENNAS - ELLENSBURG OFFICE"/>
    <s v="12/2023"/>
    <n v="1"/>
    <n v="1874.29"/>
    <n v="1753.89"/>
    <n v="120.4"/>
    <x v="8"/>
    <x v="0"/>
  </r>
  <r>
    <s v="General Plant, Common"/>
    <s v="Common (E &amp; G)"/>
    <s v="General Plant, King County outside RTA District, WA : GPL-0000 WA01700000"/>
    <n v="5420590"/>
    <s v="C3970 CMN Comm Equip, new"/>
    <n v="130003070"/>
    <s v="CHANNEL BANK/ADD/REPLACE"/>
    <s v="CHANNEL BANK/ADD/REPLACE"/>
    <s v="12/2023"/>
    <n v="0"/>
    <n v="135038.66"/>
    <n v="126364.05"/>
    <n v="8674.61"/>
    <x v="8"/>
    <x v="0"/>
  </r>
  <r>
    <s v="General Plant, Common"/>
    <s v="Common (E &amp; G)"/>
    <s v="General Plant, King County outside RTA District, WA : GPL-0000 WA01700000"/>
    <n v="5420594"/>
    <s v="C3970 CMN Comm Equip, new"/>
    <n v="130003068"/>
    <s v="MOBILE RADIOS"/>
    <s v="MOBILE RADIOS"/>
    <s v="12/2023"/>
    <n v="0"/>
    <n v="71718.320000000007"/>
    <n v="67111.28"/>
    <n v="4607.04"/>
    <x v="8"/>
    <x v="0"/>
  </r>
  <r>
    <s v="General Plant, Common"/>
    <s v="Common (E &amp; G)"/>
    <s v="Pse East Ofc Bldg (Leased) 110Th Ave Ne : GPL-PSEE"/>
    <n v="6400377"/>
    <s v="C3970 CMN Comm Equip, new"/>
    <n v="131100300"/>
    <s v="TELECOM SCADA @ PSE EAST BLDG"/>
    <s v="TELECOM SCADA @ PSE EAST BLDG"/>
    <s v="12/2023"/>
    <n v="1"/>
    <n v="1036058.38"/>
    <n v="969504.1"/>
    <n v="66554.28"/>
    <x v="8"/>
    <x v="0"/>
  </r>
  <r>
    <s v="General Plant, Common"/>
    <s v="Common (E &amp; G)"/>
    <s v="Commeq - Willows Warehouse: COM-WLW"/>
    <n v="6600006"/>
    <s v="C3970 CMN Comm Equip, new"/>
    <n v="131202200"/>
    <s v="FICC Redmond West"/>
    <s v="FICC Redmond West"/>
    <s v="12/2023"/>
    <n v="0.4"/>
    <n v="179129.26"/>
    <n v="167622.36000000002"/>
    <n v="11506.9"/>
    <x v="8"/>
    <x v="0"/>
  </r>
  <r>
    <s v="General Plant, Common"/>
    <s v="Common (E &amp; G)"/>
    <s v="Commeq - Willows Warehouse: COM-WLW"/>
    <n v="6600011"/>
    <s v="C3970 CMN Comm Equip, new"/>
    <n v="131202200"/>
    <s v="FICC Redmond West"/>
    <s v="FICC Redmond West"/>
    <s v="12/2023"/>
    <n v="0.02"/>
    <n v="8711.26"/>
    <n v="8151.67"/>
    <n v="559.59"/>
    <x v="8"/>
    <x v="0"/>
  </r>
  <r>
    <s v="General Plant, Common"/>
    <s v="Common (E &amp; G)"/>
    <s v="Bothell Business Office (leased): GPL-BOT"/>
    <n v="5865251"/>
    <s v="C3970 CMN Comm Equip, new"/>
    <n v="131202180"/>
    <s v="BOTHEL FIBER BACKBONE TAP"/>
    <s v="BOTHEL FIBER BACKBONE TAP"/>
    <s v="12/2023"/>
    <n v="2981"/>
    <n v="106723.58"/>
    <n v="99867.87"/>
    <n v="6855.71"/>
    <x v="8"/>
    <x v="0"/>
  </r>
  <r>
    <s v="General Plant, Common"/>
    <s v="Common (E &amp; G)"/>
    <s v="Freeland Business Ofc(Leased) : GPL-FREE"/>
    <n v="5932838"/>
    <s v="C3970 CMN Comm Equip, new"/>
    <n v="131202620"/>
    <s v="FIBER OPTIC - FREELAND OFFICE (S WH"/>
    <s v="FIBER OPTIC - FREELAND OFFICE (S WHIDBE)"/>
    <s v="12/2023"/>
    <n v="0"/>
    <n v="87182.790000000008"/>
    <n v="81582.350000000006"/>
    <n v="5600.4400000000005"/>
    <x v="8"/>
    <x v="0"/>
  </r>
  <r>
    <s v="General Plant, Common"/>
    <s v="Common (E &amp; G)"/>
    <s v="Redmond West/Willow : GPL-WLW"/>
    <n v="5962153"/>
    <s v="C3970 CMN Comm Equip, new"/>
    <n v="131203040"/>
    <s v="REDMOND WEST 4 ANTENNAS"/>
    <s v="REDMOND WEST 4 ANTENNAS"/>
    <s v="12/2023"/>
    <n v="4"/>
    <n v="11898.32"/>
    <n v="11134"/>
    <n v="764.32"/>
    <x v="8"/>
    <x v="0"/>
  </r>
  <r>
    <s v="General Plant, Common"/>
    <s v="Common (E &amp; G)"/>
    <s v="Bothell Business Office (leased): GPL-BOT"/>
    <n v="6192965"/>
    <s v="C3970 CMN Comm Equip, new"/>
    <n v="131202180"/>
    <s v="BOTHEL FIBER BACKBONE TAP"/>
    <s v="BOTHEL FIBER BACKBONE TAP"/>
    <s v="12/2023"/>
    <n v="2684"/>
    <n v="81778.320000000007"/>
    <n v="76525.05"/>
    <n v="5253.27"/>
    <x v="8"/>
    <x v="0"/>
  </r>
  <r>
    <s v="General Plant, Common"/>
    <s v="Common (E &amp; G)"/>
    <s v="Pse East Ofc Bldg (Leased) 110Th Ave Ne : GPL-PSEE"/>
    <n v="6200676"/>
    <s v="C3970 CMN Comm Equip, new"/>
    <n v="131202980"/>
    <s v="RADIO CONSOLES  EST-02E"/>
    <s v="RADIO CONSOLES  EST-02E"/>
    <s v="12/2023"/>
    <n v="0"/>
    <n v="15523.5"/>
    <n v="14526.300000000001"/>
    <n v="997.2"/>
    <x v="8"/>
    <x v="0"/>
  </r>
  <r>
    <s v="General Plant, Common"/>
    <s v="Common (E &amp; G)"/>
    <s v="Pse Ofc Bldg (Leased) Ne 4Th Street : GPL-PSE"/>
    <n v="6529724"/>
    <s v="C3970 CMN Comm Equip, new"/>
    <n v="131202820"/>
    <s v="TELECOMMUNICATION EQUIPMENT - PSE 4"/>
    <s v="TELECOMMUNICATION EQUIPMENT - PSE 4TH FL"/>
    <s v="12/2023"/>
    <n v="1"/>
    <n v="7317.95"/>
    <n v="6847.8600000000006"/>
    <n v="470.09000000000003"/>
    <x v="8"/>
    <x v="0"/>
  </r>
  <r>
    <s v="General Plant, Common"/>
    <s v="Common (E &amp; G)"/>
    <s v="PwrSysBldg : GPL-EAS"/>
    <n v="6722042"/>
    <s v="C3970 CMN Comm Equip, new"/>
    <n v="131202780"/>
    <s v="ESO FIBER Backbone Tap"/>
    <s v="ESO FIBER Backbone Tap"/>
    <s v="12/2023"/>
    <n v="367"/>
    <n v="19139.560000000001"/>
    <n v="17910.07"/>
    <n v="1229.49"/>
    <x v="8"/>
    <x v="0"/>
  </r>
  <r>
    <s v="General Plant, Common"/>
    <s v="Common (E &amp; G)"/>
    <s v="PwrSysBldg : GPL-EAS"/>
    <n v="6793445"/>
    <s v="C3970 CMN Comm Equip, new"/>
    <n v="131203281"/>
    <s v="EMS CONSOLE KEYBOARD (TIMING SOURCE"/>
    <s v="EMS CONSOLE KEYBOARD (TIMING SOURCE)"/>
    <s v="12/2023"/>
    <n v="0"/>
    <n v="13562.33"/>
    <n v="12691.11"/>
    <n v="871.22"/>
    <x v="8"/>
    <x v="0"/>
  </r>
  <r>
    <s v="General Plant, Common"/>
    <s v="Common (E &amp; G)"/>
    <s v="Commeq - Mt Baldi : COM-BAL"/>
    <n v="6922113"/>
    <s v="C3970 CMN Comm Equip, new"/>
    <n v="131202861"/>
    <s v="ANTENA - MT BALDI MICROWAVE TOWE"/>
    <s v="ANTENA - MT BALDI MICROWAVE TOWE"/>
    <s v="12/2023"/>
    <n v="0"/>
    <n v="32770.89"/>
    <n v="30665.75"/>
    <n v="2105.14"/>
    <x v="8"/>
    <x v="0"/>
  </r>
  <r>
    <s v="General Plant, Common"/>
    <s v="Common (E &amp; G)"/>
    <s v="Fib Opt - Pse Office Building : COM-PSE"/>
    <n v="7141546"/>
    <s v="C3970 CMN Comm Equip, new"/>
    <n v="131202500"/>
    <s v="NORTH BELLEVUE FIBER REBUILD"/>
    <s v="NORTH BELLEVUE FIBER REBUILD"/>
    <s v="12/2023"/>
    <n v="0"/>
    <n v="3686.89"/>
    <n v="3450.05"/>
    <n v="236.84"/>
    <x v="8"/>
    <x v="0"/>
  </r>
  <r>
    <s v="General Plant, Common"/>
    <s v="Common (E &amp; G)"/>
    <s v="Factoria Svc Cntr : GPL-VFA"/>
    <n v="7172358"/>
    <s v="C3970 CMN Comm Equip, new"/>
    <n v="131202223"/>
    <s v="FICC FACTORIA TLECOMMUNICATION"/>
    <s v="FICC FACTORIA TLECOMMUNICATION"/>
    <s v="12/2023"/>
    <n v="1"/>
    <n v="238920.28"/>
    <n v="195826.97"/>
    <n v="43093.31"/>
    <x v="8"/>
    <x v="1"/>
  </r>
  <r>
    <s v="General Plant, Common"/>
    <s v="Common (E &amp; G)"/>
    <s v="East Side Telecommunication Office : GPL-ESO"/>
    <n v="7772635"/>
    <s v="C3970 CMN Comm Equip, new"/>
    <n v="131202500"/>
    <s v="NORTH BELLEVUE FIBER REBUILD"/>
    <s v="NORTH BELLEVUE FIBER REBUILD"/>
    <s v="12/2023"/>
    <n v="1677"/>
    <n v="29989.25"/>
    <n v="24580.18"/>
    <n v="5409.07"/>
    <x v="8"/>
    <x v="0"/>
  </r>
  <r>
    <s v="General Plant, Common"/>
    <s v="Common (E &amp; G)"/>
    <s v="East Side Telecommunication Office : GPL-ESO"/>
    <n v="9428766"/>
    <s v="C3970 CMN Comm Equip, new"/>
    <n v="131102160"/>
    <s v="FREQUENCY DISPLAY/TRANSDUCER UNIT -"/>
    <s v="FREQUENCY DISPLAY/TRANSDUCER UNIT - ESO"/>
    <s v="12/2023"/>
    <n v="0"/>
    <n v="26581.22"/>
    <n v="24873.7"/>
    <n v="1707.52"/>
    <x v="8"/>
    <x v="0"/>
  </r>
  <r>
    <s v="General Plant, Common"/>
    <s v="Common (E &amp; G)"/>
    <s v="Commeq - Olympia : GPL-OLM"/>
    <n v="11406927"/>
    <s v="C3970 CMN Comm Equip, new"/>
    <n v="131202720"/>
    <s v="OLYMPIA COMMUNIC SITE-BATTERIES &amp; C"/>
    <s v="OLYMPIA COMMUNIC SITE-BATTERIES &amp; CHARGE"/>
    <s v="12/2023"/>
    <n v="0"/>
    <n v="62904.55"/>
    <n v="58863.69"/>
    <n v="4040.86"/>
    <x v="8"/>
    <x v="0"/>
  </r>
  <r>
    <s v="General Plant, Common"/>
    <s v="Common (E &amp; G)"/>
    <s v="Commeq - Mt Blyn : GPL-MTB"/>
    <n v="11406969"/>
    <s v="C3970 CMN Comm Equip, new"/>
    <n v="131101702"/>
    <s v="MAS RADIO MT BLYN"/>
    <s v="MAS RADIO MT BLYN"/>
    <s v="12/2023"/>
    <n v="0"/>
    <n v="44420.590000000004"/>
    <n v="41567.1"/>
    <n v="2853.4900000000002"/>
    <x v="8"/>
    <x v="0"/>
  </r>
  <r>
    <s v="General Plant, Common"/>
    <s v="Common (E &amp; G)"/>
    <s v="PwrSysBldg : GPL-EAS"/>
    <n v="7303334"/>
    <s v="C3970 CMN Comm Equip, new"/>
    <n v="131202821"/>
    <s v="ESO TELECOM ETHERNET (COMM EQUIP)"/>
    <s v="ESO TELECOM ETHERNET (COMM EQUIP)"/>
    <s v="12/2023"/>
    <n v="0"/>
    <n v="115495.34"/>
    <n v="108076.15000000001"/>
    <n v="7419.1900000000005"/>
    <x v="8"/>
    <x v="0"/>
  </r>
  <r>
    <s v="General Plant, Common"/>
    <s v="Common (E &amp; G)"/>
    <s v="General Plant, King County outside RTA District, WA : GPL-0000 WA01700000"/>
    <n v="7363774"/>
    <s v="C3970 CMN Comm Equip, new"/>
    <n v="130004506"/>
    <s v="2009 CHANNEL BANK/ADD/REPLACE"/>
    <s v="2009 CHANNEL BANK/ADD/REPLACE"/>
    <s v="12/2023"/>
    <n v="0"/>
    <n v="200090.34"/>
    <n v="164000.67000000001"/>
    <n v="36089.67"/>
    <x v="8"/>
    <x v="0"/>
  </r>
  <r>
    <s v="General Plant, Common"/>
    <s v="Common (E &amp; G)"/>
    <s v="General Plant, King County outside RTA District, WA : GPL-0000 WA01700000"/>
    <n v="7363804"/>
    <s v="C3970 CMN Comm Equip, new"/>
    <n v="130004507"/>
    <s v="2009 TELECOM TRANSPORT ENHANCEMENTS"/>
    <s v="2009 TELECOM TRANSPORT ENHANCEMENTS"/>
    <s v="12/2023"/>
    <n v="0"/>
    <n v="130012.55"/>
    <n v="106562.59"/>
    <n v="23449.96"/>
    <x v="8"/>
    <x v="0"/>
  </r>
  <r>
    <s v="General Plant, Common"/>
    <s v="Common (E &amp; G)"/>
    <s v="Redmond West/Willow : GPL-WLW"/>
    <n v="7759530"/>
    <s v="C3970 CMN Comm Equip, new"/>
    <n v="131203280"/>
    <s v="REDMOND WEST FIBER OPTIC"/>
    <s v="REDMOND WEST FIBER OPTIC"/>
    <s v="12/2023"/>
    <n v="424"/>
    <n v="2472.1799999999998"/>
    <n v="2026.28"/>
    <n v="445.90000000000003"/>
    <x v="8"/>
    <x v="0"/>
  </r>
  <r>
    <s v="General Plant, Common"/>
    <s v="Common (E &amp; G)"/>
    <s v="Redmond West/Willow : GPL-WLW"/>
    <n v="7759533"/>
    <s v="C3970 CMN Comm Equip, new"/>
    <n v="131203280"/>
    <s v="REDMOND WEST FIBER OPTIC"/>
    <s v="REDMOND WEST FIBER OPTIC"/>
    <s v="12/2023"/>
    <n v="233"/>
    <n v="2472.1799999999998"/>
    <n v="2026.28"/>
    <n v="445.90000000000003"/>
    <x v="8"/>
    <x v="0"/>
  </r>
  <r>
    <s v="General Plant, Common"/>
    <s v="Common (E &amp; G)"/>
    <s v="Redmond West/Willow : GPL-WLW"/>
    <n v="7759534"/>
    <s v="C3970 CMN Comm Equip, new"/>
    <n v="131203280"/>
    <s v="REDMOND WEST FIBER OPTIC"/>
    <s v="REDMOND WEST FIBER OPTIC"/>
    <s v="12/2023"/>
    <n v="2"/>
    <n v="4944.28"/>
    <n v="4052.5"/>
    <n v="891.78"/>
    <x v="8"/>
    <x v="0"/>
  </r>
  <r>
    <s v="General Plant, Common"/>
    <s v="Common (E &amp; G)"/>
    <s v="Pse East Ofc Bldg (Leased) 110Th Ave Ne : GPL-PSEE"/>
    <n v="8067516"/>
    <s v="C3970 CMN Comm Equip, new"/>
    <n v="131204021"/>
    <s v="EST Install CCTV equipment  Lobby l"/>
    <s v="EST Install CCTV equipment  Lobby level"/>
    <s v="12/2023"/>
    <n v="0"/>
    <n v="21404.38"/>
    <n v="17543.740000000002"/>
    <n v="3860.64"/>
    <x v="8"/>
    <x v="0"/>
  </r>
  <r>
    <s v="General Plant, Common"/>
    <s v="Common (E &amp; G)"/>
    <s v="Tacoma Office/Shop : GPL-TAC"/>
    <n v="8236309"/>
    <s v="C3970 CMN Comm Equip, new"/>
    <n v="131203920"/>
    <s v="TACOMA OFFICE RADIO UPS BATTERY"/>
    <s v="TACOMA OFFICE RADIO UPS BATTERY"/>
    <s v="12/2023"/>
    <n v="0"/>
    <n v="13165.380000000001"/>
    <n v="10790.78"/>
    <n v="2374.6"/>
    <x v="8"/>
    <x v="0"/>
  </r>
  <r>
    <s v="General Plant, Common"/>
    <s v="Common (E &amp; G)"/>
    <s v="East Side Telecommunication Office : GPL-ESO"/>
    <n v="8343029"/>
    <s v="C3970 CMN Comm Equip, new"/>
    <n v="131203944"/>
    <s v="WIDE ANGLE VIEW VIDEO WALL"/>
    <s v="WIDE ANGLE VIEW VIDEO WALL"/>
    <s v="12/2023"/>
    <n v="0"/>
    <n v="509522.88"/>
    <n v="417621.82"/>
    <n v="91901.06"/>
    <x v="8"/>
    <x v="0"/>
  </r>
  <r>
    <s v="General Plant, Common"/>
    <s v="Common (E &amp; G)"/>
    <s v="Commeq - Mt Erie (Leased) : COM-MTE"/>
    <n v="8361511"/>
    <s v="C3970 CMN Comm Equip, new"/>
    <n v="131203140"/>
    <s v="ERIE TO MARCH PT SUB - FIBER INSTAL"/>
    <s v="ERIE TO MARCH PT SUB - FIBER INSTALL"/>
    <s v="12/2023"/>
    <n v="38449"/>
    <n v="251406.72"/>
    <n v="206061.27000000002"/>
    <n v="45345.450000000004"/>
    <x v="8"/>
    <x v="0"/>
  </r>
  <r>
    <s v="General Plant, Common"/>
    <s v="Common (E &amp; G)"/>
    <s v="Commeq - Mt Erie (Leased) : COM-MTE"/>
    <n v="8361514"/>
    <s v="C3970 CMN Comm Equip, new"/>
    <n v="131203140"/>
    <s v="ERIE TO MARCH PT SUB - FIBER INSTAL"/>
    <s v="ERIE TO MARCH PT SUB - FIBER INSTALL"/>
    <s v="12/2023"/>
    <n v="300"/>
    <n v="1961.5900000000001"/>
    <n v="1607.78"/>
    <n v="353.81"/>
    <x v="8"/>
    <x v="0"/>
  </r>
  <r>
    <s v="General Plant, Common"/>
    <s v="Common (E &amp; G)"/>
    <s v="Lake Tapps Co Camp : GPL-LTP"/>
    <n v="8365551"/>
    <s v="C3970 CMN Comm Equip, new"/>
    <n v="131203540"/>
    <s v="PICNIC SHELTER AT LAKE TAPPS"/>
    <s v="PICNIC SHELTER AT LAKE TAPPS"/>
    <s v="12/2023"/>
    <n v="0"/>
    <n v="5894.16"/>
    <n v="4831.05"/>
    <n v="1063.1100000000001"/>
    <x v="8"/>
    <x v="0"/>
  </r>
  <r>
    <s v="General Plant, Common"/>
    <s v="Common (E &amp; G)"/>
    <s v="Lake Tapps Co Camp : GPL-LTP"/>
    <n v="8365554"/>
    <s v="C3970 CMN Comm Equip, new"/>
    <n v="131203540"/>
    <s v="PICNIC SHELTER AT LAKE TAPPS"/>
    <s v="PICNIC SHELTER AT LAKE TAPPS"/>
    <s v="12/2023"/>
    <n v="0"/>
    <n v="45.980000000000004"/>
    <n v="37.69"/>
    <n v="8.2900000000000009"/>
    <x v="8"/>
    <x v="0"/>
  </r>
  <r>
    <s v="General Plant, Common"/>
    <s v="Common (E &amp; G)"/>
    <s v="Commeq - Marysville : COM-MYV"/>
    <n v="8365555"/>
    <s v="C3970 CMN Comm Equip, new"/>
    <n v="131203460"/>
    <s v="MARYSVILLE MV DEHYDRATOR PURCHASE"/>
    <s v="MARYSVILLE MV DEHYDRATOR PURCHASE"/>
    <s v="12/2023"/>
    <n v="0"/>
    <n v="3773.04"/>
    <n v="3092.51"/>
    <n v="680.53"/>
    <x v="8"/>
    <x v="0"/>
  </r>
  <r>
    <s v="General Plant, Common"/>
    <s v="Common (E &amp; G)"/>
    <s v="Kittitas Svc Cntr : GPL-VKT"/>
    <n v="8504130"/>
    <s v="C3970 CMN Comm Equip, new"/>
    <n v="131203761"/>
    <s v="KITSAP SERVICE CENTER BATTERIES &amp; C"/>
    <s v="KITSAP SERVICE CENTER BATTERIES &amp; CHARGE"/>
    <s v="12/2023"/>
    <n v="0"/>
    <n v="39050.200000000004"/>
    <n v="32006.84"/>
    <n v="7043.3600000000006"/>
    <x v="8"/>
    <x v="1"/>
  </r>
  <r>
    <s v="General Plant, Common"/>
    <s v="Common (E &amp; G)"/>
    <s v="Redmond West/Willow : GPL-WLW"/>
    <n v="8879349"/>
    <s v="C3970 CMN Comm Equip, new"/>
    <n v="131202822"/>
    <s v="WILLOW TELECOM ETHERNET (COMM EQUIP"/>
    <s v="WILLOW TELECOM ETHERNET (COMM EQUIP)"/>
    <s v="12/2023"/>
    <n v="0"/>
    <n v="1394299.85"/>
    <n v="1142814.31"/>
    <n v="251485.54"/>
    <x v="8"/>
    <x v="0"/>
  </r>
  <r>
    <s v="General Plant, Common"/>
    <s v="Common (E &amp; G)"/>
    <s v="SeaTac Business Office &amp; Warehouse (Leased) : GPL-STOW"/>
    <n v="8938265"/>
    <s v="C3970 CMN Comm Equip, new"/>
    <n v="131203740"/>
    <s v="SEA TAC TELECOMMUNICATION EQUIPMENT"/>
    <s v="SEA TAC TELECOMMUNICATION EQUIPMENT"/>
    <s v="12/2023"/>
    <n v="1"/>
    <n v="14850.17"/>
    <n v="12171.69"/>
    <n v="2678.48"/>
    <x v="8"/>
    <x v="0"/>
  </r>
  <r>
    <s v="General Plant, Common"/>
    <s v="Common (E &amp; G)"/>
    <s v="PwrSysBldg : GPL-EAS"/>
    <n v="10045520"/>
    <s v="C3970 CMN Comm Equip, new"/>
    <n v="131102680"/>
    <s v="UPGRADE/REPLACE ESO TELEMETRY"/>
    <s v="UPGRADE/REPLACE ESO TELEMETRY"/>
    <s v="12/2023"/>
    <n v="0"/>
    <n v="363482.15"/>
    <n v="297922"/>
    <n v="65560.149999999994"/>
    <x v="8"/>
    <x v="0"/>
  </r>
  <r>
    <s v="General Plant, Common"/>
    <s v="Common (E &amp; G)"/>
    <s v="Bothell Data Center (leased) : GPL-BOTA2"/>
    <n v="23268566"/>
    <s v="C3970 CMN Comm Equip, new"/>
    <n v="131204320"/>
    <s v="Bothell Data Center Blg H-Ext. 1312"/>
    <s v="Bothell Data Center Blg H-Ext. 131203703"/>
    <s v="12/2023"/>
    <n v="0"/>
    <n v="419116.73"/>
    <n v="343521.94"/>
    <n v="75594.790000000008"/>
    <x v="8"/>
    <x v="0"/>
  </r>
  <r>
    <s v="General Plant, Common"/>
    <s v="Common (E &amp; G)"/>
    <s v="Tacoma Office/Shop : GPL-TAC"/>
    <n v="9418906"/>
    <s v="C3970 CMN Comm Equip, new"/>
    <n v="131204167"/>
    <s v="TACOMA WAREHOUSE DC PLANT REPLACEME"/>
    <s v="TACOMA WAREHOUSE DC PLANT REPLACEMENT"/>
    <s v="12/2023"/>
    <n v="0"/>
    <n v="17163.7"/>
    <n v="12332.07"/>
    <n v="4831.63"/>
    <x v="8"/>
    <x v="0"/>
  </r>
  <r>
    <s v="General Plant, Common"/>
    <s v="Common (E &amp; G)"/>
    <s v="East Side Telecommunication Office : GPL-ESO"/>
    <n v="9428773"/>
    <s v="C3970 CMN Comm Equip, new"/>
    <n v="131103820"/>
    <s v="IP SCADA NETWORK PROOF OF CONCEPT"/>
    <s v="IP SCADA NETWORK PROOF OF CONCEPT"/>
    <s v="12/2023"/>
    <n v="1"/>
    <n v="1073774.58"/>
    <n v="771504.02"/>
    <n v="302270.56"/>
    <x v="8"/>
    <x v="0"/>
  </r>
  <r>
    <s v="General Plant, Common"/>
    <s v="Common (E &amp; G)"/>
    <s v="Olympia Service Center : GPL-VOL"/>
    <n v="9430994"/>
    <s v="C3970 CMN Comm Equip, new"/>
    <n v="131203861"/>
    <s v="FIBER OPTIC OLYMPIA SVC TO OLYMPIA "/>
    <s v="FIBER OPTIC OLYMPIA SVC TO OLYMPIA SWITC"/>
    <s v="12/2023"/>
    <n v="1"/>
    <n v="215596.30000000002"/>
    <n v="176709.86000000002"/>
    <n v="38886.44"/>
    <x v="8"/>
    <x v="1"/>
  </r>
  <r>
    <s v="General Plant, Common"/>
    <s v="Common (E &amp; G)"/>
    <s v="Olympia Service Center : GPL-VOL"/>
    <n v="9430998"/>
    <s v="C3970 CMN Comm Equip, new"/>
    <n v="131203861"/>
    <s v="FIBER OPTIC OLYMPIA SVC TO OLYMPIA "/>
    <s v="FIBER OPTIC OLYMPIA SVC TO OLYMPIA SWITC"/>
    <s v="12/2023"/>
    <n v="42360"/>
    <n v="178938.2"/>
    <n v="146663.67000000001"/>
    <n v="32274.530000000002"/>
    <x v="8"/>
    <x v="1"/>
  </r>
  <r>
    <s v="General Plant, Common"/>
    <s v="Common (E &amp; G)"/>
    <s v="Olympia Service Center : GPL-VOL"/>
    <n v="9430999"/>
    <s v="C3970 CMN Comm Equip, new"/>
    <n v="131203861"/>
    <s v="FIBER OPTIC OLYMPIA SVC TO OLYMPIA "/>
    <s v="FIBER OPTIC OLYMPIA SVC TO OLYMPIA SWITC"/>
    <s v="12/2023"/>
    <n v="5062"/>
    <n v="21383.08"/>
    <n v="17526.28"/>
    <n v="3856.8"/>
    <x v="8"/>
    <x v="1"/>
  </r>
  <r>
    <s v="General Plant, Common"/>
    <s v="Common (E &amp; G)"/>
    <s v="Olympia Service Center : GPL-VOL"/>
    <n v="9431000"/>
    <s v="C3970 CMN Comm Equip, new"/>
    <n v="131203861"/>
    <s v="FIBER OPTIC OLYMPIA SVC TO OLYMPIA "/>
    <s v="FIBER OPTIC OLYMPIA SVC TO OLYMPIA SWITC"/>
    <s v="12/2023"/>
    <n v="1"/>
    <n v="18535.3"/>
    <n v="15192.15"/>
    <n v="3343.15"/>
    <x v="8"/>
    <x v="1"/>
  </r>
  <r>
    <s v="General Plant, Common"/>
    <s v="Common (E &amp; G)"/>
    <s v="Commeq - Mt Baldi : COM-BAL"/>
    <n v="9584910"/>
    <s v="C3970 CMN Comm Equip, new"/>
    <n v="131203320"/>
    <s v="BALDI MTN MICROWAVE TO FREDERICKSON"/>
    <s v="BALDI MTN MICROWAVE TO FREDERICKSON GEN"/>
    <s v="12/2023"/>
    <n v="0"/>
    <n v="248525.34"/>
    <n v="178564.76"/>
    <n v="69960.58"/>
    <x v="8"/>
    <x v="0"/>
  </r>
  <r>
    <s v="General Plant, Common"/>
    <s v="Common (E &amp; G)"/>
    <s v="General Plant, King County outside RTA District, WA : GPL-0000 WA01700000"/>
    <n v="9866469"/>
    <s v="C3970 CMN Comm Equip, new"/>
    <n v="130005232"/>
    <s v="2010 TELECOM TEST EQUIPMENT"/>
    <s v="2010 TELECOM TEST EQUIPMENT"/>
    <s v="12/2023"/>
    <n v="1"/>
    <n v="213513.81"/>
    <n v="153409.07"/>
    <n v="60104.74"/>
    <x v="8"/>
    <x v="0"/>
  </r>
  <r>
    <s v="General Plant, Common"/>
    <s v="Common (E &amp; G)"/>
    <s v="General Plant, King County Unincorporated within RTA District, WA : GPL-0000 WA11700990"/>
    <n v="10238324"/>
    <s v="C3970 CMN Comm Equip, new"/>
    <n v="130005229"/>
    <s v="2010 TELECOM TRANSPORT ENHANCEMENTS"/>
    <s v="2010 TELECOM TRANSPORT ENHANCEMENTS"/>
    <s v="12/2023"/>
    <n v="2"/>
    <n v="35038.340000000004"/>
    <n v="25174.95"/>
    <n v="9863.39"/>
    <x v="8"/>
    <x v="0"/>
  </r>
  <r>
    <s v="General Plant, Common"/>
    <s v="Common (E &amp; G)"/>
    <s v="Bothell Business Office (leased): GPL-BOT"/>
    <n v="10471779"/>
    <s v="C3970 CMN Comm Equip, new"/>
    <n v="131204260"/>
    <s v="FIBER OPTIC BOTHELL BLDG G&amp;H"/>
    <s v="FIBER OPTIC BOTHELL BLDG G&amp;H"/>
    <s v="12/2023"/>
    <n v="6500"/>
    <n v="284287.35999999999"/>
    <n v="204259.67"/>
    <n v="80027.69"/>
    <x v="8"/>
    <x v="0"/>
  </r>
  <r>
    <s v="General Plant, Common"/>
    <s v="Common (E &amp; G)"/>
    <s v="Fib Opt - Bothel Samm Line - Seattle City Light Subst : COM-BSCL"/>
    <n v="10529869"/>
    <s v="C3970 CMN Comm Equip, new"/>
    <n v="131203440"/>
    <s v="BOTHELL - SEATTLE CITY LIGHT FIBER"/>
    <s v="BOTHELL - SEATTLE CITY LIGHT FIBER"/>
    <s v="12/2023"/>
    <n v="6000"/>
    <n v="40013.61"/>
    <n v="28749.670000000002"/>
    <n v="11263.94"/>
    <x v="8"/>
    <x v="4"/>
  </r>
  <r>
    <s v="General Plant, Common"/>
    <s v="Common (E &amp; G)"/>
    <s v="General Plant, King County outside RTA District, WA : GPL-0000 WA01700000"/>
    <n v="10814770"/>
    <s v="C3970 CMN Comm Equip, new"/>
    <n v="130005922"/>
    <s v="STANDING ORDER MOBILE RADIOS"/>
    <s v="STANDING ORDER MOBILE RADIOS"/>
    <s v="12/2023"/>
    <n v="1"/>
    <n v="56086.130000000005"/>
    <n v="40297.730000000003"/>
    <n v="15788.4"/>
    <x v="8"/>
    <x v="0"/>
  </r>
  <r>
    <s v="General Plant, Common"/>
    <s v="Common (E &amp; G)"/>
    <s v="Redmond West/Willow : GPL-WLW"/>
    <n v="10914044"/>
    <s v="C3970 CMN Comm Equip, new"/>
    <n v="130005232"/>
    <s v="2010 TELECOM TEST EQUIPMENT"/>
    <s v="2010 TELECOM TEST EQUIPMENT"/>
    <s v="12/2023"/>
    <n v="2"/>
    <n v="29556.07"/>
    <n v="21235.95"/>
    <n v="8320.1200000000008"/>
    <x v="8"/>
    <x v="0"/>
  </r>
  <r>
    <s v="General Plant, Common"/>
    <s v="Common (E &amp; G)"/>
    <s v="Commeq - Olympia : GPL-OLM"/>
    <n v="11406928"/>
    <s v="C3970 CMN Comm Equip, new"/>
    <n v="131204220"/>
    <s v="OLYMPIA OFC LINE TREATMENT EQUIPMEN"/>
    <s v="OLYMPIA OFC LINE TREATMENT EQUIPMENT"/>
    <s v="12/2023"/>
    <n v="0"/>
    <n v="14954.92"/>
    <n v="10745.07"/>
    <n v="4209.8500000000004"/>
    <x v="8"/>
    <x v="0"/>
  </r>
  <r>
    <s v="General Plant, Common"/>
    <s v="Common (E &amp; G)"/>
    <s v="Commeq - Des Moines Emergency Flood Communication : GPL-EFC"/>
    <n v="11406934"/>
    <s v="C3970 CMN Comm Equip, new"/>
    <n v="131203820"/>
    <s v="TELECOM EQUIPMENT IN TRAILERS - KEN"/>
    <s v="TELECOM EQUIPMENT IN TRAILERS - KENT"/>
    <s v="12/2023"/>
    <n v="1"/>
    <n v="8583.1200000000008"/>
    <n v="6166.95"/>
    <n v="2416.17"/>
    <x v="8"/>
    <x v="0"/>
  </r>
  <r>
    <s v="General Plant, Common"/>
    <s v="Common (E &amp; G)"/>
    <s v="Pse East Ofc Bldg (Leased) 110Th Ave Ne : GPL-PSEE"/>
    <n v="12875856"/>
    <s v="C3970 CMN Comm Equip, new"/>
    <n v="131202240"/>
    <s v="EAST &amp; PSE BLDG FIBER DIVERSITY"/>
    <s v="EAST &amp; PSE BLDG FIBER DIVERSITY"/>
    <s v="12/2023"/>
    <n v="1"/>
    <n v="310959.98"/>
    <n v="290984.55"/>
    <n v="19975.43"/>
    <x v="8"/>
    <x v="0"/>
  </r>
  <r>
    <s v="General Plant, Common"/>
    <s v="Common (E &amp; G)"/>
    <s v="Redmond West/Willow : GPL-WLW"/>
    <n v="10922698"/>
    <s v="C3970 CMN Comm Equip, new"/>
    <n v="131204584"/>
    <s v="TELECOM TDM NETWORK"/>
    <s v="TELECOM TDM NETWORK"/>
    <s v="12/2023"/>
    <n v="1"/>
    <n v="58829.74"/>
    <n v="37097.47"/>
    <n v="21732.27"/>
    <x v="8"/>
    <x v="0"/>
  </r>
  <r>
    <s v="General Plant, Common"/>
    <s v="Common (E &amp; G)"/>
    <s v="Commeq - Rattlesnake Mtn Site : COM-RAT"/>
    <n v="10926227"/>
    <s v="C3970 CMN Comm Equip, new"/>
    <n v="131204587"/>
    <s v="Rattlesnake Dehydrator (Comm Equip)"/>
    <s v="Rattlesnake Dehydrator (Comm Equip)"/>
    <s v="12/2023"/>
    <n v="1"/>
    <n v="9139.1"/>
    <n v="6566.42"/>
    <n v="2572.6799999999998"/>
    <x v="8"/>
    <x v="0"/>
  </r>
  <r>
    <s v="General Plant, Common"/>
    <s v="Common (E &amp; G)"/>
    <s v="General Plant, King County outside RTA District, WA : GPL-0000 WA01700000"/>
    <n v="10954771"/>
    <s v="C3970 CMN Comm Equip, new"/>
    <n v="130006301"/>
    <s v="2011 Telecommunications Tool Purcha"/>
    <s v="2011 Telecommunications Tool Purchase"/>
    <s v="12/2023"/>
    <n v="1"/>
    <n v="9284.2800000000007"/>
    <n v="6670.7300000000005"/>
    <n v="2613.5500000000002"/>
    <x v="8"/>
    <x v="0"/>
  </r>
  <r>
    <s v="General Plant, Common"/>
    <s v="Common (E &amp; G)"/>
    <s v="General Plant, King County outside RTA District, WA : GPL-0000 WA01700000"/>
    <n v="10980549"/>
    <s v="C3970 CMN Comm Equip, new"/>
    <n v="143000080"/>
    <s v="TELECOM NETWORK GROWTH 2011-2012"/>
    <s v="TELECOM NETWORK GROWTH 2011-2012"/>
    <s v="12/2023"/>
    <n v="7"/>
    <n v="640928.22"/>
    <n v="404163.18"/>
    <n v="236765.04"/>
    <x v="8"/>
    <x v="0"/>
  </r>
  <r>
    <s v="General Plant, Common"/>
    <s v="Common (E &amp; G)"/>
    <s v="Pse Ofc Bldg (Leased) Ne 4Th Street : GPL-PSE"/>
    <n v="11088681"/>
    <s v="C3970 CMN Comm Equip, new"/>
    <n v="143000244"/>
    <s v="ONE BELLEVUE CENTER DC CHARGER REPL"/>
    <s v="ONE BELLEVUE CENTER DC CHARGER REPLACEME"/>
    <s v="12/2023"/>
    <n v="3"/>
    <n v="19447.2"/>
    <n v="12263.220000000001"/>
    <n v="7183.9800000000005"/>
    <x v="8"/>
    <x v="0"/>
  </r>
  <r>
    <s v="General Plant, Common"/>
    <s v="Common (E &amp; G)"/>
    <s v="East Side Telecommunication Office : GPL-ESO"/>
    <n v="11276181"/>
    <s v="C3970 CMN Comm Equip, new"/>
    <n v="143000480"/>
    <s v="TEST LAB RTU AT ESO"/>
    <s v="TEST LAB RTU AT ESO"/>
    <s v="12/2023"/>
    <n v="1"/>
    <n v="19901.650000000001"/>
    <n v="12549.79"/>
    <n v="7351.8600000000006"/>
    <x v="8"/>
    <x v="0"/>
  </r>
  <r>
    <s v="General Plant, Common"/>
    <s v="Common (E &amp; G)"/>
    <s v="Commeq - Cougar Mtn : GPL-CMT"/>
    <n v="11415213"/>
    <s v="C3970 CMN Comm Equip, new"/>
    <n v="143000080"/>
    <s v="TELECOM NETWORK GROWTH 2011-2012"/>
    <s v="TELECOM NETWORK GROWTH 2011-2012"/>
    <s v="12/2023"/>
    <n v="1"/>
    <n v="2865.82"/>
    <n v="1807.16"/>
    <n v="1058.6600000000001"/>
    <x v="8"/>
    <x v="0"/>
  </r>
  <r>
    <s v="General Plant, Common"/>
    <s v="Common (E &amp; G)"/>
    <s v="East Side Telecommunication Office : GPL-ESO"/>
    <n v="11853812"/>
    <s v="C3970 CMN Comm Equip, new"/>
    <n v="143000700"/>
    <s v="EASTSIDE SYSTEM OPERATIONS POWER TR"/>
    <s v="EASTSIDE SYSTEM OPERATIONS POWER TRANSFE"/>
    <s v="12/2023"/>
    <n v="2"/>
    <n v="69401.73"/>
    <n v="43764.06"/>
    <n v="25637.670000000002"/>
    <x v="8"/>
    <x v="0"/>
  </r>
  <r>
    <s v="General Plant, Common"/>
    <s v="Common (E &amp; G)"/>
    <s v="General Plant, King County outside RTA District, WA : GPL-0000 WA01700000"/>
    <n v="12621435"/>
    <s v="C3970 CMN Comm Equip, new"/>
    <n v="143000602"/>
    <s v="S.01488.01 -- FIBER IMPROVEMENTS  -"/>
    <s v="S.01488.01 -- FIBER IMPROVEMENTS  - SAMM"/>
    <s v="12/2023"/>
    <n v="4"/>
    <n v="49087.91"/>
    <n v="30954.36"/>
    <n v="18133.55"/>
    <x v="8"/>
    <x v="0"/>
  </r>
  <r>
    <s v="General Plant, Common"/>
    <s v="Common (E &amp; G)"/>
    <s v="General Plant, Jefferson County, WA : GPL-0000 WA01600000"/>
    <n v="12650356"/>
    <s v="C3970 CMN Comm Equip, new"/>
    <n v="143001141"/>
    <s v="BLYN ANTENNA REPLACEMENT"/>
    <s v="BLYN ANTENNA REPLACEMENT"/>
    <s v="12/2023"/>
    <n v="1"/>
    <n v="26763.23"/>
    <n v="16876.64"/>
    <n v="9886.59"/>
    <x v="8"/>
    <x v="0"/>
  </r>
  <r>
    <s v="General Plant, Common"/>
    <s v="Common (E &amp; G)"/>
    <s v="Pse East Ofc Bldg (Leased) 110Th Ave Ne : GPL-PSEE"/>
    <n v="13247952"/>
    <s v="C3970 CMN Comm Equip, new"/>
    <n v="131204880"/>
    <s v="IP SCADA Project (Telecom)"/>
    <s v="IP SCADA Project (Telecom)"/>
    <s v="12/2023"/>
    <n v="1"/>
    <n v="57696.3"/>
    <n v="36382.730000000003"/>
    <n v="21313.57"/>
    <x v="8"/>
    <x v="0"/>
  </r>
  <r>
    <s v="General Plant, Common"/>
    <s v="Common (E &amp; G)"/>
    <s v="East Side Telecommunication Office : GPL-ESO"/>
    <n v="14449284"/>
    <s v="C3970 CMN Comm Equip, new"/>
    <n v="141000540"/>
    <s v="TEST RTU AT ESO"/>
    <s v="TEST RTU AT ESO"/>
    <s v="12/2023"/>
    <n v="2"/>
    <n v="61316.79"/>
    <n v="38665.78"/>
    <n v="22651.010000000002"/>
    <x v="8"/>
    <x v="0"/>
  </r>
  <r>
    <s v="General Plant, Common"/>
    <s v="Common (E &amp; G)"/>
    <s v="General Plant, King County outside RTA District, WA : GPL-0000 WA01700000"/>
    <n v="19642155"/>
    <s v="C3970 CMN Comm Equip, new"/>
    <n v="143000641"/>
    <s v="TELEOM TRANSPORT NETWORK GROWTH 201"/>
    <s v="TELEOM TRANSPORT NETWORK GROWTH 2012"/>
    <s v="12/2023"/>
    <n v="3"/>
    <n v="73796.350000000006"/>
    <n v="46535.270000000004"/>
    <n v="27261.08"/>
    <x v="8"/>
    <x v="0"/>
  </r>
  <r>
    <s v="General Plant, Common"/>
    <s v="Common (E &amp; G)"/>
    <s v="Bothell Data Center (leased) : GPL-BOTA2"/>
    <n v="23268577"/>
    <s v="C3970 CMN Comm Equip, new"/>
    <n v="131204880"/>
    <s v="IP SCADA Project (Telecom)"/>
    <s v="IP SCADA Project (Telecom)"/>
    <s v="12/2023"/>
    <n v="1"/>
    <n v="60051.590000000004"/>
    <n v="37867.96"/>
    <n v="22183.63"/>
    <x v="8"/>
    <x v="0"/>
  </r>
  <r>
    <s v="General Plant, Common"/>
    <s v="Common (E &amp; G)"/>
    <s v="Commeq - Mt Erie (Leased) : COM-MTE"/>
    <n v="13911612"/>
    <s v="C3970 CMN Comm Equip, new"/>
    <n v="131104105"/>
    <s v="MT. ERIE - RADIO PROJECT           "/>
    <s v="MT. ERIE - RADIO PROJECT"/>
    <s v="12/2023"/>
    <n v="2"/>
    <n v="307213.28999999998"/>
    <n v="170241.9"/>
    <n v="136971.39000000001"/>
    <x v="8"/>
    <x v="0"/>
  </r>
  <r>
    <s v="General Plant, Common"/>
    <s v="Common (E &amp; G)"/>
    <s v="Pse East Ofc Bldg (Leased) 110Th Ave Ne : GPL-PSEE"/>
    <n v="13960131"/>
    <s v="C3970 CMN Comm Equip, new"/>
    <n v="131204820"/>
    <s v="Fial System Improvements"/>
    <s v="Fial System Improvements"/>
    <s v="12/2023"/>
    <n v="3"/>
    <n v="344514.25"/>
    <n v="190912.18"/>
    <n v="153602.07"/>
    <x v="8"/>
    <x v="0"/>
  </r>
  <r>
    <s v="General Plant, Common"/>
    <s v="Common (E &amp; G)"/>
    <s v="White River Ofc : GPL-WRT"/>
    <n v="14449278"/>
    <s v="C3970 CMN Comm Equip, new"/>
    <n v="131203420"/>
    <s v="INTERNET PROTOCOL CORE DEV PSE NETW"/>
    <s v="INTERNET PROTOCOL CORE DEV PSE NETWORK"/>
    <s v="12/2023"/>
    <n v="1"/>
    <n v="45075.950000000004"/>
    <n v="28424.46"/>
    <n v="16651.490000000002"/>
    <x v="8"/>
    <x v="0"/>
  </r>
  <r>
    <s v="General Plant, Common"/>
    <s v="Common (E &amp; G)"/>
    <s v="Pse East Ofc Bldg (Leased) 110Th Ave Ne : GPL-PSEE"/>
    <n v="14449281"/>
    <s v="C3970 CMN Comm Equip, new"/>
    <n v="131203420"/>
    <s v="INTERNET PROTOCOL CORE DEV PSE NETW"/>
    <s v="INTERNET PROTOCOL CORE DEV PSE NETWORK"/>
    <s v="12/2023"/>
    <n v="1"/>
    <n v="45075.950000000004"/>
    <n v="28424.46"/>
    <n v="16651.490000000002"/>
    <x v="8"/>
    <x v="0"/>
  </r>
  <r>
    <s v="General Plant, Common"/>
    <s v="Common (E &amp; G)"/>
    <s v="Skagit Service Ctr : GPL-SKA"/>
    <n v="14449290"/>
    <s v="C3970 CMN Comm Equip, new"/>
    <n v="131203420"/>
    <s v="INTERNET PROTOCOL CORE DEV PSE NETW"/>
    <s v="INTERNET PROTOCOL CORE DEV PSE NETWORK"/>
    <s v="12/2023"/>
    <n v="1"/>
    <n v="45075.950000000004"/>
    <n v="28424.46"/>
    <n v="16651.490000000002"/>
    <x v="8"/>
    <x v="1"/>
  </r>
  <r>
    <s v="General Plant, Common"/>
    <s v="Common (E &amp; G)"/>
    <s v="Pse Ofc Bldg (Leased) Ne 4Th Street : GPL-PSE"/>
    <n v="14449296"/>
    <s v="C3970 CMN Comm Equip, new"/>
    <n v="131203420"/>
    <s v="INTERNET PROTOCOL CORE DEV PSE NETW"/>
    <s v="INTERNET PROTOCOL CORE DEV PSE NETWORK"/>
    <s v="12/2023"/>
    <n v="1"/>
    <n v="45075.950000000004"/>
    <n v="28424.46"/>
    <n v="16651.490000000002"/>
    <x v="8"/>
    <x v="0"/>
  </r>
  <r>
    <s v="General Plant, Common"/>
    <s v="Common (E &amp; G)"/>
    <s v="Factoria Svc Cntr : GPL-VFA"/>
    <n v="14449299"/>
    <s v="C3970 CMN Comm Equip, new"/>
    <n v="131203420"/>
    <s v="INTERNET PROTOCOL CORE DEV PSE NETW"/>
    <s v="INTERNET PROTOCOL CORE DEV PSE NETWORK"/>
    <s v="12/2023"/>
    <n v="1"/>
    <n v="45075.950000000004"/>
    <n v="28424.46"/>
    <n v="16651.490000000002"/>
    <x v="8"/>
    <x v="1"/>
  </r>
  <r>
    <s v="General Plant, Common"/>
    <s v="Common (E &amp; G)"/>
    <s v="Bellingham Svc Cntr : GPL-VBE"/>
    <n v="14449302"/>
    <s v="C3970 CMN Comm Equip, new"/>
    <n v="131203420"/>
    <s v="INTERNET PROTOCOL CORE DEV PSE NETW"/>
    <s v="INTERNET PROTOCOL CORE DEV PSE NETWORK"/>
    <s v="12/2023"/>
    <n v="1"/>
    <n v="45075.950000000004"/>
    <n v="28424.46"/>
    <n v="16651.490000000002"/>
    <x v="8"/>
    <x v="1"/>
  </r>
  <r>
    <s v="General Plant, Common"/>
    <s v="Common (E &amp; G)"/>
    <s v="Bothell Business Office (leased): GPL-BOT"/>
    <n v="14449305"/>
    <s v="C3970 CMN Comm Equip, new"/>
    <n v="131203420"/>
    <s v="INTERNET PROTOCOL CORE DEV PSE NETW"/>
    <s v="INTERNET PROTOCOL CORE DEV PSE NETWORK"/>
    <s v="12/2023"/>
    <n v="1"/>
    <n v="45075.950000000004"/>
    <n v="28424.46"/>
    <n v="16651.490000000002"/>
    <x v="8"/>
    <x v="0"/>
  </r>
  <r>
    <s v="General Plant, Common"/>
    <s v="Common (E &amp; G)"/>
    <s v="Commeq - Talbot Hill  : COM-TAL"/>
    <n v="14449308"/>
    <s v="C3970 CMN Comm Equip, new"/>
    <n v="131203420"/>
    <s v="INTERNET PROTOCOL CORE DEV PSE NETW"/>
    <s v="INTERNET PROTOCOL CORE DEV PSE NETWORK"/>
    <s v="12/2023"/>
    <n v="1"/>
    <n v="31075.95"/>
    <n v="19596.2"/>
    <n v="11479.75"/>
    <x v="8"/>
    <x v="0"/>
  </r>
  <r>
    <s v="General Plant, Common"/>
    <s v="Common (E &amp; G)"/>
    <s v="Kent Business Office (Leased) : GPL-KNO"/>
    <n v="14449314"/>
    <s v="C3970 CMN Comm Equip, new"/>
    <n v="131203420"/>
    <s v="INTERNET PROTOCOL CORE DEV PSE NETW"/>
    <s v="INTERNET PROTOCOL CORE DEV PSE NETWORK"/>
    <s v="12/2023"/>
    <n v="1"/>
    <n v="45075.950000000004"/>
    <n v="28424.46"/>
    <n v="16651.490000000002"/>
    <x v="8"/>
    <x v="0"/>
  </r>
  <r>
    <s v="General Plant, Common"/>
    <s v="Common (E &amp; G)"/>
    <s v="Commeq - Lookout Mtn East : COM-LOT"/>
    <n v="14538250"/>
    <s v="C3970 CMN Comm Equip, new"/>
    <n v="131203981"/>
    <s v="LOOKOUT EAST - RADIO PROJECT"/>
    <s v="LOOKOUT EAST - RADIO PROJECT"/>
    <s v="12/2023"/>
    <n v="1"/>
    <n v="94164.41"/>
    <n v="52181.1"/>
    <n v="41983.31"/>
    <x v="8"/>
    <x v="0"/>
  </r>
  <r>
    <s v="General Plant, Common"/>
    <s v="Common (E &amp; G)"/>
    <s v="Commeq - Mt Blyn : GPL-MTB"/>
    <n v="14538253"/>
    <s v="C3970 CMN Comm Equip, new"/>
    <n v="141002077"/>
    <s v="BLYNN MT. MW CHARGER REPLACEMENT - "/>
    <s v="BLYNN MT. MW CHARGER REPLACEMENT - CMM"/>
    <s v="12/2023"/>
    <n v="2"/>
    <n v="288531.65000000002"/>
    <n v="159889.49"/>
    <n v="128642.16"/>
    <x v="8"/>
    <x v="0"/>
  </r>
  <r>
    <s v="General Plant, Common"/>
    <s v="Common (E &amp; G)"/>
    <s v="Commeq - Rattlesnake Mtn Site : COM-RAT"/>
    <n v="14538256"/>
    <s v="C3970 CMN Comm Equip, new"/>
    <n v="131203985"/>
    <s v="RATTLESNAKE - RADIO PROJECT"/>
    <s v="RATTLESNAKE - RADIO PROJECT"/>
    <s v="12/2023"/>
    <n v="1"/>
    <n v="167174.88"/>
    <n v="92639.77"/>
    <n v="74535.11"/>
    <x v="8"/>
    <x v="0"/>
  </r>
  <r>
    <s v="General Plant, Common"/>
    <s v="Common (E &amp; G)"/>
    <s v="Olympia Service Center : GPL-VOL"/>
    <n v="14538262"/>
    <s v="C3970 CMN Comm Equip, new"/>
    <n v="131203988"/>
    <s v="OLYMPIA SVC - RADIO PROJECT"/>
    <s v="OLYMPIA SVC - RADIO PROJECT"/>
    <s v="12/2023"/>
    <n v="1"/>
    <n v="77722.900000000009"/>
    <n v="43070.06"/>
    <n v="34652.840000000004"/>
    <x v="8"/>
    <x v="1"/>
  </r>
  <r>
    <s v="General Plant, Common"/>
    <s v="Common (E &amp; G)"/>
    <s v="North King Svc Cntr (Redmond): GPL-NOK"/>
    <n v="14538270"/>
    <s v="C3970 CMN Comm Equip, new"/>
    <n v="131104542"/>
    <s v="NORTH KING SVC - BATTERY           "/>
    <s v="NORTH KING SVC - BATTERY"/>
    <s v="12/2023"/>
    <n v="3"/>
    <n v="55435.43"/>
    <n v="30719.48"/>
    <n v="24715.95"/>
    <x v="8"/>
    <x v="1"/>
  </r>
  <r>
    <s v="General Plant, Common"/>
    <s v="Common (E &amp; G)"/>
    <s v="Commeq - Cougar Mtn : GPL-CMT"/>
    <n v="14538282"/>
    <s v="C3970 CMN Comm Equip, new"/>
    <n v="131204149"/>
    <s v="COUGAR MOUNTAIN - RADIO PROJECT"/>
    <s v="COUGAR MOUNTAIN - RADIO PROJECT"/>
    <s v="12/2023"/>
    <n v="1"/>
    <n v="128014.85"/>
    <n v="70939.28"/>
    <n v="57075.57"/>
    <x v="8"/>
    <x v="0"/>
  </r>
  <r>
    <s v="General Plant, Common"/>
    <s v="Common (E &amp; G)"/>
    <s v="Factoria Svc Cntr : GPL-VFA"/>
    <n v="14538285"/>
    <s v="C3970 CMN Comm Equip, new"/>
    <n v="131204150"/>
    <s v="FACTORIA HIGHLINE - RADIO PROJECT"/>
    <s v="FACTORIA HIGHLINE - RADIO PROJECT"/>
    <s v="12/2023"/>
    <n v="1"/>
    <n v="100568.68000000001"/>
    <n v="55730.020000000004"/>
    <n v="44838.66"/>
    <x v="8"/>
    <x v="1"/>
  </r>
  <r>
    <s v="General Plant, Common"/>
    <s v="Common (E &amp; G)"/>
    <s v="Commeq - Mt Baldi : COM-BAL"/>
    <n v="14538288"/>
    <s v="C3970 CMN Comm Equip, new"/>
    <n v="131204151"/>
    <s v="BALDI - RADIO PROJEC"/>
    <s v="BALDI - RADIO PROJEC"/>
    <s v="12/2023"/>
    <n v="1"/>
    <n v="98612.680000000008"/>
    <n v="54646.11"/>
    <n v="43966.57"/>
    <x v="8"/>
    <x v="0"/>
  </r>
  <r>
    <s v="General Plant, Common"/>
    <s v="Common (E &amp; G)"/>
    <s v="Puyallup Service Center : GPL-VPU"/>
    <n v="14538291"/>
    <s v="C3970 CMN Comm Equip, new"/>
    <n v="131204152"/>
    <s v="PUYALLUP SVC - RADIO PROJECT"/>
    <s v="PUYALLUP SVC - RADIO PROJECT"/>
    <s v="12/2023"/>
    <n v="1"/>
    <n v="11150.42"/>
    <n v="6178.99"/>
    <n v="4971.43"/>
    <x v="8"/>
    <x v="1"/>
  </r>
  <r>
    <s v="General Plant, Common"/>
    <s v="Common (E &amp; G)"/>
    <s v="Midway Switch Station : SUB-MID"/>
    <n v="14538294"/>
    <s v="C3970 CMN Comm Equip, new"/>
    <n v="131204763"/>
    <s v="MIDWAY SUB - RADIO PROJECT"/>
    <s v="MIDWAY SUB - RADIO PROJECT"/>
    <s v="12/2023"/>
    <n v="131"/>
    <n v="1321.25"/>
    <n v="732.17"/>
    <n v="589.08000000000004"/>
    <x v="8"/>
    <x v="4"/>
  </r>
  <r>
    <s v="General Plant, Common"/>
    <s v="Common (E &amp; G)"/>
    <s v="Commeq - Stampede : COM-SMP"/>
    <n v="14538300"/>
    <s v="C3970 CMN Comm Equip, new"/>
    <n v="131204804"/>
    <s v="STAMPEDE - RADIO PROJECT"/>
    <s v="STAMPEDE - RADIO PROJECT"/>
    <s v="12/2023"/>
    <n v="1"/>
    <n v="24773.65"/>
    <n v="13728.29"/>
    <n v="11045.36"/>
    <x v="8"/>
    <x v="0"/>
  </r>
  <r>
    <s v="General Plant, Common"/>
    <s v="Common (E &amp; G)"/>
    <s v="Commeq - Tacoma : COM-TACOMA"/>
    <n v="14538303"/>
    <s v="C3970 CMN Comm Equip, new"/>
    <n v="131204805"/>
    <s v="TACOMA - RADIO PROJECT"/>
    <s v="TACOMA - RADIO PROJECT"/>
    <s v="12/2023"/>
    <n v="2"/>
    <n v="117438.57"/>
    <n v="65078.450000000004"/>
    <n v="52360.12"/>
    <x v="8"/>
    <x v="0"/>
  </r>
  <r>
    <s v="General Plant, Common"/>
    <s v="Common (E &amp; G)"/>
    <s v="General Plant, Garfield County, WA : GPL-0000 WA01200990"/>
    <n v="14538306"/>
    <s v="C3970 CMN Comm Equip, new"/>
    <n v="131204806"/>
    <s v="POMEROY O&amp;M BLDG - RADIO PROJECT"/>
    <s v="POMEROY O&amp;M BLDG - RADIO PROJECT"/>
    <s v="12/2023"/>
    <n v="1"/>
    <n v="39935.1"/>
    <n v="22129.99"/>
    <n v="17805.11"/>
    <x v="8"/>
    <x v="0"/>
  </r>
  <r>
    <s v="General Plant, Common"/>
    <s v="Common (E &amp; G)"/>
    <s v="Commeq - Kent Fleet: COM-KENT"/>
    <n v="14538348"/>
    <s v="C3970 CMN Comm Equip, new"/>
    <n v="143000920"/>
    <s v="KENT FLEET - RADIO PROJECT"/>
    <s v="KENT FLEET - RADIO PROJECT"/>
    <s v="12/2023"/>
    <n v="1"/>
    <n v="15273.960000000001"/>
    <n v="8464.0499999999993"/>
    <n v="6809.91"/>
    <x v="8"/>
    <x v="0"/>
  </r>
  <r>
    <s v="General Plant, Common"/>
    <s v="Common (E &amp; G)"/>
    <s v="General Plant, King County outside RTA District, WA : GPL-0000 WA01700000"/>
    <n v="14538359"/>
    <s v="C3970 CMN Comm Equip, new"/>
    <n v="143001440"/>
    <s v="AGGREGATION POINT TESTING-RADIO SYS"/>
    <s v="AGGREGATION POINT TESTING-RADIO SYSTEM"/>
    <s v="12/2023"/>
    <n v="7"/>
    <n v="25707803.940000001"/>
    <n v="14245950.5"/>
    <n v="11461853.439999999"/>
    <x v="8"/>
    <x v="0"/>
  </r>
  <r>
    <s v="General Plant, Common"/>
    <s v="Common (E &amp; G)"/>
    <s v="Commeq - Burlington : COM-BHL"/>
    <n v="14538858"/>
    <s v="C3970 CMN Comm Equip, new"/>
    <n v="131104000"/>
    <s v="BURLINGTON HILL - RADIO PROJECT    "/>
    <s v="BURLINGTON HILL - RADIO PROJECT"/>
    <s v="12/2023"/>
    <n v="1"/>
    <n v="30904.510000000002"/>
    <n v="17125.7"/>
    <n v="13778.81"/>
    <x v="8"/>
    <x v="0"/>
  </r>
  <r>
    <s v="General Plant, Common"/>
    <s v="Common (E &amp; G)"/>
    <s v="Commeq - Glacier : COM-GLA"/>
    <n v="14538871"/>
    <s v="C3970 CMN Comm Equip, new"/>
    <n v="131104080"/>
    <s v="GLACIER - RADIO PROJECT            "/>
    <s v="GLACIER - RADIO PROJECT"/>
    <s v="12/2023"/>
    <n v="1"/>
    <n v="463842.7"/>
    <n v="257037.91"/>
    <n v="206804.79"/>
    <x v="8"/>
    <x v="0"/>
  </r>
  <r>
    <s v="General Plant, Common"/>
    <s v="Common (E &amp; G)"/>
    <s v="Commeq - King Mountain : COM-KIN"/>
    <n v="14538884"/>
    <s v="C3970 CMN Comm Equip, new"/>
    <n v="131104082"/>
    <s v="KING MOUNTAIN- RADIO PROJECT       "/>
    <s v="KING MOUNTAIN- RADIO PROJECT"/>
    <s v="12/2023"/>
    <n v="2"/>
    <n v="92773.35"/>
    <n v="51410.25"/>
    <n v="41363.1"/>
    <x v="8"/>
    <x v="0"/>
  </r>
  <r>
    <s v="General Plant, Common"/>
    <s v="Common (E &amp; G)"/>
    <s v="Commeq - Skykomish : COM-SKY"/>
    <n v="14538935"/>
    <s v="C3970 CMN Comm Equip, new"/>
    <n v="131104106"/>
    <s v="SKYKOMISH SVC/OFFICE - RADIO PROJEC"/>
    <s v="SKYKOMISH SVC/OFFICE - RADIO PROJECT"/>
    <s v="12/2023"/>
    <n v="1"/>
    <n v="65771.67"/>
    <n v="36447.300000000003"/>
    <n v="29324.37"/>
    <x v="8"/>
    <x v="0"/>
  </r>
  <r>
    <s v="General Plant, Common"/>
    <s v="Common (E &amp; G)"/>
    <s v="Commeq - Lower Baker : COM-LB"/>
    <n v="14538948"/>
    <s v="C3970 CMN Comm Equip, new"/>
    <n v="131104107"/>
    <s v="LOWER BAKER - RADIO PROJECT        "/>
    <s v="LOWER BAKER - RADIO PROJECT"/>
    <s v="12/2023"/>
    <n v="1"/>
    <n v="120425.09"/>
    <n v="66733.430000000008"/>
    <n v="53691.66"/>
    <x v="8"/>
    <x v="0"/>
  </r>
  <r>
    <s v="General Plant, Common"/>
    <s v="Common (E &amp; G)"/>
    <s v="Lynden Svc Cntr : GPL-VLY"/>
    <n v="14538961"/>
    <s v="C3970 CMN Comm Equip, new"/>
    <n v="131104108"/>
    <s v="LYNDEN - RADIO PROJECT             "/>
    <s v="LYNDEN - RADIO PROJECT"/>
    <s v="12/2023"/>
    <n v="1"/>
    <n v="62399.94"/>
    <n v="34578.86"/>
    <n v="27821.08"/>
    <x v="8"/>
    <x v="1"/>
  </r>
  <r>
    <s v="General Plant, Common"/>
    <s v="Common (E &amp; G)"/>
    <s v="Commeq - Fields Gulch: COM-FIELDS"/>
    <n v="14539000"/>
    <s v="C3970 CMN Comm Equip, new"/>
    <n v="131104522"/>
    <s v="FIELDS GULCH - RADIO PROJECT       "/>
    <s v="FIELDS GULCH - RADIO PROJECT"/>
    <s v="12/2023"/>
    <n v="1"/>
    <n v="9113.380000000001"/>
    <n v="5050.17"/>
    <n v="4063.21"/>
    <x v="8"/>
    <x v="0"/>
  </r>
  <r>
    <s v="General Plant, Common"/>
    <s v="Common (E &amp; G)"/>
    <s v="Commeq - Upper Baker Dam : COM-UB"/>
    <n v="14539026"/>
    <s v="C3970 CMN Comm Equip, new"/>
    <n v="141000426"/>
    <s v="UPPER BAKER DAM - RADIO PROJECT"/>
    <s v="UPPER BAKER DAM - RADIO PROJECT"/>
    <s v="12/2023"/>
    <n v="1"/>
    <n v="31055.47"/>
    <n v="17209.349999999999"/>
    <n v="13846.12"/>
    <x v="8"/>
    <x v="0"/>
  </r>
  <r>
    <s v="General Plant, Common"/>
    <s v="Common (E &amp; G)"/>
    <s v="Bellingham Svc Cntr : GPL-VBE"/>
    <n v="14539039"/>
    <s v="C3970 CMN Comm Equip, new"/>
    <n v="141001140"/>
    <s v="BELLINGHAM SVC - RADIO PROJECT"/>
    <s v="BELLINGHAM SVC - RADIO PROJECT"/>
    <s v="12/2023"/>
    <n v="1"/>
    <n v="4867"/>
    <n v="2697.04"/>
    <n v="2169.96"/>
    <x v="8"/>
    <x v="1"/>
  </r>
  <r>
    <s v="General Plant, Common"/>
    <s v="Common (E &amp; G)"/>
    <s v="East Side Telecommunication Office : GPL-ESO"/>
    <n v="14539055"/>
    <s v="C3970 CMN Comm Equip, new"/>
    <n v="131201581"/>
    <s v="ESO RADIO TEST EQUIPMENT           "/>
    <s v="ESO RADIO TEST EQUIPMENT"/>
    <s v="12/2023"/>
    <n v="2"/>
    <n v="810412.64"/>
    <n v="449089.25"/>
    <n v="361323.39"/>
    <x v="8"/>
    <x v="0"/>
  </r>
  <r>
    <s v="General Plant, Common"/>
    <s v="Common (E &amp; G)"/>
    <s v="General Plant, Whatcom County, WA : GPL-0000 WA03700000"/>
    <n v="14757860"/>
    <s v="C3970 CMN Comm Equip, new"/>
    <n v="130006401"/>
    <s v="IP SCADA Project (MAS Master Radio)"/>
    <s v="IP SCADA Project (MAS Master Radio) - HW"/>
    <s v="12/2023"/>
    <n v="0"/>
    <n v="783.9"/>
    <n v="434.40000000000003"/>
    <n v="349.5"/>
    <x v="8"/>
    <x v="0"/>
  </r>
  <r>
    <s v="General Plant, Common"/>
    <s v="Common (E &amp; G)"/>
    <s v="Commeq - Starwood : COM-STAR"/>
    <n v="14760937"/>
    <s v="C3970 CMN Comm Equip, new"/>
    <n v="131204761"/>
    <s v="STARWOOD SUB - RADIO PROJECT"/>
    <s v="STARWOOD SUB - RADIO PROJECT"/>
    <s v="12/2023"/>
    <n v="1"/>
    <n v="142249.96"/>
    <n v="78827.650000000009"/>
    <n v="63422.310000000005"/>
    <x v="8"/>
    <x v="0"/>
  </r>
  <r>
    <s v="General Plant, Common"/>
    <s v="Common (E &amp; G)"/>
    <s v="Commeq - Shaw : COM-SHA"/>
    <n v="14869943"/>
    <s v="C3970 CMN Comm Equip, new"/>
    <n v="131104141"/>
    <s v="SHAW SUB - RADIO PROJECT"/>
    <s v="SHAW SUB - RADIO PROJECT"/>
    <s v="12/2023"/>
    <n v="1"/>
    <n v="213016.64"/>
    <n v="118042.93000000001"/>
    <n v="94973.71"/>
    <x v="8"/>
    <x v="0"/>
  </r>
  <r>
    <s v="General Plant, Common"/>
    <s v="Common (E &amp; G)"/>
    <s v="Commeq - Lakeside: COM-LAK"/>
    <n v="14869950"/>
    <s v="C3970 CMN Comm Equip, new"/>
    <n v="131203420"/>
    <s v="INTERNET PROTOCOL CORE DEV PSE NETW"/>
    <s v="INTERNET PROTOCOL CORE DEV PSE NETWORK"/>
    <s v="12/2023"/>
    <n v="1"/>
    <n v="45070.01"/>
    <n v="28420.720000000001"/>
    <n v="16649.29"/>
    <x v="8"/>
    <x v="0"/>
  </r>
  <r>
    <s v="General Plant, Common"/>
    <s v="Common (E &amp; G)"/>
    <s v="Commeq - White River : COM-WRT"/>
    <n v="14869957"/>
    <s v="C3970 CMN Comm Equip, new"/>
    <n v="131203420"/>
    <s v="INTERNET PROTOCOL CORE DEV PSE NETW"/>
    <s v="INTERNET PROTOCOL CORE DEV PSE NETWORK"/>
    <s v="12/2023"/>
    <n v="1"/>
    <n v="49070.28"/>
    <n v="30943.25"/>
    <n v="18127.03"/>
    <x v="8"/>
    <x v="0"/>
  </r>
  <r>
    <s v="General Plant, Common"/>
    <s v="Common (E &amp; G)"/>
    <s v="Commeq - O'Brien: COM-OBR"/>
    <n v="14869964"/>
    <s v="C3970 CMN Comm Equip, new"/>
    <n v="131203420"/>
    <s v="INTERNET PROTOCOL CORE DEV PSE NETW"/>
    <s v="INTERNET PROTOCOL CORE DEV PSE NETWORK"/>
    <s v="12/2023"/>
    <n v="1"/>
    <n v="45069.96"/>
    <n v="28420.68"/>
    <n v="16649.28"/>
    <x v="8"/>
    <x v="0"/>
  </r>
  <r>
    <s v="General Plant, Common"/>
    <s v="Common (E &amp; G)"/>
    <s v="Commeq - Sedro Wooley: COM-SED"/>
    <n v="14869971"/>
    <s v="C3970 CMN Comm Equip, new"/>
    <n v="131203420"/>
    <s v="INTERNET PROTOCOL CORE DEV PSE NETW"/>
    <s v="INTERNET PROTOCOL CORE DEV PSE NETWORK"/>
    <s v="12/2023"/>
    <n v="1"/>
    <n v="45070.01"/>
    <n v="28420.720000000001"/>
    <n v="16649.29"/>
    <x v="8"/>
    <x v="0"/>
  </r>
  <r>
    <s v="General Plant, Common"/>
    <s v="Common (E &amp; G)"/>
    <s v="Commeq - Greenwater : COM-GWR"/>
    <n v="14869978"/>
    <s v="C3970 CMN Comm Equip, new"/>
    <n v="131204145"/>
    <s v="GREENWATER SUB - RADIO PROJECT"/>
    <s v="GREENWATER SUB - RADIO PROJECT"/>
    <s v="12/2023"/>
    <n v="1"/>
    <n v="21184.89"/>
    <n v="11739.58"/>
    <n v="9445.31"/>
    <x v="8"/>
    <x v="0"/>
  </r>
  <r>
    <s v="General Plant, Common"/>
    <s v="Common (E &amp; G)"/>
    <s v="Commeq - Talbot Hill  : COM-TAL"/>
    <n v="14869985"/>
    <s v="C3970 CMN Comm Equip, new"/>
    <n v="131204146"/>
    <s v="TALBOT SUB - RADIO PROJECT"/>
    <s v="TALBOT SUB - RADIO PROJECT"/>
    <s v="12/2023"/>
    <n v="1"/>
    <n v="66564.509999999995"/>
    <n v="36886.65"/>
    <n v="29677.86"/>
    <x v="8"/>
    <x v="0"/>
  </r>
  <r>
    <s v="General Plant, Common"/>
    <s v="Common (E &amp; G)"/>
    <s v="Commeq - Pickering : COM-PIK"/>
    <n v="14869999"/>
    <s v="C3970 CMN Comm Equip, new"/>
    <n v="131204764"/>
    <s v="PICKERING SUB - RADIO PROJECT"/>
    <s v="PICKERING SUB - RADIO PROJECT"/>
    <s v="12/2023"/>
    <n v="1"/>
    <n v="376343.88"/>
    <n v="208550.54"/>
    <n v="167793.34"/>
    <x v="8"/>
    <x v="0"/>
  </r>
  <r>
    <s v="General Plant, Common"/>
    <s v="Common (E &amp; G)"/>
    <s v="Commeq - Norway Hill : COM-NHL"/>
    <n v="14870006"/>
    <s v="C3970 CMN Comm Equip, new"/>
    <n v="143000322"/>
    <s v="NORWAY HILL - RADIO PROJECT"/>
    <s v="NORWAY HILL - RADIO PROJECT"/>
    <s v="12/2023"/>
    <n v="1"/>
    <n v="117533.77"/>
    <n v="65131.21"/>
    <n v="52402.559999999998"/>
    <x v="8"/>
    <x v="0"/>
  </r>
  <r>
    <s v="General Plant, Common"/>
    <s v="Common (E &amp; G)"/>
    <s v="Commeq - Midway : COM-MID"/>
    <n v="14870040"/>
    <s v="C3970 CMN Comm Equip, new"/>
    <n v="131204763"/>
    <s v="MIDWAY SUB - RADIO PROJECT"/>
    <s v="MIDWAY SUB - RADIO PROJECT"/>
    <s v="12/2023"/>
    <n v="1"/>
    <n v="192236.03"/>
    <n v="106527.38"/>
    <n v="85708.650000000009"/>
    <x v="8"/>
    <x v="0"/>
  </r>
  <r>
    <s v="General Plant, Common"/>
    <s v="Common (E &amp; G)"/>
    <s v="Commeq - Snoqualmie Microwave : COM-SNO"/>
    <n v="15050730"/>
    <s v="C3970 CMN Comm Equip, new"/>
    <n v="143000323"/>
    <s v="SQUALICUM MT. - RADIO PROJECT"/>
    <s v="SQUALICUM MT. - RADIO PROJECT"/>
    <s v="12/2023"/>
    <n v="0"/>
    <n v="2268.33"/>
    <n v="1256.99"/>
    <n v="1011.34"/>
    <x v="8"/>
    <x v="0"/>
  </r>
  <r>
    <s v="General Plant, Common"/>
    <s v="Common (E &amp; G)"/>
    <s v="Commeq - Frederickson : COM-FRE"/>
    <n v="15050737"/>
    <s v="C3970 CMN Comm Equip, new"/>
    <n v="131204802"/>
    <s v="FREDRICKSON - RADIO PROJECT"/>
    <s v="FREDRICKSON - RADIO PROJECT"/>
    <s v="12/2023"/>
    <n v="1"/>
    <n v="39075.96"/>
    <n v="21653.9"/>
    <n v="17422.060000000001"/>
    <x v="8"/>
    <x v="0"/>
  </r>
  <r>
    <s v="General Plant, Common"/>
    <s v="Common (E &amp; G)"/>
    <s v="Commeq - Marysville : COM-MYV"/>
    <n v="15064661"/>
    <s v="C3970 CMN Comm Equip, new"/>
    <n v="131204153"/>
    <s v="MARYSVILLE - RADIO PROJECT"/>
    <s v="MARYSVILLE - RADIO PROJECT"/>
    <s v="12/2023"/>
    <n v="1"/>
    <n v="75389.36"/>
    <n v="41776.93"/>
    <n v="33612.43"/>
    <x v="8"/>
    <x v="0"/>
  </r>
  <r>
    <s v="General Plant, Common"/>
    <s v="Common (E &amp; G)"/>
    <s v="General Plant, King County Unincorporated within RTA District, WA : GPL-0000 WA11700990"/>
    <n v="15084320"/>
    <s v="C3970 CMN Comm Equip, new"/>
    <n v="143000262"/>
    <s v="RDW NEW PHASE III"/>
    <s v="RDW NEW PHASE III"/>
    <s v="12/2023"/>
    <n v="1"/>
    <n v="20947.189999999999"/>
    <n v="11607.86"/>
    <n v="9339.33"/>
    <x v="8"/>
    <x v="0"/>
  </r>
  <r>
    <s v="General Plant, Common"/>
    <s v="Common (E &amp; G)"/>
    <s v="Commeq - Lake Samish: COM-LSAM"/>
    <n v="15084323"/>
    <s v="C3970 CMN Comm Equip, new"/>
    <n v="143000324"/>
    <s v="LAKE SAMISH - RADIO PROJECT"/>
    <s v="LAKE SAMISH - RADIO PROJECT"/>
    <s v="12/2023"/>
    <n v="1"/>
    <n v="253243.87"/>
    <n v="140334.80000000002"/>
    <n v="112909.07"/>
    <x v="8"/>
    <x v="0"/>
  </r>
  <r>
    <s v="General Plant, Common"/>
    <s v="Common (E &amp; G)"/>
    <s v="Commeq - Stampede : COM-SMP"/>
    <n v="15084328"/>
    <s v="C3970 CMN Comm Equip, new"/>
    <n v="143001262"/>
    <s v="STAMPEDE DIVERSITY ANTENNA SYSTEM R"/>
    <s v="STAMPEDE DIVERSITY ANTENNA SYSTEM REPLAC"/>
    <s v="12/2023"/>
    <n v="1"/>
    <n v="16097.77"/>
    <n v="10151.1"/>
    <n v="5946.67"/>
    <x v="8"/>
    <x v="0"/>
  </r>
  <r>
    <s v="General Plant, Common"/>
    <s v="Common (E &amp; G)"/>
    <s v="Commeq - Index:  COM-IND"/>
    <n v="15084469"/>
    <s v="C3970 CMN Comm Equip, new"/>
    <n v="131204800"/>
    <s v="INDEXT - RADIO PROJECT"/>
    <s v="INDEXT - RADIO PROJECT"/>
    <s v="12/2023"/>
    <n v="1"/>
    <n v="310785.62"/>
    <n v="172221.5"/>
    <n v="138564.12"/>
    <x v="8"/>
    <x v="0"/>
  </r>
  <r>
    <s v="General Plant, Common"/>
    <s v="Common (E &amp; G)"/>
    <s v="General Plant, King County Unincorporated within RTA District, WA : GPL-0000 WA11700990"/>
    <n v="15115465"/>
    <s v="C3970 CMN Comm Equip, new"/>
    <n v="143000683"/>
    <s v="2012-2017 STANDING ORDER TELECOM TE"/>
    <s v="2012-2017 STANDING ORDER TELECOM TEST Eq"/>
    <s v="12/2023"/>
    <n v="0"/>
    <n v="67792.45"/>
    <n v="37567.11"/>
    <n v="30225.34"/>
    <x v="8"/>
    <x v="0"/>
  </r>
  <r>
    <s v="General Plant, Common"/>
    <s v="Common (E &amp; G)"/>
    <s v="Commeq - Bellingham:  COM-BHM"/>
    <n v="15217721"/>
    <s v="C3970 CMN Comm Equip, new"/>
    <n v="130006401"/>
    <s v="IP SCADA Project (MAS Master Radio)"/>
    <s v="IP SCADA Project (MAS Master Radio) - HW"/>
    <s v="12/2023"/>
    <n v="1"/>
    <n v="65141.279999999999"/>
    <n v="36097.97"/>
    <n v="29043.31"/>
    <x v="8"/>
    <x v="0"/>
  </r>
  <r>
    <s v="General Plant, Common"/>
    <s v="Common (E &amp; G)"/>
    <s v="Commeq - Sumas:  COM-SMS"/>
    <n v="15217724"/>
    <s v="C3970 CMN Comm Equip, new"/>
    <n v="130006401"/>
    <s v="IP SCADA Project (MAS Master Radio)"/>
    <s v="IP SCADA Project (MAS Master Radio) - HW"/>
    <s v="12/2023"/>
    <n v="1"/>
    <n v="104231.61"/>
    <n v="57759.83"/>
    <n v="46471.78"/>
    <x v="8"/>
    <x v="0"/>
  </r>
  <r>
    <s v="General Plant, Common"/>
    <s v="Common (E &amp; G)"/>
    <s v="Commeq - Kendall: COM-KEN"/>
    <n v="15236867"/>
    <s v="C3970 CMN Comm Equip, new"/>
    <n v="131204762"/>
    <s v="KENDALL SUB - RADIO PROJECT"/>
    <s v="KENDALL SUB - RADIO PROJECT"/>
    <s v="12/2023"/>
    <n v="1"/>
    <n v="218773.04"/>
    <n v="121232.83"/>
    <n v="97540.21"/>
    <x v="8"/>
    <x v="0"/>
  </r>
  <r>
    <s v="General Plant, Common"/>
    <s v="Common (E &amp; G)"/>
    <s v="Commeq - Squalicum:  COM-SQU"/>
    <n v="15267723"/>
    <s v="C3970 CMN Comm Equip, new"/>
    <n v="143000323"/>
    <s v="SQUALICUM MT. - RADIO PROJECT"/>
    <s v="SQUALICUM MT. - RADIO PROJECT"/>
    <s v="12/2023"/>
    <n v="1"/>
    <n v="76595.540000000008"/>
    <n v="42445.33"/>
    <n v="34150.21"/>
    <x v="8"/>
    <x v="0"/>
  </r>
  <r>
    <s v="General Plant, Common"/>
    <s v="Common (E &amp; G)"/>
    <s v="General Plant, Skagit County, WA : GPL-0000 WA02900000"/>
    <n v="15588585"/>
    <s v="C3970 CMN Comm Equip, new"/>
    <n v="131204168"/>
    <s v="Skagit SVC to March Point Multiplex"/>
    <s v="Skagit SVC to March Point Multiplex Equi"/>
    <s v="12/2023"/>
    <n v="1"/>
    <n v="4994.1400000000003"/>
    <n v="2767.5"/>
    <n v="2226.64"/>
    <x v="8"/>
    <x v="0"/>
  </r>
  <r>
    <s v="General Plant, Common"/>
    <s v="Common (E &amp; G)"/>
    <s v="Commeq - Bucoda: COM-BUC"/>
    <n v="15733860"/>
    <s v="C3970 CMN Comm Equip, new"/>
    <n v="131204801"/>
    <s v="BUCODA - RADIO PROJECT"/>
    <s v="BUCODA - RADIO PROJECT"/>
    <s v="12/2023"/>
    <n v="1"/>
    <n v="201036.06"/>
    <n v="111403.91"/>
    <n v="89632.150000000009"/>
    <x v="8"/>
    <x v="0"/>
  </r>
  <r>
    <s v="General Plant, Common"/>
    <s v="Common (E &amp; G)"/>
    <s v="Commeq - Snoqualmie Dam : COM-SNOD"/>
    <n v="15820092"/>
    <s v="C3970 CMN Comm Equip, new"/>
    <n v="141000424"/>
    <s v="SNOQUALMIE DAM  - RADIO PROJECT"/>
    <s v="SNOQUALMIE DAM  - RADIO PROJECT"/>
    <s v="12/2023"/>
    <n v="1"/>
    <n v="11205.14"/>
    <n v="6209.32"/>
    <n v="4995.82"/>
    <x v="8"/>
    <x v="0"/>
  </r>
  <r>
    <s v="General Plant, Common"/>
    <s v="Common (E &amp; G)"/>
    <s v="Commeq - Linville Ridge:  COM-LIN"/>
    <n v="15820149"/>
    <s v="C3970 CMN Comm Equip, new"/>
    <n v="131104523"/>
    <s v="LINVILLE RIDGE - RADIO PROJECT     "/>
    <s v="LINVILLE RIDGE - RADIO PROJECT"/>
    <s v="12/2023"/>
    <n v="1"/>
    <n v="31784.99"/>
    <n v="17613.62"/>
    <n v="14171.37"/>
    <x v="8"/>
    <x v="0"/>
  </r>
  <r>
    <s v="General Plant, Common"/>
    <s v="Common (E &amp; G)"/>
    <s v="Commeq - Seattle Community College: COM-SCC"/>
    <n v="15868437"/>
    <s v="C3970 CMN Comm Equip, new"/>
    <n v="143000326"/>
    <s v="S SEATTLE COMM COLLEGE - RADIO PROJ"/>
    <s v="S SEATTLE COMM COLLEGE - RADIO PROJECT"/>
    <s v="12/2023"/>
    <n v="1"/>
    <n v="315635.08"/>
    <n v="174908.82"/>
    <n v="140726.26"/>
    <x v="8"/>
    <x v="0"/>
  </r>
  <r>
    <s v="General Plant, Common"/>
    <s v="Common (E &amp; G)"/>
    <s v="Commeq - Buckhorn Hill:  COM: BUCK"/>
    <n v="15868442"/>
    <s v="C3970 CMN Comm Equip, new"/>
    <n v="143000327"/>
    <s v="BUCKHORN HILL - RADIO PROJECT"/>
    <s v="BUCKHORN HILL - RADIO PROJECT"/>
    <s v="12/2023"/>
    <n v="1"/>
    <n v="129998.96"/>
    <n v="72038.78"/>
    <n v="57960.18"/>
    <x v="8"/>
    <x v="0"/>
  </r>
  <r>
    <s v="General Plant, Common"/>
    <s v="Common (E &amp; G)"/>
    <s v="Skagit Service Ctr : GPL-SKA"/>
    <n v="15888439"/>
    <s v="C3970 CMN Comm Equip, new"/>
    <n v="131204168"/>
    <s v="Skagit SVC to March Point Multiplex"/>
    <s v="Skagit SVC to March Point Multiplex Equi"/>
    <s v="12/2023"/>
    <n v="2"/>
    <n v="29426.400000000001"/>
    <n v="16306.61"/>
    <n v="13119.79"/>
    <x v="8"/>
    <x v="1"/>
  </r>
  <r>
    <s v="General Plant, Common"/>
    <s v="Common (E &amp; G)"/>
    <s v="S King Svc Complex (PSE) : GPL-SOK"/>
    <n v="27792531"/>
    <s v="C3970 CMN Comm Equip, new"/>
    <n v="131203420"/>
    <s v="INTERNET PROTOCOL CORE DEV PSE NETW"/>
    <s v="INTERNET PROTOCOL CORE DEV PSE NETWORK"/>
    <s v="12/2023"/>
    <n v="1"/>
    <n v="45075.950000000004"/>
    <n v="28424.46"/>
    <n v="16651.490000000002"/>
    <x v="8"/>
    <x v="1"/>
  </r>
  <r>
    <s v="General Plant, Common"/>
    <s v="Common (E &amp; G)"/>
    <s v="Commeq - Crystal Mountain: COM-CRY"/>
    <n v="16616184"/>
    <s v="C3970 CMN Comm Equip, new"/>
    <n v="131104112"/>
    <s v="CRYSTAL MT - RADIO PROJECT         "/>
    <s v="CRYSTAL MT - RADIO PROJECT"/>
    <s v="12/2023"/>
    <n v="1"/>
    <n v="87621.57"/>
    <n v="48555.39"/>
    <n v="39066.18"/>
    <x v="8"/>
    <x v="0"/>
  </r>
  <r>
    <s v="General Plant, Common"/>
    <s v="Common (E &amp; G)"/>
    <s v="Commeq - Bellingham:  COM-BHM"/>
    <n v="16728966"/>
    <s v="C3970 CMN Comm Equip, new"/>
    <n v="143001560"/>
    <s v="PRI ROUTER ENHANCEMENT INSTALLS FOR"/>
    <s v="PRI ROUTER ENHANCEMENT INSTALLS FOR FOUR"/>
    <s v="12/2023"/>
    <n v="1"/>
    <n v="1146.6400000000001"/>
    <n v="635.41"/>
    <n v="511.23"/>
    <x v="8"/>
    <x v="0"/>
  </r>
  <r>
    <s v="General Plant, Common"/>
    <s v="Common (E &amp; G)"/>
    <s v="Commeq - Upper Baker Dam : COM-UB"/>
    <n v="16728969"/>
    <s v="C3970 CMN Comm Equip, new"/>
    <n v="143001593"/>
    <s v="UPPER BAKER MOON BASE IMS"/>
    <s v="UPPER BAKER MOON BASE IMS"/>
    <s v="12/2023"/>
    <n v="1"/>
    <n v="9405.89"/>
    <n v="5212.26"/>
    <n v="4193.63"/>
    <x v="8"/>
    <x v="0"/>
  </r>
  <r>
    <s v="General Plant, Common"/>
    <s v="Common (E &amp; G)"/>
    <s v="East Side Telecommunication Office : GPL-ESO"/>
    <n v="16728972"/>
    <s v="C3970 CMN Comm Equip, new"/>
    <n v="143001620"/>
    <s v="EST-BUCC TO TAL-SUB OPS DS3 TRUNK"/>
    <s v="EST-BUCC TO TAL-SUB OPS DS3 TRUNK"/>
    <s v="12/2023"/>
    <n v="1"/>
    <n v="6855.9400000000005"/>
    <n v="3799.21"/>
    <n v="3056.73"/>
    <x v="8"/>
    <x v="0"/>
  </r>
  <r>
    <s v="General Plant, Common"/>
    <s v="Common (E &amp; G)"/>
    <s v="Commeq - Talbot Hill  : COM-TAL"/>
    <n v="16728975"/>
    <s v="C3970 CMN Comm Equip, new"/>
    <n v="143001621"/>
    <s v="TAL-SUB TO EST-BUCC OPS DS3 TRUNK"/>
    <s v="TAL-SUB TO EST-BUCC OPS DS3 TRUNK"/>
    <s v="12/2023"/>
    <n v="1"/>
    <n v="9433.51"/>
    <n v="5227.57"/>
    <n v="4205.9400000000005"/>
    <x v="8"/>
    <x v="0"/>
  </r>
  <r>
    <s v="General Plant, Common"/>
    <s v="Common (E &amp; G)"/>
    <s v="General Plant, King County outside RTA District, WA : GPL-0000 WA01700000"/>
    <n v="16982926"/>
    <s v="C3970 CMN Comm Equip, new"/>
    <n v="143001574"/>
    <s v="RDWOFC - REDMOND WEST OFFICE CENTER"/>
    <s v="RDWOFC - REDMOND WEST OFFICE CENTER"/>
    <s v="12/2023"/>
    <n v="1"/>
    <n v="84572.94"/>
    <n v="46866"/>
    <n v="37706.94"/>
    <x v="8"/>
    <x v="0"/>
  </r>
  <r>
    <s v="General Plant, Common"/>
    <s v="Common (E &amp; G)"/>
    <s v="Pse East Ofc Bldg (Leased) 110Th Ave Ne : GPL-PSEE"/>
    <n v="17697252"/>
    <s v="C3970 CMN Comm Equip, new"/>
    <n v="143001140"/>
    <s v="BELLEVUE EST BUCC DNX-88 INSTALL"/>
    <s v="BELLEVUE EST BUCC DNX-88 INSTALL"/>
    <s v="12/2023"/>
    <n v="1"/>
    <n v="95944.27"/>
    <n v="46764.07"/>
    <n v="49180.200000000004"/>
    <x v="8"/>
    <x v="0"/>
  </r>
  <r>
    <s v="General Plant, Common"/>
    <s v="Common (E &amp; G)"/>
    <s v="Commeq - Sumas:  COM-SMS"/>
    <n v="18161158"/>
    <s v="C3970 CMN Comm Equip, new"/>
    <n v="143001569"/>
    <s v="LYNDEN SUB TO BELLINGHAM SVC FIBER "/>
    <s v="LYNDEN SUB TO BELLINGHAM SVC FIBER MULTI"/>
    <s v="12/2023"/>
    <n v="2"/>
    <n v="50172.43"/>
    <n v="24454.48"/>
    <n v="25717.95"/>
    <x v="8"/>
    <x v="0"/>
  </r>
  <r>
    <s v="General Plant, Common"/>
    <s v="Common (E &amp; G)"/>
    <s v="Commeq - Bellingham:  COM-BHM"/>
    <n v="18161163"/>
    <s v="C3970 CMN Comm Equip, new"/>
    <n v="143001571"/>
    <s v="BELLINGHAM SVC TO LYNDEN SUB FIBER "/>
    <s v="BELLINGHAM SVC TO LYNDEN SUB FIBER MULTI"/>
    <s v="12/2023"/>
    <n v="4"/>
    <n v="82144.009999999995"/>
    <n v="40037.71"/>
    <n v="42106.3"/>
    <x v="8"/>
    <x v="0"/>
  </r>
  <r>
    <s v="General Plant, Common"/>
    <s v="Common (E &amp; G)"/>
    <s v="Fib Opt - Boeing-Midway Sub  : COM-BOMW"/>
    <n v="19159723"/>
    <s v="C3970 CMN Comm Equip, new"/>
    <n v="143001389"/>
    <s v="RPL 12 CNT WITH 48 BTWN BAS-MID"/>
    <s v="RPL 12 CNT WITH 48 BTWN BAS-MID"/>
    <s v="12/2023"/>
    <n v="8410"/>
    <n v="80433.210000000006"/>
    <n v="44571.97"/>
    <n v="35861.24"/>
    <x v="8"/>
    <x v="4"/>
  </r>
  <r>
    <s v="General Plant, Common"/>
    <s v="Common (E &amp; G)"/>
    <s v="Fib Opt - Puyallup Svc-WhtRvr : COM-PYWR"/>
    <n v="19159738"/>
    <s v="C3970 CMN Comm Equip, new"/>
    <n v="143001841"/>
    <s v="FIBER CAPITAL REPLACEMENT-IT W RIVE"/>
    <s v="FIBER CAPITAL REPLACEMENT-IT W RIVER-PUY"/>
    <s v="12/2023"/>
    <n v="2100"/>
    <n v="74658.040000000008"/>
    <n v="36388.980000000003"/>
    <n v="38269.06"/>
    <x v="8"/>
    <x v="1"/>
  </r>
  <r>
    <s v="General Plant, Common"/>
    <s v="Common (E &amp; G)"/>
    <s v="Commeq - Redmond West : COM-RDW"/>
    <n v="19199592"/>
    <s v="C3970 CMN Comm Equip, new"/>
    <n v="143001388"/>
    <s v="IP SCADA PROJ - COMM-BACKHAUL OUT-O"/>
    <s v="IP SCADA PROJ - COMM-BACKHAUL OUT-OF-B"/>
    <s v="12/2023"/>
    <n v="1"/>
    <n v="64093.020000000004"/>
    <n v="35517.07"/>
    <n v="28575.95"/>
    <x v="8"/>
    <x v="0"/>
  </r>
  <r>
    <s v="General Plant, Common"/>
    <s v="Common (E &amp; G)"/>
    <s v="Commeq - Cougar Mtn : GPL-CMT"/>
    <n v="19199603"/>
    <s v="C3970 CMN Comm Equip, new"/>
    <n v="143001702"/>
    <s v="COUGAR MOUNTAIN COMMUNICATIONS DNX-"/>
    <s v="COUGAR MOUNTAIN COMMUNICATIONS DNX-88"/>
    <s v="12/2023"/>
    <n v="1"/>
    <n v="131741.42000000001"/>
    <n v="64211.91"/>
    <n v="67529.509999999995"/>
    <x v="8"/>
    <x v="0"/>
  </r>
  <r>
    <s v="General Plant, Common"/>
    <s v="Common (E &amp; G)"/>
    <s v="Bellingham Svc Cntr : GPL-VBE"/>
    <n v="19544369"/>
    <s v="C3970 CMN Comm Equip, new"/>
    <n v="143001584"/>
    <s v="BELLINGHAM SVC EQUIPMENT IMPROVEMEN"/>
    <s v="BELLINGHAM SVC EQUIPMENT IMPROVEMENTS"/>
    <s v="12/2023"/>
    <n v="1"/>
    <n v="5622.82"/>
    <n v="2740.61"/>
    <n v="2882.21"/>
    <x v="8"/>
    <x v="1"/>
  </r>
  <r>
    <s v="General Plant, Common"/>
    <s v="Common (E &amp; G)"/>
    <s v="Commeq - Mt Erie (Leased) : COM-MTE"/>
    <n v="19863569"/>
    <s v="C3970 CMN Comm Equip, new"/>
    <n v="143001923"/>
    <s v="MT. ERIE COMMUNICATIONS DNX-88"/>
    <s v="MT. ERIE COMMUNICATIONS DNX-88"/>
    <s v="12/2023"/>
    <n v="1"/>
    <n v="42820.4"/>
    <n v="20871.04"/>
    <n v="21949.360000000001"/>
    <x v="8"/>
    <x v="0"/>
  </r>
  <r>
    <s v="General Plant, Common"/>
    <s v="Common (E &amp; G)"/>
    <s v="Commeq - Talbot Hill  : COM-TAL"/>
    <n v="19912784"/>
    <s v="C3970 CMN Comm Equip, new"/>
    <n v="143001565"/>
    <s v="TALBOT HILL SUB TO BPA SNOHOMISH"/>
    <s v="TALBOT HILL SUB TO BPA SNOHOMISH"/>
    <s v="12/2023"/>
    <n v="1"/>
    <n v="13218.98"/>
    <n v="6443.05"/>
    <n v="6775.93"/>
    <x v="8"/>
    <x v="0"/>
  </r>
  <r>
    <s v="General Plant, Common"/>
    <s v="Common (E &amp; G)"/>
    <s v="Commeq - BPA Snohomish : COM-BPAS"/>
    <n v="19912787"/>
    <s v="C3970 CMN Comm Equip, new"/>
    <n v="143001566"/>
    <s v="BPA-SNOHOMISH TO BELLINGHAM SVC AND"/>
    <s v="BPA-SNOHOMISH TO BELLINGHAM SVC AND TALB"/>
    <s v="12/2023"/>
    <n v="1"/>
    <n v="18468.02"/>
    <n v="9001.4699999999993"/>
    <n v="9466.5500000000011"/>
    <x v="8"/>
    <x v="0"/>
  </r>
  <r>
    <s v="General Plant, Common"/>
    <s v="Common (E &amp; G)"/>
    <s v="General Plant, King County Unincorporated within RTA District, WA : GPL-0000 WA11700990"/>
    <n v="20013396"/>
    <s v="C3970 CMN Comm Equip, new"/>
    <n v="143000701"/>
    <s v="STANDING ORDER FOR PORTABLE RADIOS"/>
    <s v="STANDING ORDER FOR PORTABLE RADIOS"/>
    <s v="12/2023"/>
    <n v="0"/>
    <n v="4907.32"/>
    <n v="2391.87"/>
    <n v="2515.4500000000003"/>
    <x v="8"/>
    <x v="0"/>
  </r>
  <r>
    <s v="General Plant, Common"/>
    <s v="Common (E &amp; G)"/>
    <s v="General Plant, King County outside RTA District, WA : GPL-0000 WA01700000"/>
    <n v="20013399"/>
    <s v="C3970 CMN Comm Equip, new"/>
    <n v="143000742"/>
    <s v="STANDING ORDER MOBILE RADIOS - TO R"/>
    <s v="STANDING ORDER MOBILE RADIOS - TO REPLAC"/>
    <s v="12/2023"/>
    <n v="0"/>
    <n v="127454.01000000001"/>
    <n v="62122.19"/>
    <n v="65331.82"/>
    <x v="8"/>
    <x v="0"/>
  </r>
  <r>
    <s v="General Plant, Common"/>
    <s v="Common (E &amp; G)"/>
    <s v="Commeq - Bellevue Office: COM-BELO"/>
    <n v="20970210"/>
    <s v="C3970 CMN Comm Equip, new"/>
    <n v="143001427"/>
    <s v="ANNUAL UPS TECHNOLOGY REFRESH"/>
    <s v="ANNUAL UPS TECHNOLOGY REFRESH"/>
    <s v="12/2023"/>
    <n v="0"/>
    <n v="112247.89"/>
    <n v="62202.04"/>
    <n v="50045.85"/>
    <x v="8"/>
    <x v="0"/>
  </r>
  <r>
    <s v="General Plant, Common"/>
    <s v="Common (E &amp; G)"/>
    <s v="S King Svc Complex (PSE) : GPL-SOK"/>
    <n v="27792552"/>
    <s v="C3970 CMN Comm Equip, new"/>
    <n v="143001585"/>
    <s v="S.01405.01 - VOIP TECH REFRESH - SO"/>
    <s v="S.01405.01 - VOIP TECH REFRESH - SOUTH K"/>
    <s v="12/2023"/>
    <n v="1"/>
    <n v="330793.23"/>
    <n v="161231.5"/>
    <n v="169561.73"/>
    <x v="8"/>
    <x v="1"/>
  </r>
  <r>
    <s v="General Plant, Common"/>
    <s v="Common (E &amp; G)"/>
    <s v="Commeq - Redmond West : COM-RDW"/>
    <n v="20540230"/>
    <s v="C3970 CMN Comm Equip, new"/>
    <n v="131204000"/>
    <s v="REDMOND WEST- RADIO PROJECT"/>
    <s v="REDMOND WEST- RADIO PROJECT"/>
    <s v="12/2023"/>
    <n v="0"/>
    <n v="41225.840000000004"/>
    <n v="22845.25"/>
    <n v="18380.59"/>
    <x v="8"/>
    <x v="0"/>
  </r>
  <r>
    <s v="General Plant, Common"/>
    <s v="Common (E &amp; G)"/>
    <s v="Commeq - Midway : COM-MID"/>
    <n v="20748435"/>
    <s v="C3970 CMN Comm Equip, new"/>
    <n v="143001735"/>
    <s v="MIDWAY - RADIO ANTENNA ENHANCEMENTS"/>
    <s v="MIDWAY - RADIO ANTENNA ENHANCEMENTS AT M"/>
    <s v="12/2023"/>
    <n v="0"/>
    <n v="9487.83"/>
    <n v="4624.45"/>
    <n v="4863.38"/>
    <x v="8"/>
    <x v="0"/>
  </r>
  <r>
    <s v="General Plant, Common"/>
    <s v="Common (E &amp; G)"/>
    <s v="Commeq - Rattlesnake Mtn Site : COM-RAT"/>
    <n v="20748444"/>
    <s v="C3970 CMN Comm Equip, new"/>
    <n v="143001741"/>
    <s v="RATTLESNAKE - RADIO ANTENNA ENHANCE"/>
    <s v="RATTLESNAKE - RADIO ANTENNA ENHANCEMENTS"/>
    <s v="12/2023"/>
    <n v="0"/>
    <n v="23616.07"/>
    <n v="11510.68"/>
    <n v="12105.39"/>
    <x v="8"/>
    <x v="0"/>
  </r>
  <r>
    <s v="General Plant, Common"/>
    <s v="Common (E &amp; G)"/>
    <s v="Commeq - Shaw : COM-SHA"/>
    <n v="20748447"/>
    <s v="C3970 CMN Comm Equip, new"/>
    <n v="143001742"/>
    <s v="SHAW - RADIO ANTENNA ENHANCEMENTS A"/>
    <s v="SHAW - RADIO ANTENNA ENHANCEMENTS AT MUL"/>
    <s v="12/2023"/>
    <n v="0"/>
    <n v="7567.21"/>
    <n v="3688.32"/>
    <n v="3878.89"/>
    <x v="8"/>
    <x v="0"/>
  </r>
  <r>
    <s v="General Plant, Common"/>
    <s v="Common (E &amp; G)"/>
    <s v="Commeq - March Point Sub. : COM-MAR"/>
    <n v="20785159"/>
    <s v="C3970 CMN Comm Equip, new"/>
    <n v="143001700"/>
    <s v="MARCH POINT SUBSTATION GPS CLOCK"/>
    <s v="MARCH POINT SUBSTATION GPS CLOCK"/>
    <s v="12/2023"/>
    <n v="0"/>
    <n v="17013.72"/>
    <n v="8292.64"/>
    <n v="8721.08"/>
    <x v="8"/>
    <x v="4"/>
  </r>
  <r>
    <s v="General Plant, Common"/>
    <s v="Common (E &amp; G)"/>
    <s v="Commeq - Bellingham:  COM-BHM"/>
    <n v="20785162"/>
    <s v="C3970 CMN Comm Equip, new"/>
    <n v="143001701"/>
    <s v="BELLINGHAM SERVICE CENTER GPS CLOCK"/>
    <s v="BELLINGHAM SERVICE CENTER GPS CLOCK"/>
    <s v="12/2023"/>
    <n v="0"/>
    <n v="23740.260000000002"/>
    <n v="11571.210000000001"/>
    <n v="12169.050000000001"/>
    <x v="8"/>
    <x v="0"/>
  </r>
  <r>
    <s v="General Plant, Common"/>
    <s v="Common (E &amp; G)"/>
    <s v="Commeq - Bremerton:   COM-BRE"/>
    <n v="20785168"/>
    <s v="C3970 CMN Comm Equip, new"/>
    <n v="143001732"/>
    <s v="BREMERTON MICROWAVE UPGRADE"/>
    <s v="BREMERTON MICROWAVE UPGRADE"/>
    <s v="12/2023"/>
    <n v="0"/>
    <n v="97912.6"/>
    <n v="47723.450000000004"/>
    <n v="50189.15"/>
    <x v="8"/>
    <x v="0"/>
  </r>
  <r>
    <s v="General Plant, Common"/>
    <s v="Common (E &amp; G)"/>
    <s v="Commeq - Cougar Mtn : GPL-CMT"/>
    <n v="20785171"/>
    <s v="C3970 CMN Comm Equip, new"/>
    <n v="143001733"/>
    <s v="COUGAR MICROWAVE UPGRADE"/>
    <s v="COUGAR MICROWAVE UPGRADE"/>
    <s v="12/2023"/>
    <n v="0"/>
    <n v="99323.96"/>
    <n v="48411.360000000001"/>
    <n v="50912.6"/>
    <x v="8"/>
    <x v="0"/>
  </r>
  <r>
    <s v="General Plant, Common"/>
    <s v="Common (E &amp; G)"/>
    <s v="Commeq - Lakewood : COM-LAW"/>
    <n v="20785174"/>
    <s v="C3970 CMN Comm Equip, new"/>
    <n v="143001740"/>
    <s v="LAKEWOOD - RADIO ANTENNA ENHANCEMEN"/>
    <s v="LAKEWOOD - RADIO ANTENNA ENHANCEMENTS AT"/>
    <s v="12/2023"/>
    <n v="0"/>
    <n v="16116.17"/>
    <n v="7855.16"/>
    <n v="8261.01"/>
    <x v="8"/>
    <x v="0"/>
  </r>
  <r>
    <s v="General Plant, Common"/>
    <s v="Common (E &amp; G)"/>
    <s v="Commeq - S. Seattle Community College : COM-SSCC"/>
    <n v="20785183"/>
    <s v="C3970 CMN Comm Equip, new"/>
    <n v="143001761"/>
    <s v="SSCC (SOUTH SEATTLE COMMUNITY COLLE"/>
    <s v="SSCC (SOUTH SEATTLE COMMUNITY COLLEGE) R"/>
    <s v="12/2023"/>
    <n v="0"/>
    <n v="16854.150000000001"/>
    <n v="8214.86"/>
    <n v="8639.2900000000009"/>
    <x v="8"/>
    <x v="0"/>
  </r>
  <r>
    <s v="General Plant, Common"/>
    <s v="Common (E &amp; G)"/>
    <s v="Commeq - Green Olympia : COM-GREE"/>
    <n v="20785196"/>
    <s v="C3970 CMN Comm Equip, new"/>
    <n v="143001810"/>
    <s v="Green  Microwave upgrade"/>
    <s v="Green  Microwave upgrade"/>
    <s v="12/2023"/>
    <n v="0"/>
    <n v="75970.16"/>
    <n v="37028.520000000004"/>
    <n v="38941.64"/>
    <x v="8"/>
    <x v="0"/>
  </r>
  <r>
    <s v="General Plant, Common"/>
    <s v="Common (E &amp; G)"/>
    <s v="Commeq - Poulsbo SVC : COM-POU"/>
    <n v="20785204"/>
    <s v="C3970 CMN Comm Equip, new"/>
    <n v="143002002"/>
    <s v="CORPORATE NETWORK BANDWIDTH UPGRADE"/>
    <s v="CORPORATE NETWORK BANDWIDTH UPGRADE"/>
    <s v="12/2023"/>
    <n v="0"/>
    <n v="56143.49"/>
    <n v="24063.439999999999"/>
    <n v="32080.05"/>
    <x v="8"/>
    <x v="1"/>
  </r>
  <r>
    <s v="General Plant, Common"/>
    <s v="Common (E &amp; G)"/>
    <s v="Commeq - U.S. Navy Bangor Sub.: COM-USNB"/>
    <n v="20785207"/>
    <s v="C3970 CMN Comm Equip, new"/>
    <n v="143002003"/>
    <s v="U.S. NAVY BANGOR SUB TELECOM NETWOR"/>
    <s v="U.S. NAVY BANGOR SUB TELECOM NETWORK UPG"/>
    <s v="12/2023"/>
    <n v="0"/>
    <n v="24639.920000000002"/>
    <n v="10560.82"/>
    <n v="14079.1"/>
    <x v="8"/>
    <x v="4"/>
  </r>
  <r>
    <s v="General Plant, Common"/>
    <s v="Common (E &amp; G)"/>
    <s v="Fib Opt - Terrell Sub to Bellingham Svcc: COM-TERB"/>
    <n v="20831093"/>
    <s v="C3970 CMN Comm Equip, new"/>
    <n v="143001570"/>
    <s v="TERRELL SUB TO BELLINGHAM SVC FIBER"/>
    <s v="TERRELL SUB TO BELLINGHAM SVC FIBER MULT"/>
    <s v="12/2023"/>
    <n v="0"/>
    <n v="6573.53"/>
    <n v="3204"/>
    <n v="3369.53"/>
    <x v="8"/>
    <x v="1"/>
  </r>
  <r>
    <s v="General Plant, Common"/>
    <s v="Common (E &amp; G)"/>
    <s v="Fib Opt - Bellingham Svcc to Terrell Sub : COM-BELT"/>
    <n v="20831096"/>
    <s v="C3970 CMN Comm Equip, new"/>
    <n v="143001573"/>
    <s v="BELLINGHAM SVC TO TERRELL SUB FIBER"/>
    <s v="BELLINGHAM SVC TO TERRELL SUB FIBER MULT"/>
    <s v="12/2023"/>
    <n v="0"/>
    <n v="7115.62"/>
    <n v="3468.2200000000003"/>
    <n v="3647.4"/>
    <x v="8"/>
    <x v="1"/>
  </r>
  <r>
    <s v="General Plant, Common"/>
    <s v="Common (E &amp; G)"/>
    <s v="Fib Opt - Bellingham Sub-Bellingham SVCC.: COM-BHMS"/>
    <n v="20831099"/>
    <s v="C3970 CMN Comm Equip, new"/>
    <n v="143001595"/>
    <s v="BELLINGHAM SUBSTATION NETWORK IMPRO"/>
    <s v="BELLINGHAM SUBSTATION NETWORK IMPROVEMEN"/>
    <s v="12/2023"/>
    <n v="0"/>
    <n v="12743.33"/>
    <n v="6211.21"/>
    <n v="6532.12"/>
    <x v="8"/>
    <x v="1"/>
  </r>
  <r>
    <s v="General Plant, Common"/>
    <s v="Common (E &amp; G)"/>
    <s v="Commeq - Green Microwave : COM-GRNM"/>
    <n v="20831114"/>
    <s v="C3970 CMN Comm Equip, new"/>
    <n v="143001814"/>
    <s v="GREEN  MICROWAVE UPGRADE"/>
    <s v="GREEN  MICROWAVE UPGRADE"/>
    <s v="12/2023"/>
    <n v="0"/>
    <n v="19175.29"/>
    <n v="9346.2000000000007"/>
    <n v="9829.09"/>
    <x v="8"/>
    <x v="0"/>
  </r>
  <r>
    <s v="General Plant, Common"/>
    <s v="Common (E &amp; G)"/>
    <s v="Fib Opt - Poulsbo SVC : COM-POUL"/>
    <n v="20831123"/>
    <s v="C3970 CMN Comm Equip, new"/>
    <n v="143001985"/>
    <s v="POULSBO SVC PRIVATE FIBER UPGRADE"/>
    <s v="POULSBO SVC PRIVATE FIBER UPGRADE"/>
    <s v="12/2023"/>
    <n v="0"/>
    <n v="66309.42"/>
    <n v="28420.62"/>
    <n v="37888.800000000003"/>
    <x v="8"/>
    <x v="1"/>
  </r>
  <r>
    <s v="General Plant, Common"/>
    <s v="Common (E &amp; G)"/>
    <s v="Commeq - Olympia : GPL-OLM"/>
    <n v="20970239"/>
    <s v="C3970 CMN Comm Equip, new"/>
    <n v="143001809"/>
    <s v="Olympia Microwave upgrade"/>
    <s v="Olympia Microwave upgrade"/>
    <s v="12/2023"/>
    <n v="0"/>
    <n v="86374.25"/>
    <n v="42099.56"/>
    <n v="44274.69"/>
    <x v="8"/>
    <x v="0"/>
  </r>
  <r>
    <s v="General Plant, Common"/>
    <s v="Common (E &amp; G)"/>
    <s v="Commeq - Marysville : COM-MYV"/>
    <n v="21685573"/>
    <s v="C3970 CMN Comm Equip, new"/>
    <n v="143001922"/>
    <s v="MARYSVILLE COMMUNICATIONS DNX-1U"/>
    <s v="MARYSVILLE COMMUNICATIONS DNX-1U"/>
    <s v="12/2023"/>
    <n v="0"/>
    <n v="32300.62"/>
    <n v="13844.24"/>
    <n v="18456.38"/>
    <x v="8"/>
    <x v="0"/>
  </r>
  <r>
    <s v="General Plant, Common"/>
    <s v="Common (E &amp; G)"/>
    <s v="Commeq - Bellingham:  COM-BHM"/>
    <n v="22569055"/>
    <s v="C3970 CMN Comm Equip, new"/>
    <n v="143001640"/>
    <s v="SKA-SVC TO BSC-SVC OPS 1GB TRUNK"/>
    <s v="SKA-SVC TO BSC-SVC OPS 1GB TRUNK"/>
    <s v="12/2023"/>
    <n v="0"/>
    <n v="19682.34"/>
    <n v="8435.9699999999993"/>
    <n v="11246.37"/>
    <x v="8"/>
    <x v="0"/>
  </r>
  <r>
    <s v="General Plant, Common"/>
    <s v="Common (E &amp; G)"/>
    <s v="Commeq - N.Seattle Operation : COM-NSO"/>
    <n v="22930114"/>
    <s v="C3970 CMN Comm Equip, new"/>
    <n v="143001539"/>
    <s v="PRI ROUTER ENHANCEMENT INSTALLS FOR"/>
    <s v="PRI ROUTER ENHANCEMENT INSTALLS FOR FOUR"/>
    <s v="12/2023"/>
    <n v="0"/>
    <n v="4111.58"/>
    <n v="2278.4299999999998"/>
    <n v="1833.15"/>
    <x v="8"/>
    <x v="0"/>
  </r>
  <r>
    <s v="General Plant, Common"/>
    <s v="Common (E &amp; G)"/>
    <s v="Commeq - Olympia : GPL-OLM"/>
    <n v="23122310"/>
    <s v="C3970 CMN Comm Equip, new"/>
    <n v="143002199"/>
    <s v="OLY-COM TO GRN-COM DS3"/>
    <s v="OLY-COM TO GRN-COM DS3"/>
    <s v="12/2023"/>
    <n v="0"/>
    <n v="48761.81"/>
    <n v="20899.600000000002"/>
    <n v="27862.21"/>
    <x v="8"/>
    <x v="0"/>
  </r>
  <r>
    <s v="General Plant, Common"/>
    <s v="Common (E &amp; G)"/>
    <s v="Commeq - Green Mountain : COM-GRN"/>
    <n v="23122315"/>
    <s v="C3970 CMN Comm Equip, new"/>
    <n v="143002200"/>
    <s v="GRN-COM TO OLY-COM DS3"/>
    <s v="GRN-COM TO OLY-COM DS3"/>
    <s v="12/2023"/>
    <n v="0"/>
    <n v="8438.27"/>
    <n v="3616.69"/>
    <n v="4821.58"/>
    <x v="8"/>
    <x v="0"/>
  </r>
  <r>
    <s v="General Plant, Common"/>
    <s v="Common (E &amp; G)"/>
    <s v="Lake Youngs Substation : SUB-LYO"/>
    <n v="23668114"/>
    <s v="C3970 CMN Comm Equip, new"/>
    <n v="143001819"/>
    <s v="LAKE YOUNGS SUBSTATION DNX-1U"/>
    <s v="LAKE YOUNGS SUBSTATION DNX-1U"/>
    <s v="12/2023"/>
    <n v="0"/>
    <n v="67.070000000000007"/>
    <n v="28.75"/>
    <n v="38.32"/>
    <x v="8"/>
    <x v="4"/>
  </r>
  <r>
    <s v="General Plant, Common"/>
    <s v="Common (E &amp; G)"/>
    <s v="Commeq - White River : COM-WRT"/>
    <n v="23863502"/>
    <s v="C3970 CMN Comm Equip, new"/>
    <n v="143001535"/>
    <s v="S.01505.01 - ANNUAL TELECOM EQUIPME"/>
    <s v="S.01505.01 - ANNUAL TELECOM EQUIPMENT -"/>
    <s v="12/2023"/>
    <n v="0"/>
    <n v="39162.450000000004"/>
    <n v="16785.260000000002"/>
    <n v="22377.19"/>
    <x v="8"/>
    <x v="0"/>
  </r>
  <r>
    <s v="General Plant, Common"/>
    <s v="Common (E &amp; G)"/>
    <s v="Commeq - Electron : COM-ELE"/>
    <n v="23863507"/>
    <s v="C3970 CMN Comm Equip, new"/>
    <n v="143001536"/>
    <s v="S.01505.01 - ANNUAL TELECOM EQUIPME"/>
    <s v="S.01505.01 - ANNUAL TELECOM EQUIPMENT -"/>
    <s v="12/2023"/>
    <n v="0"/>
    <n v="92490.94"/>
    <n v="39642.17"/>
    <n v="52848.770000000004"/>
    <x v="8"/>
    <x v="0"/>
  </r>
  <r>
    <s v="General Plant, Common"/>
    <s v="Common (E &amp; G)"/>
    <s v="General Plant, Washington State : GPL-0000 WA00000000"/>
    <n v="24002328"/>
    <s v="C3970 CMN Comm Equip, new"/>
    <n v="131203120"/>
    <s v="2-WAY MOBILE RADIO INSTALL AND PURC"/>
    <s v="2-WAY MOBILE RADIO INSTALL AND PURCHASE"/>
    <s v="12/2023"/>
    <n v="0"/>
    <n v="22876.18"/>
    <n v="9804.8700000000008"/>
    <n v="13071.31"/>
    <x v="8"/>
    <x v="0"/>
  </r>
  <r>
    <s v="General Plant, Common"/>
    <s v="Common (E &amp; G)"/>
    <s v="Tacoma Office/Shop : GPL-TAC"/>
    <n v="24002349"/>
    <s v="C3970 CMN Comm Equip, new"/>
    <n v="143002140"/>
    <s v="SPA Project - Tacoma Business Offic"/>
    <s v="SPA Project - Tacoma Business Office - C"/>
    <s v="12/2023"/>
    <n v="0"/>
    <n v="26995.57"/>
    <n v="11570.460000000001"/>
    <n v="15425.11"/>
    <x v="8"/>
    <x v="0"/>
  </r>
  <r>
    <s v="General Plant, Common"/>
    <s v="Common (E &amp; G)"/>
    <s v="Commeq - Bremerton:   COM-BRE"/>
    <n v="24002354"/>
    <s v="C3970 CMN Comm Equip, new"/>
    <n v="143002142"/>
    <s v="SPA Project - Bremerton Substation "/>
    <s v="SPA Project - Bremerton Substation - CMM"/>
    <s v="12/2023"/>
    <n v="0"/>
    <n v="42959.13"/>
    <n v="18412.54"/>
    <n v="24546.59"/>
    <x v="8"/>
    <x v="0"/>
  </r>
  <r>
    <s v="General Plant, Common"/>
    <s v="Common (E &amp; G)"/>
    <s v="Olympia Service Center : GPL-VOL"/>
    <n v="24002359"/>
    <s v="C3970 CMN Comm Equip, new"/>
    <n v="143002143"/>
    <s v="SPA Project - Olympia Service Cente"/>
    <s v="SPA Project - Olympia Service Center - C"/>
    <s v="12/2023"/>
    <n v="0"/>
    <n v="17704.46"/>
    <n v="7588.24"/>
    <n v="10116.219999999999"/>
    <x v="8"/>
    <x v="1"/>
  </r>
  <r>
    <s v="General Plant, Common"/>
    <s v="Common (E &amp; G)"/>
    <s v="Kitsap Svc Center : GPL-KTP"/>
    <n v="24002364"/>
    <s v="C3970 CMN Comm Equip, new"/>
    <n v="143002144"/>
    <s v="SPA Project - Kitsap Service Center"/>
    <s v="SPA Project - Kitsap Service Center - CM"/>
    <s v="12/2023"/>
    <n v="0"/>
    <n v="55061.279999999999"/>
    <n v="23599.600000000002"/>
    <n v="31461.68"/>
    <x v="8"/>
    <x v="1"/>
  </r>
  <r>
    <s v="General Plant, Common"/>
    <s v="Common (E &amp; G)"/>
    <s v="Fib Opt - Kitsap Service Center : COM-KITS"/>
    <n v="24038059"/>
    <s v="C3970 CMN Comm Equip, new"/>
    <n v="143002141"/>
    <s v="SPA PROJECT - KITSAP SERVICE CENTER"/>
    <s v="SPA PROJECT - KITSAP SERVICE CENTER - FI"/>
    <s v="12/2023"/>
    <n v="0"/>
    <n v="50329.74"/>
    <n v="21571.63"/>
    <n v="28758.11"/>
    <x v="8"/>
    <x v="1"/>
  </r>
  <r>
    <s v="General Plant, Common"/>
    <s v="Common (E &amp; G)"/>
    <s v="Fib Opt - Kitsap Service Center : COM-KITS"/>
    <n v="24038064"/>
    <s v="C3970 CMN Comm Equip, new"/>
    <n v="143002141"/>
    <s v="SPA PROJECT - KITSAP SERVICE CENTER"/>
    <s v="SPA PROJECT - KITSAP SERVICE CENTER - FI"/>
    <s v="12/2023"/>
    <n v="0"/>
    <n v="14379.91"/>
    <n v="6163.32"/>
    <n v="8216.59"/>
    <x v="8"/>
    <x v="1"/>
  </r>
  <r>
    <s v="General Plant, Common"/>
    <s v="Common (E &amp; G)"/>
    <s v="Fib Opt - Kitsap Service Center : COM-KITS"/>
    <n v="24038067"/>
    <s v="C3970 CMN Comm Equip, new"/>
    <n v="143002141"/>
    <s v="SPA PROJECT - KITSAP SERVICE CENTER"/>
    <s v="SPA PROJECT - KITSAP SERVICE CENTER - FI"/>
    <s v="12/2023"/>
    <n v="0"/>
    <n v="7189.95"/>
    <n v="3081.66"/>
    <n v="4108.29"/>
    <x v="8"/>
    <x v="1"/>
  </r>
  <r>
    <s v="General Plant, Common"/>
    <s v="Common (E &amp; G)"/>
    <s v="Commeq - ESO: COM-ESO"/>
    <n v="24765708"/>
    <s v="C3970 CMN Comm Equip, new"/>
    <n v="143002223"/>
    <s v="DIGI TERMINAL SERVERS - HW.IP.3"/>
    <s v="DIGI TERMINAL SERVERS - HW.IP.3"/>
    <s v="12/2023"/>
    <n v="0"/>
    <n v="2684.58"/>
    <n v="1150.6300000000001"/>
    <n v="1533.95"/>
    <x v="8"/>
    <x v="0"/>
  </r>
  <r>
    <s v="General Plant, Common"/>
    <s v="Common (E &amp; G)"/>
    <s v="General Plant, King County outside RTA District, WA : GPL-0000 WA01700000"/>
    <n v="36884406"/>
    <s v="C3970 CMN Comm Equip, new"/>
    <n v="143002197"/>
    <s v="PURCHASE L&amp;G NETWORK EQUIPMENT"/>
    <s v="PURCHASE L&amp;G NETWORK EQUIPMENT"/>
    <s v="12/2023"/>
    <n v="0"/>
    <n v="3992945.7199999997"/>
    <n v="1711400.53"/>
    <n v="2281545.19"/>
    <x v="8"/>
    <x v="0"/>
  </r>
  <r>
    <s v="General Plant, Common"/>
    <s v="Common (E &amp; G)"/>
    <s v="Commeq - Rattlesnake Mtn Site : COM-RAT"/>
    <n v="24621480"/>
    <s v="C3970 CMN Comm Equip, new"/>
    <n v="143002243"/>
    <s v="RSC-COM FIAL INSTALLATION &amp; UPGRADE"/>
    <s v="RSC-COM FIAL INSTALLATION &amp; UPGRADE"/>
    <s v="12/2023"/>
    <n v="2"/>
    <n v="109802.68000000001"/>
    <n v="41283.270000000004"/>
    <n v="68519.41"/>
    <x v="8"/>
    <x v="0"/>
  </r>
  <r>
    <s v="General Plant, Common"/>
    <s v="Common (E &amp; G)"/>
    <s v="Commeq - ESO: COM-ESO"/>
    <n v="24669471"/>
    <s v="C3970 CMN Comm Equip, new"/>
    <n v="141002435"/>
    <s v="ENHANCED TELEMETRY AT ESO AND BUCC"/>
    <s v="ENHANCED TELEMETRY AT ESO AND BUCC"/>
    <s v="12/2023"/>
    <n v="5"/>
    <n v="403828.35000000003"/>
    <n v="151830.14000000001"/>
    <n v="251998.21"/>
    <x v="8"/>
    <x v="0"/>
  </r>
  <r>
    <s v="General Plant, Common"/>
    <s v="Common (E &amp; G)"/>
    <s v="Commeq - Electron : COM-ELE"/>
    <n v="24765686"/>
    <s v="C3970 CMN Comm Equip, new"/>
    <n v="143001750"/>
    <s v="ELECTRON - RADIO ANTENNA ENHANCEMEN"/>
    <s v="ELECTRON - RADIO ANTENNA ENHANCEMENTS AT"/>
    <s v="12/2023"/>
    <n v="0"/>
    <n v="13180.59"/>
    <n v="4955.6000000000004"/>
    <n v="8224.99"/>
    <x v="8"/>
    <x v="0"/>
  </r>
  <r>
    <s v="General Plant, Common"/>
    <s v="Common (E &amp; G)"/>
    <s v="Commeq - Cougar Mtn : GPL-CMT"/>
    <n v="24765701"/>
    <s v="C3970 CMN Comm Equip, new"/>
    <n v="143002125"/>
    <s v="COUGAR MT - MICROWAVE RADIO - CMM"/>
    <s v="COUGAR MT - MICROWAVE RADIO - CMM"/>
    <s v="12/2023"/>
    <n v="3"/>
    <n v="179628.86000000002"/>
    <n v="67536.31"/>
    <n v="112092.55"/>
    <x v="8"/>
    <x v="0"/>
  </r>
  <r>
    <s v="General Plant, Common"/>
    <s v="Common (E &amp; G)"/>
    <s v="Commeq - Mt Baldi : COM-BAL"/>
    <n v="24882919"/>
    <s v="C3970 CMN Comm Equip, new"/>
    <n v="143002124"/>
    <s v="BALDI MT COMM - MICROWAVE RADIO - C"/>
    <s v="BALDI MT COMM - MICROWAVE RADIO - CMM"/>
    <s v="12/2023"/>
    <n v="2"/>
    <n v="62480.480000000003"/>
    <n v="23491.22"/>
    <n v="38989.26"/>
    <x v="8"/>
    <x v="0"/>
  </r>
  <r>
    <s v="General Plant, Common"/>
    <s v="Common (E &amp; G)"/>
    <s v="Commeq - Stampede : COM-SMP"/>
    <n v="24882924"/>
    <s v="C3970 CMN Comm Equip, new"/>
    <n v="143002128"/>
    <s v="STAMPEDE - MICROWAVE RADIO -CMM"/>
    <s v="STAMPEDE - MICROWAVE RADIO -CMM"/>
    <s v="12/2023"/>
    <n v="2"/>
    <n v="57621.35"/>
    <n v="21664.3"/>
    <n v="35957.050000000003"/>
    <x v="8"/>
    <x v="0"/>
  </r>
  <r>
    <s v="General Plant, Common"/>
    <s v="Common (E &amp; G)"/>
    <s v="General Plant, Washington State : GPL-0000 WA00000000"/>
    <n v="25226625"/>
    <s v="C3970 CMN Comm Equip, new"/>
    <n v="143002236"/>
    <s v="L&amp;G CONTRACT SERVICES IN OCT. 2015"/>
    <s v="L&amp;G CONTRACT SERVICES IN OCT. 2015"/>
    <s v="12/2023"/>
    <n v="1"/>
    <n v="65628.17"/>
    <n v="24674.68"/>
    <n v="40953.49"/>
    <x v="8"/>
    <x v="1"/>
  </r>
  <r>
    <s v="General Plant, Common"/>
    <s v="Common (E &amp; G)"/>
    <s v="Commeq - Talbot Hill  : COM-TAL"/>
    <n v="25459721"/>
    <s v="C3970 CMN Comm Equip, new"/>
    <n v="143001737"/>
    <s v="TALBOT - RADIO ANTENNA ENHANCEMENTS"/>
    <s v="TALBOT - RADIO ANTENNA ENHANCEMENTS AT M"/>
    <s v="12/2023"/>
    <n v="1"/>
    <n v="18389.600000000002"/>
    <n v="6914.07"/>
    <n v="11475.53"/>
    <x v="8"/>
    <x v="0"/>
  </r>
  <r>
    <s v="General Plant, Common"/>
    <s v="Common (E &amp; G)"/>
    <s v="Rochester Substation : SUB-ROC"/>
    <n v="27568819"/>
    <s v="C3970 CMN Comm Equip, new"/>
    <n v="143001760"/>
    <s v="ROCHESTER NEW RADIO SITE"/>
    <s v="ROCHESTER NEW RADIO SITE"/>
    <s v="12/2023"/>
    <n v="0"/>
    <n v="69465.59"/>
    <n v="26117.46"/>
    <n v="43348.13"/>
    <x v="8"/>
    <x v="4"/>
  </r>
  <r>
    <s v="General Plant, Common"/>
    <s v="Common (E &amp; G)"/>
    <s v="Commeq - Kent Fleet: COM-KENT"/>
    <n v="27792284"/>
    <s v="C3970 CMN Comm Equip, new"/>
    <n v="143002343"/>
    <s v="FLT-SVC FIAL INSTALLATION AND UPGRA"/>
    <s v="FLT-SVC FIAL INSTALLATION AND UPGRADE"/>
    <s v="12/2023"/>
    <n v="1"/>
    <n v="9557.9600000000009"/>
    <n v="3593.57"/>
    <n v="5964.39"/>
    <x v="8"/>
    <x v="0"/>
  </r>
  <r>
    <s v="General Plant, Common"/>
    <s v="Common (E &amp; G)"/>
    <s v="Commeq - Puyallup SVC Ctr : COM-VPU"/>
    <n v="27792289"/>
    <s v="C3970 CMN Comm Equip, new"/>
    <n v="143002344"/>
    <s v="PUY-SVC FIAL INSTALLATION &amp; UPGRADE"/>
    <s v="PUY-SVC FIAL INSTALLATION &amp; UPGRADE"/>
    <s v="12/2023"/>
    <n v="1"/>
    <n v="7579.18"/>
    <n v="2849.6"/>
    <n v="4729.58"/>
    <x v="8"/>
    <x v="1"/>
  </r>
  <r>
    <s v="General Plant, Common"/>
    <s v="Common (E &amp; G)"/>
    <s v="Commeq - Tacoma : COM-TACOMA"/>
    <n v="27792294"/>
    <s v="C3970 CMN Comm Equip, new"/>
    <n v="143002346"/>
    <s v="TPB-OFC FIAL INSTALLATION &amp; UPGRADE"/>
    <s v="TPB-OFC FIAL INSTALLATION &amp; UPGRADE"/>
    <s v="12/2023"/>
    <n v="1"/>
    <n v="13440.36"/>
    <n v="5053.2700000000004"/>
    <n v="8387.09"/>
    <x v="8"/>
    <x v="0"/>
  </r>
  <r>
    <s v="General Plant, Common"/>
    <s v="Common (E &amp; G)"/>
    <s v="Commeq - Poulsbo SVC : COM-POU"/>
    <n v="27792299"/>
    <s v="C3970 CMN Comm Equip, new"/>
    <n v="143002354"/>
    <s v="POU-SVC FIAL INSTALLATION &amp; UPGRADE"/>
    <s v="POU-SVC FIAL INSTALLATION &amp; UPGRADE"/>
    <s v="12/2023"/>
    <n v="1"/>
    <n v="8042.6500000000005"/>
    <n v="3023.85"/>
    <n v="5018.8"/>
    <x v="8"/>
    <x v="1"/>
  </r>
  <r>
    <s v="General Plant, Common"/>
    <s v="Common (E &amp; G)"/>
    <s v="Commeq - Olympia : GPL-OLM"/>
    <n v="27792304"/>
    <s v="C3970 CMN Comm Equip, new"/>
    <n v="143002355"/>
    <s v="OLY-OFC FIAL INSTALLATION &amp; UPGRADE"/>
    <s v="OLY-OFC FIAL INSTALLATION &amp; UPGRADE"/>
    <s v="12/2023"/>
    <n v="1"/>
    <n v="13851.48"/>
    <n v="5207.84"/>
    <n v="8643.64"/>
    <x v="8"/>
    <x v="1"/>
  </r>
  <r>
    <s v="General Plant, Common"/>
    <s v="Common (E &amp; G)"/>
    <s v="Commeq - Bremerton:   COM-BRE"/>
    <n v="27792309"/>
    <s v="C3970 CMN Comm Equip, new"/>
    <n v="143002356"/>
    <s v="BRC-COM FIAL INSTALLATION &amp; UPGRADE"/>
    <s v="BRC-COM FIAL INSTALLATION &amp; UPGRADE"/>
    <s v="12/2023"/>
    <n v="1"/>
    <n v="8984.59"/>
    <n v="3378"/>
    <n v="5606.59"/>
    <x v="8"/>
    <x v="0"/>
  </r>
  <r>
    <s v="General Plant, Common"/>
    <s v="Common (E &amp; G)"/>
    <s v="Commeq - Bellingham:  COM-BHM"/>
    <n v="27792314"/>
    <s v="C3970 CMN Comm Equip, new"/>
    <n v="143002357"/>
    <s v="BHM-OFC FIAL INSTALLATION &amp; UPGRADE"/>
    <s v="BHM-OFC FIAL INSTALLATION &amp; UPGRADE"/>
    <s v="12/2023"/>
    <n v="1"/>
    <n v="10059.540000000001"/>
    <n v="3782.15"/>
    <n v="6277.39"/>
    <x v="8"/>
    <x v="0"/>
  </r>
  <r>
    <s v="General Plant, Common"/>
    <s v="Common (E &amp; G)"/>
    <s v="North King Svc Cntr (Redmond): GPL-NOK"/>
    <n v="27906308"/>
    <s v="C3970 CMN Comm Equip, new"/>
    <n v="143002026"/>
    <s v="NOK-SVC TO ESO-COM MW RADIO UPGRADE"/>
    <s v="NOK-SVC TO ESO-COM MW RADIO UPGRADE"/>
    <s v="12/2023"/>
    <n v="1"/>
    <n v="9534.84"/>
    <n v="3584.88"/>
    <n v="5949.96"/>
    <x v="8"/>
    <x v="1"/>
  </r>
  <r>
    <s v="General Plant, Common"/>
    <s v="Common (E &amp; G)"/>
    <s v="Commeq - Snoqualmie Microwave : COM-SNO"/>
    <n v="27906321"/>
    <s v="C3970 CMN Comm Equip, new"/>
    <n v="143002123"/>
    <s v="SNOQUALMIE OPS - Microwave Radio - "/>
    <s v="SNOQUALMIE OPS - Microwave Radio - CMM"/>
    <s v="12/2023"/>
    <n v="1"/>
    <n v="53225.05"/>
    <n v="20011.39"/>
    <n v="33213.660000000003"/>
    <x v="8"/>
    <x v="0"/>
  </r>
  <r>
    <s v="General Plant, Common"/>
    <s v="Common (E &amp; G)"/>
    <s v="Commeq - Marysville : COM-MYV"/>
    <n v="27906326"/>
    <s v="C3970 CMN Comm Equip, new"/>
    <n v="143002126"/>
    <s v="MARYSVILLE COMM - Microwave Radio -"/>
    <s v="MARYSVILLE COMM - Microwave Radio - CMM"/>
    <s v="12/2023"/>
    <n v="1"/>
    <n v="92631.400000000009"/>
    <n v="34827.270000000004"/>
    <n v="57804.130000000005"/>
    <x v="8"/>
    <x v="0"/>
  </r>
  <r>
    <s v="General Plant, Common"/>
    <s v="Common (E &amp; G)"/>
    <s v="Commeq - Mt Erie (Leased) : COM-MTE"/>
    <n v="27906331"/>
    <s v="C3970 CMN Comm Equip, new"/>
    <n v="143002127"/>
    <s v="MT. ERIE - Microwave Radio - CMM"/>
    <s v="MT. ERIE - Microwave Radio - CMM"/>
    <s v="12/2023"/>
    <n v="2"/>
    <n v="85340.27"/>
    <n v="32085.97"/>
    <n v="53254.3"/>
    <x v="8"/>
    <x v="0"/>
  </r>
  <r>
    <s v="General Plant, Common"/>
    <s v="Common (E &amp; G)"/>
    <s v="General Plant, King County outside RTA District, WA : GPL-0000 WA01700000"/>
    <n v="27906336"/>
    <s v="C3970 CMN Comm Equip, new"/>
    <n v="143002157"/>
    <s v="2015 KING COUNTY COMM ROOMS REFRESH"/>
    <s v="2015 KING COUNTY COMM ROOMS REFRESH AND"/>
    <s v="12/2023"/>
    <n v="14"/>
    <n v="116127.36"/>
    <n v="43661.21"/>
    <n v="72466.150000000009"/>
    <x v="8"/>
    <x v="0"/>
  </r>
  <r>
    <s v="General Plant, Common"/>
    <s v="Common (E &amp; G)"/>
    <s v="General Plant, Kitsap County, WA : GPL-0000 WA01800000"/>
    <n v="27906341"/>
    <s v="C3970 CMN Comm Equip, new"/>
    <n v="143002158"/>
    <s v="2015 KITSAP COUNTY COMM ROOMS REFRE"/>
    <s v="2015 KITSAP COUNTY COMM ROOMS REFRESH AN"/>
    <s v="12/2023"/>
    <n v="1"/>
    <n v="19872.93"/>
    <n v="7471.76"/>
    <n v="12401.17"/>
    <x v="8"/>
    <x v="0"/>
  </r>
  <r>
    <s v="General Plant, Common"/>
    <s v="Common (E &amp; G)"/>
    <s v="General Plant, Kittitas County, WA : GPL-0000 WA01900000"/>
    <n v="27906346"/>
    <s v="C3970 CMN Comm Equip, new"/>
    <n v="143002159"/>
    <s v="2015 KITTITAS COUNTY COMM ROOMS REF"/>
    <s v="2015 KITTITAS COUNTY COMM ROOMS REFRESH"/>
    <s v="12/2023"/>
    <n v="1"/>
    <n v="6619.4000000000005"/>
    <n v="2488.7400000000002"/>
    <n v="4130.66"/>
    <x v="8"/>
    <x v="0"/>
  </r>
  <r>
    <s v="General Plant, Common"/>
    <s v="Common (E &amp; G)"/>
    <s v="General Plant, Lewis County, WA : GPL-0000 WA02100000"/>
    <n v="27906351"/>
    <s v="C3970 CMN Comm Equip, new"/>
    <n v="143002160"/>
    <s v="2015 LEWIS COUNTY COMM ROOMS REFRES"/>
    <s v="2015 LEWIS COUNTY COMM ROOMS REFRESH AND"/>
    <s v="12/2023"/>
    <n v="1"/>
    <n v="4105.41"/>
    <n v="1543.54"/>
    <n v="2561.87"/>
    <x v="8"/>
    <x v="0"/>
  </r>
  <r>
    <s v="General Plant, Common"/>
    <s v="Common (E &amp; G)"/>
    <s v="General Plant, Pierce County outside RTA District, WA : GPL-0000 WA02700000"/>
    <n v="27906356"/>
    <s v="C3970 CMN Comm Equip, new"/>
    <n v="143002161"/>
    <s v="2015 PIERCE COUNTY COMM ROOMS REFRE"/>
    <s v="2015 PIERCE COUNTY COMM ROOMS REFRESH AN"/>
    <s v="12/2023"/>
    <n v="1"/>
    <n v="42000.73"/>
    <n v="15791.31"/>
    <n v="26209.420000000002"/>
    <x v="8"/>
    <x v="0"/>
  </r>
  <r>
    <s v="General Plant, Common"/>
    <s v="Common (E &amp; G)"/>
    <s v="General Plant, Skagit County, WA : GPL-0000 WA02900000"/>
    <n v="27906361"/>
    <s v="C3970 CMN Comm Equip, new"/>
    <n v="143002162"/>
    <s v="2015 SKAGIT COUNTY COMM ROOMS REFRE"/>
    <s v="2015 SKAGIT COUNTY COMM ROOMS REFRESH AN"/>
    <s v="12/2023"/>
    <n v="1"/>
    <n v="8246.7900000000009"/>
    <n v="3100.6"/>
    <n v="5146.1900000000005"/>
    <x v="8"/>
    <x v="0"/>
  </r>
  <r>
    <s v="General Plant, Common"/>
    <s v="Common (E &amp; G)"/>
    <s v="General Plant, Snohomish County outside RTA Dst, WA : GPL-0000 WA03100000"/>
    <n v="27906366"/>
    <s v="C3970 CMN Comm Equip, new"/>
    <n v="143002163"/>
    <s v="2015 SNOHOMISH COUNTY COMM ROOMS RE"/>
    <s v="2015 SNOHOMISH COUNTY COMM ROOMS REFRESH"/>
    <s v="12/2023"/>
    <n v="1"/>
    <n v="25081.040000000001"/>
    <n v="9429.89"/>
    <n v="15651.15"/>
    <x v="8"/>
    <x v="0"/>
  </r>
  <r>
    <s v="General Plant, Common"/>
    <s v="Common (E &amp; G)"/>
    <s v="General Plant, Whatcom County, WA : GPL-0000 WA03700000"/>
    <n v="27906371"/>
    <s v="C3970 CMN Comm Equip, new"/>
    <n v="143002165"/>
    <s v="2015 WHATCOM COUNTY COMM ROOMS REFR"/>
    <s v="2015 WHATCOM COUNTY COMM ROOMS REFRESH A"/>
    <s v="12/2023"/>
    <n v="1"/>
    <n v="6781.76"/>
    <n v="2549.79"/>
    <n v="4231.97"/>
    <x v="8"/>
    <x v="0"/>
  </r>
  <r>
    <s v="General Plant, Common"/>
    <s v="Common (E &amp; G)"/>
    <s v="Kitsap Svc Center : GPL-KTP"/>
    <n v="27906376"/>
    <s v="C3970 CMN Comm Equip, new"/>
    <n v="143002190"/>
    <s v="KITSAP SERVICE (KSP-SVC) IMS RTU UP"/>
    <s v="KITSAP SERVICE (KSP-SVC) IMS RTU UPGRADE"/>
    <s v="12/2023"/>
    <n v="1"/>
    <n v="9675.52"/>
    <n v="3637.77"/>
    <n v="6037.75"/>
    <x v="8"/>
    <x v="1"/>
  </r>
  <r>
    <s v="General Plant, Common"/>
    <s v="Common (E &amp; G)"/>
    <s v="Commeq - Index:  COM-IND"/>
    <n v="27906381"/>
    <s v="C3970 CMN Comm Equip, new"/>
    <n v="143002202"/>
    <s v="IND-COM ANTENNA POWER METER"/>
    <s v="IND-COM ANTENNA POWER METER"/>
    <s v="12/2023"/>
    <n v="1"/>
    <n v="5038.5200000000004"/>
    <n v="1894.3700000000001"/>
    <n v="3144.15"/>
    <x v="8"/>
    <x v="0"/>
  </r>
  <r>
    <s v="General Plant, Common"/>
    <s v="Common (E &amp; G)"/>
    <s v="Commeq - Buckhorn Hill:  COM: BUCK"/>
    <n v="27906386"/>
    <s v="C3970 CMN Comm Equip, new"/>
    <n v="143002203"/>
    <s v="BHI-COM LEWIS COUNTY ANTENNA POWER "/>
    <s v="BHI-COM LEWIS COUNTY ANTENNA POWER METER"/>
    <s v="12/2023"/>
    <n v="1"/>
    <n v="1592.2"/>
    <n v="598.63"/>
    <n v="993.57"/>
    <x v="8"/>
    <x v="0"/>
  </r>
  <r>
    <s v="General Plant, Common"/>
    <s v="Common (E &amp; G)"/>
    <s v="Whidbey Service Center : GPL-VWH"/>
    <n v="27906391"/>
    <s v="C3970 CMN Comm Equip, new"/>
    <n v="143002204"/>
    <s v="ISLA COUNTY WHB-SVC ANTENNA POWER M"/>
    <s v="ISLA COUNTY WHB-SVC ANTENNA POWER METER"/>
    <s v="12/2023"/>
    <n v="1"/>
    <n v="3546.52"/>
    <n v="1333.41"/>
    <n v="2213.11"/>
    <x v="8"/>
    <x v="1"/>
  </r>
  <r>
    <s v="General Plant, Common"/>
    <s v="Common (E &amp; G)"/>
    <s v="General Plant, Thurston County, WA : GPL-0000 WA03400000"/>
    <n v="27906396"/>
    <s v="C3970 CMN Comm Equip, new"/>
    <n v="143002205"/>
    <s v="THURSTON COUNTY ANTENNA POWER METER"/>
    <s v="THURSTON COUNTY ANTENNA POWER METER"/>
    <s v="12/2023"/>
    <n v="3"/>
    <n v="8720.5400000000009"/>
    <n v="3278.7200000000003"/>
    <n v="5441.82"/>
    <x v="8"/>
    <x v="0"/>
  </r>
  <r>
    <s v="General Plant, Common"/>
    <s v="Common (E &amp; G)"/>
    <s v="Commeq - Green Mountain : COM-GRN"/>
    <n v="27906399"/>
    <s v="C3970 CMN Comm Equip, new"/>
    <n v="143002206"/>
    <s v="KITSAP COUNTY ANTENNA POWER METER  "/>
    <s v="KITSAP COUNTY ANTENNA POWER METER"/>
    <s v="12/2023"/>
    <n v="2"/>
    <n v="16831.63"/>
    <n v="6328.3"/>
    <n v="10503.33"/>
    <x v="8"/>
    <x v="0"/>
  </r>
  <r>
    <s v="General Plant, Common"/>
    <s v="Common (E &amp; G)"/>
    <s v="Commeq - Port Orchard : COM-PTOR"/>
    <n v="27906402"/>
    <s v="C3970 CMN Comm Equip, new"/>
    <n v="143002206"/>
    <s v="KITSAP COUNTY ANTENNA POWER METER  "/>
    <s v="KITSAP COUNTY ANTENNA POWER METER"/>
    <s v="12/2023"/>
    <n v="1"/>
    <n v="2751.7400000000002"/>
    <n v="1034.5899999999999"/>
    <n v="1717.15"/>
    <x v="8"/>
    <x v="0"/>
  </r>
  <r>
    <s v="General Plant, Common"/>
    <s v="Common (E &amp; G)"/>
    <s v="Commeq - Lookout Mtn East : COM-LOT"/>
    <n v="27906405"/>
    <s v="C3970 CMN Comm Equip, new"/>
    <n v="143002207"/>
    <s v="KITTITAS COUNTY ANTENNA POWER METER"/>
    <s v="KITTITAS COUNTY ANTENNA POWER METER"/>
    <s v="12/2023"/>
    <n v="2"/>
    <n v="20090.13"/>
    <n v="7553.43"/>
    <n v="12536.7"/>
    <x v="8"/>
    <x v="0"/>
  </r>
  <r>
    <s v="General Plant, Common"/>
    <s v="Common (E &amp; G)"/>
    <s v="Commeq - Mt Blyn : GPL-MTB"/>
    <n v="27906412"/>
    <s v="C3970 CMN Comm Equip, new"/>
    <n v="143002218"/>
    <s v="BLN-COM ANTENNA POWER METER        "/>
    <s v="BLN-COM ANTENNA POWER METER"/>
    <s v="12/2023"/>
    <n v="2"/>
    <n v="18076.27"/>
    <n v="6796.26"/>
    <n v="11280.01"/>
    <x v="8"/>
    <x v="0"/>
  </r>
  <r>
    <s v="General Plant, Common"/>
    <s v="Common (E &amp; G)"/>
    <s v="Tacoma Office/Shop : GPL-TAC"/>
    <n v="27906415"/>
    <s v="C3970 CMN Comm Equip, new"/>
    <n v="143002220"/>
    <s v="PIERCE COUNTY ANTENNA POWER METER"/>
    <s v="PIERCE COUNTY ANTENNA POWER METER"/>
    <s v="12/2023"/>
    <n v="1"/>
    <n v="2197.69"/>
    <n v="826.28"/>
    <n v="1371.41"/>
    <x v="8"/>
    <x v="0"/>
  </r>
  <r>
    <s v="General Plant, Common"/>
    <s v="Common (E &amp; G)"/>
    <s v="Commeq - Lake Cavanugh:  COM-LCAV"/>
    <n v="27906420"/>
    <s v="C3970 CMN Comm Equip, new"/>
    <n v="143002221"/>
    <s v="SKAGIT COUNTY ANTENNA POWER METER"/>
    <s v="SKAGIT COUNTY ANTENNA POWER METER"/>
    <s v="12/2023"/>
    <n v="1"/>
    <n v="7801.92"/>
    <n v="2933.34"/>
    <n v="4868.58"/>
    <x v="8"/>
    <x v="0"/>
  </r>
  <r>
    <s v="General Plant, Common"/>
    <s v="Common (E &amp; G)"/>
    <s v="Fleet Service Facility : GPL-VFL"/>
    <n v="27906425"/>
    <s v="C3970 CMN Comm Equip, new"/>
    <n v="143002222"/>
    <s v="KING COUNTY ANTENNA POWER METER    "/>
    <s v="KING COUNTY ANTENNA POWER METER"/>
    <s v="12/2023"/>
    <n v="1"/>
    <n v="2907.3"/>
    <n v="1093.08"/>
    <n v="1814.22"/>
    <x v="8"/>
    <x v="1"/>
  </r>
  <r>
    <s v="General Plant, Common"/>
    <s v="Common (E &amp; G)"/>
    <s v="Commeq - Norway Hill : COM-NHL"/>
    <n v="27906434"/>
    <s v="C3970 CMN Comm Equip, new"/>
    <n v="143002222"/>
    <s v="KING COUNTY ANTENNA POWER METER    "/>
    <s v="KING COUNTY ANTENNA POWER METER"/>
    <s v="12/2023"/>
    <n v="1"/>
    <n v="3149.57"/>
    <n v="1184.17"/>
    <n v="1965.4"/>
    <x v="8"/>
    <x v="0"/>
  </r>
  <r>
    <s v="General Plant, Common"/>
    <s v="Common (E &amp; G)"/>
    <s v="Commeq - Seattle Community College: COM-SCC"/>
    <n v="27906437"/>
    <s v="C3970 CMN Comm Equip, new"/>
    <n v="143002222"/>
    <s v="KING COUNTY ANTENNA POWER METER    "/>
    <s v="KING COUNTY ANTENNA POWER METER"/>
    <s v="12/2023"/>
    <n v="1"/>
    <n v="3149.57"/>
    <n v="1184.17"/>
    <n v="1965.4"/>
    <x v="8"/>
    <x v="0"/>
  </r>
  <r>
    <s v="General Plant, Common"/>
    <s v="Common (E &amp; G)"/>
    <s v="Commeq - Crystal Mountain: COM-CRY"/>
    <n v="27906440"/>
    <s v="C3970 CMN Comm Equip, new"/>
    <n v="143002222"/>
    <s v="KING COUNTY ANTENNA POWER METER    "/>
    <s v="KING COUNTY ANTENNA POWER METER"/>
    <s v="12/2023"/>
    <n v="1"/>
    <n v="2907.3"/>
    <n v="1093.08"/>
    <n v="1814.22"/>
    <x v="8"/>
    <x v="0"/>
  </r>
  <r>
    <s v="General Plant, Common"/>
    <s v="Common (E &amp; G)"/>
    <s v="Commeq - Redmond West : COM-RDW"/>
    <n v="27906443"/>
    <s v="C3970 CMN Comm Equip, new"/>
    <n v="143002222"/>
    <s v="KING COUNTY ANTENNA POWER METER    "/>
    <s v="KING COUNTY ANTENNA POWER METER"/>
    <s v="12/2023"/>
    <n v="1"/>
    <n v="3149.57"/>
    <n v="1184.17"/>
    <n v="1965.4"/>
    <x v="8"/>
    <x v="0"/>
  </r>
  <r>
    <s v="General Plant, Common"/>
    <s v="Common (E &amp; G)"/>
    <s v="Commeq - Linville Ridge:  COM-LIN"/>
    <n v="27906446"/>
    <s v="C3970 CMN Comm Equip, new"/>
    <n v="143002225"/>
    <s v="GARFIELD COUNTY ANTENNA POWER METER"/>
    <s v="GARFIELD COUNTY ANTENNA POWER METER"/>
    <s v="12/2023"/>
    <n v="1"/>
    <n v="3087.65"/>
    <n v="1160.8900000000001"/>
    <n v="1926.76"/>
    <x v="8"/>
    <x v="0"/>
  </r>
  <r>
    <s v="General Plant, Common"/>
    <s v="Common (E &amp; G)"/>
    <s v="Commeq - Lower Snake River : COM-LSR"/>
    <n v="27906449"/>
    <s v="C3970 CMN Comm Equip, new"/>
    <n v="143002225"/>
    <s v="GARFIELD COUNTY ANTENNA POWER METER"/>
    <s v="GARFIELD COUNTY ANTENNA POWER METER"/>
    <s v="12/2023"/>
    <n v="1"/>
    <n v="3087.7200000000003"/>
    <n v="1160.9100000000001"/>
    <n v="1926.81"/>
    <x v="8"/>
    <x v="0"/>
  </r>
  <r>
    <s v="General Plant, Common"/>
    <s v="Common (E &amp; G)"/>
    <s v="Commeq - Glacier : COM-GLA"/>
    <n v="27906452"/>
    <s v="C3970 CMN Comm Equip, new"/>
    <n v="143002226"/>
    <s v="WHATCOM COUNTY ANTENNA POWER METER"/>
    <s v="WHATCOM COUNTY ANTENNA POWER METER"/>
    <s v="12/2023"/>
    <n v="1"/>
    <n v="14088.87"/>
    <n v="5297.09"/>
    <n v="8791.7800000000007"/>
    <x v="8"/>
    <x v="0"/>
  </r>
  <r>
    <s v="General Plant, Common"/>
    <s v="Common (E &amp; G)"/>
    <s v="North Operating Base : GPL-NOB"/>
    <n v="27906472"/>
    <s v="C3970 CMN Comm Equip, new"/>
    <n v="143002263"/>
    <s v="NOB - OPS BANDWIDTH UPGRADE"/>
    <s v="NOB - OPS BANDWIDTH UPGRADE"/>
    <s v="12/2023"/>
    <n v="1"/>
    <n v="12863.93"/>
    <n v="4836.54"/>
    <n v="8027.39"/>
    <x v="8"/>
    <x v="0"/>
  </r>
  <r>
    <s v="General Plant, Common"/>
    <s v="Common (E &amp; G)"/>
    <s v="Anacortes Business Ofc(Leased) : GPL-ANC"/>
    <n v="27906488"/>
    <s v="C3970 CMN Comm Equip, new"/>
    <n v="143002331"/>
    <s v="L&amp;G CONTRACT SERVICES-ANACORTES TOP"/>
    <s v="L&amp;G CONTRACT SERVICES-ANACORTES TOP"/>
    <s v="12/2023"/>
    <n v="1"/>
    <n v="41798.660000000003"/>
    <n v="15715.33"/>
    <n v="26083.33"/>
    <x v="8"/>
    <x v="0"/>
  </r>
  <r>
    <s v="General Plant, Common"/>
    <s v="Common (E &amp; G)"/>
    <s v="Commeq - Microsoft Scada Equp : COM-MCS"/>
    <n v="27906493"/>
    <s v="C3970 CMN Comm Equip, new"/>
    <n v="143002428"/>
    <s v="MICROSOFT LP FIXUP"/>
    <s v="MICROSOFT LP FIXUP"/>
    <s v="12/2023"/>
    <n v="1"/>
    <n v="3417.7400000000002"/>
    <n v="1284.99"/>
    <n v="2132.75"/>
    <x v="8"/>
    <x v="0"/>
  </r>
  <r>
    <s v="General Plant, Common"/>
    <s v="Common (E &amp; G)"/>
    <s v="General Plant, Whatcom County, WA : GPL-0000 WA03700000"/>
    <n v="28148128"/>
    <s v="C3970 CMN Comm Equip, new"/>
    <n v="143002326"/>
    <s v="BPA CUSTER TO PORTAL WAY FIBER INST"/>
    <s v="BPA CUSTER TO PORTAL WAY FIBER INSTALLAT"/>
    <s v="12/2023"/>
    <n v="1"/>
    <n v="48478.74"/>
    <n v="18226.89"/>
    <n v="30251.850000000002"/>
    <x v="8"/>
    <x v="0"/>
  </r>
  <r>
    <s v="General Plant, Common"/>
    <s v="Common (E &amp; G)"/>
    <s v="General Plant, Whatcom County, WA : GPL-0000 WA03700000"/>
    <n v="28148131"/>
    <s v="C3970 CMN Comm Equip, new"/>
    <n v="143002326"/>
    <s v="BPA CUSTER TO PORTAL WAY FIBER INST"/>
    <s v="BPA CUSTER TO PORTAL WAY FIBER INSTALLAT"/>
    <s v="12/2023"/>
    <n v="1"/>
    <n v="13851.09"/>
    <n v="5207.6900000000005"/>
    <n v="8643.4"/>
    <x v="8"/>
    <x v="0"/>
  </r>
  <r>
    <s v="General Plant, Common"/>
    <s v="Common (E &amp; G)"/>
    <s v="General Plant, Whatcom County, WA : GPL-0000 WA03700000"/>
    <n v="28148134"/>
    <s v="C3970 CMN Comm Equip, new"/>
    <n v="143002326"/>
    <s v="BPA CUSTER TO PORTAL WAY FIBER INST"/>
    <s v="BPA CUSTER TO PORTAL WAY FIBER INSTALLAT"/>
    <s v="12/2023"/>
    <n v="1"/>
    <n v="6925.54"/>
    <n v="2603.84"/>
    <n v="4321.7"/>
    <x v="8"/>
    <x v="0"/>
  </r>
  <r>
    <s v="General Plant, Common"/>
    <s v="Common (E &amp; G)"/>
    <s v="Pse East Ofc Bldg (Leased) 110Th Ave Ne : GPL-PSEE"/>
    <n v="28163992"/>
    <s v="C3970 CMN Comm Equip, new"/>
    <n v="141002435"/>
    <s v="ENHANCED TELEMETRY AT ESO AND BUCC"/>
    <s v="ENHANCED TELEMETRY AT ESO AND BUCC"/>
    <s v="12/2023"/>
    <n v="2"/>
    <n v="37604.11"/>
    <n v="14138.28"/>
    <n v="23465.83"/>
    <x v="8"/>
    <x v="0"/>
  </r>
  <r>
    <s v="General Plant, Common"/>
    <s v="Common (E &amp; G)"/>
    <s v="Lincoln Executive Center I - Bellevue : GPL-LEC"/>
    <n v="28381633"/>
    <s v="C3970 CMN Comm Equip, new"/>
    <n v="143002211"/>
    <s v="LEC-OFC BANDWIDTH UPGRADE"/>
    <s v="LEC-OFC BANDWIDTH UPGRADE"/>
    <s v="12/2023"/>
    <n v="1"/>
    <n v="33466.660000000003"/>
    <n v="12582.69"/>
    <n v="20883.97"/>
    <x v="8"/>
    <x v="0"/>
  </r>
  <r>
    <s v="General Plant, Common"/>
    <s v="Common (E &amp; G)"/>
    <s v="S King Svc Complex (PSE) : GPL-SOK"/>
    <n v="28676588"/>
    <s v="C3970 CMN Comm Equip, new"/>
    <n v="143002345"/>
    <s v="SKC-SVC FIAL INSTALLATION &amp; UPGRADE"/>
    <s v="SKC-SVC FIAL INSTALLATION &amp; UPGRADE"/>
    <s v="12/2023"/>
    <n v="1"/>
    <n v="12608.76"/>
    <n v="4740.6000000000004"/>
    <n v="7868.16"/>
    <x v="8"/>
    <x v="1"/>
  </r>
  <r>
    <s v="General Plant, Common"/>
    <s v="Common (E &amp; G)"/>
    <s v="Kittitas Svc Cntr : GPL-VKT"/>
    <n v="28676597"/>
    <s v="C3970 CMN Comm Equip, new"/>
    <n v="143002382"/>
    <s v="KIT-SVC FIAL INSTATLLATION &amp; UPGRAD"/>
    <s v="KIT-SVC FIAL INSTATLLATION &amp; UPGRADE"/>
    <s v="12/2023"/>
    <n v="2"/>
    <n v="35145.01"/>
    <n v="13213.710000000001"/>
    <n v="21931.3"/>
    <x v="8"/>
    <x v="1"/>
  </r>
  <r>
    <s v="General Plant, Common"/>
    <s v="Common (E &amp; G)"/>
    <s v="General Plant, Redmond, WA : GPL-0000 WA11700240"/>
    <n v="28993132"/>
    <s v="C3970 CMN Comm Equip, new"/>
    <n v="143002216"/>
    <s v="DNX DS3 AND POWER MODULE UPGRADE   "/>
    <s v="DNX DS3 AND POWER MODULE UPGRADE"/>
    <s v="12/2023"/>
    <n v="6"/>
    <n v="91290.66"/>
    <n v="34323.18"/>
    <n v="56967.48"/>
    <x v="8"/>
    <x v="0"/>
  </r>
  <r>
    <s v="General Plant, Common"/>
    <s v="Common (E &amp; G)"/>
    <s v="General Plant, King County Unincorporated within RTA District, WA : GPL-0000 WA11700990"/>
    <n v="28993139"/>
    <s v="C3970 CMN Comm Equip, new"/>
    <n v="143002527"/>
    <s v="9999E999 AMI NETWORK DEPLOYMENT -RE"/>
    <s v="9999E999 AMI NETWORK DEPLOYMENT -REDMOND"/>
    <s v="12/2023"/>
    <n v="159"/>
    <n v="2675427.7599999998"/>
    <n v="1005899.09"/>
    <n v="1669528.67"/>
    <x v="8"/>
    <x v="0"/>
  </r>
  <r>
    <s v="General Plant, Common"/>
    <s v="Common (E &amp; G)"/>
    <s v="General Plant, Bellevue, WA : GPL-0000 WA11700040"/>
    <n v="28993144"/>
    <s v="C3970 CMN Comm Equip, new"/>
    <n v="143002513"/>
    <s v="LINCOLN SQUARE EXP. - LANDIS+GYR SE"/>
    <s v="LINCOLN SQUARE EXP. - LANDIS+GYR SERIES"/>
    <s v="12/2023"/>
    <n v="1"/>
    <n v="2958.86"/>
    <n v="1112.46"/>
    <n v="1846.4"/>
    <x v="8"/>
    <x v="0"/>
  </r>
  <r>
    <s v="General Plant, Common"/>
    <s v="Common (E &amp; G)"/>
    <s v="Bellingham Svc Cntr : GPL-VBE"/>
    <n v="29058530"/>
    <s v="C3970 CMN Comm Equip, new"/>
    <n v="143002353"/>
    <s v="BSC-SVC FIAL INSTALALTION &amp; UPGRADE"/>
    <s v="BSC-SVC FIAL INSTALALTION &amp; UPGRADE"/>
    <s v="12/2023"/>
    <n v="1"/>
    <n v="28897.13"/>
    <n v="10864.65"/>
    <n v="18032.48"/>
    <x v="8"/>
    <x v="1"/>
  </r>
  <r>
    <s v="General Plant, Common"/>
    <s v="Common (E &amp; G)"/>
    <s v="Bothell Data Center (leased) : GPL-BOTA2"/>
    <n v="31048906"/>
    <s v="C3970 CMN Comm Equip, new"/>
    <n v="141002962"/>
    <s v="DAP-100 SERVER"/>
    <s v="DAP-100 SERVER"/>
    <s v="12/2023"/>
    <n v="1"/>
    <n v="36885.599999999999"/>
    <n v="13868.130000000001"/>
    <n v="23017.47"/>
    <x v="8"/>
    <x v="1"/>
  </r>
  <r>
    <s v="General Plant, Common"/>
    <s v="Common (E &amp; G)"/>
    <s v="Commeq - Bellevue Office: COM-BELO"/>
    <n v="35868115"/>
    <s v="C3970 CMN Comm Equip, new"/>
    <n v="143002306"/>
    <s v="TAL-SUB TO CMT-COM MW REPLACEMENT  "/>
    <s v="TAL-SUB TO CMT-COM MW REPLACEMENT"/>
    <s v="12/2023"/>
    <n v="1"/>
    <n v="39117.96"/>
    <n v="14707.45"/>
    <n v="24410.510000000002"/>
    <x v="8"/>
    <x v="0"/>
  </r>
  <r>
    <s v="General Plant, Common"/>
    <s v="Common (E &amp; G)"/>
    <s v="Commeq - Redmond West : COM-RDW"/>
    <n v="29627803"/>
    <s v="C3970 CMN Comm Equip, new"/>
    <n v="143002149"/>
    <s v="NEW RADIO INSTALLS - CMM           "/>
    <s v="NEW RADIO INSTALLS - CMM"/>
    <s v="12/2023"/>
    <n v="1"/>
    <n v="201237.32"/>
    <n v="65957.05"/>
    <n v="135280.26999999999"/>
    <x v="8"/>
    <x v="0"/>
  </r>
  <r>
    <s v="General Plant, Common"/>
    <s v="Common (E &amp; G)"/>
    <s v="Olympia Business Office : GPL-OLA"/>
    <n v="29876718"/>
    <s v="C3970 CMN Comm Equip, new"/>
    <n v="143002325"/>
    <s v="VOIP PHONE UPGRADE - OLYMPIA BUSINE"/>
    <s v="VOIP PHONE UPGRADE - OLYMPIA BUSINESS OF"/>
    <s v="12/2023"/>
    <n v="1"/>
    <n v="354558.31"/>
    <n v="116209.16"/>
    <n v="238349.15"/>
    <x v="8"/>
    <x v="0"/>
  </r>
  <r>
    <s v="General Plant, Common"/>
    <s v="Common (E &amp; G)"/>
    <s v="Commeq - Rochester : COM-RNS"/>
    <n v="30203747"/>
    <s v="C3970 CMN Comm Equip, new"/>
    <n v="143002147"/>
    <s v="ROCHESTER MICROWAVE RADIO -CMM     "/>
    <s v="ROCHESTER MICROWAVE RADIO -CMM"/>
    <s v="12/2023"/>
    <n v="1"/>
    <n v="7125.9000000000005"/>
    <n v="2335.5700000000002"/>
    <n v="4790.33"/>
    <x v="8"/>
    <x v="0"/>
  </r>
  <r>
    <s v="General Plant, Common"/>
    <s v="Common (E &amp; G)"/>
    <s v="Commeq - Rattlesnake Mtn Site : COM-RAT"/>
    <n v="30735104"/>
    <s v="C3970 CMN Comm Equip, new"/>
    <n v="143002425"/>
    <s v="RSC-COM ANTENNA REPLACEMENT        "/>
    <s v="RSC-COM ANTENNA REPLACEMENT"/>
    <s v="12/2023"/>
    <n v="1"/>
    <n v="2589.84"/>
    <n v="848.84"/>
    <n v="1741"/>
    <x v="8"/>
    <x v="0"/>
  </r>
  <r>
    <s v="General Plant, Common"/>
    <s v="Common (E &amp; G)"/>
    <s v="General Plant, King County outside RTA District, WA : GPL-0000 WA01700000"/>
    <n v="30860283"/>
    <s v="C3970 CMN Comm Equip, new"/>
    <n v="143002030"/>
    <s v="POR-SUB TO BSC-SVC CWDM UPGRADE    "/>
    <s v="POR-SUB TO BSC-SVC CWDM UPGRADE"/>
    <s v="12/2023"/>
    <n v="4"/>
    <n v="980681.31"/>
    <n v="321425.69"/>
    <n v="659255.62"/>
    <x v="8"/>
    <x v="1"/>
  </r>
  <r>
    <s v="General Plant, Common"/>
    <s v="Common (E &amp; G)"/>
    <s v="Whidbey Service Center : GPL-VWH"/>
    <n v="31152250"/>
    <s v="C3970 CMN Comm Equip, new"/>
    <n v="143002278"/>
    <s v="WHIDBEY SERVICE TO MT. ERIE MW REPL"/>
    <s v="WHIDBEY SERVICE TO MT. ERIE MW REPLACEME"/>
    <s v="12/2023"/>
    <n v="1"/>
    <n v="77749.95"/>
    <n v="25483.13"/>
    <n v="52266.82"/>
    <x v="8"/>
    <x v="1"/>
  </r>
  <r>
    <s v="General Plant, Common"/>
    <s v="Common (E &amp; G)"/>
    <s v="Commeq - Mt Erie (Leased) : COM-MTE"/>
    <n v="31152255"/>
    <s v="C3970 CMN Comm Equip, new"/>
    <n v="143002315"/>
    <s v="MT ERIE TO WHIDBEY SVC MW REPLACEME"/>
    <s v="MT ERIE TO WHIDBEY SVC MW REPLACEMENT"/>
    <s v="12/2023"/>
    <n v="1"/>
    <n v="41478.450000000004"/>
    <n v="13594.87"/>
    <n v="27883.58"/>
    <x v="8"/>
    <x v="0"/>
  </r>
  <r>
    <s v="General Plant, Common"/>
    <s v="Common (E &amp; G)"/>
    <s v="Commeq - Stampede : COM-SMP"/>
    <n v="31152262"/>
    <s v="C3970 CMN Comm Equip, new"/>
    <n v="143002364"/>
    <s v="STAMPEDE COM TO LOOKOUT EAST COM MW"/>
    <s v="STAMPEDE COM TO LOOKOUT EAST COM MW REPL"/>
    <s v="12/2023"/>
    <n v="1"/>
    <n v="67932.73"/>
    <n v="22265.46"/>
    <n v="45667.270000000004"/>
    <x v="8"/>
    <x v="0"/>
  </r>
  <r>
    <s v="General Plant, Common"/>
    <s v="Common (E &amp; G)"/>
    <s v="Commeq - Lookout Mtn East : COM-LOT"/>
    <n v="31152267"/>
    <s v="C3970 CMN Comm Equip, new"/>
    <n v="143002365"/>
    <s v="LOOKOUT EAST COM TO STAMPEDE COM MW"/>
    <s v="LOOKOUT EAST COM TO STAMPEDE COM MW REPL"/>
    <s v="12/2023"/>
    <n v="1"/>
    <n v="60425.74"/>
    <n v="19804.990000000002"/>
    <n v="40620.75"/>
    <x v="8"/>
    <x v="0"/>
  </r>
  <r>
    <s v="General Plant, Common"/>
    <s v="Common (E &amp; G)"/>
    <s v="Commeq - Marysville : COM-MYV"/>
    <n v="31152279"/>
    <s v="C3970 CMN Comm Equip, new"/>
    <n v="143002426"/>
    <s v="MYV-COM MICROWAVE RADOME REPLACEMEN"/>
    <s v="MYV-COM MICROWAVE RADOME REPLACEMENT"/>
    <s v="12/2023"/>
    <n v="1"/>
    <n v="1838.8"/>
    <n v="602.68000000000006"/>
    <n v="1236.1200000000001"/>
    <x v="8"/>
    <x v="0"/>
  </r>
  <r>
    <s v="General Plant, Common"/>
    <s v="Common (E &amp; G)"/>
    <s v="East Side Telecommunication Office : GPL-ESO"/>
    <n v="31152293"/>
    <s v="C3970 CMN Comm Equip, new"/>
    <n v="143002597"/>
    <s v=" SATELLITE PHONE FOR LOAD OFFICE - "/>
    <s v="SATELLITE PHONE FOR LOAD OFFICE - ESO"/>
    <s v="12/2023"/>
    <n v="1"/>
    <n v="4235.7700000000004"/>
    <n v="1388.31"/>
    <n v="2847.46"/>
    <x v="8"/>
    <x v="1"/>
  </r>
  <r>
    <s v="General Plant, Common"/>
    <s v="Common (E &amp; G)"/>
    <s v="S King Svc Complex (PSE) : GPL-SOK"/>
    <n v="31152319"/>
    <s v="C3970 CMN Comm Equip, new"/>
    <n v="143003238"/>
    <s v="SOUTH KING - SERVICE - TELCOM WO2  "/>
    <s v="SOUTH KING - SERVICE - TELCOM WO2"/>
    <s v="12/2023"/>
    <n v="2"/>
    <n v="130217.52"/>
    <n v="42679.770000000004"/>
    <n v="87537.75"/>
    <x v="8"/>
    <x v="1"/>
  </r>
  <r>
    <s v="General Plant, Common"/>
    <s v="Common (E &amp; G)"/>
    <s v="Bothell Data Center (leased) : GPL-BOTA2"/>
    <n v="31559945"/>
    <s v="C3970 CMN Comm Equip, new"/>
    <n v="143001562"/>
    <s v="BOTHELL H TELECOM MASTER CONNECT IM"/>
    <s v="BOTHELL H TELECOM MASTER CONNECT IMPROVE"/>
    <s v="12/2023"/>
    <n v="0"/>
    <n v="191507.42"/>
    <n v="62768"/>
    <n v="128739.42"/>
    <x v="8"/>
    <x v="1"/>
  </r>
  <r>
    <s v="General Plant, Common"/>
    <s v="Common (E &amp; G)"/>
    <s v="Commeq - White River : COM-WRT"/>
    <n v="31559950"/>
    <s v="C3970 CMN Comm Equip, new"/>
    <n v="143001880"/>
    <s v="WHITE RIVER SUB TO BPA CONVINGTON S"/>
    <s v="WHITE RIVER SUB TO BPA CONVINGTON SUBDS3"/>
    <s v="12/2023"/>
    <n v="0"/>
    <n v="43390.65"/>
    <n v="14221.61"/>
    <n v="29169.040000000001"/>
    <x v="8"/>
    <x v="4"/>
  </r>
  <r>
    <s v="General Plant, Common"/>
    <s v="Common (E &amp; G)"/>
    <s v="Pse East Ofc Bldg (Leased) 110Th Ave Ne : GPL-PSEE"/>
    <n v="31559961"/>
    <s v="C3970 CMN Comm Equip, new"/>
    <n v="143002235"/>
    <s v="BELLEVUE EST TELECOM MASTER CONNECT"/>
    <s v="BELLEVUE EST TELECOM MASTER CONNECT"/>
    <s v="12/2023"/>
    <n v="0"/>
    <n v="86288.48"/>
    <n v="28281.7"/>
    <n v="58006.78"/>
    <x v="8"/>
    <x v="0"/>
  </r>
  <r>
    <s v="General Plant, Common"/>
    <s v="Common (E &amp; G)"/>
    <s v="General Plant, King County Unincorporated within RTA District, WA : GPL-0000 WA11700990"/>
    <n v="33169030"/>
    <s v="C3970 CMN Comm Equip, new"/>
    <n v="143002580"/>
    <s v="9999E999 AMI NTWK DEPLOY S2 UNIKCO "/>
    <s v="9999E999 AMI NTWK DEPLOY S2 UNIKCO GB IN"/>
    <s v="12/2023"/>
    <n v="76"/>
    <n v="69460.7"/>
    <n v="22766.27"/>
    <n v="46694.43"/>
    <x v="8"/>
    <x v="0"/>
  </r>
  <r>
    <s v="General Plant, Common"/>
    <s v="Common (E &amp; G)"/>
    <s v="General Plant, Bellevue, WA : GPL-0000 WA11700040"/>
    <n v="33169048"/>
    <s v="C3970 CMN Comm Equip, new"/>
    <n v="143002923"/>
    <s v="ANNUAL SCADA REFRESH               "/>
    <s v="ANNUAL SCADA REFRESH"/>
    <s v="12/2023"/>
    <n v="0"/>
    <n v="52971.19"/>
    <n v="17361.71"/>
    <n v="35609.480000000003"/>
    <x v="8"/>
    <x v="3"/>
  </r>
  <r>
    <s v="General Plant, Common"/>
    <s v="Common (E &amp; G)"/>
    <s v="Commeq - Olympia : GPL-OLM"/>
    <n v="33169053"/>
    <s v="C3970 CMN Comm Equip, new"/>
    <n v="143003228"/>
    <s v="OLYMPIA MICROWAVE RADIO - CMM      "/>
    <s v="OLYMPIA MICROWAVE RADIO - CMM"/>
    <s v="12/2023"/>
    <n v="1"/>
    <n v="23853.29"/>
    <n v="7818.1"/>
    <n v="16035.19"/>
    <x v="8"/>
    <x v="0"/>
  </r>
  <r>
    <s v="General Plant, Common"/>
    <s v="Common (E &amp; G)"/>
    <s v="Redmond West/Willow : GPL-WLW"/>
    <n v="33311000"/>
    <s v="C3970 CMN Comm Equip, new"/>
    <n v="143003004"/>
    <s v="PSE HAM RADIO- CMM- REDMOND WEST"/>
    <s v="PSE HAM RADIO- CMM- REDMOND WEST"/>
    <s v="12/2023"/>
    <n v="0"/>
    <n v="9689.98"/>
    <n v="3175.96"/>
    <n v="6514.02"/>
    <x v="8"/>
    <x v="0"/>
  </r>
  <r>
    <s v="General Plant, Common"/>
    <s v="Common (E &amp; G)"/>
    <s v="Snoqualmie Technology Center: GPL-STC"/>
    <n v="33311007"/>
    <s v="C3970 CMN Comm Equip, new"/>
    <n v="143003063"/>
    <s v="SNOQUALMIE TECHNOLOGY CENTER- CMM"/>
    <s v="SNOQUALMIE TECHNOLOGY CENTER- CMM"/>
    <s v="12/2023"/>
    <n v="0"/>
    <n v="326640.69"/>
    <n v="107058.95"/>
    <n v="219581.74"/>
    <x v="8"/>
    <x v="0"/>
  </r>
  <r>
    <s v="General Plant, Common"/>
    <s v="Common (E &amp; G)"/>
    <s v="Commeq - Bellingham:  COM-BHM"/>
    <n v="34258045"/>
    <s v="C3970 CMN Comm Equip, new"/>
    <n v="143002029"/>
    <s v="BSC-SVC COMMUNICATIONS UPGRADE     "/>
    <s v="BSC-SVC COMMUNICATIONS UPGRADE"/>
    <s v="12/2023"/>
    <n v="0"/>
    <n v="29752.81"/>
    <n v="9751.7100000000009"/>
    <n v="20001.100000000002"/>
    <x v="8"/>
    <x v="1"/>
  </r>
  <r>
    <s v="General Plant, Common"/>
    <s v="Common (E &amp; G)"/>
    <s v="General Plant, Benton County, WA : GPL-0000 WA00300990"/>
    <n v="35640646"/>
    <s v="C3970 CMN Comm Equip, new"/>
    <n v="143003015"/>
    <s v="RATTLESNAKE EAST TO WDK MW RADIO UP"/>
    <s v="RATTLESNAKE EAST TO WDK MW RADIO UPGRADE"/>
    <s v="12/2023"/>
    <n v="0"/>
    <n v="36179.129999999997"/>
    <n v="11857.98"/>
    <n v="24321.15"/>
    <x v="8"/>
    <x v="0"/>
  </r>
  <r>
    <s v="General Plant, Common"/>
    <s v="Common (E &amp; G)"/>
    <s v="Commeq - Mt Baldi : COM-BAL"/>
    <n v="36320095"/>
    <s v="C3970 CMN Comm Equip, new"/>
    <n v="141003039"/>
    <s v="BALDI TO WHITE RIVER MW REPLACEMENT"/>
    <s v="BALDI TO WHITE RIVER MW REPLACEMENT"/>
    <s v="12/2023"/>
    <n v="0"/>
    <n v="45263.28"/>
    <n v="14835.380000000001"/>
    <n v="30427.9"/>
    <x v="8"/>
    <x v="0"/>
  </r>
  <r>
    <s v="General Plant, Common"/>
    <s v="Common (E &amp; G)"/>
    <s v="General Plant, King County outside RTA District, WA : GPL-0000 WA01700000"/>
    <n v="36884641"/>
    <s v="C3970 CMN Comm Equip, new"/>
    <n v="143002030"/>
    <s v="POR-SUB TO BSC-SVC CWDM UPGRADE    "/>
    <s v="POR-SUB TO BSC-SVC CWDM UPGRADE"/>
    <s v="12/2023"/>
    <n v="0"/>
    <n v="989474.16"/>
    <n v="279213.77"/>
    <n v="710260.39"/>
    <x v="8"/>
    <x v="1"/>
  </r>
  <r>
    <s v="General Plant, Common"/>
    <s v="Common (E &amp; G)"/>
    <s v="General Plant, Bellevue, WA : GPL-0000 WA11700040"/>
    <n v="33531617"/>
    <s v="C3970 CMN Comm Equip, new"/>
    <n v="143002922"/>
    <s v="ANNUAL RADIO REFRESH"/>
    <s v="ANNUAL RADIO REFRESH"/>
    <s v="12/2023"/>
    <n v="1"/>
    <n v="221.23000000000002"/>
    <n v="72.510000000000005"/>
    <n v="148.72"/>
    <x v="8"/>
    <x v="0"/>
  </r>
  <r>
    <s v="General Plant, Common"/>
    <s v="Common (E &amp; G)"/>
    <s v="General Plant, King County Unincorporated within RTA District, WA : GPL-0000 WA11700990"/>
    <n v="33550773"/>
    <s v="C3970 CMN Comm Equip, new"/>
    <n v="143003541"/>
    <s v="CMT-COM MICROWAVE RADIO IMPROVEMENT"/>
    <s v="CMT-COM MICROWAVE RADIO IMPROVEMENT"/>
    <s v="12/2023"/>
    <n v="7"/>
    <n v="18760.11"/>
    <n v="6148.77"/>
    <n v="12611.34"/>
    <x v="8"/>
    <x v="0"/>
  </r>
  <r>
    <s v="General Plant, Common"/>
    <s v="Common (E &amp; G)"/>
    <s v="Commeq - Bellevue Office: COM-BELO"/>
    <n v="35070368"/>
    <s v="C3970 CMN Comm Equip, new"/>
    <n v="143003551"/>
    <s v="AMR NETWORK EXPNS PROJECT-CMM-KING "/>
    <s v="AMR NETWORK EXPNS PROJECT-CMM-KING COUNT"/>
    <s v="12/2023"/>
    <n v="0"/>
    <n v="1633.29"/>
    <n v="460.89"/>
    <n v="1172.4000000000001"/>
    <x v="8"/>
    <x v="0"/>
  </r>
  <r>
    <s v="General Plant, Common"/>
    <s v="Common (E &amp; G)"/>
    <s v="Snoqualmie Data Center : GPL-SQE"/>
    <n v="36884928"/>
    <s v="C3970 CMN Comm Equip, new"/>
    <n v="143002625"/>
    <s v="9999E999 AMI NTWK DEPLOY S3 UNIKCO "/>
    <s v="9999E999 AMI NTWK DEPLOY S3 UNIKCO CB IN"/>
    <s v="12/2023"/>
    <n v="0"/>
    <n v="635644.26"/>
    <n v="179368.63"/>
    <n v="456275.63"/>
    <x v="8"/>
    <x v="0"/>
  </r>
  <r>
    <s v="General Plant, Common"/>
    <s v="Common (E &amp; G)"/>
    <s v="Cascade Data Center : GPL-CAS"/>
    <n v="36884937"/>
    <s v="C3970 CMN Comm Equip, new"/>
    <n v="143002625"/>
    <s v="9999E999 AMI NTWK DEPLOY S3 UNIKCO "/>
    <s v="9999E999 AMI NTWK DEPLOY S3 UNIKCO CB IN"/>
    <s v="12/2023"/>
    <n v="0"/>
    <n v="519995.28"/>
    <n v="146734.34"/>
    <n v="373260.94"/>
    <x v="8"/>
    <x v="0"/>
  </r>
  <r>
    <s v="General Plant, Common"/>
    <s v="Common (E &amp; G)"/>
    <s v="General Plant, King County Unincorporated within RTA District, WA : GPL-0000 WA11700990"/>
    <n v="41448656"/>
    <s v="C3970 CMN Comm Equip, new"/>
    <n v="143003545"/>
    <s v="VACATE PSE BLDG - CMM/FIBER - EST B"/>
    <s v="VACATE PSE BLDG - CMM/FIBER - EST BLDG"/>
    <s v="12/2023"/>
    <n v="1"/>
    <n v="418390.74"/>
    <n v="118063.17"/>
    <n v="300327.57"/>
    <x v="8"/>
    <x v="0"/>
  </r>
  <r>
    <s v="General Plant, Common"/>
    <s v="Common (E &amp; G)"/>
    <s v="Factoria Svc Cntr : GPL-VFA"/>
    <n v="41448661"/>
    <s v="C3970 CMN Comm Equip, new"/>
    <n v="143003547"/>
    <s v="VACATE PSE BLDG . CMM/FIBER.FACTORI"/>
    <s v="VACATE PSE BLDG – CMM/FIBER–FACTORIA SVC"/>
    <s v="12/2023"/>
    <n v="0"/>
    <n v="159203.04"/>
    <n v="44924.55"/>
    <n v="114278.49"/>
    <x v="8"/>
    <x v="0"/>
  </r>
  <r>
    <s v="General Plant, Common"/>
    <s v="Common (E &amp; G)"/>
    <s v="Tacoma Office/Shop : GPL-TAC"/>
    <n v="45075960"/>
    <s v="C3970 CMN Comm Equip, new"/>
    <n v="143003546"/>
    <s v="PSE09-MIGRATESERVERS- CMM-TACOMA"/>
    <s v="PSE09-MIGRATESERVERS- CMM-TACOMA"/>
    <s v="12/2023"/>
    <n v="0"/>
    <n v="4075.7400000000002"/>
    <n v="1150.1100000000001"/>
    <n v="2925.63"/>
    <x v="8"/>
    <x v="0"/>
  </r>
  <r>
    <s v="General Plant, Common"/>
    <s v="Common (E &amp; G)"/>
    <s v="General Plant, Kittitas County, WA : GPL-0000 WA01900000"/>
    <n v="45075975"/>
    <s v="C3970 CMN Comm Equip, new"/>
    <n v="143004023"/>
    <s v="ELLENSBURG OFC NETWORK IMPROVEMENT"/>
    <s v="ELLENSBURG OFC NETWORK IMPROVEMENT"/>
    <s v="12/2023"/>
    <n v="0"/>
    <n v="3527.04"/>
    <n v="995.27"/>
    <n v="2531.77"/>
    <x v="8"/>
    <x v="0"/>
  </r>
  <r>
    <s v="General Plant, Common"/>
    <s v="Common (E &amp; G)"/>
    <s v="General Plant, Thurston County, WA : GPL-0000 WA03400000"/>
    <n v="34114844"/>
    <s v="C3970 CMN Comm Equip, new"/>
    <n v="143002721"/>
    <s v="9999E999 AMI NTWK DEPLOY S5 INCORP "/>
    <s v="9999E999 AMI NTWK DEPLOY S5 INCORP THURS"/>
    <s v="12/2023"/>
    <n v="1"/>
    <n v="7469.55"/>
    <n v="2107.79"/>
    <n v="5361.76"/>
    <x v="8"/>
    <x v="0"/>
  </r>
  <r>
    <s v="General Plant, Common"/>
    <s v="Common (E &amp; G)"/>
    <s v="General Plant, King County outside RTA District, WA : GPL-0000 WA01700000"/>
    <n v="34998212"/>
    <s v="C3970 CMN Comm Equip, new"/>
    <n v="143003096"/>
    <s v="2506E044 AMI NTWK 26002 NE 70 ST RE"/>
    <s v="2506E044 AMI NTWK 26002 NE 70 ST REDMOND"/>
    <s v="12/2023"/>
    <n v="1"/>
    <n v="27.26"/>
    <n v="7.69"/>
    <n v="19.57"/>
    <x v="8"/>
    <x v="0"/>
  </r>
  <r>
    <s v="General Plant, Common"/>
    <s v="Common (E &amp; G)"/>
    <s v="General Plant, King County outside RTA District, WA : GPL-0000 WA01700000"/>
    <n v="34998215"/>
    <s v="C3970 CMN Comm Equip, new"/>
    <n v="143003098"/>
    <s v="2607E108 AMI NTWK 11715 338 AVE NE "/>
    <s v="2607E108 AMI NTWK 11715 338 AVE NE CARNA"/>
    <s v="12/2023"/>
    <n v="1"/>
    <n v="-240.6"/>
    <n v="-67.89"/>
    <n v="-172.71"/>
    <x v="8"/>
    <x v="0"/>
  </r>
  <r>
    <s v="General Plant, Common"/>
    <s v="Common (E &amp; G)"/>
    <s v="General Plant, King County Unincorporated within RTA District, WA : GPL-0000 WA11700990"/>
    <n v="34998280"/>
    <s v="C3970 CMN Comm Equip, new"/>
    <n v="143003722"/>
    <s v="2606E105 AMI NTWK 12611 237 WY NE R"/>
    <s v="2606E105 AMI NTWK 12611 237 WY NE REDMND"/>
    <s v="12/2023"/>
    <n v="1"/>
    <n v="27.26"/>
    <n v="7.69"/>
    <n v="19.57"/>
    <x v="8"/>
    <x v="0"/>
  </r>
  <r>
    <s v="General Plant, Common"/>
    <s v="Common (E &amp; G)"/>
    <s v="General Plant, King County Unincorporated within RTA District, WA : GPL-0000 WA11700990"/>
    <n v="34998283"/>
    <s v="C3970 CMN Comm Equip, new"/>
    <n v="143003723"/>
    <s v="2305E104 AMI NTWK 15631 SE FAIRWOOD"/>
    <s v="2305E104 AMI NTWK 15631 SE FAIRWOOD BLVD"/>
    <s v="12/2023"/>
    <n v="1"/>
    <n v="27.02"/>
    <n v="7.62"/>
    <n v="19.400000000000002"/>
    <x v="8"/>
    <x v="0"/>
  </r>
  <r>
    <s v="General Plant, Common"/>
    <s v="Common (E &amp; G)"/>
    <s v="General Plant, King County Unincorporated within RTA District, WA : GPL-0000 WA11700990"/>
    <n v="34998286"/>
    <s v="C3970 CMN Comm Equip, new"/>
    <n v="143003734"/>
    <s v="2205E124 AMI NTWK 4229 R ST NE AUBU"/>
    <s v="2205E124 AMI NTWK 4229 R ST NE AUBURN"/>
    <s v="12/2023"/>
    <n v="1"/>
    <n v="27.02"/>
    <n v="7.62"/>
    <n v="19.400000000000002"/>
    <x v="8"/>
    <x v="0"/>
  </r>
  <r>
    <s v="General Plant, Common"/>
    <s v="Common (E &amp; G)"/>
    <s v="General Plant, Pierce County outside RTA District, WA : GPL-0000 WA02700000"/>
    <n v="34998289"/>
    <s v="C3970 CMN Comm Equip, new"/>
    <n v="143003747"/>
    <s v="1906E088 AMI NTWK 14786 WILKESONSPI"/>
    <s v="1906E088 AMI NTWK 14786 WILKESONSPIKETON"/>
    <s v="12/2023"/>
    <n v="1"/>
    <n v="27.26"/>
    <n v="7.69"/>
    <n v="19.57"/>
    <x v="8"/>
    <x v="0"/>
  </r>
  <r>
    <s v="General Plant, Common"/>
    <s v="Common (E &amp; G)"/>
    <s v="General Plant, Pierce County outside RTA District, WA : GPL-0000 WA02700000"/>
    <n v="34998292"/>
    <s v="C3970 CMN Comm Equip, new"/>
    <n v="143003748"/>
    <s v="1906E108 AMI NTWK 15921 WILKESONSPI"/>
    <s v="1906E108 AMI NTWK 15921 WILKESONSPIKETON"/>
    <s v="12/2023"/>
    <n v="1"/>
    <n v="27.26"/>
    <n v="7.69"/>
    <n v="19.57"/>
    <x v="8"/>
    <x v="0"/>
  </r>
  <r>
    <s v="General Plant, Common"/>
    <s v="Common (E &amp; G)"/>
    <s v="General Plant, King County Unincorporated within RTA District, WA : GPL-0000 WA11700990"/>
    <n v="34998298"/>
    <s v="C3970 CMN Comm Equip, new"/>
    <n v="143003753"/>
    <s v="2204E060 AMI NTWK 23429 51 AVE S KE"/>
    <s v="2204E060 AMI NTWK 23429 51 AVE S KENT"/>
    <s v="12/2023"/>
    <n v="1"/>
    <n v="27.02"/>
    <n v="7.62"/>
    <n v="19.400000000000002"/>
    <x v="8"/>
    <x v="0"/>
  </r>
  <r>
    <s v="General Plant, Common"/>
    <s v="Common (E &amp; G)"/>
    <s v="General Plant, King County Unincorporated within RTA District, WA : GPL-0000 WA11700990"/>
    <n v="34998301"/>
    <s v="C3970 CMN Comm Equip, new"/>
    <n v="143003754"/>
    <s v="2005E024 AMI NTWK 6550 FRANCIS AV S"/>
    <s v="2005E024 AMI NTWK 6550 FRANCIS AV SE AUB"/>
    <s v="12/2023"/>
    <n v="1"/>
    <n v="27.02"/>
    <n v="7.62"/>
    <n v="19.400000000000002"/>
    <x v="8"/>
    <x v="0"/>
  </r>
  <r>
    <s v="General Plant, Common"/>
    <s v="Common (E &amp; G)"/>
    <s v="General Plant, Pierce County outside RTA District, WA : GPL-0000 WA02700000"/>
    <n v="34998304"/>
    <s v="C3970 CMN Comm Equip, new"/>
    <n v="143003818"/>
    <s v="1906E127 AMI NTWK 18914 AP TUBBS RD"/>
    <s v="1906E127 AMI NTWK 18914 AP TUBBS RD CARB"/>
    <s v="12/2023"/>
    <n v="1"/>
    <n v="27.26"/>
    <n v="7.69"/>
    <n v="19.57"/>
    <x v="8"/>
    <x v="0"/>
  </r>
  <r>
    <s v="General Plant, Common"/>
    <s v="Common (E &amp; G)"/>
    <s v="General Plant, King County Unincorporated within RTA District, WA : GPL-0000 WA11700990"/>
    <n v="34998307"/>
    <s v="C3970 CMN Comm Equip, new"/>
    <n v="143003819"/>
    <s v="2103E057 AMI NTWK 5121 SW 326 ST FE"/>
    <s v="2103E057 AMI NTWK 5121 SW 326 ST FED WAY"/>
    <s v="12/2023"/>
    <n v="1"/>
    <n v="27.26"/>
    <n v="7.69"/>
    <n v="19.57"/>
    <x v="8"/>
    <x v="0"/>
  </r>
  <r>
    <s v="General Plant, Common"/>
    <s v="Common (E &amp; G)"/>
    <s v="General Plant, King County outside RTA District, WA : GPL-0000 WA01700000"/>
    <n v="35791424"/>
    <s v="C3970 CMN Comm Equip, new"/>
    <n v="143003101"/>
    <s v="2607104 AMI NTWK 34808 NE MOSS CK W"/>
    <s v="2607104 AMI NTWK 34808 NE MOSS CK WY"/>
    <s v="12/2023"/>
    <n v="1"/>
    <n v="-2.77"/>
    <n v="-0.78"/>
    <n v="-1.99"/>
    <x v="8"/>
    <x v="0"/>
  </r>
  <r>
    <s v="General Plant, Common"/>
    <s v="Common (E &amp; G)"/>
    <s v="General Plant, King County Unincorporated within RTA District, WA : GPL-0000 WA11700990"/>
    <n v="35791430"/>
    <s v="C3970 CMN Comm Equip, new"/>
    <n v="143003110"/>
    <s v="2305E108 AMI NTWK DEPLOY S2 17116 1"/>
    <s v="2305E108 AMI NTWK DEPLOY S2 17116 146TH"/>
    <s v="12/2023"/>
    <n v="1"/>
    <n v="-1005.21"/>
    <n v="-283.65000000000003"/>
    <n v="-721.56000000000006"/>
    <x v="8"/>
    <x v="0"/>
  </r>
  <r>
    <s v="General Plant, Common"/>
    <s v="Common (E &amp; G)"/>
    <s v="General Plant, King County Unincorporated within RTA District, WA : GPL-0000 WA11700990"/>
    <n v="35791528"/>
    <s v="C3970 CMN Comm Equip, new"/>
    <n v="143004063"/>
    <s v="2606E132 AMI NTWK 22686 NE ALDER CR"/>
    <s v="2606E132 AMI NTWK 22686 NE ALDER CRST DR"/>
    <s v="12/2023"/>
    <n v="1"/>
    <n v="27.26"/>
    <n v="7.69"/>
    <n v="19.57"/>
    <x v="8"/>
    <x v="0"/>
  </r>
  <r>
    <s v="General Plant, Common"/>
    <s v="Common (E &amp; G)"/>
    <s v="General Plant, King County Unincorporated within RTA District, WA : GPL-0000 WA11700990"/>
    <n v="35791531"/>
    <s v="C3970 CMN Comm Equip, new"/>
    <n v="143004069"/>
    <s v="2406E051 AMI NTWK 26532 SE OLD BLK "/>
    <s v="2406E051 AMI NTWK 26532 SE OLD BLK NUG"/>
    <s v="12/2023"/>
    <n v="1"/>
    <n v="27.02"/>
    <n v="7.62"/>
    <n v="19.400000000000002"/>
    <x v="8"/>
    <x v="0"/>
  </r>
  <r>
    <s v="General Plant, Common"/>
    <s v="Common (E &amp; G)"/>
    <s v="General Plant, Kittitas County, WA : GPL-0000 WA01900000"/>
    <n v="44357763"/>
    <s v="C3970 CMN Comm Equip, new"/>
    <n v="143003440"/>
    <s v="Cle Elum CMM Telecom Fiber"/>
    <s v="Cle Elum CMM Telecom Fiber"/>
    <s v="12/2023"/>
    <n v="0"/>
    <n v="20947.59"/>
    <n v="4974.8900000000003"/>
    <n v="15972.7"/>
    <x v="8"/>
    <x v="0"/>
  </r>
  <r>
    <s v="General Plant, Common"/>
    <s v="Common (E &amp; G)"/>
    <s v="General Plant, Bellevue, WA : GPL-0000 WA11700040"/>
    <n v="44445672"/>
    <s v="C3970 CMN Comm Equip, new"/>
    <n v="143002417"/>
    <s v="NEW DATA CENTER - CMM"/>
    <s v="NEW DATA CENTER - CMM"/>
    <s v="12/2023"/>
    <n v="0"/>
    <n v="167518.51"/>
    <n v="39784.370000000003"/>
    <n v="127734.14"/>
    <x v="8"/>
    <x v="0"/>
  </r>
  <r>
    <s v="General Plant, Common"/>
    <s v="Common (E &amp; G)"/>
    <s v="General Plant, King County Unincorporated within RTA District, WA : GPL-0000 WA11700990"/>
    <n v="44741040"/>
    <s v="C3970 CMN Comm Equip, new"/>
    <n v="143003887"/>
    <s v="2018-ANNUAL MW REFRESH CMM"/>
    <s v="2018-ANNUAL MW REFRESH CMM"/>
    <s v="12/2023"/>
    <n v="3"/>
    <n v="3275830.95"/>
    <n v="777984.89"/>
    <n v="2497846.06"/>
    <x v="8"/>
    <x v="0"/>
  </r>
  <r>
    <s v="General Plant, Common"/>
    <s v="Common (E &amp; G)"/>
    <s v="Vernell Office: GPL-VER"/>
    <n v="45075954"/>
    <s v="C3970 CMN Comm Equip, new"/>
    <n v="143003543"/>
    <s v="VERNELL IT IMPROVEMENTS - CMM"/>
    <s v="VERNELL IT IMPROVEMENTS - CMM"/>
    <s v="12/2023"/>
    <n v="0"/>
    <n v="114991.39"/>
    <n v="27309.58"/>
    <n v="87681.81"/>
    <x v="8"/>
    <x v="0"/>
  </r>
  <r>
    <s v="General Plant, Common"/>
    <s v="Common (E &amp; G)"/>
    <s v="Kent Business Office (Leased) : GPL-KNO"/>
    <n v="45075966"/>
    <s v="C3970 CMN Comm Equip, new"/>
    <n v="143003548"/>
    <s v="Vacate PSE Bldg -CMM/Fiber.South Ki"/>
    <s v="Vacate PSE Bldg -CMM/Fiber–South King SV"/>
    <s v="12/2023"/>
    <n v="0"/>
    <n v="176780.30000000002"/>
    <n v="41983.97"/>
    <n v="134796.33000000002"/>
    <x v="8"/>
    <x v="0"/>
  </r>
  <r>
    <s v="General Plant, Common"/>
    <s v="Common (E &amp; G)"/>
    <s v="General Plant, Pierce County outside RTA District, WA : GPL-0000 WA02700000"/>
    <n v="49908117"/>
    <s v="C3970 CMN Comm Equip, new"/>
    <n v="143002858"/>
    <s v="9999E999 AMI NTWK DEPLOY UNIC SKAGI"/>
    <s v="9999E999 AMI NTWK DEPLOY UNIC SKAGIT"/>
    <s v="12/2023"/>
    <n v="1"/>
    <n v="99317.02"/>
    <n v="23587.040000000001"/>
    <n v="75729.98"/>
    <x v="8"/>
    <x v="0"/>
  </r>
  <r>
    <s v="General Plant, Common"/>
    <s v="Common (E &amp; G)"/>
    <s v="General Plant, Whatcom County, WA : GPL-0000 WA03700000"/>
    <n v="52234771"/>
    <s v="C3970 CMN Comm Equip, new"/>
    <n v="143003080"/>
    <s v="9999E999 AMI NTWK DEPLOY N4 FERNDAL"/>
    <s v="9999E999 AMI NTWK DEPLOY N4 FERNDALE"/>
    <s v="12/2023"/>
    <n v="0"/>
    <n v="44732.200000000004"/>
    <n v="10623.56"/>
    <n v="34108.639999999999"/>
    <x v="8"/>
    <x v="0"/>
  </r>
  <r>
    <s v="General Plant, Common"/>
    <s v="Common (E &amp; G)"/>
    <s v="General Plant, Skagit County, WA : GPL-0000 WA02900000"/>
    <n v="52235048"/>
    <s v="C3970 CMN Comm Equip, new"/>
    <n v="143004905"/>
    <s v="MTE - MOUNT ERIE 700MHZ_CMM"/>
    <s v="MTE - MOUNT ERIE 700MHZ_CMM"/>
    <s v="12/2023"/>
    <n v="1"/>
    <n v="72698.290000000008"/>
    <n v="17265.29"/>
    <n v="55433"/>
    <x v="8"/>
    <x v="0"/>
  </r>
  <r>
    <s v="General Plant, Common"/>
    <s v="Common (E &amp; G)"/>
    <s v="General Plant, King County outside RTA District, WA : GPL-0000 WA01700000"/>
    <n v="62124092"/>
    <s v="C3970 CMN Comm Equip, new"/>
    <n v="143003100"/>
    <s v="2407E098 AMI NTWK 7110 CASCADE AVE "/>
    <s v="2407E098 AMI NTWK 7110 CASCADE AVE SE SN"/>
    <s v="12/2023"/>
    <n v="2"/>
    <n v="24824.77"/>
    <n v="5895.6900000000005"/>
    <n v="18929.080000000002"/>
    <x v="8"/>
    <x v="0"/>
  </r>
  <r>
    <s v="General Plant, Common"/>
    <s v="Common (E &amp; G)"/>
    <s v="General Plant, Kitsap County, WA : GPL-0000 WA01800000"/>
    <n v="62124109"/>
    <s v="C3970 CMN Comm Equip, new"/>
    <n v="143003763"/>
    <s v="2602E140 AMI NTWK 10520 MORNING LN "/>
    <s v="2602E140 AMI NTWK 10520 MORNING LN BNBRG"/>
    <s v="12/2023"/>
    <n v="1"/>
    <n v="4434.9000000000005"/>
    <n v="1053.25"/>
    <n v="3381.65"/>
    <x v="8"/>
    <x v="0"/>
  </r>
  <r>
    <s v="General Plant, Common"/>
    <s v="Common (E &amp; G)"/>
    <s v="General Plant, King County Unincorporated within RTA District, WA : GPL-0000 WA11700990"/>
    <n v="40348374"/>
    <s v="C3970 CMN Comm Equip, new"/>
    <n v="143004019"/>
    <s v="2406E092 AMI NTWK 2199 31 LN NE ISS"/>
    <s v="2406E092 AMI NTWK 2199 31 LN NE ISSAQ"/>
    <s v="12/2023"/>
    <n v="5"/>
    <n v="15326.52"/>
    <n v="3639.9300000000003"/>
    <n v="11686.59"/>
    <x v="8"/>
    <x v="0"/>
  </r>
  <r>
    <s v="General Plant, Common"/>
    <s v="Common (E &amp; G)"/>
    <s v="General Plant, King County Unincorporated within RTA District, WA : GPL-0000 WA11700990"/>
    <n v="40348377"/>
    <s v="C3970 CMN Comm Equip, new"/>
    <n v="143004060"/>
    <s v="2406E101 AMI NTWK 1466 26 AVE NE IS"/>
    <s v="2406E101 AMI NTWK 1466 26 AVE NE ISSAQ"/>
    <s v="12/2023"/>
    <n v="5"/>
    <n v="14449.03"/>
    <n v="3431.53"/>
    <n v="11017.5"/>
    <x v="8"/>
    <x v="0"/>
  </r>
  <r>
    <s v="General Plant, Common"/>
    <s v="Common (E &amp; G)"/>
    <s v="General Plant, King County Unincorporated within RTA District, WA : GPL-0000 WA11700990"/>
    <n v="40348380"/>
    <s v="C3970 CMN Comm Equip, new"/>
    <n v="143004062"/>
    <s v="2605E099 AMI NTWK 11810 172 AV NE R"/>
    <s v="2605E099 AMI NTWK 11810 172 AV NE REDMND"/>
    <s v="12/2023"/>
    <n v="2"/>
    <n v="15044.09"/>
    <n v="3572.86"/>
    <n v="11471.23"/>
    <x v="8"/>
    <x v="0"/>
  </r>
  <r>
    <s v="General Plant, Common"/>
    <s v="Common (E &amp; G)"/>
    <s v="General Plant, King County Unincorporated within RTA District, WA : GPL-0000 WA11700990"/>
    <n v="40348383"/>
    <s v="C3970 CMN Comm Equip, new"/>
    <n v="143004064"/>
    <s v="2506E010 AMI NTWK 9049 236 AVE NE K"/>
    <s v="2506E010 AMI NTWK 9049 236 AVE NE KC"/>
    <s v="12/2023"/>
    <n v="2"/>
    <n v="14999.02"/>
    <n v="3562.15"/>
    <n v="11436.87"/>
    <x v="8"/>
    <x v="0"/>
  </r>
  <r>
    <s v="General Plant, Common"/>
    <s v="Common (E &amp; G)"/>
    <s v="General Plant, King County Unincorporated within RTA District, WA : GPL-0000 WA11700990"/>
    <n v="40348386"/>
    <s v="C3970 CMN Comm Equip, new"/>
    <n v="143004065"/>
    <s v="2606E087 AMI NTWK 13538 ADAIR CRK W"/>
    <s v="2606E087 AMI NTWK 13538 ADAIR CRK WY NE"/>
    <s v="12/2023"/>
    <n v="2"/>
    <n v="12821.87"/>
    <n v="3045.1"/>
    <n v="9776.77"/>
    <x v="8"/>
    <x v="0"/>
  </r>
  <r>
    <s v="General Plant, Common"/>
    <s v="Common (E &amp; G)"/>
    <s v="General Plant, King County Unincorporated within RTA District, WA : GPL-0000 WA11700990"/>
    <n v="40348389"/>
    <s v="C3970 CMN Comm Equip, new"/>
    <n v="143004066"/>
    <s v="2406E009 AMI NTWK 24032 SE 9 CT SAM"/>
    <s v="2406E009 AMI NTWK 24032 SE 9 CT SAMMAMSH"/>
    <s v="12/2023"/>
    <n v="3"/>
    <n v="15623.9"/>
    <n v="3710.56"/>
    <n v="11913.34"/>
    <x v="8"/>
    <x v="0"/>
  </r>
  <r>
    <s v="General Plant, Common"/>
    <s v="Common (E &amp; G)"/>
    <s v="General Plant, King County outside RTA District, WA : GPL-0000 WA01700000"/>
    <n v="40348392"/>
    <s v="C3970 CMN Comm Equip, new"/>
    <n v="143004067"/>
    <s v="2407E104 AMI NTWK 7226 THOMPSON AVE"/>
    <s v="2407E104 AMI NTWK 7226 THOMPSON AVE SE"/>
    <s v="12/2023"/>
    <n v="4"/>
    <n v="13274.82"/>
    <n v="3152.67"/>
    <n v="10122.15"/>
    <x v="8"/>
    <x v="0"/>
  </r>
  <r>
    <s v="General Plant, Common"/>
    <s v="Common (E &amp; G)"/>
    <s v="General Plant, Kittitas County, WA : GPL-0000 WA01900000"/>
    <n v="44500269"/>
    <s v="C3970 CMN Comm Equip, new"/>
    <n v="143004344"/>
    <s v="CAS DC Telecom Fiber Interconnect"/>
    <s v="CAS DC Telecom Fiber Interconnect"/>
    <s v="12/2023"/>
    <n v="2"/>
    <n v="3976.38"/>
    <n v="944.36"/>
    <n v="3032.02"/>
    <x v="8"/>
    <x v="0"/>
  </r>
  <r>
    <s v="General Plant, Common"/>
    <s v="Common (E &amp; G)"/>
    <s v="General Plant, Whatcom County, WA : GPL-0000 WA03700000"/>
    <n v="44500320"/>
    <s v="C3970 CMN Comm Equip, new"/>
    <n v="143004964"/>
    <s v="SMN-COM SQUALICUM MTN. 700MHZ_CMM"/>
    <s v="SMN-COM SQUALICUM MTN. 700MHZ_CMM"/>
    <s v="12/2023"/>
    <n v="6"/>
    <n v="10833.65"/>
    <n v="2572.91"/>
    <n v="8260.74"/>
    <x v="8"/>
    <x v="0"/>
  </r>
  <r>
    <s v="General Plant, Common"/>
    <s v="Common (E &amp; G)"/>
    <s v="General Plant, Snohomish County outside RTA Dst, WA : GPL-0000 WA03100000"/>
    <n v="44500323"/>
    <s v="C3970 CMN Comm Equip, new"/>
    <n v="143005040"/>
    <s v="2019 VOIP UPGRADES"/>
    <s v="2019 VOIP UPGRADES"/>
    <s v="12/2023"/>
    <n v="4"/>
    <n v="14003.29"/>
    <n v="3325.67"/>
    <n v="10677.62"/>
    <x v="8"/>
    <x v="0"/>
  </r>
  <r>
    <s v="General Plant, Common"/>
    <s v="Common (E &amp; G)"/>
    <s v="General Plant, Kittitas County, WA : GPL-0000 WA01900000"/>
    <n v="44500328"/>
    <s v="C3970 CMN Comm Equip, new"/>
    <n v="143005120"/>
    <s v="2019 VOIP UPGRADES"/>
    <s v="2019 VOIP UPGRADES"/>
    <s v="12/2023"/>
    <n v="2"/>
    <n v="44311.73"/>
    <n v="10523.7"/>
    <n v="33788.03"/>
    <x v="8"/>
    <x v="0"/>
  </r>
  <r>
    <s v="General Plant, Common"/>
    <s v="Common (E &amp; G)"/>
    <s v="General Plant, King County outside RTA District, WA : GPL-0000 WA01700000"/>
    <n v="44500334"/>
    <s v="C3970 CMN Comm Equip, new"/>
    <n v="143005201"/>
    <s v="2019 VoIP upgrades"/>
    <s v="2019 VoIP upgrades"/>
    <s v="12/2023"/>
    <n v="6"/>
    <n v="29564.49"/>
    <n v="7021.34"/>
    <n v="22543.15"/>
    <x v="8"/>
    <x v="0"/>
  </r>
  <r>
    <s v="General Plant, Common"/>
    <s v="Common (E &amp; G)"/>
    <s v="General Plant, King County Unincorporated within RTA District, WA : GPL-0000 WA11700990"/>
    <n v="44892957"/>
    <s v="C3970 CMN Comm Equip, new"/>
    <n v="143001882"/>
    <s v="BPA CONVINGTON SUB TO WRT-SUB AND B"/>
    <s v="BPA CONVINGTON SUB TO WRT-SUB AND BOTH D"/>
    <s v="12/2023"/>
    <n v="0"/>
    <n v="778747.76"/>
    <n v="149456.37"/>
    <n v="629291.39"/>
    <x v="8"/>
    <x v="0"/>
  </r>
  <r>
    <s v="General Plant, Common"/>
    <s v="Common (E &amp; G)"/>
    <s v="General Plant, King County Unincorporated within RTA District, WA : GPL-0000 WA11700990"/>
    <n v="45253745"/>
    <s v="C3970 CMN Comm Equip, new"/>
    <n v="143004024"/>
    <s v="ESO CHANNEL BANK UPDATE"/>
    <s v="ESO CHANNEL BANK UPDATE"/>
    <s v="12/2023"/>
    <n v="1"/>
    <n v="6.82"/>
    <n v="1.31"/>
    <n v="5.51"/>
    <x v="8"/>
    <x v="0"/>
  </r>
  <r>
    <s v="General Plant, Common"/>
    <s v="Common (E &amp; G)"/>
    <s v="General Plant, Pierce County outside RTA District, WA : GPL-0000 WA02700000"/>
    <n v="45253758"/>
    <s v="C3970 CMN Comm Equip, new"/>
    <n v="143004523"/>
    <s v="GPS CLOCK INSTALL FOR PTP AND SYNCH"/>
    <s v="GPS CLOCK INSTALL FOR PTP AND SYNCHE WRT"/>
    <s v="12/2023"/>
    <n v="1"/>
    <n v="23658.28"/>
    <n v="4540.47"/>
    <n v="19117.810000000001"/>
    <x v="8"/>
    <x v="0"/>
  </r>
  <r>
    <s v="General Plant, Common"/>
    <s v="Common (E &amp; G)"/>
    <s v="General Plant, King County Unincorporated within RTA District, WA : GPL-0000 WA11700990"/>
    <n v="45253784"/>
    <s v="C3970 CMN Comm Equip, new"/>
    <n v="143004768"/>
    <s v="2019 TELECOM NJUNS"/>
    <s v="2019 TELECOM NJUNS"/>
    <s v="12/2023"/>
    <n v="1"/>
    <n v="24078.61"/>
    <n v="4621.1400000000003"/>
    <n v="19457.47"/>
    <x v="8"/>
    <x v="0"/>
  </r>
  <r>
    <s v="General Plant, Common"/>
    <s v="Common (E &amp; G)"/>
    <s v="General Plant, King County Unincorporated within RTA District, WA : GPL-0000 WA11700990"/>
    <n v="52234820"/>
    <s v="C3970 CMN Comm Equip, new"/>
    <n v="143003482"/>
    <s v="CELLULAR DEVICE MODIFICATIONS - CMM"/>
    <s v="CELLULAR DEVICE MODIFICATIONS - CMM"/>
    <s v="12/2023"/>
    <n v="0"/>
    <n v="64411.520000000004"/>
    <n v="12361.78"/>
    <n v="52049.74"/>
    <x v="8"/>
    <x v="0"/>
  </r>
  <r>
    <s v="General Plant, Common"/>
    <s v="Common (E &amp; G)"/>
    <s v="General Plant, King County Unincorporated within RTA District, WA : GPL-0000 WA11700990"/>
    <n v="52235041"/>
    <s v="C3970 CMN Comm Equip, new"/>
    <n v="143004822"/>
    <s v="2019 CMM - STORM - FIBER"/>
    <s v="2019 CMM - STORM - FIBER"/>
    <s v="12/2023"/>
    <n v="0"/>
    <n v="62148.630000000005"/>
    <n v="11927.49"/>
    <n v="50221.14"/>
    <x v="8"/>
    <x v="0"/>
  </r>
  <r>
    <s v="General Plant, Common"/>
    <s v="Common (E &amp; G)"/>
    <s v="General Plant, Pierce County outside RTA District, WA : GPL-0000 WA02700000"/>
    <n v="52235053"/>
    <s v="C3970 CMN Comm Equip, new"/>
    <n v="143004934"/>
    <s v="ELC-COM ELECTRON MICROWAVE 700MHZ_C"/>
    <s v="ELC-COM ELECTRON MICROWAVE 700MHZ_CMM"/>
    <s v="12/2023"/>
    <n v="0"/>
    <n v="151070.29"/>
    <n v="28993.23"/>
    <n v="122077.06"/>
    <x v="8"/>
    <x v="0"/>
  </r>
  <r>
    <s v="General Plant, Common"/>
    <s v="Common (E &amp; G)"/>
    <s v="General Plant, Thurston County, WA : GPL-0000 WA03400000"/>
    <n v="52235070"/>
    <s v="C3970 CMN Comm Equip, new"/>
    <n v="143005022"/>
    <s v="OLM-COM OLYMPIA MICROWAVE 700MHZ_CM"/>
    <s v="OLM-COM OLYMPIA MICROWAVE 700MHZ_CMM"/>
    <s v="12/2023"/>
    <n v="81"/>
    <n v="160687.12"/>
    <n v="30838.89"/>
    <n v="129848.23"/>
    <x v="8"/>
    <x v="0"/>
  </r>
  <r>
    <s v="General Plant, Common"/>
    <s v="Common (E &amp; G)"/>
    <s v="General Plant, Columbia County, WA : GPL-0000 WA00700000"/>
    <n v="52235129"/>
    <s v="C3970 CMN Comm Equip, new"/>
    <n v="143005334"/>
    <s v="HPR DC BATTERY AND CHARGER REPLACEM"/>
    <s v="HPR DC BATTERY AND CHARGER REPLACEMENT"/>
    <s v="12/2023"/>
    <n v="0"/>
    <n v="44137.270000000004"/>
    <n v="8470.77"/>
    <n v="35666.5"/>
    <x v="8"/>
    <x v="0"/>
  </r>
  <r>
    <s v="General Plant, Common"/>
    <s v="Common (E &amp; G)"/>
    <s v="General Plant, King County outside RTA District, WA : GPL-0000 WA01700000"/>
    <n v="52235164"/>
    <s v="C3970 CMN Comm Equip, new"/>
    <n v="143005436"/>
    <s v="SNO OPS DC BATTERY REPLACEMENT"/>
    <s v="SNO OPS DC BATTERY REPLACEMENT"/>
    <s v="12/2023"/>
    <n v="0"/>
    <n v="106226.73"/>
    <n v="20386.91"/>
    <n v="85839.82"/>
    <x v="8"/>
    <x v="0"/>
  </r>
  <r>
    <s v="General Plant, Common"/>
    <s v="Common (E &amp; G)"/>
    <s v="General Plant, Garfield County, WA : GPL-0000 WA01200990"/>
    <n v="52235195"/>
    <s v="C3970 CMN Comm Equip, new"/>
    <n v="143005540"/>
    <s v="DJN-SUB DC BATTERY REPLACEMENT"/>
    <s v="DJN-SUB DC BATTERY REPLACEMENT"/>
    <s v="12/2023"/>
    <n v="0"/>
    <n v="40944.5"/>
    <n v="7858.02"/>
    <n v="33086.480000000003"/>
    <x v="8"/>
    <x v="0"/>
  </r>
  <r>
    <s v="General Plant, Common"/>
    <s v="Common (E &amp; G)"/>
    <s v="General Plant, Kittitas County, WA : GPL-0000 WA01900000"/>
    <n v="52235200"/>
    <s v="C3970 CMN Comm Equip, new"/>
    <n v="143005542"/>
    <s v="RENSLOW COM DC BATTERY REPLACEMENT"/>
    <s v="RENSLOW COM DC BATTERY REPLACEMENT"/>
    <s v="12/2023"/>
    <n v="0"/>
    <n v="24599.07"/>
    <n v="4721.0200000000004"/>
    <n v="19878.05"/>
    <x v="8"/>
    <x v="0"/>
  </r>
  <r>
    <s v="General Plant, Common"/>
    <s v="Common (E &amp; G)"/>
    <s v="General Plant, King County Unincorporated within RTA District, WA : GPL-0000 WA11700990"/>
    <n v="57971986"/>
    <s v="C3970 CMN Comm Equip, new"/>
    <n v="143005311"/>
    <s v="FIBER RELOCTE SAM SUB TO AVO SUB"/>
    <s v="FIBER RELOCTE SAM SUB TO AVO SUB"/>
    <s v="12/2023"/>
    <n v="260"/>
    <n v="640871.67000000004"/>
    <n v="122995.35"/>
    <n v="517876.32"/>
    <x v="8"/>
    <x v="0"/>
  </r>
  <r>
    <s v="General Plant, Common"/>
    <s v="Common (E &amp; G)"/>
    <s v="General Plant, Whatcom County, WA : GPL-0000 WA03700000"/>
    <n v="58136538"/>
    <s v="C3970 CMN Comm Equip, new"/>
    <n v="143005665"/>
    <s v="WHG-GEN BATTERY REPLACEMENT"/>
    <s v="WHG-GEN BATTERY REPLACEMENT"/>
    <s v="12/2023"/>
    <n v="0"/>
    <n v="55364.200000000004"/>
    <n v="10625.43"/>
    <n v="44738.770000000004"/>
    <x v="8"/>
    <x v="0"/>
  </r>
  <r>
    <s v="General Plant, Common"/>
    <s v="Common (E &amp; G)"/>
    <s v="General Plant, King County Unincorporated within RTA District, WA : GPL-0000 WA11700990"/>
    <n v="66072352"/>
    <s v="C3970 CMN Comm Equip, new"/>
    <n v="143004981"/>
    <s v="700MHZ SPECTRUM MGMT AND ENGR_CMM"/>
    <s v="Radio Repeater: Design, Mgmt and Commissioning of the 700Mhz System."/>
    <s v="12/2023"/>
    <n v="0"/>
    <n v="926548.34"/>
    <n v="177822.08000000002"/>
    <n v="748726.26"/>
    <x v="8"/>
    <x v="0"/>
  </r>
  <r>
    <s v="General Plant, Common"/>
    <s v="Common (E &amp; G)"/>
    <s v="General Plant, Redmond, WA : GPL-0000 WA11700240"/>
    <n v="45362976"/>
    <s v="C3970 CMN Comm Equip, new"/>
    <n v="143003183"/>
    <s v="HELICOPTER CHANNEL - RADIO BASE STA"/>
    <s v="HELICOPTER CHANNEL - RADIO BASE STATION-"/>
    <s v="12/2023"/>
    <n v="2"/>
    <n v="20651.28"/>
    <n v="3963.37"/>
    <n v="16687.91"/>
    <x v="8"/>
    <x v="0"/>
  </r>
  <r>
    <s v="General Plant, Common"/>
    <s v="Common (E &amp; G)"/>
    <s v="General Plant, King County Unincorporated within RTA District, WA : GPL-0000 WA11700990"/>
    <n v="45821931"/>
    <s v="C3970 CMN Comm Equip, new"/>
    <n v="143004902"/>
    <s v="TAL-SUB TALBOT HILL SUB 700MHZ_CMM"/>
    <s v="TAL-SUB TALBOT HILL SUB 700MHZ_CMM"/>
    <s v="12/2023"/>
    <n v="5"/>
    <n v="32315.86"/>
    <n v="6202.02"/>
    <n v="26113.84"/>
    <x v="8"/>
    <x v="0"/>
  </r>
  <r>
    <s v="General Plant, Common"/>
    <s v="Common (E &amp; G)"/>
    <s v="General Plant, King County Unincorporated within RTA District, WA : GPL-0000 WA11700990"/>
    <n v="45861227"/>
    <s v="C3970 CMN Comm Equip, new"/>
    <n v="143003888"/>
    <s v="2018-ANNUAL RADIO REFRESH CMM"/>
    <s v="2018-ANNUAL RADIO REFRESH CMM"/>
    <s v="12/2023"/>
    <n v="2"/>
    <n v="3348.25"/>
    <n v="642.59"/>
    <n v="2705.66"/>
    <x v="8"/>
    <x v="0"/>
  </r>
  <r>
    <s v="General Plant, Common"/>
    <s v="Common (E &amp; G)"/>
    <s v="General Plant, King County outside RTA District, WA : GPL-0000 WA01700000"/>
    <n v="45861238"/>
    <s v="C3970 CMN Comm Equip, new"/>
    <n v="143004580"/>
    <s v="SNOQUALMIE HP1 RADIO ANTENNA ADDITI"/>
    <s v="SNOQUALMIE HP1 RADIO ANTENNA ADDITION"/>
    <s v="12/2023"/>
    <n v="5"/>
    <n v="4873.57"/>
    <n v="935.33"/>
    <n v="3938.2400000000002"/>
    <x v="8"/>
    <x v="0"/>
  </r>
  <r>
    <s v="General Plant, Common"/>
    <s v="Common (E &amp; G)"/>
    <s v="General Plant, King County Unincorporated within RTA District, WA : GPL-0000 WA11700990"/>
    <n v="45861245"/>
    <s v="C3970 CMN Comm Equip, new"/>
    <n v="143004755"/>
    <s v="2019 TELECOM ANNUAL RF REFRESH"/>
    <s v="2019 TELECOM ANNUAL RF REFRESH"/>
    <s v="12/2023"/>
    <n v="2"/>
    <n v="2094.9299999999998"/>
    <n v="402.06"/>
    <n v="1692.8700000000001"/>
    <x v="8"/>
    <x v="0"/>
  </r>
  <r>
    <s v="General Plant, Common"/>
    <s v="Common (E &amp; G)"/>
    <s v="General Plant, King County outside RTA District, WA : GPL-0000 WA01700000"/>
    <n v="45895469"/>
    <s v="C3970 CMN Comm Equip, new"/>
    <n v="143004588"/>
    <s v="PSE AREAS -BALDI REPEATER CONTROLLE"/>
    <s v="PSE AREAS -BALDI REPEATER CONTROLLERS -"/>
    <s v="12/2023"/>
    <n v="2"/>
    <n v="552.84"/>
    <n v="106.10000000000001"/>
    <n v="446.74"/>
    <x v="8"/>
    <x v="0"/>
  </r>
  <r>
    <s v="General Plant, Common"/>
    <s v="Common (E &amp; G)"/>
    <s v="General Plant, Pierce County outside RTA District, WA : GPL-0000 WA02700000"/>
    <n v="45895472"/>
    <s v="C3970 CMN Comm Equip, new"/>
    <n v="143004589"/>
    <s v="PSE AREAS - ELECTRON REPEATER CONTR"/>
    <s v="PSE AREAS - ELECTRON REPEATER CONTROLLER"/>
    <s v="12/2023"/>
    <n v="2"/>
    <n v="556.41999999999996"/>
    <n v="106.79"/>
    <n v="449.63"/>
    <x v="8"/>
    <x v="0"/>
  </r>
  <r>
    <s v="General Plant, Common"/>
    <s v="Common (E &amp; G)"/>
    <s v="General Plant, Kitsap County, WA : GPL-0000 WA01800000"/>
    <n v="45895475"/>
    <s v="C3970 CMN Comm Equip, new"/>
    <n v="143004590"/>
    <s v="PSE AREAS -GREEN MTN REPEATER CONTR"/>
    <s v="PSE AREAS -GREEN MTN REPEATER CONTROLLER"/>
    <s v="12/2023"/>
    <n v="2"/>
    <n v="554.86"/>
    <n v="106.49000000000001"/>
    <n v="448.37"/>
    <x v="8"/>
    <x v="0"/>
  </r>
  <r>
    <s v="General Plant, Common"/>
    <s v="Common (E &amp; G)"/>
    <s v="General Plant, Pierce County outside RTA District, WA : GPL-0000 WA02700000"/>
    <n v="45895478"/>
    <s v="C3970 CMN Comm Equip, new"/>
    <n v="143004591"/>
    <s v="PSE AREAS -LINVILLE REPEATER CONTRO"/>
    <s v="PSE AREAS -LINVILLE REPEATER CONTROLLERS"/>
    <s v="12/2023"/>
    <n v="2"/>
    <n v="549.31000000000006"/>
    <n v="105.42"/>
    <n v="443.89"/>
    <x v="8"/>
    <x v="0"/>
  </r>
  <r>
    <s v="General Plant, Common"/>
    <s v="Common (E &amp; G)"/>
    <s v="General Plant, King County outside RTA District, WA : GPL-0000 WA01700000"/>
    <n v="45895481"/>
    <s v="C3970 CMN Comm Equip, new"/>
    <n v="143004592"/>
    <s v="PSE AREAS -MT. BLYN REPEATER CONTRO"/>
    <s v="PSE AREAS -MT. BLYN REPEATER CONTROLLERS"/>
    <s v="12/2023"/>
    <n v="2"/>
    <n v="549.31000000000006"/>
    <n v="105.42"/>
    <n v="443.89"/>
    <x v="8"/>
    <x v="0"/>
  </r>
  <r>
    <s v="General Plant, Common"/>
    <s v="Common (E &amp; G)"/>
    <s v="General Plant, Skagit County, WA : GPL-0000 WA02900000"/>
    <n v="45895484"/>
    <s v="C3970 CMN Comm Equip, new"/>
    <n v="143004593"/>
    <s v="PSE AREAS -MT. ERIE REPEATER CONTRO"/>
    <s v="PSE AREAS -MT. ERIE REPEATER CONTROLLERS"/>
    <s v="12/2023"/>
    <n v="2"/>
    <n v="552.36"/>
    <n v="106.01"/>
    <n v="446.35"/>
    <x v="8"/>
    <x v="0"/>
  </r>
  <r>
    <s v="General Plant, Common"/>
    <s v="Common (E &amp; G)"/>
    <s v="General Plant, Thurston County, WA : GPL-0000 WA03400000"/>
    <n v="45895487"/>
    <s v="C3970 CMN Comm Equip, new"/>
    <n v="143004594"/>
    <s v="PSE AREAS -OLYMPIA REPEATER CONTROL"/>
    <s v="PSE AREAS -OLYMPIA REPEATER CONTROLLERS"/>
    <s v="12/2023"/>
    <n v="2"/>
    <n v="554.37"/>
    <n v="106.39"/>
    <n v="447.98"/>
    <x v="8"/>
    <x v="0"/>
  </r>
  <r>
    <s v="General Plant, Common"/>
    <s v="Common (E &amp; G)"/>
    <s v="General Plant, King County outside RTA District, WA : GPL-0000 WA01700000"/>
    <n v="45895490"/>
    <s v="C3970 CMN Comm Equip, new"/>
    <n v="143004595"/>
    <s v="PSE AREAS -RATTLESNAKE REPEATER CON"/>
    <s v="PSE AREAS -RATTLESNAKE REPEATER CONTROLL"/>
    <s v="12/2023"/>
    <n v="2"/>
    <n v="554.37"/>
    <n v="106.39"/>
    <n v="447.98"/>
    <x v="8"/>
    <x v="0"/>
  </r>
  <r>
    <s v="General Plant, Common"/>
    <s v="Common (E &amp; G)"/>
    <s v="General Plant, Kittitas County, WA : GPL-0000 WA01900000"/>
    <n v="45895493"/>
    <s v="C3970 CMN Comm Equip, new"/>
    <n v="143004596"/>
    <s v="PSE AREAS -STAMPEDE REPEATER CONTRO"/>
    <s v="PSE AREAS -STAMPEDE REPEATER CONTROLLERS"/>
    <s v="12/2023"/>
    <n v="2"/>
    <n v="549.81000000000006"/>
    <n v="105.52"/>
    <n v="444.29"/>
    <x v="8"/>
    <x v="0"/>
  </r>
  <r>
    <s v="General Plant, Common"/>
    <s v="Common (E &amp; G)"/>
    <s v="General Plant, Pierce County outside RTA District, WA : GPL-0000 WA02700000"/>
    <n v="45895496"/>
    <s v="C3970 CMN Comm Equip, new"/>
    <n v="143004597"/>
    <s v="PSE AREAS -WHITE RIVER REPEATER CON"/>
    <s v="PSE AREAS -WHITE RIVER REPEATER CONTROLL"/>
    <s v="12/2023"/>
    <n v="2"/>
    <n v="549.31000000000006"/>
    <n v="105.42"/>
    <n v="443.89"/>
    <x v="8"/>
    <x v="0"/>
  </r>
  <r>
    <s v="General Plant, Common"/>
    <s v="Common (E &amp; G)"/>
    <s v="General Plant, Kittitas County, WA : GPL-0000 WA01900000"/>
    <n v="45895499"/>
    <s v="C3970 CMN Comm Equip, new"/>
    <n v="143004598"/>
    <s v="PSE AREAS -WHITE RIVER REPEATER CON"/>
    <s v="PSE AREAS -WHITE RIVER REPEATER CONTROLL"/>
    <s v="12/2023"/>
    <n v="2"/>
    <n v="551.41"/>
    <n v="105.83"/>
    <n v="445.58"/>
    <x v="8"/>
    <x v="0"/>
  </r>
  <r>
    <s v="General Plant, Common"/>
    <s v="Common (E &amp; G)"/>
    <s v="General Plant, Snohomish County outside RTA Dst, WA : GPL-0000 WA03100000"/>
    <n v="46274064"/>
    <s v="C3970 CMN Comm Equip, new"/>
    <n v="143005061"/>
    <s v="EVERETT OPS VOIP UPGRADE - IT FACIL"/>
    <s v="EVERETT OPS VOIP UPGRADE - IT FACILITIES"/>
    <s v="12/2023"/>
    <n v="2"/>
    <n v="10904.26"/>
    <n v="2092.73"/>
    <n v="8811.5300000000007"/>
    <x v="8"/>
    <x v="0"/>
  </r>
  <r>
    <s v="General Plant, Common"/>
    <s v="Common (E &amp; G)"/>
    <s v="General Plant, Snohomish County outside RTA Dst, WA : GPL-0000 WA03100000"/>
    <n v="46594737"/>
    <s v="C3970 CMN Comm Equip, new"/>
    <n v="143004963"/>
    <s v="MYV-COM MARYSVILLE COMM 700MHZ_CMM"/>
    <s v="MYV-COM MARYSVILLE COMM 700MHZ_CMM"/>
    <s v="12/2023"/>
    <n v="2"/>
    <n v="22262.32"/>
    <n v="4272.5600000000004"/>
    <n v="17989.760000000002"/>
    <x v="8"/>
    <x v="0"/>
  </r>
  <r>
    <s v="General Plant, Common"/>
    <s v="Common (E &amp; G)"/>
    <s v="General Plant, Kitsap County, WA : GPL-0000 WA01800000"/>
    <n v="46806082"/>
    <s v="C3970 CMN Comm Equip, new"/>
    <n v="143004521"/>
    <s v="GPS CLOCK INSTALL FOR PTP AND SYNCH"/>
    <s v="GPS CLOCK INSTALL FOR PTP AND SYNCHE GRN"/>
    <s v="12/2023"/>
    <n v="1"/>
    <n v="14045.75"/>
    <n v="2695.64"/>
    <n v="11350.11"/>
    <x v="8"/>
    <x v="0"/>
  </r>
  <r>
    <s v="General Plant, Common"/>
    <s v="Common (E &amp; G)"/>
    <s v="General Plant, Bellevue, WA : GPL-0000 WA11700040"/>
    <n v="47398018"/>
    <s v="C3970 CMN Comm Equip, new"/>
    <n v="143002681"/>
    <s v="WORKPLACE STRATEGY MOBILITY PROOF O"/>
    <s v="WORKPLACE STRATEGY MOBILITY PROOF OF CON"/>
    <s v="12/2023"/>
    <n v="2"/>
    <n v="19661.52"/>
    <n v="3773.42"/>
    <n v="15888.1"/>
    <x v="8"/>
    <x v="0"/>
  </r>
  <r>
    <s v="General Plant, Common"/>
    <s v="Common (E &amp; G)"/>
    <s v="General Plant, Redmond, WA : GPL-0000 WA11700240"/>
    <n v="47398021"/>
    <s v="C3970 CMN Comm Equip, new"/>
    <n v="143002682"/>
    <s v="WORKPLACE STRATEGY MOBILITY PROOF O"/>
    <s v="WORKPLACE STRATEGY MOBILITY PROOF OF CON"/>
    <s v="12/2023"/>
    <n v="2"/>
    <n v="7773.1"/>
    <n v="1491.8"/>
    <n v="6281.3"/>
    <x v="8"/>
    <x v="0"/>
  </r>
  <r>
    <s v="General Plant, Common"/>
    <s v="Common (E &amp; G)"/>
    <s v="General Plant, King County Unincorporated within RTA District, WA : GPL-0000 WA11700990"/>
    <n v="47398031"/>
    <s v="C3970 CMN Comm Equip, new"/>
    <n v="143004599"/>
    <s v="WESTIN TELECOM FIBER-CMM"/>
    <s v="WESTIN TELECOM FIBER-CMM"/>
    <s v="12/2023"/>
    <n v="2"/>
    <n v="18785.510000000002"/>
    <n v="3605.29"/>
    <n v="15180.220000000001"/>
    <x v="8"/>
    <x v="0"/>
  </r>
  <r>
    <s v="General Plant, Common"/>
    <s v="Common (E &amp; G)"/>
    <s v="General Plant, Pierce County outside RTA District, WA : GPL-0000 WA02700000"/>
    <n v="48746597"/>
    <s v="C3970 CMN Comm Equip, new"/>
    <n v="143003583"/>
    <s v="PUYALLUP SVC REBUILD - CMM - NOT RE"/>
    <s v="PUYALLUP SVC REBUILD - CMM - NOT RELATED"/>
    <s v="12/2023"/>
    <n v="15"/>
    <n v="95727.69"/>
    <n v="18371.95"/>
    <n v="77355.740000000005"/>
    <x v="8"/>
    <x v="0"/>
  </r>
  <r>
    <s v="General Plant, Common"/>
    <s v="Common (E &amp; G)"/>
    <s v="General Plant, Pierce County outside RTA District, WA : GPL-0000 WA02700000"/>
    <n v="48746608"/>
    <s v="C3970 CMN Comm Equip, new"/>
    <n v="143004560"/>
    <s v="TODD ROAD FACILITY - IT CMM/FIB"/>
    <s v="TODD ROAD FACILITY - IT CMM/FIB"/>
    <s v="12/2023"/>
    <n v="2"/>
    <n v="16969.09"/>
    <n v="3256.69"/>
    <n v="13712.4"/>
    <x v="8"/>
    <x v="0"/>
  </r>
  <r>
    <s v="General Plant, Common"/>
    <s v="Common (E &amp; G)"/>
    <s v="General Plant, King County Unincorporated within RTA District, WA : GPL-0000 WA11700990"/>
    <n v="48746623"/>
    <s v="C3970 CMN Comm Equip, new"/>
    <n v="143004901"/>
    <s v="NHL-COM NORWAY HILL COMM 700MHZ_CMM"/>
    <s v="NHL-COM NORWAY HILL COMM 700MHZ_CMM"/>
    <s v="12/2023"/>
    <n v="3"/>
    <n v="41176.61"/>
    <n v="7902.5700000000006"/>
    <n v="33274.04"/>
    <x v="8"/>
    <x v="0"/>
  </r>
  <r>
    <s v="General Plant, Common"/>
    <s v="Common (E &amp; G)"/>
    <s v="General Plant, Pierce County outside RTA District, WA : GPL-0000 WA02700000"/>
    <n v="48746630"/>
    <s v="C3970 CMN Comm Equip, new"/>
    <n v="143004933"/>
    <s v="TAC-GAR TACOMA GARAGE 700MHZ_CMM"/>
    <s v="TAC-GAR TACOMA GARAGE 700MHZ_CMM"/>
    <s v="12/2023"/>
    <n v="2"/>
    <n v="42146.93"/>
    <n v="8088.79"/>
    <n v="34058.14"/>
    <x v="8"/>
    <x v="0"/>
  </r>
  <r>
    <s v="General Plant, Common"/>
    <s v="Common (E &amp; G)"/>
    <s v="General Plant, Kitsap County, WA : GPL-0000 WA01800000"/>
    <n v="48746635"/>
    <s v="C3970 CMN Comm Equip, new"/>
    <n v="143004962"/>
    <s v="GRN-COM GREEN MTN. COMM 700MHZ_CMM"/>
    <s v="GRN-COM GREEN MTN. COMM 700MHZ_CMM"/>
    <s v="12/2023"/>
    <n v="2"/>
    <n v="39704.300000000003"/>
    <n v="7620"/>
    <n v="32084.3"/>
    <x v="8"/>
    <x v="0"/>
  </r>
  <r>
    <s v="General Plant, Common"/>
    <s v="Common (E &amp; G)"/>
    <s v="General Plant, Kittitas County, WA : GPL-0000 WA01900000"/>
    <n v="48746638"/>
    <s v="C3970 CMN Comm Equip, new"/>
    <n v="143004965"/>
    <s v="SPD-COM STAMPEDE MICROWAVE 700MHZ_C"/>
    <s v="SPD-COM STAMPEDE MICROWAVE 700MHZ_CMM"/>
    <s v="12/2023"/>
    <n v="5"/>
    <n v="24036.37"/>
    <n v="4613.03"/>
    <n v="19423.34"/>
    <x v="8"/>
    <x v="0"/>
  </r>
  <r>
    <s v="General Plant, Common"/>
    <s v="Common (E &amp; G)"/>
    <s v="General Plant, King County Unincorporated within RTA District, WA : GPL-0000 WA11700990"/>
    <n v="48746641"/>
    <s v="C3970 CMN Comm Equip, new"/>
    <n v="143004966"/>
    <s v="ESO-COM EASTSIDE OPS COMM 700MHZ_CM"/>
    <s v="ESO-COM EASTSIDE OPS COMM 700MHZ_CMM"/>
    <s v="12/2023"/>
    <n v="2"/>
    <n v="46337.43"/>
    <n v="8893.0300000000007"/>
    <n v="37444.400000000001"/>
    <x v="8"/>
    <x v="0"/>
  </r>
  <r>
    <s v="General Plant, Common"/>
    <s v="Common (E &amp; G)"/>
    <s v="General Plant, Kittitas County, WA : GPL-0000 WA01900000"/>
    <n v="48885111"/>
    <s v="C3970 CMN Comm Equip, new"/>
    <n v="143004081"/>
    <s v="RNS-RENSLOW FIBER REPLACEMENT_FIB"/>
    <s v="RNS-RENSLOW FIBER REPLACEMENT_FIB"/>
    <s v="12/2023"/>
    <n v="2"/>
    <n v="41164.660000000003"/>
    <n v="7900.27"/>
    <n v="33264.39"/>
    <x v="8"/>
    <x v="0"/>
  </r>
  <r>
    <s v="General Plant, Common"/>
    <s v="Common (E &amp; G)"/>
    <s v="General Plant, King County outside RTA District, WA : GPL-0000 WA01700000"/>
    <n v="48885114"/>
    <s v="C3970 CMN Comm Equip, new"/>
    <n v="143004563"/>
    <s v="FIBER BUILD SNO TO TAL"/>
    <s v="FIBER BUILD SNO TO TAL"/>
    <s v="12/2023"/>
    <n v="2"/>
    <n v="43108.54"/>
    <n v="8273.34"/>
    <n v="34835.199999999997"/>
    <x v="8"/>
    <x v="0"/>
  </r>
  <r>
    <s v="General Plant, Common"/>
    <s v="Common (E &amp; G)"/>
    <s v="General Plant, Garfield County, WA : GPL-0000 WA01200990"/>
    <n v="48885117"/>
    <s v="C3970 CMN Comm Equip, new"/>
    <n v="143004779"/>
    <s v="POMEROY MICROWAVE RADIO IMPROVEMENT"/>
    <s v="POMEROY MICROWAVE RADIO IMPROVEMENT"/>
    <s v="12/2023"/>
    <n v="2"/>
    <n v="12802.27"/>
    <n v="2457"/>
    <n v="10345.27"/>
    <x v="8"/>
    <x v="0"/>
  </r>
  <r>
    <s v="General Plant, Common"/>
    <s v="Common (E &amp; G)"/>
    <s v="General Plant, Kitsap County, WA : GPL-0000 WA01800000"/>
    <n v="49104457"/>
    <s v="C3970 CMN Comm Equip, new"/>
    <n v="143003963"/>
    <s v="700 MHZ - GRN-COM"/>
    <s v="700 MHZ - GRN-COM"/>
    <s v="12/2023"/>
    <n v="1"/>
    <n v="18688.850000000002"/>
    <n v="3586.7400000000002"/>
    <n v="15102.11"/>
    <x v="8"/>
    <x v="0"/>
  </r>
  <r>
    <s v="General Plant, Common"/>
    <s v="Common (E &amp; G)"/>
    <s v="General Plant, King County outside RTA District, WA : GPL-0000 WA01700000"/>
    <n v="49104460"/>
    <s v="C3970 CMN Comm Equip, new"/>
    <n v="143003964"/>
    <s v="700 MHZ - NHL-COM"/>
    <s v="700 MHZ - NHL-COM"/>
    <s v="12/2023"/>
    <n v="1"/>
    <n v="48.19"/>
    <n v="9.25"/>
    <n v="38.94"/>
    <x v="8"/>
    <x v="0"/>
  </r>
  <r>
    <s v="General Plant, Common"/>
    <s v="Common (E &amp; G)"/>
    <s v="General Plant, King County outside RTA District, WA : GPL-0000 WA01700000"/>
    <n v="49104463"/>
    <s v="C3970 CMN Comm Equip, new"/>
    <n v="143003965"/>
    <s v="700 MHZ - ESO-COM"/>
    <s v="700 MHZ - ESO-COM"/>
    <s v="12/2023"/>
    <n v="1"/>
    <n v="228.77"/>
    <n v="43.910000000000004"/>
    <n v="184.86"/>
    <x v="8"/>
    <x v="0"/>
  </r>
  <r>
    <s v="General Plant, Common"/>
    <s v="Common (E &amp; G)"/>
    <s v="General Plant, King County outside RTA District, WA : GPL-0000 WA01700000"/>
    <n v="49104466"/>
    <s v="C3970 CMN Comm Equip, new"/>
    <n v="143003967"/>
    <s v="700 MHZ - CMT-COM"/>
    <s v="700 MHZ - CMT-COM"/>
    <s v="12/2023"/>
    <n v="1"/>
    <n v="23881.040000000001"/>
    <n v="4583.22"/>
    <n v="19297.82"/>
    <x v="8"/>
    <x v="0"/>
  </r>
  <r>
    <s v="General Plant, Common"/>
    <s v="Common (E &amp; G)"/>
    <s v="General Plant, King County outside RTA District, WA : GPL-0000 WA01700000"/>
    <n v="49104469"/>
    <s v="C3970 CMN Comm Equip, new"/>
    <n v="143003969"/>
    <s v="700 MHZ - RSC-COM"/>
    <s v="700 MHZ - RSC-COM"/>
    <s v="12/2023"/>
    <n v="1"/>
    <n v="17628.72"/>
    <n v="3383.28"/>
    <n v="14245.44"/>
    <x v="8"/>
    <x v="0"/>
  </r>
  <r>
    <s v="General Plant, Common"/>
    <s v="Common (E &amp; G)"/>
    <s v="General Plant, King County outside RTA District, WA : GPL-0000 WA01700000"/>
    <n v="49104472"/>
    <s v="C3970 CMN Comm Equip, new"/>
    <n v="143003970"/>
    <s v="700 MHZ - TAL-SUB"/>
    <s v="700 MHZ - TAL-SUB"/>
    <s v="12/2023"/>
    <n v="1"/>
    <n v="236.06"/>
    <n v="45.300000000000004"/>
    <n v="190.76"/>
    <x v="8"/>
    <x v="0"/>
  </r>
  <r>
    <s v="General Plant, Common"/>
    <s v="Common (E &amp; G)"/>
    <s v="General Plant, Pierce County outside RTA District, WA : GPL-0000 WA02700000"/>
    <n v="49104475"/>
    <s v="C3970 CMN Comm Equip, new"/>
    <n v="143003973"/>
    <s v="700 MHZ - TAC-ANX"/>
    <s v="700 MHZ - TAC-ANX"/>
    <s v="12/2023"/>
    <n v="1"/>
    <n v="236.06"/>
    <n v="45.300000000000004"/>
    <n v="190.76"/>
    <x v="8"/>
    <x v="0"/>
  </r>
  <r>
    <s v="General Plant, Common"/>
    <s v="Common (E &amp; G)"/>
    <s v="General Plant, Kittitas County, WA : GPL-0000 WA01900000"/>
    <n v="49104478"/>
    <s v="C3970 CMN Comm Equip, new"/>
    <n v="143003976"/>
    <s v="700 MHZ - SPD-COM"/>
    <s v="700 MHZ - SPD-COM"/>
    <s v="12/2023"/>
    <n v="1"/>
    <n v="648.45000000000005"/>
    <n v="124.45"/>
    <n v="524"/>
    <x v="8"/>
    <x v="0"/>
  </r>
  <r>
    <s v="General Plant, Common"/>
    <s v="Common (E &amp; G)"/>
    <s v="General Plant, Thurston County, WA : GPL-0000 WA03400000"/>
    <n v="49828480"/>
    <s v="C3970 CMN Comm Equip, new"/>
    <n v="143005666"/>
    <s v="OLM-COM BATTERY REPLACEMENT"/>
    <s v="OLM-COM BATTERY REPLACEMENT"/>
    <s v="12/2023"/>
    <n v="2"/>
    <n v="40294.270000000004"/>
    <n v="7733.2300000000005"/>
    <n v="32561.040000000001"/>
    <x v="8"/>
    <x v="0"/>
  </r>
  <r>
    <s v="General Plant, Common"/>
    <s v="Common (E &amp; G)"/>
    <s v="General Plant, King County Unincorporated within RTA District, WA : GPL-0000 WA11700990"/>
    <n v="49828483"/>
    <s v="C3970 CMN Comm Equip, new"/>
    <n v="143005667"/>
    <s v="NHL-SUB BATTERY REPLACEMENT"/>
    <s v="NHL-SUB BATTERY REPLACEMENT"/>
    <s v="12/2023"/>
    <n v="2"/>
    <n v="36472.239999999998"/>
    <n v="6999.71"/>
    <n v="29472.53"/>
    <x v="8"/>
    <x v="0"/>
  </r>
  <r>
    <s v="General Plant, Common"/>
    <s v="Common (E &amp; G)"/>
    <s v="General Plant, Snohomish County outside RTA Dst, WA : GPL-0000 WA03100000"/>
    <n v="50297703"/>
    <s v="C3970 CMN Comm Equip, new"/>
    <n v="143003961"/>
    <s v="700 MHz - MYV-COM"/>
    <s v="700 MHz - MYV-COM"/>
    <s v="12/2023"/>
    <n v="1"/>
    <n v="21915.63"/>
    <n v="3149.26"/>
    <n v="18766.37"/>
    <x v="8"/>
    <x v="0"/>
  </r>
  <r>
    <s v="General Plant, Common"/>
    <s v="Common (E &amp; G)"/>
    <s v="General Plant, Jefferson County, WA : GPL-0000 WA01600000"/>
    <n v="50297706"/>
    <s v="C3970 CMN Comm Equip, new"/>
    <n v="143003962"/>
    <s v="700 MHz - BLN-COM"/>
    <s v="700 MHz - BLN-COM"/>
    <s v="12/2023"/>
    <n v="1"/>
    <n v="3229.4900000000002"/>
    <n v="464.08"/>
    <n v="2765.41"/>
    <x v="8"/>
    <x v="0"/>
  </r>
  <r>
    <s v="General Plant, Common"/>
    <s v="Common (E &amp; G)"/>
    <s v="General Plant, King County outside RTA District, WA : GPL-0000 WA01700000"/>
    <n v="50297709"/>
    <s v="C3970 CMN Comm Equip, new"/>
    <n v="143003966"/>
    <s v="700 MHZ - SSC-COM"/>
    <s v="700 MHZ - SSC-COM"/>
    <s v="12/2023"/>
    <n v="1"/>
    <n v="4899.88"/>
    <n v="704.11"/>
    <n v="4195.7700000000004"/>
    <x v="8"/>
    <x v="0"/>
  </r>
  <r>
    <s v="General Plant, Common"/>
    <s v="Common (E &amp; G)"/>
    <s v="General Plant, King County outside RTA District, WA : GPL-0000 WA01700000"/>
    <n v="50297715"/>
    <s v="C3970 CMN Comm Equip, new"/>
    <n v="143003972"/>
    <s v="700 MHz - BLD-COM"/>
    <s v="700 MHz - BLD-COM"/>
    <s v="12/2023"/>
    <n v="1"/>
    <n v="20561.080000000002"/>
    <n v="2954.62"/>
    <n v="17606.46"/>
    <x v="8"/>
    <x v="0"/>
  </r>
  <r>
    <s v="General Plant, Common"/>
    <s v="Common (E &amp; G)"/>
    <s v="General Plant, Pierce County outside RTA District, WA : GPL-0000 WA02700000"/>
    <n v="50297718"/>
    <s v="C3970 CMN Comm Equip, new"/>
    <n v="143003974"/>
    <s v="700 MHz - ELC-COM"/>
    <s v="700 MHz - ELC-COM"/>
    <s v="12/2023"/>
    <n v="1"/>
    <n v="860.65"/>
    <n v="123.67"/>
    <n v="736.98"/>
    <x v="8"/>
    <x v="0"/>
  </r>
  <r>
    <s v="General Plant, Common"/>
    <s v="Common (E &amp; G)"/>
    <s v="General Plant, Garfield County, WA : GPL-0000 WA01200990"/>
    <n v="50297721"/>
    <s v="C3970 CMN Comm Equip, new"/>
    <n v="143004778"/>
    <s v="LINVILLE RIDGE MW RADIO IMPROVEMENT"/>
    <s v="LINVILLE RIDGE MW RADIO IMPROVEMENT"/>
    <s v="12/2023"/>
    <n v="2"/>
    <n v="14701.14"/>
    <n v="2112.5500000000002"/>
    <n v="12588.59"/>
    <x v="8"/>
    <x v="0"/>
  </r>
  <r>
    <s v="General Plant, Common"/>
    <s v="Common (E &amp; G)"/>
    <s v="General Plant, Benton County, WA : GPL-0000 WA00300990"/>
    <n v="50297724"/>
    <s v="C3970 CMN Comm Equip, new"/>
    <n v="143004820"/>
    <s v="RTE-COM MW RADIO IMP (RTE-KAH-LIN)"/>
    <s v="RTE-COM MW RADIO IMP (RTE-KAH-LIN)"/>
    <s v="12/2023"/>
    <n v="2"/>
    <n v="2384.75"/>
    <n v="342.69"/>
    <n v="2042.06"/>
    <x v="8"/>
    <x v="0"/>
  </r>
  <r>
    <s v="General Plant, Common"/>
    <s v="Common (E &amp; G)"/>
    <s v="General Plant, King County Unincorporated within RTA District, WA : GPL-0000 WA11700990"/>
    <n v="50297730"/>
    <s v="C3970 CMN Comm Equip, new"/>
    <n v="143005208"/>
    <s v="REDMOND WEST MW RF LAB"/>
    <s v="REDMOND WEST MW RF LAB"/>
    <s v="12/2023"/>
    <n v="12"/>
    <n v="27032.850000000002"/>
    <n v="3884.61"/>
    <n v="23148.240000000002"/>
    <x v="8"/>
    <x v="0"/>
  </r>
  <r>
    <s v="General Plant, Common"/>
    <s v="Common (E &amp; G)"/>
    <s v="General Plant, King County Unincorporated within RTA District, WA : GPL-0000 WA11700990"/>
    <n v="50297736"/>
    <s v="C3970 CMN Comm Equip, new"/>
    <n v="143005308"/>
    <s v="2020 TELECOM ANNUAL SCADA REFRESH"/>
    <s v="2020 TELECOM ANNUAL SCADA REFRESH"/>
    <s v="12/2023"/>
    <n v="2"/>
    <n v="7244.38"/>
    <n v="1041.01"/>
    <n v="6203.37"/>
    <x v="8"/>
    <x v="0"/>
  </r>
  <r>
    <s v="General Plant, Common"/>
    <s v="Common (E &amp; G)"/>
    <s v="General Plant, King County Unincorporated within RTA District, WA : GPL-0000 WA11700990"/>
    <n v="50297739"/>
    <s v="C3970 CMN Comm Equip, new"/>
    <n v="143005309"/>
    <s v="2020 TELECOM ANNUAL EQUIP GROWTH &amp; "/>
    <s v="2020 TELECOM ANNUAL EQUIP GROWTH &amp; TOOL"/>
    <s v="12/2023"/>
    <n v="3"/>
    <n v="36488.300000000003"/>
    <n v="5243.35"/>
    <n v="31244.95"/>
    <x v="8"/>
    <x v="0"/>
  </r>
  <r>
    <s v="General Plant, Common"/>
    <s v="Common (E &amp; G)"/>
    <s v="General Plant, King County Unincorporated within RTA District, WA : GPL-0000 WA11700990"/>
    <n v="50297747"/>
    <s v="C3970 CMN Comm Equip, new"/>
    <n v="143005322"/>
    <s v="2020 FLEET NEW RADIO INSTALLS"/>
    <s v="2020 FLEET NEW RADIO INSTALLS"/>
    <s v="12/2023"/>
    <n v="2"/>
    <n v="1874.55"/>
    <n v="269.37"/>
    <n v="1605.18"/>
    <x v="8"/>
    <x v="0"/>
  </r>
  <r>
    <s v="General Plant, Common"/>
    <s v="Common (E &amp; G)"/>
    <s v="General Plant, King County Unincorporated within RTA District, WA : GPL-0000 WA11700990"/>
    <n v="50297755"/>
    <s v="C3970 CMN Comm Equip, new"/>
    <n v="143005335"/>
    <s v="KENT FLEET TO OBRIEN BACKBONE"/>
    <s v="KENT FLEET TO OBRIEN BACKBONE"/>
    <s v="12/2023"/>
    <n v="11"/>
    <n v="12906.42"/>
    <n v="1854.65"/>
    <n v="11051.77"/>
    <x v="8"/>
    <x v="0"/>
  </r>
  <r>
    <s v="General Plant, Common"/>
    <s v="Common (E &amp; G)"/>
    <s v="General Plant, Pierce County outside RTA District, WA : GPL-0000 WA02700000"/>
    <n v="50297758"/>
    <s v="C3970 CMN Comm Equip, new"/>
    <n v="143005336"/>
    <s v="2020 VOIP UPGRADES"/>
    <s v="2020 VOIP UPGRADES"/>
    <s v="12/2023"/>
    <n v="2"/>
    <n v="39396.400000000001"/>
    <n v="5661.24"/>
    <n v="33735.160000000003"/>
    <x v="8"/>
    <x v="0"/>
  </r>
  <r>
    <s v="General Plant, Common"/>
    <s v="Common (E &amp; G)"/>
    <s v="General Plant, Whatcom County, WA : GPL-0000 WA03700000"/>
    <n v="50297773"/>
    <s v="C3970 CMN Comm Equip, new"/>
    <n v="143005582"/>
    <s v="WHG-GEN TRANSPORT NETWORK"/>
    <s v="WHG-GEN TRANSPORT NETWORK"/>
    <s v="12/2023"/>
    <n v="3"/>
    <n v="15281.02"/>
    <n v="2195.87"/>
    <n v="13085.15"/>
    <x v="8"/>
    <x v="0"/>
  </r>
  <r>
    <s v="General Plant, Common"/>
    <s v="Common (E &amp; G)"/>
    <s v="General Plant, Kittitas County, WA : GPL-0000 WA01900000"/>
    <n v="50463198"/>
    <s v="C3970 CMN Comm Equip, new"/>
    <n v="143005440"/>
    <s v="CASCADE SUB BANDWIDTH IMPROVEMENT"/>
    <s v="CASCADE SUB BANDWIDTH IMPROVEMENT"/>
    <s v="12/2023"/>
    <n v="4"/>
    <n v="19993.670000000002"/>
    <n v="2873.08"/>
    <n v="17120.59"/>
    <x v="8"/>
    <x v="0"/>
  </r>
  <r>
    <s v="General Plant, Common"/>
    <s v="Common (E &amp; G)"/>
    <s v="General Plant, Island County, WA : GPL-0000 WA01500000"/>
    <n v="53040032"/>
    <s v="C3970 CMN Comm Equip, new"/>
    <n v="143003381"/>
    <s v="9999E999 AMI NTWK DEPLOY S4 DUPONT"/>
    <s v="9999E999 AMI NTWK DEPLOY S4 DUPONT"/>
    <s v="12/2023"/>
    <n v="0"/>
    <n v="171803.38"/>
    <n v="24688.05"/>
    <n v="147115.33000000002"/>
    <x v="8"/>
    <x v="0"/>
  </r>
  <r>
    <s v="General Plant, Common"/>
    <s v="Common (E &amp; G)"/>
    <s v="General Plant, Kittitas County, WA : GPL-0000 WA01900000"/>
    <n v="53040037"/>
    <s v="C3970 CMN Comm Equip, new"/>
    <n v="143003910"/>
    <s v="9999E999 AMI NTWK UNINCORP KITTITAS"/>
    <s v="9999E999 AMI NTWK UNINCORP KITTITAS"/>
    <s v="12/2023"/>
    <n v="1"/>
    <n v="523271.15"/>
    <n v="75193.78"/>
    <n v="448077.37"/>
    <x v="8"/>
    <x v="0"/>
  </r>
  <r>
    <s v="General Plant, Common"/>
    <s v="Common (E &amp; G)"/>
    <s v="General Plant, Pierce County outside RTA District, WA : GPL-0000 WA02700000"/>
    <n v="57971906"/>
    <s v="C3970 CMN Comm Equip, new"/>
    <n v="143003971"/>
    <s v="700 MHz - WRT-SUB"/>
    <s v="700 MHz - WRT-SUB"/>
    <s v="12/2023"/>
    <n v="82"/>
    <n v="2687360.67"/>
    <n v="386172.28"/>
    <n v="2301188.39"/>
    <x v="8"/>
    <x v="0"/>
  </r>
  <r>
    <s v="General Plant, Common"/>
    <s v="Common (E &amp; G)"/>
    <s v="General Plant, King County outside RTA District, WA : GPL-0000 WA01700000"/>
    <n v="57971967"/>
    <s v="C3970 CMN Comm Equip, new"/>
    <n v="143004903"/>
    <s v="BLD-COM BALDI MTN MICROWAVE 700MHZ_"/>
    <s v="BLD-COM BALDI MTN MICROWAVE 700MHZ_CMM"/>
    <s v="12/2023"/>
    <n v="1"/>
    <n v="240523.23"/>
    <n v="34563.06"/>
    <n v="205960.17"/>
    <x v="8"/>
    <x v="0"/>
  </r>
  <r>
    <s v="General Plant, Common"/>
    <s v="Common (E &amp; G)"/>
    <s v="General Plant, King County Unincorporated within RTA District, WA : GPL-0000 WA11700990"/>
    <n v="57971972"/>
    <s v="C3970 CMN Comm Equip, new"/>
    <n v="143004904"/>
    <s v="SSC-COM SO. SEATTLE COLL COMM 700MH"/>
    <s v="SSC-COM SO. SEATTLE COLL COMM 700MHZ_CMM"/>
    <s v="12/2023"/>
    <n v="4"/>
    <n v="3107289.3"/>
    <n v="446515.79000000004"/>
    <n v="2660773.5099999998"/>
    <x v="8"/>
    <x v="0"/>
  </r>
  <r>
    <s v="General Plant, Common"/>
    <s v="Common (E &amp; G)"/>
    <s v="General Plant, Whatcom County, WA : GPL-0000 WA03700000"/>
    <n v="57971977"/>
    <s v="C3970 CMN Comm Equip, new"/>
    <n v="143005257"/>
    <s v="Squalicum Mt COM MW improvements"/>
    <s v="Squalicum Mt COM MW improvements"/>
    <s v="12/2023"/>
    <n v="0"/>
    <n v="227229.49"/>
    <n v="32652.760000000002"/>
    <n v="194576.73"/>
    <x v="8"/>
    <x v="0"/>
  </r>
  <r>
    <s v="General Plant, Common"/>
    <s v="Common (E &amp; G)"/>
    <s v="General Plant, Garfield County, WA : GPL-0000 WA01200990"/>
    <n v="57972004"/>
    <s v="C3970 CMN Comm Equip, new"/>
    <n v="143005381"/>
    <s v="LIN TO RTE COM MW IMPROVEMENTS"/>
    <s v="LIN TO RTE COM MW IMPROVEMENTS"/>
    <s v="12/2023"/>
    <n v="0"/>
    <n v="79575.33"/>
    <n v="11434.93"/>
    <n v="68140.399999999994"/>
    <x v="8"/>
    <x v="0"/>
  </r>
  <r>
    <s v="General Plant, Common"/>
    <s v="Common (E &amp; G)"/>
    <s v="General Plant, King County Unincorporated within RTA District, WA : GPL-0000 WA11700990"/>
    <n v="58136524"/>
    <s v="C3970 CMN Comm Equip, new"/>
    <n v="143005310"/>
    <s v="2020 TELECOM NJUNS"/>
    <s v="2020 TELECOM NJUNS"/>
    <s v="12/2023"/>
    <n v="0"/>
    <n v="58843.93"/>
    <n v="8455.84"/>
    <n v="50388.090000000004"/>
    <x v="8"/>
    <x v="0"/>
  </r>
  <r>
    <s v="General Plant, Common"/>
    <s v="Common (E &amp; G)"/>
    <s v="General Plant, King County Unincorporated within RTA District, WA : GPL-0000 WA11700990"/>
    <n v="58136529"/>
    <s v="C3970 CMN Comm Equip, new"/>
    <n v="143005315"/>
    <s v="TRANSPORT NETWORK MODERNIZATION-CMM"/>
    <s v="TRANSPORT NETWORK MODERNIZATION-CMM-RDW"/>
    <s v="12/2023"/>
    <n v="0"/>
    <n v="73623.31"/>
    <n v="10579.630000000001"/>
    <n v="63043.68"/>
    <x v="8"/>
    <x v="0"/>
  </r>
  <r>
    <s v="General Plant, Common"/>
    <s v="Common (E &amp; G)"/>
    <s v="General Plant, Snohomish County outside RTA Dst, WA : GPL-0000 WA03100000"/>
    <n v="50794811"/>
    <s v="C3970 CMN Comm Equip, new"/>
    <n v="143003554"/>
    <s v="AMR NETWORK EXPNS PROJECT-CMM-SNOHO"/>
    <s v="AMR NETWORK EXPNS PROJECT-CMM-SNOHOMISH"/>
    <s v="12/2023"/>
    <n v="2"/>
    <n v="9.61"/>
    <n v="1.3800000000000001"/>
    <n v="8.23"/>
    <x v="8"/>
    <x v="0"/>
  </r>
  <r>
    <s v="General Plant, Common"/>
    <s v="Common (E &amp; G)"/>
    <s v="General Plant, Pierce County outside RTA District, WA : GPL-0000 WA02700000"/>
    <n v="50794838"/>
    <s v="C3970 CMN Comm Equip, new"/>
    <n v="143005640"/>
    <s v="TRANSPORT NETWORK MODERNIZATION - G"/>
    <s v="TRANSPORT NETWORK MODERNIZATION - GRAVEL"/>
    <s v="12/2023"/>
    <n v="2"/>
    <n v="17081.14"/>
    <n v="2454.5500000000002"/>
    <n v="14626.59"/>
    <x v="8"/>
    <x v="0"/>
  </r>
  <r>
    <s v="General Plant, Common"/>
    <s v="Common (E &amp; G)"/>
    <s v="General Plant, King County outside RTA District, WA : GPL-0000 WA01700000"/>
    <n v="51353676"/>
    <s v="C3970 CMN Comm Equip, new"/>
    <n v="143003968"/>
    <s v="700 MHz - SQU-COM"/>
    <s v="700 MHz - SQU-COM"/>
    <s v="12/2023"/>
    <n v="2"/>
    <n v="29607.83"/>
    <n v="5682.3"/>
    <n v="23925.53"/>
    <x v="8"/>
    <x v="0"/>
  </r>
  <r>
    <s v="General Plant, Common"/>
    <s v="Common (E &amp; G)"/>
    <s v="General Plant, Skagit County, WA : GPL-0000 WA02900000"/>
    <n v="51353688"/>
    <s v="C3970 CMN Comm Equip, new"/>
    <n v="143004753"/>
    <s v="BAKER COMM &amp; NETWORK ENHANCEMENTS -"/>
    <s v="BAKER COMM &amp; NETWORK ENHANCEMENTS - CMM"/>
    <s v="12/2023"/>
    <n v="2"/>
    <n v="13990.99"/>
    <n v="2685.13"/>
    <n v="11305.86"/>
    <x v="8"/>
    <x v="0"/>
  </r>
  <r>
    <s v="General Plant, Common"/>
    <s v="Common (E &amp; G)"/>
    <s v="General Plant, Skagit County, WA : GPL-0000 WA02900000"/>
    <n v="51817601"/>
    <s v="C3970 CMN Comm Equip, new"/>
    <n v="143003196"/>
    <s v="9999E999 AMI NTWK DEPLOY N3 SKAGIT "/>
    <s v="9999E999 AMI NTWK DEPLOY N3 SKAGIT 2D"/>
    <s v="12/2023"/>
    <n v="2"/>
    <n v="26492.670000000002"/>
    <n v="3806.98"/>
    <n v="22685.69"/>
    <x v="8"/>
    <x v="0"/>
  </r>
  <r>
    <s v="General Plant, Common"/>
    <s v="Common (E &amp; G)"/>
    <s v="General Plant, Whatcom County, WA : GPL-0000 WA03700000"/>
    <n v="51817604"/>
    <s v="C3970 CMN Comm Equip, new"/>
    <n v="143003222"/>
    <s v="9999E999 AMI NTWK DEPLOY N4 POINT R"/>
    <s v="9999E999 AMI NTWK DEPLOY N4 POINT ROBERT"/>
    <s v="12/2023"/>
    <n v="2"/>
    <n v="39778.840000000004"/>
    <n v="5716.2"/>
    <n v="34062.639999999999"/>
    <x v="8"/>
    <x v="0"/>
  </r>
  <r>
    <s v="General Plant, Common"/>
    <s v="Common (E &amp; G)"/>
    <s v="General Plant, Island County, WA : GPL-0000 WA01500000"/>
    <n v="51817607"/>
    <s v="C3970 CMN Comm Equip, new"/>
    <n v="143003393"/>
    <s v="9999E999 AMI NTWK DEPLOY 799 PLEASA"/>
    <s v="9999E999 AMI NTWK DEPLOY 799 PLEASANT AC"/>
    <s v="12/2023"/>
    <n v="2"/>
    <n v="6243.46"/>
    <n v="897.18000000000006"/>
    <n v="5346.28"/>
    <x v="8"/>
    <x v="0"/>
  </r>
  <r>
    <s v="General Plant, Common"/>
    <s v="Common (E &amp; G)"/>
    <s v="General Plant, Island County, WA : GPL-0000 WA01500000"/>
    <n v="51817610"/>
    <s v="C3970 CMN Comm Equip, new"/>
    <n v="143003397"/>
    <s v="3301E132 AMI NTWK DEPLOY 1545 WILDB"/>
    <s v="3301E132 AMI NTWK DEPLOY 1545 WILDBERRY"/>
    <s v="12/2023"/>
    <n v="2"/>
    <n v="5191.45"/>
    <n v="746.01"/>
    <n v="4445.4400000000005"/>
    <x v="8"/>
    <x v="0"/>
  </r>
  <r>
    <s v="General Plant, Common"/>
    <s v="Common (E &amp; G)"/>
    <s v="General Plant, Skagit County, WA : GPL-0000 WA02900000"/>
    <n v="51817613"/>
    <s v="C3970 CMN Comm Equip, new"/>
    <n v="143003404"/>
    <s v="9999E999 AMI NTWK 1500 ROSARIO RD A"/>
    <s v="9999E999 AMI NTWK 1500 ROSARIO RD ANACOR"/>
    <s v="12/2023"/>
    <n v="2"/>
    <n v="8086.56"/>
    <n v="1162.03"/>
    <n v="6924.53"/>
    <x v="8"/>
    <x v="0"/>
  </r>
  <r>
    <s v="General Plant, Common"/>
    <s v="Common (E &amp; G)"/>
    <s v="General Plant, Kittitas County, WA : GPL-0000 WA01900000"/>
    <n v="51942378"/>
    <s v="C3970 CMN Comm Equip, new"/>
    <n v="143002594"/>
    <s v="9999E999 AMI NTWK DEPLOY S2 SO CLEE"/>
    <s v="9999E999 AMI NTWK DEPLOY S2 SO CLEELUM"/>
    <s v="12/2023"/>
    <n v="2"/>
    <n v="12649.15"/>
    <n v="1817.68"/>
    <n v="10831.47"/>
    <x v="8"/>
    <x v="0"/>
  </r>
  <r>
    <s v="General Plant, Common"/>
    <s v="Common (E &amp; G)"/>
    <s v="General Plant, Kittitas County, WA : GPL-0000 WA01900000"/>
    <n v="51942381"/>
    <s v="C3970 CMN Comm Equip, new"/>
    <n v="143002596"/>
    <s v="9999E999 AMI NTWK DEPLOY S2 ELLENSB"/>
    <s v="9999E999 AMI NTWK DEPLOY S2 ELLENSBURG"/>
    <s v="12/2023"/>
    <n v="2"/>
    <n v="6663.79"/>
    <n v="957.58"/>
    <n v="5706.21"/>
    <x v="8"/>
    <x v="0"/>
  </r>
  <r>
    <s v="General Plant, Common"/>
    <s v="Common (E &amp; G)"/>
    <s v="General Plant, Pierce County outside RTA District, WA : GPL-0000 WA02700000"/>
    <n v="51942384"/>
    <s v="C3970 CMN Comm Equip, new"/>
    <n v="143002617"/>
    <s v="9999E999 AMI NTWK DEPLOY S3 TACOMA"/>
    <s v="9999E999 AMI NTWK DEPLOY S3 TACOMA"/>
    <s v="12/2023"/>
    <n v="2"/>
    <n v="12764.89"/>
    <n v="1834.31"/>
    <n v="10930.58"/>
    <x v="8"/>
    <x v="0"/>
  </r>
  <r>
    <s v="General Plant, Common"/>
    <s v="Common (E &amp; G)"/>
    <s v="General Plant, King County Unincorporated within RTA District, WA : GPL-0000 WA11700990"/>
    <n v="51942387"/>
    <s v="C3970 CMN Comm Equip, new"/>
    <n v="143002628"/>
    <s v="9999E999 AMI NTWK DEPLOY S3 AUBURN"/>
    <s v="9999E999 AMI NTWK DEPLOY S3 AUBURN"/>
    <s v="12/2023"/>
    <n v="3"/>
    <n v="24716.31"/>
    <n v="3551.7200000000003"/>
    <n v="21164.59"/>
    <x v="8"/>
    <x v="0"/>
  </r>
  <r>
    <s v="General Plant, Common"/>
    <s v="Common (E &amp; G)"/>
    <s v="General Plant, King County Unincorporated within RTA District, WA : GPL-0000 WA11700990"/>
    <n v="51942390"/>
    <s v="C3970 CMN Comm Equip, new"/>
    <n v="143002636"/>
    <s v="2015E128 AMI NTWK 1241 WOOD DUCK RD"/>
    <s v="2015E128 AMI NTWK 1241 WOOD DUCK RD CLE"/>
    <s v="12/2023"/>
    <n v="2"/>
    <n v="6925.56"/>
    <n v="995.2"/>
    <n v="5930.36"/>
    <x v="8"/>
    <x v="0"/>
  </r>
  <r>
    <s v="General Plant, Common"/>
    <s v="Common (E &amp; G)"/>
    <s v="General Plant, King County Unincorporated within RTA District, WA : GPL-0000 WA11700990"/>
    <n v="51942393"/>
    <s v="C3970 CMN Comm Equip, new"/>
    <n v="143002688"/>
    <s v="9999E999 AMI NTWK DEPLOY S1E ADD'L "/>
    <s v="9999E999 AMI NTWK DEPLOY S1E ADD'L BELLE"/>
    <s v="12/2023"/>
    <n v="2"/>
    <n v="12920.970000000001"/>
    <n v="1856.74"/>
    <n v="11064.23"/>
    <x v="8"/>
    <x v="0"/>
  </r>
  <r>
    <s v="General Plant, Common"/>
    <s v="Common (E &amp; G)"/>
    <s v="General Plant, Pierce County outside RTA District, WA : GPL-0000 WA02700000"/>
    <n v="51942396"/>
    <s v="C3970 CMN Comm Equip, new"/>
    <n v="143002720"/>
    <s v="9999E999 AMI NTWK DEPLOY S5  ROY"/>
    <s v="9999E999 AMI NTWK DEPLOY S5  ROY"/>
    <s v="12/2023"/>
    <n v="3"/>
    <n v="14137.54"/>
    <n v="2031.56"/>
    <n v="12105.98"/>
    <x v="8"/>
    <x v="0"/>
  </r>
  <r>
    <s v="General Plant, Common"/>
    <s v="Common (E &amp; G)"/>
    <s v="General Plant, Thurston County, WA : GPL-0000 WA03400000"/>
    <n v="51942399"/>
    <s v="C3970 CMN Comm Equip, new"/>
    <n v="143002725"/>
    <s v="9999E999 AMI NTWK DEPLOY S5 RAINER"/>
    <s v="9999E999 AMI NTWK DEPLOY S5 RAINER"/>
    <s v="12/2023"/>
    <n v="2"/>
    <n v="7147.91"/>
    <n v="1027.1500000000001"/>
    <n v="6120.76"/>
    <x v="8"/>
    <x v="0"/>
  </r>
  <r>
    <s v="General Plant, Common"/>
    <s v="Common (E &amp; G)"/>
    <s v="General Plant, Kitsap County, WA : GPL-0000 WA01800000"/>
    <n v="51942402"/>
    <s v="C3970 CMN Comm Equip, new"/>
    <n v="143002842"/>
    <s v="9999E999 AMI NTWK DEPLOY S4 POULSBO"/>
    <s v="9999E999 AMI NTWK DEPLOY S4 POULSBO"/>
    <s v="12/2023"/>
    <n v="2"/>
    <n v="38669.53"/>
    <n v="5556.79"/>
    <n v="33112.74"/>
    <x v="8"/>
    <x v="0"/>
  </r>
  <r>
    <s v="General Plant, Common"/>
    <s v="Common (E &amp; G)"/>
    <s v="General Plant, Whatcom County, WA : GPL-0000 WA03700000"/>
    <n v="51942408"/>
    <s v="C3970 CMN Comm Equip, new"/>
    <n v="143003083"/>
    <s v="9999E999 AMI NTWK DEPLOY N5 LYNDEN"/>
    <s v="9999E999 AMI NTWK DEPLOY N5 LYNDEN"/>
    <s v="12/2023"/>
    <n v="2"/>
    <n v="27140.18"/>
    <n v="3900.03"/>
    <n v="23240.15"/>
    <x v="8"/>
    <x v="0"/>
  </r>
  <r>
    <s v="General Plant, Common"/>
    <s v="Common (E &amp; G)"/>
    <s v="General Plant, King County outside RTA District, WA : GPL-0000 WA01700000"/>
    <n v="51942411"/>
    <s v="C3970 CMN Comm Equip, new"/>
    <n v="143003103"/>
    <s v="9999E999 AMI NTWK P#2923119001 KING"/>
    <s v="9999E999 AMI NTWK P#2923119001 KING CNTY"/>
    <s v="12/2023"/>
    <n v="2"/>
    <n v="6741.4400000000005"/>
    <n v="968.74"/>
    <n v="5772.7"/>
    <x v="8"/>
    <x v="0"/>
  </r>
  <r>
    <s v="General Plant, Common"/>
    <s v="Common (E &amp; G)"/>
    <s v="General Plant, King County outside RTA District, WA : GPL-0000 WA01700000"/>
    <n v="51942414"/>
    <s v="C3970 CMN Comm Equip, new"/>
    <n v="143003105"/>
    <s v="2211E072 AMI NTWK 66527 NFD5800 RD "/>
    <s v="2211E072 AMI NTWK 66527 NFD5800 RD NORTH"/>
    <s v="12/2023"/>
    <n v="2"/>
    <n v="5842.8"/>
    <n v="839.61"/>
    <n v="5003.1900000000005"/>
    <x v="8"/>
    <x v="0"/>
  </r>
  <r>
    <s v="General Plant, Common"/>
    <s v="Common (E &amp; G)"/>
    <s v="General Plant, King County Unincorporated within RTA District, WA : GPL-0000 WA11700990"/>
    <n v="51942417"/>
    <s v="C3970 CMN Comm Equip, new"/>
    <n v="143003107"/>
    <s v="2606E040 AMI NTWK 24270 NE 172 ST W"/>
    <s v="2606E040 AMI NTWK 24270 NE 172 ST WOODIN"/>
    <s v="12/2023"/>
    <n v="2"/>
    <n v="5999.6500000000005"/>
    <n v="862.15"/>
    <n v="5137.5"/>
    <x v="8"/>
    <x v="0"/>
  </r>
  <r>
    <s v="General Plant, Common"/>
    <s v="Common (E &amp; G)"/>
    <s v="General Plant, Redmond, WA : GPL-0000 WA11700240"/>
    <n v="51942420"/>
    <s v="C3970 CMN Comm Equip, new"/>
    <n v="143003109"/>
    <s v="2606E103 AMI NTWK S2 24533 NE 118 R"/>
    <s v="2606E103 AMI NTWK S2 24533 NE 118 REDMON"/>
    <s v="12/2023"/>
    <n v="2"/>
    <n v="17577.350000000002"/>
    <n v="2525.86"/>
    <n v="15051.49"/>
    <x v="8"/>
    <x v="0"/>
  </r>
  <r>
    <s v="General Plant, Common"/>
    <s v="Common (E &amp; G)"/>
    <s v="General Plant, Island County, WA : GPL-0000 WA01500000"/>
    <n v="51942426"/>
    <s v="C3970 CMN Comm Equip, new"/>
    <n v="143003383"/>
    <s v="1905E136 AMI NTWK 21214 182ND ST E "/>
    <s v="1905E136 AMI NTWK 21214 182ND ST E ORTIN"/>
    <s v="12/2023"/>
    <n v="2"/>
    <n v="5645.77"/>
    <n v="811.29"/>
    <n v="4834.4800000000005"/>
    <x v="8"/>
    <x v="0"/>
  </r>
  <r>
    <s v="General Plant, Common"/>
    <s v="Common (E &amp; G)"/>
    <s v="General Plant, Island County, WA : GPL-0000 WA01500000"/>
    <n v="51942429"/>
    <s v="C3970 CMN Comm Equip, new"/>
    <n v="143003392"/>
    <s v="3201E124 AMI NTWK 2084 W WINTERHAWK"/>
    <s v="3201E124 AMI NTWK 2084 W WINTERHAWK LN C"/>
    <s v="12/2023"/>
    <n v="2"/>
    <n v="5328.7300000000005"/>
    <n v="765.74"/>
    <n v="4562.99"/>
    <x v="8"/>
    <x v="0"/>
  </r>
  <r>
    <s v="General Plant, Common"/>
    <s v="Common (E &amp; G)"/>
    <s v="General Plant, Island County, WA : GPL-0000 WA01500000"/>
    <n v="51942432"/>
    <s v="C3970 CMN Comm Equip, new"/>
    <n v="143003395"/>
    <s v="3102E128 AMI NTWK 659 IS RIDGE WY C"/>
    <s v="3102E128 AMI NTWK 659 IS RIDGE WY COUPEV"/>
    <s v="12/2023"/>
    <n v="2"/>
    <n v="5328.74"/>
    <n v="765.74"/>
    <n v="4563"/>
    <x v="8"/>
    <x v="0"/>
  </r>
  <r>
    <s v="General Plant, Common"/>
    <s v="Common (E &amp; G)"/>
    <s v="General Plant, Island County, WA : GPL-0000 WA01500000"/>
    <n v="51942435"/>
    <s v="C3970 CMN Comm Equip, new"/>
    <n v="143003396"/>
    <s v="3201E124 AMI NTWK 2245 WINTERHAWK C"/>
    <s v="3201E124 AMI NTWK 2245 WINTERHAWK COUPEV"/>
    <s v="12/2023"/>
    <n v="2"/>
    <n v="5328.74"/>
    <n v="765.74"/>
    <n v="4563"/>
    <x v="8"/>
    <x v="0"/>
  </r>
  <r>
    <s v="General Plant, Common"/>
    <s v="Common (E &amp; G)"/>
    <s v="General Plant, Island County, WA : GPL-0000 WA01500000"/>
    <n v="51942438"/>
    <s v="C3970 CMN Comm Equip, new"/>
    <n v="143003398"/>
    <s v="3401E104 AMI NTWK DEPLOY 42764 STAT"/>
    <s v="3401E104 AMI NTWK DEPLOY 42764 STATE ROU"/>
    <s v="12/2023"/>
    <n v="2"/>
    <n v="5381.29"/>
    <n v="773.29"/>
    <n v="4608"/>
    <x v="8"/>
    <x v="0"/>
  </r>
  <r>
    <s v="General Plant, Common"/>
    <s v="Common (E &amp; G)"/>
    <s v="General Plant, King County Unincorporated within RTA District, WA : GPL-0000 WA11700990"/>
    <n v="51942441"/>
    <s v="C3970 CMN Comm Equip, new"/>
    <n v="143003399"/>
    <s v="2304E100 AMI NTWK 1001 SW 34TH ST R"/>
    <s v="2304E100 AMI NTWK 1001 SW 34TH ST RENTON"/>
    <s v="12/2023"/>
    <n v="2"/>
    <n v="4864.93"/>
    <n v="699.09"/>
    <n v="4165.84"/>
    <x v="8"/>
    <x v="0"/>
  </r>
  <r>
    <s v="General Plant, Common"/>
    <s v="Common (E &amp; G)"/>
    <s v="General Plant, Skagit County, WA : GPL-0000 WA02900000"/>
    <n v="51942444"/>
    <s v="C3970 CMN Comm Equip, new"/>
    <n v="143003400"/>
    <s v="3401E096 AMI NTWK DEPLOY 15681 N DE"/>
    <s v="3401E096 AMI NTWK DEPLOY 15681 N DECEPTI"/>
    <s v="12/2023"/>
    <n v="2"/>
    <n v="7722.08"/>
    <n v="1109.6600000000001"/>
    <n v="6612.42"/>
    <x v="8"/>
    <x v="0"/>
  </r>
  <r>
    <s v="General Plant, Common"/>
    <s v="Common (E &amp; G)"/>
    <s v="General Plant, King County Unincorporated within RTA District, WA : GPL-0000 WA11700990"/>
    <n v="51942447"/>
    <s v="C3970 CMN Comm Equip, new"/>
    <n v="143003401"/>
    <s v="2305E075 AMI NTWK 1900 LIND AVE SW "/>
    <s v="2305E075 AMI NTWK 1900 LIND AVE SW RNTN"/>
    <s v="12/2023"/>
    <n v="2"/>
    <n v="9069.64"/>
    <n v="1303.3"/>
    <n v="7766.34"/>
    <x v="8"/>
    <x v="0"/>
  </r>
  <r>
    <s v="General Plant, Common"/>
    <s v="Common (E &amp; G)"/>
    <s v="General Plant, Island County, WA : GPL-0000 WA01500000"/>
    <n v="51942450"/>
    <s v="C3970 CMN Comm Equip, new"/>
    <n v="143003402"/>
    <s v="3101E024 AMI NTWK 2021 CEDAR HOLLOW"/>
    <s v="3101E024 AMI NTWK 2021 CEDAR HOLLOW LN C"/>
    <s v="12/2023"/>
    <n v="2"/>
    <n v="5328.74"/>
    <n v="765.74"/>
    <n v="4563"/>
    <x v="8"/>
    <x v="0"/>
  </r>
  <r>
    <s v="General Plant, Common"/>
    <s v="Common (E &amp; G)"/>
    <s v="General Plant, Island County, WA : GPL-0000 WA01500000"/>
    <n v="51942453"/>
    <s v="C3970 CMN Comm Equip, new"/>
    <n v="143003403"/>
    <s v="3202E012 AMI NTWK DEPLOY 2315 LAKE "/>
    <s v="3202E012 AMI NTWK DEPLOY 2315 LAKE FORES"/>
    <s v="12/2023"/>
    <n v="2"/>
    <n v="5191.46"/>
    <n v="746.01"/>
    <n v="4445.45"/>
    <x v="8"/>
    <x v="0"/>
  </r>
  <r>
    <s v="General Plant, Common"/>
    <s v="Common (E &amp; G)"/>
    <s v="General Plant, Skagit County, WA : GPL-0000 WA02900000"/>
    <n v="51942456"/>
    <s v="C3970 CMN Comm Equip, new"/>
    <n v="143003405"/>
    <s v="3601E104 AMI NTWK 4494 CLARK POINT "/>
    <s v="3601E104 AMI NTWK 4494 CLARK POINT ANACO"/>
    <s v="12/2023"/>
    <n v="2"/>
    <n v="6626.06"/>
    <n v="952.16"/>
    <n v="5673.9000000000005"/>
    <x v="8"/>
    <x v="0"/>
  </r>
  <r>
    <s v="General Plant, Common"/>
    <s v="Common (E &amp; G)"/>
    <s v="General Plant, Whatcom County, WA : GPL-0000 WA03700000"/>
    <n v="51942459"/>
    <s v="C3970 CMN Comm Equip, new"/>
    <n v="143003588"/>
    <s v="9999E999 AMI NTWK 809 SALMONBERRY L"/>
    <s v="9999E999 AMI NTWK 809 SALMONBERRY LN BEL"/>
    <s v="12/2023"/>
    <n v="2"/>
    <n v="13624.81"/>
    <n v="1957.88"/>
    <n v="11666.93"/>
    <x v="8"/>
    <x v="0"/>
  </r>
  <r>
    <s v="General Plant, Common"/>
    <s v="Common (E &amp; G)"/>
    <s v="General Plant, Whatcom County, WA : GPL-0000 WA03700000"/>
    <n v="51942462"/>
    <s v="C3970 CMN Comm Equip, new"/>
    <n v="143003590"/>
    <s v="3803E060 AMI NTWK 1520 HILLSDALE RD"/>
    <s v="3803E060 AMI NTWK 1520 HILLSDALE RD"/>
    <s v="12/2023"/>
    <n v="2"/>
    <n v="13409.62"/>
    <n v="1926.96"/>
    <n v="11482.66"/>
    <x v="8"/>
    <x v="0"/>
  </r>
  <r>
    <s v="General Plant, Common"/>
    <s v="Common (E &amp; G)"/>
    <s v="General Plant, Whatcom County, WA : GPL-0000 WA03700000"/>
    <n v="51942465"/>
    <s v="C3970 CMN Comm Equip, new"/>
    <n v="143003592"/>
    <s v="3803E069 AMI NTWK 4040 GLENGARY RD"/>
    <s v="3803E069 AMI NTWK 4040 GLENGARY RD"/>
    <s v="12/2023"/>
    <n v="2"/>
    <n v="12804.380000000001"/>
    <n v="1839.98"/>
    <n v="10964.4"/>
    <x v="8"/>
    <x v="0"/>
  </r>
  <r>
    <s v="General Plant, Common"/>
    <s v="Common (E &amp; G)"/>
    <s v="General Plant, Whatcom County, WA : GPL-0000 WA03700000"/>
    <n v="51942468"/>
    <s v="C3970 CMN Comm Equip, new"/>
    <n v="143003594"/>
    <s v="4001E060 AMI NTWK 3700 W 88 ST, BLA"/>
    <s v="4001E060 AMI NTWK 3700 W 88 ST, BLAINE"/>
    <s v="12/2023"/>
    <n v="2"/>
    <n v="5104.37"/>
    <n v="733.5"/>
    <n v="4370.87"/>
    <x v="8"/>
    <x v="0"/>
  </r>
  <r>
    <s v="General Plant, Common"/>
    <s v="Common (E &amp; G)"/>
    <s v="General Plant, Skagit County, WA : GPL-0000 WA02900000"/>
    <n v="51942471"/>
    <s v="C3970 CMN Comm Equip, new"/>
    <n v="143003621"/>
    <s v="2606E008 AMI NTWK 20218 244 AV NE W"/>
    <s v="2606E008 AMI NTWK 20218 244 AV NE WDINVI"/>
    <s v="12/2023"/>
    <n v="2"/>
    <n v="6864.57"/>
    <n v="986.44"/>
    <n v="5878.13"/>
    <x v="8"/>
    <x v="0"/>
  </r>
  <r>
    <s v="General Plant, Common"/>
    <s v="Common (E &amp; G)"/>
    <s v="General Plant, Skagit County, WA : GPL-0000 WA02900000"/>
    <n v="51942474"/>
    <s v="C3970 CMN Comm Equip, new"/>
    <n v="143003622"/>
    <s v="2706E127 AMI NTWK 24320 110 AV SE W"/>
    <s v="2706E127 AMI NTWK 24320 110 AV SE WDINVL"/>
    <s v="12/2023"/>
    <n v="2"/>
    <n v="14398.09"/>
    <n v="2069"/>
    <n v="12329.09"/>
    <x v="8"/>
    <x v="0"/>
  </r>
  <r>
    <s v="General Plant, Common"/>
    <s v="Common (E &amp; G)"/>
    <s v="General Plant, Whatcom County, WA : GPL-0000 WA03700000"/>
    <n v="51942480"/>
    <s v="C3970 CMN Comm Equip, new"/>
    <n v="143003641"/>
    <s v="9999E999 AMI NTWK 13705 69 AVE CT E"/>
    <s v="9999E999 AMI NTWK 13705 69 AVE CT E PUYA"/>
    <s v="12/2023"/>
    <n v="2"/>
    <n v="13300.82"/>
    <n v="1911.32"/>
    <n v="11389.5"/>
    <x v="8"/>
    <x v="0"/>
  </r>
  <r>
    <s v="General Plant, Common"/>
    <s v="Common (E &amp; G)"/>
    <s v="General Plant, Whatcom County, WA : GPL-0000 WA03700000"/>
    <n v="51942483"/>
    <s v="C3970 CMN Comm Equip, new"/>
    <n v="143003642"/>
    <s v="4001E092 AMI NTWK W 30 CREST&amp;BIRCHB"/>
    <s v="4001E092 AMI NTWK W 30 CREST&amp;BIRCHBAYLYN"/>
    <s v="12/2023"/>
    <n v="2"/>
    <n v="6152.22"/>
    <n v="884.07"/>
    <n v="5268.1500000000005"/>
    <x v="8"/>
    <x v="0"/>
  </r>
  <r>
    <s v="General Plant, Common"/>
    <s v="Common (E &amp; G)"/>
    <s v="General Plant, Skagit County, WA : GPL-0000 WA02900000"/>
    <n v="51942486"/>
    <s v="C3970 CMN Comm Equip, new"/>
    <n v="143003644"/>
    <s v="9999E999 AMI NTWK 53 ALGER CCC RD"/>
    <s v="9999E999 AMI NTWK 53 ALGER CCC RD"/>
    <s v="12/2023"/>
    <n v="2"/>
    <n v="5911.87"/>
    <n v="849.53"/>
    <n v="5062.34"/>
    <x v="8"/>
    <x v="0"/>
  </r>
  <r>
    <s v="General Plant, Common"/>
    <s v="Common (E &amp; G)"/>
    <s v="General Plant, Whatcom County, WA : GPL-0000 WA03700000"/>
    <n v="51942489"/>
    <s v="C3970 CMN Comm Equip, new"/>
    <n v="143003645"/>
    <s v="3805E032 AMI NTWK 5566 WILLIAMS LAK"/>
    <s v="3805E032 AMI NTWK 5566 WILLIAMS LAKE RD"/>
    <s v="12/2023"/>
    <n v="2"/>
    <n v="6166.32"/>
    <n v="886.1"/>
    <n v="5280.22"/>
    <x v="8"/>
    <x v="0"/>
  </r>
  <r>
    <s v="General Plant, Common"/>
    <s v="Common (E &amp; G)"/>
    <s v="General Plant, Whatcom County, WA : GPL-0000 WA03700000"/>
    <n v="51942492"/>
    <s v="C3970 CMN Comm Equip, new"/>
    <n v="143003649"/>
    <s v="9999E999 AMI NTWK 5225 EAGLE FLY WA"/>
    <s v="9999E999 AMI NTWK 5225 EAGLE FLY WAY BEL"/>
    <s v="12/2023"/>
    <n v="2"/>
    <n v="6674.76"/>
    <n v="959.16"/>
    <n v="5715.6"/>
    <x v="8"/>
    <x v="0"/>
  </r>
  <r>
    <s v="General Plant, Common"/>
    <s v="Common (E &amp; G)"/>
    <s v="General Plant, Whatcom County, WA : GPL-0000 WA03700000"/>
    <n v="51942495"/>
    <s v="C3970 CMN Comm Equip, new"/>
    <n v="143003650"/>
    <s v="3704E023 AMI NTWK 13 COLD SPRINGS L"/>
    <s v="3704E023 AMI NTWK 13 COLD SPRINGS LN"/>
    <s v="12/2023"/>
    <n v="2"/>
    <n v="12803.300000000001"/>
    <n v="1839.83"/>
    <n v="10963.47"/>
    <x v="8"/>
    <x v="0"/>
  </r>
  <r>
    <s v="General Plant, Common"/>
    <s v="Common (E &amp; G)"/>
    <s v="General Plant, Whatcom County, WA : GPL-0000 WA03700000"/>
    <n v="51942498"/>
    <s v="C3970 CMN Comm Equip, new"/>
    <n v="143003651"/>
    <s v="3803E092 AMI NTWK 3661 VINEYARD DR"/>
    <s v="3803E092 AMI NTWK 3661 VINEYARD DR"/>
    <s v="12/2023"/>
    <n v="2"/>
    <n v="6201.1500000000005"/>
    <n v="891.1"/>
    <n v="5310.05"/>
    <x v="8"/>
    <x v="0"/>
  </r>
  <r>
    <s v="General Plant, Common"/>
    <s v="Common (E &amp; G)"/>
    <s v="General Plant, Whatcom County, WA : GPL-0000 WA03700000"/>
    <n v="51942501"/>
    <s v="C3970 CMN Comm Equip, new"/>
    <n v="143003652"/>
    <s v="3903E096 AMI NTWK 2364 GOSHEN DR"/>
    <s v="3903E096 AMI NTWK 2364 GOSHEN DR"/>
    <s v="12/2023"/>
    <n v="2"/>
    <n v="6674.76"/>
    <n v="959.16"/>
    <n v="5715.6"/>
    <x v="8"/>
    <x v="0"/>
  </r>
  <r>
    <s v="General Plant, Common"/>
    <s v="Common (E &amp; G)"/>
    <s v="General Plant, Whatcom County, WA : GPL-0000 WA03700000"/>
    <n v="51942504"/>
    <s v="C3970 CMN Comm Equip, new"/>
    <n v="143003654"/>
    <s v="3903E040 AMI NTWK 1640 E VIS RD"/>
    <s v="3903E040 AMI NTWK 1640 E VIS RD"/>
    <s v="12/2023"/>
    <n v="2"/>
    <n v="6662.55"/>
    <n v="957.4"/>
    <n v="5705.1500000000005"/>
    <x v="8"/>
    <x v="0"/>
  </r>
  <r>
    <s v="General Plant, Common"/>
    <s v="Common (E &amp; G)"/>
    <s v="General Plant, King County Unincorporated within RTA District, WA : GPL-0000 WA11700990"/>
    <n v="51942507"/>
    <s v="C3970 CMN Comm Equip, new"/>
    <n v="143003664"/>
    <s v="9999E999 AMI NTWK OH 1-OFF ADDL"/>
    <s v="9999E999 AMI NTWK OH 1-OFF ADDL"/>
    <s v="12/2023"/>
    <n v="2"/>
    <n v="3369.66"/>
    <n v="484.22"/>
    <n v="2885.44"/>
    <x v="8"/>
    <x v="0"/>
  </r>
  <r>
    <s v="General Plant, Common"/>
    <s v="Common (E &amp; G)"/>
    <s v="General Plant, Thurston County, WA : GPL-0000 WA03400000"/>
    <n v="51942510"/>
    <s v="C3970 CMN Comm Equip, new"/>
    <n v="143003670"/>
    <s v="9999E999 AMI NTWK S1_C325"/>
    <s v="9999E999 AMI NTWK S1_C325"/>
    <s v="12/2023"/>
    <n v="2"/>
    <n v="12605.28"/>
    <n v="1811.3700000000001"/>
    <n v="10793.91"/>
    <x v="8"/>
    <x v="0"/>
  </r>
  <r>
    <s v="General Plant, Common"/>
    <s v="Common (E &amp; G)"/>
    <s v="General Plant, King County Unincorporated within RTA District, WA : GPL-0000 WA11700990"/>
    <n v="51942513"/>
    <s v="C3970 CMN Comm Equip, new"/>
    <n v="143003724"/>
    <s v="1819E120 AMI NTW 432 MEADOWBROOK EL"/>
    <s v="1819E120 AMI NTW 432 MEADOWBROOK ELNSBRG"/>
    <s v="12/2023"/>
    <n v="2"/>
    <n v="7744.55"/>
    <n v="1112.8900000000001"/>
    <n v="6631.66"/>
    <x v="8"/>
    <x v="0"/>
  </r>
  <r>
    <s v="General Plant, Common"/>
    <s v="Common (E &amp; G)"/>
    <s v="General Plant, King County Unincorporated within RTA District, WA : GPL-0000 WA11700990"/>
    <n v="51942516"/>
    <s v="C3970 CMN Comm Equip, new"/>
    <n v="143003726"/>
    <s v="2607E020 AMI NTWK 24211 MT VW RD NE"/>
    <s v="2607E020 AMI NTWK 24211 MT VW RD NE DUVL"/>
    <s v="12/2023"/>
    <n v="2"/>
    <n v="5800.33"/>
    <n v="833.5"/>
    <n v="4966.83"/>
    <x v="8"/>
    <x v="0"/>
  </r>
  <r>
    <s v="General Plant, Common"/>
    <s v="Common (E &amp; G)"/>
    <s v="General Plant, King County Unincorporated within RTA District, WA : GPL-0000 WA11700990"/>
    <n v="51942519"/>
    <s v="C3970 CMN Comm Equip, new"/>
    <n v="143003727"/>
    <s v="2607E016 AMI NTWK 20110 320 AVE NE "/>
    <s v="2607E016 AMI NTWK 20110 320 AVE NE DUVLL"/>
    <s v="12/2023"/>
    <n v="2"/>
    <n v="6619.3"/>
    <n v="951.19"/>
    <n v="5668.11"/>
    <x v="8"/>
    <x v="0"/>
  </r>
  <r>
    <s v="General Plant, Common"/>
    <s v="Common (E &amp; G)"/>
    <s v="General Plant, King County Unincorporated within RTA District, WA : GPL-0000 WA11700990"/>
    <n v="51942522"/>
    <s v="C3970 CMN Comm Equip, new"/>
    <n v="143003732"/>
    <s v="2107E076 AMI NTWK 34401 ENMCLW FRNK"/>
    <s v="2107E076 AMI NTWK 34401 ENMCLW FRNKLN RD"/>
    <s v="12/2023"/>
    <n v="2"/>
    <n v="7561.67"/>
    <n v="1086.6100000000001"/>
    <n v="6475.06"/>
    <x v="8"/>
    <x v="0"/>
  </r>
  <r>
    <s v="General Plant, Common"/>
    <s v="Common (E &amp; G)"/>
    <s v="General Plant, King County Unincorporated within RTA District, WA : GPL-0000 WA11700990"/>
    <n v="51942525"/>
    <s v="C3970 CMN Comm Equip, new"/>
    <n v="143003733"/>
    <s v="2611E112 AMI NTWK 69730 NE MONEY CK"/>
    <s v="2611E112 AMI NTWK 69730 NE MONEY CK SKYK"/>
    <s v="12/2023"/>
    <n v="2"/>
    <n v="14480.35"/>
    <n v="2080.8200000000002"/>
    <n v="12399.53"/>
    <x v="8"/>
    <x v="0"/>
  </r>
  <r>
    <s v="General Plant, Common"/>
    <s v="Common (E &amp; G)"/>
    <s v="General Plant, King County Unincorporated within RTA District, WA : GPL-0000 WA11700990"/>
    <n v="51942528"/>
    <s v="C3970 CMN Comm Equip, new"/>
    <n v="143003736"/>
    <s v="2205E098 AMI NTWK 16826 SE 259 ST K"/>
    <s v="2205E098 AMI NTWK 16826 SE 259 ST KENT"/>
    <s v="12/2023"/>
    <n v="2"/>
    <n v="12843.09"/>
    <n v="1845.55"/>
    <n v="10997.54"/>
    <x v="8"/>
    <x v="0"/>
  </r>
  <r>
    <s v="General Plant, Common"/>
    <s v="Common (E &amp; G)"/>
    <s v="General Plant, King County outside RTA District, WA : GPL-0000 WA01700000"/>
    <n v="51942531"/>
    <s v="C3970 CMN Comm Equip, new"/>
    <n v="143003737"/>
    <s v="2207E028 AMI NTWK 28802 SE 224 ST M"/>
    <s v="2207E028 AMI NTWK 28802 SE 224 ST MAPLE"/>
    <s v="12/2023"/>
    <n v="2"/>
    <n v="4944.1400000000003"/>
    <n v="710.47"/>
    <n v="4233.67"/>
    <x v="8"/>
    <x v="0"/>
  </r>
  <r>
    <s v="General Plant, Common"/>
    <s v="Common (E &amp; G)"/>
    <s v="General Plant, King County outside RTA District, WA : GPL-0000 WA01700000"/>
    <n v="51942534"/>
    <s v="C3970 CMN Comm Equip, new"/>
    <n v="143003738"/>
    <s v="2206E105 AMI NTWK 24100 SE 260 ST M"/>
    <s v="2206E105 AMI NTWK 24100 SE 260 ST MAPLE"/>
    <s v="12/2023"/>
    <n v="2"/>
    <n v="13094.07"/>
    <n v="1881.6100000000001"/>
    <n v="11212.460000000001"/>
    <x v="8"/>
    <x v="0"/>
  </r>
  <r>
    <s v="General Plant, Common"/>
    <s v="Common (E &amp; G)"/>
    <s v="General Plant, Pierce County outside RTA District, WA : GPL-0000 WA02700000"/>
    <n v="51942537"/>
    <s v="C3970 CMN Comm Equip, new"/>
    <n v="143003741"/>
    <s v="1905E086 AMI NTWK 198 AVE E BONNEY "/>
    <s v="1905E086 AMI NTWK 198 AVE E BONNEY LK"/>
    <s v="12/2023"/>
    <n v="2"/>
    <n v="4980.6400000000003"/>
    <n v="715.72"/>
    <n v="4264.92"/>
    <x v="8"/>
    <x v="0"/>
  </r>
  <r>
    <s v="General Plant, Common"/>
    <s v="Common (E &amp; G)"/>
    <s v="General Plant, King County outside RTA District, WA : GPL-0000 WA01700000"/>
    <n v="51942540"/>
    <s v="C3970 CMN Comm Equip, new"/>
    <n v="143003742"/>
    <s v="2107E136 AMI NTWK 38333 324 PL SE E"/>
    <s v="2107E136 AMI NTWK 38333 324 PL SE ENUMCL"/>
    <s v="12/2023"/>
    <n v="2"/>
    <n v="5192.49"/>
    <n v="746.16"/>
    <n v="4446.33"/>
    <x v="8"/>
    <x v="0"/>
  </r>
  <r>
    <s v="General Plant, Common"/>
    <s v="Common (E &amp; G)"/>
    <s v="General Plant, King County outside RTA District, WA : GPL-0000 WA01700000"/>
    <n v="51942543"/>
    <s v="C3970 CMN Comm Equip, new"/>
    <n v="143003744"/>
    <s v="2007E076 AMI NTWK 29103 SE 434 ST E"/>
    <s v="2007E076 AMI NTWK 29103 SE 434 ST ENUMCL"/>
    <s v="12/2023"/>
    <n v="2"/>
    <n v="4946.7700000000004"/>
    <n v="710.85"/>
    <n v="4235.92"/>
    <x v="8"/>
    <x v="0"/>
  </r>
  <r>
    <s v="General Plant, Common"/>
    <s v="Common (E &amp; G)"/>
    <s v="General Plant, King County outside RTA District, WA : GPL-0000 WA01700000"/>
    <n v="51942546"/>
    <s v="C3970 CMN Comm Equip, new"/>
    <n v="143003745"/>
    <s v="2107E048 AMI NTWK 35626 SE COURTNEY"/>
    <s v="2107E048 AMI NTWK 35626 SE COURTNEY RD R"/>
    <s v="12/2023"/>
    <n v="2"/>
    <n v="6060.52"/>
    <n v="870.89"/>
    <n v="5189.63"/>
    <x v="8"/>
    <x v="0"/>
  </r>
  <r>
    <s v="General Plant, Common"/>
    <s v="Common (E &amp; G)"/>
    <s v="General Plant, Pierce County outside RTA District, WA : GPL-0000 WA02700000"/>
    <n v="51942549"/>
    <s v="C3970 CMN Comm Equip, new"/>
    <n v="143003746"/>
    <s v="1904E066 AMI NTWK 8124 138 ST E PUY"/>
    <s v="1904E066 AMI NTWK 8124 138 ST E PUYALLUP"/>
    <s v="12/2023"/>
    <n v="2"/>
    <n v="4977.07"/>
    <n v="715.2"/>
    <n v="4261.87"/>
    <x v="8"/>
    <x v="0"/>
  </r>
  <r>
    <s v="General Plant, Common"/>
    <s v="Common (E &amp; G)"/>
    <s v="General Plant, Pierce County outside RTA District, WA : GPL-0000 WA02700000"/>
    <n v="51942552"/>
    <s v="C3970 CMN Comm Equip, new"/>
    <n v="143003749"/>
    <s v="1906E125 AMI NTWK 17909 178 ST E BU"/>
    <s v="1906E125 AMI NTWK 17909 178 ST E BUCKLEY"/>
    <s v="12/2023"/>
    <n v="2"/>
    <n v="4926.5"/>
    <n v="707.94"/>
    <n v="4218.5600000000004"/>
    <x v="8"/>
    <x v="0"/>
  </r>
  <r>
    <s v="General Plant, Common"/>
    <s v="Common (E &amp; G)"/>
    <s v="General Plant, King County Unincorporated within RTA District, WA : GPL-0000 WA11700990"/>
    <n v="51942555"/>
    <s v="C3970 CMN Comm Equip, new"/>
    <n v="143003755"/>
    <s v="9999E999 AMI NTWK S3 KENT OH 1-OFF "/>
    <s v="9999E999 AMI NTWK S3 KENT OH 1-OFF &amp; GTG"/>
    <s v="12/2023"/>
    <n v="2"/>
    <n v="15734.98"/>
    <n v="2261.11"/>
    <n v="13473.87"/>
    <x v="8"/>
    <x v="0"/>
  </r>
  <r>
    <s v="General Plant, Common"/>
    <s v="Common (E &amp; G)"/>
    <s v="General Plant, Kitsap County, WA : GPL-0000 WA01800000"/>
    <n v="51942558"/>
    <s v="C3970 CMN Comm Equip, new"/>
    <n v="143003766"/>
    <s v="2302E120 AMI NTWK 3343 SE CONDOR PT"/>
    <s v="2302E120 AMI NTWK 3343 SE CONDOR PT ORCH"/>
    <s v="12/2023"/>
    <n v="2"/>
    <n v="5235.88"/>
    <n v="752.39"/>
    <n v="4483.49"/>
    <x v="8"/>
    <x v="0"/>
  </r>
  <r>
    <s v="General Plant, Common"/>
    <s v="Common (E &amp; G)"/>
    <s v="General Plant, Kitsap County, WA : GPL-0000 WA01800000"/>
    <n v="51942561"/>
    <s v="C3970 CMN Comm Equip, new"/>
    <n v="143003767"/>
    <s v="2401E116 AMI NTWK 2636 SKPPN STONE "/>
    <s v="2401E116 AMI NTWK 2636 SKPPN STONE BREM"/>
    <s v="12/2023"/>
    <n v="2"/>
    <n v="5088.07"/>
    <n v="731.15"/>
    <n v="4356.92"/>
    <x v="8"/>
    <x v="0"/>
  </r>
  <r>
    <s v="General Plant, Common"/>
    <s v="Common (E &amp; G)"/>
    <s v="General Plant, Kitsap County, WA : GPL-0000 WA01800000"/>
    <n v="51942564"/>
    <s v="C3970 CMN Comm Equip, new"/>
    <n v="143003772"/>
    <s v="9999E999 AMI NTWK 7288 W BELFAIR VL"/>
    <s v="9999E999 AMI NTWK 7288 W BELFAIR VL BREM"/>
    <s v="12/2023"/>
    <n v="2"/>
    <n v="5216.8100000000004"/>
    <n v="749.65"/>
    <n v="4467.16"/>
    <x v="8"/>
    <x v="0"/>
  </r>
  <r>
    <s v="General Plant, Common"/>
    <s v="Common (E &amp; G)"/>
    <s v="General Plant, Kitsap County, WA : GPL-0000 WA01800000"/>
    <n v="51942567"/>
    <s v="C3970 CMN Comm Equip, new"/>
    <n v="143003773"/>
    <s v="2502W100 AMI NTWK 16154 NW STAVIS S"/>
    <s v="2502W100 AMI NTWK 16154 NW STAVIS SEABCK"/>
    <s v="12/2023"/>
    <n v="2"/>
    <n v="5664.67"/>
    <n v="814.01"/>
    <n v="4850.66"/>
    <x v="8"/>
    <x v="0"/>
  </r>
  <r>
    <s v="General Plant, Common"/>
    <s v="Common (E &amp; G)"/>
    <s v="General Plant, Pierce County outside RTA District, WA : GPL-0000 WA02700000"/>
    <n v="51942570"/>
    <s v="C3970 CMN Comm Equip, new"/>
    <n v="143003774"/>
    <s v="1901E101 AMI NTWK 2800 CENTER DR DU"/>
    <s v="1901E101 AMI NTWK 2800 CENTER DR DUPONT"/>
    <s v="12/2023"/>
    <n v="2"/>
    <n v="12597.16"/>
    <n v="1810.21"/>
    <n v="10786.95"/>
    <x v="8"/>
    <x v="0"/>
  </r>
  <r>
    <s v="General Plant, Common"/>
    <s v="Common (E &amp; G)"/>
    <s v="General Plant, Pierce County outside RTA District, WA : GPL-0000 WA02700000"/>
    <n v="51942573"/>
    <s v="C3970 CMN Comm Equip, new"/>
    <n v="143003776"/>
    <s v="1901E104 AMI NTWK 1436 KINCALD ST D"/>
    <s v="1901E104 AMI NTWK 1436 KINCALD ST DUPNT"/>
    <s v="12/2023"/>
    <n v="2"/>
    <n v="13105.03"/>
    <n v="1883.19"/>
    <n v="11221.84"/>
    <x v="8"/>
    <x v="0"/>
  </r>
  <r>
    <s v="General Plant, Common"/>
    <s v="Common (E &amp; G)"/>
    <s v="General Plant, Pierce County outside RTA District, WA : GPL-0000 WA02700000"/>
    <n v="51942576"/>
    <s v="C3970 CMN Comm Equip, new"/>
    <n v="143003777"/>
    <s v="1901E138 AMI NTWK 1565 WLLMNGTN DR "/>
    <s v="1901E138 AMI NTWK 1565 WLLMNGTN DR DUPNT"/>
    <s v="12/2023"/>
    <n v="2"/>
    <n v="5656.59"/>
    <n v="812.85"/>
    <n v="4843.74"/>
    <x v="8"/>
    <x v="0"/>
  </r>
  <r>
    <s v="General Plant, Common"/>
    <s v="Common (E &amp; G)"/>
    <s v="General Plant, Kitsap County, WA : GPL-0000 WA01800000"/>
    <n v="51942579"/>
    <s v="C3970 CMN Comm Equip, new"/>
    <n v="143003780"/>
    <s v="2402W124 AMI NTWK 23540 W LUDVICK S"/>
    <s v="2402W124 AMI NTWK 23540 W LUDVICK SEABCK"/>
    <s v="12/2023"/>
    <n v="2"/>
    <n v="5664.67"/>
    <n v="814.01"/>
    <n v="4850.66"/>
    <x v="8"/>
    <x v="0"/>
  </r>
  <r>
    <s v="General Plant, Common"/>
    <s v="Common (E &amp; G)"/>
    <s v="General Plant, Kitsap County, WA : GPL-0000 WA01800000"/>
    <n v="51942582"/>
    <s v="C3970 CMN Comm Equip, new"/>
    <n v="143003781"/>
    <s v="2402W124 AMI NTWK 23931 W LUDVICK S"/>
    <s v="2402W124 AMI NTWK 23931 W LUDVICK SEABCK"/>
    <s v="12/2023"/>
    <n v="2"/>
    <n v="5664.66"/>
    <n v="814.01"/>
    <n v="4850.6500000000005"/>
    <x v="8"/>
    <x v="0"/>
  </r>
  <r>
    <s v="General Plant, Common"/>
    <s v="Common (E &amp; G)"/>
    <s v="General Plant, Thurston County, WA : GPL-0000 WA03400000"/>
    <n v="51942585"/>
    <s v="C3970 CMN Comm Equip, new"/>
    <n v="143003788"/>
    <s v="1702W010 AMI NTWK 1401 KINGSWOOD SW"/>
    <s v="1702W010 AMI NTWK 1401 KINGSWOOD SW TUMW"/>
    <s v="12/2023"/>
    <n v="2"/>
    <n v="5665.7300000000005"/>
    <n v="814.16"/>
    <n v="4851.57"/>
    <x v="8"/>
    <x v="0"/>
  </r>
  <r>
    <s v="General Plant, Common"/>
    <s v="Common (E &amp; G)"/>
    <s v="General Plant, Pierce County outside RTA District, WA : GPL-0000 WA02700000"/>
    <n v="51942588"/>
    <s v="C3970 CMN Comm Equip, new"/>
    <n v="143003789"/>
    <s v="1603E024 AMI NTWK 39111 30 AVE S RO"/>
    <s v="1603E024 AMI NTWK 39111 30 AVE S ROY"/>
    <s v="12/2023"/>
    <n v="2"/>
    <n v="4945"/>
    <n v="710.59"/>
    <n v="4234.41"/>
    <x v="8"/>
    <x v="0"/>
  </r>
  <r>
    <s v="General Plant, Common"/>
    <s v="Common (E &amp; G)"/>
    <s v="General Plant, Thurston County, WA : GPL-0000 WA03400000"/>
    <n v="51942591"/>
    <s v="C3970 CMN Comm Equip, new"/>
    <n v="143003792"/>
    <s v="1602E048 AMI NTWK 14027 RAINIER VW "/>
    <s v="1602E048 AMI NTWK 14027 RAINIER VW YELM"/>
    <s v="12/2023"/>
    <n v="2"/>
    <n v="6217.59"/>
    <n v="893.46"/>
    <n v="5324.13"/>
    <x v="8"/>
    <x v="0"/>
  </r>
  <r>
    <s v="General Plant, Common"/>
    <s v="Common (E &amp; G)"/>
    <s v="General Plant, Thurston County, WA : GPL-0000 WA03400000"/>
    <n v="51942594"/>
    <s v="C3970 CMN Comm Equip, new"/>
    <n v="143003793"/>
    <s v="1802W136 AMI NTWK 702 TROSPER RD SW"/>
    <s v="1802W136 AMI NTWK 702 TROSPER RD SW TUMW"/>
    <s v="12/2023"/>
    <n v="2"/>
    <n v="12605.45"/>
    <n v="1811.4"/>
    <n v="10794.050000000001"/>
    <x v="8"/>
    <x v="0"/>
  </r>
  <r>
    <s v="General Plant, Common"/>
    <s v="Common (E &amp; G)"/>
    <s v="General Plant, Thurston County, WA : GPL-0000 WA03400000"/>
    <n v="51942597"/>
    <s v="C3970 CMN Comm Equip, new"/>
    <n v="143003795"/>
    <s v="1603W100 AMI NTWK 5320 165 LN SW RO"/>
    <s v="1603W100 AMI NTWK 5320 165 LN SW ROCHEST"/>
    <s v="12/2023"/>
    <n v="2"/>
    <n v="5580.7300000000005"/>
    <n v="801.95"/>
    <n v="4778.78"/>
    <x v="8"/>
    <x v="0"/>
  </r>
  <r>
    <s v="General Plant, Common"/>
    <s v="Common (E &amp; G)"/>
    <s v="General Plant, Thurston County, WA : GPL-0000 WA03400000"/>
    <n v="51942600"/>
    <s v="C3970 CMN Comm Equip, new"/>
    <n v="143003796"/>
    <s v="1503W032 AMI NTWK 10019 LUNDEEN SW "/>
    <s v="1503W032 AMI NTWK 10019 LUNDEEN SW ROCHE"/>
    <s v="12/2023"/>
    <n v="2"/>
    <n v="6006.63"/>
    <n v="863.15"/>
    <n v="5143.4800000000005"/>
    <x v="8"/>
    <x v="0"/>
  </r>
  <r>
    <s v="General Plant, Common"/>
    <s v="Common (E &amp; G)"/>
    <s v="General Plant, Thurston County, WA : GPL-0000 WA03400000"/>
    <n v="51942603"/>
    <s v="C3970 CMN Comm Equip, new"/>
    <n v="143003798"/>
    <s v="9999E999 AMI NTWK 1195 NW GILMAN IS"/>
    <s v="9999E999 AMI NTWK 1195 NW GILMAN ISSAQ"/>
    <s v="12/2023"/>
    <n v="2"/>
    <n v="5783.4400000000005"/>
    <n v="831.08"/>
    <n v="4952.3599999999997"/>
    <x v="8"/>
    <x v="0"/>
  </r>
  <r>
    <s v="General Plant, Common"/>
    <s v="Common (E &amp; G)"/>
    <s v="General Plant, Skagit County, WA : GPL-0000 WA02900000"/>
    <n v="51942606"/>
    <s v="C3970 CMN Comm Equip, new"/>
    <n v="143003804"/>
    <s v="3404E108 AMI NTWK 4800 EAGLEMONT MT"/>
    <s v="3404E108 AMI NTWK 4800 EAGLEMONT MT VERN"/>
    <s v="12/2023"/>
    <n v="2"/>
    <n v="5104.38"/>
    <n v="733.5"/>
    <n v="4370.88"/>
    <x v="8"/>
    <x v="0"/>
  </r>
  <r>
    <s v="General Plant, Common"/>
    <s v="Common (E &amp; G)"/>
    <s v="General Plant, Skagit County, WA : GPL-0000 WA02900000"/>
    <n v="52051880"/>
    <s v="C3970 CMN Comm Equip, new"/>
    <n v="143003805"/>
    <s v="3305E016 AMI NTWK 18252 PETER BURN "/>
    <s v="3305E016 AMI NTWK 18252 PETER BURN MTVER"/>
    <s v="12/2023"/>
    <n v="2"/>
    <n v="5233.1400000000003"/>
    <n v="752"/>
    <n v="4481.1400000000003"/>
    <x v="8"/>
    <x v="0"/>
  </r>
  <r>
    <s v="General Plant, Common"/>
    <s v="Common (E &amp; G)"/>
    <s v="General Plant, Skagit County, WA : GPL-0000 WA02900000"/>
    <n v="52051883"/>
    <s v="C3970 CMN Comm Equip, new"/>
    <n v="143003807"/>
    <s v="3603E023 AMI NTWK 1221 CHUCKANUT DR"/>
    <s v="3603E023 AMI NTWK 1221 CHUCKANUT DR BOW"/>
    <s v="12/2023"/>
    <n v="2"/>
    <n v="5650.43"/>
    <n v="811.96"/>
    <n v="4838.47"/>
    <x v="8"/>
    <x v="0"/>
  </r>
  <r>
    <s v="General Plant, Common"/>
    <s v="Common (E &amp; G)"/>
    <s v="General Plant, Skagit County, WA : GPL-0000 WA02900000"/>
    <n v="52051886"/>
    <s v="C3970 CMN Comm Equip, new"/>
    <n v="143003808"/>
    <s v="3507E008 AMI NTWK 40371 BATES LN CO"/>
    <s v="3507E008 AMI NTWK 40371 BATES LN CONCRET"/>
    <s v="12/2023"/>
    <n v="2"/>
    <n v="5099.05"/>
    <n v="732.73"/>
    <n v="4366.32"/>
    <x v="8"/>
    <x v="0"/>
  </r>
  <r>
    <s v="General Plant, Common"/>
    <s v="Common (E &amp; G)"/>
    <s v="General Plant, Skagit County, WA : GPL-0000 WA02900000"/>
    <n v="52051889"/>
    <s v="C3970 CMN Comm Equip, new"/>
    <n v="143003810"/>
    <s v="9999E999 AMI NTWK 13784 WHITE FALLS"/>
    <s v="9999E999 AMI NTWK 13784 WHITE FALLS CONC"/>
    <s v="12/2023"/>
    <n v="2"/>
    <n v="6462.79"/>
    <n v="928.7"/>
    <n v="5534.09"/>
    <x v="8"/>
    <x v="0"/>
  </r>
  <r>
    <s v="General Plant, Common"/>
    <s v="Common (E &amp; G)"/>
    <s v="General Plant, King County outside RTA District, WA : GPL-0000 WA01700000"/>
    <n v="52051892"/>
    <s v="C3970 CMN Comm Equip, new"/>
    <n v="143004012"/>
    <s v="2507E104 AMI NTWK 1235 352 AVE NE C"/>
    <s v="2507E104 AMI NTWK 1235 352 AVE NE CARNA"/>
    <s v="12/2023"/>
    <n v="2"/>
    <n v="8226"/>
    <n v="1182.07"/>
    <n v="7043.93"/>
    <x v="8"/>
    <x v="0"/>
  </r>
  <r>
    <s v="General Plant, Common"/>
    <s v="Common (E &amp; G)"/>
    <s v="General Plant, King County outside RTA District, WA : GPL-0000 WA01700000"/>
    <n v="52051895"/>
    <s v="C3970 CMN Comm Equip, new"/>
    <n v="143004013"/>
    <s v="2507E031 AMI NTWK 29414 NE 64 WY CA"/>
    <s v="2507E031 AMI NTWK 29414 NE 64 WY CARNA"/>
    <s v="12/2023"/>
    <n v="2"/>
    <n v="7793.71"/>
    <n v="1119.95"/>
    <n v="6673.76"/>
    <x v="8"/>
    <x v="0"/>
  </r>
  <r>
    <s v="General Plant, Common"/>
    <s v="Common (E &amp; G)"/>
    <s v="General Plant, King County outside RTA District, WA : GPL-0000 WA01700000"/>
    <n v="52051898"/>
    <s v="C3970 CMN Comm Equip, new"/>
    <n v="143004014"/>
    <s v="2507E008 AMI NTWK 35500 NE 98 ST CA"/>
    <s v="2507E008 AMI NTWK 35500 NE 98 ST CARNA"/>
    <s v="12/2023"/>
    <n v="2"/>
    <n v="8517.67"/>
    <n v="1223.98"/>
    <n v="7293.6900000000005"/>
    <x v="8"/>
    <x v="0"/>
  </r>
  <r>
    <s v="General Plant, Common"/>
    <s v="Common (E &amp; G)"/>
    <s v="General Plant, King County outside RTA District, WA : GPL-0000 WA01700000"/>
    <n v="52051901"/>
    <s v="C3970 CMN Comm Equip, new"/>
    <n v="143004015"/>
    <s v="2507E012 AMI NTWK 33746 NE 84TH PL"/>
    <s v="2507E012 AMI NTWK 33746 NE 84TH PL"/>
    <s v="12/2023"/>
    <n v="2"/>
    <n v="6043.25"/>
    <n v="868.41"/>
    <n v="5174.84"/>
    <x v="8"/>
    <x v="0"/>
  </r>
  <r>
    <s v="General Plant, Common"/>
    <s v="Common (E &amp; G)"/>
    <s v="General Plant, King County outside RTA District, WA : GPL-0000 WA01700000"/>
    <n v="52051904"/>
    <s v="C3970 CMN Comm Equip, new"/>
    <n v="143004016"/>
    <s v="2507E005 AMI NTWK 34225 NE 98TH ST "/>
    <s v="2507E005 AMI NTWK 34225 NE 98TH ST CARNA"/>
    <s v="12/2023"/>
    <n v="2"/>
    <n v="7804.92"/>
    <n v="1121.56"/>
    <n v="6683.3600000000006"/>
    <x v="8"/>
    <x v="0"/>
  </r>
  <r>
    <s v="General Plant, Common"/>
    <s v="Common (E &amp; G)"/>
    <s v="General Plant, King County Unincorporated within RTA District, WA : GPL-0000 WA11700990"/>
    <n v="52051909"/>
    <s v="C3970 CMN Comm Equip, new"/>
    <n v="143004061"/>
    <s v="2308E084 AMI NTWK 15540 417 PL SE K"/>
    <s v="2308E084 AMI NTWK 15540 417 PL SE KC"/>
    <s v="12/2023"/>
    <n v="2"/>
    <n v="7261.34"/>
    <n v="1043.45"/>
    <n v="6217.89"/>
    <x v="8"/>
    <x v="0"/>
  </r>
  <r>
    <s v="General Plant, Common"/>
    <s v="Common (E &amp; G)"/>
    <s v="General Plant, King County Unincorporated within RTA District, WA : GPL-0000 WA11700990"/>
    <n v="52051912"/>
    <s v="C3970 CMN Comm Equip, new"/>
    <n v="143004068"/>
    <s v="2406E089 AMI NTWK 2625 22 AVE NE IS"/>
    <s v="2406E089 AMI NTWK 2625 22 AVE NE ISSQ"/>
    <s v="12/2023"/>
    <n v="2"/>
    <n v="19277.28"/>
    <n v="2770.13"/>
    <n v="16507.150000000001"/>
    <x v="8"/>
    <x v="0"/>
  </r>
  <r>
    <s v="General Plant, Common"/>
    <s v="Common (E &amp; G)"/>
    <s v="General Plant, Thurston County, WA : GPL-0000 WA03400000"/>
    <n v="52051915"/>
    <s v="C3970 CMN Comm Equip, new"/>
    <n v="143004122"/>
    <s v="9999E999 AMI NTWK 6211 MULLEN RD SE"/>
    <s v="9999E999 AMI NTWK 6211 MULLEN RD SE LACE"/>
    <s v="12/2023"/>
    <n v="2"/>
    <n v="6217.59"/>
    <n v="893.46"/>
    <n v="5324.13"/>
    <x v="8"/>
    <x v="0"/>
  </r>
  <r>
    <s v="General Plant, Common"/>
    <s v="Common (E &amp; G)"/>
    <s v="General Plant, Thurston County, WA : GPL-0000 WA03400000"/>
    <n v="52051918"/>
    <s v="C3970 CMN Comm Equip, new"/>
    <n v="143004123"/>
    <s v="9999E999 AMI NTWK 4776 WHITMAN LN S"/>
    <s v="9999E999 AMI NTWK 4776 WHITMAN LN SE LAC"/>
    <s v="12/2023"/>
    <n v="2"/>
    <n v="13068.470000000001"/>
    <n v="1877.93"/>
    <n v="11190.54"/>
    <x v="8"/>
    <x v="0"/>
  </r>
  <r>
    <s v="General Plant, Common"/>
    <s v="Common (E &amp; G)"/>
    <s v="General Plant, Thurston County, WA : GPL-0000 WA03400000"/>
    <n v="52051921"/>
    <s v="C3970 CMN Comm Equip, new"/>
    <n v="143004124"/>
    <s v="9999E999 AMI NTWK 5815 SUNVIEW CT S"/>
    <s v="9999E999 AMI NTWK 5815 SUNVIEW CT SE LAC"/>
    <s v="12/2023"/>
    <n v="2"/>
    <n v="13068.470000000001"/>
    <n v="1877.93"/>
    <n v="11190.54"/>
    <x v="8"/>
    <x v="0"/>
  </r>
  <r>
    <s v="General Plant, Common"/>
    <s v="Common (E &amp; G)"/>
    <s v="General Plant, Thurston County, WA : GPL-0000 WA03400000"/>
    <n v="52051924"/>
    <s v="C3970 CMN Comm Equip, new"/>
    <n v="143004126"/>
    <s v="9999E999 AMI NTWK 5711 58TH CT SE L"/>
    <s v="9999E999 AMI NTWK 5711 58TH CT SE LACEY"/>
    <s v="12/2023"/>
    <n v="2"/>
    <n v="13068.470000000001"/>
    <n v="1877.93"/>
    <n v="11190.54"/>
    <x v="8"/>
    <x v="0"/>
  </r>
  <r>
    <s v="General Plant, Common"/>
    <s v="Common (E &amp; G)"/>
    <s v="General Plant, Thurston County, WA : GPL-0000 WA03400000"/>
    <n v="52051927"/>
    <s v="C3970 CMN Comm Equip, new"/>
    <n v="143004127"/>
    <s v="9999E999 AMI NTWK 8487 BAINBRIDGE L"/>
    <s v="9999E999 AMI NTWK 8487 BAINBRIDGE LP NE"/>
    <s v="12/2023"/>
    <n v="2"/>
    <n v="13105.03"/>
    <n v="1883.19"/>
    <n v="11221.84"/>
    <x v="8"/>
    <x v="0"/>
  </r>
  <r>
    <s v="General Plant, Common"/>
    <s v="Common (E &amp; G)"/>
    <s v="General Plant, Thurston County, WA : GPL-0000 WA03400000"/>
    <n v="52051930"/>
    <s v="C3970 CMN Comm Equip, new"/>
    <n v="143004128"/>
    <s v="9999E999 AMI NTWK 4504 6TH AVE SE L"/>
    <s v="9999E999 AMI NTWK 4504 6TH AVE SE LACEY"/>
    <s v="12/2023"/>
    <n v="2"/>
    <n v="13112.27"/>
    <n v="1884.23"/>
    <n v="11228.04"/>
    <x v="8"/>
    <x v="0"/>
  </r>
  <r>
    <s v="General Plant, Common"/>
    <s v="Common (E &amp; G)"/>
    <s v="General Plant, Thurston County, WA : GPL-0000 WA03400000"/>
    <n v="52051933"/>
    <s v="C3970 CMN Comm Equip, new"/>
    <n v="143004129"/>
    <s v="9999E999 AMI NTWK 2135 MARVIN RD NE"/>
    <s v="9999E999 AMI NTWK 2135 MARVIN RD NE"/>
    <s v="12/2023"/>
    <n v="2"/>
    <n v="5810.06"/>
    <n v="834.9"/>
    <n v="4975.16"/>
    <x v="8"/>
    <x v="0"/>
  </r>
  <r>
    <s v="General Plant, Common"/>
    <s v="Common (E &amp; G)"/>
    <s v="General Plant, Pierce County outside RTA District, WA : GPL-0000 WA02700000"/>
    <n v="52051936"/>
    <s v="C3970 CMN Comm Equip, new"/>
    <n v="143004131"/>
    <s v="9999E999 AMI NTWK 7206 TOBEMORY CR "/>
    <s v="9999E999 AMI NTWK 7206 TOBEMORY CR SW PT"/>
    <s v="12/2023"/>
    <n v="2"/>
    <n v="4665.4800000000005"/>
    <n v="670.43000000000006"/>
    <n v="3995.05"/>
    <x v="8"/>
    <x v="0"/>
  </r>
  <r>
    <s v="General Plant, Common"/>
    <s v="Common (E &amp; G)"/>
    <s v="General Plant, Pierce County outside RTA District, WA : GPL-0000 WA02700000"/>
    <n v="52051939"/>
    <s v="C3970 CMN Comm Equip, new"/>
    <n v="143004132"/>
    <s v="9999E999 AMI NTWK 7766 CYNTHIA LN S"/>
    <s v="9999E999 AMI NTWK 7766 CYNTHIA LN SW PT"/>
    <s v="12/2023"/>
    <n v="2"/>
    <n v="4665.47"/>
    <n v="670.43000000000006"/>
    <n v="3995.04"/>
    <x v="8"/>
    <x v="0"/>
  </r>
  <r>
    <s v="General Plant, Common"/>
    <s v="Common (E &amp; G)"/>
    <s v="General Plant, Pierce County outside RTA District, WA : GPL-0000 WA02700000"/>
    <n v="52051942"/>
    <s v="C3970 CMN Comm Equip, new"/>
    <n v="143004134"/>
    <s v="9999E999 AMI NTWK ONEOFF S4_C110_R0"/>
    <s v="9999E999 AMI NTWK ONEOFF S4_C110_R0040"/>
    <s v="12/2023"/>
    <n v="2"/>
    <n v="5833.58"/>
    <n v="838.28"/>
    <n v="4995.3"/>
    <x v="8"/>
    <x v="0"/>
  </r>
  <r>
    <s v="General Plant, Common"/>
    <s v="Common (E &amp; G)"/>
    <s v="General Plant, Pierce County outside RTA District, WA : GPL-0000 WA02700000"/>
    <n v="52051945"/>
    <s v="C3970 CMN Comm Equip, new"/>
    <n v="143004135"/>
    <s v="9999E999 AMI NTWK ONEOFF S4_C110_R0"/>
    <s v="9999E999 AMI NTWK ONEOFF S4_C110_R0080"/>
    <s v="12/2023"/>
    <n v="2"/>
    <n v="5360.04"/>
    <n v="770.23"/>
    <n v="4589.8100000000004"/>
    <x v="8"/>
    <x v="0"/>
  </r>
  <r>
    <s v="General Plant, Common"/>
    <s v="Common (E &amp; G)"/>
    <s v="General Plant, Pierce County outside RTA District, WA : GPL-0000 WA02700000"/>
    <n v="52051948"/>
    <s v="C3970 CMN Comm Equip, new"/>
    <n v="143004136"/>
    <s v="9999E999 AMI NTWK ONEOFF S4_C129_R0"/>
    <s v="9999E999 AMI NTWK ONEOFF S4_C129_R0050"/>
    <s v="12/2023"/>
    <n v="2"/>
    <n v="5701.9800000000005"/>
    <n v="819.37"/>
    <n v="4882.6099999999997"/>
    <x v="8"/>
    <x v="0"/>
  </r>
  <r>
    <s v="General Plant, Common"/>
    <s v="Common (E &amp; G)"/>
    <s v="General Plant, Pierce County outside RTA District, WA : GPL-0000 WA02700000"/>
    <n v="52051951"/>
    <s v="C3970 CMN Comm Equip, new"/>
    <n v="143004137"/>
    <s v="9999E999 AMI NTWK ONEOFF S4_C129_R0"/>
    <s v="9999E999 AMI NTWK ONEOFF S4_C129_R0080"/>
    <s v="12/2023"/>
    <n v="2"/>
    <n v="5664.67"/>
    <n v="814.01"/>
    <n v="4850.66"/>
    <x v="8"/>
    <x v="0"/>
  </r>
  <r>
    <s v="General Plant, Common"/>
    <s v="Common (E &amp; G)"/>
    <s v="General Plant, Snohomish County outside RTA Dst, WA : GPL-0000 WA03100000"/>
    <n v="52051954"/>
    <s v="C3970 CMN Comm Equip, new"/>
    <n v="143004181"/>
    <s v="9999E999 AMI NTWK 11876 SW LAKE FLO"/>
    <s v="9999E999 AMI NTWK 11876 SW LAKE FLORA RD"/>
    <s v="12/2023"/>
    <n v="2"/>
    <n v="5178.2"/>
    <n v="744.1"/>
    <n v="4434.1000000000004"/>
    <x v="8"/>
    <x v="0"/>
  </r>
  <r>
    <s v="General Plant, Common"/>
    <s v="Common (E &amp; G)"/>
    <s v="General Plant, Snohomish County outside RTA Dst, WA : GPL-0000 WA03100000"/>
    <n v="52051957"/>
    <s v="C3970 CMN Comm Equip, new"/>
    <n v="143004182"/>
    <s v="9999E999 AMI NTWK 15750 CARNEY LK R"/>
    <s v="9999E999 AMI NTWK 15750 CARNEY LK RD SW"/>
    <s v="12/2023"/>
    <n v="2"/>
    <n v="5701.9800000000005"/>
    <n v="819.37"/>
    <n v="4882.6099999999997"/>
    <x v="8"/>
    <x v="0"/>
  </r>
  <r>
    <s v="General Plant, Common"/>
    <s v="Common (E &amp; G)"/>
    <s v="General Plant, Snohomish County outside RTA Dst, WA : GPL-0000 WA03100000"/>
    <n v="52051960"/>
    <s v="C3970 CMN Comm Equip, new"/>
    <n v="143004183"/>
    <s v="9999E999 AMI NTWK 5532 SW PARADISE "/>
    <s v="9999E999 AMI NTWK 5532 SW PARADISE LN PT"/>
    <s v="12/2023"/>
    <n v="2"/>
    <n v="5194.2"/>
    <n v="746.4"/>
    <n v="4447.8"/>
    <x v="8"/>
    <x v="0"/>
  </r>
  <r>
    <s v="General Plant, Common"/>
    <s v="Common (E &amp; G)"/>
    <s v="General Plant, Snohomish County outside RTA Dst, WA : GPL-0000 WA03100000"/>
    <n v="52051963"/>
    <s v="C3970 CMN Comm Equip, new"/>
    <n v="143004184"/>
    <s v="9999E999 AMI NTWK 11064 WA-3 SW BRE"/>
    <s v="9999E999 AMI NTWK 11064 WA-3 SW BREMERTO"/>
    <s v="12/2023"/>
    <n v="2"/>
    <n v="5081.96"/>
    <n v="730.27"/>
    <n v="4351.6900000000005"/>
    <x v="8"/>
    <x v="0"/>
  </r>
  <r>
    <s v="General Plant, Common"/>
    <s v="Common (E &amp; G)"/>
    <s v="General Plant, Snohomish County outside RTA Dst, WA : GPL-0000 WA03100000"/>
    <n v="52051966"/>
    <s v="C3970 CMN Comm Equip, new"/>
    <n v="143004187"/>
    <s v="2406E053 AMI NTWK 25428 SE 42ND ST "/>
    <s v="2406E053 AMI NTWK 25428 SE 42ND ST SAMM"/>
    <s v="12/2023"/>
    <n v="2"/>
    <n v="17111.87"/>
    <n v="2458.9700000000003"/>
    <n v="14652.9"/>
    <x v="8"/>
    <x v="0"/>
  </r>
  <r>
    <s v="General Plant, Common"/>
    <s v="Common (E &amp; G)"/>
    <s v="General Plant, Pierce County outside RTA District, WA : GPL-0000 WA02700000"/>
    <n v="52051969"/>
    <s v="C3970 CMN Comm Equip, new"/>
    <n v="143004195"/>
    <s v="2309E112 AMI NTWK WA FIRE FIGHTER N"/>
    <s v="2309E112 AMI NTWK WA FIRE FIGHTER NORTHB"/>
    <s v="12/2023"/>
    <n v="2"/>
    <n v="6154.81"/>
    <n v="884.44"/>
    <n v="5270.37"/>
    <x v="8"/>
    <x v="0"/>
  </r>
  <r>
    <s v="General Plant, Common"/>
    <s v="Common (E &amp; G)"/>
    <s v="General Plant, Pierce County outside RTA District, WA : GPL-0000 WA02700000"/>
    <n v="52051972"/>
    <s v="C3970 CMN Comm Equip, new"/>
    <n v="143004196"/>
    <s v="2406E051 AMI NTWK 26010 OLD BLK NGG"/>
    <s v="2406E051 AMI NTWK 26010 OLD BLK NGGT ISS"/>
    <s v="12/2023"/>
    <n v="2"/>
    <n v="5045.4800000000005"/>
    <n v="725.03"/>
    <n v="4320.45"/>
    <x v="8"/>
    <x v="0"/>
  </r>
  <r>
    <s v="General Plant, Common"/>
    <s v="Common (E &amp; G)"/>
    <s v="General Plant, King County Unincorporated within RTA District, WA : GPL-0000 WA11700990"/>
    <n v="52051981"/>
    <s v="C3970 CMN Comm Equip, new"/>
    <n v="143004208"/>
    <s v="2405E060 AMI NTWK 4632 143AVE SE BE"/>
    <s v="2405E060 AMI NTWK 4632 143AVE SE BEL"/>
    <s v="12/2023"/>
    <n v="2"/>
    <n v="13573.75"/>
    <n v="1950.54"/>
    <n v="11623.210000000001"/>
    <x v="8"/>
    <x v="0"/>
  </r>
  <r>
    <s v="General Plant, Common"/>
    <s v="Common (E &amp; G)"/>
    <s v="General Plant, King County Unincorporated within RTA District, WA : GPL-0000 WA11700990"/>
    <n v="52051984"/>
    <s v="C3970 CMN Comm Equip, new"/>
    <n v="143004209"/>
    <s v="2406E074 AMI NTWK 18694 NW BERNINA "/>
    <s v="2406E074 AMI NTWK 18694 NW BERNINA ISSA"/>
    <s v="12/2023"/>
    <n v="2"/>
    <n v="14801.26"/>
    <n v="2126.9299999999998"/>
    <n v="12674.33"/>
    <x v="8"/>
    <x v="0"/>
  </r>
  <r>
    <s v="General Plant, Common"/>
    <s v="Common (E &amp; G)"/>
    <s v="General Plant, King County Unincorporated within RTA District, WA : GPL-0000 WA11700990"/>
    <n v="52051987"/>
    <s v="C3970 CMN Comm Equip, new"/>
    <n v="143004210"/>
    <s v="2606E134 AMI NTWK 22960 NE NOVLTYHL"/>
    <s v="2606E134 AMI NTWK 22960 NE NOVLTYHLL RED"/>
    <s v="12/2023"/>
    <n v="2"/>
    <n v="6534.14"/>
    <n v="938.95"/>
    <n v="5595.1900000000005"/>
    <x v="8"/>
    <x v="0"/>
  </r>
  <r>
    <s v="General Plant, Common"/>
    <s v="Common (E &amp; G)"/>
    <s v="General Plant, King County Unincorporated within RTA District, WA : GPL-0000 WA11700990"/>
    <n v="52051990"/>
    <s v="C3970 CMN Comm Equip, new"/>
    <n v="143004211"/>
    <s v="2606E133 AMI NTWK 11099 EASTRDGE DR"/>
    <s v="2606E133 AMI NTWK 11099 EASTRDGE DR"/>
    <s v="12/2023"/>
    <n v="2"/>
    <n v="12873.36"/>
    <n v="1849.89"/>
    <n v="11023.47"/>
    <x v="8"/>
    <x v="0"/>
  </r>
  <r>
    <s v="General Plant, Common"/>
    <s v="Common (E &amp; G)"/>
    <s v="General Plant, King County Unincorporated within RTA District, WA : GPL-0000 WA11700990"/>
    <n v="52051993"/>
    <s v="C3970 CMN Comm Equip, new"/>
    <n v="143004212"/>
    <s v="2307E040 AMI NTWK 33521 SE 114 ST I"/>
    <s v="2307E040 AMI NTWK 33521 SE 114 ST ISSAQ"/>
    <s v="12/2023"/>
    <n v="2"/>
    <n v="5587.95"/>
    <n v="802.99"/>
    <n v="4784.96"/>
    <x v="8"/>
    <x v="0"/>
  </r>
  <r>
    <s v="General Plant, Common"/>
    <s v="Common (E &amp; G)"/>
    <s v="General Plant, Kittitas County, WA : GPL-0000 WA01900000"/>
    <n v="52051996"/>
    <s v="C3970 CMN Comm Equip, new"/>
    <n v="143004214"/>
    <s v="1719E128 AMI NTWK 2940 TOZER RD ELL"/>
    <s v="1719E128 AMI NTWK 2940 TOZER RD ELLNSBUR"/>
    <s v="12/2023"/>
    <n v="2"/>
    <n v="6607.45"/>
    <n v="949.49"/>
    <n v="5657.96"/>
    <x v="8"/>
    <x v="0"/>
  </r>
  <r>
    <s v="General Plant, Common"/>
    <s v="Common (E &amp; G)"/>
    <s v="General Plant, King County Unincorporated within RTA District, WA : GPL-0000 WA11700990"/>
    <n v="52051999"/>
    <s v="C3970 CMN Comm Equip, new"/>
    <n v="143004215"/>
    <s v="2506E016 AMI NTWK 22821 NE 97PL RED"/>
    <s v="2506E016 AMI NTWK 22821 NE 97PL RED"/>
    <s v="12/2023"/>
    <n v="2"/>
    <n v="14667.57"/>
    <n v="2107.7200000000003"/>
    <n v="12559.85"/>
    <x v="8"/>
    <x v="0"/>
  </r>
  <r>
    <s v="General Plant, Common"/>
    <s v="Common (E &amp; G)"/>
    <s v="General Plant, King County Unincorporated within RTA District, WA : GPL-0000 WA11700990"/>
    <n v="52052002"/>
    <s v="C3970 CMN Comm Equip, new"/>
    <n v="143004216"/>
    <s v="9999E999 AMI NTWK 24030 107TH DR SE"/>
    <s v="9999E999 AMI NTWK 24030 107TH DR SE WOOD"/>
    <s v="12/2023"/>
    <n v="2"/>
    <n v="5139.41"/>
    <n v="738.53"/>
    <n v="4400.88"/>
    <x v="8"/>
    <x v="0"/>
  </r>
  <r>
    <s v="General Plant, Common"/>
    <s v="Common (E &amp; G)"/>
    <s v="General Plant, King County Unincorporated within RTA District, WA : GPL-0000 WA11700990"/>
    <n v="52052005"/>
    <s v="C3970 CMN Comm Equip, new"/>
    <n v="143004218"/>
    <s v="1915E032 AMI NTWK 240 TIMBER MT LP "/>
    <s v="1915E032 AMI NTWK 240 TIMBER MT LP CLE E"/>
    <s v="12/2023"/>
    <n v="2"/>
    <n v="6925.1500000000005"/>
    <n v="995.14"/>
    <n v="5930.01"/>
    <x v="8"/>
    <x v="0"/>
  </r>
  <r>
    <s v="General Plant, Common"/>
    <s v="Common (E &amp; G)"/>
    <s v="General Plant, Thurston County, WA : GPL-0000 WA03400000"/>
    <n v="52052008"/>
    <s v="C3970 CMN Comm Equip, new"/>
    <n v="143004219"/>
    <s v="9999E999 AMI NTWK 701 WATER ST SW O"/>
    <s v="9999E999 AMI NTWK 701 WATER ST SW OLYMPI"/>
    <s v="12/2023"/>
    <n v="2"/>
    <n v="12946.37"/>
    <n v="1860.39"/>
    <n v="11085.98"/>
    <x v="8"/>
    <x v="0"/>
  </r>
  <r>
    <s v="General Plant, Common"/>
    <s v="Common (E &amp; G)"/>
    <s v="General Plant, Skagit County, WA : GPL-0000 WA02900000"/>
    <n v="52052015"/>
    <s v="C3970 CMN Comm Equip, new"/>
    <n v="143004581"/>
    <s v="2015E072 AMI NTWK 1390 SWIFTWATER D"/>
    <s v="2015E072 AMI NTWK 1390 SWIFTWATER DR CLE"/>
    <s v="12/2023"/>
    <n v="2"/>
    <n v="10637.710000000001"/>
    <n v="1528.63"/>
    <n v="9109.08"/>
    <x v="8"/>
    <x v="0"/>
  </r>
  <r>
    <s v="General Plant, Common"/>
    <s v="Common (E &amp; G)"/>
    <s v="General Plant, Kittitas County, WA : GPL-0000 WA01900000"/>
    <n v="52052036"/>
    <s v="C3970 CMN Comm Equip, new"/>
    <n v="143005204"/>
    <s v="9999E999 AMI NTWK 291 BAKERS LN EAS"/>
    <s v="9999E999 AMI NTWK 291 BAKERS LN EASTON,"/>
    <s v="12/2023"/>
    <n v="2"/>
    <n v="13545.19"/>
    <n v="1946.44"/>
    <n v="11598.75"/>
    <x v="8"/>
    <x v="0"/>
  </r>
  <r>
    <s v="General Plant, Common"/>
    <s v="Common (E &amp; G)"/>
    <s v="General Plant, Kittitas County, WA : GPL-0000 WA01900000"/>
    <n v="52052039"/>
    <s v="C3970 CMN Comm Equip, new"/>
    <n v="143005205"/>
    <s v="9999E999 AMI NTWK 61 GRANDVIEW RD R"/>
    <s v="9999E999 AMI NTWK 61 GRANDVIEW RD RONALD"/>
    <s v="12/2023"/>
    <n v="3"/>
    <n v="14778.51"/>
    <n v="2123.66"/>
    <n v="12654.85"/>
    <x v="8"/>
    <x v="0"/>
  </r>
  <r>
    <s v="General Plant, Common"/>
    <s v="Common (E &amp; G)"/>
    <s v="General Plant, Kitsap County, WA : GPL-0000 WA01800000"/>
    <n v="52052070"/>
    <s v="C3970 CMN Comm Equip, new"/>
    <n v="143005426"/>
    <s v="9999E999 AMI NTWK 2639 70TH AVE E F"/>
    <s v="9999E999 AMI NTWK 2639 70TH AVE E FIFE"/>
    <s v="12/2023"/>
    <n v="2"/>
    <n v="5982.7"/>
    <n v="859.71"/>
    <n v="5122.99"/>
    <x v="8"/>
    <x v="0"/>
  </r>
  <r>
    <s v="General Plant, Common"/>
    <s v="Common (E &amp; G)"/>
    <s v="General Plant, Kitsap County, WA : GPL-0000 WA01800000"/>
    <n v="52052073"/>
    <s v="C3970 CMN Comm Equip, new"/>
    <n v="143005427"/>
    <s v="9999E999 AMI NTWK 25009 SUMMIT DR M"/>
    <s v="9999E999 AMI NTWK 25009 SUMMIT DR MAPLE"/>
    <s v="12/2023"/>
    <n v="2"/>
    <n v="5233.97"/>
    <n v="752.12"/>
    <n v="4481.8500000000004"/>
    <x v="8"/>
    <x v="0"/>
  </r>
  <r>
    <s v="General Plant, Common"/>
    <s v="Common (E &amp; G)"/>
    <s v="General Plant, Kitsap County, WA : GPL-0000 WA01800000"/>
    <n v="52052076"/>
    <s v="C3970 CMN Comm Equip, new"/>
    <n v="143005428"/>
    <s v="9999E999 AMI NTWK 11114 243RD AVE E"/>
    <s v="9999E999 AMI NTWK 11114 243RD AVE E BUCK"/>
    <s v="12/2023"/>
    <n v="2"/>
    <n v="12139.06"/>
    <n v="1744.38"/>
    <n v="10394.68"/>
    <x v="8"/>
    <x v="0"/>
  </r>
  <r>
    <s v="General Plant, Common"/>
    <s v="Common (E &amp; G)"/>
    <s v="General Plant, Kitsap County, WA : GPL-0000 WA01800000"/>
    <n v="52052079"/>
    <s v="C3970 CMN Comm Equip, new"/>
    <n v="143005429"/>
    <s v="9999E999 AMI NTWK 15311 VERMONTVILL"/>
    <s v="9999E999 AMI NTWK 15311 VERMONTVILLE RD"/>
    <s v="12/2023"/>
    <n v="2"/>
    <n v="6263.2"/>
    <n v="900.02"/>
    <n v="5363.18"/>
    <x v="8"/>
    <x v="0"/>
  </r>
  <r>
    <s v="General Plant, Common"/>
    <s v="Common (E &amp; G)"/>
    <s v="General Plant, Kitsap County, WA : GPL-0000 WA01800000"/>
    <n v="52052082"/>
    <s v="C3970 CMN Comm Equip, new"/>
    <n v="143005430"/>
    <s v="9999E999 AMI NTWK 6723 QUINCY AVE S"/>
    <s v="9999E999 AMI NTWK 6723 QUINCY AVE SE SUM"/>
    <s v="12/2023"/>
    <n v="2"/>
    <n v="12139.62"/>
    <n v="1744.46"/>
    <n v="10395.16"/>
    <x v="8"/>
    <x v="0"/>
  </r>
  <r>
    <s v="General Plant, Common"/>
    <s v="Common (E &amp; G)"/>
    <s v="General Plant, Kitsap County, WA : GPL-0000 WA01800000"/>
    <n v="52052085"/>
    <s v="C3970 CMN Comm Equip, new"/>
    <n v="143005432"/>
    <s v="9999E999 AMI NTWK 6283 NW GROSS RD "/>
    <s v="9999E999 AMI NTWK 6283 NW GROSS RD BREME"/>
    <s v="12/2023"/>
    <n v="2"/>
    <n v="5172.83"/>
    <n v="743.33"/>
    <n v="4429.5"/>
    <x v="8"/>
    <x v="0"/>
  </r>
  <r>
    <s v="General Plant, Common"/>
    <s v="Common (E &amp; G)"/>
    <s v="General Plant, Kitsap County, WA : GPL-0000 WA01800000"/>
    <n v="52052088"/>
    <s v="C3970 CMN Comm Equip, new"/>
    <n v="143005433"/>
    <s v="9999E999 AMI NTWK  6421 NW GROSS RD"/>
    <s v="9999E999 AMI NTWK  6421 NW GROSS RD BREM"/>
    <s v="12/2023"/>
    <n v="2"/>
    <n v="5172.83"/>
    <n v="743.33"/>
    <n v="4429.5"/>
    <x v="8"/>
    <x v="0"/>
  </r>
  <r>
    <s v="General Plant, Common"/>
    <s v="Common (E &amp; G)"/>
    <s v="General Plant, Kitsap County, WA : GPL-0000 WA01800000"/>
    <n v="52052091"/>
    <s v="C3970 CMN Comm Equip, new"/>
    <n v="143005434"/>
    <s v="9999E999 AMI NTWK 15933 W FROGGY MO"/>
    <s v="9999E999 AMI NTWK 15933 W FROGGY MOUNTAI"/>
    <s v="12/2023"/>
    <n v="2"/>
    <n v="6017.78"/>
    <n v="864.75"/>
    <n v="5153.03"/>
    <x v="8"/>
    <x v="0"/>
  </r>
  <r>
    <s v="General Plant, Common"/>
    <s v="Common (E &amp; G)"/>
    <s v="General Plant, Kitsap County, WA : GPL-0000 WA01800000"/>
    <n v="52052094"/>
    <s v="C3970 CMN Comm Equip, new"/>
    <n v="143005435"/>
    <s v="9999E999 AMI NTWK 8721 NW JESSIE MA"/>
    <s v="9999E999 AMI NTWK 8721 NW JESSIE MAE WAY"/>
    <s v="12/2023"/>
    <n v="2"/>
    <n v="5863.13"/>
    <n v="842.53"/>
    <n v="5020.6000000000004"/>
    <x v="8"/>
    <x v="0"/>
  </r>
  <r>
    <s v="General Plant, Common"/>
    <s v="Common (E &amp; G)"/>
    <s v="General Plant, Kitsap County, WA : GPL-0000 WA01800000"/>
    <n v="52052097"/>
    <s v="C3970 CMN Comm Equip, new"/>
    <n v="143005463"/>
    <s v="9999E999 AMI NTWK 9790 PEACE RD BLA"/>
    <s v="9999E999 AMI NTWK 9790 PEACE RD BLAINE"/>
    <s v="12/2023"/>
    <n v="2"/>
    <n v="6475.46"/>
    <n v="930.52"/>
    <n v="5544.9400000000005"/>
    <x v="8"/>
    <x v="0"/>
  </r>
  <r>
    <s v="General Plant, Common"/>
    <s v="Common (E &amp; G)"/>
    <s v="General Plant, Whatcom County, WA : GPL-0000 WA03700000"/>
    <n v="52052100"/>
    <s v="C3970 CMN Comm Equip, new"/>
    <n v="143005464"/>
    <s v="9999E999 AMI NTWK 8125 BIRCH BAY LY"/>
    <s v="9999E999 AMI NTWK 8125 BIRCH BAY LYNDEN"/>
    <s v="12/2023"/>
    <n v="3"/>
    <n v="10679.64"/>
    <n v="1534.66"/>
    <n v="9144.98"/>
    <x v="8"/>
    <x v="0"/>
  </r>
  <r>
    <s v="General Plant, Common"/>
    <s v="Common (E &amp; G)"/>
    <s v="General Plant, Whatcom County, WA : GPL-0000 WA03700000"/>
    <n v="52052103"/>
    <s v="C3970 CMN Comm Equip, new"/>
    <n v="143005465"/>
    <s v="9999E999 AMI NTWK 3618 TREE FARM CT"/>
    <s v="9999E999 AMI NTWK 3618 TREE FARM CT BELL"/>
    <s v="12/2023"/>
    <n v="2"/>
    <n v="6507.9000000000005"/>
    <n v="935.18000000000006"/>
    <n v="5572.72"/>
    <x v="8"/>
    <x v="0"/>
  </r>
  <r>
    <s v="General Plant, Common"/>
    <s v="Common (E &amp; G)"/>
    <s v="General Plant, Whatcom County, WA : GPL-0000 WA03700000"/>
    <n v="52052106"/>
    <s v="C3970 CMN Comm Equip, new"/>
    <n v="143005466"/>
    <s v="9999E999 AMI NTWK 3903 ISAACSON RD "/>
    <s v="9999E999 AMI NTWK 3903 ISAACSON RD  BELL"/>
    <s v="12/2023"/>
    <n v="2"/>
    <n v="6474.04"/>
    <n v="930.32"/>
    <n v="5543.72"/>
    <x v="8"/>
    <x v="0"/>
  </r>
  <r>
    <s v="General Plant, Common"/>
    <s v="Common (E &amp; G)"/>
    <s v="General Plant, Whatcom County, WA : GPL-0000 WA03700000"/>
    <n v="52052109"/>
    <s v="C3970 CMN Comm Equip, new"/>
    <n v="143005467"/>
    <s v="9999E999 AMI NTWK 3661 VINEYARD DR "/>
    <s v="9999E999 AMI NTWK 3661 VINEYARD DR BELLI"/>
    <s v="12/2023"/>
    <n v="2"/>
    <n v="5165.29"/>
    <n v="742.25"/>
    <n v="4423.04"/>
    <x v="8"/>
    <x v="0"/>
  </r>
  <r>
    <s v="General Plant, Common"/>
    <s v="Common (E &amp; G)"/>
    <s v="General Plant, Whatcom County, WA : GPL-0000 WA03700000"/>
    <n v="52052112"/>
    <s v="C3970 CMN Comm Equip, new"/>
    <n v="143005468"/>
    <s v="9999E999 AMI NTWK 11064 WHISTLER LN"/>
    <s v="9999E999 AMI NTWK 11064 WHISTLER LN DEMI"/>
    <s v="12/2023"/>
    <n v="2"/>
    <n v="6492.82"/>
    <n v="933.01"/>
    <n v="5559.81"/>
    <x v="8"/>
    <x v="0"/>
  </r>
  <r>
    <s v="General Plant, Common"/>
    <s v="Common (E &amp; G)"/>
    <s v="General Plant, Whatcom County, WA : GPL-0000 WA03700000"/>
    <n v="52052115"/>
    <s v="C3970 CMN Comm Equip, new"/>
    <n v="143005469"/>
    <s v="9999E999 AMI 19909 287 AVE SE MAPLE"/>
    <s v="9999E999 AMI 19909 287 AVE SE MAPLE VALL"/>
    <s v="12/2023"/>
    <n v="2"/>
    <n v="5145.2700000000004"/>
    <n v="739.37"/>
    <n v="4405.9000000000005"/>
    <x v="8"/>
    <x v="0"/>
  </r>
  <r>
    <s v="General Plant, Common"/>
    <s v="Common (E &amp; G)"/>
    <s v="General Plant, Whatcom County, WA : GPL-0000 WA03700000"/>
    <n v="52052118"/>
    <s v="C3970 CMN Comm Equip, new"/>
    <n v="143005470"/>
    <s v="9999E999 AMI NTWK 20728 HWY 525 COU"/>
    <s v="9999E999 AMI NTWK 20728 HWY 525 COUPEVIL"/>
    <s v="12/2023"/>
    <n v="2"/>
    <n v="6474.04"/>
    <n v="930.32"/>
    <n v="5543.72"/>
    <x v="8"/>
    <x v="0"/>
  </r>
  <r>
    <s v="General Plant, Common"/>
    <s v="Common (E &amp; G)"/>
    <s v="General Plant, Whatcom County, WA : GPL-0000 WA03700000"/>
    <n v="52052121"/>
    <s v="C3970 CMN Comm Equip, new"/>
    <n v="143005471"/>
    <s v="9999E999 AMI NTWK 8942 FROST CREEK "/>
    <s v="9999E999 AMI NTWK 8942 FROST CREEK RD MA"/>
    <s v="12/2023"/>
    <n v="2"/>
    <n v="13698.800000000001"/>
    <n v="1968.51"/>
    <n v="11730.29"/>
    <x v="8"/>
    <x v="0"/>
  </r>
  <r>
    <s v="General Plant, Common"/>
    <s v="Common (E &amp; G)"/>
    <s v="General Plant, Whatcom County, WA : GPL-0000 WA03700000"/>
    <n v="52052124"/>
    <s v="C3970 CMN Comm Equip, new"/>
    <n v="143005472"/>
    <s v="9999E999 AMI NTWK 7446 S PASS RD MA"/>
    <s v="9999E999 AMI NTWK 7446 S PASS RD MAPLE F"/>
    <s v="12/2023"/>
    <n v="2"/>
    <n v="6216.84"/>
    <n v="893.36"/>
    <n v="5323.4800000000005"/>
    <x v="8"/>
    <x v="0"/>
  </r>
  <r>
    <s v="General Plant, Common"/>
    <s v="Common (E &amp; G)"/>
    <s v="General Plant, Whatcom County, WA : GPL-0000 WA03700000"/>
    <n v="52052127"/>
    <s v="C3970 CMN Comm Equip, new"/>
    <n v="143005473"/>
    <s v="9999E999 AMI NTWK 9455 HEADY RD SUM"/>
    <s v="9999E999 AMI NTWK 9455 HEADY RD SUMAS"/>
    <s v="12/2023"/>
    <n v="2"/>
    <n v="6219.62"/>
    <n v="893.76"/>
    <n v="5325.86"/>
    <x v="8"/>
    <x v="0"/>
  </r>
  <r>
    <s v="General Plant, Common"/>
    <s v="Common (E &amp; G)"/>
    <s v="General Plant, Kitsap County, WA : GPL-0000 WA01800000"/>
    <n v="52052130"/>
    <s v="C3970 CMN Comm Equip, new"/>
    <n v="143005474"/>
    <s v="9999E999 AMI NTWK 21599 MARKET PL N"/>
    <s v="9999E999 AMI NTWK 21599 MARKET PL NW POU"/>
    <s v="12/2023"/>
    <n v="2"/>
    <n v="6486.76"/>
    <n v="932.14"/>
    <n v="5554.62"/>
    <x v="8"/>
    <x v="0"/>
  </r>
  <r>
    <s v="General Plant, Common"/>
    <s v="Common (E &amp; G)"/>
    <s v="General Plant, Thurston County, WA : GPL-0000 WA03400000"/>
    <n v="52052137"/>
    <s v="C3970 CMN Comm Equip, new"/>
    <n v="143005545"/>
    <s v="9999E999 AMI NTWK 7911 175 AVE SW R"/>
    <s v="9999E999 AMI NTWK 7911 175 AVE SW ROCHES"/>
    <s v="12/2023"/>
    <n v="2"/>
    <n v="6006.66"/>
    <n v="863.15"/>
    <n v="5143.51"/>
    <x v="8"/>
    <x v="0"/>
  </r>
  <r>
    <s v="General Plant, Common"/>
    <s v="Common (E &amp; G)"/>
    <s v="General Plant, Thurston County, WA : GPL-0000 WA03400000"/>
    <n v="52052140"/>
    <s v="C3970 CMN Comm Equip, new"/>
    <n v="143005546"/>
    <s v="9999E999 AMI NTWK 9020 190TH ST E P"/>
    <s v="9999E999 AMI NTWK 9020 190TH ST E PUYALL"/>
    <s v="12/2023"/>
    <n v="2"/>
    <n v="4874.3900000000003"/>
    <n v="700.45"/>
    <n v="4173.9400000000005"/>
    <x v="8"/>
    <x v="0"/>
  </r>
  <r>
    <s v="General Plant, Common"/>
    <s v="Common (E &amp; G)"/>
    <s v="General Plant, Thurston County, WA : GPL-0000 WA03400000"/>
    <n v="52052143"/>
    <s v="C3970 CMN Comm Equip, new"/>
    <n v="143005548"/>
    <s v="9999E999 AMI NTWK S5_C073"/>
    <s v="9999E999 AMI NTWK S5_C073"/>
    <s v="12/2023"/>
    <n v="2"/>
    <n v="4944.99"/>
    <n v="710.59"/>
    <n v="4234.3999999999996"/>
    <x v="8"/>
    <x v="0"/>
  </r>
  <r>
    <s v="General Plant, Common"/>
    <s v="Common (E &amp; G)"/>
    <s v="General Plant, Thurston County, WA : GPL-0000 WA03400000"/>
    <n v="52052146"/>
    <s v="C3970 CMN Comm Equip, new"/>
    <n v="143005549"/>
    <s v="9999E999 AMI NTWK S5_C080"/>
    <s v="9999E999 AMI NTWK S5_C080"/>
    <s v="12/2023"/>
    <n v="2"/>
    <n v="4944.99"/>
    <n v="710.59"/>
    <n v="4234.3999999999996"/>
    <x v="8"/>
    <x v="0"/>
  </r>
  <r>
    <s v="General Plant, Common"/>
    <s v="Common (E &amp; G)"/>
    <s v="General Plant, Thurston County, WA : GPL-0000 WA03400000"/>
    <n v="52052149"/>
    <s v="C3970 CMN Comm Equip, new"/>
    <n v="143005550"/>
    <s v="9999E999 AMI NTWK 3236 SE ROOSTER W"/>
    <s v="9999E999 AMI NTWK 3236 SE ROOSTER WAY O"/>
    <s v="12/2023"/>
    <n v="2"/>
    <n v="7039.45"/>
    <n v="1011.57"/>
    <n v="6027.88"/>
    <x v="8"/>
    <x v="0"/>
  </r>
  <r>
    <s v="General Plant, Common"/>
    <s v="Common (E &amp; G)"/>
    <s v="General Plant, Thurston County, WA : GPL-0000 WA03400000"/>
    <n v="52052152"/>
    <s v="C3970 CMN Comm Equip, new"/>
    <n v="143005551"/>
    <s v="9999E999 AMI NTWK 23831 SE GREEN VA"/>
    <s v="9999E999 AMI NTWK 23831 SE GREEN VALLEY"/>
    <s v="12/2023"/>
    <n v="2"/>
    <n v="5552.43"/>
    <n v="797.88"/>
    <n v="4754.55"/>
    <x v="8"/>
    <x v="0"/>
  </r>
  <r>
    <s v="General Plant, Common"/>
    <s v="Common (E &amp; G)"/>
    <s v="General Plant, Thurston County, WA : GPL-0000 WA03400000"/>
    <n v="52052155"/>
    <s v="C3970 CMN Comm Equip, new"/>
    <n v="143005552"/>
    <s v="9999E999 AMI NTWK P#956708 KING CNT"/>
    <s v="9999E999 AMI NTWK P#956708 KING CNTY RON"/>
    <s v="12/2023"/>
    <n v="2"/>
    <n v="6762.37"/>
    <n v="971.75"/>
    <n v="5790.62"/>
    <x v="8"/>
    <x v="0"/>
  </r>
  <r>
    <s v="General Plant, Common"/>
    <s v="Common (E &amp; G)"/>
    <s v="General Plant, Thurston County, WA : GPL-0000 WA03400000"/>
    <n v="52052158"/>
    <s v="C3970 CMN Comm Equip, new"/>
    <n v="143005553"/>
    <s v="9999E999 AMI NTWK 5318 ASPINWALL CT"/>
    <s v="9999E999 AMI NTWK 5318 ASPINWALL CT NE"/>
    <s v="12/2023"/>
    <n v="2"/>
    <n v="6007.74"/>
    <n v="863.31000000000006"/>
    <n v="5144.43"/>
    <x v="8"/>
    <x v="0"/>
  </r>
  <r>
    <s v="General Plant, Common"/>
    <s v="Common (E &amp; G)"/>
    <s v="General Plant, Thurston County, WA : GPL-0000 WA03400000"/>
    <n v="52052161"/>
    <s v="C3970 CMN Comm Equip, new"/>
    <n v="143005554"/>
    <s v="9999E999 AMI NTWK 540 PARTRIDGE DR "/>
    <s v="9999E999 AMI NTWK 540 PARTRIDGE DR NW"/>
    <s v="12/2023"/>
    <n v="2"/>
    <n v="6007.75"/>
    <n v="863.31000000000006"/>
    <n v="5144.4400000000005"/>
    <x v="8"/>
    <x v="0"/>
  </r>
  <r>
    <s v="General Plant, Common"/>
    <s v="Common (E &amp; G)"/>
    <s v="General Plant, Thurston County, WA : GPL-0000 WA03400000"/>
    <n v="52052164"/>
    <s v="C3970 CMN Comm Equip, new"/>
    <n v="143005555"/>
    <s v="9999E999 AMI NTWK 21402 SNAG ISLND "/>
    <s v="9999E999 AMI NTWK 21402 SNAG ISLND DR E"/>
    <s v="12/2023"/>
    <n v="2"/>
    <n v="5542.95"/>
    <n v="796.52"/>
    <n v="4746.43"/>
    <x v="8"/>
    <x v="0"/>
  </r>
  <r>
    <s v="General Plant, Common"/>
    <s v="Common (E &amp; G)"/>
    <s v="General Plant, Thurston County, WA : GPL-0000 WA03400000"/>
    <n v="52052167"/>
    <s v="C3970 CMN Comm Equip, new"/>
    <n v="143005556"/>
    <s v="9999E999 AMI NTWK 10706 194TH ST E "/>
    <s v="9999E999 AMI NTWK 10706 194TH ST E GRAHA"/>
    <s v="12/2023"/>
    <n v="2"/>
    <n v="8797.18"/>
    <n v="1264.1500000000001"/>
    <n v="7533.03"/>
    <x v="8"/>
    <x v="0"/>
  </r>
  <r>
    <s v="General Plant, Common"/>
    <s v="Common (E &amp; G)"/>
    <s v="General Plant, Thurston County, WA : GPL-0000 WA03400000"/>
    <n v="52052170"/>
    <s v="C3970 CMN Comm Equip, new"/>
    <n v="143005557"/>
    <s v="9999E999 AMI NTWK 16609 210TH ST E "/>
    <s v="9999E999 AMI NTWK 16609 210TH ST E GRAHA"/>
    <s v="12/2023"/>
    <n v="2"/>
    <n v="5574.01"/>
    <n v="800.98"/>
    <n v="4773.03"/>
    <x v="8"/>
    <x v="0"/>
  </r>
  <r>
    <s v="General Plant, Common"/>
    <s v="Common (E &amp; G)"/>
    <s v="General Plant, Thurston County, WA : GPL-0000 WA03400000"/>
    <n v="52052173"/>
    <s v="C3970 CMN Comm Equip, new"/>
    <n v="143005558"/>
    <s v="9999E999 AMI NTWK 43 ALPENTAL STREE"/>
    <s v="9999E999 AMI NTWK 43 ALPENTAL STREET"/>
    <s v="12/2023"/>
    <n v="2"/>
    <n v="13816.380000000001"/>
    <n v="1985.41"/>
    <n v="11830.97"/>
    <x v="8"/>
    <x v="0"/>
  </r>
  <r>
    <s v="General Plant, Common"/>
    <s v="Common (E &amp; G)"/>
    <s v="General Plant, Thurston County, WA : GPL-0000 WA03400000"/>
    <n v="52052176"/>
    <s v="C3970 CMN Comm Equip, new"/>
    <n v="143005559"/>
    <s v="9999E999 AMI NTWK 7730 CENTER BLVD "/>
    <s v="9999E999 AMI NTWK 7730 CENTER BLVD SE SN"/>
    <s v="12/2023"/>
    <n v="2"/>
    <n v="7021.59"/>
    <n v="1009"/>
    <n v="6012.59"/>
    <x v="8"/>
    <x v="0"/>
  </r>
  <r>
    <s v="General Plant, Common"/>
    <s v="Common (E &amp; G)"/>
    <s v="General Plant, Thurston County, WA : GPL-0000 WA03400000"/>
    <n v="52052179"/>
    <s v="C3970 CMN Comm Equip, new"/>
    <n v="143005600"/>
    <s v="9999E999 AMI NTWK 1121 63RD ST SE A"/>
    <s v="9999E999 AMI NTWK 1121 63RD ST SE AUBURN"/>
    <s v="12/2023"/>
    <n v="2"/>
    <n v="12095.41"/>
    <n v="1738.1000000000001"/>
    <n v="10357.31"/>
    <x v="8"/>
    <x v="0"/>
  </r>
  <r>
    <s v="General Plant, Common"/>
    <s v="Common (E &amp; G)"/>
    <s v="General Plant, Thurston County, WA : GPL-0000 WA03400000"/>
    <n v="52052182"/>
    <s v="C3970 CMN Comm Equip, new"/>
    <n v="143005602"/>
    <s v="9999E999 AMI NTWK 8911 MARTIN WAY E"/>
    <s v="9999E999 AMI NTWK 8911 MARTIN WAY E LACE"/>
    <s v="12/2023"/>
    <n v="2"/>
    <n v="6246.84"/>
    <n v="897.67000000000007"/>
    <n v="5349.17"/>
    <x v="8"/>
    <x v="0"/>
  </r>
  <r>
    <s v="General Plant, Common"/>
    <s v="Common (E &amp; G)"/>
    <s v="General Plant, Thurston County, WA : GPL-0000 WA03400000"/>
    <n v="52052185"/>
    <s v="C3970 CMN Comm Equip, new"/>
    <n v="143005603"/>
    <s v="9999E999 AMI NTWK 15099 DEFIANCE DR"/>
    <s v="9999E999 AMI NTWK 15099 DEFIANCE DR SE O"/>
    <s v="12/2023"/>
    <n v="2"/>
    <n v="6263.2"/>
    <n v="900.02"/>
    <n v="5363.18"/>
    <x v="8"/>
    <x v="0"/>
  </r>
  <r>
    <s v="General Plant, Common"/>
    <s v="Common (E &amp; G)"/>
    <s v="General Plant, Thurston County, WA : GPL-0000 WA03400000"/>
    <n v="52052188"/>
    <s v="C3970 CMN Comm Equip, new"/>
    <n v="143005620"/>
    <s v="9999E999 AMI NTWK 25235 SE KLAHANIE"/>
    <s v="9999E999 AMI NTWK 25235 SE KLAHANIE BLVD"/>
    <s v="12/2023"/>
    <n v="2"/>
    <n v="7343.91"/>
    <n v="1055.32"/>
    <n v="6288.59"/>
    <x v="8"/>
    <x v="0"/>
  </r>
  <r>
    <s v="General Plant, Common"/>
    <s v="Common (E &amp; G)"/>
    <s v="General Plant, Thurston County, WA : GPL-0000 WA03400000"/>
    <n v="52052191"/>
    <s v="C3970 CMN Comm Equip, new"/>
    <n v="143005621"/>
    <s v="9999E999 AMI NTWK 5225 NE MINDER RD"/>
    <s v="9999E999 AMI NTWK 5225 NE MINDER RD POUL"/>
    <s v="12/2023"/>
    <n v="2"/>
    <n v="7021.59"/>
    <n v="1009"/>
    <n v="6012.59"/>
    <x v="8"/>
    <x v="0"/>
  </r>
  <r>
    <s v="General Plant, Common"/>
    <s v="Common (E &amp; G)"/>
    <s v="General Plant, Thurston County, WA : GPL-0000 WA03400000"/>
    <n v="52052194"/>
    <s v="C3970 CMN Comm Equip, new"/>
    <n v="143005622"/>
    <s v="9999E999 AMI NTWK 18455 W WINTER GR"/>
    <s v="9999E999 AMI NTWK 18455 W WINTER GRN LN"/>
    <s v="12/2023"/>
    <n v="2"/>
    <n v="7021.59"/>
    <n v="1009"/>
    <n v="6012.59"/>
    <x v="8"/>
    <x v="0"/>
  </r>
  <r>
    <s v="General Plant, Common"/>
    <s v="Common (E &amp; G)"/>
    <s v="General Plant, Thurston County, WA : GPL-0000 WA03400000"/>
    <n v="52052197"/>
    <s v="C3970 CMN Comm Equip, new"/>
    <n v="143005623"/>
    <s v="9999E999 AMI NTWK 5801 S 212TH ST K"/>
    <s v="9999E999 AMI NTWK 5801 S 212TH ST KENT"/>
    <s v="12/2023"/>
    <n v="3"/>
    <n v="6945.28"/>
    <n v="998.03"/>
    <n v="5947.25"/>
    <x v="8"/>
    <x v="0"/>
  </r>
  <r>
    <s v="General Plant, Common"/>
    <s v="Common (E &amp; G)"/>
    <s v="General Plant, Thurston County, WA : GPL-0000 WA03400000"/>
    <n v="52052200"/>
    <s v="C3970 CMN Comm Equip, new"/>
    <n v="143005624"/>
    <s v="9999E999 AMI NTWK 16620 RAILWAY RD "/>
    <s v="9999E999 AMI NTWK 16620 RAILWAY RD SE YE"/>
    <s v="12/2023"/>
    <n v="2"/>
    <n v="13822.04"/>
    <n v="1986.22"/>
    <n v="11835.82"/>
    <x v="8"/>
    <x v="0"/>
  </r>
  <r>
    <s v="General Plant, Common"/>
    <s v="Common (E &amp; G)"/>
    <s v="General Plant, Thurston County, WA : GPL-0000 WA03400000"/>
    <n v="52052203"/>
    <s v="C3970 CMN Comm Equip, new"/>
    <n v="143005625"/>
    <s v="9999E999 AMI NTWK 208 SEATTLE ST E "/>
    <s v="9999E999 AMI NTWK 208 SEATTLE ST E RAINI"/>
    <s v="12/2023"/>
    <n v="2"/>
    <n v="13847.37"/>
    <n v="1989.8600000000001"/>
    <n v="11857.51"/>
    <x v="8"/>
    <x v="0"/>
  </r>
  <r>
    <s v="General Plant, Common"/>
    <s v="Common (E &amp; G)"/>
    <s v="General Plant, Thurston County, WA : GPL-0000 WA03400000"/>
    <n v="52052206"/>
    <s v="C3970 CMN Comm Equip, new"/>
    <n v="143005626"/>
    <s v="9999E999 AMI NTWK 10500 MT BAKER HW"/>
    <s v="9999E999 AMI NTWK 10500 MT BAKER HWY DEM"/>
    <s v="12/2023"/>
    <n v="2"/>
    <n v="7021.59"/>
    <n v="1009"/>
    <n v="6012.59"/>
    <x v="8"/>
    <x v="0"/>
  </r>
  <r>
    <s v="General Plant, Common"/>
    <s v="Common (E &amp; G)"/>
    <s v="General Plant, Thurston County, WA : GPL-0000 WA03400000"/>
    <n v="52052209"/>
    <s v="C3970 CMN Comm Equip, new"/>
    <n v="143005627"/>
    <s v="9999E999 AMI NTWK 23403 AVALON HIDE"/>
    <s v="9999E999 AMI NTWK 23403 AVALON HIDEAWAY"/>
    <s v="12/2023"/>
    <n v="2"/>
    <n v="7021.59"/>
    <n v="1009"/>
    <n v="6012.59"/>
    <x v="8"/>
    <x v="0"/>
  </r>
  <r>
    <s v="General Plant, Common"/>
    <s v="Common (E &amp; G)"/>
    <s v="General Plant, Thurston County, WA : GPL-0000 WA03400000"/>
    <n v="52052212"/>
    <s v="C3970 CMN Comm Equip, new"/>
    <n v="143005628"/>
    <s v="9999E999 AMI NTWK 1724 EMERALD WAY "/>
    <s v="9999E999 AMI NTWK 1724 EMERALD WAY LYNDE"/>
    <s v="12/2023"/>
    <n v="2"/>
    <n v="14004.470000000001"/>
    <n v="2012.43"/>
    <n v="11992.04"/>
    <x v="8"/>
    <x v="0"/>
  </r>
  <r>
    <s v="General Plant, Common"/>
    <s v="Common (E &amp; G)"/>
    <s v="General Plant, Thurston County, WA : GPL-0000 WA03400000"/>
    <n v="52052215"/>
    <s v="C3970 CMN Comm Equip, new"/>
    <n v="143005631"/>
    <s v="9999E999 AMI NTWK 75400 NE 122ND ST"/>
    <s v="9999E999 AMI NTWK 75400 NE 122ND ST SKYK"/>
    <s v="12/2023"/>
    <n v="2"/>
    <n v="6399.09"/>
    <n v="919.55000000000007"/>
    <n v="5479.54"/>
    <x v="8"/>
    <x v="0"/>
  </r>
  <r>
    <s v="General Plant, Common"/>
    <s v="Common (E &amp; G)"/>
    <s v="General Plant, Thurston County, WA : GPL-0000 WA03400000"/>
    <n v="52052223"/>
    <s v="C3970 CMN Comm Equip, new"/>
    <n v="143005700"/>
    <s v="9999E999 AMI NTWK 249 CHUCKANUT DR "/>
    <s v="9999E999 AMI NTWK 249 CHUCKANUT DR BELLI"/>
    <s v="12/2023"/>
    <n v="2"/>
    <n v="6217.59"/>
    <n v="893.46"/>
    <n v="5324.13"/>
    <x v="8"/>
    <x v="0"/>
  </r>
  <r>
    <s v="General Plant, Common"/>
    <s v="Common (E &amp; G)"/>
    <s v="General Plant, Thurston County, WA : GPL-0000 WA03400000"/>
    <n v="52052226"/>
    <s v="C3970 CMN Comm Equip, new"/>
    <n v="143005701"/>
    <s v="9999E999 AMI NTWK 7198 BISSET LN EV"/>
    <s v="9999E999 AMI NTWK 7198 BISSET LN EVERSON"/>
    <s v="12/2023"/>
    <n v="2"/>
    <n v="6217.59"/>
    <n v="893.46"/>
    <n v="5324.13"/>
    <x v="8"/>
    <x v="0"/>
  </r>
  <r>
    <s v="General Plant, Common"/>
    <s v="Common (E &amp; G)"/>
    <s v="General Plant, Thurston County, WA : GPL-0000 WA03400000"/>
    <n v="52052229"/>
    <s v="C3970 CMN Comm Equip, new"/>
    <n v="143005702"/>
    <s v="9999E999 AMI NTWK 18725 W MORGANMAR"/>
    <s v="9999E999 AMI NTWK 18725 W MORGANMARSH LN"/>
    <s v="12/2023"/>
    <n v="2"/>
    <n v="6217.59"/>
    <n v="893.46"/>
    <n v="5324.13"/>
    <x v="8"/>
    <x v="0"/>
  </r>
  <r>
    <s v="General Plant, Common"/>
    <s v="Common (E &amp; G)"/>
    <s v="General Plant, Thurston County, WA : GPL-0000 WA03400000"/>
    <n v="52052232"/>
    <s v="C3970 CMN Comm Equip, new"/>
    <n v="143005703"/>
    <s v="9999E999 AMI NTWK 4703 PRESTWICK LN"/>
    <s v="9999E999 AMI NTWK 4703 PRESTWICK LN SE"/>
    <s v="12/2023"/>
    <n v="2"/>
    <n v="13068.470000000001"/>
    <n v="1877.93"/>
    <n v="11190.54"/>
    <x v="8"/>
    <x v="0"/>
  </r>
  <r>
    <s v="General Plant, Common"/>
    <s v="Common (E &amp; G)"/>
    <s v="General Plant, Thurston County, WA : GPL-0000 WA03400000"/>
    <n v="52052235"/>
    <s v="C3970 CMN Comm Equip, new"/>
    <n v="143005704"/>
    <s v="9999E999 AMI NTWK 5703 66TH AVE SE "/>
    <s v="9999E999 AMI NTWK 5703 66TH AVE SE LACEY"/>
    <s v="12/2023"/>
    <n v="2"/>
    <n v="13068.460000000001"/>
    <n v="1877.93"/>
    <n v="11190.53"/>
    <x v="8"/>
    <x v="0"/>
  </r>
  <r>
    <s v="General Plant, Common"/>
    <s v="Common (E &amp; G)"/>
    <s v="General Plant, Thurston County, WA : GPL-0000 WA03400000"/>
    <n v="52052238"/>
    <s v="C3970 CMN Comm Equip, new"/>
    <n v="143005705"/>
    <s v="9999E999 AMI NTWK 15721 YELM TERRA "/>
    <s v="9999E999 AMI NTWK 15721 YELM TERRA WY SE"/>
    <s v="12/2023"/>
    <n v="2"/>
    <n v="13068.470000000001"/>
    <n v="1877.93"/>
    <n v="11190.54"/>
    <x v="8"/>
    <x v="0"/>
  </r>
  <r>
    <s v="General Plant, Common"/>
    <s v="Common (E &amp; G)"/>
    <s v="General Plant, Thurston County, WA : GPL-0000 WA03400000"/>
    <n v="52052241"/>
    <s v="C3970 CMN Comm Equip, new"/>
    <n v="143005706"/>
    <s v="9999E999 AMI NTWK 14969 MTN VIEW CT"/>
    <s v="9999E999 AMI NTWK 14969 MTN VIEW CT YELM"/>
    <s v="12/2023"/>
    <n v="2"/>
    <n v="13068.460000000001"/>
    <n v="1877.93"/>
    <n v="11190.53"/>
    <x v="8"/>
    <x v="0"/>
  </r>
  <r>
    <s v="General Plant, Common"/>
    <s v="Common (E &amp; G)"/>
    <s v="General Plant, Thurston County, WA : GPL-0000 WA03400000"/>
    <n v="52052244"/>
    <s v="C3970 CMN Comm Equip, new"/>
    <n v="143005707"/>
    <s v="9999E999 AMI NTWK 3600 SUNCADIA TRA"/>
    <s v="9999E999 AMI NTWK 3600 SUNCADIA TRAIL"/>
    <s v="12/2023"/>
    <n v="2"/>
    <n v="6495.38"/>
    <n v="933.38"/>
    <n v="5562"/>
    <x v="8"/>
    <x v="0"/>
  </r>
  <r>
    <s v="General Plant, Common"/>
    <s v="Common (E &amp; G)"/>
    <s v="General Plant, Thurston County, WA : GPL-0000 WA03400000"/>
    <n v="52052247"/>
    <s v="C3970 CMN Comm Equip, new"/>
    <n v="143005708"/>
    <s v="9999E999 AMI NTWK 311 SUNDANCE LN E"/>
    <s v="9999E999 AMI NTWK 311 SUNDANCE LN ELLENS"/>
    <s v="12/2023"/>
    <n v="2"/>
    <n v="6217.59"/>
    <n v="893.46"/>
    <n v="5324.13"/>
    <x v="8"/>
    <x v="0"/>
  </r>
  <r>
    <s v="General Plant, Common"/>
    <s v="Common (E &amp; G)"/>
    <s v="General Plant, Thurston County, WA : GPL-0000 WA03400000"/>
    <n v="52052250"/>
    <s v="C3970 CMN Comm Equip, new"/>
    <n v="143005709"/>
    <s v="9999E999 AMI NTWK 211 SILVER QUEEN "/>
    <s v="9999E999 AMI NTWK 211 SILVER QUEEN LN"/>
    <s v="12/2023"/>
    <n v="2"/>
    <n v="6217.59"/>
    <n v="893.46"/>
    <n v="5324.13"/>
    <x v="8"/>
    <x v="0"/>
  </r>
  <r>
    <s v="General Plant, Common"/>
    <s v="Common (E &amp; G)"/>
    <s v="General Plant, Thurston County, WA : GPL-0000 WA03400000"/>
    <n v="52052253"/>
    <s v="C3970 CMN Comm Equip, new"/>
    <n v="143005710"/>
    <s v="9999E999 AMI NTWK 128 CABIN TRAIL D"/>
    <s v="9999E999 AMI NTWK 128 CABIN TRAIL DR CLE"/>
    <s v="12/2023"/>
    <n v="2"/>
    <n v="6217.59"/>
    <n v="893.46"/>
    <n v="5324.13"/>
    <x v="8"/>
    <x v="0"/>
  </r>
  <r>
    <s v="General Plant, Common"/>
    <s v="Common (E &amp; G)"/>
    <s v="General Plant, Thurston County, WA : GPL-0000 WA03400000"/>
    <n v="52052256"/>
    <s v="C3970 CMN Comm Equip, new"/>
    <n v="143005711"/>
    <s v="9999E999 AMI NTWK 891 ANNA BELL DR "/>
    <s v="9999E999 AMI NTWK 891 ANNA BELL DR RONAL"/>
    <s v="12/2023"/>
    <n v="2"/>
    <n v="6217.42"/>
    <n v="893.44"/>
    <n v="5323.9800000000005"/>
    <x v="8"/>
    <x v="0"/>
  </r>
  <r>
    <s v="General Plant, Common"/>
    <s v="Common (E &amp; G)"/>
    <s v="General Plant, Thurston County, WA : GPL-0000 WA03400000"/>
    <n v="52052259"/>
    <s v="C3970 CMN Comm Equip, new"/>
    <n v="143005715"/>
    <s v="9999E999 AMI NTWK 39008 35TH AVE E "/>
    <s v="9999E999 AMI NTWK 39008 35TH AVE E ROY."/>
    <s v="12/2023"/>
    <n v="2"/>
    <n v="4928.97"/>
    <n v="708.29"/>
    <n v="4220.68"/>
    <x v="8"/>
    <x v="0"/>
  </r>
  <r>
    <s v="General Plant, Common"/>
    <s v="Common (E &amp; G)"/>
    <s v="General Plant, Thurston County, WA : GPL-0000 WA03400000"/>
    <n v="52052262"/>
    <s v="C3970 CMN Comm Equip, new"/>
    <n v="143005716"/>
    <s v="9999E999 AMI NTWK 1525 CHUCKANUT RD"/>
    <s v="9999E999 AMI NTWK 1525 CHUCKANUT RDG DR"/>
    <s v="12/2023"/>
    <n v="2"/>
    <n v="6162.04"/>
    <n v="885.48"/>
    <n v="5276.56"/>
    <x v="8"/>
    <x v="0"/>
  </r>
  <r>
    <s v="General Plant, Common"/>
    <s v="Common (E &amp; G)"/>
    <s v="General Plant, Thurston County, WA : GPL-0000 WA03400000"/>
    <n v="52052265"/>
    <s v="C3970 CMN Comm Equip, new"/>
    <n v="143005717"/>
    <s v="9999E999 AMI NTWK 13543 CHUCKANUT R"/>
    <s v="9999E999 AMI NTWK 13543 CHUCKANUT RD RD"/>
    <s v="12/2023"/>
    <n v="2"/>
    <n v="6162.05"/>
    <n v="885.48"/>
    <n v="5276.57"/>
    <x v="8"/>
    <x v="0"/>
  </r>
  <r>
    <s v="General Plant, Common"/>
    <s v="Common (E &amp; G)"/>
    <s v="General Plant, Thurston County, WA : GPL-0000 WA03400000"/>
    <n v="52052268"/>
    <s v="C3970 CMN Comm Equip, new"/>
    <n v="143005720"/>
    <s v="9999E999 AMI NTWK 7217 308TH AVE SE"/>
    <s v="9999E999 AMI NTWK 7217 308TH AVE SE"/>
    <s v="12/2023"/>
    <n v="2"/>
    <n v="6172.56"/>
    <n v="886.99"/>
    <n v="5285.57"/>
    <x v="8"/>
    <x v="0"/>
  </r>
  <r>
    <s v="General Plant, Common"/>
    <s v="Common (E &amp; G)"/>
    <s v="General Plant, Thurston County, WA : GPL-0000 WA03400000"/>
    <n v="52052271"/>
    <s v="C3970 CMN Comm Equip, new"/>
    <n v="143005722"/>
    <s v="9999E999 AMI NTWK 5024 LACEY BLVD S"/>
    <s v="9999E999 AMI NTWK 5024 LACEY BLVD SE"/>
    <s v="12/2023"/>
    <n v="2"/>
    <n v="13112.28"/>
    <n v="1884.23"/>
    <n v="11228.050000000001"/>
    <x v="8"/>
    <x v="0"/>
  </r>
  <r>
    <s v="General Plant, Common"/>
    <s v="Common (E &amp; G)"/>
    <s v="General Plant, Thurston County, WA : GPL-0000 WA03400000"/>
    <n v="52052274"/>
    <s v="C3970 CMN Comm Equip, new"/>
    <n v="143005723"/>
    <s v="9999E999 AMI NTWK 16544 LITTLEROCK "/>
    <s v="9999E999 AMI NTWK 16544 LITTLEROCK RD SW"/>
    <s v="12/2023"/>
    <n v="2"/>
    <n v="6087.51"/>
    <n v="874.77"/>
    <n v="5212.74"/>
    <x v="8"/>
    <x v="0"/>
  </r>
  <r>
    <s v="General Plant, Common"/>
    <s v="Common (E &amp; G)"/>
    <s v="General Plant, Thurston County, WA : GPL-0000 WA03400000"/>
    <n v="52052277"/>
    <s v="C3970 CMN Comm Equip, new"/>
    <n v="143005724"/>
    <s v="9999E999 AMI NTWK 3652 PACIFIC AVE "/>
    <s v="9999E999 AMI NTWK 3652 PACIFIC AVE SE"/>
    <s v="12/2023"/>
    <n v="2"/>
    <n v="13032.470000000001"/>
    <n v="1872.76"/>
    <n v="11159.710000000001"/>
    <x v="8"/>
    <x v="0"/>
  </r>
  <r>
    <s v="General Plant, Common"/>
    <s v="Common (E &amp; G)"/>
    <s v="General Plant, Thurston County, WA : GPL-0000 WA03400000"/>
    <n v="52052280"/>
    <s v="C3970 CMN Comm Equip, new"/>
    <n v="143005725"/>
    <s v="9999E999 AMI NTWK 26811 NE 23RD ST "/>
    <s v="9999E999 AMI NTWK 26811 NE 23RD ST RDMND"/>
    <s v="12/2023"/>
    <n v="2"/>
    <n v="6112.79"/>
    <n v="878.4"/>
    <n v="5234.3900000000003"/>
    <x v="8"/>
    <x v="0"/>
  </r>
  <r>
    <s v="General Plant, Common"/>
    <s v="Common (E &amp; G)"/>
    <s v="General Plant, Thurston County, WA : GPL-0000 WA03400000"/>
    <n v="52052283"/>
    <s v="C3970 CMN Comm Equip, new"/>
    <n v="143005726"/>
    <s v="9999E999 AMI NTWK 26001 NE 24TH ST "/>
    <s v="9999E999 AMI NTWK 26001 NE 24TH ST RDMND"/>
    <s v="12/2023"/>
    <n v="2"/>
    <n v="6164.5"/>
    <n v="885.84"/>
    <n v="5278.66"/>
    <x v="8"/>
    <x v="0"/>
  </r>
  <r>
    <s v="General Plant, Common"/>
    <s v="Common (E &amp; G)"/>
    <s v="General Plant, Thurston County, WA : GPL-0000 WA03400000"/>
    <n v="52052286"/>
    <s v="C3970 CMN Comm Equip, new"/>
    <n v="143005727"/>
    <s v="9999E999 AMI NTWK 3635 22ND AVE SE "/>
    <s v="9999E999 AMI NTWK 3635 22ND AVE SE OLYM"/>
    <s v="12/2023"/>
    <n v="2"/>
    <n v="13032.470000000001"/>
    <n v="1872.76"/>
    <n v="11159.710000000001"/>
    <x v="8"/>
    <x v="0"/>
  </r>
  <r>
    <s v="General Plant, Common"/>
    <s v="Common (E &amp; G)"/>
    <s v="General Plant, Thurston County, WA : GPL-0000 WA03400000"/>
    <n v="52052289"/>
    <s v="C3970 CMN Comm Equip, new"/>
    <n v="143005728"/>
    <s v="9999E999 AMI NTWK 3433 BLVD RD SE O"/>
    <s v="9999E999 AMI NTWK 3433 BLVD RD SE OLYMPI"/>
    <s v="12/2023"/>
    <n v="2"/>
    <n v="12947.45"/>
    <n v="1860.54"/>
    <n v="11086.91"/>
    <x v="8"/>
    <x v="0"/>
  </r>
  <r>
    <s v="General Plant, Common"/>
    <s v="Common (E &amp; G)"/>
    <s v="General Plant, Thurston County, WA : GPL-0000 WA03400000"/>
    <n v="52052292"/>
    <s v="C3970 CMN Comm Equip, new"/>
    <n v="143005730"/>
    <s v="9999E999 AMI NTWK 4843 SISKIYOU LP "/>
    <s v="9999E999 AMI NTWK 4843 SISKIYOU LP SE"/>
    <s v="12/2023"/>
    <n v="2"/>
    <n v="13032.53"/>
    <n v="1872.77"/>
    <n v="11159.76"/>
    <x v="8"/>
    <x v="0"/>
  </r>
  <r>
    <s v="General Plant, Common"/>
    <s v="Common (E &amp; G)"/>
    <s v="General Plant, Island County, WA : GPL-0000 WA01500000"/>
    <n v="52521324"/>
    <s v="C3970 CMN Comm Equip, new"/>
    <n v="143003394"/>
    <s v="3002E076 AMI NTWK 333 WHITEWEBS LN "/>
    <s v="3002E076 AMI NTWK 333 WHITEWEBS LN GREEN"/>
    <s v="12/2023"/>
    <n v="2"/>
    <n v="19316.55"/>
    <n v="2775.78"/>
    <n v="16540.77"/>
    <x v="8"/>
    <x v="0"/>
  </r>
  <r>
    <s v="General Plant, Common"/>
    <s v="Common (E &amp; G)"/>
    <s v="General Plant, Whatcom County, WA : GPL-0000 WA03700000"/>
    <n v="52521327"/>
    <s v="C3970 CMN Comm Equip, new"/>
    <n v="143003589"/>
    <s v="3803E077 AMI NTWK WOBURN ST &amp; PREMI"/>
    <s v="3803E077 AMI NTWK WOBURN ST &amp; PREMIERWY"/>
    <s v="12/2023"/>
    <n v="2"/>
    <n v="29802.33"/>
    <n v="4282.58"/>
    <n v="25519.75"/>
    <x v="8"/>
    <x v="0"/>
  </r>
  <r>
    <s v="General Plant, Common"/>
    <s v="Common (E &amp; G)"/>
    <s v="General Plant, Island County, WA : GPL-0000 WA01500000"/>
    <n v="52806873"/>
    <s v="C3970 CMN Comm Equip, new"/>
    <n v="143003382"/>
    <s v="9999E999 AMI NTWK 30211 THOMAS RD S"/>
    <s v="9999E999 AMI NTWK 30211 THOMAS RD SE KEN"/>
    <s v="12/2023"/>
    <n v="2"/>
    <n v="10059.300000000001"/>
    <n v="1445.52"/>
    <n v="8613.7800000000007"/>
    <x v="8"/>
    <x v="0"/>
  </r>
  <r>
    <s v="General Plant, Common"/>
    <s v="Common (E &amp; G)"/>
    <s v="General Plant, Pierce County outside RTA District, WA : GPL-0000 WA02700000"/>
    <n v="52806876"/>
    <s v="C3970 CMN Comm Equip, new"/>
    <n v="143003750"/>
    <s v="1906E115 AMI NTWK 26714 173 ST E BU"/>
    <s v="1906E115 AMI NTWK 26714 173 ST E BUCKLEY"/>
    <s v="12/2023"/>
    <n v="2"/>
    <n v="16461.25"/>
    <n v="2365.4700000000003"/>
    <n v="14095.78"/>
    <x v="8"/>
    <x v="0"/>
  </r>
  <r>
    <s v="General Plant, Common"/>
    <s v="Common (E &amp; G)"/>
    <s v="General Plant, King County Unincorporated within RTA District, WA : GPL-0000 WA11700990"/>
    <n v="53319930"/>
    <s v="C3970 CMN Comm Equip, new"/>
    <n v="143005253"/>
    <s v="MASTER PLAN DOCUMENT"/>
    <s v="MASTER PLAN DOCUMENT"/>
    <s v="12/2023"/>
    <n v="3"/>
    <n v="193541.48"/>
    <n v="27811.81"/>
    <n v="165729.67000000001"/>
    <x v="8"/>
    <x v="0"/>
  </r>
  <r>
    <s v="General Plant, Common"/>
    <s v="Common (E &amp; G)"/>
    <s v="General Plant, King County Unincorporated within RTA District, WA : GPL-0000 WA11700990"/>
    <n v="53319933"/>
    <s v="C3970 CMN Comm Equip, new"/>
    <n v="143005254"/>
    <s v="GENERAL SPECIFICATION"/>
    <s v="GENERAL SPECIFICATION"/>
    <s v="12/2023"/>
    <n v="4"/>
    <n v="219239.69"/>
    <n v="31504.63"/>
    <n v="187735.06"/>
    <x v="8"/>
    <x v="0"/>
  </r>
  <r>
    <s v="General Plant, Common"/>
    <s v="Common (E &amp; G)"/>
    <s v="General Plant, King County Unincorporated within RTA District, WA : GPL-0000 WA11700990"/>
    <n v="53319945"/>
    <s v="C3970 CMN Comm Equip, new"/>
    <n v="143005327"/>
    <s v="SITE DEVELOPMENT FEASIBILITY STUDIE"/>
    <s v="SITE DEVELOPMENT FEASIBILITY STUDIES"/>
    <s v="12/2023"/>
    <n v="3"/>
    <n v="926078.75"/>
    <n v="133077.01999999999"/>
    <n v="793001.73"/>
    <x v="8"/>
    <x v="0"/>
  </r>
  <r>
    <s v="General Plant, Common"/>
    <s v="Common (E &amp; G)"/>
    <s v="General Plant, Snohomish County outside RTA Dst, WA : GPL-0000 WA03100000"/>
    <n v="53677384"/>
    <s v="C3970 CMN Comm Equip, new"/>
    <n v="143005673"/>
    <s v="MYC-COM - Antenna add"/>
    <s v="MYC-COM - Antenna add"/>
    <s v="12/2023"/>
    <n v="1"/>
    <n v="30421.41"/>
    <n v="4371.54"/>
    <n v="26049.87"/>
    <x v="8"/>
    <x v="0"/>
  </r>
  <r>
    <s v="General Plant, Common"/>
    <s v="Common (E &amp; G)"/>
    <s v="General Plant, Kittitas County, WA : GPL-0000 WA01900000"/>
    <n v="53677403"/>
    <s v="C3970 CMN Comm Equip, new"/>
    <n v="143006001"/>
    <s v="KIT-SVC radio upgrade"/>
    <s v="KIT-SVC radio upgrade"/>
    <s v="12/2023"/>
    <n v="5"/>
    <n v="31916.04"/>
    <n v="4586.32"/>
    <n v="27329.72"/>
    <x v="8"/>
    <x v="0"/>
  </r>
  <r>
    <s v="General Plant, Common"/>
    <s v="Common (E &amp; G)"/>
    <s v="General Plant, Kittitas County, WA : GPL-0000 WA01900000"/>
    <n v="53677406"/>
    <s v="C3970 CMN Comm Equip, new"/>
    <n v="143006003"/>
    <s v="LOT-COM Radio upgrade"/>
    <s v="LOT-COM Radio upgrade"/>
    <s v="12/2023"/>
    <n v="1"/>
    <n v="24159.45"/>
    <n v="3471.7000000000003"/>
    <n v="20687.75"/>
    <x v="8"/>
    <x v="0"/>
  </r>
  <r>
    <s v="General Plant, Common"/>
    <s v="Common (E &amp; G)"/>
    <s v="General Plant, Garfield County, WA : GPL-0000 WA01200990"/>
    <n v="53677409"/>
    <s v="C3970 CMN Comm Equip, new"/>
    <n v="143006004"/>
    <s v="LIN-COM Radio upgrade"/>
    <s v="LIN-COM Radio upgrade"/>
    <s v="12/2023"/>
    <n v="1"/>
    <n v="31358.25"/>
    <n v="4506.16"/>
    <n v="26852.09"/>
    <x v="8"/>
    <x v="0"/>
  </r>
  <r>
    <s v="General Plant, Common"/>
    <s v="Common (E &amp; G)"/>
    <s v="General Plant, Garfield County, WA : GPL-0000 WA01200990"/>
    <n v="53677412"/>
    <s v="C3970 CMN Comm Equip, new"/>
    <n v="143006005"/>
    <s v="DJN-SUB Radio upgrade"/>
    <s v="DJN-SUB Radio upgrade"/>
    <s v="12/2023"/>
    <n v="1"/>
    <n v="34495.57"/>
    <n v="4956.99"/>
    <n v="29538.58"/>
    <x v="8"/>
    <x v="0"/>
  </r>
  <r>
    <s v="General Plant, Common"/>
    <s v="Common (E &amp; G)"/>
    <s v="General Plant, Skagit County, WA : GPL-0000 WA02900000"/>
    <n v="53824276"/>
    <s v="C3970 CMN Comm Equip, new"/>
    <n v="143003070"/>
    <s v="9999E999 AMI NTWK WHATCOM COUNTY"/>
    <s v="9999E999 AMI NTWK WHATCOM COUNTY"/>
    <s v="12/2023"/>
    <n v="4"/>
    <n v="31568.530000000002"/>
    <n v="4536.38"/>
    <n v="27032.15"/>
    <x v="8"/>
    <x v="0"/>
  </r>
  <r>
    <s v="General Plant, Common"/>
    <s v="Common (E &amp; G)"/>
    <s v="General Plant, Whatcom County, WA : GPL-0000 WA03700000"/>
    <n v="53824279"/>
    <s v="C3970 CMN Comm Equip, new"/>
    <n v="143003078"/>
    <s v="9999E999 AMI NTWK DEPLOY N4 BLAINE"/>
    <s v="9999E999 AMI NTWK DEPLOY N4 BLAINE"/>
    <s v="12/2023"/>
    <n v="5"/>
    <n v="40204.81"/>
    <n v="5777.41"/>
    <n v="34427.4"/>
    <x v="8"/>
    <x v="0"/>
  </r>
  <r>
    <s v="General Plant, Common"/>
    <s v="Common (E &amp; G)"/>
    <s v="General Plant, Pierce County outside RTA District, WA : GPL-0000 WA02700000"/>
    <n v="53824287"/>
    <s v="C3970 CMN Comm Equip, new"/>
    <n v="143003669"/>
    <s v="9999E999 AMI NTWK 40419 8TH AVE S R"/>
    <s v="9999E999 AMI NTWK 40419 8TH AVE S ROY"/>
    <s v="12/2023"/>
    <n v="2"/>
    <n v="2579.2600000000002"/>
    <n v="370.64"/>
    <n v="2208.62"/>
    <x v="8"/>
    <x v="0"/>
  </r>
  <r>
    <s v="General Plant, Common"/>
    <s v="Common (E &amp; G)"/>
    <s v="General Plant, King County Unincorporated within RTA District, WA : GPL-0000 WA11700990"/>
    <n v="53824290"/>
    <s v="C3970 CMN Comm Equip, new"/>
    <n v="143003725"/>
    <s v="9999E999 AMI NTWK S2 RENTON GTG &amp; O"/>
    <s v="9999E999 AMI NTWK S2 RENTON GTG &amp; OH1OFF"/>
    <s v="12/2023"/>
    <n v="5"/>
    <n v="38617"/>
    <n v="5549.24"/>
    <n v="33067.760000000002"/>
    <x v="8"/>
    <x v="0"/>
  </r>
  <r>
    <s v="General Plant, Common"/>
    <s v="Common (E &amp; G)"/>
    <s v="General Plant, King County Unincorporated within RTA District, WA : GPL-0000 WA11700990"/>
    <n v="53824293"/>
    <s v="C3970 CMN Comm Equip, new"/>
    <n v="143003730"/>
    <s v="9999E999 AMI NTWK N2 OH 1-OFF"/>
    <s v="9999E999 AMI NTWK N2 OH 1-OFF"/>
    <s v="12/2023"/>
    <n v="3"/>
    <n v="52755.5"/>
    <n v="7580.9400000000005"/>
    <n v="45174.559999999998"/>
    <x v="8"/>
    <x v="0"/>
  </r>
  <r>
    <s v="General Plant, Common"/>
    <s v="Common (E &amp; G)"/>
    <s v="General Plant, King County outside RTA District, WA : GPL-0000 WA01700000"/>
    <n v="53824296"/>
    <s v="C3970 CMN Comm Equip, new"/>
    <n v="143003739"/>
    <s v="2206E104 AMI NTWK 25600 SE SMMT LAN"/>
    <s v="2206E104 AMI NTWK 25600 SE SMMT LANDSBRG"/>
    <s v="12/2023"/>
    <n v="2"/>
    <n v="6897.87"/>
    <n v="991.22"/>
    <n v="5906.6500000000005"/>
    <x v="8"/>
    <x v="0"/>
  </r>
  <r>
    <s v="General Plant, Common"/>
    <s v="Common (E &amp; G)"/>
    <s v="General Plant, Pierce County outside RTA District, WA : GPL-0000 WA02700000"/>
    <n v="53824299"/>
    <s v="C3970 CMN Comm Equip, new"/>
    <n v="143003743"/>
    <s v="9999E999 AMI NTWK 12710 321 AVE E B"/>
    <s v="9999E999 AMI NTWK 12710 321 AVE E BUCKLE"/>
    <s v="12/2023"/>
    <n v="2"/>
    <n v="4184.7300000000005"/>
    <n v="601.34"/>
    <n v="3583.39"/>
    <x v="8"/>
    <x v="0"/>
  </r>
  <r>
    <s v="General Plant, Common"/>
    <s v="Common (E &amp; G)"/>
    <s v="General Plant, King County outside RTA District, WA : GPL-0000 WA01700000"/>
    <n v="53824302"/>
    <s v="C3970 CMN Comm Equip, new"/>
    <n v="143003758"/>
    <s v="9999E999 AMI NTWK S3 ENUMCLAW OH 1-"/>
    <s v="9999E999 AMI NTWK S3 ENUMCLAW OH 1-OFF"/>
    <s v="12/2023"/>
    <n v="2"/>
    <n v="3075.1800000000003"/>
    <n v="441.90000000000003"/>
    <n v="2633.28"/>
    <x v="8"/>
    <x v="0"/>
  </r>
  <r>
    <s v="General Plant, Common"/>
    <s v="Common (E &amp; G)"/>
    <s v="General Plant, Pierce County outside RTA District, WA : GPL-0000 WA02700000"/>
    <n v="53824305"/>
    <s v="C3970 CMN Comm Equip, new"/>
    <n v="143003790"/>
    <s v="9999E999 AMI NTWK 38012 4 AVE E ROY"/>
    <s v="9999E999 AMI NTWK 38012 4 AVE E ROY"/>
    <s v="12/2023"/>
    <n v="2"/>
    <n v="2356.21"/>
    <n v="338.59000000000003"/>
    <n v="2017.6200000000001"/>
    <x v="8"/>
    <x v="0"/>
  </r>
  <r>
    <s v="General Plant, Common"/>
    <s v="Common (E &amp; G)"/>
    <s v="General Plant, Pierce County outside RTA District, WA : GPL-0000 WA02700000"/>
    <n v="53824308"/>
    <s v="C3970 CMN Comm Equip, new"/>
    <n v="143003791"/>
    <s v="9999E999 AMI NTWK 1610 KINSMAN CT E"/>
    <s v="9999E999 AMI NTWK 1610 KINSMAN CT E ROY"/>
    <s v="12/2023"/>
    <n v="2"/>
    <n v="2071.5"/>
    <n v="297.67"/>
    <n v="1773.83"/>
    <x v="8"/>
    <x v="0"/>
  </r>
  <r>
    <s v="General Plant, Common"/>
    <s v="Common (E &amp; G)"/>
    <s v="General Plant, Skagit County, WA : GPL-0000 WA02900000"/>
    <n v="53824311"/>
    <s v="C3970 CMN Comm Equip, new"/>
    <n v="143003809"/>
    <s v="3509E108 AMI NTWK 51905 HWY20 CONCR"/>
    <s v="3509E108 AMI NTWK 51905 HWY20 CONCRETE"/>
    <s v="12/2023"/>
    <n v="8"/>
    <n v="9870.07"/>
    <n v="1418.32"/>
    <n v="8451.75"/>
    <x v="8"/>
    <x v="0"/>
  </r>
  <r>
    <s v="General Plant, Common"/>
    <s v="Common (E &amp; G)"/>
    <s v="General Plant, Skagit County, WA : GPL-0000 WA02900000"/>
    <n v="53824314"/>
    <s v="C3970 CMN Comm Equip, new"/>
    <n v="143003813"/>
    <s v="9999E999 AMI NTWK N3 MT VERNON OH 1"/>
    <s v="9999E999 AMI NTWK N3 MT VERNON OH 1-OFF"/>
    <s v="12/2023"/>
    <n v="2"/>
    <n v="12719.34"/>
    <n v="1827.76"/>
    <n v="10891.58"/>
    <x v="8"/>
    <x v="0"/>
  </r>
  <r>
    <s v="General Plant, Common"/>
    <s v="Common (E &amp; G)"/>
    <s v="General Plant, Skagit County, WA : GPL-0000 WA02900000"/>
    <n v="53824317"/>
    <s v="C3970 CMN Comm Equip, new"/>
    <n v="143003816"/>
    <s v="9999E999 AMI NTWK N3 UNIN SKAGIT OH"/>
    <s v="9999E999 AMI NTWK N3 UNIN SKAGIT OH 1OFF"/>
    <s v="12/2023"/>
    <n v="2"/>
    <n v="19517.670000000002"/>
    <n v="2804.68"/>
    <n v="16712.990000000002"/>
    <x v="8"/>
    <x v="0"/>
  </r>
  <r>
    <s v="General Plant, Common"/>
    <s v="Common (E &amp; G)"/>
    <s v="General Plant, King County outside RTA District, WA : GPL-0000 WA01700000"/>
    <n v="53824320"/>
    <s v="C3970 CMN Comm Equip, new"/>
    <n v="143003821"/>
    <s v="9999E999 AMI NTWK S3 MAPLE VALLY"/>
    <s v="9999E999 AMI NTWK S3 MAPLE VALLY"/>
    <s v="12/2023"/>
    <n v="2"/>
    <n v="10713"/>
    <n v="1539.45"/>
    <n v="9173.5500000000011"/>
    <x v="8"/>
    <x v="0"/>
  </r>
  <r>
    <s v="General Plant, Common"/>
    <s v="Common (E &amp; G)"/>
    <s v="General Plant, Thurston County, WA : GPL-0000 WA03400000"/>
    <n v="53824323"/>
    <s v="C3970 CMN Comm Equip, new"/>
    <n v="143004125"/>
    <s v="9999E999 AMI NTWK 4440 WELLINGTON L"/>
    <s v="9999E999 AMI NTWK 4440 WELLINGTON LP SE"/>
    <s v="12/2023"/>
    <n v="2"/>
    <n v="13379.28"/>
    <n v="1922.6000000000001"/>
    <n v="11456.68"/>
    <x v="8"/>
    <x v="0"/>
  </r>
  <r>
    <s v="General Plant, Common"/>
    <s v="Common (E &amp; G)"/>
    <s v="General Plant, Thurston County, WA : GPL-0000 WA03400000"/>
    <n v="53824338"/>
    <s v="C3970 CMN Comm Equip, new"/>
    <n v="143005601"/>
    <s v="9999E999 AMI NTWK 11900 YELM HWY SE"/>
    <s v="9999E999 AMI NTWK 11900 YELM HWY SE OLYM"/>
    <s v="12/2023"/>
    <n v="6"/>
    <n v="5279.96"/>
    <n v="758.73"/>
    <n v="4521.2300000000005"/>
    <x v="8"/>
    <x v="0"/>
  </r>
  <r>
    <s v="General Plant, Common"/>
    <s v="Common (E &amp; G)"/>
    <s v="General Plant, Thurston County, WA : GPL-0000 WA03400000"/>
    <n v="53824341"/>
    <s v="C3970 CMN Comm Equip, new"/>
    <n v="143005718"/>
    <s v="9999E999 AMI NTWK 33433 NE 102ND WA"/>
    <s v="9999E999 AMI NTWK 33433 NE 102ND WAY"/>
    <s v="12/2023"/>
    <n v="2"/>
    <n v="5612.42"/>
    <n v="806.5"/>
    <n v="4805.92"/>
    <x v="8"/>
    <x v="0"/>
  </r>
  <r>
    <s v="General Plant, Common"/>
    <s v="Common (E &amp; G)"/>
    <s v="General Plant, Thurston County, WA : GPL-0000 WA03400000"/>
    <n v="53824344"/>
    <s v="C3970 CMN Comm Equip, new"/>
    <n v="143005719"/>
    <s v="9999E999 AMI NTWK 1000 WILMINGTON D"/>
    <s v="9999E999 AMI NTWK 1000 WILMINGTON DR"/>
    <s v="12/2023"/>
    <n v="6"/>
    <n v="5374.71"/>
    <n v="772.34"/>
    <n v="4602.37"/>
    <x v="8"/>
    <x v="0"/>
  </r>
  <r>
    <s v="General Plant, Common"/>
    <s v="Common (E &amp; G)"/>
    <s v="General Plant, King County Unincorporated within RTA District, WA : GPL-0000 WA11700990"/>
    <n v="53979583"/>
    <s v="C3970 CMN Comm Equip, new"/>
    <n v="143006024"/>
    <s v="BER-SUB IT battery replacement"/>
    <s v="BER-SUB IT battery replacement"/>
    <s v="12/2023"/>
    <n v="10"/>
    <n v="53418.48"/>
    <n v="7676.21"/>
    <n v="45742.270000000004"/>
    <x v="8"/>
    <x v="0"/>
  </r>
  <r>
    <s v="General Plant, Common"/>
    <s v="Common (E &amp; G)"/>
    <s v="General Plant, King County Unincorporated within RTA District, WA : GPL-0000 WA11700990"/>
    <n v="56390566"/>
    <s v="C3970 CMN Comm Equip, new"/>
    <n v="143005255"/>
    <s v="Talbot Hill Sub MW improvements"/>
    <s v="Talbot Hill Sub MW improvements"/>
    <s v="12/2023"/>
    <n v="4"/>
    <n v="29714.02"/>
    <n v="4269.8900000000003"/>
    <n v="25444.13"/>
    <x v="8"/>
    <x v="0"/>
  </r>
  <r>
    <s v="General Plant, Common"/>
    <s v="Common (E &amp; G)"/>
    <s v="General Plant, Kitsap County, WA : GPL-0000 WA01800000"/>
    <n v="56390569"/>
    <s v="C3970 CMN Comm Equip, new"/>
    <n v="143005256"/>
    <s v="Green Mt Sub MW improvements"/>
    <s v="Green Mt Sub MW improvements"/>
    <s v="12/2023"/>
    <n v="4"/>
    <n v="43892.56"/>
    <n v="6307.34"/>
    <n v="37585.22"/>
    <x v="8"/>
    <x v="0"/>
  </r>
  <r>
    <s v="General Plant, Common"/>
    <s v="Common (E &amp; G)"/>
    <s v="General Plant, King County Unincorporated within RTA District, WA : GPL-0000 WA11700990"/>
    <n v="56450996"/>
    <s v="C3970 CMN Comm Equip, new"/>
    <n v="143005731"/>
    <s v="SKC-SVC PDU enhancements"/>
    <s v="SKC-SVC PDU enhancements"/>
    <s v="12/2023"/>
    <n v="2"/>
    <n v="3198.39"/>
    <n v="459.61"/>
    <n v="2738.78"/>
    <x v="8"/>
    <x v="0"/>
  </r>
  <r>
    <s v="General Plant, Common"/>
    <s v="Common (E &amp; G)"/>
    <s v="General Plant, King County Unincorporated within RTA District, WA : GPL-0000 WA11700990"/>
    <n v="56450999"/>
    <s v="C3970 CMN Comm Equip, new"/>
    <n v="143005732"/>
    <s v="VER-OFC PDU enhancements"/>
    <s v="VER-OFC PDU enhancements"/>
    <s v="12/2023"/>
    <n v="2"/>
    <n v="4208.4400000000005"/>
    <n v="604.75"/>
    <n v="3603.69"/>
    <x v="8"/>
    <x v="0"/>
  </r>
  <r>
    <s v="General Plant, Common"/>
    <s v="Common (E &amp; G)"/>
    <s v="General Plant, King County outside RTA District, WA : GPL-0000 WA01700000"/>
    <n v="56451002"/>
    <s v="C3970 CMN Comm Equip, new"/>
    <n v="143005733"/>
    <s v="SQE-OTC PDU enhancements"/>
    <s v="SQE-OTC PDU enhancements"/>
    <s v="12/2023"/>
    <n v="2"/>
    <n v="3198.39"/>
    <n v="459.61"/>
    <n v="2738.78"/>
    <x v="8"/>
    <x v="0"/>
  </r>
  <r>
    <s v="General Plant, Common"/>
    <s v="Common (E &amp; G)"/>
    <s v="General Plant, King County Unincorporated within RTA District, WA : GPL-0000 WA11700990"/>
    <n v="56451005"/>
    <s v="C3970 CMN Comm Equip, new"/>
    <n v="143005734"/>
    <s v="BOTO-BLGD PDU enhancements"/>
    <s v="BOTO-BLGD PDU enhancements"/>
    <s v="12/2023"/>
    <n v="2"/>
    <n v="6228.5"/>
    <n v="895.03"/>
    <n v="5333.47"/>
    <x v="8"/>
    <x v="0"/>
  </r>
  <r>
    <s v="General Plant, Common"/>
    <s v="Common (E &amp; G)"/>
    <s v="General Plant, Skagit County, WA : GPL-0000 WA02900000"/>
    <n v="56540264"/>
    <s v="C3970 CMN Comm Equip, new"/>
    <n v="143003806"/>
    <s v="9999E999 AMI NTWK 238 I-5 BURLINGTO"/>
    <s v="9999E999 AMI NTWK 238 I-5 BURLINGTON"/>
    <s v="12/2023"/>
    <n v="3"/>
    <n v="11433.22"/>
    <n v="1642.95"/>
    <n v="9790.27"/>
    <x v="8"/>
    <x v="0"/>
  </r>
  <r>
    <s v="General Plant, Common"/>
    <s v="Common (E &amp; G)"/>
    <s v="General Plant, Kitsap County, WA : GPL-0000 WA01800000"/>
    <n v="56540290"/>
    <s v="C3970 CMN Comm Equip, new"/>
    <n v="143005462"/>
    <s v="9999E999 AMI NTWK 10315 WHITE DEER "/>
    <s v="9999E999 AMI NTWK 10315 WHITE DEER PL SI"/>
    <s v="12/2023"/>
    <n v="2"/>
    <n v="13382.550000000001"/>
    <n v="1923.07"/>
    <n v="11459.48"/>
    <x v="8"/>
    <x v="0"/>
  </r>
  <r>
    <s v="General Plant, Common"/>
    <s v="Common (E &amp; G)"/>
    <s v="General Plant, Pierce County outside RTA District, WA : GPL-0000 WA02700000"/>
    <n v="56901800"/>
    <s v="C3970 CMN Comm Equip, new"/>
    <n v="143003187"/>
    <s v="9999E999 AMI NTWK ELMHURST ADD'L"/>
    <s v="9999E999 AMI NTWK ELMHURST ADD'L"/>
    <s v="12/2023"/>
    <n v="2"/>
    <n v="3585.23"/>
    <n v="515.20000000000005"/>
    <n v="3070.03"/>
    <x v="8"/>
    <x v="0"/>
  </r>
  <r>
    <s v="General Plant, Common"/>
    <s v="Common (E &amp; G)"/>
    <s v="General Plant, Whatcom County, WA : GPL-0000 WA03700000"/>
    <n v="56901808"/>
    <s v="C3970 CMN Comm Equip, new"/>
    <n v="143003647"/>
    <s v="9999E999 AMI NTWK 4778 RUTSATZ RD"/>
    <s v="9999E999 AMI NTWK 4778 RUTSATZ RD"/>
    <s v="12/2023"/>
    <n v="2"/>
    <n v="6975.1900000000005"/>
    <n v="1002.33"/>
    <n v="5972.86"/>
    <x v="8"/>
    <x v="0"/>
  </r>
  <r>
    <s v="General Plant, Common"/>
    <s v="Common (E &amp; G)"/>
    <s v="General Plant, Franklin County, WA : GPL-0000 WA01100990"/>
    <n v="56901826"/>
    <s v="C3970 CMN Comm Equip, new"/>
    <n v="143004776"/>
    <s v="KAHLOTUS MICROWAVE IMPROVEMENT"/>
    <s v="KAHLOTUS MICROWAVE IMPROVEMENT"/>
    <s v="12/2023"/>
    <n v="1"/>
    <n v="3004.4700000000003"/>
    <n v="431.74"/>
    <n v="2572.73"/>
    <x v="8"/>
    <x v="0"/>
  </r>
  <r>
    <s v="General Plant, Common"/>
    <s v="Common (E &amp; G)"/>
    <s v="General Plant, King County Unincorporated within RTA District, WA : GPL-0000 WA11700990"/>
    <n v="56901837"/>
    <s v="C3970 CMN Comm Equip, new"/>
    <n v="143005252"/>
    <s v="Updated Real Estate Strategy"/>
    <s v="Updated Real Estate Strategy"/>
    <s v="12/2023"/>
    <n v="2"/>
    <n v="54407.39"/>
    <n v="7818.31"/>
    <n v="46589.08"/>
    <x v="8"/>
    <x v="0"/>
  </r>
  <r>
    <s v="General Plant, Common"/>
    <s v="Common (E &amp; G)"/>
    <s v="General Plant, King County Unincorporated within RTA District, WA : GPL-0000 WA11700990"/>
    <n v="56901853"/>
    <s v="C3970 CMN Comm Equip, new"/>
    <n v="143005330"/>
    <s v="Space Planning and Management Strat"/>
    <s v="Space Planning and Management Strategy"/>
    <s v="12/2023"/>
    <n v="2"/>
    <n v="65074.29"/>
    <n v="9351.14"/>
    <n v="55723.15"/>
    <x v="8"/>
    <x v="0"/>
  </r>
  <r>
    <s v="General Plant, Common"/>
    <s v="Common (E &amp; G)"/>
    <s v="General Plant, Thurston County, WA : GPL-0000 WA03400000"/>
    <n v="56901862"/>
    <s v="C3970 CMN Comm Equip, new"/>
    <n v="143005630"/>
    <s v="9999E999 AMI NTWK 3719 70TH AVE E F"/>
    <s v="9999E999 AMI NTWK 3719 70TH AVE E FIFE"/>
    <s v="12/2023"/>
    <n v="3"/>
    <n v="10691.87"/>
    <n v="1536.42"/>
    <n v="9155.4500000000007"/>
    <x v="8"/>
    <x v="0"/>
  </r>
  <r>
    <s v="General Plant, Common"/>
    <s v="Common (E &amp; G)"/>
    <s v="General Plant, Thurston County, WA : GPL-0000 WA03400000"/>
    <n v="56901865"/>
    <s v="C3970 CMN Comm Equip, new"/>
    <n v="143005712"/>
    <s v="9999E999 AMI NTWK 3030 S 240TH ST K"/>
    <s v="9999E999 AMI NTWK 3030 S 240TH ST KENT"/>
    <s v="12/2023"/>
    <n v="2"/>
    <n v="11087.07"/>
    <n v="1593.21"/>
    <n v="9493.86"/>
    <x v="8"/>
    <x v="0"/>
  </r>
  <r>
    <s v="General Plant, Common"/>
    <s v="Common (E &amp; G)"/>
    <s v="General Plant, King County Unincorporated within RTA District, WA : GPL-0000 WA11700990"/>
    <n v="56901880"/>
    <s v="C3970 CMN Comm Equip, new"/>
    <n v="143005966"/>
    <s v="BOTH-BLDG H CRS Nodes"/>
    <s v="BOTH-BLDG H CRS Nodes"/>
    <s v="12/2023"/>
    <n v="9"/>
    <n v="31145.23"/>
    <n v="4475.55"/>
    <n v="26669.68"/>
    <x v="8"/>
    <x v="0"/>
  </r>
  <r>
    <s v="General Plant, Common"/>
    <s v="Common (E &amp; G)"/>
    <s v="General Plant, Kitsap County, WA : GPL-0000 WA01800000"/>
    <n v="56901885"/>
    <s v="C3970 CMN Comm Equip, new"/>
    <n v="143006026"/>
    <s v="US NAVY KEYPORT IT COMM BATTERY"/>
    <s v="US NAVY KEYPORT IT COMM BATTERY"/>
    <s v="12/2023"/>
    <n v="5"/>
    <n v="8097.66"/>
    <n v="1163.6300000000001"/>
    <n v="6934.03"/>
    <x v="8"/>
    <x v="0"/>
  </r>
  <r>
    <s v="General Plant, Common"/>
    <s v="Common (E &amp; G)"/>
    <s v="General Plant, Kitsap County, WA : GPL-0000 WA01800000"/>
    <n v="56901888"/>
    <s v="C3970 CMN Comm Equip, new"/>
    <n v="143006027"/>
    <s v="LOWER BAKER 24V IT COMM DC PLANT"/>
    <s v="LOWER BAKER 24V IT COMM DC PLANT"/>
    <s v="12/2023"/>
    <n v="5"/>
    <n v="28530.59"/>
    <n v="4099.83"/>
    <n v="24430.760000000002"/>
    <x v="8"/>
    <x v="0"/>
  </r>
  <r>
    <s v="General Plant, Common"/>
    <s v="Common (E &amp; G)"/>
    <s v="General Plant, Whatcom County, WA : GPL-0000 WA03700000"/>
    <n v="56901891"/>
    <s v="C3970 CMN Comm Equip, new"/>
    <n v="143006054"/>
    <s v="WHS-SUB WHITEHORN SUB CHARGER"/>
    <s v="WHS-SUB WHITEHORN SUB CHARGER"/>
    <s v="12/2023"/>
    <n v="2"/>
    <n v="20330.37"/>
    <n v="2921.46"/>
    <n v="17408.91"/>
    <x v="8"/>
    <x v="0"/>
  </r>
  <r>
    <s v="General Plant, Common"/>
    <s v="Common (E &amp; G)"/>
    <s v="General Plant, King County Unincorporated within RTA District, WA : GPL-0000 WA11700990"/>
    <n v="56972646"/>
    <s v="C3970 CMN Comm Equip, new"/>
    <n v="143006048"/>
    <s v="TRANSP. NET. MODERNIZATION-CMM-SAM "/>
    <s v="TRANSP. NET. MODERNIZATION-CMM-SAM SUB"/>
    <s v="12/2023"/>
    <n v="4"/>
    <n v="32421.49"/>
    <n v="4658.95"/>
    <n v="27762.54"/>
    <x v="8"/>
    <x v="0"/>
  </r>
  <r>
    <s v="General Plant, Common"/>
    <s v="Common (E &amp; G)"/>
    <s v="General Plant, King County Unincorporated within RTA District, WA : GPL-0000 WA11700990"/>
    <n v="56972649"/>
    <s v="C3970 CMN Comm Equip, new"/>
    <n v="143006051"/>
    <s v="Transp. Net. Modernization-CMM-FAC "/>
    <s v="Transp. Net. Modernization-CMM-FAC Sub"/>
    <s v="12/2023"/>
    <n v="2"/>
    <n v="4334.2700000000004"/>
    <n v="622.83000000000004"/>
    <n v="3711.44"/>
    <x v="8"/>
    <x v="0"/>
  </r>
  <r>
    <s v="General Plant, Common"/>
    <s v="Common (E &amp; G)"/>
    <s v="General Plant, Skagit County, WA : GPL-0000 WA02900000"/>
    <n v="57360865"/>
    <s v="C3970 CMN Comm Equip, new"/>
    <n v="143003812"/>
    <s v="9999E999 AMI NTWK 15594 SR 530 CONC"/>
    <s v="9999E999 AMI NTWK 15594 SR 530 CONCRETE"/>
    <s v="12/2023"/>
    <n v="3"/>
    <n v="5562.96"/>
    <n v="799.39"/>
    <n v="4763.57"/>
    <x v="8"/>
    <x v="0"/>
  </r>
  <r>
    <s v="General Plant, Common"/>
    <s v="Common (E &amp; G)"/>
    <s v="General Plant, Thurston County, WA : GPL-0000 WA03400000"/>
    <n v="57360895"/>
    <s v="C3970 CMN Comm Equip, new"/>
    <n v="143005713"/>
    <s v="9999E999 AMI NTWK 40502 TIMBERLINE "/>
    <s v="9999E999 AMI NTWK 40502 TIMBERLINE DR"/>
    <s v="12/2023"/>
    <n v="2"/>
    <n v="5126.83"/>
    <n v="736.72"/>
    <n v="4390.1099999999997"/>
    <x v="8"/>
    <x v="0"/>
  </r>
  <r>
    <s v="General Plant, Common"/>
    <s v="Common (E &amp; G)"/>
    <s v="General Plant, Thurston County, WA : GPL-0000 WA03400000"/>
    <n v="57360898"/>
    <s v="C3970 CMN Comm Equip, new"/>
    <n v="143005714"/>
    <s v="9999E999 AMI NTWK 2325 CASCADE DR E"/>
    <s v="9999E999 AMI NTWK 2325 CASCADE DR E ROY"/>
    <s v="12/2023"/>
    <n v="2"/>
    <n v="5115.54"/>
    <n v="735.1"/>
    <n v="4380.4400000000005"/>
    <x v="8"/>
    <x v="0"/>
  </r>
  <r>
    <s v="General Plant, Common"/>
    <s v="Common (E &amp; G)"/>
    <s v="General Plant, Thurston County, WA : GPL-0000 WA03400000"/>
    <n v="57360901"/>
    <s v="C3970 CMN Comm Equip, new"/>
    <n v="143005820"/>
    <s v="9999E999 AMI NTWK 26005 NE 34TH ST "/>
    <s v="9999E999 AMI NTWK 26005 NE 34TH ST RDMND"/>
    <s v="12/2023"/>
    <n v="2"/>
    <n v="6397.58"/>
    <n v="919.33"/>
    <n v="5478.25"/>
    <x v="8"/>
    <x v="0"/>
  </r>
  <r>
    <s v="General Plant, Common"/>
    <s v="Common (E &amp; G)"/>
    <s v="General Plant, Thurston County, WA : GPL-0000 WA03400000"/>
    <n v="57360904"/>
    <s v="C3970 CMN Comm Equip, new"/>
    <n v="143005821"/>
    <s v="9999E999 AMI NTWK 27401 NE 22ND ST "/>
    <s v="9999E999 AMI NTWK 27401 NE 22ND ST RDMND"/>
    <s v="12/2023"/>
    <n v="2"/>
    <n v="6397.59"/>
    <n v="919.33"/>
    <n v="5478.26"/>
    <x v="8"/>
    <x v="0"/>
  </r>
  <r>
    <s v="General Plant, Common"/>
    <s v="Common (E &amp; G)"/>
    <s v="General Plant, Thurston County, WA : GPL-0000 WA03400000"/>
    <n v="57360907"/>
    <s v="C3970 CMN Comm Equip, new"/>
    <n v="143005822"/>
    <s v="9999E999 AMI NTWK 24215 NE 59TH LN "/>
    <s v="9999E999 AMI NTWK 24215 NE 59TH LN RDMND"/>
    <s v="12/2023"/>
    <n v="2"/>
    <n v="6397.58"/>
    <n v="919.33"/>
    <n v="5478.25"/>
    <x v="8"/>
    <x v="0"/>
  </r>
  <r>
    <s v="General Plant, Common"/>
    <s v="Common (E &amp; G)"/>
    <s v="General Plant, Thurston County, WA : GPL-0000 WA03400000"/>
    <n v="57360910"/>
    <s v="C3970 CMN Comm Equip, new"/>
    <n v="143005823"/>
    <s v="9999E999 AMI NTWK 23811 NE 43RD ST "/>
    <s v="9999E999 AMI NTWK 23811 NE 43RD ST RDMND"/>
    <s v="12/2023"/>
    <n v="2"/>
    <n v="6397.59"/>
    <n v="919.33"/>
    <n v="5478.26"/>
    <x v="8"/>
    <x v="0"/>
  </r>
  <r>
    <s v="General Plant, Common"/>
    <s v="Common (E &amp; G)"/>
    <s v="General Plant, Thurston County, WA : GPL-0000 WA03400000"/>
    <n v="57360913"/>
    <s v="C3970 CMN Comm Equip, new"/>
    <n v="143005826"/>
    <s v="9999E999 AMI NTWK 302 BARKSDALE AVE"/>
    <s v="9999E999 AMI NTWK 302 BARKSDALE AVE DPNT"/>
    <s v="12/2023"/>
    <n v="2"/>
    <n v="13073.32"/>
    <n v="1878.63"/>
    <n v="11194.69"/>
    <x v="8"/>
    <x v="0"/>
  </r>
  <r>
    <s v="General Plant, Common"/>
    <s v="Common (E &amp; G)"/>
    <s v="General Plant, Thurston County, WA : GPL-0000 WA03400000"/>
    <n v="57360916"/>
    <s v="C3970 CMN Comm Equip, new"/>
    <n v="143005827"/>
    <s v="9999E999 AMI NTWK 1755 RIDGE VIEW D"/>
    <s v="9999E999 AMI NTWK 1755 RIDGE VIEW DR"/>
    <s v="12/2023"/>
    <n v="2"/>
    <n v="13600.5"/>
    <n v="1954.38"/>
    <n v="11646.12"/>
    <x v="8"/>
    <x v="0"/>
  </r>
  <r>
    <s v="General Plant, Common"/>
    <s v="Common (E &amp; G)"/>
    <s v="General Plant, Thurston County, WA : GPL-0000 WA03400000"/>
    <n v="57360919"/>
    <s v="C3970 CMN Comm Equip, new"/>
    <n v="143005828"/>
    <s v="9999E999 AMI NTWK 6623 47TH AVE NE"/>
    <s v="9999E999 AMI NTWK 6623 47TH AVE NE"/>
    <s v="12/2023"/>
    <n v="2"/>
    <n v="6427.68"/>
    <n v="923.65"/>
    <n v="5504.03"/>
    <x v="8"/>
    <x v="0"/>
  </r>
  <r>
    <s v="General Plant, Common"/>
    <s v="Common (E &amp; G)"/>
    <s v="General Plant, Thurston County, WA : GPL-0000 WA03400000"/>
    <n v="57360922"/>
    <s v="C3970 CMN Comm Equip, new"/>
    <n v="143005829"/>
    <s v="9999E999 AMI NTWK 4100 KAPALEA WAY "/>
    <s v="9999E999 AMI NTWK 4100 KAPALEA WAY SE"/>
    <s v="12/2023"/>
    <n v="2"/>
    <n v="13224.380000000001"/>
    <n v="1900.3400000000001"/>
    <n v="11324.04"/>
    <x v="8"/>
    <x v="0"/>
  </r>
  <r>
    <s v="General Plant, Common"/>
    <s v="Common (E &amp; G)"/>
    <s v="General Plant, Thurston County, WA : GPL-0000 WA03400000"/>
    <n v="57360925"/>
    <s v="C3970 CMN Comm Equip, new"/>
    <n v="143005830"/>
    <s v="9999E999 AMI NTWK 15521 HEIDI LN SE"/>
    <s v="9999E999 AMI NTWK 15521 HEIDI LN SE"/>
    <s v="12/2023"/>
    <n v="3"/>
    <n v="5356.84"/>
    <n v="769.78"/>
    <n v="4587.0600000000004"/>
    <x v="8"/>
    <x v="0"/>
  </r>
  <r>
    <s v="General Plant, Common"/>
    <s v="Common (E &amp; G)"/>
    <s v="General Plant, Thurston County, WA : GPL-0000 WA03400000"/>
    <n v="57360928"/>
    <s v="C3970 CMN Comm Equip, new"/>
    <n v="143005831"/>
    <s v="9999E999 AMI NTWK 25963 118TH PL SE"/>
    <s v="9999E999 AMI NTWK 25963 118TH PL SE KENT"/>
    <s v="12/2023"/>
    <n v="2"/>
    <n v="12685.82"/>
    <n v="1822.95"/>
    <n v="10862.87"/>
    <x v="8"/>
    <x v="0"/>
  </r>
  <r>
    <s v="General Plant, Common"/>
    <s v="Common (E &amp; G)"/>
    <s v="General Plant, Thurston County, WA : GPL-0000 WA03400000"/>
    <n v="57360931"/>
    <s v="C3970 CMN Comm Equip, new"/>
    <n v="143005832"/>
    <s v="9999E999 AMI NTWK 46820 EVERETT LAK"/>
    <s v="9999E999 AMI NTWK 46820 EVERETT LAKE RD"/>
    <s v="12/2023"/>
    <n v="3"/>
    <n v="5990.87"/>
    <n v="860.88"/>
    <n v="5129.99"/>
    <x v="8"/>
    <x v="0"/>
  </r>
  <r>
    <s v="General Plant, Common"/>
    <s v="Common (E &amp; G)"/>
    <s v="General Plant, Thurston County, WA : GPL-0000 WA03400000"/>
    <n v="57360934"/>
    <s v="C3970 CMN Comm Equip, new"/>
    <n v="143005834"/>
    <s v="9999E999 AMI NTWK 13315 SW 207TH LN"/>
    <s v="9999E999 AMI NTWK 13315 SW 207TH LN"/>
    <s v="12/2023"/>
    <n v="3"/>
    <n v="5357.05"/>
    <n v="769.81000000000006"/>
    <n v="4587.24"/>
    <x v="8"/>
    <x v="0"/>
  </r>
  <r>
    <s v="General Plant, Common"/>
    <s v="Common (E &amp; G)"/>
    <s v="General Plant, Thurston County, WA : GPL-0000 WA03400000"/>
    <n v="57360937"/>
    <s v="C3970 CMN Comm Equip, new"/>
    <n v="143005835"/>
    <s v="9999E999 AMI NTWK 4927 SW POINT ROB"/>
    <s v="9999E999 AMI NTWK 4927 SW POINT ROBINSON"/>
    <s v="12/2023"/>
    <n v="3"/>
    <n v="5895.33"/>
    <n v="847.16"/>
    <n v="5048.17"/>
    <x v="8"/>
    <x v="0"/>
  </r>
  <r>
    <s v="General Plant, Common"/>
    <s v="Common (E &amp; G)"/>
    <s v="General Plant, Thurston County, WA : GPL-0000 WA03400000"/>
    <n v="57360940"/>
    <s v="C3970 CMN Comm Equip, new"/>
    <n v="143005836"/>
    <s v="9999E999 AMI NTWK 8208 WA-104 #106"/>
    <s v="9999E999 AMI NTWK 8208 WA-104 #106"/>
    <s v="12/2023"/>
    <n v="3"/>
    <n v="5357.06"/>
    <n v="769.81000000000006"/>
    <n v="4587.25"/>
    <x v="8"/>
    <x v="0"/>
  </r>
  <r>
    <s v="General Plant, Common"/>
    <s v="Common (E &amp; G)"/>
    <s v="General Plant, Thurston County, WA : GPL-0000 WA03400000"/>
    <n v="57360943"/>
    <s v="C3970 CMN Comm Equip, new"/>
    <n v="143005837"/>
    <s v="9999E999 AMI NTWK 2809 LOST CREEK L"/>
    <s v="9999E999 AMI NTWK 2809 LOST CREEK LN NW"/>
    <s v="12/2023"/>
    <n v="3"/>
    <n v="5357.06"/>
    <n v="769.81000000000006"/>
    <n v="4587.25"/>
    <x v="8"/>
    <x v="0"/>
  </r>
  <r>
    <s v="General Plant, Common"/>
    <s v="Common (E &amp; G)"/>
    <s v="General Plant, Thurston County, WA : GPL-0000 WA03400000"/>
    <n v="57360946"/>
    <s v="C3970 CMN Comm Equip, new"/>
    <n v="143005838"/>
    <s v="9999E999 AMI NTWK 1119 NEWTON DR BL"/>
    <s v="9999E999 AMI NTWK 1119 NEWTON DR BLLGHAM"/>
    <s v="12/2023"/>
    <n v="3"/>
    <n v="12382.68"/>
    <n v="1779.38"/>
    <n v="10603.300000000001"/>
    <x v="8"/>
    <x v="0"/>
  </r>
  <r>
    <s v="General Plant, Common"/>
    <s v="Common (E &amp; G)"/>
    <s v="General Plant, Thurston County, WA : GPL-0000 WA03400000"/>
    <n v="57360949"/>
    <s v="C3970 CMN Comm Equip, new"/>
    <n v="143005840"/>
    <s v="9999E999 AMI NTWK 18500 NE UNION HI"/>
    <s v="9999E999 AMI NTWK 18500 NE UNION HILL RD"/>
    <s v="12/2023"/>
    <n v="3"/>
    <n v="5642.56"/>
    <n v="810.83"/>
    <n v="4831.7300000000005"/>
    <x v="8"/>
    <x v="0"/>
  </r>
  <r>
    <s v="General Plant, Common"/>
    <s v="Common (E &amp; G)"/>
    <s v="General Plant, Thurston County, WA : GPL-0000 WA03400000"/>
    <n v="57360952"/>
    <s v="C3970 CMN Comm Equip, new"/>
    <n v="143005841"/>
    <s v="9999E999 AMI NTWK 5424 JOHNSON ST N"/>
    <s v="9999E999 AMI NTWK 5424 JOHNSON ST NW BRE"/>
    <s v="12/2023"/>
    <n v="3"/>
    <n v="12381.6"/>
    <n v="1779.23"/>
    <n v="10602.37"/>
    <x v="8"/>
    <x v="0"/>
  </r>
  <r>
    <s v="General Plant, Common"/>
    <s v="Common (E &amp; G)"/>
    <s v="General Plant, Thurston County, WA : GPL-0000 WA03400000"/>
    <n v="57360955"/>
    <s v="C3970 CMN Comm Equip, new"/>
    <n v="143005842"/>
    <s v="9999E999 AMI NTWK 2915 HARRISON AVE"/>
    <s v="9999E999 AMI NTWK 2915 HARRISON AVE NW"/>
    <s v="12/2023"/>
    <n v="3"/>
    <n v="5620.53"/>
    <n v="807.67000000000007"/>
    <n v="4812.8599999999997"/>
    <x v="8"/>
    <x v="0"/>
  </r>
  <r>
    <s v="General Plant, Common"/>
    <s v="Common (E &amp; G)"/>
    <s v="General Plant, Thurston County, WA : GPL-0000 WA03400000"/>
    <n v="57360958"/>
    <s v="C3970 CMN Comm Equip, new"/>
    <n v="143005844"/>
    <s v="9999E999 AMI NTWK 24212 NE RDMND FL"/>
    <s v="9999E999 AMI NTWK 24212 NE RDMND FLL RD"/>
    <s v="12/2023"/>
    <n v="3"/>
    <n v="5635.63"/>
    <n v="809.84"/>
    <n v="4825.79"/>
    <x v="8"/>
    <x v="0"/>
  </r>
  <r>
    <s v="General Plant, Common"/>
    <s v="Common (E &amp; G)"/>
    <s v="General Plant, Thurston County, WA : GPL-0000 WA03400000"/>
    <n v="57360961"/>
    <s v="C3970 CMN Comm Equip, new"/>
    <n v="143005845"/>
    <s v="9999E999 AMI NTWK 537 NE ELIS WAY O"/>
    <s v="9999E999 AMI NTWK 537 NE ELIS WAY OKHRBR"/>
    <s v="12/2023"/>
    <n v="3"/>
    <n v="12458.45"/>
    <n v="1790.27"/>
    <n v="10668.18"/>
    <x v="8"/>
    <x v="0"/>
  </r>
  <r>
    <s v="General Plant, Common"/>
    <s v="Common (E &amp; G)"/>
    <s v="General Plant, Thurston County, WA : GPL-0000 WA03400000"/>
    <n v="57360964"/>
    <s v="C3970 CMN Comm Equip, new"/>
    <n v="143005846"/>
    <s v="9999E999 AMI NTWK 5729 CEDAR FLATS "/>
    <s v="9999E999 AMI NTWK 5729 CEDAR FLATS RD SW"/>
    <s v="12/2023"/>
    <n v="3"/>
    <n v="5642.24"/>
    <n v="810.79"/>
    <n v="4831.45"/>
    <x v="8"/>
    <x v="0"/>
  </r>
  <r>
    <s v="General Plant, Common"/>
    <s v="Common (E &amp; G)"/>
    <s v="General Plant, Kitsap County, WA : GPL-0000 WA01800000"/>
    <n v="57360996"/>
    <s v="C3970 CMN Comm Equip, new"/>
    <n v="143006236"/>
    <s v="BRC-COM - HVAC/ IT - CMM"/>
    <s v="BRC-COM - HVAC/ IT - CMM"/>
    <s v="12/2023"/>
    <n v="4"/>
    <n v="35845.25"/>
    <n v="5150.9400000000005"/>
    <n v="30694.31"/>
    <x v="8"/>
    <x v="0"/>
  </r>
  <r>
    <s v="General Plant, Common"/>
    <s v="Common (E &amp; G)"/>
    <s v="General Plant, Skagit County, WA : GPL-0000 WA02900000"/>
    <n v="57360999"/>
    <s v="C3970 CMN Comm Equip, new"/>
    <n v="143006260"/>
    <s v="HVAC - COMM MT BAKER DAM"/>
    <s v="HVAC - COMM MT BAKER DAM"/>
    <s v="12/2023"/>
    <n v="2"/>
    <n v="16841.8"/>
    <n v="2420.16"/>
    <n v="14421.64"/>
    <x v="8"/>
    <x v="0"/>
  </r>
  <r>
    <s v="General Plant, Common"/>
    <s v="Common (E &amp; G)"/>
    <s v="General Plant, Thurston County, WA : GPL-0000 WA03400000"/>
    <n v="57389183"/>
    <s v="C3970 CMN Comm Equip, new"/>
    <n v="143005547"/>
    <s v="9999E999 AMI NTWK 17 COUNTRY CLUB D"/>
    <s v="9999E999 AMI NTWK 17 COUNTRY CLUB DR SW"/>
    <s v="12/2023"/>
    <n v="2"/>
    <n v="3410.84"/>
    <n v="490.14"/>
    <n v="2920.7000000000003"/>
    <x v="8"/>
    <x v="0"/>
  </r>
  <r>
    <s v="General Plant, Common"/>
    <s v="Common (E &amp; G)"/>
    <s v="General Plant, Thurston County, WA : GPL-0000 WA03400000"/>
    <n v="57389328"/>
    <s v="C3970 CMN Comm Equip, new"/>
    <n v="143005721"/>
    <s v="9999E999 AMI NTWK 18206 71ST AVE E"/>
    <s v="9999E999 AMI NTWK 18206 71ST AVE E"/>
    <s v="12/2023"/>
    <n v="2"/>
    <n v="5991.52"/>
    <n v="860.98"/>
    <n v="5130.54"/>
    <x v="8"/>
    <x v="0"/>
  </r>
  <r>
    <s v="General Plant, Common"/>
    <s v="Common (E &amp; G)"/>
    <s v="General Plant, Thurston County, WA : GPL-0000 WA03400000"/>
    <n v="57389498"/>
    <s v="C3970 CMN Comm Equip, new"/>
    <n v="143005824"/>
    <s v="9999E999 AMI NTWK 9003 90TH AVE E P"/>
    <s v="9999E999 AMI NTWK 9003 90TH AVE E PUYALL"/>
    <s v="12/2023"/>
    <n v="2"/>
    <n v="9033.52"/>
    <n v="1298.1100000000001"/>
    <n v="7735.41"/>
    <x v="8"/>
    <x v="0"/>
  </r>
  <r>
    <s v="General Plant, Common"/>
    <s v="Common (E &amp; G)"/>
    <s v="General Plant, Thurston County, WA : GPL-0000 WA03400000"/>
    <n v="57389669"/>
    <s v="C3970 CMN Comm Equip, new"/>
    <n v="143005825"/>
    <s v="9999E999 AMI NTWK 13214 104TH AVE C"/>
    <s v="9999E999 AMI NTWK 13214 104TH AVE CT E"/>
    <s v="12/2023"/>
    <n v="2"/>
    <n v="9033.51"/>
    <n v="1298.1100000000001"/>
    <n v="7735.4000000000005"/>
    <x v="8"/>
    <x v="0"/>
  </r>
  <r>
    <s v="General Plant, Common"/>
    <s v="Common (E &amp; G)"/>
    <s v="General Plant, King County outside RTA District, WA : GPL-0000 WA01700000"/>
    <n v="57917016"/>
    <s v="C3970 CMN Comm Equip, new"/>
    <n v="143003106"/>
    <s v="9999E999 AMI NTWK NF58 &amp; NF9035 NOR"/>
    <s v="9999E999 AMI NTWK NF58 &amp; NF9035 NORTHBND"/>
    <s v="12/2023"/>
    <n v="2"/>
    <n v="4046.08"/>
    <n v="581.41999999999996"/>
    <n v="3464.66"/>
    <x v="8"/>
    <x v="0"/>
  </r>
  <r>
    <s v="General Plant, Common"/>
    <s v="Common (E &amp; G)"/>
    <s v="General Plant, Garfield County, WA : GPL-0000 WA01200990"/>
    <n v="57917056"/>
    <s v="C3970 CMN Comm Equip, new"/>
    <n v="143005735"/>
    <s v="LIN-COM CRS NODE REPLACEMENT"/>
    <s v="LIN-COM CRS NODE REPLACEMENT"/>
    <s v="12/2023"/>
    <n v="3"/>
    <n v="23495.64"/>
    <n v="3376.31"/>
    <n v="20119.330000000002"/>
    <x v="8"/>
    <x v="0"/>
  </r>
  <r>
    <s v="General Plant, Common"/>
    <s v="Common (E &amp; G)"/>
    <s v="General Plant, King County Unincorporated within RTA District, WA : GPL-0000 WA11700990"/>
    <n v="57917059"/>
    <s v="C3970 CMN Comm Equip, new"/>
    <n v="143005737"/>
    <s v="ESO-COM CRS NODE REPLACEMENT"/>
    <s v="ESO-COM CRS NODE REPLACEMENT"/>
    <s v="12/2023"/>
    <n v="2"/>
    <n v="15555.74"/>
    <n v="2235.35"/>
    <n v="13320.39"/>
    <x v="8"/>
    <x v="0"/>
  </r>
  <r>
    <s v="General Plant, Common"/>
    <s v="Common (E &amp; G)"/>
    <s v="General Plant, King County Unincorporated within RTA District, WA : GPL-0000 WA11700990"/>
    <n v="57917062"/>
    <s v="C3970 CMN Comm Equip, new"/>
    <n v="143005748"/>
    <s v="SKA-SVC CRS NODE REPLACEMENT"/>
    <s v="SKA-SVC CRS NODE REPLACEMENT"/>
    <s v="12/2023"/>
    <n v="2"/>
    <n v="11397.880000000001"/>
    <n v="1637.8700000000001"/>
    <n v="9760.01"/>
    <x v="8"/>
    <x v="0"/>
  </r>
  <r>
    <s v="General Plant, Common"/>
    <s v="Common (E &amp; G)"/>
    <s v="General Plant, King County Unincorporated within RTA District, WA : GPL-0000 WA11700990"/>
    <n v="57917094"/>
    <s v="C3970 CMN Comm Equip, new"/>
    <n v="143005960"/>
    <s v="ANNUAL TELECOM RF REFRESH (2021)"/>
    <s v="ANNUAL TELECOM RF REFRESH (2021)"/>
    <s v="12/2023"/>
    <n v="6"/>
    <n v="35113.629999999997"/>
    <n v="5045.8100000000004"/>
    <n v="30067.82"/>
    <x v="8"/>
    <x v="0"/>
  </r>
  <r>
    <s v="General Plant, Common"/>
    <s v="Common (E &amp; G)"/>
    <s v="General Plant, Pierce County outside RTA District, WA : GPL-0000 WA02700000"/>
    <n v="57917114"/>
    <s v="C3970 CMN Comm Equip, new"/>
    <n v="143006030"/>
    <s v="UPPER BAKER IT COMM BATTERY REPLACE"/>
    <s v="UPPER BAKER IT COMM BATTERY REPLACEMENT"/>
    <s v="12/2023"/>
    <n v="2"/>
    <n v="12593.81"/>
    <n v="1809.72"/>
    <n v="10784.09"/>
    <x v="8"/>
    <x v="0"/>
  </r>
  <r>
    <s v="General Plant, Common"/>
    <s v="Common (E &amp; G)"/>
    <s v="General Plant, Kitsap County, WA : GPL-0000 WA01800000"/>
    <n v="57917119"/>
    <s v="C3970 CMN Comm Equip, new"/>
    <n v="143006088"/>
    <s v="KSP-SVC CELLULAR IN-BUILDING IMPROV"/>
    <s v="KSP-SVC CELLULAR IN-BUILDING IMPROV"/>
    <s v="12/2023"/>
    <n v="2"/>
    <n v="6587.27"/>
    <n v="946.59"/>
    <n v="5640.68"/>
    <x v="8"/>
    <x v="0"/>
  </r>
  <r>
    <s v="General Plant, Common"/>
    <s v="Common (E &amp; G)"/>
    <s v="General Plant, King County Unincorporated within RTA District, WA : GPL-0000 WA11700990"/>
    <n v="57956223"/>
    <s v="C3970 CMN Comm Equip, new"/>
    <n v="143005929"/>
    <s v="2021 STANDING ORDER LANDIS+GYR AMR "/>
    <s v="2021 STANDING ORDER LANDIS+GYR AMR NETWO"/>
    <s v="12/2023"/>
    <n v="2"/>
    <n v="8015.21"/>
    <n v="1151.78"/>
    <n v="6863.43"/>
    <x v="8"/>
    <x v="0"/>
  </r>
  <r>
    <s v="General Plant, Common"/>
    <s v="Common (E &amp; G)"/>
    <s v="General Plant, King County Unincorporated within RTA District, WA : GPL-0000 WA11700990"/>
    <n v="58131262"/>
    <s v="C3970 CMN Comm Equip, new"/>
    <n v="143006076"/>
    <s v="PSE PORTABLE RADIOS - RF REFRESH"/>
    <s v="PSE PORTABLE RADIOS - RF REFRESH"/>
    <s v="12/2023"/>
    <n v="8"/>
    <n v="12073.39"/>
    <n v="1734.94"/>
    <n v="10338.450000000001"/>
    <x v="8"/>
    <x v="0"/>
  </r>
  <r>
    <s v="General Plant, Common"/>
    <s v="Common (E &amp; G)"/>
    <s v="General Plant, Snohomish County outside RTA Dst, WA : GPL-0000 WA03100000"/>
    <n v="58131296"/>
    <s v="C3970 CMN Comm Equip, new"/>
    <n v="143006207"/>
    <s v="HVAC REPLACEMENT - MARSYVILLE COMM "/>
    <s v="HVAC REPLACEMENT - MARSYVILLE COMM IT -"/>
    <s v="12/2023"/>
    <n v="1"/>
    <n v="122.59"/>
    <n v="17.62"/>
    <n v="104.97"/>
    <x v="8"/>
    <x v="0"/>
  </r>
  <r>
    <s v="General Plant, Common"/>
    <s v="Common (E &amp; G)"/>
    <s v="General Plant, Skagit County, WA : GPL-0000 WA02900000"/>
    <n v="58131302"/>
    <s v="C3970 CMN Comm Equip, new"/>
    <n v="143006235"/>
    <s v="MTE-COM - HVAC/IT - CMM"/>
    <s v="MTE-COM - HVAC/IT - CMM"/>
    <s v="12/2023"/>
    <n v="2"/>
    <n v="52367.94"/>
    <n v="7525.24"/>
    <n v="44842.700000000004"/>
    <x v="8"/>
    <x v="0"/>
  </r>
  <r>
    <s v="General Plant, Common"/>
    <s v="Common (E &amp; G)"/>
    <s v="General Plant, King County Unincorporated within RTA District, WA : GPL-0000 WA11700990"/>
    <n v="58533288"/>
    <s v="C3970 CMN Comm Equip, new"/>
    <n v="143005961"/>
    <s v="GENERATION INFRASTRUCTURE PROGRAM -"/>
    <s v="GENERATION INFRASTRUCTURE PROGRAM - 2021"/>
    <s v="12/2023"/>
    <n v="16"/>
    <n v="3306481.25"/>
    <n v="301122.5"/>
    <n v="3005358.75"/>
    <x v="8"/>
    <x v="0"/>
  </r>
  <r>
    <s v="General Plant, Common"/>
    <s v="Common (E &amp; G)"/>
    <s v="General Plant, Skagit County, WA : GPL-0000 WA02900000"/>
    <n v="59041348"/>
    <s v="C3970 CMN Comm Equip, new"/>
    <n v="143005337"/>
    <s v="2020 VOIP UPGRADES"/>
    <s v="2020 VOIP UPGRADES"/>
    <s v="12/2023"/>
    <n v="3"/>
    <n v="177429.05000000002"/>
    <n v="16158.53"/>
    <n v="161270.51999999999"/>
    <x v="8"/>
    <x v="0"/>
  </r>
  <r>
    <s v="General Plant, Common"/>
    <s v="Common (E &amp; G)"/>
    <s v="General Plant, Kittitas County, WA : GPL-0000 WA01900000"/>
    <n v="59105321"/>
    <s v="C3970 CMN Comm Equip, new"/>
    <n v="143005475"/>
    <s v="SPD-COM DISH REBUILD/REPLACEMENT"/>
    <s v="SPD-COM DISH REBUILD/REPLACEMENT"/>
    <s v="12/2023"/>
    <n v="3"/>
    <n v="485845.61"/>
    <n v="44246.14"/>
    <n v="441599.47000000003"/>
    <x v="8"/>
    <x v="0"/>
  </r>
  <r>
    <s v="General Plant, Common"/>
    <s v="Common (E &amp; G)"/>
    <s v="General Plant, King County outside RTA District, WA : GPL-0000 WA01700000"/>
    <n v="59105324"/>
    <s v="C3970 CMN Comm Equip, new"/>
    <n v="143005560"/>
    <s v="RSC-COM DISH REBUILD/REPLACEMENT"/>
    <s v="RSC-COM DISH REBUILD/REPLACEMENT"/>
    <s v="12/2023"/>
    <n v="6"/>
    <n v="1709699.22"/>
    <n v="155702.96"/>
    <n v="1553996.26"/>
    <x v="8"/>
    <x v="0"/>
  </r>
  <r>
    <s v="General Plant, Common"/>
    <s v="Common (E &amp; G)"/>
    <s v="General Plant, Whatcom County, WA : GPL-0000 WA03700000"/>
    <n v="59903572"/>
    <s v="C3970 CMN Comm Equip, new"/>
    <n v="143006206"/>
    <s v="EST CORE NETWORK - IT MAX SUB - CMM"/>
    <s v="EST CORE NETWORK - IT MAX SUB - CMM"/>
    <s v="12/2023"/>
    <n v="1"/>
    <n v="79757.600000000006"/>
    <n v="7263.55"/>
    <n v="72494.05"/>
    <x v="8"/>
    <x v="0"/>
  </r>
  <r>
    <s v="General Plant, Common"/>
    <s v="Common (E &amp; G)"/>
    <s v="General Plant, Kitsap County, WA : GPL-0000 WA01800000"/>
    <n v="60414571"/>
    <s v="C3970 CMN Comm Equip, new"/>
    <n v="143003785"/>
    <s v="9999E999 AMI NTWK KITSAP COUNTY"/>
    <s v="9999E999 AMI NTWK KITSAP COUNTY"/>
    <s v="12/2023"/>
    <n v="4"/>
    <n v="530841.07000000007"/>
    <n v="48343.9"/>
    <n v="482497.17"/>
    <x v="8"/>
    <x v="0"/>
  </r>
  <r>
    <s v="General Plant, Common"/>
    <s v="Common (E &amp; G)"/>
    <s v="General Plant, Thurston County, WA : GPL-0000 WA03400000"/>
    <n v="60414574"/>
    <s v="C3970 CMN Comm Equip, new"/>
    <n v="143003797"/>
    <s v="9999E999 AMI NTWK SKAGIT COUNTY"/>
    <s v="9999E999 AMI NTWK SKAGIT COUNTY"/>
    <s v="12/2023"/>
    <n v="1"/>
    <n v="304600.03999999998"/>
    <n v="27740.04"/>
    <n v="276860"/>
    <x v="8"/>
    <x v="0"/>
  </r>
  <r>
    <s v="General Plant, Common"/>
    <s v="Common (E &amp; G)"/>
    <s v="General Plant, Garfield County, WA : GPL-0000 WA01200990"/>
    <n v="60890205"/>
    <s v="C3970 CMN Comm Equip, new"/>
    <n v="143006075"/>
    <s v="PHG-SUB PHALEN GULCH CHARGER"/>
    <s v="PHG-SUB PHALEN GULCH CHARGER"/>
    <s v="12/2023"/>
    <n v="2"/>
    <n v="22056.14"/>
    <n v="2008.66"/>
    <n v="20047.48"/>
    <x v="8"/>
    <x v="0"/>
  </r>
  <r>
    <s v="General Plant, Common"/>
    <s v="Common (E &amp; G)"/>
    <s v="General Plant, Pierce County outside RTA District, WA : GPL-0000 WA02700000"/>
    <n v="62670767"/>
    <s v="C3970 CMN Comm Equip, new"/>
    <n v="143004194"/>
    <s v="9999E999 AMI NTWK TANNER UG"/>
    <s v="9999E999 AMI NTWK TANNER UG"/>
    <s v="12/2023"/>
    <n v="2"/>
    <n v="283759.64"/>
    <n v="25842.100000000002"/>
    <n v="257917.54"/>
    <x v="8"/>
    <x v="0"/>
  </r>
  <r>
    <s v="General Plant, Common"/>
    <s v="Common (E &amp; G)"/>
    <s v="General Plant, Lewis County, WA : GPL-0000 WA02100000"/>
    <n v="62898256"/>
    <s v="C3970 CMN Comm Equip, new"/>
    <n v="143004931"/>
    <s v="BHI-COM BUCKHORN HILL 700MHZ_CMM"/>
    <s v="BHI-COM BUCKHORN HILL 700MHZ_CMM"/>
    <s v="12/2023"/>
    <n v="1"/>
    <n v="2280.62"/>
    <n v="207.70000000000002"/>
    <n v="2072.92"/>
    <x v="8"/>
    <x v="0"/>
  </r>
  <r>
    <s v="General Plant, Common"/>
    <s v="Common (E &amp; G)"/>
    <s v="General Plant, Snohomish County outside RTA Dst, WA : GPL-0000 WA03100000"/>
    <n v="62898264"/>
    <s v="C3970 CMN Comm Equip, new"/>
    <n v="143005023"/>
    <s v="IND-COM INDEX COMM 700MHZ_CMM"/>
    <s v="IND-COM INDEX COMM 700MHZ_CMM"/>
    <s v="12/2023"/>
    <n v="1"/>
    <n v="-11512.47"/>
    <n v="-1048.45"/>
    <n v="-10464.02"/>
    <x v="8"/>
    <x v="0"/>
  </r>
  <r>
    <s v="General Plant, Common"/>
    <s v="Common (E &amp; G)"/>
    <s v="General Plant, King County Unincorporated within RTA District, WA : GPL-0000 WA11700990"/>
    <n v="58744564"/>
    <s v="C3970 CMN Comm Equip, new"/>
    <n v="143006204"/>
    <s v="EST CORE MOVE - IT LOC SUBSTATION -"/>
    <s v="EST CORE MOVE - IT LOC SUBSTATION - CMM"/>
    <s v="12/2023"/>
    <n v="18"/>
    <n v="34083.06"/>
    <n v="3103.96"/>
    <n v="30979.100000000002"/>
    <x v="8"/>
    <x v="0"/>
  </r>
  <r>
    <s v="General Plant, Common"/>
    <s v="Common (E &amp; G)"/>
    <s v="General Plant, King County Unincorporated within RTA District, WA : GPL-0000 WA11700990"/>
    <n v="58744567"/>
    <s v="C3970 CMN Comm Equip, new"/>
    <n v="143006233"/>
    <s v="EST CORE MOVE - IT CEN-SUB - CMM"/>
    <s v="EST CORE MOVE - IT CEN-SUB - CMM"/>
    <s v="12/2023"/>
    <n v="2"/>
    <n v="20774.16"/>
    <n v="1891.91"/>
    <n v="18882.25"/>
    <x v="8"/>
    <x v="0"/>
  </r>
  <r>
    <s v="General Plant, Common"/>
    <s v="Common (E &amp; G)"/>
    <s v="General Plant, King County Unincorporated within RTA District, WA : GPL-0000 WA11700990"/>
    <n v="59957499"/>
    <s v="C3970 CMN Comm Equip, new"/>
    <n v="143006028"/>
    <s v="FOS-SUB IT COMM BATTERY REPLACEMENT"/>
    <s v="FOS-SUB IT COMM BATTERY REPLACEMENT"/>
    <s v="12/2023"/>
    <n v="5"/>
    <n v="33486.61"/>
    <n v="3049.64"/>
    <n v="30436.97"/>
    <x v="8"/>
    <x v="0"/>
  </r>
  <r>
    <s v="General Plant, Common"/>
    <s v="Common (E &amp; G)"/>
    <s v="General Plant, Pierce County outside RTA District, WA : GPL-0000 WA02700000"/>
    <n v="60066934"/>
    <s v="C3970 CMN Comm Equip, new"/>
    <n v="143006052"/>
    <s v="EHT-SUB IT COMM BATTERY REPLACEMEN"/>
    <s v="EHT-SUB IT COMM BATTERY REPLACEMEN"/>
    <s v="12/2023"/>
    <n v="4"/>
    <n v="40969.89"/>
    <n v="3731.14"/>
    <n v="37238.75"/>
    <x v="8"/>
    <x v="0"/>
  </r>
  <r>
    <s v="General Plant, Common"/>
    <s v="Common (E &amp; G)"/>
    <s v="General Plant, King County Unincorporated within RTA District, WA : GPL-0000 WA11700990"/>
    <n v="60414577"/>
    <s v="C3970 CMN Comm Equip, new"/>
    <n v="143005299"/>
    <s v="BUCC BUILDOUT BOTHELL H/DECOM EST02"/>
    <s v="BUCC BUILDOUT BOTHELL H/DECOM EST02"/>
    <s v="12/2023"/>
    <n v="7"/>
    <n v="2132129.13"/>
    <n v="194173.81"/>
    <n v="1937955.32"/>
    <x v="8"/>
    <x v="0"/>
  </r>
  <r>
    <s v="General Plant, Common"/>
    <s v="Common (E &amp; G)"/>
    <s v="General Plant, Klickitat County, WA : GPL-0000 WA02000000"/>
    <n v="61702579"/>
    <s v="C3970 CMN Comm Equip, new"/>
    <n v="143006761"/>
    <s v="SPS-COM MICROWAVE IMPROVEMENTS"/>
    <s v="SPS-COM MICROWAVE IMPROVEMENTS"/>
    <s v="12/2023"/>
    <n v="5"/>
    <n v="39954.83"/>
    <n v="3638.7000000000003"/>
    <n v="36316.129999999997"/>
    <x v="8"/>
    <x v="0"/>
  </r>
  <r>
    <s v="General Plant, Common"/>
    <s v="Common (E &amp; G)"/>
    <s v="General Plant, Snohomish County outside RTA Dst, WA : GPL-0000 WA03100000"/>
    <n v="62517548"/>
    <s v="C3970 CMN Comm Equip, new"/>
    <n v="143006526"/>
    <s v="9999E999 AMI NTWK SNOHOMISH PUD UG"/>
    <s v="9999E999 AMI NTWK SNOHOMISH PUD UG"/>
    <s v="12/2023"/>
    <n v="2"/>
    <n v="12759.92"/>
    <n v="1162.05"/>
    <n v="11597.87"/>
    <x v="8"/>
    <x v="0"/>
  </r>
  <r>
    <s v="General Plant, Common"/>
    <s v="Common (E &amp; G)"/>
    <s v="General Plant, Lewis County, WA : GPL-0000 WA02100000"/>
    <n v="62898213"/>
    <s v="C3970 CMN Comm Equip, new"/>
    <n v="143002732"/>
    <s v="9999E999 AMI NTWK DEPLOY S5 TOLEDO"/>
    <s v="9999E999 AMI NTWK DEPLOY S5 TOLEDO"/>
    <s v="12/2023"/>
    <n v="2"/>
    <n v="9606.58"/>
    <n v="874.87"/>
    <n v="8731.7100000000009"/>
    <x v="8"/>
    <x v="0"/>
  </r>
  <r>
    <s v="General Plant, Common"/>
    <s v="Common (E &amp; G)"/>
    <s v="General Plant, Island County, WA : GPL-0000 WA01500000"/>
    <n v="62898216"/>
    <s v="C3970 CMN Comm Equip, new"/>
    <n v="143003384"/>
    <s v="2205E110 AMI 11600 SE KENT KANGLEY "/>
    <s v="2205E110 AMI 11600 SE KENT KANGLEY RD KE"/>
    <s v="12/2023"/>
    <n v="2"/>
    <n v="3730.27"/>
    <n v="339.72"/>
    <n v="3390.55"/>
    <x v="8"/>
    <x v="0"/>
  </r>
  <r>
    <s v="General Plant, Common"/>
    <s v="Common (E &amp; G)"/>
    <s v="General Plant, Whatcom County, WA : GPL-0000 WA03700000"/>
    <n v="62898219"/>
    <s v="C3970 CMN Comm Equip, new"/>
    <n v="143003587"/>
    <s v="1920E136 AMI NTWK 5580 SECRETCNYN E"/>
    <s v="1920E136 AMI NTWK 5580 SECRETCNYN ELLNSB"/>
    <s v="12/2023"/>
    <n v="2"/>
    <n v="17518.02"/>
    <n v="1595.3700000000001"/>
    <n v="15922.65"/>
    <x v="8"/>
    <x v="0"/>
  </r>
  <r>
    <s v="General Plant, Common"/>
    <s v="Common (E &amp; G)"/>
    <s v="General Plant, Whatcom County, WA : GPL-0000 WA03700000"/>
    <n v="62898222"/>
    <s v="C3970 CMN Comm Equip, new"/>
    <n v="143003593"/>
    <s v="9999E999 AMI NTWK 18330 73 AVE E PU"/>
    <s v="9999E999 AMI NTWK 18330 73 AVE E PUYALLU"/>
    <s v="12/2023"/>
    <n v="2"/>
    <n v="7132.03"/>
    <n v="649.52"/>
    <n v="6482.51"/>
    <x v="8"/>
    <x v="0"/>
  </r>
  <r>
    <s v="General Plant, Common"/>
    <s v="Common (E &amp; G)"/>
    <s v="General Plant, King County outside RTA District, WA : GPL-0000 WA01700000"/>
    <n v="62898229"/>
    <s v="C3970 CMN Comm Equip, new"/>
    <n v="143003660"/>
    <s v="9999E999 AMI NTWK S2_C224"/>
    <s v="9999E999 AMI NTWK S2_C224"/>
    <s v="12/2023"/>
    <n v="2"/>
    <n v="31.27"/>
    <n v="2.85"/>
    <n v="28.42"/>
    <x v="8"/>
    <x v="0"/>
  </r>
  <r>
    <s v="General Plant, Common"/>
    <s v="Common (E &amp; G)"/>
    <s v="General Plant, Kitsap County, WA : GPL-0000 WA01800000"/>
    <n v="62898232"/>
    <s v="C3970 CMN Comm Equip, new"/>
    <n v="143003782"/>
    <s v="9999E999 AMI NTWK S4 BAINBRIDGE OH "/>
    <s v="9999E999 AMI NTWK S4 BAINBRIDGE OH 1-OFF"/>
    <s v="12/2023"/>
    <n v="2"/>
    <n v="85603.07"/>
    <n v="7795.9000000000005"/>
    <n v="77807.17"/>
    <x v="8"/>
    <x v="0"/>
  </r>
  <r>
    <s v="General Plant, Common"/>
    <s v="Common (E &amp; G)"/>
    <s v="General Plant, Thurston County, WA : GPL-0000 WA03400000"/>
    <n v="62898237"/>
    <s v="C3970 CMN Comm Equip, new"/>
    <n v="143003794"/>
    <s v="1703W084 AMI NTWK 11050 WADDELL CRK"/>
    <s v="1703W084 AMI NTWK 11050 WADDELL CRK OLYM"/>
    <s v="12/2023"/>
    <n v="2"/>
    <n v="85.47"/>
    <n v="7.78"/>
    <n v="77.69"/>
    <x v="8"/>
    <x v="0"/>
  </r>
  <r>
    <s v="General Plant, Common"/>
    <s v="Common (E &amp; G)"/>
    <s v="General Plant, Skagit County, WA : GPL-0000 WA02900000"/>
    <n v="62898242"/>
    <s v="C3970 CMN Comm Equip, new"/>
    <n v="143003811"/>
    <s v="3409E052 AMI NTWK 14382 SR530 CONCR"/>
    <s v="3409E052 AMI NTWK 14382 SR530 CONCRETE"/>
    <s v="12/2023"/>
    <n v="2"/>
    <n v="431.33"/>
    <n v="39.28"/>
    <n v="392.05"/>
    <x v="8"/>
    <x v="0"/>
  </r>
  <r>
    <s v="General Plant, Common"/>
    <s v="Common (E &amp; G)"/>
    <s v="General Plant, King County outside RTA District, WA : GPL-0000 WA01700000"/>
    <n v="62898245"/>
    <s v="C3970 CMN Comm Equip, new"/>
    <n v="143004017"/>
    <s v="2607E136 AMI NTWK 33619 NE 102 WY C"/>
    <s v="2607E136 AMI NTWK 33619 NE 102 WY CARNA"/>
    <s v="12/2023"/>
    <n v="2"/>
    <n v="11729.91"/>
    <n v="1068.25"/>
    <n v="10661.66"/>
    <x v="8"/>
    <x v="0"/>
  </r>
  <r>
    <s v="General Plant, Common"/>
    <s v="Common (E &amp; G)"/>
    <s v="General Plant, Snohomish County outside RTA Dst, WA : GPL-0000 WA03100000"/>
    <n v="62898248"/>
    <s v="C3970 CMN Comm Equip, new"/>
    <n v="143004186"/>
    <s v="2607E068 AMI NTWK 30602 147 PL DUVA"/>
    <s v="2607E068 AMI NTWK 30602 147 PL DUVALL"/>
    <s v="12/2023"/>
    <n v="2"/>
    <n v="32698.13"/>
    <n v="2977.83"/>
    <n v="29720.3"/>
    <x v="8"/>
    <x v="0"/>
  </r>
  <r>
    <s v="General Plant, Common"/>
    <s v="Common (E &amp; G)"/>
    <s v="General Plant, King County Unincorporated within RTA District, WA : GPL-0000 WA11700990"/>
    <n v="62898251"/>
    <s v="C3970 CMN Comm Equip, new"/>
    <n v="143004205"/>
    <s v="9999E999 AMI NTWK LAKEVIEW ADDITION"/>
    <s v="9999E999 AMI NTWK LAKEVIEW ADDITIONAL"/>
    <s v="12/2023"/>
    <n v="2"/>
    <n v="16258.29"/>
    <n v="1480.65"/>
    <n v="14777.64"/>
    <x v="8"/>
    <x v="0"/>
  </r>
  <r>
    <s v="General Plant, Common"/>
    <s v="Common (E &amp; G)"/>
    <s v="General Plant, Thurston County, WA : GPL-0000 WA03400000"/>
    <n v="62898269"/>
    <s v="C3970 CMN Comm Equip, new"/>
    <n v="143005833"/>
    <s v="9999E999 AMI NTWK 9107 RENTON ISSAQ"/>
    <s v="9999E999 AMI NTWK 9107 RENTON ISSAQUAH R"/>
    <s v="12/2023"/>
    <n v="2"/>
    <n v="989.55000000000007"/>
    <n v="90.12"/>
    <n v="899.43000000000006"/>
    <x v="8"/>
    <x v="0"/>
  </r>
  <r>
    <s v="General Plant, Common"/>
    <s v="Common (E &amp; G)"/>
    <s v="General Plant, Thurston County, WA : GPL-0000 WA03400000"/>
    <n v="62898272"/>
    <s v="C3970 CMN Comm Equip, new"/>
    <n v="143005839"/>
    <s v="9999E999 AMI NTWK S5_C012_R0020"/>
    <s v="9999E999 AMI NTWK S5_C012_R0020"/>
    <s v="12/2023"/>
    <n v="2"/>
    <n v="8461.34"/>
    <n v="770.58"/>
    <n v="7690.76"/>
    <x v="8"/>
    <x v="0"/>
  </r>
  <r>
    <s v="General Plant, Common"/>
    <s v="Common (E &amp; G)"/>
    <s v="General Plant, King County Unincorporated within RTA District, WA : GPL-0000 WA11700990"/>
    <n v="62898330"/>
    <s v="C3970 CMN Comm Equip, new"/>
    <n v="143006474"/>
    <s v="STANDING 2022 AMI NTWK PRJT-EXTERNA"/>
    <s v="STANDING 2022 AMI NTWK PRJT-EXTERNAL ONL"/>
    <s v="12/2023"/>
    <n v="2"/>
    <n v="5468.6900000000005"/>
    <n v="498.04"/>
    <n v="4970.6500000000005"/>
    <x v="8"/>
    <x v="0"/>
  </r>
  <r>
    <s v="General Plant, Common"/>
    <s v="Common (E &amp; G)"/>
    <s v="General Plant, King County Unincorporated within RTA District, WA : GPL-0000 WA11700990"/>
    <n v="62898415"/>
    <s v="C3970 CMN Comm Equip, new"/>
    <n v="143006783"/>
    <s v="9999E999 2022 AMI NTWK BLDG FIX UP"/>
    <s v="9999E999 2022 AMI NTWK BLDG FIX UP"/>
    <s v="12/2023"/>
    <n v="7"/>
    <n v="18158.03"/>
    <n v="1653.66"/>
    <n v="16504.37"/>
    <x v="8"/>
    <x v="0"/>
  </r>
  <r>
    <s v="General Plant, Common"/>
    <s v="Common (E &amp; G)"/>
    <s v="General Plant, King County Unincorporated within RTA District, WA : GPL-0000 WA11700990"/>
    <n v="63265715"/>
    <s v="C3970 CMN Comm Equip, new"/>
    <n v="143006508"/>
    <s v="2022 FLEET NEW RADIO INSTALL - COMM"/>
    <s v="individual vehicle radio hardware"/>
    <s v="12/2023"/>
    <n v="3"/>
    <n v="965149.85"/>
    <n v="31143.15"/>
    <n v="934006.70000000007"/>
    <x v="8"/>
    <x v="0"/>
  </r>
  <r>
    <s v="General Plant, Common"/>
    <s v="Common (E &amp; G)"/>
    <s v="General Plant, Whatcom County, WA : GPL-0000 WA03700000"/>
    <n v="63877989"/>
    <s v="C3970 CMN Comm Equip, new"/>
    <n v="143007363"/>
    <s v="SMN-COM SQUALICUM MTN 700MHZ RADIO_"/>
    <m/>
    <s v="12/2023"/>
    <n v="1"/>
    <n v="14330.94"/>
    <n v="462.43"/>
    <n v="13868.51"/>
    <x v="8"/>
    <x v="0"/>
  </r>
  <r>
    <s v="General Plant, Common"/>
    <s v="Common (E &amp; G)"/>
    <s v="General Plant, Island County, WA : GPL-0000 WA01500000"/>
    <n v="64678916"/>
    <s v="C3970 CMN Comm Equip, new"/>
    <n v="143003388"/>
    <s v="9999E999 AMI NTWK N1 GTG ADD'L"/>
    <s v="Install network equipment for AMI network"/>
    <s v="12/2023"/>
    <n v="1"/>
    <n v="78137.97"/>
    <n v="2521.33"/>
    <n v="75616.639999999999"/>
    <x v="8"/>
    <x v="0"/>
  </r>
  <r>
    <s v="General Plant, Common"/>
    <s v="Common (E &amp; G)"/>
    <s v="General Plant, Lewis County, WA : GPL-0000 WA02100000"/>
    <n v="64679054"/>
    <s v="C3970 CMN Comm Equip, new"/>
    <n v="143007269"/>
    <s v="CMM . ZERO TRUST . JAKPRE . IT INFR"/>
    <s v="Cyber &amp; Corporate Security Operational Program"/>
    <s v="12/2023"/>
    <n v="1"/>
    <n v="9906.68"/>
    <n v="319.67"/>
    <n v="9587.01"/>
    <x v="8"/>
    <x v="0"/>
  </r>
  <r>
    <s v="General Plant, Common"/>
    <s v="Common (E &amp; G)"/>
    <s v="General Plant, Thurston County, WA : GPL-0000 WA03400000"/>
    <n v="65704896"/>
    <s v="C3970 CMN Comm Equip, new"/>
    <n v="143006840"/>
    <s v="OLM-COM FOR MICROWAVE UPGRADES"/>
    <s v="Olympia COM transport improvements for microwave communications"/>
    <s v="12/2023"/>
    <n v="2"/>
    <n v="11189.77"/>
    <n v="361.07"/>
    <n v="10828.7"/>
    <x v="8"/>
    <x v="0"/>
  </r>
  <r>
    <s v="General Plant, Common"/>
    <s v="Common (E &amp; G)"/>
    <s v="General Plant, King County Unincorporated within RTA District, WA : GPL-0000 WA11700990"/>
    <n v="66071531"/>
    <s v="C3970 CMN Comm Equip, new"/>
    <n v="143007093"/>
    <s v="ANNUAL TELECOM 2-WAY RADIO IMPROVEM"/>
    <s v="Annual Radio enhancements, replacements and storm related or small project related 2-way radio and/or microwave improvements."/>
    <s v="12/2023"/>
    <n v="13"/>
    <n v="25609.71"/>
    <n v="826.37"/>
    <n v="24783.34"/>
    <x v="8"/>
    <x v="0"/>
  </r>
  <r>
    <s v="General Plant, Common"/>
    <s v="Common (E &amp; G)"/>
    <s v="General Plant, King County Unincorporated within RTA District, WA : GPL-0000 WA11700990"/>
    <n v="66071534"/>
    <s v="C3970 CMN Comm Equip, new"/>
    <n v="143007094"/>
    <s v="ANNUAL TELECOM RF MICROWAVE IMPROVE"/>
    <s v="Annual Microwave enhancements, replacements and storm related or small project microwave improvements."/>
    <s v="12/2023"/>
    <n v="2"/>
    <n v="5988.56"/>
    <n v="193.24"/>
    <n v="5795.32"/>
    <x v="8"/>
    <x v="0"/>
  </r>
  <r>
    <s v="General Plant, Common"/>
    <s v="Common (E &amp; G)"/>
    <s v="General Plant, King County Unincorporated within RTA District, WA : GPL-0000 WA11700990"/>
    <n v="66946119"/>
    <s v="C3970 CMN Comm Equip, new"/>
    <n v="143007488"/>
    <s v="156TH ST SECTION THROW - TELECOM FI"/>
    <m/>
    <s v="12/2023"/>
    <n v="2"/>
    <n v="14108.33"/>
    <n v="455.24"/>
    <n v="13653.09"/>
    <x v="8"/>
    <x v="0"/>
  </r>
  <r>
    <s v="General Plant, Common"/>
    <s v="Common (E &amp; G)"/>
    <s v="General Plant, King County outside RTA District, WA : GPL-0000 WA01700000"/>
    <n v="66946131"/>
    <s v="C3970 CMN Comm Equip, new"/>
    <n v="143007801"/>
    <s v="Fiber Outage DUV-SUB - STI SUB 0713"/>
    <m/>
    <s v="12/2023"/>
    <n v="2"/>
    <n v="29325.57"/>
    <n v="946.27"/>
    <n v="28379.3"/>
    <x v="8"/>
    <x v="0"/>
  </r>
  <r>
    <s v="General Plant, Common"/>
    <s v="Common (E &amp; G)"/>
    <s v="General Plant, King County Unincorporated within RTA District, WA : GPL-0000 WA11700990"/>
    <n v="67451089"/>
    <s v="C3970 CMN Comm Equip, new"/>
    <n v="143007265"/>
    <s v="2023 STANDING INTERNAL NETWORK DEPL"/>
    <s v="Preconstruction activities for the AMI Network Deployment."/>
    <s v="12/2023"/>
    <n v="6"/>
    <n v="44582.15"/>
    <n v="1438.56"/>
    <n v="43143.590000000004"/>
    <x v="8"/>
    <x v="0"/>
  </r>
  <r>
    <s v="General Plant, Common"/>
    <s v="Common (E &amp; G)"/>
    <s v="General Plant, King County outside RTA District, WA : GPL-0000 WA01700000"/>
    <n v="67797782"/>
    <s v="C3970 CMN Comm Equip, new"/>
    <n v="143006465"/>
    <s v="TRANSPORT NW MOD - CMM-STI SUB"/>
    <s v="Stillwater Substation. Transport Network Modernization - CMM WO for DC Plant for STI_x000a_Battery,charger, fuse panels and labor_x000a_"/>
    <s v="12/2023"/>
    <n v="2"/>
    <n v="17377.939999999999"/>
    <n v="560.75"/>
    <n v="16817.189999999999"/>
    <x v="8"/>
    <x v="0"/>
  </r>
  <r>
    <s v="General Plant, Common"/>
    <s v="Common (E &amp; G)"/>
    <s v="General Plant, Kitsap County, WA : GPL-0000 WA01800000"/>
    <n v="67797785"/>
    <s v="C3970 CMN Comm Equip, new"/>
    <n v="143006466"/>
    <s v="TRANSP. NET. MODERNIZATION-CMM-USB-"/>
    <s v="U.S. Navy Bangor Substation, Transport Network Modernization - CMM-WO for DC Plant for USB.Battery,charger, fuse panels and labor"/>
    <s v="12/2023"/>
    <n v="3"/>
    <n v="28573.91"/>
    <n v="922.01"/>
    <n v="27651.9"/>
    <x v="8"/>
    <x v="0"/>
  </r>
  <r>
    <s v="General Plant, Common"/>
    <s v="Common (E &amp; G)"/>
    <s v="General Plant, Thurston County, WA : GPL-0000 WA03400000"/>
    <n v="67797803"/>
    <s v="C3970 CMN Comm Equip, new"/>
    <n v="143007045"/>
    <s v="TRANSPORT NW MOD - YEL SUB CMM"/>
    <s v="COMM Transport Network Modernization"/>
    <s v="12/2023"/>
    <n v="3"/>
    <n v="85856.25"/>
    <n v="2770.38"/>
    <n v="83085.87"/>
    <x v="8"/>
    <x v="0"/>
  </r>
  <r>
    <s v="General Plant, Common"/>
    <s v="Common (E &amp; G)"/>
    <s v="General Plant, King County Unincorporated within RTA District, WA : GPL-0000 WA11700990"/>
    <n v="67797809"/>
    <s v="C3970 CMN Comm Equip, new"/>
    <n v="143007091"/>
    <s v="ANNUAL FIBER REFRESH AND REPAIR (20"/>
    <s v="ay to day maintenance, small Fiber builds, pole transfers, upgrades,_x000a_and fiber relocates that come up throughout year to ensure high_x000a_availability of Fiber Optic Infrastructure year round."/>
    <s v="12/2023"/>
    <n v="3"/>
    <n v="373039.09"/>
    <n v="12037.11"/>
    <n v="361001.98"/>
    <x v="8"/>
    <x v="0"/>
  </r>
  <r>
    <s v="General Plant, Common"/>
    <s v="Common (E &amp; G)"/>
    <s v="General Plant, King County Unincorporated within RTA District, WA : GPL-0000 WA11700990"/>
    <n v="67797812"/>
    <s v="C3970 CMN Comm Equip, new"/>
    <n v="143007092"/>
    <s v="NJUNS FIBER TICKETS (2023) - CMM"/>
    <s v="Telecom Services, Redmond, Wiring - fiber optic cable, Labor and equipment NJUNS tickets and small projects._x000a_"/>
    <s v="12/2023"/>
    <n v="2"/>
    <n v="67398.61"/>
    <n v="2174.8000000000002"/>
    <n v="65223.810000000005"/>
    <x v="8"/>
    <x v="0"/>
  </r>
  <r>
    <s v="General Plant, Common"/>
    <s v="Common (E &amp; G)"/>
    <s v="General Plant, King County Unincorporated within RTA District, WA : GPL-0000 WA11700990"/>
    <n v="67797818"/>
    <s v="C3970 CMN Comm Equip, new"/>
    <n v="143007196"/>
    <s v="2023 TELECOM COMM SITES IMPROVEMENT"/>
    <s v="Upgrades and enhancements for Telecom South critical towers and COMM rooms."/>
    <s v="12/2023"/>
    <n v="3"/>
    <n v="112585.38"/>
    <n v="3632.87"/>
    <n v="108952.51000000001"/>
    <x v="8"/>
    <x v="0"/>
  </r>
  <r>
    <s v="General Plant, Common"/>
    <s v="Common (E &amp; G)"/>
    <s v="General Plant, King County Unincorporated within RTA District, WA : GPL-0000 WA11700990"/>
    <n v="67797821"/>
    <s v="C3970 CMN Comm Equip, new"/>
    <n v="143007197"/>
    <s v="2023 TELECOM COMM SITES IMPROV - NO"/>
    <s v="Upgrades and enhancements for Telecom North critical towers and COMM rooms."/>
    <s v="12/2023"/>
    <n v="3"/>
    <n v="62198.29"/>
    <n v="2006.99"/>
    <n v="60191.3"/>
    <x v="8"/>
    <x v="0"/>
  </r>
  <r>
    <s v="General Plant, Common"/>
    <s v="Common (E &amp; G)"/>
    <s v="General Plant, Kitsap County, WA : GPL-0000 WA01800000"/>
    <n v="67797849"/>
    <s v="C3970 CMN Comm Equip, new"/>
    <n v="143007565"/>
    <s v="TRANSPORT NW MOD -  BRE-TAL SUB - C"/>
    <m/>
    <s v="12/2023"/>
    <n v="2"/>
    <n v="3147.65"/>
    <n v="101.57000000000001"/>
    <n v="3046.08"/>
    <x v="8"/>
    <x v="0"/>
  </r>
  <r>
    <s v="General Plant, Common"/>
    <s v="Common (E &amp; G)"/>
    <s v="General Plant, Island County, WA : GPL-0000 WA01500000"/>
    <n v="67797852"/>
    <s v="C3970 CMN Comm Equip, new"/>
    <n v="143007581"/>
    <s v="CPV-COUPEVILLE SUB TRANSP EXT_CMM"/>
    <m/>
    <s v="12/2023"/>
    <n v="1"/>
    <n v="10948.1"/>
    <n v="353.27"/>
    <n v="10594.83"/>
    <x v="8"/>
    <x v="0"/>
  </r>
  <r>
    <s v="General Plant, Common"/>
    <s v="Common (E &amp; G)"/>
    <s v="General Plant, King County Unincorporated within RTA District, WA : GPL-0000 WA11700990"/>
    <n v="67959626"/>
    <s v="C3970 CMN Comm Equip, new"/>
    <n v="143006432"/>
    <s v="9999E999 AMI NTWK L+G BILLING"/>
    <s v="L+G billing for AMI network router/collector devices"/>
    <s v="12/2023"/>
    <n v="2"/>
    <n v="9356.7800000000007"/>
    <n v="301.92"/>
    <n v="9054.86"/>
    <x v="8"/>
    <x v="0"/>
  </r>
  <r>
    <s v="General Plant, Common"/>
    <s v="Common (E &amp; G)"/>
    <s v="General Plant, Snohomish County outside RTA Dst, WA : GPL-0000 WA03100000"/>
    <n v="67959639"/>
    <s v="C3970 CMN Comm Equip, new"/>
    <n v="143006525"/>
    <s v="9999E999 AMI NTWK SNO PUD 2022/2023"/>
    <s v="City of Edmonds franchise agreement."/>
    <s v="12/2023"/>
    <n v="2"/>
    <n v="-186172.18"/>
    <n v="-6007.34"/>
    <n v="-180164.84"/>
    <x v="8"/>
    <x v="0"/>
  </r>
  <r>
    <s v="General Plant, Common"/>
    <s v="Common (E &amp; G)"/>
    <s v="General Plant, Whitman County, WA : GPL-0000 WA03800000"/>
    <n v="67959642"/>
    <s v="C3970 CMN Comm Equip, new"/>
    <n v="143006528"/>
    <s v="RIDPATH MW UPGRADE TO LIN RDP-COM"/>
    <s v="MW Radios. Upgrade existing MW path from legacy MW equipment nearing EOL (Ridpath) to new IP capable and higher capacity MW Radios."/>
    <s v="12/2023"/>
    <n v="2"/>
    <n v="38905.93"/>
    <n v="1255.4000000000001"/>
    <n v="37650.53"/>
    <x v="8"/>
    <x v="0"/>
  </r>
  <r>
    <s v="General Plant, Common"/>
    <s v="Common (E &amp; G)"/>
    <s v="General Plant, Columbia County, WA : GPL-0000 WA00700000"/>
    <n v="67959645"/>
    <s v="C3970 CMN Comm Equip, new"/>
    <n v="143006530"/>
    <s v="FIELDS GULCH FGH-COM MW UPGRADE"/>
    <s v="ANNUAL TELECOM RF MICROWAVE IMPROVEMENTS"/>
    <s v="12/2023"/>
    <n v="2"/>
    <n v="41233.86"/>
    <n v="1330.52"/>
    <n v="39903.340000000004"/>
    <x v="8"/>
    <x v="0"/>
  </r>
  <r>
    <s v="General Plant, Common"/>
    <s v="Common (E &amp; G)"/>
    <s v="General Plant, Kitsap County, WA : GPL-0000 WA01800000"/>
    <n v="67959696"/>
    <s v="C3970 CMN Comm Equip, new"/>
    <n v="143007047"/>
    <s v="TRANSPORT NW MOD - CMM-SBS"/>
    <s v="COMM Transport Network Modernization"/>
    <s v="12/2023"/>
    <n v="2"/>
    <n v="12300.09"/>
    <n v="396.90000000000003"/>
    <n v="11903.19"/>
    <x v="8"/>
    <x v="0"/>
  </r>
  <r>
    <s v="General Plant, Common"/>
    <s v="Common (E &amp; G)"/>
    <s v="General Plant, King County Unincorporated within RTA District, WA : GPL-0000 WA11700990"/>
    <n v="67959723"/>
    <s v="C3970 CMN Comm Equip, new"/>
    <n v="143007216"/>
    <s v="9999E999 2023 AMI NTWK BLDG FIX UP"/>
    <s v="Installation of antennae with connectors, IWR radios, Network Equipment_x000a_for the purpose of getting RF signal out to deliver a Network Read."/>
    <s v="12/2023"/>
    <n v="2"/>
    <n v="19197.11"/>
    <n v="619.45000000000005"/>
    <n v="18577.66"/>
    <x v="8"/>
    <x v="0"/>
  </r>
  <r>
    <s v="General Plant, Common"/>
    <s v="Common (E &amp; G)"/>
    <s v="General Plant, King County Unincorporated within RTA District, WA : GPL-0000 WA11700990"/>
    <n v="67959744"/>
    <s v="C3970 CMN Comm Equip, new"/>
    <n v="143007270"/>
    <s v="9999E999 AMI NTWK SCL OH"/>
    <s v="Install OH AMI network device in SCL service area"/>
    <s v="12/2023"/>
    <n v="2"/>
    <n v="4839.8"/>
    <n v="156.17000000000002"/>
    <n v="4683.63"/>
    <x v="8"/>
    <x v="0"/>
  </r>
  <r>
    <s v="General Plant, Common"/>
    <s v="Common (E &amp; G)"/>
    <s v="General Plant, Lewis County, WA : GPL-0000 WA02100000"/>
    <n v="67959747"/>
    <s v="C3970 CMN Comm Equip, new"/>
    <n v="143007272"/>
    <s v="9999E999 AMI NTWK LEWIS CO PUD"/>
    <s v="Install UG AMI network device in LCPUD service area"/>
    <s v="12/2023"/>
    <n v="2"/>
    <n v="26.900000000000002"/>
    <n v="0.87"/>
    <n v="26.03"/>
    <x v="8"/>
    <x v="0"/>
  </r>
  <r>
    <s v="General Plant, Common"/>
    <s v="Common (E &amp; G)"/>
    <s v="General Plant, King County outside RTA District, WA : GPL-0000 WA01700000"/>
    <n v="67959803"/>
    <s v="C3970 CMN Comm Equip, new"/>
    <n v="143007730"/>
    <s v="RATTLESNAKE MT COMM IMPROVEMENTS - "/>
    <m/>
    <s v="12/2023"/>
    <n v="2"/>
    <n v="135268.06"/>
    <n v="4364.79"/>
    <n v="130903.27"/>
    <x v="8"/>
    <x v="0"/>
  </r>
  <r>
    <s v="General Plant, Common"/>
    <s v="Common (E &amp; G)"/>
    <s v="General Plant, King County Unincorporated within RTA District, WA : GPL-0000 WA11700990"/>
    <n v="40676617"/>
    <s v="C3974 CMN Comm Equip, AMI Network"/>
    <n v="143002527"/>
    <s v="9999E999 AMI NETWORK DEPLOYMENT -RE"/>
    <s v="9999E999 AMI NETWORK DEPLOYMENT -REDMOND"/>
    <s v="12/2023"/>
    <n v="9"/>
    <n v="1559293.04"/>
    <n v="657155.07000000007"/>
    <n v="902137.97"/>
    <x v="8"/>
    <x v="0"/>
  </r>
  <r>
    <s v="General Plant, Common"/>
    <s v="Common (E &amp; G)"/>
    <s v="General Plant, King County outside RTA District, WA : GPL-0000 WA01700000"/>
    <n v="40676624"/>
    <s v="C3974 CMN Comm Equip, AMI Network"/>
    <n v="143002527"/>
    <s v="9999E999 AMI NETWORK DEPLOYMENT -RE"/>
    <s v="9999E999 AMI NETWORK DEPLOYMENT -REDMOND"/>
    <s v="12/2023"/>
    <n v="3"/>
    <n v="188376.75"/>
    <n v="79390.3"/>
    <n v="108986.45"/>
    <x v="8"/>
    <x v="0"/>
  </r>
  <r>
    <s v="General Plant, Common"/>
    <s v="Common (E &amp; G)"/>
    <s v="General Plant, Pierce County outside RTA District, WA : GPL-0000 WA02700000"/>
    <n v="40676631"/>
    <s v="C3974 CMN Comm Equip, AMI Network"/>
    <n v="143002580"/>
    <s v="9999E999 AMI NTWK DEPLOY S2 UNIKCO "/>
    <s v="9999E999 AMI NTWK DEPLOY S2 UNIKCO GB IN"/>
    <s v="12/2023"/>
    <n v="7"/>
    <n v="762019.08"/>
    <n v="279251.06"/>
    <n v="482768.02"/>
    <x v="8"/>
    <x v="0"/>
  </r>
  <r>
    <s v="General Plant, Common"/>
    <s v="Common (E &amp; G)"/>
    <s v="General Plant, King County Unincorporated within RTA District, WA : GPL-0000 WA11700990"/>
    <n v="40676638"/>
    <s v="C3974 CMN Comm Equip, AMI Network"/>
    <n v="143002580"/>
    <s v="9999E999 AMI NTWK DEPLOY S2 UNIKCO "/>
    <s v="9999E999 AMI NTWK DEPLOY S2 UNIKCO GB IN"/>
    <s v="12/2023"/>
    <n v="2"/>
    <n v="320847.43"/>
    <n v="117578.40000000001"/>
    <n v="203269.03"/>
    <x v="8"/>
    <x v="0"/>
  </r>
  <r>
    <s v="General Plant, Common"/>
    <s v="Common (E &amp; G)"/>
    <s v="General Plant, King County outside RTA District, WA : GPL-0000 WA01700000"/>
    <n v="40676645"/>
    <s v="C3974 CMN Comm Equip, AMI Network"/>
    <n v="143002580"/>
    <s v="9999E999 AMI NTWK DEPLOY S2 UNIKCO "/>
    <s v="9999E999 AMI NTWK DEPLOY S2 UNIKCO GB IN"/>
    <s v="12/2023"/>
    <n v="27"/>
    <n v="2928868.09"/>
    <n v="1073318.95"/>
    <n v="1855549.1400000001"/>
    <x v="8"/>
    <x v="0"/>
  </r>
  <r>
    <s v="General Plant, Common"/>
    <s v="Common (E &amp; G)"/>
    <s v="General Plant, Kitsap County, WA : GPL-0000 WA01800000"/>
    <n v="40676652"/>
    <s v="C3974 CMN Comm Equip, AMI Network"/>
    <n v="143002584"/>
    <s v="9999E999 AMI NTWK DEPLOY S2 DUVALL "/>
    <s v="9999E999 AMI NTWK DEPLOY S2 DUVALL"/>
    <s v="12/2023"/>
    <n v="2"/>
    <n v="1101480.6599999999"/>
    <n v="403650.84"/>
    <n v="697829.82000000007"/>
    <x v="8"/>
    <x v="0"/>
  </r>
  <r>
    <s v="General Plant, Common"/>
    <s v="Common (E &amp; G)"/>
    <s v="General Plant, Island County, WA : GPL-0000 WA01500000"/>
    <n v="40676659"/>
    <s v="C3974 CMN Comm Equip, AMI Network"/>
    <n v="143002584"/>
    <s v="9999E999 AMI NTWK DEPLOY S2 DUVALL "/>
    <s v="9999E999 AMI NTWK DEPLOY S2 DUVALL"/>
    <s v="12/2023"/>
    <n v="3"/>
    <n v="44147.43"/>
    <n v="16178.36"/>
    <n v="27969.07"/>
    <x v="8"/>
    <x v="0"/>
  </r>
  <r>
    <s v="General Plant, Common"/>
    <s v="Common (E &amp; G)"/>
    <s v="General Plant, Whatcom County, WA : GPL-0000 WA03700000"/>
    <n v="40676666"/>
    <s v="C3974 CMN Comm Equip, AMI Network"/>
    <n v="143002584"/>
    <s v="9999E999 AMI NTWK DEPLOY S2 DUVALL "/>
    <s v="9999E999 AMI NTWK DEPLOY S2 DUVALL"/>
    <s v="12/2023"/>
    <n v="2"/>
    <n v="790386.98"/>
    <n v="289646.82"/>
    <n v="500740.16000000003"/>
    <x v="8"/>
    <x v="0"/>
  </r>
  <r>
    <s v="General Plant, Common"/>
    <s v="Common (E &amp; G)"/>
    <s v="General Plant, Thurston County, WA : GPL-0000 WA03400000"/>
    <n v="40676673"/>
    <s v="C3974 CMN Comm Equip, AMI Network"/>
    <n v="143002584"/>
    <s v="9999E999 AMI NTWK DEPLOY S2 DUVALL "/>
    <s v="9999E999 AMI NTWK DEPLOY S2 DUVALL"/>
    <s v="12/2023"/>
    <n v="2"/>
    <n v="167662.29"/>
    <n v="61441.86"/>
    <n v="106220.43000000001"/>
    <x v="8"/>
    <x v="0"/>
  </r>
  <r>
    <s v="General Plant, Common"/>
    <s v="Common (E &amp; G)"/>
    <s v="General Plant, Skagit County, WA : GPL-0000 WA02900000"/>
    <n v="40676680"/>
    <s v="C3974 CMN Comm Equip, AMI Network"/>
    <n v="143002584"/>
    <s v="9999E999 AMI NTWK DEPLOY S2 DUVALL "/>
    <s v="9999E999 AMI NTWK DEPLOY S2 DUVALL"/>
    <s v="12/2023"/>
    <n v="4"/>
    <n v="222514.96"/>
    <n v="81543.28"/>
    <n v="140971.68"/>
    <x v="8"/>
    <x v="0"/>
  </r>
  <r>
    <s v="General Plant, Common"/>
    <s v="Common (E &amp; G)"/>
    <s v="General Plant, Island County, WA : GPL-0000 WA01500000"/>
    <n v="40676687"/>
    <s v="C3974 CMN Comm Equip, AMI Network"/>
    <n v="143002625"/>
    <s v="9999E999 AMI NTWK DEPLOY S3 UNIKCO "/>
    <s v="9999E999 AMI NTWK DEPLOY S3 UNIKCO CB IN"/>
    <s v="12/2023"/>
    <n v="0"/>
    <n v="327911.8"/>
    <n v="102687.44"/>
    <n v="225224.36000000002"/>
    <x v="8"/>
    <x v="0"/>
  </r>
  <r>
    <s v="General Plant, Common"/>
    <s v="Common (E &amp; G)"/>
    <s v="General Plant, Whatcom County, WA : GPL-0000 WA03700000"/>
    <n v="40676694"/>
    <s v="C3974 CMN Comm Equip, AMI Network"/>
    <n v="143002625"/>
    <s v="9999E999 AMI NTWK DEPLOY S3 UNIKCO "/>
    <s v="9999E999 AMI NTWK DEPLOY S3 UNIKCO CB IN"/>
    <s v="12/2023"/>
    <n v="0"/>
    <n v="246845.71"/>
    <n v="77301.13"/>
    <n v="169544.58000000002"/>
    <x v="8"/>
    <x v="0"/>
  </r>
  <r>
    <s v="General Plant, Common"/>
    <s v="Common (E &amp; G)"/>
    <s v="General Plant, Thurston County, WA : GPL-0000 WA03400000"/>
    <n v="40676701"/>
    <s v="C3974 CMN Comm Equip, AMI Network"/>
    <n v="143002625"/>
    <s v="9999E999 AMI NTWK DEPLOY S3 UNIKCO "/>
    <s v="9999E999 AMI NTWK DEPLOY S3 UNIKCO CB IN"/>
    <s v="12/2023"/>
    <n v="0"/>
    <n v="1135994.03"/>
    <n v="355742.96"/>
    <n v="780251.07000000007"/>
    <x v="8"/>
    <x v="0"/>
  </r>
  <r>
    <s v="General Plant, Common"/>
    <s v="Common (E &amp; G)"/>
    <s v="General Plant, Skagit County, WA : GPL-0000 WA02900000"/>
    <n v="40676708"/>
    <s v="C3974 CMN Comm Equip, AMI Network"/>
    <n v="143002625"/>
    <s v="9999E999 AMI NTWK DEPLOY S3 UNIKCO "/>
    <s v="9999E999 AMI NTWK DEPLOY S3 UNIKCO CB IN"/>
    <s v="12/2023"/>
    <n v="0"/>
    <n v="454390.48"/>
    <n v="142294.95000000001"/>
    <n v="312095.53000000003"/>
    <x v="8"/>
    <x v="0"/>
  </r>
  <r>
    <s v="General Plant, Common"/>
    <s v="Common (E &amp; G)"/>
    <s v="General Plant, King County outside RTA District, WA : GPL-0000 WA01700000"/>
    <n v="40676715"/>
    <s v="C3974 CMN Comm Equip, AMI Network"/>
    <n v="143002625"/>
    <s v="9999E999 AMI NTWK DEPLOY S3 UNIKCO "/>
    <s v="9999E999 AMI NTWK DEPLOY S3 UNIKCO CB IN"/>
    <s v="12/2023"/>
    <n v="0"/>
    <n v="820478.98"/>
    <n v="256937.64"/>
    <n v="563541.34"/>
    <x v="8"/>
    <x v="0"/>
  </r>
  <r>
    <s v="General Plant, Common"/>
    <s v="Common (E &amp; G)"/>
    <s v="General Plant, Kitsap County, WA : GPL-0000 WA01800000"/>
    <n v="40676722"/>
    <s v="C3974 CMN Comm Equip, AMI Network"/>
    <n v="143002625"/>
    <s v="9999E999 AMI NTWK DEPLOY S3 UNIKCO "/>
    <s v="9999E999 AMI NTWK DEPLOY S3 UNIKCO CB IN"/>
    <s v="12/2023"/>
    <n v="0"/>
    <n v="143377.93"/>
    <n v="44899.61"/>
    <n v="98478.32"/>
    <x v="8"/>
    <x v="0"/>
  </r>
  <r>
    <s v="General Plant, Common"/>
    <s v="Common (E &amp; G)"/>
    <s v="General Plant, Pierce County outside RTA District, WA : GPL-0000 WA02700000"/>
    <n v="40676729"/>
    <s v="C3974 CMN Comm Equip, AMI Network"/>
    <n v="143002625"/>
    <s v="9999E999 AMI NTWK DEPLOY S3 UNIKCO "/>
    <s v="9999E999 AMI NTWK DEPLOY S3 UNIKCO CB IN"/>
    <s v="12/2023"/>
    <n v="0"/>
    <n v="657928.77"/>
    <n v="206034.12"/>
    <n v="451894.65"/>
    <x v="8"/>
    <x v="0"/>
  </r>
  <r>
    <s v="General Plant, Common"/>
    <s v="Common (E &amp; G)"/>
    <s v="Commeq - AMI Network - DONOTUSE"/>
    <n v="41448672"/>
    <s v="C3974 CMN Comm Equip, AMI Network"/>
    <n v="143003752"/>
    <s v="1904E066 AMI NTWK 8124 138 ST E PUY"/>
    <s v="1904E066 AMI NTWK 8124 138 ST E PUYALLUP"/>
    <s v="12/2023"/>
    <n v="0"/>
    <n v="27.26"/>
    <n v="8.5400000000000009"/>
    <n v="18.72"/>
    <x v="8"/>
    <x v="0"/>
  </r>
  <r>
    <s v="General Plant, Common"/>
    <s v="Common (E &amp; G)"/>
    <s v="General Plant, King County Unincorporated within RTA District, WA : GPL-0000 WA11700990"/>
    <n v="44445739"/>
    <s v="C3974 CMN Comm Equip, AMI Network"/>
    <n v="143003902"/>
    <s v="DO NOT USE REPLACED BY 143004800 FO"/>
    <s v="DO NOT USE REPLACED BY 143004800 FOR 201"/>
    <s v="12/2023"/>
    <n v="0"/>
    <n v="1686567.98"/>
    <n v="528158.31000000006"/>
    <n v="1158409.67"/>
    <x v="8"/>
    <x v="0"/>
  </r>
  <r>
    <s v="General Plant, Common"/>
    <s v="Common (E &amp; G)"/>
    <s v="General Plant, Pierce County outside RTA District, WA : GPL-0000 WA02700000"/>
    <n v="43986573"/>
    <s v="C3974 CMN Comm Equip, AMI Network"/>
    <n v="143003552"/>
    <s v="AMR NETWORK EXPNS PROJECT -PIERCE C"/>
    <s v="AMR NETWORK EXPNS PROJECT -PIERCE COUNTY"/>
    <s v="12/2023"/>
    <n v="0"/>
    <n v="302345.68"/>
    <n v="78733.210000000006"/>
    <n v="223612.47"/>
    <x v="8"/>
    <x v="0"/>
  </r>
  <r>
    <s v="General Plant, Common"/>
    <s v="Common (E &amp; G)"/>
    <s v="General Plant, Kittitas County, WA : GPL-0000 WA01900000"/>
    <n v="44445679"/>
    <s v="C3974 CMN Comm Equip, AMI Network"/>
    <n v="143002595"/>
    <s v="9999E999 AMI NTWK DEPLOY S2 ROSLYN"/>
    <s v="9999E999 AMI NTWK DEPLOY S2 ROSLYN"/>
    <s v="12/2023"/>
    <n v="0"/>
    <n v="11411.09"/>
    <n v="2971.54"/>
    <n v="8439.5499999999993"/>
    <x v="8"/>
    <x v="0"/>
  </r>
  <r>
    <s v="General Plant, Common"/>
    <s v="Common (E &amp; G)"/>
    <s v="General Plant, Thurston County, WA : GPL-0000 WA03400000"/>
    <n v="47205778"/>
    <s v="C3974 CMN Comm Equip, AMI Network"/>
    <n v="143002724"/>
    <s v="9999E999 AMI NTWK DEPLOY S5 OLYMPIA"/>
    <s v="9999E999 AMI NTWK DEPLOY S5 OLYMPIA"/>
    <s v="12/2023"/>
    <n v="0"/>
    <n v="418078.4"/>
    <n v="108870.93000000001"/>
    <n v="309207.47000000003"/>
    <x v="8"/>
    <x v="0"/>
  </r>
  <r>
    <s v="General Plant, Common"/>
    <s v="Common (E &amp; G)"/>
    <s v="General Plant, King County Unincorporated within RTA District, WA : GPL-0000 WA11700990"/>
    <n v="47205793"/>
    <s v="C3974 CMN Comm Equip, AMI Network"/>
    <n v="143003867"/>
    <s v="STANDING 2018 AMI NETWORK SYSTEM(EX"/>
    <s v="STANDING 2018 AMI NETWORK SYSTEM(EXTERNA"/>
    <s v="12/2023"/>
    <n v="0"/>
    <n v="1561575.9500000002"/>
    <n v="406646.75"/>
    <n v="1154929.2"/>
    <x v="8"/>
    <x v="0"/>
  </r>
  <r>
    <s v="General Plant, Common"/>
    <s v="Common (E &amp; G)"/>
    <s v="General Plant, Pierce County outside RTA District, WA : GPL-0000 WA02700000"/>
    <n v="47205800"/>
    <s v="C3974 CMN Comm Equip, AMI Network"/>
    <n v="143004207"/>
    <s v="9999E999 AMI NTWK ELMHURST OH &amp; UG"/>
    <s v="9999E999 AMI NTWK ELMHURST OH &amp; UG"/>
    <s v="12/2023"/>
    <n v="0"/>
    <n v="273878.34999999998"/>
    <n v="56720.630000000005"/>
    <n v="217157.72"/>
    <x v="8"/>
    <x v="0"/>
  </r>
  <r>
    <s v="General Plant, Common"/>
    <s v="Common (E &amp; G)"/>
    <s v="Commeq - Amcor : COM-AMCO"/>
    <n v="51353727"/>
    <s v="C3974 CMN Comm Equip, AMI Network"/>
    <n v="143005328"/>
    <s v="STANDING 2020 AMI NETWORK SYSTEM(IN"/>
    <s v="STANDING 2020 AMI NETWORK SYSTEM(INTERNA"/>
    <s v="12/2023"/>
    <n v="0"/>
    <n v="996770.73"/>
    <n v="206432.77000000002"/>
    <n v="790337.96"/>
    <x v="8"/>
    <x v="0"/>
  </r>
  <r>
    <s v="General Plant, Common"/>
    <s v="Common (E &amp; G)"/>
    <s v="General Plant, King County Unincorporated within RTA District, WA : GPL-0000 WA11700990"/>
    <n v="51437193"/>
    <s v="C3974 CMN Comm Equip, AMI Network"/>
    <n v="143004200"/>
    <s v="9999E999 AMI NTWK UG_TURTLE SYSTEM "/>
    <s v="9999E999 AMI NTWK UG_TURTLE SYSTEM KITTI"/>
    <s v="12/2023"/>
    <n v="0"/>
    <n v="1413173.35"/>
    <n v="292670.41000000003"/>
    <n v="1120502.94"/>
    <x v="8"/>
    <x v="0"/>
  </r>
  <r>
    <s v="General Plant, Common"/>
    <s v="Common (E &amp; G)"/>
    <s v="Commeq - AMI Network - DONOTUSE"/>
    <n v="51817628"/>
    <s v="C3974 CMN Comm Equip, AMI Network"/>
    <n v="143005243"/>
    <s v="2020 STANDING ORDER LANDIS+GYR AMR "/>
    <s v="2020 STANDING ORDER LANDIS+GYR AMR Netwo"/>
    <s v="12/2023"/>
    <n v="0"/>
    <n v="467863.5"/>
    <n v="71171.09"/>
    <n v="396692.41000000003"/>
    <x v="8"/>
    <x v="0"/>
  </r>
  <r>
    <s v="General Plant, Common"/>
    <s v="Common (E &amp; G)"/>
    <s v="General Plant, Pierce County outside RTA District, WA : GPL-0000 WA02700000"/>
    <n v="56972613"/>
    <s v="C3974 CMN Comm Equip, AMI Network"/>
    <n v="143003604"/>
    <s v="9999E999 AMI NTWK PENINSULA LIGHT"/>
    <s v="9999E999 AMI NTWK PENINSULA LIGHT"/>
    <s v="12/2023"/>
    <n v="593"/>
    <n v="5432697.2300000004"/>
    <n v="826418.32000000007"/>
    <n v="4606278.91"/>
    <x v="8"/>
    <x v="0"/>
  </r>
  <r>
    <s v="General Plant, Common"/>
    <s v="Common (E &amp; G)"/>
    <s v="General Plant, King County Unincorporated within RTA District, WA : GPL-0000 WA11700990"/>
    <n v="57971805"/>
    <s v="C3974 CMN Comm Equip, AMI Network"/>
    <n v="143002592"/>
    <s v="9999E999 AMI NTWK S2 OH ONE-OFF(1ST"/>
    <s v="9999E999 AMI NTWK S2 OH ONE-OFF(1ST REL)"/>
    <s v="12/2023"/>
    <n v="1563"/>
    <n v="15528290.199999999"/>
    <n v="2362153.2599999998"/>
    <n v="13166136.939999999"/>
    <x v="8"/>
    <x v="0"/>
  </r>
  <r>
    <s v="General Plant, Common"/>
    <s v="Common (E &amp; G)"/>
    <s v="General Plant, Skagit County, WA : GPL-0000 WA02900000"/>
    <n v="57971822"/>
    <s v="C3974 CMN Comm Equip, AMI Network"/>
    <n v="143003221"/>
    <s v="9999E999 AMI NTWK DEPLOY N3 SKAGIT "/>
    <s v="9999E999 AMI NTWK DEPLOY N3 SKAGIT WSDOT"/>
    <s v="12/2023"/>
    <n v="0"/>
    <n v="365929.2"/>
    <n v="55664.91"/>
    <n v="310264.28999999998"/>
    <x v="8"/>
    <x v="0"/>
  </r>
  <r>
    <s v="General Plant, Common"/>
    <s v="Common (E &amp; G)"/>
    <s v="General Plant, Whatcom County, WA : GPL-0000 WA03700000"/>
    <n v="57971897"/>
    <s v="C3974 CMN Comm Equip, AMI Network"/>
    <n v="143003596"/>
    <s v="9999E999 AMI NTWK N4 OH GTG &amp;1-OFF"/>
    <s v="9999E999 AMI NTWK N4 OH GTG &amp;1-OFF"/>
    <s v="12/2023"/>
    <n v="0"/>
    <n v="94099.02"/>
    <n v="14314.28"/>
    <n v="79784.740000000005"/>
    <x v="8"/>
    <x v="0"/>
  </r>
  <r>
    <s v="General Plant, Common"/>
    <s v="Common (E &amp; G)"/>
    <s v="General Plant, Kitsap County, WA : GPL-0000 WA01800000"/>
    <n v="58136488"/>
    <s v="C3974 CMN Comm Equip, AMI Network"/>
    <n v="143002843"/>
    <s v="9999E999 AMI NTWK DEPLOY S4 PORT OR"/>
    <s v="9999E999 AMI NTWK DEPLOY S4 PORT ORCHARD"/>
    <s v="12/2023"/>
    <n v="83"/>
    <n v="552878.72"/>
    <n v="84103.55"/>
    <n v="468775.17"/>
    <x v="8"/>
    <x v="0"/>
  </r>
  <r>
    <s v="General Plant, Common"/>
    <s v="Common (E &amp; G)"/>
    <s v="General Plant, King County outside RTA District, WA : GPL-0000 WA01700000"/>
    <n v="58136493"/>
    <s v="C3974 CMN Comm Equip, AMI Network"/>
    <n v="143003104"/>
    <s v="2311E131 AMI NTWK DEPLOY S2 19100 A"/>
    <s v="2311E131 AMI NTWK DEPLOY S2 19100 ALPENT"/>
    <s v="12/2023"/>
    <n v="11"/>
    <n v="57496.31"/>
    <n v="8746.3000000000011"/>
    <n v="48750.01"/>
    <x v="8"/>
    <x v="0"/>
  </r>
  <r>
    <s v="General Plant, Common"/>
    <s v="Common (E &amp; G)"/>
    <s v="General Plant, Snohomish County outside RTA Dst, WA : GPL-0000 WA03100000"/>
    <n v="58136498"/>
    <s v="C3974 CMN Comm Equip, AMI Network"/>
    <n v="143003601"/>
    <s v="9999E999 AMI NTWK SNOHOMISH PUD"/>
    <s v="9999E999 AMI NTWK SNOHOMISH PUD"/>
    <s v="12/2023"/>
    <n v="1224"/>
    <n v="10233003.460000001"/>
    <n v="1556637.73"/>
    <n v="8676365.7300000004"/>
    <x v="8"/>
    <x v="0"/>
  </r>
  <r>
    <s v="General Plant, Common"/>
    <s v="Common (E &amp; G)"/>
    <s v="General Plant, King County Unincorporated within RTA District, WA : GPL-0000 WA11700990"/>
    <n v="58490912"/>
    <s v="C3974 CMN Comm Equip, AMI Network"/>
    <n v="143005964"/>
    <s v="STANDING 2021 AMI NTWK PRJT-EXTERNA"/>
    <s v="STANDING 2021 AMI NTWK PRJT-EXTERNAL ONL"/>
    <s v="12/2023"/>
    <n v="0"/>
    <n v="1169676.04"/>
    <n v="110351.95"/>
    <n v="1059324.0900000001"/>
    <x v="8"/>
    <x v="0"/>
  </r>
  <r>
    <s v="General Plant, Common"/>
    <s v="Common (E &amp; G)"/>
    <s v="General Plant, King County outside RTA District, WA : GPL-0000 WA01700000"/>
    <n v="5365597"/>
    <s v="C3980 CMN Misc Equipment, new"/>
    <n v="130003901"/>
    <s v="Redmond West Purchase of AED &amp; Cabi"/>
    <s v="Redmond West Purchase of AED &amp; Cabinet"/>
    <s v="12/2023"/>
    <n v="1"/>
    <n v="218701.53"/>
    <n v="1038637.19"/>
    <n v="-819935.66"/>
    <x v="9"/>
    <x v="0"/>
  </r>
  <r>
    <s v="General Plant, Common"/>
    <s v="Common (E &amp; G)"/>
    <s v="Lake Tapps Co Camp : GPL-LTP"/>
    <n v="6781240"/>
    <s v="C3980 CMN Misc Equipment, new"/>
    <n v="130005022"/>
    <s v="LAKE TAPPS - CAMP LAWN MOWER"/>
    <s v="LAKE TAPPS - CAMP LAWN MOWER"/>
    <s v="12/2023"/>
    <n v="0"/>
    <n v="12120.11"/>
    <n v="57559.71"/>
    <n v="-45439.6"/>
    <x v="9"/>
    <x v="0"/>
  </r>
  <r>
    <s v="General Plant, Common"/>
    <s v="Common (E &amp; G)"/>
    <s v="Factoria Svc Cntr : GPL-VFA"/>
    <n v="6883151"/>
    <s v="C3980 CMN Misc Equipment, new"/>
    <n v="130004741"/>
    <s v="FACTORIA OFFICE -  GYM EQUIP"/>
    <s v="FACTORIA OFFICE -  GYM EQUIP"/>
    <s v="12/2023"/>
    <n v="1"/>
    <n v="27190.78"/>
    <n v="129131.95"/>
    <n v="-101941.17"/>
    <x v="9"/>
    <x v="1"/>
  </r>
  <r>
    <s v="General Plant, Common"/>
    <s v="Common (E &amp; G)"/>
    <s v="S King Svc Complex (PSE) : GPL-SOK"/>
    <n v="27792524"/>
    <s v="C3980 CMN Misc Equipment, new"/>
    <n v="130004301"/>
    <s v="SO KING COMPLEX EXERCISE EQUIPMENT"/>
    <s v="SO KING COMPLEX EXERCISE EQUIPMENT"/>
    <s v="12/2023"/>
    <n v="0"/>
    <n v="38174.81"/>
    <n v="181296.30000000002"/>
    <n v="-143121.49"/>
    <x v="9"/>
    <x v="1"/>
  </r>
  <r>
    <s v="General Plant, Common"/>
    <s v="Common (E &amp; G)"/>
    <s v="Pse Ofc Bldg (Leased) Ne 4Th Street : GPL-PSE"/>
    <n v="6085699"/>
    <s v="C3980 CMN Misc Equipment, new"/>
    <n v="131202560"/>
    <s v="PSE BLDG 4TH FLOOR- TENANT IMPROVEM"/>
    <s v="PSE BLDG 4TH FLOOR- TENANT IMPROVEMENTS"/>
    <s v="12/2023"/>
    <n v="1"/>
    <n v="4458.92"/>
    <n v="21175.89"/>
    <n v="-16716.97"/>
    <x v="9"/>
    <x v="0"/>
  </r>
  <r>
    <s v="General Plant, Common"/>
    <s v="Common (E &amp; G)"/>
    <s v="Pse East Ofc Bldg (Leased) 110Th Ave Ne : GPL-PSEE"/>
    <n v="7300061"/>
    <s v="C3980 CMN Misc Equipment, new"/>
    <n v="131203601"/>
    <s v="BACKUP CONTROL CENT HEADSET BUCC CO"/>
    <s v="BACKUP CONTROL CENT HEADSET BUCC CONSOLE"/>
    <s v="12/2023"/>
    <n v="0"/>
    <n v="11889.53"/>
    <n v="56464.66"/>
    <n v="-44575.13"/>
    <x v="9"/>
    <x v="0"/>
  </r>
  <r>
    <s v="General Plant, Common"/>
    <s v="Common (E &amp; G)"/>
    <s v="SeaTac Business Office &amp; Warehouse (Leased) : GPL-STOW"/>
    <n v="8067511"/>
    <s v="C3980 CMN Misc Equipment, new"/>
    <n v="131203741"/>
    <s v="SEA TAC TENANT IMPROVEMENTS - HOWAR"/>
    <s v="SEA TAC TENANT IMPROVEMENTS - HOWARD HAN"/>
    <s v="12/2023"/>
    <n v="0"/>
    <n v="201155.07"/>
    <n v="903296.66"/>
    <n v="-702141.59"/>
    <x v="9"/>
    <x v="0"/>
  </r>
  <r>
    <s v="General Plant, Common"/>
    <s v="Common (E &amp; G)"/>
    <s v="East Side Telecommunication Office : GPL-ESO"/>
    <n v="7670088"/>
    <s v="C3980 CMN Misc Equipment, new"/>
    <n v="131201100"/>
    <s v="ESO RENOVATION PROJECT"/>
    <s v="ESO RENOVATION PROJECT"/>
    <s v="12/2023"/>
    <n v="0"/>
    <n v="6452.37"/>
    <n v="28974.68"/>
    <n v="-22522.31"/>
    <x v="9"/>
    <x v="0"/>
  </r>
  <r>
    <s v="General Plant, Common"/>
    <s v="Common (E &amp; G)"/>
    <s v="Tacoma Office/Shop : GPL-TAC"/>
    <n v="10529884"/>
    <s v="C3980 CMN Misc Equipment, new"/>
    <n v="143000101"/>
    <s v="NEW TREADMILL @ TACOMA OFFICE"/>
    <s v="NEW TREADMILL @ TACOMA OFFICE"/>
    <s v="12/2023"/>
    <n v="1"/>
    <n v="4619.95"/>
    <n v="19551.580000000002"/>
    <n v="-14931.630000000001"/>
    <x v="9"/>
    <x v="0"/>
  </r>
  <r>
    <s v="General Plant, Common"/>
    <s v="Common (E &amp; G)"/>
    <s v="Pse East Ofc Bldg (Leased) 110Th Ave Ne : GPL-PSEE"/>
    <n v="11922080"/>
    <s v="C3980 CMN Misc Equipment, new"/>
    <n v="143000820"/>
    <s v="PSE EAST BLDG - PURCHASE AED HEARTS"/>
    <s v="PSE EAST BLDG - PURCHASE AED HEARTSTREAM"/>
    <s v="12/2023"/>
    <n v="1"/>
    <n v="4741.21"/>
    <n v="18838.87"/>
    <n v="-14097.66"/>
    <x v="9"/>
    <x v="0"/>
  </r>
  <r>
    <s v="General Plant, Common"/>
    <s v="Common (E &amp; G)"/>
    <s v="General Plant, King County Unincorporated within RTA District, WA : GPL-0000 WA11700990"/>
    <n v="12233143"/>
    <s v="C3980 CMN Misc Equipment, new"/>
    <n v="143001200"/>
    <s v="SECURITY INSTALLATION - CAPITAL HIL"/>
    <s v="SECURITY INSTALLATION - CAPITAL HILL PRO"/>
    <s v="12/2023"/>
    <n v="1"/>
    <n v="51620.200000000004"/>
    <n v="205109.28"/>
    <n v="-153489.08000000002"/>
    <x v="9"/>
    <x v="0"/>
  </r>
  <r>
    <s v="General Plant, Common"/>
    <s v="Common (E &amp; G)"/>
    <s v="General Plant, King County Unincorporated within RTA District, WA : GPL-0000 WA11700990"/>
    <n v="15588602"/>
    <s v="C3980 CMN Misc Equipment, new"/>
    <n v="143001387"/>
    <s v="FACILITY SERVICES LINELAZER 3400 PA"/>
    <s v="FACILITY SERVICES LINELAZER 3400 PAINT M"/>
    <s v="12/2023"/>
    <n v="1"/>
    <n v="4243.54"/>
    <n v="15764.2"/>
    <n v="-11520.66"/>
    <x v="9"/>
    <x v="0"/>
  </r>
  <r>
    <s v="General Plant, Common"/>
    <s v="Common (E &amp; G)"/>
    <s v="Tacoma Office/Shop : GPL-TAC"/>
    <n v="15588605"/>
    <s v="C3980 CMN Misc Equipment, new"/>
    <n v="143001542"/>
    <s v="TACOMA OFFICE ICE MACHINE"/>
    <s v="TACOMA OFFICE ICE MACHINE"/>
    <s v="12/2023"/>
    <n v="1"/>
    <n v="4830.95"/>
    <n v="17946.36"/>
    <n v="-13115.41"/>
    <x v="9"/>
    <x v="0"/>
  </r>
  <r>
    <s v="General Plant, Common"/>
    <s v="Common (E &amp; G)"/>
    <s v="Bothell Data Center (leased) : GPL-BOTA2"/>
    <n v="23268588"/>
    <s v="C3980 CMN Misc Equipment, new"/>
    <n v="143001600"/>
    <s v="BOTHELL BUILDING G FITNESS ROOM - R"/>
    <s v="BOTHELL BUILDING G FITNESS ROOM - REPLAC"/>
    <s v="12/2023"/>
    <n v="1"/>
    <n v="1767.8700000000001"/>
    <n v="6567.41"/>
    <n v="-4799.54"/>
    <x v="9"/>
    <x v="0"/>
  </r>
  <r>
    <s v="General Plant, Common"/>
    <s v="Common (E &amp; G)"/>
    <s v="Lake Tapps Co Camp : GPL-LTP"/>
    <n v="26676501"/>
    <s v="C3980 CMN Misc Equipment, new"/>
    <n v="143002152"/>
    <s v="REPLACE ICE MACHINE AT LAKE TAPPS E"/>
    <s v="REPLACE ICE MACHINE AT LAKE TAPPS EMPLOY"/>
    <s v="12/2023"/>
    <n v="1"/>
    <n v="4383.1900000000005"/>
    <n v="12883.04"/>
    <n v="-8499.85"/>
    <x v="9"/>
    <x v="0"/>
  </r>
  <r>
    <s v="General Plant, Common"/>
    <s v="Common (E &amp; G)"/>
    <s v="North King Svc Cntr (Redmond): GPL-NOK"/>
    <n v="27568829"/>
    <s v="C3980 CMN Misc Equipment, new"/>
    <n v="143002520"/>
    <s v="NORTH KING SERVICE CENTER ICE MACHI"/>
    <s v="NORTH KING SERVICE CENTER ICE MACHINE RE"/>
    <s v="12/2023"/>
    <n v="1"/>
    <n v="6305.4800000000005"/>
    <n v="18533.03"/>
    <n v="-12227.550000000001"/>
    <x v="9"/>
    <x v="1"/>
  </r>
  <r>
    <s v="General Plant, Common"/>
    <s v="Common (E &amp; G)"/>
    <s v="General Plant, Bellevue, WA : GPL-0000 WA11700040"/>
    <n v="28899592"/>
    <s v="C3980 CMN Misc Equipment, new"/>
    <n v="143002320"/>
    <s v="2015 DRONE PURCHASE FOR STRATEGIC I"/>
    <s v="2015 DRONE PURCHASE FOR STRATEGIC INITIA"/>
    <s v="12/2023"/>
    <n v="1"/>
    <n v="29667.72"/>
    <n v="87199.180000000008"/>
    <n v="-57531.46"/>
    <x v="9"/>
    <x v="0"/>
  </r>
  <r>
    <s v="General Plant, Common"/>
    <s v="Common (E &amp; G)"/>
    <s v="Pse East Ofc Bldg (Leased) 2nd Amendment : GPL-PSEE2"/>
    <n v="39244961"/>
    <s v="C399 CMN ARO General Plant "/>
    <s v="ARO"/>
    <m/>
    <m/>
    <s v="12/2023"/>
    <n v="0"/>
    <n v="1033449.18"/>
    <n v="397679.16000000003"/>
    <n v="635770.02"/>
    <x v="10"/>
    <x v="0"/>
  </r>
  <r>
    <s v="General Plant, Common"/>
    <s v="Common (E &amp; G)"/>
    <s v="Pse East Ofc Bldg (Leased) 2nd Amendment : GPL-PSEE2"/>
    <n v="39244964"/>
    <s v="C399 CMN ARO General Plant "/>
    <s v="ARO"/>
    <m/>
    <m/>
    <s v="12/2023"/>
    <n v="0"/>
    <n v="225057.25"/>
    <n v="86603.75"/>
    <n v="138453.5"/>
    <x v="10"/>
    <x v="0"/>
  </r>
</pivotCacheRecords>
</file>

<file path=xl/pivotCache/pivotCacheRecords5.xml><?xml version="1.0" encoding="utf-8"?>
<pivotCacheRecords xmlns="http://schemas.openxmlformats.org/spreadsheetml/2006/main" xmlns:r="http://schemas.openxmlformats.org/officeDocument/2006/relationships" count="394">
  <r>
    <s v="Intangible Plant, Common"/>
    <s v="Common (E &amp; G)"/>
    <s v="Other Intangibles : INT-0000 WA00000000"/>
    <n v="14539052"/>
    <s v="C303 INT Misc Intangible Plant"/>
    <n v="130005601"/>
    <s v="Frequency Purchase                 "/>
    <s v="Frequency Purchase"/>
    <s v="12/2023"/>
    <n v="1"/>
    <n v="5504160.0199999996"/>
    <n v="1965627.4100000001"/>
    <n v="3538532.61"/>
    <x v="0"/>
    <x v="0"/>
    <m/>
    <m/>
  </r>
  <r>
    <s v="Intangible Plant, Common"/>
    <s v="Common (E &amp; G)"/>
    <s v="Intangibles, King County outside RTA District, WA : INT-0000 WA01700000"/>
    <n v="21305106"/>
    <s v="C303 INT Misc Intangible Plant"/>
    <n v="143001360"/>
    <s v="UNIT COMMITMENT - SW"/>
    <s v="UNIT COMMITMENT - SW"/>
    <s v="12/2023"/>
    <n v="1"/>
    <n v="2755684.87"/>
    <n v="2606435.21"/>
    <n v="149249.66"/>
    <x v="0"/>
    <x v="1"/>
    <m/>
    <m/>
  </r>
  <r>
    <s v="Intangible Plant, Common"/>
    <s v="Common (E &amp; G)"/>
    <s v="Intangibles, King County outside RTA District, WA : INT-0000 WA01700000"/>
    <n v="24530666"/>
    <s v="C302 INT Franchises &amp; Consents"/>
    <n v="143001808"/>
    <s v="FRANCHISE - CITY OF TUKWILA - COMMO"/>
    <s v="FRANCHISE - CITY OF TUKWILA - COMMON - R"/>
    <s v="12/2023"/>
    <n v="0"/>
    <n v="18643.25"/>
    <n v="14992.24"/>
    <n v="3651.01"/>
    <x v="1"/>
    <x v="2"/>
    <m/>
    <m/>
  </r>
  <r>
    <s v="Intangible Plant, Common"/>
    <s v="Common (E &amp; G)"/>
    <s v="Intangibles, King County outside RTA District, WA : INT-0000 WA01700000"/>
    <n v="25784448"/>
    <s v="C302 INT Franchises &amp; Consents"/>
    <n v="130005490"/>
    <s v="TOWN OF YARROW POINT - COMMON - REN"/>
    <s v="TOWN OF YARROW POINT - COMMON - RENEWAL"/>
    <s v="12/2023"/>
    <n v="1"/>
    <n v="5985.75"/>
    <n v="4294.0600000000004"/>
    <n v="1691.69"/>
    <x v="1"/>
    <x v="2"/>
    <m/>
    <m/>
  </r>
  <r>
    <s v="Intangible Plant, Common"/>
    <s v="Common (E &amp; G)"/>
    <s v="Intangibles, Pierce County outside RTA District, WA : INT-0000 WA02700000"/>
    <n v="29058521"/>
    <s v="C302 INT Franchises &amp; Consents"/>
    <n v="143001982"/>
    <s v="CITY OF ORTING - COMMON - RENEWAL  "/>
    <s v="CITY OF ORTING - COMMON - RENEWAL"/>
    <s v="12/2023"/>
    <n v="1"/>
    <n v="13057.710000000001"/>
    <n v="9367.35"/>
    <n v="3690.36"/>
    <x v="1"/>
    <x v="2"/>
    <m/>
    <m/>
  </r>
  <r>
    <s v="Intangible Plant, Common"/>
    <s v="Common (E &amp; G)"/>
    <s v="Intangibles, Thurston County, WA : INT-0000 WA03400000"/>
    <n v="29058524"/>
    <s v="C302 INT Franchises &amp; Consents"/>
    <n v="143002001"/>
    <s v="CITY OF TUMWATER - FRANCHISE RENEWA"/>
    <s v="CITY OF TUMWATER - FRANCHISE RENEWAL - C"/>
    <s v="12/2023"/>
    <n v="1"/>
    <n v="17367.16"/>
    <n v="12458.86"/>
    <n v="4908.3"/>
    <x v="1"/>
    <x v="2"/>
    <m/>
    <m/>
  </r>
  <r>
    <s v="Intangible Plant, Common"/>
    <s v="Common (E &amp; G)"/>
    <s v="Intangibles, King County outside RTA District, WA : INT-0000 WA01700000"/>
    <n v="29058527"/>
    <s v="C302 INT Franchises &amp; Consents"/>
    <n v="143002254"/>
    <s v="CITY OF ALGONA - COMMON - RENEWAL  "/>
    <s v="CITY OF ALGONA - COMMON - RENEWAL"/>
    <s v="12/2023"/>
    <n v="1"/>
    <n v="6816.33"/>
    <n v="4889.9000000000005"/>
    <n v="1926.43"/>
    <x v="1"/>
    <x v="2"/>
    <m/>
    <m/>
  </r>
  <r>
    <s v="Intangible Plant, Common"/>
    <s v="Common (E &amp; G)"/>
    <s v="Intangibles, King County outside RTA District, WA : INT-0000 WA01700000"/>
    <n v="29291044"/>
    <s v="C302 INT Franchises &amp; Consents"/>
    <n v="130001349"/>
    <s v="CITY OF SAMMAMMISH - RENEWAL - COMM"/>
    <s v="CITY OF SAMMAMMISH - RENEWAL - COMMON"/>
    <s v="12/2023"/>
    <n v="1"/>
    <n v="23546.98"/>
    <n v="16892.14"/>
    <n v="6654.84"/>
    <x v="1"/>
    <x v="2"/>
    <m/>
    <m/>
  </r>
  <r>
    <s v="Intangible Plant, Common"/>
    <s v="Common (E &amp; G)"/>
    <s v="Intangibles, Bellevue, WA : INT-0000 WA11700040"/>
    <n v="29627792"/>
    <s v="C303 INT Misc Intangible Plant"/>
    <n v="143002085"/>
    <s v="FTIP ECC - SW.CN.10YR"/>
    <s v="FTIP ECC - SW.CN.10YR"/>
    <s v="12/2023"/>
    <n v="1"/>
    <n v="18291370.149999999"/>
    <n v="12638620.300000001"/>
    <n v="5652749.8499999996"/>
    <x v="0"/>
    <x v="0"/>
    <m/>
    <m/>
  </r>
  <r>
    <s v="Intangible Plant, Common"/>
    <s v="Common (E &amp; G)"/>
    <s v="Intangibles, Bellevue, WA : INT-0000 WA11700040"/>
    <n v="29627795"/>
    <s v="C303 INT Misc Intangible Plant"/>
    <n v="143002086"/>
    <s v="FTIP BPC - SW.CN.10YR"/>
    <s v="FTIP BPC - SW.CN.10YR"/>
    <s v="12/2023"/>
    <n v="1"/>
    <n v="15878335.949999999"/>
    <n v="10971308.189999999"/>
    <n v="4907027.76"/>
    <x v="0"/>
    <x v="0"/>
    <m/>
    <m/>
  </r>
  <r>
    <s v="Intangible Plant, Common"/>
    <s v="Common (E &amp; G)"/>
    <s v="Intangibles, Bellevue, WA : INT-0000 WA11700040"/>
    <n v="29672986"/>
    <s v="C303 INT Misc Intangible Plant"/>
    <n v="143002101"/>
    <s v="Gold Client &amp; Archiving - SW.CN.8YR"/>
    <s v="Gold Client &amp; Archiving - SW.CN.8YR"/>
    <s v="12/2023"/>
    <n v="1"/>
    <n v="1619237.63"/>
    <n v="1575816.5899999999"/>
    <n v="43421.04"/>
    <x v="0"/>
    <x v="0"/>
    <m/>
    <m/>
  </r>
  <r>
    <s v="Intangible Plant, Common"/>
    <s v="Common (E &amp; G)"/>
    <s v="Intangibles, Bellevue, WA : INT-0000 WA11700040"/>
    <n v="30561555"/>
    <s v="C303 INT Misc Intangible Plant"/>
    <n v="143002027"/>
    <s v="MAP VIEWER PLATFORM - TENSING - SW."/>
    <s v="MAP VIEWER PLATFORM - TENSING - SW.CS.10"/>
    <s v="12/2023"/>
    <n v="1"/>
    <n v="2082435.87"/>
    <n v="1438881.62"/>
    <n v="643554.25"/>
    <x v="0"/>
    <x v="2"/>
    <m/>
    <m/>
  </r>
  <r>
    <s v="Intangible Plant, Common"/>
    <s v="Common (E &amp; G)"/>
    <s v="Intangibles, Bellevue, WA : INT-0000 WA11700040"/>
    <n v="30561584"/>
    <s v="C303 INT Misc Intangible Plant"/>
    <n v="143002318"/>
    <s v="MAP VIEWER PROJECT-ESRI PLATFORM-SW"/>
    <s v="MAP VIEWER PROJECT-ESRI PLATFORM-SW.CS.1"/>
    <s v="12/2023"/>
    <n v="1"/>
    <n v="1807565.48"/>
    <n v="1248956.94"/>
    <n v="558608.54"/>
    <x v="0"/>
    <x v="2"/>
    <m/>
    <m/>
  </r>
  <r>
    <s v="Intangible Plant, Common"/>
    <s v="Common (E &amp; G)"/>
    <s v="Intangibles, Pierce County outside RTA District, WA : INT-0000 WA02700000"/>
    <n v="31288062"/>
    <s v="C302 INT Franchises &amp; Consents"/>
    <n v="143001983"/>
    <s v="CITY OF LAKEWOOD - COMMON - RENEWAL"/>
    <s v="CITY OF LAKEWOOD - COMMON - RENEWAL"/>
    <s v="12/2023"/>
    <n v="1"/>
    <n v="7891.59"/>
    <n v="3604.2400000000002"/>
    <n v="4287.3500000000004"/>
    <x v="1"/>
    <x v="2"/>
    <m/>
    <m/>
  </r>
  <r>
    <s v="Intangible Plant, Common"/>
    <s v="Common (E &amp; G)"/>
    <s v="Intangibles, King County outside RTA District, WA : INT-0000 WA01700000"/>
    <n v="33169016"/>
    <s v="C302 INT Franchises &amp; Consents"/>
    <n v="143002000"/>
    <s v="CITY OF RENTON - FRANCHISE RENEWAL "/>
    <s v="CITY OF RENTON - FRANCHISE RENEWAL - COM"/>
    <s v="12/2023"/>
    <n v="0"/>
    <n v="98972.900000000009"/>
    <n v="45202.86"/>
    <n v="53770.04"/>
    <x v="1"/>
    <x v="2"/>
    <m/>
    <m/>
  </r>
  <r>
    <s v="Intangible Plant, Common"/>
    <s v="Common (E &amp; G)"/>
    <s v="Intangibles, King County outside RTA District, WA : INT-0000 WA01700000"/>
    <n v="33169019"/>
    <s v="C302 INT Franchises &amp; Consents"/>
    <n v="143002640"/>
    <s v="CITY OF MEDINA - COMMON - RENEWAL"/>
    <s v="CITY OF MEDINA - COMMON - RENEWAL"/>
    <s v="12/2023"/>
    <n v="0"/>
    <n v="15550.04"/>
    <n v="7102.01"/>
    <n v="8448.0300000000007"/>
    <x v="1"/>
    <x v="2"/>
    <m/>
    <m/>
  </r>
  <r>
    <s v="Intangible Plant, Common"/>
    <s v="Common (E &amp; G)"/>
    <s v="Intangibles, Snohomish County, WA : INT-0000 WA04200310"/>
    <n v="33176799"/>
    <s v="C302 INT Franchises &amp; Consents"/>
    <n v="142000787"/>
    <s v="CITY OF GOLD BAR - GAS - RENEWAL"/>
    <s v="CITY OF GOLD BAR - GAS - RENEWAL"/>
    <s v="12/2023"/>
    <n v="0"/>
    <n v="4640.25"/>
    <n v="2119.29"/>
    <n v="2520.96"/>
    <x v="1"/>
    <x v="2"/>
    <m/>
    <m/>
  </r>
  <r>
    <s v="Intangible Plant, Common"/>
    <s v="Common (E &amp; G)"/>
    <s v="Intangibles, Bellevue, WA : INT-0000 WA11700040"/>
    <n v="33532261"/>
    <s v="C303 INT Misc Intangible Plant"/>
    <n v="143002450"/>
    <s v="AMI COMMMAND CENTER HEAD END - SW.C"/>
    <s v="AMI COMMMAND CENTER HEAD END - SW.CN.10Y"/>
    <s v="12/2023"/>
    <n v="1"/>
    <n v="4753919.1500000004"/>
    <n v="3284771.92"/>
    <n v="1469147.23"/>
    <x v="0"/>
    <x v="2"/>
    <m/>
    <m/>
  </r>
  <r>
    <s v="Intangible Plant, Common"/>
    <s v="Common (E &amp; G)"/>
    <s v="Intangibles, Bellevue, WA : INT-0000 WA11700040"/>
    <n v="35582127"/>
    <s v="C303 INT Misc Intangible Plant"/>
    <n v="143002462"/>
    <s v="FTIP ECC - PROJECT DEFERRAL - SW.CN"/>
    <s v="FTIP ECC - PROJECT DEFERRAL - SW.CN.10YR"/>
    <s v="12/2023"/>
    <n v="1"/>
    <n v="1886758.44"/>
    <n v="1188030.49"/>
    <n v="698727.95000000007"/>
    <x v="0"/>
    <x v="0"/>
    <m/>
    <m/>
  </r>
  <r>
    <s v="Intangible Plant, Common"/>
    <s v="Common (E &amp; G)"/>
    <s v="Intangibles, Bellevue, WA : INT-0000 WA11700040"/>
    <n v="35582130"/>
    <s v="C303 INT Misc Intangible Plant"/>
    <n v="143002463"/>
    <s v="FTIP BPC - PROJECT DEFERRAL - SW.CN"/>
    <s v="FTIP BPC - PROJECT DEFERRAL - SW.CN.10YR"/>
    <s v="12/2023"/>
    <n v="1"/>
    <n v="1377636.73"/>
    <n v="867453.09"/>
    <n v="510183.64"/>
    <x v="0"/>
    <x v="0"/>
    <m/>
    <m/>
  </r>
  <r>
    <s v="Intangible Plant, Common"/>
    <s v="Common (E &amp; G)"/>
    <s v="Intangibles, Bellevue, WA : INT-0000 WA11700040"/>
    <n v="35582163"/>
    <s v="C303 INT Misc Intangible Plant"/>
    <n v="143003166"/>
    <s v="FTIP2 BPC - SW.CS.10YR"/>
    <s v="FTIP2 BPC - SW.CS.10YR"/>
    <s v="12/2023"/>
    <n v="1"/>
    <n v="6551618.6699999999"/>
    <n v="4125341.41"/>
    <n v="2426277.2599999998"/>
    <x v="0"/>
    <x v="0"/>
    <m/>
    <m/>
  </r>
  <r>
    <s v="Intangible Plant, Common"/>
    <s v="Common (E &amp; G)"/>
    <s v="Intangibles, Bellevue, WA : INT-0000 WA11700040"/>
    <n v="35582166"/>
    <s v="C303 INT Misc Intangible Plant"/>
    <n v="143003167"/>
    <s v="FTIP2 ECC - SW.CS.10YR"/>
    <s v="FTIP2 ECC - SW.CS.10YR"/>
    <s v="12/2023"/>
    <n v="1"/>
    <n v="17489750.84"/>
    <n v="11012727.859999999"/>
    <n v="6477022.9800000004"/>
    <x v="0"/>
    <x v="0"/>
    <m/>
    <m/>
  </r>
  <r>
    <s v="Intangible Plant, Common"/>
    <s v="Common (E &amp; G)"/>
    <s v="Intangibles, Bellevue, WA : INT-0000 WA11700040"/>
    <n v="35582173"/>
    <s v="C303 INT Misc Intangible Plant"/>
    <n v="143003180"/>
    <s v="FTIP2 PP - SW.CS.10YR"/>
    <s v="FTIP2 PP - SW.CS.10YR"/>
    <s v="12/2023"/>
    <n v="1"/>
    <n v="5771881.1100000003"/>
    <n v="3634366.01"/>
    <n v="2137515.1"/>
    <x v="0"/>
    <x v="0"/>
    <m/>
    <m/>
  </r>
  <r>
    <s v="Intangible Plant, Common"/>
    <s v="Common (E &amp; G)"/>
    <s v="Intangibles, Bellevue, WA : INT-0000 WA11700040"/>
    <n v="36219914"/>
    <s v="C303 INT Misc Intangible Plant"/>
    <n v="143002317"/>
    <s v="MAP VIEWER PROJECT-OH MAP-SW.CS.5YR"/>
    <s v="MAP VIEWER PROJECT-OH MAP-SW.CS.5YR"/>
    <s v="12/2023"/>
    <n v="1"/>
    <n v="153113.26"/>
    <n v="96410.45"/>
    <n v="56702.81"/>
    <x v="0"/>
    <x v="2"/>
    <m/>
    <m/>
  </r>
  <r>
    <s v="Intangible Plant, Common"/>
    <s v="Common (E &amp; G)"/>
    <s v="Intangibles, Bellevue, WA : INT-0000 WA11700040"/>
    <n v="37380517"/>
    <s v="C303 INT Misc Intangible Plant"/>
    <n v="143003146"/>
    <s v="WEB, CONTENT MGMT &amp; WEB ANALYTICS-S"/>
    <s v="WEB, CONTENT MGMT &amp; WEB ANALYTICS-SW.CS."/>
    <s v="12/2023"/>
    <n v="1"/>
    <n v="35797473.310000002"/>
    <n v="22540505.879999999"/>
    <n v="13256967.43"/>
    <x v="0"/>
    <x v="0"/>
    <m/>
    <m/>
  </r>
  <r>
    <s v="Intangible Plant, Common"/>
    <s v="Common (E &amp; G)"/>
    <s v="Intangibles, Bellevue, WA : INT-0000 WA11700040"/>
    <n v="37380520"/>
    <s v="C303 INT Misc Intangible Plant"/>
    <n v="143003147"/>
    <s v="CI-COM GATEWY&amp;PROACTIV NOTI-SW.CS.7"/>
    <s v="CI-COM GATEWY&amp;PROACTIV NOTI-SW.CS.7YR"/>
    <s v="12/2023"/>
    <n v="1"/>
    <n v="18836617"/>
    <n v="11860805.720000001"/>
    <n v="6975811.2800000003"/>
    <x v="0"/>
    <x v="2"/>
    <m/>
    <m/>
  </r>
  <r>
    <s v="Intangible Plant, Common"/>
    <s v="Common (E &amp; G)"/>
    <s v="Intangibles, King County outside RTA District, WA : INT-0000 WA01700000"/>
    <n v="37380526"/>
    <s v="C303 INT Misc Intangible Plant"/>
    <n v="143004075"/>
    <s v="CI - COMM GATEWAY CLEANSE AND CONVE"/>
    <s v="CI - COMM GATEWAY CLEANSE AND CONVERT SW"/>
    <s v="12/2023"/>
    <n v="1"/>
    <n v="2085348.97"/>
    <n v="1313076.49"/>
    <n v="772272.48"/>
    <x v="0"/>
    <x v="2"/>
    <m/>
    <m/>
  </r>
  <r>
    <s v="Intangible Plant, Common"/>
    <s v="Common (E &amp; G)"/>
    <s v="Intangibles, Bellevue, WA : INT-0000 WA11700040"/>
    <n v="37736956"/>
    <s v="C303 INT Misc Intangible Plant"/>
    <n v="143002761"/>
    <s v="GTZ-IWM-WORKFORCE MOBILITY-CAPITAL-"/>
    <s v="GTZ-IWM-WORKFORCE MOBILITY-CAPITAL-OS-SW"/>
    <s v="12/2023"/>
    <n v="1"/>
    <n v="992061.04"/>
    <n v="624668.6"/>
    <n v="367392.44"/>
    <x v="0"/>
    <x v="3"/>
    <m/>
    <m/>
  </r>
  <r>
    <s v="Intangible Plant, Common"/>
    <s v="Common (E &amp; G)"/>
    <s v="Intangibles, Bellevue, WA : INT-0000 WA11700040"/>
    <n v="37736959"/>
    <s v="C303 INT Misc Intangible Plant"/>
    <n v="143002762"/>
    <s v="GTZ-IWM- WORKFORCE SCHEDULING-CAPIT"/>
    <s v="GTZ-IWM- WORKFORCE SCHEDULING-CAPITAL-OS"/>
    <s v="12/2023"/>
    <n v="1"/>
    <n v="4069157.54"/>
    <n v="2562216.2999999998"/>
    <n v="1506941.24"/>
    <x v="0"/>
    <x v="3"/>
    <m/>
    <m/>
  </r>
  <r>
    <s v="Intangible Plant, Common"/>
    <s v="Common (E &amp; G)"/>
    <s v="Intangibles, Bellevue, WA : INT-0000 WA11700040"/>
    <n v="37736964"/>
    <s v="C303 INT Misc Intangible Plant"/>
    <n v="143003143"/>
    <s v="IWM - COST MANAGEMENT.SW.CS.10YR"/>
    <s v="IWM - COST MANAGEMENT.SW.CS.10YR"/>
    <s v="12/2023"/>
    <n v="1"/>
    <n v="357262.98"/>
    <n v="224956.89"/>
    <n v="132306.09"/>
    <x v="0"/>
    <x v="3"/>
    <m/>
    <m/>
  </r>
  <r>
    <s v="Intangible Plant, Common"/>
    <s v="Common (E &amp; G)"/>
    <s v="Intangibles, King County outside RTA District, WA : INT-0000 WA01700000"/>
    <n v="37736987"/>
    <s v="C303 INT Misc Intangible Plant"/>
    <n v="143003708"/>
    <s v="IWM-COST MGT DESIGN &amp; INTEGRATION-S"/>
    <s v="IWM-COST MGT DESIGN &amp; INTEGRATION-SW.CS."/>
    <s v="12/2023"/>
    <n v="1"/>
    <n v="45496.17"/>
    <n v="28647.46"/>
    <n v="16848.71"/>
    <x v="0"/>
    <x v="3"/>
    <m/>
    <m/>
  </r>
  <r>
    <s v="Intangible Plant, Common"/>
    <s v="Common (E &amp; G)"/>
    <s v="Intangibles, King County outside RTA District, WA : INT-0000 WA01700000"/>
    <n v="37737019"/>
    <s v="C303 INT Misc Intangible Plant"/>
    <n v="143004101"/>
    <s v="FTIP2 TRINTECH SOFTWARE WORK ORDER-"/>
    <s v="FTIP2 TRINTECH SOFTWARE WORK ORDER-SW.CS"/>
    <s v="12/2023"/>
    <n v="1"/>
    <n v="727933.72"/>
    <n v="458356.21"/>
    <n v="269577.51"/>
    <x v="0"/>
    <x v="0"/>
    <m/>
    <m/>
  </r>
  <r>
    <s v="Intangible Plant, Common"/>
    <s v="Common (E &amp; G)"/>
    <s v="Intangibles, Bellevue, WA : INT-0000 WA11700040"/>
    <n v="38138149"/>
    <s v="C303 INT Misc Intangible Plant"/>
    <n v="143003144"/>
    <s v="IWM-WORK MANAGEMENT SYSTEM-SW.CS.10"/>
    <s v="IWM-WORK MANAGEMENT SYSTEM-SW.CS.10YR"/>
    <s v="12/2023"/>
    <n v="1"/>
    <n v="43479309.659999996"/>
    <n v="27377508.649999999"/>
    <n v="16101801.01"/>
    <x v="0"/>
    <x v="3"/>
    <m/>
    <m/>
  </r>
  <r>
    <s v="Intangible Plant, Common"/>
    <s v="Common (E &amp; G)"/>
    <s v="Intangibles, Bellevue, WA : INT-0000 WA11700040"/>
    <n v="38138152"/>
    <s v="C303 INT Misc Intangible Plant"/>
    <n v="143003152"/>
    <s v="CI-ESB MICRO SERVICES TRANSPORT-SW."/>
    <s v="CI-ESB MICRO SERVICES TRANSPORT-SW.CS.7Y"/>
    <s v="12/2023"/>
    <n v="1"/>
    <n v="10672070.060000001"/>
    <n v="6719855.7800000003"/>
    <n v="3952214.2800000003"/>
    <x v="0"/>
    <x v="2"/>
    <m/>
    <m/>
  </r>
  <r>
    <s v="Intangible Plant, Common"/>
    <s v="Common (E &amp; G)"/>
    <s v="Intangibles, Bellevue, WA : INT-0000 WA11700040"/>
    <n v="38138158"/>
    <s v="C303 INT Misc Intangible Plant"/>
    <n v="143003231"/>
    <s v="CI.SAP MULTICHANNEL FOUNDATION-SW.C"/>
    <s v="CI–SAP MULTICHANNEL FOUNDATION-SW.CS.7YR"/>
    <s v="12/2023"/>
    <n v="1"/>
    <n v="1290681.4100000001"/>
    <n v="812700.15"/>
    <n v="477981.26"/>
    <x v="0"/>
    <x v="0"/>
    <m/>
    <m/>
  </r>
  <r>
    <s v="Intangible Plant, Common"/>
    <s v="Common (E &amp; G)"/>
    <s v="Intangibles, King County outside RTA District, WA : INT-0000 WA01700000"/>
    <n v="38661109"/>
    <s v="C303 INT Misc Intangible Plant"/>
    <n v="143004300"/>
    <s v="SAP - ADD ACCOUNTING FIELDS FOR FTI"/>
    <s v="SAP - ADD ACCOUNTING FIELDS FOR FTIP2 SW"/>
    <s v="12/2023"/>
    <n v="1"/>
    <n v="167140.38"/>
    <n v="105242.87"/>
    <n v="61897.51"/>
    <x v="0"/>
    <x v="0"/>
    <m/>
    <m/>
  </r>
  <r>
    <s v="Intangible Plant, Common"/>
    <s v="Common (E &amp; G)"/>
    <s v="Intangibles, King County outside RTA District, WA : INT-0000 WA01700000"/>
    <n v="39079398"/>
    <s v="C303 INT Misc Intangible Plant"/>
    <n v="143004245"/>
    <s v="RITM0045571 : ROOT CAUSE ANALYSIS S"/>
    <s v="RITM0045571 : ROOT CAUSE ANALYSIS SW.CN."/>
    <s v="12/2023"/>
    <n v="1"/>
    <n v="47435.83"/>
    <n v="29868.799999999999"/>
    <n v="17567.03"/>
    <x v="0"/>
    <x v="0"/>
    <m/>
    <m/>
  </r>
  <r>
    <s v="Intangible Plant, Common"/>
    <s v="Common (E &amp; G)"/>
    <s v="Intangibles, King County outside RTA District, WA : INT-0000 WA01700000"/>
    <n v="39238890"/>
    <s v="C303 INT Misc Intangible Plant"/>
    <n v="143004660"/>
    <s v="2018 SNAGIT GROWTH-SW.CN.5YR"/>
    <s v="2018 SNAGIT GROWTH-SW.CN.5YR"/>
    <s v="12/2023"/>
    <n v="1"/>
    <n v="19718.7"/>
    <n v="12416.220000000001"/>
    <n v="7302.4800000000005"/>
    <x v="0"/>
    <x v="0"/>
    <m/>
    <m/>
  </r>
  <r>
    <s v="Intangible Plant, Common"/>
    <s v="Common (E &amp; G)"/>
    <s v="Intangibles, King County outside RTA District, WA : INT-0000 WA01700000"/>
    <n v="39238893"/>
    <s v="C303 INT Misc Intangible Plant"/>
    <n v="143004662"/>
    <s v="2018 ADOBE STANDARD LICENSE GROWTH-"/>
    <s v="2018 ADOBE STANDARD LICENSE GROWTH-SW.CN"/>
    <s v="12/2023"/>
    <n v="1"/>
    <n v="60239.1"/>
    <n v="37930.6"/>
    <n v="22308.5"/>
    <x v="0"/>
    <x v="0"/>
    <m/>
    <m/>
  </r>
  <r>
    <s v="Intangible Plant, Common"/>
    <s v="Common (E &amp; G)"/>
    <s v="Intangibles, King County outside RTA District, WA : INT-0000 WA01700000"/>
    <n v="39244618"/>
    <s v="C303 INT Misc Intangible Plant"/>
    <n v="143003701"/>
    <s v="700 MHZ SPECTRUM PURCHASE - SPECTRU"/>
    <s v="700 MHZ SPECTRUM PURCHASE - SPECTRUM"/>
    <s v="12/2023"/>
    <n v="1"/>
    <n v="6341984.6799999997"/>
    <n v="3993341.7"/>
    <n v="2348642.98"/>
    <x v="0"/>
    <x v="0"/>
    <m/>
    <m/>
  </r>
  <r>
    <s v="Intangible Plant, Common"/>
    <s v="Common (E &amp; G)"/>
    <s v="Intangibles, King County outside RTA District, WA : INT-0000 WA01700000"/>
    <n v="39516072"/>
    <s v="C303 INT Misc Intangible Plant"/>
    <n v="143004761"/>
    <s v="2018 RSA ARCHER LICENSE GROWTH-SW.C"/>
    <s v="2018 RSA ARCHER LICENSE GROWTH-SW.CN.5YR"/>
    <s v="12/2023"/>
    <n v="1"/>
    <n v="336499.02"/>
    <n v="243506.31"/>
    <n v="92992.71"/>
    <x v="0"/>
    <x v="0"/>
    <m/>
    <m/>
  </r>
  <r>
    <s v="Intangible Plant, Common"/>
    <s v="Common (E &amp; G)"/>
    <s v="Intangibles, Bellevue, WA : INT-0000 WA11700040"/>
    <n v="40123617"/>
    <s v="C303 INT Misc Intangible Plant"/>
    <n v="143002710"/>
    <s v="220 MHZ FREQUENCY ACQUISITION"/>
    <s v="220 MHZ FREQUENCY ACQUISITION"/>
    <s v="12/2023"/>
    <n v="1"/>
    <n v="2182381.12"/>
    <n v="1579272.31"/>
    <n v="603108.81000000006"/>
    <x v="0"/>
    <x v="0"/>
    <m/>
    <m/>
  </r>
  <r>
    <s v="Intangible Plant, Common"/>
    <s v="Common (E &amp; G)"/>
    <s v="Intangibles, Bellevue, WA : INT-0000 WA11700040"/>
    <n v="41712635"/>
    <s v="C303 INT Misc Intangible Plant"/>
    <n v="143003014"/>
    <s v="HR TECHNOLOGY TRANSFORMATION-SW.CS."/>
    <s v="HR TECHNOLOGY TRANSFORMATION-SW.CS.10YR"/>
    <s v="12/2023"/>
    <n v="1"/>
    <n v="10844767.1"/>
    <n v="7847777"/>
    <n v="2996990.1"/>
    <x v="0"/>
    <x v="0"/>
    <m/>
    <m/>
  </r>
  <r>
    <s v="Intangible Plant, Common"/>
    <s v="Common (E &amp; G)"/>
    <s v="Intangibles, King County outside RTA District, WA : INT-0000 WA01700000"/>
    <n v="41712650"/>
    <s v="C303 INT Misc Intangible Plant"/>
    <n v="143004241"/>
    <s v="IWM - Field Payment Strategy SW.CS."/>
    <s v="IWM - Field Payment Strategy SW.CS.10YR"/>
    <s v="12/2023"/>
    <n v="1"/>
    <n v="734743.68"/>
    <n v="531694.64"/>
    <n v="203049.04"/>
    <x v="0"/>
    <x v="3"/>
    <m/>
    <m/>
  </r>
  <r>
    <s v="Intangible Plant, Common"/>
    <s v="Common (E &amp; G)"/>
    <s v="Intangibles, King County outside RTA District, WA : INT-0000 WA01700000"/>
    <n v="41712667"/>
    <s v="C303 INT Misc Intangible Plant"/>
    <n v="143004819"/>
    <s v="Net Profiler License - SW.CN.5YR"/>
    <s v="Net Profiler License - SW.CN.5YR"/>
    <s v="12/2023"/>
    <n v="1"/>
    <n v="104392.03"/>
    <n v="75542.92"/>
    <n v="28849.11"/>
    <x v="0"/>
    <x v="0"/>
    <m/>
    <m/>
  </r>
  <r>
    <s v="Intangible Plant, Common"/>
    <s v="Common (E &amp; G)"/>
    <s v="Intangibles, King County outside RTA District, WA : INT-0000 WA01700000"/>
    <n v="41712670"/>
    <s v="C303 INT Misc Intangible Plant"/>
    <n v="143004821"/>
    <s v="AMI - NET METERING BILLING REPORT -"/>
    <s v="AMI - NET METERING BILLING REPORT - SW.C"/>
    <s v="12/2023"/>
    <n v="1"/>
    <n v="12771.61"/>
    <n v="9242.130000000001"/>
    <n v="3529.48"/>
    <x v="0"/>
    <x v="2"/>
    <m/>
    <m/>
  </r>
  <r>
    <s v="Intangible Plant, Common"/>
    <s v="Common (E &amp; G)"/>
    <s v="Intangibles, King County outside RTA District, WA : INT-0000 WA01700000"/>
    <n v="41736579"/>
    <s v="C303 INT Misc Intangible Plant"/>
    <n v="143004550"/>
    <s v="OPTIONAL NON-COMMUNICATING METER-SW"/>
    <s v="OPTIONAL NON-COMMUNICATING METER-SW.CS.5"/>
    <s v="12/2023"/>
    <n v="1"/>
    <n v="3813761.06"/>
    <n v="2759814.58"/>
    <n v="1053946.48"/>
    <x v="0"/>
    <x v="2"/>
    <m/>
    <m/>
  </r>
  <r>
    <s v="Intangible Plant, Common"/>
    <s v="Common (E &amp; G)"/>
    <s v="Intangibles, King County outside RTA District, WA : INT-0000 WA01700000"/>
    <n v="43080598"/>
    <s v="C303 INT Misc Intangible Plant"/>
    <n v="143005101"/>
    <s v="CONTRACTOR MODELS TO SAP - SW.CS.5Y"/>
    <s v="CONTRACTOR MODELS TO SAP - SW.CS.5YR"/>
    <s v="12/2023"/>
    <n v="1"/>
    <n v="16657.510000000002"/>
    <n v="12054.15"/>
    <n v="4603.3599999999997"/>
    <x v="0"/>
    <x v="0"/>
    <m/>
    <m/>
  </r>
  <r>
    <s v="Intangible Plant, Common"/>
    <s v="Common (E &amp; G)"/>
    <s v="Intangibles, King County outside RTA District, WA : INT-0000 WA01700000"/>
    <n v="43566352"/>
    <s v="C303 INT Misc Intangible Plant"/>
    <n v="143004749"/>
    <s v="AMI Real Time Bill Presentment-SW.C"/>
    <s v="AMI Real Time Bill Presentment-SW.CS.5YR"/>
    <s v="12/2023"/>
    <n v="1"/>
    <n v="3012227.99"/>
    <n v="2179788.0299999998"/>
    <n v="832439.96"/>
    <x v="0"/>
    <x v="2"/>
    <m/>
    <m/>
  </r>
  <r>
    <s v="Intangible Plant, Common"/>
    <s v="Common (E &amp; G)"/>
    <s v="Intangibles, King County outside RTA District, WA : INT-0000 WA01700000"/>
    <n v="43566355"/>
    <s v="C303 INT Misc Intangible Plant"/>
    <n v="143004750"/>
    <s v="AMI REMOTE DISCONNECT-SW.CS.5YR"/>
    <s v="AMI REMOTE DISCONNECT-SW.CS.5YR"/>
    <s v="12/2023"/>
    <n v="1"/>
    <n v="4135102.6"/>
    <n v="2992352.23"/>
    <n v="1142750.3700000001"/>
    <x v="0"/>
    <x v="2"/>
    <m/>
    <m/>
  </r>
  <r>
    <s v="Intangible Plant, Common"/>
    <s v="Common (E &amp; G)"/>
    <s v="Intangibles, King County outside RTA District, WA : INT-0000 WA01700000"/>
    <n v="43986580"/>
    <s v="C303 INT Misc Intangible Plant"/>
    <n v="143004536"/>
    <s v="DA1-Platform of Insights-SW.CS.5YR"/>
    <s v="DA1-Platform of Insights-SW.CS.5YR"/>
    <s v="12/2023"/>
    <n v="1"/>
    <n v="9662314.0999999996"/>
    <n v="6992099.0999999996"/>
    <n v="2670215"/>
    <x v="0"/>
    <x v="0"/>
    <m/>
    <m/>
  </r>
  <r>
    <s v="Intangible Plant, Common"/>
    <s v="Common (E &amp; G)"/>
    <s v="Intangibles, King County outside RTA District, WA : INT-0000 WA01700000"/>
    <n v="43986583"/>
    <s v="C303 INT Misc Intangible Plant"/>
    <n v="143004549"/>
    <s v="EPROCUREMENT PHASE II-SW.CN.EPROCUR"/>
    <s v="EPROCUREMENT PHASE II-SW.CN.EPROCUREMENT"/>
    <s v="12/2023"/>
    <n v="1"/>
    <n v="3333700.39"/>
    <n v="2412420.39"/>
    <n v="921280"/>
    <x v="0"/>
    <x v="0"/>
    <m/>
    <m/>
  </r>
  <r>
    <s v="Intangible Plant, Common"/>
    <s v="Common (E &amp; G)"/>
    <s v="Intangibles, Cle Elum, WA : INT-0000 WA01900010"/>
    <n v="43986596"/>
    <s v="C303 INT Misc Intangible Plant"/>
    <n v="143004837"/>
    <s v="MV90 Upgrade CAS - SW.CN.5YR"/>
    <s v="MV90 Upgrade CAS - SW.CN.5YR"/>
    <s v="12/2023"/>
    <n v="1"/>
    <n v="32984.21"/>
    <n v="23868.91"/>
    <n v="9115.3000000000011"/>
    <x v="0"/>
    <x v="2"/>
    <m/>
    <m/>
  </r>
  <r>
    <s v="Intangible Plant, Common"/>
    <s v="Common (E &amp; G)"/>
    <s v="Intangibles, King County outside RTA District, WA : INT-0000 WA01700000"/>
    <n v="43986604"/>
    <s v="C303 INT Misc Intangible Plant"/>
    <n v="143004839"/>
    <s v="MV90 Upgrade SQE - SW.CN.5YR"/>
    <s v="MV90 Upgrade SQE - SW.CN.5YR"/>
    <s v="12/2023"/>
    <n v="1"/>
    <n v="88303.77"/>
    <n v="63900.71"/>
    <n v="24403.06"/>
    <x v="0"/>
    <x v="2"/>
    <m/>
    <m/>
  </r>
  <r>
    <s v="Intangible Plant, Common"/>
    <s v="Common (E &amp; G)"/>
    <s v="Intangibles, King County outside RTA District, WA : INT-0000 WA01700000"/>
    <n v="43986620"/>
    <s v="C303 INT Misc Intangible Plant"/>
    <n v="143005083"/>
    <s v="2019 SAP HR SUPPORT PACKS - SW.CN.5"/>
    <s v="2019 SAP HR SUPPORT PACKS - SW.CN.5YR"/>
    <s v="12/2023"/>
    <n v="1"/>
    <n v="1079896.8999999999"/>
    <n v="781463.54"/>
    <n v="298433.36"/>
    <x v="0"/>
    <x v="0"/>
    <m/>
    <m/>
  </r>
  <r>
    <s v="Intangible Plant, Common"/>
    <s v="Common (E &amp; G)"/>
    <s v="Intangibles, King County outside RTA District, WA : INT-0000 WA01700000"/>
    <n v="44534507"/>
    <s v="C303 INT Misc Intangible Plant"/>
    <n v="143004045"/>
    <s v="WINDOWS 10 BASE IMAGING - SW.CN.5YR"/>
    <s v="WINDOWS 10 BASE IMAGING - SW.CN.5YR"/>
    <s v="12/2023"/>
    <n v="1"/>
    <n v="2999189.3"/>
    <n v="2170352.63"/>
    <n v="828836.67"/>
    <x v="0"/>
    <x v="0"/>
    <m/>
    <m/>
  </r>
  <r>
    <s v="Intangible Plant, Common"/>
    <s v="Common (E &amp; G)"/>
    <s v="Intangibles, King County outside RTA District, WA : INT-0000 WA01700000"/>
    <n v="44534537"/>
    <s v="C303 INT Misc Intangible Plant"/>
    <n v="143004742"/>
    <s v="MITIGATE 2008I-SW.CN.5YR"/>
    <s v="MITIGATE 2008I-SW.CN.5YR"/>
    <s v="12/2023"/>
    <n v="1"/>
    <n v="1618915.4"/>
    <n v="1171522.3500000001"/>
    <n v="447393.05"/>
    <x v="0"/>
    <x v="0"/>
    <m/>
    <m/>
  </r>
  <r>
    <s v="Intangible Plant, Common"/>
    <s v="Common (E &amp; G)"/>
    <s v="Intangibles, King County outside RTA District, WA : INT-0000 WA01700000"/>
    <n v="44534702"/>
    <s v="C303 INT Misc Intangible Plant"/>
    <n v="143005102"/>
    <s v="Web, Mobile, IVR 2.0 - SW.CS.7YR"/>
    <s v="Web, Mobile, IVR 2.0 - SW.CS.7YR"/>
    <s v="12/2023"/>
    <n v="1"/>
    <n v="6291099.8099999996"/>
    <n v="4552531.92"/>
    <n v="1738567.8900000001"/>
    <x v="0"/>
    <x v="0"/>
    <m/>
    <m/>
  </r>
  <r>
    <s v="Intangible Plant, Common"/>
    <s v="Common (E &amp; G)"/>
    <s v="Intangibles, King County outside RTA District, WA : INT-0000 WA01700000"/>
    <n v="45059436"/>
    <s v="C303 INT Misc Intangible Plant"/>
    <n v="143004817"/>
    <s v="Migrate from hummingbird to Opentex"/>
    <s v="Migrate from hummingbird to Opentext - S"/>
    <s v="12/2023"/>
    <n v="1"/>
    <n v="288746.5"/>
    <n v="211769.7"/>
    <n v="76976.800000000003"/>
    <x v="0"/>
    <x v="0"/>
    <m/>
    <m/>
  </r>
  <r>
    <s v="Intangible Plant, Common"/>
    <s v="Common (E &amp; G)"/>
    <s v="Intangibles, King County outside RTA District, WA : INT-0000 WA01700000"/>
    <n v="45059465"/>
    <s v="C303 INT Misc Intangible Plant"/>
    <n v="143005080"/>
    <s v="Tech Hub - SW.CN.4YR"/>
    <s v="Tech Hub - SW.CN.4YR"/>
    <s v="12/2023"/>
    <n v="1"/>
    <n v="74679.88"/>
    <n v="54771.01"/>
    <n v="19908.87"/>
    <x v="0"/>
    <x v="0"/>
    <m/>
    <m/>
  </r>
  <r>
    <s v="Intangible Plant, Common"/>
    <s v="Common (E &amp; G)"/>
    <s v="Intangibles, Cle Elum, WA : INT-0000 WA01900010"/>
    <n v="45059473"/>
    <s v="C303 INT Misc Intangible Plant"/>
    <n v="143005100"/>
    <s v="OPERATIONS FIREWALL REPLACEMENT - S"/>
    <s v="OPERATIONS FIREWALL REPLACEMENT - SW.CN."/>
    <s v="12/2023"/>
    <n v="1"/>
    <n v="84110.78"/>
    <n v="61687.73"/>
    <n v="22423.05"/>
    <x v="0"/>
    <x v="0"/>
    <m/>
    <m/>
  </r>
  <r>
    <s v="Intangible Plant, Common"/>
    <s v="Common (E &amp; G)"/>
    <s v="Intangibles, King County outside RTA District, WA : INT-0000 WA01700000"/>
    <n v="45895524"/>
    <s v="C303 INT Misc Intangible Plant"/>
    <n v="143004846"/>
    <s v="Cognos Replacement - SW.CN.5YR"/>
    <s v="Cognos Replacement - SW.CN.5YR"/>
    <s v="12/2023"/>
    <n v="1"/>
    <n v="1347803.02"/>
    <n v="988492.83000000007"/>
    <n v="359310.19"/>
    <x v="0"/>
    <x v="1"/>
    <m/>
    <m/>
  </r>
  <r>
    <s v="Intangible Plant, Common"/>
    <s v="Common (E &amp; G)"/>
    <s v="Intangibles, King County outside RTA District, WA : INT-0000 WA01700000"/>
    <n v="47029884"/>
    <s v="C303 INT Misc Intangible Plant"/>
    <n v="143005401"/>
    <s v="PAYROLL ENHANCEMENTS - SW.CS.5YR"/>
    <s v="PAYROLL ENHANCEMENTS - SW.CS.5YR"/>
    <s v="12/2023"/>
    <n v="1"/>
    <n v="13187.84"/>
    <n v="9672.1"/>
    <n v="3515.7400000000002"/>
    <x v="0"/>
    <x v="0"/>
    <m/>
    <m/>
  </r>
  <r>
    <s v="Intangible Plant, Common"/>
    <s v="Common (E &amp; G)"/>
    <s v="Intangibles, King County outside RTA District, WA : INT-0000 WA01700000"/>
    <n v="47398061"/>
    <s v="C303 INT Misc Intangible Plant"/>
    <n v="143005480"/>
    <s v="DAILY USAGE DATA AUTO REPORT - SW.C"/>
    <s v="DAILY USAGE DATA AUTO REPORT - SW.CN.5YR"/>
    <s v="12/2023"/>
    <n v="1"/>
    <n v="37136.57"/>
    <n v="27236.350000000002"/>
    <n v="9900.2199999999993"/>
    <x v="0"/>
    <x v="0"/>
    <m/>
    <m/>
  </r>
  <r>
    <s v="Intangible Plant, Common"/>
    <s v="Common (E &amp; G)"/>
    <s v="Intangibles, King County outside RTA District, WA : INT-0000 WA01700000"/>
    <n v="47398064"/>
    <s v="C303 INT Misc Intangible Plant"/>
    <n v="143005511"/>
    <s v="RITM0070660 - SW.CS.5YR - CREATE NE"/>
    <s v="RITM0070660 - SW.CS.5YR - CREATE NEW WAG"/>
    <s v="12/2023"/>
    <n v="1"/>
    <n v="14113.15"/>
    <n v="10350.73"/>
    <n v="3762.42"/>
    <x v="0"/>
    <x v="0"/>
    <m/>
    <m/>
  </r>
  <r>
    <s v="Intangible Plant, Common"/>
    <s v="Common (E &amp; G)"/>
    <s v="Intangibles, King County outside RTA District, WA : INT-0000 WA01700000"/>
    <n v="47398067"/>
    <s v="C303 INT Misc Intangible Plant"/>
    <n v="143005512"/>
    <s v="RITM72217, 69684, 70749 (BUNDLE) - "/>
    <s v="RITM72217, 69684, 70749 (BUNDLE) - SW.CS"/>
    <s v="12/2023"/>
    <n v="1"/>
    <n v="15736"/>
    <n v="11540.95"/>
    <n v="4195.05"/>
    <x v="0"/>
    <x v="0"/>
    <m/>
    <m/>
  </r>
  <r>
    <s v="Intangible Plant, Common"/>
    <s v="Common (E &amp; G)"/>
    <s v="Intangibles, King County outside RTA District, WA : INT-0000 WA01700000"/>
    <n v="47865944"/>
    <s v="C303 INT Misc Intangible Plant"/>
    <n v="143005226"/>
    <s v="ProofPoint's Web Isolation - SW.CS."/>
    <s v="ProofPoint's Web Isolation - SW.CS.5YR"/>
    <s v="12/2023"/>
    <n v="1"/>
    <n v="110356.71"/>
    <n v="80936.77"/>
    <n v="29419.940000000002"/>
    <x v="0"/>
    <x v="0"/>
    <m/>
    <m/>
  </r>
  <r>
    <s v="Intangible Plant, Common"/>
    <s v="Common (E &amp; G)"/>
    <s v="Intangibles, King County outside RTA District, WA : INT-0000 WA01700000"/>
    <n v="47865957"/>
    <s v="C303 INT Misc Intangible Plant"/>
    <n v="143005420"/>
    <s v="RITM0075870 - OR EMPLOYEE PILOT - S"/>
    <s v="RITM0075870 - OR EMPLOYEE PILOT - SW.CS."/>
    <s v="12/2023"/>
    <n v="1"/>
    <n v="77473.72"/>
    <n v="56820.04"/>
    <n v="20653.68"/>
    <x v="0"/>
    <x v="0"/>
    <m/>
    <m/>
  </r>
  <r>
    <s v="Intangible Plant, Common"/>
    <s v="Common (E &amp; G)"/>
    <s v="Intangibles, King County outside RTA District, WA : INT-0000 WA01700000"/>
    <n v="47865960"/>
    <s v="C303 INT Misc Intangible Plant"/>
    <n v="143005483"/>
    <s v="MAPVIEWER ESRI ENHANCEMENTS - SW.CS"/>
    <s v="MAPVIEWER ESRI ENHANCEMENTS - SW.CS.5YR"/>
    <s v="12/2023"/>
    <n v="1"/>
    <n v="14727.75"/>
    <n v="10801.49"/>
    <n v="3926.26"/>
    <x v="0"/>
    <x v="2"/>
    <m/>
    <m/>
  </r>
  <r>
    <s v="Intangible Plant, Common"/>
    <s v="Common (E &amp; G)"/>
    <s v="Intangibles, King County outside RTA District, WA : INT-0000 WA01700000"/>
    <n v="47865963"/>
    <s v="C303 INT Misc Intangible Plant"/>
    <n v="143005524"/>
    <s v="SAP GRC UPGRADE - SW.CN.5YR"/>
    <s v="SAP GRC UPGRADE - SW.CN.5YR"/>
    <s v="12/2023"/>
    <n v="1"/>
    <n v="258132.88"/>
    <n v="189317.35"/>
    <n v="68815.53"/>
    <x v="0"/>
    <x v="0"/>
    <m/>
    <m/>
  </r>
  <r>
    <s v="Intangible Plant, Common"/>
    <s v="Common (E &amp; G)"/>
    <s v="Intangibles, King County outside RTA District, WA : INT-0000 WA01700000"/>
    <n v="48333568"/>
    <s v="C303 INT Misc Intangible Plant"/>
    <n v="143005460"/>
    <s v="CORTEX XDR UNIX &amp; LINUX - SW.CN.5YR"/>
    <s v="CORTEX XDR UNIX &amp; LINUX - SW.CN.5YR"/>
    <s v="12/2023"/>
    <n v="1"/>
    <n v="47375.54"/>
    <n v="34745.72"/>
    <n v="12629.82"/>
    <x v="0"/>
    <x v="0"/>
    <m/>
    <m/>
  </r>
  <r>
    <s v="Intangible Plant, Common"/>
    <s v="Common (E &amp; G)"/>
    <s v="Intangibles, King County outside RTA District, WA : INT-0000 WA01700000"/>
    <n v="48333576"/>
    <s v="C303 INT Misc Intangible Plant"/>
    <n v="143005508"/>
    <s v="Q3 2020 SMALLWORLD ENHANCEMENTS - S"/>
    <s v="Q3 2020 SMALLWORLD ENHANCEMENTS - SW.CN."/>
    <s v="12/2023"/>
    <n v="1"/>
    <n v="62678.21"/>
    <n v="45968.85"/>
    <n v="16709.36"/>
    <x v="0"/>
    <x v="2"/>
    <m/>
    <m/>
  </r>
  <r>
    <s v="Intangible Plant, Common"/>
    <s v="Common (E &amp; G)"/>
    <s v="Intangibles, King County outside RTA District, WA : INT-0000 WA01700000"/>
    <n v="48333579"/>
    <s v="C303 INT Misc Intangible Plant"/>
    <n v="143005520"/>
    <s v="QM SAP MIGRATE FROM ACCESS DB - SW."/>
    <s v="QM SAP MIGRATE FROM ACCESS DB - SW.CS.5Y"/>
    <s v="12/2023"/>
    <n v="1"/>
    <n v="77061.900000000009"/>
    <n v="56518"/>
    <n v="20543.900000000001"/>
    <x v="0"/>
    <x v="3"/>
    <m/>
    <m/>
  </r>
  <r>
    <s v="Intangible Plant, Common"/>
    <s v="Common (E &amp; G)"/>
    <s v="Intangibles, King County outside RTA District, WA : INT-0000 WA01700000"/>
    <n v="48333582"/>
    <s v="C303 INT Misc Intangible Plant"/>
    <n v="143005522"/>
    <s v="CLICK SCHEDULE ENHANCEMENTS - SW.CS"/>
    <s v="CLICK SCHEDULE ENHANCEMENTS - SW.CS.5YR"/>
    <s v="12/2023"/>
    <n v="1"/>
    <n v="15585.300000000001"/>
    <n v="11430.42"/>
    <n v="4154.88"/>
    <x v="0"/>
    <x v="2"/>
    <m/>
    <m/>
  </r>
  <r>
    <s v="Intangible Plant, Common"/>
    <s v="Common (E &amp; G)"/>
    <s v="Intangibles, King County outside RTA District, WA : INT-0000 WA01700000"/>
    <n v="48333587"/>
    <s v="C303 INT Misc Intangible Plant"/>
    <n v="143005525"/>
    <s v="SAP HR DATA ENHANCEMENTS - SW.CS.5Y"/>
    <s v="SAP HR DATA ENHANCEMENTS - SW.CS.5YR - Q"/>
    <s v="12/2023"/>
    <n v="1"/>
    <n v="21960.850000000002"/>
    <n v="16106.32"/>
    <n v="5854.53"/>
    <x v="0"/>
    <x v="0"/>
    <m/>
    <m/>
  </r>
  <r>
    <s v="Intangible Plant, Common"/>
    <s v="Common (E &amp; G)"/>
    <s v="Intangibles, King County outside RTA District, WA : INT-0000 WA01700000"/>
    <n v="48333590"/>
    <s v="C303 INT Misc Intangible Plant"/>
    <n v="143005527"/>
    <s v="GENERAL LEDGER ENHANCEMENTS - SW.CS"/>
    <s v="GENERAL LEDGER ENHANCEMENTS - SW.CS.5YR"/>
    <s v="12/2023"/>
    <n v="1"/>
    <n v="20859"/>
    <n v="15298.210000000001"/>
    <n v="5560.79"/>
    <x v="0"/>
    <x v="2"/>
    <m/>
    <m/>
  </r>
  <r>
    <s v="Intangible Plant, Common"/>
    <s v="Common (E &amp; G)"/>
    <s v="Intangibles, King County outside RTA District, WA : INT-0000 WA01700000"/>
    <n v="48333593"/>
    <s v="C303 INT Misc Intangible Plant"/>
    <n v="143005534"/>
    <s v="COVID-19 - PAYMENT ARRNGMNTS - SW.C"/>
    <s v="COVID-19 - PAYMENT ARRNGMNTS - SW.CN.5YR"/>
    <s v="12/2023"/>
    <n v="1"/>
    <n v="202814"/>
    <n v="148745.91"/>
    <n v="54068.090000000004"/>
    <x v="0"/>
    <x v="2"/>
    <m/>
    <m/>
  </r>
  <r>
    <s v="Intangible Plant, Common"/>
    <s v="Common (E &amp; G)"/>
    <s v="Intangibles, King County outside RTA District, WA : INT-0000 WA01700000"/>
    <n v="48333596"/>
    <s v="C303 INT Misc Intangible Plant"/>
    <n v="143005563"/>
    <s v="SAP WORK MANAGEMENT ENHANCEMENTS - "/>
    <s v="SAP WORK MANAGEMENT ENHANCEMENTS - SW.CS"/>
    <s v="12/2023"/>
    <n v="1"/>
    <n v="20615.86"/>
    <n v="15119.89"/>
    <n v="5495.97"/>
    <x v="0"/>
    <x v="0"/>
    <m/>
    <m/>
  </r>
  <r>
    <s v="Intangible Plant, Common"/>
    <s v="Common (E &amp; G)"/>
    <s v="Intangibles, King County outside RTA District, WA : INT-0000 WA01700000"/>
    <n v="48333599"/>
    <s v="C303 INT Misc Intangible Plant"/>
    <n v="143005632"/>
    <s v="MDMS REPORTING MODULE - SW.CS.5YR"/>
    <s v="MDMS REPORTING MODULE - SW.CS.5YR"/>
    <s v="12/2023"/>
    <n v="1"/>
    <n v="51599.520000000004"/>
    <n v="37843.629999999997"/>
    <n v="13755.89"/>
    <x v="0"/>
    <x v="2"/>
    <m/>
    <m/>
  </r>
  <r>
    <s v="Intangible Plant, Common"/>
    <s v="Common (E &amp; G)"/>
    <s v="Intangibles, Bellevue, WA : INT-0000 WA11700040"/>
    <n v="48885100"/>
    <s v="C302 INT Franchises &amp; Consents"/>
    <n v="143002928"/>
    <s v="RADIO LEGAL OBLIGATIONS"/>
    <s v="RADIO LEGAL OBLIGATIONS"/>
    <s v="12/2023"/>
    <n v="1"/>
    <n v="633.75"/>
    <n v="203.28"/>
    <n v="430.47"/>
    <x v="1"/>
    <x v="0"/>
    <m/>
    <m/>
  </r>
  <r>
    <s v="Intangible Plant, Common"/>
    <s v="Common (E &amp; G)"/>
    <s v="Intangibles, King County outside RTA District, WA : INT-0000 WA01700000"/>
    <n v="49413677"/>
    <s v="C303 INT Misc Intangible Plant"/>
    <n v="143005177"/>
    <s v="REDWOOD UPGRADE - SW.CS.5YR"/>
    <s v="REDWOOD UPGRADE - SW.CS.5YR"/>
    <s v="12/2023"/>
    <n v="1"/>
    <n v="319299.83"/>
    <n v="234177.84"/>
    <n v="85121.99"/>
    <x v="0"/>
    <x v="0"/>
    <m/>
    <m/>
  </r>
  <r>
    <s v="Intangible Plant, Common"/>
    <s v="Common (E &amp; G)"/>
    <s v="Intangibles, King County outside RTA District, WA : INT-0000 WA01700000"/>
    <n v="49413690"/>
    <s v="C303 INT Misc Intangible Plant"/>
    <n v="143005340"/>
    <s v="Payment Platform - SW.CN.5YR"/>
    <s v="Payment Platform - SW.CN.5YR"/>
    <s v="12/2023"/>
    <n v="1"/>
    <n v="7410591.3399999999"/>
    <n v="5435005.2000000002"/>
    <n v="1975586.1400000001"/>
    <x v="0"/>
    <x v="2"/>
    <m/>
    <m/>
  </r>
  <r>
    <s v="Intangible Plant, Common"/>
    <s v="Common (E &amp; G)"/>
    <s v="Intangibles, King County outside RTA District, WA : INT-0000 WA01700000"/>
    <n v="49413693"/>
    <s v="C303 INT Misc Intangible Plant"/>
    <n v="143005363"/>
    <s v="IWM - SAP &amp; AMI DEVICES - SW.CS.5YR"/>
    <s v="IWM - SAP &amp; AMI DEVICES - SW.CS.5YR"/>
    <s v="12/2023"/>
    <n v="1"/>
    <n v="71677.540000000008"/>
    <n v="52569.06"/>
    <n v="19108.48"/>
    <x v="0"/>
    <x v="3"/>
    <m/>
    <m/>
  </r>
  <r>
    <s v="Intangible Plant, Common"/>
    <s v="Common (E &amp; G)"/>
    <s v="Intangibles, King County outside RTA District, WA : INT-0000 WA01700000"/>
    <n v="49413713"/>
    <s v="C303 INT Misc Intangible Plant"/>
    <n v="143005507"/>
    <s v="EMS CIM FEATURE ENHANCEMENT - SW.CS"/>
    <s v="EMS CIM FEATURE ENHANCEMENT - SW.CS.5YR"/>
    <s v="12/2023"/>
    <n v="1"/>
    <n v="20679.350000000002"/>
    <n v="15166.45"/>
    <n v="5512.9000000000005"/>
    <x v="0"/>
    <x v="4"/>
    <m/>
    <m/>
  </r>
  <r>
    <s v="Intangible Plant, Common"/>
    <s v="Common (E &amp; G)"/>
    <s v="Intangibles, King County outside RTA District, WA : INT-0000 WA01700000"/>
    <n v="49413716"/>
    <s v="C303 INT Misc Intangible Plant"/>
    <n v="143005510"/>
    <s v="RITM0071077 ARCHER REMINDERS - SW.C"/>
    <s v="RITM0071077 ARCHER REMINDERS - SW.CS.5YR"/>
    <s v="12/2023"/>
    <n v="1"/>
    <n v="71790.87"/>
    <n v="52652.17"/>
    <n v="19138.7"/>
    <x v="0"/>
    <x v="0"/>
    <m/>
    <m/>
  </r>
  <r>
    <s v="Intangible Plant, Common"/>
    <s v="Common (E &amp; G)"/>
    <s v="Intangibles, King County outside RTA District, WA : INT-0000 WA01700000"/>
    <n v="49945125"/>
    <s v="C303 INT Misc Intangible Plant"/>
    <n v="143004537"/>
    <s v="Enterprise Data Archiving-SW.CS.5YR"/>
    <s v="Enterprise Data Archiving-SW.CS.5YR"/>
    <s v="12/2023"/>
    <n v="1"/>
    <n v="2203558.9900000002"/>
    <n v="1616113.21"/>
    <n v="587445.78"/>
    <x v="0"/>
    <x v="0"/>
    <m/>
    <m/>
  </r>
  <r>
    <s v="Intangible Plant, Common"/>
    <s v="Common (E &amp; G)"/>
    <s v="Intangibles, King County outside RTA District, WA : INT-0000 WA01700000"/>
    <n v="49945156"/>
    <s v="C303 INT Misc Intangible Plant"/>
    <n v="143005227"/>
    <s v="eProcurement Phase 3 - SW.CN.5YR"/>
    <s v="eProcurement Phase 3 - SW.CN.5YR"/>
    <s v="12/2023"/>
    <n v="1"/>
    <n v="3853950.21"/>
    <n v="2826527.4"/>
    <n v="1027422.81"/>
    <x v="0"/>
    <x v="0"/>
    <m/>
    <m/>
  </r>
  <r>
    <s v="Intangible Plant, Common"/>
    <s v="Common (E &amp; G)"/>
    <s v="Intangibles, King County outside RTA District, WA : INT-0000 WA01700000"/>
    <n v="49945159"/>
    <s v="C303 INT Misc Intangible Plant"/>
    <n v="143005241"/>
    <s v="ServiceNow New York Upgrade - SW.CN"/>
    <s v="ServiceNow New York Upgrade - SW.CN.3YR"/>
    <s v="12/2023"/>
    <n v="1"/>
    <n v="5514678.2599999998"/>
    <n v="4044522.72"/>
    <n v="1470155.54"/>
    <x v="0"/>
    <x v="0"/>
    <m/>
    <m/>
  </r>
  <r>
    <s v="Intangible Plant, Common"/>
    <s v="Common (E &amp; G)"/>
    <s v="Intangibles, King County outside RTA District, WA : INT-0000 WA01700000"/>
    <n v="49945175"/>
    <s v="C303 INT Misc Intangible Plant"/>
    <n v="143005261"/>
    <s v="CLOUD NETWORK AND SECURITY - SW.CN."/>
    <s v="CLOUD NETWORK AND SECURITY - SW.CN.3YR"/>
    <s v="12/2023"/>
    <n v="1"/>
    <n v="23379.94"/>
    <n v="17147.09"/>
    <n v="6232.85"/>
    <x v="0"/>
    <x v="0"/>
    <m/>
    <m/>
  </r>
  <r>
    <s v="Intangible Plant, Common"/>
    <s v="Common (E &amp; G)"/>
    <s v="Intangibles, King County outside RTA District, WA : INT-0000 WA01700000"/>
    <n v="49945178"/>
    <s v="C303 INT Misc Intangible Plant"/>
    <n v="143005262"/>
    <s v="AUTOMATE POLICY ENFORCEMENT - SW.CN"/>
    <s v="AUTOMATE POLICY ENFORCEMENT - SW.CN.3YR"/>
    <s v="12/2023"/>
    <n v="1"/>
    <n v="217659.92"/>
    <n v="159634.06"/>
    <n v="58025.86"/>
    <x v="0"/>
    <x v="0"/>
    <m/>
    <m/>
  </r>
  <r>
    <s v="Intangible Plant, Common"/>
    <s v="Common (E &amp; G)"/>
    <s v="Intangibles, King County outside RTA District, WA : INT-0000 WA01700000"/>
    <n v="49945207"/>
    <s v="C303 INT Misc Intangible Plant"/>
    <n v="143005280"/>
    <s v="Robotic Process Automation - SW.CS."/>
    <s v="Robotic Process Automation - SW.CS.3YR"/>
    <s v="12/2023"/>
    <n v="1"/>
    <n v="832363.25"/>
    <n v="610463.91"/>
    <n v="221899.34"/>
    <x v="0"/>
    <x v="5"/>
    <m/>
    <m/>
  </r>
  <r>
    <s v="Intangible Plant, Common"/>
    <s v="Common (E &amp; G)"/>
    <s v="Intangibles, King County outside RTA District, WA : INT-0000 WA01700000"/>
    <n v="49945210"/>
    <s v="C303 INT Misc Intangible Plant"/>
    <n v="143005281"/>
    <s v="RSA TOKEN REFRESH - SW.CN.3YR"/>
    <s v="RSA TOKEN REFRESH - SW.CN.3YR"/>
    <s v="12/2023"/>
    <n v="1"/>
    <n v="131379.32"/>
    <n v="96354.97"/>
    <n v="35024.35"/>
    <x v="0"/>
    <x v="5"/>
    <m/>
    <m/>
  </r>
  <r>
    <s v="Intangible Plant, Common"/>
    <s v="Common (E &amp; G)"/>
    <s v="Intangibles, King County outside RTA District, WA : INT-0000 WA01700000"/>
    <n v="49945218"/>
    <s v="C303 INT Misc Intangible Plant"/>
    <n v="143005289"/>
    <s v="2020 SUPPLY CHAIN STBLZTN - SW.CS.5"/>
    <s v="2020 SUPPLY CHAIN STBLZTN - SW.CS.5YR"/>
    <s v="12/2023"/>
    <n v="1"/>
    <n v="205582.34"/>
    <n v="150776.24"/>
    <n v="54806.1"/>
    <x v="0"/>
    <x v="3"/>
    <m/>
    <m/>
  </r>
  <r>
    <s v="Intangible Plant, Common"/>
    <s v="Common (E &amp; G)"/>
    <s v="Intangibles, King County outside RTA District, WA : INT-0000 WA01700000"/>
    <n v="49945221"/>
    <s v="C303 INT Misc Intangible Plant"/>
    <n v="143005300"/>
    <s v="2020 IAM Modernization - SW.CS.3YR"/>
    <s v="2020 IAM Modernization - SW.CS.3YR"/>
    <s v="12/2023"/>
    <n v="1"/>
    <n v="720243.76"/>
    <n v="528234.31000000006"/>
    <n v="192009.45"/>
    <x v="0"/>
    <x v="0"/>
    <m/>
    <m/>
  </r>
  <r>
    <s v="Intangible Plant, Common"/>
    <s v="Common (E &amp; G)"/>
    <s v="Intangibles, King County outside RTA District, WA : INT-0000 WA01700000"/>
    <n v="49945233"/>
    <s v="C303 INT Misc Intangible Plant"/>
    <n v="143005316"/>
    <s v="SAP ANN. SUP STACKS/UPGRADES - SW.C"/>
    <s v="SAP ANN. SUP STACKS/UPGRADES - SW.CN.5YR"/>
    <s v="12/2023"/>
    <n v="1"/>
    <n v="1387230.1400000001"/>
    <n v="1017409.1"/>
    <n v="369821.04"/>
    <x v="0"/>
    <x v="0"/>
    <m/>
    <m/>
  </r>
  <r>
    <s v="Intangible Plant, Common"/>
    <s v="Common (E &amp; G)"/>
    <s v="Intangibles, King County outside RTA District, WA : INT-0000 WA01700000"/>
    <n v="49945238"/>
    <s v="C303 INT Misc Intangible Plant"/>
    <n v="143005332"/>
    <s v="TRNSPRT NTWRK MODERNIZATION RDW - S"/>
    <s v="TRNSPRT NTWRK MODERNIZATION RDW - SW.CN."/>
    <s v="12/2023"/>
    <n v="1"/>
    <n v="74926.22"/>
    <n v="54951.67"/>
    <n v="19974.55"/>
    <x v="0"/>
    <x v="0"/>
    <m/>
    <m/>
  </r>
  <r>
    <s v="Intangible Plant, Common"/>
    <s v="Common (E &amp; G)"/>
    <s v="Intangibles, King County outside RTA District, WA : INT-0000 WA01700000"/>
    <n v="49945241"/>
    <s v="C303 INT Misc Intangible Plant"/>
    <n v="143005333"/>
    <s v="TRNSPRT NTWRK MODERNIZATION NSP - S"/>
    <s v="TRNSPRT NTWRK MODERNIZATION NSP - SW.CN."/>
    <s v="12/2023"/>
    <n v="1"/>
    <n v="165217.93"/>
    <n v="121172.56"/>
    <n v="44045.37"/>
    <x v="0"/>
    <x v="0"/>
    <m/>
    <m/>
  </r>
  <r>
    <s v="Intangible Plant, Common"/>
    <s v="Common (E &amp; G)"/>
    <s v="Intangibles, King County outside RTA District, WA : INT-0000 WA01700000"/>
    <n v="49945246"/>
    <s v="C303 INT Misc Intangible Plant"/>
    <n v="143005361"/>
    <s v="AMI ENHANCEMENTS 2020 - SW.CS.3YR"/>
    <s v="AMI ENHANCEMENTS 2020 - SW.CS.3YR"/>
    <s v="12/2023"/>
    <n v="1"/>
    <n v="14818.130000000001"/>
    <n v="10867.77"/>
    <n v="3950.36"/>
    <x v="0"/>
    <x v="2"/>
    <m/>
    <m/>
  </r>
  <r>
    <s v="Intangible Plant, Common"/>
    <s v="Common (E &amp; G)"/>
    <s v="Intangibles, King County outside RTA District, WA : INT-0000 WA01700000"/>
    <n v="49945254"/>
    <s v="C303 INT Misc Intangible Plant"/>
    <n v="143005423"/>
    <s v="PRT SOFTWARE SUITE ENHNCMNT - SW.CS"/>
    <s v="PRT SOFTWARE SUITE ENHNCMNT - SW.CS.3YR"/>
    <s v="12/2023"/>
    <n v="1"/>
    <n v="24388.19"/>
    <n v="17886.55"/>
    <n v="6501.64"/>
    <x v="0"/>
    <x v="0"/>
    <m/>
    <m/>
  </r>
  <r>
    <s v="Intangible Plant, Common"/>
    <s v="Common (E &amp; G)"/>
    <s v="Intangibles, King County outside RTA District, WA : INT-0000 WA01700000"/>
    <n v="49945257"/>
    <s v="C303 INT Misc Intangible Plant"/>
    <n v="143005424"/>
    <s v="COVID-19 LICENSES - SW.CN.5YR"/>
    <s v="COVID-19 LICENSES - SW.CN.5YR"/>
    <s v="12/2023"/>
    <n v="1"/>
    <n v="243752"/>
    <n v="178770.27"/>
    <n v="64981.73"/>
    <x v="0"/>
    <x v="0"/>
    <m/>
    <m/>
  </r>
  <r>
    <s v="Intangible Plant, Common"/>
    <s v="Common (E &amp; G)"/>
    <s v="Intangibles, King County outside RTA District, WA : INT-0000 WA01700000"/>
    <n v="49945260"/>
    <s v="C303 INT Misc Intangible Plant"/>
    <n v="143005437"/>
    <s v="COMPLETEVIEW 5.X UPGRADE - SW.CN.3Y"/>
    <s v="COMPLETEVIEW 5.X UPGRADE - SW.CN.3YR"/>
    <s v="12/2023"/>
    <n v="1"/>
    <n v="47711.66"/>
    <n v="34992.230000000003"/>
    <n v="12719.43"/>
    <x v="0"/>
    <x v="0"/>
    <m/>
    <m/>
  </r>
  <r>
    <s v="Intangible Plant, Common"/>
    <s v="Common (E &amp; G)"/>
    <s v="Intangibles, King County outside RTA District, WA : INT-0000 WA01700000"/>
    <n v="49945276"/>
    <s v="C303 INT Misc Intangible Plant"/>
    <n v="143005532"/>
    <s v="DATA TOOLS UPGRADE - SW.CN.5YR"/>
    <s v="DATA TOOLS UPGRADE - SW.CN.5YR"/>
    <s v="12/2023"/>
    <n v="1"/>
    <n v="374402.42"/>
    <n v="274590.65000000002"/>
    <n v="99811.77"/>
    <x v="0"/>
    <x v="0"/>
    <m/>
    <m/>
  </r>
  <r>
    <s v="Intangible Plant, Common"/>
    <s v="Common (E &amp; G)"/>
    <s v="Intangibles, King County outside RTA District, WA : INT-0000 WA01700000"/>
    <n v="49945282"/>
    <s v="C303 INT Misc Intangible Plant"/>
    <n v="143005537"/>
    <s v="SAP WORK MANAGEMENT Q4 2020 - SW.CS"/>
    <s v="SAP WORK MANAGEMENT Q4 2020 - SW.CS.5YR"/>
    <s v="12/2023"/>
    <n v="1"/>
    <n v="31950.280000000002"/>
    <n v="23432.670000000002"/>
    <n v="8517.61"/>
    <x v="0"/>
    <x v="0"/>
    <m/>
    <m/>
  </r>
  <r>
    <s v="Intangible Plant, Common"/>
    <s v="Common (E &amp; G)"/>
    <s v="Intangibles, King County outside RTA District, WA : INT-0000 WA01700000"/>
    <n v="49945285"/>
    <s v="C303 INT Misc Intangible Plant"/>
    <n v="143005538"/>
    <s v="SAP DESKTOP APPLCTN Q4 2020 - SW.CS"/>
    <s v="SAP DESKTOP APPLCTN Q4 2020 - SW.CS.5YR"/>
    <s v="12/2023"/>
    <n v="1"/>
    <n v="12477.74"/>
    <n v="9151.31"/>
    <n v="3326.4300000000003"/>
    <x v="0"/>
    <x v="0"/>
    <m/>
    <m/>
  </r>
  <r>
    <s v="Intangible Plant, Common"/>
    <s v="Common (E &amp; G)"/>
    <s v="Intangibles, King County outside RTA District, WA : INT-0000 WA01700000"/>
    <n v="49945288"/>
    <s v="C303 INT Misc Intangible Plant"/>
    <n v="143005564"/>
    <s v="SAP CIS BILLING ENHNCMNTS Q4 - SW.C"/>
    <s v="SAP CIS BILLING ENHNCMNTS Q4 - SW.CS.5YR"/>
    <s v="12/2023"/>
    <n v="1"/>
    <n v="46563.75"/>
    <n v="34150.340000000004"/>
    <n v="12413.41"/>
    <x v="0"/>
    <x v="2"/>
    <m/>
    <m/>
  </r>
  <r>
    <s v="Intangible Plant, Common"/>
    <s v="Common (E &amp; G)"/>
    <s v="Intangibles, King County outside RTA District, WA : INT-0000 WA01700000"/>
    <n v="49945296"/>
    <s v="C303 INT Misc Intangible Plant"/>
    <n v="143005639"/>
    <s v="IMPORT PROMPT GAS &amp; POWER PRICES - "/>
    <s v="IMPORT PROMPT GAS &amp; POWER PRICES - SW.CS"/>
    <s v="12/2023"/>
    <n v="1"/>
    <n v="13981.31"/>
    <n v="10254.040000000001"/>
    <n v="3727.27"/>
    <x v="0"/>
    <x v="1"/>
    <m/>
    <m/>
  </r>
  <r>
    <s v="Intangible Plant, Common"/>
    <s v="Common (E &amp; G)"/>
    <s v="Intangibles, King County outside RTA District, WA : INT-0000 WA01700000"/>
    <n v="49945299"/>
    <s v="C303 INT Misc Intangible Plant"/>
    <n v="143005661"/>
    <s v="SAP BW 7.5 Upgrade - SW.CN.5YR"/>
    <s v="SAP BW 7.5 Upgrade - SW.CN.5YR"/>
    <s v="12/2023"/>
    <n v="1"/>
    <n v="265892.34000000003"/>
    <n v="195008.22"/>
    <n v="70884.12"/>
    <x v="0"/>
    <x v="0"/>
    <m/>
    <m/>
  </r>
  <r>
    <s v="Intangible Plant, Common"/>
    <s v="Common (E &amp; G)"/>
    <s v="Intangibles, King County outside RTA District, WA : INT-0000 WA01700000"/>
    <n v="49945305"/>
    <s v="C303 INT Misc Intangible Plant"/>
    <n v="143005669"/>
    <s v="SUCCESSFACTORS ENHNC - Q4 2020 - SW"/>
    <s v="SUCCESSFACTORS ENHNC - Q4 2020 - SW.CN.3"/>
    <s v="12/2023"/>
    <n v="1"/>
    <n v="14631"/>
    <n v="10730.53"/>
    <n v="3900.4700000000003"/>
    <x v="0"/>
    <x v="0"/>
    <m/>
    <m/>
  </r>
  <r>
    <s v="Intangible Plant, Common"/>
    <s v="Common (E &amp; G)"/>
    <s v="Intangibles, King County outside RTA District, WA : INT-0000 WA01700000"/>
    <n v="49945308"/>
    <s v="C303 INT Misc Intangible Plant"/>
    <n v="143005671"/>
    <s v="OPERATIONS FIREWALL REFRESH - SW.CN"/>
    <s v="OPERATIONS FIREWALL REFRESH - SW.CN.5YR"/>
    <s v="12/2023"/>
    <n v="1"/>
    <n v="70265.38"/>
    <n v="51533.36"/>
    <n v="18732.02"/>
    <x v="0"/>
    <x v="0"/>
    <m/>
    <m/>
  </r>
  <r>
    <s v="Intangible Plant, Common"/>
    <s v="Common (E &amp; G)"/>
    <s v="Intangibles, King County outside RTA District, WA : INT-0000 WA01700000"/>
    <n v="49945316"/>
    <s v="C303 INT Misc Intangible Plant"/>
    <n v="143005746"/>
    <s v="SAP WORK MANAGEMENT ENHNC - SW.CS.5"/>
    <s v="SAP WORK MANAGEMENT ENHNC - SW.CS.5YR"/>
    <s v="12/2023"/>
    <n v="1"/>
    <n v="15779.91"/>
    <n v="11573.15"/>
    <n v="4206.76"/>
    <x v="0"/>
    <x v="2"/>
    <m/>
    <m/>
  </r>
  <r>
    <s v="Intangible Plant, Common"/>
    <s v="Common (E &amp; G)"/>
    <s v="Intangibles, King County outside RTA District, WA : INT-0000 WA01700000"/>
    <n v="49945320"/>
    <s v="C303 INT Misc Intangible Plant"/>
    <n v="143005747"/>
    <s v="Q4 2020 SAP FINANCE ENHNC - SW.CS.5"/>
    <s v="Q4 2020 SAP FINANCE ENHNC - SW.CS.5YR"/>
    <s v="12/2023"/>
    <n v="1"/>
    <n v="21288.7"/>
    <n v="15613.36"/>
    <n v="5675.34"/>
    <x v="0"/>
    <x v="0"/>
    <m/>
    <m/>
  </r>
  <r>
    <s v="Intangible Plant, Common"/>
    <s v="Common (E &amp; G)"/>
    <s v="Intangibles, King County outside RTA District, WA : INT-0000 WA01700000"/>
    <n v="49945323"/>
    <s v="C303 INT Misc Intangible Plant"/>
    <n v="143005761"/>
    <s v="RITM0085457 - NERC officer-workflow"/>
    <s v="RITM0085457 - NERC officer-workflow - SW"/>
    <s v="12/2023"/>
    <n v="1"/>
    <n v="51782.99"/>
    <n v="37978.19"/>
    <n v="13804.800000000001"/>
    <x v="0"/>
    <x v="0"/>
    <m/>
    <m/>
  </r>
  <r>
    <s v="Intangible Plant, Common"/>
    <s v="Common (E &amp; G)"/>
    <s v="Intangibles, King County outside RTA District, WA : INT-0000 WA01700000"/>
    <n v="49945326"/>
    <s v="C303 INT Misc Intangible Plant"/>
    <n v="143005802"/>
    <s v="MAPVIEWER ESRI 2020 Q4 ENHANCEMENTS"/>
    <s v="MAPVIEWER ESRI 2020 Q4 ENHANCEMENTS - SW"/>
    <s v="12/2023"/>
    <n v="1"/>
    <n v="12580.6"/>
    <n v="9226.74"/>
    <n v="3353.86"/>
    <x v="0"/>
    <x v="2"/>
    <m/>
    <m/>
  </r>
  <r>
    <s v="Intangible Plant, Common"/>
    <s v="Common (E &amp; G)"/>
    <s v="Intangibles, Thurston County, WA : INT-0000 WA03400000"/>
    <n v="50297700"/>
    <s v="C302 INT Franchises &amp; Consents"/>
    <n v="143002258"/>
    <s v="CITY OF YELM - COMMON - RENEWAL"/>
    <s v="CITY OF YELM - COMMON - RENEWAL"/>
    <s v="12/2023"/>
    <n v="2"/>
    <n v="49483.76"/>
    <n v="13438.51"/>
    <n v="36045.25"/>
    <x v="1"/>
    <x v="2"/>
    <m/>
    <m/>
  </r>
  <r>
    <s v="Intangible Plant, Common"/>
    <s v="Common (E &amp; G)"/>
    <s v="Intangibles, King County outside RTA District, WA : INT-0000 WA01700000"/>
    <n v="50297733"/>
    <s v="C302 INT Franchises &amp; Consents"/>
    <n v="143005305"/>
    <s v="CITY OF COVINGTON - COMMON - FRANCH"/>
    <s v="CITY OF COVINGTON - COMMON - FRANCHISE"/>
    <s v="12/2023"/>
    <n v="1"/>
    <n v="329"/>
    <n v="89.350000000000009"/>
    <n v="239.65"/>
    <x v="1"/>
    <x v="2"/>
    <m/>
    <m/>
  </r>
  <r>
    <s v="Intangible Plant, Common"/>
    <s v="Common (E &amp; G)"/>
    <s v="Intangibles, Bellevue, WA : INT-0000 WA11700040"/>
    <n v="50479305"/>
    <s v="C303 INT Misc Intangible Plant"/>
    <n v="143002783"/>
    <s v="UPGRADE SAP CENTRAL PROCESS SCHEDUL"/>
    <s v="UPGRADE SAP CENTRAL PROCESS SCHEDULER SW"/>
    <s v="12/2023"/>
    <n v="1"/>
    <n v="11478.75"/>
    <n v="5425.93"/>
    <n v="6052.82"/>
    <x v="0"/>
    <x v="2"/>
    <m/>
    <m/>
  </r>
  <r>
    <s v="Intangible Plant, Common"/>
    <s v="Common (E &amp; G)"/>
    <s v="Intangibles, King County outside RTA District, WA : INT-0000 WA01700000"/>
    <n v="50479310"/>
    <s v="C303 INT Misc Intangible Plant"/>
    <n v="143005189"/>
    <s v="Web 3.0 - SW.CS.7YR"/>
    <s v="Web 3.0 - SW.CS.7YR"/>
    <s v="12/2023"/>
    <n v="1"/>
    <n v="4881452.78"/>
    <n v="2307428.66"/>
    <n v="2574024.12"/>
    <x v="0"/>
    <x v="2"/>
    <m/>
    <m/>
  </r>
  <r>
    <s v="Intangible Plant, Common"/>
    <s v="Common (E &amp; G)"/>
    <s v="Intangibles, King County outside RTA District, WA : INT-0000 WA01700000"/>
    <n v="50479315"/>
    <s v="C303 INT Misc Intangible Plant"/>
    <n v="143005269"/>
    <s v="PSE CS WEB, MOBILE, VIVR - SW.CN.3Y"/>
    <s v="PSE CS WEB, MOBILE, VIVR - SW.CN.3YR"/>
    <s v="12/2023"/>
    <n v="1"/>
    <n v="549246.1"/>
    <n v="259624.80000000002"/>
    <n v="289621.3"/>
    <x v="0"/>
    <x v="0"/>
    <m/>
    <m/>
  </r>
  <r>
    <s v="Intangible Plant, Common"/>
    <s v="Common (E &amp; G)"/>
    <s v="Intangibles, King County outside RTA District, WA : INT-0000 WA01700000"/>
    <n v="50479318"/>
    <s v="C303 INT Misc Intangible Plant"/>
    <n v="143005270"/>
    <s v="XAMERIN PLATFORM OPTIMIZATION - SW."/>
    <s v="XAMERIN PLATFORM OPTIMIZATION - SW.CN.5Y"/>
    <s v="12/2023"/>
    <n v="1"/>
    <n v="388553.61"/>
    <n v="183666.58000000002"/>
    <n v="204887.03"/>
    <x v="0"/>
    <x v="2"/>
    <m/>
    <m/>
  </r>
  <r>
    <s v="Intangible Plant, Common"/>
    <s v="Common (E &amp; G)"/>
    <s v="Intangibles, King County outside RTA District, WA : INT-0000 WA01700000"/>
    <n v="50479325"/>
    <s v="C303 INT Misc Intangible Plant"/>
    <n v="143005291"/>
    <s v="ANNUAL SPLUNK GROWTH - SW.CN.3YR"/>
    <s v="ANNUAL SPLUNK GROWTH - SW.CN.3YR"/>
    <s v="12/2023"/>
    <n v="1"/>
    <n v="553912.44000000006"/>
    <n v="261830.54"/>
    <n v="292081.90000000002"/>
    <x v="0"/>
    <x v="0"/>
    <m/>
    <m/>
  </r>
  <r>
    <s v="Intangible Plant, Common"/>
    <s v="Common (E &amp; G)"/>
    <s v="Intangibles, King County outside RTA District, WA : INT-0000 WA01700000"/>
    <n v="50479346"/>
    <s v="C303 INT Misc Intangible Plant"/>
    <n v="143005670"/>
    <s v="MICHIGAN REMOTE WORK LOCATION - SW."/>
    <s v="MICHIGAN REMOTE WORK LOCATION - SW.CS.5Y"/>
    <s v="12/2023"/>
    <n v="1"/>
    <n v="11587.67"/>
    <n v="5477.41"/>
    <n v="6110.26"/>
    <x v="0"/>
    <x v="0"/>
    <m/>
    <m/>
  </r>
  <r>
    <s v="Intangible Plant, Common"/>
    <s v="Common (E &amp; G)"/>
    <s v="Intangibles, King County outside RTA District, WA : INT-0000 WA01700000"/>
    <n v="50479351"/>
    <s v="C303 INT Misc Intangible Plant"/>
    <n v="143005801"/>
    <s v="2020 CLIENT SW SQL LICENSES - SW.CN"/>
    <s v="2020 CLIENT SW SQL LICENSES - SW.CN.4YR"/>
    <s v="12/2023"/>
    <n v="1"/>
    <n v="485529.99"/>
    <n v="229506.64"/>
    <n v="256023.35"/>
    <x v="0"/>
    <x v="0"/>
    <m/>
    <m/>
  </r>
  <r>
    <s v="Intangible Plant, Common"/>
    <s v="Common (E &amp; G)"/>
    <s v="Intangibles, King County outside RTA District, WA : INT-0000 WA01700000"/>
    <n v="51571611"/>
    <s v="C303 INT Misc Intangible Plant"/>
    <n v="143005404"/>
    <s v="Sitecore Upgrade - SW.CN.3YR"/>
    <s v="Sitecore Upgrade - SW.CN.3YR"/>
    <s v="12/2023"/>
    <n v="1"/>
    <n v="922815.68"/>
    <n v="436208.53"/>
    <n v="486607.15"/>
    <x v="0"/>
    <x v="2"/>
    <m/>
    <m/>
  </r>
  <r>
    <s v="Intangible Plant, Common"/>
    <s v="Common (E &amp; G)"/>
    <s v="Intangibles, King County outside RTA District, WA : INT-0000 WA01700000"/>
    <n v="51571616"/>
    <s v="C303 INT Misc Intangible Plant"/>
    <n v="143005523"/>
    <s v="LOAD OFFICE ITOA ENHANCEMENTS - SW."/>
    <s v="LOAD OFFICE ITOA ENHANCEMENTS - SW.CS.5Y"/>
    <s v="12/2023"/>
    <n v="1"/>
    <n v="18617.560000000001"/>
    <n v="8800.39"/>
    <n v="9817.17"/>
    <x v="0"/>
    <x v="4"/>
    <m/>
    <m/>
  </r>
  <r>
    <s v="Intangible Plant, Common"/>
    <s v="Common (E &amp; G)"/>
    <s v="Intangibles, King County outside RTA District, WA : INT-0000 WA01700000"/>
    <n v="51571627"/>
    <s v="C303 INT Misc Intangible Plant"/>
    <n v="143005634"/>
    <s v="EIA-111 EXPORTS INCORRECTLY CALCULA"/>
    <s v="EIA-111 EXPORTS INCORRECTLY CALCULATE -"/>
    <s v="12/2023"/>
    <n v="1"/>
    <n v="10301.56"/>
    <n v="4869.4800000000005"/>
    <n v="5432.08"/>
    <x v="0"/>
    <x v="4"/>
    <m/>
    <m/>
  </r>
  <r>
    <s v="Intangible Plant, Common"/>
    <s v="Common (E &amp; G)"/>
    <s v="Intangibles, King County outside RTA District, WA : INT-0000 WA01700000"/>
    <n v="51571638"/>
    <s v="C303 INT Misc Intangible Plant"/>
    <n v="143005860"/>
    <s v="2020 CLIENT VARIPHY TELEPHONY LICEN"/>
    <s v="2020 CLIENT VARIPHY TELEPHONY LICENSE-SW"/>
    <s v="12/2023"/>
    <n v="1"/>
    <n v="55931.69"/>
    <n v="26438.52"/>
    <n v="29493.170000000002"/>
    <x v="0"/>
    <x v="0"/>
    <m/>
    <m/>
  </r>
  <r>
    <s v="Intangible Plant, Common"/>
    <s v="Common (E &amp; G)"/>
    <s v="Intangibles, King County outside RTA District, WA : INT-0000 WA01700000"/>
    <n v="51571641"/>
    <s v="C303 INT Misc Intangible Plant"/>
    <n v="143005876"/>
    <s v="Q1 2021 SAP PM ENHANCEMENTS - SW.CS"/>
    <s v="Q1 2021 SAP PM ENHANCEMENTS - SW.CS.5YR"/>
    <s v="12/2023"/>
    <n v="1"/>
    <n v="42337.71"/>
    <n v="20012.740000000002"/>
    <n v="22324.97"/>
    <x v="0"/>
    <x v="0"/>
    <m/>
    <m/>
  </r>
  <r>
    <s v="Intangible Plant, Common"/>
    <s v="Common (E &amp; G)"/>
    <s v="Intangibles, King County outside RTA District, WA : INT-0000 WA01700000"/>
    <n v="51571644"/>
    <s v="C303 INT Misc Intangible Plant"/>
    <n v="143005944"/>
    <s v="SAP SALES CLOUD - SW.CN.5YR"/>
    <s v="SAP SALES CLOUD - SW.CN.5YR"/>
    <s v="12/2023"/>
    <n v="1"/>
    <n v="39192.239999999998"/>
    <n v="18525.900000000001"/>
    <n v="20666.34"/>
    <x v="0"/>
    <x v="1"/>
    <m/>
    <m/>
  </r>
  <r>
    <s v="Intangible Plant, Common"/>
    <s v="Common (E &amp; G)"/>
    <s v="Intangibles, King County outside RTA District, WA : INT-0000 WA01700000"/>
    <n v="52052028"/>
    <s v="C303 INT Misc Intangible Plant"/>
    <n v="143005190"/>
    <s v="Phase IV eGRC Build (Archer) - SW.C"/>
    <s v="Phase IV eGRC Build (Archer) - SW.CN.5YR"/>
    <s v="12/2023"/>
    <n v="1"/>
    <n v="1446250.07"/>
    <n v="683632.31"/>
    <n v="762617.76"/>
    <x v="0"/>
    <x v="1"/>
    <m/>
    <m/>
  </r>
  <r>
    <s v="Intangible Plant, Common"/>
    <s v="Common (E &amp; G)"/>
    <s v="Intangibles, King County outside RTA District, WA : INT-0000 WA01700000"/>
    <n v="52052031"/>
    <s v="C303 INT Misc Intangible Plant"/>
    <n v="143005194"/>
    <s v="EMPLOYEE ENGAGEMENT - SW.CN.5YR"/>
    <s v="EMPLOYEE ENGAGEMENT - SW.CN.5YR"/>
    <s v="12/2023"/>
    <n v="1"/>
    <n v="2351780.37"/>
    <n v="1111670.17"/>
    <n v="1240110.2"/>
    <x v="0"/>
    <x v="0"/>
    <m/>
    <m/>
  </r>
  <r>
    <s v="Intangible Plant, Common"/>
    <s v="Common (E &amp; G)"/>
    <s v="Intangibles, King County outside RTA District, WA : INT-0000 WA01700000"/>
    <n v="52052295"/>
    <s v="C303 INT Misc Intangible Plant"/>
    <n v="143005877"/>
    <s v="Q1 2021 PAYROLL ENHANCEMENTS - SW.C"/>
    <s v="Q1 2021 PAYROLL ENHANCEMENTS - SW.CS.5YR"/>
    <s v="12/2023"/>
    <n v="1"/>
    <n v="36703.79"/>
    <n v="17349.63"/>
    <n v="19354.16"/>
    <x v="0"/>
    <x v="0"/>
    <m/>
    <m/>
  </r>
  <r>
    <s v="Intangible Plant, Common"/>
    <s v="Common (E &amp; G)"/>
    <s v="Intangibles, King County outside RTA District, WA : INT-0000 WA01700000"/>
    <n v="52052310"/>
    <s v="C303 INT Misc Intangible Plant"/>
    <n v="143005948"/>
    <s v="Q1 IWM SAP WORK MAN ENHNC - SW.CS.5"/>
    <s v="Q1 IWM SAP WORK MAN ENHNC - SW.CS.5YR"/>
    <s v="12/2023"/>
    <n v="1"/>
    <n v="13234.07"/>
    <n v="6255.6500000000005"/>
    <n v="6978.42"/>
    <x v="0"/>
    <x v="3"/>
    <m/>
    <m/>
  </r>
  <r>
    <s v="Intangible Plant, Common"/>
    <s v="Common (E &amp; G)"/>
    <s v="Intangibles, King County outside RTA District, WA : INT-0000 WA01700000"/>
    <n v="52052313"/>
    <s v="C303 INT Misc Intangible Plant"/>
    <n v="143005968"/>
    <s v="CREATE DIGITAL RECORDS OF DIMP/ILS "/>
    <s v="CREATE DIGITAL RECORDS OF DIMP/ILS - SW."/>
    <s v="12/2023"/>
    <n v="1"/>
    <n v="14097.630000000001"/>
    <n v="6663.85"/>
    <n v="7433.78"/>
    <x v="0"/>
    <x v="2"/>
    <m/>
    <m/>
  </r>
  <r>
    <s v="Intangible Plant, Common"/>
    <s v="Common (E &amp; G)"/>
    <s v="Intangibles, Kenmore, WA : INT-0000 WA11700380"/>
    <n v="52234740"/>
    <s v="C302 INT Franchises &amp; Consents"/>
    <n v="143002262"/>
    <s v="CITY OF KENMORE - COMMON - RENEWAL"/>
    <s v="CITY OF KENMORE - COMMON - RENEWAL"/>
    <s v="12/2023"/>
    <n v="0"/>
    <n v="204249.45"/>
    <n v="101273.73"/>
    <n v="102975.72"/>
    <x v="1"/>
    <x v="2"/>
    <m/>
    <m/>
  </r>
  <r>
    <s v="Intangible Plant, Common"/>
    <s v="Common (E &amp; G)"/>
    <s v="Intangibles, King County outside RTA District, WA : INT-0000 WA01700000"/>
    <n v="52521368"/>
    <s v="C303 INT Misc Intangible Plant"/>
    <n v="143005780"/>
    <s v="SHAREPOINT ADMIN FEATURES - SW.CN.5"/>
    <s v="SHAREPOINT ADMIN FEATURES - SW.CN.5YR"/>
    <s v="12/2023"/>
    <n v="1"/>
    <n v="33056.300000000003"/>
    <n v="15625.48"/>
    <n v="17430.82"/>
    <x v="0"/>
    <x v="0"/>
    <m/>
    <m/>
  </r>
  <r>
    <s v="Intangible Plant, Common"/>
    <s v="Common (E &amp; G)"/>
    <s v="Intangibles, King County outside RTA District, WA : INT-0000 WA01700000"/>
    <n v="52521373"/>
    <s v="C303 INT Misc Intangible Plant"/>
    <n v="143006062"/>
    <s v="Q1 2021 ARCHER ENHANCEMENTS - SW.CS"/>
    <s v="Q1 2021 ARCHER ENHANCEMENTS - SW.CS.5YR"/>
    <s v="12/2023"/>
    <n v="1"/>
    <n v="59672.79"/>
    <n v="28206.91"/>
    <n v="31465.88"/>
    <x v="0"/>
    <x v="0"/>
    <m/>
    <m/>
  </r>
  <r>
    <s v="Intangible Plant, Common"/>
    <s v="Common (E &amp; G)"/>
    <s v="Intangibles, King County outside RTA District, WA : INT-0000 WA01700000"/>
    <n v="53009593"/>
    <s v="C303 INT Misc Intangible Plant"/>
    <n v="143005225"/>
    <s v="TRAVEL EXPNS MNGMNT &amp; PCARD - SW.CS"/>
    <s v="TRAVEL EXPNS MNGMNT &amp; PCARD - SW.CS.5YR"/>
    <s v="12/2023"/>
    <n v="1"/>
    <n v="936102.49"/>
    <n v="442489.11"/>
    <n v="493613.38"/>
    <x v="0"/>
    <x v="0"/>
    <m/>
    <m/>
  </r>
  <r>
    <s v="Intangible Plant, Common"/>
    <s v="Common (E &amp; G)"/>
    <s v="Intangibles, King County outside RTA District, WA : INT-0000 WA01700000"/>
    <n v="53018713"/>
    <s v="C303 INT Misc Intangible Plant"/>
    <n v="143005529"/>
    <s v="MDMS SYSTEM UPGRADE - SW.CN.15YR"/>
    <s v="MDMS SYSTEM UPGRADE - SW.CN.15YR"/>
    <s v="12/2023"/>
    <n v="1"/>
    <n v="509189.33"/>
    <n v="240690.24"/>
    <n v="268499.09000000003"/>
    <x v="0"/>
    <x v="2"/>
    <m/>
    <m/>
  </r>
  <r>
    <s v="Intangible Plant, Common"/>
    <s v="Common (E &amp; G)"/>
    <s v="Intangibles, King County outside RTA District, WA : INT-0000 WA01700000"/>
    <n v="53506956"/>
    <s v="C303 INT Misc Intangible Plant"/>
    <n v="143005295"/>
    <s v="SAFETY TELEMATICS FOR FLEET - SW.CN"/>
    <s v="SAFETY TELEMATICS FOR FLEET - SW.CN.5YR"/>
    <s v="12/2023"/>
    <n v="1"/>
    <n v="2510327.2599999998"/>
    <n v="1186614.17"/>
    <n v="1323713.0900000001"/>
    <x v="0"/>
    <x v="2"/>
    <m/>
    <m/>
  </r>
  <r>
    <s v="Intangible Plant, Common"/>
    <s v="Common (E &amp; G)"/>
    <s v="Intangibles, King County outside RTA District, WA : INT-0000 WA01700000"/>
    <n v="53506963"/>
    <s v="C303 INT Misc Intangible Plant"/>
    <n v="143005536"/>
    <s v="ENDUR UPGRADE - APM MODULE - SW.CN."/>
    <s v="ENDUR UPGRADE - APM MODULE - SW.CN.5YR"/>
    <s v="12/2023"/>
    <n v="1"/>
    <n v="761551.05"/>
    <n v="359979.87"/>
    <n v="401571.18"/>
    <x v="0"/>
    <x v="4"/>
    <m/>
    <m/>
  </r>
  <r>
    <s v="Intangible Plant, Common"/>
    <s v="Common (E &amp; G)"/>
    <s v="Intangibles, King County outside RTA District, WA : INT-0000 WA01700000"/>
    <n v="53506974"/>
    <s v="C303 INT Misc Intangible Plant"/>
    <n v="143005950"/>
    <s v="Q2 2021 SAP PM ENHANCMENTS - SW.CS."/>
    <s v="Q2 2021 SAP PM ENHANCMENTS - SW.CS.5YR"/>
    <s v="12/2023"/>
    <n v="1"/>
    <n v="41725.550000000003"/>
    <n v="19723.38"/>
    <n v="22002.170000000002"/>
    <x v="0"/>
    <x v="1"/>
    <m/>
    <m/>
  </r>
  <r>
    <s v="Intangible Plant, Common"/>
    <s v="Common (E &amp; G)"/>
    <s v="Intangibles, King County outside RTA District, WA : INT-0000 WA01700000"/>
    <n v="53506977"/>
    <s v="C303 INT Misc Intangible Plant"/>
    <n v="143005953"/>
    <s v="Q2 2021 SAP PM HRIS Enhancements - "/>
    <s v="Q2 2021 SAP PM HRIS Enhancements - SW.CS"/>
    <s v="12/2023"/>
    <n v="1"/>
    <n v="50246.57"/>
    <n v="23751.200000000001"/>
    <n v="26495.37"/>
    <x v="0"/>
    <x v="0"/>
    <m/>
    <m/>
  </r>
  <r>
    <s v="Intangible Plant, Common"/>
    <s v="Common (E &amp; G)"/>
    <s v="Intangibles, King County outside RTA District, WA : INT-0000 WA01700000"/>
    <n v="53506980"/>
    <s v="C303 INT Misc Intangible Plant"/>
    <n v="143005971"/>
    <s v="Q1 2020 SAP Billing Enhancements - "/>
    <s v="Q1 2020 SAP Billing Enhancements - SW.CS"/>
    <s v="12/2023"/>
    <n v="1"/>
    <n v="14094.2"/>
    <n v="6662.2300000000005"/>
    <n v="7431.97"/>
    <x v="0"/>
    <x v="2"/>
    <m/>
    <m/>
  </r>
  <r>
    <s v="Intangible Plant, Common"/>
    <s v="Common (E &amp; G)"/>
    <s v="Intangibles, King County outside RTA District, WA : INT-0000 WA01700000"/>
    <n v="53506983"/>
    <s v="C303 INT Misc Intangible Plant"/>
    <n v="143005980"/>
    <s v="Q1 2021 SAP/FI - Acct R&amp;P Enhanceme"/>
    <s v="Q1 2021 SAP/FI - Acct R&amp;P Enhancements -"/>
    <s v="12/2023"/>
    <n v="1"/>
    <n v="83184.350000000006"/>
    <n v="39320.660000000003"/>
    <n v="43863.69"/>
    <x v="0"/>
    <x v="0"/>
    <m/>
    <m/>
  </r>
  <r>
    <s v="Intangible Plant, Common"/>
    <s v="Common (E &amp; G)"/>
    <s v="Intangibles, King County outside RTA District, WA : INT-0000 WA01700000"/>
    <n v="53506986"/>
    <s v="C303 INT Misc Intangible Plant"/>
    <n v="143006007"/>
    <s v="SuccessFactors Enhnc - Q2 2021 - SW"/>
    <s v="SuccessFactors Enhnc - Q2 2021 - SW.CN.3"/>
    <s v="12/2023"/>
    <n v="1"/>
    <n v="10035.700000000001"/>
    <n v="4743.8100000000004"/>
    <n v="5291.89"/>
    <x v="0"/>
    <x v="0"/>
    <m/>
    <m/>
  </r>
  <r>
    <s v="Intangible Plant, Common"/>
    <s v="Common (E &amp; G)"/>
    <s v="Intangibles, King County outside RTA District, WA : INT-0000 WA01700000"/>
    <n v="53506989"/>
    <s v="C303 INT Misc Intangible Plant"/>
    <n v="143006013"/>
    <s v="DRIVE 911 WEBIC SCREEN - SW.CS.5YR"/>
    <s v="DRIVE 911 WEBIC SCREEN - SW.CS.5YR"/>
    <s v="12/2023"/>
    <n v="1"/>
    <n v="38466.090000000004"/>
    <n v="18182.650000000001"/>
    <n v="20283.439999999999"/>
    <x v="0"/>
    <x v="3"/>
    <m/>
    <m/>
  </r>
  <r>
    <s v="Intangible Plant, Common"/>
    <s v="Common (E &amp; G)"/>
    <s v="Intangibles, King County outside RTA District, WA : INT-0000 WA01700000"/>
    <n v="53506992"/>
    <s v="C303 INT Misc Intangible Plant"/>
    <n v="143006015"/>
    <s v="FORECAST ACCURACY ANALYTICS DASHBOA"/>
    <s v="FORECAST ACCURACY ANALYTICS DASHBOARD -"/>
    <s v="12/2023"/>
    <n v="1"/>
    <n v="20970.78"/>
    <n v="9912.74"/>
    <n v="11058.04"/>
    <x v="0"/>
    <x v="0"/>
    <m/>
    <m/>
  </r>
  <r>
    <s v="Intangible Plant, Common"/>
    <s v="Common (E &amp; G)"/>
    <s v="Intangibles, King County outside RTA District, WA : INT-0000 WA01700000"/>
    <n v="53506998"/>
    <s v="C303 INT Misc Intangible Plant"/>
    <n v="143006085"/>
    <s v="Q2 2021 OPERATIONS AERS - SW.CS.5YR"/>
    <s v="Q2 2021 OPERATIONS AERS - SW.CS.5YR"/>
    <s v="12/2023"/>
    <n v="1"/>
    <n v="39474.700000000004"/>
    <n v="18659.420000000002"/>
    <n v="20815.28"/>
    <x v="0"/>
    <x v="3"/>
    <m/>
    <m/>
  </r>
  <r>
    <s v="Intangible Plant, Common"/>
    <s v="Common (E &amp; G)"/>
    <s v="Intangibles, King County outside RTA District, WA : INT-0000 WA01700000"/>
    <n v="56506072"/>
    <s v="C303 INT Misc Intangible Plant"/>
    <n v="143006141"/>
    <s v="2021 CLIENT - TOAD FOR ORACLE - SW."/>
    <s v="2021 CLIENT - TOAD FOR ORACLE - SW.CN.5Y"/>
    <s v="12/2023"/>
    <n v="1"/>
    <n v="175631.94"/>
    <n v="83019.990000000005"/>
    <n v="92611.95"/>
    <x v="0"/>
    <x v="0"/>
    <m/>
    <m/>
  </r>
  <r>
    <s v="Intangible Plant, Common"/>
    <s v="Common (E &amp; G)"/>
    <s v="Intangibles, King County outside RTA District, WA : INT-0000 WA01700000"/>
    <n v="56540299"/>
    <s v="C303 INT Misc Intangible Plant"/>
    <n v="143005880"/>
    <s v="Auto GEN RFP Review Modeling - SW.C"/>
    <s v="Auto GEN RFP Review Modeling - SW.CN.5YR"/>
    <s v="12/2023"/>
    <n v="1"/>
    <n v="706713.86"/>
    <n v="334058.71000000002"/>
    <n v="372655.15"/>
    <x v="0"/>
    <x v="1"/>
    <m/>
    <m/>
  </r>
  <r>
    <s v="Intangible Plant, Common"/>
    <s v="Common (E &amp; G)"/>
    <s v="Intangibles, King County outside RTA District, WA : INT-0000 WA01700000"/>
    <n v="56540304"/>
    <s v="C303 INT Misc Intangible Plant"/>
    <n v="143005903"/>
    <s v="PHANTOM - SW.CN.5YR"/>
    <s v="PHANTOM - SW.CN.5YR"/>
    <s v="12/2023"/>
    <n v="1"/>
    <n v="549846.94000000006"/>
    <n v="259908.81"/>
    <n v="289938.13"/>
    <x v="0"/>
    <x v="0"/>
    <m/>
    <m/>
  </r>
  <r>
    <s v="Intangible Plant, Common"/>
    <s v="Common (E &amp; G)"/>
    <s v="Intangibles, King County outside RTA District, WA : INT-0000 WA01700000"/>
    <n v="56540309"/>
    <s v="C303 INT Misc Intangible Plant"/>
    <n v="143005917"/>
    <s v="POI-HANA Memory Uplift (MAR) - SW.C"/>
    <s v="POI-HANA Memory Uplift (MAR) - SW.CN.5+Y"/>
    <s v="12/2023"/>
    <n v="1"/>
    <n v="1929046.26"/>
    <n v="911846.70000000007"/>
    <n v="1017199.56"/>
    <x v="0"/>
    <x v="0"/>
    <m/>
    <m/>
  </r>
  <r>
    <s v="Intangible Plant, Common"/>
    <s v="Common (E &amp; G)"/>
    <s v="Intangibles, King County outside RTA District, WA : INT-0000 WA01700000"/>
    <n v="56540314"/>
    <s v="C303 INT Misc Intangible Plant"/>
    <n v="143005970"/>
    <s v="BUILD REUSABLE LIBRARIES FOR FMS - "/>
    <s v="BUILD REUSABLE LIBRARIES FOR FMS - SW.CS"/>
    <s v="12/2023"/>
    <n v="1"/>
    <n v="60922.8"/>
    <n v="28797.78"/>
    <n v="32125.02"/>
    <x v="0"/>
    <x v="0"/>
    <m/>
    <m/>
  </r>
  <r>
    <s v="Intangible Plant, Common"/>
    <s v="Common (E &amp; G)"/>
    <s v="Intangibles, King County outside RTA District, WA : INT-0000 WA01700000"/>
    <n v="56540319"/>
    <s v="C303 INT Misc Intangible Plant"/>
    <n v="143005983"/>
    <s v="PREVENT WELCOME MAIL TO DIGITAL ACC"/>
    <s v="PREVENT WELCOME MAIL TO DIGITAL ACCTS -"/>
    <s v="12/2023"/>
    <n v="1"/>
    <n v="13732.61"/>
    <n v="6491.31"/>
    <n v="7241.3"/>
    <x v="0"/>
    <x v="0"/>
    <m/>
    <m/>
  </r>
  <r>
    <s v="Intangible Plant, Common"/>
    <s v="Common (E &amp; G)"/>
    <s v="Intangibles, King County outside RTA District, WA : INT-0000 WA01700000"/>
    <n v="56540330"/>
    <s v="C303 INT Misc Intangible Plant"/>
    <n v="143006061"/>
    <s v="Q2 2021 SAP ARIBA ENHANCEMENTS - SW"/>
    <s v="Q2 2021 SAP ARIBA ENHANCEMENTS - SW.CS.5"/>
    <s v="12/2023"/>
    <n v="1"/>
    <n v="22638.18"/>
    <n v="10700.91"/>
    <n v="11937.27"/>
    <x v="0"/>
    <x v="0"/>
    <m/>
    <m/>
  </r>
  <r>
    <s v="Intangible Plant, Common"/>
    <s v="Common (E &amp; G)"/>
    <s v="Intangibles, King County outside RTA District, WA : INT-0000 WA01700000"/>
    <n v="56540335"/>
    <s v="C303 INT Misc Intangible Plant"/>
    <n v="143006082"/>
    <s v="Q2 2021 GC AND ETHICS CMPLY AERS - "/>
    <s v="Q2 2021 GC AND ETHICS CMPLY AERS - SW.CS"/>
    <s v="12/2023"/>
    <n v="1"/>
    <n v="160538.66"/>
    <n v="75885.5"/>
    <n v="84653.16"/>
    <x v="0"/>
    <x v="0"/>
    <m/>
    <m/>
  </r>
  <r>
    <s v="Intangible Plant, Common"/>
    <s v="Common (E &amp; G)"/>
    <s v="Intangibles, King County outside RTA District, WA : INT-0000 WA01700000"/>
    <n v="57126253"/>
    <s v="C303 INT Misc Intangible Plant"/>
    <n v="143005891"/>
    <s v="Cassandra Upgrade 2021 - SW.CN.5YR"/>
    <s v="Cassandra Upgrade 2021 - SW.CN.5YR"/>
    <s v="12/2023"/>
    <n v="1"/>
    <n v="157581.21"/>
    <n v="74487.540000000008"/>
    <n v="83093.67"/>
    <x v="0"/>
    <x v="0"/>
    <m/>
    <m/>
  </r>
  <r>
    <s v="Intangible Plant, Common"/>
    <s v="Common (E &amp; G)"/>
    <s v="Intangibles, King County outside RTA District, WA : INT-0000 WA01700000"/>
    <n v="57126286"/>
    <s v="C303 INT Misc Intangible Plant"/>
    <n v="143006063"/>
    <s v="PORD NETWORK VIEWER ENHC - SW.CN.5Y"/>
    <s v="PORD NETWORK VIEWER ENHC - SW.CN.5YR"/>
    <s v="12/2023"/>
    <n v="1"/>
    <n v="64567.590000000004"/>
    <n v="30520.65"/>
    <n v="34046.94"/>
    <x v="0"/>
    <x v="2"/>
    <m/>
    <m/>
  </r>
  <r>
    <s v="Intangible Plant, Common"/>
    <s v="Common (E &amp; G)"/>
    <s v="Intangibles, King County outside RTA District, WA : INT-0000 WA01700000"/>
    <n v="57306025"/>
    <s v="C303 INT Misc Intangible Plant"/>
    <n v="143005178"/>
    <s v="Oracle Upgrade - SW.CS.5YR"/>
    <s v="Oracle Upgrade - SW.CS.5YR"/>
    <s v="12/2023"/>
    <n v="1"/>
    <n v="401605.17"/>
    <n v="294541.43"/>
    <n v="107063.74"/>
    <x v="0"/>
    <x v="0"/>
    <m/>
    <m/>
  </r>
  <r>
    <s v="Intangible Plant, Common"/>
    <s v="Common (E &amp; G)"/>
    <s v="Intangibles, King County outside RTA District, WA : INT-0000 WA01700000"/>
    <n v="57306040"/>
    <s v="C303 INT Misc Intangible Plant"/>
    <n v="143005343"/>
    <s v="Hana 2.0 SW Upgrade - SW.CN.5YR"/>
    <s v="Hana 2.0 SW Upgrade - SW.CN.5YR"/>
    <s v="12/2023"/>
    <n v="1"/>
    <n v="1936680.53"/>
    <n v="915455.37"/>
    <n v="1021225.16"/>
    <x v="0"/>
    <x v="0"/>
    <m/>
    <m/>
  </r>
  <r>
    <s v="Intangible Plant, Common"/>
    <s v="Common (E &amp; G)"/>
    <s v="Intangibles, King County outside RTA District, WA : INT-0000 WA01700000"/>
    <n v="57306045"/>
    <s v="C303 INT Misc Intangible Plant"/>
    <n v="143005526"/>
    <s v="SAP Compensation Sys Enhnc - SW.CS."/>
    <s v="SAP Compensation Sys Enhnc - SW.CS.5YR"/>
    <s v="12/2023"/>
    <n v="1"/>
    <n v="26904.850000000002"/>
    <n v="19732.3"/>
    <n v="7172.55"/>
    <x v="0"/>
    <x v="0"/>
    <m/>
    <m/>
  </r>
  <r>
    <s v="Intangible Plant, Common"/>
    <s v="Common (E &amp; G)"/>
    <s v="Intangibles, King County outside RTA District, WA : INT-0000 WA01700000"/>
    <n v="57306050"/>
    <s v="C303 INT Misc Intangible Plant"/>
    <n v="143005528"/>
    <s v="SAP ECC Enhancements - Q3 2020 - SW"/>
    <s v="SAP ECC Enhancements - Q3 2020 - SW.CS.5"/>
    <s v="12/2023"/>
    <n v="1"/>
    <n v="54315.3"/>
    <n v="39835.410000000003"/>
    <n v="14479.89"/>
    <x v="0"/>
    <x v="0"/>
    <m/>
    <m/>
  </r>
  <r>
    <s v="Intangible Plant, Common"/>
    <s v="Common (E &amp; G)"/>
    <s v="Intangibles, King County outside RTA District, WA : INT-0000 WA01700000"/>
    <n v="57306057"/>
    <s v="C303 INT Misc Intangible Plant"/>
    <n v="143005637"/>
    <s v="FIORI FOUNDATION - SW.CN.5YR"/>
    <s v="FIORI FOUNDATION - SW.CN.5YR"/>
    <s v="12/2023"/>
    <n v="1"/>
    <n v="237840.65"/>
    <n v="174434.82"/>
    <n v="63405.83"/>
    <x v="0"/>
    <x v="0"/>
    <m/>
    <m/>
  </r>
  <r>
    <s v="Intangible Plant, Common"/>
    <s v="Common (E &amp; G)"/>
    <s v="Intangibles, King County outside RTA District, WA : INT-0000 WA01700000"/>
    <n v="57306066"/>
    <s v="C303 INT Misc Intangible Plant"/>
    <n v="143005942"/>
    <s v="ORCHESTRATION FOR SYSTEMS - SW.CN.3"/>
    <s v="ORCHESTRATION FOR SYSTEMS - SW.CN.3YR"/>
    <s v="12/2023"/>
    <n v="1"/>
    <n v="276484.3"/>
    <n v="202776.48"/>
    <n v="73707.820000000007"/>
    <x v="0"/>
    <x v="0"/>
    <m/>
    <m/>
  </r>
  <r>
    <s v="Intangible Plant, Common"/>
    <s v="Common (E &amp; G)"/>
    <s v="Intangibles, King County outside RTA District, WA : INT-0000 WA01700000"/>
    <n v="57552283"/>
    <s v="C303 INT Misc Intangible Plant"/>
    <n v="143006237"/>
    <s v="GEN RFP AUTO - PHASE 2 MODELING - S"/>
    <s v="GEN RFP AUTO - PHASE 2 MODELING - SW.CS."/>
    <s v="12/2023"/>
    <n v="1"/>
    <n v="153391"/>
    <n v="72506.86"/>
    <n v="80884.14"/>
    <x v="0"/>
    <x v="1"/>
    <m/>
    <m/>
  </r>
  <r>
    <s v="Intangible Plant, Common"/>
    <s v="Common (E &amp; G)"/>
    <s v="Intangibles, King County outside RTA District, WA : INT-0000 WA01700000"/>
    <n v="57858055"/>
    <s v="C303 INT Misc Intangible Plant"/>
    <n v="143005230"/>
    <s v="WORKPLACE MOBILITY PROGRAM - SW.CS."/>
    <s v="WORKPLACE MOBILITY PROGRAM - SW.CS.5YR"/>
    <s v="12/2023"/>
    <n v="1"/>
    <n v="1292004.25"/>
    <n v="610721.39"/>
    <n v="681282.86"/>
    <x v="0"/>
    <x v="0"/>
    <m/>
    <m/>
  </r>
  <r>
    <s v="Intangible Plant, Common"/>
    <s v="Common (E &amp; G)"/>
    <s v="Intangibles, King County outside RTA District, WA : INT-0000 WA01700000"/>
    <n v="57858058"/>
    <s v="C303 INT Misc Intangible Plant"/>
    <n v="143005231"/>
    <s v="SAP TRANSPORT TOOL UPGRADE - SW.CS."/>
    <s v="SAP TRANSPORT TOOL UPGRADE - SW.CS.5YR"/>
    <s v="12/2023"/>
    <n v="1"/>
    <n v="252714"/>
    <n v="119456.14"/>
    <n v="133257.86000000002"/>
    <x v="0"/>
    <x v="0"/>
    <m/>
    <m/>
  </r>
  <r>
    <s v="Intangible Plant, Common"/>
    <s v="Common (E &amp; G)"/>
    <s v="Intangibles, King County outside RTA District, WA : INT-0000 WA01700000"/>
    <n v="57858071"/>
    <s v="C303 INT Misc Intangible Plant"/>
    <n v="143005898"/>
    <s v="UPGRADE MDL FRM SILVERLIGHT - SW.CN"/>
    <s v="UPGRADE MDL FRM SILVERLIGHT - SW.CN.5YR"/>
    <s v="12/2023"/>
    <n v="1"/>
    <n v="174977.47"/>
    <n v="82710.63"/>
    <n v="92266.84"/>
    <x v="0"/>
    <x v="0"/>
    <m/>
    <m/>
  </r>
  <r>
    <s v="Intangible Plant, Common"/>
    <s v="Common (E &amp; G)"/>
    <s v="Intangibles, King County outside RTA District, WA : INT-0000 WA01700000"/>
    <n v="57917041"/>
    <s v="C303 INT Misc Intangible Plant"/>
    <n v="143005193"/>
    <s v="IMAGESITE TO OPENTEXT - SW.CN.5YR"/>
    <s v="IMAGESITE TO OPENTEXT - SW.CN.5YR"/>
    <s v="12/2023"/>
    <n v="1"/>
    <n v="2583742.5499999998"/>
    <n v="1221317.07"/>
    <n v="1362425.48"/>
    <x v="0"/>
    <x v="0"/>
    <m/>
    <m/>
  </r>
  <r>
    <s v="Intangible Plant, Common"/>
    <s v="Common (E &amp; G)"/>
    <s v="Intangibles, King County outside RTA District, WA : INT-0000 WA01700000"/>
    <n v="57917053"/>
    <s v="C303 INT Misc Intangible Plant"/>
    <n v="143005288"/>
    <s v="DATA GOVERNANCE &amp; ENABLEMENT - SW.C"/>
    <s v="DATA GOVERNANCE &amp; ENABLEMENT - SW.CS.5YR"/>
    <s v="12/2023"/>
    <n v="1"/>
    <n v="7320692.7000000002"/>
    <n v="3460440.34"/>
    <n v="3860252.36"/>
    <x v="0"/>
    <x v="0"/>
    <m/>
    <m/>
  </r>
  <r>
    <s v="Intangible Plant, Common"/>
    <s v="Common (E &amp; G)"/>
    <s v="Intangibles, King County outside RTA District, WA : INT-0000 WA01700000"/>
    <n v="57917068"/>
    <s v="C303 INT Misc Intangible Plant"/>
    <n v="143005872"/>
    <s v="DATA MANAGEMENT FOUNDATION - SW.CN."/>
    <s v="DATA MANAGEMENT FOUNDATION - SW.CN.5YR"/>
    <s v="12/2023"/>
    <n v="1"/>
    <n v="219353.31"/>
    <n v="103686.78"/>
    <n v="115666.53"/>
    <x v="0"/>
    <x v="0"/>
    <m/>
    <m/>
  </r>
  <r>
    <s v="Intangible Plant, Common"/>
    <s v="Common (E &amp; G)"/>
    <s v="Intangibles, King County outside RTA District, WA : INT-0000 WA01700000"/>
    <n v="57917071"/>
    <s v="C303 INT Misc Intangible Plant"/>
    <n v="143005873"/>
    <s v="NON-AMI DATA MANAGEMENT USE CASES -"/>
    <s v="NON-AMI DATA MANAGEMENT USE CASES - SW.C"/>
    <s v="12/2023"/>
    <n v="1"/>
    <n v="64677.86"/>
    <n v="30572.77"/>
    <n v="34105.090000000004"/>
    <x v="0"/>
    <x v="2"/>
    <m/>
    <m/>
  </r>
  <r>
    <s v="Intangible Plant, Common"/>
    <s v="Common (E &amp; G)"/>
    <s v="Intangibles, King County outside RTA District, WA : INT-0000 WA01700000"/>
    <n v="57917074"/>
    <s v="C303 INT Misc Intangible Plant"/>
    <n v="143005874"/>
    <s v="AMI DATA MANAGEMENT USE CASES - SW."/>
    <s v="AMI DATA MANAGEMENT USE CASES - SW.CN.5Y"/>
    <s v="12/2023"/>
    <n v="1"/>
    <n v="85622.12"/>
    <n v="40472.980000000003"/>
    <n v="45149.14"/>
    <x v="0"/>
    <x v="2"/>
    <m/>
    <m/>
  </r>
  <r>
    <s v="Intangible Plant, Common"/>
    <s v="Common (E &amp; G)"/>
    <s v="Intangibles, King County outside RTA District, WA : INT-0000 WA01700000"/>
    <n v="57917079"/>
    <s v="C303 INT Misc Intangible Plant"/>
    <n v="143005881"/>
    <s v="CUS GEN INTGRT PWRCLRK PSE SYS - SW"/>
    <s v="CUS GEN INTGRT PWRCLRK PSE SYS - SW.CN.5"/>
    <s v="12/2023"/>
    <n v="1"/>
    <n v="1107213.94"/>
    <n v="523372.3"/>
    <n v="583841.64"/>
    <x v="0"/>
    <x v="2"/>
    <m/>
    <m/>
  </r>
  <r>
    <s v="Intangible Plant, Common"/>
    <s v="Common (E &amp; G)"/>
    <s v="Intangibles, King County outside RTA District, WA : INT-0000 WA01700000"/>
    <n v="57917082"/>
    <s v="C303 INT Misc Intangible Plant"/>
    <n v="143005887"/>
    <s v="DATA POI OPERATIONS PROGRAM - SW.CN"/>
    <s v="DATA POI OPERATIONS PROGRAM - SW.CN.5YR"/>
    <s v="12/2023"/>
    <n v="1"/>
    <n v="1596118.6600000001"/>
    <n v="754474.15"/>
    <n v="841644.51"/>
    <x v="0"/>
    <x v="0"/>
    <m/>
    <m/>
  </r>
  <r>
    <s v="Intangible Plant, Common"/>
    <s v="Common (E &amp; G)"/>
    <s v="Intangibles, King County outside RTA District, WA : INT-0000 WA01700000"/>
    <n v="57917089"/>
    <s v="C303 INT Misc Intangible Plant"/>
    <n v="143005912"/>
    <s v="ANNUAL SPLUNK GROWTH (2021) - SW.CN"/>
    <s v="ANNUAL SPLUNK GROWTH (2021) - SW.CN.5YR"/>
    <s v="12/2023"/>
    <n v="1"/>
    <n v="269876.69"/>
    <n v="127568.83"/>
    <n v="142307.86000000002"/>
    <x v="0"/>
    <x v="0"/>
    <m/>
    <m/>
  </r>
  <r>
    <s v="Intangible Plant, Common"/>
    <s v="Common (E &amp; G)"/>
    <s v="Intangibles, King County outside RTA District, WA : INT-0000 WA01700000"/>
    <n v="57917108"/>
    <s v="C303 INT Misc Intangible Plant"/>
    <n v="143006012"/>
    <s v="SERVICENOW IMPROVEMENTS (2021) - SW"/>
    <s v="SERVICENOW IMPROVEMENTS (2021) - SW.CN.5"/>
    <s v="12/2023"/>
    <n v="1"/>
    <n v="1545942.13"/>
    <n v="730756.05"/>
    <n v="815186.08000000007"/>
    <x v="0"/>
    <x v="0"/>
    <m/>
    <m/>
  </r>
  <r>
    <s v="Intangible Plant, Common"/>
    <s v="Common (E &amp; G)"/>
    <s v="Intangibles, King County outside RTA District, WA : INT-0000 WA01700000"/>
    <n v="57956202"/>
    <s v="C302 INT Franchises &amp; Consents"/>
    <n v="143005307"/>
    <s v="CITY OF WOODINVILLE - COMMON - FRAN"/>
    <s v="CITY OF WOODINVILLE - COMMON - FRANCHISE"/>
    <s v="12/2023"/>
    <n v="1"/>
    <n v="17925.600000000002"/>
    <n v="4868.13"/>
    <n v="13057.470000000001"/>
    <x v="1"/>
    <x v="2"/>
    <m/>
    <m/>
  </r>
  <r>
    <s v="Intangible Plant, Common"/>
    <s v="Common (E &amp; G)"/>
    <s v="Intangibles, King County outside RTA District, WA : INT-0000 WA01700000"/>
    <n v="57956207"/>
    <s v="C303 INT Misc Intangible Plant"/>
    <n v="143005509"/>
    <s v="RITM0070354 PUB STNDRDS MOBILE APP-"/>
    <s v="RITM0070354 PUB STNDRDS MOBILE APP-SW.CS"/>
    <s v="12/2023"/>
    <n v="1"/>
    <n v="22451.91"/>
    <n v="10612.86"/>
    <n v="11839.050000000001"/>
    <x v="0"/>
    <x v="0"/>
    <m/>
    <m/>
  </r>
  <r>
    <s v="Intangible Plant, Common"/>
    <s v="Common (E &amp; G)"/>
    <s v="Intangibles, King County outside RTA District, WA : INT-0000 WA01700000"/>
    <n v="57956218"/>
    <s v="C303 INT Misc Intangible Plant"/>
    <n v="143005895"/>
    <s v="PSE.COM OUTAGE NOTIFICATION ENGINE "/>
    <s v="PSE.COM OUTAGE NOTIFICATION ENGINE - SW."/>
    <s v="12/2023"/>
    <n v="1"/>
    <n v="269331.34999999998"/>
    <n v="127311.05"/>
    <n v="142020.30000000002"/>
    <x v="0"/>
    <x v="0"/>
    <m/>
    <m/>
  </r>
  <r>
    <s v="Intangible Plant, Common"/>
    <s v="Common (E &amp; G)"/>
    <s v="Intangibles, King County outside RTA District, WA : INT-0000 WA01700000"/>
    <n v="58131159"/>
    <s v="C303 INT Misc Intangible Plant"/>
    <n v="143005317"/>
    <s v="COLLABORATION TOOLS - SW.CN.3YR"/>
    <s v="COLLABORATION TOOLS - SW.CN.3YR"/>
    <s v="12/2023"/>
    <n v="1"/>
    <n v="2866002.98"/>
    <n v="1354739.6"/>
    <n v="1511263.38"/>
    <x v="0"/>
    <x v="0"/>
    <m/>
    <m/>
  </r>
  <r>
    <s v="Intangible Plant, Common"/>
    <s v="Common (E &amp; G)"/>
    <s v="Intangibles, King County outside RTA District, WA : INT-0000 WA01700000"/>
    <n v="58131192"/>
    <s v="C303 INT Misc Intangible Plant"/>
    <n v="143005878"/>
    <s v="Q1 2021 SAP WM ENHANCEMENTS - SW.CS"/>
    <s v="Q1 2021 SAP WM ENHANCEMENTS - SW.CS.5YR"/>
    <s v="12/2023"/>
    <n v="1"/>
    <n v="108733.33"/>
    <n v="51397.49"/>
    <n v="57335.840000000004"/>
    <x v="0"/>
    <x v="2"/>
    <m/>
    <m/>
  </r>
  <r>
    <s v="Intangible Plant, Common"/>
    <s v="Common (E &amp; G)"/>
    <s v="Intangibles, King County outside RTA District, WA : INT-0000 WA01700000"/>
    <n v="58131195"/>
    <s v="C303 INT Misc Intangible Plant"/>
    <n v="143005879"/>
    <s v="Q1 2021 SAP MM ENHANCEMENTS - SW.CS"/>
    <s v="Q1 2021 SAP MM ENHANCEMENTS - SW.CS.5YR"/>
    <s v="12/2023"/>
    <n v="1"/>
    <n v="28940.66"/>
    <n v="13680.050000000001"/>
    <n v="15260.61"/>
    <x v="0"/>
    <x v="0"/>
    <m/>
    <m/>
  </r>
  <r>
    <s v="Intangible Plant, Common"/>
    <s v="Common (E &amp; G)"/>
    <s v="Intangibles, King County outside RTA District, WA : INT-0000 WA01700000"/>
    <n v="58131210"/>
    <s v="C303 INT Misc Intangible Plant"/>
    <n v="143005911"/>
    <s v="ANNUAL NETWORK TECHNOLOGY REFRESH &amp;"/>
    <s v="ANNUAL NETWORK TECHNOLOGY REFRESH &amp; GROW"/>
    <s v="12/2023"/>
    <n v="1"/>
    <n v="61295.96"/>
    <n v="28974.170000000002"/>
    <n v="32321.79"/>
    <x v="0"/>
    <x v="0"/>
    <m/>
    <m/>
  </r>
  <r>
    <s v="Intangible Plant, Common"/>
    <s v="Common (E &amp; G)"/>
    <s v="Intangibles, King County outside RTA District, WA : INT-0000 WA01700000"/>
    <n v="58131217"/>
    <s v="C303 INT Misc Intangible Plant"/>
    <n v="143005949"/>
    <s v="Q2 2021 SAP ECC ENHANCEMENTS - SW.C"/>
    <s v="Q2 2021 SAP ECC ENHANCEMENTS - SW.CS.5YR"/>
    <s v="12/2023"/>
    <n v="1"/>
    <n v="13658.66"/>
    <n v="6456.35"/>
    <n v="7202.31"/>
    <x v="0"/>
    <x v="0"/>
    <m/>
    <m/>
  </r>
  <r>
    <s v="Intangible Plant, Common"/>
    <s v="Common (E &amp; G)"/>
    <s v="Intangibles, King County outside RTA District, WA : INT-0000 WA01700000"/>
    <n v="58131222"/>
    <s v="C303 INT Misc Intangible Plant"/>
    <n v="143005952"/>
    <s v="Q2 2021 SAP PM BENEFITS ENHANCMENTS"/>
    <s v="Q2 2021 SAP PM BENEFITS ENHANCMENTS - SW"/>
    <s v="12/2023"/>
    <n v="1"/>
    <n v="13528.210000000001"/>
    <n v="6394.6900000000005"/>
    <n v="7133.52"/>
    <x v="0"/>
    <x v="0"/>
    <m/>
    <m/>
  </r>
  <r>
    <s v="Intangible Plant, Common"/>
    <s v="Common (E &amp; G)"/>
    <s v="Intangibles, King County outside RTA District, WA : INT-0000 WA01700000"/>
    <n v="58131233"/>
    <s v="C303 INT Misc Intangible Plant"/>
    <n v="143005969"/>
    <s v="EMERGENCY LEAK SURVEY - DIGITAL PRO"/>
    <s v="EMERGENCY LEAK SURVEY - DIGITAL PROVISIO"/>
    <s v="12/2023"/>
    <n v="1"/>
    <n v="17432.14"/>
    <n v="8240.0499999999993"/>
    <n v="9192.09"/>
    <x v="0"/>
    <x v="2"/>
    <m/>
    <m/>
  </r>
  <r>
    <s v="Intangible Plant, Common"/>
    <s v="Common (E &amp; G)"/>
    <s v="Intangibles, King County outside RTA District, WA : INT-0000 WA01700000"/>
    <n v="58131238"/>
    <s v="C303 INT Misc Intangible Plant"/>
    <n v="143005984"/>
    <s v="MOBILE APP PUBLISHED STANDARDS - SW"/>
    <s v="MOBILE APP PUBLISHED STANDARDS - SW.CS.5"/>
    <s v="12/2023"/>
    <n v="1"/>
    <n v="77956.58"/>
    <n v="36849.53"/>
    <n v="41107.050000000003"/>
    <x v="0"/>
    <x v="0"/>
    <m/>
    <m/>
  </r>
  <r>
    <s v="Intangible Plant, Common"/>
    <s v="Common (E &amp; G)"/>
    <s v="Intangibles, King County outside RTA District, WA : INT-0000 WA01700000"/>
    <n v="58131265"/>
    <s v="C303 INT Misc Intangible Plant"/>
    <n v="143006081"/>
    <s v="Q2 2021 CUSTOMER OPS &amp; COMM AERS - "/>
    <s v="Q2 2021 CUSTOMER OPS &amp; COMM AERS - SW.CS"/>
    <s v="12/2023"/>
    <n v="1"/>
    <n v="234818.19"/>
    <n v="110996.92"/>
    <n v="123821.27"/>
    <x v="0"/>
    <x v="2"/>
    <m/>
    <m/>
  </r>
  <r>
    <s v="Intangible Plant, Common"/>
    <s v="Common (E &amp; G)"/>
    <s v="Intangibles, King County outside RTA District, WA : INT-0000 WA01700000"/>
    <n v="58131268"/>
    <s v="C303 INT Misc Intangible Plant"/>
    <n v="143006083"/>
    <s v="Q2 2021 FINANCIAL AERS - SW.CS.5YR"/>
    <s v="Q2 2021 FINANCIAL AERS - SW.CS.5YR"/>
    <s v="12/2023"/>
    <n v="1"/>
    <n v="12564.91"/>
    <n v="5939.35"/>
    <n v="6625.56"/>
    <x v="0"/>
    <x v="0"/>
    <m/>
    <m/>
  </r>
  <r>
    <s v="Intangible Plant, Common"/>
    <s v="Common (E &amp; G)"/>
    <s v="Intangibles, King County outside RTA District, WA : INT-0000 WA01700000"/>
    <n v="58131271"/>
    <s v="C303 INT Misc Intangible Plant"/>
    <n v="143006084"/>
    <s v="Q2 2021 IT AERS - SW.CS.5YR"/>
    <s v="Q2 2021 IT AERS - SW.CS.5YR"/>
    <s v="12/2023"/>
    <n v="1"/>
    <n v="27223.96"/>
    <n v="12868.58"/>
    <n v="14355.380000000001"/>
    <x v="0"/>
    <x v="0"/>
    <m/>
    <m/>
  </r>
  <r>
    <s v="Intangible Plant, Common"/>
    <s v="Common (E &amp; G)"/>
    <s v="Intangibles, King County outside RTA District, WA : INT-0000 WA01700000"/>
    <n v="58131276"/>
    <s v="C303 INT Misc Intangible Plant"/>
    <n v="143006101"/>
    <s v="Q3 2021 CUSTOMER OPS &amp; COMM AERS - "/>
    <s v="Q3 2021 CUSTOMER OPS &amp; COMM AERS - SW.CN"/>
    <s v="12/2023"/>
    <n v="1"/>
    <n v="18706.3"/>
    <n v="8842.34"/>
    <n v="9863.9600000000009"/>
    <x v="0"/>
    <x v="2"/>
    <m/>
    <m/>
  </r>
  <r>
    <s v="Intangible Plant, Common"/>
    <s v="Common (E &amp; G)"/>
    <s v="Intangibles, King County outside RTA District, WA : INT-0000 WA01700000"/>
    <n v="58131279"/>
    <s v="C303 INT Misc Intangible Plant"/>
    <n v="143006102"/>
    <s v="Q3 2021 GC AND ETHICS CMPLY AERS - "/>
    <s v="Q3 2021 GC AND ETHICS CMPLY AERS - SW.CN"/>
    <s v="12/2023"/>
    <n v="1"/>
    <n v="169718.16"/>
    <n v="80224.59"/>
    <n v="89493.57"/>
    <x v="0"/>
    <x v="0"/>
    <m/>
    <m/>
  </r>
  <r>
    <s v="Intangible Plant, Common"/>
    <s v="Common (E &amp; G)"/>
    <s v="Intangibles, King County outside RTA District, WA : INT-0000 WA01700000"/>
    <n v="58131282"/>
    <s v="C303 INT Misc Intangible Plant"/>
    <n v="143006103"/>
    <s v="Q3 2021 FINANCIAL AERS - SW.CN.5YR"/>
    <s v="Q3 2021 FINANCIAL AERS - SW.CN.5YR"/>
    <s v="12/2023"/>
    <n v="1"/>
    <n v="85389.96"/>
    <n v="40363.24"/>
    <n v="45026.720000000001"/>
    <x v="0"/>
    <x v="0"/>
    <m/>
    <m/>
  </r>
  <r>
    <s v="Intangible Plant, Common"/>
    <s v="Common (E &amp; G)"/>
    <s v="Intangibles, King County outside RTA District, WA : INT-0000 WA01700000"/>
    <n v="58131285"/>
    <s v="C303 INT Misc Intangible Plant"/>
    <n v="143006104"/>
    <s v="Q3 2021 IT AERS - SW.CN.5YR"/>
    <s v="Q3 2021 IT AERS - SW.CN.5YR"/>
    <s v="12/2023"/>
    <n v="1"/>
    <n v="100568.42"/>
    <n v="47537.99"/>
    <n v="53030.43"/>
    <x v="0"/>
    <x v="0"/>
    <m/>
    <m/>
  </r>
  <r>
    <s v="Intangible Plant, Common"/>
    <s v="Common (E &amp; G)"/>
    <s v="Intangibles, King County outside RTA District, WA : INT-0000 WA01700000"/>
    <n v="58131288"/>
    <s v="C303 INT Misc Intangible Plant"/>
    <n v="143006105"/>
    <s v="Q3 2021 OPERATIONS AERS - SW.CN.5YR"/>
    <s v="Q3 2021 OPERATIONS AERS - SW.CN.5YR"/>
    <s v="12/2023"/>
    <n v="1"/>
    <n v="35626.26"/>
    <n v="16840.28"/>
    <n v="18785.98"/>
    <x v="0"/>
    <x v="3"/>
    <m/>
    <m/>
  </r>
  <r>
    <s v="Intangible Plant, Common"/>
    <s v="Common (E &amp; G)"/>
    <s v="Intangibles, King County outside RTA District, WA : INT-0000 WA01700000"/>
    <n v="58131309"/>
    <s v="C303 INT Misc Intangible Plant"/>
    <n v="143006300"/>
    <s v="Q4 2021 HUMAN RESOURCE AERS - SW.CS"/>
    <s v="Q4 2021 HUMAN RESOURCE AERS - SW.CS.5YR"/>
    <s v="12/2023"/>
    <n v="1"/>
    <n v="29231.040000000001"/>
    <n v="13817.31"/>
    <n v="15413.73"/>
    <x v="0"/>
    <x v="0"/>
    <m/>
    <m/>
  </r>
  <r>
    <s v="Intangible Plant, Common"/>
    <s v="Common (E &amp; G)"/>
    <s v="Intangibles, King County outside RTA District, WA : INT-0000 WA01700000"/>
    <n v="58131312"/>
    <s v="C303 INT Misc Intangible Plant"/>
    <n v="143006305"/>
    <s v="Q4 2021 OPERATIONS AERS - SW.CS.5YR"/>
    <s v="Q4 2021 OPERATIONS AERS - SW.CS.5YR"/>
    <s v="12/2023"/>
    <n v="1"/>
    <n v="22751.58"/>
    <n v="10754.51"/>
    <n v="11997.07"/>
    <x v="0"/>
    <x v="3"/>
    <m/>
    <m/>
  </r>
  <r>
    <s v="Intangible Plant, Common"/>
    <s v="Common (E &amp; G)"/>
    <s v="Intangibles, King County outside RTA District, WA : INT-0000 WA01700000"/>
    <n v="58341016"/>
    <s v="C303 INT Misc Intangible Plant"/>
    <n v="143003512"/>
    <s v="GTZ-IWM-ENHANCEMENT PACK 8 SAP-SW.C"/>
    <s v="GTZ-IWM-ENHANCEMENT PACK 8 SAP-SW.CS.10Y"/>
    <s v="12/2023"/>
    <n v="1"/>
    <n v="126005.22"/>
    <n v="59561.79"/>
    <n v="66443.430000000008"/>
    <x v="0"/>
    <x v="3"/>
    <m/>
    <s v="The Purpose of the Project is to upgrade the SAP Platform to the component level that is required for key IWM project functionality. The Project will include the following upgrade Targets: ECC to EhP8, CRM to EhP4 and BW to NetWeaver 7.5"/>
  </r>
  <r>
    <s v="Intangible Plant, Common"/>
    <s v="Common (E &amp; G)"/>
    <s v="Intangibles, King County outside RTA District, WA : INT-0000 WA01700000"/>
    <n v="58341074"/>
    <s v="C303 INT Misc Intangible Plant"/>
    <n v="143005883"/>
    <s v="IMPACT - SW.CN.5YR"/>
    <s v="IMPACT - SW.CN.5YR"/>
    <s v="12/2023"/>
    <n v="1"/>
    <n v="539823.54"/>
    <n v="255170.82"/>
    <n v="284652.72000000003"/>
    <x v="0"/>
    <x v="0"/>
    <m/>
    <s v="for regulatory compliance tracking and reporting of procedures being used by field employees across all processes (Gas, Electric, operational training)"/>
  </r>
  <r>
    <s v="Intangible Plant, Common"/>
    <s v="Common (E &amp; G)"/>
    <s v="Intangibles, King County outside RTA District, WA : INT-0000 WA01700000"/>
    <n v="58341077"/>
    <s v="C303 INT Misc Intangible Plant"/>
    <n v="143005885"/>
    <s v="POWER PLAN UPGRADE - SW.CN.5YR"/>
    <s v="POWER PLAN UPGRADE - SW.CN.5YR"/>
    <s v="12/2023"/>
    <n v="1"/>
    <n v="2283675.2599999998"/>
    <n v="673630.54"/>
    <n v="1610044.72"/>
    <x v="0"/>
    <x v="0"/>
    <m/>
    <s v="Upgrade of Power Plan"/>
  </r>
  <r>
    <s v="Intangible Plant, Common"/>
    <s v="Common (E &amp; G)"/>
    <s v="Intangibles, King County outside RTA District, WA : INT-0000 WA01700000"/>
    <n v="58341080"/>
    <s v="C303 INT Misc Intangible Plant"/>
    <n v="143005886"/>
    <s v="CSTMR EXPRNC ENHNC PROGRAM - SW.CN."/>
    <s v="CSTMR EXPRNC ENHNC PROGRAM - SW.CN.5YR"/>
    <s v="12/2023"/>
    <n v="1"/>
    <n v="1802364.33"/>
    <n v="851965.04"/>
    <n v="950399.29"/>
    <x v="0"/>
    <x v="2"/>
    <m/>
    <s v=" Operational Program for Customer Enhancement"/>
  </r>
  <r>
    <s v="Intangible Plant, Common"/>
    <s v="Common (E &amp; G)"/>
    <s v="Intangibles, King County outside RTA District, WA : INT-0000 WA01700000"/>
    <n v="58341087"/>
    <s v="C303 INT Misc Intangible Plant"/>
    <n v="143005893"/>
    <s v="MGRT FROM TABLEAU TO POWER BI - SW."/>
    <s v="MGRT FROM TABLEAU TO POWER BI - SW.CN.5Y"/>
    <s v="12/2023"/>
    <n v="1"/>
    <n v="312301.53000000003"/>
    <n v="147622.75"/>
    <n v="164678.78"/>
    <x v="0"/>
    <x v="0"/>
    <m/>
    <s v="Migrate existing dashboards from Tableau to Power BI"/>
  </r>
  <r>
    <s v="Intangible Plant, Common"/>
    <s v="Common (E &amp; G)"/>
    <s v="Intangibles, King County outside RTA District, WA : INT-0000 WA01700000"/>
    <n v="58341092"/>
    <s v="C303 INT Misc Intangible Plant"/>
    <n v="143005909"/>
    <s v="HR MODULE SERVICE PATCH (2021) - SW"/>
    <s v="HR MODULE SERVICE PATCH (2021) - SW.CN.5"/>
    <s v="12/2023"/>
    <n v="1"/>
    <n v="447725.04000000004"/>
    <n v="211636.5"/>
    <n v="236088.54"/>
    <x v="0"/>
    <x v="0"/>
    <m/>
    <s v="Implement annual SAP HR Module service patch to maintain technical currency."/>
  </r>
  <r>
    <s v="Intangible Plant, Common"/>
    <s v="Common (E &amp; G)"/>
    <s v="Intangibles, King County outside RTA District, WA : INT-0000 WA01700000"/>
    <n v="58341099"/>
    <s v="C303 INT Misc Intangible Plant"/>
    <n v="143005921"/>
    <s v="QUALITY FRAMEWORK 2021 - SW.CS.5YR"/>
    <s v="QUALITY FRAMEWORK 2021 - SW.CS.5YR"/>
    <s v="12/2023"/>
    <n v="1"/>
    <n v="476363.03"/>
    <n v="225173.48"/>
    <n v="251189.55000000002"/>
    <x v="0"/>
    <x v="0"/>
    <m/>
    <s v="The Quality Framework Project’s mission is to implement and improve Quality and Test capabilities across the enterprise, in order to  improve test efficiency, test management, test coverage, automate testing and processes, reduce test costs and shorten development and  test cycles, while reducing time to market.• Tricentis test Implementation – Requirement &amp; Test Management tool • SAP Automation scripting - Priority 2021 automation scripts • User Experience platform/tools/consulting – Focus on accessibility tools • Neotys NeoLoad - SAP extension for NeoLoad/Tricentis Tosca integration • Consulting – Enablement consulting for existing tool capabilities not yet implemented • Tricentis Analytics &amp; AI implementation – new product integrations "/>
  </r>
  <r>
    <s v="Intangible Plant, Common"/>
    <s v="Common (E &amp; G)"/>
    <s v="Intangibles, King County outside RTA District, WA : INT-0000 WA01700000"/>
    <n v="58341102"/>
    <s v="C303 INT Misc Intangible Plant"/>
    <n v="143005923"/>
    <s v="DATA CENTER HARDWARE REFRESH - SW.C"/>
    <s v="DATA CENTER HARDWARE REFRESH - SW.CN.5YR"/>
    <s v="12/2023"/>
    <n v="1"/>
    <n v="538296.48"/>
    <n v="254448.99000000002"/>
    <n v="283847.49"/>
    <x v="0"/>
    <x v="0"/>
    <m/>
    <s v="Data Center Software/Hardware Refresh"/>
  </r>
  <r>
    <s v="Intangible Plant, Common"/>
    <s v="Common (E &amp; G)"/>
    <s v="Intangibles, King County outside RTA District, WA : INT-0000 WA01700000"/>
    <n v="58341105"/>
    <s v="C303 INT Misc Intangible Plant"/>
    <n v="143005940"/>
    <s v="ROBOTIC PROCESS AUTOMATION 2021 - S"/>
    <s v="ROBOTIC PROCESS AUTOMATION 2021 - SW.CS."/>
    <s v="12/2023"/>
    <n v="1"/>
    <n v="633638.55000000005"/>
    <n v="299516.52"/>
    <n v="334122.03000000003"/>
    <x v="0"/>
    <x v="5"/>
    <m/>
    <s v="Automation for work processes. The units of property will be various bots for automation  and enhancements of  work processes."/>
  </r>
  <r>
    <s v="Intangible Plant, Common"/>
    <s v="Common (E &amp; G)"/>
    <s v="Intangibles, King County outside RTA District, WA : INT-0000 WA01700000"/>
    <n v="58341108"/>
    <s v="C303 INT Misc Intangible Plant"/>
    <n v="143005946"/>
    <s v="2021 CAP MAINTENANCE GREATER $1.5M "/>
    <s v="2021 CAP MAINTENANCE GREATER $1.5M - SW."/>
    <s v="12/2023"/>
    <n v="1"/>
    <n v="3098069.85"/>
    <n v="913857.8"/>
    <n v="2184212.0499999998"/>
    <x v="0"/>
    <x v="0"/>
    <m/>
    <s v="Maintenance contracts where annual amount is &gt;$1.5M, aggregated across all technology maintenance contracts with percentage that can be capitalized according to Finance Dept evaluation."/>
  </r>
  <r>
    <s v="Intangible Plant, Common"/>
    <s v="Common (E &amp; G)"/>
    <s v="Intangibles, King County outside RTA District, WA : INT-0000 WA01700000"/>
    <n v="58341111"/>
    <s v="C303 INT Misc Intangible Plant"/>
    <n v="143005947"/>
    <s v="2021 CAP MAINTENANCE LESS $1.5M - S"/>
    <s v="2021 CAP MAINTENANCE LESS $1.5M - SW.CN."/>
    <s v="12/2023"/>
    <n v="1"/>
    <n v="1705073.15"/>
    <n v="502956.51"/>
    <n v="1202116.6400000001"/>
    <x v="0"/>
    <x v="0"/>
    <m/>
    <s v="Maintenance contracts where annual amount is &lt;$1.5M, aggregated across all technology maintenance contracts with percentage that can be capitalized according to Finance Dept evaluation."/>
  </r>
  <r>
    <s v="Intangible Plant, Common"/>
    <s v="Common (E &amp; G)"/>
    <s v="Intangibles, King County outside RTA District, WA : INT-0000 WA01700000"/>
    <n v="58341116"/>
    <s v="C303 INT Misc Intangible Plant"/>
    <n v="143005955"/>
    <s v="SAP SECURITY ROLES OPTIMIZATION - S"/>
    <s v="SAP SECURITY ROLES OPTIMIZATION - SW.CS."/>
    <s v="12/2023"/>
    <n v="1"/>
    <n v="524957.73"/>
    <n v="248143.85"/>
    <n v="276813.88"/>
    <x v="0"/>
    <x v="0"/>
    <m/>
    <s v="SAP ECC - SAP ERP Central Component (SAP ECC) is an on- premises enterprise resource planning (ERP) system that is commonly referred to as simply &quot;SAP ERP SAP BW - SAP Business Warehouse (BW) is a model-driven data warehousing_x000a_product based on the SAP NetWeaver ABAP platform SAP CRM - SAP CRM stands for customer relationship management. SAP CRM is managing the and maintaining relationship with customers."/>
  </r>
  <r>
    <s v="Intangible Plant, Common"/>
    <s v="Common (E &amp; G)"/>
    <s v="Intangibles, King County outside RTA District, WA : INT-0000 WA01700000"/>
    <n v="58341144"/>
    <s v="C303 INT Misc Intangible Plant"/>
    <n v="143006073"/>
    <s v="WORKSPACE RESERVATION - SW.CS.3YR"/>
    <s v="WORKSPACE RESERVATION - SW.CS.3YR"/>
    <s v="12/2023"/>
    <n v="1"/>
    <n v="59322.22"/>
    <n v="28041.200000000001"/>
    <n v="31281.02"/>
    <x v="0"/>
    <x v="0"/>
    <m/>
    <s v="PSE-developed application (software) to allow reservation of individual and group workspaces in PSE facilities in support of increased workplace flexibility"/>
  </r>
  <r>
    <s v="Intangible Plant, Common"/>
    <s v="Common (E &amp; G)"/>
    <s v="Intangibles, King County outside RTA District, WA : INT-0000 WA01700000"/>
    <n v="58341161"/>
    <s v="C303 INT Misc Intangible Plant"/>
    <n v="143006115"/>
    <s v="CDC EXTENSION EFFICIENCY - COBALT S"/>
    <s v="CDC EXTENSION EFFICIENCY - COBALT STRIKE"/>
    <s v="12/2023"/>
    <n v="1"/>
    <n v="12718.16"/>
    <n v="6011.79"/>
    <n v="6706.37"/>
    <x v="0"/>
    <x v="0"/>
    <m/>
    <s v="Purchase license for Cobalt Strike Malleable C2 software "/>
  </r>
  <r>
    <s v="Intangible Plant, Common"/>
    <s v="Common (E &amp; G)"/>
    <s v="Intangibles, King County outside RTA District, WA : INT-0000 WA01700000"/>
    <n v="58341170"/>
    <s v="C303 INT Misc Intangible Plant"/>
    <n v="143006281"/>
    <s v="SUCCESSFACTORS ENHNC - Q4 2021 - SW"/>
    <s v="SUCCESSFACTORS ENHNC - Q4 2021 - SW.CN.3"/>
    <s v="12/2023"/>
    <n v="1"/>
    <n v="34776.53"/>
    <n v="10258.26"/>
    <n v="24518.27"/>
    <x v="0"/>
    <x v="0"/>
    <m/>
    <s v="These are Q4 2021 improvements and enhancements to the SAP SuccessFactors suite of applications -- Employee Central, Recruiting, Recruitment Marketing, Onboarding, Performance mgmt., Goal mgmt., Career development, Succession planning, Continuous performance management, job bidding, grievance tracking, document management, case management, knowledgebase."/>
  </r>
  <r>
    <s v="Intangible Plant, Common"/>
    <s v="Common (E &amp; G)"/>
    <s v="Intangibles, King County outside RTA District, WA : INT-0000 WA01700000"/>
    <n v="58533309"/>
    <s v="C303 INT Misc Intangible Plant"/>
    <n v="143006016"/>
    <s v="SAP SOLUTION MANAGER ENHANCEMENTS -"/>
    <s v="SAP SOLUTION MANAGER ENHANCEMENTS - SW.C"/>
    <s v="12/2023"/>
    <n v="1"/>
    <n v="120338.82"/>
    <n v="35497.120000000003"/>
    <n v="84841.7"/>
    <x v="0"/>
    <x v="3"/>
    <m/>
    <s v="AP Solution Manager Enhancements Bundle: RITM0019128 - SAP Strategic Monitoring (Phase 1) Patch Solman to latest version and activate Monitoring of all related systems. RITM0010742 - Redeploy Configuration of SLD / Solman to enable Early_x000a_Watch reporting in PI-PO and full function EWA. RITM0010743 - SAP to PO to Click QUEUE monitoring and real time alerting to IT Click support and NOC. "/>
  </r>
  <r>
    <s v="Intangible Plant, Common"/>
    <s v="Common (E &amp; G)"/>
    <s v="Intangibles, King County outside RTA District, WA : INT-0000 WA01700000"/>
    <n v="58533343"/>
    <s v="C303 INT Misc Intangible Plant"/>
    <n v="143006361"/>
    <s v="2021 CLIENT SW - MS VISUAL STUDIO G"/>
    <s v="2021 CLIENT SW - MS VISUAL STUDIO GROWTH"/>
    <s v="12/2023"/>
    <n v="1"/>
    <n v="245413.94"/>
    <n v="72391.350000000006"/>
    <n v="173022.59"/>
    <x v="0"/>
    <x v="0"/>
    <m/>
    <s v="Three year MS Visual Studio Professional and Enterprise license"/>
  </r>
  <r>
    <s v="Intangible Plant, Common"/>
    <s v="Common (E &amp; G)"/>
    <s v="Intangibles, King County outside RTA District, WA : INT-0000 WA01700000"/>
    <n v="58630188"/>
    <s v="C303 INT Misc Intangible Plant"/>
    <n v="143006301"/>
    <s v="Q4 2021 CUSTOMER OPS &amp; COMM AERS - "/>
    <s v="Q4 2021 CUSTOMER OPS &amp; COMM AERS - SW.CS"/>
    <s v="12/2023"/>
    <n v="1"/>
    <n v="82937.62"/>
    <n v="39204.03"/>
    <n v="43733.590000000004"/>
    <x v="0"/>
    <x v="2"/>
    <m/>
    <s v="small and medium sized capital software enhancements to PSE enterprise applications for the Customer and Communications organization."/>
  </r>
  <r>
    <s v="Intangible Plant, Common"/>
    <s v="Common (E &amp; G)"/>
    <s v="Intangibles, King County outside RTA District, WA : INT-0000 WA01700000"/>
    <n v="58630193"/>
    <s v="C303 INT Misc Intangible Plant"/>
    <n v="143006302"/>
    <s v="Q4 2021 GC AND ETHICS CMPLY AERS - "/>
    <s v="Q4 2021 GC AND ETHICS CMPLY AERS - SW.CS"/>
    <s v="12/2023"/>
    <n v="1"/>
    <n v="12484.95"/>
    <n v="5901.55"/>
    <n v="6583.4000000000005"/>
    <x v="0"/>
    <x v="0"/>
    <m/>
    <s v="small and medium sized capital software enhancements to PSE enterprise applications for the General Counsel &amp; Ethics Compliance organization."/>
  </r>
  <r>
    <s v="Intangible Plant, Common"/>
    <s v="Common (E &amp; G)"/>
    <s v="Intangibles, King County outside RTA District, WA : INT-0000 WA01700000"/>
    <n v="58630198"/>
    <s v="C303 INT Misc Intangible Plant"/>
    <n v="143006304"/>
    <s v="Q4 2021 IT AERS - SW.CS.5YR"/>
    <s v="Q4 2021 IT AERS - SW.CS.5YR"/>
    <s v="12/2023"/>
    <n v="1"/>
    <n v="14791.82"/>
    <n v="6991.99"/>
    <n v="7799.83"/>
    <x v="0"/>
    <x v="0"/>
    <m/>
    <s v="small and medium sized capital software enhancements to PSE enterprise applications for the Information Technology organization."/>
  </r>
  <r>
    <s v="Intangible Plant, Common"/>
    <s v="Common (E &amp; G)"/>
    <s v="Intangibles, King County outside RTA District, WA : INT-0000 WA01700000"/>
    <n v="58744574"/>
    <s v="C303 INT Misc Intangible Plant"/>
    <n v="143006363"/>
    <s v="2021 ENDUR LICENSE GROWTH . SW.CN.5"/>
    <s v="2021 ENDUR LICENSE GROWTH – SW.CN.5YR"/>
    <s v="12/2023"/>
    <n v="1"/>
    <n v="157030.16"/>
    <n v="46320.21"/>
    <n v="110709.95"/>
    <x v="0"/>
    <x v="1"/>
    <m/>
    <s v="Purchase of additional Open link Endur and APM Licenses for the front and back office employees"/>
  </r>
  <r>
    <s v="Intangible Plant, Common"/>
    <s v="Common (E &amp; G)"/>
    <s v="Intangibles, King County outside RTA District, WA : INT-0000 WA01700000"/>
    <n v="59105327"/>
    <s v="C303 INT Misc Intangible Plant"/>
    <n v="143005760"/>
    <s v="MDMS CONFIG LARGE COMMERCIAL MODULE"/>
    <s v="MDMS CONFIG LARGE COMMERCIAL MODULES - S"/>
    <s v="12/2023"/>
    <n v="1"/>
    <n v="71858.100000000006"/>
    <n v="52701.48"/>
    <n v="19156.62"/>
    <x v="0"/>
    <x v="2"/>
    <m/>
    <s v="SW Enhancements to understand linage information for assets in EDS. The team will set up a connector from EDC (electronic data capture) to BODS (SAP BO Data services) in order to obtain data."/>
  </r>
  <r>
    <s v="Intangible Plant, Common"/>
    <s v="Common (E &amp; G)"/>
    <s v="Intangibles, King County outside RTA District, WA : INT-0000 WA01700000"/>
    <n v="59105345"/>
    <s v="C303 INT Misc Intangible Plant"/>
    <n v="143005910"/>
    <s v="MDMS LICENSE EXTENSION (2021) SW.CN"/>
    <s v="MDMS LICENSE EXTENSION (2021) SW.CN.5+YR"/>
    <s v="12/2023"/>
    <n v="1"/>
    <n v="28274.06"/>
    <n v="8340.18"/>
    <n v="19933.88"/>
    <x v="0"/>
    <x v="2"/>
    <m/>
    <s v="Annual increase in MDMS licenses to support meter growth._x000a_"/>
  </r>
  <r>
    <s v="Intangible Plant, Common"/>
    <s v="Common (E &amp; G)"/>
    <s v="Intangibles, King County outside RTA District, WA : INT-0000 WA01700000"/>
    <n v="59148389"/>
    <s v="C303 INT Misc Intangible Plant"/>
    <n v="143005928"/>
    <s v="IDENTITY MANAGEMENT - SW.CS.3YR"/>
    <s v="IDENTITY MANAGEMENT - SW.CS.3YR"/>
    <s v="12/2023"/>
    <n v="1"/>
    <n v="2029399.2"/>
    <n v="598625.07000000007"/>
    <n v="1430774.13"/>
    <x v="0"/>
    <x v="0"/>
    <m/>
    <s v="We will be integrating Okta with our major applications and systems as the identity authority and need to be able to charge our time appropriately to this capital project"/>
  </r>
  <r>
    <s v="Intangible Plant, Common"/>
    <s v="Common (E &amp; G)"/>
    <s v="Intangibles, King County outside RTA District, WA : INT-0000 WA01700000"/>
    <n v="59204339"/>
    <s v="C303 INT Misc Intangible Plant"/>
    <n v="143006443"/>
    <s v="ASSET HEALTH UNDER AND OVER LOADED "/>
    <s v="ASSET HEALTH UNDER AND OVER LOADED TRANS"/>
    <s v="12/2023"/>
    <n v="1"/>
    <n v="268392.27"/>
    <n v="79169.41"/>
    <n v="189222.86000000002"/>
    <x v="0"/>
    <x v="2"/>
    <m/>
    <s v="This enhanced functionality will  measure compliance and improve data quality in order to increase self-service options for customers and employees."/>
  </r>
  <r>
    <s v="Intangible Plant, Common"/>
    <s v="Common (E &amp; G)"/>
    <s v="Intangibles, King County outside RTA District, WA : INT-0000 WA01700000"/>
    <n v="59379783"/>
    <s v="C303 INT Misc Intangible Plant"/>
    <n v="143005238"/>
    <s v="CORP SIP TRUNKING EXPANSION - SW.CN"/>
    <s v="CORP SIP TRUNKING EXPANSION - SW.CN.5YR"/>
    <s v="12/2023"/>
    <n v="1"/>
    <n v="539916.93000000005"/>
    <n v="159262.81"/>
    <n v="380654.12"/>
    <x v="0"/>
    <x v="0"/>
    <m/>
    <s v="Move voice circuits from legacy PRI circuits to broadband SIP services"/>
  </r>
  <r>
    <s v="Intangible Plant, Common"/>
    <s v="Common (E &amp; G)"/>
    <s v="Intangibles, King County outside RTA District, WA : INT-0000 WA01700000"/>
    <n v="59379826"/>
    <s v="C303 INT Misc Intangible Plant"/>
    <n v="143005899"/>
    <s v="IT ENTERPRISE ARCHITECTURE SYS - SW"/>
    <s v="IT ENTERPRISE ARCHITECTURE SYS - SW.CN.5"/>
    <s v="12/2023"/>
    <n v="1"/>
    <n v="305888.91000000003"/>
    <n v="90230.040000000008"/>
    <n v="215658.87"/>
    <x v="0"/>
    <x v="0"/>
    <m/>
    <s v="Deploy an enterprise architecture tool which will be used by IT architecture and stakeholders to support IT Architecture efforts from planning through execution"/>
  </r>
  <r>
    <s v="Intangible Plant, Common"/>
    <s v="Common (E &amp; G)"/>
    <s v="Intangibles, King County outside RTA District, WA : INT-0000 WA01700000"/>
    <n v="59622179"/>
    <s v="C303 INT Misc Intangible Plant"/>
    <n v="143006445"/>
    <s v="ENTERPRISE DATA CATALOG AND ENVIRON"/>
    <s v="ENTERPRISE DATA CATALOG AND ENVIRONMENTA"/>
    <s v="12/2023"/>
    <n v="1"/>
    <n v="70151.490000000005"/>
    <n v="20693.04"/>
    <n v="49458.450000000004"/>
    <x v="0"/>
    <x v="0"/>
    <m/>
    <s v="This enhanced functionality will  measure compliance and improve data quality in order to increase self-service options for customers and employees."/>
  </r>
  <r>
    <s v="Intangible Plant, Common"/>
    <s v="Common (E &amp; G)"/>
    <s v="Intangibles, King County outside RTA District, WA : INT-0000 WA01700000"/>
    <n v="59622182"/>
    <s v="C303 INT Misc Intangible Plant"/>
    <n v="143006446"/>
    <s v="UNSTRUCTURED ENRGY EFFICIENCY - SW."/>
    <s v="UNSTRUCTURED ENRGY EFFICIENCY - SW.CN.5Y"/>
    <s v="12/2023"/>
    <n v="1"/>
    <n v="23061.040000000001"/>
    <n v="6802.46"/>
    <n v="16258.58"/>
    <x v="0"/>
    <x v="0"/>
    <m/>
    <s v="This enhanced functionality will  measure compliance and improve data quality in order to increase self-service options for customers and employees."/>
  </r>
  <r>
    <s v="Intangible Plant, Common"/>
    <s v="Common (E &amp; G)"/>
    <s v="Intangibles, King County outside RTA District, WA : INT-0000 WA01700000"/>
    <n v="59903561"/>
    <s v="C303 INT Misc Intangible Plant"/>
    <n v="143005892"/>
    <s v="COMMAND CENTER UPGRADE 2021 - SW.CN"/>
    <s v="COMMAND CENTER UPGRADE 2021 - SW.CN.5YR"/>
    <s v="12/2023"/>
    <n v="1"/>
    <n v="139490.20000000001"/>
    <n v="41146.33"/>
    <n v="98343.87"/>
    <x v="0"/>
    <x v="2"/>
    <m/>
    <s v=" Upgrade the Command Center application (AMI head-end system)"/>
  </r>
  <r>
    <s v="Intangible Plant, Common"/>
    <s v="Common (E &amp; G)"/>
    <s v="Intangibles, King County outside RTA District, WA : INT-0000 WA01700000"/>
    <n v="60027372"/>
    <s v="C303 INT Misc Intangible Plant"/>
    <n v="143006424"/>
    <s v="CHECK PAYMENT - SHORT TERM . SW.CN."/>
    <s v="CHECK PAYMENT - SHORT TERM – SW.CN.5YR"/>
    <s v="12/2023"/>
    <n v="1"/>
    <n v="58931.3"/>
    <n v="17383.349999999999"/>
    <n v="41547.950000000004"/>
    <x v="0"/>
    <x v="0"/>
    <m/>
    <s v="CHECK PAYMENT - SHORT TERM"/>
  </r>
  <r>
    <s v="Intangible Plant, Common"/>
    <s v="Common (E &amp; G)"/>
    <s v="Intangibles, King County outside RTA District, WA : INT-0000 WA01700000"/>
    <n v="60027375"/>
    <s v="C303 INT Misc Intangible Plant"/>
    <n v="143006442"/>
    <s v="ACCT COVID BAD DEBT REPORTING . SW."/>
    <s v="ACCT COVID BAD DEBT REPORTING – SW.CN.5Y"/>
    <s v="12/2023"/>
    <n v="1"/>
    <n v="184584.23"/>
    <n v="54448.01"/>
    <n v="130136.22"/>
    <x v="0"/>
    <x v="0"/>
    <m/>
    <s v="COVID bad debt reporting. This enhanced functionality will  measure compliance and improve data quality in order to increase self-service options for customers and employees."/>
  </r>
  <r>
    <s v="Intangible Plant, Common"/>
    <s v="Common (E &amp; G)"/>
    <s v="Intangibles, King County outside RTA District, WA : INT-0000 WA01700000"/>
    <n v="60027382"/>
    <s v="C303 INT Misc Intangible Plant"/>
    <n v="143006721"/>
    <s v="2022 SERVICENOW - UPGRADE - SW.CN.5"/>
    <s v="2022 SERVICENOW - UPGRADE - SW.CN.5YR"/>
    <s v="12/2023"/>
    <n v="1"/>
    <n v="32227.41"/>
    <n v="9506.33"/>
    <n v="22721.08"/>
    <x v="0"/>
    <x v="0"/>
    <m/>
    <s v="SW Enhancements to ServiceNow to keep system current"/>
  </r>
  <r>
    <s v="Intangible Plant, Common"/>
    <s v="Common (E &amp; G)"/>
    <s v="Intangibles, King County outside RTA District, WA : INT-0000 WA01700000"/>
    <n v="60066937"/>
    <s v="C303 INT Misc Intangible Plant"/>
    <n v="143006476"/>
    <s v="INCOME DATA - SW.CN.5YRS"/>
    <s v="INCOME DATA - SW.CN.5YRS"/>
    <s v="12/2023"/>
    <n v="1"/>
    <n v="223986.72"/>
    <n v="66070.820000000007"/>
    <n v="157915.9"/>
    <x v="0"/>
    <x v="2"/>
    <m/>
    <s v="The automated calculation of Energy Burden - Income data calculation"/>
  </r>
  <r>
    <s v="Intangible Plant, Common"/>
    <s v="Common (E &amp; G)"/>
    <s v="Intangibles, King County outside RTA District, WA : INT-0000 WA01700000"/>
    <n v="60066940"/>
    <s v="C303 INT Misc Intangible Plant"/>
    <n v="143006477"/>
    <s v="NOTIFICATION STATUS HISTORY DATA- S"/>
    <s v="NOTIFICATION STATUS HISTORY DATA- SW.CN."/>
    <s v="12/2023"/>
    <n v="1"/>
    <n v="159092.21"/>
    <n v="46928.46"/>
    <n v="112163.75"/>
    <x v="0"/>
    <x v="2"/>
    <m/>
    <s v="Data Enablement and Enrichment Program (DEEP). The purpose of this enhancement is to add STATUS_HISTORY to Notifications data. EMPLOYEE DATA ANALYSIS DASHBOARD  "/>
  </r>
  <r>
    <s v="Intangible Plant, Common"/>
    <s v="Common (E &amp; G)"/>
    <s v="Intangibles, King County outside RTA District, WA : INT-0000 WA01700000"/>
    <n v="60305819"/>
    <s v="C303 INT Misc Intangible Plant"/>
    <n v="143006460"/>
    <s v="2022 SERVICENOW- NERC - SW.CN.5YR"/>
    <s v="2022 SERVICENOW- NERC - SW.CN.5YR"/>
    <s v="12/2023"/>
    <n v="1"/>
    <n v="208660.84"/>
    <n v="61550.04"/>
    <n v="147110.80000000002"/>
    <x v="0"/>
    <x v="0"/>
    <m/>
    <s v="SW Enhancements including Resource Management and continued improvement to ITBM/ITSM Modules. ServiceNow will have 4 bodies of work:  NERC, upgrading SN to the next version, Software Asset Mgmt. and Piloting Resource Mgmt. "/>
  </r>
  <r>
    <s v="Intangible Plant, Common"/>
    <s v="Common (E &amp; G)"/>
    <s v="Intangibles, King County outside RTA District, WA : INT-0000 WA01700000"/>
    <n v="60484612"/>
    <s v="C303 INT Misc Intangible Plant"/>
    <n v="143005888"/>
    <s v="UI ENHANCEMENTS PHASE 3 - SW.CN.5YR"/>
    <s v="UI ENHANCEMENTS PHASE 3 - SW.CN.5YR"/>
    <s v="12/2023"/>
    <n v="1"/>
    <n v="3614400.62"/>
    <n v="1066163.24"/>
    <n v="2548237.38"/>
    <x v="0"/>
    <x v="0"/>
    <m/>
    <s v="Upgrade current version of UI and take advantage of additional functionality to include: B2 Financial Model, regulatory additional functionality to include: B2 Financial Model, regulatory tax"/>
  </r>
  <r>
    <s v="Intangible Plant, Common"/>
    <s v="Common (E &amp; G)"/>
    <s v="Intangibles, King County outside RTA District, WA : INT-0000 WA01700000"/>
    <n v="60484639"/>
    <s v="C303 INT Misc Intangible Plant"/>
    <n v="143006700"/>
    <s v="TRANSFORMER MAPPING.PHASE IDENTIF -"/>
    <s v="TRANSFORMER MAPPING–PHASE IDENTIF - SW.C"/>
    <s v="12/2023"/>
    <n v="1"/>
    <n v="220318.43"/>
    <n v="64988.76"/>
    <n v="155329.67000000001"/>
    <x v="0"/>
    <x v="2"/>
    <m/>
    <s v="The work will provide dashboards and automation of data to allow accurate voltage information along a circuit that AMI provides this will allow Operations to more precisely manage distribution voltages, troubleshoot power quality issues, and evaluate switching scenarios"/>
  </r>
  <r>
    <s v="Intangible Plant, Common"/>
    <s v="Common (E &amp; G)"/>
    <s v="Intangibles, King County outside RTA District, WA : INT-0000 WA01700000"/>
    <n v="60674315"/>
    <s v="C303 INT Misc Intangible Plant"/>
    <n v="143006680"/>
    <s v="SUCCESSFACTORS ENHANCEMENT PACK 202"/>
    <s v="SUCCESSFACTORS ENHANCEMENT PACK 2022Q2-S"/>
    <s v="12/2023"/>
    <n v="1"/>
    <n v="14308.66"/>
    <n v="4220.72"/>
    <n v="10087.94"/>
    <x v="0"/>
    <x v="0"/>
    <m/>
    <s v="plan, design, configure, test and implement enhancements to the SAP SuccessFactors suite of applications."/>
  </r>
  <r>
    <s v="Intangible Plant, Common"/>
    <s v="Common (E &amp; G)"/>
    <s v="Intangibles, King County outside RTA District, WA : INT-0000 WA01700000"/>
    <n v="61053077"/>
    <s v="C303 INT Misc Intangible Plant"/>
    <n v="143006479"/>
    <s v="WBS FINANCIAL JOB BREAKDOWN - SW.CN"/>
    <s v="WBS FINANCIAL JOB BREAKDOWN - SW.CN.5YRS"/>
    <s v="12/2023"/>
    <n v="1"/>
    <n v="130372.92"/>
    <n v="38456.950000000004"/>
    <n v="91915.97"/>
    <x v="0"/>
    <x v="5"/>
    <m/>
    <s v="The Data Science Lab the creation of Data Science Models (AI and Machine Learning) to be created by technical as well as non-technical analysts and business users to make predictions."/>
  </r>
  <r>
    <s v="Intangible Plant, Common"/>
    <s v="Common (E &amp; G)"/>
    <s v="Intangibles, King County outside RTA District, WA : INT-0000 WA01700000"/>
    <n v="61053086"/>
    <s v="C303 INT Misc Intangible Plant"/>
    <n v="143006760"/>
    <s v="DEEP EDC-BODS CONNECTOR - SW.CN.5YR"/>
    <s v="DEEP EDC-BODS CONNECTOR - SW.CN.5YRS"/>
    <s v="12/2023"/>
    <n v="1"/>
    <n v="38737.57"/>
    <n v="11426.67"/>
    <n v="27310.9"/>
    <x v="0"/>
    <x v="2"/>
    <m/>
    <s v="Use case to understand linage information for assets in EDS. The team will set up a connector from EDC to BODS (Data services) in order to obtain data."/>
  </r>
  <r>
    <s v="Intangible Plant, Common"/>
    <s v="Common (E &amp; G)"/>
    <s v="Intangibles, King County outside RTA District, WA : INT-0000 WA01700000"/>
    <n v="61167624"/>
    <s v="C303 INT Misc Intangible Plant"/>
    <n v="143006072"/>
    <s v="SAP QM MODULE DATA TO BW - SW.CS.5Y"/>
    <s v="SAP QM MODULE DATA TO BW - SW.CS.5YR"/>
    <s v="12/2023"/>
    <n v="1"/>
    <n v="46948.090000000004"/>
    <n v="13848.58"/>
    <n v="33099.51"/>
    <x v="0"/>
    <x v="0"/>
    <m/>
    <s v="Add SAP QM Module data to BW.  Implement a data integration between SAP and BW to improve data analysis and reporting."/>
  </r>
  <r>
    <s v="Intangible Plant, Common"/>
    <s v="Common (E &amp; G)"/>
    <s v="Intangibles, King County outside RTA District, WA : INT-0000 WA01700000"/>
    <n v="61312615"/>
    <s v="C303 INT Misc Intangible Plant"/>
    <n v="143006662"/>
    <s v="AXON-ESRI USE CASE - SW.CN.5YRS"/>
    <s v="AXON-ESRI USE CASE - SW.CN.5YRS"/>
    <s v="12/2023"/>
    <n v="1"/>
    <n v="87196.84"/>
    <n v="25721.02"/>
    <n v="61475.82"/>
    <x v="0"/>
    <x v="0"/>
    <m/>
    <s v="SW Enhancements in ESRI to Axon. ESRI to Axon and link it with semantic meaning like glossary terms. And also we will then be able to monitor the data quality of these critical data elements._x000a_"/>
  </r>
  <r>
    <s v="Intangible Plant, Common"/>
    <s v="Common (E &amp; G)"/>
    <s v="Intangibles, King County outside RTA District, WA : INT-0000 WA01700000"/>
    <n v="61702502"/>
    <s v="C303 INT Misc Intangible Plant"/>
    <n v="143005882"/>
    <s v="EGAIN REPLACEMENT - SW.CN.5YR"/>
    <s v="EGAIN REPLACEMENT - SW.CN.5YR"/>
    <s v="12/2023"/>
    <n v="1"/>
    <n v="5151207.0999999996"/>
    <n v="1519485.04"/>
    <n v="3631722.06"/>
    <x v="0"/>
    <x v="0"/>
    <m/>
    <s v="upgrade/replace current email management system used by external customers to various PSE groups"/>
  </r>
  <r>
    <s v="Intangible Plant, Common"/>
    <s v="Common (E &amp; G)"/>
    <s v="Intangibles, King County outside RTA District, WA : INT-0000 WA01700000"/>
    <n v="62124226"/>
    <s v="C303 INT Misc Intangible Plant"/>
    <n v="143006447"/>
    <s v="EMPLOYEE DATA ANALYSIS DASHBOARD - "/>
    <s v="EMPLOYEE DATA ANALYSIS DASHBOARD - SW.CN"/>
    <s v="12/2023"/>
    <n v="1"/>
    <n v="29506.670000000002"/>
    <n v="8703.77"/>
    <n v="20802.900000000001"/>
    <x v="0"/>
    <x v="0"/>
    <m/>
    <s v="This enhanced functionality will  measure compliance and improve data quality in order to increase self-service options for customers and employees. Updating software to meet additional customer requirements"/>
  </r>
  <r>
    <s v="Intangible Plant, Common"/>
    <s v="Common (E &amp; G)"/>
    <s v="Intangibles, King County outside RTA District, WA : INT-0000 WA01700000"/>
    <n v="62433307"/>
    <s v="C303 INT Misc Intangible Plant"/>
    <n v="143006521"/>
    <s v="ENTERPRISE MONITORING STANDARDIZATI"/>
    <s v="ENTERPRISE MONITORING STANDARDIZATION -"/>
    <s v="12/2023"/>
    <n v="1"/>
    <n v="1961451.9100000001"/>
    <n v="578582.22"/>
    <n v="1382869.69"/>
    <x v="0"/>
    <x v="2"/>
    <m/>
    <s v="Benefits are expected to be derived as follows:- Reduced Outages due to proactive monitoring- Reduced Mean Time to Restore (MTTR)- Reduced labor to execute post-event analysis and write up- Streamlined processes in the NOC (single pane of glass)- Elimination of duplicative tooling where applicable- Reduced costs for NERC compliance/audit support"/>
  </r>
  <r>
    <s v="Intangible Plant, Common"/>
    <s v="Common (E &amp; G)"/>
    <s v="Intangibles, King County outside RTA District, WA : INT-0000 WA01700000"/>
    <n v="62670802"/>
    <s v="C303 INT Misc Intangible Plant"/>
    <n v="143006459"/>
    <s v="MDMS DB PARTITION/TRUNCATION - SW.C"/>
    <s v="MDMS DB PARTITION/TRUNCATION - SW.CN.5YR"/>
    <s v="12/2023"/>
    <n v="1"/>
    <n v="256985.73"/>
    <n v="75804.75"/>
    <n v="181180.98"/>
    <x v="0"/>
    <x v="2"/>
    <m/>
    <s v="Partition and Truncate MDMS Database to decrease storage footprint"/>
  </r>
  <r>
    <s v="Intangible Plant, Common"/>
    <s v="Common (E &amp; G)"/>
    <s v="Intangibles, King County outside RTA District, WA : INT-0000 WA01700000"/>
    <n v="62898293"/>
    <s v="C303 INT Misc Intangible Plant"/>
    <n v="143006342"/>
    <s v="2022 DATA CENTER HARDWARE REFRESH -"/>
    <s v="2022 DATA CENTER HARDWARE REFRESH - SW.C"/>
    <s v="12/2023"/>
    <n v="1"/>
    <n v="577362.82999999996"/>
    <n v="170308.47"/>
    <n v="407054.36"/>
    <x v="0"/>
    <x v="0"/>
    <m/>
    <s v="Request creation of new order for Data Center Hardware Refresh for software/license needed to support/supplement the 2022 hardware purchases and labor to support this effort The software costs are to-be-determined, as most of the project costs are for hardware procurement."/>
  </r>
  <r>
    <s v="Intangible Plant, Common"/>
    <s v="Common (E &amp; G)"/>
    <s v="Intangibles, King County outside RTA District, WA : INT-0000 WA01700000"/>
    <n v="62898296"/>
    <s v="C303 INT Misc Intangible Plant"/>
    <n v="143006425"/>
    <s v="CHECK PAYMENT - LONG TERM . SW.CN.5"/>
    <s v="CHECK PAYMENT - LONG TERM – SW.CN.5YR"/>
    <s v="12/2023"/>
    <n v="1"/>
    <n v="163733.63"/>
    <n v="48297.57"/>
    <n v="115436.06"/>
    <x v="0"/>
    <x v="0"/>
    <m/>
    <s v="Software order for long-term solution Support for the existing check processing hardware and software is ending in 2022."/>
  </r>
  <r>
    <s v="Intangible Plant, Common"/>
    <s v="Common (E &amp; G)"/>
    <s v="Intangibles, King County outside RTA District, WA : INT-0000 WA01700000"/>
    <n v="62898304"/>
    <s v="C303 INT Misc Intangible Plant"/>
    <n v="143006439"/>
    <s v="DEEP ENHANCEMENTS - SW.CN.5YRS"/>
    <s v="DEEP ENHANCEMENTS - SW.CN.5YRS"/>
    <s v="12/2023"/>
    <n v="1"/>
    <n v="189498.13"/>
    <n v="55897.5"/>
    <n v="133600.63"/>
    <x v="0"/>
    <x v="0"/>
    <m/>
    <s v="(DEEP Enhancement) Enhancement requests that come in for Use cases that was completed over the past 3 years, multiple enhancements under one work order."/>
  </r>
  <r>
    <s v="Intangible Plant, Common"/>
    <s v="Common (E &amp; G)"/>
    <s v="Intangibles, King County outside RTA District, WA : INT-0000 WA01700000"/>
    <n v="62898307"/>
    <s v="C303 INT Misc Intangible Plant"/>
    <n v="143006440"/>
    <s v="TRAVEL EXPNS MNGMNT &amp; PCARD - SW.CS"/>
    <s v="TRAVEL EXPNS MNGMNT &amp; PCARD - SW.CS.5YR"/>
    <s v="12/2023"/>
    <n v="1"/>
    <n v="71282.820000000007"/>
    <n v="21026.760000000002"/>
    <n v="50256.06"/>
    <x v="0"/>
    <x v="0"/>
    <m/>
    <s v="Provide an integrated Travel, P-Card and Expense Reporting capabilities (linking credit card, employee expense reimbursement data and importing the data automatically into an expense management system)."/>
  </r>
  <r>
    <s v="Intangible Plant, Common"/>
    <s v="Common (E &amp; G)"/>
    <s v="Intangibles, King County outside RTA District, WA : INT-0000 WA01700000"/>
    <n v="62898310"/>
    <s v="C303 INT Misc Intangible Plant"/>
    <n v="143006451"/>
    <s v="2022 CAP MAINT GREATER $1.5M - SW.C"/>
    <s v="2022 CAP MAINT GREATER $1.5M - SW.CN.5YR"/>
    <s v="12/2023"/>
    <n v="1"/>
    <n v="11161854.619999999"/>
    <n v="3292484.81"/>
    <n v="7869369.8100000005"/>
    <x v="0"/>
    <x v="0"/>
    <m/>
    <s v="2022 CAP MAINT GREATER $1.5M. IT O&amp;M to Capital Maintenance greater than $1.5M_x000a_"/>
  </r>
  <r>
    <s v="Intangible Plant, Common"/>
    <s v="Common (E &amp; G)"/>
    <s v="Intangibles, King County outside RTA District, WA : INT-0000 WA01700000"/>
    <n v="62898313"/>
    <s v="C303 INT Misc Intangible Plant"/>
    <n v="143006457"/>
    <s v="MICROSERVCS .NET CORE UPGRADE- SW.C"/>
    <s v="MICROSERVCS .NET CORE UPGRADE- SW.CN.5YR"/>
    <s v="12/2023"/>
    <n v="1"/>
    <n v="102804.48"/>
    <n v="30324.91"/>
    <n v="72479.570000000007"/>
    <x v="0"/>
    <x v="0"/>
    <m/>
    <s v="Upgrade from regular to Enterprise version of Microservices .NET Core"/>
  </r>
  <r>
    <s v="Intangible Plant, Common"/>
    <s v="Common (E &amp; G)"/>
    <s v="Intangibles, King County outside RTA District, WA : INT-0000 WA01700000"/>
    <n v="62898316"/>
    <s v="C303 INT Misc Intangible Plant"/>
    <n v="143006458"/>
    <s v="TERRAFORM UPGRADE - SW.CN.5YR"/>
    <s v="TERRAFORM UPGRADE - SW.CN.5YR"/>
    <s v="12/2023"/>
    <n v="1"/>
    <n v="45286.71"/>
    <n v="13358.52"/>
    <n v="31928.190000000002"/>
    <x v="0"/>
    <x v="0"/>
    <m/>
    <s v="Upgrade from regular to Enterprise version of Terraform Upgrade"/>
  </r>
  <r>
    <s v="Intangible Plant, Common"/>
    <s v="Common (E &amp; G)"/>
    <s v="Intangibles, King County outside RTA District, WA : INT-0000 WA01700000"/>
    <n v="62898338"/>
    <s v="C303 INT Misc Intangible Plant"/>
    <n v="143006478"/>
    <s v="DATA OPERATING MODEL - SW.CN.5YRS"/>
    <s v="DATA OPERATING MODEL - SW.CN.5YRS"/>
    <s v="12/2023"/>
    <n v="1"/>
    <n v="257573.72"/>
    <n v="75978.19"/>
    <n v="181595.53"/>
    <x v="0"/>
    <x v="0"/>
    <m/>
    <s v="In the corporate risk mitigation plan for the data enablement risk, there is a need to define an organization wide data operating model."/>
  </r>
  <r>
    <s v="Intangible Plant, Common"/>
    <s v="Common (E &amp; G)"/>
    <s v="Intangibles, King County outside RTA District, WA : INT-0000 WA01700000"/>
    <n v="62898362"/>
    <s v="C303 INT Misc Intangible Plant"/>
    <n v="143006488"/>
    <s v="CAP MAINTENANCE LESS $1.5M . SW.CN."/>
    <s v="CAP MAINTENANCE LESS $1.5M – SW.CN.5YR"/>
    <s v="12/2023"/>
    <n v="1"/>
    <n v="1121293.2"/>
    <n v="330755.14"/>
    <n v="790538.06"/>
    <x v="0"/>
    <x v="0"/>
    <m/>
    <s v="CAP MAINTENANCE LESS $1.5M.  IT O&amp;M to Capital Maintenance less than $1.5M_x000a_"/>
  </r>
  <r>
    <s v="Intangible Plant, Common"/>
    <s v="Common (E &amp; G)"/>
    <s v="Intangibles, King County outside RTA District, WA : INT-0000 WA01700000"/>
    <n v="62898385"/>
    <s v="C303 INT Misc Intangible Plant"/>
    <n v="143006511"/>
    <s v="IPP SHAREPOINT UPGRADE- SW.CN.5YRS"/>
    <s v="IPP SHAREPOINT UPGRADE- SW.CN.5YRS"/>
    <s v="12/2023"/>
    <n v="1"/>
    <n v="273699.68"/>
    <n v="80734.97"/>
    <n v="192964.71"/>
    <x v="0"/>
    <x v="0"/>
    <m/>
    <s v="Upgrade IPP SharePoint (NERC) On Premise Server in conjunction with Windows 2012 Upgrade"/>
  </r>
  <r>
    <s v="Intangible Plant, Common"/>
    <s v="Common (E &amp; G)"/>
    <s v="Intangibles, King County outside RTA District, WA : INT-0000 WA01700000"/>
    <n v="62898388"/>
    <s v="C303 INT Misc Intangible Plant"/>
    <n v="143006512"/>
    <s v="IDOT REPLACEMENT- SW.CN.5YRS"/>
    <s v="IDOT REPLACEMENT- SW.CN.5YRS"/>
    <s v="12/2023"/>
    <n v="1"/>
    <n v="734437.08"/>
    <n v="216641.68"/>
    <n v="517795.4"/>
    <x v="0"/>
    <x v="5"/>
    <m/>
    <s v="SW Enhancement to Power Plan to support multi-year rate case and investment planning PSE Historical usage"/>
  </r>
  <r>
    <s v="Intangible Plant, Common"/>
    <s v="Common (E &amp; G)"/>
    <s v="Intangibles, King County outside RTA District, WA : INT-0000 WA01700000"/>
    <n v="62898391"/>
    <s v="C303 INT Misc Intangible Plant"/>
    <n v="143006701"/>
    <s v="BILL &amp; USAGE HISTORY DASHBOARD - EE"/>
    <s v="BILL &amp; USAGE HISTORY DASHBOARD - EE GRP"/>
    <s v="12/2023"/>
    <n v="1"/>
    <n v="294313.01"/>
    <n v="86815.42"/>
    <n v="207497.59"/>
    <x v="0"/>
    <x v="2"/>
    <m/>
    <s v="BILL &amp; USAGE HISTORY DASHBOARD. Automation and improvements to existing dashboard with customer information._x000a_"/>
  </r>
  <r>
    <s v="Intangible Plant, Common"/>
    <s v="Common (E &amp; G)"/>
    <s v="Intangibles, King County outside RTA District, WA : INT-0000 WA01700000"/>
    <n v="62898397"/>
    <s v="C303 INT Misc Intangible Plant"/>
    <n v="143006726"/>
    <s v="COST MANAGEMENT REPORTING - SW.CN.5"/>
    <s v="COST MANAGEMENT REPORTING - SW.CN.5YRS"/>
    <s v="12/2023"/>
    <n v="1"/>
    <n v="59443.68"/>
    <n v="17534.490000000002"/>
    <n v="41909.19"/>
    <x v="0"/>
    <x v="0"/>
    <m/>
    <s v="SW Elements- Integration Ariba SAP ECC. Integrate Ariba-SAP-ECC MM/FI with Qty and UoM values._x000a__x000a_"/>
  </r>
  <r>
    <s v="Intangible Plant, Common"/>
    <s v="Common (E &amp; G)"/>
    <s v="Intangibles, King County outside RTA District, WA : INT-0000 WA01700000"/>
    <n v="62898403"/>
    <s v="C303 INT Misc Intangible Plant"/>
    <n v="143006728"/>
    <s v="DEEP DATA FOUNDATION PRIVACY-INFORM"/>
    <s v="DEEP DATA FOUNDATION PRIVACY-INFORMATICA"/>
    <s v="12/2023"/>
    <n v="1"/>
    <n v="212874.49"/>
    <n v="62792.97"/>
    <n v="150081.51999999999"/>
    <x v="0"/>
    <x v="2"/>
    <m/>
    <s v="LONG TEXT: Implementation of the Informatica data governance platform in order to build a data catalog, business glossary, and data quality monitoring."/>
  </r>
  <r>
    <s v="Intangible Plant, Common"/>
    <s v="Common (E &amp; G)"/>
    <s v="Intangibles, King County outside RTA District, WA : INT-0000 WA01700000"/>
    <n v="62898406"/>
    <s v="C303 INT Misc Intangible Plant"/>
    <n v="143006746"/>
    <s v="DEEP SALES STATISTICS DATA AND BEX "/>
    <s v="DEEP SALES STATISTICS DATA AND BEX - SW."/>
    <s v="12/2023"/>
    <n v="1"/>
    <n v="94019.49"/>
    <n v="27733.54"/>
    <n v="66285.95"/>
    <x v="0"/>
    <x v="2"/>
    <m/>
    <s v="SW enhancements to add longer history and additional columns to Sales Statistics Tables and billing tables."/>
  </r>
  <r>
    <s v="Intangible Plant, Common"/>
    <s v="Common (E &amp; G)"/>
    <s v="Intangibles, King County outside RTA District, WA : INT-0000 WA01700000"/>
    <n v="62898409"/>
    <s v="C303 INT Misc Intangible Plant"/>
    <n v="143006747"/>
    <s v="RITM0062360 - IMPLEMENT DATA AUTOMA"/>
    <s v="RITM0062360 - IMPLEMENT DATA AUTOMATION-"/>
    <s v="12/2023"/>
    <n v="1"/>
    <n v="65187.79"/>
    <n v="19228.87"/>
    <n v="45958.92"/>
    <x v="0"/>
    <x v="2"/>
    <m/>
    <s v="implement Data life cycle automation within PSE's Platform Of Insights."/>
  </r>
  <r>
    <s v="Intangible Plant, Common"/>
    <s v="Common (E &amp; G)"/>
    <s v="Intangibles, King County outside RTA District, WA : INT-0000 WA01700000"/>
    <n v="62898412"/>
    <s v="C303 INT Misc Intangible Plant"/>
    <n v="143006766"/>
    <s v="DEEP SITUATIONAL AWARENESS OF STORM"/>
    <s v="DEEP SITUATIONAL AWARENESS OF STORM CREW"/>
    <s v="12/2023"/>
    <n v="1"/>
    <n v="248243.34"/>
    <n v="73225.95"/>
    <n v="175017.39"/>
    <x v="0"/>
    <x v="2"/>
    <m/>
    <s v="SW Enhancements for location tracking solutions. Provide a real time location tracking solution that gives visibility into crew movement during storm outages_x000a__x000a_"/>
  </r>
  <r>
    <s v="Intangible Plant, Common"/>
    <s v="Common (E &amp; G)"/>
    <s v="Intangibles, King County outside RTA District, WA : INT-0000 WA01700000"/>
    <n v="62898421"/>
    <s v="C303 INT Misc Intangible Plant"/>
    <n v="143006802"/>
    <s v="CYBER AUDIT WEB SERVER UPGRADE - SW"/>
    <s v="CYBER AUDIT WEB SERVER UPGRADE - SW.CN.5"/>
    <s v="12/2023"/>
    <n v="1"/>
    <n v="83647.820000000007"/>
    <n v="24674.14"/>
    <n v="58973.68"/>
    <x v="0"/>
    <x v="0"/>
    <m/>
    <s v="Software upgrade of Cyber Audit Web Server for improved security &amp; support. This tool manages the remote keys across the company"/>
  </r>
  <r>
    <s v="Intangible Plant, Common"/>
    <s v="Common (E &amp; G)"/>
    <s v="Intangibles, King County outside RTA District, WA : INT-0000 WA01700000"/>
    <n v="62898424"/>
    <s v="C303 INT Misc Intangible Plant"/>
    <n v="143006821"/>
    <s v="DEEP STREET LIGHTING REQUEST - SW.C"/>
    <s v="DEEP STREET LIGHTING REQUEST - SW.CN.5YR"/>
    <s v="12/2023"/>
    <n v="1"/>
    <n v="126440.5"/>
    <n v="37296.980000000003"/>
    <n v="89143.52"/>
    <x v="0"/>
    <x v="2"/>
    <m/>
    <s v="SW Enhancements to POI. The goal to provide the ability to track outstanding bills by work order/project. Bring in all columns from existing BW tables into POI._x000a_"/>
  </r>
  <r>
    <s v="Intangible Plant, Common"/>
    <s v="Common (E &amp; G)"/>
    <s v="Intangibles, King County outside RTA District, WA : INT-0000 WA01700000"/>
    <n v="62898427"/>
    <s v="C303 INT Misc Intangible Plant"/>
    <n v="143006861"/>
    <s v="2022 Q3 AERS  - SAP FO - SW.CS.5YRS"/>
    <s v="2022 Q3 AERS  - SAP FO - SW.CS.5YRS"/>
    <s v="12/2023"/>
    <n v="1"/>
    <n v="33483.64"/>
    <n v="9876.89"/>
    <n v="23606.75"/>
    <x v="0"/>
    <x v="0"/>
    <m/>
    <s v="2022 Q3 AERs for the SAP Front Office team. RITM0063740 - Create a program to enroll customers to renewables (Solar Choice, Green Power, Carbon Balance or RNG) in SAP."/>
  </r>
  <r>
    <s v="Intangible Plant, Common"/>
    <s v="Common (E &amp; G)"/>
    <s v="Intangibles, King County outside RTA District, WA : INT-0000 WA01700000"/>
    <n v="62898436"/>
    <s v="C303 INT Misc Intangible Plant"/>
    <n v="143007104"/>
    <s v="MIGRATION TO DYNATRACE SAAS - SW.CN"/>
    <s v="MIGRATION TO DYNATRACE SAAS - SW.CN.5YRS"/>
    <s v="12/2023"/>
    <n v="1"/>
    <n v="66716.86"/>
    <n v="19679.91"/>
    <n v="47036.950000000004"/>
    <x v="0"/>
    <x v="0"/>
    <m/>
    <s v="SW Enhancement to Migrate Web and Mobile Dynatrace monitoring from managed solution to SaaS"/>
  </r>
  <r>
    <s v="Intangible Plant, Common"/>
    <s v="Common (E &amp; G)"/>
    <s v="Intangibles, King County outside RTA District, WA : INT-0000 WA01700000"/>
    <n v="62898439"/>
    <s v="C303 INT Misc Intangible Plant"/>
    <n v="143007142"/>
    <s v="2022 Q4 - SAP WM ENHANCEMENTS - SW."/>
    <s v="2022 Q4 - SAP WM ENHANCEMENTS - SW.CS.5Y"/>
    <s v="12/2023"/>
    <n v="1"/>
    <n v="24422.53"/>
    <n v="7204.07"/>
    <n v="17218.46"/>
    <x v="0"/>
    <x v="5"/>
    <m/>
    <s v="2022 Q4 small bundle of application enhancements to Ariba and the SAP Work Management Platform."/>
  </r>
  <r>
    <s v="Intangible Plant, Common"/>
    <s v="Common (E &amp; G)"/>
    <s v="Intangibles, King County outside RTA District, WA : INT-0000 WA01700000"/>
    <n v="63116626"/>
    <s v="C303 INT Misc Intangible Plant"/>
    <n v="143006450"/>
    <s v="SAP ANNUAL UPGRADES - SW.CN.5YR"/>
    <s v="SAP ANNUAL UPGRADES - SW.CN.5YR"/>
    <s v="12/2023"/>
    <n v="1"/>
    <n v="1785158.94"/>
    <n v="526579.94000000006"/>
    <n v="1258579"/>
    <x v="0"/>
    <x v="0"/>
    <m/>
    <s v="Mandatory SAP upgrades to keep continuously running our core business processes and keep SAP systems valid for continuous vendor support."/>
  </r>
  <r>
    <s v="Intangible Plant, Common"/>
    <s v="Common (E &amp; G)"/>
    <s v="Intangibles, King County outside RTA District, WA : INT-0000 WA01700000"/>
    <n v="63116631"/>
    <s v="C303 INT Misc Intangible Plant"/>
    <n v="143006452"/>
    <s v="QUALITY FRAMEWORK 2022- SW.CN.5YR"/>
    <s v="QUALITY FRAMEWORK 2022- SW.CN.5YR"/>
    <s v="12/2023"/>
    <n v="1"/>
    <n v="140663.20000000001"/>
    <n v="41492.340000000004"/>
    <n v="99170.86"/>
    <x v="0"/>
    <x v="0"/>
    <m/>
    <s v="The goal is to implement the platform and tools to allow high quality IT application and platform delivery while enabling the 5 year road map."/>
  </r>
  <r>
    <s v="Intangible Plant, Common"/>
    <s v="Common (E &amp; G)"/>
    <s v="Intangibles, King County outside RTA District, WA : INT-0000 WA01700000"/>
    <n v="63116634"/>
    <s v="C303 INT Misc Intangible Plant"/>
    <n v="143006453"/>
    <s v="SAP HR SUPPORT PACKS 2022 - SW.CN.5"/>
    <s v="SAP HR SUPPORT PACKS 2022 - SW.CN.5YR"/>
    <s v="12/2023"/>
    <n v="1"/>
    <n v="256071.15"/>
    <n v="75534.97"/>
    <n v="180536.18"/>
    <x v="0"/>
    <x v="0"/>
    <m/>
    <s v="Annual upgrades to HR module"/>
  </r>
  <r>
    <s v="Intangible Plant, Common"/>
    <s v="Common (E &amp; G)"/>
    <s v="Intangibles, King County outside RTA District, WA : INT-0000 WA01700000"/>
    <n v="63116675"/>
    <s v="C303 INT Misc Intangible Plant"/>
    <n v="143006494"/>
    <s v="ENHANCED SAP MONITORING ALERTING BP"/>
    <s v="ENHANCED SAP MONITORING ALERTING BPM - S"/>
    <s v="12/2023"/>
    <n v="1"/>
    <n v="589424.81000000006"/>
    <n v="173866.47"/>
    <n v="415558.34"/>
    <x v="0"/>
    <x v="0"/>
    <m/>
    <s v="Implement enhanced SAP Monitoring and Alerting. There will be no HW added, just SAP code and configuration development._x000a_"/>
  </r>
  <r>
    <s v="Intangible Plant, Common"/>
    <s v="Common (E &amp; G)"/>
    <s v="Intangibles, King County outside RTA District, WA : INT-0000 WA01700000"/>
    <n v="63265740"/>
    <s v="C303 INT Misc Intangible Plant"/>
    <n v="143006748"/>
    <s v="RPA BLUE PRISM SAP AUTOMATION FOR W"/>
    <s v="RPA BLUE PRISM SAP AUTOMATION FOR WOS -"/>
    <s v="12/2023"/>
    <n v="1"/>
    <n v="235673.76"/>
    <n v="69518.22"/>
    <n v="166155.54"/>
    <x v="0"/>
    <x v="5"/>
    <s v="Work Order Accounting "/>
    <s v="Building Robotic Process Automation, Blue Prism BOTs for Work order Creation and Work order Attachments. This will automate creation of WO and will eliminate the process of attaching hundreds of documents to WO in SAP manually."/>
  </r>
  <r>
    <s v="Intangible Plant, Common"/>
    <s v="Common (E &amp; G)"/>
    <s v="Intangibles, King County outside RTA District, WA : INT-0000 WA01700000"/>
    <n v="64678985"/>
    <s v="C303 INT Misc Intangible Plant"/>
    <n v="143006620"/>
    <s v="DEEP INNOVATION - SW.CN.5YRS"/>
    <s v="DEEP INNOVATION - SW.CN.5YRS"/>
    <s v="12/2023"/>
    <n v="1"/>
    <n v="11040.73"/>
    <n v="3256.76"/>
    <n v="7783.97"/>
    <x v="0"/>
    <x v="0"/>
    <s v="Business Intelligence "/>
    <s v="This work order will be used for Enhancement requests that come in for Use cases or Data Analytics that has not been attempted before or are the latest technology that we need to validate first."/>
  </r>
  <r>
    <s v="Intangible Plant, Common"/>
    <s v="Common (E &amp; G)"/>
    <s v="Intangibles, King County outside RTA District, WA : INT-0000 WA01700000"/>
    <n v="64678995"/>
    <s v="C303 INT Misc Intangible Plant"/>
    <n v="143006708"/>
    <s v="SAP Q3 2022 ENHANCEMENTS - SW.CS.5Y"/>
    <s v="SAP Q3 2022 ENHANCEMENTS - SW.CS.5YRS"/>
    <s v="12/2023"/>
    <n v="1"/>
    <n v="83513.900000000009"/>
    <n v="24634.639999999999"/>
    <n v="58879.26"/>
    <x v="0"/>
    <x v="0"/>
    <s v="Enterprise Resource Planning (ERP) System Enhansments "/>
    <s v="Q3 2022 bundle of small application enhancements and capability additions to the SAP system."/>
  </r>
  <r>
    <s v="Intangible Plant, Common"/>
    <s v="Common (E &amp; G)"/>
    <s v="Intangibles, King County outside RTA District, WA : INT-0000 WA01700000"/>
    <n v="64679031"/>
    <s v="C303 INT Misc Intangible Plant"/>
    <n v="143007000"/>
    <s v="GRC DIGITAL COMPLIANCE REPORTING - "/>
    <s v="GRC DIGITAL COMPLIANCE REPORTING - SW.CN"/>
    <s v="12/2023"/>
    <n v="1"/>
    <n v="102509"/>
    <n v="30237.75"/>
    <n v="72271.25"/>
    <x v="0"/>
    <x v="0"/>
    <s v="Business Intelligence "/>
    <s v="DEEP use case involving load profiling based on AMI data"/>
  </r>
  <r>
    <s v="Intangible Plant, Common"/>
    <s v="Common (E &amp; G)"/>
    <s v="Intangibles, King County outside RTA District, WA : INT-0000 WA01700000"/>
    <n v="63265722"/>
    <s v="C303 INT Misc Intangible Plant"/>
    <n v="143006522"/>
    <s v="CLOUD CONNECTOR SLS11 TO SLS15 - SW"/>
    <s v="CLOUD CONNECTOR SLS11 TO SLS15 - SW.CN.5"/>
    <s v="12/2023"/>
    <n v="1"/>
    <n v="212438.2"/>
    <n v="7667.09"/>
    <n v="204771.11000000002"/>
    <x v="0"/>
    <x v="0"/>
    <s v="Business Intelligence "/>
    <s v="Upgrade servers for the Cloud Connector from SLS11 to SLS15. Will be moving from on-premise to the cloud. SLS11 has been out of support since end of 2019. Moving Cloud Connector servers from on-premise to the cloud PSE Historical usage"/>
  </r>
  <r>
    <s v="Intangible Plant, Common"/>
    <s v="Common (E &amp; G)"/>
    <s v="Intangibles, King County outside RTA District, WA : INT-0000 WA01700000"/>
    <n v="63355575"/>
    <s v="C303 INT Misc Intangible Plant"/>
    <n v="143005945"/>
    <s v="COVID-19 CAP COSTS FOR WUTC - SW.CN"/>
    <s v="COVID-19 CAP COSTS FOR WUTC - SW.CN.3YR"/>
    <s v="12/2023"/>
    <n v="1"/>
    <n v="744122.07000000007"/>
    <n v="26856.05"/>
    <n v="717266.02"/>
    <x v="0"/>
    <x v="2"/>
    <s v="Industrial Billing "/>
    <s v="Deferred RCD Dunning Enablement, Update extended Payment Arrangements from 12 months to 18 months, Reverse 2020 Changes for Security Deposits and Connect/Disconnect and late fees, Ongoing COVID-19 efforts for PSE to comply with new guidance from WUTC. New integrated payment platform for customers to pay their bill at PSE.com."/>
  </r>
  <r>
    <s v="Intangible Plant, Common"/>
    <s v="Common (E &amp; G)"/>
    <s v="Intangibles, King County outside RTA District, WA : INT-0000 WA01700000"/>
    <n v="63355586"/>
    <s v="C303 INT Misc Intangible Plant"/>
    <n v="143006420"/>
    <s v="MDMS LICENSE EXTENSION - SW.CN.5YR"/>
    <s v="MDMS LICENSE EXTENSION - SW.CN.5YR"/>
    <s v="12/2023"/>
    <n v="1"/>
    <n v="37832.629999999997"/>
    <n v="11159.74"/>
    <n v="26672.89"/>
    <x v="0"/>
    <x v="2"/>
    <s v="Meter Reading System "/>
    <s v="Annual increase in MDMS licenses to support meter growth."/>
  </r>
  <r>
    <s v="Intangible Plant, Common"/>
    <s v="Common (E &amp; G)"/>
    <s v="Intangibles, King County outside RTA District, WA : INT-0000 WA01700000"/>
    <n v="63355614"/>
    <s v="C303 INT Misc Intangible Plant"/>
    <n v="143006468"/>
    <s v="IDENTITY STRATEGY 2022 . SW.CN.5YRS"/>
    <s v="IDENTITY STRATEGY 2022 – SW.CN.5YRS"/>
    <s v="12/2023"/>
    <n v="1"/>
    <n v="737739.57000000007"/>
    <n v="26625.7"/>
    <n v="711113.87"/>
    <x v="0"/>
    <x v="0"/>
    <s v="Business Intelligence "/>
    <s v="Identity Strategy work for 2022 - includes role-based Access Control and CA update, including additional features like Governance Minder Additional features being added including Governance Minder"/>
  </r>
  <r>
    <s v="Intangible Plant, Common"/>
    <s v="Common (E &amp; G)"/>
    <s v="Intangibles, King County outside RTA District, WA : INT-0000 WA01700000"/>
    <n v="63355650"/>
    <s v="C303 INT Misc Intangible Plant"/>
    <n v="143006707"/>
    <s v="SPLUNK MONITORING FOR NERC - SW.CN."/>
    <s v="SPLUNK MONITORING FOR NERC - SW.CN.5YRS"/>
    <s v="12/2023"/>
    <n v="1"/>
    <n v="20536.79"/>
    <n v="741.19"/>
    <n v="19795.600000000002"/>
    <x v="0"/>
    <x v="0"/>
    <s v="Business Intelligence "/>
    <s v="Onboard multiple data sources, Installing / updating Splunk Apps and Add-ons, Add / Update lookup tables for NERC Identities. Splunk Security Information and Event Management Enhancements to build out NERC monitoring to match the Corporate Environment."/>
  </r>
  <r>
    <s v="Intangible Plant, Common"/>
    <s v="Common (E &amp; G)"/>
    <s v="Intangibles, King County outside RTA District, WA : INT-0000 WA01700000"/>
    <n v="63355672"/>
    <s v="C303 INT Misc Intangible Plant"/>
    <n v="143007100"/>
    <s v="ERX MIGRATION - SW.CN.5YRS"/>
    <s v="ERX MIGRATION - SW.CN.5YRS"/>
    <s v="12/2023"/>
    <n v="1"/>
    <n v="86238.400000000009"/>
    <n v="3112.42"/>
    <n v="83125.98"/>
    <x v="0"/>
    <x v="6"/>
    <s v="EXCLUDED - GAS SOFTWARE"/>
    <s v="SW in Honeywell ERXs (Electronic Data Recorders) in the field. This instrument is installed all over our gas territory and works as an automated data collector replacing our manual paper charts."/>
  </r>
  <r>
    <s v="Intangible Plant, Common"/>
    <s v="Common (E &amp; G)"/>
    <s v="Intangibles, King County outside RTA District, WA : INT-0000 WA01700000"/>
    <n v="63355684"/>
    <s v="C303 INT Misc Intangible Plant"/>
    <n v="143007191"/>
    <s v="2022 BLUEBEAM REVU EXTREME - SW.CN."/>
    <s v="2022 BLUEBEAM REVU EXTREME - SW.CN.5YRS"/>
    <s v="12/2023"/>
    <n v="1"/>
    <n v="38647.5"/>
    <n v="1394.82"/>
    <n v="37252.68"/>
    <x v="0"/>
    <x v="0"/>
    <s v="Miscellaneous Software "/>
    <s v="Purchasing additional BlueBeam Revu eXtreme licenses for PSE Engineering use."/>
  </r>
  <r>
    <s v="Intangible Plant, Common"/>
    <s v="Common (E &amp; G)"/>
    <s v="Intangibles, King County outside RTA District, WA : INT-0000 WA01700000"/>
    <n v="63631863"/>
    <s v="C303 INT Misc Intangible Plant"/>
    <n v="143006426"/>
    <s v="ENTERPRISE PPM TOOL- SW.CS.5YR"/>
    <s v="ENTERPRISE PPM TOOL- SW.CS.5YR"/>
    <s v="12/2023"/>
    <n v="1"/>
    <n v="3016387.93"/>
    <n v="108864.22"/>
    <n v="2907523.71"/>
    <x v="0"/>
    <x v="0"/>
    <s v="Management Information "/>
    <s v="The Enterprise Project Portfolio Management (PPM) tool will provide leadership with visibility into project prioritization and portfolio performance. It will be a shared PPM tool across the organization. PSE Historical usage. One of the existing tools currently used at PSE (i.e. ServiceNow or EcoSys) will be modified/enhanced for enterprise use."/>
  </r>
  <r>
    <s v="Intangible Plant, Common"/>
    <s v="Common (E &amp; G)"/>
    <s v="Intangibles, King County outside RTA District, WA : INT-0000 WA01700000"/>
    <n v="63631870"/>
    <s v="C303 INT Misc Intangible Plant"/>
    <n v="143006444"/>
    <s v="LEAK DATA &amp; METHANE DATA MGMT . SW."/>
    <s v="LEAK DATA &amp; METHANE DATA MGMT – SW.CN.5Y"/>
    <s v="12/2023"/>
    <n v="1"/>
    <n v="65758.47"/>
    <n v="19397.2"/>
    <n v="46361.270000000004"/>
    <x v="0"/>
    <x v="6"/>
    <s v="EXCLUDED - GAS SOFTWARE"/>
    <s v="Leak Data and Methane Data Management and Analysis portion of DEEPUC workstream for DEEP. DEEP is a process-intense initiative to enhance and leverage existing tools to implement mechanisms to monitor, report, remediate, and track compliance to auditable Data Governance Controls and Processes.  This enhanced functionality will  measure compliance and improve data quality in order to increase self-service options for customers and employees."/>
  </r>
  <r>
    <s v="Intangible Plant, Common"/>
    <s v="Common (E &amp; G)"/>
    <s v="Intangibles, King County outside RTA District, WA : INT-0000 WA01700000"/>
    <n v="63703068"/>
    <s v="C303 INT Misc Intangible Plant"/>
    <n v="143005896"/>
    <s v="SAP BW 7.5 FUNCTIONAL UPGRADE - SW."/>
    <s v="SAP BW 7.5 FUNCTIONAL UPGRADE - SW.CN.10"/>
    <s v="12/2023"/>
    <n v="1"/>
    <n v="16812.05"/>
    <n v="606.76"/>
    <n v="16205.29"/>
    <x v="0"/>
    <x v="0"/>
    <s v="Miscellaneous Software "/>
    <s v="SAP Business Warehouse Upgrade"/>
  </r>
  <r>
    <s v="Intangible Plant, Common"/>
    <s v="Common (E &amp; G)"/>
    <s v="Intangibles, King County outside RTA District, WA : INT-0000 WA01700000"/>
    <n v="63703071"/>
    <s v="C303 INT Misc Intangible Plant"/>
    <n v="143005920"/>
    <s v="VOICE RECORDING TECH REFRESH - SW.C"/>
    <s v="VOICE RECORDING TECH REFRESH - SW.CN.5YR"/>
    <s v="12/2023"/>
    <n v="1"/>
    <n v="11682.27"/>
    <n v="421.62"/>
    <n v="11260.65"/>
    <x v="0"/>
    <x v="0"/>
    <s v="Miscellaneous Software "/>
    <s v="Upgrade VPI voice recording system with Uptivity."/>
  </r>
  <r>
    <s v="Intangible Plant, Common"/>
    <s v="Common (E &amp; G)"/>
    <s v="Intangibles, King County outside RTA District, WA : INT-0000 WA01700000"/>
    <n v="63986822"/>
    <s v="C303 INT Misc Intangible Plant"/>
    <n v="143007462"/>
    <s v="RECORDED FUTURE - SW.CN.5YRS"/>
    <s v="RECORDED FUTURE - SW.CN.5YRS"/>
    <s v="12/2023"/>
    <n v="1"/>
    <n v="61142.200000000004"/>
    <n v="2206.6799999999998"/>
    <n v="58935.520000000004"/>
    <x v="0"/>
    <x v="0"/>
    <s v="Miscellaneous Software "/>
    <s v="Threat Intelligence Data Enrichment Software implementation_x000a_to gain real-time visibility into threat information"/>
  </r>
  <r>
    <s v="Intangible Plant, Common"/>
    <s v="Common (E &amp; G)"/>
    <s v="Intangibles, King County outside RTA District, WA : INT-0000 WA01700000"/>
    <n v="64102451"/>
    <s v="C303 INT Misc Intangible Plant"/>
    <n v="143006780"/>
    <s v="SUCCESSFACTORS ENHANCEMENT PACK-202"/>
    <s v="SUCCESSFACTORS ENHANCEMENT PACK-2022Q3-4"/>
    <s v="12/2023"/>
    <n v="1"/>
    <n v="31187.46"/>
    <n v="1125.58"/>
    <n v="30061.88"/>
    <x v="0"/>
    <x v="0"/>
    <s v="Employee Information/Training System"/>
    <s v="This workorder tracks the effort toward the scope, plan, design, configure, test and implement enhancements to the SAP SuccessFactors suite of applications.  This includes the semi-annual releases for this Cloud application. UOP: SAP SuccessFactors suite of applications -- Employee Central, Recruiting, Recruitment Marketing, Onboarding, Performance mgmt., Goal mgmt., Career development, Succession planning, Continuous performance management, job bidding, grievance tracking, content management, case management, knowledge.  Software itself already implemented, software licensing covered under IT Shared Services O&amp;M.  This workorder is for the upgrade and enhancement."/>
  </r>
  <r>
    <s v="Intangible Plant, Common"/>
    <s v="Common (E &amp; G)"/>
    <s v="Intangibles, King County outside RTA District, WA : INT-0000 WA01700000"/>
    <n v="64102493"/>
    <s v="C303 INT Misc Intangible Plant"/>
    <n v="143007263"/>
    <s v="VOLT-VAR OPTIMIZATION VOLTAGE DASHB"/>
    <s v="VOLT-VAR OPTIMIZATION VOLTAGE DASHBOARD"/>
    <s v="12/2023"/>
    <n v="1"/>
    <n v="261979.96"/>
    <n v="9455.1"/>
    <n v="252524.86000000002"/>
    <x v="0"/>
    <x v="2"/>
    <s v="Meter Reading System "/>
    <s v="To provide voltage data analytics at Substation and Meter levels, and to identify instances of concerns by meter and total voltage health etc. The visibility to the end of line voltages on a circuit would help drive the change and identify valuable opportunities to improve upon and take appropriate actions"/>
  </r>
  <r>
    <s v="Intangible Plant, Common"/>
    <s v="Common (E &amp; G)"/>
    <s v="Intangibles, King County outside RTA District, WA : INT-0000 WA01700000"/>
    <n v="64285983"/>
    <s v="C303 INT Misc Intangible Plant"/>
    <n v="143007192"/>
    <s v="2022 MICROSOFT VISUAL STUDIOS - SW."/>
    <s v="2022 MICROSOFT VISUAL STUDIOS - SW.CN.3Y"/>
    <s v="12/2023"/>
    <n v="1"/>
    <n v="23589.34"/>
    <n v="851.36"/>
    <n v="22737.98"/>
    <x v="0"/>
    <x v="0"/>
    <s v="Miscellaneous Software "/>
    <s v="Purchasing additional Microsoft Visual Studios Licensing for PSE IT use"/>
  </r>
  <r>
    <s v="Intangible Plant, Common"/>
    <s v="Common (E &amp; G)"/>
    <s v="Intangibles, King County outside RTA District, WA : INT-0000 WA01700000"/>
    <n v="64449714"/>
    <s v="C303 INT Misc Intangible Plant"/>
    <n v="143007243"/>
    <s v="2023 Q1 FINANCE AER'S - SW.CS.3YRS"/>
    <s v="2023 Q1 FINANCE AER'S - SW.CS.3YRS"/>
    <s v="12/2023"/>
    <n v="1"/>
    <n v="27461.93"/>
    <n v="991.13"/>
    <n v="26470.799999999999"/>
    <x v="0"/>
    <x v="0"/>
    <s v="Miscellaneous Software "/>
    <s v="2023 Q1 Finance small application system enhancements"/>
  </r>
  <r>
    <s v="Intangible Plant, Common"/>
    <s v="Common (E &amp; G)"/>
    <s v="Intangibles, King County outside RTA District, WA : INT-0000 WA01700000"/>
    <n v="64449717"/>
    <s v="C303 INT Misc Intangible Plant"/>
    <n v="143007244"/>
    <s v="2023 Q1 OPERATION AER'S - SW.CS.3YR"/>
    <s v="2023 Q1 OPERATION AER'S - SW.CS.3YRS"/>
    <s v="12/2023"/>
    <n v="1"/>
    <n v="136058.4"/>
    <n v="4910.47"/>
    <n v="131147.93"/>
    <x v="0"/>
    <x v="0"/>
    <s v="Miscellaneous Software "/>
    <s v="2023 Q1 Operation small application system enhancements"/>
  </r>
  <r>
    <s v="Intangible Plant, Common"/>
    <s v="Common (E &amp; G)"/>
    <s v="Intangibles, King County outside RTA District, WA : INT-0000 WA01700000"/>
    <n v="64449720"/>
    <s v="C303 INT Misc Intangible Plant"/>
    <n v="143007245"/>
    <s v="2023 Q1 CUSTOMER AER'S - SW.CS.3YRS"/>
    <s v="2023 Q1 CUSTOMER AER'S - SW.CS.3YRS"/>
    <s v="12/2023"/>
    <n v="1"/>
    <n v="104822.86"/>
    <n v="3783.15"/>
    <n v="101039.71"/>
    <x v="0"/>
    <x v="2"/>
    <s v="Customer Relationship Management "/>
    <s v="2023 Q1 Customer small application system enhancements"/>
  </r>
  <r>
    <s v="Intangible Plant, Common"/>
    <s v="Common (E &amp; G)"/>
    <s v="Intangibles, King County outside RTA District, WA : INT-0000 WA01700000"/>
    <n v="64678962"/>
    <s v="C303 INT Misc Intangible Plant"/>
    <n v="143006448"/>
    <s v="ANNUAL NETWORK TECH REFRESH - SW.CN"/>
    <s v="ANNUAL NETWORK TECH REFRESH - SW.CN.5YR"/>
    <s v="12/2023"/>
    <n v="1"/>
    <n v="10967.960000000001"/>
    <n v="395.84000000000003"/>
    <n v="10572.12"/>
    <x v="0"/>
    <x v="0"/>
    <s v="Miscellaneous Software "/>
    <s v="Update/replace aging devices to improve performance, reliability and maintainability."/>
  </r>
  <r>
    <s v="Intangible Plant, Common"/>
    <s v="Common (E &amp; G)"/>
    <s v="Intangibles, King County outside RTA District, WA : INT-0000 WA01700000"/>
    <n v="64679000"/>
    <s v="C303 INT Misc Intangible Plant"/>
    <n v="143006722"/>
    <s v="2022 SERVICENOW - MAPPING - SW.CN.5"/>
    <s v="2022 SERVICENOW - MAPPING - SW.CN.5YR"/>
    <s v="12/2023"/>
    <n v="1"/>
    <n v="345492.01"/>
    <n v="12469.12"/>
    <n v="333022.89"/>
    <x v="0"/>
    <x v="0"/>
    <s v="Miscellaneous Software "/>
    <s v="Service Mapping. Link 3 Business Applications to related Configuration Item's (CI) and Services, following CSDM Model. Improve incident resolution, change analysis, availability tracking, monitoring, EA, DR. UOP:SW Enhancements to ServiceNow to improve incident resolution, change analysis, availability tracking, monitoring,"/>
  </r>
  <r>
    <s v="Intangible Plant, Common"/>
    <s v="Common (E &amp; G)"/>
    <s v="Intangibles, King County outside RTA District, WA : INT-0000 WA01700000"/>
    <n v="64679003"/>
    <s v="C303 INT Misc Intangible Plant"/>
    <n v="143006723"/>
    <s v="2022 SERVICENOW - BACKLOG - SW.CN.5"/>
    <s v="2022 SERVICENOW - BACKLOG - SW.CN.5YRS"/>
    <s v="12/2023"/>
    <n v="1"/>
    <n v="462247.31"/>
    <n v="16682.93"/>
    <n v="445564.38"/>
    <x v="0"/>
    <x v="0"/>
    <s v="Miscellaneous Software "/>
    <s v="Backlog &amp; Minor Workstreams: Software Asset Mgmt. (SAM); Resource Management Pilot; Mgmt. Oversight &amp; Licensing. Backlog: stakeholder team to prioritize epics/stories or allocate capacity by product area. SAM: Enhance configuration to support auto installation/removal and additional titles. Resource Mgmt.: limited pilot: consider CAP + OM, forecasts + actuals, at team/skill level._x000a__x000a_UOP: SW Enhancements to ServiceNow to support auto installation/removal and resource management"/>
  </r>
  <r>
    <s v="Intangible Plant, Common"/>
    <s v="Common (E &amp; G)"/>
    <s v="Intangibles, King County outside RTA District, WA : INT-0000 WA01700000"/>
    <n v="64816065"/>
    <s v="C303 INT Misc Intangible Plant"/>
    <n v="143006449"/>
    <s v="ANNUAL ENTERPRISE APP GROWTH - SW.C"/>
    <s v="ANNUAL ENTERPRISE APP GROWTH - SW.CN.5YR"/>
    <s v="12/2023"/>
    <n v="1"/>
    <n v="38336.700000000004"/>
    <n v="1383.6100000000001"/>
    <n v="36953.090000000004"/>
    <x v="0"/>
    <x v="0"/>
    <s v="Miscellaneous Software "/>
    <s v="License growth in enterprise-wide applications, such as Adobe Acrobat, Visio"/>
  </r>
  <r>
    <s v="Intangible Plant, Common"/>
    <s v="Common (E &amp; G)"/>
    <s v="Intangibles, King County outside RTA District, WA : INT-0000 WA01700000"/>
    <n v="64816092"/>
    <s v="C303 INT Misc Intangible Plant"/>
    <n v="143006801"/>
    <s v="SITECORE 9.3 TO 10.2 UPGRADE - SW.C"/>
    <s v="SITECORE 9.3 TO 10.2 UPGRADE - SW.CN.5YR"/>
    <s v="12/2023"/>
    <n v="1"/>
    <n v="1356429.56"/>
    <n v="48954.79"/>
    <n v="1307474.77"/>
    <x v="0"/>
    <x v="0"/>
    <s v="Miscellaneous Software "/>
    <s v="Software upgrade of Sitecore from 9.3 to 10.2"/>
  </r>
  <r>
    <s v="Intangible Plant, Common"/>
    <s v="Common (E &amp; G)"/>
    <s v="Intangibles, King County outside RTA District, WA : INT-0000 WA01700000"/>
    <n v="64905503"/>
    <s v="C303 INT Misc Intangible Plant"/>
    <n v="143007106"/>
    <s v="COMMUNITY DATA TOOL - SW.CN.5YRS"/>
    <s v="COMMUNITY DATA TOOL - SW.CN.5YRS"/>
    <s v="12/2023"/>
    <n v="1"/>
    <n v="122672.06"/>
    <n v="4427.3500000000004"/>
    <n v="118244.71"/>
    <x v="0"/>
    <x v="0"/>
    <s v="Key Performance Indicators "/>
    <s v="A dashboard with annual gas/electric usage data that can be filtered by a specific municipality or zip code which will enable the Government Relations Team to answer data requests from municipalities in support of clean energy initiatives."/>
  </r>
  <r>
    <s v="Intangible Plant, Common"/>
    <s v="Common (E &amp; G)"/>
    <s v="Intangibles, King County outside RTA District, WA : INT-0000 WA01700000"/>
    <n v="65089188"/>
    <s v="C303 INT Misc Intangible Plant"/>
    <n v="143006820"/>
    <s v="DIRECTORY SERVICES OPTIMIZATION- SW"/>
    <s v="DIRECTORY SERVICES OPTIMIZATION- SW.CN.5"/>
    <s v="12/2023"/>
    <n v="1"/>
    <n v="115491.54000000001"/>
    <n v="4168.2"/>
    <n v="111323.34"/>
    <x v="0"/>
    <x v="0"/>
    <s v="Miscellaneous Software "/>
    <s v="Automation and processes to allow for self-service creation of Active Directory accounts such as service, test and mailbox accounts."/>
  </r>
  <r>
    <s v="Intangible Plant, Common"/>
    <s v="Common (E &amp; G)"/>
    <s v="Intangibles, King County outside RTA District, WA : INT-0000 WA01700000"/>
    <n v="65324060"/>
    <s v="C303 INT Misc Intangible Plant"/>
    <n v="143006441"/>
    <s v="CUST EXPERIENCE ENHANCEMENT -  SW.C"/>
    <s v="CUST EXPERIENCE ENHANCEMENT -  SW.CN.5Y"/>
    <s v="12/2023"/>
    <n v="1"/>
    <n v="1951908.99"/>
    <n v="70446.19"/>
    <n v="1881462.8"/>
    <x v="0"/>
    <x v="2"/>
    <s v="Customer Relationship Management "/>
    <s v="Operational Program for Customer Enhancement - The Puget Sound Energy (PSE) Get to Zero (GTZ) Web 4.0 Customer Experience Enhancement Program will improve customer experience and support delivery of PSE's primary purpose – providing safe, dependable and efficient regulated utility services – by adding new features and enhancing existing features on the www.pse.com website, PSE mobile app, and Visual Interactive Voice Response (VIVR)."/>
  </r>
  <r>
    <s v="Intangible Plant, Common"/>
    <s v="Common (E &amp; G)"/>
    <s v="Intangibles, King County outside RTA District, WA : INT-0000 WA01700000"/>
    <n v="65324090"/>
    <s v="C303 INT Misc Intangible Plant"/>
    <n v="143007589"/>
    <s v="2023 Q2 OPERATION AER'S - SW.CS.3YR"/>
    <s v="2023 Q2 OPERATION AER'S - SW.CS.3YRS"/>
    <s v="12/2023"/>
    <n v="1"/>
    <n v="92336.94"/>
    <n v="3332.53"/>
    <n v="89004.41"/>
    <x v="0"/>
    <x v="0"/>
    <s v="Miscellaneous Software "/>
    <s v="2023 Q2 Operation small application system enhancements"/>
  </r>
  <r>
    <s v="Intangible Plant, Common"/>
    <s v="Common (E &amp; G)"/>
    <s v="Intangibles, King County outside RTA District, WA : INT-0000 WA01700000"/>
    <n v="65501992"/>
    <s v="C303 INT Misc Intangible Plant"/>
    <n v="143005206"/>
    <s v="MICROSOFT 365 E3 LICENSING - SW.CN."/>
    <s v="MICROSOFT 365 E3 LICENSING - SW.CN.3YR"/>
    <s v="12/2023"/>
    <n v="1"/>
    <n v="215501.25"/>
    <n v="7777.64"/>
    <n v="207723.61000000002"/>
    <x v="0"/>
    <x v="0"/>
    <s v="Miscellaneous Software "/>
    <s v="Microsoft Office 365 E3 License (3 Year) "/>
  </r>
  <r>
    <s v="Intangible Plant, Common"/>
    <s v="Common (E &amp; G)"/>
    <s v="Intangibles, King County outside RTA District, WA : INT-0000 WA01700000"/>
    <n v="65501995"/>
    <s v="C303 INT Misc Intangible Plant"/>
    <n v="143005902"/>
    <s v="CLOUD COST TOOLING REFRESH - SW.CN."/>
    <s v="CLOUD COST TOOLING REFRESH - SW.CN.5YR"/>
    <s v="12/2023"/>
    <n v="1"/>
    <n v="46884.63"/>
    <n v="1692.1100000000001"/>
    <n v="45192.520000000004"/>
    <x v="0"/>
    <x v="0"/>
    <s v="Miscellaneous Software "/>
    <s v="Refresh the Cloud Cost Optimization/Security Automation Tooling, leveraging Cloud Health, a SaaS based tool"/>
  </r>
  <r>
    <s v="Intangible Plant, Common"/>
    <s v="Common (E &amp; G)"/>
    <s v="Intangibles, King County outside RTA District, WA : INT-0000 WA01700000"/>
    <n v="65502034"/>
    <s v="C303 INT Misc Intangible Plant"/>
    <n v="143007217"/>
    <s v="CUST EXPERIENCE ENHANCEMENT PROG - "/>
    <s v="CUST EXPERIENCE ENHANCEMENT PROG - SW.CN"/>
    <s v="12/2023"/>
    <n v="1"/>
    <n v="198083.83000000002"/>
    <n v="7149.03"/>
    <n v="190934.80000000002"/>
    <x v="0"/>
    <x v="2"/>
    <s v="Customer Relationship Management "/>
    <s v="The Puget Sound Energy (PSE) Get to Zero (GTZ) Web 4.0 Customer Experience Enhancement Program will improve customer experience and support delivery of PSE's primary purpose – providing safe, dependable and efficient regulated utility services – by adding new features and enhancing existing features on the www.pse.com website, PSE mobile app, and Visual Interactive Voice Response (VIVR)."/>
  </r>
  <r>
    <s v="Intangible Plant, Common"/>
    <s v="Common (E &amp; G)"/>
    <s v="Intangibles, King County outside RTA District, WA : INT-0000 WA01700000"/>
    <n v="65620443"/>
    <s v="C303 INT Misc Intangible Plant"/>
    <n v="143007248"/>
    <s v="ANNUAL SERVICENOW PLATFORM UPGRADES"/>
    <s v="ANNUAL SERVICENOW PLATFORM UPGRADES - SW"/>
    <s v="12/2023"/>
    <n v="1"/>
    <n v="35417.21"/>
    <n v="1278.24"/>
    <n v="34138.97"/>
    <x v="0"/>
    <x v="0"/>
    <s v="Miscellaneous Software "/>
    <s v="ServiceNow SaaS platform upgrade to stay N-1, minimum upgrade once a year. This is contractually required to keep using the ServiceNow SaaS platform."/>
  </r>
  <r>
    <s v="Intangible Plant, Common"/>
    <s v="Common (E &amp; G)"/>
    <s v="Intangibles, King County outside RTA District, WA : INT-0000 WA01700000"/>
    <n v="65894605"/>
    <s v="C303 INT Misc Intangible Plant"/>
    <n v="143007501"/>
    <s v="CEEP FORMS ENHANCEMENT - SW.CS.5YRS"/>
    <s v="CEEP FORMS ENHANCEMENT - SW.CS.5YRS"/>
    <s v="12/2023"/>
    <n v="1"/>
    <n v="59428.91"/>
    <n v="2144.84"/>
    <n v="57284.07"/>
    <x v="0"/>
    <x v="2"/>
    <s v="Work Management/Outage Management "/>
    <s v="Enhance forms as they process on the back-end. Will enhance forms to process on the back-end workflows with file  attachments rather than hyperlinks. This functionality is identified as critical by the business customer during product demonstration. "/>
  </r>
  <r>
    <s v="Intangible Plant, Common"/>
    <s v="Common (E &amp; G)"/>
    <s v="Intangibles, King County outside RTA District, WA : INT-0000 WA01700000"/>
    <n v="65894608"/>
    <s v="C303 INT Misc Intangible Plant"/>
    <n v="143007502"/>
    <s v="CEEP EGAIN NOTIFICATION - SW.CS.5YR"/>
    <s v="CEEP EGAIN NOTIFICATION - SW.CS.5YRS"/>
    <s v="12/2023"/>
    <n v="1"/>
    <n v="59428.91"/>
    <n v="2144.84"/>
    <n v="57284.07"/>
    <x v="0"/>
    <x v="2"/>
    <s v="Work Management/Outage Management "/>
    <s v="Enhance outage notification functionality. Enhance the outage notification functionality to notify the customer when the eGain system is down and unable to process forms. (RITM0080737)"/>
  </r>
  <r>
    <s v="Intangible Plant, Common"/>
    <s v="Common (E &amp; G)"/>
    <s v="Intangibles, King County outside RTA District, WA : INT-0000 WA01700000"/>
    <n v="66096355"/>
    <s v="C303 INT Misc Intangible Plant"/>
    <n v="143007043"/>
    <s v="IBEW LOAD OFFICE EMPLOYEE SAP CHANG"/>
    <s v="IBEW LOAD OFFICE EMPLOYEE SAP CHANGES -"/>
    <s v="12/2023"/>
    <n v="1"/>
    <n v="295861.72000000003"/>
    <n v="10677.92"/>
    <n v="285183.8"/>
    <x v="0"/>
    <x v="0"/>
    <s v="Employee Information/Human Resources "/>
    <s v="HR would like to request capital funding for a part-time project manager in support of HR and IT’s work to implement a new employee group, IBEW LO, for represented Load Office employees. The Load Office employees voted to organize in 2020 and the Labor team has been negotiating a first contract with the group since that time.  We anticipate the contract will go to vote in the coming months, and once ratified, PSE will be required to update employee records and systems in order to comply with the collective bargaining agreement.  Updates will be required to employee records across business systems, business and system rules based on Employee Group, and with our benefits administration partners.  The Project Manager would coordinate updates including SAP configuration and development changes by IT, SuccessFactors updates by HR, and updates with other benefits vendors and downstream systems."/>
  </r>
  <r>
    <s v="Intangible Plant, Common"/>
    <s v="Common (E &amp; G)"/>
    <s v="Intangibles, King County outside RTA District, WA : INT-0000 WA01700000"/>
    <n v="66096368"/>
    <s v="C303 INT Misc Intangible Plant"/>
    <n v="143007253"/>
    <s v="TWILIO/SENDGRID REPLACEMENT - SW.CN"/>
    <s v="TWILIO/SENDGRID REPLACEMENT - SW.CN.3YRS"/>
    <s v="12/2023"/>
    <n v="1"/>
    <n v="772496.25"/>
    <n v="27880.100000000002"/>
    <n v="744616.15"/>
    <x v="0"/>
    <x v="0"/>
    <s v="Miscellaneous Software "/>
    <s v="Replace Twilio/SendGrid notifications platform with comparable AWS technologies by June 2023."/>
  </r>
  <r>
    <s v="Intangible Plant, Common"/>
    <s v="Common (E &amp; G)"/>
    <s v="Intangibles, King County outside RTA District, WA : INT-0000 WA01700000"/>
    <n v="66096373"/>
    <s v="C303 INT Misc Intangible Plant"/>
    <n v="143007592"/>
    <s v="GIS ACCURACY - SW.CN.5YRS"/>
    <s v="GIS ACCURACY - SW.CN.5YRS"/>
    <s v="12/2023"/>
    <n v="1"/>
    <n v="117879.44"/>
    <n v="4254.38"/>
    <n v="113625.06"/>
    <x v="0"/>
    <x v="2"/>
    <s v="Geographic Information System (GIS)"/>
    <s v="This use case entails cleaning data and using data science models bucket &amp; categorize GIS data. The output of the model will be used to feed a tool to help the Maps &amp; Records team prioritize revisions  for compliance with their latest audit."/>
  </r>
  <r>
    <s v="Intangible Plant, Common"/>
    <s v="Common (E &amp; G)"/>
    <s v="Intangibles, King County outside RTA District, WA : INT-0000 WA01700000"/>
    <n v="66096376"/>
    <s v="C303 INT Misc Intangible Plant"/>
    <n v="143007609"/>
    <s v="TRANSMISSION PLANNING - SW.CN.5YRS"/>
    <s v="TRANSMISSION PLANNING - SW.CN.5YRS"/>
    <s v="12/2023"/>
    <n v="1"/>
    <n v="220654.7"/>
    <n v="7963.63"/>
    <n v="212691.07"/>
    <x v="0"/>
    <x v="4"/>
    <s v="System Operations "/>
    <s v="This use case entails extracting data out of Power World and automating some of the file extracts that are used for power flow analysis. Hope is to build an extract, transform, and load process and apply business rules to reduce the amount of manual scrubbing that is done today._x000a_"/>
  </r>
  <r>
    <s v="Intangible Plant, Common"/>
    <s v="Common (E &amp; G)"/>
    <s v="Intangibles, King County outside RTA District, WA : INT-0000 WA01700000"/>
    <n v="66609907"/>
    <s v="C303 INT Misc Intangible Plant"/>
    <n v="143007219"/>
    <s v="INSTALLMENT PLAN RESOLUTION - SW.CN"/>
    <s v="INSTALLMENT PLAN RESOLUTION - SW.CN.5YRS"/>
    <s v="12/2023"/>
    <n v="2"/>
    <n v="3059.73"/>
    <n v="110.43"/>
    <n v="2949.3"/>
    <x v="0"/>
    <x v="2"/>
    <s v="Customer Information System (CIS) "/>
    <s v="Resolve issues related to how past due amounts are tracked for customers who created payment installment plans."/>
  </r>
  <r>
    <s v="Intangible Plant, Common"/>
    <s v="Common (E &amp; G)"/>
    <s v="Intangibles, King County outside RTA District, WA : INT-0000 WA01700000"/>
    <n v="66819010"/>
    <s v="C303 INT Misc Intangible Plant"/>
    <n v="143005900"/>
    <s v="ACTR 2021 - SW.CN.5YR"/>
    <s v="ACTR 2021 - SW.CN.5YR"/>
    <s v="12/2023"/>
    <n v="1"/>
    <n v="987834.08000000007"/>
    <n v="35651.840000000004"/>
    <n v="952182.24"/>
    <x v="0"/>
    <x v="2"/>
    <s v="Call Center Operations "/>
    <s v="Upgrade of the Contact Center UCCE environment to bring the software to N currency and increase reliability"/>
  </r>
  <r>
    <s v="Intangible Plant, Common"/>
    <s v="Common (E &amp; G)"/>
    <s v="Intangibles, King County outside RTA District, WA : INT-0000 WA01700000"/>
    <n v="66819015"/>
    <s v="C303 INT Misc Intangible Plant"/>
    <n v="143006067"/>
    <s v="VOICE RECORDING TECH REFRESH CORP T"/>
    <s v="VOICE RECORDING TECH REFRESH CORP TEL -"/>
    <s v="12/2023"/>
    <n v="1"/>
    <n v="158084.51"/>
    <n v="5705.42"/>
    <n v="152379.09"/>
    <x v="0"/>
    <x v="1"/>
    <s v="Energy Trading and Tagging "/>
    <s v="Voice Recording Tech Refresh SW - Corporate Telephony. Refresh the version of recording software that is being used by PSE operational groups, such as Systems Operations, and the Energy Traders."/>
  </r>
  <r>
    <s v="Intangible Plant, Common"/>
    <s v="Common (E &amp; G)"/>
    <s v="Intangibles, King County outside RTA District, WA : INT-0000 WA01700000"/>
    <n v="66819020"/>
    <s v="C303 INT Misc Intangible Plant"/>
    <n v="143006069"/>
    <s v="VOICE RECORDING TECH REFRESH CONTAC"/>
    <s v="VOICE RECORDING TECH REFRESH CONTACT - S"/>
    <s v="12/2023"/>
    <n v="1"/>
    <n v="372807.74"/>
    <n v="13454.970000000001"/>
    <n v="359352.77"/>
    <x v="0"/>
    <x v="2"/>
    <s v="Call Center Operations "/>
    <s v="Voice Recording Tech Refresh SW - Contact Center. Refresh the version of recording software that is being used by Contact Center agents."/>
  </r>
  <r>
    <s v="Intangible Plant, Common"/>
    <s v="Common (E &amp; G)"/>
    <s v="Intangibles, King County outside RTA District, WA : INT-0000 WA01700000"/>
    <n v="66819037"/>
    <s v="C303 INT Misc Intangible Plant"/>
    <n v="143006520"/>
    <s v="IT ENTERPRISE ARCHITECTURE TOOL 202"/>
    <s v="IT ENTERPRISE ARCHITECTURE TOOL 2022 - S"/>
    <s v="12/2023"/>
    <n v="1"/>
    <n v="162419.6"/>
    <n v="5861.87"/>
    <n v="156557.73000000001"/>
    <x v="0"/>
    <x v="0"/>
    <s v="Miscellaneous Software "/>
    <s v="Deploy an enterprise architecture tool which will be used by IT architecture and stakeholders to support IT Architecture efforts from planning through execution"/>
  </r>
  <r>
    <s v="Intangible Plant, Common"/>
    <s v="Common (E &amp; G)"/>
    <s v="Intangibles, King County outside RTA District, WA : INT-0000 WA01700000"/>
    <n v="66819074"/>
    <s v="C303 INT Misc Intangible Plant"/>
    <n v="143007254"/>
    <s v="IT ENTERPRISE ARCHITECTURE (2023+) "/>
    <s v="IT ENTERPRISE ARCHITECTURE (2023+) - SW."/>
    <s v="12/2023"/>
    <n v="1"/>
    <n v="184143.81"/>
    <n v="6645.92"/>
    <n v="177497.89"/>
    <x v="0"/>
    <x v="0"/>
    <s v="Miscellaneous Software "/>
    <s v="Implement new features in PSE's IT Enterprise Architecture system to advance out EA modelling, strategy development, and road-mapping capabilities."/>
  </r>
  <r>
    <s v="Intangible Plant, Common"/>
    <s v="Common (E &amp; G)"/>
    <s v="Intangibles, King County outside RTA District, WA : INT-0000 WA01700000"/>
    <n v="67066558"/>
    <s v="C303 INT Misc Intangible Plant"/>
    <n v="143006514"/>
    <s v="CAP AND INVEST BILLING - SW.CN.5YRS"/>
    <s v="CAP AND INVEST BILLING - SW.CN.5YRS"/>
    <s v="12/2023"/>
    <n v="1"/>
    <n v="3262565.93"/>
    <n v="117749.01000000001"/>
    <n v="3144816.92"/>
    <x v="0"/>
    <x v="2"/>
    <s v="Customer Information System (CIS) "/>
    <s v="The Washington State Department of Ecology has set new requirements for gas and electric users – essentially a charge is to be levied against customers and collected through PSE billing. This project is to clarify requirements, identify systems, departmental, and procedural impacts, and deliver system and process changes so that PSE is ready by the end of this year to support this new law."/>
  </r>
  <r>
    <s v="Intangible Plant, Common"/>
    <s v="Common (E &amp; G)"/>
    <s v="Intangibles, King County outside RTA District, WA : INT-0000 WA01700000"/>
    <n v="67251670"/>
    <s v="C303 INT Misc Intangible Plant"/>
    <n v="143007463"/>
    <s v="CORTEX FORENSIC SOFTWARE LICENSES -"/>
    <s v="CORTEX FORENSIC SOFTWARE LICENSES - SW.C"/>
    <s v="12/2023"/>
    <n v="1"/>
    <n v="19284.350000000002"/>
    <n v="695.99"/>
    <n v="18588.36"/>
    <x v="0"/>
    <x v="0"/>
    <s v="Miscellaneous Software "/>
    <s v="Provides cyber forensic capabilities for existing Cortex"/>
  </r>
  <r>
    <s v="Intangible Plant, Common"/>
    <s v="Common (E &amp; G)"/>
    <s v="Intangibles, King County outside RTA District, WA : INT-0000 WA01700000"/>
    <n v="67251683"/>
    <s v="C303 INT Misc Intangible Plant"/>
    <n v="143007640"/>
    <s v="ZUSRSTAT TO BW ENHANCEMENT - SW.CN."/>
    <s v="ZUSRSTAT TO BW ENHANCEMENT - SW.CN.5YRS"/>
    <s v="12/2023"/>
    <n v="1"/>
    <n v="3937.71"/>
    <n v="142.12"/>
    <n v="3795.59"/>
    <x v="0"/>
    <x v="0"/>
    <s v="Miscellaneous Software "/>
    <s v="Add ZUSRSTAT (from Orders) to BW Info Cubes"/>
  </r>
  <r>
    <s v="Intangible Plant, Common"/>
    <s v="Common (E &amp; G)"/>
    <s v="Intangibles, King County outside RTA District, WA : INT-0000 WA01700000"/>
    <n v="67251686"/>
    <s v="C303 INT Misc Intangible Plant"/>
    <n v="143007687"/>
    <s v="LACIMA ENHANCEMENT 2023 - SW.CS.5YR"/>
    <s v="LACIMA ENHANCEMENT 2023 - SW.CS.5YR"/>
    <s v="12/2023"/>
    <n v="1"/>
    <n v="25892.3"/>
    <n v="934.48"/>
    <n v="24957.82"/>
    <x v="0"/>
    <x v="1"/>
    <s v="Energy Trading and Tagging "/>
    <s v="(ENHANCE LACIMA BOOK STRUCTURE)Implement Changes in Lacima and possibly Upstream and downstream systems, to adopt new power book structure."/>
  </r>
  <r>
    <s v="Intangible Plant, Common"/>
    <s v="Common (E &amp; G)"/>
    <s v="Intangibles, King County outside RTA District, WA : INT-0000 WA01700000"/>
    <n v="67251689"/>
    <s v="C303 INT Misc Intangible Plant"/>
    <n v="143007727"/>
    <s v="PSE WEB PLATFORM ENHANCEMENT 2023 -"/>
    <s v="PSE WEB PLATFORM ENHANCEMENT 2023 - SW.C"/>
    <s v="12/2023"/>
    <n v="1"/>
    <n v="25592.34"/>
    <n v="923.65"/>
    <n v="24668.690000000002"/>
    <x v="0"/>
    <x v="0"/>
    <s v="Employee Information/Human Resources "/>
    <s v="Security review and composite role enhancement to SCM roles in ECC, EWM and Ariba.  Requesting help from SAP MM to review and update the SAP security roles for all positions under Jim Pruchnic in order to streamline the hiring, in seat promotion and other processes as well as cleaning up decades old data. This will include ECC, EWM and Ariba."/>
  </r>
  <r>
    <s v="Intangible Plant, Common"/>
    <s v="Common (E &amp; G)"/>
    <s v="Intangibles, King County outside RTA District, WA : INT-0000 WA01700000"/>
    <n v="67734751"/>
    <s v="C303 INT Misc Intangible Plant"/>
    <n v="143007361"/>
    <s v="OUTAGE &amp; RESPONSE ANALYTICS - SW.CN"/>
    <s v="OUTAGE &amp; RESPONSE ANALYTICS - SW.CN.5YRS"/>
    <s v="12/2023"/>
    <n v="2"/>
    <n v="377515.02"/>
    <n v="13624.86"/>
    <n v="363890.16000000003"/>
    <x v="0"/>
    <x v="2"/>
    <s v="Work Management/Outage Management "/>
    <s v="Develop data analytics to segment customers’ outage restoration journeys and predict the estimated time of restoration for a new outage."/>
  </r>
  <r>
    <s v="Intangible Plant, Common"/>
    <s v="Common (E &amp; G)"/>
    <s v="Intangibles, King County outside RTA District, WA : INT-0000 WA01700000"/>
    <n v="67734754"/>
    <s v="C303 INT Misc Intangible Plant"/>
    <n v="143007560"/>
    <s v="MSA LOADSEER ENHANCEMENT - SW.CS.5Y"/>
    <s v="MSA LOADSEER ENHANCEMENT - SW.CS.5YRS"/>
    <s v="12/2023"/>
    <n v="1"/>
    <n v="47674.66"/>
    <n v="1720.6200000000001"/>
    <n v="45954.04"/>
    <x v="0"/>
    <x v="2"/>
    <s v="Meter Reading System "/>
    <s v="MSA, Load SEER and Windows based Metering Systems apps security enhancements (RITM0081143). This AER covers application upgrades for the MSA (Meter Shop Automation) application (implementation of the last vendor delivered upgrade package), Load SEER application (upgrade to 4.2 with several fixes required by the business) and security enhancement (implementation of Oracle Wallet) for our team's Windows apps"/>
  </r>
  <r>
    <s v="Intangible Plant, Common"/>
    <s v="Common (E &amp; G)"/>
    <s v="Intangibles, King County outside RTA District, WA : INT-0000 WA01700000"/>
    <n v="67734757"/>
    <s v="C303 INT Misc Intangible Plant"/>
    <n v="143007563"/>
    <s v="AUTOMATION FACTORY ENHANCEMENTS 202"/>
    <s v="AUTOMATION FACTORY ENHANCEMENTS 2023 - S"/>
    <s v="12/2023"/>
    <n v="1"/>
    <n v="85985.01"/>
    <n v="3103.28"/>
    <n v="82881.73"/>
    <x v="0"/>
    <x v="0"/>
    <s v="Miscellaneous Software "/>
    <s v="Multiple Enhancements for the Automation Factory. The current monthly parking is a manual process with Excel sheets, we are enhancing this process to use Form based solution with Power Automate"/>
  </r>
  <r>
    <s v="Intangible Plant, Common"/>
    <s v="Common (E &amp; G)"/>
    <s v="Intangibles, King County outside RTA District, WA : INT-0000 WA01700000"/>
    <n v="67734764"/>
    <s v="C303 INT Misc Intangible Plant"/>
    <n v="143007641"/>
    <s v="AURORA UPGRADE 2023 - SW.CN.5YRS"/>
    <s v="AURORA UPGRADE 2023 - SW.CN.5YRS"/>
    <s v="12/2023"/>
    <n v="1"/>
    <n v="19769.100000000002"/>
    <n v="713.49"/>
    <n v="19055.61"/>
    <x v="0"/>
    <x v="0"/>
    <s v="Planning Models "/>
    <s v="Upgrade Aurora for more processing power, shared datasets and future extensibility (RITM0083906). Implement SQL as an output for Aurora, additional hardware for faster processing is covered in separate request, RITM0085759."/>
  </r>
  <r>
    <s v="Intangible Plant, Common"/>
    <s v="Common (E &amp; G)"/>
    <s v="Intangibles, King County outside RTA District, WA : INT-0000 WA01700000"/>
    <n v="67734767"/>
    <s v="C303 INT Misc Intangible Plant"/>
    <n v="143007804"/>
    <s v="DAM SAFETY ENHANCEMENT 2023 - SW.CS"/>
    <s v="DAM SAFETY ENHANCEMENT 2023 - SW.CS.5YR"/>
    <s v="12/2023"/>
    <n v="1"/>
    <n v="13581.52"/>
    <n v="490.17"/>
    <n v="13091.35"/>
    <x v="0"/>
    <x v="0"/>
    <s v="Miscellaneous Software "/>
    <s v="The request is for the creation of an intranet web site that will display dam safety instrumentation data in plot format.  Plot pdfs are already created using other tools.  This web site will only be used for viewing the existing pdfs.  The most recent pdf is updated daily and would need to be posted to the web site on a daily basis.  A scope of work is attached.  Item 1 in the scope needs to be addressed first.  Item 2 is optional at this time."/>
  </r>
  <r>
    <s v="Intangible Plant, Common"/>
    <s v="Common (E &amp; G)"/>
    <s v="Intangibles, King County outside RTA District, WA : INT-0000 WA01700000"/>
    <n v="67734770"/>
    <s v="C303 INT Misc Intangible Plant"/>
    <n v="143007838"/>
    <s v="DEEP - TEXT TONE TRANSLATION- SW.CS"/>
    <s v="DEEP - TEXT TONE TRANSLATION- SW.CS.5YR"/>
    <s v="12/2023"/>
    <n v="2"/>
    <n v="61027.42"/>
    <n v="2202.54"/>
    <n v="58824.880000000005"/>
    <x v="0"/>
    <x v="0"/>
    <s v="Miscellaneous Software "/>
    <s v="The goal of this Use Case is to develop software that will accurately_x000a_translate English text into a variety of languages comprehensible to_x000a_those in the community and convey the intended tone of the text so PSE's_x000a_messaging and brand can be felt. This will be accomplished through the_x000a_use of Large Language Models (LLMs), a generative AI technology."/>
  </r>
  <r>
    <s v="Intangible Plant, Common"/>
    <s v="Common (E &amp; G)"/>
    <s v="Intangibles, King County outside RTA District, WA : INT-0000 WA01700000"/>
    <n v="68173295"/>
    <s v="C303 INT Misc Intangible Plant"/>
    <n v="143006400"/>
    <s v="WINDOWS SERVER 2012 UPGRADE - SW.CS"/>
    <s v="WINDOWS SERVER 2012 UPGRADE - SW.CS.5YR"/>
    <s v="12/2023"/>
    <n v="1"/>
    <n v="3579613.96"/>
    <n v="129191.56"/>
    <n v="3450422.4"/>
    <x v="0"/>
    <x v="0"/>
    <s v="Miscellaneous Software "/>
    <s v="Upgrade server software licensing from 2012 to 2019 Support for existing 2012 Windows Server ends in October 2023 so the 2019 upgrade is necessary to maintain server support."/>
  </r>
  <r>
    <s v="Intangible Plant, Common"/>
    <s v="Common (E &amp; G)"/>
    <s v="Intangibles, King County outside RTA District, WA : INT-0000 WA01700000"/>
    <n v="68173326"/>
    <s v="C303 INT Misc Intangible Plant"/>
    <n v="143006725"/>
    <s v="2023 DATA CENTER HARDWARE REFRESH -"/>
    <s v="2023 DATA CENTER HARDWARE REFRESH - SW.C"/>
    <s v="12/2023"/>
    <n v="1"/>
    <n v="612627.72"/>
    <n v="22110.3"/>
    <n v="590517.42000000004"/>
    <x v="0"/>
    <x v="0"/>
    <s v="Miscellaneous Software "/>
    <s v="Data Center Hardware Refresh for software/license needed to support/supplement the 2023 hardware purchases and labor to support this effort. The software costs are to-be-determined, as most of the project costs are for hardware procurement."/>
  </r>
  <r>
    <s v="Intangible Plant, Common"/>
    <s v="Common (E &amp; G)"/>
    <s v="Intangibles, King County outside RTA District, WA : INT-0000 WA01700000"/>
    <n v="68173331"/>
    <s v="C303 INT Misc Intangible Plant"/>
    <n v="143006804"/>
    <s v="MULTI-CHANNEL WORKFORCE MANAGEMENT "/>
    <s v="MULTI-CHANNEL WORKFORCE MANAGEMENT - SW."/>
    <s v="12/2023"/>
    <n v="1"/>
    <n v="1269752.1400000001"/>
    <n v="45826.520000000004"/>
    <n v="1223925.6200000001"/>
    <x v="0"/>
    <x v="0"/>
    <s v="Miscellaneous Software "/>
    <s v="Implementation of a new workforce management system that provides the capability for seamlessly managing multiple customer workforce functions (scheduling, time and attendance, union requirements, skill-based routing, forecasting) and tracking customer related incidents via channels including and not limited to email, chat and phone. Order type is software and common."/>
  </r>
  <r>
    <s v="Intangible Plant, Common"/>
    <s v="Common (E &amp; G)"/>
    <s v="Intangibles, King County outside RTA District, WA : INT-0000 WA01700000"/>
    <n v="68173334"/>
    <s v="C303 INT Misc Intangible Plant"/>
    <n v="143006920"/>
    <s v="COMPLEX BILLING - SW.CN.5YRS"/>
    <s v="COMPLEX BILLING - SW.CN.5YRS"/>
    <s v="12/2023"/>
    <n v="1"/>
    <n v="1906500.52"/>
    <n v="68807.360000000001"/>
    <n v="1837693.1600000001"/>
    <x v="0"/>
    <x v="2"/>
    <s v="Customer Information System (CIS) "/>
    <s v="Implementation of billing functionality for the various DER (Distributed Energy Resource) concepts, including ability to accurate take customer meter data and bill accurately against specialized tariffs which will involve implementing/updating the IT systems/components to support the new processes."/>
  </r>
  <r>
    <s v="Intangible Plant, Common"/>
    <s v="Common (E &amp; G)"/>
    <s v="Intangibles, King County outside RTA District, WA : INT-0000 WA01700000"/>
    <n v="68173337"/>
    <s v="C303 INT Misc Intangible Plant"/>
    <n v="143006922"/>
    <s v="HYPER CONVERGED INFRA REFRESH - NUT"/>
    <s v="HYPER CONVERGED INFRA REFRESH - NUTANIX"/>
    <s v="12/2023"/>
    <n v="1"/>
    <n v="681491.97"/>
    <n v="24595.670000000002"/>
    <n v="656896.30000000005"/>
    <x v="0"/>
    <x v="0"/>
    <s v="Miscellaneous Software "/>
    <s v="The Nutanix software will provide server virtualization and the ability to manage, monitor, and report status for the hyperconverged infrastructure hardware."/>
  </r>
  <r>
    <s v="Intangible Plant, Common"/>
    <s v="Common (E &amp; G)"/>
    <s v="Intangibles, King County outside RTA District, WA : INT-0000 WA01700000"/>
    <n v="68173360"/>
    <s v="C303 INT Misc Intangible Plant"/>
    <n v="143006965"/>
    <s v="SW CHANGES FOR GHG RULES PER RITM00"/>
    <s v="SW CHANGES FOR GHG RULES PER RITM0054570"/>
    <s v="12/2023"/>
    <n v="1"/>
    <n v="61431.65"/>
    <n v="2217.12"/>
    <n v="59214.53"/>
    <x v="0"/>
    <x v="1"/>
    <s v="Energy Trading and Tagging "/>
    <s v="Upgrade PCI-Marketing software for new Green House Gas (GHG) for rulings WAC 173-441 and WAC 480-100-650 CETA Reporting and Compliance. Enhancement to add new functions required by WA state Green House Gas regulations and improving intra-hour calculations for accuracy."/>
  </r>
  <r>
    <s v="Intangible Plant, Common"/>
    <s v="Common (E &amp; G)"/>
    <s v="Intangibles, King County outside RTA District, WA : INT-0000 WA01700000"/>
    <n v="68173363"/>
    <s v="C303 INT Misc Intangible Plant"/>
    <n v="143006969"/>
    <s v="EGRC ARCHER - SW.CN.10YRS"/>
    <s v="EGRC ARCHER - SW.CN.10YRS"/>
    <s v="12/2023"/>
    <n v="1"/>
    <n v="944878.86"/>
    <n v="34101.550000000003"/>
    <n v="910777.31"/>
    <x v="0"/>
    <x v="0"/>
    <s v="Business Intelligence "/>
    <s v="Enterprise Governance Risk and Compliance (eGRC) Archer application. The top priority includes identification and implementation of improvements for current Business Continuity and Disaster Recovery data and processes in Archer."/>
  </r>
  <r>
    <s v="Intangible Plant, Common"/>
    <s v="Common (E &amp; G)"/>
    <s v="Intangibles, King County outside RTA District, WA : INT-0000 WA01700000"/>
    <n v="68173366"/>
    <s v="C303 INT Misc Intangible Plant"/>
    <n v="143006970"/>
    <s v="DIGITAL WORKPLACE TRANSFORMATION - "/>
    <s v="DIGITAL WORKPLACE TRANSFORMATION - SW.CN"/>
    <s v="12/2023"/>
    <n v="1"/>
    <n v="957357.45000000007"/>
    <n v="34551.910000000003"/>
    <n v="922805.54"/>
    <x v="0"/>
    <x v="0"/>
    <s v="Miscellaneous Software "/>
    <s v="Bolster key infrastructure and introduce systems and services to enhance user productivity and collaboration needs. Formerly called PSE@Work"/>
  </r>
  <r>
    <s v="Intangible Plant, Common"/>
    <s v="Common (E &amp; G)"/>
    <s v="Intangibles, King County outside RTA District, WA : INT-0000 WA01700000"/>
    <n v="68173369"/>
    <s v="C303 INT Misc Intangible Plant"/>
    <n v="143007020"/>
    <s v="PSE 2030 DIGITAL EXPERIENCE - SW.CN"/>
    <s v="PSE 2030 DIGITAL EXPERIENCE - SW.CN.5RYS"/>
    <s v="12/2023"/>
    <n v="1"/>
    <n v="2761374.23"/>
    <n v="99660.540000000008"/>
    <n v="2661713.69"/>
    <x v="0"/>
    <x v="0"/>
    <s v="Miscellaneous Software "/>
    <s v="The PSE 2030 Digital Experience program is a 5-year effort which builds on the foundation created by Get to Zero, is aligned with the PSE 2030 roadmap, and supports PSE's compliance with CETA and success within an evolving business landscape."/>
  </r>
  <r>
    <s v="Intangible Plant, Common"/>
    <s v="Common (E &amp; G)"/>
    <s v="Intangibles, King County outside RTA District, WA : INT-0000 WA01700000"/>
    <n v="68173372"/>
    <s v="C303 INT Misc Intangible Plant"/>
    <n v="143007022"/>
    <s v="BILL DISCOUNT RATE - SW.CN.5YRS"/>
    <s v="BILL DISCOUNT RATE - SW.CN.5YRS"/>
    <s v="12/2023"/>
    <n v="1"/>
    <n v="2714622"/>
    <n v="97973.21"/>
    <n v="2616648.79"/>
    <x v="0"/>
    <x v="2"/>
    <s v="Customer Information System (CIS) "/>
    <s v="Per the Regulatory Reform Bill SB 5295 - 2021-22 (link to the Session Law), PSE is required to propose a low-income discount rate and a low-income senior discount rate. To support this legislation the business needs enabling technology investments to support the following areas: SAP, CRM, Web, Marketing."/>
  </r>
  <r>
    <s v="Intangible Plant, Common"/>
    <s v="Common (E &amp; G)"/>
    <s v="Intangibles, King County outside RTA District, WA : INT-0000 WA01700000"/>
    <n v="68173375"/>
    <s v="C303 INT Misc Intangible Plant"/>
    <n v="143007023"/>
    <s v="GIS UPGRADE - SMALLWORLD - SW.CN.5Y"/>
    <s v="GIS UPGRADE - SMALLWORLD - SW.CN.5YRS"/>
    <s v="12/2023"/>
    <n v="1"/>
    <n v="1332448.03"/>
    <n v="48089.279999999999"/>
    <n v="1284358.75"/>
    <x v="0"/>
    <x v="2"/>
    <s v="Geographic Information System (GIS)"/>
    <s v="Upgrade GE Smallworld from version 4.3 to 5.2, and ensure integrated systems remain operational."/>
  </r>
  <r>
    <s v="Intangible Plant, Common"/>
    <s v="Common (E &amp; G)"/>
    <s v="Intangibles, King County outside RTA District, WA : INT-0000 WA01700000"/>
    <n v="68173395"/>
    <s v="C303 INT Misc Intangible Plant"/>
    <n v="143007160"/>
    <s v="XAMARIN FORMS MIGRATION TO MAUI - S"/>
    <s v="XAMARIN FORMS MIGRATION TO MAUI - SW.CN."/>
    <s v="12/2023"/>
    <n v="1"/>
    <n v="740972.78"/>
    <n v="26742.39"/>
    <n v="714230.39"/>
    <x v="0"/>
    <x v="0"/>
    <s v="Miscellaneous Software "/>
    <s v="Microsoft requires all Xamarin users to move to a new framework, offering a tool to migrate automatically but will still require us to do some level of rewrite. Xamarin is our Mobile development environment allowing our PSE.COM iOS and Android applications to be maintained. This transition is significant and will require refactoring the existing mobile applications for the new technology standard and keep in support from Microsoft for our Mobile Development Environments. Will require 12 sprints of word"/>
  </r>
  <r>
    <s v="Intangible Plant, Common"/>
    <s v="Common (E &amp; G)"/>
    <s v="Intangibles, King County outside RTA District, WA : INT-0000 WA01700000"/>
    <n v="68173400"/>
    <s v="C303 INT Misc Intangible Plant"/>
    <n v="143007183"/>
    <s v="CONSOLIDATE WEB PLATFORMS"/>
    <s v="CONSOLIDATE WEB PLATFORMS"/>
    <s v="12/2023"/>
    <n v="1"/>
    <n v="482646.76"/>
    <n v="17419.170000000002"/>
    <n v="465227.59"/>
    <x v="0"/>
    <x v="0"/>
    <s v="Miscellaneous Software "/>
    <s v="Retire Jacana V-IVR and integrate comparable capabilities into our existing Sitecore systems. This new solution would leverage technology native to PSE and enhancements and support would be addressed by the roles currently responsible for these systems. Additionally benefits include reduction of costs for software licensing, support, and AWS cloud usage."/>
  </r>
  <r>
    <s v="Intangible Plant, Common"/>
    <s v="Common (E &amp; G)"/>
    <s v="Intangibles, King County outside RTA District, WA : INT-0000 WA01700000"/>
    <n v="68173403"/>
    <s v="C303 INT Misc Intangible Plant"/>
    <n v="143007186"/>
    <s v="MICROSERVICES REFACTORING WITH CASS"/>
    <s v="MICROSERVICES REFACTORING WITH CASSANDRA"/>
    <s v="12/2023"/>
    <n v="1"/>
    <n v="390708.47999999998"/>
    <n v="14101.03"/>
    <n v="376607.45"/>
    <x v="0"/>
    <x v="0"/>
    <s v="Miscellaneous Software "/>
    <s v="Refactor microservices code to stabilize Cassandra by removing materialized views, making use of storage attached indexes and fixing CQL statements to implement cache of prepared statements."/>
  </r>
  <r>
    <s v="Intangible Plant, Common"/>
    <s v="Common (E &amp; G)"/>
    <s v="Intangibles, King County outside RTA District, WA : INT-0000 WA01700000"/>
    <n v="68173406"/>
    <s v="C303 INT Misc Intangible Plant"/>
    <n v="143007187"/>
    <s v="SITECORE AUTOSCALING (2023)"/>
    <s v="SITECORE AUTOSCALING (2023)"/>
    <s v="12/2023"/>
    <n v="1"/>
    <n v="485772.88"/>
    <n v="17531.990000000002"/>
    <n v="468240.89"/>
    <x v="0"/>
    <x v="0"/>
    <s v="Miscellaneous Software "/>
    <s v="automate the build, configuration and deployment of Sitecore Content_x000a_Delivery servers."/>
  </r>
  <r>
    <s v="Intangible Plant, Common"/>
    <s v="Common (E &amp; G)"/>
    <s v="Intangibles, King County outside RTA District, WA : INT-0000 WA01700000"/>
    <n v="68173409"/>
    <s v="C303 INT Misc Intangible Plant"/>
    <n v="143007188"/>
    <s v="PURCHASE AND IMPLEMENT SYSTEM ORCHE"/>
    <s v="PURCHASE AND IMPLEMENT SYSTEM ORCHESTRAT"/>
    <s v="12/2023"/>
    <n v="1"/>
    <n v="126827.98"/>
    <n v="4577.34"/>
    <n v="122250.64"/>
    <x v="0"/>
    <x v="0"/>
    <s v="Miscellaneous Software "/>
    <s v="System orchestration is the lifecycle automation of &quot;things&quot;. Tools to_x000a_integrate into systems, network devices, and other orchestration tool_x000a_are needed to build out a more CI/CD driven DevOps environment. Three_x000a_main components of this project: architect orchestration landscape,_x000a_acquire and implement tooling, and feature add and enhance Server Build_x000a_Automation."/>
  </r>
  <r>
    <s v="Intangible Plant, Common"/>
    <s v="Common (E &amp; G)"/>
    <s v="Intangibles, King County outside RTA District, WA : INT-0000 WA01700000"/>
    <n v="68173412"/>
    <s v="C303 INT Misc Intangible Plant"/>
    <n v="143007189"/>
    <s v="SAP HR SUPPORT PACKS (2022+) &amp; BSI "/>
    <s v="SAP HR SUPPORT PACKS (2022+) &amp; BSI TAX"/>
    <s v="12/2023"/>
    <n v="1"/>
    <n v="29674.57"/>
    <n v="1070.98"/>
    <n v="28603.59"/>
    <x v="0"/>
    <x v="0"/>
    <s v="Employee Infomration/Human Resources "/>
    <s v="HR Support Packs Why - To keep HR related upgrades current Value - PSE_x000a_maintains all the HR related data and Payroll processes in SAP systems,_x000a_it is mandatory to keep HR related systems up to date."/>
  </r>
  <r>
    <s v="Intangible Plant, Common"/>
    <s v="Common (E &amp; G)"/>
    <s v="Intangibles, King County outside RTA District, WA : INT-0000 WA01700000"/>
    <n v="68173415"/>
    <s v="C303 INT Misc Intangible Plant"/>
    <n v="143007190"/>
    <s v="SERVICENOW IMPROVEMENTS (2022+)"/>
    <s v="SERVICENOW IMPROVEMENTS (2022+)"/>
    <s v="12/2023"/>
    <n v="1"/>
    <n v="879502.35"/>
    <n v="31742.05"/>
    <n v="847760.3"/>
    <x v="0"/>
    <x v="0"/>
    <s v="Miscellaneous Software "/>
    <s v="Enhancements to ServiceNow platform"/>
  </r>
  <r>
    <s v="Intangible Plant, Common"/>
    <s v="Common (E &amp; G)"/>
    <s v="Intangibles, King County outside RTA District, WA : INT-0000 WA01700000"/>
    <n v="68173422"/>
    <s v="C303 INT Misc Intangible Plant"/>
    <n v="143007200"/>
    <s v="DATASTAX ASTRA MIGRATION"/>
    <s v="DATASTAX ASTRA MIGRATION"/>
    <s v="12/2023"/>
    <n v="1"/>
    <n v="471605"/>
    <n v="17020.66"/>
    <n v="454584.34"/>
    <x v="0"/>
    <x v="0"/>
    <s v="Miscellaneous Software "/>
    <s v="Migrate DataStax current managed instance to the Astra SaaS solution."/>
  </r>
  <r>
    <s v="Intangible Plant, Common"/>
    <s v="Common (E &amp; G)"/>
    <s v="Intangibles, King County outside RTA District, WA : INT-0000 WA01700000"/>
    <n v="68173425"/>
    <s v="C303 INT Misc Intangible Plant"/>
    <n v="143007201"/>
    <s v="ANNUAL WINDOWS SERVER REFRESH - SW."/>
    <s v="ANNUAL WINDOWS SERVER REFRESH - SW.CN.3Y"/>
    <s v="12/2023"/>
    <n v="1"/>
    <n v="69954.05"/>
    <n v="2524.71"/>
    <n v="67429.34"/>
    <x v="0"/>
    <x v="0"/>
    <s v="Miscellaneous Software "/>
    <s v="Annual Server costs for capacity growth"/>
  </r>
  <r>
    <s v="Intangible Plant, Common"/>
    <s v="Common (E &amp; G)"/>
    <s v="Intangibles, King County outside RTA District, WA : INT-0000 WA01700000"/>
    <n v="68173434"/>
    <s v="C303 INT Misc Intangible Plant"/>
    <n v="143007207"/>
    <s v="ANNUAL SPLUNK GROWTH (2023+) - SW.C"/>
    <s v="ANNUAL SPLUNK GROWTH (2023+) - SW.CN.5YR"/>
    <s v="12/2023"/>
    <n v="1"/>
    <n v="84038.26"/>
    <n v="3033.02"/>
    <n v="81005.240000000005"/>
    <x v="0"/>
    <x v="0"/>
    <s v="Miscellaneous Software "/>
    <s v="phase out SCOM based monitoring by enabling Splunk in various technology space."/>
  </r>
  <r>
    <s v="Intangible Plant, Common"/>
    <s v="Common (E &amp; G)"/>
    <s v="Intangibles, King County outside RTA District, WA : INT-0000 WA01700000"/>
    <n v="68173437"/>
    <s v="C303 INT Misc Intangible Plant"/>
    <n v="143007209"/>
    <s v="SPLUNK VERSION UPGRADES 2023 - SW.C"/>
    <s v="SPLUNK VERSION UPGRADES 2023 - SW.CN.5YR"/>
    <s v="12/2023"/>
    <n v="1"/>
    <n v="175404.75"/>
    <n v="6330.52"/>
    <n v="169074.23"/>
    <x v="0"/>
    <x v="0"/>
    <s v="Miscellaneous Software "/>
    <s v="major Splunk Application upgrade, to stay N-1 (no new modules)."/>
  </r>
  <r>
    <s v="Intangible Plant, Common"/>
    <s v="Common (E &amp; G)"/>
    <s v="Intangibles, King County outside RTA District, WA : INT-0000 WA01700000"/>
    <n v="68173440"/>
    <s v="C303 INT Misc Intangible Plant"/>
    <n v="143007210"/>
    <s v="ANNUAL SPLUNK SECURITY IMPROVEMENTS"/>
    <s v="ANNUAL SPLUNK SECURITY IMPROVEMENTS - SW"/>
    <s v="12/2023"/>
    <n v="1"/>
    <n v="68963.759999999995"/>
    <n v="2488.9700000000003"/>
    <n v="66474.790000000008"/>
    <x v="0"/>
    <x v="0"/>
    <s v="Miscellaneous Software "/>
    <s v="Collaborate with various Apps teams to 'get data in'; get up and curate new indices for data ingestion. 20 Click-size applications/modules per year."/>
  </r>
  <r>
    <s v="Intangible Plant, Common"/>
    <s v="Common (E &amp; G)"/>
    <s v="Intangibles, King County outside RTA District, WA : INT-0000 WA01700000"/>
    <n v="68173443"/>
    <s v="C303 INT Misc Intangible Plant"/>
    <n v="143007211"/>
    <s v="SAP BUSINESS PROCESS MONITORING - S"/>
    <s v="SAP BUSINESS PROCESS MONITORING - SW.CN."/>
    <s v="12/2023"/>
    <n v="1"/>
    <n v="49287.6"/>
    <n v="1778.83"/>
    <n v="47508.770000000004"/>
    <x v="0"/>
    <x v="0"/>
    <s v="ERP Integrations"/>
    <s v="Implement and update SAP Business Processing Monitoring situational awareness with more enhanced integration with ESRI system."/>
  </r>
  <r>
    <s v="Intangible Plant, Common"/>
    <s v="Common (E &amp; G)"/>
    <s v="Intangibles, King County outside RTA District, WA : INT-0000 WA01700000"/>
    <n v="68173453"/>
    <s v="C303 INT Misc Intangible Plant"/>
    <n v="143007220"/>
    <s v="OPENTEXT ECM UPGRADE"/>
    <s v="OPENTEXT ECM UPGRADE"/>
    <s v="12/2023"/>
    <n v="1"/>
    <n v="522840.7"/>
    <n v="18869.8"/>
    <n v="503970.9"/>
    <x v="0"/>
    <x v="0"/>
    <s v="Miscellaneous Software "/>
    <s v="Upgrade the current 16.2 and 16.0 OpenText ECM installations to the current release and upgrade bi-annually thereafter to stay current. PSE is more than 4 releases behind the current release and in danger of eclipsing OpenText's supported versions."/>
  </r>
  <r>
    <s v="Intangible Plant, Common"/>
    <s v="Common (E &amp; G)"/>
    <s v="Intangibles, King County outside RTA District, WA : INT-0000 WA01700000"/>
    <n v="68173456"/>
    <s v="C303 INT Misc Intangible Plant"/>
    <n v="143007224"/>
    <s v="SAP ANNUAL UPGRADES (2022+)"/>
    <s v="SAP ANNUAL UPGRADES (2022+)"/>
    <s v="12/2023"/>
    <n v="1"/>
    <n v="492807.55"/>
    <n v="17785.88"/>
    <n v="475021.67"/>
    <x v="0"/>
    <x v="0"/>
    <s v="ERP Upgrades"/>
    <s v="SAP Annual Upgrades Why - Keep SAP systems valid for Continuous Vendor_x000a_Support Value - These are SAP's core systems and provide core Business_x000a_Processes to be executed. To continuously running our core business_x000a_processes, these upgrades are mandatory"/>
  </r>
  <r>
    <s v="Intangible Plant, Common"/>
    <s v="Common (E &amp; G)"/>
    <s v="Intangibles, King County outside RTA District, WA : INT-0000 WA01700000"/>
    <n v="68173459"/>
    <s v="C303 INT Misc Intangible Plant"/>
    <n v="143007240"/>
    <s v="2023 Q1 HR AER'S - SW.CS.3YRS"/>
    <s v="2023 Q1 HR AER'S - SW.CS.3YRS"/>
    <s v="12/2023"/>
    <n v="1"/>
    <n v="25196.16"/>
    <n v="909.35"/>
    <n v="24286.81"/>
    <x v="0"/>
    <x v="0"/>
    <s v="Employee Infomration/Human Resources "/>
    <s v="2023 Q1 HR small application system enhancements"/>
  </r>
  <r>
    <s v="Intangible Plant, Common"/>
    <s v="Common (E &amp; G)"/>
    <s v="Intangibles, King County outside RTA District, WA : INT-0000 WA01700000"/>
    <n v="68173462"/>
    <s v="C303 INT Misc Intangible Plant"/>
    <n v="143007241"/>
    <s v="2023 Q1 IT AER'S - SW.CS.3YRS"/>
    <s v="2023 Q1 IT AER'S - SW.CS.3YRS"/>
    <s v="12/2023"/>
    <n v="1"/>
    <n v="109228.35"/>
    <n v="3942.15"/>
    <n v="105286.2"/>
    <x v="0"/>
    <x v="0"/>
    <s v="Miscellaneous Software "/>
    <s v="2023 Q1 IT small application system enhancements"/>
  </r>
  <r>
    <s v="Intangible Plant, Common"/>
    <s v="Common (E &amp; G)"/>
    <s v="Intangibles, King County outside RTA District, WA : INT-0000 WA01700000"/>
    <n v="68173467"/>
    <s v="C303 INT Misc Intangible Plant"/>
    <n v="143007247"/>
    <s v="ANNUAL QUALITY FRAMEWORK ENHANCEMEN"/>
    <s v="ANNUAL QUALITY FRAMEWORK ENHANCEMENTS (2"/>
    <s v="12/2023"/>
    <n v="1"/>
    <n v="175716.30000000002"/>
    <n v="6341.76"/>
    <n v="169374.54"/>
    <x v="0"/>
    <x v="0"/>
    <s v="Miscellaneous Software "/>
    <s v="Enhancements to Quality Framework Automation test scripts and framework tool acquisition, implementation and upgrades"/>
  </r>
  <r>
    <s v="Intangible Plant, Common"/>
    <s v="Common (E &amp; G)"/>
    <s v="Intangibles, King County outside RTA District, WA : INT-0000 WA01700000"/>
    <n v="68173470"/>
    <s v="C303 INT Misc Intangible Plant"/>
    <n v="143007249"/>
    <s v="ORACLE UPGRADES (2023) - SW.CN.5YRS"/>
    <s v="ORACLE UPGRADES (2023) - SW.CN.5YRS"/>
    <s v="12/2023"/>
    <n v="1"/>
    <n v="53665.39"/>
    <n v="1936.83"/>
    <n v="51728.56"/>
    <x v="0"/>
    <x v="0"/>
    <s v="Miscellaneous Software "/>
    <s v="Upgrade and patch PSE application Oracle databases to 19.15, upgrade PSE Oracle Enterprise Manager to 13c release 5 and deprecate expired systems and backend databases."/>
  </r>
  <r>
    <s v="Intangible Plant, Common"/>
    <s v="Common (E &amp; G)"/>
    <s v="Intangibles, King County outside RTA District, WA : INT-0000 WA01700000"/>
    <n v="68173473"/>
    <s v="C303 INT Misc Intangible Plant"/>
    <n v="143007250"/>
    <s v="ANNUAL SQL SERVER PATCHES - SW.CN.5"/>
    <s v="ANNUAL SQL SERVER PATCHES - SW.CN.5YRS"/>
    <s v="12/2023"/>
    <n v="1"/>
    <n v="137262.08000000002"/>
    <n v="4953.91"/>
    <n v="132308.17000000001"/>
    <x v="0"/>
    <x v="0"/>
    <s v="Miscellaneous Software "/>
    <s v="Apply quarterly SQL Server Cumulative updates and patches to around 300+ SQL Servers in Dev, Test, QA and Production environments to adhere to Security Compliance."/>
  </r>
  <r>
    <s v="Intangible Plant, Common"/>
    <s v="Common (E &amp; G)"/>
    <s v="Intangibles, King County outside RTA District, WA : INT-0000 WA01700000"/>
    <n v="68173476"/>
    <s v="C303 INT Misc Intangible Plant"/>
    <n v="143007251"/>
    <s v="PI VISION SUITE MIGRATION - SW.CN.3"/>
    <s v="PI VISION SUITE MIGRATION - SW.CN.3YRS"/>
    <s v="12/2023"/>
    <n v="1"/>
    <n v="647845.66"/>
    <n v="23381.350000000002"/>
    <n v="624464.31000000006"/>
    <x v="0"/>
    <x v="0"/>
    <s v="Miscellaneous Software "/>
    <s v="Migration of Electric, Gas, and Generation PI users from PI Process book to PI Vision suite as support for PI Process book is ending in 2023."/>
  </r>
  <r>
    <s v="Intangible Plant, Common"/>
    <s v="Common (E &amp; G)"/>
    <s v="Intangibles, King County outside RTA District, WA : INT-0000 WA01700000"/>
    <n v="68173479"/>
    <s v="C303 INT Misc Intangible Plant"/>
    <n v="143007252"/>
    <s v="WORK MANAGER UPGRADE - SW.CN.5YRS"/>
    <s v="WORK MANAGER UPGRADE - SW.CN.5YRS"/>
    <s v="12/2023"/>
    <n v="1"/>
    <n v="270244.25"/>
    <n v="9753.36"/>
    <n v="260490.89"/>
    <x v="0"/>
    <x v="2"/>
    <s v="Work Management/Work Order "/>
    <s v="Upgrade SAP Work Manager Client to version 6.6"/>
  </r>
  <r>
    <s v="Intangible Plant, Common"/>
    <s v="Common (E &amp; G)"/>
    <s v="Intangibles, King County outside RTA District, WA : INT-0000 WA01700000"/>
    <n v="68173486"/>
    <s v="C303 INT Misc Intangible Plant"/>
    <n v="143007261"/>
    <s v="POI - HANA DR ENABLEMENT - SW.CN.5Y"/>
    <s v="POI - HANA DR ENABLEMENT - SW.CN.5YRS"/>
    <s v="12/2023"/>
    <n v="1"/>
    <n v="41984.41"/>
    <n v="1515.26"/>
    <n v="40469.15"/>
    <x v="0"/>
    <x v="2"/>
    <s v="Meter Reading System "/>
    <s v="Platform of Insights (POI) is widely used by many business groups for doing self service analytics including performing analytics and data science on AMI meter data. Currently, POI does not have DR enabled as it is categorized as a Tier 4 system. With the growth and usage especially with AMI data the application needs a higher category (Tier 2) and DR enabled."/>
  </r>
  <r>
    <s v="Intangible Plant, Common"/>
    <s v="Common (E &amp; G)"/>
    <s v="Intangibles, King County outside RTA District, WA : INT-0000 WA01700000"/>
    <n v="68173501"/>
    <s v="C303 INT Misc Intangible Plant"/>
    <n v="143007286"/>
    <s v="2023 CAP MAINT GREATER - SW.CN.5YRS"/>
    <s v="2023 CAP MAINT GREATER - SW.CN.5YRS"/>
    <s v="12/2023"/>
    <n v="1"/>
    <n v="15208483.640000001"/>
    <n v="548888.17000000004"/>
    <n v="14659595.470000001"/>
    <x v="0"/>
    <x v="0"/>
    <s v="Miscellaneous Software "/>
    <s v="2023 IT O&amp;M to Capital Maintenance greater than $1.5M"/>
  </r>
  <r>
    <s v="Intangible Plant, Common"/>
    <s v="Common (E &amp; G)"/>
    <s v="Intangibles, King County outside RTA District, WA : INT-0000 WA01700000"/>
    <n v="68173504"/>
    <s v="C303 INT Misc Intangible Plant"/>
    <n v="143007287"/>
    <s v="2023 CAP MAINTENANCE LESS - SW.CN.5"/>
    <s v="2023 CAP MAINTENANCE LESS - SW.CN.5YRS"/>
    <s v="12/2023"/>
    <n v="1"/>
    <n v="654312.39"/>
    <n v="23614.74"/>
    <n v="630697.65"/>
    <x v="0"/>
    <x v="0"/>
    <s v="Miscellaneous Software "/>
    <s v="2023 IT O&amp;M to Capital Maintenance less than $150k"/>
  </r>
  <r>
    <s v="Intangible Plant, Common"/>
    <s v="Common (E &amp; G)"/>
    <s v="Intangibles, King County outside RTA District, WA : INT-0000 WA01700000"/>
    <n v="68173507"/>
    <s v="C303 INT Misc Intangible Plant"/>
    <n v="143007288"/>
    <s v="ANNUAL ENTERPRISE APPLICATIONS GROW"/>
    <s v="ANNUAL ENTERPRISE APPLICATIONS GROWTH (2"/>
    <s v="12/2023"/>
    <n v="1"/>
    <n v="352568.22000000003"/>
    <n v="12724.51"/>
    <n v="339843.71"/>
    <x v="0"/>
    <x v="0"/>
    <s v="Miscellaneous Software "/>
    <s v="ANNUAL ENTERPRISE APP GROWTH"/>
  </r>
  <r>
    <s v="Intangible Plant, Common"/>
    <s v="Common (E &amp; G)"/>
    <s v="Intangibles, King County outside RTA District, WA : INT-0000 WA01700000"/>
    <n v="68173524"/>
    <s v="C303 INT Misc Intangible Plant"/>
    <n v="143007302"/>
    <s v="DEEP INITIATIVES AND ENHANCEMENTS -"/>
    <s v="DEEP INITIATIVES AND ENHANCEMENTS - SW.C"/>
    <s v="12/2023"/>
    <n v="1"/>
    <n v="411370.99"/>
    <n v="14846.76"/>
    <n v="396524.23"/>
    <x v="0"/>
    <x v="2"/>
    <s v="Customer Information System (CIS) "/>
    <s v="DEEP enhancements and initiatives to support 2023 use cases."/>
  </r>
  <r>
    <s v="Intangible Plant, Common"/>
    <s v="Common (E &amp; G)"/>
    <s v="Intangibles, King County outside RTA District, WA : INT-0000 WA01700000"/>
    <n v="68173527"/>
    <s v="C303 INT Misc Intangible Plant"/>
    <n v="143007303"/>
    <s v="DATA FOUNDATION DATA GOVERNANCE - S"/>
    <s v="DATA FOUNDATION DATA GOVERNANCE - SW.CN."/>
    <s v="12/2023"/>
    <n v="1"/>
    <n v="386614.64"/>
    <n v="13953.28"/>
    <n v="372661.36"/>
    <x v="0"/>
    <x v="0"/>
    <s v="Miscellaneous Software "/>
    <s v="This work will build tools and functionality that will help PSE properly govern our data."/>
  </r>
  <r>
    <s v="Intangible Plant, Common"/>
    <s v="Common (E &amp; G)"/>
    <s v="Intangibles, King County outside RTA District, WA : INT-0000 WA01700000"/>
    <n v="68173530"/>
    <s v="C303 INT Misc Intangible Plant"/>
    <n v="143007304"/>
    <s v="DATA FOUNDATION OPERATING MODEL  - "/>
    <s v="DATA FOUNDATION OPERATING MODEL  - SW.CN"/>
    <s v="12/2023"/>
    <n v="1"/>
    <n v="426188.61"/>
    <n v="15381.54"/>
    <n v="410807.07"/>
    <x v="0"/>
    <x v="0"/>
    <s v="Miscellaneous Software "/>
    <s v="This work will create learning programs and implement standard tools needed to build a data driven organization."/>
  </r>
  <r>
    <s v="Intangible Plant, Common"/>
    <s v="Common (E &amp; G)"/>
    <s v="Intangibles, King County outside RTA District, WA : INT-0000 WA01700000"/>
    <n v="68173538"/>
    <s v="C303 INT Misc Intangible Plant"/>
    <n v="143007360"/>
    <s v="EV IDENTIFICATION - SW.CN.5YRS"/>
    <s v="EV IDENTIFICATION - SW.CN.5YRS"/>
    <s v="12/2023"/>
    <n v="1"/>
    <n v="143662.29"/>
    <n v="5184.9000000000005"/>
    <n v="138477.39000000001"/>
    <x v="0"/>
    <x v="2"/>
    <s v="Customer Information System (CIS) "/>
    <s v="Develop a model that detects which customers currently use with a Level 2 charger for their EV"/>
  </r>
  <r>
    <s v="Intangible Plant, Common"/>
    <s v="Common (E &amp; G)"/>
    <s v="Intangibles, King County outside RTA District, WA : INT-0000 WA01700000"/>
    <n v="68173570"/>
    <s v="C303 INT Misc Intangible Plant"/>
    <n v="143007461"/>
    <s v="PSE 2030 DE- SW.CN.5RYS (NON-CEIP)"/>
    <s v="PSE 2030 DE- SW.CN.5RYS (NON-CEIP)"/>
    <s v="12/2023"/>
    <n v="1"/>
    <n v="278769.55"/>
    <n v="10061.050000000001"/>
    <n v="268708.5"/>
    <x v="0"/>
    <x v="0"/>
    <s v="Miscellaneous Software "/>
    <s v="The PSE 2030 Digital Experience program is a 5-year effort which builds on the foundation created by Get to Zero, is aligned with the PSE 2030 roadmap, and supports PSE's compliance with CETA and success within an evolving business landscape."/>
  </r>
  <r>
    <s v="Intangible Plant, Common"/>
    <s v="Common (E &amp; G)"/>
    <s v="Intangibles, King County outside RTA District, WA : INT-0000 WA01700000"/>
    <n v="68173573"/>
    <s v="C303 INT Misc Intangible Plant"/>
    <n v="143007500"/>
    <s v="ROBOTIC PROCESS AUTOMATION RPA (202"/>
    <s v="ROBOTIC PROCESS AUTOMATION RPA (2023+)-"/>
    <s v="12/2023"/>
    <n v="1"/>
    <n v="415822.3"/>
    <n v="15007.41"/>
    <n v="400814.89"/>
    <x v="0"/>
    <x v="0"/>
    <s v="Miscellaneous Software "/>
    <s v="There are too many labor intensive repeatable processes/tasks being performed by a highly-skilled workforce that are hindering organizational accuracy, efficiency, and fiscal prudency. To enable funding towards clean energy future, we need to focus on creating capacity within PSE in the form of business process automation."/>
  </r>
  <r>
    <s v="Intangible Plant, Common"/>
    <s v="Common (E &amp; G)"/>
    <s v="Intangibles, King County outside RTA District, WA : INT-0000 WA01700000"/>
    <n v="68173576"/>
    <s v="C303 INT Misc Intangible Plant"/>
    <n v="143007520"/>
    <s v="OCC EDI AND RM API - SW.CN.5YRS"/>
    <s v="OCC EDI AND RM API - SW.CN.5YRS"/>
    <s v="12/2023"/>
    <n v="1"/>
    <n v="71957.8"/>
    <n v="2597.02"/>
    <n v="69360.78"/>
    <x v="0"/>
    <x v="0"/>
    <s v="Business Intelligence"/>
    <s v=" Design of new Web Report allowing for Legal Holds and Destruction Reports &amp; OCC profile scripts will allow scanner to bypass manual entry of House Number during validation."/>
  </r>
  <r>
    <s v="Intangible Plant, Common"/>
    <s v="Common (E &amp; G)"/>
    <s v="Intangibles, King County outside RTA District, WA : INT-0000 WA01700000"/>
    <n v="68173583"/>
    <s v="C303 INT Misc Intangible Plant"/>
    <n v="143007586"/>
    <s v="2023 Q2 IT AER'S - SW.CS.3YRS"/>
    <s v="2023 Q2 IT AER'S - SW.CS.3YRS"/>
    <s v="12/2023"/>
    <n v="1"/>
    <n v="33145.9"/>
    <n v="1196.27"/>
    <n v="31949.63"/>
    <x v="0"/>
    <x v="0"/>
    <s v="Miscellaneous Software "/>
    <s v="2023 Q2 IT small application system enhancements"/>
  </r>
  <r>
    <s v="Intangible Plant, Common"/>
    <s v="Common (E &amp; G)"/>
    <s v="Intangibles, King County outside RTA District, WA : INT-0000 WA01700000"/>
    <n v="68173586"/>
    <s v="C303 INT Misc Intangible Plant"/>
    <n v="143007587"/>
    <s v="2023 Q2 REG &amp; STRAT AER'S - SW.CS.3"/>
    <s v="2023 Q2 REG &amp; STRAT AER'S - SW.CS.3YRS"/>
    <s v="12/2023"/>
    <n v="1"/>
    <n v="18294.600000000002"/>
    <n v="660.27"/>
    <n v="17634.330000000002"/>
    <x v="0"/>
    <x v="0"/>
    <s v="Miscellaneous Software "/>
    <s v="2023 Q2 Regulatory and Strategy small application system enhancements"/>
  </r>
  <r>
    <s v="Intangible Plant, Common"/>
    <s v="Common (E &amp; G)"/>
    <s v="Intangibles, King County outside RTA District, WA : INT-0000 WA01700000"/>
    <n v="68173589"/>
    <s v="C303 INT Misc Intangible Plant"/>
    <n v="143007588"/>
    <s v="2023 Q2 FINANCE AER'S - SW.CS.3YRS"/>
    <s v="2023 Q2 FINANCE AER'S - SW.CS.3YRS"/>
    <s v="12/2023"/>
    <n v="1"/>
    <n v="53032.480000000003"/>
    <n v="1913.99"/>
    <n v="51118.49"/>
    <x v="0"/>
    <x v="0"/>
    <s v="Miscellaneous Software "/>
    <s v="2023 Q2 Finance small application system enhancements"/>
  </r>
  <r>
    <s v="Intangible Plant, Common"/>
    <s v="Common (E &amp; G)"/>
    <s v="Intangibles, King County outside RTA District, WA : INT-0000 WA01700000"/>
    <n v="68173592"/>
    <s v="C303 INT Misc Intangible Plant"/>
    <n v="143007590"/>
    <s v="2023 Q2 CUSTOMER AER'S - SW.CS.3YRS"/>
    <s v="2023 Q2 CUSTOMER AER'S - SW.CS.3YRS"/>
    <s v="12/2023"/>
    <n v="1"/>
    <n v="21530.06"/>
    <n v="777.04"/>
    <n v="20753.02"/>
    <x v="0"/>
    <x v="2"/>
    <s v="Customer Relationship Management "/>
    <s v="2023 Q2 Customer small application system enhancements"/>
  </r>
  <r>
    <s v="Intangible Plant, Common"/>
    <s v="Common (E &amp; G)"/>
    <s v="Intangibles, King County outside RTA District, WA : INT-0000 WA01700000"/>
    <n v="68173597"/>
    <s v="C303 INT Misc Intangible Plant"/>
    <n v="143007594"/>
    <s v="SAP-ECC MM/FI INTEGRATION 2023 - SW"/>
    <s v="SAP-ECC MM/FI INTEGRATION 2023 - SW.CS.5"/>
    <s v="12/2023"/>
    <n v="1"/>
    <n v="117482.3"/>
    <n v="4240.04"/>
    <n v="113242.26000000001"/>
    <x v="0"/>
    <x v="0"/>
    <s v="Management Information "/>
    <s v="Integrate SAP-ECC MM/FI with Qty and UoM values (phase II bring in SES change data)"/>
  </r>
  <r>
    <s v="Intangible Plant, Common"/>
    <s v="Common (E &amp; G)"/>
    <s v="Intangibles, King County outside RTA District, WA : INT-0000 WA01700000"/>
    <n v="68173602"/>
    <s v="C303 INT Misc Intangible Plant"/>
    <n v="143007620"/>
    <s v="MDMS ENHANCEMENTS 2023 - SW.CS.5YRS"/>
    <s v="MDMS ENHANCEMENTS 2023 - SW.CS.5YRS"/>
    <s v="12/2023"/>
    <n v="1"/>
    <n v="87119.3"/>
    <n v="3144.2200000000003"/>
    <n v="83975.08"/>
    <x v="0"/>
    <x v="2"/>
    <s v="Meter Reading System "/>
    <s v="multiple MDMS enhancements. This AER aims at migration away from the MOAP database, implement MDMS script enhancements, Unbilled improvements, LP / interval data loading enhancements."/>
  </r>
  <r>
    <s v="Intangible Plant, Common"/>
    <s v="Common (E &amp; G)"/>
    <s v="Intangibles, King County outside RTA District, WA : INT-0000 WA01700000"/>
    <n v="68173616"/>
    <s v="C303 INT Misc Intangible Plant"/>
    <n v="143007665"/>
    <s v="AWS SERVER AUTOMATION - SW.CN.5YRS"/>
    <s v="AWS SERVER AUTOMATION - SW.CN.5YRS"/>
    <s v="12/2023"/>
    <n v="1"/>
    <n v="36550.97"/>
    <n v="1319.16"/>
    <n v="35231.81"/>
    <x v="0"/>
    <x v="0"/>
    <s v="Miscellaneous Software "/>
    <s v="Develop new feature to allow AWS EC2 server instances to be started and stopped automatically to ensure timely security scanning."/>
  </r>
  <r>
    <s v="Intangible Plant, Common"/>
    <s v="Common (E &amp; G)"/>
    <s v="Intangibles, King County outside RTA District, WA : INT-0000 WA01700000"/>
    <n v="68173619"/>
    <s v="C303 INT Misc Intangible Plant"/>
    <n v="143007684"/>
    <s v="MDMS LICENSE EXTENSION 2023 - SW.CN"/>
    <s v="MDMS LICENSE EXTENSION 2023 - SW.CN.5YRS"/>
    <s v="12/2023"/>
    <n v="1"/>
    <n v="178135.94"/>
    <n v="6429.09"/>
    <n v="171706.85"/>
    <x v="0"/>
    <x v="2"/>
    <s v="Meter Reading System "/>
    <s v="Annual increase in MDMS licenses to support meter growth."/>
  </r>
  <r>
    <s v="Intangible Plant, Common"/>
    <s v="Common (E &amp; G)"/>
    <s v="Intangibles, King County outside RTA District, WA : INT-0000 WA01700000"/>
    <n v="68173622"/>
    <s v="C303 INT Misc Intangible Plant"/>
    <n v="143007728"/>
    <s v="WORKORDER SPLIT LOGIC ENHANCEMENT 2"/>
    <s v="WORKORDER SPLIT LOGIC ENHANCEMENT 23 -SW"/>
    <s v="12/2023"/>
    <n v="1"/>
    <n v="13831.61"/>
    <n v="499.2"/>
    <n v="13332.41"/>
    <x v="0"/>
    <x v="5"/>
    <s v="Work Order Accounting "/>
    <s v="Logic needs to be able to distinguish between GFR &amp; IMO completion codes_x000a__x000a_Replaces RITM0050188 to allow capital assignment. Security review and composite role enhancement to SCM roles in ECC, EWM and Ariba. Requesting_x000a_help from SAP MM to review and update the SAP security roles for all positions under Jim Pruchnic in order to streamline the hiring, in seat promotion and_x000a_other processes as well as cleaning up decades old data. This will include ECC, EWM and Ariba."/>
  </r>
  <r>
    <s v="Intangible Plant, Common"/>
    <s v="Common (E &amp; G)"/>
    <s v="Intangibles, King County outside RTA District, WA : INT-0000 WA01700000"/>
    <n v="68173627"/>
    <s v="C303 INT Misc Intangible Plant"/>
    <n v="143007736"/>
    <s v="2023 Q3 IT AER'S - SW.CN.3Y"/>
    <s v="2023 Q3 IT AER'S - SW.CN.3Y"/>
    <s v="12/2023"/>
    <n v="1"/>
    <n v="28633.58"/>
    <n v="1033.4100000000001"/>
    <n v="27600.170000000002"/>
    <x v="0"/>
    <x v="0"/>
    <s v="Miscellaneous Software "/>
    <s v="2023 Q3 IT small application system enhancements"/>
  </r>
  <r>
    <s v="Intangible Plant, Common"/>
    <s v="Common (E &amp; G)"/>
    <s v="Intangibles, King County outside RTA District, WA : INT-0000 WA01700000"/>
    <n v="68173630"/>
    <s v="C303 INT Misc Intangible Plant"/>
    <n v="143007738"/>
    <s v="2023 Q3 FINANCE AER'S - SW.CN.3Y"/>
    <s v="2023 Q3 FINANCE AER'S - SW.CN.3Y"/>
    <s v="12/2023"/>
    <n v="1"/>
    <n v="44810.33"/>
    <n v="1617.25"/>
    <n v="43193.08"/>
    <x v="0"/>
    <x v="0"/>
    <s v="Miscellaneous Software "/>
    <s v="2023 Q3 Finance small application system enhancements"/>
  </r>
  <r>
    <s v="Intangible Plant, Common"/>
    <s v="Common (E &amp; G)"/>
    <s v="Intangibles, King County outside RTA District, WA : INT-0000 WA01700000"/>
    <n v="68173633"/>
    <s v="C303 INT Misc Intangible Plant"/>
    <n v="143007739"/>
    <s v="2023 Q3 OPERATIONS AER'S - SW.CN.3Y"/>
    <s v="2023 Q3 OPERATIONS AER'S - SW.CN.3Y"/>
    <s v="12/2023"/>
    <n v="1"/>
    <n v="44628.05"/>
    <n v="1610.67"/>
    <n v="43017.38"/>
    <x v="0"/>
    <x v="0"/>
    <s v="Miscellaneous Software "/>
    <s v="2023 Q3 Operation small application system enhancements"/>
  </r>
  <r>
    <s v="Intangible Plant, Common"/>
    <s v="Common (E &amp; G)"/>
    <s v="Intangibles, King County outside RTA District, WA : INT-0000 WA01700000"/>
    <n v="68173636"/>
    <s v="C303 INT Misc Intangible Plant"/>
    <n v="143007741"/>
    <s v="2023 Q3 ENERGY SUPPLY AER'S - SW.CN"/>
    <s v="2023 Q3 ENERGY SUPPLY AER'S - SW.CN.3Y"/>
    <s v="12/2023"/>
    <n v="1"/>
    <n v="26589.25"/>
    <n v="959.63"/>
    <n v="25629.62"/>
    <x v="0"/>
    <x v="1"/>
    <s v="Energy Trading and Tagging "/>
    <s v="2023 Q3 Energy Supply small application system enhancements"/>
  </r>
  <r>
    <s v="Intangible Plant, Common"/>
    <s v="Common (E &amp; G)"/>
    <s v="Intangibles, King County outside RTA District, WA : INT-0000 WA01700000"/>
    <n v="68173639"/>
    <s v="C303 INT Misc Intangible Plant"/>
    <n v="143007745"/>
    <s v="SAP BUNDLED Q3 ENHANCEMENTS 2023 - "/>
    <s v="SAP BUNDLED Q3 ENHANCEMENTS 2023 - SW.CN"/>
    <s v="12/2023"/>
    <n v="1"/>
    <n v="45404.44"/>
    <n v="1638.69"/>
    <n v="43765.75"/>
    <x v="0"/>
    <x v="5"/>
    <s v="Work Order Accounting "/>
    <s v="SAP: UPDATED JOINT USE POLE AUDIT REPORTS &amp; TRANSACTIONS. 20% OF ALL NET METER WORK ORDERS FCOM IN THE FIELD ARE NOT SHOWING ON ZIRMTRLST AND DO NOT HAVE EMMA CASES CREATED. Net Meter Work Orders FCOM in field are not showing on ZIRMTRLST and do not have EMMA cases created.  These are net meter order types NET 5 and NET 7.  This means that the data on these approved new solar installations does not get to Billing Performance for Net Meter Billing setup on the account or Maps and Records for updating GIS."/>
  </r>
  <r>
    <s v="Intangible Plant, Common"/>
    <s v="Common (E &amp; G)"/>
    <s v="Intangibles, King County outside RTA District, WA : INT-0000 WA01700000"/>
    <n v="68173642"/>
    <s v="C303 INT Misc Intangible Plant"/>
    <n v="143007802"/>
    <s v="BCA - BILLING CORRECTION AUTOMATION"/>
    <s v="BCA - BILLING CORRECTION AUTOMATION - SW"/>
    <s v="12/2023"/>
    <n v="1"/>
    <n v="3229430.16"/>
    <n v="116553.11"/>
    <n v="3112877.05"/>
    <x v="0"/>
    <x v="2"/>
    <s v="Customer Information System (CIS) "/>
    <s v="SAP BILLING CORRECTION AUTOMATION"/>
  </r>
  <r>
    <s v="Intangible Plant, Common"/>
    <s v="Common (E &amp; G)"/>
    <s v="Intangibles, King County outside RTA District, WA : INT-0000 WA01700000"/>
    <n v="68173645"/>
    <s v="C303 INT Misc Intangible Plant"/>
    <n v="143007807"/>
    <s v="DELIVERY SYSTEM SCORECARD - SW.CN.5"/>
    <s v="DELIVERY SYSTEM SCORECARD - SW.CN.5YR"/>
    <s v="12/2023"/>
    <n v="1"/>
    <n v="110807.8"/>
    <n v="3999.1600000000003"/>
    <n v="106808.64"/>
    <x v="0"/>
    <x v="0"/>
    <s v="Management Information "/>
    <s v="Develop software to provide new customer capacity and reliability data while considering decarbonization alternatives and narrow application of DERs, DSM, and DR benefits to optimize energy delivery system investments all while advancing distributional equity. The initiative surrounding 2B came from the current state data pain points which will need to be addressed and makes this initiative critical in order to support PSE 2030. Gas &amp; Electric System Planning needs are considered in isolation. Additionally, there is a limited connection between system planning and resource planning (IRP). We want to be able to include new customer capacity and reliability while considering decarbonization alternatives and narrow application of DERs, DSM, and DR benefits to optimize energy delivery system investments all while advancing distributional equity._x000a_"/>
  </r>
  <r>
    <s v="Intangible Plant, Common"/>
    <s v="Common (E &amp; G)"/>
    <s v="Intangibles, King County outside RTA District, WA : INT-0000 WA01700000"/>
    <n v="68173648"/>
    <s v="C303 INT Misc Intangible Plant"/>
    <n v="143007808"/>
    <s v="NAMED COMMUNITIES - SW.CN.5YRS"/>
    <s v="NAMED COMMUNITIES - SW.CN.5YRS"/>
    <s v="12/2023"/>
    <n v="1"/>
    <n v="97295.81"/>
    <n v="3511.5"/>
    <n v="93784.31"/>
    <x v="0"/>
    <x v="0"/>
    <s v="Business Intelligence"/>
    <s v="Develop a proper data pipeline by mapping named community specific data sources working alongside the data governance team to properly automate the flow of data and build reporting around it. The scripting will be done in SAP/AWS which will allow data sources to be updated on a regular basis and will remove the manual/static reporting that is done today"/>
  </r>
  <r>
    <s v="Intangible Plant, Common"/>
    <s v="Common (E &amp; G)"/>
    <s v="Intangibles, King County outside RTA District, WA : INT-0000 WA01700000"/>
    <n v="68173651"/>
    <s v="C303 INT Misc Intangible Plant"/>
    <n v="143007821"/>
    <s v="ZIOC TRANSACTION ENHANCEMENT 2023 -"/>
    <s v="ZIOC TRANSACTION ENHANCEMENT 2023 - SW.C"/>
    <s v="12/2023"/>
    <n v="1"/>
    <n v="15803.53"/>
    <n v="570.36"/>
    <n v="15233.17"/>
    <x v="0"/>
    <x v="0"/>
    <s v="Planning Models "/>
    <s v="Transaction ZIOC (Program ZIR_CABLE_REPORT) in SAP ECC is designed to provide status of Underground Cable failures over a selectable time period. This is very useful in planning for the replacement of cables with repeated failures. The purpose is to have an Excel workbook connected to ZIOC and programmed to update automatically. Using the Excel workbook as data source, we want to create a Power BI dashboard that displays the latest status of cable failures."/>
  </r>
  <r>
    <s v="Intangible Plant, Common"/>
    <s v="Common (E &amp; G)"/>
    <s v="Intangibles, King County outside RTA District, WA : INT-0000 WA01700000"/>
    <n v="68173654"/>
    <s v="C303 INT Misc Intangible Plant"/>
    <n v="143007834"/>
    <s v="DIGITAL LEAK SURVEY PROJECT ENHANCE"/>
    <s v="DIGITAL LEAK SURVEY PROJECT ENHANCEMENT"/>
    <s v="12/2023"/>
    <n v="1"/>
    <n v="32423.510000000002"/>
    <n v="1170.19"/>
    <n v="31253.32"/>
    <x v="0"/>
    <x v="6"/>
    <s v="EXCLUDED - GAS SOFTWARE"/>
    <s v="Maintenance Programs would like to digitize the first pass yield spreadsheet -- this spreadsheet records error codes and comments that get shared with HUSA. Some error codes are eliminated by current processes in our current state with HUSA but there is still a need for a communication tool with HUSA regarding PSE QC findings."/>
  </r>
  <r>
    <s v="Intangible Plant, Common"/>
    <s v="Common (E &amp; G)"/>
    <s v="Intangibles, King County outside RTA District, WA : INT-0000 WA01700000"/>
    <n v="68173659"/>
    <s v="C303 INT Misc Intangible Plant"/>
    <n v="143007840"/>
    <s v="Physical Security Salient Licen.SW."/>
    <s v="Physical Security Salient Licen.SW.CAN.5"/>
    <s v="12/2023"/>
    <n v="1"/>
    <n v="51021.380000000005"/>
    <n v="1841.41"/>
    <n v="49179.97"/>
    <x v="0"/>
    <x v="0"/>
    <s v="Miscellaneous Software "/>
    <s v="Upgrades Salient licenses so that the software can support IP security cameras"/>
  </r>
  <r>
    <s v="Intangible Plant, Common"/>
    <s v="Common (E &amp; G)"/>
    <s v="Intangibles, King County outside RTA District, WA : INT-0000 WA01700000"/>
    <n v="68173662"/>
    <s v="C303 INT Misc Intangible Plant"/>
    <n v="143008062"/>
    <s v="2023 CAP MAINT PLATFORM - SW.CN.10Y"/>
    <s v="2023 CAP MAINT PLATFORM - SW.CN.10YRS"/>
    <s v="12/2023"/>
    <n v="1"/>
    <n v="8843564.9399999995"/>
    <n v="319172.39"/>
    <n v="8524392.5500000007"/>
    <x v="0"/>
    <x v="0"/>
    <s v="Miscellaneous Software "/>
    <s v="IT O&amp;M to Capital Maintenance for 10 YR useful life for CTM 4 techn ologies."/>
  </r>
</pivotCacheRecords>
</file>

<file path=xl/pivotCache/pivotCacheRecords6.xml><?xml version="1.0" encoding="utf-8"?>
<pivotCacheRecords xmlns="http://schemas.openxmlformats.org/spreadsheetml/2006/main" xmlns:r="http://schemas.openxmlformats.org/officeDocument/2006/relationships" count="116">
  <r>
    <x v="0"/>
    <m/>
    <m/>
    <m/>
    <m/>
    <n v="31"/>
    <m/>
    <s v="  "/>
    <s v="  "/>
    <m/>
    <n v="929"/>
    <s v="  "/>
    <n v="929"/>
  </r>
  <r>
    <x v="1"/>
    <m/>
    <m/>
    <m/>
    <m/>
    <m/>
    <m/>
    <s v="  "/>
    <s v="  "/>
    <m/>
    <m/>
    <n v="2001303"/>
    <n v="2001303"/>
  </r>
  <r>
    <x v="0"/>
    <m/>
    <m/>
    <m/>
    <m/>
    <n v="652698"/>
    <m/>
    <s v="  "/>
    <s v="  "/>
    <m/>
    <n v="31605562"/>
    <s v="  "/>
    <n v="31605562"/>
  </r>
  <r>
    <x v="2"/>
    <m/>
    <m/>
    <m/>
    <m/>
    <m/>
    <m/>
    <m/>
    <n v="130"/>
    <m/>
    <n v="-8560"/>
    <s v="  "/>
    <n v="-8560"/>
  </r>
  <r>
    <x v="3"/>
    <m/>
    <m/>
    <m/>
    <m/>
    <n v="55908"/>
    <m/>
    <s v="  "/>
    <s v="  "/>
    <m/>
    <n v="4476098"/>
    <s v="  "/>
    <n v="4476098"/>
  </r>
  <r>
    <x v="2"/>
    <m/>
    <m/>
    <m/>
    <m/>
    <m/>
    <m/>
    <n v="15024"/>
    <m/>
    <m/>
    <n v="1151527"/>
    <s v="  "/>
    <n v="1151527"/>
  </r>
  <r>
    <x v="1"/>
    <m/>
    <m/>
    <m/>
    <m/>
    <m/>
    <m/>
    <s v="  "/>
    <s v="  "/>
    <m/>
    <m/>
    <n v="19583"/>
    <n v="19583"/>
  </r>
  <r>
    <x v="4"/>
    <m/>
    <m/>
    <m/>
    <m/>
    <n v="20317"/>
    <m/>
    <s v="  "/>
    <s v="  "/>
    <m/>
    <n v="1860532"/>
    <s v="  "/>
    <n v="1860532"/>
  </r>
  <r>
    <x v="0"/>
    <m/>
    <m/>
    <m/>
    <m/>
    <n v="435"/>
    <m/>
    <s v="  "/>
    <s v="  "/>
    <m/>
    <n v="14837"/>
    <s v="  "/>
    <n v="14837"/>
  </r>
  <r>
    <x v="0"/>
    <m/>
    <m/>
    <m/>
    <m/>
    <n v="8646"/>
    <m/>
    <s v="  "/>
    <s v="  "/>
    <m/>
    <n v="446563"/>
    <s v="  "/>
    <n v="446563"/>
  </r>
  <r>
    <x v="0"/>
    <m/>
    <m/>
    <m/>
    <m/>
    <n v="35"/>
    <m/>
    <s v="  "/>
    <s v="  "/>
    <m/>
    <n v="2513"/>
    <s v="  "/>
    <n v="2513"/>
  </r>
  <r>
    <x v="1"/>
    <m/>
    <m/>
    <m/>
    <m/>
    <n v="196"/>
    <m/>
    <s v="  "/>
    <s v="  "/>
    <m/>
    <m/>
    <n v="39527"/>
    <n v="39527"/>
  </r>
  <r>
    <x v="3"/>
    <m/>
    <m/>
    <m/>
    <m/>
    <n v="60084"/>
    <m/>
    <s v="  "/>
    <s v="  "/>
    <m/>
    <n v="3455065"/>
    <s v="  "/>
    <n v="3455065"/>
  </r>
  <r>
    <x v="3"/>
    <m/>
    <m/>
    <m/>
    <m/>
    <n v="590286"/>
    <m/>
    <s v="  "/>
    <s v="  "/>
    <m/>
    <n v="46854402"/>
    <s v="  "/>
    <n v="46854402"/>
  </r>
  <r>
    <x v="5"/>
    <m/>
    <m/>
    <m/>
    <m/>
    <m/>
    <m/>
    <s v="  "/>
    <s v="  "/>
    <m/>
    <n v="9432000"/>
    <s v="  "/>
    <n v="9432000"/>
  </r>
  <r>
    <x v="1"/>
    <m/>
    <m/>
    <m/>
    <m/>
    <n v="-69"/>
    <m/>
    <s v="  "/>
    <s v="  "/>
    <m/>
    <m/>
    <n v="-19166"/>
    <n v="-19166"/>
  </r>
  <r>
    <x v="3"/>
    <m/>
    <m/>
    <m/>
    <m/>
    <n v="1713"/>
    <m/>
    <s v="  "/>
    <s v="  "/>
    <m/>
    <n v="205138"/>
    <s v="  "/>
    <n v="205138"/>
  </r>
  <r>
    <x v="1"/>
    <m/>
    <m/>
    <m/>
    <m/>
    <m/>
    <m/>
    <s v="  "/>
    <s v="  "/>
    <m/>
    <m/>
    <n v="527163"/>
    <n v="527163"/>
  </r>
  <r>
    <x v="3"/>
    <m/>
    <m/>
    <m/>
    <m/>
    <n v="1367292"/>
    <m/>
    <s v="  "/>
    <s v="  "/>
    <m/>
    <n v="53201292"/>
    <s v="  "/>
    <n v="53201292"/>
  </r>
  <r>
    <x v="3"/>
    <m/>
    <m/>
    <m/>
    <m/>
    <n v="120649"/>
    <m/>
    <s v="  "/>
    <s v="  "/>
    <m/>
    <n v="8359562"/>
    <s v="  "/>
    <n v="8359562"/>
  </r>
  <r>
    <x v="0"/>
    <m/>
    <m/>
    <m/>
    <m/>
    <n v="10429"/>
    <m/>
    <s v="  "/>
    <s v="  "/>
    <m/>
    <n v="758477"/>
    <s v="  "/>
    <n v="758477"/>
  </r>
  <r>
    <x v="6"/>
    <m/>
    <m/>
    <m/>
    <m/>
    <n v="30"/>
    <m/>
    <s v="  "/>
    <s v="  "/>
    <m/>
    <n v="1173"/>
    <s v="  "/>
    <n v="1173"/>
  </r>
  <r>
    <x v="3"/>
    <m/>
    <m/>
    <m/>
    <m/>
    <n v="47914"/>
    <m/>
    <s v="  "/>
    <s v="  "/>
    <m/>
    <n v="2176489"/>
    <s v="  "/>
    <n v="2176489"/>
  </r>
  <r>
    <x v="0"/>
    <m/>
    <m/>
    <m/>
    <m/>
    <n v="1640658"/>
    <m/>
    <s v="  "/>
    <s v="  "/>
    <m/>
    <n v="35279808"/>
    <n v="43171190"/>
    <n v="78450998"/>
  </r>
  <r>
    <x v="0"/>
    <m/>
    <m/>
    <m/>
    <m/>
    <n v="323977"/>
    <m/>
    <s v="  "/>
    <s v="  "/>
    <m/>
    <n v="17319245"/>
    <n v="11487"/>
    <n v="17330732"/>
  </r>
  <r>
    <x v="3"/>
    <m/>
    <m/>
    <m/>
    <m/>
    <m/>
    <m/>
    <s v="  "/>
    <s v="  "/>
    <m/>
    <n v="-2361405"/>
    <s v="  "/>
    <n v="-2361405"/>
  </r>
  <r>
    <x v="1"/>
    <m/>
    <m/>
    <m/>
    <m/>
    <n v="112"/>
    <m/>
    <s v="  "/>
    <s v="  "/>
    <m/>
    <m/>
    <n v="23483"/>
    <n v="23483"/>
  </r>
  <r>
    <x v="3"/>
    <m/>
    <m/>
    <m/>
    <m/>
    <n v="376306"/>
    <m/>
    <s v="  "/>
    <s v="  "/>
    <m/>
    <n v="30183381"/>
    <s v="  "/>
    <n v="30183381"/>
  </r>
  <r>
    <x v="1"/>
    <m/>
    <m/>
    <m/>
    <m/>
    <n v="75"/>
    <m/>
    <s v="  "/>
    <s v="  "/>
    <m/>
    <m/>
    <n v="15750"/>
    <n v="15750"/>
  </r>
  <r>
    <x v="3"/>
    <m/>
    <m/>
    <m/>
    <m/>
    <n v="1829"/>
    <m/>
    <s v="  "/>
    <s v="  "/>
    <m/>
    <n v="111625"/>
    <s v="  "/>
    <n v="111625"/>
  </r>
  <r>
    <x v="1"/>
    <m/>
    <m/>
    <m/>
    <m/>
    <n v="121"/>
    <m/>
    <s v="  "/>
    <s v="  "/>
    <m/>
    <m/>
    <n v="-308668"/>
    <n v="-308668"/>
  </r>
  <r>
    <x v="0"/>
    <m/>
    <m/>
    <m/>
    <m/>
    <n v="1311795"/>
    <m/>
    <s v="  "/>
    <s v="  "/>
    <m/>
    <n v="33121305"/>
    <s v="  "/>
    <n v="33121305"/>
  </r>
  <r>
    <x v="1"/>
    <m/>
    <m/>
    <m/>
    <m/>
    <n v="-76"/>
    <m/>
    <s v="  "/>
    <s v="  "/>
    <m/>
    <m/>
    <n v="-26316"/>
    <n v="-26316"/>
  </r>
  <r>
    <x v="3"/>
    <m/>
    <m/>
    <m/>
    <m/>
    <n v="276574"/>
    <m/>
    <s v="  "/>
    <s v="  "/>
    <m/>
    <n v="26596743"/>
    <s v="  "/>
    <n v="26596743"/>
  </r>
  <r>
    <x v="1"/>
    <m/>
    <m/>
    <m/>
    <m/>
    <n v="-287"/>
    <m/>
    <s v="  "/>
    <s v="  "/>
    <m/>
    <m/>
    <n v="-101027"/>
    <n v="-101027"/>
  </r>
  <r>
    <x v="3"/>
    <m/>
    <m/>
    <m/>
    <m/>
    <n v="8260"/>
    <m/>
    <s v="  "/>
    <s v="  "/>
    <m/>
    <n v="424582"/>
    <s v="  "/>
    <n v="424582"/>
  </r>
  <r>
    <x v="3"/>
    <m/>
    <m/>
    <m/>
    <m/>
    <n v="3688"/>
    <m/>
    <s v="  "/>
    <s v="  "/>
    <m/>
    <n v="315900"/>
    <s v="  "/>
    <n v="315900"/>
  </r>
  <r>
    <x v="2"/>
    <m/>
    <m/>
    <m/>
    <m/>
    <m/>
    <m/>
    <n v="11042"/>
    <n v="210763"/>
    <m/>
    <m/>
    <s v="  "/>
    <n v="0"/>
  </r>
  <r>
    <x v="1"/>
    <m/>
    <m/>
    <m/>
    <m/>
    <n v="4576"/>
    <m/>
    <s v="  "/>
    <s v="  "/>
    <m/>
    <m/>
    <n v="1309429"/>
    <n v="1309429"/>
  </r>
  <r>
    <x v="6"/>
    <m/>
    <m/>
    <m/>
    <m/>
    <n v="166570"/>
    <m/>
    <s v="  "/>
    <s v="  "/>
    <m/>
    <n v="8340000"/>
    <s v="  "/>
    <n v="8340000"/>
  </r>
  <r>
    <x v="1"/>
    <m/>
    <m/>
    <m/>
    <m/>
    <m/>
    <m/>
    <s v="  "/>
    <s v="  "/>
    <m/>
    <m/>
    <n v="-68747"/>
    <n v="-68747"/>
  </r>
  <r>
    <x v="0"/>
    <m/>
    <m/>
    <m/>
    <m/>
    <n v="831001"/>
    <m/>
    <s v="  "/>
    <s v="  "/>
    <m/>
    <n v="32703829"/>
    <s v="  "/>
    <n v="32703829"/>
  </r>
  <r>
    <x v="3"/>
    <m/>
    <m/>
    <m/>
    <m/>
    <n v="1905"/>
    <m/>
    <s v="  "/>
    <s v="  "/>
    <m/>
    <n v="203290"/>
    <s v="  "/>
    <n v="203290"/>
  </r>
  <r>
    <x v="3"/>
    <m/>
    <m/>
    <m/>
    <m/>
    <n v="3753"/>
    <m/>
    <s v="  "/>
    <s v="  "/>
    <m/>
    <n v="179714"/>
    <s v="  "/>
    <n v="179714"/>
  </r>
  <r>
    <x v="3"/>
    <m/>
    <m/>
    <m/>
    <m/>
    <n v="2237"/>
    <m/>
    <s v="  "/>
    <s v="  "/>
    <m/>
    <n v="131470"/>
    <s v="  "/>
    <n v="131470"/>
  </r>
  <r>
    <x v="0"/>
    <m/>
    <m/>
    <m/>
    <m/>
    <n v="33975"/>
    <m/>
    <s v="  "/>
    <s v="  "/>
    <m/>
    <n v="2501553"/>
    <s v="  "/>
    <n v="2501553"/>
  </r>
  <r>
    <x v="3"/>
    <m/>
    <m/>
    <m/>
    <m/>
    <n v="800"/>
    <m/>
    <s v="  "/>
    <s v="  "/>
    <m/>
    <n v="93480"/>
    <s v="  "/>
    <n v="93480"/>
  </r>
  <r>
    <x v="1"/>
    <m/>
    <m/>
    <m/>
    <m/>
    <n v="-75"/>
    <m/>
    <s v="  "/>
    <s v="  "/>
    <m/>
    <m/>
    <n v="-15750"/>
    <n v="-15750"/>
  </r>
  <r>
    <x v="3"/>
    <m/>
    <m/>
    <m/>
    <m/>
    <n v="6614"/>
    <m/>
    <s v="  "/>
    <s v="  "/>
    <m/>
    <n v="386015"/>
    <s v="  "/>
    <n v="386015"/>
  </r>
  <r>
    <x v="0"/>
    <m/>
    <m/>
    <m/>
    <m/>
    <n v="3718"/>
    <m/>
    <s v="  "/>
    <s v="  "/>
    <m/>
    <n v="174180"/>
    <s v="  "/>
    <n v="174180"/>
  </r>
  <r>
    <x v="1"/>
    <m/>
    <m/>
    <m/>
    <m/>
    <m/>
    <m/>
    <s v="  "/>
    <s v="  "/>
    <m/>
    <m/>
    <n v="330417"/>
    <n v="330417"/>
  </r>
  <r>
    <x v="3"/>
    <m/>
    <m/>
    <m/>
    <m/>
    <n v="19"/>
    <m/>
    <s v="  "/>
    <s v="  "/>
    <m/>
    <n v="1703"/>
    <s v="  "/>
    <n v="1703"/>
  </r>
  <r>
    <x v="1"/>
    <m/>
    <m/>
    <m/>
    <m/>
    <m/>
    <m/>
    <s v="  "/>
    <s v="  "/>
    <m/>
    <m/>
    <n v="200319"/>
    <n v="200319"/>
  </r>
  <r>
    <x v="0"/>
    <m/>
    <m/>
    <m/>
    <m/>
    <n v="333842"/>
    <m/>
    <s v="  "/>
    <s v="  "/>
    <m/>
    <n v="44443985"/>
    <s v="  "/>
    <n v="44443985"/>
  </r>
  <r>
    <x v="1"/>
    <m/>
    <m/>
    <m/>
    <m/>
    <m/>
    <m/>
    <s v="  "/>
    <s v="  "/>
    <m/>
    <m/>
    <n v="309492"/>
    <n v="309492"/>
  </r>
  <r>
    <x v="3"/>
    <m/>
    <m/>
    <m/>
    <m/>
    <n v="15"/>
    <m/>
    <s v="  "/>
    <s v="  "/>
    <m/>
    <n v="1106"/>
    <s v="  "/>
    <n v="1106"/>
  </r>
  <r>
    <x v="6"/>
    <m/>
    <m/>
    <m/>
    <m/>
    <n v="327676"/>
    <m/>
    <s v="  "/>
    <s v="  "/>
    <m/>
    <n v="28377506"/>
    <s v="  "/>
    <n v="28377506"/>
  </r>
  <r>
    <x v="1"/>
    <m/>
    <m/>
    <m/>
    <m/>
    <n v="-17"/>
    <m/>
    <s v="  "/>
    <s v="  "/>
    <m/>
    <m/>
    <n v="-3297"/>
    <n v="-3297"/>
  </r>
  <r>
    <x v="3"/>
    <m/>
    <m/>
    <m/>
    <m/>
    <n v="200610"/>
    <m/>
    <s v="  "/>
    <s v="  "/>
    <m/>
    <n v="20063202"/>
    <s v="  "/>
    <n v="20063202"/>
  </r>
  <r>
    <x v="3"/>
    <m/>
    <m/>
    <m/>
    <m/>
    <n v="3382"/>
    <m/>
    <s v="  "/>
    <s v="  "/>
    <m/>
    <n v="186933"/>
    <s v="  "/>
    <n v="186933"/>
  </r>
  <r>
    <x v="0"/>
    <m/>
    <m/>
    <m/>
    <m/>
    <n v="35"/>
    <m/>
    <s v="  "/>
    <s v="  "/>
    <m/>
    <n v="2560"/>
    <s v="  "/>
    <n v="2560"/>
  </r>
  <r>
    <x v="0"/>
    <m/>
    <m/>
    <m/>
    <m/>
    <n v="350361"/>
    <m/>
    <s v="  "/>
    <s v="  "/>
    <m/>
    <n v="16641768"/>
    <s v="  "/>
    <n v="16641768"/>
  </r>
  <r>
    <x v="1"/>
    <m/>
    <m/>
    <m/>
    <m/>
    <m/>
    <m/>
    <s v="  "/>
    <s v="  "/>
    <m/>
    <m/>
    <n v="-7836"/>
    <n v="-7836"/>
  </r>
  <r>
    <x v="0"/>
    <m/>
    <m/>
    <m/>
    <m/>
    <n v="115990"/>
    <m/>
    <s v="  "/>
    <s v="  "/>
    <m/>
    <n v="8585918"/>
    <s v="  "/>
    <n v="8585918"/>
  </r>
  <r>
    <x v="0"/>
    <m/>
    <m/>
    <m/>
    <m/>
    <n v="5"/>
    <m/>
    <s v="  "/>
    <s v="  "/>
    <m/>
    <n v="136"/>
    <s v="  "/>
    <n v="136"/>
  </r>
  <r>
    <x v="0"/>
    <m/>
    <m/>
    <m/>
    <m/>
    <n v="26187"/>
    <m/>
    <s v="  "/>
    <s v="  "/>
    <m/>
    <n v="2201758"/>
    <s v="  "/>
    <n v="2201758"/>
  </r>
  <r>
    <x v="0"/>
    <m/>
    <m/>
    <m/>
    <m/>
    <n v="206"/>
    <m/>
    <s v="  "/>
    <s v="  "/>
    <m/>
    <n v="8003"/>
    <s v="  "/>
    <n v="8003"/>
  </r>
  <r>
    <x v="1"/>
    <m/>
    <m/>
    <m/>
    <m/>
    <m/>
    <m/>
    <s v="  "/>
    <s v="  "/>
    <m/>
    <m/>
    <n v="-244786"/>
    <n v="-244786"/>
  </r>
  <r>
    <x v="0"/>
    <m/>
    <m/>
    <m/>
    <m/>
    <n v="291130"/>
    <m/>
    <s v="  "/>
    <s v="  "/>
    <m/>
    <n v="10776222"/>
    <s v="  "/>
    <n v="10776222"/>
  </r>
  <r>
    <x v="1"/>
    <m/>
    <m/>
    <m/>
    <m/>
    <n v="-141"/>
    <m/>
    <s v="  "/>
    <s v="  "/>
    <m/>
    <m/>
    <n v="-23391"/>
    <n v="-23391"/>
  </r>
  <r>
    <x v="1"/>
    <m/>
    <m/>
    <m/>
    <m/>
    <n v="-206"/>
    <m/>
    <s v="  "/>
    <s v="  "/>
    <m/>
    <m/>
    <n v="-9775"/>
    <n v="-9775"/>
  </r>
  <r>
    <x v="5"/>
    <m/>
    <m/>
    <m/>
    <m/>
    <n v="243042"/>
    <m/>
    <s v="  "/>
    <s v="  "/>
    <m/>
    <n v="11532343"/>
    <s v="  "/>
    <n v="11532343"/>
  </r>
  <r>
    <x v="3"/>
    <m/>
    <m/>
    <m/>
    <m/>
    <n v="38181"/>
    <m/>
    <s v="  "/>
    <s v="  "/>
    <m/>
    <n v="2379426"/>
    <s v="  "/>
    <n v="2379426"/>
  </r>
  <r>
    <x v="3"/>
    <m/>
    <m/>
    <m/>
    <m/>
    <n v="15008"/>
    <m/>
    <s v="  "/>
    <s v="  "/>
    <m/>
    <n v="718592"/>
    <s v="  "/>
    <n v="718592"/>
  </r>
  <r>
    <x v="3"/>
    <m/>
    <m/>
    <m/>
    <m/>
    <n v="20278"/>
    <m/>
    <s v="  "/>
    <s v="  "/>
    <m/>
    <n v="1302139"/>
    <s v="  "/>
    <n v="1302139"/>
  </r>
  <r>
    <x v="2"/>
    <m/>
    <m/>
    <m/>
    <m/>
    <m/>
    <m/>
    <n v="413000"/>
    <n v="413000"/>
    <m/>
    <m/>
    <s v="  "/>
    <n v="0"/>
  </r>
  <r>
    <x v="3"/>
    <m/>
    <m/>
    <m/>
    <m/>
    <n v="11081"/>
    <m/>
    <s v="  "/>
    <s v="  "/>
    <m/>
    <n v="683394"/>
    <s v="  "/>
    <n v="683394"/>
  </r>
  <r>
    <x v="0"/>
    <m/>
    <m/>
    <m/>
    <m/>
    <n v="10492"/>
    <m/>
    <s v="  "/>
    <s v="  "/>
    <m/>
    <n v="763117"/>
    <s v="  "/>
    <n v="763117"/>
  </r>
  <r>
    <x v="3"/>
    <m/>
    <m/>
    <m/>
    <m/>
    <n v="57"/>
    <m/>
    <s v="  "/>
    <s v="  "/>
    <m/>
    <n v="2198"/>
    <s v="  "/>
    <n v="2198"/>
  </r>
  <r>
    <x v="3"/>
    <m/>
    <m/>
    <m/>
    <m/>
    <n v="20152"/>
    <m/>
    <s v="  "/>
    <s v="  "/>
    <m/>
    <n v="1893342"/>
    <s v="  "/>
    <n v="1893342"/>
  </r>
  <r>
    <x v="1"/>
    <m/>
    <m/>
    <m/>
    <m/>
    <n v="-18"/>
    <m/>
    <s v="  "/>
    <s v="  "/>
    <m/>
    <m/>
    <n v="-2099"/>
    <n v="-2099"/>
  </r>
  <r>
    <x v="2"/>
    <m/>
    <m/>
    <m/>
    <m/>
    <m/>
    <m/>
    <n v="60"/>
    <n v="70"/>
    <m/>
    <n v="-1000"/>
    <s v="  "/>
    <n v="-1000"/>
  </r>
  <r>
    <x v="3"/>
    <m/>
    <m/>
    <m/>
    <m/>
    <n v="32090"/>
    <m/>
    <s v="  "/>
    <s v="  "/>
    <m/>
    <n v="7572261"/>
    <s v="  "/>
    <n v="7572261"/>
  </r>
  <r>
    <x v="4"/>
    <m/>
    <m/>
    <m/>
    <m/>
    <n v="488000"/>
    <m/>
    <s v="  "/>
    <s v="  "/>
    <m/>
    <n v="51069200"/>
    <s v="  "/>
    <n v="51069200"/>
  </r>
  <r>
    <x v="4"/>
    <m/>
    <m/>
    <m/>
    <m/>
    <n v="1208000"/>
    <m/>
    <s v="  "/>
    <s v="  "/>
    <m/>
    <n v="142483600"/>
    <s v="  "/>
    <n v="142483600"/>
  </r>
  <r>
    <x v="3"/>
    <m/>
    <m/>
    <m/>
    <m/>
    <n v="2105"/>
    <m/>
    <s v="  "/>
    <s v="  "/>
    <m/>
    <n v="222798"/>
    <s v="  "/>
    <n v="222798"/>
  </r>
  <r>
    <x v="0"/>
    <m/>
    <m/>
    <m/>
    <m/>
    <n v="4038"/>
    <m/>
    <s v="  "/>
    <s v="  "/>
    <m/>
    <n v="189188"/>
    <s v="  "/>
    <n v="189188"/>
  </r>
  <r>
    <x v="1"/>
    <m/>
    <m/>
    <m/>
    <m/>
    <m/>
    <m/>
    <s v="  "/>
    <s v="  "/>
    <m/>
    <m/>
    <n v="-77223142"/>
    <n v="0"/>
  </r>
  <r>
    <x v="3"/>
    <m/>
    <m/>
    <m/>
    <m/>
    <n v="160"/>
    <m/>
    <s v="  "/>
    <s v="  "/>
    <m/>
    <n v="11025"/>
    <s v="  "/>
    <n v="11025"/>
  </r>
  <r>
    <x v="1"/>
    <m/>
    <m/>
    <m/>
    <m/>
    <m/>
    <m/>
    <s v="  "/>
    <s v="  "/>
    <m/>
    <m/>
    <n v="187000"/>
    <n v="187000"/>
  </r>
  <r>
    <x v="3"/>
    <m/>
    <m/>
    <m/>
    <m/>
    <n v="41692"/>
    <m/>
    <s v="  "/>
    <s v="  "/>
    <m/>
    <n v="2722888"/>
    <s v="  "/>
    <n v="2722888"/>
  </r>
  <r>
    <x v="3"/>
    <m/>
    <m/>
    <m/>
    <m/>
    <n v="474143"/>
    <m/>
    <s v="  "/>
    <s v="  "/>
    <m/>
    <n v="43537127"/>
    <s v="  "/>
    <n v="43537127"/>
  </r>
  <r>
    <x v="1"/>
    <m/>
    <m/>
    <m/>
    <m/>
    <m/>
    <m/>
    <s v="  "/>
    <s v="  "/>
    <m/>
    <m/>
    <n v="-10147"/>
    <n v="-10147"/>
  </r>
  <r>
    <x v="0"/>
    <m/>
    <m/>
    <m/>
    <m/>
    <n v="135153"/>
    <m/>
    <s v="  "/>
    <s v="  "/>
    <m/>
    <n v="5959942"/>
    <s v="  "/>
    <n v="5959942"/>
  </r>
  <r>
    <x v="0"/>
    <m/>
    <m/>
    <m/>
    <m/>
    <n v="3050"/>
    <m/>
    <s v="  "/>
    <s v="  "/>
    <m/>
    <n v="103122"/>
    <s v="  "/>
    <n v="103122"/>
  </r>
  <r>
    <x v="0"/>
    <m/>
    <m/>
    <m/>
    <m/>
    <n v="415029"/>
    <m/>
    <s v="  "/>
    <s v="  "/>
    <m/>
    <n v="19618210"/>
    <s v="  "/>
    <n v="19618210"/>
  </r>
  <r>
    <x v="3"/>
    <m/>
    <m/>
    <m/>
    <m/>
    <n v="13665"/>
    <m/>
    <s v="  "/>
    <s v="  "/>
    <m/>
    <n v="371994"/>
    <s v="  "/>
    <n v="371994"/>
  </r>
  <r>
    <x v="3"/>
    <m/>
    <m/>
    <m/>
    <m/>
    <n v="5966"/>
    <m/>
    <s v="  "/>
    <s v="  "/>
    <m/>
    <n v="252232"/>
    <s v="  "/>
    <n v="252232"/>
  </r>
  <r>
    <x v="0"/>
    <m/>
    <m/>
    <m/>
    <m/>
    <n v="781"/>
    <m/>
    <s v="  "/>
    <s v="  "/>
    <m/>
    <n v="56799"/>
    <s v="  "/>
    <n v="56799"/>
  </r>
  <r>
    <x v="3"/>
    <m/>
    <m/>
    <m/>
    <m/>
    <n v="185"/>
    <m/>
    <s v="  "/>
    <s v="  "/>
    <m/>
    <n v="6725"/>
    <s v="  "/>
    <n v="6725"/>
  </r>
  <r>
    <x v="3"/>
    <m/>
    <m/>
    <m/>
    <m/>
    <n v="27844"/>
    <m/>
    <s v="  "/>
    <s v="  "/>
    <m/>
    <n v="2851486"/>
    <s v="  "/>
    <n v="2851486"/>
  </r>
  <r>
    <x v="1"/>
    <m/>
    <m/>
    <m/>
    <m/>
    <m/>
    <m/>
    <s v="  "/>
    <s v="  "/>
    <m/>
    <m/>
    <n v="-500"/>
    <n v="-500"/>
  </r>
  <r>
    <x v="3"/>
    <m/>
    <m/>
    <m/>
    <m/>
    <n v="51143"/>
    <m/>
    <s v="  "/>
    <s v="  "/>
    <m/>
    <n v="2617691"/>
    <s v="  "/>
    <n v="2617691"/>
  </r>
  <r>
    <x v="1"/>
    <m/>
    <m/>
    <m/>
    <m/>
    <n v="171"/>
    <m/>
    <s v="  "/>
    <s v="  "/>
    <m/>
    <m/>
    <n v="408175"/>
    <n v="408175"/>
  </r>
  <r>
    <x v="0"/>
    <m/>
    <m/>
    <m/>
    <m/>
    <n v="3326405"/>
    <m/>
    <s v="  "/>
    <s v="  "/>
    <m/>
    <n v="192038428"/>
    <s v="  "/>
    <n v="192038428"/>
  </r>
  <r>
    <x v="1"/>
    <m/>
    <m/>
    <m/>
    <m/>
    <n v="-404"/>
    <m/>
    <s v="  "/>
    <s v="  "/>
    <m/>
    <m/>
    <n v="-176663"/>
    <n v="-176663"/>
  </r>
  <r>
    <x v="3"/>
    <m/>
    <m/>
    <m/>
    <m/>
    <n v="352987"/>
    <m/>
    <s v="  "/>
    <s v="  "/>
    <m/>
    <n v="30304798"/>
    <s v="  "/>
    <n v="30304798"/>
  </r>
  <r>
    <x v="3"/>
    <m/>
    <m/>
    <m/>
    <m/>
    <n v="14"/>
    <m/>
    <s v="  "/>
    <s v="  "/>
    <m/>
    <n v="495"/>
    <s v="  "/>
    <n v="495"/>
  </r>
  <r>
    <x v="3"/>
    <m/>
    <m/>
    <m/>
    <m/>
    <n v="2032"/>
    <m/>
    <s v="  "/>
    <s v="  "/>
    <m/>
    <n v="42090"/>
    <s v="  "/>
    <n v="42090"/>
  </r>
  <r>
    <x v="0"/>
    <m/>
    <m/>
    <m/>
    <m/>
    <n v="49979"/>
    <m/>
    <s v="  "/>
    <s v="  "/>
    <m/>
    <n v="3748395"/>
    <s v="  "/>
    <n v="3748395"/>
  </r>
  <r>
    <x v="0"/>
    <m/>
    <m/>
    <m/>
    <m/>
    <n v="11509"/>
    <m/>
    <s v="  "/>
    <s v="  "/>
    <m/>
    <n v="837065"/>
    <s v="  "/>
    <n v="837065"/>
  </r>
  <r>
    <x v="6"/>
    <m/>
    <m/>
    <m/>
    <m/>
    <n v="4398"/>
    <m/>
    <s v="  "/>
    <s v="  "/>
    <m/>
    <n v="149964"/>
    <s v="  "/>
    <n v="149964"/>
  </r>
  <r>
    <x v="3"/>
    <m/>
    <m/>
    <m/>
    <m/>
    <n v="2853"/>
    <m/>
    <s v="  "/>
    <s v="  "/>
    <m/>
    <n v="225850"/>
    <s v="  "/>
    <n v="225850"/>
  </r>
  <r>
    <x v="1"/>
    <m/>
    <m/>
    <m/>
    <m/>
    <m/>
    <m/>
    <s v="  "/>
    <s v="  "/>
    <m/>
    <m/>
    <n v="95942000"/>
    <n v="95942000"/>
  </r>
  <r>
    <x v="3"/>
    <m/>
    <m/>
    <m/>
    <m/>
    <n v="8699"/>
    <m/>
    <s v="  "/>
    <s v="  "/>
    <m/>
    <n v="416516"/>
    <s v="  "/>
    <n v="416516"/>
  </r>
  <r>
    <x v="3"/>
    <m/>
    <m/>
    <m/>
    <m/>
    <m/>
    <m/>
    <s v="  "/>
    <s v="  "/>
    <m/>
    <n v="-65513180"/>
    <s v="  "/>
    <n v="-65513180"/>
  </r>
</pivotCacheRecords>
</file>

<file path=xl/pivotCache/pivotCacheRecords7.xml><?xml version="1.0" encoding="utf-8"?>
<pivotCacheRecords xmlns="http://schemas.openxmlformats.org/spreadsheetml/2006/main" xmlns:r="http://schemas.openxmlformats.org/officeDocument/2006/relationships" count="90">
  <r>
    <s v="3 Bar G Wind Turbine #3 LLC"/>
    <x v="0"/>
    <m/>
    <m/>
    <m/>
    <m/>
    <n v="153"/>
    <m/>
    <m/>
    <m/>
    <m/>
    <n v="4335"/>
    <m/>
    <n v="4335"/>
  </r>
  <r>
    <s v="Avista Corp. WWP Division"/>
    <x v="1"/>
    <m/>
    <m/>
    <m/>
    <m/>
    <m/>
    <m/>
    <m/>
    <m/>
    <m/>
    <m/>
    <n v="-4"/>
    <n v="-4"/>
  </r>
  <r>
    <s v="Avista Corp. WWP Division"/>
    <x v="2"/>
    <m/>
    <m/>
    <m/>
    <m/>
    <n v="37139"/>
    <m/>
    <m/>
    <m/>
    <m/>
    <n v="1687399"/>
    <m/>
    <n v="1687399"/>
  </r>
  <r>
    <s v="Avista Nichols Pump"/>
    <x v="3"/>
    <m/>
    <m/>
    <m/>
    <m/>
    <m/>
    <m/>
    <n v="18032"/>
    <m/>
    <m/>
    <n v="948565"/>
    <m/>
    <n v="948565"/>
  </r>
  <r>
    <s v="Powerex (Point Roberts)"/>
    <x v="4"/>
    <m/>
    <m/>
    <m/>
    <m/>
    <n v="18119"/>
    <m/>
    <m/>
    <m/>
    <m/>
    <n v="967549"/>
    <m/>
    <n v="967549"/>
  </r>
  <r>
    <s v="BIO ENERGY (Washington) LLC"/>
    <x v="0"/>
    <m/>
    <m/>
    <m/>
    <m/>
    <n v="3"/>
    <m/>
    <m/>
    <m/>
    <m/>
    <n v="337"/>
    <m/>
    <n v="337"/>
  </r>
  <r>
    <s v="Black Creek Hydro"/>
    <x v="0"/>
    <m/>
    <m/>
    <m/>
    <m/>
    <n v="11168"/>
    <m/>
    <m/>
    <m/>
    <m/>
    <n v="661031"/>
    <m/>
    <n v="661031"/>
  </r>
  <r>
    <s v="Bloks Evergreen Dairy"/>
    <x v="0"/>
    <m/>
    <m/>
    <m/>
    <m/>
    <n v="19232"/>
    <m/>
    <m/>
    <m/>
    <m/>
    <n v="10208"/>
    <m/>
    <n v="10208"/>
  </r>
  <r>
    <s v="BP Energy Co."/>
    <x v="1"/>
    <m/>
    <m/>
    <m/>
    <m/>
    <n v="-268"/>
    <m/>
    <m/>
    <m/>
    <m/>
    <m/>
    <n v="-5072"/>
    <n v="-5072"/>
  </r>
  <r>
    <s v="BP Energy Co."/>
    <x v="2"/>
    <m/>
    <m/>
    <m/>
    <m/>
    <n v="295369"/>
    <m/>
    <m/>
    <m/>
    <m/>
    <n v="17870174"/>
    <m/>
    <n v="17870174"/>
  </r>
  <r>
    <s v="Bonneville Power Admistration"/>
    <x v="1"/>
    <m/>
    <m/>
    <m/>
    <m/>
    <m/>
    <m/>
    <m/>
    <m/>
    <m/>
    <m/>
    <n v="2"/>
    <n v="2"/>
  </r>
  <r>
    <s v="Bonneville Power Admistration"/>
    <x v="2"/>
    <m/>
    <m/>
    <m/>
    <m/>
    <n v="1028733"/>
    <m/>
    <m/>
    <m/>
    <m/>
    <n v="39895363"/>
    <m/>
    <n v="39895363"/>
  </r>
  <r>
    <s v="Brookfield Energy Marketing LP"/>
    <x v="2"/>
    <m/>
    <m/>
    <m/>
    <m/>
    <n v="14402"/>
    <m/>
    <m/>
    <m/>
    <m/>
    <n v="1719948"/>
    <m/>
    <n v="1719948"/>
  </r>
  <r>
    <s v="CA Carbon Obligation"/>
    <x v="1"/>
    <m/>
    <m/>
    <m/>
    <m/>
    <m/>
    <m/>
    <m/>
    <m/>
    <m/>
    <m/>
    <n v="418942"/>
    <n v="418942"/>
  </r>
  <r>
    <s v="California ISO - EIM Purchases"/>
    <x v="2"/>
    <m/>
    <m/>
    <m/>
    <m/>
    <n v="924957"/>
    <m/>
    <m/>
    <m/>
    <m/>
    <n v="19364088"/>
    <m/>
    <n v="19364088"/>
  </r>
  <r>
    <s v="California ISO"/>
    <x v="2"/>
    <m/>
    <m/>
    <m/>
    <m/>
    <n v="14629"/>
    <m/>
    <m/>
    <m/>
    <m/>
    <n v="286890"/>
    <m/>
    <n v="286890"/>
  </r>
  <r>
    <s v="Cascade Community Solar"/>
    <x v="2"/>
    <m/>
    <m/>
    <m/>
    <m/>
    <n v="29"/>
    <m/>
    <m/>
    <m/>
    <m/>
    <n v="680"/>
    <m/>
    <n v="680"/>
  </r>
  <r>
    <s v="Chelan County PUD #1"/>
    <x v="2"/>
    <m/>
    <m/>
    <m/>
    <m/>
    <n v="59162"/>
    <m/>
    <m/>
    <m/>
    <m/>
    <n v="6374019"/>
    <m/>
    <n v="6374019"/>
  </r>
  <r>
    <s v="Chelan PUD - Rock Island and Rocky Reach"/>
    <x v="5"/>
    <m/>
    <m/>
    <m/>
    <m/>
    <n v="1908054"/>
    <m/>
    <m/>
    <m/>
    <m/>
    <n v="31753358"/>
    <n v="33605571"/>
    <n v="65358929"/>
  </r>
  <r>
    <s v="Citigroup Energy (Financial)"/>
    <x v="2"/>
    <m/>
    <m/>
    <m/>
    <m/>
    <m/>
    <m/>
    <m/>
    <m/>
    <m/>
    <n v="-239303"/>
    <m/>
    <n v="-239303"/>
  </r>
  <r>
    <s v="Citigroup Energy Inc"/>
    <x v="2"/>
    <m/>
    <m/>
    <m/>
    <m/>
    <n v="543200"/>
    <m/>
    <m/>
    <m/>
    <m/>
    <n v="18390882"/>
    <m/>
    <n v="18390882"/>
  </r>
  <r>
    <s v="Clatskanie PUD"/>
    <x v="2"/>
    <m/>
    <m/>
    <m/>
    <m/>
    <n v="1810"/>
    <m/>
    <m/>
    <m/>
    <m/>
    <n v="65407"/>
    <m/>
    <n v="65407"/>
  </r>
  <r>
    <s v="Conoco, Inc."/>
    <x v="2"/>
    <m/>
    <m/>
    <m/>
    <m/>
    <n v="1121603"/>
    <m/>
    <m/>
    <m/>
    <m/>
    <n v="58211646"/>
    <m/>
    <n v="58211646"/>
  </r>
  <r>
    <s v="CONSTELLATION ENERGY"/>
    <x v="2"/>
    <m/>
    <m/>
    <m/>
    <m/>
    <n v="130712"/>
    <m/>
    <m/>
    <m/>
    <m/>
    <n v="8236453"/>
    <m/>
    <n v="8236453"/>
  </r>
  <r>
    <s v="CP Energy Marketing (Epcor)"/>
    <x v="2"/>
    <m/>
    <m/>
    <m/>
    <m/>
    <n v="600"/>
    <m/>
    <m/>
    <m/>
    <m/>
    <n v="140500"/>
    <m/>
    <n v="140500"/>
  </r>
  <r>
    <s v="System Deviation"/>
    <x v="3"/>
    <m/>
    <m/>
    <m/>
    <m/>
    <m/>
    <m/>
    <m/>
    <n v="232291"/>
    <m/>
    <m/>
    <m/>
    <n v="0"/>
  </r>
  <r>
    <s v="Douglas County PUD #1"/>
    <x v="1"/>
    <m/>
    <m/>
    <m/>
    <m/>
    <m/>
    <m/>
    <m/>
    <m/>
    <m/>
    <m/>
    <n v="-25727"/>
    <n v="-25727"/>
  </r>
  <r>
    <s v="Douglas County PUD #1"/>
    <x v="2"/>
    <m/>
    <m/>
    <m/>
    <m/>
    <m/>
    <m/>
    <m/>
    <m/>
    <m/>
    <n v="3513719"/>
    <m/>
    <n v="3513719"/>
  </r>
  <r>
    <s v="Douglas PUD - Wells Project"/>
    <x v="5"/>
    <m/>
    <m/>
    <m/>
    <m/>
    <n v="1119214"/>
    <m/>
    <m/>
    <m/>
    <m/>
    <n v="37663811"/>
    <m/>
    <n v="37663811"/>
  </r>
  <r>
    <s v="DTE Energy Trading"/>
    <x v="2"/>
    <m/>
    <m/>
    <m/>
    <m/>
    <n v="400"/>
    <m/>
    <m/>
    <m/>
    <m/>
    <n v="9800"/>
    <m/>
    <n v="9800"/>
  </r>
  <r>
    <s v="Edaleen Dairy, LLC"/>
    <x v="0"/>
    <m/>
    <m/>
    <m/>
    <m/>
    <n v="3815"/>
    <m/>
    <m/>
    <m/>
    <m/>
    <n v="371270"/>
    <m/>
    <n v="371270"/>
  </r>
  <r>
    <s v="EDF Trading (Financial)"/>
    <x v="2"/>
    <m/>
    <m/>
    <m/>
    <m/>
    <m/>
    <m/>
    <m/>
    <m/>
    <m/>
    <n v="-1882184"/>
    <m/>
    <n v="-1882184"/>
  </r>
  <r>
    <s v="EDF Trading NA LLC"/>
    <x v="1"/>
    <m/>
    <m/>
    <m/>
    <m/>
    <m/>
    <m/>
    <m/>
    <m/>
    <m/>
    <m/>
    <n v="-120"/>
    <n v="-120"/>
  </r>
  <r>
    <s v="EDF Trading NA LLC"/>
    <x v="2"/>
    <m/>
    <m/>
    <m/>
    <m/>
    <n v="821"/>
    <m/>
    <m/>
    <m/>
    <m/>
    <n v="37486"/>
    <m/>
    <n v="37486"/>
  </r>
  <r>
    <s v="Emerald City Renewables, LLC"/>
    <x v="0"/>
    <m/>
    <m/>
    <m/>
    <m/>
    <n v="27196"/>
    <m/>
    <m/>
    <m/>
    <m/>
    <n v="2647020"/>
    <m/>
    <n v="2647020"/>
  </r>
  <r>
    <s v="Energy Keepers Inc."/>
    <x v="2"/>
    <m/>
    <m/>
    <m/>
    <m/>
    <n v="1216"/>
    <m/>
    <m/>
    <m/>
    <m/>
    <n v="92004"/>
    <m/>
    <n v="92004"/>
  </r>
  <r>
    <s v="Eugene Water &amp; Electric"/>
    <x v="2"/>
    <m/>
    <m/>
    <m/>
    <m/>
    <n v="5790"/>
    <m/>
    <m/>
    <m/>
    <m/>
    <n v="206522"/>
    <m/>
    <n v="206522"/>
  </r>
  <r>
    <s v="EV Operating/power cost deferral"/>
    <x v="1"/>
    <m/>
    <m/>
    <m/>
    <m/>
    <m/>
    <m/>
    <m/>
    <m/>
    <m/>
    <m/>
    <n v="-693"/>
    <n v="-693"/>
  </r>
  <r>
    <s v="Farm Power Rexville LLC"/>
    <x v="6"/>
    <m/>
    <m/>
    <m/>
    <m/>
    <n v="3144"/>
    <m/>
    <m/>
    <m/>
    <m/>
    <n v="123482"/>
    <m/>
    <n v="123482"/>
  </r>
  <r>
    <s v="Grant County PUD #2"/>
    <x v="2"/>
    <m/>
    <m/>
    <m/>
    <m/>
    <n v="10001"/>
    <m/>
    <m/>
    <m/>
    <m/>
    <n v="157527"/>
    <m/>
    <n v="157527"/>
  </r>
  <r>
    <s v="Grant PUD - Priest Rapids Project"/>
    <x v="5"/>
    <m/>
    <m/>
    <m/>
    <m/>
    <n v="431728"/>
    <m/>
    <m/>
    <m/>
    <m/>
    <n v="14789479"/>
    <m/>
    <n v="14789479"/>
  </r>
  <r>
    <s v="Green Direct RECs"/>
    <x v="1"/>
    <m/>
    <m/>
    <m/>
    <m/>
    <m/>
    <m/>
    <m/>
    <m/>
    <m/>
    <m/>
    <n v="-3709346"/>
    <n v="-3709346"/>
  </r>
  <r>
    <s v="Gridforce Energy Management, LLC."/>
    <x v="2"/>
    <m/>
    <m/>
    <m/>
    <m/>
    <n v="1"/>
    <m/>
    <m/>
    <m/>
    <m/>
    <n v="98"/>
    <m/>
    <n v="98"/>
  </r>
  <r>
    <s v="Iberdrola Renewables (PPM Energy)"/>
    <x v="2"/>
    <m/>
    <m/>
    <m/>
    <m/>
    <n v="1178322"/>
    <m/>
    <m/>
    <m/>
    <m/>
    <n v="63962458"/>
    <m/>
    <n v="63962458"/>
  </r>
  <r>
    <s v="Idaho Power Company"/>
    <x v="2"/>
    <m/>
    <m/>
    <m/>
    <m/>
    <n v="3081"/>
    <m/>
    <m/>
    <m/>
    <m/>
    <n v="119846"/>
    <m/>
    <n v="119846"/>
  </r>
  <r>
    <s v="Ikea U.S. West, Inc."/>
    <x v="0"/>
    <m/>
    <m/>
    <m/>
    <m/>
    <n v="61"/>
    <m/>
    <m/>
    <m/>
    <m/>
    <n v="4194"/>
    <m/>
    <n v="4194"/>
  </r>
  <r>
    <s v="KERR DAM-ENERGY KEEPER"/>
    <x v="0"/>
    <m/>
    <m/>
    <m/>
    <m/>
    <n v="350624"/>
    <m/>
    <m/>
    <m/>
    <m/>
    <n v="16659376"/>
    <m/>
    <n v="16659376"/>
  </r>
  <r>
    <s v="Iberdrola Renewables (Klondike Wind Power III)"/>
    <x v="0"/>
    <m/>
    <m/>
    <m/>
    <m/>
    <n v="141582"/>
    <m/>
    <m/>
    <m/>
    <m/>
    <n v="9838692"/>
    <m/>
    <n v="9838692"/>
  </r>
  <r>
    <s v="Knudsen Wind Turbine#1"/>
    <x v="0"/>
    <m/>
    <m/>
    <m/>
    <m/>
    <n v="139"/>
    <m/>
    <m/>
    <m/>
    <m/>
    <n v="3935"/>
    <m/>
    <n v="3935"/>
  </r>
  <r>
    <s v="Koma Kulshan Associates"/>
    <x v="0"/>
    <m/>
    <m/>
    <m/>
    <m/>
    <n v="40459"/>
    <m/>
    <m/>
    <m/>
    <m/>
    <n v="3393084"/>
    <m/>
    <n v="3393084"/>
  </r>
  <r>
    <s v="Lake Washington School District #414 "/>
    <x v="0"/>
    <m/>
    <m/>
    <m/>
    <m/>
    <n v="98"/>
    <m/>
    <m/>
    <m/>
    <m/>
    <n v="9490"/>
    <m/>
    <n v="9490"/>
  </r>
  <r>
    <s v="Lund Hill Solar, LLC"/>
    <x v="0"/>
    <m/>
    <m/>
    <m/>
    <m/>
    <n v="366671"/>
    <m/>
    <m/>
    <m/>
    <m/>
    <n v="13349013"/>
    <m/>
    <n v="13349013"/>
  </r>
  <r>
    <s v="Morgan Stanley CG"/>
    <x v="1"/>
    <m/>
    <m/>
    <m/>
    <m/>
    <m/>
    <m/>
    <m/>
    <m/>
    <m/>
    <m/>
    <n v="9270"/>
    <n v="9270"/>
  </r>
  <r>
    <s v="Morgan Stanley CG"/>
    <x v="2"/>
    <m/>
    <m/>
    <m/>
    <m/>
    <n v="336652"/>
    <m/>
    <m/>
    <m/>
    <m/>
    <n v="16891583"/>
    <m/>
    <n v="16891583"/>
  </r>
  <r>
    <s v="Morgan Stanley CG (Financial)"/>
    <x v="2"/>
    <m/>
    <m/>
    <m/>
    <m/>
    <m/>
    <m/>
    <m/>
    <m/>
    <m/>
    <n v="-1034253"/>
    <m/>
    <n v="-1034253"/>
  </r>
  <r>
    <s v="NextEra Energy Power Marketing"/>
    <x v="2"/>
    <m/>
    <m/>
    <m/>
    <m/>
    <n v="31440"/>
    <m/>
    <m/>
    <m/>
    <m/>
    <n v="2930646"/>
    <m/>
    <n v="2930646"/>
  </r>
  <r>
    <s v="Puget Sound Hydro (Nooksack)"/>
    <x v="0"/>
    <m/>
    <m/>
    <m/>
    <m/>
    <n v="22657"/>
    <m/>
    <m/>
    <m/>
    <m/>
    <n v="2205183"/>
    <m/>
    <n v="2205183"/>
  </r>
  <r>
    <s v="Northwestern Energy"/>
    <x v="2"/>
    <m/>
    <m/>
    <m/>
    <m/>
    <n v="12611"/>
    <m/>
    <m/>
    <m/>
    <m/>
    <n v="412358"/>
    <m/>
    <n v="412358"/>
  </r>
  <r>
    <s v="Pacific Gas &amp; Elec - Exchange"/>
    <x v="3"/>
    <m/>
    <m/>
    <m/>
    <m/>
    <m/>
    <m/>
    <n v="413000"/>
    <n v="413000"/>
    <m/>
    <m/>
    <m/>
    <n v="0"/>
  </r>
  <r>
    <s v="Pacificorp"/>
    <x v="1"/>
    <m/>
    <m/>
    <m/>
    <m/>
    <m/>
    <m/>
    <m/>
    <m/>
    <m/>
    <m/>
    <n v="30"/>
    <n v="30"/>
  </r>
  <r>
    <s v="Pacificorp"/>
    <x v="2"/>
    <m/>
    <m/>
    <m/>
    <m/>
    <n v="26729"/>
    <m/>
    <m/>
    <m/>
    <m/>
    <n v="976998"/>
    <m/>
    <n v="976998"/>
  </r>
  <r>
    <s v="Penstemon Solar"/>
    <x v="0"/>
    <m/>
    <m/>
    <m/>
    <m/>
    <n v="2"/>
    <m/>
    <m/>
    <m/>
    <m/>
    <n v="107"/>
    <m/>
    <n v="107"/>
  </r>
  <r>
    <s v="Port of Coupeville"/>
    <x v="2"/>
    <m/>
    <m/>
    <m/>
    <m/>
    <n v="114"/>
    <m/>
    <m/>
    <m/>
    <m/>
    <n v="2817"/>
    <m/>
    <n v="2817"/>
  </r>
  <r>
    <s v="Portland General Electric"/>
    <x v="1"/>
    <m/>
    <m/>
    <m/>
    <m/>
    <m/>
    <m/>
    <m/>
    <m/>
    <m/>
    <m/>
    <n v="30"/>
    <n v="30"/>
  </r>
  <r>
    <s v="Portland General Electric"/>
    <x v="2"/>
    <m/>
    <m/>
    <m/>
    <m/>
    <n v="64144"/>
    <m/>
    <m/>
    <m/>
    <m/>
    <n v="2592307"/>
    <m/>
    <n v="2592307"/>
  </r>
  <r>
    <s v="Powerex Corp."/>
    <x v="2"/>
    <m/>
    <m/>
    <m/>
    <m/>
    <n v="59575"/>
    <m/>
    <m/>
    <m/>
    <m/>
    <n v="4035260"/>
    <m/>
    <n v="4035260"/>
  </r>
  <r>
    <s v="Public Service of Colorado"/>
    <x v="2"/>
    <m/>
    <m/>
    <m/>
    <m/>
    <n v="30800"/>
    <m/>
    <m/>
    <m/>
    <m/>
    <n v="1047200"/>
    <m/>
    <n v="1047200"/>
  </r>
  <r>
    <s v="Rainbow Energy Marketing"/>
    <x v="2"/>
    <m/>
    <m/>
    <m/>
    <m/>
    <n v="1750"/>
    <m/>
    <m/>
    <m/>
    <m/>
    <n v="122400"/>
    <m/>
    <n v="122400"/>
  </r>
  <r>
    <s v="Rainer BioGas"/>
    <x v="2"/>
    <m/>
    <m/>
    <m/>
    <m/>
    <n v="2918"/>
    <m/>
    <m/>
    <m/>
    <m/>
    <n v="96308"/>
    <m/>
    <n v="96308"/>
  </r>
  <r>
    <s v="Residential Exchange"/>
    <x v="1"/>
    <m/>
    <m/>
    <m/>
    <m/>
    <m/>
    <m/>
    <m/>
    <m/>
    <m/>
    <m/>
    <n v="-82225303"/>
    <n v="0"/>
  </r>
  <r>
    <s v="Seattle City Light Marketing"/>
    <x v="2"/>
    <m/>
    <m/>
    <m/>
    <m/>
    <n v="156046"/>
    <m/>
    <m/>
    <m/>
    <m/>
    <n v="4130334"/>
    <m/>
    <n v="4130334"/>
  </r>
  <r>
    <s v="Shell Energy (Coral Pwr)"/>
    <x v="2"/>
    <m/>
    <m/>
    <m/>
    <m/>
    <n v="788923"/>
    <m/>
    <m/>
    <m/>
    <m/>
    <n v="48587455"/>
    <m/>
    <n v="48587455"/>
  </r>
  <r>
    <s v="Sierra Pacific Industries"/>
    <x v="0"/>
    <m/>
    <m/>
    <m/>
    <m/>
    <n v="126931"/>
    <m/>
    <m/>
    <m/>
    <m/>
    <n v="3819495"/>
    <m/>
    <n v="3819495"/>
  </r>
  <r>
    <s v="Skookumchuck Hydro"/>
    <x v="0"/>
    <m/>
    <m/>
    <m/>
    <m/>
    <n v="4313"/>
    <m/>
    <m/>
    <m/>
    <m/>
    <n v="138798"/>
    <m/>
    <n v="138798"/>
  </r>
  <r>
    <s v="Skookumchuck Wind PPA"/>
    <x v="1"/>
    <m/>
    <m/>
    <m/>
    <m/>
    <m/>
    <m/>
    <m/>
    <m/>
    <m/>
    <m/>
    <n v="-65713"/>
    <n v="-65713"/>
  </r>
  <r>
    <s v="Skookumchuck Wind PPA"/>
    <x v="0"/>
    <m/>
    <m/>
    <m/>
    <m/>
    <n v="414301"/>
    <m/>
    <m/>
    <m/>
    <m/>
    <n v="19016454"/>
    <m/>
    <n v="19016454"/>
  </r>
  <r>
    <s v="Snohomish County PUD #1"/>
    <x v="2"/>
    <m/>
    <m/>
    <m/>
    <m/>
    <n v="7565"/>
    <m/>
    <m/>
    <m/>
    <m/>
    <n v="352120"/>
    <m/>
    <n v="352120"/>
  </r>
  <r>
    <s v="Swauk Wind LLC"/>
    <x v="0"/>
    <m/>
    <m/>
    <m/>
    <m/>
    <n v="11786"/>
    <m/>
    <m/>
    <m/>
    <m/>
    <n v="1147086"/>
    <m/>
    <n v="1147086"/>
  </r>
  <r>
    <s v="Tacoma Power"/>
    <x v="2"/>
    <m/>
    <m/>
    <m/>
    <m/>
    <n v="52695"/>
    <m/>
    <m/>
    <m/>
    <m/>
    <n v="2646684"/>
    <m/>
    <n v="2646684"/>
  </r>
  <r>
    <s v="The Energy Authority"/>
    <x v="2"/>
    <m/>
    <m/>
    <m/>
    <m/>
    <n v="46817"/>
    <m/>
    <m/>
    <m/>
    <m/>
    <n v="3101994"/>
    <m/>
    <n v="3101994"/>
  </r>
  <r>
    <s v="Transalta Centralia Generation LLC"/>
    <x v="1"/>
    <m/>
    <m/>
    <m/>
    <m/>
    <m/>
    <m/>
    <m/>
    <m/>
    <m/>
    <m/>
    <n v="-2194"/>
    <n v="-2194"/>
  </r>
  <r>
    <s v="Transalta Centralia Generation LLC"/>
    <x v="0"/>
    <m/>
    <m/>
    <m/>
    <m/>
    <n v="3328001"/>
    <m/>
    <m/>
    <m/>
    <m/>
    <n v="182807805"/>
    <m/>
    <n v="182807805"/>
  </r>
  <r>
    <s v="TransAlta Energy Marketing"/>
    <x v="1"/>
    <m/>
    <m/>
    <m/>
    <m/>
    <n v="-790"/>
    <m/>
    <m/>
    <m/>
    <m/>
    <m/>
    <n v="-54878"/>
    <n v="-54878"/>
  </r>
  <r>
    <s v="TransAlta Energy Marketing"/>
    <x v="2"/>
    <m/>
    <m/>
    <m/>
    <m/>
    <n v="997307"/>
    <m/>
    <m/>
    <m/>
    <m/>
    <n v="69226169"/>
    <m/>
    <n v="69226169"/>
  </r>
  <r>
    <s v="TransCanada Energy Sales Ltd"/>
    <x v="2"/>
    <m/>
    <m/>
    <m/>
    <m/>
    <n v="88"/>
    <m/>
    <m/>
    <m/>
    <m/>
    <n v="1395"/>
    <m/>
    <n v="1395"/>
  </r>
  <r>
    <s v="Turlock Irrigation District"/>
    <x v="2"/>
    <m/>
    <m/>
    <m/>
    <m/>
    <n v="941"/>
    <m/>
    <m/>
    <m/>
    <m/>
    <n v="7835"/>
    <m/>
    <n v="7835"/>
  </r>
  <r>
    <s v="Twin Falls Hydro"/>
    <x v="0"/>
    <m/>
    <m/>
    <m/>
    <m/>
    <n v="78613"/>
    <m/>
    <m/>
    <m/>
    <m/>
    <n v="5895945"/>
    <m/>
    <n v="5895945"/>
  </r>
  <r>
    <s v="Vitol Inc."/>
    <x v="2"/>
    <m/>
    <m/>
    <m/>
    <m/>
    <n v="2000"/>
    <m/>
    <m/>
    <m/>
    <m/>
    <n v="50220"/>
    <m/>
    <n v="50220"/>
  </r>
  <r>
    <s v="South Fork II Associates(Weeks Falls)"/>
    <x v="0"/>
    <m/>
    <m/>
    <m/>
    <m/>
    <n v="14405"/>
    <m/>
    <m/>
    <m/>
    <m/>
    <n v="1080408"/>
    <m/>
    <n v="1080408"/>
  </r>
  <r>
    <s v="Wells Fargo (Financial)"/>
    <x v="2"/>
    <m/>
    <m/>
    <m/>
    <m/>
    <m/>
    <m/>
    <m/>
    <m/>
    <m/>
    <n v="-484166"/>
    <m/>
    <n v="-484166"/>
  </r>
</pivotCacheRecords>
</file>

<file path=xl/pivotCache/pivotCacheRecords8.xml><?xml version="1.0" encoding="utf-8"?>
<pivotCacheRecords xmlns="http://schemas.openxmlformats.org/spreadsheetml/2006/main" xmlns:r="http://schemas.openxmlformats.org/officeDocument/2006/relationships" count="82">
  <r>
    <x v="0"/>
    <s v="Sch005"/>
    <n v="0.13300000000000001"/>
    <n v="0.13300000000000001"/>
    <n v="0.13300000000000001"/>
    <n v="752"/>
    <n v="8387"/>
    <n v="26418"/>
    <n v="2610"/>
    <n v="37415"/>
  </r>
  <r>
    <x v="0"/>
    <s v="Sch005"/>
    <n v="0.20300000000000001"/>
    <n v="0.20300000000000001"/>
    <n v="0.20300000000000001"/>
    <n v="1343"/>
    <n v="14030"/>
    <n v="47207"/>
    <n v="2591"/>
    <n v="63828"/>
  </r>
  <r>
    <x v="0"/>
    <s v="Sch005"/>
    <n v="0.22700000000000001"/>
    <n v="0.22700000000000001"/>
    <n v="0.22700000000000001"/>
    <n v="1367"/>
    <n v="14314"/>
    <n v="48019"/>
    <n v="2610"/>
    <n v="64943"/>
  </r>
  <r>
    <x v="0"/>
    <s v="Sch005"/>
    <n v="0.121"/>
    <n v="0.121"/>
    <n v="0.121"/>
    <n v="683"/>
    <n v="7617"/>
    <n v="23992"/>
    <n v="1285"/>
    <n v="32894"/>
  </r>
  <r>
    <x v="0"/>
    <s v="Sch005"/>
    <n v="3.4000000000000002E-2"/>
    <n v="3.4000000000000002E-2"/>
    <n v="3.4000000000000002E-2"/>
    <n v="179"/>
    <n v="2681"/>
    <n v="6283"/>
    <n v="0"/>
    <n v="8964"/>
  </r>
  <r>
    <x v="0"/>
    <s v="Sch005"/>
    <n v="0.106"/>
    <n v="0.106"/>
    <n v="0.106"/>
    <n v="626"/>
    <n v="6703"/>
    <n v="21986"/>
    <n v="2360"/>
    <n v="31049"/>
  </r>
  <r>
    <x v="0"/>
    <s v="Sch005"/>
    <n v="7.5999999999999998E-2"/>
    <n v="7.5999999999999998E-2"/>
    <n v="7.5999999999999998E-2"/>
    <n v="464"/>
    <n v="4760"/>
    <n v="16301"/>
    <n v="1268"/>
    <n v="22329"/>
  </r>
  <r>
    <x v="0"/>
    <s v="Sch005"/>
    <n v="7.8E-2"/>
    <n v="7.8E-2"/>
    <n v="7.8E-2"/>
    <n v="465"/>
    <n v="4923"/>
    <n v="16330"/>
    <n v="871"/>
    <n v="22124"/>
  </r>
  <r>
    <x v="0"/>
    <s v="Sch005"/>
    <n v="0.16200000000000001"/>
    <n v="0.16200000000000001"/>
    <n v="0.16200000000000001"/>
    <n v="999"/>
    <n v="10222"/>
    <n v="35115"/>
    <n v="4876"/>
    <n v="50213"/>
  </r>
  <r>
    <x v="0"/>
    <s v="Sch005"/>
    <m/>
    <m/>
    <m/>
    <n v="-178"/>
    <n v="-2525"/>
    <n v="-6235"/>
    <n v="0"/>
    <n v="-8760"/>
  </r>
  <r>
    <x v="1"/>
    <s v="FERC #8"/>
    <m/>
    <m/>
    <m/>
    <n v="12"/>
    <m/>
    <m/>
    <n v="1350"/>
    <n v="1350"/>
  </r>
  <r>
    <x v="2"/>
    <s v="FERC #8"/>
    <m/>
    <m/>
    <m/>
    <n v="939905"/>
    <m/>
    <n v="71455908"/>
    <m/>
    <n v="71455908"/>
  </r>
  <r>
    <x v="2"/>
    <s v="FERC #9"/>
    <m/>
    <m/>
    <m/>
    <n v="27"/>
    <m/>
    <n v="2110"/>
    <m/>
    <n v="2110"/>
  </r>
  <r>
    <x v="1"/>
    <s v="FERC #8"/>
    <m/>
    <m/>
    <m/>
    <n v="-45"/>
    <m/>
    <m/>
    <n v="-14225"/>
    <n v="-14225"/>
  </r>
  <r>
    <x v="2"/>
    <s v="FERC #8"/>
    <m/>
    <m/>
    <m/>
    <n v="22342"/>
    <m/>
    <n v="1749777"/>
    <m/>
    <n v="1749777"/>
  </r>
  <r>
    <x v="2"/>
    <s v="FERC #9"/>
    <m/>
    <m/>
    <m/>
    <n v="39"/>
    <m/>
    <n v="2651"/>
    <m/>
    <n v="2651"/>
  </r>
  <r>
    <x v="2"/>
    <s v="FERC #8"/>
    <m/>
    <m/>
    <m/>
    <n v="846"/>
    <m/>
    <n v="64485"/>
    <m/>
    <n v="64485"/>
  </r>
  <r>
    <x v="2"/>
    <s v="FERC #9"/>
    <m/>
    <m/>
    <m/>
    <n v="30"/>
    <m/>
    <n v="2192"/>
    <m/>
    <n v="2192"/>
  </r>
  <r>
    <x v="1"/>
    <s v="FERC #8"/>
    <m/>
    <m/>
    <m/>
    <n v="36"/>
    <m/>
    <m/>
    <n v="14277"/>
    <n v="14277"/>
  </r>
  <r>
    <x v="2"/>
    <s v="FERC #8"/>
    <m/>
    <m/>
    <m/>
    <n v="325075"/>
    <m/>
    <n v="26977655"/>
    <m/>
    <n v="26977655"/>
  </r>
  <r>
    <x v="2"/>
    <s v="FERC #9"/>
    <m/>
    <m/>
    <m/>
    <n v="78"/>
    <m/>
    <n v="3803"/>
    <m/>
    <n v="3803"/>
  </r>
  <r>
    <x v="1"/>
    <s v="FERC #8"/>
    <m/>
    <m/>
    <m/>
    <m/>
    <m/>
    <m/>
    <n v="76"/>
    <n v="76"/>
  </r>
  <r>
    <x v="2"/>
    <s v="FERC #8"/>
    <m/>
    <m/>
    <m/>
    <n v="496878"/>
    <m/>
    <n v="39504508"/>
    <m/>
    <n v="39504508"/>
  </r>
  <r>
    <x v="1"/>
    <s v="FERC #8"/>
    <m/>
    <m/>
    <m/>
    <m/>
    <m/>
    <m/>
    <n v="-30"/>
    <n v="-30"/>
  </r>
  <r>
    <x v="2"/>
    <s v="FERC #8"/>
    <m/>
    <m/>
    <m/>
    <n v="125207"/>
    <m/>
    <n v="8812873"/>
    <m/>
    <n v="8812873"/>
  </r>
  <r>
    <x v="2"/>
    <s v="FERC #8"/>
    <m/>
    <m/>
    <m/>
    <n v="883038"/>
    <m/>
    <n v="52512832"/>
    <m/>
    <n v="52512832"/>
  </r>
  <r>
    <x v="2"/>
    <s v="FERC #8"/>
    <m/>
    <m/>
    <m/>
    <n v="16104"/>
    <m/>
    <n v="837414"/>
    <m/>
    <n v="837414"/>
  </r>
  <r>
    <x v="2"/>
    <s v="FERC #9"/>
    <m/>
    <m/>
    <m/>
    <n v="16"/>
    <m/>
    <n v="2033"/>
    <m/>
    <n v="2033"/>
  </r>
  <r>
    <x v="1"/>
    <s v="FERC #8"/>
    <m/>
    <m/>
    <m/>
    <n v="1"/>
    <m/>
    <m/>
    <n v="52"/>
    <n v="52"/>
  </r>
  <r>
    <x v="2"/>
    <s v="FERC #8"/>
    <m/>
    <m/>
    <m/>
    <n v="444308"/>
    <m/>
    <n v="29975464"/>
    <m/>
    <n v="29975464"/>
  </r>
  <r>
    <x v="1"/>
    <s v="FERC #8"/>
    <m/>
    <m/>
    <m/>
    <n v="-9"/>
    <m/>
    <m/>
    <n v="-2025"/>
    <n v="-2025"/>
  </r>
  <r>
    <x v="2"/>
    <s v="FERC #8"/>
    <m/>
    <m/>
    <m/>
    <n v="6485"/>
    <m/>
    <n v="404243"/>
    <m/>
    <n v="404243"/>
  </r>
  <r>
    <x v="1"/>
    <s v="FERC #8"/>
    <m/>
    <m/>
    <m/>
    <n v="132"/>
    <m/>
    <m/>
    <n v="-8850"/>
    <n v="-8850"/>
  </r>
  <r>
    <x v="2"/>
    <s v="FERC #8"/>
    <m/>
    <m/>
    <m/>
    <n v="694051"/>
    <m/>
    <n v="49643883"/>
    <m/>
    <n v="49643883"/>
  </r>
  <r>
    <x v="1"/>
    <s v="FERC #8"/>
    <m/>
    <m/>
    <m/>
    <n v="147"/>
    <m/>
    <m/>
    <n v="52060"/>
    <n v="52060"/>
  </r>
  <r>
    <x v="2"/>
    <s v="FERC #8"/>
    <m/>
    <m/>
    <m/>
    <n v="107367"/>
    <m/>
    <n v="6839061"/>
    <m/>
    <n v="6839061"/>
  </r>
  <r>
    <x v="2"/>
    <s v="FERC #8"/>
    <m/>
    <m/>
    <m/>
    <n v="491"/>
    <m/>
    <n v="58665"/>
    <m/>
    <n v="58665"/>
  </r>
  <r>
    <x v="1"/>
    <s v="FERC #8"/>
    <m/>
    <m/>
    <m/>
    <n v="2"/>
    <m/>
    <m/>
    <n v="88"/>
    <n v="88"/>
  </r>
  <r>
    <x v="2"/>
    <s v="FERC #8"/>
    <m/>
    <m/>
    <m/>
    <n v="84264"/>
    <m/>
    <n v="5558513"/>
    <m/>
    <n v="5558513"/>
  </r>
  <r>
    <x v="2"/>
    <s v="FERC #8"/>
    <m/>
    <m/>
    <m/>
    <n v="41206"/>
    <m/>
    <n v="2986405"/>
    <m/>
    <n v="2986405"/>
  </r>
  <r>
    <x v="1"/>
    <s v="FERC #8"/>
    <m/>
    <m/>
    <m/>
    <n v="-8"/>
    <m/>
    <m/>
    <m/>
    <n v="0"/>
  </r>
  <r>
    <x v="2"/>
    <s v="FERC #8"/>
    <m/>
    <m/>
    <m/>
    <n v="504"/>
    <m/>
    <n v="46706"/>
    <m/>
    <n v="46706"/>
  </r>
  <r>
    <x v="1"/>
    <s v="FERC #8"/>
    <m/>
    <m/>
    <m/>
    <n v="-51"/>
    <m/>
    <m/>
    <n v="-6525"/>
    <n v="-6525"/>
  </r>
  <r>
    <x v="2"/>
    <s v="FERC #8"/>
    <m/>
    <m/>
    <m/>
    <n v="22612"/>
    <m/>
    <n v="1730815"/>
    <m/>
    <n v="1730815"/>
  </r>
  <r>
    <x v="2"/>
    <s v="FERC #8"/>
    <m/>
    <m/>
    <m/>
    <n v="10800"/>
    <m/>
    <n v="901800"/>
    <m/>
    <n v="901800"/>
  </r>
  <r>
    <x v="2"/>
    <s v="FERC #9"/>
    <m/>
    <m/>
    <m/>
    <n v="29"/>
    <m/>
    <n v="1581"/>
    <m/>
    <n v="1581"/>
  </r>
  <r>
    <x v="2"/>
    <s v="FERC #9"/>
    <m/>
    <m/>
    <m/>
    <n v="790"/>
    <m/>
    <n v="61503"/>
    <m/>
    <n v="61503"/>
  </r>
  <r>
    <x v="1"/>
    <s v="FERC #8"/>
    <m/>
    <m/>
    <m/>
    <n v="-1040"/>
    <m/>
    <m/>
    <n v="-325795"/>
    <n v="-325795"/>
  </r>
  <r>
    <x v="2"/>
    <s v="FERC #8"/>
    <m/>
    <m/>
    <m/>
    <n v="28649"/>
    <m/>
    <n v="2116197"/>
    <m/>
    <n v="2116197"/>
  </r>
  <r>
    <x v="2"/>
    <s v="FERC #9"/>
    <m/>
    <m/>
    <m/>
    <n v="70"/>
    <m/>
    <n v="3674"/>
    <m/>
    <n v="3674"/>
  </r>
  <r>
    <x v="2"/>
    <s v="FERC #8"/>
    <m/>
    <m/>
    <m/>
    <n v="127294"/>
    <m/>
    <n v="10013302"/>
    <m/>
    <n v="10013302"/>
  </r>
  <r>
    <x v="1"/>
    <s v="FERC #8"/>
    <m/>
    <m/>
    <m/>
    <m/>
    <m/>
    <m/>
    <n v="-100"/>
    <n v="-100"/>
  </r>
  <r>
    <x v="2"/>
    <s v="FERC #8"/>
    <m/>
    <m/>
    <m/>
    <n v="15600"/>
    <m/>
    <n v="871692"/>
    <m/>
    <n v="871692"/>
  </r>
  <r>
    <x v="1"/>
    <s v="FERC #8"/>
    <m/>
    <m/>
    <m/>
    <n v="-34"/>
    <m/>
    <m/>
    <n v="-2632"/>
    <n v="-2632"/>
  </r>
  <r>
    <x v="2"/>
    <s v="FERC #8"/>
    <m/>
    <m/>
    <m/>
    <n v="466086"/>
    <m/>
    <n v="31655047"/>
    <m/>
    <n v="31655047"/>
  </r>
  <r>
    <x v="2"/>
    <s v="FERC #9"/>
    <m/>
    <m/>
    <m/>
    <n v="50"/>
    <m/>
    <n v="3182"/>
    <m/>
    <n v="3182"/>
  </r>
  <r>
    <x v="1"/>
    <s v="FERC #8"/>
    <m/>
    <m/>
    <m/>
    <n v="-4"/>
    <m/>
    <m/>
    <n v="-293"/>
    <n v="-293"/>
  </r>
  <r>
    <x v="2"/>
    <s v="FERC #8"/>
    <m/>
    <m/>
    <m/>
    <n v="28219"/>
    <m/>
    <n v="3273466"/>
    <m/>
    <n v="3273466"/>
  </r>
  <r>
    <x v="2"/>
    <s v="FERC #9"/>
    <m/>
    <m/>
    <m/>
    <n v="35"/>
    <m/>
    <n v="1838"/>
    <m/>
    <n v="1838"/>
  </r>
  <r>
    <x v="2"/>
    <s v="FERC #8"/>
    <m/>
    <m/>
    <m/>
    <n v="93685"/>
    <m/>
    <n v="6898679"/>
    <m/>
    <n v="6898679"/>
  </r>
  <r>
    <x v="2"/>
    <s v="FERC #9"/>
    <m/>
    <m/>
    <m/>
    <n v="64"/>
    <m/>
    <n v="8297"/>
    <m/>
    <n v="8297"/>
  </r>
  <r>
    <x v="2"/>
    <s v="FERC #8"/>
    <m/>
    <m/>
    <m/>
    <n v="22340"/>
    <m/>
    <n v="1647425"/>
    <m/>
    <n v="1647425"/>
  </r>
  <r>
    <x v="2"/>
    <s v="FERC #8"/>
    <m/>
    <m/>
    <m/>
    <n v="178479"/>
    <m/>
    <n v="13726927"/>
    <m/>
    <n v="13726927"/>
  </r>
  <r>
    <x v="2"/>
    <s v="FERC #9"/>
    <m/>
    <m/>
    <m/>
    <n v="54"/>
    <m/>
    <n v="3799"/>
    <m/>
    <n v="3799"/>
  </r>
  <r>
    <x v="1"/>
    <s v="FERC #8"/>
    <m/>
    <m/>
    <m/>
    <n v="40"/>
    <m/>
    <m/>
    <n v="8344"/>
    <n v="8344"/>
  </r>
  <r>
    <x v="2"/>
    <s v="FERC #8"/>
    <m/>
    <m/>
    <m/>
    <n v="1097359"/>
    <m/>
    <n v="66310440"/>
    <m/>
    <n v="66310440"/>
  </r>
  <r>
    <x v="2"/>
    <s v="FERC #8"/>
    <m/>
    <m/>
    <m/>
    <n v="4761"/>
    <m/>
    <n v="646566"/>
    <m/>
    <n v="646566"/>
  </r>
  <r>
    <x v="2"/>
    <s v="FERC #9"/>
    <m/>
    <m/>
    <m/>
    <n v="60"/>
    <m/>
    <n v="3822"/>
    <m/>
    <n v="3822"/>
  </r>
  <r>
    <x v="2"/>
    <s v="FERC #8"/>
    <m/>
    <m/>
    <m/>
    <n v="126845"/>
    <m/>
    <n v="12358154"/>
    <m/>
    <n v="12358154"/>
  </r>
  <r>
    <x v="2"/>
    <s v="FERC #9"/>
    <m/>
    <m/>
    <m/>
    <n v="13"/>
    <m/>
    <n v="848"/>
    <m/>
    <n v="848"/>
  </r>
  <r>
    <x v="1"/>
    <s v="FERC #8"/>
    <m/>
    <m/>
    <m/>
    <m/>
    <m/>
    <m/>
    <n v="-1000"/>
    <n v="-1000"/>
  </r>
  <r>
    <x v="2"/>
    <s v="FERC #8"/>
    <m/>
    <m/>
    <m/>
    <n v="1279706"/>
    <m/>
    <n v="97465614"/>
    <m/>
    <n v="97465614"/>
  </r>
  <r>
    <x v="1"/>
    <s v="FERC #8"/>
    <m/>
    <m/>
    <m/>
    <n v="-12"/>
    <m/>
    <m/>
    <n v="-2280"/>
    <n v="-2280"/>
  </r>
  <r>
    <x v="2"/>
    <s v="FERC #8"/>
    <m/>
    <m/>
    <m/>
    <n v="153918"/>
    <m/>
    <n v="11960748"/>
    <m/>
    <n v="11960748"/>
  </r>
  <r>
    <x v="2"/>
    <s v="FERC #8"/>
    <m/>
    <m/>
    <m/>
    <n v="26105"/>
    <m/>
    <n v="1603928"/>
    <m/>
    <n v="1603928"/>
  </r>
  <r>
    <x v="2"/>
    <s v="FERC #9"/>
    <m/>
    <m/>
    <m/>
    <n v="21"/>
    <m/>
    <n v="802"/>
    <m/>
    <n v="802"/>
  </r>
  <r>
    <x v="1"/>
    <s v="FERC #8"/>
    <m/>
    <m/>
    <m/>
    <m/>
    <m/>
    <m/>
    <n v="400"/>
    <n v="400"/>
  </r>
  <r>
    <x v="2"/>
    <s v="FERC #8"/>
    <m/>
    <m/>
    <m/>
    <n v="148985"/>
    <m/>
    <n v="12537830"/>
    <m/>
    <n v="12537830"/>
  </r>
  <r>
    <x v="1"/>
    <s v="FERC #8"/>
    <m/>
    <m/>
    <m/>
    <n v="48"/>
    <m/>
    <m/>
    <n v="11953"/>
    <n v="11953"/>
  </r>
  <r>
    <x v="2"/>
    <s v="FERC #8"/>
    <m/>
    <m/>
    <m/>
    <n v="894329"/>
    <m/>
    <n v="60022571"/>
    <m/>
    <n v="60022571"/>
  </r>
  <r>
    <x v="2"/>
    <s v="FERC #8"/>
    <m/>
    <m/>
    <m/>
    <n v="4127"/>
    <m/>
    <n v="378325"/>
    <m/>
    <n v="378325"/>
  </r>
  <r>
    <x v="2"/>
    <s v="FERC #8"/>
    <m/>
    <m/>
    <m/>
    <n v="108363"/>
    <m/>
    <n v="7130677"/>
    <m/>
    <n v="7130677"/>
  </r>
</pivotCacheRecords>
</file>

<file path=xl/pivotCache/pivotCacheRecords9.xml><?xml version="1.0" encoding="utf-8"?>
<pivotCacheRecords xmlns="http://schemas.openxmlformats.org/spreadsheetml/2006/main" xmlns:r="http://schemas.openxmlformats.org/officeDocument/2006/relationships" count="394">
  <r>
    <s v="Intangible Plant, Common"/>
    <s v="Common (E &amp; G)"/>
    <s v="Other Intangibles : INT-0000 WA00000000"/>
    <n v="14539052"/>
    <s v="C303 INT Misc Intangible Plant"/>
    <n v="130005601"/>
    <s v="Frequency Purchase                 "/>
    <s v="Frequency Purchase"/>
    <s v="12/2023"/>
    <n v="1"/>
    <n v="5504160.0199999996"/>
    <n v="1965627.4100000001"/>
    <n v="3538532.61"/>
    <x v="0"/>
    <x v="0"/>
  </r>
  <r>
    <s v="Intangible Plant, Common"/>
    <s v="Common (E &amp; G)"/>
    <s v="Intangibles, King County outside RTA District, WA : INT-0000 WA01700000"/>
    <n v="21305106"/>
    <s v="C303 INT Misc Intangible Plant"/>
    <n v="143001360"/>
    <s v="UNIT COMMITMENT - SW"/>
    <s v="UNIT COMMITMENT - SW"/>
    <s v="12/2023"/>
    <n v="1"/>
    <n v="2755684.87"/>
    <n v="2606435.21"/>
    <n v="149249.66"/>
    <x v="0"/>
    <x v="1"/>
  </r>
  <r>
    <s v="Intangible Plant, Common"/>
    <s v="Common (E &amp; G)"/>
    <s v="Intangibles, King County outside RTA District, WA : INT-0000 WA01700000"/>
    <n v="24530666"/>
    <s v="C302 INT Franchises &amp; Consents"/>
    <n v="143001808"/>
    <s v="FRANCHISE - CITY OF TUKWILA - COMMO"/>
    <s v="FRANCHISE - CITY OF TUKWILA - COMMON - R"/>
    <s v="12/2023"/>
    <n v="0"/>
    <n v="18643.25"/>
    <n v="14992.24"/>
    <n v="3651.01"/>
    <x v="1"/>
    <x v="2"/>
  </r>
  <r>
    <s v="Intangible Plant, Common"/>
    <s v="Common (E &amp; G)"/>
    <s v="Intangibles, King County outside RTA District, WA : INT-0000 WA01700000"/>
    <n v="25784448"/>
    <s v="C302 INT Franchises &amp; Consents"/>
    <n v="130005490"/>
    <s v="TOWN OF YARROW POINT - COMMON - REN"/>
    <s v="TOWN OF YARROW POINT - COMMON - RENEWAL"/>
    <s v="12/2023"/>
    <n v="1"/>
    <n v="5985.75"/>
    <n v="4294.0600000000004"/>
    <n v="1691.69"/>
    <x v="1"/>
    <x v="2"/>
  </r>
  <r>
    <s v="Intangible Plant, Common"/>
    <s v="Common (E &amp; G)"/>
    <s v="Intangibles, Pierce County outside RTA District, WA : INT-0000 WA02700000"/>
    <n v="29058521"/>
    <s v="C302 INT Franchises &amp; Consents"/>
    <n v="143001982"/>
    <s v="CITY OF ORTING - COMMON - RENEWAL  "/>
    <s v="CITY OF ORTING - COMMON - RENEWAL"/>
    <s v="12/2023"/>
    <n v="1"/>
    <n v="13057.710000000001"/>
    <n v="9367.35"/>
    <n v="3690.36"/>
    <x v="1"/>
    <x v="2"/>
  </r>
  <r>
    <s v="Intangible Plant, Common"/>
    <s v="Common (E &amp; G)"/>
    <s v="Intangibles, Thurston County, WA : INT-0000 WA03400000"/>
    <n v="29058524"/>
    <s v="C302 INT Franchises &amp; Consents"/>
    <n v="143002001"/>
    <s v="CITY OF TUMWATER - FRANCHISE RENEWA"/>
    <s v="CITY OF TUMWATER - FRANCHISE RENEWAL - C"/>
    <s v="12/2023"/>
    <n v="1"/>
    <n v="17367.16"/>
    <n v="12458.86"/>
    <n v="4908.3"/>
    <x v="1"/>
    <x v="2"/>
  </r>
  <r>
    <s v="Intangible Plant, Common"/>
    <s v="Common (E &amp; G)"/>
    <s v="Intangibles, King County outside RTA District, WA : INT-0000 WA01700000"/>
    <n v="29058527"/>
    <s v="C302 INT Franchises &amp; Consents"/>
    <n v="143002254"/>
    <s v="CITY OF ALGONA - COMMON - RENEWAL  "/>
    <s v="CITY OF ALGONA - COMMON - RENEWAL"/>
    <s v="12/2023"/>
    <n v="1"/>
    <n v="6816.33"/>
    <n v="4889.9000000000005"/>
    <n v="1926.43"/>
    <x v="1"/>
    <x v="2"/>
  </r>
  <r>
    <s v="Intangible Plant, Common"/>
    <s v="Common (E &amp; G)"/>
    <s v="Intangibles, King County outside RTA District, WA : INT-0000 WA01700000"/>
    <n v="29291044"/>
    <s v="C302 INT Franchises &amp; Consents"/>
    <n v="130001349"/>
    <s v="CITY OF SAMMAMMISH - RENEWAL - COMM"/>
    <s v="CITY OF SAMMAMMISH - RENEWAL - COMMON"/>
    <s v="12/2023"/>
    <n v="1"/>
    <n v="23546.98"/>
    <n v="16892.14"/>
    <n v="6654.84"/>
    <x v="1"/>
    <x v="2"/>
  </r>
  <r>
    <s v="Intangible Plant, Common"/>
    <s v="Common (E &amp; G)"/>
    <s v="Intangibles, Bellevue, WA : INT-0000 WA11700040"/>
    <n v="29627792"/>
    <s v="C303 INT Misc Intangible Plant"/>
    <n v="143002085"/>
    <s v="FTIP ECC - SW.CN.10YR"/>
    <s v="FTIP ECC - SW.CN.10YR"/>
    <s v="12/2023"/>
    <n v="1"/>
    <n v="18291370.149999999"/>
    <n v="12638620.300000001"/>
    <n v="5652749.8499999996"/>
    <x v="0"/>
    <x v="0"/>
  </r>
  <r>
    <s v="Intangible Plant, Common"/>
    <s v="Common (E &amp; G)"/>
    <s v="Intangibles, Bellevue, WA : INT-0000 WA11700040"/>
    <n v="29627795"/>
    <s v="C303 INT Misc Intangible Plant"/>
    <n v="143002086"/>
    <s v="FTIP BPC - SW.CN.10YR"/>
    <s v="FTIP BPC - SW.CN.10YR"/>
    <s v="12/2023"/>
    <n v="1"/>
    <n v="15878335.949999999"/>
    <n v="10971308.189999999"/>
    <n v="4907027.76"/>
    <x v="0"/>
    <x v="0"/>
  </r>
  <r>
    <s v="Intangible Plant, Common"/>
    <s v="Common (E &amp; G)"/>
    <s v="Intangibles, Bellevue, WA : INT-0000 WA11700040"/>
    <n v="29672986"/>
    <s v="C303 INT Misc Intangible Plant"/>
    <n v="143002101"/>
    <s v="Gold Client &amp; Archiving - SW.CN.8YR"/>
    <s v="Gold Client &amp; Archiving - SW.CN.8YR"/>
    <s v="12/2023"/>
    <n v="1"/>
    <n v="1619237.63"/>
    <n v="1575816.5899999999"/>
    <n v="43421.04"/>
    <x v="0"/>
    <x v="0"/>
  </r>
  <r>
    <s v="Intangible Plant, Common"/>
    <s v="Common (E &amp; G)"/>
    <s v="Intangibles, Bellevue, WA : INT-0000 WA11700040"/>
    <n v="30561555"/>
    <s v="C303 INT Misc Intangible Plant"/>
    <n v="143002027"/>
    <s v="MAP VIEWER PLATFORM - TENSING - SW."/>
    <s v="MAP VIEWER PLATFORM - TENSING - SW.CS.10"/>
    <s v="12/2023"/>
    <n v="1"/>
    <n v="2082435.87"/>
    <n v="1438881.62"/>
    <n v="643554.25"/>
    <x v="0"/>
    <x v="2"/>
  </r>
  <r>
    <s v="Intangible Plant, Common"/>
    <s v="Common (E &amp; G)"/>
    <s v="Intangibles, Bellevue, WA : INT-0000 WA11700040"/>
    <n v="30561584"/>
    <s v="C303 INT Misc Intangible Plant"/>
    <n v="143002318"/>
    <s v="MAP VIEWER PROJECT-ESRI PLATFORM-SW"/>
    <s v="MAP VIEWER PROJECT-ESRI PLATFORM-SW.CS.1"/>
    <s v="12/2023"/>
    <n v="1"/>
    <n v="1807565.48"/>
    <n v="1248956.94"/>
    <n v="558608.54"/>
    <x v="0"/>
    <x v="2"/>
  </r>
  <r>
    <s v="Intangible Plant, Common"/>
    <s v="Common (E &amp; G)"/>
    <s v="Intangibles, Pierce County outside RTA District, WA : INT-0000 WA02700000"/>
    <n v="31288062"/>
    <s v="C302 INT Franchises &amp; Consents"/>
    <n v="143001983"/>
    <s v="CITY OF LAKEWOOD - COMMON - RENEWAL"/>
    <s v="CITY OF LAKEWOOD - COMMON - RENEWAL"/>
    <s v="12/2023"/>
    <n v="1"/>
    <n v="7891.59"/>
    <n v="3604.2400000000002"/>
    <n v="4287.3500000000004"/>
    <x v="1"/>
    <x v="2"/>
  </r>
  <r>
    <s v="Intangible Plant, Common"/>
    <s v="Common (E &amp; G)"/>
    <s v="Intangibles, King County outside RTA District, WA : INT-0000 WA01700000"/>
    <n v="33169016"/>
    <s v="C302 INT Franchises &amp; Consents"/>
    <n v="143002000"/>
    <s v="CITY OF RENTON - FRANCHISE RENEWAL "/>
    <s v="CITY OF RENTON - FRANCHISE RENEWAL - COM"/>
    <s v="12/2023"/>
    <n v="0"/>
    <n v="98972.900000000009"/>
    <n v="45202.86"/>
    <n v="53770.04"/>
    <x v="1"/>
    <x v="2"/>
  </r>
  <r>
    <s v="Intangible Plant, Common"/>
    <s v="Common (E &amp; G)"/>
    <s v="Intangibles, King County outside RTA District, WA : INT-0000 WA01700000"/>
    <n v="33169019"/>
    <s v="C302 INT Franchises &amp; Consents"/>
    <n v="143002640"/>
    <s v="CITY OF MEDINA - COMMON - RENEWAL"/>
    <s v="CITY OF MEDINA - COMMON - RENEWAL"/>
    <s v="12/2023"/>
    <n v="0"/>
    <n v="15550.04"/>
    <n v="7102.01"/>
    <n v="8448.0300000000007"/>
    <x v="1"/>
    <x v="2"/>
  </r>
  <r>
    <s v="Intangible Plant, Common"/>
    <s v="Common (E &amp; G)"/>
    <s v="Intangibles, Snohomish County, WA : INT-0000 WA04200310"/>
    <n v="33176799"/>
    <s v="C302 INT Franchises &amp; Consents"/>
    <n v="142000787"/>
    <s v="CITY OF GOLD BAR - GAS - RENEWAL"/>
    <s v="CITY OF GOLD BAR - GAS - RENEWAL"/>
    <s v="12/2023"/>
    <n v="0"/>
    <n v="4640.25"/>
    <n v="2119.29"/>
    <n v="2520.96"/>
    <x v="1"/>
    <x v="2"/>
  </r>
  <r>
    <s v="Intangible Plant, Common"/>
    <s v="Common (E &amp; G)"/>
    <s v="Intangibles, Bellevue, WA : INT-0000 WA11700040"/>
    <n v="33532261"/>
    <s v="C303 INT Misc Intangible Plant"/>
    <n v="143002450"/>
    <s v="AMI COMMMAND CENTER HEAD END - SW.C"/>
    <s v="AMI COMMMAND CENTER HEAD END - SW.CN.10Y"/>
    <s v="12/2023"/>
    <n v="1"/>
    <n v="4753919.1500000004"/>
    <n v="3284771.92"/>
    <n v="1469147.23"/>
    <x v="0"/>
    <x v="2"/>
  </r>
  <r>
    <s v="Intangible Plant, Common"/>
    <s v="Common (E &amp; G)"/>
    <s v="Intangibles, Bellevue, WA : INT-0000 WA11700040"/>
    <n v="35582127"/>
    <s v="C303 INT Misc Intangible Plant"/>
    <n v="143002462"/>
    <s v="FTIP ECC - PROJECT DEFERRAL - SW.CN"/>
    <s v="FTIP ECC - PROJECT DEFERRAL - SW.CN.10YR"/>
    <s v="12/2023"/>
    <n v="1"/>
    <n v="1886758.44"/>
    <n v="1188030.49"/>
    <n v="698727.95000000007"/>
    <x v="0"/>
    <x v="0"/>
  </r>
  <r>
    <s v="Intangible Plant, Common"/>
    <s v="Common (E &amp; G)"/>
    <s v="Intangibles, Bellevue, WA : INT-0000 WA11700040"/>
    <n v="35582130"/>
    <s v="C303 INT Misc Intangible Plant"/>
    <n v="143002463"/>
    <s v="FTIP BPC - PROJECT DEFERRAL - SW.CN"/>
    <s v="FTIP BPC - PROJECT DEFERRAL - SW.CN.10YR"/>
    <s v="12/2023"/>
    <n v="1"/>
    <n v="1377636.73"/>
    <n v="867453.09"/>
    <n v="510183.64"/>
    <x v="0"/>
    <x v="0"/>
  </r>
  <r>
    <s v="Intangible Plant, Common"/>
    <s v="Common (E &amp; G)"/>
    <s v="Intangibles, Bellevue, WA : INT-0000 WA11700040"/>
    <n v="35582163"/>
    <s v="C303 INT Misc Intangible Plant"/>
    <n v="143003166"/>
    <s v="FTIP2 BPC - SW.CS.10YR"/>
    <s v="FTIP2 BPC - SW.CS.10YR"/>
    <s v="12/2023"/>
    <n v="1"/>
    <n v="6551618.6699999999"/>
    <n v="4125341.41"/>
    <n v="2426277.2599999998"/>
    <x v="0"/>
    <x v="0"/>
  </r>
  <r>
    <s v="Intangible Plant, Common"/>
    <s v="Common (E &amp; G)"/>
    <s v="Intangibles, Bellevue, WA : INT-0000 WA11700040"/>
    <n v="35582166"/>
    <s v="C303 INT Misc Intangible Plant"/>
    <n v="143003167"/>
    <s v="FTIP2 ECC - SW.CS.10YR"/>
    <s v="FTIP2 ECC - SW.CS.10YR"/>
    <s v="12/2023"/>
    <n v="1"/>
    <n v="17489750.84"/>
    <n v="11012727.859999999"/>
    <n v="6477022.9800000004"/>
    <x v="0"/>
    <x v="0"/>
  </r>
  <r>
    <s v="Intangible Plant, Common"/>
    <s v="Common (E &amp; G)"/>
    <s v="Intangibles, Bellevue, WA : INT-0000 WA11700040"/>
    <n v="35582173"/>
    <s v="C303 INT Misc Intangible Plant"/>
    <n v="143003180"/>
    <s v="FTIP2 PP - SW.CS.10YR"/>
    <s v="FTIP2 PP - SW.CS.10YR"/>
    <s v="12/2023"/>
    <n v="1"/>
    <n v="5771881.1100000003"/>
    <n v="3634366.01"/>
    <n v="2137515.1"/>
    <x v="0"/>
    <x v="0"/>
  </r>
  <r>
    <s v="Intangible Plant, Common"/>
    <s v="Common (E &amp; G)"/>
    <s v="Intangibles, Bellevue, WA : INT-0000 WA11700040"/>
    <n v="36219914"/>
    <s v="C303 INT Misc Intangible Plant"/>
    <n v="143002317"/>
    <s v="MAP VIEWER PROJECT-OH MAP-SW.CS.5YR"/>
    <s v="MAP VIEWER PROJECT-OH MAP-SW.CS.5YR"/>
    <s v="12/2023"/>
    <n v="1"/>
    <n v="153113.26"/>
    <n v="96410.45"/>
    <n v="56702.81"/>
    <x v="0"/>
    <x v="2"/>
  </r>
  <r>
    <s v="Intangible Plant, Common"/>
    <s v="Common (E &amp; G)"/>
    <s v="Intangibles, Bellevue, WA : INT-0000 WA11700040"/>
    <n v="37380517"/>
    <s v="C303 INT Misc Intangible Plant"/>
    <n v="143003146"/>
    <s v="WEB, CONTENT MGMT &amp; WEB ANALYTICS-S"/>
    <s v="WEB, CONTENT MGMT &amp; WEB ANALYTICS-SW.CS."/>
    <s v="12/2023"/>
    <n v="1"/>
    <n v="35797473.310000002"/>
    <n v="22540505.879999999"/>
    <n v="13256967.43"/>
    <x v="0"/>
    <x v="0"/>
  </r>
  <r>
    <s v="Intangible Plant, Common"/>
    <s v="Common (E &amp; G)"/>
    <s v="Intangibles, Bellevue, WA : INT-0000 WA11700040"/>
    <n v="37380520"/>
    <s v="C303 INT Misc Intangible Plant"/>
    <n v="143003147"/>
    <s v="CI-COM GATEWY&amp;PROACTIV NOTI-SW.CS.7"/>
    <s v="CI-COM GATEWY&amp;PROACTIV NOTI-SW.CS.7YR"/>
    <s v="12/2023"/>
    <n v="1"/>
    <n v="18836617"/>
    <n v="11860805.720000001"/>
    <n v="6975811.2800000003"/>
    <x v="0"/>
    <x v="2"/>
  </r>
  <r>
    <s v="Intangible Plant, Common"/>
    <s v="Common (E &amp; G)"/>
    <s v="Intangibles, King County outside RTA District, WA : INT-0000 WA01700000"/>
    <n v="37380526"/>
    <s v="C303 INT Misc Intangible Plant"/>
    <n v="143004075"/>
    <s v="CI - COMM GATEWAY CLEANSE AND CONVE"/>
    <s v="CI - COMM GATEWAY CLEANSE AND CONVERT SW"/>
    <s v="12/2023"/>
    <n v="1"/>
    <n v="2085348.97"/>
    <n v="1313076.49"/>
    <n v="772272.48"/>
    <x v="0"/>
    <x v="2"/>
  </r>
  <r>
    <s v="Intangible Plant, Common"/>
    <s v="Common (E &amp; G)"/>
    <s v="Intangibles, Bellevue, WA : INT-0000 WA11700040"/>
    <n v="37736956"/>
    <s v="C303 INT Misc Intangible Plant"/>
    <n v="143002761"/>
    <s v="GTZ-IWM-WORKFORCE MOBILITY-CAPITAL-"/>
    <s v="GTZ-IWM-WORKFORCE MOBILITY-CAPITAL-OS-SW"/>
    <s v="12/2023"/>
    <n v="1"/>
    <n v="992061.04"/>
    <n v="624668.6"/>
    <n v="367392.44"/>
    <x v="0"/>
    <x v="3"/>
  </r>
  <r>
    <s v="Intangible Plant, Common"/>
    <s v="Common (E &amp; G)"/>
    <s v="Intangibles, Bellevue, WA : INT-0000 WA11700040"/>
    <n v="37736959"/>
    <s v="C303 INT Misc Intangible Plant"/>
    <n v="143002762"/>
    <s v="GTZ-IWM- WORKFORCE SCHEDULING-CAPIT"/>
    <s v="GTZ-IWM- WORKFORCE SCHEDULING-CAPITAL-OS"/>
    <s v="12/2023"/>
    <n v="1"/>
    <n v="4069157.54"/>
    <n v="2562216.2999999998"/>
    <n v="1506941.24"/>
    <x v="0"/>
    <x v="3"/>
  </r>
  <r>
    <s v="Intangible Plant, Common"/>
    <s v="Common (E &amp; G)"/>
    <s v="Intangibles, Bellevue, WA : INT-0000 WA11700040"/>
    <n v="37736964"/>
    <s v="C303 INT Misc Intangible Plant"/>
    <n v="143003143"/>
    <s v="IWM - COST MANAGEMENT.SW.CS.10YR"/>
    <s v="IWM - COST MANAGEMENT.SW.CS.10YR"/>
    <s v="12/2023"/>
    <n v="1"/>
    <n v="357262.98"/>
    <n v="224956.89"/>
    <n v="132306.09"/>
    <x v="0"/>
    <x v="3"/>
  </r>
  <r>
    <s v="Intangible Plant, Common"/>
    <s v="Common (E &amp; G)"/>
    <s v="Intangibles, King County outside RTA District, WA : INT-0000 WA01700000"/>
    <n v="37736987"/>
    <s v="C303 INT Misc Intangible Plant"/>
    <n v="143003708"/>
    <s v="IWM-COST MGT DESIGN &amp; INTEGRATION-S"/>
    <s v="IWM-COST MGT DESIGN &amp; INTEGRATION-SW.CS."/>
    <s v="12/2023"/>
    <n v="1"/>
    <n v="45496.17"/>
    <n v="28647.46"/>
    <n v="16848.71"/>
    <x v="0"/>
    <x v="3"/>
  </r>
  <r>
    <s v="Intangible Plant, Common"/>
    <s v="Common (E &amp; G)"/>
    <s v="Intangibles, King County outside RTA District, WA : INT-0000 WA01700000"/>
    <n v="37737019"/>
    <s v="C303 INT Misc Intangible Plant"/>
    <n v="143004101"/>
    <s v="FTIP2 TRINTECH SOFTWARE WORK ORDER-"/>
    <s v="FTIP2 TRINTECH SOFTWARE WORK ORDER-SW.CS"/>
    <s v="12/2023"/>
    <n v="1"/>
    <n v="727933.72"/>
    <n v="458356.21"/>
    <n v="269577.51"/>
    <x v="0"/>
    <x v="0"/>
  </r>
  <r>
    <s v="Intangible Plant, Common"/>
    <s v="Common (E &amp; G)"/>
    <s v="Intangibles, Bellevue, WA : INT-0000 WA11700040"/>
    <n v="38138149"/>
    <s v="C303 INT Misc Intangible Plant"/>
    <n v="143003144"/>
    <s v="IWM-WORK MANAGEMENT SYSTEM-SW.CS.10"/>
    <s v="IWM-WORK MANAGEMENT SYSTEM-SW.CS.10YR"/>
    <s v="12/2023"/>
    <n v="1"/>
    <n v="43479309.659999996"/>
    <n v="27377508.649999999"/>
    <n v="16101801.01"/>
    <x v="0"/>
    <x v="3"/>
  </r>
  <r>
    <s v="Intangible Plant, Common"/>
    <s v="Common (E &amp; G)"/>
    <s v="Intangibles, Bellevue, WA : INT-0000 WA11700040"/>
    <n v="38138152"/>
    <s v="C303 INT Misc Intangible Plant"/>
    <n v="143003152"/>
    <s v="CI-ESB MICRO SERVICES TRANSPORT-SW."/>
    <s v="CI-ESB MICRO SERVICES TRANSPORT-SW.CS.7Y"/>
    <s v="12/2023"/>
    <n v="1"/>
    <n v="10672070.060000001"/>
    <n v="6719855.7800000003"/>
    <n v="3952214.2800000003"/>
    <x v="0"/>
    <x v="2"/>
  </r>
  <r>
    <s v="Intangible Plant, Common"/>
    <s v="Common (E &amp; G)"/>
    <s v="Intangibles, Bellevue, WA : INT-0000 WA11700040"/>
    <n v="38138158"/>
    <s v="C303 INT Misc Intangible Plant"/>
    <n v="143003231"/>
    <s v="CI.SAP MULTICHANNEL FOUNDATION-SW.C"/>
    <s v="CI–SAP MULTICHANNEL FOUNDATION-SW.CS.7YR"/>
    <s v="12/2023"/>
    <n v="1"/>
    <n v="1290681.4100000001"/>
    <n v="812700.15"/>
    <n v="477981.26"/>
    <x v="0"/>
    <x v="0"/>
  </r>
  <r>
    <s v="Intangible Plant, Common"/>
    <s v="Common (E &amp; G)"/>
    <s v="Intangibles, King County outside RTA District, WA : INT-0000 WA01700000"/>
    <n v="38661109"/>
    <s v="C303 INT Misc Intangible Plant"/>
    <n v="143004300"/>
    <s v="SAP - ADD ACCOUNTING FIELDS FOR FTI"/>
    <s v="SAP - ADD ACCOUNTING FIELDS FOR FTIP2 SW"/>
    <s v="12/2023"/>
    <n v="1"/>
    <n v="167140.38"/>
    <n v="105242.87"/>
    <n v="61897.51"/>
    <x v="0"/>
    <x v="0"/>
  </r>
  <r>
    <s v="Intangible Plant, Common"/>
    <s v="Common (E &amp; G)"/>
    <s v="Intangibles, King County outside RTA District, WA : INT-0000 WA01700000"/>
    <n v="39079398"/>
    <s v="C303 INT Misc Intangible Plant"/>
    <n v="143004245"/>
    <s v="RITM0045571 : ROOT CAUSE ANALYSIS S"/>
    <s v="RITM0045571 : ROOT CAUSE ANALYSIS SW.CN."/>
    <s v="12/2023"/>
    <n v="1"/>
    <n v="47435.83"/>
    <n v="29868.799999999999"/>
    <n v="17567.03"/>
    <x v="0"/>
    <x v="0"/>
  </r>
  <r>
    <s v="Intangible Plant, Common"/>
    <s v="Common (E &amp; G)"/>
    <s v="Intangibles, King County outside RTA District, WA : INT-0000 WA01700000"/>
    <n v="39238890"/>
    <s v="C303 INT Misc Intangible Plant"/>
    <n v="143004660"/>
    <s v="2018 SNAGIT GROWTH-SW.CN.5YR"/>
    <s v="2018 SNAGIT GROWTH-SW.CN.5YR"/>
    <s v="12/2023"/>
    <n v="1"/>
    <n v="19718.7"/>
    <n v="12416.220000000001"/>
    <n v="7302.4800000000005"/>
    <x v="0"/>
    <x v="0"/>
  </r>
  <r>
    <s v="Intangible Plant, Common"/>
    <s v="Common (E &amp; G)"/>
    <s v="Intangibles, King County outside RTA District, WA : INT-0000 WA01700000"/>
    <n v="39238893"/>
    <s v="C303 INT Misc Intangible Plant"/>
    <n v="143004662"/>
    <s v="2018 ADOBE STANDARD LICENSE GROWTH-"/>
    <s v="2018 ADOBE STANDARD LICENSE GROWTH-SW.CN"/>
    <s v="12/2023"/>
    <n v="1"/>
    <n v="60239.1"/>
    <n v="37930.6"/>
    <n v="22308.5"/>
    <x v="0"/>
    <x v="0"/>
  </r>
  <r>
    <s v="Intangible Plant, Common"/>
    <s v="Common (E &amp; G)"/>
    <s v="Intangibles, King County outside RTA District, WA : INT-0000 WA01700000"/>
    <n v="39244618"/>
    <s v="C303 INT Misc Intangible Plant"/>
    <n v="143003701"/>
    <s v="700 MHZ SPECTRUM PURCHASE - SPECTRU"/>
    <s v="700 MHZ SPECTRUM PURCHASE - SPECTRUM"/>
    <s v="12/2023"/>
    <n v="1"/>
    <n v="6341984.6799999997"/>
    <n v="3993341.7"/>
    <n v="2348642.98"/>
    <x v="0"/>
    <x v="0"/>
  </r>
  <r>
    <s v="Intangible Plant, Common"/>
    <s v="Common (E &amp; G)"/>
    <s v="Intangibles, King County outside RTA District, WA : INT-0000 WA01700000"/>
    <n v="39516072"/>
    <s v="C303 INT Misc Intangible Plant"/>
    <n v="143004761"/>
    <s v="2018 RSA ARCHER LICENSE GROWTH-SW.C"/>
    <s v="2018 RSA ARCHER LICENSE GROWTH-SW.CN.5YR"/>
    <s v="12/2023"/>
    <n v="1"/>
    <n v="336499.02"/>
    <n v="243506.31"/>
    <n v="92992.71"/>
    <x v="0"/>
    <x v="0"/>
  </r>
  <r>
    <s v="Intangible Plant, Common"/>
    <s v="Common (E &amp; G)"/>
    <s v="Intangibles, Bellevue, WA : INT-0000 WA11700040"/>
    <n v="40123617"/>
    <s v="C303 INT Misc Intangible Plant"/>
    <n v="143002710"/>
    <s v="220 MHZ FREQUENCY ACQUISITION"/>
    <s v="220 MHZ FREQUENCY ACQUISITION"/>
    <s v="12/2023"/>
    <n v="1"/>
    <n v="2182381.12"/>
    <n v="1579272.31"/>
    <n v="603108.81000000006"/>
    <x v="0"/>
    <x v="0"/>
  </r>
  <r>
    <s v="Intangible Plant, Common"/>
    <s v="Common (E &amp; G)"/>
    <s v="Intangibles, Bellevue, WA : INT-0000 WA11700040"/>
    <n v="41712635"/>
    <s v="C303 INT Misc Intangible Plant"/>
    <n v="143003014"/>
    <s v="HR TECHNOLOGY TRANSFORMATION-SW.CS."/>
    <s v="HR TECHNOLOGY TRANSFORMATION-SW.CS.10YR"/>
    <s v="12/2023"/>
    <n v="1"/>
    <n v="10844767.1"/>
    <n v="7847777"/>
    <n v="2996990.1"/>
    <x v="0"/>
    <x v="0"/>
  </r>
  <r>
    <s v="Intangible Plant, Common"/>
    <s v="Common (E &amp; G)"/>
    <s v="Intangibles, King County outside RTA District, WA : INT-0000 WA01700000"/>
    <n v="41712650"/>
    <s v="C303 INT Misc Intangible Plant"/>
    <n v="143004241"/>
    <s v="IWM - Field Payment Strategy SW.CS."/>
    <s v="IWM - Field Payment Strategy SW.CS.10YR"/>
    <s v="12/2023"/>
    <n v="1"/>
    <n v="734743.68"/>
    <n v="531694.64"/>
    <n v="203049.04"/>
    <x v="0"/>
    <x v="3"/>
  </r>
  <r>
    <s v="Intangible Plant, Common"/>
    <s v="Common (E &amp; G)"/>
    <s v="Intangibles, King County outside RTA District, WA : INT-0000 WA01700000"/>
    <n v="41712667"/>
    <s v="C303 INT Misc Intangible Plant"/>
    <n v="143004819"/>
    <s v="Net Profiler License - SW.CN.5YR"/>
    <s v="Net Profiler License - SW.CN.5YR"/>
    <s v="12/2023"/>
    <n v="1"/>
    <n v="104392.03"/>
    <n v="75542.92"/>
    <n v="28849.11"/>
    <x v="0"/>
    <x v="0"/>
  </r>
  <r>
    <s v="Intangible Plant, Common"/>
    <s v="Common (E &amp; G)"/>
    <s v="Intangibles, King County outside RTA District, WA : INT-0000 WA01700000"/>
    <n v="41712670"/>
    <s v="C303 INT Misc Intangible Plant"/>
    <n v="143004821"/>
    <s v="AMI - NET METERING BILLING REPORT -"/>
    <s v="AMI - NET METERING BILLING REPORT - SW.C"/>
    <s v="12/2023"/>
    <n v="1"/>
    <n v="12771.61"/>
    <n v="9242.130000000001"/>
    <n v="3529.48"/>
    <x v="0"/>
    <x v="2"/>
  </r>
  <r>
    <s v="Intangible Plant, Common"/>
    <s v="Common (E &amp; G)"/>
    <s v="Intangibles, King County outside RTA District, WA : INT-0000 WA01700000"/>
    <n v="41736579"/>
    <s v="C303 INT Misc Intangible Plant"/>
    <n v="143004550"/>
    <s v="OPTIONAL NON-COMMUNICATING METER-SW"/>
    <s v="OPTIONAL NON-COMMUNICATING METER-SW.CS.5"/>
    <s v="12/2023"/>
    <n v="1"/>
    <n v="3813761.06"/>
    <n v="2759814.58"/>
    <n v="1053946.48"/>
    <x v="0"/>
    <x v="2"/>
  </r>
  <r>
    <s v="Intangible Plant, Common"/>
    <s v="Common (E &amp; G)"/>
    <s v="Intangibles, King County outside RTA District, WA : INT-0000 WA01700000"/>
    <n v="43080598"/>
    <s v="C303 INT Misc Intangible Plant"/>
    <n v="143005101"/>
    <s v="CONTRACTOR MODELS TO SAP - SW.CS.5Y"/>
    <s v="CONTRACTOR MODELS TO SAP - SW.CS.5YR"/>
    <s v="12/2023"/>
    <n v="1"/>
    <n v="16657.510000000002"/>
    <n v="12054.15"/>
    <n v="4603.3599999999997"/>
    <x v="0"/>
    <x v="0"/>
  </r>
  <r>
    <s v="Intangible Plant, Common"/>
    <s v="Common (E &amp; G)"/>
    <s v="Intangibles, King County outside RTA District, WA : INT-0000 WA01700000"/>
    <n v="43566352"/>
    <s v="C303 INT Misc Intangible Plant"/>
    <n v="143004749"/>
    <s v="AMI Real Time Bill Presentment-SW.C"/>
    <s v="AMI Real Time Bill Presentment-SW.CS.5YR"/>
    <s v="12/2023"/>
    <n v="1"/>
    <n v="3012227.99"/>
    <n v="2179788.0299999998"/>
    <n v="832439.96"/>
    <x v="0"/>
    <x v="2"/>
  </r>
  <r>
    <s v="Intangible Plant, Common"/>
    <s v="Common (E &amp; G)"/>
    <s v="Intangibles, King County outside RTA District, WA : INT-0000 WA01700000"/>
    <n v="43566355"/>
    <s v="C303 INT Misc Intangible Plant"/>
    <n v="143004750"/>
    <s v="AMI REMOTE DISCONNECT-SW.CS.5YR"/>
    <s v="AMI REMOTE DISCONNECT-SW.CS.5YR"/>
    <s v="12/2023"/>
    <n v="1"/>
    <n v="4135102.6"/>
    <n v="2992352.23"/>
    <n v="1142750.3700000001"/>
    <x v="0"/>
    <x v="2"/>
  </r>
  <r>
    <s v="Intangible Plant, Common"/>
    <s v="Common (E &amp; G)"/>
    <s v="Intangibles, King County outside RTA District, WA : INT-0000 WA01700000"/>
    <n v="43986580"/>
    <s v="C303 INT Misc Intangible Plant"/>
    <n v="143004536"/>
    <s v="DA1-Platform of Insights-SW.CS.5YR"/>
    <s v="DA1-Platform of Insights-SW.CS.5YR"/>
    <s v="12/2023"/>
    <n v="1"/>
    <n v="9662314.0999999996"/>
    <n v="6992099.0999999996"/>
    <n v="2670215"/>
    <x v="0"/>
    <x v="0"/>
  </r>
  <r>
    <s v="Intangible Plant, Common"/>
    <s v="Common (E &amp; G)"/>
    <s v="Intangibles, King County outside RTA District, WA : INT-0000 WA01700000"/>
    <n v="43986583"/>
    <s v="C303 INT Misc Intangible Plant"/>
    <n v="143004549"/>
    <s v="EPROCUREMENT PHASE II-SW.CN.EPROCUR"/>
    <s v="EPROCUREMENT PHASE II-SW.CN.EPROCUREMENT"/>
    <s v="12/2023"/>
    <n v="1"/>
    <n v="3333700.39"/>
    <n v="2412420.39"/>
    <n v="921280"/>
    <x v="0"/>
    <x v="0"/>
  </r>
  <r>
    <s v="Intangible Plant, Common"/>
    <s v="Common (E &amp; G)"/>
    <s v="Intangibles, Cle Elum, WA : INT-0000 WA01900010"/>
    <n v="43986596"/>
    <s v="C303 INT Misc Intangible Plant"/>
    <n v="143004837"/>
    <s v="MV90 Upgrade CAS - SW.CN.5YR"/>
    <s v="MV90 Upgrade CAS - SW.CN.5YR"/>
    <s v="12/2023"/>
    <n v="1"/>
    <n v="32984.21"/>
    <n v="23868.91"/>
    <n v="9115.3000000000011"/>
    <x v="0"/>
    <x v="2"/>
  </r>
  <r>
    <s v="Intangible Plant, Common"/>
    <s v="Common (E &amp; G)"/>
    <s v="Intangibles, King County outside RTA District, WA : INT-0000 WA01700000"/>
    <n v="43986604"/>
    <s v="C303 INT Misc Intangible Plant"/>
    <n v="143004839"/>
    <s v="MV90 Upgrade SQE - SW.CN.5YR"/>
    <s v="MV90 Upgrade SQE - SW.CN.5YR"/>
    <s v="12/2023"/>
    <n v="1"/>
    <n v="88303.77"/>
    <n v="63900.71"/>
    <n v="24403.06"/>
    <x v="0"/>
    <x v="2"/>
  </r>
  <r>
    <s v="Intangible Plant, Common"/>
    <s v="Common (E &amp; G)"/>
    <s v="Intangibles, King County outside RTA District, WA : INT-0000 WA01700000"/>
    <n v="43986620"/>
    <s v="C303 INT Misc Intangible Plant"/>
    <n v="143005083"/>
    <s v="2019 SAP HR SUPPORT PACKS - SW.CN.5"/>
    <s v="2019 SAP HR SUPPORT PACKS - SW.CN.5YR"/>
    <s v="12/2023"/>
    <n v="1"/>
    <n v="1079896.8999999999"/>
    <n v="781463.54"/>
    <n v="298433.36"/>
    <x v="0"/>
    <x v="0"/>
  </r>
  <r>
    <s v="Intangible Plant, Common"/>
    <s v="Common (E &amp; G)"/>
    <s v="Intangibles, King County outside RTA District, WA : INT-0000 WA01700000"/>
    <n v="44534507"/>
    <s v="C303 INT Misc Intangible Plant"/>
    <n v="143004045"/>
    <s v="WINDOWS 10 BASE IMAGING - SW.CN.5YR"/>
    <s v="WINDOWS 10 BASE IMAGING - SW.CN.5YR"/>
    <s v="12/2023"/>
    <n v="1"/>
    <n v="2999189.3"/>
    <n v="2170352.63"/>
    <n v="828836.67"/>
    <x v="0"/>
    <x v="0"/>
  </r>
  <r>
    <s v="Intangible Plant, Common"/>
    <s v="Common (E &amp; G)"/>
    <s v="Intangibles, King County outside RTA District, WA : INT-0000 WA01700000"/>
    <n v="44534537"/>
    <s v="C303 INT Misc Intangible Plant"/>
    <n v="143004742"/>
    <s v="MITIGATE 2008I-SW.CN.5YR"/>
    <s v="MITIGATE 2008I-SW.CN.5YR"/>
    <s v="12/2023"/>
    <n v="1"/>
    <n v="1618915.4"/>
    <n v="1171522.3500000001"/>
    <n v="447393.05"/>
    <x v="0"/>
    <x v="0"/>
  </r>
  <r>
    <s v="Intangible Plant, Common"/>
    <s v="Common (E &amp; G)"/>
    <s v="Intangibles, King County outside RTA District, WA : INT-0000 WA01700000"/>
    <n v="44534702"/>
    <s v="C303 INT Misc Intangible Plant"/>
    <n v="143005102"/>
    <s v="Web, Mobile, IVR 2.0 - SW.CS.7YR"/>
    <s v="Web, Mobile, IVR 2.0 - SW.CS.7YR"/>
    <s v="12/2023"/>
    <n v="1"/>
    <n v="6291099.8099999996"/>
    <n v="4552531.92"/>
    <n v="1738567.8900000001"/>
    <x v="0"/>
    <x v="0"/>
  </r>
  <r>
    <s v="Intangible Plant, Common"/>
    <s v="Common (E &amp; G)"/>
    <s v="Intangibles, King County outside RTA District, WA : INT-0000 WA01700000"/>
    <n v="45059436"/>
    <s v="C303 INT Misc Intangible Plant"/>
    <n v="143004817"/>
    <s v="Migrate from hummingbird to Opentex"/>
    <s v="Migrate from hummingbird to Opentext - S"/>
    <s v="12/2023"/>
    <n v="1"/>
    <n v="288746.5"/>
    <n v="211769.7"/>
    <n v="76976.800000000003"/>
    <x v="0"/>
    <x v="0"/>
  </r>
  <r>
    <s v="Intangible Plant, Common"/>
    <s v="Common (E &amp; G)"/>
    <s v="Intangibles, King County outside RTA District, WA : INT-0000 WA01700000"/>
    <n v="45059465"/>
    <s v="C303 INT Misc Intangible Plant"/>
    <n v="143005080"/>
    <s v="Tech Hub - SW.CN.4YR"/>
    <s v="Tech Hub - SW.CN.4YR"/>
    <s v="12/2023"/>
    <n v="1"/>
    <n v="74679.88"/>
    <n v="54771.01"/>
    <n v="19908.87"/>
    <x v="0"/>
    <x v="0"/>
  </r>
  <r>
    <s v="Intangible Plant, Common"/>
    <s v="Common (E &amp; G)"/>
    <s v="Intangibles, Cle Elum, WA : INT-0000 WA01900010"/>
    <n v="45059473"/>
    <s v="C303 INT Misc Intangible Plant"/>
    <n v="143005100"/>
    <s v="OPERATIONS FIREWALL REPLACEMENT - S"/>
    <s v="OPERATIONS FIREWALL REPLACEMENT - SW.CN."/>
    <s v="12/2023"/>
    <n v="1"/>
    <n v="84110.78"/>
    <n v="61687.73"/>
    <n v="22423.05"/>
    <x v="0"/>
    <x v="0"/>
  </r>
  <r>
    <s v="Intangible Plant, Common"/>
    <s v="Common (E &amp; G)"/>
    <s v="Intangibles, King County outside RTA District, WA : INT-0000 WA01700000"/>
    <n v="45895524"/>
    <s v="C303 INT Misc Intangible Plant"/>
    <n v="143004846"/>
    <s v="Cognos Replacement - SW.CN.5YR"/>
    <s v="Cognos Replacement - SW.CN.5YR"/>
    <s v="12/2023"/>
    <n v="1"/>
    <n v="1347803.02"/>
    <n v="988492.83000000007"/>
    <n v="359310.19"/>
    <x v="0"/>
    <x v="1"/>
  </r>
  <r>
    <s v="Intangible Plant, Common"/>
    <s v="Common (E &amp; G)"/>
    <s v="Intangibles, King County outside RTA District, WA : INT-0000 WA01700000"/>
    <n v="47029884"/>
    <s v="C303 INT Misc Intangible Plant"/>
    <n v="143005401"/>
    <s v="PAYROLL ENHANCEMENTS - SW.CS.5YR"/>
    <s v="PAYROLL ENHANCEMENTS - SW.CS.5YR"/>
    <s v="12/2023"/>
    <n v="1"/>
    <n v="13187.84"/>
    <n v="9672.1"/>
    <n v="3515.7400000000002"/>
    <x v="0"/>
    <x v="0"/>
  </r>
  <r>
    <s v="Intangible Plant, Common"/>
    <s v="Common (E &amp; G)"/>
    <s v="Intangibles, King County outside RTA District, WA : INT-0000 WA01700000"/>
    <n v="47398061"/>
    <s v="C303 INT Misc Intangible Plant"/>
    <n v="143005480"/>
    <s v="DAILY USAGE DATA AUTO REPORT - SW.C"/>
    <s v="DAILY USAGE DATA AUTO REPORT - SW.CN.5YR"/>
    <s v="12/2023"/>
    <n v="1"/>
    <n v="37136.57"/>
    <n v="27236.350000000002"/>
    <n v="9900.2199999999993"/>
    <x v="0"/>
    <x v="0"/>
  </r>
  <r>
    <s v="Intangible Plant, Common"/>
    <s v="Common (E &amp; G)"/>
    <s v="Intangibles, King County outside RTA District, WA : INT-0000 WA01700000"/>
    <n v="47398064"/>
    <s v="C303 INT Misc Intangible Plant"/>
    <n v="143005511"/>
    <s v="RITM0070660 - SW.CS.5YR - CREATE NE"/>
    <s v="RITM0070660 - SW.CS.5YR - CREATE NEW WAG"/>
    <s v="12/2023"/>
    <n v="1"/>
    <n v="14113.15"/>
    <n v="10350.73"/>
    <n v="3762.42"/>
    <x v="0"/>
    <x v="0"/>
  </r>
  <r>
    <s v="Intangible Plant, Common"/>
    <s v="Common (E &amp; G)"/>
    <s v="Intangibles, King County outside RTA District, WA : INT-0000 WA01700000"/>
    <n v="47398067"/>
    <s v="C303 INT Misc Intangible Plant"/>
    <n v="143005512"/>
    <s v="RITM72217, 69684, 70749 (BUNDLE) - "/>
    <s v="RITM72217, 69684, 70749 (BUNDLE) - SW.CS"/>
    <s v="12/2023"/>
    <n v="1"/>
    <n v="15736"/>
    <n v="11540.95"/>
    <n v="4195.05"/>
    <x v="0"/>
    <x v="0"/>
  </r>
  <r>
    <s v="Intangible Plant, Common"/>
    <s v="Common (E &amp; G)"/>
    <s v="Intangibles, King County outside RTA District, WA : INT-0000 WA01700000"/>
    <n v="47865944"/>
    <s v="C303 INT Misc Intangible Plant"/>
    <n v="143005226"/>
    <s v="ProofPoint's Web Isolation - SW.CS."/>
    <s v="ProofPoint's Web Isolation - SW.CS.5YR"/>
    <s v="12/2023"/>
    <n v="1"/>
    <n v="110356.71"/>
    <n v="80936.77"/>
    <n v="29419.940000000002"/>
    <x v="0"/>
    <x v="0"/>
  </r>
  <r>
    <s v="Intangible Plant, Common"/>
    <s v="Common (E &amp; G)"/>
    <s v="Intangibles, King County outside RTA District, WA : INT-0000 WA01700000"/>
    <n v="47865957"/>
    <s v="C303 INT Misc Intangible Plant"/>
    <n v="143005420"/>
    <s v="RITM0075870 - OR EMPLOYEE PILOT - S"/>
    <s v="RITM0075870 - OR EMPLOYEE PILOT - SW.CS."/>
    <s v="12/2023"/>
    <n v="1"/>
    <n v="77473.72"/>
    <n v="56820.04"/>
    <n v="20653.68"/>
    <x v="0"/>
    <x v="0"/>
  </r>
  <r>
    <s v="Intangible Plant, Common"/>
    <s v="Common (E &amp; G)"/>
    <s v="Intangibles, King County outside RTA District, WA : INT-0000 WA01700000"/>
    <n v="47865960"/>
    <s v="C303 INT Misc Intangible Plant"/>
    <n v="143005483"/>
    <s v="MAPVIEWER ESRI ENHANCEMENTS - SW.CS"/>
    <s v="MAPVIEWER ESRI ENHANCEMENTS - SW.CS.5YR"/>
    <s v="12/2023"/>
    <n v="1"/>
    <n v="14727.75"/>
    <n v="10801.49"/>
    <n v="3926.26"/>
    <x v="0"/>
    <x v="2"/>
  </r>
  <r>
    <s v="Intangible Plant, Common"/>
    <s v="Common (E &amp; G)"/>
    <s v="Intangibles, King County outside RTA District, WA : INT-0000 WA01700000"/>
    <n v="47865963"/>
    <s v="C303 INT Misc Intangible Plant"/>
    <n v="143005524"/>
    <s v="SAP GRC UPGRADE - SW.CN.5YR"/>
    <s v="SAP GRC UPGRADE - SW.CN.5YR"/>
    <s v="12/2023"/>
    <n v="1"/>
    <n v="258132.88"/>
    <n v="189317.35"/>
    <n v="68815.53"/>
    <x v="0"/>
    <x v="0"/>
  </r>
  <r>
    <s v="Intangible Plant, Common"/>
    <s v="Common (E &amp; G)"/>
    <s v="Intangibles, King County outside RTA District, WA : INT-0000 WA01700000"/>
    <n v="48333568"/>
    <s v="C303 INT Misc Intangible Plant"/>
    <n v="143005460"/>
    <s v="CORTEX XDR UNIX &amp; LINUX - SW.CN.5YR"/>
    <s v="CORTEX XDR UNIX &amp; LINUX - SW.CN.5YR"/>
    <s v="12/2023"/>
    <n v="1"/>
    <n v="47375.54"/>
    <n v="34745.72"/>
    <n v="12629.82"/>
    <x v="0"/>
    <x v="0"/>
  </r>
  <r>
    <s v="Intangible Plant, Common"/>
    <s v="Common (E &amp; G)"/>
    <s v="Intangibles, King County outside RTA District, WA : INT-0000 WA01700000"/>
    <n v="48333576"/>
    <s v="C303 INT Misc Intangible Plant"/>
    <n v="143005508"/>
    <s v="Q3 2020 SMALLWORLD ENHANCEMENTS - S"/>
    <s v="Q3 2020 SMALLWORLD ENHANCEMENTS - SW.CN."/>
    <s v="12/2023"/>
    <n v="1"/>
    <n v="62678.21"/>
    <n v="45968.85"/>
    <n v="16709.36"/>
    <x v="0"/>
    <x v="2"/>
  </r>
  <r>
    <s v="Intangible Plant, Common"/>
    <s v="Common (E &amp; G)"/>
    <s v="Intangibles, King County outside RTA District, WA : INT-0000 WA01700000"/>
    <n v="48333579"/>
    <s v="C303 INT Misc Intangible Plant"/>
    <n v="143005520"/>
    <s v="QM SAP MIGRATE FROM ACCESS DB - SW."/>
    <s v="QM SAP MIGRATE FROM ACCESS DB - SW.CS.5Y"/>
    <s v="12/2023"/>
    <n v="1"/>
    <n v="77061.900000000009"/>
    <n v="56518"/>
    <n v="20543.900000000001"/>
    <x v="0"/>
    <x v="3"/>
  </r>
  <r>
    <s v="Intangible Plant, Common"/>
    <s v="Common (E &amp; G)"/>
    <s v="Intangibles, King County outside RTA District, WA : INT-0000 WA01700000"/>
    <n v="48333582"/>
    <s v="C303 INT Misc Intangible Plant"/>
    <n v="143005522"/>
    <s v="CLICK SCHEDULE ENHANCEMENTS - SW.CS"/>
    <s v="CLICK SCHEDULE ENHANCEMENTS - SW.CS.5YR"/>
    <s v="12/2023"/>
    <n v="1"/>
    <n v="15585.300000000001"/>
    <n v="11430.42"/>
    <n v="4154.88"/>
    <x v="0"/>
    <x v="2"/>
  </r>
  <r>
    <s v="Intangible Plant, Common"/>
    <s v="Common (E &amp; G)"/>
    <s v="Intangibles, King County outside RTA District, WA : INT-0000 WA01700000"/>
    <n v="48333587"/>
    <s v="C303 INT Misc Intangible Plant"/>
    <n v="143005525"/>
    <s v="SAP HR DATA ENHANCEMENTS - SW.CS.5Y"/>
    <s v="SAP HR DATA ENHANCEMENTS - SW.CS.5YR - Q"/>
    <s v="12/2023"/>
    <n v="1"/>
    <n v="21960.850000000002"/>
    <n v="16106.32"/>
    <n v="5854.53"/>
    <x v="0"/>
    <x v="0"/>
  </r>
  <r>
    <s v="Intangible Plant, Common"/>
    <s v="Common (E &amp; G)"/>
    <s v="Intangibles, King County outside RTA District, WA : INT-0000 WA01700000"/>
    <n v="48333590"/>
    <s v="C303 INT Misc Intangible Plant"/>
    <n v="143005527"/>
    <s v="GENERAL LEDGER ENHANCEMENTS - SW.CS"/>
    <s v="GENERAL LEDGER ENHANCEMENTS - SW.CS.5YR"/>
    <s v="12/2023"/>
    <n v="1"/>
    <n v="20859"/>
    <n v="15298.210000000001"/>
    <n v="5560.79"/>
    <x v="0"/>
    <x v="2"/>
  </r>
  <r>
    <s v="Intangible Plant, Common"/>
    <s v="Common (E &amp; G)"/>
    <s v="Intangibles, King County outside RTA District, WA : INT-0000 WA01700000"/>
    <n v="48333593"/>
    <s v="C303 INT Misc Intangible Plant"/>
    <n v="143005534"/>
    <s v="COVID-19 - PAYMENT ARRNGMNTS - SW.C"/>
    <s v="COVID-19 - PAYMENT ARRNGMNTS - SW.CN.5YR"/>
    <s v="12/2023"/>
    <n v="1"/>
    <n v="202814"/>
    <n v="148745.91"/>
    <n v="54068.090000000004"/>
    <x v="0"/>
    <x v="2"/>
  </r>
  <r>
    <s v="Intangible Plant, Common"/>
    <s v="Common (E &amp; G)"/>
    <s v="Intangibles, King County outside RTA District, WA : INT-0000 WA01700000"/>
    <n v="48333596"/>
    <s v="C303 INT Misc Intangible Plant"/>
    <n v="143005563"/>
    <s v="SAP WORK MANAGEMENT ENHANCEMENTS - "/>
    <s v="SAP WORK MANAGEMENT ENHANCEMENTS - SW.CS"/>
    <s v="12/2023"/>
    <n v="1"/>
    <n v="20615.86"/>
    <n v="15119.89"/>
    <n v="5495.97"/>
    <x v="0"/>
    <x v="0"/>
  </r>
  <r>
    <s v="Intangible Plant, Common"/>
    <s v="Common (E &amp; G)"/>
    <s v="Intangibles, King County outside RTA District, WA : INT-0000 WA01700000"/>
    <n v="48333599"/>
    <s v="C303 INT Misc Intangible Plant"/>
    <n v="143005632"/>
    <s v="MDMS REPORTING MODULE - SW.CS.5YR"/>
    <s v="MDMS REPORTING MODULE - SW.CS.5YR"/>
    <s v="12/2023"/>
    <n v="1"/>
    <n v="51599.520000000004"/>
    <n v="37843.629999999997"/>
    <n v="13755.89"/>
    <x v="0"/>
    <x v="2"/>
  </r>
  <r>
    <s v="Intangible Plant, Common"/>
    <s v="Common (E &amp; G)"/>
    <s v="Intangibles, Bellevue, WA : INT-0000 WA11700040"/>
    <n v="48885100"/>
    <s v="C302 INT Franchises &amp; Consents"/>
    <n v="143002928"/>
    <s v="RADIO LEGAL OBLIGATIONS"/>
    <s v="RADIO LEGAL OBLIGATIONS"/>
    <s v="12/2023"/>
    <n v="1"/>
    <n v="633.75"/>
    <n v="203.28"/>
    <n v="430.47"/>
    <x v="1"/>
    <x v="0"/>
  </r>
  <r>
    <s v="Intangible Plant, Common"/>
    <s v="Common (E &amp; G)"/>
    <s v="Intangibles, King County outside RTA District, WA : INT-0000 WA01700000"/>
    <n v="49413677"/>
    <s v="C303 INT Misc Intangible Plant"/>
    <n v="143005177"/>
    <s v="REDWOOD UPGRADE - SW.CS.5YR"/>
    <s v="REDWOOD UPGRADE - SW.CS.5YR"/>
    <s v="12/2023"/>
    <n v="1"/>
    <n v="319299.83"/>
    <n v="234177.84"/>
    <n v="85121.99"/>
    <x v="0"/>
    <x v="0"/>
  </r>
  <r>
    <s v="Intangible Plant, Common"/>
    <s v="Common (E &amp; G)"/>
    <s v="Intangibles, King County outside RTA District, WA : INT-0000 WA01700000"/>
    <n v="49413690"/>
    <s v="C303 INT Misc Intangible Plant"/>
    <n v="143005340"/>
    <s v="Payment Platform - SW.CN.5YR"/>
    <s v="Payment Platform - SW.CN.5YR"/>
    <s v="12/2023"/>
    <n v="1"/>
    <n v="7410591.3399999999"/>
    <n v="5435005.2000000002"/>
    <n v="1975586.1400000001"/>
    <x v="0"/>
    <x v="2"/>
  </r>
  <r>
    <s v="Intangible Plant, Common"/>
    <s v="Common (E &amp; G)"/>
    <s v="Intangibles, King County outside RTA District, WA : INT-0000 WA01700000"/>
    <n v="49413693"/>
    <s v="C303 INT Misc Intangible Plant"/>
    <n v="143005363"/>
    <s v="IWM - SAP &amp; AMI DEVICES - SW.CS.5YR"/>
    <s v="IWM - SAP &amp; AMI DEVICES - SW.CS.5YR"/>
    <s v="12/2023"/>
    <n v="1"/>
    <n v="71677.540000000008"/>
    <n v="52569.06"/>
    <n v="19108.48"/>
    <x v="0"/>
    <x v="3"/>
  </r>
  <r>
    <s v="Intangible Plant, Common"/>
    <s v="Common (E &amp; G)"/>
    <s v="Intangibles, King County outside RTA District, WA : INT-0000 WA01700000"/>
    <n v="49413713"/>
    <s v="C303 INT Misc Intangible Plant"/>
    <n v="143005507"/>
    <s v="EMS CIM FEATURE ENHANCEMENT - SW.CS"/>
    <s v="EMS CIM FEATURE ENHANCEMENT - SW.CS.5YR"/>
    <s v="12/2023"/>
    <n v="1"/>
    <n v="20679.350000000002"/>
    <n v="15166.45"/>
    <n v="5512.9000000000005"/>
    <x v="0"/>
    <x v="4"/>
  </r>
  <r>
    <s v="Intangible Plant, Common"/>
    <s v="Common (E &amp; G)"/>
    <s v="Intangibles, King County outside RTA District, WA : INT-0000 WA01700000"/>
    <n v="49413716"/>
    <s v="C303 INT Misc Intangible Plant"/>
    <n v="143005510"/>
    <s v="RITM0071077 ARCHER REMINDERS - SW.C"/>
    <s v="RITM0071077 ARCHER REMINDERS - SW.CS.5YR"/>
    <s v="12/2023"/>
    <n v="1"/>
    <n v="71790.87"/>
    <n v="52652.17"/>
    <n v="19138.7"/>
    <x v="0"/>
    <x v="0"/>
  </r>
  <r>
    <s v="Intangible Plant, Common"/>
    <s v="Common (E &amp; G)"/>
    <s v="Intangibles, King County outside RTA District, WA : INT-0000 WA01700000"/>
    <n v="49945125"/>
    <s v="C303 INT Misc Intangible Plant"/>
    <n v="143004537"/>
    <s v="Enterprise Data Archiving-SW.CS.5YR"/>
    <s v="Enterprise Data Archiving-SW.CS.5YR"/>
    <s v="12/2023"/>
    <n v="1"/>
    <n v="2203558.9900000002"/>
    <n v="1616113.21"/>
    <n v="587445.78"/>
    <x v="0"/>
    <x v="0"/>
  </r>
  <r>
    <s v="Intangible Plant, Common"/>
    <s v="Common (E &amp; G)"/>
    <s v="Intangibles, King County outside RTA District, WA : INT-0000 WA01700000"/>
    <n v="49945156"/>
    <s v="C303 INT Misc Intangible Plant"/>
    <n v="143005227"/>
    <s v="eProcurement Phase 3 - SW.CN.5YR"/>
    <s v="eProcurement Phase 3 - SW.CN.5YR"/>
    <s v="12/2023"/>
    <n v="1"/>
    <n v="3853950.21"/>
    <n v="2826527.4"/>
    <n v="1027422.81"/>
    <x v="0"/>
    <x v="0"/>
  </r>
  <r>
    <s v="Intangible Plant, Common"/>
    <s v="Common (E &amp; G)"/>
    <s v="Intangibles, King County outside RTA District, WA : INT-0000 WA01700000"/>
    <n v="49945159"/>
    <s v="C303 INT Misc Intangible Plant"/>
    <n v="143005241"/>
    <s v="ServiceNow New York Upgrade - SW.CN"/>
    <s v="ServiceNow New York Upgrade - SW.CN.3YR"/>
    <s v="12/2023"/>
    <n v="1"/>
    <n v="5514678.2599999998"/>
    <n v="4044522.72"/>
    <n v="1470155.54"/>
    <x v="0"/>
    <x v="0"/>
  </r>
  <r>
    <s v="Intangible Plant, Common"/>
    <s v="Common (E &amp; G)"/>
    <s v="Intangibles, King County outside RTA District, WA : INT-0000 WA01700000"/>
    <n v="49945175"/>
    <s v="C303 INT Misc Intangible Plant"/>
    <n v="143005261"/>
    <s v="CLOUD NETWORK AND SECURITY - SW.CN."/>
    <s v="CLOUD NETWORK AND SECURITY - SW.CN.3YR"/>
    <s v="12/2023"/>
    <n v="1"/>
    <n v="23379.94"/>
    <n v="17147.09"/>
    <n v="6232.85"/>
    <x v="0"/>
    <x v="0"/>
  </r>
  <r>
    <s v="Intangible Plant, Common"/>
    <s v="Common (E &amp; G)"/>
    <s v="Intangibles, King County outside RTA District, WA : INT-0000 WA01700000"/>
    <n v="49945178"/>
    <s v="C303 INT Misc Intangible Plant"/>
    <n v="143005262"/>
    <s v="AUTOMATE POLICY ENFORCEMENT - SW.CN"/>
    <s v="AUTOMATE POLICY ENFORCEMENT - SW.CN.3YR"/>
    <s v="12/2023"/>
    <n v="1"/>
    <n v="217659.92"/>
    <n v="159634.06"/>
    <n v="58025.86"/>
    <x v="0"/>
    <x v="0"/>
  </r>
  <r>
    <s v="Intangible Plant, Common"/>
    <s v="Common (E &amp; G)"/>
    <s v="Intangibles, King County outside RTA District, WA : INT-0000 WA01700000"/>
    <n v="49945207"/>
    <s v="C303 INT Misc Intangible Plant"/>
    <n v="143005280"/>
    <s v="Robotic Process Automation - SW.CS."/>
    <s v="Robotic Process Automation - SW.CS.3YR"/>
    <s v="12/2023"/>
    <n v="1"/>
    <n v="832363.25"/>
    <n v="610463.91"/>
    <n v="221899.34"/>
    <x v="0"/>
    <x v="5"/>
  </r>
  <r>
    <s v="Intangible Plant, Common"/>
    <s v="Common (E &amp; G)"/>
    <s v="Intangibles, King County outside RTA District, WA : INT-0000 WA01700000"/>
    <n v="49945210"/>
    <s v="C303 INT Misc Intangible Plant"/>
    <n v="143005281"/>
    <s v="RSA TOKEN REFRESH - SW.CN.3YR"/>
    <s v="RSA TOKEN REFRESH - SW.CN.3YR"/>
    <s v="12/2023"/>
    <n v="1"/>
    <n v="131379.32"/>
    <n v="96354.97"/>
    <n v="35024.35"/>
    <x v="0"/>
    <x v="5"/>
  </r>
  <r>
    <s v="Intangible Plant, Common"/>
    <s v="Common (E &amp; G)"/>
    <s v="Intangibles, King County outside RTA District, WA : INT-0000 WA01700000"/>
    <n v="49945218"/>
    <s v="C303 INT Misc Intangible Plant"/>
    <n v="143005289"/>
    <s v="2020 SUPPLY CHAIN STBLZTN - SW.CS.5"/>
    <s v="2020 SUPPLY CHAIN STBLZTN - SW.CS.5YR"/>
    <s v="12/2023"/>
    <n v="1"/>
    <n v="205582.34"/>
    <n v="150776.24"/>
    <n v="54806.1"/>
    <x v="0"/>
    <x v="3"/>
  </r>
  <r>
    <s v="Intangible Plant, Common"/>
    <s v="Common (E &amp; G)"/>
    <s v="Intangibles, King County outside RTA District, WA : INT-0000 WA01700000"/>
    <n v="49945221"/>
    <s v="C303 INT Misc Intangible Plant"/>
    <n v="143005300"/>
    <s v="2020 IAM Modernization - SW.CS.3YR"/>
    <s v="2020 IAM Modernization - SW.CS.3YR"/>
    <s v="12/2023"/>
    <n v="1"/>
    <n v="720243.76"/>
    <n v="528234.31000000006"/>
    <n v="192009.45"/>
    <x v="0"/>
    <x v="0"/>
  </r>
  <r>
    <s v="Intangible Plant, Common"/>
    <s v="Common (E &amp; G)"/>
    <s v="Intangibles, King County outside RTA District, WA : INT-0000 WA01700000"/>
    <n v="49945233"/>
    <s v="C303 INT Misc Intangible Plant"/>
    <n v="143005316"/>
    <s v="SAP ANN. SUP STACKS/UPGRADES - SW.C"/>
    <s v="SAP ANN. SUP STACKS/UPGRADES - SW.CN.5YR"/>
    <s v="12/2023"/>
    <n v="1"/>
    <n v="1387230.1400000001"/>
    <n v="1017409.1"/>
    <n v="369821.04"/>
    <x v="0"/>
    <x v="0"/>
  </r>
  <r>
    <s v="Intangible Plant, Common"/>
    <s v="Common (E &amp; G)"/>
    <s v="Intangibles, King County outside RTA District, WA : INT-0000 WA01700000"/>
    <n v="49945238"/>
    <s v="C303 INT Misc Intangible Plant"/>
    <n v="143005332"/>
    <s v="TRNSPRT NTWRK MODERNIZATION RDW - S"/>
    <s v="TRNSPRT NTWRK MODERNIZATION RDW - SW.CN."/>
    <s v="12/2023"/>
    <n v="1"/>
    <n v="74926.22"/>
    <n v="54951.67"/>
    <n v="19974.55"/>
    <x v="0"/>
    <x v="0"/>
  </r>
  <r>
    <s v="Intangible Plant, Common"/>
    <s v="Common (E &amp; G)"/>
    <s v="Intangibles, King County outside RTA District, WA : INT-0000 WA01700000"/>
    <n v="49945241"/>
    <s v="C303 INT Misc Intangible Plant"/>
    <n v="143005333"/>
    <s v="TRNSPRT NTWRK MODERNIZATION NSP - S"/>
    <s v="TRNSPRT NTWRK MODERNIZATION NSP - SW.CN."/>
    <s v="12/2023"/>
    <n v="1"/>
    <n v="165217.93"/>
    <n v="121172.56"/>
    <n v="44045.37"/>
    <x v="0"/>
    <x v="0"/>
  </r>
  <r>
    <s v="Intangible Plant, Common"/>
    <s v="Common (E &amp; G)"/>
    <s v="Intangibles, King County outside RTA District, WA : INT-0000 WA01700000"/>
    <n v="49945246"/>
    <s v="C303 INT Misc Intangible Plant"/>
    <n v="143005361"/>
    <s v="AMI ENHANCEMENTS 2020 - SW.CS.3YR"/>
    <s v="AMI ENHANCEMENTS 2020 - SW.CS.3YR"/>
    <s v="12/2023"/>
    <n v="1"/>
    <n v="14818.130000000001"/>
    <n v="10867.77"/>
    <n v="3950.36"/>
    <x v="0"/>
    <x v="2"/>
  </r>
  <r>
    <s v="Intangible Plant, Common"/>
    <s v="Common (E &amp; G)"/>
    <s v="Intangibles, King County outside RTA District, WA : INT-0000 WA01700000"/>
    <n v="49945254"/>
    <s v="C303 INT Misc Intangible Plant"/>
    <n v="143005423"/>
    <s v="PRT SOFTWARE SUITE ENHNCMNT - SW.CS"/>
    <s v="PRT SOFTWARE SUITE ENHNCMNT - SW.CS.3YR"/>
    <s v="12/2023"/>
    <n v="1"/>
    <n v="24388.19"/>
    <n v="17886.55"/>
    <n v="6501.64"/>
    <x v="0"/>
    <x v="0"/>
  </r>
  <r>
    <s v="Intangible Plant, Common"/>
    <s v="Common (E &amp; G)"/>
    <s v="Intangibles, King County outside RTA District, WA : INT-0000 WA01700000"/>
    <n v="49945257"/>
    <s v="C303 INT Misc Intangible Plant"/>
    <n v="143005424"/>
    <s v="COVID-19 LICENSES - SW.CN.5YR"/>
    <s v="COVID-19 LICENSES - SW.CN.5YR"/>
    <s v="12/2023"/>
    <n v="1"/>
    <n v="243752"/>
    <n v="178770.27"/>
    <n v="64981.73"/>
    <x v="0"/>
    <x v="0"/>
  </r>
  <r>
    <s v="Intangible Plant, Common"/>
    <s v="Common (E &amp; G)"/>
    <s v="Intangibles, King County outside RTA District, WA : INT-0000 WA01700000"/>
    <n v="49945260"/>
    <s v="C303 INT Misc Intangible Plant"/>
    <n v="143005437"/>
    <s v="COMPLETEVIEW 5.X UPGRADE - SW.CN.3Y"/>
    <s v="COMPLETEVIEW 5.X UPGRADE - SW.CN.3YR"/>
    <s v="12/2023"/>
    <n v="1"/>
    <n v="47711.66"/>
    <n v="34992.230000000003"/>
    <n v="12719.43"/>
    <x v="0"/>
    <x v="0"/>
  </r>
  <r>
    <s v="Intangible Plant, Common"/>
    <s v="Common (E &amp; G)"/>
    <s v="Intangibles, King County outside RTA District, WA : INT-0000 WA01700000"/>
    <n v="49945276"/>
    <s v="C303 INT Misc Intangible Plant"/>
    <n v="143005532"/>
    <s v="DATA TOOLS UPGRADE - SW.CN.5YR"/>
    <s v="DATA TOOLS UPGRADE - SW.CN.5YR"/>
    <s v="12/2023"/>
    <n v="1"/>
    <n v="374402.42"/>
    <n v="274590.65000000002"/>
    <n v="99811.77"/>
    <x v="0"/>
    <x v="0"/>
  </r>
  <r>
    <s v="Intangible Plant, Common"/>
    <s v="Common (E &amp; G)"/>
    <s v="Intangibles, King County outside RTA District, WA : INT-0000 WA01700000"/>
    <n v="49945282"/>
    <s v="C303 INT Misc Intangible Plant"/>
    <n v="143005537"/>
    <s v="SAP WORK MANAGEMENT Q4 2020 - SW.CS"/>
    <s v="SAP WORK MANAGEMENT Q4 2020 - SW.CS.5YR"/>
    <s v="12/2023"/>
    <n v="1"/>
    <n v="31950.280000000002"/>
    <n v="23432.670000000002"/>
    <n v="8517.61"/>
    <x v="0"/>
    <x v="0"/>
  </r>
  <r>
    <s v="Intangible Plant, Common"/>
    <s v="Common (E &amp; G)"/>
    <s v="Intangibles, King County outside RTA District, WA : INT-0000 WA01700000"/>
    <n v="49945285"/>
    <s v="C303 INT Misc Intangible Plant"/>
    <n v="143005538"/>
    <s v="SAP DESKTOP APPLCTN Q4 2020 - SW.CS"/>
    <s v="SAP DESKTOP APPLCTN Q4 2020 - SW.CS.5YR"/>
    <s v="12/2023"/>
    <n v="1"/>
    <n v="12477.74"/>
    <n v="9151.31"/>
    <n v="3326.4300000000003"/>
    <x v="0"/>
    <x v="0"/>
  </r>
  <r>
    <s v="Intangible Plant, Common"/>
    <s v="Common (E &amp; G)"/>
    <s v="Intangibles, King County outside RTA District, WA : INT-0000 WA01700000"/>
    <n v="49945288"/>
    <s v="C303 INT Misc Intangible Plant"/>
    <n v="143005564"/>
    <s v="SAP CIS BILLING ENHNCMNTS Q4 - SW.C"/>
    <s v="SAP CIS BILLING ENHNCMNTS Q4 - SW.CS.5YR"/>
    <s v="12/2023"/>
    <n v="1"/>
    <n v="46563.75"/>
    <n v="34150.340000000004"/>
    <n v="12413.41"/>
    <x v="0"/>
    <x v="2"/>
  </r>
  <r>
    <s v="Intangible Plant, Common"/>
    <s v="Common (E &amp; G)"/>
    <s v="Intangibles, King County outside RTA District, WA : INT-0000 WA01700000"/>
    <n v="49945296"/>
    <s v="C303 INT Misc Intangible Plant"/>
    <n v="143005639"/>
    <s v="IMPORT PROMPT GAS &amp; POWER PRICES - "/>
    <s v="IMPORT PROMPT GAS &amp; POWER PRICES - SW.CS"/>
    <s v="12/2023"/>
    <n v="1"/>
    <n v="13981.31"/>
    <n v="10254.040000000001"/>
    <n v="3727.27"/>
    <x v="0"/>
    <x v="1"/>
  </r>
  <r>
    <s v="Intangible Plant, Common"/>
    <s v="Common (E &amp; G)"/>
    <s v="Intangibles, King County outside RTA District, WA : INT-0000 WA01700000"/>
    <n v="49945299"/>
    <s v="C303 INT Misc Intangible Plant"/>
    <n v="143005661"/>
    <s v="SAP BW 7.5 Upgrade - SW.CN.5YR"/>
    <s v="SAP BW 7.5 Upgrade - SW.CN.5YR"/>
    <s v="12/2023"/>
    <n v="1"/>
    <n v="265892.34000000003"/>
    <n v="195008.22"/>
    <n v="70884.12"/>
    <x v="0"/>
    <x v="0"/>
  </r>
  <r>
    <s v="Intangible Plant, Common"/>
    <s v="Common (E &amp; G)"/>
    <s v="Intangibles, King County outside RTA District, WA : INT-0000 WA01700000"/>
    <n v="49945305"/>
    <s v="C303 INT Misc Intangible Plant"/>
    <n v="143005669"/>
    <s v="SUCCESSFACTORS ENHNC - Q4 2020 - SW"/>
    <s v="SUCCESSFACTORS ENHNC - Q4 2020 - SW.CN.3"/>
    <s v="12/2023"/>
    <n v="1"/>
    <n v="14631"/>
    <n v="10730.53"/>
    <n v="3900.4700000000003"/>
    <x v="0"/>
    <x v="0"/>
  </r>
  <r>
    <s v="Intangible Plant, Common"/>
    <s v="Common (E &amp; G)"/>
    <s v="Intangibles, King County outside RTA District, WA : INT-0000 WA01700000"/>
    <n v="49945308"/>
    <s v="C303 INT Misc Intangible Plant"/>
    <n v="143005671"/>
    <s v="OPERATIONS FIREWALL REFRESH - SW.CN"/>
    <s v="OPERATIONS FIREWALL REFRESH - SW.CN.5YR"/>
    <s v="12/2023"/>
    <n v="1"/>
    <n v="70265.38"/>
    <n v="51533.36"/>
    <n v="18732.02"/>
    <x v="0"/>
    <x v="0"/>
  </r>
  <r>
    <s v="Intangible Plant, Common"/>
    <s v="Common (E &amp; G)"/>
    <s v="Intangibles, King County outside RTA District, WA : INT-0000 WA01700000"/>
    <n v="49945316"/>
    <s v="C303 INT Misc Intangible Plant"/>
    <n v="143005746"/>
    <s v="SAP WORK MANAGEMENT ENHNC - SW.CS.5"/>
    <s v="SAP WORK MANAGEMENT ENHNC - SW.CS.5YR"/>
    <s v="12/2023"/>
    <n v="1"/>
    <n v="15779.91"/>
    <n v="11573.15"/>
    <n v="4206.76"/>
    <x v="0"/>
    <x v="2"/>
  </r>
  <r>
    <s v="Intangible Plant, Common"/>
    <s v="Common (E &amp; G)"/>
    <s v="Intangibles, King County outside RTA District, WA : INT-0000 WA01700000"/>
    <n v="49945320"/>
    <s v="C303 INT Misc Intangible Plant"/>
    <n v="143005747"/>
    <s v="Q4 2020 SAP FINANCE ENHNC - SW.CS.5"/>
    <s v="Q4 2020 SAP FINANCE ENHNC - SW.CS.5YR"/>
    <s v="12/2023"/>
    <n v="1"/>
    <n v="21288.7"/>
    <n v="15613.36"/>
    <n v="5675.34"/>
    <x v="0"/>
    <x v="0"/>
  </r>
  <r>
    <s v="Intangible Plant, Common"/>
    <s v="Common (E &amp; G)"/>
    <s v="Intangibles, King County outside RTA District, WA : INT-0000 WA01700000"/>
    <n v="49945323"/>
    <s v="C303 INT Misc Intangible Plant"/>
    <n v="143005761"/>
    <s v="RITM0085457 - NERC officer-workflow"/>
    <s v="RITM0085457 - NERC officer-workflow - SW"/>
    <s v="12/2023"/>
    <n v="1"/>
    <n v="51782.99"/>
    <n v="37978.19"/>
    <n v="13804.800000000001"/>
    <x v="0"/>
    <x v="0"/>
  </r>
  <r>
    <s v="Intangible Plant, Common"/>
    <s v="Common (E &amp; G)"/>
    <s v="Intangibles, King County outside RTA District, WA : INT-0000 WA01700000"/>
    <n v="49945326"/>
    <s v="C303 INT Misc Intangible Plant"/>
    <n v="143005802"/>
    <s v="MAPVIEWER ESRI 2020 Q4 ENHANCEMENTS"/>
    <s v="MAPVIEWER ESRI 2020 Q4 ENHANCEMENTS - SW"/>
    <s v="12/2023"/>
    <n v="1"/>
    <n v="12580.6"/>
    <n v="9226.74"/>
    <n v="3353.86"/>
    <x v="0"/>
    <x v="2"/>
  </r>
  <r>
    <s v="Intangible Plant, Common"/>
    <s v="Common (E &amp; G)"/>
    <s v="Intangibles, Thurston County, WA : INT-0000 WA03400000"/>
    <n v="50297700"/>
    <s v="C302 INT Franchises &amp; Consents"/>
    <n v="143002258"/>
    <s v="CITY OF YELM - COMMON - RENEWAL"/>
    <s v="CITY OF YELM - COMMON - RENEWAL"/>
    <s v="12/2023"/>
    <n v="2"/>
    <n v="49483.76"/>
    <n v="13438.51"/>
    <n v="36045.25"/>
    <x v="1"/>
    <x v="2"/>
  </r>
  <r>
    <s v="Intangible Plant, Common"/>
    <s v="Common (E &amp; G)"/>
    <s v="Intangibles, King County outside RTA District, WA : INT-0000 WA01700000"/>
    <n v="50297733"/>
    <s v="C302 INT Franchises &amp; Consents"/>
    <n v="143005305"/>
    <s v="CITY OF COVINGTON - COMMON - FRANCH"/>
    <s v="CITY OF COVINGTON - COMMON - FRANCHISE"/>
    <s v="12/2023"/>
    <n v="1"/>
    <n v="329"/>
    <n v="89.350000000000009"/>
    <n v="239.65"/>
    <x v="1"/>
    <x v="2"/>
  </r>
  <r>
    <s v="Intangible Plant, Common"/>
    <s v="Common (E &amp; G)"/>
    <s v="Intangibles, Bellevue, WA : INT-0000 WA11700040"/>
    <n v="50479305"/>
    <s v="C303 INT Misc Intangible Plant"/>
    <n v="143002783"/>
    <s v="UPGRADE SAP CENTRAL PROCESS SCHEDUL"/>
    <s v="UPGRADE SAP CENTRAL PROCESS SCHEDULER SW"/>
    <s v="12/2023"/>
    <n v="1"/>
    <n v="11478.75"/>
    <n v="5425.93"/>
    <n v="6052.82"/>
    <x v="0"/>
    <x v="2"/>
  </r>
  <r>
    <s v="Intangible Plant, Common"/>
    <s v="Common (E &amp; G)"/>
    <s v="Intangibles, King County outside RTA District, WA : INT-0000 WA01700000"/>
    <n v="50479310"/>
    <s v="C303 INT Misc Intangible Plant"/>
    <n v="143005189"/>
    <s v="Web 3.0 - SW.CS.7YR"/>
    <s v="Web 3.0 - SW.CS.7YR"/>
    <s v="12/2023"/>
    <n v="1"/>
    <n v="4881452.78"/>
    <n v="2307428.66"/>
    <n v="2574024.12"/>
    <x v="0"/>
    <x v="2"/>
  </r>
  <r>
    <s v="Intangible Plant, Common"/>
    <s v="Common (E &amp; G)"/>
    <s v="Intangibles, King County outside RTA District, WA : INT-0000 WA01700000"/>
    <n v="50479315"/>
    <s v="C303 INT Misc Intangible Plant"/>
    <n v="143005269"/>
    <s v="PSE CS WEB, MOBILE, VIVR - SW.CN.3Y"/>
    <s v="PSE CS WEB, MOBILE, VIVR - SW.CN.3YR"/>
    <s v="12/2023"/>
    <n v="1"/>
    <n v="549246.1"/>
    <n v="259624.80000000002"/>
    <n v="289621.3"/>
    <x v="0"/>
    <x v="0"/>
  </r>
  <r>
    <s v="Intangible Plant, Common"/>
    <s v="Common (E &amp; G)"/>
    <s v="Intangibles, King County outside RTA District, WA : INT-0000 WA01700000"/>
    <n v="50479318"/>
    <s v="C303 INT Misc Intangible Plant"/>
    <n v="143005270"/>
    <s v="XAMERIN PLATFORM OPTIMIZATION - SW."/>
    <s v="XAMERIN PLATFORM OPTIMIZATION - SW.CN.5Y"/>
    <s v="12/2023"/>
    <n v="1"/>
    <n v="388553.61"/>
    <n v="183666.58000000002"/>
    <n v="204887.03"/>
    <x v="0"/>
    <x v="2"/>
  </r>
  <r>
    <s v="Intangible Plant, Common"/>
    <s v="Common (E &amp; G)"/>
    <s v="Intangibles, King County outside RTA District, WA : INT-0000 WA01700000"/>
    <n v="50479325"/>
    <s v="C303 INT Misc Intangible Plant"/>
    <n v="143005291"/>
    <s v="ANNUAL SPLUNK GROWTH - SW.CN.3YR"/>
    <s v="ANNUAL SPLUNK GROWTH - SW.CN.3YR"/>
    <s v="12/2023"/>
    <n v="1"/>
    <n v="553912.44000000006"/>
    <n v="261830.54"/>
    <n v="292081.90000000002"/>
    <x v="0"/>
    <x v="0"/>
  </r>
  <r>
    <s v="Intangible Plant, Common"/>
    <s v="Common (E &amp; G)"/>
    <s v="Intangibles, King County outside RTA District, WA : INT-0000 WA01700000"/>
    <n v="50479346"/>
    <s v="C303 INT Misc Intangible Plant"/>
    <n v="143005670"/>
    <s v="MICHIGAN REMOTE WORK LOCATION - SW."/>
    <s v="MICHIGAN REMOTE WORK LOCATION - SW.CS.5Y"/>
    <s v="12/2023"/>
    <n v="1"/>
    <n v="11587.67"/>
    <n v="5477.41"/>
    <n v="6110.26"/>
    <x v="0"/>
    <x v="0"/>
  </r>
  <r>
    <s v="Intangible Plant, Common"/>
    <s v="Common (E &amp; G)"/>
    <s v="Intangibles, King County outside RTA District, WA : INT-0000 WA01700000"/>
    <n v="50479351"/>
    <s v="C303 INT Misc Intangible Plant"/>
    <n v="143005801"/>
    <s v="2020 CLIENT SW SQL LICENSES - SW.CN"/>
    <s v="2020 CLIENT SW SQL LICENSES - SW.CN.4YR"/>
    <s v="12/2023"/>
    <n v="1"/>
    <n v="485529.99"/>
    <n v="229506.64"/>
    <n v="256023.35"/>
    <x v="0"/>
    <x v="0"/>
  </r>
  <r>
    <s v="Intangible Plant, Common"/>
    <s v="Common (E &amp; G)"/>
    <s v="Intangibles, King County outside RTA District, WA : INT-0000 WA01700000"/>
    <n v="51571611"/>
    <s v="C303 INT Misc Intangible Plant"/>
    <n v="143005404"/>
    <s v="Sitecore Upgrade - SW.CN.3YR"/>
    <s v="Sitecore Upgrade - SW.CN.3YR"/>
    <s v="12/2023"/>
    <n v="1"/>
    <n v="922815.68"/>
    <n v="436208.53"/>
    <n v="486607.15"/>
    <x v="0"/>
    <x v="2"/>
  </r>
  <r>
    <s v="Intangible Plant, Common"/>
    <s v="Common (E &amp; G)"/>
    <s v="Intangibles, King County outside RTA District, WA : INT-0000 WA01700000"/>
    <n v="51571616"/>
    <s v="C303 INT Misc Intangible Plant"/>
    <n v="143005523"/>
    <s v="LOAD OFFICE ITOA ENHANCEMENTS - SW."/>
    <s v="LOAD OFFICE ITOA ENHANCEMENTS - SW.CS.5Y"/>
    <s v="12/2023"/>
    <n v="1"/>
    <n v="18617.560000000001"/>
    <n v="8800.39"/>
    <n v="9817.17"/>
    <x v="0"/>
    <x v="4"/>
  </r>
  <r>
    <s v="Intangible Plant, Common"/>
    <s v="Common (E &amp; G)"/>
    <s v="Intangibles, King County outside RTA District, WA : INT-0000 WA01700000"/>
    <n v="51571627"/>
    <s v="C303 INT Misc Intangible Plant"/>
    <n v="143005634"/>
    <s v="EIA-111 EXPORTS INCORRECTLY CALCULA"/>
    <s v="EIA-111 EXPORTS INCORRECTLY CALCULATE -"/>
    <s v="12/2023"/>
    <n v="1"/>
    <n v="10301.56"/>
    <n v="4869.4800000000005"/>
    <n v="5432.08"/>
    <x v="0"/>
    <x v="4"/>
  </r>
  <r>
    <s v="Intangible Plant, Common"/>
    <s v="Common (E &amp; G)"/>
    <s v="Intangibles, King County outside RTA District, WA : INT-0000 WA01700000"/>
    <n v="51571638"/>
    <s v="C303 INT Misc Intangible Plant"/>
    <n v="143005860"/>
    <s v="2020 CLIENT VARIPHY TELEPHONY LICEN"/>
    <s v="2020 CLIENT VARIPHY TELEPHONY LICENSE-SW"/>
    <s v="12/2023"/>
    <n v="1"/>
    <n v="55931.69"/>
    <n v="26438.52"/>
    <n v="29493.170000000002"/>
    <x v="0"/>
    <x v="0"/>
  </r>
  <r>
    <s v="Intangible Plant, Common"/>
    <s v="Common (E &amp; G)"/>
    <s v="Intangibles, King County outside RTA District, WA : INT-0000 WA01700000"/>
    <n v="51571641"/>
    <s v="C303 INT Misc Intangible Plant"/>
    <n v="143005876"/>
    <s v="Q1 2021 SAP PM ENHANCEMENTS - SW.CS"/>
    <s v="Q1 2021 SAP PM ENHANCEMENTS - SW.CS.5YR"/>
    <s v="12/2023"/>
    <n v="1"/>
    <n v="42337.71"/>
    <n v="20012.740000000002"/>
    <n v="22324.97"/>
    <x v="0"/>
    <x v="0"/>
  </r>
  <r>
    <s v="Intangible Plant, Common"/>
    <s v="Common (E &amp; G)"/>
    <s v="Intangibles, King County outside RTA District, WA : INT-0000 WA01700000"/>
    <n v="51571644"/>
    <s v="C303 INT Misc Intangible Plant"/>
    <n v="143005944"/>
    <s v="SAP SALES CLOUD - SW.CN.5YR"/>
    <s v="SAP SALES CLOUD - SW.CN.5YR"/>
    <s v="12/2023"/>
    <n v="1"/>
    <n v="39192.239999999998"/>
    <n v="18525.900000000001"/>
    <n v="20666.34"/>
    <x v="0"/>
    <x v="1"/>
  </r>
  <r>
    <s v="Intangible Plant, Common"/>
    <s v="Common (E &amp; G)"/>
    <s v="Intangibles, King County outside RTA District, WA : INT-0000 WA01700000"/>
    <n v="52052028"/>
    <s v="C303 INT Misc Intangible Plant"/>
    <n v="143005190"/>
    <s v="Phase IV eGRC Build (Archer) - SW.C"/>
    <s v="Phase IV eGRC Build (Archer) - SW.CN.5YR"/>
    <s v="12/2023"/>
    <n v="1"/>
    <n v="1446250.07"/>
    <n v="683632.31"/>
    <n v="762617.76"/>
    <x v="0"/>
    <x v="1"/>
  </r>
  <r>
    <s v="Intangible Plant, Common"/>
    <s v="Common (E &amp; G)"/>
    <s v="Intangibles, King County outside RTA District, WA : INT-0000 WA01700000"/>
    <n v="52052031"/>
    <s v="C303 INT Misc Intangible Plant"/>
    <n v="143005194"/>
    <s v="EMPLOYEE ENGAGEMENT - SW.CN.5YR"/>
    <s v="EMPLOYEE ENGAGEMENT - SW.CN.5YR"/>
    <s v="12/2023"/>
    <n v="1"/>
    <n v="2351780.37"/>
    <n v="1111670.17"/>
    <n v="1240110.2"/>
    <x v="0"/>
    <x v="0"/>
  </r>
  <r>
    <s v="Intangible Plant, Common"/>
    <s v="Common (E &amp; G)"/>
    <s v="Intangibles, King County outside RTA District, WA : INT-0000 WA01700000"/>
    <n v="52052295"/>
    <s v="C303 INT Misc Intangible Plant"/>
    <n v="143005877"/>
    <s v="Q1 2021 PAYROLL ENHANCEMENTS - SW.C"/>
    <s v="Q1 2021 PAYROLL ENHANCEMENTS - SW.CS.5YR"/>
    <s v="12/2023"/>
    <n v="1"/>
    <n v="36703.79"/>
    <n v="17349.63"/>
    <n v="19354.16"/>
    <x v="0"/>
    <x v="0"/>
  </r>
  <r>
    <s v="Intangible Plant, Common"/>
    <s v="Common (E &amp; G)"/>
    <s v="Intangibles, King County outside RTA District, WA : INT-0000 WA01700000"/>
    <n v="52052310"/>
    <s v="C303 INT Misc Intangible Plant"/>
    <n v="143005948"/>
    <s v="Q1 IWM SAP WORK MAN ENHNC - SW.CS.5"/>
    <s v="Q1 IWM SAP WORK MAN ENHNC - SW.CS.5YR"/>
    <s v="12/2023"/>
    <n v="1"/>
    <n v="13234.07"/>
    <n v="6255.6500000000005"/>
    <n v="6978.42"/>
    <x v="0"/>
    <x v="3"/>
  </r>
  <r>
    <s v="Intangible Plant, Common"/>
    <s v="Common (E &amp; G)"/>
    <s v="Intangibles, King County outside RTA District, WA : INT-0000 WA01700000"/>
    <n v="52052313"/>
    <s v="C303 INT Misc Intangible Plant"/>
    <n v="143005968"/>
    <s v="CREATE DIGITAL RECORDS OF DIMP/ILS "/>
    <s v="CREATE DIGITAL RECORDS OF DIMP/ILS - SW."/>
    <s v="12/2023"/>
    <n v="1"/>
    <n v="14097.630000000001"/>
    <n v="6663.85"/>
    <n v="7433.78"/>
    <x v="0"/>
    <x v="2"/>
  </r>
  <r>
    <s v="Intangible Plant, Common"/>
    <s v="Common (E &amp; G)"/>
    <s v="Intangibles, Kenmore, WA : INT-0000 WA11700380"/>
    <n v="52234740"/>
    <s v="C302 INT Franchises &amp; Consents"/>
    <n v="143002262"/>
    <s v="CITY OF KENMORE - COMMON - RENEWAL"/>
    <s v="CITY OF KENMORE - COMMON - RENEWAL"/>
    <s v="12/2023"/>
    <n v="0"/>
    <n v="204249.45"/>
    <n v="101273.73"/>
    <n v="102975.72"/>
    <x v="1"/>
    <x v="2"/>
  </r>
  <r>
    <s v="Intangible Plant, Common"/>
    <s v="Common (E &amp; G)"/>
    <s v="Intangibles, King County outside RTA District, WA : INT-0000 WA01700000"/>
    <n v="52521368"/>
    <s v="C303 INT Misc Intangible Plant"/>
    <n v="143005780"/>
    <s v="SHAREPOINT ADMIN FEATURES - SW.CN.5"/>
    <s v="SHAREPOINT ADMIN FEATURES - SW.CN.5YR"/>
    <s v="12/2023"/>
    <n v="1"/>
    <n v="33056.300000000003"/>
    <n v="15625.48"/>
    <n v="17430.82"/>
    <x v="0"/>
    <x v="0"/>
  </r>
  <r>
    <s v="Intangible Plant, Common"/>
    <s v="Common (E &amp; G)"/>
    <s v="Intangibles, King County outside RTA District, WA : INT-0000 WA01700000"/>
    <n v="52521373"/>
    <s v="C303 INT Misc Intangible Plant"/>
    <n v="143006062"/>
    <s v="Q1 2021 ARCHER ENHANCEMENTS - SW.CS"/>
    <s v="Q1 2021 ARCHER ENHANCEMENTS - SW.CS.5YR"/>
    <s v="12/2023"/>
    <n v="1"/>
    <n v="59672.79"/>
    <n v="28206.91"/>
    <n v="31465.88"/>
    <x v="0"/>
    <x v="0"/>
  </r>
  <r>
    <s v="Intangible Plant, Common"/>
    <s v="Common (E &amp; G)"/>
    <s v="Intangibles, King County outside RTA District, WA : INT-0000 WA01700000"/>
    <n v="53009593"/>
    <s v="C303 INT Misc Intangible Plant"/>
    <n v="143005225"/>
    <s v="TRAVEL EXPNS MNGMNT &amp; PCARD - SW.CS"/>
    <s v="TRAVEL EXPNS MNGMNT &amp; PCARD - SW.CS.5YR"/>
    <s v="12/2023"/>
    <n v="1"/>
    <n v="936102.49"/>
    <n v="442489.11"/>
    <n v="493613.38"/>
    <x v="0"/>
    <x v="0"/>
  </r>
  <r>
    <s v="Intangible Plant, Common"/>
    <s v="Common (E &amp; G)"/>
    <s v="Intangibles, King County outside RTA District, WA : INT-0000 WA01700000"/>
    <n v="53018713"/>
    <s v="C303 INT Misc Intangible Plant"/>
    <n v="143005529"/>
    <s v="MDMS SYSTEM UPGRADE - SW.CN.15YR"/>
    <s v="MDMS SYSTEM UPGRADE - SW.CN.15YR"/>
    <s v="12/2023"/>
    <n v="1"/>
    <n v="509189.33"/>
    <n v="240690.24"/>
    <n v="268499.09000000003"/>
    <x v="0"/>
    <x v="2"/>
  </r>
  <r>
    <s v="Intangible Plant, Common"/>
    <s v="Common (E &amp; G)"/>
    <s v="Intangibles, King County outside RTA District, WA : INT-0000 WA01700000"/>
    <n v="53506956"/>
    <s v="C303 INT Misc Intangible Plant"/>
    <n v="143005295"/>
    <s v="SAFETY TELEMATICS FOR FLEET - SW.CN"/>
    <s v="SAFETY TELEMATICS FOR FLEET - SW.CN.5YR"/>
    <s v="12/2023"/>
    <n v="1"/>
    <n v="2510327.2599999998"/>
    <n v="1186614.17"/>
    <n v="1323713.0900000001"/>
    <x v="0"/>
    <x v="2"/>
  </r>
  <r>
    <s v="Intangible Plant, Common"/>
    <s v="Common (E &amp; G)"/>
    <s v="Intangibles, King County outside RTA District, WA : INT-0000 WA01700000"/>
    <n v="53506963"/>
    <s v="C303 INT Misc Intangible Plant"/>
    <n v="143005536"/>
    <s v="ENDUR UPGRADE - APM MODULE - SW.CN."/>
    <s v="ENDUR UPGRADE - APM MODULE - SW.CN.5YR"/>
    <s v="12/2023"/>
    <n v="1"/>
    <n v="761551.05"/>
    <n v="359979.87"/>
    <n v="401571.18"/>
    <x v="0"/>
    <x v="4"/>
  </r>
  <r>
    <s v="Intangible Plant, Common"/>
    <s v="Common (E &amp; G)"/>
    <s v="Intangibles, King County outside RTA District, WA : INT-0000 WA01700000"/>
    <n v="53506974"/>
    <s v="C303 INT Misc Intangible Plant"/>
    <n v="143005950"/>
    <s v="Q2 2021 SAP PM ENHANCMENTS - SW.CS."/>
    <s v="Q2 2021 SAP PM ENHANCMENTS - SW.CS.5YR"/>
    <s v="12/2023"/>
    <n v="1"/>
    <n v="41725.550000000003"/>
    <n v="19723.38"/>
    <n v="22002.170000000002"/>
    <x v="0"/>
    <x v="1"/>
  </r>
  <r>
    <s v="Intangible Plant, Common"/>
    <s v="Common (E &amp; G)"/>
    <s v="Intangibles, King County outside RTA District, WA : INT-0000 WA01700000"/>
    <n v="53506977"/>
    <s v="C303 INT Misc Intangible Plant"/>
    <n v="143005953"/>
    <s v="Q2 2021 SAP PM HRIS Enhancements - "/>
    <s v="Q2 2021 SAP PM HRIS Enhancements - SW.CS"/>
    <s v="12/2023"/>
    <n v="1"/>
    <n v="50246.57"/>
    <n v="23751.200000000001"/>
    <n v="26495.37"/>
    <x v="0"/>
    <x v="0"/>
  </r>
  <r>
    <s v="Intangible Plant, Common"/>
    <s v="Common (E &amp; G)"/>
    <s v="Intangibles, King County outside RTA District, WA : INT-0000 WA01700000"/>
    <n v="53506980"/>
    <s v="C303 INT Misc Intangible Plant"/>
    <n v="143005971"/>
    <s v="Q1 2020 SAP Billing Enhancements - "/>
    <s v="Q1 2020 SAP Billing Enhancements - SW.CS"/>
    <s v="12/2023"/>
    <n v="1"/>
    <n v="14094.2"/>
    <n v="6662.2300000000005"/>
    <n v="7431.97"/>
    <x v="0"/>
    <x v="2"/>
  </r>
  <r>
    <s v="Intangible Plant, Common"/>
    <s v="Common (E &amp; G)"/>
    <s v="Intangibles, King County outside RTA District, WA : INT-0000 WA01700000"/>
    <n v="53506983"/>
    <s v="C303 INT Misc Intangible Plant"/>
    <n v="143005980"/>
    <s v="Q1 2021 SAP/FI - Acct R&amp;P Enhanceme"/>
    <s v="Q1 2021 SAP/FI - Acct R&amp;P Enhancements -"/>
    <s v="12/2023"/>
    <n v="1"/>
    <n v="83184.350000000006"/>
    <n v="39320.660000000003"/>
    <n v="43863.69"/>
    <x v="0"/>
    <x v="0"/>
  </r>
  <r>
    <s v="Intangible Plant, Common"/>
    <s v="Common (E &amp; G)"/>
    <s v="Intangibles, King County outside RTA District, WA : INT-0000 WA01700000"/>
    <n v="53506986"/>
    <s v="C303 INT Misc Intangible Plant"/>
    <n v="143006007"/>
    <s v="SuccessFactors Enhnc - Q2 2021 - SW"/>
    <s v="SuccessFactors Enhnc - Q2 2021 - SW.CN.3"/>
    <s v="12/2023"/>
    <n v="1"/>
    <n v="10035.700000000001"/>
    <n v="4743.8100000000004"/>
    <n v="5291.89"/>
    <x v="0"/>
    <x v="0"/>
  </r>
  <r>
    <s v="Intangible Plant, Common"/>
    <s v="Common (E &amp; G)"/>
    <s v="Intangibles, King County outside RTA District, WA : INT-0000 WA01700000"/>
    <n v="53506989"/>
    <s v="C303 INT Misc Intangible Plant"/>
    <n v="143006013"/>
    <s v="DRIVE 911 WEBIC SCREEN - SW.CS.5YR"/>
    <s v="DRIVE 911 WEBIC SCREEN - SW.CS.5YR"/>
    <s v="12/2023"/>
    <n v="1"/>
    <n v="38466.090000000004"/>
    <n v="18182.650000000001"/>
    <n v="20283.439999999999"/>
    <x v="0"/>
    <x v="3"/>
  </r>
  <r>
    <s v="Intangible Plant, Common"/>
    <s v="Common (E &amp; G)"/>
    <s v="Intangibles, King County outside RTA District, WA : INT-0000 WA01700000"/>
    <n v="53506992"/>
    <s v="C303 INT Misc Intangible Plant"/>
    <n v="143006015"/>
    <s v="FORECAST ACCURACY ANALYTICS DASHBOA"/>
    <s v="FORECAST ACCURACY ANALYTICS DASHBOARD -"/>
    <s v="12/2023"/>
    <n v="1"/>
    <n v="20970.78"/>
    <n v="9912.74"/>
    <n v="11058.04"/>
    <x v="0"/>
    <x v="0"/>
  </r>
  <r>
    <s v="Intangible Plant, Common"/>
    <s v="Common (E &amp; G)"/>
    <s v="Intangibles, King County outside RTA District, WA : INT-0000 WA01700000"/>
    <n v="53506998"/>
    <s v="C303 INT Misc Intangible Plant"/>
    <n v="143006085"/>
    <s v="Q2 2021 OPERATIONS AERS - SW.CS.5YR"/>
    <s v="Q2 2021 OPERATIONS AERS - SW.CS.5YR"/>
    <s v="12/2023"/>
    <n v="1"/>
    <n v="39474.700000000004"/>
    <n v="18659.420000000002"/>
    <n v="20815.28"/>
    <x v="0"/>
    <x v="3"/>
  </r>
  <r>
    <s v="Intangible Plant, Common"/>
    <s v="Common (E &amp; G)"/>
    <s v="Intangibles, King County outside RTA District, WA : INT-0000 WA01700000"/>
    <n v="56506072"/>
    <s v="C303 INT Misc Intangible Plant"/>
    <n v="143006141"/>
    <s v="2021 CLIENT - TOAD FOR ORACLE - SW."/>
    <s v="2021 CLIENT - TOAD FOR ORACLE - SW.CN.5Y"/>
    <s v="12/2023"/>
    <n v="1"/>
    <n v="175631.94"/>
    <n v="83019.990000000005"/>
    <n v="92611.95"/>
    <x v="0"/>
    <x v="0"/>
  </r>
  <r>
    <s v="Intangible Plant, Common"/>
    <s v="Common (E &amp; G)"/>
    <s v="Intangibles, King County outside RTA District, WA : INT-0000 WA01700000"/>
    <n v="56540299"/>
    <s v="C303 INT Misc Intangible Plant"/>
    <n v="143005880"/>
    <s v="Auto GEN RFP Review Modeling - SW.C"/>
    <s v="Auto GEN RFP Review Modeling - SW.CN.5YR"/>
    <s v="12/2023"/>
    <n v="1"/>
    <n v="706713.86"/>
    <n v="334058.71000000002"/>
    <n v="372655.15"/>
    <x v="0"/>
    <x v="1"/>
  </r>
  <r>
    <s v="Intangible Plant, Common"/>
    <s v="Common (E &amp; G)"/>
    <s v="Intangibles, King County outside RTA District, WA : INT-0000 WA01700000"/>
    <n v="56540304"/>
    <s v="C303 INT Misc Intangible Plant"/>
    <n v="143005903"/>
    <s v="PHANTOM - SW.CN.5YR"/>
    <s v="PHANTOM - SW.CN.5YR"/>
    <s v="12/2023"/>
    <n v="1"/>
    <n v="549846.94000000006"/>
    <n v="259908.81"/>
    <n v="289938.13"/>
    <x v="0"/>
    <x v="0"/>
  </r>
  <r>
    <s v="Intangible Plant, Common"/>
    <s v="Common (E &amp; G)"/>
    <s v="Intangibles, King County outside RTA District, WA : INT-0000 WA01700000"/>
    <n v="56540309"/>
    <s v="C303 INT Misc Intangible Plant"/>
    <n v="143005917"/>
    <s v="POI-HANA Memory Uplift (MAR) - SW.C"/>
    <s v="POI-HANA Memory Uplift (MAR) - SW.CN.5+Y"/>
    <s v="12/2023"/>
    <n v="1"/>
    <n v="1929046.26"/>
    <n v="911846.70000000007"/>
    <n v="1017199.56"/>
    <x v="0"/>
    <x v="0"/>
  </r>
  <r>
    <s v="Intangible Plant, Common"/>
    <s v="Common (E &amp; G)"/>
    <s v="Intangibles, King County outside RTA District, WA : INT-0000 WA01700000"/>
    <n v="56540314"/>
    <s v="C303 INT Misc Intangible Plant"/>
    <n v="143005970"/>
    <s v="BUILD REUSABLE LIBRARIES FOR FMS - "/>
    <s v="BUILD REUSABLE LIBRARIES FOR FMS - SW.CS"/>
    <s v="12/2023"/>
    <n v="1"/>
    <n v="60922.8"/>
    <n v="28797.78"/>
    <n v="32125.02"/>
    <x v="0"/>
    <x v="0"/>
  </r>
  <r>
    <s v="Intangible Plant, Common"/>
    <s v="Common (E &amp; G)"/>
    <s v="Intangibles, King County outside RTA District, WA : INT-0000 WA01700000"/>
    <n v="56540319"/>
    <s v="C303 INT Misc Intangible Plant"/>
    <n v="143005983"/>
    <s v="PREVENT WELCOME MAIL TO DIGITAL ACC"/>
    <s v="PREVENT WELCOME MAIL TO DIGITAL ACCTS -"/>
    <s v="12/2023"/>
    <n v="1"/>
    <n v="13732.61"/>
    <n v="6491.31"/>
    <n v="7241.3"/>
    <x v="0"/>
    <x v="0"/>
  </r>
  <r>
    <s v="Intangible Plant, Common"/>
    <s v="Common (E &amp; G)"/>
    <s v="Intangibles, King County outside RTA District, WA : INT-0000 WA01700000"/>
    <n v="56540330"/>
    <s v="C303 INT Misc Intangible Plant"/>
    <n v="143006061"/>
    <s v="Q2 2021 SAP ARIBA ENHANCEMENTS - SW"/>
    <s v="Q2 2021 SAP ARIBA ENHANCEMENTS - SW.CS.5"/>
    <s v="12/2023"/>
    <n v="1"/>
    <n v="22638.18"/>
    <n v="10700.91"/>
    <n v="11937.27"/>
    <x v="0"/>
    <x v="0"/>
  </r>
  <r>
    <s v="Intangible Plant, Common"/>
    <s v="Common (E &amp; G)"/>
    <s v="Intangibles, King County outside RTA District, WA : INT-0000 WA01700000"/>
    <n v="56540335"/>
    <s v="C303 INT Misc Intangible Plant"/>
    <n v="143006082"/>
    <s v="Q2 2021 GC AND ETHICS CMPLY AERS - "/>
    <s v="Q2 2021 GC AND ETHICS CMPLY AERS - SW.CS"/>
    <s v="12/2023"/>
    <n v="1"/>
    <n v="160538.66"/>
    <n v="75885.5"/>
    <n v="84653.16"/>
    <x v="0"/>
    <x v="0"/>
  </r>
  <r>
    <s v="Intangible Plant, Common"/>
    <s v="Common (E &amp; G)"/>
    <s v="Intangibles, King County outside RTA District, WA : INT-0000 WA01700000"/>
    <n v="57126253"/>
    <s v="C303 INT Misc Intangible Plant"/>
    <n v="143005891"/>
    <s v="Cassandra Upgrade 2021 - SW.CN.5YR"/>
    <s v="Cassandra Upgrade 2021 - SW.CN.5YR"/>
    <s v="12/2023"/>
    <n v="1"/>
    <n v="157581.21"/>
    <n v="74487.540000000008"/>
    <n v="83093.67"/>
    <x v="0"/>
    <x v="0"/>
  </r>
  <r>
    <s v="Intangible Plant, Common"/>
    <s v="Common (E &amp; G)"/>
    <s v="Intangibles, King County outside RTA District, WA : INT-0000 WA01700000"/>
    <n v="57126286"/>
    <s v="C303 INT Misc Intangible Plant"/>
    <n v="143006063"/>
    <s v="PORD NETWORK VIEWER ENHC - SW.CN.5Y"/>
    <s v="PORD NETWORK VIEWER ENHC - SW.CN.5YR"/>
    <s v="12/2023"/>
    <n v="1"/>
    <n v="64567.590000000004"/>
    <n v="30520.65"/>
    <n v="34046.94"/>
    <x v="0"/>
    <x v="2"/>
  </r>
  <r>
    <s v="Intangible Plant, Common"/>
    <s v="Common (E &amp; G)"/>
    <s v="Intangibles, King County outside RTA District, WA : INT-0000 WA01700000"/>
    <n v="57306025"/>
    <s v="C303 INT Misc Intangible Plant"/>
    <n v="143005178"/>
    <s v="Oracle Upgrade - SW.CS.5YR"/>
    <s v="Oracle Upgrade - SW.CS.5YR"/>
    <s v="12/2023"/>
    <n v="1"/>
    <n v="401605.17"/>
    <n v="294541.43"/>
    <n v="107063.74"/>
    <x v="0"/>
    <x v="0"/>
  </r>
  <r>
    <s v="Intangible Plant, Common"/>
    <s v="Common (E &amp; G)"/>
    <s v="Intangibles, King County outside RTA District, WA : INT-0000 WA01700000"/>
    <n v="57306040"/>
    <s v="C303 INT Misc Intangible Plant"/>
    <n v="143005343"/>
    <s v="Hana 2.0 SW Upgrade - SW.CN.5YR"/>
    <s v="Hana 2.0 SW Upgrade - SW.CN.5YR"/>
    <s v="12/2023"/>
    <n v="1"/>
    <n v="1936680.53"/>
    <n v="915455.37"/>
    <n v="1021225.16"/>
    <x v="0"/>
    <x v="0"/>
  </r>
  <r>
    <s v="Intangible Plant, Common"/>
    <s v="Common (E &amp; G)"/>
    <s v="Intangibles, King County outside RTA District, WA : INT-0000 WA01700000"/>
    <n v="57306045"/>
    <s v="C303 INT Misc Intangible Plant"/>
    <n v="143005526"/>
    <s v="SAP Compensation Sys Enhnc - SW.CS."/>
    <s v="SAP Compensation Sys Enhnc - SW.CS.5YR"/>
    <s v="12/2023"/>
    <n v="1"/>
    <n v="26904.850000000002"/>
    <n v="19732.3"/>
    <n v="7172.55"/>
    <x v="0"/>
    <x v="0"/>
  </r>
  <r>
    <s v="Intangible Plant, Common"/>
    <s v="Common (E &amp; G)"/>
    <s v="Intangibles, King County outside RTA District, WA : INT-0000 WA01700000"/>
    <n v="57306050"/>
    <s v="C303 INT Misc Intangible Plant"/>
    <n v="143005528"/>
    <s v="SAP ECC Enhancements - Q3 2020 - SW"/>
    <s v="SAP ECC Enhancements - Q3 2020 - SW.CS.5"/>
    <s v="12/2023"/>
    <n v="1"/>
    <n v="54315.3"/>
    <n v="39835.410000000003"/>
    <n v="14479.89"/>
    <x v="0"/>
    <x v="0"/>
  </r>
  <r>
    <s v="Intangible Plant, Common"/>
    <s v="Common (E &amp; G)"/>
    <s v="Intangibles, King County outside RTA District, WA : INT-0000 WA01700000"/>
    <n v="57306057"/>
    <s v="C303 INT Misc Intangible Plant"/>
    <n v="143005637"/>
    <s v="FIORI FOUNDATION - SW.CN.5YR"/>
    <s v="FIORI FOUNDATION - SW.CN.5YR"/>
    <s v="12/2023"/>
    <n v="1"/>
    <n v="237840.65"/>
    <n v="174434.82"/>
    <n v="63405.83"/>
    <x v="0"/>
    <x v="0"/>
  </r>
  <r>
    <s v="Intangible Plant, Common"/>
    <s v="Common (E &amp; G)"/>
    <s v="Intangibles, King County outside RTA District, WA : INT-0000 WA01700000"/>
    <n v="57306066"/>
    <s v="C303 INT Misc Intangible Plant"/>
    <n v="143005942"/>
    <s v="ORCHESTRATION FOR SYSTEMS - SW.CN.3"/>
    <s v="ORCHESTRATION FOR SYSTEMS - SW.CN.3YR"/>
    <s v="12/2023"/>
    <n v="1"/>
    <n v="276484.3"/>
    <n v="202776.48"/>
    <n v="73707.820000000007"/>
    <x v="0"/>
    <x v="0"/>
  </r>
  <r>
    <s v="Intangible Plant, Common"/>
    <s v="Common (E &amp; G)"/>
    <s v="Intangibles, King County outside RTA District, WA : INT-0000 WA01700000"/>
    <n v="57552283"/>
    <s v="C303 INT Misc Intangible Plant"/>
    <n v="143006237"/>
    <s v="GEN RFP AUTO - PHASE 2 MODELING - S"/>
    <s v="GEN RFP AUTO - PHASE 2 MODELING - SW.CS."/>
    <s v="12/2023"/>
    <n v="1"/>
    <n v="153391"/>
    <n v="72506.86"/>
    <n v="80884.14"/>
    <x v="0"/>
    <x v="1"/>
  </r>
  <r>
    <s v="Intangible Plant, Common"/>
    <s v="Common (E &amp; G)"/>
    <s v="Intangibles, King County outside RTA District, WA : INT-0000 WA01700000"/>
    <n v="57858055"/>
    <s v="C303 INT Misc Intangible Plant"/>
    <n v="143005230"/>
    <s v="WORKPLACE MOBILITY PROGRAM - SW.CS."/>
    <s v="WORKPLACE MOBILITY PROGRAM - SW.CS.5YR"/>
    <s v="12/2023"/>
    <n v="1"/>
    <n v="1292004.25"/>
    <n v="610721.39"/>
    <n v="681282.86"/>
    <x v="0"/>
    <x v="0"/>
  </r>
  <r>
    <s v="Intangible Plant, Common"/>
    <s v="Common (E &amp; G)"/>
    <s v="Intangibles, King County outside RTA District, WA : INT-0000 WA01700000"/>
    <n v="57858058"/>
    <s v="C303 INT Misc Intangible Plant"/>
    <n v="143005231"/>
    <s v="SAP TRANSPORT TOOL UPGRADE - SW.CS."/>
    <s v="SAP TRANSPORT TOOL UPGRADE - SW.CS.5YR"/>
    <s v="12/2023"/>
    <n v="1"/>
    <n v="252714"/>
    <n v="119456.14"/>
    <n v="133257.86000000002"/>
    <x v="0"/>
    <x v="0"/>
  </r>
  <r>
    <s v="Intangible Plant, Common"/>
    <s v="Common (E &amp; G)"/>
    <s v="Intangibles, King County outside RTA District, WA : INT-0000 WA01700000"/>
    <n v="57858071"/>
    <s v="C303 INT Misc Intangible Plant"/>
    <n v="143005898"/>
    <s v="UPGRADE MDL FRM SILVERLIGHT - SW.CN"/>
    <s v="UPGRADE MDL FRM SILVERLIGHT - SW.CN.5YR"/>
    <s v="12/2023"/>
    <n v="1"/>
    <n v="174977.47"/>
    <n v="82710.63"/>
    <n v="92266.84"/>
    <x v="0"/>
    <x v="0"/>
  </r>
  <r>
    <s v="Intangible Plant, Common"/>
    <s v="Common (E &amp; G)"/>
    <s v="Intangibles, King County outside RTA District, WA : INT-0000 WA01700000"/>
    <n v="57917041"/>
    <s v="C303 INT Misc Intangible Plant"/>
    <n v="143005193"/>
    <s v="IMAGESITE TO OPENTEXT - SW.CN.5YR"/>
    <s v="IMAGESITE TO OPENTEXT - SW.CN.5YR"/>
    <s v="12/2023"/>
    <n v="1"/>
    <n v="2583742.5499999998"/>
    <n v="1221317.07"/>
    <n v="1362425.48"/>
    <x v="0"/>
    <x v="0"/>
  </r>
  <r>
    <s v="Intangible Plant, Common"/>
    <s v="Common (E &amp; G)"/>
    <s v="Intangibles, King County outside RTA District, WA : INT-0000 WA01700000"/>
    <n v="57917053"/>
    <s v="C303 INT Misc Intangible Plant"/>
    <n v="143005288"/>
    <s v="DATA GOVERNANCE &amp; ENABLEMENT - SW.C"/>
    <s v="DATA GOVERNANCE &amp; ENABLEMENT - SW.CS.5YR"/>
    <s v="12/2023"/>
    <n v="1"/>
    <n v="7320692.7000000002"/>
    <n v="3460440.34"/>
    <n v="3860252.36"/>
    <x v="0"/>
    <x v="0"/>
  </r>
  <r>
    <s v="Intangible Plant, Common"/>
    <s v="Common (E &amp; G)"/>
    <s v="Intangibles, King County outside RTA District, WA : INT-0000 WA01700000"/>
    <n v="57917068"/>
    <s v="C303 INT Misc Intangible Plant"/>
    <n v="143005872"/>
    <s v="DATA MANAGEMENT FOUNDATION - SW.CN."/>
    <s v="DATA MANAGEMENT FOUNDATION - SW.CN.5YR"/>
    <s v="12/2023"/>
    <n v="1"/>
    <n v="219353.31"/>
    <n v="103686.78"/>
    <n v="115666.53"/>
    <x v="0"/>
    <x v="0"/>
  </r>
  <r>
    <s v="Intangible Plant, Common"/>
    <s v="Common (E &amp; G)"/>
    <s v="Intangibles, King County outside RTA District, WA : INT-0000 WA01700000"/>
    <n v="57917071"/>
    <s v="C303 INT Misc Intangible Plant"/>
    <n v="143005873"/>
    <s v="NON-AMI DATA MANAGEMENT USE CASES -"/>
    <s v="NON-AMI DATA MANAGEMENT USE CASES - SW.C"/>
    <s v="12/2023"/>
    <n v="1"/>
    <n v="64677.86"/>
    <n v="30572.77"/>
    <n v="34105.090000000004"/>
    <x v="0"/>
    <x v="2"/>
  </r>
  <r>
    <s v="Intangible Plant, Common"/>
    <s v="Common (E &amp; G)"/>
    <s v="Intangibles, King County outside RTA District, WA : INT-0000 WA01700000"/>
    <n v="57917074"/>
    <s v="C303 INT Misc Intangible Plant"/>
    <n v="143005874"/>
    <s v="AMI DATA MANAGEMENT USE CASES - SW."/>
    <s v="AMI DATA MANAGEMENT USE CASES - SW.CN.5Y"/>
    <s v="12/2023"/>
    <n v="1"/>
    <n v="85622.12"/>
    <n v="40472.980000000003"/>
    <n v="45149.14"/>
    <x v="0"/>
    <x v="2"/>
  </r>
  <r>
    <s v="Intangible Plant, Common"/>
    <s v="Common (E &amp; G)"/>
    <s v="Intangibles, King County outside RTA District, WA : INT-0000 WA01700000"/>
    <n v="57917079"/>
    <s v="C303 INT Misc Intangible Plant"/>
    <n v="143005881"/>
    <s v="CUS GEN INTGRT PWRCLRK PSE SYS - SW"/>
    <s v="CUS GEN INTGRT PWRCLRK PSE SYS - SW.CN.5"/>
    <s v="12/2023"/>
    <n v="1"/>
    <n v="1107213.94"/>
    <n v="523372.3"/>
    <n v="583841.64"/>
    <x v="0"/>
    <x v="2"/>
  </r>
  <r>
    <s v="Intangible Plant, Common"/>
    <s v="Common (E &amp; G)"/>
    <s v="Intangibles, King County outside RTA District, WA : INT-0000 WA01700000"/>
    <n v="57917082"/>
    <s v="C303 INT Misc Intangible Plant"/>
    <n v="143005887"/>
    <s v="DATA POI OPERATIONS PROGRAM - SW.CN"/>
    <s v="DATA POI OPERATIONS PROGRAM - SW.CN.5YR"/>
    <s v="12/2023"/>
    <n v="1"/>
    <n v="1596118.6600000001"/>
    <n v="754474.15"/>
    <n v="841644.51"/>
    <x v="0"/>
    <x v="0"/>
  </r>
  <r>
    <s v="Intangible Plant, Common"/>
    <s v="Common (E &amp; G)"/>
    <s v="Intangibles, King County outside RTA District, WA : INT-0000 WA01700000"/>
    <n v="57917089"/>
    <s v="C303 INT Misc Intangible Plant"/>
    <n v="143005912"/>
    <s v="ANNUAL SPLUNK GROWTH (2021) - SW.CN"/>
    <s v="ANNUAL SPLUNK GROWTH (2021) - SW.CN.5YR"/>
    <s v="12/2023"/>
    <n v="1"/>
    <n v="269876.69"/>
    <n v="127568.83"/>
    <n v="142307.86000000002"/>
    <x v="0"/>
    <x v="0"/>
  </r>
  <r>
    <s v="Intangible Plant, Common"/>
    <s v="Common (E &amp; G)"/>
    <s v="Intangibles, King County outside RTA District, WA : INT-0000 WA01700000"/>
    <n v="57917108"/>
    <s v="C303 INT Misc Intangible Plant"/>
    <n v="143006012"/>
    <s v="SERVICENOW IMPROVEMENTS (2021) - SW"/>
    <s v="SERVICENOW IMPROVEMENTS (2021) - SW.CN.5"/>
    <s v="12/2023"/>
    <n v="1"/>
    <n v="1545942.13"/>
    <n v="730756.05"/>
    <n v="815186.08000000007"/>
    <x v="0"/>
    <x v="0"/>
  </r>
  <r>
    <s v="Intangible Plant, Common"/>
    <s v="Common (E &amp; G)"/>
    <s v="Intangibles, King County outside RTA District, WA : INT-0000 WA01700000"/>
    <n v="57956202"/>
    <s v="C302 INT Franchises &amp; Consents"/>
    <n v="143005307"/>
    <s v="CITY OF WOODINVILLE - COMMON - FRAN"/>
    <s v="CITY OF WOODINVILLE - COMMON - FRANCHISE"/>
    <s v="12/2023"/>
    <n v="1"/>
    <n v="17925.600000000002"/>
    <n v="4868.13"/>
    <n v="13057.470000000001"/>
    <x v="1"/>
    <x v="2"/>
  </r>
  <r>
    <s v="Intangible Plant, Common"/>
    <s v="Common (E &amp; G)"/>
    <s v="Intangibles, King County outside RTA District, WA : INT-0000 WA01700000"/>
    <n v="57956207"/>
    <s v="C303 INT Misc Intangible Plant"/>
    <n v="143005509"/>
    <s v="RITM0070354 PUB STNDRDS MOBILE APP-"/>
    <s v="RITM0070354 PUB STNDRDS MOBILE APP-SW.CS"/>
    <s v="12/2023"/>
    <n v="1"/>
    <n v="22451.91"/>
    <n v="10612.86"/>
    <n v="11839.050000000001"/>
    <x v="0"/>
    <x v="0"/>
  </r>
  <r>
    <s v="Intangible Plant, Common"/>
    <s v="Common (E &amp; G)"/>
    <s v="Intangibles, King County outside RTA District, WA : INT-0000 WA01700000"/>
    <n v="57956218"/>
    <s v="C303 INT Misc Intangible Plant"/>
    <n v="143005895"/>
    <s v="PSE.COM OUTAGE NOTIFICATION ENGINE "/>
    <s v="PSE.COM OUTAGE NOTIFICATION ENGINE - SW."/>
    <s v="12/2023"/>
    <n v="1"/>
    <n v="269331.34999999998"/>
    <n v="127311.05"/>
    <n v="142020.30000000002"/>
    <x v="0"/>
    <x v="0"/>
  </r>
  <r>
    <s v="Intangible Plant, Common"/>
    <s v="Common (E &amp; G)"/>
    <s v="Intangibles, King County outside RTA District, WA : INT-0000 WA01700000"/>
    <n v="58131159"/>
    <s v="C303 INT Misc Intangible Plant"/>
    <n v="143005317"/>
    <s v="COLLABORATION TOOLS - SW.CN.3YR"/>
    <s v="COLLABORATION TOOLS - SW.CN.3YR"/>
    <s v="12/2023"/>
    <n v="1"/>
    <n v="2866002.98"/>
    <n v="1354739.6"/>
    <n v="1511263.38"/>
    <x v="0"/>
    <x v="0"/>
  </r>
  <r>
    <s v="Intangible Plant, Common"/>
    <s v="Common (E &amp; G)"/>
    <s v="Intangibles, King County outside RTA District, WA : INT-0000 WA01700000"/>
    <n v="58131192"/>
    <s v="C303 INT Misc Intangible Plant"/>
    <n v="143005878"/>
    <s v="Q1 2021 SAP WM ENHANCEMENTS - SW.CS"/>
    <s v="Q1 2021 SAP WM ENHANCEMENTS - SW.CS.5YR"/>
    <s v="12/2023"/>
    <n v="1"/>
    <n v="108733.33"/>
    <n v="51397.49"/>
    <n v="57335.840000000004"/>
    <x v="0"/>
    <x v="2"/>
  </r>
  <r>
    <s v="Intangible Plant, Common"/>
    <s v="Common (E &amp; G)"/>
    <s v="Intangibles, King County outside RTA District, WA : INT-0000 WA01700000"/>
    <n v="58131195"/>
    <s v="C303 INT Misc Intangible Plant"/>
    <n v="143005879"/>
    <s v="Q1 2021 SAP MM ENHANCEMENTS - SW.CS"/>
    <s v="Q1 2021 SAP MM ENHANCEMENTS - SW.CS.5YR"/>
    <s v="12/2023"/>
    <n v="1"/>
    <n v="28940.66"/>
    <n v="13680.050000000001"/>
    <n v="15260.61"/>
    <x v="0"/>
    <x v="0"/>
  </r>
  <r>
    <s v="Intangible Plant, Common"/>
    <s v="Common (E &amp; G)"/>
    <s v="Intangibles, King County outside RTA District, WA : INT-0000 WA01700000"/>
    <n v="58131210"/>
    <s v="C303 INT Misc Intangible Plant"/>
    <n v="143005911"/>
    <s v="ANNUAL NETWORK TECHNOLOGY REFRESH &amp;"/>
    <s v="ANNUAL NETWORK TECHNOLOGY REFRESH &amp; GROW"/>
    <s v="12/2023"/>
    <n v="1"/>
    <n v="61295.96"/>
    <n v="28974.170000000002"/>
    <n v="32321.79"/>
    <x v="0"/>
    <x v="0"/>
  </r>
  <r>
    <s v="Intangible Plant, Common"/>
    <s v="Common (E &amp; G)"/>
    <s v="Intangibles, King County outside RTA District, WA : INT-0000 WA01700000"/>
    <n v="58131217"/>
    <s v="C303 INT Misc Intangible Plant"/>
    <n v="143005949"/>
    <s v="Q2 2021 SAP ECC ENHANCEMENTS - SW.C"/>
    <s v="Q2 2021 SAP ECC ENHANCEMENTS - SW.CS.5YR"/>
    <s v="12/2023"/>
    <n v="1"/>
    <n v="13658.66"/>
    <n v="6456.35"/>
    <n v="7202.31"/>
    <x v="0"/>
    <x v="0"/>
  </r>
  <r>
    <s v="Intangible Plant, Common"/>
    <s v="Common (E &amp; G)"/>
    <s v="Intangibles, King County outside RTA District, WA : INT-0000 WA01700000"/>
    <n v="58131222"/>
    <s v="C303 INT Misc Intangible Plant"/>
    <n v="143005952"/>
    <s v="Q2 2021 SAP PM BENEFITS ENHANCMENTS"/>
    <s v="Q2 2021 SAP PM BENEFITS ENHANCMENTS - SW"/>
    <s v="12/2023"/>
    <n v="1"/>
    <n v="13528.210000000001"/>
    <n v="6394.6900000000005"/>
    <n v="7133.52"/>
    <x v="0"/>
    <x v="0"/>
  </r>
  <r>
    <s v="Intangible Plant, Common"/>
    <s v="Common (E &amp; G)"/>
    <s v="Intangibles, King County outside RTA District, WA : INT-0000 WA01700000"/>
    <n v="58131233"/>
    <s v="C303 INT Misc Intangible Plant"/>
    <n v="143005969"/>
    <s v="EMERGENCY LEAK SURVEY - DIGITAL PRO"/>
    <s v="EMERGENCY LEAK SURVEY - DIGITAL PROVISIO"/>
    <s v="12/2023"/>
    <n v="1"/>
    <n v="17432.14"/>
    <n v="8240.0499999999993"/>
    <n v="9192.09"/>
    <x v="0"/>
    <x v="2"/>
  </r>
  <r>
    <s v="Intangible Plant, Common"/>
    <s v="Common (E &amp; G)"/>
    <s v="Intangibles, King County outside RTA District, WA : INT-0000 WA01700000"/>
    <n v="58131238"/>
    <s v="C303 INT Misc Intangible Plant"/>
    <n v="143005984"/>
    <s v="MOBILE APP PUBLISHED STANDARDS - SW"/>
    <s v="MOBILE APP PUBLISHED STANDARDS - SW.CS.5"/>
    <s v="12/2023"/>
    <n v="1"/>
    <n v="77956.58"/>
    <n v="36849.53"/>
    <n v="41107.050000000003"/>
    <x v="0"/>
    <x v="0"/>
  </r>
  <r>
    <s v="Intangible Plant, Common"/>
    <s v="Common (E &amp; G)"/>
    <s v="Intangibles, King County outside RTA District, WA : INT-0000 WA01700000"/>
    <n v="58131265"/>
    <s v="C303 INT Misc Intangible Plant"/>
    <n v="143006081"/>
    <s v="Q2 2021 CUSTOMER OPS &amp; COMM AERS - "/>
    <s v="Q2 2021 CUSTOMER OPS &amp; COMM AERS - SW.CS"/>
    <s v="12/2023"/>
    <n v="1"/>
    <n v="234818.19"/>
    <n v="110996.92"/>
    <n v="123821.27"/>
    <x v="0"/>
    <x v="2"/>
  </r>
  <r>
    <s v="Intangible Plant, Common"/>
    <s v="Common (E &amp; G)"/>
    <s v="Intangibles, King County outside RTA District, WA : INT-0000 WA01700000"/>
    <n v="58131268"/>
    <s v="C303 INT Misc Intangible Plant"/>
    <n v="143006083"/>
    <s v="Q2 2021 FINANCIAL AERS - SW.CS.5YR"/>
    <s v="Q2 2021 FINANCIAL AERS - SW.CS.5YR"/>
    <s v="12/2023"/>
    <n v="1"/>
    <n v="12564.91"/>
    <n v="5939.35"/>
    <n v="6625.56"/>
    <x v="0"/>
    <x v="0"/>
  </r>
  <r>
    <s v="Intangible Plant, Common"/>
    <s v="Common (E &amp; G)"/>
    <s v="Intangibles, King County outside RTA District, WA : INT-0000 WA01700000"/>
    <n v="58131271"/>
    <s v="C303 INT Misc Intangible Plant"/>
    <n v="143006084"/>
    <s v="Q2 2021 IT AERS - SW.CS.5YR"/>
    <s v="Q2 2021 IT AERS - SW.CS.5YR"/>
    <s v="12/2023"/>
    <n v="1"/>
    <n v="27223.96"/>
    <n v="12868.58"/>
    <n v="14355.380000000001"/>
    <x v="0"/>
    <x v="0"/>
  </r>
  <r>
    <s v="Intangible Plant, Common"/>
    <s v="Common (E &amp; G)"/>
    <s v="Intangibles, King County outside RTA District, WA : INT-0000 WA01700000"/>
    <n v="58131276"/>
    <s v="C303 INT Misc Intangible Plant"/>
    <n v="143006101"/>
    <s v="Q3 2021 CUSTOMER OPS &amp; COMM AERS - "/>
    <s v="Q3 2021 CUSTOMER OPS &amp; COMM AERS - SW.CN"/>
    <s v="12/2023"/>
    <n v="1"/>
    <n v="18706.3"/>
    <n v="8842.34"/>
    <n v="9863.9600000000009"/>
    <x v="0"/>
    <x v="2"/>
  </r>
  <r>
    <s v="Intangible Plant, Common"/>
    <s v="Common (E &amp; G)"/>
    <s v="Intangibles, King County outside RTA District, WA : INT-0000 WA01700000"/>
    <n v="58131279"/>
    <s v="C303 INT Misc Intangible Plant"/>
    <n v="143006102"/>
    <s v="Q3 2021 GC AND ETHICS CMPLY AERS - "/>
    <s v="Q3 2021 GC AND ETHICS CMPLY AERS - SW.CN"/>
    <s v="12/2023"/>
    <n v="1"/>
    <n v="169718.16"/>
    <n v="80224.59"/>
    <n v="89493.57"/>
    <x v="0"/>
    <x v="0"/>
  </r>
  <r>
    <s v="Intangible Plant, Common"/>
    <s v="Common (E &amp; G)"/>
    <s v="Intangibles, King County outside RTA District, WA : INT-0000 WA01700000"/>
    <n v="58131282"/>
    <s v="C303 INT Misc Intangible Plant"/>
    <n v="143006103"/>
    <s v="Q3 2021 FINANCIAL AERS - SW.CN.5YR"/>
    <s v="Q3 2021 FINANCIAL AERS - SW.CN.5YR"/>
    <s v="12/2023"/>
    <n v="1"/>
    <n v="85389.96"/>
    <n v="40363.24"/>
    <n v="45026.720000000001"/>
    <x v="0"/>
    <x v="0"/>
  </r>
  <r>
    <s v="Intangible Plant, Common"/>
    <s v="Common (E &amp; G)"/>
    <s v="Intangibles, King County outside RTA District, WA : INT-0000 WA01700000"/>
    <n v="58131285"/>
    <s v="C303 INT Misc Intangible Plant"/>
    <n v="143006104"/>
    <s v="Q3 2021 IT AERS - SW.CN.5YR"/>
    <s v="Q3 2021 IT AERS - SW.CN.5YR"/>
    <s v="12/2023"/>
    <n v="1"/>
    <n v="100568.42"/>
    <n v="47537.99"/>
    <n v="53030.43"/>
    <x v="0"/>
    <x v="0"/>
  </r>
  <r>
    <s v="Intangible Plant, Common"/>
    <s v="Common (E &amp; G)"/>
    <s v="Intangibles, King County outside RTA District, WA : INT-0000 WA01700000"/>
    <n v="58131288"/>
    <s v="C303 INT Misc Intangible Plant"/>
    <n v="143006105"/>
    <s v="Q3 2021 OPERATIONS AERS - SW.CN.5YR"/>
    <s v="Q3 2021 OPERATIONS AERS - SW.CN.5YR"/>
    <s v="12/2023"/>
    <n v="1"/>
    <n v="35626.26"/>
    <n v="16840.28"/>
    <n v="18785.98"/>
    <x v="0"/>
    <x v="3"/>
  </r>
  <r>
    <s v="Intangible Plant, Common"/>
    <s v="Common (E &amp; G)"/>
    <s v="Intangibles, King County outside RTA District, WA : INT-0000 WA01700000"/>
    <n v="58131309"/>
    <s v="C303 INT Misc Intangible Plant"/>
    <n v="143006300"/>
    <s v="Q4 2021 HUMAN RESOURCE AERS - SW.CS"/>
    <s v="Q4 2021 HUMAN RESOURCE AERS - SW.CS.5YR"/>
    <s v="12/2023"/>
    <n v="1"/>
    <n v="29231.040000000001"/>
    <n v="13817.31"/>
    <n v="15413.73"/>
    <x v="0"/>
    <x v="0"/>
  </r>
  <r>
    <s v="Intangible Plant, Common"/>
    <s v="Common (E &amp; G)"/>
    <s v="Intangibles, King County outside RTA District, WA : INT-0000 WA01700000"/>
    <n v="58131312"/>
    <s v="C303 INT Misc Intangible Plant"/>
    <n v="143006305"/>
    <s v="Q4 2021 OPERATIONS AERS - SW.CS.5YR"/>
    <s v="Q4 2021 OPERATIONS AERS - SW.CS.5YR"/>
    <s v="12/2023"/>
    <n v="1"/>
    <n v="22751.58"/>
    <n v="10754.51"/>
    <n v="11997.07"/>
    <x v="0"/>
    <x v="3"/>
  </r>
  <r>
    <s v="Intangible Plant, Common"/>
    <s v="Common (E &amp; G)"/>
    <s v="Intangibles, King County outside RTA District, WA : INT-0000 WA01700000"/>
    <n v="58341016"/>
    <s v="C303 INT Misc Intangible Plant"/>
    <n v="143003512"/>
    <s v="GTZ-IWM-ENHANCEMENT PACK 8 SAP-SW.C"/>
    <s v="GTZ-IWM-ENHANCEMENT PACK 8 SAP-SW.CS.10Y"/>
    <s v="12/2023"/>
    <n v="1"/>
    <n v="126005.22"/>
    <n v="59561.79"/>
    <n v="66443.430000000008"/>
    <x v="0"/>
    <x v="3"/>
  </r>
  <r>
    <s v="Intangible Plant, Common"/>
    <s v="Common (E &amp; G)"/>
    <s v="Intangibles, King County outside RTA District, WA : INT-0000 WA01700000"/>
    <n v="58341074"/>
    <s v="C303 INT Misc Intangible Plant"/>
    <n v="143005883"/>
    <s v="IMPACT - SW.CN.5YR"/>
    <s v="IMPACT - SW.CN.5YR"/>
    <s v="12/2023"/>
    <n v="1"/>
    <n v="539823.54"/>
    <n v="255170.82"/>
    <n v="284652.72000000003"/>
    <x v="0"/>
    <x v="0"/>
  </r>
  <r>
    <s v="Intangible Plant, Common"/>
    <s v="Common (E &amp; G)"/>
    <s v="Intangibles, King County outside RTA District, WA : INT-0000 WA01700000"/>
    <n v="58341077"/>
    <s v="C303 INT Misc Intangible Plant"/>
    <n v="143005885"/>
    <s v="POWER PLAN UPGRADE - SW.CN.5YR"/>
    <s v="POWER PLAN UPGRADE - SW.CN.5YR"/>
    <s v="12/2023"/>
    <n v="1"/>
    <n v="2283675.2599999998"/>
    <n v="673630.54"/>
    <n v="1610044.72"/>
    <x v="0"/>
    <x v="0"/>
  </r>
  <r>
    <s v="Intangible Plant, Common"/>
    <s v="Common (E &amp; G)"/>
    <s v="Intangibles, King County outside RTA District, WA : INT-0000 WA01700000"/>
    <n v="58341080"/>
    <s v="C303 INT Misc Intangible Plant"/>
    <n v="143005886"/>
    <s v="CSTMR EXPRNC ENHNC PROGRAM - SW.CN."/>
    <s v="CSTMR EXPRNC ENHNC PROGRAM - SW.CN.5YR"/>
    <s v="12/2023"/>
    <n v="1"/>
    <n v="1802364.33"/>
    <n v="851965.04"/>
    <n v="950399.29"/>
    <x v="0"/>
    <x v="2"/>
  </r>
  <r>
    <s v="Intangible Plant, Common"/>
    <s v="Common (E &amp; G)"/>
    <s v="Intangibles, King County outside RTA District, WA : INT-0000 WA01700000"/>
    <n v="58341087"/>
    <s v="C303 INT Misc Intangible Plant"/>
    <n v="143005893"/>
    <s v="MGRT FROM TABLEAU TO POWER BI - SW."/>
    <s v="MGRT FROM TABLEAU TO POWER BI - SW.CN.5Y"/>
    <s v="12/2023"/>
    <n v="1"/>
    <n v="312301.53000000003"/>
    <n v="147622.75"/>
    <n v="164678.78"/>
    <x v="0"/>
    <x v="0"/>
  </r>
  <r>
    <s v="Intangible Plant, Common"/>
    <s v="Common (E &amp; G)"/>
    <s v="Intangibles, King County outside RTA District, WA : INT-0000 WA01700000"/>
    <n v="58341092"/>
    <s v="C303 INT Misc Intangible Plant"/>
    <n v="143005909"/>
    <s v="HR MODULE SERVICE PATCH (2021) - SW"/>
    <s v="HR MODULE SERVICE PATCH (2021) - SW.CN.5"/>
    <s v="12/2023"/>
    <n v="1"/>
    <n v="447725.04000000004"/>
    <n v="211636.5"/>
    <n v="236088.54"/>
    <x v="0"/>
    <x v="0"/>
  </r>
  <r>
    <s v="Intangible Plant, Common"/>
    <s v="Common (E &amp; G)"/>
    <s v="Intangibles, King County outside RTA District, WA : INT-0000 WA01700000"/>
    <n v="58341099"/>
    <s v="C303 INT Misc Intangible Plant"/>
    <n v="143005921"/>
    <s v="QUALITY FRAMEWORK 2021 - SW.CS.5YR"/>
    <s v="QUALITY FRAMEWORK 2021 - SW.CS.5YR"/>
    <s v="12/2023"/>
    <n v="1"/>
    <n v="476363.03"/>
    <n v="225173.48"/>
    <n v="251189.55000000002"/>
    <x v="0"/>
    <x v="0"/>
  </r>
  <r>
    <s v="Intangible Plant, Common"/>
    <s v="Common (E &amp; G)"/>
    <s v="Intangibles, King County outside RTA District, WA : INT-0000 WA01700000"/>
    <n v="58341102"/>
    <s v="C303 INT Misc Intangible Plant"/>
    <n v="143005923"/>
    <s v="DATA CENTER HARDWARE REFRESH - SW.C"/>
    <s v="DATA CENTER HARDWARE REFRESH - SW.CN.5YR"/>
    <s v="12/2023"/>
    <n v="1"/>
    <n v="538296.48"/>
    <n v="254448.99000000002"/>
    <n v="283847.49"/>
    <x v="0"/>
    <x v="0"/>
  </r>
  <r>
    <s v="Intangible Plant, Common"/>
    <s v="Common (E &amp; G)"/>
    <s v="Intangibles, King County outside RTA District, WA : INT-0000 WA01700000"/>
    <n v="58341105"/>
    <s v="C303 INT Misc Intangible Plant"/>
    <n v="143005940"/>
    <s v="ROBOTIC PROCESS AUTOMATION 2021 - S"/>
    <s v="ROBOTIC PROCESS AUTOMATION 2021 - SW.CS."/>
    <s v="12/2023"/>
    <n v="1"/>
    <n v="633638.55000000005"/>
    <n v="299516.52"/>
    <n v="334122.03000000003"/>
    <x v="0"/>
    <x v="5"/>
  </r>
  <r>
    <s v="Intangible Plant, Common"/>
    <s v="Common (E &amp; G)"/>
    <s v="Intangibles, King County outside RTA District, WA : INT-0000 WA01700000"/>
    <n v="58341108"/>
    <s v="C303 INT Misc Intangible Plant"/>
    <n v="143005946"/>
    <s v="2021 CAP MAINTENANCE GREATER $1.5M "/>
    <s v="2021 CAP MAINTENANCE GREATER $1.5M - SW."/>
    <s v="12/2023"/>
    <n v="1"/>
    <n v="3098069.85"/>
    <n v="913857.8"/>
    <n v="2184212.0499999998"/>
    <x v="0"/>
    <x v="0"/>
  </r>
  <r>
    <s v="Intangible Plant, Common"/>
    <s v="Common (E &amp; G)"/>
    <s v="Intangibles, King County outside RTA District, WA : INT-0000 WA01700000"/>
    <n v="58341111"/>
    <s v="C303 INT Misc Intangible Plant"/>
    <n v="143005947"/>
    <s v="2021 CAP MAINTENANCE LESS $1.5M - S"/>
    <s v="2021 CAP MAINTENANCE LESS $1.5M - SW.CN."/>
    <s v="12/2023"/>
    <n v="1"/>
    <n v="1705073.15"/>
    <n v="502956.51"/>
    <n v="1202116.6400000001"/>
    <x v="0"/>
    <x v="0"/>
  </r>
  <r>
    <s v="Intangible Plant, Common"/>
    <s v="Common (E &amp; G)"/>
    <s v="Intangibles, King County outside RTA District, WA : INT-0000 WA01700000"/>
    <n v="58341116"/>
    <s v="C303 INT Misc Intangible Plant"/>
    <n v="143005955"/>
    <s v="SAP SECURITY ROLES OPTIMIZATION - S"/>
    <s v="SAP SECURITY ROLES OPTIMIZATION - SW.CS."/>
    <s v="12/2023"/>
    <n v="1"/>
    <n v="524957.73"/>
    <n v="248143.85"/>
    <n v="276813.88"/>
    <x v="0"/>
    <x v="0"/>
  </r>
  <r>
    <s v="Intangible Plant, Common"/>
    <s v="Common (E &amp; G)"/>
    <s v="Intangibles, King County outside RTA District, WA : INT-0000 WA01700000"/>
    <n v="58341144"/>
    <s v="C303 INT Misc Intangible Plant"/>
    <n v="143006073"/>
    <s v="WORKSPACE RESERVATION - SW.CS.3YR"/>
    <s v="WORKSPACE RESERVATION - SW.CS.3YR"/>
    <s v="12/2023"/>
    <n v="1"/>
    <n v="59322.22"/>
    <n v="28041.200000000001"/>
    <n v="31281.02"/>
    <x v="0"/>
    <x v="0"/>
  </r>
  <r>
    <s v="Intangible Plant, Common"/>
    <s v="Common (E &amp; G)"/>
    <s v="Intangibles, King County outside RTA District, WA : INT-0000 WA01700000"/>
    <n v="58341161"/>
    <s v="C303 INT Misc Intangible Plant"/>
    <n v="143006115"/>
    <s v="CDC EXTENSION EFFICIENCY - COBALT S"/>
    <s v="CDC EXTENSION EFFICIENCY - COBALT STRIKE"/>
    <s v="12/2023"/>
    <n v="1"/>
    <n v="12718.16"/>
    <n v="6011.79"/>
    <n v="6706.37"/>
    <x v="0"/>
    <x v="0"/>
  </r>
  <r>
    <s v="Intangible Plant, Common"/>
    <s v="Common (E &amp; G)"/>
    <s v="Intangibles, King County outside RTA District, WA : INT-0000 WA01700000"/>
    <n v="58341170"/>
    <s v="C303 INT Misc Intangible Plant"/>
    <n v="143006281"/>
    <s v="SUCCESSFACTORS ENHNC - Q4 2021 - SW"/>
    <s v="SUCCESSFACTORS ENHNC - Q4 2021 - SW.CN.3"/>
    <s v="12/2023"/>
    <n v="1"/>
    <n v="34776.53"/>
    <n v="10258.26"/>
    <n v="24518.27"/>
    <x v="0"/>
    <x v="0"/>
  </r>
  <r>
    <s v="Intangible Plant, Common"/>
    <s v="Common (E &amp; G)"/>
    <s v="Intangibles, King County outside RTA District, WA : INT-0000 WA01700000"/>
    <n v="58533309"/>
    <s v="C303 INT Misc Intangible Plant"/>
    <n v="143006016"/>
    <s v="SAP SOLUTION MANAGER ENHANCEMENTS -"/>
    <s v="SAP SOLUTION MANAGER ENHANCEMENTS - SW.C"/>
    <s v="12/2023"/>
    <n v="1"/>
    <n v="120338.82"/>
    <n v="35497.120000000003"/>
    <n v="84841.7"/>
    <x v="0"/>
    <x v="3"/>
  </r>
  <r>
    <s v="Intangible Plant, Common"/>
    <s v="Common (E &amp; G)"/>
    <s v="Intangibles, King County outside RTA District, WA : INT-0000 WA01700000"/>
    <n v="58533343"/>
    <s v="C303 INT Misc Intangible Plant"/>
    <n v="143006361"/>
    <s v="2021 CLIENT SW - MS VISUAL STUDIO G"/>
    <s v="2021 CLIENT SW - MS VISUAL STUDIO GROWTH"/>
    <s v="12/2023"/>
    <n v="1"/>
    <n v="245413.94"/>
    <n v="72391.350000000006"/>
    <n v="173022.59"/>
    <x v="0"/>
    <x v="0"/>
  </r>
  <r>
    <s v="Intangible Plant, Common"/>
    <s v="Common (E &amp; G)"/>
    <s v="Intangibles, King County outside RTA District, WA : INT-0000 WA01700000"/>
    <n v="58630188"/>
    <s v="C303 INT Misc Intangible Plant"/>
    <n v="143006301"/>
    <s v="Q4 2021 CUSTOMER OPS &amp; COMM AERS - "/>
    <s v="Q4 2021 CUSTOMER OPS &amp; COMM AERS - SW.CS"/>
    <s v="12/2023"/>
    <n v="1"/>
    <n v="82937.62"/>
    <n v="39204.03"/>
    <n v="43733.590000000004"/>
    <x v="0"/>
    <x v="2"/>
  </r>
  <r>
    <s v="Intangible Plant, Common"/>
    <s v="Common (E &amp; G)"/>
    <s v="Intangibles, King County outside RTA District, WA : INT-0000 WA01700000"/>
    <n v="58630193"/>
    <s v="C303 INT Misc Intangible Plant"/>
    <n v="143006302"/>
    <s v="Q4 2021 GC AND ETHICS CMPLY AERS - "/>
    <s v="Q4 2021 GC AND ETHICS CMPLY AERS - SW.CS"/>
    <s v="12/2023"/>
    <n v="1"/>
    <n v="12484.95"/>
    <n v="5901.55"/>
    <n v="6583.4000000000005"/>
    <x v="0"/>
    <x v="0"/>
  </r>
  <r>
    <s v="Intangible Plant, Common"/>
    <s v="Common (E &amp; G)"/>
    <s v="Intangibles, King County outside RTA District, WA : INT-0000 WA01700000"/>
    <n v="58630198"/>
    <s v="C303 INT Misc Intangible Plant"/>
    <n v="143006304"/>
    <s v="Q4 2021 IT AERS - SW.CS.5YR"/>
    <s v="Q4 2021 IT AERS - SW.CS.5YR"/>
    <s v="12/2023"/>
    <n v="1"/>
    <n v="14791.82"/>
    <n v="6991.99"/>
    <n v="7799.83"/>
    <x v="0"/>
    <x v="0"/>
  </r>
  <r>
    <s v="Intangible Plant, Common"/>
    <s v="Common (E &amp; G)"/>
    <s v="Intangibles, King County outside RTA District, WA : INT-0000 WA01700000"/>
    <n v="58744574"/>
    <s v="C303 INT Misc Intangible Plant"/>
    <n v="143006363"/>
    <s v="2021 ENDUR LICENSE GROWTH . SW.CN.5"/>
    <s v="2021 ENDUR LICENSE GROWTH – SW.CN.5YR"/>
    <s v="12/2023"/>
    <n v="1"/>
    <n v="157030.16"/>
    <n v="46320.21"/>
    <n v="110709.95"/>
    <x v="0"/>
    <x v="1"/>
  </r>
  <r>
    <s v="Intangible Plant, Common"/>
    <s v="Common (E &amp; G)"/>
    <s v="Intangibles, King County outside RTA District, WA : INT-0000 WA01700000"/>
    <n v="59105327"/>
    <s v="C303 INT Misc Intangible Plant"/>
    <n v="143005760"/>
    <s v="MDMS CONFIG LARGE COMMERCIAL MODULE"/>
    <s v="MDMS CONFIG LARGE COMMERCIAL MODULES - S"/>
    <s v="12/2023"/>
    <n v="1"/>
    <n v="71858.100000000006"/>
    <n v="52701.48"/>
    <n v="19156.62"/>
    <x v="0"/>
    <x v="2"/>
  </r>
  <r>
    <s v="Intangible Plant, Common"/>
    <s v="Common (E &amp; G)"/>
    <s v="Intangibles, King County outside RTA District, WA : INT-0000 WA01700000"/>
    <n v="59105345"/>
    <s v="C303 INT Misc Intangible Plant"/>
    <n v="143005910"/>
    <s v="MDMS LICENSE EXTENSION (2021) SW.CN"/>
    <s v="MDMS LICENSE EXTENSION (2021) SW.CN.5+YR"/>
    <s v="12/2023"/>
    <n v="1"/>
    <n v="28274.06"/>
    <n v="8340.18"/>
    <n v="19933.88"/>
    <x v="0"/>
    <x v="2"/>
  </r>
  <r>
    <s v="Intangible Plant, Common"/>
    <s v="Common (E &amp; G)"/>
    <s v="Intangibles, King County outside RTA District, WA : INT-0000 WA01700000"/>
    <n v="59148389"/>
    <s v="C303 INT Misc Intangible Plant"/>
    <n v="143005928"/>
    <s v="IDENTITY MANAGEMENT - SW.CS.3YR"/>
    <s v="IDENTITY MANAGEMENT - SW.CS.3YR"/>
    <s v="12/2023"/>
    <n v="1"/>
    <n v="2029399.2"/>
    <n v="598625.07000000007"/>
    <n v="1430774.13"/>
    <x v="0"/>
    <x v="0"/>
  </r>
  <r>
    <s v="Intangible Plant, Common"/>
    <s v="Common (E &amp; G)"/>
    <s v="Intangibles, King County outside RTA District, WA : INT-0000 WA01700000"/>
    <n v="59204339"/>
    <s v="C303 INT Misc Intangible Plant"/>
    <n v="143006443"/>
    <s v="ASSET HEALTH UNDER AND OVER LOADED "/>
    <s v="ASSET HEALTH UNDER AND OVER LOADED TRANS"/>
    <s v="12/2023"/>
    <n v="1"/>
    <n v="268392.27"/>
    <n v="79169.41"/>
    <n v="189222.86000000002"/>
    <x v="0"/>
    <x v="2"/>
  </r>
  <r>
    <s v="Intangible Plant, Common"/>
    <s v="Common (E &amp; G)"/>
    <s v="Intangibles, King County outside RTA District, WA : INT-0000 WA01700000"/>
    <n v="59379783"/>
    <s v="C303 INT Misc Intangible Plant"/>
    <n v="143005238"/>
    <s v="CORP SIP TRUNKING EXPANSION - SW.CN"/>
    <s v="CORP SIP TRUNKING EXPANSION - SW.CN.5YR"/>
    <s v="12/2023"/>
    <n v="1"/>
    <n v="539916.93000000005"/>
    <n v="159262.81"/>
    <n v="380654.12"/>
    <x v="0"/>
    <x v="0"/>
  </r>
  <r>
    <s v="Intangible Plant, Common"/>
    <s v="Common (E &amp; G)"/>
    <s v="Intangibles, King County outside RTA District, WA : INT-0000 WA01700000"/>
    <n v="59379826"/>
    <s v="C303 INT Misc Intangible Plant"/>
    <n v="143005899"/>
    <s v="IT ENTERPRISE ARCHITECTURE SYS - SW"/>
    <s v="IT ENTERPRISE ARCHITECTURE SYS - SW.CN.5"/>
    <s v="12/2023"/>
    <n v="1"/>
    <n v="305888.91000000003"/>
    <n v="90230.040000000008"/>
    <n v="215658.87"/>
    <x v="0"/>
    <x v="0"/>
  </r>
  <r>
    <s v="Intangible Plant, Common"/>
    <s v="Common (E &amp; G)"/>
    <s v="Intangibles, King County outside RTA District, WA : INT-0000 WA01700000"/>
    <n v="59622179"/>
    <s v="C303 INT Misc Intangible Plant"/>
    <n v="143006445"/>
    <s v="ENTERPRISE DATA CATALOG AND ENVIRON"/>
    <s v="ENTERPRISE DATA CATALOG AND ENVIRONMENTA"/>
    <s v="12/2023"/>
    <n v="1"/>
    <n v="70151.490000000005"/>
    <n v="20693.04"/>
    <n v="49458.450000000004"/>
    <x v="0"/>
    <x v="0"/>
  </r>
  <r>
    <s v="Intangible Plant, Common"/>
    <s v="Common (E &amp; G)"/>
    <s v="Intangibles, King County outside RTA District, WA : INT-0000 WA01700000"/>
    <n v="59622182"/>
    <s v="C303 INT Misc Intangible Plant"/>
    <n v="143006446"/>
    <s v="UNSTRUCTURED ENRGY EFFICIENCY - SW."/>
    <s v="UNSTRUCTURED ENRGY EFFICIENCY - SW.CN.5Y"/>
    <s v="12/2023"/>
    <n v="1"/>
    <n v="23061.040000000001"/>
    <n v="6802.46"/>
    <n v="16258.58"/>
    <x v="0"/>
    <x v="0"/>
  </r>
  <r>
    <s v="Intangible Plant, Common"/>
    <s v="Common (E &amp; G)"/>
    <s v="Intangibles, King County outside RTA District, WA : INT-0000 WA01700000"/>
    <n v="59903561"/>
    <s v="C303 INT Misc Intangible Plant"/>
    <n v="143005892"/>
    <s v="COMMAND CENTER UPGRADE 2021 - SW.CN"/>
    <s v="COMMAND CENTER UPGRADE 2021 - SW.CN.5YR"/>
    <s v="12/2023"/>
    <n v="1"/>
    <n v="139490.20000000001"/>
    <n v="41146.33"/>
    <n v="98343.87"/>
    <x v="0"/>
    <x v="2"/>
  </r>
  <r>
    <s v="Intangible Plant, Common"/>
    <s v="Common (E &amp; G)"/>
    <s v="Intangibles, King County outside RTA District, WA : INT-0000 WA01700000"/>
    <n v="60027372"/>
    <s v="C303 INT Misc Intangible Plant"/>
    <n v="143006424"/>
    <s v="CHECK PAYMENT - SHORT TERM . SW.CN."/>
    <s v="CHECK PAYMENT - SHORT TERM – SW.CN.5YR"/>
    <s v="12/2023"/>
    <n v="1"/>
    <n v="58931.3"/>
    <n v="17383.349999999999"/>
    <n v="41547.950000000004"/>
    <x v="0"/>
    <x v="0"/>
  </r>
  <r>
    <s v="Intangible Plant, Common"/>
    <s v="Common (E &amp; G)"/>
    <s v="Intangibles, King County outside RTA District, WA : INT-0000 WA01700000"/>
    <n v="60027375"/>
    <s v="C303 INT Misc Intangible Plant"/>
    <n v="143006442"/>
    <s v="ACCT COVID BAD DEBT REPORTING . SW."/>
    <s v="ACCT COVID BAD DEBT REPORTING – SW.CN.5Y"/>
    <s v="12/2023"/>
    <n v="1"/>
    <n v="184584.23"/>
    <n v="54448.01"/>
    <n v="130136.22"/>
    <x v="0"/>
    <x v="0"/>
  </r>
  <r>
    <s v="Intangible Plant, Common"/>
    <s v="Common (E &amp; G)"/>
    <s v="Intangibles, King County outside RTA District, WA : INT-0000 WA01700000"/>
    <n v="60027382"/>
    <s v="C303 INT Misc Intangible Plant"/>
    <n v="143006721"/>
    <s v="2022 SERVICENOW - UPGRADE - SW.CN.5"/>
    <s v="2022 SERVICENOW - UPGRADE - SW.CN.5YR"/>
    <s v="12/2023"/>
    <n v="1"/>
    <n v="32227.41"/>
    <n v="9506.33"/>
    <n v="22721.08"/>
    <x v="0"/>
    <x v="0"/>
  </r>
  <r>
    <s v="Intangible Plant, Common"/>
    <s v="Common (E &amp; G)"/>
    <s v="Intangibles, King County outside RTA District, WA : INT-0000 WA01700000"/>
    <n v="60066937"/>
    <s v="C303 INT Misc Intangible Plant"/>
    <n v="143006476"/>
    <s v="INCOME DATA - SW.CN.5YRS"/>
    <s v="INCOME DATA - SW.CN.5YRS"/>
    <s v="12/2023"/>
    <n v="1"/>
    <n v="223986.72"/>
    <n v="66070.820000000007"/>
    <n v="157915.9"/>
    <x v="0"/>
    <x v="2"/>
  </r>
  <r>
    <s v="Intangible Plant, Common"/>
    <s v="Common (E &amp; G)"/>
    <s v="Intangibles, King County outside RTA District, WA : INT-0000 WA01700000"/>
    <n v="60066940"/>
    <s v="C303 INT Misc Intangible Plant"/>
    <n v="143006477"/>
    <s v="NOTIFICATION STATUS HISTORY DATA- S"/>
    <s v="NOTIFICATION STATUS HISTORY DATA- SW.CN."/>
    <s v="12/2023"/>
    <n v="1"/>
    <n v="159092.21"/>
    <n v="46928.46"/>
    <n v="112163.75"/>
    <x v="0"/>
    <x v="2"/>
  </r>
  <r>
    <s v="Intangible Plant, Common"/>
    <s v="Common (E &amp; G)"/>
    <s v="Intangibles, King County outside RTA District, WA : INT-0000 WA01700000"/>
    <n v="60305819"/>
    <s v="C303 INT Misc Intangible Plant"/>
    <n v="143006460"/>
    <s v="2022 SERVICENOW- NERC - SW.CN.5YR"/>
    <s v="2022 SERVICENOW- NERC - SW.CN.5YR"/>
    <s v="12/2023"/>
    <n v="1"/>
    <n v="208660.84"/>
    <n v="61550.04"/>
    <n v="147110.80000000002"/>
    <x v="0"/>
    <x v="0"/>
  </r>
  <r>
    <s v="Intangible Plant, Common"/>
    <s v="Common (E &amp; G)"/>
    <s v="Intangibles, King County outside RTA District, WA : INT-0000 WA01700000"/>
    <n v="60484612"/>
    <s v="C303 INT Misc Intangible Plant"/>
    <n v="143005888"/>
    <s v="UI ENHANCEMENTS PHASE 3 - SW.CN.5YR"/>
    <s v="UI ENHANCEMENTS PHASE 3 - SW.CN.5YR"/>
    <s v="12/2023"/>
    <n v="1"/>
    <n v="3614400.62"/>
    <n v="1066163.24"/>
    <n v="2548237.38"/>
    <x v="0"/>
    <x v="0"/>
  </r>
  <r>
    <s v="Intangible Plant, Common"/>
    <s v="Common (E &amp; G)"/>
    <s v="Intangibles, King County outside RTA District, WA : INT-0000 WA01700000"/>
    <n v="60484639"/>
    <s v="C303 INT Misc Intangible Plant"/>
    <n v="143006700"/>
    <s v="TRANSFORMER MAPPING.PHASE IDENTIF -"/>
    <s v="TRANSFORMER MAPPING–PHASE IDENTIF - SW.C"/>
    <s v="12/2023"/>
    <n v="1"/>
    <n v="220318.43"/>
    <n v="64988.76"/>
    <n v="155329.67000000001"/>
    <x v="0"/>
    <x v="2"/>
  </r>
  <r>
    <s v="Intangible Plant, Common"/>
    <s v="Common (E &amp; G)"/>
    <s v="Intangibles, King County outside RTA District, WA : INT-0000 WA01700000"/>
    <n v="60674315"/>
    <s v="C303 INT Misc Intangible Plant"/>
    <n v="143006680"/>
    <s v="SUCCESSFACTORS ENHANCEMENT PACK 202"/>
    <s v="SUCCESSFACTORS ENHANCEMENT PACK 2022Q2-S"/>
    <s v="12/2023"/>
    <n v="1"/>
    <n v="14308.66"/>
    <n v="4220.72"/>
    <n v="10087.94"/>
    <x v="0"/>
    <x v="0"/>
  </r>
  <r>
    <s v="Intangible Plant, Common"/>
    <s v="Common (E &amp; G)"/>
    <s v="Intangibles, King County outside RTA District, WA : INT-0000 WA01700000"/>
    <n v="61053077"/>
    <s v="C303 INT Misc Intangible Plant"/>
    <n v="143006479"/>
    <s v="WBS FINANCIAL JOB BREAKDOWN - SW.CN"/>
    <s v="WBS FINANCIAL JOB BREAKDOWN - SW.CN.5YRS"/>
    <s v="12/2023"/>
    <n v="1"/>
    <n v="130372.92"/>
    <n v="38456.950000000004"/>
    <n v="91915.97"/>
    <x v="0"/>
    <x v="5"/>
  </r>
  <r>
    <s v="Intangible Plant, Common"/>
    <s v="Common (E &amp; G)"/>
    <s v="Intangibles, King County outside RTA District, WA : INT-0000 WA01700000"/>
    <n v="61053086"/>
    <s v="C303 INT Misc Intangible Plant"/>
    <n v="143006760"/>
    <s v="DEEP EDC-BODS CONNECTOR - SW.CN.5YR"/>
    <s v="DEEP EDC-BODS CONNECTOR - SW.CN.5YRS"/>
    <s v="12/2023"/>
    <n v="1"/>
    <n v="38737.57"/>
    <n v="11426.67"/>
    <n v="27310.9"/>
    <x v="0"/>
    <x v="2"/>
  </r>
  <r>
    <s v="Intangible Plant, Common"/>
    <s v="Common (E &amp; G)"/>
    <s v="Intangibles, King County outside RTA District, WA : INT-0000 WA01700000"/>
    <n v="61167624"/>
    <s v="C303 INT Misc Intangible Plant"/>
    <n v="143006072"/>
    <s v="SAP QM MODULE DATA TO BW - SW.CS.5Y"/>
    <s v="SAP QM MODULE DATA TO BW - SW.CS.5YR"/>
    <s v="12/2023"/>
    <n v="1"/>
    <n v="46948.090000000004"/>
    <n v="13848.58"/>
    <n v="33099.51"/>
    <x v="0"/>
    <x v="0"/>
  </r>
  <r>
    <s v="Intangible Plant, Common"/>
    <s v="Common (E &amp; G)"/>
    <s v="Intangibles, King County outside RTA District, WA : INT-0000 WA01700000"/>
    <n v="61312615"/>
    <s v="C303 INT Misc Intangible Plant"/>
    <n v="143006662"/>
    <s v="AXON-ESRI USE CASE - SW.CN.5YRS"/>
    <s v="AXON-ESRI USE CASE - SW.CN.5YRS"/>
    <s v="12/2023"/>
    <n v="1"/>
    <n v="87196.84"/>
    <n v="25721.02"/>
    <n v="61475.82"/>
    <x v="0"/>
    <x v="0"/>
  </r>
  <r>
    <s v="Intangible Plant, Common"/>
    <s v="Common (E &amp; G)"/>
    <s v="Intangibles, King County outside RTA District, WA : INT-0000 WA01700000"/>
    <n v="61702502"/>
    <s v="C303 INT Misc Intangible Plant"/>
    <n v="143005882"/>
    <s v="EGAIN REPLACEMENT - SW.CN.5YR"/>
    <s v="EGAIN REPLACEMENT - SW.CN.5YR"/>
    <s v="12/2023"/>
    <n v="1"/>
    <n v="5151207.0999999996"/>
    <n v="1519485.04"/>
    <n v="3631722.06"/>
    <x v="0"/>
    <x v="0"/>
  </r>
  <r>
    <s v="Intangible Plant, Common"/>
    <s v="Common (E &amp; G)"/>
    <s v="Intangibles, King County outside RTA District, WA : INT-0000 WA01700000"/>
    <n v="62124226"/>
    <s v="C303 INT Misc Intangible Plant"/>
    <n v="143006447"/>
    <s v="EMPLOYEE DATA ANALYSIS DASHBOARD - "/>
    <s v="EMPLOYEE DATA ANALYSIS DASHBOARD - SW.CN"/>
    <s v="12/2023"/>
    <n v="1"/>
    <n v="29506.670000000002"/>
    <n v="8703.77"/>
    <n v="20802.900000000001"/>
    <x v="0"/>
    <x v="0"/>
  </r>
  <r>
    <s v="Intangible Plant, Common"/>
    <s v="Common (E &amp; G)"/>
    <s v="Intangibles, King County outside RTA District, WA : INT-0000 WA01700000"/>
    <n v="62433307"/>
    <s v="C303 INT Misc Intangible Plant"/>
    <n v="143006521"/>
    <s v="ENTERPRISE MONITORING STANDARDIZATI"/>
    <s v="ENTERPRISE MONITORING STANDARDIZATION -"/>
    <s v="12/2023"/>
    <n v="1"/>
    <n v="1961451.9100000001"/>
    <n v="578582.22"/>
    <n v="1382869.69"/>
    <x v="0"/>
    <x v="2"/>
  </r>
  <r>
    <s v="Intangible Plant, Common"/>
    <s v="Common (E &amp; G)"/>
    <s v="Intangibles, King County outside RTA District, WA : INT-0000 WA01700000"/>
    <n v="62670802"/>
    <s v="C303 INT Misc Intangible Plant"/>
    <n v="143006459"/>
    <s v="MDMS DB PARTITION/TRUNCATION - SW.C"/>
    <s v="MDMS DB PARTITION/TRUNCATION - SW.CN.5YR"/>
    <s v="12/2023"/>
    <n v="1"/>
    <n v="256985.73"/>
    <n v="75804.75"/>
    <n v="181180.98"/>
    <x v="0"/>
    <x v="2"/>
  </r>
  <r>
    <s v="Intangible Plant, Common"/>
    <s v="Common (E &amp; G)"/>
    <s v="Intangibles, King County outside RTA District, WA : INT-0000 WA01700000"/>
    <n v="62898293"/>
    <s v="C303 INT Misc Intangible Plant"/>
    <n v="143006342"/>
    <s v="2022 DATA CENTER HARDWARE REFRESH -"/>
    <s v="2022 DATA CENTER HARDWARE REFRESH - SW.C"/>
    <s v="12/2023"/>
    <n v="1"/>
    <n v="577362.82999999996"/>
    <n v="170308.47"/>
    <n v="407054.36"/>
    <x v="0"/>
    <x v="0"/>
  </r>
  <r>
    <s v="Intangible Plant, Common"/>
    <s v="Common (E &amp; G)"/>
    <s v="Intangibles, King County outside RTA District, WA : INT-0000 WA01700000"/>
    <n v="62898296"/>
    <s v="C303 INT Misc Intangible Plant"/>
    <n v="143006425"/>
    <s v="CHECK PAYMENT - LONG TERM . SW.CN.5"/>
    <s v="CHECK PAYMENT - LONG TERM – SW.CN.5YR"/>
    <s v="12/2023"/>
    <n v="1"/>
    <n v="163733.63"/>
    <n v="48297.57"/>
    <n v="115436.06"/>
    <x v="0"/>
    <x v="0"/>
  </r>
  <r>
    <s v="Intangible Plant, Common"/>
    <s v="Common (E &amp; G)"/>
    <s v="Intangibles, King County outside RTA District, WA : INT-0000 WA01700000"/>
    <n v="62898304"/>
    <s v="C303 INT Misc Intangible Plant"/>
    <n v="143006439"/>
    <s v="DEEP ENHANCEMENTS - SW.CN.5YRS"/>
    <s v="DEEP ENHANCEMENTS - SW.CN.5YRS"/>
    <s v="12/2023"/>
    <n v="1"/>
    <n v="189498.13"/>
    <n v="55897.5"/>
    <n v="133600.63"/>
    <x v="0"/>
    <x v="0"/>
  </r>
  <r>
    <s v="Intangible Plant, Common"/>
    <s v="Common (E &amp; G)"/>
    <s v="Intangibles, King County outside RTA District, WA : INT-0000 WA01700000"/>
    <n v="62898307"/>
    <s v="C303 INT Misc Intangible Plant"/>
    <n v="143006440"/>
    <s v="TRAVEL EXPNS MNGMNT &amp; PCARD - SW.CS"/>
    <s v="TRAVEL EXPNS MNGMNT &amp; PCARD - SW.CS.5YR"/>
    <s v="12/2023"/>
    <n v="1"/>
    <n v="71282.820000000007"/>
    <n v="21026.760000000002"/>
    <n v="50256.06"/>
    <x v="0"/>
    <x v="0"/>
  </r>
  <r>
    <s v="Intangible Plant, Common"/>
    <s v="Common (E &amp; G)"/>
    <s v="Intangibles, King County outside RTA District, WA : INT-0000 WA01700000"/>
    <n v="62898310"/>
    <s v="C303 INT Misc Intangible Plant"/>
    <n v="143006451"/>
    <s v="2022 CAP MAINT GREATER $1.5M - SW.C"/>
    <s v="2022 CAP MAINT GREATER $1.5M - SW.CN.5YR"/>
    <s v="12/2023"/>
    <n v="1"/>
    <n v="11161854.619999999"/>
    <n v="3292484.81"/>
    <n v="7869369.8100000005"/>
    <x v="0"/>
    <x v="0"/>
  </r>
  <r>
    <s v="Intangible Plant, Common"/>
    <s v="Common (E &amp; G)"/>
    <s v="Intangibles, King County outside RTA District, WA : INT-0000 WA01700000"/>
    <n v="62898313"/>
    <s v="C303 INT Misc Intangible Plant"/>
    <n v="143006457"/>
    <s v="MICROSERVCS .NET CORE UPGRADE- SW.C"/>
    <s v="MICROSERVCS .NET CORE UPGRADE- SW.CN.5YR"/>
    <s v="12/2023"/>
    <n v="1"/>
    <n v="102804.48"/>
    <n v="30324.91"/>
    <n v="72479.570000000007"/>
    <x v="0"/>
    <x v="0"/>
  </r>
  <r>
    <s v="Intangible Plant, Common"/>
    <s v="Common (E &amp; G)"/>
    <s v="Intangibles, King County outside RTA District, WA : INT-0000 WA01700000"/>
    <n v="62898316"/>
    <s v="C303 INT Misc Intangible Plant"/>
    <n v="143006458"/>
    <s v="TERRAFORM UPGRADE - SW.CN.5YR"/>
    <s v="TERRAFORM UPGRADE - SW.CN.5YR"/>
    <s v="12/2023"/>
    <n v="1"/>
    <n v="45286.71"/>
    <n v="13358.52"/>
    <n v="31928.190000000002"/>
    <x v="0"/>
    <x v="0"/>
  </r>
  <r>
    <s v="Intangible Plant, Common"/>
    <s v="Common (E &amp; G)"/>
    <s v="Intangibles, King County outside RTA District, WA : INT-0000 WA01700000"/>
    <n v="62898338"/>
    <s v="C303 INT Misc Intangible Plant"/>
    <n v="143006478"/>
    <s v="DATA OPERATING MODEL - SW.CN.5YRS"/>
    <s v="DATA OPERATING MODEL - SW.CN.5YRS"/>
    <s v="12/2023"/>
    <n v="1"/>
    <n v="257573.72"/>
    <n v="75978.19"/>
    <n v="181595.53"/>
    <x v="0"/>
    <x v="0"/>
  </r>
  <r>
    <s v="Intangible Plant, Common"/>
    <s v="Common (E &amp; G)"/>
    <s v="Intangibles, King County outside RTA District, WA : INT-0000 WA01700000"/>
    <n v="62898362"/>
    <s v="C303 INT Misc Intangible Plant"/>
    <n v="143006488"/>
    <s v="CAP MAINTENANCE LESS $1.5M . SW.CN."/>
    <s v="CAP MAINTENANCE LESS $1.5M – SW.CN.5YR"/>
    <s v="12/2023"/>
    <n v="1"/>
    <n v="1121293.2"/>
    <n v="330755.14"/>
    <n v="790538.06"/>
    <x v="0"/>
    <x v="0"/>
  </r>
  <r>
    <s v="Intangible Plant, Common"/>
    <s v="Common (E &amp; G)"/>
    <s v="Intangibles, King County outside RTA District, WA : INT-0000 WA01700000"/>
    <n v="62898385"/>
    <s v="C303 INT Misc Intangible Plant"/>
    <n v="143006511"/>
    <s v="IPP SHAREPOINT UPGRADE- SW.CN.5YRS"/>
    <s v="IPP SHAREPOINT UPGRADE- SW.CN.5YRS"/>
    <s v="12/2023"/>
    <n v="1"/>
    <n v="273699.68"/>
    <n v="80734.97"/>
    <n v="192964.71"/>
    <x v="0"/>
    <x v="0"/>
  </r>
  <r>
    <s v="Intangible Plant, Common"/>
    <s v="Common (E &amp; G)"/>
    <s v="Intangibles, King County outside RTA District, WA : INT-0000 WA01700000"/>
    <n v="62898388"/>
    <s v="C303 INT Misc Intangible Plant"/>
    <n v="143006512"/>
    <s v="IDOT REPLACEMENT- SW.CN.5YRS"/>
    <s v="IDOT REPLACEMENT- SW.CN.5YRS"/>
    <s v="12/2023"/>
    <n v="1"/>
    <n v="734437.08"/>
    <n v="216641.68"/>
    <n v="517795.4"/>
    <x v="0"/>
    <x v="5"/>
  </r>
  <r>
    <s v="Intangible Plant, Common"/>
    <s v="Common (E &amp; G)"/>
    <s v="Intangibles, King County outside RTA District, WA : INT-0000 WA01700000"/>
    <n v="62898391"/>
    <s v="C303 INT Misc Intangible Plant"/>
    <n v="143006701"/>
    <s v="BILL &amp; USAGE HISTORY DASHBOARD - EE"/>
    <s v="BILL &amp; USAGE HISTORY DASHBOARD - EE GRP"/>
    <s v="12/2023"/>
    <n v="1"/>
    <n v="294313.01"/>
    <n v="86815.42"/>
    <n v="207497.59"/>
    <x v="0"/>
    <x v="2"/>
  </r>
  <r>
    <s v="Intangible Plant, Common"/>
    <s v="Common (E &amp; G)"/>
    <s v="Intangibles, King County outside RTA District, WA : INT-0000 WA01700000"/>
    <n v="62898397"/>
    <s v="C303 INT Misc Intangible Plant"/>
    <n v="143006726"/>
    <s v="COST MANAGEMENT REPORTING - SW.CN.5"/>
    <s v="COST MANAGEMENT REPORTING - SW.CN.5YRS"/>
    <s v="12/2023"/>
    <n v="1"/>
    <n v="59443.68"/>
    <n v="17534.490000000002"/>
    <n v="41909.19"/>
    <x v="0"/>
    <x v="0"/>
  </r>
  <r>
    <s v="Intangible Plant, Common"/>
    <s v="Common (E &amp; G)"/>
    <s v="Intangibles, King County outside RTA District, WA : INT-0000 WA01700000"/>
    <n v="62898403"/>
    <s v="C303 INT Misc Intangible Plant"/>
    <n v="143006728"/>
    <s v="DEEP DATA FOUNDATION PRIVACY-INFORM"/>
    <s v="DEEP DATA FOUNDATION PRIVACY-INFORMATICA"/>
    <s v="12/2023"/>
    <n v="1"/>
    <n v="212874.49"/>
    <n v="62792.97"/>
    <n v="150081.51999999999"/>
    <x v="0"/>
    <x v="2"/>
  </r>
  <r>
    <s v="Intangible Plant, Common"/>
    <s v="Common (E &amp; G)"/>
    <s v="Intangibles, King County outside RTA District, WA : INT-0000 WA01700000"/>
    <n v="62898406"/>
    <s v="C303 INT Misc Intangible Plant"/>
    <n v="143006746"/>
    <s v="DEEP SALES STATISTICS DATA AND BEX "/>
    <s v="DEEP SALES STATISTICS DATA AND BEX - SW."/>
    <s v="12/2023"/>
    <n v="1"/>
    <n v="94019.49"/>
    <n v="27733.54"/>
    <n v="66285.95"/>
    <x v="0"/>
    <x v="2"/>
  </r>
  <r>
    <s v="Intangible Plant, Common"/>
    <s v="Common (E &amp; G)"/>
    <s v="Intangibles, King County outside RTA District, WA : INT-0000 WA01700000"/>
    <n v="62898409"/>
    <s v="C303 INT Misc Intangible Plant"/>
    <n v="143006747"/>
    <s v="RITM0062360 - IMPLEMENT DATA AUTOMA"/>
    <s v="RITM0062360 - IMPLEMENT DATA AUTOMATION-"/>
    <s v="12/2023"/>
    <n v="1"/>
    <n v="65187.79"/>
    <n v="19228.87"/>
    <n v="45958.92"/>
    <x v="0"/>
    <x v="2"/>
  </r>
  <r>
    <s v="Intangible Plant, Common"/>
    <s v="Common (E &amp; G)"/>
    <s v="Intangibles, King County outside RTA District, WA : INT-0000 WA01700000"/>
    <n v="62898412"/>
    <s v="C303 INT Misc Intangible Plant"/>
    <n v="143006766"/>
    <s v="DEEP SITUATIONAL AWARENESS OF STORM"/>
    <s v="DEEP SITUATIONAL AWARENESS OF STORM CREW"/>
    <s v="12/2023"/>
    <n v="1"/>
    <n v="248243.34"/>
    <n v="73225.95"/>
    <n v="175017.39"/>
    <x v="0"/>
    <x v="2"/>
  </r>
  <r>
    <s v="Intangible Plant, Common"/>
    <s v="Common (E &amp; G)"/>
    <s v="Intangibles, King County outside RTA District, WA : INT-0000 WA01700000"/>
    <n v="62898421"/>
    <s v="C303 INT Misc Intangible Plant"/>
    <n v="143006802"/>
    <s v="CYBER AUDIT WEB SERVER UPGRADE - SW"/>
    <s v="CYBER AUDIT WEB SERVER UPGRADE - SW.CN.5"/>
    <s v="12/2023"/>
    <n v="1"/>
    <n v="83647.820000000007"/>
    <n v="24674.14"/>
    <n v="58973.68"/>
    <x v="0"/>
    <x v="0"/>
  </r>
  <r>
    <s v="Intangible Plant, Common"/>
    <s v="Common (E &amp; G)"/>
    <s v="Intangibles, King County outside RTA District, WA : INT-0000 WA01700000"/>
    <n v="62898424"/>
    <s v="C303 INT Misc Intangible Plant"/>
    <n v="143006821"/>
    <s v="DEEP STREET LIGHTING REQUEST - SW.C"/>
    <s v="DEEP STREET LIGHTING REQUEST - SW.CN.5YR"/>
    <s v="12/2023"/>
    <n v="1"/>
    <n v="126440.5"/>
    <n v="37296.980000000003"/>
    <n v="89143.52"/>
    <x v="0"/>
    <x v="2"/>
  </r>
  <r>
    <s v="Intangible Plant, Common"/>
    <s v="Common (E &amp; G)"/>
    <s v="Intangibles, King County outside RTA District, WA : INT-0000 WA01700000"/>
    <n v="62898427"/>
    <s v="C303 INT Misc Intangible Plant"/>
    <n v="143006861"/>
    <s v="2022 Q3 AERS  - SAP FO - SW.CS.5YRS"/>
    <s v="2022 Q3 AERS  - SAP FO - SW.CS.5YRS"/>
    <s v="12/2023"/>
    <n v="1"/>
    <n v="33483.64"/>
    <n v="9876.89"/>
    <n v="23606.75"/>
    <x v="0"/>
    <x v="0"/>
  </r>
  <r>
    <s v="Intangible Plant, Common"/>
    <s v="Common (E &amp; G)"/>
    <s v="Intangibles, King County outside RTA District, WA : INT-0000 WA01700000"/>
    <n v="62898436"/>
    <s v="C303 INT Misc Intangible Plant"/>
    <n v="143007104"/>
    <s v="MIGRATION TO DYNATRACE SAAS - SW.CN"/>
    <s v="MIGRATION TO DYNATRACE SAAS - SW.CN.5YRS"/>
    <s v="12/2023"/>
    <n v="1"/>
    <n v="66716.86"/>
    <n v="19679.91"/>
    <n v="47036.950000000004"/>
    <x v="0"/>
    <x v="0"/>
  </r>
  <r>
    <s v="Intangible Plant, Common"/>
    <s v="Common (E &amp; G)"/>
    <s v="Intangibles, King County outside RTA District, WA : INT-0000 WA01700000"/>
    <n v="62898439"/>
    <s v="C303 INT Misc Intangible Plant"/>
    <n v="143007142"/>
    <s v="2022 Q4 - SAP WM ENHANCEMENTS - SW."/>
    <s v="2022 Q4 - SAP WM ENHANCEMENTS - SW.CS.5Y"/>
    <s v="12/2023"/>
    <n v="1"/>
    <n v="24422.53"/>
    <n v="7204.07"/>
    <n v="17218.46"/>
    <x v="0"/>
    <x v="5"/>
  </r>
  <r>
    <s v="Intangible Plant, Common"/>
    <s v="Common (E &amp; G)"/>
    <s v="Intangibles, King County outside RTA District, WA : INT-0000 WA01700000"/>
    <n v="63116626"/>
    <s v="C303 INT Misc Intangible Plant"/>
    <n v="143006450"/>
    <s v="SAP ANNUAL UPGRADES - SW.CN.5YR"/>
    <s v="SAP ANNUAL UPGRADES - SW.CN.5YR"/>
    <s v="12/2023"/>
    <n v="1"/>
    <n v="1785158.94"/>
    <n v="526579.94000000006"/>
    <n v="1258579"/>
    <x v="0"/>
    <x v="0"/>
  </r>
  <r>
    <s v="Intangible Plant, Common"/>
    <s v="Common (E &amp; G)"/>
    <s v="Intangibles, King County outside RTA District, WA : INT-0000 WA01700000"/>
    <n v="63116631"/>
    <s v="C303 INT Misc Intangible Plant"/>
    <n v="143006452"/>
    <s v="QUALITY FRAMEWORK 2022- SW.CN.5YR"/>
    <s v="QUALITY FRAMEWORK 2022- SW.CN.5YR"/>
    <s v="12/2023"/>
    <n v="1"/>
    <n v="140663.20000000001"/>
    <n v="41492.340000000004"/>
    <n v="99170.86"/>
    <x v="0"/>
    <x v="0"/>
  </r>
  <r>
    <s v="Intangible Plant, Common"/>
    <s v="Common (E &amp; G)"/>
    <s v="Intangibles, King County outside RTA District, WA : INT-0000 WA01700000"/>
    <n v="63116634"/>
    <s v="C303 INT Misc Intangible Plant"/>
    <n v="143006453"/>
    <s v="SAP HR SUPPORT PACKS 2022 - SW.CN.5"/>
    <s v="SAP HR SUPPORT PACKS 2022 - SW.CN.5YR"/>
    <s v="12/2023"/>
    <n v="1"/>
    <n v="256071.15"/>
    <n v="75534.97"/>
    <n v="180536.18"/>
    <x v="0"/>
    <x v="0"/>
  </r>
  <r>
    <s v="Intangible Plant, Common"/>
    <s v="Common (E &amp; G)"/>
    <s v="Intangibles, King County outside RTA District, WA : INT-0000 WA01700000"/>
    <n v="63116675"/>
    <s v="C303 INT Misc Intangible Plant"/>
    <n v="143006494"/>
    <s v="ENHANCED SAP MONITORING ALERTING BP"/>
    <s v="ENHANCED SAP MONITORING ALERTING BPM - S"/>
    <s v="12/2023"/>
    <n v="1"/>
    <n v="589424.81000000006"/>
    <n v="173866.47"/>
    <n v="415558.34"/>
    <x v="0"/>
    <x v="0"/>
  </r>
  <r>
    <s v="Intangible Plant, Common"/>
    <s v="Common (E &amp; G)"/>
    <s v="Intangibles, King County outside RTA District, WA : INT-0000 WA01700000"/>
    <n v="63265740"/>
    <s v="C303 INT Misc Intangible Plant"/>
    <n v="143006748"/>
    <s v="RPA BLUE PRISM SAP AUTOMATION FOR W"/>
    <s v="RPA BLUE PRISM SAP AUTOMATION FOR WOS -"/>
    <s v="12/2023"/>
    <n v="1"/>
    <n v="235673.76"/>
    <n v="69518.22"/>
    <n v="166155.54"/>
    <x v="0"/>
    <x v="5"/>
  </r>
  <r>
    <s v="Intangible Plant, Common"/>
    <s v="Common (E &amp; G)"/>
    <s v="Intangibles, King County outside RTA District, WA : INT-0000 WA01700000"/>
    <n v="64678985"/>
    <s v="C303 INT Misc Intangible Plant"/>
    <n v="143006620"/>
    <s v="DEEP INNOVATION - SW.CN.5YRS"/>
    <s v="DEEP INNOVATION - SW.CN.5YRS"/>
    <s v="12/2023"/>
    <n v="1"/>
    <n v="11040.73"/>
    <n v="3256.76"/>
    <n v="7783.97"/>
    <x v="0"/>
    <x v="0"/>
  </r>
  <r>
    <s v="Intangible Plant, Common"/>
    <s v="Common (E &amp; G)"/>
    <s v="Intangibles, King County outside RTA District, WA : INT-0000 WA01700000"/>
    <n v="64678995"/>
    <s v="C303 INT Misc Intangible Plant"/>
    <n v="143006708"/>
    <s v="SAP Q3 2022 ENHANCEMENTS - SW.CS.5Y"/>
    <s v="SAP Q3 2022 ENHANCEMENTS - SW.CS.5YRS"/>
    <s v="12/2023"/>
    <n v="1"/>
    <n v="83513.900000000009"/>
    <n v="24634.639999999999"/>
    <n v="58879.26"/>
    <x v="0"/>
    <x v="0"/>
  </r>
  <r>
    <s v="Intangible Plant, Common"/>
    <s v="Common (E &amp; G)"/>
    <s v="Intangibles, King County outside RTA District, WA : INT-0000 WA01700000"/>
    <n v="64679031"/>
    <s v="C303 INT Misc Intangible Plant"/>
    <n v="143007000"/>
    <s v="GRC DIGITAL COMPLIANCE REPORTING - "/>
    <s v="GRC DIGITAL COMPLIANCE REPORTING - SW.CN"/>
    <s v="12/2023"/>
    <n v="1"/>
    <n v="102509"/>
    <n v="30237.75"/>
    <n v="72271.25"/>
    <x v="0"/>
    <x v="0"/>
  </r>
  <r>
    <s v="Intangible Plant, Common"/>
    <s v="Common (E &amp; G)"/>
    <s v="Intangibles, King County outside RTA District, WA : INT-0000 WA01700000"/>
    <n v="63265722"/>
    <s v="C303 INT Misc Intangible Plant"/>
    <n v="143006522"/>
    <s v="CLOUD CONNECTOR SLS11 TO SLS15 - SW"/>
    <s v="CLOUD CONNECTOR SLS11 TO SLS15 - SW.CN.5"/>
    <s v="12/2023"/>
    <n v="1"/>
    <n v="212438.2"/>
    <n v="7667.09"/>
    <n v="204771.11000000002"/>
    <x v="0"/>
    <x v="0"/>
  </r>
  <r>
    <s v="Intangible Plant, Common"/>
    <s v="Common (E &amp; G)"/>
    <s v="Intangibles, King County outside RTA District, WA : INT-0000 WA01700000"/>
    <n v="63355575"/>
    <s v="C303 INT Misc Intangible Plant"/>
    <n v="143005945"/>
    <s v="COVID-19 CAP COSTS FOR WUTC - SW.CN"/>
    <s v="COVID-19 CAP COSTS FOR WUTC - SW.CN.3YR"/>
    <s v="12/2023"/>
    <n v="1"/>
    <n v="744122.07000000007"/>
    <n v="26856.05"/>
    <n v="717266.02"/>
    <x v="0"/>
    <x v="2"/>
  </r>
  <r>
    <s v="Intangible Plant, Common"/>
    <s v="Common (E &amp; G)"/>
    <s v="Intangibles, King County outside RTA District, WA : INT-0000 WA01700000"/>
    <n v="63355586"/>
    <s v="C303 INT Misc Intangible Plant"/>
    <n v="143006420"/>
    <s v="MDMS LICENSE EXTENSION - SW.CN.5YR"/>
    <s v="MDMS LICENSE EXTENSION - SW.CN.5YR"/>
    <s v="12/2023"/>
    <n v="1"/>
    <n v="37832.629999999997"/>
    <n v="11159.74"/>
    <n v="26672.89"/>
    <x v="0"/>
    <x v="2"/>
  </r>
  <r>
    <s v="Intangible Plant, Common"/>
    <s v="Common (E &amp; G)"/>
    <s v="Intangibles, King County outside RTA District, WA : INT-0000 WA01700000"/>
    <n v="63355614"/>
    <s v="C303 INT Misc Intangible Plant"/>
    <n v="143006468"/>
    <s v="IDENTITY STRATEGY 2022 . SW.CN.5YRS"/>
    <s v="IDENTITY STRATEGY 2022 – SW.CN.5YRS"/>
    <s v="12/2023"/>
    <n v="1"/>
    <n v="737739.57000000007"/>
    <n v="26625.7"/>
    <n v="711113.87"/>
    <x v="0"/>
    <x v="0"/>
  </r>
  <r>
    <s v="Intangible Plant, Common"/>
    <s v="Common (E &amp; G)"/>
    <s v="Intangibles, King County outside RTA District, WA : INT-0000 WA01700000"/>
    <n v="63355650"/>
    <s v="C303 INT Misc Intangible Plant"/>
    <n v="143006707"/>
    <s v="SPLUNK MONITORING FOR NERC - SW.CN."/>
    <s v="SPLUNK MONITORING FOR NERC - SW.CN.5YRS"/>
    <s v="12/2023"/>
    <n v="1"/>
    <n v="20536.79"/>
    <n v="741.19"/>
    <n v="19795.600000000002"/>
    <x v="0"/>
    <x v="0"/>
  </r>
  <r>
    <s v="Intangible Plant, Common"/>
    <s v="Common (E &amp; G)"/>
    <s v="Intangibles, King County outside RTA District, WA : INT-0000 WA01700000"/>
    <n v="63355672"/>
    <s v="C303 INT Misc Intangible Plant"/>
    <n v="143007100"/>
    <s v="ERX MIGRATION - SW.CN.5YRS"/>
    <s v="ERX MIGRATION - SW.CN.5YRS"/>
    <s v="12/2023"/>
    <n v="1"/>
    <n v="86238.400000000009"/>
    <n v="3112.42"/>
    <n v="83125.98"/>
    <x v="0"/>
    <x v="6"/>
  </r>
  <r>
    <s v="Intangible Plant, Common"/>
    <s v="Common (E &amp; G)"/>
    <s v="Intangibles, King County outside RTA District, WA : INT-0000 WA01700000"/>
    <n v="63355684"/>
    <s v="C303 INT Misc Intangible Plant"/>
    <n v="143007191"/>
    <s v="2022 BLUEBEAM REVU EXTREME - SW.CN."/>
    <s v="2022 BLUEBEAM REVU EXTREME - SW.CN.5YRS"/>
    <s v="12/2023"/>
    <n v="1"/>
    <n v="38647.5"/>
    <n v="1394.82"/>
    <n v="37252.68"/>
    <x v="0"/>
    <x v="0"/>
  </r>
  <r>
    <s v="Intangible Plant, Common"/>
    <s v="Common (E &amp; G)"/>
    <s v="Intangibles, King County outside RTA District, WA : INT-0000 WA01700000"/>
    <n v="63631863"/>
    <s v="C303 INT Misc Intangible Plant"/>
    <n v="143006426"/>
    <s v="ENTERPRISE PPM TOOL- SW.CS.5YR"/>
    <s v="ENTERPRISE PPM TOOL- SW.CS.5YR"/>
    <s v="12/2023"/>
    <n v="1"/>
    <n v="3016387.93"/>
    <n v="108864.22"/>
    <n v="2907523.71"/>
    <x v="0"/>
    <x v="0"/>
  </r>
  <r>
    <s v="Intangible Plant, Common"/>
    <s v="Common (E &amp; G)"/>
    <s v="Intangibles, King County outside RTA District, WA : INT-0000 WA01700000"/>
    <n v="63631870"/>
    <s v="C303 INT Misc Intangible Plant"/>
    <n v="143006444"/>
    <s v="LEAK DATA &amp; METHANE DATA MGMT . SW."/>
    <s v="LEAK DATA &amp; METHANE DATA MGMT – SW.CN.5Y"/>
    <s v="12/2023"/>
    <n v="1"/>
    <n v="65758.47"/>
    <n v="19397.2"/>
    <n v="46361.270000000004"/>
    <x v="0"/>
    <x v="6"/>
  </r>
  <r>
    <s v="Intangible Plant, Common"/>
    <s v="Common (E &amp; G)"/>
    <s v="Intangibles, King County outside RTA District, WA : INT-0000 WA01700000"/>
    <n v="63703068"/>
    <s v="C303 INT Misc Intangible Plant"/>
    <n v="143005896"/>
    <s v="SAP BW 7.5 FUNCTIONAL UPGRADE - SW."/>
    <s v="SAP BW 7.5 FUNCTIONAL UPGRADE - SW.CN.10"/>
    <s v="12/2023"/>
    <n v="1"/>
    <n v="16812.05"/>
    <n v="606.76"/>
    <n v="16205.29"/>
    <x v="0"/>
    <x v="0"/>
  </r>
  <r>
    <s v="Intangible Plant, Common"/>
    <s v="Common (E &amp; G)"/>
    <s v="Intangibles, King County outside RTA District, WA : INT-0000 WA01700000"/>
    <n v="63703071"/>
    <s v="C303 INT Misc Intangible Plant"/>
    <n v="143005920"/>
    <s v="VOICE RECORDING TECH REFRESH - SW.C"/>
    <s v="VOICE RECORDING TECH REFRESH - SW.CN.5YR"/>
    <s v="12/2023"/>
    <n v="1"/>
    <n v="11682.27"/>
    <n v="421.62"/>
    <n v="11260.65"/>
    <x v="0"/>
    <x v="0"/>
  </r>
  <r>
    <s v="Intangible Plant, Common"/>
    <s v="Common (E &amp; G)"/>
    <s v="Intangibles, King County outside RTA District, WA : INT-0000 WA01700000"/>
    <n v="63986822"/>
    <s v="C303 INT Misc Intangible Plant"/>
    <n v="143007462"/>
    <s v="RECORDED FUTURE - SW.CN.5YRS"/>
    <s v="RECORDED FUTURE - SW.CN.5YRS"/>
    <s v="12/2023"/>
    <n v="1"/>
    <n v="61142.200000000004"/>
    <n v="2206.6799999999998"/>
    <n v="58935.520000000004"/>
    <x v="0"/>
    <x v="0"/>
  </r>
  <r>
    <s v="Intangible Plant, Common"/>
    <s v="Common (E &amp; G)"/>
    <s v="Intangibles, King County outside RTA District, WA : INT-0000 WA01700000"/>
    <n v="64102451"/>
    <s v="C303 INT Misc Intangible Plant"/>
    <n v="143006780"/>
    <s v="SUCCESSFACTORS ENHANCEMENT PACK-202"/>
    <s v="SUCCESSFACTORS ENHANCEMENT PACK-2022Q3-4"/>
    <s v="12/2023"/>
    <n v="1"/>
    <n v="31187.46"/>
    <n v="1125.58"/>
    <n v="30061.88"/>
    <x v="0"/>
    <x v="0"/>
  </r>
  <r>
    <s v="Intangible Plant, Common"/>
    <s v="Common (E &amp; G)"/>
    <s v="Intangibles, King County outside RTA District, WA : INT-0000 WA01700000"/>
    <n v="64102493"/>
    <s v="C303 INT Misc Intangible Plant"/>
    <n v="143007263"/>
    <s v="VOLT-VAR OPTIMIZATION VOLTAGE DASHB"/>
    <s v="VOLT-VAR OPTIMIZATION VOLTAGE DASHBOARD"/>
    <s v="12/2023"/>
    <n v="1"/>
    <n v="261979.96"/>
    <n v="9455.1"/>
    <n v="252524.86000000002"/>
    <x v="0"/>
    <x v="2"/>
  </r>
  <r>
    <s v="Intangible Plant, Common"/>
    <s v="Common (E &amp; G)"/>
    <s v="Intangibles, King County outside RTA District, WA : INT-0000 WA01700000"/>
    <n v="64285983"/>
    <s v="C303 INT Misc Intangible Plant"/>
    <n v="143007192"/>
    <s v="2022 MICROSOFT VISUAL STUDIOS - SW."/>
    <s v="2022 MICROSOFT VISUAL STUDIOS - SW.CN.3Y"/>
    <s v="12/2023"/>
    <n v="1"/>
    <n v="23589.34"/>
    <n v="851.36"/>
    <n v="22737.98"/>
    <x v="0"/>
    <x v="0"/>
  </r>
  <r>
    <s v="Intangible Plant, Common"/>
    <s v="Common (E &amp; G)"/>
    <s v="Intangibles, King County outside RTA District, WA : INT-0000 WA01700000"/>
    <n v="64449714"/>
    <s v="C303 INT Misc Intangible Plant"/>
    <n v="143007243"/>
    <s v="2023 Q1 FINANCE AER'S - SW.CS.3YRS"/>
    <s v="2023 Q1 FINANCE AER'S - SW.CS.3YRS"/>
    <s v="12/2023"/>
    <n v="1"/>
    <n v="27461.93"/>
    <n v="991.13"/>
    <n v="26470.799999999999"/>
    <x v="0"/>
    <x v="0"/>
  </r>
  <r>
    <s v="Intangible Plant, Common"/>
    <s v="Common (E &amp; G)"/>
    <s v="Intangibles, King County outside RTA District, WA : INT-0000 WA01700000"/>
    <n v="64449717"/>
    <s v="C303 INT Misc Intangible Plant"/>
    <n v="143007244"/>
    <s v="2023 Q1 OPERATION AER'S - SW.CS.3YR"/>
    <s v="2023 Q1 OPERATION AER'S - SW.CS.3YRS"/>
    <s v="12/2023"/>
    <n v="1"/>
    <n v="136058.4"/>
    <n v="4910.47"/>
    <n v="131147.93"/>
    <x v="0"/>
    <x v="0"/>
  </r>
  <r>
    <s v="Intangible Plant, Common"/>
    <s v="Common (E &amp; G)"/>
    <s v="Intangibles, King County outside RTA District, WA : INT-0000 WA01700000"/>
    <n v="64449720"/>
    <s v="C303 INT Misc Intangible Plant"/>
    <n v="143007245"/>
    <s v="2023 Q1 CUSTOMER AER'S - SW.CS.3YRS"/>
    <s v="2023 Q1 CUSTOMER AER'S - SW.CS.3YRS"/>
    <s v="12/2023"/>
    <n v="1"/>
    <n v="104822.86"/>
    <n v="3783.15"/>
    <n v="101039.71"/>
    <x v="0"/>
    <x v="2"/>
  </r>
  <r>
    <s v="Intangible Plant, Common"/>
    <s v="Common (E &amp; G)"/>
    <s v="Intangibles, King County outside RTA District, WA : INT-0000 WA01700000"/>
    <n v="64678962"/>
    <s v="C303 INT Misc Intangible Plant"/>
    <n v="143006448"/>
    <s v="ANNUAL NETWORK TECH REFRESH - SW.CN"/>
    <s v="ANNUAL NETWORK TECH REFRESH - SW.CN.5YR"/>
    <s v="12/2023"/>
    <n v="1"/>
    <n v="10967.960000000001"/>
    <n v="395.84000000000003"/>
    <n v="10572.12"/>
    <x v="0"/>
    <x v="0"/>
  </r>
  <r>
    <s v="Intangible Plant, Common"/>
    <s v="Common (E &amp; G)"/>
    <s v="Intangibles, King County outside RTA District, WA : INT-0000 WA01700000"/>
    <n v="64679000"/>
    <s v="C303 INT Misc Intangible Plant"/>
    <n v="143006722"/>
    <s v="2022 SERVICENOW - MAPPING - SW.CN.5"/>
    <s v="2022 SERVICENOW - MAPPING - SW.CN.5YR"/>
    <s v="12/2023"/>
    <n v="1"/>
    <n v="345492.01"/>
    <n v="12469.12"/>
    <n v="333022.89"/>
    <x v="0"/>
    <x v="0"/>
  </r>
  <r>
    <s v="Intangible Plant, Common"/>
    <s v="Common (E &amp; G)"/>
    <s v="Intangibles, King County outside RTA District, WA : INT-0000 WA01700000"/>
    <n v="64679003"/>
    <s v="C303 INT Misc Intangible Plant"/>
    <n v="143006723"/>
    <s v="2022 SERVICENOW - BACKLOG - SW.CN.5"/>
    <s v="2022 SERVICENOW - BACKLOG - SW.CN.5YRS"/>
    <s v="12/2023"/>
    <n v="1"/>
    <n v="462247.31"/>
    <n v="16682.93"/>
    <n v="445564.38"/>
    <x v="0"/>
    <x v="0"/>
  </r>
  <r>
    <s v="Intangible Plant, Common"/>
    <s v="Common (E &amp; G)"/>
    <s v="Intangibles, King County outside RTA District, WA : INT-0000 WA01700000"/>
    <n v="64816065"/>
    <s v="C303 INT Misc Intangible Plant"/>
    <n v="143006449"/>
    <s v="ANNUAL ENTERPRISE APP GROWTH - SW.C"/>
    <s v="ANNUAL ENTERPRISE APP GROWTH - SW.CN.5YR"/>
    <s v="12/2023"/>
    <n v="1"/>
    <n v="38336.700000000004"/>
    <n v="1383.6100000000001"/>
    <n v="36953.090000000004"/>
    <x v="0"/>
    <x v="0"/>
  </r>
  <r>
    <s v="Intangible Plant, Common"/>
    <s v="Common (E &amp; G)"/>
    <s v="Intangibles, King County outside RTA District, WA : INT-0000 WA01700000"/>
    <n v="64816092"/>
    <s v="C303 INT Misc Intangible Plant"/>
    <n v="143006801"/>
    <s v="SITECORE 9.3 TO 10.2 UPGRADE - SW.C"/>
    <s v="SITECORE 9.3 TO 10.2 UPGRADE - SW.CN.5YR"/>
    <s v="12/2023"/>
    <n v="1"/>
    <n v="1356429.56"/>
    <n v="48954.79"/>
    <n v="1307474.77"/>
    <x v="0"/>
    <x v="0"/>
  </r>
  <r>
    <s v="Intangible Plant, Common"/>
    <s v="Common (E &amp; G)"/>
    <s v="Intangibles, King County outside RTA District, WA : INT-0000 WA01700000"/>
    <n v="64905503"/>
    <s v="C303 INT Misc Intangible Plant"/>
    <n v="143007106"/>
    <s v="COMMUNITY DATA TOOL - SW.CN.5YRS"/>
    <s v="COMMUNITY DATA TOOL - SW.CN.5YRS"/>
    <s v="12/2023"/>
    <n v="1"/>
    <n v="122672.06"/>
    <n v="4427.3500000000004"/>
    <n v="118244.71"/>
    <x v="0"/>
    <x v="0"/>
  </r>
  <r>
    <s v="Intangible Plant, Common"/>
    <s v="Common (E &amp; G)"/>
    <s v="Intangibles, King County outside RTA District, WA : INT-0000 WA01700000"/>
    <n v="65089188"/>
    <s v="C303 INT Misc Intangible Plant"/>
    <n v="143006820"/>
    <s v="DIRECTORY SERVICES OPTIMIZATION- SW"/>
    <s v="DIRECTORY SERVICES OPTIMIZATION- SW.CN.5"/>
    <s v="12/2023"/>
    <n v="1"/>
    <n v="115491.54000000001"/>
    <n v="4168.2"/>
    <n v="111323.34"/>
    <x v="0"/>
    <x v="0"/>
  </r>
  <r>
    <s v="Intangible Plant, Common"/>
    <s v="Common (E &amp; G)"/>
    <s v="Intangibles, King County outside RTA District, WA : INT-0000 WA01700000"/>
    <n v="65324060"/>
    <s v="C303 INT Misc Intangible Plant"/>
    <n v="143006441"/>
    <s v="CUST EXPERIENCE ENHANCEMENT -  SW.C"/>
    <s v="CUST EXPERIENCE ENHANCEMENT -  SW.CN.5Y"/>
    <s v="12/2023"/>
    <n v="1"/>
    <n v="1951908.99"/>
    <n v="70446.19"/>
    <n v="1881462.8"/>
    <x v="0"/>
    <x v="2"/>
  </r>
  <r>
    <s v="Intangible Plant, Common"/>
    <s v="Common (E &amp; G)"/>
    <s v="Intangibles, King County outside RTA District, WA : INT-0000 WA01700000"/>
    <n v="65324090"/>
    <s v="C303 INT Misc Intangible Plant"/>
    <n v="143007589"/>
    <s v="2023 Q2 OPERATION AER'S - SW.CS.3YR"/>
    <s v="2023 Q2 OPERATION AER'S - SW.CS.3YRS"/>
    <s v="12/2023"/>
    <n v="1"/>
    <n v="92336.94"/>
    <n v="3332.53"/>
    <n v="89004.41"/>
    <x v="0"/>
    <x v="0"/>
  </r>
  <r>
    <s v="Intangible Plant, Common"/>
    <s v="Common (E &amp; G)"/>
    <s v="Intangibles, King County outside RTA District, WA : INT-0000 WA01700000"/>
    <n v="65501992"/>
    <s v="C303 INT Misc Intangible Plant"/>
    <n v="143005206"/>
    <s v="MICROSOFT 365 E3 LICENSING - SW.CN."/>
    <s v="MICROSOFT 365 E3 LICENSING - SW.CN.3YR"/>
    <s v="12/2023"/>
    <n v="1"/>
    <n v="215501.25"/>
    <n v="7777.64"/>
    <n v="207723.61000000002"/>
    <x v="0"/>
    <x v="0"/>
  </r>
  <r>
    <s v="Intangible Plant, Common"/>
    <s v="Common (E &amp; G)"/>
    <s v="Intangibles, King County outside RTA District, WA : INT-0000 WA01700000"/>
    <n v="65501995"/>
    <s v="C303 INT Misc Intangible Plant"/>
    <n v="143005902"/>
    <s v="CLOUD COST TOOLING REFRESH - SW.CN."/>
    <s v="CLOUD COST TOOLING REFRESH - SW.CN.5YR"/>
    <s v="12/2023"/>
    <n v="1"/>
    <n v="46884.63"/>
    <n v="1692.1100000000001"/>
    <n v="45192.520000000004"/>
    <x v="0"/>
    <x v="0"/>
  </r>
  <r>
    <s v="Intangible Plant, Common"/>
    <s v="Common (E &amp; G)"/>
    <s v="Intangibles, King County outside RTA District, WA : INT-0000 WA01700000"/>
    <n v="65502034"/>
    <s v="C303 INT Misc Intangible Plant"/>
    <n v="143007217"/>
    <s v="CUST EXPERIENCE ENHANCEMENT PROG - "/>
    <s v="CUST EXPERIENCE ENHANCEMENT PROG - SW.CN"/>
    <s v="12/2023"/>
    <n v="1"/>
    <n v="198083.83000000002"/>
    <n v="7149.03"/>
    <n v="190934.80000000002"/>
    <x v="0"/>
    <x v="2"/>
  </r>
  <r>
    <s v="Intangible Plant, Common"/>
    <s v="Common (E &amp; G)"/>
    <s v="Intangibles, King County outside RTA District, WA : INT-0000 WA01700000"/>
    <n v="65620443"/>
    <s v="C303 INT Misc Intangible Plant"/>
    <n v="143007248"/>
    <s v="ANNUAL SERVICENOW PLATFORM UPGRADES"/>
    <s v="ANNUAL SERVICENOW PLATFORM UPGRADES - SW"/>
    <s v="12/2023"/>
    <n v="1"/>
    <n v="35417.21"/>
    <n v="1278.24"/>
    <n v="34138.97"/>
    <x v="0"/>
    <x v="0"/>
  </r>
  <r>
    <s v="Intangible Plant, Common"/>
    <s v="Common (E &amp; G)"/>
    <s v="Intangibles, King County outside RTA District, WA : INT-0000 WA01700000"/>
    <n v="65894605"/>
    <s v="C303 INT Misc Intangible Plant"/>
    <n v="143007501"/>
    <s v="CEEP FORMS ENHANCEMENT - SW.CS.5YRS"/>
    <s v="CEEP FORMS ENHANCEMENT - SW.CS.5YRS"/>
    <s v="12/2023"/>
    <n v="1"/>
    <n v="59428.91"/>
    <n v="2144.84"/>
    <n v="57284.07"/>
    <x v="0"/>
    <x v="2"/>
  </r>
  <r>
    <s v="Intangible Plant, Common"/>
    <s v="Common (E &amp; G)"/>
    <s v="Intangibles, King County outside RTA District, WA : INT-0000 WA01700000"/>
    <n v="65894608"/>
    <s v="C303 INT Misc Intangible Plant"/>
    <n v="143007502"/>
    <s v="CEEP EGAIN NOTIFICATION - SW.CS.5YR"/>
    <s v="CEEP EGAIN NOTIFICATION - SW.CS.5YRS"/>
    <s v="12/2023"/>
    <n v="1"/>
    <n v="59428.91"/>
    <n v="2144.84"/>
    <n v="57284.07"/>
    <x v="0"/>
    <x v="2"/>
  </r>
  <r>
    <s v="Intangible Plant, Common"/>
    <s v="Common (E &amp; G)"/>
    <s v="Intangibles, King County outside RTA District, WA : INT-0000 WA01700000"/>
    <n v="66096355"/>
    <s v="C303 INT Misc Intangible Plant"/>
    <n v="143007043"/>
    <s v="IBEW LOAD OFFICE EMPLOYEE SAP CHANG"/>
    <s v="IBEW LOAD OFFICE EMPLOYEE SAP CHANGES -"/>
    <s v="12/2023"/>
    <n v="1"/>
    <n v="295861.72000000003"/>
    <n v="10677.92"/>
    <n v="285183.8"/>
    <x v="0"/>
    <x v="0"/>
  </r>
  <r>
    <s v="Intangible Plant, Common"/>
    <s v="Common (E &amp; G)"/>
    <s v="Intangibles, King County outside RTA District, WA : INT-0000 WA01700000"/>
    <n v="66096368"/>
    <s v="C303 INT Misc Intangible Plant"/>
    <n v="143007253"/>
    <s v="TWILIO/SENDGRID REPLACEMENT - SW.CN"/>
    <s v="TWILIO/SENDGRID REPLACEMENT - SW.CN.3YRS"/>
    <s v="12/2023"/>
    <n v="1"/>
    <n v="772496.25"/>
    <n v="27880.100000000002"/>
    <n v="744616.15"/>
    <x v="0"/>
    <x v="0"/>
  </r>
  <r>
    <s v="Intangible Plant, Common"/>
    <s v="Common (E &amp; G)"/>
    <s v="Intangibles, King County outside RTA District, WA : INT-0000 WA01700000"/>
    <n v="66096373"/>
    <s v="C303 INT Misc Intangible Plant"/>
    <n v="143007592"/>
    <s v="GIS ACCURACY - SW.CN.5YRS"/>
    <s v="GIS ACCURACY - SW.CN.5YRS"/>
    <s v="12/2023"/>
    <n v="1"/>
    <n v="117879.44"/>
    <n v="4254.38"/>
    <n v="113625.06"/>
    <x v="0"/>
    <x v="2"/>
  </r>
  <r>
    <s v="Intangible Plant, Common"/>
    <s v="Common (E &amp; G)"/>
    <s v="Intangibles, King County outside RTA District, WA : INT-0000 WA01700000"/>
    <n v="66096376"/>
    <s v="C303 INT Misc Intangible Plant"/>
    <n v="143007609"/>
    <s v="TRANSMISSION PLANNING - SW.CN.5YRS"/>
    <s v="TRANSMISSION PLANNING - SW.CN.5YRS"/>
    <s v="12/2023"/>
    <n v="1"/>
    <n v="220654.7"/>
    <n v="7963.63"/>
    <n v="212691.07"/>
    <x v="0"/>
    <x v="4"/>
  </r>
  <r>
    <s v="Intangible Plant, Common"/>
    <s v="Common (E &amp; G)"/>
    <s v="Intangibles, King County outside RTA District, WA : INT-0000 WA01700000"/>
    <n v="66609907"/>
    <s v="C303 INT Misc Intangible Plant"/>
    <n v="143007219"/>
    <s v="INSTALLMENT PLAN RESOLUTION - SW.CN"/>
    <s v="INSTALLMENT PLAN RESOLUTION - SW.CN.5YRS"/>
    <s v="12/2023"/>
    <n v="2"/>
    <n v="3059.73"/>
    <n v="110.43"/>
    <n v="2949.3"/>
    <x v="0"/>
    <x v="2"/>
  </r>
  <r>
    <s v="Intangible Plant, Common"/>
    <s v="Common (E &amp; G)"/>
    <s v="Intangibles, King County outside RTA District, WA : INT-0000 WA01700000"/>
    <n v="66819010"/>
    <s v="C303 INT Misc Intangible Plant"/>
    <n v="143005900"/>
    <s v="ACTR 2021 - SW.CN.5YR"/>
    <s v="ACTR 2021 - SW.CN.5YR"/>
    <s v="12/2023"/>
    <n v="1"/>
    <n v="987834.08000000007"/>
    <n v="35651.840000000004"/>
    <n v="952182.24"/>
    <x v="0"/>
    <x v="2"/>
  </r>
  <r>
    <s v="Intangible Plant, Common"/>
    <s v="Common (E &amp; G)"/>
    <s v="Intangibles, King County outside RTA District, WA : INT-0000 WA01700000"/>
    <n v="66819015"/>
    <s v="C303 INT Misc Intangible Plant"/>
    <n v="143006067"/>
    <s v="VOICE RECORDING TECH REFRESH CORP T"/>
    <s v="VOICE RECORDING TECH REFRESH CORP TEL -"/>
    <s v="12/2023"/>
    <n v="1"/>
    <n v="158084.51"/>
    <n v="5705.42"/>
    <n v="152379.09"/>
    <x v="0"/>
    <x v="1"/>
  </r>
  <r>
    <s v="Intangible Plant, Common"/>
    <s v="Common (E &amp; G)"/>
    <s v="Intangibles, King County outside RTA District, WA : INT-0000 WA01700000"/>
    <n v="66819020"/>
    <s v="C303 INT Misc Intangible Plant"/>
    <n v="143006069"/>
    <s v="VOICE RECORDING TECH REFRESH CONTAC"/>
    <s v="VOICE RECORDING TECH REFRESH CONTACT - S"/>
    <s v="12/2023"/>
    <n v="1"/>
    <n v="372807.74"/>
    <n v="13454.970000000001"/>
    <n v="359352.77"/>
    <x v="0"/>
    <x v="2"/>
  </r>
  <r>
    <s v="Intangible Plant, Common"/>
    <s v="Common (E &amp; G)"/>
    <s v="Intangibles, King County outside RTA District, WA : INT-0000 WA01700000"/>
    <n v="66819037"/>
    <s v="C303 INT Misc Intangible Plant"/>
    <n v="143006520"/>
    <s v="IT ENTERPRISE ARCHITECTURE TOOL 202"/>
    <s v="IT ENTERPRISE ARCHITECTURE TOOL 2022 - S"/>
    <s v="12/2023"/>
    <n v="1"/>
    <n v="162419.6"/>
    <n v="5861.87"/>
    <n v="156557.73000000001"/>
    <x v="0"/>
    <x v="0"/>
  </r>
  <r>
    <s v="Intangible Plant, Common"/>
    <s v="Common (E &amp; G)"/>
    <s v="Intangibles, King County outside RTA District, WA : INT-0000 WA01700000"/>
    <n v="66819074"/>
    <s v="C303 INT Misc Intangible Plant"/>
    <n v="143007254"/>
    <s v="IT ENTERPRISE ARCHITECTURE (2023+) "/>
    <s v="IT ENTERPRISE ARCHITECTURE (2023+) - SW."/>
    <s v="12/2023"/>
    <n v="1"/>
    <n v="184143.81"/>
    <n v="6645.92"/>
    <n v="177497.89"/>
    <x v="0"/>
    <x v="0"/>
  </r>
  <r>
    <s v="Intangible Plant, Common"/>
    <s v="Common (E &amp; G)"/>
    <s v="Intangibles, King County outside RTA District, WA : INT-0000 WA01700000"/>
    <n v="67066558"/>
    <s v="C303 INT Misc Intangible Plant"/>
    <n v="143006514"/>
    <s v="CAP AND INVEST BILLING - SW.CN.5YRS"/>
    <s v="CAP AND INVEST BILLING - SW.CN.5YRS"/>
    <s v="12/2023"/>
    <n v="1"/>
    <n v="3262565.93"/>
    <n v="117749.01000000001"/>
    <n v="3144816.92"/>
    <x v="0"/>
    <x v="2"/>
  </r>
  <r>
    <s v="Intangible Plant, Common"/>
    <s v="Common (E &amp; G)"/>
    <s v="Intangibles, King County outside RTA District, WA : INT-0000 WA01700000"/>
    <n v="67251670"/>
    <s v="C303 INT Misc Intangible Plant"/>
    <n v="143007463"/>
    <s v="CORTEX FORENSIC SOFTWARE LICENSES -"/>
    <s v="CORTEX FORENSIC SOFTWARE LICENSES - SW.C"/>
    <s v="12/2023"/>
    <n v="1"/>
    <n v="19284.350000000002"/>
    <n v="695.99"/>
    <n v="18588.36"/>
    <x v="0"/>
    <x v="0"/>
  </r>
  <r>
    <s v="Intangible Plant, Common"/>
    <s v="Common (E &amp; G)"/>
    <s v="Intangibles, King County outside RTA District, WA : INT-0000 WA01700000"/>
    <n v="67251683"/>
    <s v="C303 INT Misc Intangible Plant"/>
    <n v="143007640"/>
    <s v="ZUSRSTAT TO BW ENHANCEMENT - SW.CN."/>
    <s v="ZUSRSTAT TO BW ENHANCEMENT - SW.CN.5YRS"/>
    <s v="12/2023"/>
    <n v="1"/>
    <n v="3937.71"/>
    <n v="142.12"/>
    <n v="3795.59"/>
    <x v="0"/>
    <x v="0"/>
  </r>
  <r>
    <s v="Intangible Plant, Common"/>
    <s v="Common (E &amp; G)"/>
    <s v="Intangibles, King County outside RTA District, WA : INT-0000 WA01700000"/>
    <n v="67251686"/>
    <s v="C303 INT Misc Intangible Plant"/>
    <n v="143007687"/>
    <s v="LACIMA ENHANCEMENT 2023 - SW.CS.5YR"/>
    <s v="LACIMA ENHANCEMENT 2023 - SW.CS.5YR"/>
    <s v="12/2023"/>
    <n v="1"/>
    <n v="25892.3"/>
    <n v="934.48"/>
    <n v="24957.82"/>
    <x v="0"/>
    <x v="1"/>
  </r>
  <r>
    <s v="Intangible Plant, Common"/>
    <s v="Common (E &amp; G)"/>
    <s v="Intangibles, King County outside RTA District, WA : INT-0000 WA01700000"/>
    <n v="67251689"/>
    <s v="C303 INT Misc Intangible Plant"/>
    <n v="143007727"/>
    <s v="PSE WEB PLATFORM ENHANCEMENT 2023 -"/>
    <s v="PSE WEB PLATFORM ENHANCEMENT 2023 - SW.C"/>
    <s v="12/2023"/>
    <n v="1"/>
    <n v="25592.34"/>
    <n v="923.65"/>
    <n v="24668.690000000002"/>
    <x v="0"/>
    <x v="0"/>
  </r>
  <r>
    <s v="Intangible Plant, Common"/>
    <s v="Common (E &amp; G)"/>
    <s v="Intangibles, King County outside RTA District, WA : INT-0000 WA01700000"/>
    <n v="67734751"/>
    <s v="C303 INT Misc Intangible Plant"/>
    <n v="143007361"/>
    <s v="OUTAGE &amp; RESPONSE ANALYTICS - SW.CN"/>
    <s v="OUTAGE &amp; RESPONSE ANALYTICS - SW.CN.5YRS"/>
    <s v="12/2023"/>
    <n v="2"/>
    <n v="377515.02"/>
    <n v="13624.86"/>
    <n v="363890.16000000003"/>
    <x v="0"/>
    <x v="2"/>
  </r>
  <r>
    <s v="Intangible Plant, Common"/>
    <s v="Common (E &amp; G)"/>
    <s v="Intangibles, King County outside RTA District, WA : INT-0000 WA01700000"/>
    <n v="67734754"/>
    <s v="C303 INT Misc Intangible Plant"/>
    <n v="143007560"/>
    <s v="MSA LOADSEER ENHANCEMENT - SW.CS.5Y"/>
    <s v="MSA LOADSEER ENHANCEMENT - SW.CS.5YRS"/>
    <s v="12/2023"/>
    <n v="1"/>
    <n v="47674.66"/>
    <n v="1720.6200000000001"/>
    <n v="45954.04"/>
    <x v="0"/>
    <x v="2"/>
  </r>
  <r>
    <s v="Intangible Plant, Common"/>
    <s v="Common (E &amp; G)"/>
    <s v="Intangibles, King County outside RTA District, WA : INT-0000 WA01700000"/>
    <n v="67734757"/>
    <s v="C303 INT Misc Intangible Plant"/>
    <n v="143007563"/>
    <s v="AUTOMATION FACTORY ENHANCEMENTS 202"/>
    <s v="AUTOMATION FACTORY ENHANCEMENTS 2023 - S"/>
    <s v="12/2023"/>
    <n v="1"/>
    <n v="85985.01"/>
    <n v="3103.28"/>
    <n v="82881.73"/>
    <x v="0"/>
    <x v="0"/>
  </r>
  <r>
    <s v="Intangible Plant, Common"/>
    <s v="Common (E &amp; G)"/>
    <s v="Intangibles, King County outside RTA District, WA : INT-0000 WA01700000"/>
    <n v="67734764"/>
    <s v="C303 INT Misc Intangible Plant"/>
    <n v="143007641"/>
    <s v="AURORA UPGRADE 2023 - SW.CN.5YRS"/>
    <s v="AURORA UPGRADE 2023 - SW.CN.5YRS"/>
    <s v="12/2023"/>
    <n v="1"/>
    <n v="19769.100000000002"/>
    <n v="713.49"/>
    <n v="19055.61"/>
    <x v="0"/>
    <x v="0"/>
  </r>
  <r>
    <s v="Intangible Plant, Common"/>
    <s v="Common (E &amp; G)"/>
    <s v="Intangibles, King County outside RTA District, WA : INT-0000 WA01700000"/>
    <n v="67734767"/>
    <s v="C303 INT Misc Intangible Plant"/>
    <n v="143007804"/>
    <s v="DAM SAFETY ENHANCEMENT 2023 - SW.CS"/>
    <s v="DAM SAFETY ENHANCEMENT 2023 - SW.CS.5YR"/>
    <s v="12/2023"/>
    <n v="1"/>
    <n v="13581.52"/>
    <n v="490.17"/>
    <n v="13091.35"/>
    <x v="0"/>
    <x v="0"/>
  </r>
  <r>
    <s v="Intangible Plant, Common"/>
    <s v="Common (E &amp; G)"/>
    <s v="Intangibles, King County outside RTA District, WA : INT-0000 WA01700000"/>
    <n v="67734770"/>
    <s v="C303 INT Misc Intangible Plant"/>
    <n v="143007838"/>
    <s v="DEEP - TEXT TONE TRANSLATION- SW.CS"/>
    <s v="DEEP - TEXT TONE TRANSLATION- SW.CS.5YR"/>
    <s v="12/2023"/>
    <n v="2"/>
    <n v="61027.42"/>
    <n v="2202.54"/>
    <n v="58824.880000000005"/>
    <x v="0"/>
    <x v="0"/>
  </r>
  <r>
    <s v="Intangible Plant, Common"/>
    <s v="Common (E &amp; G)"/>
    <s v="Intangibles, King County outside RTA District, WA : INT-0000 WA01700000"/>
    <n v="68173295"/>
    <s v="C303 INT Misc Intangible Plant"/>
    <n v="143006400"/>
    <s v="WINDOWS SERVER 2012 UPGRADE - SW.CS"/>
    <s v="WINDOWS SERVER 2012 UPGRADE - SW.CS.5YR"/>
    <s v="12/2023"/>
    <n v="1"/>
    <n v="3579613.96"/>
    <n v="129191.56"/>
    <n v="3450422.4"/>
    <x v="0"/>
    <x v="0"/>
  </r>
  <r>
    <s v="Intangible Plant, Common"/>
    <s v="Common (E &amp; G)"/>
    <s v="Intangibles, King County outside RTA District, WA : INT-0000 WA01700000"/>
    <n v="68173326"/>
    <s v="C303 INT Misc Intangible Plant"/>
    <n v="143006725"/>
    <s v="2023 DATA CENTER HARDWARE REFRESH -"/>
    <s v="2023 DATA CENTER HARDWARE REFRESH - SW.C"/>
    <s v="12/2023"/>
    <n v="1"/>
    <n v="612627.72"/>
    <n v="22110.3"/>
    <n v="590517.42000000004"/>
    <x v="0"/>
    <x v="0"/>
  </r>
  <r>
    <s v="Intangible Plant, Common"/>
    <s v="Common (E &amp; G)"/>
    <s v="Intangibles, King County outside RTA District, WA : INT-0000 WA01700000"/>
    <n v="68173331"/>
    <s v="C303 INT Misc Intangible Plant"/>
    <n v="143006804"/>
    <s v="MULTI-CHANNEL WORKFORCE MANAGEMENT "/>
    <s v="MULTI-CHANNEL WORKFORCE MANAGEMENT - SW."/>
    <s v="12/2023"/>
    <n v="1"/>
    <n v="1269752.1400000001"/>
    <n v="45826.520000000004"/>
    <n v="1223925.6200000001"/>
    <x v="0"/>
    <x v="0"/>
  </r>
  <r>
    <s v="Intangible Plant, Common"/>
    <s v="Common (E &amp; G)"/>
    <s v="Intangibles, King County outside RTA District, WA : INT-0000 WA01700000"/>
    <n v="68173334"/>
    <s v="C303 INT Misc Intangible Plant"/>
    <n v="143006920"/>
    <s v="COMPLEX BILLING - SW.CN.5YRS"/>
    <s v="COMPLEX BILLING - SW.CN.5YRS"/>
    <s v="12/2023"/>
    <n v="1"/>
    <n v="1906500.52"/>
    <n v="68807.360000000001"/>
    <n v="1837693.1600000001"/>
    <x v="0"/>
    <x v="2"/>
  </r>
  <r>
    <s v="Intangible Plant, Common"/>
    <s v="Common (E &amp; G)"/>
    <s v="Intangibles, King County outside RTA District, WA : INT-0000 WA01700000"/>
    <n v="68173337"/>
    <s v="C303 INT Misc Intangible Plant"/>
    <n v="143006922"/>
    <s v="HYPER CONVERGED INFRA REFRESH - NUT"/>
    <s v="HYPER CONVERGED INFRA REFRESH - NUTANIX"/>
    <s v="12/2023"/>
    <n v="1"/>
    <n v="681491.97"/>
    <n v="24595.670000000002"/>
    <n v="656896.30000000005"/>
    <x v="0"/>
    <x v="0"/>
  </r>
  <r>
    <s v="Intangible Plant, Common"/>
    <s v="Common (E &amp; G)"/>
    <s v="Intangibles, King County outside RTA District, WA : INT-0000 WA01700000"/>
    <n v="68173360"/>
    <s v="C303 INT Misc Intangible Plant"/>
    <n v="143006965"/>
    <s v="SW CHANGES FOR GHG RULES PER RITM00"/>
    <s v="SW CHANGES FOR GHG RULES PER RITM0054570"/>
    <s v="12/2023"/>
    <n v="1"/>
    <n v="61431.65"/>
    <n v="2217.12"/>
    <n v="59214.53"/>
    <x v="0"/>
    <x v="1"/>
  </r>
  <r>
    <s v="Intangible Plant, Common"/>
    <s v="Common (E &amp; G)"/>
    <s v="Intangibles, King County outside RTA District, WA : INT-0000 WA01700000"/>
    <n v="68173363"/>
    <s v="C303 INT Misc Intangible Plant"/>
    <n v="143006969"/>
    <s v="EGRC ARCHER - SW.CN.10YRS"/>
    <s v="EGRC ARCHER - SW.CN.10YRS"/>
    <s v="12/2023"/>
    <n v="1"/>
    <n v="944878.86"/>
    <n v="34101.550000000003"/>
    <n v="910777.31"/>
    <x v="0"/>
    <x v="0"/>
  </r>
  <r>
    <s v="Intangible Plant, Common"/>
    <s v="Common (E &amp; G)"/>
    <s v="Intangibles, King County outside RTA District, WA : INT-0000 WA01700000"/>
    <n v="68173366"/>
    <s v="C303 INT Misc Intangible Plant"/>
    <n v="143006970"/>
    <s v="DIGITAL WORKPLACE TRANSFORMATION - "/>
    <s v="DIGITAL WORKPLACE TRANSFORMATION - SW.CN"/>
    <s v="12/2023"/>
    <n v="1"/>
    <n v="957357.45000000007"/>
    <n v="34551.910000000003"/>
    <n v="922805.54"/>
    <x v="0"/>
    <x v="0"/>
  </r>
  <r>
    <s v="Intangible Plant, Common"/>
    <s v="Common (E &amp; G)"/>
    <s v="Intangibles, King County outside RTA District, WA : INT-0000 WA01700000"/>
    <n v="68173369"/>
    <s v="C303 INT Misc Intangible Plant"/>
    <n v="143007020"/>
    <s v="PSE 2030 DIGITAL EXPERIENCE - SW.CN"/>
    <s v="PSE 2030 DIGITAL EXPERIENCE - SW.CN.5RYS"/>
    <s v="12/2023"/>
    <n v="1"/>
    <n v="2761374.23"/>
    <n v="99660.540000000008"/>
    <n v="2661713.69"/>
    <x v="0"/>
    <x v="0"/>
  </r>
  <r>
    <s v="Intangible Plant, Common"/>
    <s v="Common (E &amp; G)"/>
    <s v="Intangibles, King County outside RTA District, WA : INT-0000 WA01700000"/>
    <n v="68173372"/>
    <s v="C303 INT Misc Intangible Plant"/>
    <n v="143007022"/>
    <s v="BILL DISCOUNT RATE - SW.CN.5YRS"/>
    <s v="BILL DISCOUNT RATE - SW.CN.5YRS"/>
    <s v="12/2023"/>
    <n v="1"/>
    <n v="2714622"/>
    <n v="97973.21"/>
    <n v="2616648.79"/>
    <x v="0"/>
    <x v="2"/>
  </r>
  <r>
    <s v="Intangible Plant, Common"/>
    <s v="Common (E &amp; G)"/>
    <s v="Intangibles, King County outside RTA District, WA : INT-0000 WA01700000"/>
    <n v="68173375"/>
    <s v="C303 INT Misc Intangible Plant"/>
    <n v="143007023"/>
    <s v="GIS UPGRADE - SMALLWORLD - SW.CN.5Y"/>
    <s v="GIS UPGRADE - SMALLWORLD - SW.CN.5YRS"/>
    <s v="12/2023"/>
    <n v="1"/>
    <n v="1332448.03"/>
    <n v="48089.279999999999"/>
    <n v="1284358.75"/>
    <x v="0"/>
    <x v="2"/>
  </r>
  <r>
    <s v="Intangible Plant, Common"/>
    <s v="Common (E &amp; G)"/>
    <s v="Intangibles, King County outside RTA District, WA : INT-0000 WA01700000"/>
    <n v="68173395"/>
    <s v="C303 INT Misc Intangible Plant"/>
    <n v="143007160"/>
    <s v="XAMARIN FORMS MIGRATION TO MAUI - S"/>
    <s v="XAMARIN FORMS MIGRATION TO MAUI - SW.CN."/>
    <s v="12/2023"/>
    <n v="1"/>
    <n v="740972.78"/>
    <n v="26742.39"/>
    <n v="714230.39"/>
    <x v="0"/>
    <x v="0"/>
  </r>
  <r>
    <s v="Intangible Plant, Common"/>
    <s v="Common (E &amp; G)"/>
    <s v="Intangibles, King County outside RTA District, WA : INT-0000 WA01700000"/>
    <n v="68173400"/>
    <s v="C303 INT Misc Intangible Plant"/>
    <n v="143007183"/>
    <s v="CONSOLIDATE WEB PLATFORMS"/>
    <s v="CONSOLIDATE WEB PLATFORMS"/>
    <s v="12/2023"/>
    <n v="1"/>
    <n v="482646.76"/>
    <n v="17419.170000000002"/>
    <n v="465227.59"/>
    <x v="0"/>
    <x v="0"/>
  </r>
  <r>
    <s v="Intangible Plant, Common"/>
    <s v="Common (E &amp; G)"/>
    <s v="Intangibles, King County outside RTA District, WA : INT-0000 WA01700000"/>
    <n v="68173403"/>
    <s v="C303 INT Misc Intangible Plant"/>
    <n v="143007186"/>
    <s v="MICROSERVICES REFACTORING WITH CASS"/>
    <s v="MICROSERVICES REFACTORING WITH CASSANDRA"/>
    <s v="12/2023"/>
    <n v="1"/>
    <n v="390708.47999999998"/>
    <n v="14101.03"/>
    <n v="376607.45"/>
    <x v="0"/>
    <x v="0"/>
  </r>
  <r>
    <s v="Intangible Plant, Common"/>
    <s v="Common (E &amp; G)"/>
    <s v="Intangibles, King County outside RTA District, WA : INT-0000 WA01700000"/>
    <n v="68173406"/>
    <s v="C303 INT Misc Intangible Plant"/>
    <n v="143007187"/>
    <s v="SITECORE AUTOSCALING (2023)"/>
    <s v="SITECORE AUTOSCALING (2023)"/>
    <s v="12/2023"/>
    <n v="1"/>
    <n v="485772.88"/>
    <n v="17531.990000000002"/>
    <n v="468240.89"/>
    <x v="0"/>
    <x v="0"/>
  </r>
  <r>
    <s v="Intangible Plant, Common"/>
    <s v="Common (E &amp; G)"/>
    <s v="Intangibles, King County outside RTA District, WA : INT-0000 WA01700000"/>
    <n v="68173409"/>
    <s v="C303 INT Misc Intangible Plant"/>
    <n v="143007188"/>
    <s v="PURCHASE AND IMPLEMENT SYSTEM ORCHE"/>
    <s v="PURCHASE AND IMPLEMENT SYSTEM ORCHESTRAT"/>
    <s v="12/2023"/>
    <n v="1"/>
    <n v="126827.98"/>
    <n v="4577.34"/>
    <n v="122250.64"/>
    <x v="0"/>
    <x v="0"/>
  </r>
  <r>
    <s v="Intangible Plant, Common"/>
    <s v="Common (E &amp; G)"/>
    <s v="Intangibles, King County outside RTA District, WA : INT-0000 WA01700000"/>
    <n v="68173412"/>
    <s v="C303 INT Misc Intangible Plant"/>
    <n v="143007189"/>
    <s v="SAP HR SUPPORT PACKS (2022+) &amp; BSI "/>
    <s v="SAP HR SUPPORT PACKS (2022+) &amp; BSI TAX"/>
    <s v="12/2023"/>
    <n v="1"/>
    <n v="29674.57"/>
    <n v="1070.98"/>
    <n v="28603.59"/>
    <x v="0"/>
    <x v="0"/>
  </r>
  <r>
    <s v="Intangible Plant, Common"/>
    <s v="Common (E &amp; G)"/>
    <s v="Intangibles, King County outside RTA District, WA : INT-0000 WA01700000"/>
    <n v="68173415"/>
    <s v="C303 INT Misc Intangible Plant"/>
    <n v="143007190"/>
    <s v="SERVICENOW IMPROVEMENTS (2022+)"/>
    <s v="SERVICENOW IMPROVEMENTS (2022+)"/>
    <s v="12/2023"/>
    <n v="1"/>
    <n v="879502.35"/>
    <n v="31742.05"/>
    <n v="847760.3"/>
    <x v="0"/>
    <x v="0"/>
  </r>
  <r>
    <s v="Intangible Plant, Common"/>
    <s v="Common (E &amp; G)"/>
    <s v="Intangibles, King County outside RTA District, WA : INT-0000 WA01700000"/>
    <n v="68173422"/>
    <s v="C303 INT Misc Intangible Plant"/>
    <n v="143007200"/>
    <s v="DATASTAX ASTRA MIGRATION"/>
    <s v="DATASTAX ASTRA MIGRATION"/>
    <s v="12/2023"/>
    <n v="1"/>
    <n v="471605"/>
    <n v="17020.66"/>
    <n v="454584.34"/>
    <x v="0"/>
    <x v="0"/>
  </r>
  <r>
    <s v="Intangible Plant, Common"/>
    <s v="Common (E &amp; G)"/>
    <s v="Intangibles, King County outside RTA District, WA : INT-0000 WA01700000"/>
    <n v="68173425"/>
    <s v="C303 INT Misc Intangible Plant"/>
    <n v="143007201"/>
    <s v="ANNUAL WINDOWS SERVER REFRESH - SW."/>
    <s v="ANNUAL WINDOWS SERVER REFRESH - SW.CN.3Y"/>
    <s v="12/2023"/>
    <n v="1"/>
    <n v="69954.05"/>
    <n v="2524.71"/>
    <n v="67429.34"/>
    <x v="0"/>
    <x v="0"/>
  </r>
  <r>
    <s v="Intangible Plant, Common"/>
    <s v="Common (E &amp; G)"/>
    <s v="Intangibles, King County outside RTA District, WA : INT-0000 WA01700000"/>
    <n v="68173434"/>
    <s v="C303 INT Misc Intangible Plant"/>
    <n v="143007207"/>
    <s v="ANNUAL SPLUNK GROWTH (2023+) - SW.C"/>
    <s v="ANNUAL SPLUNK GROWTH (2023+) - SW.CN.5YR"/>
    <s v="12/2023"/>
    <n v="1"/>
    <n v="84038.26"/>
    <n v="3033.02"/>
    <n v="81005.240000000005"/>
    <x v="0"/>
    <x v="0"/>
  </r>
  <r>
    <s v="Intangible Plant, Common"/>
    <s v="Common (E &amp; G)"/>
    <s v="Intangibles, King County outside RTA District, WA : INT-0000 WA01700000"/>
    <n v="68173437"/>
    <s v="C303 INT Misc Intangible Plant"/>
    <n v="143007209"/>
    <s v="SPLUNK VERSION UPGRADES 2023 - SW.C"/>
    <s v="SPLUNK VERSION UPGRADES 2023 - SW.CN.5YR"/>
    <s v="12/2023"/>
    <n v="1"/>
    <n v="175404.75"/>
    <n v="6330.52"/>
    <n v="169074.23"/>
    <x v="0"/>
    <x v="0"/>
  </r>
  <r>
    <s v="Intangible Plant, Common"/>
    <s v="Common (E &amp; G)"/>
    <s v="Intangibles, King County outside RTA District, WA : INT-0000 WA01700000"/>
    <n v="68173440"/>
    <s v="C303 INT Misc Intangible Plant"/>
    <n v="143007210"/>
    <s v="ANNUAL SPLUNK SECURITY IMPROVEMENTS"/>
    <s v="ANNUAL SPLUNK SECURITY IMPROVEMENTS - SW"/>
    <s v="12/2023"/>
    <n v="1"/>
    <n v="68963.759999999995"/>
    <n v="2488.9700000000003"/>
    <n v="66474.790000000008"/>
    <x v="0"/>
    <x v="0"/>
  </r>
  <r>
    <s v="Intangible Plant, Common"/>
    <s v="Common (E &amp; G)"/>
    <s v="Intangibles, King County outside RTA District, WA : INT-0000 WA01700000"/>
    <n v="68173443"/>
    <s v="C303 INT Misc Intangible Plant"/>
    <n v="143007211"/>
    <s v="SAP BUSINESS PROCESS MONITORING - S"/>
    <s v="SAP BUSINESS PROCESS MONITORING - SW.CN."/>
    <s v="12/2023"/>
    <n v="1"/>
    <n v="49287.6"/>
    <n v="1778.83"/>
    <n v="47508.770000000004"/>
    <x v="0"/>
    <x v="0"/>
  </r>
  <r>
    <s v="Intangible Plant, Common"/>
    <s v="Common (E &amp; G)"/>
    <s v="Intangibles, King County outside RTA District, WA : INT-0000 WA01700000"/>
    <n v="68173453"/>
    <s v="C303 INT Misc Intangible Plant"/>
    <n v="143007220"/>
    <s v="OPENTEXT ECM UPGRADE"/>
    <s v="OPENTEXT ECM UPGRADE"/>
    <s v="12/2023"/>
    <n v="1"/>
    <n v="522840.7"/>
    <n v="18869.8"/>
    <n v="503970.9"/>
    <x v="0"/>
    <x v="0"/>
  </r>
  <r>
    <s v="Intangible Plant, Common"/>
    <s v="Common (E &amp; G)"/>
    <s v="Intangibles, King County outside RTA District, WA : INT-0000 WA01700000"/>
    <n v="68173456"/>
    <s v="C303 INT Misc Intangible Plant"/>
    <n v="143007224"/>
    <s v="SAP ANNUAL UPGRADES (2022+)"/>
    <s v="SAP ANNUAL UPGRADES (2022+)"/>
    <s v="12/2023"/>
    <n v="1"/>
    <n v="492807.55"/>
    <n v="17785.88"/>
    <n v="475021.67"/>
    <x v="0"/>
    <x v="0"/>
  </r>
  <r>
    <s v="Intangible Plant, Common"/>
    <s v="Common (E &amp; G)"/>
    <s v="Intangibles, King County outside RTA District, WA : INT-0000 WA01700000"/>
    <n v="68173459"/>
    <s v="C303 INT Misc Intangible Plant"/>
    <n v="143007240"/>
    <s v="2023 Q1 HR AER'S - SW.CS.3YRS"/>
    <s v="2023 Q1 HR AER'S - SW.CS.3YRS"/>
    <s v="12/2023"/>
    <n v="1"/>
    <n v="25196.16"/>
    <n v="909.35"/>
    <n v="24286.81"/>
    <x v="0"/>
    <x v="0"/>
  </r>
  <r>
    <s v="Intangible Plant, Common"/>
    <s v="Common (E &amp; G)"/>
    <s v="Intangibles, King County outside RTA District, WA : INT-0000 WA01700000"/>
    <n v="68173462"/>
    <s v="C303 INT Misc Intangible Plant"/>
    <n v="143007241"/>
    <s v="2023 Q1 IT AER'S - SW.CS.3YRS"/>
    <s v="2023 Q1 IT AER'S - SW.CS.3YRS"/>
    <s v="12/2023"/>
    <n v="1"/>
    <n v="109228.35"/>
    <n v="3942.15"/>
    <n v="105286.2"/>
    <x v="0"/>
    <x v="0"/>
  </r>
  <r>
    <s v="Intangible Plant, Common"/>
    <s v="Common (E &amp; G)"/>
    <s v="Intangibles, King County outside RTA District, WA : INT-0000 WA01700000"/>
    <n v="68173467"/>
    <s v="C303 INT Misc Intangible Plant"/>
    <n v="143007247"/>
    <s v="ANNUAL QUALITY FRAMEWORK ENHANCEMEN"/>
    <s v="ANNUAL QUALITY FRAMEWORK ENHANCEMENTS (2"/>
    <s v="12/2023"/>
    <n v="1"/>
    <n v="175716.30000000002"/>
    <n v="6341.76"/>
    <n v="169374.54"/>
    <x v="0"/>
    <x v="0"/>
  </r>
  <r>
    <s v="Intangible Plant, Common"/>
    <s v="Common (E &amp; G)"/>
    <s v="Intangibles, King County outside RTA District, WA : INT-0000 WA01700000"/>
    <n v="68173470"/>
    <s v="C303 INT Misc Intangible Plant"/>
    <n v="143007249"/>
    <s v="ORACLE UPGRADES (2023) - SW.CN.5YRS"/>
    <s v="ORACLE UPGRADES (2023) - SW.CN.5YRS"/>
    <s v="12/2023"/>
    <n v="1"/>
    <n v="53665.39"/>
    <n v="1936.83"/>
    <n v="51728.56"/>
    <x v="0"/>
    <x v="0"/>
  </r>
  <r>
    <s v="Intangible Plant, Common"/>
    <s v="Common (E &amp; G)"/>
    <s v="Intangibles, King County outside RTA District, WA : INT-0000 WA01700000"/>
    <n v="68173473"/>
    <s v="C303 INT Misc Intangible Plant"/>
    <n v="143007250"/>
    <s v="ANNUAL SQL SERVER PATCHES - SW.CN.5"/>
    <s v="ANNUAL SQL SERVER PATCHES - SW.CN.5YRS"/>
    <s v="12/2023"/>
    <n v="1"/>
    <n v="137262.08000000002"/>
    <n v="4953.91"/>
    <n v="132308.17000000001"/>
    <x v="0"/>
    <x v="0"/>
  </r>
  <r>
    <s v="Intangible Plant, Common"/>
    <s v="Common (E &amp; G)"/>
    <s v="Intangibles, King County outside RTA District, WA : INT-0000 WA01700000"/>
    <n v="68173476"/>
    <s v="C303 INT Misc Intangible Plant"/>
    <n v="143007251"/>
    <s v="PI VISION SUITE MIGRATION - SW.CN.3"/>
    <s v="PI VISION SUITE MIGRATION - SW.CN.3YRS"/>
    <s v="12/2023"/>
    <n v="1"/>
    <n v="647845.66"/>
    <n v="23381.350000000002"/>
    <n v="624464.31000000006"/>
    <x v="0"/>
    <x v="0"/>
  </r>
  <r>
    <s v="Intangible Plant, Common"/>
    <s v="Common (E &amp; G)"/>
    <s v="Intangibles, King County outside RTA District, WA : INT-0000 WA01700000"/>
    <n v="68173479"/>
    <s v="C303 INT Misc Intangible Plant"/>
    <n v="143007252"/>
    <s v="WORK MANAGER UPGRADE - SW.CN.5YRS"/>
    <s v="WORK MANAGER UPGRADE - SW.CN.5YRS"/>
    <s v="12/2023"/>
    <n v="1"/>
    <n v="270244.25"/>
    <n v="9753.36"/>
    <n v="260490.89"/>
    <x v="0"/>
    <x v="2"/>
  </r>
  <r>
    <s v="Intangible Plant, Common"/>
    <s v="Common (E &amp; G)"/>
    <s v="Intangibles, King County outside RTA District, WA : INT-0000 WA01700000"/>
    <n v="68173486"/>
    <s v="C303 INT Misc Intangible Plant"/>
    <n v="143007261"/>
    <s v="POI - HANA DR ENABLEMENT - SW.CN.5Y"/>
    <s v="POI - HANA DR ENABLEMENT - SW.CN.5YRS"/>
    <s v="12/2023"/>
    <n v="1"/>
    <n v="41984.41"/>
    <n v="1515.26"/>
    <n v="40469.15"/>
    <x v="0"/>
    <x v="2"/>
  </r>
  <r>
    <s v="Intangible Plant, Common"/>
    <s v="Common (E &amp; G)"/>
    <s v="Intangibles, King County outside RTA District, WA : INT-0000 WA01700000"/>
    <n v="68173501"/>
    <s v="C303 INT Misc Intangible Plant"/>
    <n v="143007286"/>
    <s v="2023 CAP MAINT GREATER - SW.CN.5YRS"/>
    <s v="2023 CAP MAINT GREATER - SW.CN.5YRS"/>
    <s v="12/2023"/>
    <n v="1"/>
    <n v="15208483.640000001"/>
    <n v="548888.17000000004"/>
    <n v="14659595.470000001"/>
    <x v="0"/>
    <x v="0"/>
  </r>
  <r>
    <s v="Intangible Plant, Common"/>
    <s v="Common (E &amp; G)"/>
    <s v="Intangibles, King County outside RTA District, WA : INT-0000 WA01700000"/>
    <n v="68173504"/>
    <s v="C303 INT Misc Intangible Plant"/>
    <n v="143007287"/>
    <s v="2023 CAP MAINTENANCE LESS - SW.CN.5"/>
    <s v="2023 CAP MAINTENANCE LESS - SW.CN.5YRS"/>
    <s v="12/2023"/>
    <n v="1"/>
    <n v="654312.39"/>
    <n v="23614.74"/>
    <n v="630697.65"/>
    <x v="0"/>
    <x v="0"/>
  </r>
  <r>
    <s v="Intangible Plant, Common"/>
    <s v="Common (E &amp; G)"/>
    <s v="Intangibles, King County outside RTA District, WA : INT-0000 WA01700000"/>
    <n v="68173507"/>
    <s v="C303 INT Misc Intangible Plant"/>
    <n v="143007288"/>
    <s v="ANNUAL ENTERPRISE APPLICATIONS GROW"/>
    <s v="ANNUAL ENTERPRISE APPLICATIONS GROWTH (2"/>
    <s v="12/2023"/>
    <n v="1"/>
    <n v="352568.22000000003"/>
    <n v="12724.51"/>
    <n v="339843.71"/>
    <x v="0"/>
    <x v="0"/>
  </r>
  <r>
    <s v="Intangible Plant, Common"/>
    <s v="Common (E &amp; G)"/>
    <s v="Intangibles, King County outside RTA District, WA : INT-0000 WA01700000"/>
    <n v="68173524"/>
    <s v="C303 INT Misc Intangible Plant"/>
    <n v="143007302"/>
    <s v="DEEP INITIATIVES AND ENHANCEMENTS -"/>
    <s v="DEEP INITIATIVES AND ENHANCEMENTS - SW.C"/>
    <s v="12/2023"/>
    <n v="1"/>
    <n v="411370.99"/>
    <n v="14846.76"/>
    <n v="396524.23"/>
    <x v="0"/>
    <x v="2"/>
  </r>
  <r>
    <s v="Intangible Plant, Common"/>
    <s v="Common (E &amp; G)"/>
    <s v="Intangibles, King County outside RTA District, WA : INT-0000 WA01700000"/>
    <n v="68173527"/>
    <s v="C303 INT Misc Intangible Plant"/>
    <n v="143007303"/>
    <s v="DATA FOUNDATION DATA GOVERNANCE - S"/>
    <s v="DATA FOUNDATION DATA GOVERNANCE - SW.CN."/>
    <s v="12/2023"/>
    <n v="1"/>
    <n v="386614.64"/>
    <n v="13953.28"/>
    <n v="372661.36"/>
    <x v="0"/>
    <x v="0"/>
  </r>
  <r>
    <s v="Intangible Plant, Common"/>
    <s v="Common (E &amp; G)"/>
    <s v="Intangibles, King County outside RTA District, WA : INT-0000 WA01700000"/>
    <n v="68173530"/>
    <s v="C303 INT Misc Intangible Plant"/>
    <n v="143007304"/>
    <s v="DATA FOUNDATION OPERATING MODEL  - "/>
    <s v="DATA FOUNDATION OPERATING MODEL  - SW.CN"/>
    <s v="12/2023"/>
    <n v="1"/>
    <n v="426188.61"/>
    <n v="15381.54"/>
    <n v="410807.07"/>
    <x v="0"/>
    <x v="0"/>
  </r>
  <r>
    <s v="Intangible Plant, Common"/>
    <s v="Common (E &amp; G)"/>
    <s v="Intangibles, King County outside RTA District, WA : INT-0000 WA01700000"/>
    <n v="68173538"/>
    <s v="C303 INT Misc Intangible Plant"/>
    <n v="143007360"/>
    <s v="EV IDENTIFICATION - SW.CN.5YRS"/>
    <s v="EV IDENTIFICATION - SW.CN.5YRS"/>
    <s v="12/2023"/>
    <n v="1"/>
    <n v="143662.29"/>
    <n v="5184.9000000000005"/>
    <n v="138477.39000000001"/>
    <x v="0"/>
    <x v="2"/>
  </r>
  <r>
    <s v="Intangible Plant, Common"/>
    <s v="Common (E &amp; G)"/>
    <s v="Intangibles, King County outside RTA District, WA : INT-0000 WA01700000"/>
    <n v="68173570"/>
    <s v="C303 INT Misc Intangible Plant"/>
    <n v="143007461"/>
    <s v="PSE 2030 DE- SW.CN.5RYS (NON-CEIP)"/>
    <s v="PSE 2030 DE- SW.CN.5RYS (NON-CEIP)"/>
    <s v="12/2023"/>
    <n v="1"/>
    <n v="278769.55"/>
    <n v="10061.050000000001"/>
    <n v="268708.5"/>
    <x v="0"/>
    <x v="0"/>
  </r>
  <r>
    <s v="Intangible Plant, Common"/>
    <s v="Common (E &amp; G)"/>
    <s v="Intangibles, King County outside RTA District, WA : INT-0000 WA01700000"/>
    <n v="68173573"/>
    <s v="C303 INT Misc Intangible Plant"/>
    <n v="143007500"/>
    <s v="ROBOTIC PROCESS AUTOMATION RPA (202"/>
    <s v="ROBOTIC PROCESS AUTOMATION RPA (2023+)-"/>
    <s v="12/2023"/>
    <n v="1"/>
    <n v="415822.3"/>
    <n v="15007.41"/>
    <n v="400814.89"/>
    <x v="0"/>
    <x v="0"/>
  </r>
  <r>
    <s v="Intangible Plant, Common"/>
    <s v="Common (E &amp; G)"/>
    <s v="Intangibles, King County outside RTA District, WA : INT-0000 WA01700000"/>
    <n v="68173576"/>
    <s v="C303 INT Misc Intangible Plant"/>
    <n v="143007520"/>
    <s v="OCC EDI AND RM API - SW.CN.5YRS"/>
    <s v="OCC EDI AND RM API - SW.CN.5YRS"/>
    <s v="12/2023"/>
    <n v="1"/>
    <n v="71957.8"/>
    <n v="2597.02"/>
    <n v="69360.78"/>
    <x v="0"/>
    <x v="0"/>
  </r>
  <r>
    <s v="Intangible Plant, Common"/>
    <s v="Common (E &amp; G)"/>
    <s v="Intangibles, King County outside RTA District, WA : INT-0000 WA01700000"/>
    <n v="68173583"/>
    <s v="C303 INT Misc Intangible Plant"/>
    <n v="143007586"/>
    <s v="2023 Q2 IT AER'S - SW.CS.3YRS"/>
    <s v="2023 Q2 IT AER'S - SW.CS.3YRS"/>
    <s v="12/2023"/>
    <n v="1"/>
    <n v="33145.9"/>
    <n v="1196.27"/>
    <n v="31949.63"/>
    <x v="0"/>
    <x v="0"/>
  </r>
  <r>
    <s v="Intangible Plant, Common"/>
    <s v="Common (E &amp; G)"/>
    <s v="Intangibles, King County outside RTA District, WA : INT-0000 WA01700000"/>
    <n v="68173586"/>
    <s v="C303 INT Misc Intangible Plant"/>
    <n v="143007587"/>
    <s v="2023 Q2 REG &amp; STRAT AER'S - SW.CS.3"/>
    <s v="2023 Q2 REG &amp; STRAT AER'S - SW.CS.3YRS"/>
    <s v="12/2023"/>
    <n v="1"/>
    <n v="18294.600000000002"/>
    <n v="660.27"/>
    <n v="17634.330000000002"/>
    <x v="0"/>
    <x v="0"/>
  </r>
  <r>
    <s v="Intangible Plant, Common"/>
    <s v="Common (E &amp; G)"/>
    <s v="Intangibles, King County outside RTA District, WA : INT-0000 WA01700000"/>
    <n v="68173589"/>
    <s v="C303 INT Misc Intangible Plant"/>
    <n v="143007588"/>
    <s v="2023 Q2 FINANCE AER'S - SW.CS.3YRS"/>
    <s v="2023 Q2 FINANCE AER'S - SW.CS.3YRS"/>
    <s v="12/2023"/>
    <n v="1"/>
    <n v="53032.480000000003"/>
    <n v="1913.99"/>
    <n v="51118.49"/>
    <x v="0"/>
    <x v="0"/>
  </r>
  <r>
    <s v="Intangible Plant, Common"/>
    <s v="Common (E &amp; G)"/>
    <s v="Intangibles, King County outside RTA District, WA : INT-0000 WA01700000"/>
    <n v="68173592"/>
    <s v="C303 INT Misc Intangible Plant"/>
    <n v="143007590"/>
    <s v="2023 Q2 CUSTOMER AER'S - SW.CS.3YRS"/>
    <s v="2023 Q2 CUSTOMER AER'S - SW.CS.3YRS"/>
    <s v="12/2023"/>
    <n v="1"/>
    <n v="21530.06"/>
    <n v="777.04"/>
    <n v="20753.02"/>
    <x v="0"/>
    <x v="2"/>
  </r>
  <r>
    <s v="Intangible Plant, Common"/>
    <s v="Common (E &amp; G)"/>
    <s v="Intangibles, King County outside RTA District, WA : INT-0000 WA01700000"/>
    <n v="68173597"/>
    <s v="C303 INT Misc Intangible Plant"/>
    <n v="143007594"/>
    <s v="SAP-ECC MM/FI INTEGRATION 2023 - SW"/>
    <s v="SAP-ECC MM/FI INTEGRATION 2023 - SW.CS.5"/>
    <s v="12/2023"/>
    <n v="1"/>
    <n v="117482.3"/>
    <n v="4240.04"/>
    <n v="113242.26000000001"/>
    <x v="0"/>
    <x v="0"/>
  </r>
  <r>
    <s v="Intangible Plant, Common"/>
    <s v="Common (E &amp; G)"/>
    <s v="Intangibles, King County outside RTA District, WA : INT-0000 WA01700000"/>
    <n v="68173602"/>
    <s v="C303 INT Misc Intangible Plant"/>
    <n v="143007620"/>
    <s v="MDMS ENHANCEMENTS 2023 - SW.CS.5YRS"/>
    <s v="MDMS ENHANCEMENTS 2023 - SW.CS.5YRS"/>
    <s v="12/2023"/>
    <n v="1"/>
    <n v="87119.3"/>
    <n v="3144.2200000000003"/>
    <n v="83975.08"/>
    <x v="0"/>
    <x v="2"/>
  </r>
  <r>
    <s v="Intangible Plant, Common"/>
    <s v="Common (E &amp; G)"/>
    <s v="Intangibles, King County outside RTA District, WA : INT-0000 WA01700000"/>
    <n v="68173616"/>
    <s v="C303 INT Misc Intangible Plant"/>
    <n v="143007665"/>
    <s v="AWS SERVER AUTOMATION - SW.CN.5YRS"/>
    <s v="AWS SERVER AUTOMATION - SW.CN.5YRS"/>
    <s v="12/2023"/>
    <n v="1"/>
    <n v="36550.97"/>
    <n v="1319.16"/>
    <n v="35231.81"/>
    <x v="0"/>
    <x v="0"/>
  </r>
  <r>
    <s v="Intangible Plant, Common"/>
    <s v="Common (E &amp; G)"/>
    <s v="Intangibles, King County outside RTA District, WA : INT-0000 WA01700000"/>
    <n v="68173619"/>
    <s v="C303 INT Misc Intangible Plant"/>
    <n v="143007684"/>
    <s v="MDMS LICENSE EXTENSION 2023 - SW.CN"/>
    <s v="MDMS LICENSE EXTENSION 2023 - SW.CN.5YRS"/>
    <s v="12/2023"/>
    <n v="1"/>
    <n v="178135.94"/>
    <n v="6429.09"/>
    <n v="171706.85"/>
    <x v="0"/>
    <x v="2"/>
  </r>
  <r>
    <s v="Intangible Plant, Common"/>
    <s v="Common (E &amp; G)"/>
    <s v="Intangibles, King County outside RTA District, WA : INT-0000 WA01700000"/>
    <n v="68173622"/>
    <s v="C303 INT Misc Intangible Plant"/>
    <n v="143007728"/>
    <s v="WORKORDER SPLIT LOGIC ENHANCEMENT 2"/>
    <s v="WORKORDER SPLIT LOGIC ENHANCEMENT 23 -SW"/>
    <s v="12/2023"/>
    <n v="1"/>
    <n v="13831.61"/>
    <n v="499.2"/>
    <n v="13332.41"/>
    <x v="0"/>
    <x v="5"/>
  </r>
  <r>
    <s v="Intangible Plant, Common"/>
    <s v="Common (E &amp; G)"/>
    <s v="Intangibles, King County outside RTA District, WA : INT-0000 WA01700000"/>
    <n v="68173627"/>
    <s v="C303 INT Misc Intangible Plant"/>
    <n v="143007736"/>
    <s v="2023 Q3 IT AER'S - SW.CN.3Y"/>
    <s v="2023 Q3 IT AER'S - SW.CN.3Y"/>
    <s v="12/2023"/>
    <n v="1"/>
    <n v="28633.58"/>
    <n v="1033.4100000000001"/>
    <n v="27600.170000000002"/>
    <x v="0"/>
    <x v="0"/>
  </r>
  <r>
    <s v="Intangible Plant, Common"/>
    <s v="Common (E &amp; G)"/>
    <s v="Intangibles, King County outside RTA District, WA : INT-0000 WA01700000"/>
    <n v="68173630"/>
    <s v="C303 INT Misc Intangible Plant"/>
    <n v="143007738"/>
    <s v="2023 Q3 FINANCE AER'S - SW.CN.3Y"/>
    <s v="2023 Q3 FINANCE AER'S - SW.CN.3Y"/>
    <s v="12/2023"/>
    <n v="1"/>
    <n v="44810.33"/>
    <n v="1617.25"/>
    <n v="43193.08"/>
    <x v="0"/>
    <x v="0"/>
  </r>
  <r>
    <s v="Intangible Plant, Common"/>
    <s v="Common (E &amp; G)"/>
    <s v="Intangibles, King County outside RTA District, WA : INT-0000 WA01700000"/>
    <n v="68173633"/>
    <s v="C303 INT Misc Intangible Plant"/>
    <n v="143007739"/>
    <s v="2023 Q3 OPERATIONS AER'S - SW.CN.3Y"/>
    <s v="2023 Q3 OPERATIONS AER'S - SW.CN.3Y"/>
    <s v="12/2023"/>
    <n v="1"/>
    <n v="44628.05"/>
    <n v="1610.67"/>
    <n v="43017.38"/>
    <x v="0"/>
    <x v="0"/>
  </r>
  <r>
    <s v="Intangible Plant, Common"/>
    <s v="Common (E &amp; G)"/>
    <s v="Intangibles, King County outside RTA District, WA : INT-0000 WA01700000"/>
    <n v="68173636"/>
    <s v="C303 INT Misc Intangible Plant"/>
    <n v="143007741"/>
    <s v="2023 Q3 ENERGY SUPPLY AER'S - SW.CN"/>
    <s v="2023 Q3 ENERGY SUPPLY AER'S - SW.CN.3Y"/>
    <s v="12/2023"/>
    <n v="1"/>
    <n v="26589.25"/>
    <n v="959.63"/>
    <n v="25629.62"/>
    <x v="0"/>
    <x v="1"/>
  </r>
  <r>
    <s v="Intangible Plant, Common"/>
    <s v="Common (E &amp; G)"/>
    <s v="Intangibles, King County outside RTA District, WA : INT-0000 WA01700000"/>
    <n v="68173639"/>
    <s v="C303 INT Misc Intangible Plant"/>
    <n v="143007745"/>
    <s v="SAP BUNDLED Q3 ENHANCEMENTS 2023 - "/>
    <s v="SAP BUNDLED Q3 ENHANCEMENTS 2023 - SW.CN"/>
    <s v="12/2023"/>
    <n v="1"/>
    <n v="45404.44"/>
    <n v="1638.69"/>
    <n v="43765.75"/>
    <x v="0"/>
    <x v="5"/>
  </r>
  <r>
    <s v="Intangible Plant, Common"/>
    <s v="Common (E &amp; G)"/>
    <s v="Intangibles, King County outside RTA District, WA : INT-0000 WA01700000"/>
    <n v="68173642"/>
    <s v="C303 INT Misc Intangible Plant"/>
    <n v="143007802"/>
    <s v="BCA - BILLING CORRECTION AUTOMATION"/>
    <s v="BCA - BILLING CORRECTION AUTOMATION - SW"/>
    <s v="12/2023"/>
    <n v="1"/>
    <n v="3229430.16"/>
    <n v="116553.11"/>
    <n v="3112877.05"/>
    <x v="0"/>
    <x v="2"/>
  </r>
  <r>
    <s v="Intangible Plant, Common"/>
    <s v="Common (E &amp; G)"/>
    <s v="Intangibles, King County outside RTA District, WA : INT-0000 WA01700000"/>
    <n v="68173645"/>
    <s v="C303 INT Misc Intangible Plant"/>
    <n v="143007807"/>
    <s v="DELIVERY SYSTEM SCORECARD - SW.CN.5"/>
    <s v="DELIVERY SYSTEM SCORECARD - SW.CN.5YR"/>
    <s v="12/2023"/>
    <n v="1"/>
    <n v="110807.8"/>
    <n v="3999.1600000000003"/>
    <n v="106808.64"/>
    <x v="0"/>
    <x v="0"/>
  </r>
  <r>
    <s v="Intangible Plant, Common"/>
    <s v="Common (E &amp; G)"/>
    <s v="Intangibles, King County outside RTA District, WA : INT-0000 WA01700000"/>
    <n v="68173648"/>
    <s v="C303 INT Misc Intangible Plant"/>
    <n v="143007808"/>
    <s v="NAMED COMMUNITIES - SW.CN.5YRS"/>
    <s v="NAMED COMMUNITIES - SW.CN.5YRS"/>
    <s v="12/2023"/>
    <n v="1"/>
    <n v="97295.81"/>
    <n v="3511.5"/>
    <n v="93784.31"/>
    <x v="0"/>
    <x v="0"/>
  </r>
  <r>
    <s v="Intangible Plant, Common"/>
    <s v="Common (E &amp; G)"/>
    <s v="Intangibles, King County outside RTA District, WA : INT-0000 WA01700000"/>
    <n v="68173651"/>
    <s v="C303 INT Misc Intangible Plant"/>
    <n v="143007821"/>
    <s v="ZIOC TRANSACTION ENHANCEMENT 2023 -"/>
    <s v="ZIOC TRANSACTION ENHANCEMENT 2023 - SW.C"/>
    <s v="12/2023"/>
    <n v="1"/>
    <n v="15803.53"/>
    <n v="570.36"/>
    <n v="15233.17"/>
    <x v="0"/>
    <x v="0"/>
  </r>
  <r>
    <s v="Intangible Plant, Common"/>
    <s v="Common (E &amp; G)"/>
    <s v="Intangibles, King County outside RTA District, WA : INT-0000 WA01700000"/>
    <n v="68173654"/>
    <s v="C303 INT Misc Intangible Plant"/>
    <n v="143007834"/>
    <s v="DIGITAL LEAK SURVEY PROJECT ENHANCE"/>
    <s v="DIGITAL LEAK SURVEY PROJECT ENHANCEMENT"/>
    <s v="12/2023"/>
    <n v="1"/>
    <n v="32423.510000000002"/>
    <n v="1170.19"/>
    <n v="31253.32"/>
    <x v="0"/>
    <x v="6"/>
  </r>
  <r>
    <s v="Intangible Plant, Common"/>
    <s v="Common (E &amp; G)"/>
    <s v="Intangibles, King County outside RTA District, WA : INT-0000 WA01700000"/>
    <n v="68173659"/>
    <s v="C303 INT Misc Intangible Plant"/>
    <n v="143007840"/>
    <s v="Physical Security Salient Licen.SW."/>
    <s v="Physical Security Salient Licen.SW.CAN.5"/>
    <s v="12/2023"/>
    <n v="1"/>
    <n v="51021.380000000005"/>
    <n v="1841.41"/>
    <n v="49179.97"/>
    <x v="0"/>
    <x v="0"/>
  </r>
  <r>
    <s v="Intangible Plant, Common"/>
    <s v="Common (E &amp; G)"/>
    <s v="Intangibles, King County outside RTA District, WA : INT-0000 WA01700000"/>
    <n v="68173662"/>
    <s v="C303 INT Misc Intangible Plant"/>
    <n v="143008062"/>
    <s v="2023 CAP MAINT PLATFORM - SW.CN.10Y"/>
    <s v="2023 CAP MAINT PLATFORM - SW.CN.10YRS"/>
    <s v="12/2023"/>
    <n v="1"/>
    <n v="8843564.9399999995"/>
    <n v="319172.39"/>
    <n v="8524392.5500000007"/>
    <x v="0"/>
    <x v="0"/>
  </r>
</pivotCacheRecords>
</file>

<file path=xl/pivotCache/pivotCacheRecords10.xml><?xml version="1.0" encoding="utf-8"?>
<pivotCacheRecords xmlns="http://schemas.openxmlformats.org/spreadsheetml/2006/main" xmlns:r="http://schemas.openxmlformats.org/officeDocument/2006/relationships" count="136">
  <r>
    <s v="Intangible Plant, Electric"/>
    <s v="Electric"/>
    <s v="Intangibles, King County outside RTA District, WA : INT-0000 WA01700000"/>
    <n v="48"/>
    <s v="E301 INT Organization"/>
    <s v="CONV"/>
    <m/>
    <m/>
    <s v="12/2023"/>
    <n v="0"/>
    <n v="114201.76000000001"/>
    <n v="0"/>
    <n v="114201.76000000001"/>
    <x v="0"/>
    <x v="0"/>
  </r>
  <r>
    <s v="Intangible Plant, Electric"/>
    <s v="Electric"/>
    <s v="Intangibles, King County outside RTA District, WA : INT-0000 WA01700000"/>
    <n v="49758"/>
    <s v="E302 INT Franchises"/>
    <s v="CONV"/>
    <m/>
    <m/>
    <s v="12/2023"/>
    <n v="1"/>
    <n v="8096.1100000000006"/>
    <n v="7620.6100000000006"/>
    <n v="475.5"/>
    <x v="1"/>
    <x v="0"/>
  </r>
  <r>
    <s v="Intangible Plant, Electric"/>
    <s v="Electric"/>
    <s v="Intangibles, Pierce County outside RTA District, WA : INT-0000 WA02700000"/>
    <n v="49960"/>
    <s v="E302 INT Franchises"/>
    <s v="CONV"/>
    <m/>
    <m/>
    <s v="12/2023"/>
    <n v="1"/>
    <n v="548.16999999999996"/>
    <n v="476.8"/>
    <n v="71.37"/>
    <x v="1"/>
    <x v="0"/>
  </r>
  <r>
    <s v="Intangible Plant, Electric"/>
    <s v="Electric"/>
    <s v="Intangibles, King County outside RTA District, WA : INT-0000 WA01700000"/>
    <n v="56984"/>
    <s v="E302 INT Franchises"/>
    <s v="CONV"/>
    <m/>
    <m/>
    <s v="12/2023"/>
    <n v="1"/>
    <n v="807.34"/>
    <n v="696.51"/>
    <n v="110.83"/>
    <x v="1"/>
    <x v="0"/>
  </r>
  <r>
    <s v="Intangible Plant, Electric"/>
    <s v="Electric"/>
    <s v="Intangibles, King County outside RTA District, WA : INT-0000 WA01700000"/>
    <n v="56986"/>
    <s v="E302 INT Franchises"/>
    <s v="CONV"/>
    <m/>
    <m/>
    <s v="12/2023"/>
    <n v="1"/>
    <n v="5800.86"/>
    <n v="5004.5600000000004"/>
    <n v="796.30000000000007"/>
    <x v="1"/>
    <x v="0"/>
  </r>
  <r>
    <s v="Intangible Plant, Electric"/>
    <s v="Electric"/>
    <s v="Intangibles, Whatcom County, WA : INT-0000 WA03700000"/>
    <n v="57430"/>
    <s v="E302 INT Franchises"/>
    <s v="CONV"/>
    <m/>
    <m/>
    <s v="12/2023"/>
    <n v="1"/>
    <n v="226.76"/>
    <n v="195.63"/>
    <n v="31.13"/>
    <x v="1"/>
    <x v="0"/>
  </r>
  <r>
    <s v="Intangible Plant, Electric"/>
    <s v="Electric"/>
    <s v="Intangibles, Whatcom County, WA : INT-0000 WA03700000"/>
    <n v="75790"/>
    <s v="E302 INT Franchises"/>
    <s v="CONV"/>
    <m/>
    <m/>
    <s v="12/2023"/>
    <n v="1"/>
    <n v="5314.1500000000005"/>
    <n v="4431.9000000000005"/>
    <n v="882.25"/>
    <x v="1"/>
    <x v="0"/>
  </r>
  <r>
    <s v="Intangible Plant, Electric"/>
    <s v="Electric"/>
    <s v="Snoqualmie 1 Hydro Prod Facility : GNR-SG1"/>
    <n v="78761"/>
    <s v="E302 INT Franchises, Snoqualmie "/>
    <s v="CONV"/>
    <m/>
    <m/>
    <s v="12/2023"/>
    <n v="1"/>
    <n v="13330342.369999999"/>
    <n v="6396196.5999999996"/>
    <n v="6934145.7699999996"/>
    <x v="1"/>
    <x v="1"/>
  </r>
  <r>
    <s v="Intangible Plant, Electric"/>
    <s v="Electric"/>
    <s v="Snoqualmie 1 Hydro Prod Facility : GNR-SG1"/>
    <n v="81525"/>
    <s v="E302 INT Franchises, Snoqualmie "/>
    <s v="CONV"/>
    <m/>
    <m/>
    <s v="12/2023"/>
    <n v="1"/>
    <n v="17484.53"/>
    <n v="8260.2999999999993"/>
    <n v="9224.23"/>
    <x v="1"/>
    <x v="1"/>
  </r>
  <r>
    <s v="Intangible Plant, Electric"/>
    <s v="Electric"/>
    <s v="Intangibles, King County outside RTA District, WA : INT-0000 WA01700000"/>
    <n v="81617"/>
    <s v="E302 INT Franchises"/>
    <s v="CONV"/>
    <m/>
    <m/>
    <s v="12/2023"/>
    <n v="1"/>
    <n v="18789.68"/>
    <n v="17770.100000000002"/>
    <n v="1019.58"/>
    <x v="1"/>
    <x v="0"/>
  </r>
  <r>
    <s v="Intangible Plant, Electric"/>
    <s v="Electric"/>
    <s v="Intangibles, King County outside RTA District, WA : INT-0000 WA01700000"/>
    <n v="81625"/>
    <s v="E302 INT Franchises"/>
    <s v="CONV"/>
    <m/>
    <m/>
    <s v="12/2023"/>
    <n v="1"/>
    <n v="2927"/>
    <n v="2768.17"/>
    <n v="158.83000000000001"/>
    <x v="1"/>
    <x v="0"/>
  </r>
  <r>
    <s v="Intangible Plant, Electric"/>
    <s v="Electric"/>
    <s v="Snoqualmie 1 Hydro Prod Facility : GNR-SG1"/>
    <n v="83082"/>
    <s v="E302 INT Franchises, Snoqualmie "/>
    <s v="CONV"/>
    <m/>
    <m/>
    <s v="12/2023"/>
    <n v="1"/>
    <n v="608014.69000000006"/>
    <n v="276040.37"/>
    <n v="331974.32"/>
    <x v="1"/>
    <x v="1"/>
  </r>
  <r>
    <s v="Intangible Plant, Electric"/>
    <s v="Electric"/>
    <s v="Intangibles, Whatcom County, WA : INT-0000 WA03700000"/>
    <n v="83205"/>
    <s v="E302 INT Franchises"/>
    <s v="CONV"/>
    <m/>
    <m/>
    <s v="12/2023"/>
    <n v="1"/>
    <n v="4419.08"/>
    <n v="3167.6800000000003"/>
    <n v="1251.4000000000001"/>
    <x v="1"/>
    <x v="0"/>
  </r>
  <r>
    <s v="Intangible Plant, Electric"/>
    <s v="Electric"/>
    <s v="Intangibles, Pierce County outside RTA District, WA : INT-0000 WA02700000"/>
    <n v="85967"/>
    <s v="E302 INT Franchises"/>
    <s v="CONV"/>
    <m/>
    <m/>
    <s v="12/2023"/>
    <n v="1"/>
    <n v="13327.73"/>
    <n v="9553.58"/>
    <n v="3774.15"/>
    <x v="1"/>
    <x v="0"/>
  </r>
  <r>
    <s v="Intangible Plant, Electric"/>
    <s v="Electric"/>
    <s v="Snoqualmie 1 Hydro Prod Facility : GNR-SG1"/>
    <n v="86440"/>
    <s v="E302 INT Franchises, Snoqualmie "/>
    <s v="CONV"/>
    <m/>
    <m/>
    <s v="12/2023"/>
    <n v="2"/>
    <n v="1032218.68"/>
    <n v="387644.96"/>
    <n v="644573.72"/>
    <x v="1"/>
    <x v="1"/>
  </r>
  <r>
    <s v="Intangible Plant, Electric"/>
    <s v="Electric"/>
    <s v="Intangibles, King County outside RTA District, WA : INT-0000 WA01700000"/>
    <n v="91991"/>
    <s v="E302 INT Franchises"/>
    <s v="CONV"/>
    <m/>
    <m/>
    <s v="12/2023"/>
    <n v="1"/>
    <n v="7002.62"/>
    <n v="6922.04"/>
    <n v="80.58"/>
    <x v="1"/>
    <x v="0"/>
  </r>
  <r>
    <s v="Intangible Plant, Electric"/>
    <s v="Electric"/>
    <s v="Intangibles, Kittitas County, WA : INT-0000 WA01900000"/>
    <n v="3029036"/>
    <s v="E302 INT Franchises"/>
    <n v="130001845"/>
    <s v="COUNTY OF KITTITAS FRANCHISE- E -RE"/>
    <s v="COUNTY OF KITTITAS FRANCHISE- E -RENEWAL"/>
    <s v="12/2023"/>
    <n v="1"/>
    <n v="4563.1000000000004"/>
    <n v="3457.19"/>
    <n v="1105.9100000000001"/>
    <x v="1"/>
    <x v="0"/>
  </r>
  <r>
    <s v="Intangible Plant, Electric"/>
    <s v="Electric"/>
    <s v="Baker Project Relicense: GNR-BRP"/>
    <n v="5127684"/>
    <s v="E302 INT Franchises, Baker Project"/>
    <n v="103000085"/>
    <s v="9999E999BAKER RELICENSE"/>
    <s v="9999E999BAKER RELICENSE"/>
    <s v="12/2023"/>
    <n v="1"/>
    <n v="39719237.369999997"/>
    <n v="11939281.42"/>
    <n v="27779955.949999999"/>
    <x v="1"/>
    <x v="1"/>
  </r>
  <r>
    <s v="Intangible Plant, Electric"/>
    <s v="Electric"/>
    <s v="Intangibles, King County outside RTA District, WA : INT-0000 WA01700000"/>
    <n v="6301802"/>
    <s v="E302 INT Franchises"/>
    <n v="130000422"/>
    <s v="CITY OF NORMANDY PARK FRANCHISE-E-R"/>
    <s v="CITY OF NORMANDY PARK FRANCHISE-E-RENEW"/>
    <s v="12/2023"/>
    <n v="1"/>
    <n v="15702.44"/>
    <n v="11896.800000000001"/>
    <n v="3805.64"/>
    <x v="1"/>
    <x v="0"/>
  </r>
  <r>
    <s v="Intangible Plant, Electric"/>
    <s v="Electric"/>
    <s v="Intangibles, Thurston County, WA : INT-0000 WA03400000"/>
    <n v="12193388"/>
    <s v="E302 INT Franchises"/>
    <s v="CONV"/>
    <m/>
    <m/>
    <s v="12/2023"/>
    <n v="0"/>
    <n v="43991.5"/>
    <n v="31533.98"/>
    <n v="12457.52"/>
    <x v="1"/>
    <x v="0"/>
  </r>
  <r>
    <s v="Intangible Plant, Electric"/>
    <s v="Electric"/>
    <s v="Intangibles, Pierce County outside RTA District, WA : INT-0000 WA02700000"/>
    <n v="17963556"/>
    <s v="E302 INT Franchises"/>
    <n v="130005886"/>
    <s v="Town of Wilkeson - Electric - RENEW"/>
    <s v="Town of Wilkeson - Electric - RENEWAL"/>
    <s v="12/2023"/>
    <n v="1"/>
    <n v="6714.77"/>
    <n v="6642.17"/>
    <n v="72.600000000000009"/>
    <x v="1"/>
    <x v="0"/>
  </r>
  <r>
    <s v="Intangible Plant, Electric"/>
    <s v="Electric"/>
    <s v="Intangibles, King County outside RTA District, WA : INT-0000 WA01700000"/>
    <n v="17963559"/>
    <s v="E302 INT Franchises"/>
    <n v="130006201"/>
    <s v="City of Sea Tac - Renewal - Electri"/>
    <s v="City of Sea Tac - Renewal - Electric"/>
    <s v="12/2023"/>
    <n v="1"/>
    <n v="14368.74"/>
    <n v="14213.39"/>
    <n v="155.35"/>
    <x v="1"/>
    <x v="0"/>
  </r>
  <r>
    <s v="Intangible Plant, Electric"/>
    <s v="Electric"/>
    <s v="Intangibles, King County outside RTA District, WA : INT-0000 WA01700000"/>
    <n v="17963572"/>
    <s v="E302 INT Franchises"/>
    <n v="141000641"/>
    <s v="CITY OF KIRKLAND - ELECTRIC - RENEW"/>
    <s v="CITY OF KIRKLAND - ELECTRIC - RENEWAL"/>
    <s v="12/2023"/>
    <n v="1"/>
    <n v="7276.17"/>
    <n v="7197.5"/>
    <n v="78.67"/>
    <x v="1"/>
    <x v="0"/>
  </r>
  <r>
    <s v="Intangible Plant, Electric"/>
    <s v="Electric"/>
    <s v="Intangibles, Pierce County outside RTA District, WA : INT-0000 WA02700000"/>
    <n v="19199550"/>
    <s v="E302 INT Franchises"/>
    <n v="130006101"/>
    <s v="WSDOT SR162 Franchise Renewal - Ele"/>
    <s v="WSDOT SR162 Franchise Renewal - Electric"/>
    <s v="12/2023"/>
    <n v="1"/>
    <n v="39780.379999999997"/>
    <n v="39350.29"/>
    <n v="430.09000000000003"/>
    <x v="1"/>
    <x v="0"/>
  </r>
  <r>
    <s v="Intangible Plant, Electric"/>
    <s v="Electric"/>
    <s v="Upper Baker Hydro Prod Facility : GNR-BRU"/>
    <n v="23406171"/>
    <s v="E302 INT Franchises, Baker Project"/>
    <n v="103007279"/>
    <s v="UBK SA 505 FOREST SERVICE ROAD 1152"/>
    <s v="UBK SA 505 FOREST SERVICE ROAD 1152 DECO"/>
    <s v="12/2023"/>
    <n v="1"/>
    <n v="222357.94"/>
    <n v="74965.150000000009"/>
    <n v="147392.79"/>
    <x v="1"/>
    <x v="1"/>
  </r>
  <r>
    <s v="Intangible Plant, Electric"/>
    <s v="Electric"/>
    <s v="Intangibles, Kitsap County, WA : INT-0000 WA01800000"/>
    <n v="27906141"/>
    <s v="E302 INT Franchises"/>
    <n v="130005885"/>
    <s v="Kitsap County - Electric - RENEWAL"/>
    <s v="Kitsap County - Electric - RENEWAL"/>
    <s v="12/2023"/>
    <n v="1"/>
    <n v="15588.89"/>
    <n v="8398.84"/>
    <n v="7190.05"/>
    <x v="1"/>
    <x v="0"/>
  </r>
  <r>
    <s v="Intangible Plant, Electric"/>
    <s v="Electric"/>
    <s v="Intangibles, Pierce County outside RTA District, WA : INT-0000 WA02700000"/>
    <n v="29058496"/>
    <s v="E302 INT Franchises"/>
    <n v="141002065"/>
    <s v="CITY OF SUMNER - ELECTRIC - RENEWAL"/>
    <s v="CITY OF SUMNER - ELECTRIC - RENEWAL"/>
    <s v="12/2023"/>
    <n v="1"/>
    <n v="3195.98"/>
    <n v="1721.9"/>
    <n v="1474.08"/>
    <x v="1"/>
    <x v="0"/>
  </r>
  <r>
    <s v="Intangible Plant, Electric"/>
    <s v="Electric"/>
    <s v="Intangibles, Pierce County outside RTA District, WA : INT-0000 WA02700000"/>
    <n v="29058499"/>
    <s v="E302 INT Franchises"/>
    <n v="141002721"/>
    <s v="CITY OF ROY - ELECTRIC - RENEWAL   "/>
    <s v="CITY OF ROY - ELECTRIC - RENEWAL"/>
    <s v="12/2023"/>
    <n v="1"/>
    <n v="9446.5"/>
    <n v="5089.5"/>
    <n v="4357"/>
    <x v="1"/>
    <x v="0"/>
  </r>
  <r>
    <s v="Intangible Plant, Electric"/>
    <s v="Electric"/>
    <s v="Intangibles, Kitsap County, WA : INT-0000 WA01800000"/>
    <n v="29291178"/>
    <s v="E302 INT Franchises"/>
    <n v="141002961"/>
    <s v="CITY OF PORT ORCHARD - ELECTRIC - R"/>
    <s v="CITY OF PORT ORCHARD - ELECTRIC - RENEWA"/>
    <s v="12/2023"/>
    <n v="1"/>
    <n v="5966.97"/>
    <n v="3214.83"/>
    <n v="2752.14"/>
    <x v="1"/>
    <x v="0"/>
  </r>
  <r>
    <s v="Intangible Plant, Electric"/>
    <s v="Electric"/>
    <s v="Intangibles, Skagit County, WA : INT-0000 WA02900000"/>
    <n v="30785887"/>
    <s v="E302 INT Franchises"/>
    <n v="141002029"/>
    <s v="WSDOT STATE HIGHWAYS - SKAGIT COUNT"/>
    <s v="WSDOT STATE HIGHWAYS - SKAGIT COUNTY - R"/>
    <s v="12/2023"/>
    <n v="1"/>
    <n v="59.96"/>
    <n v="32.56"/>
    <n v="27.400000000000002"/>
    <x v="1"/>
    <x v="0"/>
  </r>
  <r>
    <s v="Intangible Plant, Electric"/>
    <s v="Electric"/>
    <s v="Intangibles, Whatcom County, WA : INT-0000 WA03700000"/>
    <n v="30785890"/>
    <s v="E302 INT Franchises"/>
    <n v="141002036"/>
    <s v="WSDOT STATE HIGHWAYS - WHATCOM COUN"/>
    <s v="WSDOT STATE HIGHWAYS - WHATCOM COUNTY -"/>
    <s v="12/2023"/>
    <n v="1"/>
    <n v="108171.35"/>
    <n v="58746.450000000004"/>
    <n v="49424.9"/>
    <x v="1"/>
    <x v="0"/>
  </r>
  <r>
    <s v="Intangible Plant, Electric"/>
    <s v="Electric"/>
    <s v="Baker Project Relicense: GNR-BRP"/>
    <n v="32266099"/>
    <s v="E302 INT Franchises, Baker Project"/>
    <n v="103007846"/>
    <s v="UBK BAKER SPUR RD                  "/>
    <s v="UBK BAKER SPUR RD"/>
    <s v="12/2023"/>
    <n v="1"/>
    <n v="409059.13"/>
    <n v="61726.080000000002"/>
    <n v="347333.05"/>
    <x v="1"/>
    <x v="1"/>
  </r>
  <r>
    <s v="Intangible Plant, Electric"/>
    <s v="Electric"/>
    <s v="Intangibles, King County outside RTA District, WA : INT-0000 WA01700000"/>
    <n v="32788886"/>
    <s v="E302 INT Franchises"/>
    <n v="141002954"/>
    <s v="PSE'S OH TRANSMISSION EASEMENT CROS"/>
    <s v="PSE'S OH TRANSMISSION EASEMENT CROSSING"/>
    <s v="12/2023"/>
    <n v="1"/>
    <n v="22400"/>
    <n v="12165.15"/>
    <n v="10234.85"/>
    <x v="1"/>
    <x v="0"/>
  </r>
  <r>
    <s v="Intangible Plant, Electric"/>
    <s v="Electric"/>
    <s v="Intangibles, Whatcom County, WA : INT-0000 WA03700000"/>
    <n v="33001835"/>
    <s v="E302 INT Franchises"/>
    <n v="141002062"/>
    <s v="CITY OF EVERSON - ELECTRIC - RENEWA"/>
    <s v="CITY OF EVERSON - ELECTRIC - RENEWAL##"/>
    <s v="12/2023"/>
    <n v="1"/>
    <n v="18827.75"/>
    <n v="10225.1"/>
    <n v="8602.65"/>
    <x v="1"/>
    <x v="0"/>
  </r>
  <r>
    <s v="Intangible Plant, Electric"/>
    <s v="Electric"/>
    <s v="Intangibles, Whatcom County, WA : INT-0000 WA03700000"/>
    <n v="33001838"/>
    <s v="E302 INT Franchises"/>
    <n v="141002063"/>
    <s v="CITY OF LYNDEN - ELECTRIC - RENEWAL"/>
    <s v="CITY OF LYNDEN - ELECTRIC - RENEWAL"/>
    <s v="12/2023"/>
    <n v="1"/>
    <n v="13811.89"/>
    <n v="7501.06"/>
    <n v="6310.83"/>
    <x v="1"/>
    <x v="0"/>
  </r>
  <r>
    <s v="Intangible Plant, Electric"/>
    <s v="Electric"/>
    <s v="Intangibles, Island County, WA : INT-0000 WA01500000"/>
    <n v="33001855"/>
    <s v="E302 INT Franchises"/>
    <n v="141003254"/>
    <s v="CITY OF OAK HARBOR - ELECTRIC - REN"/>
    <s v="CITY OF OAK HARBOR - ELECTRIC - RENEWAL"/>
    <s v="12/2023"/>
    <n v="1"/>
    <n v="10033.85"/>
    <n v="5449.25"/>
    <n v="4584.6000000000004"/>
    <x v="1"/>
    <x v="0"/>
  </r>
  <r>
    <s v="Intangible Plant, Electric"/>
    <s v="Electric"/>
    <s v="Intangibles, Whatcom County, WA : INT-0000 WA03700000"/>
    <n v="35621631"/>
    <s v="E302 INT Franchises"/>
    <n v="141004140"/>
    <s v="WSDOT STATE HIGHWAYS - WHATCOM COUN"/>
    <s v="WSDOT STATE HIGHWAYS - WHATCOM COUNTY -"/>
    <s v="12/2023"/>
    <n v="4"/>
    <n v="2510.6799999999998"/>
    <n v="1386.22"/>
    <n v="1124.46"/>
    <x v="1"/>
    <x v="0"/>
  </r>
  <r>
    <s v="Intangible Plant, Electric"/>
    <s v="Electric"/>
    <s v="Intangibles, Skagit County, WA : INT-0000 WA02900000"/>
    <n v="36472367"/>
    <s v="E302 INT Franchises"/>
    <n v="141004280"/>
    <s v="WSDOT STATE HIGHWAYS - SKAGIT COUNT"/>
    <s v="WSDOT STATE HIGHWAYS - SKAGIT COUNTY - R"/>
    <s v="12/2023"/>
    <n v="2"/>
    <n v="38.74"/>
    <n v="21.39"/>
    <n v="17.350000000000001"/>
    <x v="1"/>
    <x v="0"/>
  </r>
  <r>
    <s v="Intangible Plant, Electric"/>
    <s v="Electric"/>
    <s v="Intangibles, Whatcom County, WA : INT-0000 WA03700000"/>
    <n v="36472370"/>
    <s v="E302 INT Franchises"/>
    <n v="141004281"/>
    <s v="WSDOT STATE HIGHWAYS - WHATCOM COUN"/>
    <s v="WSDOT STATE HIGHWAYS - WHATCOM COUNTY -"/>
    <s v="12/2023"/>
    <n v="2"/>
    <n v="2068.71"/>
    <n v="1142.19"/>
    <n v="926.52"/>
    <x v="1"/>
    <x v="0"/>
  </r>
  <r>
    <s v="Intangible Plant, Electric"/>
    <s v="Electric"/>
    <s v="Intangibles, Skagit County, WA : INT-0000 WA02900000"/>
    <n v="37541392"/>
    <s v="E302 INT Franchises"/>
    <n v="141004388"/>
    <s v="WSDOT STATE HIGHWAYS - SKAGIT COUNT"/>
    <s v="WSDOT STATE HIGHWAYS - SKAGIT COUNTY - R"/>
    <s v="12/2023"/>
    <n v="1"/>
    <n v="21560.53"/>
    <n v="11904.16"/>
    <n v="9656.3700000000008"/>
    <x v="1"/>
    <x v="0"/>
  </r>
  <r>
    <s v="Intangible Plant, Electric"/>
    <s v="Electric"/>
    <s v="Intangibles, King County outside RTA District, WA : INT-0000 WA01700000"/>
    <n v="37541395"/>
    <s v="E302 INT Franchises"/>
    <n v="141004389"/>
    <s v="WSDOT STATE HIGHWAYS - KING COUNTY "/>
    <s v="WSDOT STATE HIGHWAYS - KING COUNTY - REN"/>
    <s v="12/2023"/>
    <n v="1"/>
    <n v="8328.44"/>
    <n v="4598.3599999999997"/>
    <n v="3730.08"/>
    <x v="1"/>
    <x v="0"/>
  </r>
  <r>
    <s v="Intangible Plant, Electric"/>
    <s v="Electric"/>
    <s v="Intangibles, Kitsap County, WA : INT-0000 WA01800000"/>
    <n v="44534274"/>
    <s v="E302 INT Franchises"/>
    <n v="141002061"/>
    <s v="CITY OF BREMERTON - ELECTRIC - RENE"/>
    <s v="CITY OF BREMERTON - ELECTRIC - RENEWAL"/>
    <s v="12/2023"/>
    <n v="2"/>
    <n v="48907.01"/>
    <n v="15939.53"/>
    <n v="32967.480000000003"/>
    <x v="1"/>
    <x v="2"/>
  </r>
  <r>
    <s v="Intangible Plant, Electric"/>
    <s v="Electric"/>
    <s v="Intangibles, Thurston County, WA : INT-0000 WA03400000"/>
    <n v="44534277"/>
    <s v="E302 INT Franchises"/>
    <n v="141002067"/>
    <s v="CITY OF TENINO - ELECTRIC - RENEWAL"/>
    <s v="CITY OF TENINO - ELECTRIC - RENEWAL"/>
    <s v="12/2023"/>
    <n v="1"/>
    <n v="5883.95"/>
    <n v="1917.67"/>
    <n v="3966.28"/>
    <x v="1"/>
    <x v="0"/>
  </r>
  <r>
    <s v="Intangible Plant, Electric"/>
    <s v="Electric"/>
    <s v="Intangibles, King County outside RTA District, WA : INT-0000 WA01700000"/>
    <n v="44740844"/>
    <s v="E302 INT Franchises"/>
    <n v="141003382"/>
    <s v="CITY OF BLACK DIAMOND - ELECTRIC - "/>
    <s v="CITY OF BLACK DIAMOND - ELECTRIC - RENEW"/>
    <s v="12/2023"/>
    <n v="1"/>
    <n v="13478.36"/>
    <n v="4392.8"/>
    <n v="9085.56"/>
    <x v="1"/>
    <x v="0"/>
  </r>
  <r>
    <s v="Intangible Plant, Electric"/>
    <s v="Electric"/>
    <s v="Intangibles, Whatcom County, WA : INT-0000 WA03700000"/>
    <n v="44740847"/>
    <s v="E302 INT Franchises"/>
    <n v="141003383"/>
    <s v="CITY OF FERNDALE - ELECTRIC - RENEW"/>
    <s v="CITY OF FERNDALE - ELECTRIC - RENEWAL"/>
    <s v="12/2023"/>
    <n v="1"/>
    <n v="8016.56"/>
    <n v="2612.7200000000003"/>
    <n v="5403.84"/>
    <x v="1"/>
    <x v="0"/>
  </r>
  <r>
    <s v="Intangible Plant, Electric"/>
    <s v="Electric"/>
    <s v="Intangibles, King County outside RTA District, WA : INT-0000 WA01700000"/>
    <n v="50297678"/>
    <s v="E302 INT Franchises"/>
    <n v="141003380"/>
    <s v="CITY OF AUBURN - ELECTRIC - RENEWAL"/>
    <s v="CITY OF AUBURN - ELECTRIC - RENEWAL"/>
    <s v="12/2023"/>
    <n v="7"/>
    <n v="59629.69"/>
    <n v="13895.68"/>
    <n v="45734.01"/>
    <x v="1"/>
    <x v="0"/>
  </r>
  <r>
    <s v="Intangible Plant, Electric"/>
    <s v="Electric"/>
    <s v="Baker Project Relicense: GNR-BRP"/>
    <n v="51153734"/>
    <s v="E302 INT Franchises, Baker Project"/>
    <n v="103008978"/>
    <s v="9999E999 CAREY'S CREEK BARRIER CULV"/>
    <s v="9999E999 CAREY'S CREEK BARRIER CULVERT I"/>
    <s v="12/2023"/>
    <n v="1"/>
    <n v="88088.78"/>
    <n v="25325.420000000002"/>
    <n v="62763.360000000001"/>
    <x v="1"/>
    <x v="1"/>
  </r>
  <r>
    <s v="Intangible Plant, Electric"/>
    <s v="Electric"/>
    <s v="Intangibles, King County outside RTA District, WA : INT-0000 WA01700000"/>
    <n v="51528133"/>
    <s v="E302 INT Franchises"/>
    <n v="141005540"/>
    <s v="STATE OF WASHINGTON PARKS &amp; REC PER"/>
    <s v="STATE OF WASHINGTON PARKS &amp; REC PERMIT"/>
    <s v="12/2023"/>
    <n v="2"/>
    <n v="12000"/>
    <n v="2796.39"/>
    <n v="9203.61"/>
    <x v="1"/>
    <x v="0"/>
  </r>
  <r>
    <s v="Intangible Plant, Electric"/>
    <s v="Electric"/>
    <s v="Intangibles, King County outside RTA District, WA : INT-0000 WA01700000"/>
    <n v="52234512"/>
    <s v="E302 INT Franchises"/>
    <n v="141002031"/>
    <s v="WSDOT STATE HIGHWAYS - KING COUNTY "/>
    <s v="WSDOT STATE HIGHWAYS - KING COUNTY - REN"/>
    <s v="12/2023"/>
    <n v="0"/>
    <n v="411757.86"/>
    <n v="227342.80000000002"/>
    <n v="184415.06"/>
    <x v="1"/>
    <x v="0"/>
  </r>
  <r>
    <s v="Intangible Plant, Electric"/>
    <s v="Electric"/>
    <s v="Intangibles, Kittitas County, WA : INT-0000 WA01900000"/>
    <n v="52234517"/>
    <s v="E302 INT Franchises"/>
    <n v="141002032"/>
    <s v="WSDOT STATE HIGHWAYS - KITTITAS COU"/>
    <s v="WSDOT STATE HIGHWAYS - KITTITAS COUNTY -"/>
    <s v="12/2023"/>
    <n v="0"/>
    <n v="150277"/>
    <n v="48977.54"/>
    <n v="101299.46"/>
    <x v="1"/>
    <x v="0"/>
  </r>
  <r>
    <s v="Intangible Plant, Electric"/>
    <s v="Electric"/>
    <s v="Intangibles, Pierce County outside RTA District, WA : INT-0000 WA02700000"/>
    <n v="52234522"/>
    <s v="E302 INT Franchises"/>
    <n v="141002035"/>
    <s v="WSDOT STATE HIGHWAYS - PIERCE COUNT"/>
    <s v="WSDOT STATE HIGHWAYS - PIERCE COUNTY - R"/>
    <s v="12/2023"/>
    <n v="0"/>
    <n v="355465.29"/>
    <n v="115851.51000000001"/>
    <n v="239613.78"/>
    <x v="1"/>
    <x v="0"/>
  </r>
  <r>
    <s v="Intangible Plant, Electric"/>
    <s v="Electric"/>
    <s v="Intangibles, Thurston County, WA : INT-0000 WA03400000"/>
    <n v="52234527"/>
    <s v="E302 INT Franchises"/>
    <n v="141002037"/>
    <s v="WSDOT STATE HIGHWAYS - THURSTON COU"/>
    <s v="WSDOT STATE HIGHWAYS - THURSTON COUNTY -"/>
    <s v="12/2023"/>
    <n v="0"/>
    <n v="214717.54"/>
    <n v="69979.69"/>
    <n v="144737.85"/>
    <x v="1"/>
    <x v="0"/>
  </r>
  <r>
    <s v="Intangible Plant, Electric"/>
    <s v="Electric"/>
    <s v="Intangibles, Kittitas County, WA : INT-0000 WA01900000"/>
    <n v="52234534"/>
    <s v="E302 INT Franchises"/>
    <n v="141002934"/>
    <s v="WLD EAGLE CONSERVATION PLAN -FOT"/>
    <s v="WLD EAGLE CONSERVATION PLAN -FOT"/>
    <s v="12/2023"/>
    <n v="0"/>
    <n v="636268.94000000006"/>
    <n v="207369.66"/>
    <n v="428899.28"/>
    <x v="1"/>
    <x v="0"/>
  </r>
  <r>
    <s v="Intangible Plant, Electric"/>
    <s v="Electric"/>
    <s v="Intangibles, Kitsap County, WA : INT-0000 WA01800000"/>
    <n v="52234539"/>
    <s v="E302 INT Franchises"/>
    <n v="141003105"/>
    <s v="WSDOT STATE HIGHWAYS - KITSAP COUNT"/>
    <s v="WSDOT STATE HIGHWAYS - KITSAP COUNTY - R"/>
    <s v="12/2023"/>
    <n v="0"/>
    <n v="287332.42"/>
    <n v="93645.98"/>
    <n v="193686.44"/>
    <x v="1"/>
    <x v="0"/>
  </r>
  <r>
    <s v="Intangible Plant, Electric"/>
    <s v="Electric"/>
    <s v="Intangibles, Skagit County, WA : INT-0000 WA02900000"/>
    <n v="54196089"/>
    <s v="E302 INT Franchises"/>
    <n v="141005443"/>
    <s v="Swinomish Channel permit"/>
    <s v="Swinomish Channel permit"/>
    <s v="12/2023"/>
    <n v="1"/>
    <n v="417877.57"/>
    <n v="97379.199999999997"/>
    <n v="320498.37"/>
    <x v="1"/>
    <x v="3"/>
  </r>
  <r>
    <s v="Intangible Plant, Electric"/>
    <s v="Electric"/>
    <s v="Intangibles, King County outside RTA District, WA : INT-0000 WA01700000"/>
    <n v="57552082"/>
    <s v="E302 INT Franchises"/>
    <n v="141003253"/>
    <s v="KING COUNTY FRANCHISE - RENEWAL - E"/>
    <s v="KING COUNTY FRANCHISE - RENEWAL - ELEC"/>
    <s v="12/2023"/>
    <n v="0"/>
    <n v="20439097.829999998"/>
    <n v="6661410.8200000003"/>
    <n v="13777687.01"/>
    <x v="1"/>
    <x v="0"/>
  </r>
  <r>
    <s v="Intangible Plant, Electric"/>
    <s v="Electric"/>
    <s v="Intangibles, King County outside RTA District, WA : INT-0000 WA01700000"/>
    <n v="58131017"/>
    <s v="E302 INT Franchises"/>
    <n v="141005441"/>
    <s v="USFS SUP (Mt Baker-Snoqualmie)"/>
    <s v="USFS SUP (Mt Baker-Snoqualmie)"/>
    <s v="12/2023"/>
    <n v="1"/>
    <n v="205507.1"/>
    <n v="47889.91"/>
    <n v="157617.19"/>
    <x v="1"/>
    <x v="4"/>
  </r>
  <r>
    <s v="Intangible Plant, Electric"/>
    <s v="Electric"/>
    <s v="Intangibles, King County outside RTA District, WA : INT-0000 WA01700000"/>
    <n v="59041323"/>
    <s v="E302 INT Franchises"/>
    <n v="141006613"/>
    <s v="USFS Forest Service permit 2022"/>
    <s v="USFS Forest Service permit 2022"/>
    <s v="12/2023"/>
    <n v="5"/>
    <n v="255543.87"/>
    <n v="44943.41"/>
    <n v="210600.46"/>
    <x v="1"/>
    <x v="3"/>
  </r>
  <r>
    <s v="Intangible Plant, Electric"/>
    <s v="Electric"/>
    <s v="Baker Project Relicense: GNR-BRP"/>
    <n v="60729875"/>
    <s v="E302 INT Franchises, Baker Project"/>
    <n v="103008478"/>
    <s v="9999E999 LB HANSEN CREEK CHANNEL RE"/>
    <s v="9999E999 LB HANSEN CREEK CHANNEL RELOCAT"/>
    <s v="12/2023"/>
    <n v="1"/>
    <n v="326040"/>
    <n v="51779.22"/>
    <n v="274260.78000000003"/>
    <x v="1"/>
    <x v="1"/>
  </r>
  <r>
    <s v="Intangible Plant, Electric"/>
    <s v="Electric"/>
    <s v="Intangibles, Skagit County, WA : INT-0000 WA02900000"/>
    <n v="61702402"/>
    <s v="E302 INT Franchises"/>
    <n v="141005601"/>
    <s v="DNR JARPA, SAUK RIVER, CONCRETE"/>
    <s v="DNR JARPA, SAUK RIVER, CONCRETE"/>
    <s v="12/2023"/>
    <n v="2"/>
    <n v="19145.63"/>
    <n v="3367.21"/>
    <n v="15778.42"/>
    <x v="1"/>
    <x v="0"/>
  </r>
  <r>
    <s v="Intangible Plant, Electric"/>
    <s v="Electric"/>
    <s v="Intangibles, King County outside RTA District, WA : INT-0000 WA01700000"/>
    <n v="63877806"/>
    <s v="E302 INT Franchises"/>
    <n v="141007617"/>
    <s v="USFS MT. BAKER-SNOQUALMIE NF SUP - "/>
    <s v="USFS MT. BAKER-SNOQUALMIE NF SUP - 2023"/>
    <s v="12/2023"/>
    <n v="1"/>
    <n v="296619.78999999998"/>
    <n v="18952.53"/>
    <n v="277667.26"/>
    <x v="1"/>
    <x v="4"/>
  </r>
  <r>
    <s v="Intangible Plant, Electric"/>
    <s v="Electric"/>
    <s v="Baker Project Relicense: GNR-BRP"/>
    <n v="65184461"/>
    <s v="E302 INT Franchises, Baker Project"/>
    <n v="103008901"/>
    <s v="9999E999 Carey's Slough Riparian Re"/>
    <s v="9999E999 Carey's Slough Riparian Restora"/>
    <s v="12/2023"/>
    <n v="1"/>
    <n v="47386.97"/>
    <n v="4146.3500000000004"/>
    <n v="43240.62"/>
    <x v="1"/>
    <x v="1"/>
  </r>
  <r>
    <s v="Intangible Plant, Electric"/>
    <s v="Electric"/>
    <s v="Intangibles, Kitsap County, WA : INT-0000 WA01800000"/>
    <n v="68172298"/>
    <s v="E302 INT Franchises"/>
    <n v="141005621"/>
    <s v="US NAVY DOD BREMERTON AND"/>
    <s v="US NAVY DOD BREMERTON AND"/>
    <s v="12/2023"/>
    <n v="1"/>
    <n v="117225.49"/>
    <n v="7490.13"/>
    <n v="109735.36"/>
    <x v="1"/>
    <x v="0"/>
  </r>
  <r>
    <s v="Intangible Plant, Electric"/>
    <s v="Electric"/>
    <s v="Lower Snake River Wind : GNR-LSR"/>
    <n v="17389625"/>
    <s v="E303 105  INT Misc Intangibles"/>
    <n v="103005200"/>
    <s v="9999E999 LSR PH 2 DEVELOP-1% CON O'"/>
    <s v="9999E999 LSR PH 2 DEVELOP-1% CON O'HD-EX"/>
    <s v="12/2023"/>
    <n v="1"/>
    <n v="22243545.989999998"/>
    <n v="0"/>
    <n v="22243545.989999998"/>
    <x v="2"/>
    <x v="5"/>
  </r>
  <r>
    <s v="Intangible Plant, Electric"/>
    <s v="Electric"/>
    <s v="Intangibles, King County outside RTA District, WA : INT-0000 WA01700000"/>
    <n v="43986426"/>
    <s v="E303 INT Misc Intangible Plant"/>
    <n v="141004261"/>
    <s v="MICROSOFT DA PILOT PROJECT-SW.CS.5Y"/>
    <s v="MICROSOFT DA PILOT PROJECT-SW.CS.5YR"/>
    <s v="12/2023"/>
    <n v="1"/>
    <n v="405438.56"/>
    <n v="339577.68"/>
    <n v="65860.88"/>
    <x v="2"/>
    <x v="0"/>
  </r>
  <r>
    <s v="Intangible Plant, Electric"/>
    <s v="Electric"/>
    <s v="Mint Farm Generation : GNR-MINT"/>
    <n v="43991897"/>
    <s v="E303 INT Misc Intangible Plant"/>
    <n v="141004685"/>
    <s v="OSISOFT PI HISTORIAN ENH. MINT FARM"/>
    <s v="OSISOFT PI HISTORIAN ENH. MINT FARM - SW"/>
    <s v="12/2023"/>
    <n v="1"/>
    <n v="10828.29"/>
    <n v="9069.3000000000011"/>
    <n v="1758.99"/>
    <x v="2"/>
    <x v="6"/>
  </r>
  <r>
    <s v="Intangible Plant, Electric"/>
    <s v="Electric"/>
    <s v="Intangibles, King County outside RTA District, WA : INT-0000 WA01700000"/>
    <n v="44534413"/>
    <s v="E303 INT Misc Intangible Plant"/>
    <n v="141004743"/>
    <s v="2019 OCALC LICENSES - SW.CN.4YR"/>
    <s v="2019 OCALC LICENSES - SW.CN.4YR"/>
    <s v="12/2023"/>
    <n v="1"/>
    <n v="38694.71"/>
    <n v="32409"/>
    <n v="6285.71"/>
    <x v="2"/>
    <x v="6"/>
  </r>
  <r>
    <s v="Intangible Plant, Electric"/>
    <s v="Electric"/>
    <s v="Intangibles, Skagit County, WA : INT-0000 WA02900000"/>
    <n v="45059373"/>
    <s v="E303 INT Misc Intangible Plant"/>
    <n v="141004985"/>
    <s v="BAKER COMM &amp; NETWORK ENH - SW.CN.4Y"/>
    <s v="BAKER COMM &amp; NETWORK ENH - SW.CN.4YR"/>
    <s v="12/2023"/>
    <n v="1"/>
    <n v="25881.82"/>
    <n v="19199.02"/>
    <n v="6682.8"/>
    <x v="2"/>
    <x v="1"/>
  </r>
  <r>
    <s v="Intangible Plant, Electric"/>
    <s v="Electric"/>
    <s v="Intangibles, King County outside RTA District, WA : INT-0000 WA01700000"/>
    <n v="45479333"/>
    <s v="E303 INT Misc Intangible Plant"/>
    <n v="141004701"/>
    <s v="Residential Electric Vehicle 19 - S"/>
    <s v="Residential Electric Vehicle 19 - SW.CN."/>
    <s v="12/2023"/>
    <n v="1"/>
    <n v="1009425.72"/>
    <n v="748787.54"/>
    <n v="260638.18"/>
    <x v="2"/>
    <x v="1"/>
  </r>
  <r>
    <s v="Intangible Plant, Electric"/>
    <s v="Electric"/>
    <s v="Intangibles, King County outside RTA District, WA : INT-0000 WA01700000"/>
    <n v="46648204"/>
    <s v="E303 INT Misc Intangible Plant"/>
    <n v="141004700"/>
    <s v="MFam/W Electric Vehicle 19 - SW.CN."/>
    <s v="MFam/W Electric Vehicle 19 - SW.CN.5YR -"/>
    <s v="12/2023"/>
    <n v="1"/>
    <n v="691275.63"/>
    <n v="512785.21"/>
    <n v="178490.42"/>
    <x v="2"/>
    <x v="1"/>
  </r>
  <r>
    <s v="Intangible Plant, Electric"/>
    <s v="Electric"/>
    <s v="Intangibles, King County outside RTA District, WA : INT-0000 WA01700000"/>
    <n v="47865860"/>
    <s v="E303 INT Misc Intangible Plant"/>
    <n v="141004702"/>
    <s v="Public Electric Vehicle 19 - SW.CN."/>
    <s v="Public Electric Vehicle 19 - SW.CN.5YR -"/>
    <s v="12/2023"/>
    <n v="1"/>
    <n v="569388.46"/>
    <n v="422369.84"/>
    <n v="147018.62"/>
    <x v="2"/>
    <x v="1"/>
  </r>
  <r>
    <s v="Intangible Plant, Electric"/>
    <s v="Electric"/>
    <s v="Upper Baker Hydro Prod Facility : GNR-BRU"/>
    <n v="48474793"/>
    <s v="E303 INT Misc Intangible Plant"/>
    <n v="103008120"/>
    <s v="LOWER DAY CREEK RIPARIAN RESTORATIO"/>
    <s v="LOWER DAY CREEK RIPARIAN RESTORATION - P"/>
    <s v="12/2023"/>
    <n v="0"/>
    <n v="86733.8"/>
    <n v="64338.75"/>
    <n v="22395.05"/>
    <x v="2"/>
    <x v="1"/>
  </r>
  <r>
    <s v="Intangible Plant, Electric"/>
    <s v="Electric"/>
    <s v="Intangibles, King County outside RTA District, WA : INT-0000 WA01700000"/>
    <n v="48922402"/>
    <s v="E303 INT Misc Intangible Plant"/>
    <n v="141005346"/>
    <s v="PURCHASE MATLAB SOFTWARE - SW.CN.5Y"/>
    <s v="PURCHASE MATLAB SOFTWARE - SW.CN.5YR"/>
    <s v="12/2023"/>
    <n v="1"/>
    <n v="14254.630000000001"/>
    <n v="10574.02"/>
    <n v="3680.61"/>
    <x v="2"/>
    <x v="1"/>
  </r>
  <r>
    <s v="Intangible Plant, Electric"/>
    <s v="Electric"/>
    <s v="Intangibles, King County outside RTA District, WA : INT-0000 WA01700000"/>
    <n v="49413632"/>
    <s v="E303 INT Misc Intangible Plant"/>
    <n v="141005183"/>
    <s v="ENHN MCG ENERGY ACCNTNG SYS - SW.CS"/>
    <s v="ENHN MCG ENERGY ACCNTNG SYS - SW.CS.5YR"/>
    <s v="12/2023"/>
    <n v="1"/>
    <n v="41534.14"/>
    <n v="30809.84"/>
    <n v="10724.300000000001"/>
    <x v="2"/>
    <x v="1"/>
  </r>
  <r>
    <s v="Intangible Plant, Electric"/>
    <s v="Electric"/>
    <s v="Intangibles, King County outside RTA District, WA : INT-0000 WA01700000"/>
    <n v="49944948"/>
    <s v="E303 INT Misc Intangible Plant"/>
    <n v="141004987"/>
    <s v="2020 EMS MODELING - SW.CS.3YR - STA"/>
    <s v="2020 EMS MODELING - SW.CS.3YR - STANDING"/>
    <s v="12/2023"/>
    <n v="1"/>
    <n v="308925.99"/>
    <n v="229159.93"/>
    <n v="79766.06"/>
    <x v="2"/>
    <x v="4"/>
  </r>
  <r>
    <s v="Intangible Plant, Electric"/>
    <s v="Electric"/>
    <s v="Intangibles, King County outside RTA District, WA : INT-0000 WA01700000"/>
    <n v="49944958"/>
    <s v="E303 INT Misc Intangible Plant"/>
    <n v="141004998"/>
    <s v="RITM0065350 SCHEMATIC DISPLAY - SW."/>
    <s v="RITM0065350 SCHEMATIC DISPLAY - SW.CS.5Y"/>
    <s v="12/2023"/>
    <n v="1"/>
    <n v="340624.79"/>
    <n v="252673.96"/>
    <n v="87950.83"/>
    <x v="2"/>
    <x v="4"/>
  </r>
  <r>
    <s v="Intangible Plant, Electric"/>
    <s v="Electric"/>
    <s v="Intangibles, King County outside RTA District, WA : INT-0000 WA01700000"/>
    <n v="49945037"/>
    <s v="E303 INT Misc Intangible Plant"/>
    <n v="141005240"/>
    <s v="AVIAN PROTECTION DATABASE - SW.CS.5"/>
    <s v="AVIAN PROTECTION DATABASE - SW.CS.5YR"/>
    <s v="12/2023"/>
    <n v="1"/>
    <n v="22949.760000000002"/>
    <n v="17024.03"/>
    <n v="5925.7300000000005"/>
    <x v="2"/>
    <x v="0"/>
  </r>
  <r>
    <s v="Intangible Plant, Electric"/>
    <s v="Electric"/>
    <s v="Intangibles, King County outside RTA District, WA : INT-0000 WA01700000"/>
    <n v="49945055"/>
    <s v="E303 INT Misc Intangible Plant"/>
    <n v="141005302"/>
    <s v="SAP CIS DEVICE MANAGEMENT Q4 - SW.C"/>
    <s v="SAP CIS DEVICE MANAGEMENT Q4 - SW.CS.5YR"/>
    <s v="12/2023"/>
    <n v="1"/>
    <n v="63591.71"/>
    <n v="47172.05"/>
    <n v="16419.66"/>
    <x v="2"/>
    <x v="0"/>
  </r>
  <r>
    <s v="Intangible Plant, Electric"/>
    <s v="Electric"/>
    <s v="Intangibles, Whatcom County, WA : INT-0000 WA03700000"/>
    <n v="50479271"/>
    <s v="E303 INT Misc Intangible Plant"/>
    <n v="141005283"/>
    <s v="SMS MARK VI UPGRADE - SW.CN.5YR"/>
    <s v="SMS MARK VI UPGRADE - SW.CN.5YR"/>
    <s v="12/2023"/>
    <n v="1"/>
    <n v="57272.75"/>
    <n v="12972.24"/>
    <n v="44300.51"/>
    <x v="2"/>
    <x v="1"/>
  </r>
  <r>
    <s v="Intangible Plant, Electric"/>
    <s v="Electric"/>
    <s v="Intangibles, King County outside RTA District, WA : INT-0000 WA01700000"/>
    <n v="50997799"/>
    <s v="E303 INT Misc Intangible Plant"/>
    <n v="141003947"/>
    <s v="ADMS-Distribution Management System"/>
    <s v="ADMS-Distribution Management System-SW.C"/>
    <s v="12/2023"/>
    <n v="1"/>
    <n v="18883634.539999999"/>
    <n v="4277129.63"/>
    <n v="14606504.91"/>
    <x v="2"/>
    <x v="4"/>
  </r>
  <r>
    <s v="Intangible Plant, Electric"/>
    <s v="Electric"/>
    <s v="Intangibles, King County outside RTA District, WA : INT-0000 WA01700000"/>
    <n v="50997858"/>
    <s v="E303 INT Misc Intangible Plant"/>
    <n v="141005481"/>
    <s v="NWPP DISPLAY RESERVE FLOWS - SW.CS."/>
    <s v="NWPP DISPLAY RESERVE FLOWS - SW.CS.5YR"/>
    <s v="12/2023"/>
    <n v="1"/>
    <n v="14002.77"/>
    <n v="3171.62"/>
    <n v="10831.15"/>
    <x v="2"/>
    <x v="1"/>
  </r>
  <r>
    <s v="Intangible Plant, Electric"/>
    <s v="Electric"/>
    <s v="Intangibles, King County outside RTA District, WA : INT-0000 WA01700000"/>
    <n v="53009558"/>
    <s v="E303 INT Misc Intangible Plant"/>
    <n v="141005767"/>
    <s v="BUCC LO Display Enhancements - SW.C"/>
    <s v="BUCC LO Display Enhancements - SW.CS.5YR"/>
    <s v="12/2023"/>
    <n v="1"/>
    <n v="14120.210000000001"/>
    <n v="3198.2200000000003"/>
    <n v="10921.99"/>
    <x v="2"/>
    <x v="4"/>
  </r>
  <r>
    <s v="Intangible Plant, Electric"/>
    <s v="Electric"/>
    <s v="Intangibles, King County outside RTA District, WA : INT-0000 WA01700000"/>
    <n v="53506920"/>
    <s v="E303 INT Misc Intangible Plant"/>
    <n v="141005781"/>
    <s v="Licenses for PSEs Electric System -"/>
    <s v="Licenses for PSEs Electric System - SW.C"/>
    <s v="12/2023"/>
    <n v="1"/>
    <n v="31214.010000000002"/>
    <n v="7069.95"/>
    <n v="24144.06"/>
    <x v="2"/>
    <x v="6"/>
  </r>
  <r>
    <s v="Intangible Plant, Electric"/>
    <s v="Electric"/>
    <s v="Intangibles, King County outside RTA District, WA : INT-0000 WA01700000"/>
    <n v="54015134"/>
    <s v="E303 INT Misc Intangible Plant"/>
    <n v="141005303"/>
    <s v="COMMUNITY SOLAR IT - SW.CS.5YR"/>
    <s v="COMMUNITY SOLAR IT - SW.CS.5YR"/>
    <s v="12/2023"/>
    <n v="0"/>
    <n v="2173786.21"/>
    <n v="492361.01"/>
    <n v="1681425.2000000002"/>
    <x v="2"/>
    <x v="1"/>
  </r>
  <r>
    <s v="Intangible Plant, Electric"/>
    <s v="Electric"/>
    <s v="Intangibles, King County outside RTA District, WA : INT-0000 WA01700000"/>
    <n v="56540230"/>
    <s v="E303 INT Misc Intangible Plant"/>
    <n v="141005049"/>
    <s v="IWM RELEASE EFR - SW.CS.10YR"/>
    <s v="IWM RELEASE EFR - SW.CS.10YR"/>
    <s v="12/2023"/>
    <n v="1"/>
    <n v="25794497.960000001"/>
    <n v="5842435.2199999997"/>
    <n v="19952062.739999998"/>
    <x v="2"/>
    <x v="0"/>
  </r>
  <r>
    <s v="Intangible Plant, Electric"/>
    <s v="Electric"/>
    <s v="Intangibles, King County outside RTA District, WA : INT-0000 WA01700000"/>
    <n v="57306014"/>
    <s v="E303 INT Misc Intangible Plant"/>
    <n v="141005752"/>
    <s v="RATE ADD OF SCHEDULES 26 AND 31 - S"/>
    <s v="RATE ADD OF SCHEDULES 26 AND 31 - SW.CS."/>
    <s v="12/2023"/>
    <n v="1"/>
    <n v="104257.04000000001"/>
    <n v="23614.14"/>
    <n v="80642.900000000009"/>
    <x v="2"/>
    <x v="1"/>
  </r>
  <r>
    <s v="Intangible Plant, Electric"/>
    <s v="Electric"/>
    <s v="Intangibles, King County outside RTA District, WA : INT-0000 WA01700000"/>
    <n v="58131025"/>
    <s v="E303 INT Misc Intangible Plant"/>
    <n v="141005595"/>
    <s v="MCG DATA TRANSFER APP - SW.CN.5YR"/>
    <s v="MCG DATA TRANSFER APP - SW.CN.5YR"/>
    <s v="12/2023"/>
    <n v="1"/>
    <n v="135082.29999999999"/>
    <n v="30596.04"/>
    <n v="104486.26000000001"/>
    <x v="2"/>
    <x v="4"/>
  </r>
  <r>
    <s v="Intangible Plant, Electric"/>
    <s v="Electric"/>
    <s v="Intangibles, King County outside RTA District, WA : INT-0000 WA01700000"/>
    <n v="58131036"/>
    <s v="E303 INT Misc Intangible Plant"/>
    <n v="141005683"/>
    <s v="ESRI STORM APP ENHANCEMENTS - SW.CS"/>
    <s v="ESRI STORM APP ENHANCEMENTS - SW.CS.5YR"/>
    <s v="12/2023"/>
    <n v="1"/>
    <n v="30844.16"/>
    <n v="6986.18"/>
    <n v="23857.98"/>
    <x v="2"/>
    <x v="0"/>
  </r>
  <r>
    <s v="Intangible Plant, Electric"/>
    <s v="Electric"/>
    <s v="Intangibles, King County outside RTA District, WA : INT-0000 WA01700000"/>
    <n v="58340937"/>
    <s v="E303 INT Misc Intangible Plant"/>
    <n v="141005560"/>
    <s v="ELEC OSI PI ASST PI MIGR - SW.CN.10"/>
    <s v="ELEC OSI PI ASST PI MIGR - SW.CN.10YR"/>
    <s v="12/2023"/>
    <n v="1"/>
    <n v="157967.89000000001"/>
    <n v="35779.61"/>
    <n v="122188.28"/>
    <x v="2"/>
    <x v="6"/>
  </r>
  <r>
    <s v="Intangible Plant, Electric"/>
    <s v="Electric"/>
    <s v="Intangibles, King County outside RTA District, WA : INT-0000 WA01700000"/>
    <n v="58533066"/>
    <s v="E303 INT Misc Intangible Plant"/>
    <n v="141005166"/>
    <s v="SMART LIGHT INSTALL DEV COST - SW.C"/>
    <s v="SMART LIGHT INSTALL DEV COST - SW.CS.10Y"/>
    <s v="12/2023"/>
    <n v="1"/>
    <n v="981697.70000000007"/>
    <n v="316361.12"/>
    <n v="665336.57999999996"/>
    <x v="2"/>
    <x v="0"/>
  </r>
  <r>
    <s v="Intangible Plant, Electric"/>
    <s v="Electric"/>
    <s v="Intangibles, King County outside RTA District, WA : INT-0000 WA01700000"/>
    <n v="58533075"/>
    <s v="E303 INT Misc Intangible Plant"/>
    <n v="141005326"/>
    <s v="SMART LIGHTING SYSTEM CAPABILITIES "/>
    <s v="SMART LIGHTING SYSTEM CAPABILITIES - SW."/>
    <s v="12/2023"/>
    <n v="1"/>
    <n v="60669.58"/>
    <n v="19551.330000000002"/>
    <n v="41118.25"/>
    <x v="2"/>
    <x v="0"/>
  </r>
  <r>
    <s v="Intangible Plant, Electric"/>
    <s v="Electric"/>
    <s v="Intangibles, King County outside RTA District, WA : INT-0000 WA01700000"/>
    <n v="58533108"/>
    <s v="E303 INT Misc Intangible Plant"/>
    <n v="141005680"/>
    <s v="2021 EMS MODELING - SW.CS.3YR - STA"/>
    <s v="2021 EMS MODELING - SW.CS.3YR - STANDING"/>
    <s v="12/2023"/>
    <n v="1"/>
    <n v="408588.05"/>
    <n v="131671.26"/>
    <n v="276916.78999999998"/>
    <x v="2"/>
    <x v="4"/>
  </r>
  <r>
    <s v="Intangible Plant, Electric"/>
    <s v="Electric"/>
    <s v="Intangibles, King County outside RTA District, WA : INT-0000 WA01700000"/>
    <n v="59041320"/>
    <s v="E303 INT Misc Intangible Plant"/>
    <n v="141006098"/>
    <s v="CONFIGURE AMI METERS - SW.CS.5YR"/>
    <s v="CONFIGURE AMI METERS - SW.CS.5YR"/>
    <s v="12/2023"/>
    <n v="1"/>
    <n v="49001.72"/>
    <n v="15791.26"/>
    <n v="33210.46"/>
    <x v="2"/>
    <x v="0"/>
  </r>
  <r>
    <s v="Intangible Plant, Electric"/>
    <s v="Electric"/>
    <s v="Intangibles, King County outside RTA District, WA : INT-0000 WA01700000"/>
    <n v="59148285"/>
    <s v="E303 INT Misc Intangible Plant"/>
    <n v="141005763"/>
    <s v="2021 STANDING - ADMS SYSTEM MODEL -"/>
    <s v="2021 STANDING - ADMS SYSTEM MODEL - SW.C"/>
    <s v="12/2023"/>
    <n v="1"/>
    <n v="66953.850000000006"/>
    <n v="21576.49"/>
    <n v="45377.36"/>
    <x v="2"/>
    <x v="4"/>
  </r>
  <r>
    <s v="Intangible Plant, Electric"/>
    <s v="Electric"/>
    <s v="Intangibles, King County outside RTA District, WA : INT-0000 WA01700000"/>
    <n v="59204269"/>
    <s v="E303 INT Misc Intangible Plant"/>
    <n v="141006923"/>
    <s v="DAPITAL SOFTWARE LICENSE COSTS- SW."/>
    <s v="DAPITAL SOFTWARE LICENSE COSTS- SW.CN.5Y"/>
    <s v="12/2023"/>
    <n v="1"/>
    <n v="28219.920000000002"/>
    <n v="9094.130000000001"/>
    <n v="19125.79"/>
    <x v="2"/>
    <x v="3"/>
  </r>
  <r>
    <s v="Intangible Plant, Electric"/>
    <s v="Electric"/>
    <s v="Intangibles, King County outside RTA District, WA : INT-0000 WA01700000"/>
    <n v="59379661"/>
    <s v="E303 INT Misc Intangible Plant"/>
    <n v="141005591"/>
    <s v="NERC CIP 14 MITIGATION - SW.CS.5YR"/>
    <s v="NERC CIP 14 MITIGATION - SW.CS.5YR"/>
    <s v="12/2023"/>
    <n v="1"/>
    <n v="2297928.9700000002"/>
    <n v="740528.75"/>
    <n v="1557400.22"/>
    <x v="2"/>
    <x v="6"/>
  </r>
  <r>
    <s v="Intangible Plant, Electric"/>
    <s v="Electric"/>
    <s v="Intangibles, King County outside RTA District, WA : INT-0000 WA01700000"/>
    <n v="59903533"/>
    <s v="E303 INT Misc Intangible Plant"/>
    <n v="141007041"/>
    <s v="GEOSPATIAL LOAD FORECASTING - SW.CN"/>
    <s v="GEOSPATIAL LOAD FORECASTING - SW.CN.5YR"/>
    <s v="12/2023"/>
    <n v="1"/>
    <n v="1956354.69"/>
    <n v="630453.30000000005"/>
    <n v="1325901.3900000001"/>
    <x v="2"/>
    <x v="6"/>
  </r>
  <r>
    <s v="Intangible Plant, Electric"/>
    <s v="Electric"/>
    <s v="Intangibles, Bellingham, WA : INT-0000 WA03700010"/>
    <n v="60027267"/>
    <s v="E303 INT Misc Intangible Plant"/>
    <n v="141005753"/>
    <s v="ENC MARK VI UPGRADE - SW.CN.5YR"/>
    <s v="ENC MARK VI UPGRADE - SW.CN.5YR"/>
    <s v="12/2023"/>
    <n v="1"/>
    <n v="49426.48"/>
    <n v="15928.140000000001"/>
    <n v="33498.340000000004"/>
    <x v="2"/>
    <x v="1"/>
  </r>
  <r>
    <s v="Intangible Plant, Electric"/>
    <s v="Electric"/>
    <s v="Intangibles, Bellingham, WA : INT-0000 WA03700010"/>
    <n v="60027273"/>
    <s v="E303 INT Misc Intangible Plant"/>
    <n v="141005755"/>
    <s v="ENC WONDERWARE WIN10 UPGD - SW.CN.5"/>
    <s v="ENC WONDERWARE WIN10 UPGD - SW.CN.5YR"/>
    <s v="12/2023"/>
    <n v="1"/>
    <n v="68905.149999999994"/>
    <n v="22205.32"/>
    <n v="46699.83"/>
    <x v="2"/>
    <x v="6"/>
  </r>
  <r>
    <s v="Intangible Plant, Electric"/>
    <s v="Electric"/>
    <s v="Intangibles, Skagit County, WA : INT-0000 WA02900000"/>
    <n v="60027279"/>
    <s v="E303 INT Misc Intangible Plant"/>
    <n v="141005759"/>
    <s v="FRA MARK VI UPGRADE - SW.CN.5YR"/>
    <s v="FRA MARK VI UPGRADE - SW.CN.5YR"/>
    <s v="12/2023"/>
    <n v="1"/>
    <n v="92030.91"/>
    <n v="29657.81"/>
    <n v="62373.1"/>
    <x v="2"/>
    <x v="1"/>
  </r>
  <r>
    <s v="Intangible Plant, Electric"/>
    <s v="Electric"/>
    <s v="Intangibles, King County outside RTA District, WA : INT-0000 WA01700000"/>
    <n v="60066907"/>
    <s v="E303 INT Misc Intangible Plant"/>
    <n v="141005200"/>
    <s v="EV WORKPLACE PILOT - SW.CS.5YR"/>
    <s v="EV WORKPLACE PILOT - SW.CS.5YR"/>
    <s v="12/2023"/>
    <n v="1"/>
    <n v="65089.94"/>
    <n v="20975.83"/>
    <n v="44114.11"/>
    <x v="2"/>
    <x v="1"/>
  </r>
  <r>
    <s v="Intangible Plant, Electric"/>
    <s v="Electric"/>
    <s v="Intangibles, King County outside RTA District, WA : INT-0000 WA01700000"/>
    <n v="60414544"/>
    <s v="E303 INT Misc Intangible Plant"/>
    <n v="141005201"/>
    <s v="EV MULTI-FAMILY PILOT - SW.CS.5YR"/>
    <s v="EV MULTI-FAMILY PILOT - SW.CS.5YR"/>
    <s v="12/2023"/>
    <n v="1"/>
    <n v="39403.14"/>
    <n v="12698.02"/>
    <n v="26705.119999999999"/>
    <x v="2"/>
    <x v="1"/>
  </r>
  <r>
    <s v="Intangible Plant, Electric"/>
    <s v="Electric"/>
    <s v="Intangibles, King County outside RTA District, WA : INT-0000 WA01700000"/>
    <n v="60414555"/>
    <s v="E303 INT Misc Intangible Plant"/>
    <n v="141006038"/>
    <s v="VPP SOFTWARE &amp; CONSULTANT WORK - SW"/>
    <s v="VPP SOFTWARE &amp; CONSULTANT WORK - SW.CN.5"/>
    <s v="12/2023"/>
    <n v="1"/>
    <n v="105740.5"/>
    <n v="34075.85"/>
    <n v="71664.650000000009"/>
    <x v="2"/>
    <x v="6"/>
  </r>
  <r>
    <s v="Intangible Plant, Electric"/>
    <s v="Electric"/>
    <s v="Intangibles, King County outside RTA District, WA : INT-0000 WA01700000"/>
    <n v="60484515"/>
    <s v="E303 INT Misc Intangible Plant"/>
    <n v="141006089"/>
    <s v="PCI UPGRADE FOR 2021 EIM CHANGES - "/>
    <s v="PCI UPGRADE FOR 2021 EIM CHANGES - SW.CS"/>
    <s v="12/2023"/>
    <n v="1"/>
    <n v="174136.85"/>
    <n v="56117.200000000004"/>
    <n v="118019.65000000001"/>
    <x v="2"/>
    <x v="3"/>
  </r>
  <r>
    <s v="Intangible Plant, Electric"/>
    <s v="Electric"/>
    <s v="Intangibles, King County outside RTA District, WA : INT-0000 WA01700000"/>
    <n v="60890172"/>
    <s v="E303 INT Misc Intangible Plant"/>
    <n v="141006748"/>
    <s v="PAC ENGR SEL ACSELERATOR TEAM SOFTW"/>
    <s v="PAC ENGR SEL ACSELERATOR TEAM SOFTWARE -"/>
    <s v="12/2023"/>
    <n v="1"/>
    <n v="117021.46"/>
    <n v="37711.24"/>
    <n v="79310.22"/>
    <x v="2"/>
    <x v="4"/>
  </r>
  <r>
    <s v="Intangible Plant, Electric"/>
    <s v="Electric"/>
    <s v="Intangibles, King County outside RTA District, WA : INT-0000 WA01700000"/>
    <n v="61702427"/>
    <s v="E303 INT Misc Intangible Plant"/>
    <n v="141007101"/>
    <s v="ENHANCE ZZPM_051 WITH OBJECT DETAIL"/>
    <s v="ENHANCE ZZPM_051 WITH OBJECT DETAILS -SW"/>
    <s v="12/2023"/>
    <n v="1"/>
    <n v="17534.38"/>
    <n v="5650.62"/>
    <n v="11883.76"/>
    <x v="2"/>
    <x v="0"/>
  </r>
  <r>
    <s v="Intangible Plant, Electric"/>
    <s v="Electric"/>
    <s v="Intangibles, Bellingham, WA : INT-0000 WA03700010"/>
    <n v="61896865"/>
    <s v="E303 INT Misc Intangible Plant"/>
    <n v="141004949"/>
    <s v="OSI SOFT PI HISTORIAN ENCO - SW.CN."/>
    <s v="OSI SOFT PI HISTORIAN ENCO - SW.CN.3YR"/>
    <s v="12/2023"/>
    <n v="1"/>
    <n v="83999.63"/>
    <n v="27069.65"/>
    <n v="56929.98"/>
    <x v="2"/>
    <x v="6"/>
  </r>
  <r>
    <s v="Intangible Plant, Electric"/>
    <s v="Electric"/>
    <s v="Intangibles, King County outside RTA District, WA : INT-0000 WA01700000"/>
    <n v="62035353"/>
    <s v="E303 INT Misc Intangible Plant"/>
    <n v="141004942"/>
    <s v="OSI SOFT PI HISTORIAN GENERAL - SW."/>
    <s v="OSI SOFT PI HISTORIAN GENERAL - SW.CN.3Y"/>
    <s v="12/2023"/>
    <n v="1"/>
    <n v="430497.02"/>
    <n v="138731.63"/>
    <n v="291765.39"/>
    <x v="2"/>
    <x v="6"/>
  </r>
  <r>
    <s v="Intangible Plant, Electric"/>
    <s v="Electric"/>
    <s v="Intangibles, King County outside RTA District, WA : INT-0000 WA01700000"/>
    <n v="62035359"/>
    <s v="E303 INT Misc Intangible Plant"/>
    <n v="141004951"/>
    <s v="OSI SOFT PI HISTORIAN SNO - SW.CN.3"/>
    <s v="OSI SOFT PI HISTORIAN SNO - SW.CN.3YR"/>
    <s v="12/2023"/>
    <n v="1"/>
    <n v="68533.600000000006"/>
    <n v="22085.58"/>
    <n v="46448.020000000004"/>
    <x v="2"/>
    <x v="6"/>
  </r>
  <r>
    <s v="Intangible Plant, Electric"/>
    <s v="Electric"/>
    <s v="Intangibles, Whatcom County, WA : INT-0000 WA03700000"/>
    <n v="62035362"/>
    <s v="E303 INT Misc Intangible Plant"/>
    <n v="141004952"/>
    <s v="OSI SOFT PI HISTORIAN SUMAS - SW.CN"/>
    <s v="OSI SOFT PI HISTORIAN SUMAS - SW.CN.3YR"/>
    <s v="12/2023"/>
    <n v="1"/>
    <n v="174523.26"/>
    <n v="56241.73"/>
    <n v="118281.53"/>
    <x v="2"/>
    <x v="6"/>
  </r>
  <r>
    <s v="Intangible Plant, Electric"/>
    <s v="Electric"/>
    <s v="Intangibles, Skagit County, WA : INT-0000 WA02900000"/>
    <n v="62035365"/>
    <s v="E303 INT Misc Intangible Plant"/>
    <n v="141004953"/>
    <s v="OSI SOFT PI HISTORIAN BAKER - SW.CN"/>
    <s v="OSI SOFT PI HISTORIAN BAKER - SW.CN.3YR"/>
    <s v="12/2023"/>
    <n v="1"/>
    <n v="68425.05"/>
    <n v="22050.600000000002"/>
    <n v="46374.450000000004"/>
    <x v="2"/>
    <x v="6"/>
  </r>
  <r>
    <s v="Intangible Plant, Electric"/>
    <s v="Electric"/>
    <s v="Intangibles, King County outside RTA District, WA : INT-0000 WA01700000"/>
    <n v="62035378"/>
    <s v="E303 INT Misc Intangible Plant"/>
    <n v="141005663"/>
    <s v="OSISOFT PI UPGRADE - GEN SITES - SW"/>
    <s v="OSISOFT PI UPGRADE - GEN SITES - SW.CN.5"/>
    <s v="12/2023"/>
    <n v="1"/>
    <n v="122098"/>
    <n v="39347.200000000004"/>
    <n v="82750.8"/>
    <x v="2"/>
    <x v="6"/>
  </r>
  <r>
    <s v="Intangible Plant, Electric"/>
    <s v="Electric"/>
    <s v="Intangibles, King County outside RTA District, WA : INT-0000 WA01700000"/>
    <n v="62124075"/>
    <s v="E303 INT Misc Intangible Plant"/>
    <n v="141007001"/>
    <s v="NWPP CHANGE RITM0050446 - SW.CS.5YR"/>
    <s v="NWPP CHANGE RITM0050446 - SW.CS.5YRS"/>
    <s v="12/2023"/>
    <n v="1"/>
    <n v="14369.43"/>
    <n v="4630.68"/>
    <n v="9738.75"/>
    <x v="2"/>
    <x v="1"/>
  </r>
  <r>
    <s v="Intangible Plant, Electric"/>
    <s v="Electric"/>
    <s v="Intangibles, Pierce County outside RTA District, WA : INT-0000 WA02700000"/>
    <n v="62433167"/>
    <s v="E303 INT Misc Intangible Plant"/>
    <n v="141005757"/>
    <s v="FRE MARK VI UPGRADE - SW.CN.5YR"/>
    <s v="FRE MARK VI UPGRADE - SW.CN.5YR"/>
    <s v="12/2023"/>
    <n v="1"/>
    <n v="91742.56"/>
    <n v="29564.880000000001"/>
    <n v="62177.68"/>
    <x v="2"/>
    <x v="1"/>
  </r>
  <r>
    <s v="Intangible Plant, Electric"/>
    <s v="Electric"/>
    <s v="Intangibles, King County outside RTA District, WA : INT-0000 WA01700000"/>
    <n v="62433197"/>
    <s v="E303 INT Misc Intangible Plant"/>
    <n v="141007160"/>
    <s v="CLICK ENHANCEMENTS - SW.CS.3YRS"/>
    <s v="CLICK ENHANCEMENTS - SW.CS.3YRS"/>
    <s v="12/2023"/>
    <n v="1"/>
    <n v="100516.68000000001"/>
    <n v="32392.420000000002"/>
    <n v="68124.259999999995"/>
    <x v="2"/>
    <x v="6"/>
  </r>
  <r>
    <s v="Intangible Plant, Electric"/>
    <s v="Electric"/>
    <s v="Intangibles, King County outside RTA District, WA : INT-0000 WA01700000"/>
    <n v="62517482"/>
    <s v="E303 INT Misc Intangible Plant"/>
    <n v="141006612"/>
    <s v="VIRTUAL POWER PLANT APPLICATION- SW"/>
    <s v="VIRTUAL POWER PLANT APPLICATION- SW.CN.5"/>
    <s v="12/2023"/>
    <n v="1"/>
    <n v="2387676.64"/>
    <n v="769450.76"/>
    <n v="1618225.88"/>
    <x v="2"/>
    <x v="6"/>
  </r>
  <r>
    <s v="Intangible Plant, Electric"/>
    <s v="Electric"/>
    <s v="Intangibles, King County outside RTA District, WA : INT-0000 WA01700000"/>
    <n v="62895461"/>
    <s v="E303 INT Misc Intangible Plant"/>
    <n v="141005068"/>
    <s v="FIELD RESOURCES CALL OUT TOOL - SW."/>
    <s v="FIELD RESOURCES CALL OUT TOOL - SW.CN.3Y"/>
    <s v="12/2023"/>
    <n v="1"/>
    <n v="2674136.7199999997"/>
    <n v="861765.16"/>
    <n v="1812371.56"/>
    <x v="2"/>
    <x v="0"/>
  </r>
  <r>
    <s v="Intangible Plant, Electric"/>
    <s v="Electric"/>
    <s v="Intangibles, King County outside RTA District, WA : INT-0000 WA01700000"/>
    <n v="62895605"/>
    <s v="E303 INT Misc Intangible Plant"/>
    <n v="141007000"/>
    <s v="S/W CHANGES FOR CLEARWATER WIND PPA"/>
    <s v="S/W CHANGES FOR CLEARWATER WIND PPA - SW"/>
    <s v="12/2023"/>
    <n v="1"/>
    <n v="103361.48"/>
    <n v="33309.19"/>
    <n v="70052.290000000008"/>
    <x v="2"/>
    <x v="1"/>
  </r>
  <r>
    <s v="Intangible Plant, Electric"/>
    <s v="Electric"/>
    <s v="Intangibles, King County outside RTA District, WA : INT-0000 WA01700000"/>
    <n v="62895608"/>
    <s v="E303 INT Misc Intangible Plant"/>
    <n v="141007143"/>
    <s v="GHG REQUIREMENT ENHANCEMENTS - SW.C"/>
    <s v="GHG REQUIREMENT ENHANCEMENTS - SW.CS.5YR"/>
    <s v="12/2023"/>
    <n v="1"/>
    <n v="35865.040000000001"/>
    <n v="11557.84"/>
    <n v="24307.200000000001"/>
    <x v="2"/>
    <x v="1"/>
  </r>
  <r>
    <s v="Intangible Plant, Electric"/>
    <s v="Electric"/>
    <s v="Intangibles, Whatcom County, WA : INT-0000 WA03700000"/>
    <n v="63265594"/>
    <s v="E303 INT Misc Intangible Plant"/>
    <n v="141005761"/>
    <s v="WHH MARK VI UPGRADE - SW.CN.5YR"/>
    <s v="WHH MARK VI UPGRADE - SW.CN.5YR"/>
    <s v="12/2023"/>
    <n v="1"/>
    <n v="98150.400000000009"/>
    <n v="2206.0700000000002"/>
    <n v="95944.33"/>
    <x v="2"/>
    <x v="1"/>
  </r>
  <r>
    <s v="Intangible Plant, Electric"/>
    <s v="Electric"/>
    <s v="Intangibles, King County outside RTA District, WA : INT-0000 WA01700000"/>
    <n v="63265616"/>
    <s v="E303 INT Misc Intangible Plant"/>
    <n v="141006610"/>
    <s v="2022 ADMS SYSTEM MODEL - SW.CS.3YRS"/>
    <s v="2022 ADMS SYSTEM MODEL - SW.CS.3YRS"/>
    <s v="12/2023"/>
    <n v="1"/>
    <n v="155913.93"/>
    <n v="3504.39"/>
    <n v="152409.54"/>
    <x v="2"/>
    <x v="4"/>
  </r>
  <r>
    <s v="Intangible Plant, Electric"/>
    <s v="Electric"/>
    <s v="Intangibles, King County outside RTA District, WA : INT-0000 WA01700000"/>
    <n v="64449645"/>
    <s v="E303 INT Misc Intangible Plant"/>
    <n v="141007546"/>
    <s v="ADMS ADVANCED APPS - SW.CN.5YRS"/>
    <s v="ADMS ADVANCED APPS - SW.CN.5YRS"/>
    <s v="12/2023"/>
    <n v="1"/>
    <n v="32603.37"/>
    <n v="732.81000000000006"/>
    <n v="31870.560000000001"/>
    <x v="2"/>
    <x v="4"/>
  </r>
  <r>
    <s v="Intangible Plant, Electric"/>
    <s v="Electric"/>
    <s v="Intangibles, King County outside RTA District, WA : INT-0000 WA01700000"/>
    <n v="64678740"/>
    <s v="E303 INT Misc Intangible Plant"/>
    <n v="141006677"/>
    <s v="SAAS SMART COMMUNITY CENTER SAAS 20"/>
    <s v="SAAS SMART COMMUNITY CENTER SAAS 2022 -"/>
    <s v="12/2023"/>
    <n v="1"/>
    <n v="81510.960000000006"/>
    <n v="1832.08"/>
    <n v="79678.880000000005"/>
    <x v="2"/>
    <x v="0"/>
  </r>
  <r>
    <s v="Intangible Plant, Electric"/>
    <s v="Electric"/>
    <s v="Intangibles, King County outside RTA District, WA : INT-0000 WA01700000"/>
    <n v="64905463"/>
    <s v="E303 INT Misc Intangible Plant"/>
    <n v="141007566"/>
    <s v="SW CHANGES - TRANS CUST RPT RITM #6"/>
    <s v="SW CHANGES - TRANS CUST RPT RITM #67057-"/>
    <s v="12/2023"/>
    <n v="1"/>
    <n v="17492"/>
    <n v="393.16"/>
    <n v="17098.84"/>
    <x v="2"/>
    <x v="3"/>
  </r>
  <r>
    <s v="Intangible Plant, Electric"/>
    <s v="Electric"/>
    <s v="Intangibles, King County outside RTA District, WA : INT-0000 WA01700000"/>
    <n v="65089072"/>
    <s v="E303 INT Misc Intangible Plant"/>
    <n v="141007901"/>
    <s v="BILLING/CREDIT FOR FLEET CHARGING -"/>
    <s v="BILLING/CREDIT FOR FLEET CHARGING - SW.C"/>
    <s v="12/2023"/>
    <n v="1"/>
    <n v="250899.25"/>
    <n v="5639.33"/>
    <n v="245259.92"/>
    <x v="2"/>
    <x v="0"/>
  </r>
  <r>
    <s v="Intangible Plant, Electric"/>
    <s v="Electric"/>
    <s v="Intangibles, King County outside RTA District, WA : INT-0000 WA01700000"/>
    <n v="66096335"/>
    <s v="E303 INT Misc Intangible Plant"/>
    <n v="141007722"/>
    <s v="EFR MOBILE APP CALLOUT TOOL - SW.CN"/>
    <s v="EFR MOBILE APP CALLOUT TOOL - SW.CN.5YRS"/>
    <s v="12/2023"/>
    <n v="1"/>
    <n v="63212.11"/>
    <n v="1420.79"/>
    <n v="61791.32"/>
    <x v="2"/>
    <x v="0"/>
  </r>
  <r>
    <s v="Intangible Plant, Electric"/>
    <s v="Electric"/>
    <s v="Intangibles, King County outside RTA District, WA : INT-0000 WA01700000"/>
    <n v="67251433"/>
    <s v="E303 INT Misc Intangible Plant"/>
    <n v="141007003"/>
    <s v="CC4210-SYNERGI SOFTWARE FOR ELEC DI"/>
    <s v="CC4210-SYNERGI SOFTWARE FOR ELEC DIST-SW"/>
    <s v="12/2023"/>
    <n v="1"/>
    <n v="43840.73"/>
    <n v="985.38"/>
    <n v="42855.35"/>
    <x v="2"/>
    <x v="6"/>
  </r>
  <r>
    <s v="Intangible Plant, Electric"/>
    <s v="Electric"/>
    <s v="Intangibles, King County outside RTA District, WA : INT-0000 WA01700000"/>
    <n v="67734535"/>
    <s v="E303 INT Misc Intangible Plant"/>
    <n v="141007405"/>
    <s v="STREETLIGHT NEW BUSINESS DB SAP CON"/>
    <s v="STREETLIGHT NEW BUSINESS DB SAP CONVERSI"/>
    <s v="12/2023"/>
    <n v="2"/>
    <n v="143896.11000000002"/>
    <n v="3234.28"/>
    <n v="140661.83000000002"/>
    <x v="2"/>
    <x v="6"/>
  </r>
  <r>
    <s v="Intangible Plant, Electric"/>
    <s v="Electric"/>
    <s v="Intangibles, Skagit County, WA : INT-0000 WA02900000"/>
    <n v="67734540"/>
    <s v="E303 INT Misc Intangible Plant"/>
    <n v="141007529"/>
    <s v="SAMISH ISLAND BATTER STORAGE - SW.C"/>
    <s v="SAMISH ISLAND BATTER STORAGE - SW.CN.4YR"/>
    <s v="12/2023"/>
    <n v="1"/>
    <n v="14092.130000000001"/>
    <n v="316.74"/>
    <n v="13775.39"/>
    <x v="2"/>
    <x v="2"/>
  </r>
  <r>
    <s v="Intangible Plant, Electric"/>
    <s v="Electric"/>
    <s v="Intangibles, King County outside RTA District, WA : INT-0000 WA01700000"/>
    <n v="67734550"/>
    <s v="E303 INT Misc Intangible Plant"/>
    <n v="141007710"/>
    <s v="FRONT OFFICE ENHANCEMENTS - PCI - S"/>
    <s v="FRONT OFFICE ENHANCEMENTS - PCI - SW.CN."/>
    <s v="12/2023"/>
    <n v="2"/>
    <n v="1778107.76"/>
    <n v="39965.590000000004"/>
    <n v="1738142.17"/>
    <x v="2"/>
    <x v="6"/>
  </r>
  <r>
    <s v="Intangible Plant, Electric"/>
    <s v="Electric"/>
    <s v="Intangibles, King County outside RTA District, WA : INT-0000 WA01700000"/>
    <n v="67734609"/>
    <s v="E303 INT Misc Intangible Plant"/>
    <n v="141008374"/>
    <s v="Enhance Elec. Schedule 135 2023-SW."/>
    <s v="Enhance Elec. Schedule 135 2023-SW.CN.5Y"/>
    <s v="12/2023"/>
    <n v="2"/>
    <n v="48038.01"/>
    <n v="1079.72"/>
    <n v="46958.29"/>
    <x v="2"/>
    <x v="0"/>
  </r>
  <r>
    <s v="Intangible Plant, Electric"/>
    <s v="Electric"/>
    <s v="Intangibles, King County outside RTA District, WA : INT-0000 WA01700000"/>
    <n v="68172352"/>
    <s v="E303 INT Misc Intangible Plant"/>
    <n v="141007369"/>
    <s v="TIME-VARYING RATES PILOT - SW.CN.5Y"/>
    <s v="TIME-VARYING RATES PILOT - SW.CN.5YRS"/>
    <s v="12/2023"/>
    <n v="1"/>
    <n v="4294742.08"/>
    <n v="96530.64"/>
    <n v="4198211.4400000004"/>
    <x v="2"/>
    <x v="0"/>
  </r>
  <r>
    <s v="Intangible Plant, Electric"/>
    <s v="Electric"/>
    <s v="Intangibles, King County outside RTA District, WA : INT-0000 WA01700000"/>
    <n v="68172360"/>
    <s v="E303 INT Misc Intangible Plant"/>
    <n v="141007552"/>
    <s v="VIRTUAL POWER PLANT APPLICATION PHA"/>
    <s v="VIRTUAL POWER PLANT APPLICATION PHASE II"/>
    <s v="12/2023"/>
    <n v="1"/>
    <n v="3879131.76"/>
    <n v="87189.19"/>
    <n v="3791942.5700000003"/>
    <x v="2"/>
    <x v="6"/>
  </r>
  <r>
    <s v="Intangible Plant, Electric"/>
    <s v="Electric"/>
    <s v="Intangibles, King County outside RTA District, WA : INT-0000 WA01700000"/>
    <n v="68172369"/>
    <s v="E303 INT Misc Intangible Plant"/>
    <n v="141007612"/>
    <s v="LOADSEER NON-PRODUCTION ENVIRONMENT"/>
    <s v="LOADSEER NON-PRODUCTION ENVIRONMENT PURC"/>
    <s v="12/2023"/>
    <n v="1"/>
    <n v="175823.08000000002"/>
    <n v="3951.88"/>
    <n v="171871.2"/>
    <x v="2"/>
    <x v="6"/>
  </r>
  <r>
    <s v="Intangible Plant, Electric"/>
    <s v="Electric"/>
    <s v="Intangibles, King County outside RTA District, WA : INT-0000 WA01700000"/>
    <n v="68172416"/>
    <s v="E303 INT Misc Intangible Plant"/>
    <n v="141007709"/>
    <s v="FRONT OFFICE ENHANCEMENTS - WRAP - "/>
    <s v="FRONT OFFICE ENHANCEMENTS - WRAP - SW.CN"/>
    <s v="12/2023"/>
    <n v="1"/>
    <n v="409960.42"/>
    <n v="9214.4600000000009"/>
    <n v="400745.96"/>
    <x v="2"/>
    <x v="6"/>
  </r>
  <r>
    <s v="Intangible Plant, Electric"/>
    <s v="Electric"/>
    <s v="Intangibles, King County outside RTA District, WA : INT-0000 WA01700000"/>
    <n v="68172486"/>
    <s v="E303 INT Misc Intangible Plant"/>
    <n v="141008350"/>
    <s v="2023 CYME SOFWARE - SW.CN.5YRS"/>
    <s v="2023 CYME SOFWARE - SW.CN.5YRS"/>
    <s v="12/2023"/>
    <n v="1"/>
    <n v="82177.22"/>
    <n v="1847.05"/>
    <n v="80330.17"/>
    <x v="2"/>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0.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9.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8.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5500-000002000000}" name="PivotTable7" cacheId="23" applyNumberFormats="0" applyBorderFormats="0" applyFontFormats="0" applyPatternFormats="0" applyAlignmentFormats="0" applyWidthHeightFormats="1" dataCaption="Values" updatedVersion="6" minRefreshableVersion="3" useAutoFormatting="1" itemPrintTitles="1" createdVersion="8" indent="0" compact="0" compactData="0" multipleFieldFilters="0">
  <location ref="B4:D26"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pivotField compact="0" outline="0" showAll="0" defaultSubtotal="0"/>
    <pivotField compact="0" outline="0" showAll="0"/>
    <pivotField compact="0" outline="0" showAll="0"/>
    <pivotField compact="0" outline="0" showAll="0"/>
    <pivotField compact="0" outline="0" showAll="0"/>
    <pivotField dataField="1" compact="0" numFmtId="44" outline="0" showAll="0"/>
    <pivotField compact="0" numFmtId="44" outline="0" showAll="0"/>
    <pivotField compact="0" numFmtId="44" outline="0" showAll="0"/>
    <pivotField axis="axisRow" compact="0" outline="0" showAll="0" defaultSubtotal="0">
      <items count="11">
        <item x="0"/>
        <item x="1"/>
        <item x="2"/>
        <item x="3"/>
        <item x="4"/>
        <item x="5"/>
        <item x="6"/>
        <item x="7"/>
        <item x="8"/>
        <item x="9"/>
        <item x="10"/>
      </items>
    </pivotField>
    <pivotField axis="axisRow" compact="0" outline="0" showAll="0">
      <items count="6">
        <item x="1"/>
        <item x="2"/>
        <item x="4"/>
        <item x="0"/>
        <item x="3"/>
        <item t="default"/>
      </items>
    </pivotField>
  </pivotFields>
  <rowFields count="2">
    <field x="13"/>
    <field x="14"/>
  </rowFields>
  <rowItems count="22">
    <i>
      <x/>
      <x/>
    </i>
    <i r="1">
      <x v="3"/>
    </i>
    <i>
      <x v="1"/>
      <x/>
    </i>
    <i r="1">
      <x v="1"/>
    </i>
    <i r="1">
      <x v="3"/>
    </i>
    <i>
      <x v="2"/>
      <x v="3"/>
    </i>
    <i>
      <x v="3"/>
      <x/>
    </i>
    <i r="1">
      <x v="1"/>
    </i>
    <i r="1">
      <x v="3"/>
    </i>
    <i>
      <x v="4"/>
      <x v="4"/>
    </i>
    <i>
      <x v="5"/>
      <x v="3"/>
    </i>
    <i>
      <x v="6"/>
      <x/>
    </i>
    <i r="1">
      <x v="3"/>
    </i>
    <i>
      <x v="7"/>
      <x v="4"/>
    </i>
    <i>
      <x v="8"/>
      <x/>
    </i>
    <i r="1">
      <x v="2"/>
    </i>
    <i r="1">
      <x v="3"/>
    </i>
    <i r="1">
      <x v="4"/>
    </i>
    <i>
      <x v="9"/>
      <x/>
    </i>
    <i r="1">
      <x v="3"/>
    </i>
    <i>
      <x v="10"/>
      <x v="3"/>
    </i>
    <i t="grand">
      <x/>
    </i>
  </rowItems>
  <colItems count="1">
    <i/>
  </colItems>
  <dataFields count="1">
    <dataField name="Sum of book_cost" fld="10" baseField="0" baseItem="0" numFmtId="44"/>
  </dataFields>
  <formats count="50">
    <format dxfId="355">
      <pivotArea outline="0" collapsedLevelsAreSubtotals="1" fieldPosition="0"/>
    </format>
    <format dxfId="354">
      <pivotArea type="all" dataOnly="0" outline="0" fieldPosition="0"/>
    </format>
    <format dxfId="353">
      <pivotArea dataOnly="0" labelOnly="1" outline="0" fieldPosition="0">
        <references count="2">
          <reference field="13" count="1" selected="0">
            <x v="3"/>
          </reference>
          <reference field="14" count="0"/>
        </references>
      </pivotArea>
    </format>
    <format dxfId="352">
      <pivotArea dataOnly="0" labelOnly="1" outline="0" fieldPosition="0">
        <references count="2">
          <reference field="13" count="1" selected="0">
            <x v="4"/>
          </reference>
          <reference field="14" count="2">
            <x v="3"/>
            <x v="4"/>
          </reference>
        </references>
      </pivotArea>
    </format>
    <format dxfId="351">
      <pivotArea dataOnly="0" labelOnly="1" outline="0" fieldPosition="0">
        <references count="2">
          <reference field="13" count="1" selected="0">
            <x v="5"/>
          </reference>
          <reference field="14" count="2">
            <x v="0"/>
            <x v="3"/>
          </reference>
        </references>
      </pivotArea>
    </format>
    <format dxfId="350">
      <pivotArea type="all" dataOnly="0" outline="0" fieldPosition="0"/>
    </format>
    <format dxfId="349">
      <pivotArea dataOnly="0" labelOnly="1" outline="0" fieldPosition="0">
        <references count="2">
          <reference field="13" count="1" selected="0">
            <x v="3"/>
          </reference>
          <reference field="14" count="0"/>
        </references>
      </pivotArea>
    </format>
    <format dxfId="348">
      <pivotArea dataOnly="0" labelOnly="1" outline="0" fieldPosition="0">
        <references count="2">
          <reference field="13" count="1" selected="0">
            <x v="4"/>
          </reference>
          <reference field="14" count="2">
            <x v="3"/>
            <x v="4"/>
          </reference>
        </references>
      </pivotArea>
    </format>
    <format dxfId="347">
      <pivotArea dataOnly="0" labelOnly="1" outline="0" fieldPosition="0">
        <references count="2">
          <reference field="13" count="1" selected="0">
            <x v="5"/>
          </reference>
          <reference field="14" count="2">
            <x v="0"/>
            <x v="3"/>
          </reference>
        </references>
      </pivotArea>
    </format>
    <format dxfId="346">
      <pivotArea type="all" dataOnly="0" outline="0" fieldPosition="0"/>
    </format>
    <format dxfId="345">
      <pivotArea dataOnly="0" labelOnly="1" outline="0" fieldPosition="0">
        <references count="2">
          <reference field="13" count="1" selected="0">
            <x v="3"/>
          </reference>
          <reference field="14" count="0"/>
        </references>
      </pivotArea>
    </format>
    <format dxfId="344">
      <pivotArea dataOnly="0" labelOnly="1" outline="0" fieldPosition="0">
        <references count="2">
          <reference field="13" count="1" selected="0">
            <x v="4"/>
          </reference>
          <reference field="14" count="2">
            <x v="3"/>
            <x v="4"/>
          </reference>
        </references>
      </pivotArea>
    </format>
    <format dxfId="343">
      <pivotArea dataOnly="0" labelOnly="1" outline="0" fieldPosition="0">
        <references count="2">
          <reference field="13" count="1" selected="0">
            <x v="5"/>
          </reference>
          <reference field="14" count="2">
            <x v="0"/>
            <x v="3"/>
          </reference>
        </references>
      </pivotArea>
    </format>
    <format dxfId="342">
      <pivotArea grandRow="1" outline="0" collapsedLevelsAreSubtotals="1" fieldPosition="0"/>
    </format>
    <format dxfId="341">
      <pivotArea type="all" dataOnly="0" outline="0" fieldPosition="0"/>
    </format>
    <format dxfId="340">
      <pivotArea outline="0" collapsedLevelsAreSubtotals="1" fieldPosition="0"/>
    </format>
    <format dxfId="339">
      <pivotArea field="13" type="button" dataOnly="0" labelOnly="1" outline="0" axis="axisRow" fieldPosition="0"/>
    </format>
    <format dxfId="338">
      <pivotArea field="14" type="button" dataOnly="0" labelOnly="1" outline="0" axis="axisRow" fieldPosition="1"/>
    </format>
    <format dxfId="337">
      <pivotArea dataOnly="0" labelOnly="1" outline="0" fieldPosition="0">
        <references count="1">
          <reference field="13" count="0"/>
        </references>
      </pivotArea>
    </format>
    <format dxfId="336">
      <pivotArea dataOnly="0" labelOnly="1" grandRow="1" outline="0" fieldPosition="0"/>
    </format>
    <format dxfId="335">
      <pivotArea dataOnly="0" labelOnly="1" outline="0" fieldPosition="0">
        <references count="2">
          <reference field="13" count="1" selected="0">
            <x v="0"/>
          </reference>
          <reference field="14" count="2">
            <x v="0"/>
            <x v="3"/>
          </reference>
        </references>
      </pivotArea>
    </format>
    <format dxfId="334">
      <pivotArea dataOnly="0" labelOnly="1" outline="0" fieldPosition="0">
        <references count="2">
          <reference field="13" count="1" selected="0">
            <x v="1"/>
          </reference>
          <reference field="14" count="3">
            <x v="0"/>
            <x v="1"/>
            <x v="3"/>
          </reference>
        </references>
      </pivotArea>
    </format>
    <format dxfId="333">
      <pivotArea dataOnly="0" labelOnly="1" outline="0" fieldPosition="0">
        <references count="2">
          <reference field="13" count="1" selected="0">
            <x v="2"/>
          </reference>
          <reference field="14" count="1">
            <x v="3"/>
          </reference>
        </references>
      </pivotArea>
    </format>
    <format dxfId="332">
      <pivotArea dataOnly="0" labelOnly="1" outline="0" fieldPosition="0">
        <references count="2">
          <reference field="13" count="1" selected="0">
            <x v="3"/>
          </reference>
          <reference field="14" count="3">
            <x v="0"/>
            <x v="1"/>
            <x v="3"/>
          </reference>
        </references>
      </pivotArea>
    </format>
    <format dxfId="331">
      <pivotArea dataOnly="0" labelOnly="1" outline="0" fieldPosition="0">
        <references count="2">
          <reference field="13" count="1" selected="0">
            <x v="4"/>
          </reference>
          <reference field="14" count="1">
            <x v="4"/>
          </reference>
        </references>
      </pivotArea>
    </format>
    <format dxfId="330">
      <pivotArea dataOnly="0" labelOnly="1" outline="0" fieldPosition="0">
        <references count="2">
          <reference field="13" count="1" selected="0">
            <x v="5"/>
          </reference>
          <reference field="14" count="1">
            <x v="3"/>
          </reference>
        </references>
      </pivotArea>
    </format>
    <format dxfId="329">
      <pivotArea dataOnly="0" labelOnly="1" outline="0" fieldPosition="0">
        <references count="2">
          <reference field="13" count="1" selected="0">
            <x v="6"/>
          </reference>
          <reference field="14" count="2">
            <x v="0"/>
            <x v="3"/>
          </reference>
        </references>
      </pivotArea>
    </format>
    <format dxfId="328">
      <pivotArea dataOnly="0" labelOnly="1" outline="0" fieldPosition="0">
        <references count="2">
          <reference field="13" count="1" selected="0">
            <x v="7"/>
          </reference>
          <reference field="14" count="1">
            <x v="4"/>
          </reference>
        </references>
      </pivotArea>
    </format>
    <format dxfId="327">
      <pivotArea dataOnly="0" labelOnly="1" outline="0" fieldPosition="0">
        <references count="2">
          <reference field="13" count="1" selected="0">
            <x v="8"/>
          </reference>
          <reference field="14" count="4">
            <x v="0"/>
            <x v="2"/>
            <x v="3"/>
            <x v="4"/>
          </reference>
        </references>
      </pivotArea>
    </format>
    <format dxfId="326">
      <pivotArea dataOnly="0" labelOnly="1" outline="0" fieldPosition="0">
        <references count="2">
          <reference field="13" count="1" selected="0">
            <x v="9"/>
          </reference>
          <reference field="14" count="2">
            <x v="0"/>
            <x v="3"/>
          </reference>
        </references>
      </pivotArea>
    </format>
    <format dxfId="325">
      <pivotArea dataOnly="0" labelOnly="1" outline="0" fieldPosition="0">
        <references count="2">
          <reference field="13" count="1" selected="0">
            <x v="10"/>
          </reference>
          <reference field="14" count="1">
            <x v="3"/>
          </reference>
        </references>
      </pivotArea>
    </format>
    <format dxfId="324">
      <pivotArea dataOnly="0" labelOnly="1" outline="0" axis="axisValues" fieldPosition="0"/>
    </format>
    <format dxfId="323">
      <pivotArea type="all" dataOnly="0" outline="0" fieldPosition="0"/>
    </format>
    <format dxfId="322">
      <pivotArea outline="0" collapsedLevelsAreSubtotals="1" fieldPosition="0"/>
    </format>
    <format dxfId="321">
      <pivotArea field="13" type="button" dataOnly="0" labelOnly="1" outline="0" axis="axisRow" fieldPosition="0"/>
    </format>
    <format dxfId="320">
      <pivotArea field="14" type="button" dataOnly="0" labelOnly="1" outline="0" axis="axisRow" fieldPosition="1"/>
    </format>
    <format dxfId="319">
      <pivotArea dataOnly="0" labelOnly="1" outline="0" fieldPosition="0">
        <references count="1">
          <reference field="13" count="0"/>
        </references>
      </pivotArea>
    </format>
    <format dxfId="318">
      <pivotArea dataOnly="0" labelOnly="1" grandRow="1" outline="0" fieldPosition="0"/>
    </format>
    <format dxfId="317">
      <pivotArea dataOnly="0" labelOnly="1" outline="0" fieldPosition="0">
        <references count="2">
          <reference field="13" count="1" selected="0">
            <x v="0"/>
          </reference>
          <reference field="14" count="2">
            <x v="0"/>
            <x v="3"/>
          </reference>
        </references>
      </pivotArea>
    </format>
    <format dxfId="316">
      <pivotArea dataOnly="0" labelOnly="1" outline="0" fieldPosition="0">
        <references count="2">
          <reference field="13" count="1" selected="0">
            <x v="1"/>
          </reference>
          <reference field="14" count="3">
            <x v="0"/>
            <x v="1"/>
            <x v="3"/>
          </reference>
        </references>
      </pivotArea>
    </format>
    <format dxfId="315">
      <pivotArea dataOnly="0" labelOnly="1" outline="0" fieldPosition="0">
        <references count="2">
          <reference field="13" count="1" selected="0">
            <x v="2"/>
          </reference>
          <reference field="14" count="1">
            <x v="3"/>
          </reference>
        </references>
      </pivotArea>
    </format>
    <format dxfId="314">
      <pivotArea dataOnly="0" labelOnly="1" outline="0" fieldPosition="0">
        <references count="2">
          <reference field="13" count="1" selected="0">
            <x v="3"/>
          </reference>
          <reference field="14" count="3">
            <x v="0"/>
            <x v="1"/>
            <x v="3"/>
          </reference>
        </references>
      </pivotArea>
    </format>
    <format dxfId="313">
      <pivotArea dataOnly="0" labelOnly="1" outline="0" fieldPosition="0">
        <references count="2">
          <reference field="13" count="1" selected="0">
            <x v="4"/>
          </reference>
          <reference field="14" count="1">
            <x v="4"/>
          </reference>
        </references>
      </pivotArea>
    </format>
    <format dxfId="312">
      <pivotArea dataOnly="0" labelOnly="1" outline="0" fieldPosition="0">
        <references count="2">
          <reference field="13" count="1" selected="0">
            <x v="5"/>
          </reference>
          <reference field="14" count="1">
            <x v="3"/>
          </reference>
        </references>
      </pivotArea>
    </format>
    <format dxfId="311">
      <pivotArea dataOnly="0" labelOnly="1" outline="0" fieldPosition="0">
        <references count="2">
          <reference field="13" count="1" selected="0">
            <x v="6"/>
          </reference>
          <reference field="14" count="2">
            <x v="0"/>
            <x v="3"/>
          </reference>
        </references>
      </pivotArea>
    </format>
    <format dxfId="310">
      <pivotArea dataOnly="0" labelOnly="1" outline="0" fieldPosition="0">
        <references count="2">
          <reference field="13" count="1" selected="0">
            <x v="7"/>
          </reference>
          <reference field="14" count="1">
            <x v="4"/>
          </reference>
        </references>
      </pivotArea>
    </format>
    <format dxfId="309">
      <pivotArea dataOnly="0" labelOnly="1" outline="0" fieldPosition="0">
        <references count="2">
          <reference field="13" count="1" selected="0">
            <x v="8"/>
          </reference>
          <reference field="14" count="4">
            <x v="0"/>
            <x v="2"/>
            <x v="3"/>
            <x v="4"/>
          </reference>
        </references>
      </pivotArea>
    </format>
    <format dxfId="308">
      <pivotArea dataOnly="0" labelOnly="1" outline="0" fieldPosition="0">
        <references count="2">
          <reference field="13" count="1" selected="0">
            <x v="9"/>
          </reference>
          <reference field="14" count="2">
            <x v="0"/>
            <x v="3"/>
          </reference>
        </references>
      </pivotArea>
    </format>
    <format dxfId="307">
      <pivotArea dataOnly="0" labelOnly="1" outline="0" fieldPosition="0">
        <references count="2">
          <reference field="13" count="1" selected="0">
            <x v="10"/>
          </reference>
          <reference field="14" count="1">
            <x v="3"/>
          </reference>
        </references>
      </pivotArea>
    </format>
    <format dxfId="306">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5500-000001000000}" name="PivotTable3" cacheId="23"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B38:D59"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numFmtId="44" outline="0" showAll="0" defaultSubtotal="0"/>
    <pivotField dataField="1" compact="0" numFmtId="44" outline="0" showAll="0" defaultSubtotal="0"/>
    <pivotField compact="0" numFmtId="44" outline="0" showAll="0" defaultSubtotal="0"/>
    <pivotField axis="axisRow" compact="0" outline="0" showAll="0" defaultSubtotal="0">
      <items count="11">
        <item x="0"/>
        <item x="1"/>
        <item h="1" x="2"/>
        <item x="3"/>
        <item x="4"/>
        <item x="5"/>
        <item x="6"/>
        <item x="7"/>
        <item x="8"/>
        <item x="9"/>
        <item x="10"/>
      </items>
    </pivotField>
    <pivotField axis="axisRow" compact="0" outline="0" showAll="0" defaultSubtotal="0">
      <items count="5">
        <item x="1"/>
        <item x="2"/>
        <item x="4"/>
        <item x="0"/>
        <item x="3"/>
      </items>
    </pivotField>
  </pivotFields>
  <rowFields count="2">
    <field x="13"/>
    <field x="14"/>
  </rowFields>
  <rowItems count="21">
    <i>
      <x/>
      <x/>
    </i>
    <i r="1">
      <x v="3"/>
    </i>
    <i>
      <x v="1"/>
      <x/>
    </i>
    <i r="1">
      <x v="1"/>
    </i>
    <i r="1">
      <x v="3"/>
    </i>
    <i>
      <x v="3"/>
      <x/>
    </i>
    <i r="1">
      <x v="1"/>
    </i>
    <i r="1">
      <x v="3"/>
    </i>
    <i>
      <x v="4"/>
      <x v="4"/>
    </i>
    <i>
      <x v="5"/>
      <x v="3"/>
    </i>
    <i>
      <x v="6"/>
      <x/>
    </i>
    <i r="1">
      <x v="3"/>
    </i>
    <i>
      <x v="7"/>
      <x v="4"/>
    </i>
    <i>
      <x v="8"/>
      <x/>
    </i>
    <i r="1">
      <x v="2"/>
    </i>
    <i r="1">
      <x v="3"/>
    </i>
    <i r="1">
      <x v="4"/>
    </i>
    <i>
      <x v="9"/>
      <x/>
    </i>
    <i r="1">
      <x v="3"/>
    </i>
    <i>
      <x v="10"/>
      <x v="3"/>
    </i>
    <i t="grand">
      <x/>
    </i>
  </rowItems>
  <colItems count="1">
    <i/>
  </colItems>
  <dataFields count="1">
    <dataField name="Sum of allocated_reserve" fld="11" baseField="0" baseItem="0"/>
  </dataFields>
  <formats count="73">
    <format dxfId="428">
      <pivotArea type="all" dataOnly="0" outline="0" fieldPosition="0"/>
    </format>
    <format dxfId="427">
      <pivotArea outline="0" collapsedLevelsAreSubtotals="1" fieldPosition="0"/>
    </format>
    <format dxfId="426">
      <pivotArea dataOnly="0" labelOnly="1" fieldPosition="0">
        <references count="1">
          <reference field="13" count="0"/>
        </references>
      </pivotArea>
    </format>
    <format dxfId="425">
      <pivotArea dataOnly="0" labelOnly="1" fieldPosition="0">
        <references count="2">
          <reference field="13" count="1" selected="0">
            <x v="0"/>
          </reference>
          <reference field="14" count="2">
            <x v="0"/>
            <x v="3"/>
          </reference>
        </references>
      </pivotArea>
    </format>
    <format dxfId="424">
      <pivotArea dataOnly="0" labelOnly="1" fieldPosition="0">
        <references count="2">
          <reference field="13" count="1" selected="0">
            <x v="3"/>
          </reference>
          <reference field="14" count="0"/>
        </references>
      </pivotArea>
    </format>
    <format dxfId="423">
      <pivotArea dataOnly="0" labelOnly="1" fieldPosition="0">
        <references count="2">
          <reference field="13" count="1" selected="0">
            <x v="4"/>
          </reference>
          <reference field="14" count="2">
            <x v="3"/>
            <x v="4"/>
          </reference>
        </references>
      </pivotArea>
    </format>
    <format dxfId="422">
      <pivotArea dataOnly="0" labelOnly="1" fieldPosition="0">
        <references count="2">
          <reference field="13" count="1" selected="0">
            <x v="5"/>
          </reference>
          <reference field="14" count="2">
            <x v="0"/>
            <x v="3"/>
          </reference>
        </references>
      </pivotArea>
    </format>
    <format dxfId="421">
      <pivotArea dataOnly="0" labelOnly="1" fieldPosition="0">
        <references count="2">
          <reference field="13" count="1" selected="0">
            <x v="6"/>
          </reference>
          <reference field="14" count="2">
            <x v="0"/>
            <x v="3"/>
          </reference>
        </references>
      </pivotArea>
    </format>
    <format dxfId="420">
      <pivotArea dataOnly="0" labelOnly="1" fieldPosition="0">
        <references count="2">
          <reference field="13" count="1" selected="0">
            <x v="7"/>
          </reference>
          <reference field="14" count="1">
            <x v="4"/>
          </reference>
        </references>
      </pivotArea>
    </format>
    <format dxfId="419">
      <pivotArea dataOnly="0" labelOnly="1" fieldPosition="0">
        <references count="2">
          <reference field="13" count="1" selected="0">
            <x v="8"/>
          </reference>
          <reference field="14" count="4">
            <x v="0"/>
            <x v="2"/>
            <x v="3"/>
            <x v="4"/>
          </reference>
        </references>
      </pivotArea>
    </format>
    <format dxfId="418">
      <pivotArea dataOnly="0" labelOnly="1" fieldPosition="0">
        <references count="2">
          <reference field="13" count="1" selected="0">
            <x v="9"/>
          </reference>
          <reference field="14" count="2">
            <x v="0"/>
            <x v="3"/>
          </reference>
        </references>
      </pivotArea>
    </format>
    <format dxfId="417">
      <pivotArea dataOnly="0" labelOnly="1" fieldPosition="0">
        <references count="2">
          <reference field="13" count="1" selected="0">
            <x v="10"/>
          </reference>
          <reference field="14" count="1">
            <x v="3"/>
          </reference>
        </references>
      </pivotArea>
    </format>
    <format dxfId="416">
      <pivotArea type="all" dataOnly="0" outline="0" fieldPosition="0"/>
    </format>
    <format dxfId="415">
      <pivotArea outline="0" collapsedLevelsAreSubtotals="1" fieldPosition="0"/>
    </format>
    <format dxfId="414">
      <pivotArea dataOnly="0" labelOnly="1" fieldPosition="0">
        <references count="1">
          <reference field="13" count="0"/>
        </references>
      </pivotArea>
    </format>
    <format dxfId="413">
      <pivotArea dataOnly="0" labelOnly="1" fieldPosition="0">
        <references count="2">
          <reference field="13" count="1" selected="0">
            <x v="0"/>
          </reference>
          <reference field="14" count="2">
            <x v="0"/>
            <x v="3"/>
          </reference>
        </references>
      </pivotArea>
    </format>
    <format dxfId="412">
      <pivotArea dataOnly="0" labelOnly="1" fieldPosition="0">
        <references count="2">
          <reference field="13" count="1" selected="0">
            <x v="3"/>
          </reference>
          <reference field="14" count="0"/>
        </references>
      </pivotArea>
    </format>
    <format dxfId="411">
      <pivotArea dataOnly="0" labelOnly="1" fieldPosition="0">
        <references count="2">
          <reference field="13" count="1" selected="0">
            <x v="4"/>
          </reference>
          <reference field="14" count="2">
            <x v="3"/>
            <x v="4"/>
          </reference>
        </references>
      </pivotArea>
    </format>
    <format dxfId="410">
      <pivotArea dataOnly="0" labelOnly="1" fieldPosition="0">
        <references count="2">
          <reference field="13" count="1" selected="0">
            <x v="5"/>
          </reference>
          <reference field="14" count="2">
            <x v="0"/>
            <x v="3"/>
          </reference>
        </references>
      </pivotArea>
    </format>
    <format dxfId="409">
      <pivotArea dataOnly="0" labelOnly="1" fieldPosition="0">
        <references count="2">
          <reference field="13" count="1" selected="0">
            <x v="6"/>
          </reference>
          <reference field="14" count="2">
            <x v="0"/>
            <x v="3"/>
          </reference>
        </references>
      </pivotArea>
    </format>
    <format dxfId="408">
      <pivotArea dataOnly="0" labelOnly="1" fieldPosition="0">
        <references count="2">
          <reference field="13" count="1" selected="0">
            <x v="7"/>
          </reference>
          <reference field="14" count="1">
            <x v="4"/>
          </reference>
        </references>
      </pivotArea>
    </format>
    <format dxfId="407">
      <pivotArea dataOnly="0" labelOnly="1" fieldPosition="0">
        <references count="2">
          <reference field="13" count="1" selected="0">
            <x v="8"/>
          </reference>
          <reference field="14" count="4">
            <x v="0"/>
            <x v="2"/>
            <x v="3"/>
            <x v="4"/>
          </reference>
        </references>
      </pivotArea>
    </format>
    <format dxfId="406">
      <pivotArea dataOnly="0" labelOnly="1" fieldPosition="0">
        <references count="2">
          <reference field="13" count="1" selected="0">
            <x v="9"/>
          </reference>
          <reference field="14" count="2">
            <x v="0"/>
            <x v="3"/>
          </reference>
        </references>
      </pivotArea>
    </format>
    <format dxfId="405">
      <pivotArea dataOnly="0" labelOnly="1" fieldPosition="0">
        <references count="2">
          <reference field="13" count="1" selected="0">
            <x v="10"/>
          </reference>
          <reference field="14" count="1">
            <x v="3"/>
          </reference>
        </references>
      </pivotArea>
    </format>
    <format dxfId="404">
      <pivotArea outline="0" collapsedLevelsAreSubtotals="1" fieldPosition="0"/>
    </format>
    <format dxfId="403">
      <pivotArea type="all" dataOnly="0" outline="0" fieldPosition="0"/>
    </format>
    <format dxfId="402">
      <pivotArea dataOnly="0" labelOnly="1" outline="0" fieldPosition="0">
        <references count="1">
          <reference field="13" count="0"/>
        </references>
      </pivotArea>
    </format>
    <format dxfId="401">
      <pivotArea dataOnly="0" labelOnly="1" outline="0" fieldPosition="0">
        <references count="2">
          <reference field="13" count="1" selected="0">
            <x v="3"/>
          </reference>
          <reference field="14" count="0"/>
        </references>
      </pivotArea>
    </format>
    <format dxfId="400">
      <pivotArea dataOnly="0" labelOnly="1" outline="0" fieldPosition="0">
        <references count="2">
          <reference field="13" count="1" selected="0">
            <x v="4"/>
          </reference>
          <reference field="14" count="2">
            <x v="3"/>
            <x v="4"/>
          </reference>
        </references>
      </pivotArea>
    </format>
    <format dxfId="399">
      <pivotArea dataOnly="0" labelOnly="1" outline="0" fieldPosition="0">
        <references count="2">
          <reference field="13" count="1" selected="0">
            <x v="5"/>
          </reference>
          <reference field="14" count="2">
            <x v="0"/>
            <x v="3"/>
          </reference>
        </references>
      </pivotArea>
    </format>
    <format dxfId="398">
      <pivotArea type="all" dataOnly="0" outline="0" fieldPosition="0"/>
    </format>
    <format dxfId="397">
      <pivotArea dataOnly="0" labelOnly="1" outline="0" fieldPosition="0">
        <references count="1">
          <reference field="13" count="0"/>
        </references>
      </pivotArea>
    </format>
    <format dxfId="396">
      <pivotArea dataOnly="0" labelOnly="1" outline="0" fieldPosition="0">
        <references count="2">
          <reference field="13" count="1" selected="0">
            <x v="3"/>
          </reference>
          <reference field="14" count="0"/>
        </references>
      </pivotArea>
    </format>
    <format dxfId="395">
      <pivotArea dataOnly="0" labelOnly="1" outline="0" fieldPosition="0">
        <references count="2">
          <reference field="13" count="1" selected="0">
            <x v="4"/>
          </reference>
          <reference field="14" count="2">
            <x v="3"/>
            <x v="4"/>
          </reference>
        </references>
      </pivotArea>
    </format>
    <format dxfId="394">
      <pivotArea dataOnly="0" labelOnly="1" outline="0" fieldPosition="0">
        <references count="2">
          <reference field="13" count="1" selected="0">
            <x v="5"/>
          </reference>
          <reference field="14" count="2">
            <x v="0"/>
            <x v="3"/>
          </reference>
        </references>
      </pivotArea>
    </format>
    <format dxfId="393">
      <pivotArea grandRow="1" outline="0" collapsedLevelsAreSubtotals="1" fieldPosition="0"/>
    </format>
    <format dxfId="392">
      <pivotArea outline="0" fieldPosition="0">
        <references count="2">
          <reference field="13" count="1" selected="0">
            <x v="2"/>
          </reference>
          <reference field="14" count="1" selected="0">
            <x v="3"/>
          </reference>
        </references>
      </pivotArea>
    </format>
    <format dxfId="391">
      <pivotArea dataOnly="0" labelOnly="1" outline="0" fieldPosition="0">
        <references count="1">
          <reference field="13" count="1">
            <x v="2"/>
          </reference>
        </references>
      </pivotArea>
    </format>
    <format dxfId="390">
      <pivotArea dataOnly="0" labelOnly="1" outline="0" fieldPosition="0">
        <references count="2">
          <reference field="13" count="1" selected="0">
            <x v="2"/>
          </reference>
          <reference field="14" count="1">
            <x v="3"/>
          </reference>
        </references>
      </pivotArea>
    </format>
    <format dxfId="389">
      <pivotArea type="all" dataOnly="0" outline="0" fieldPosition="0"/>
    </format>
    <format dxfId="388">
      <pivotArea outline="0" collapsedLevelsAreSubtotals="1" fieldPosition="0"/>
    </format>
    <format dxfId="387">
      <pivotArea field="13" type="button" dataOnly="0" labelOnly="1" outline="0" axis="axisRow" fieldPosition="0"/>
    </format>
    <format dxfId="386">
      <pivotArea field="14" type="button" dataOnly="0" labelOnly="1" outline="0" axis="axisRow" fieldPosition="1"/>
    </format>
    <format dxfId="385">
      <pivotArea dataOnly="0" labelOnly="1" outline="0" fieldPosition="0">
        <references count="1">
          <reference field="13" count="0"/>
        </references>
      </pivotArea>
    </format>
    <format dxfId="384">
      <pivotArea dataOnly="0" labelOnly="1" grandRow="1" outline="0" fieldPosition="0"/>
    </format>
    <format dxfId="383">
      <pivotArea dataOnly="0" labelOnly="1" outline="0" fieldPosition="0">
        <references count="2">
          <reference field="13" count="1" selected="0">
            <x v="0"/>
          </reference>
          <reference field="14" count="2">
            <x v="0"/>
            <x v="3"/>
          </reference>
        </references>
      </pivotArea>
    </format>
    <format dxfId="382">
      <pivotArea dataOnly="0" labelOnly="1" outline="0" fieldPosition="0">
        <references count="2">
          <reference field="13" count="1" selected="0">
            <x v="1"/>
          </reference>
          <reference field="14" count="3">
            <x v="0"/>
            <x v="1"/>
            <x v="3"/>
          </reference>
        </references>
      </pivotArea>
    </format>
    <format dxfId="381">
      <pivotArea dataOnly="0" labelOnly="1" outline="0" fieldPosition="0">
        <references count="2">
          <reference field="13" count="1" selected="0">
            <x v="3"/>
          </reference>
          <reference field="14" count="3">
            <x v="0"/>
            <x v="1"/>
            <x v="3"/>
          </reference>
        </references>
      </pivotArea>
    </format>
    <format dxfId="380">
      <pivotArea dataOnly="0" labelOnly="1" outline="0" fieldPosition="0">
        <references count="2">
          <reference field="13" count="1" selected="0">
            <x v="4"/>
          </reference>
          <reference field="14" count="1">
            <x v="4"/>
          </reference>
        </references>
      </pivotArea>
    </format>
    <format dxfId="379">
      <pivotArea dataOnly="0" labelOnly="1" outline="0" fieldPosition="0">
        <references count="2">
          <reference field="13" count="1" selected="0">
            <x v="5"/>
          </reference>
          <reference field="14" count="1">
            <x v="3"/>
          </reference>
        </references>
      </pivotArea>
    </format>
    <format dxfId="378">
      <pivotArea dataOnly="0" labelOnly="1" outline="0" fieldPosition="0">
        <references count="2">
          <reference field="13" count="1" selected="0">
            <x v="6"/>
          </reference>
          <reference field="14" count="2">
            <x v="0"/>
            <x v="3"/>
          </reference>
        </references>
      </pivotArea>
    </format>
    <format dxfId="377">
      <pivotArea dataOnly="0" labelOnly="1" outline="0" fieldPosition="0">
        <references count="2">
          <reference field="13" count="1" selected="0">
            <x v="7"/>
          </reference>
          <reference field="14" count="1">
            <x v="4"/>
          </reference>
        </references>
      </pivotArea>
    </format>
    <format dxfId="376">
      <pivotArea dataOnly="0" labelOnly="1" outline="0" fieldPosition="0">
        <references count="2">
          <reference field="13" count="1" selected="0">
            <x v="8"/>
          </reference>
          <reference field="14" count="4">
            <x v="0"/>
            <x v="2"/>
            <x v="3"/>
            <x v="4"/>
          </reference>
        </references>
      </pivotArea>
    </format>
    <format dxfId="375">
      <pivotArea dataOnly="0" labelOnly="1" outline="0" fieldPosition="0">
        <references count="2">
          <reference field="13" count="1" selected="0">
            <x v="9"/>
          </reference>
          <reference field="14" count="2">
            <x v="0"/>
            <x v="3"/>
          </reference>
        </references>
      </pivotArea>
    </format>
    <format dxfId="374">
      <pivotArea dataOnly="0" labelOnly="1" outline="0" fieldPosition="0">
        <references count="2">
          <reference field="13" count="1" selected="0">
            <x v="10"/>
          </reference>
          <reference field="14" count="1">
            <x v="3"/>
          </reference>
        </references>
      </pivotArea>
    </format>
    <format dxfId="373">
      <pivotArea dataOnly="0" labelOnly="1" outline="0" axis="axisValues" fieldPosition="0"/>
    </format>
    <format dxfId="372">
      <pivotArea type="all" dataOnly="0" outline="0" fieldPosition="0"/>
    </format>
    <format dxfId="371">
      <pivotArea outline="0" collapsedLevelsAreSubtotals="1" fieldPosition="0"/>
    </format>
    <format dxfId="370">
      <pivotArea field="13" type="button" dataOnly="0" labelOnly="1" outline="0" axis="axisRow" fieldPosition="0"/>
    </format>
    <format dxfId="369">
      <pivotArea field="14" type="button" dataOnly="0" labelOnly="1" outline="0" axis="axisRow" fieldPosition="1"/>
    </format>
    <format dxfId="368">
      <pivotArea dataOnly="0" labelOnly="1" outline="0" fieldPosition="0">
        <references count="1">
          <reference field="13" count="0"/>
        </references>
      </pivotArea>
    </format>
    <format dxfId="367">
      <pivotArea dataOnly="0" labelOnly="1" grandRow="1" outline="0" fieldPosition="0"/>
    </format>
    <format dxfId="366">
      <pivotArea dataOnly="0" labelOnly="1" outline="0" fieldPosition="0">
        <references count="2">
          <reference field="13" count="1" selected="0">
            <x v="0"/>
          </reference>
          <reference field="14" count="2">
            <x v="0"/>
            <x v="3"/>
          </reference>
        </references>
      </pivotArea>
    </format>
    <format dxfId="365">
      <pivotArea dataOnly="0" labelOnly="1" outline="0" fieldPosition="0">
        <references count="2">
          <reference field="13" count="1" selected="0">
            <x v="1"/>
          </reference>
          <reference field="14" count="3">
            <x v="0"/>
            <x v="1"/>
            <x v="3"/>
          </reference>
        </references>
      </pivotArea>
    </format>
    <format dxfId="364">
      <pivotArea dataOnly="0" labelOnly="1" outline="0" fieldPosition="0">
        <references count="2">
          <reference field="13" count="1" selected="0">
            <x v="3"/>
          </reference>
          <reference field="14" count="3">
            <x v="0"/>
            <x v="1"/>
            <x v="3"/>
          </reference>
        </references>
      </pivotArea>
    </format>
    <format dxfId="363">
      <pivotArea dataOnly="0" labelOnly="1" outline="0" fieldPosition="0">
        <references count="2">
          <reference field="13" count="1" selected="0">
            <x v="4"/>
          </reference>
          <reference field="14" count="1">
            <x v="4"/>
          </reference>
        </references>
      </pivotArea>
    </format>
    <format dxfId="362">
      <pivotArea dataOnly="0" labelOnly="1" outline="0" fieldPosition="0">
        <references count="2">
          <reference field="13" count="1" selected="0">
            <x v="5"/>
          </reference>
          <reference field="14" count="1">
            <x v="3"/>
          </reference>
        </references>
      </pivotArea>
    </format>
    <format dxfId="361">
      <pivotArea dataOnly="0" labelOnly="1" outline="0" fieldPosition="0">
        <references count="2">
          <reference field="13" count="1" selected="0">
            <x v="6"/>
          </reference>
          <reference field="14" count="2">
            <x v="0"/>
            <x v="3"/>
          </reference>
        </references>
      </pivotArea>
    </format>
    <format dxfId="360">
      <pivotArea dataOnly="0" labelOnly="1" outline="0" fieldPosition="0">
        <references count="2">
          <reference field="13" count="1" selected="0">
            <x v="7"/>
          </reference>
          <reference field="14" count="1">
            <x v="4"/>
          </reference>
        </references>
      </pivotArea>
    </format>
    <format dxfId="359">
      <pivotArea dataOnly="0" labelOnly="1" outline="0" fieldPosition="0">
        <references count="2">
          <reference field="13" count="1" selected="0">
            <x v="8"/>
          </reference>
          <reference field="14" count="4">
            <x v="0"/>
            <x v="2"/>
            <x v="3"/>
            <x v="4"/>
          </reference>
        </references>
      </pivotArea>
    </format>
    <format dxfId="358">
      <pivotArea dataOnly="0" labelOnly="1" outline="0" fieldPosition="0">
        <references count="2">
          <reference field="13" count="1" selected="0">
            <x v="9"/>
          </reference>
          <reference field="14" count="2">
            <x v="0"/>
            <x v="3"/>
          </reference>
        </references>
      </pivotArea>
    </format>
    <format dxfId="357">
      <pivotArea dataOnly="0" labelOnly="1" outline="0" fieldPosition="0">
        <references count="2">
          <reference field="13" count="1" selected="0">
            <x v="10"/>
          </reference>
          <reference field="14" count="1">
            <x v="3"/>
          </reference>
        </references>
      </pivotArea>
    </format>
    <format dxfId="356">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5500-000000000000}" name="PivotTable2" cacheId="23"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H31:J33"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numFmtId="44" outline="0" showAll="0" defaultSubtotal="0"/>
    <pivotField dataField="1" compact="0" numFmtId="44" outline="0" showAll="0" defaultSubtotal="0"/>
    <pivotField compact="0" numFmtId="44" outline="0" showAll="0" defaultSubtotal="0"/>
    <pivotField axis="axisRow" compact="0" outline="0" showAll="0" defaultSubtotal="0">
      <items count="11">
        <item h="1" x="0"/>
        <item h="1" x="3"/>
        <item h="1" x="4"/>
        <item h="1" x="5"/>
        <item h="1" x="6"/>
        <item h="1" x="7"/>
        <item h="1" x="8"/>
        <item h="1" x="9"/>
        <item h="1" x="10"/>
        <item h="1" x="1"/>
        <item x="2"/>
      </items>
    </pivotField>
    <pivotField axis="axisRow" compact="0" outline="0" showAll="0" defaultSubtotal="0">
      <items count="5">
        <item x="1"/>
        <item x="2"/>
        <item x="4"/>
        <item x="0"/>
        <item x="3"/>
      </items>
    </pivotField>
  </pivotFields>
  <rowFields count="2">
    <field x="13"/>
    <field x="14"/>
  </rowFields>
  <rowItems count="2">
    <i>
      <x v="10"/>
      <x v="3"/>
    </i>
    <i t="grand">
      <x/>
    </i>
  </rowItems>
  <colItems count="1">
    <i/>
  </colItems>
  <dataFields count="1">
    <dataField name="Sum of allocated_reserve" fld="11" baseField="0" baseItem="0"/>
  </dataFields>
  <formats count="42">
    <format dxfId="470">
      <pivotArea type="all" dataOnly="0" outline="0" fieldPosition="0"/>
    </format>
    <format dxfId="469">
      <pivotArea outline="0" collapsedLevelsAreSubtotals="1" fieldPosition="0"/>
    </format>
    <format dxfId="468">
      <pivotArea dataOnly="0" labelOnly="1" fieldPosition="0">
        <references count="1">
          <reference field="13" count="0"/>
        </references>
      </pivotArea>
    </format>
    <format dxfId="467">
      <pivotArea dataOnly="0" labelOnly="1" fieldPosition="0">
        <references count="2">
          <reference field="13" count="1" selected="0">
            <x v="0"/>
          </reference>
          <reference field="14" count="2">
            <x v="0"/>
            <x v="3"/>
          </reference>
        </references>
      </pivotArea>
    </format>
    <format dxfId="466">
      <pivotArea dataOnly="0" labelOnly="1" fieldPosition="0">
        <references count="2">
          <reference field="13" count="1" selected="0">
            <x v="1"/>
          </reference>
          <reference field="14" count="0"/>
        </references>
      </pivotArea>
    </format>
    <format dxfId="465">
      <pivotArea dataOnly="0" labelOnly="1" fieldPosition="0">
        <references count="2">
          <reference field="13" count="1" selected="0">
            <x v="2"/>
          </reference>
          <reference field="14" count="2">
            <x v="3"/>
            <x v="4"/>
          </reference>
        </references>
      </pivotArea>
    </format>
    <format dxfId="464">
      <pivotArea dataOnly="0" labelOnly="1" fieldPosition="0">
        <references count="2">
          <reference field="13" count="1" selected="0">
            <x v="3"/>
          </reference>
          <reference field="14" count="2">
            <x v="0"/>
            <x v="3"/>
          </reference>
        </references>
      </pivotArea>
    </format>
    <format dxfId="463">
      <pivotArea dataOnly="0" labelOnly="1" fieldPosition="0">
        <references count="2">
          <reference field="13" count="1" selected="0">
            <x v="4"/>
          </reference>
          <reference field="14" count="2">
            <x v="0"/>
            <x v="3"/>
          </reference>
        </references>
      </pivotArea>
    </format>
    <format dxfId="462">
      <pivotArea dataOnly="0" labelOnly="1" fieldPosition="0">
        <references count="2">
          <reference field="13" count="1" selected="0">
            <x v="5"/>
          </reference>
          <reference field="14" count="1">
            <x v="4"/>
          </reference>
        </references>
      </pivotArea>
    </format>
    <format dxfId="461">
      <pivotArea dataOnly="0" labelOnly="1" fieldPosition="0">
        <references count="2">
          <reference field="13" count="1" selected="0">
            <x v="6"/>
          </reference>
          <reference field="14" count="4">
            <x v="0"/>
            <x v="2"/>
            <x v="3"/>
            <x v="4"/>
          </reference>
        </references>
      </pivotArea>
    </format>
    <format dxfId="460">
      <pivotArea dataOnly="0" labelOnly="1" fieldPosition="0">
        <references count="2">
          <reference field="13" count="1" selected="0">
            <x v="7"/>
          </reference>
          <reference field="14" count="2">
            <x v="0"/>
            <x v="3"/>
          </reference>
        </references>
      </pivotArea>
    </format>
    <format dxfId="459">
      <pivotArea dataOnly="0" labelOnly="1" fieldPosition="0">
        <references count="2">
          <reference field="13" count="1" selected="0">
            <x v="8"/>
          </reference>
          <reference field="14" count="1">
            <x v="3"/>
          </reference>
        </references>
      </pivotArea>
    </format>
    <format dxfId="458">
      <pivotArea type="all" dataOnly="0" outline="0" fieldPosition="0"/>
    </format>
    <format dxfId="457">
      <pivotArea outline="0" collapsedLevelsAreSubtotals="1" fieldPosition="0"/>
    </format>
    <format dxfId="456">
      <pivotArea dataOnly="0" labelOnly="1" fieldPosition="0">
        <references count="1">
          <reference field="13" count="0"/>
        </references>
      </pivotArea>
    </format>
    <format dxfId="455">
      <pivotArea dataOnly="0" labelOnly="1" fieldPosition="0">
        <references count="2">
          <reference field="13" count="1" selected="0">
            <x v="0"/>
          </reference>
          <reference field="14" count="2">
            <x v="0"/>
            <x v="3"/>
          </reference>
        </references>
      </pivotArea>
    </format>
    <format dxfId="454">
      <pivotArea dataOnly="0" labelOnly="1" fieldPosition="0">
        <references count="2">
          <reference field="13" count="1" selected="0">
            <x v="1"/>
          </reference>
          <reference field="14" count="0"/>
        </references>
      </pivotArea>
    </format>
    <format dxfId="453">
      <pivotArea dataOnly="0" labelOnly="1" fieldPosition="0">
        <references count="2">
          <reference field="13" count="1" selected="0">
            <x v="2"/>
          </reference>
          <reference field="14" count="2">
            <x v="3"/>
            <x v="4"/>
          </reference>
        </references>
      </pivotArea>
    </format>
    <format dxfId="452">
      <pivotArea dataOnly="0" labelOnly="1" fieldPosition="0">
        <references count="2">
          <reference field="13" count="1" selected="0">
            <x v="3"/>
          </reference>
          <reference field="14" count="2">
            <x v="0"/>
            <x v="3"/>
          </reference>
        </references>
      </pivotArea>
    </format>
    <format dxfId="451">
      <pivotArea dataOnly="0" labelOnly="1" fieldPosition="0">
        <references count="2">
          <reference field="13" count="1" selected="0">
            <x v="4"/>
          </reference>
          <reference field="14" count="2">
            <x v="0"/>
            <x v="3"/>
          </reference>
        </references>
      </pivotArea>
    </format>
    <format dxfId="450">
      <pivotArea dataOnly="0" labelOnly="1" fieldPosition="0">
        <references count="2">
          <reference field="13" count="1" selected="0">
            <x v="5"/>
          </reference>
          <reference field="14" count="1">
            <x v="4"/>
          </reference>
        </references>
      </pivotArea>
    </format>
    <format dxfId="449">
      <pivotArea dataOnly="0" labelOnly="1" fieldPosition="0">
        <references count="2">
          <reference field="13" count="1" selected="0">
            <x v="6"/>
          </reference>
          <reference field="14" count="4">
            <x v="0"/>
            <x v="2"/>
            <x v="3"/>
            <x v="4"/>
          </reference>
        </references>
      </pivotArea>
    </format>
    <format dxfId="448">
      <pivotArea dataOnly="0" labelOnly="1" fieldPosition="0">
        <references count="2">
          <reference field="13" count="1" selected="0">
            <x v="7"/>
          </reference>
          <reference field="14" count="2">
            <x v="0"/>
            <x v="3"/>
          </reference>
        </references>
      </pivotArea>
    </format>
    <format dxfId="447">
      <pivotArea dataOnly="0" labelOnly="1" fieldPosition="0">
        <references count="2">
          <reference field="13" count="1" selected="0">
            <x v="8"/>
          </reference>
          <reference field="14" count="1">
            <x v="3"/>
          </reference>
        </references>
      </pivotArea>
    </format>
    <format dxfId="446">
      <pivotArea outline="0" collapsedLevelsAreSubtotals="1" fieldPosition="0"/>
    </format>
    <format dxfId="445">
      <pivotArea grandRow="1" outline="0" collapsedLevelsAreSubtotals="1" fieldPosition="0"/>
    </format>
    <format dxfId="444">
      <pivotArea type="all" dataOnly="0" outline="0" fieldPosition="0"/>
    </format>
    <format dxfId="443">
      <pivotArea outline="0" collapsedLevelsAreSubtotals="1" fieldPosition="0"/>
    </format>
    <format dxfId="442">
      <pivotArea field="13" type="button" dataOnly="0" labelOnly="1" outline="0" axis="axisRow" fieldPosition="0"/>
    </format>
    <format dxfId="441">
      <pivotArea field="14" type="button" dataOnly="0" labelOnly="1" outline="0" axis="axisRow" fieldPosition="1"/>
    </format>
    <format dxfId="440">
      <pivotArea dataOnly="0" labelOnly="1" outline="0" fieldPosition="0">
        <references count="1">
          <reference field="13" count="0"/>
        </references>
      </pivotArea>
    </format>
    <format dxfId="439">
      <pivotArea dataOnly="0" labelOnly="1" grandRow="1" outline="0" fieldPosition="0"/>
    </format>
    <format dxfId="438">
      <pivotArea dataOnly="0" labelOnly="1" outline="0" fieldPosition="0">
        <references count="2">
          <reference field="13" count="0" selected="0"/>
          <reference field="14" count="1">
            <x v="3"/>
          </reference>
        </references>
      </pivotArea>
    </format>
    <format dxfId="437">
      <pivotArea dataOnly="0" labelOnly="1" outline="0" axis="axisValues" fieldPosition="0"/>
    </format>
    <format dxfId="436">
      <pivotArea type="all" dataOnly="0" outline="0" fieldPosition="0"/>
    </format>
    <format dxfId="435">
      <pivotArea outline="0" collapsedLevelsAreSubtotals="1" fieldPosition="0"/>
    </format>
    <format dxfId="434">
      <pivotArea field="13" type="button" dataOnly="0" labelOnly="1" outline="0" axis="axisRow" fieldPosition="0"/>
    </format>
    <format dxfId="433">
      <pivotArea field="14" type="button" dataOnly="0" labelOnly="1" outline="0" axis="axisRow" fieldPosition="1"/>
    </format>
    <format dxfId="432">
      <pivotArea dataOnly="0" labelOnly="1" outline="0" fieldPosition="0">
        <references count="1">
          <reference field="13" count="0"/>
        </references>
      </pivotArea>
    </format>
    <format dxfId="431">
      <pivotArea dataOnly="0" labelOnly="1" grandRow="1" outline="0" fieldPosition="0"/>
    </format>
    <format dxfId="430">
      <pivotArea dataOnly="0" labelOnly="1" outline="0" fieldPosition="0">
        <references count="2">
          <reference field="13" count="0" selected="0"/>
          <reference field="14" count="1">
            <x v="3"/>
          </reference>
        </references>
      </pivotArea>
    </format>
    <format dxfId="429">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5500-000003000000}" name="PivotTable4" cacheId="29"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B34:D50"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compact="0" numFmtId="44" outline="0" subtotalTop="0" showAll="0"/>
    <pivotField dataField="1" compact="0" numFmtId="44" outline="0" subtotalTop="0" showAll="0"/>
    <pivotField compact="0" numFmtId="44" outline="0" subtotalTop="0" showAll="0"/>
    <pivotField axis="axisRow" compact="0" outline="0" showAll="0">
      <items count="4">
        <item x="0"/>
        <item x="1"/>
        <item x="2"/>
        <item t="default"/>
      </items>
    </pivotField>
    <pivotField axis="axisRow" compact="0" outline="0" subtotalTop="0" showAll="0">
      <items count="9">
        <item x="0"/>
        <item h="1" x="5"/>
        <item x="6"/>
        <item x="1"/>
        <item x="2"/>
        <item x="4"/>
        <item x="3"/>
        <item h="1" m="1" x="7"/>
        <item t="default"/>
      </items>
    </pivotField>
  </pivotFields>
  <rowFields count="2">
    <field x="13"/>
    <field x="14"/>
  </rowFields>
  <rowItems count="16">
    <i>
      <x/>
      <x/>
    </i>
    <i t="default">
      <x/>
    </i>
    <i>
      <x v="1"/>
      <x/>
    </i>
    <i r="1">
      <x v="3"/>
    </i>
    <i r="1">
      <x v="4"/>
    </i>
    <i r="1">
      <x v="5"/>
    </i>
    <i r="1">
      <x v="6"/>
    </i>
    <i t="default">
      <x v="1"/>
    </i>
    <i>
      <x v="2"/>
      <x/>
    </i>
    <i r="1">
      <x v="2"/>
    </i>
    <i r="1">
      <x v="3"/>
    </i>
    <i r="1">
      <x v="4"/>
    </i>
    <i r="1">
      <x v="5"/>
    </i>
    <i r="1">
      <x v="6"/>
    </i>
    <i t="default">
      <x v="2"/>
    </i>
    <i t="grand">
      <x/>
    </i>
  </rowItems>
  <colItems count="1">
    <i/>
  </colItems>
  <dataFields count="1">
    <dataField name="Sum of allocated_reserve" fld="11" baseField="0" baseItem="0" numFmtId="44"/>
  </dataFields>
  <formats count="11">
    <format dxfId="268">
      <pivotArea type="all" dataOnly="0" outline="0" fieldPosition="0"/>
    </format>
    <format dxfId="267">
      <pivotArea outline="0" collapsedLevelsAreSubtotals="1" fieldPosition="0"/>
    </format>
    <format dxfId="266">
      <pivotArea dataOnly="0" labelOnly="1" outline="0" axis="axisValues" fieldPosition="0"/>
    </format>
    <format dxfId="265">
      <pivotArea dataOnly="0" labelOnly="1" grandRow="1" outline="0" fieldPosition="0"/>
    </format>
    <format dxfId="264">
      <pivotArea dataOnly="0" labelOnly="1" outline="0" axis="axisValues" fieldPosition="0"/>
    </format>
    <format dxfId="263">
      <pivotArea type="all" dataOnly="0" outline="0" fieldPosition="0"/>
    </format>
    <format dxfId="262">
      <pivotArea outline="0" collapsedLevelsAreSubtotals="1" fieldPosition="0"/>
    </format>
    <format dxfId="261">
      <pivotArea dataOnly="0" labelOnly="1" outline="0" axis="axisValues" fieldPosition="0"/>
    </format>
    <format dxfId="260">
      <pivotArea dataOnly="0" labelOnly="1" grandRow="1" outline="0" fieldPosition="0"/>
    </format>
    <format dxfId="259">
      <pivotArea dataOnly="0" labelOnly="1" outline="0" axis="axisValues" fieldPosition="0"/>
    </format>
    <format dxfId="25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5500-000006000000}" name="PivotTable5" cacheId="29"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B4:D20"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dataField="1" compact="0" numFmtId="44" outline="0" subtotalTop="0" showAll="0"/>
    <pivotField compact="0" numFmtId="44" outline="0" subtotalTop="0" showAll="0"/>
    <pivotField compact="0" numFmtId="44" outline="0" subtotalTop="0" showAll="0"/>
    <pivotField axis="axisRow" compact="0" outline="0" showAll="0">
      <items count="4">
        <item x="0"/>
        <item x="1"/>
        <item x="2"/>
        <item t="default"/>
      </items>
    </pivotField>
    <pivotField axis="axisRow" compact="0" outline="0" subtotalTop="0" showAll="0">
      <items count="9">
        <item x="0"/>
        <item h="1" x="5"/>
        <item x="6"/>
        <item x="1"/>
        <item x="2"/>
        <item x="4"/>
        <item x="3"/>
        <item m="1" x="7"/>
        <item t="default"/>
      </items>
    </pivotField>
  </pivotFields>
  <rowFields count="2">
    <field x="13"/>
    <field x="14"/>
  </rowFields>
  <rowItems count="16">
    <i>
      <x/>
      <x/>
    </i>
    <i t="default">
      <x/>
    </i>
    <i>
      <x v="1"/>
      <x/>
    </i>
    <i r="1">
      <x v="3"/>
    </i>
    <i r="1">
      <x v="4"/>
    </i>
    <i r="1">
      <x v="5"/>
    </i>
    <i r="1">
      <x v="6"/>
    </i>
    <i t="default">
      <x v="1"/>
    </i>
    <i>
      <x v="2"/>
      <x/>
    </i>
    <i r="1">
      <x v="2"/>
    </i>
    <i r="1">
      <x v="3"/>
    </i>
    <i r="1">
      <x v="4"/>
    </i>
    <i r="1">
      <x v="5"/>
    </i>
    <i r="1">
      <x v="6"/>
    </i>
    <i t="default">
      <x v="2"/>
    </i>
    <i t="grand">
      <x/>
    </i>
  </rowItems>
  <colItems count="1">
    <i/>
  </colItems>
  <dataFields count="1">
    <dataField name="Sum of book_cost" fld="10" baseField="0" baseItem="0"/>
  </dataFields>
  <formats count="13">
    <format dxfId="281">
      <pivotArea type="all" dataOnly="0" outline="0" fieldPosition="0"/>
    </format>
    <format dxfId="280">
      <pivotArea outline="0" collapsedLevelsAreSubtotals="1" fieldPosition="0"/>
    </format>
    <format dxfId="279">
      <pivotArea dataOnly="0" labelOnly="1" outline="0" axis="axisValues" fieldPosition="0"/>
    </format>
    <format dxfId="278">
      <pivotArea dataOnly="0" labelOnly="1" grandRow="1" outline="0" fieldPosition="0"/>
    </format>
    <format dxfId="277">
      <pivotArea dataOnly="0" labelOnly="1" outline="0" axis="axisValues" fieldPosition="0"/>
    </format>
    <format dxfId="276">
      <pivotArea type="all" dataOnly="0" outline="0" fieldPosition="0"/>
    </format>
    <format dxfId="275">
      <pivotArea outline="0" collapsedLevelsAreSubtotals="1" fieldPosition="0"/>
    </format>
    <format dxfId="274">
      <pivotArea dataOnly="0" labelOnly="1" outline="0" axis="axisValues" fieldPosition="0"/>
    </format>
    <format dxfId="273">
      <pivotArea dataOnly="0" labelOnly="1" grandRow="1" outline="0" fieldPosition="0"/>
    </format>
    <format dxfId="272">
      <pivotArea dataOnly="0" labelOnly="1" outline="0" axis="axisValues" fieldPosition="0"/>
    </format>
    <format dxfId="271">
      <pivotArea outline="0" collapsedLevelsAreSubtotals="1" fieldPosition="0"/>
    </format>
    <format dxfId="270">
      <pivotArea grandRow="1" outline="0" collapsedLevelsAreSubtotals="1" fieldPosition="0"/>
    </format>
    <format dxfId="269">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0000000-0007-0000-5500-000005000000}" name="PivotTable3" cacheId="29"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M33:O36"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compact="0" numFmtId="44" outline="0" subtotalTop="0" showAll="0"/>
    <pivotField dataField="1" compact="0" numFmtId="44" outline="0" subtotalTop="0" showAll="0"/>
    <pivotField compact="0" numFmtId="44" outline="0" subtotalTop="0" showAll="0"/>
    <pivotField axis="axisRow" compact="0" outline="0" showAll="0">
      <items count="4">
        <item x="0"/>
        <item x="1"/>
        <item x="2"/>
        <item t="default"/>
      </items>
    </pivotField>
    <pivotField axis="axisRow" compact="0" outline="0" subtotalTop="0" showAll="0">
      <items count="9">
        <item h="1" x="0"/>
        <item x="5"/>
        <item h="1" x="6"/>
        <item h="1" x="1"/>
        <item h="1" x="2"/>
        <item h="1" x="4"/>
        <item h="1" x="3"/>
        <item h="1" m="1" x="7"/>
        <item t="default"/>
      </items>
    </pivotField>
  </pivotFields>
  <rowFields count="2">
    <field x="13"/>
    <field x="14"/>
  </rowFields>
  <rowItems count="3">
    <i>
      <x v="2"/>
      <x v="1"/>
    </i>
    <i t="default">
      <x v="2"/>
    </i>
    <i t="grand">
      <x/>
    </i>
  </rowItems>
  <colItems count="1">
    <i/>
  </colItems>
  <dataFields count="1">
    <dataField name="Sum of allocated_reserve" fld="11" baseField="0" baseItem="0" numFmtId="44"/>
  </dataFields>
  <formats count="11">
    <format dxfId="292">
      <pivotArea type="all" dataOnly="0" outline="0" fieldPosition="0"/>
    </format>
    <format dxfId="291">
      <pivotArea outline="0" collapsedLevelsAreSubtotals="1" fieldPosition="0"/>
    </format>
    <format dxfId="290">
      <pivotArea dataOnly="0" labelOnly="1" outline="0" axis="axisValues" fieldPosition="0"/>
    </format>
    <format dxfId="289">
      <pivotArea dataOnly="0" labelOnly="1" grandRow="1" outline="0" fieldPosition="0"/>
    </format>
    <format dxfId="288">
      <pivotArea dataOnly="0" labelOnly="1" outline="0" axis="axisValues" fieldPosition="0"/>
    </format>
    <format dxfId="287">
      <pivotArea type="all" dataOnly="0" outline="0" fieldPosition="0"/>
    </format>
    <format dxfId="286">
      <pivotArea outline="0" collapsedLevelsAreSubtotals="1" fieldPosition="0"/>
    </format>
    <format dxfId="285">
      <pivotArea dataOnly="0" labelOnly="1" outline="0" axis="axisValues" fieldPosition="0"/>
    </format>
    <format dxfId="284">
      <pivotArea dataOnly="0" labelOnly="1" grandRow="1" outline="0" fieldPosition="0"/>
    </format>
    <format dxfId="283">
      <pivotArea dataOnly="0" labelOnly="1" outline="0" axis="axisValues" fieldPosition="0"/>
    </format>
    <format dxfId="28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000000-0007-0000-5500-000004000000}" name="PivotTable1" cacheId="29"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M4:O7"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dataField="1" compact="0" numFmtId="44" outline="0" subtotalTop="0" showAll="0"/>
    <pivotField compact="0" numFmtId="44" outline="0" subtotalTop="0" showAll="0"/>
    <pivotField compact="0" numFmtId="44" outline="0" subtotalTop="0" showAll="0"/>
    <pivotField axis="axisRow" compact="0" outline="0" showAll="0">
      <items count="4">
        <item x="0"/>
        <item x="1"/>
        <item x="2"/>
        <item t="default"/>
      </items>
    </pivotField>
    <pivotField axis="axisRow" compact="0" outline="0" subtotalTop="0" showAll="0">
      <items count="9">
        <item h="1" x="0"/>
        <item x="5"/>
        <item h="1" x="6"/>
        <item h="1" x="1"/>
        <item h="1" x="2"/>
        <item h="1" x="4"/>
        <item h="1" x="3"/>
        <item h="1" m="1" x="7"/>
        <item t="default"/>
      </items>
    </pivotField>
  </pivotFields>
  <rowFields count="2">
    <field x="13"/>
    <field x="14"/>
  </rowFields>
  <rowItems count="3">
    <i>
      <x v="2"/>
      <x v="1"/>
    </i>
    <i t="default">
      <x v="2"/>
    </i>
    <i t="grand">
      <x/>
    </i>
  </rowItems>
  <colItems count="1">
    <i/>
  </colItems>
  <dataFields count="1">
    <dataField name="Sum of book_cost" fld="10" baseField="0" baseItem="0"/>
  </dataFields>
  <formats count="13">
    <format dxfId="305">
      <pivotArea type="all" dataOnly="0" outline="0" fieldPosition="0"/>
    </format>
    <format dxfId="304">
      <pivotArea outline="0" collapsedLevelsAreSubtotals="1" fieldPosition="0"/>
    </format>
    <format dxfId="303">
      <pivotArea dataOnly="0" labelOnly="1" outline="0" axis="axisValues" fieldPosition="0"/>
    </format>
    <format dxfId="302">
      <pivotArea dataOnly="0" labelOnly="1" grandRow="1" outline="0" fieldPosition="0"/>
    </format>
    <format dxfId="301">
      <pivotArea dataOnly="0" labelOnly="1" outline="0" axis="axisValues" fieldPosition="0"/>
    </format>
    <format dxfId="300">
      <pivotArea type="all" dataOnly="0" outline="0" fieldPosition="0"/>
    </format>
    <format dxfId="299">
      <pivotArea outline="0" collapsedLevelsAreSubtotals="1" fieldPosition="0"/>
    </format>
    <format dxfId="298">
      <pivotArea dataOnly="0" labelOnly="1" outline="0" axis="axisValues" fieldPosition="0"/>
    </format>
    <format dxfId="297">
      <pivotArea dataOnly="0" labelOnly="1" grandRow="1" outline="0" fieldPosition="0"/>
    </format>
    <format dxfId="296">
      <pivotArea dataOnly="0" labelOnly="1" outline="0" axis="axisValues" fieldPosition="0"/>
    </format>
    <format dxfId="295">
      <pivotArea outline="0" collapsedLevelsAreSubtotals="1" fieldPosition="0"/>
    </format>
    <format dxfId="294">
      <pivotArea grandRow="1" outline="0" collapsedLevelsAreSubtotals="1" fieldPosition="0"/>
    </format>
    <format dxfId="293">
      <pivotArea grandRow="1"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00000000-0007-0000-5500-00000A000000}" name="PivotTable3" cacheId="24"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M4:O7" firstHeaderRow="1" firstDataRow="1" firstDataCol="2"/>
  <pivotFields count="17">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dataField="1" compact="0" numFmtId="44" outline="0" subtotalTop="0" showAll="0"/>
    <pivotField compact="0" numFmtId="44" outline="0" subtotalTop="0" showAll="0"/>
    <pivotField compact="0" numFmtId="44" outline="0" subtotalTop="0" showAll="0"/>
    <pivotField axis="axisRow" compact="0" outline="0" showAll="0">
      <items count="3">
        <item x="1"/>
        <item x="0"/>
        <item t="default"/>
      </items>
    </pivotField>
    <pivotField axis="axisRow" compact="0" outline="0" subtotalTop="0" showAll="0">
      <items count="9">
        <item h="1" x="2"/>
        <item h="1" x="0"/>
        <item h="1" x="1"/>
        <item h="1" x="3"/>
        <item h="1" x="5"/>
        <item h="1" x="4"/>
        <item m="1" x="7"/>
        <item x="6"/>
        <item t="default"/>
      </items>
    </pivotField>
    <pivotField compact="0" outline="0" showAll="0"/>
    <pivotField compact="0" outline="0" showAll="0"/>
  </pivotFields>
  <rowFields count="2">
    <field x="13"/>
    <field x="14"/>
  </rowFields>
  <rowItems count="3">
    <i>
      <x v="1"/>
      <x v="7"/>
    </i>
    <i t="default">
      <x v="1"/>
    </i>
    <i t="grand">
      <x/>
    </i>
  </rowItems>
  <colItems count="1">
    <i/>
  </colItems>
  <dataFields count="1">
    <dataField name="Sum of book_cost" fld="10" baseField="0" baseItem="0" numFmtId="44"/>
  </dataFields>
  <formats count="28">
    <format dxfId="169">
      <pivotArea type="all" dataOnly="0" outline="0" fieldPosition="0"/>
    </format>
    <format dxfId="168">
      <pivotArea outline="0" collapsedLevelsAreSubtotals="1" fieldPosition="0"/>
    </format>
    <format dxfId="167">
      <pivotArea type="all" dataOnly="0" outline="0" fieldPosition="0"/>
    </format>
    <format dxfId="166">
      <pivotArea outline="0" collapsedLevelsAreSubtotals="1" fieldPosition="0"/>
    </format>
    <format dxfId="165">
      <pivotArea outline="0" collapsedLevelsAreSubtotals="1" fieldPosition="0"/>
    </format>
    <format dxfId="164">
      <pivotArea type="all" dataOnly="0" outline="0" fieldPosition="0"/>
    </format>
    <format dxfId="163">
      <pivotArea dataOnly="0" labelOnly="1" outline="0" fieldPosition="0">
        <references count="2">
          <reference field="13" count="1" selected="0">
            <x v="0"/>
          </reference>
          <reference field="14" count="2">
            <x v="0"/>
            <x v="3"/>
          </reference>
        </references>
      </pivotArea>
    </format>
    <format dxfId="162">
      <pivotArea type="all" dataOnly="0" outline="0" fieldPosition="0"/>
    </format>
    <format dxfId="161">
      <pivotArea dataOnly="0" labelOnly="1" outline="0" fieldPosition="0">
        <references count="2">
          <reference field="13" count="1" selected="0">
            <x v="0"/>
          </reference>
          <reference field="14" count="2">
            <x v="0"/>
            <x v="3"/>
          </reference>
        </references>
      </pivotArea>
    </format>
    <format dxfId="160">
      <pivotArea grandRow="1" outline="0" collapsedLevelsAreSubtotals="1" fieldPosition="0"/>
    </format>
    <format dxfId="159">
      <pivotArea type="all" dataOnly="0" outline="0" fieldPosition="0"/>
    </format>
    <format dxfId="158">
      <pivotArea outline="0" collapsedLevelsAreSubtotals="1" fieldPosition="0"/>
    </format>
    <format dxfId="157">
      <pivotArea field="13" type="button" dataOnly="0" labelOnly="1" outline="0" axis="axisRow" fieldPosition="0"/>
    </format>
    <format dxfId="156">
      <pivotArea field="14" type="button" dataOnly="0" labelOnly="1" outline="0" axis="axisRow" fieldPosition="1"/>
    </format>
    <format dxfId="155">
      <pivotArea dataOnly="0" labelOnly="1" outline="0" fieldPosition="0">
        <references count="1">
          <reference field="13" count="1">
            <x v="1"/>
          </reference>
        </references>
      </pivotArea>
    </format>
    <format dxfId="154">
      <pivotArea dataOnly="0" labelOnly="1" outline="0" fieldPosition="0">
        <references count="1">
          <reference field="13" count="1" defaultSubtotal="1">
            <x v="1"/>
          </reference>
        </references>
      </pivotArea>
    </format>
    <format dxfId="153">
      <pivotArea dataOnly="0" labelOnly="1" grandRow="1" outline="0" fieldPosition="0"/>
    </format>
    <format dxfId="152">
      <pivotArea dataOnly="0" labelOnly="1" outline="0" fieldPosition="0">
        <references count="2">
          <reference field="13" count="1" selected="0">
            <x v="1"/>
          </reference>
          <reference field="14" count="0"/>
        </references>
      </pivotArea>
    </format>
    <format dxfId="151">
      <pivotArea dataOnly="0" labelOnly="1" outline="0" axis="axisValues" fieldPosition="0"/>
    </format>
    <format dxfId="150">
      <pivotArea type="all" dataOnly="0" outline="0" fieldPosition="0"/>
    </format>
    <format dxfId="149">
      <pivotArea outline="0" collapsedLevelsAreSubtotals="1" fieldPosition="0"/>
    </format>
    <format dxfId="148">
      <pivotArea field="13" type="button" dataOnly="0" labelOnly="1" outline="0" axis="axisRow" fieldPosition="0"/>
    </format>
    <format dxfId="147">
      <pivotArea field="14" type="button" dataOnly="0" labelOnly="1" outline="0" axis="axisRow" fieldPosition="1"/>
    </format>
    <format dxfId="146">
      <pivotArea dataOnly="0" labelOnly="1" outline="0" fieldPosition="0">
        <references count="1">
          <reference field="13" count="1">
            <x v="1"/>
          </reference>
        </references>
      </pivotArea>
    </format>
    <format dxfId="145">
      <pivotArea dataOnly="0" labelOnly="1" outline="0" fieldPosition="0">
        <references count="1">
          <reference field="13" count="1" defaultSubtotal="1">
            <x v="1"/>
          </reference>
        </references>
      </pivotArea>
    </format>
    <format dxfId="144">
      <pivotArea dataOnly="0" labelOnly="1" grandRow="1" outline="0" fieldPosition="0"/>
    </format>
    <format dxfId="143">
      <pivotArea dataOnly="0" labelOnly="1" outline="0" fieldPosition="0">
        <references count="2">
          <reference field="13" count="1" selected="0">
            <x v="1"/>
          </reference>
          <reference field="14" count="0"/>
        </references>
      </pivotArea>
    </format>
    <format dxfId="14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00000000-0007-0000-5500-000009000000}" name="PivotTable1" cacheId="28"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B28:D39"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compact="0" numFmtId="44" outline="0" subtotalTop="0" showAll="0"/>
    <pivotField dataField="1" compact="0" numFmtId="44" outline="0" subtotalTop="0" showAll="0"/>
    <pivotField compact="0" numFmtId="44" outline="0" subtotalTop="0" showAll="0"/>
    <pivotField axis="axisRow" compact="0" outline="0" showAll="0">
      <items count="3">
        <item x="1"/>
        <item x="0"/>
        <item t="default"/>
      </items>
    </pivotField>
    <pivotField axis="axisRow" compact="0" outline="0" subtotalTop="0" showAll="0">
      <items count="9">
        <item x="2"/>
        <item x="0"/>
        <item x="1"/>
        <item x="3"/>
        <item x="5"/>
        <item x="4"/>
        <item m="1" x="7"/>
        <item h="1" x="6"/>
        <item t="default"/>
      </items>
    </pivotField>
  </pivotFields>
  <rowFields count="2">
    <field x="13"/>
    <field x="14"/>
  </rowFields>
  <rowItems count="11">
    <i>
      <x/>
      <x/>
    </i>
    <i r="1">
      <x v="1"/>
    </i>
    <i t="default">
      <x/>
    </i>
    <i>
      <x v="1"/>
      <x/>
    </i>
    <i r="1">
      <x v="1"/>
    </i>
    <i r="1">
      <x v="2"/>
    </i>
    <i r="1">
      <x v="3"/>
    </i>
    <i r="1">
      <x v="4"/>
    </i>
    <i r="1">
      <x v="5"/>
    </i>
    <i t="default">
      <x v="1"/>
    </i>
    <i t="grand">
      <x/>
    </i>
  </rowItems>
  <colItems count="1">
    <i/>
  </colItems>
  <dataFields count="1">
    <dataField name="Sum of allocated_reserve" fld="11" baseField="0" baseItem="0" numFmtId="44"/>
  </dataFields>
  <formats count="30">
    <format dxfId="199">
      <pivotArea type="all" dataOnly="0" outline="0" fieldPosition="0"/>
    </format>
    <format dxfId="198">
      <pivotArea outline="0" collapsedLevelsAreSubtotals="1" fieldPosition="0"/>
    </format>
    <format dxfId="197">
      <pivotArea type="all" dataOnly="0" outline="0" fieldPosition="0"/>
    </format>
    <format dxfId="196">
      <pivotArea outline="0" collapsedLevelsAreSubtotals="1" fieldPosition="0"/>
    </format>
    <format dxfId="195">
      <pivotArea outline="0" collapsedLevelsAreSubtotals="1" fieldPosition="0"/>
    </format>
    <format dxfId="194">
      <pivotArea type="all" dataOnly="0" outline="0" fieldPosition="0"/>
    </format>
    <format dxfId="193">
      <pivotArea dataOnly="0" labelOnly="1" outline="0" fieldPosition="0">
        <references count="2">
          <reference field="13" count="1" selected="0">
            <x v="0"/>
          </reference>
          <reference field="14" count="2">
            <x v="0"/>
            <x v="3"/>
          </reference>
        </references>
      </pivotArea>
    </format>
    <format dxfId="192">
      <pivotArea type="all" dataOnly="0" outline="0" fieldPosition="0"/>
    </format>
    <format dxfId="191">
      <pivotArea dataOnly="0" labelOnly="1" outline="0" fieldPosition="0">
        <references count="2">
          <reference field="13" count="1" selected="0">
            <x v="0"/>
          </reference>
          <reference field="14" count="2">
            <x v="0"/>
            <x v="3"/>
          </reference>
        </references>
      </pivotArea>
    </format>
    <format dxfId="190">
      <pivotArea grandRow="1" outline="0" collapsedLevelsAreSubtotals="1" fieldPosition="0"/>
    </format>
    <format dxfId="189">
      <pivotArea type="all" dataOnly="0" outline="0" fieldPosition="0"/>
    </format>
    <format dxfId="188">
      <pivotArea outline="0" collapsedLevelsAreSubtotals="1" fieldPosition="0"/>
    </format>
    <format dxfId="187">
      <pivotArea field="13" type="button" dataOnly="0" labelOnly="1" outline="0" axis="axisRow" fieldPosition="0"/>
    </format>
    <format dxfId="186">
      <pivotArea field="14" type="button" dataOnly="0" labelOnly="1" outline="0" axis="axisRow" fieldPosition="1"/>
    </format>
    <format dxfId="185">
      <pivotArea dataOnly="0" labelOnly="1" outline="0" fieldPosition="0">
        <references count="1">
          <reference field="13" count="0"/>
        </references>
      </pivotArea>
    </format>
    <format dxfId="184">
      <pivotArea dataOnly="0" labelOnly="1" outline="0" fieldPosition="0">
        <references count="1">
          <reference field="13" count="0" defaultSubtotal="1"/>
        </references>
      </pivotArea>
    </format>
    <format dxfId="183">
      <pivotArea dataOnly="0" labelOnly="1" grandRow="1" outline="0" fieldPosition="0"/>
    </format>
    <format dxfId="182">
      <pivotArea dataOnly="0" labelOnly="1" outline="0" fieldPosition="0">
        <references count="2">
          <reference field="13" count="1" selected="0">
            <x v="0"/>
          </reference>
          <reference field="14" count="2">
            <x v="0"/>
            <x v="1"/>
          </reference>
        </references>
      </pivotArea>
    </format>
    <format dxfId="181">
      <pivotArea dataOnly="0" labelOnly="1" outline="0" fieldPosition="0">
        <references count="2">
          <reference field="13" count="1" selected="0">
            <x v="1"/>
          </reference>
          <reference field="14" count="0"/>
        </references>
      </pivotArea>
    </format>
    <format dxfId="180">
      <pivotArea dataOnly="0" labelOnly="1" outline="0" axis="axisValues" fieldPosition="0"/>
    </format>
    <format dxfId="179">
      <pivotArea type="all" dataOnly="0" outline="0" fieldPosition="0"/>
    </format>
    <format dxfId="178">
      <pivotArea outline="0" collapsedLevelsAreSubtotals="1" fieldPosition="0"/>
    </format>
    <format dxfId="177">
      <pivotArea field="13" type="button" dataOnly="0" labelOnly="1" outline="0" axis="axisRow" fieldPosition="0"/>
    </format>
    <format dxfId="176">
      <pivotArea field="14" type="button" dataOnly="0" labelOnly="1" outline="0" axis="axisRow" fieldPosition="1"/>
    </format>
    <format dxfId="175">
      <pivotArea dataOnly="0" labelOnly="1" outline="0" fieldPosition="0">
        <references count="1">
          <reference field="13" count="0"/>
        </references>
      </pivotArea>
    </format>
    <format dxfId="174">
      <pivotArea dataOnly="0" labelOnly="1" outline="0" fieldPosition="0">
        <references count="1">
          <reference field="13" count="0" defaultSubtotal="1"/>
        </references>
      </pivotArea>
    </format>
    <format dxfId="173">
      <pivotArea dataOnly="0" labelOnly="1" grandRow="1" outline="0" fieldPosition="0"/>
    </format>
    <format dxfId="172">
      <pivotArea dataOnly="0" labelOnly="1" outline="0" fieldPosition="0">
        <references count="2">
          <reference field="13" count="1" selected="0">
            <x v="0"/>
          </reference>
          <reference field="14" count="2">
            <x v="0"/>
            <x v="1"/>
          </reference>
        </references>
      </pivotArea>
    </format>
    <format dxfId="171">
      <pivotArea dataOnly="0" labelOnly="1" outline="0" fieldPosition="0">
        <references count="2">
          <reference field="13" count="1" selected="0">
            <x v="1"/>
          </reference>
          <reference field="14" count="0"/>
        </references>
      </pivotArea>
    </format>
    <format dxfId="17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00000000-0007-0000-5500-000008000000}" name="PivotTable2" cacheId="24"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B4:D15" firstHeaderRow="1" firstDataRow="1" firstDataCol="2"/>
  <pivotFields count="17">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dataField="1" compact="0" numFmtId="44" outline="0" subtotalTop="0" showAll="0"/>
    <pivotField compact="0" numFmtId="44" outline="0" subtotalTop="0" showAll="0"/>
    <pivotField compact="0" numFmtId="44" outline="0" subtotalTop="0" showAll="0"/>
    <pivotField axis="axisRow" compact="0" outline="0" showAll="0">
      <items count="3">
        <item x="1"/>
        <item x="0"/>
        <item t="default"/>
      </items>
    </pivotField>
    <pivotField axis="axisRow" compact="0" outline="0" subtotalTop="0" showAll="0">
      <items count="9">
        <item x="2"/>
        <item x="0"/>
        <item x="1"/>
        <item x="3"/>
        <item x="5"/>
        <item x="4"/>
        <item h="1" m="1" x="7"/>
        <item h="1" x="6"/>
        <item t="default"/>
      </items>
    </pivotField>
    <pivotField compact="0" outline="0" showAll="0"/>
    <pivotField compact="0" outline="0" showAll="0"/>
  </pivotFields>
  <rowFields count="2">
    <field x="13"/>
    <field x="14"/>
  </rowFields>
  <rowItems count="11">
    <i>
      <x/>
      <x/>
    </i>
    <i r="1">
      <x v="1"/>
    </i>
    <i t="default">
      <x/>
    </i>
    <i>
      <x v="1"/>
      <x/>
    </i>
    <i r="1">
      <x v="1"/>
    </i>
    <i r="1">
      <x v="2"/>
    </i>
    <i r="1">
      <x v="3"/>
    </i>
    <i r="1">
      <x v="4"/>
    </i>
    <i r="1">
      <x v="5"/>
    </i>
    <i t="default">
      <x v="1"/>
    </i>
    <i t="grand">
      <x/>
    </i>
  </rowItems>
  <colItems count="1">
    <i/>
  </colItems>
  <dataFields count="1">
    <dataField name="Sum of book_cost" fld="10" baseField="0" baseItem="0" numFmtId="44"/>
  </dataFields>
  <formats count="30">
    <format dxfId="229">
      <pivotArea type="all" dataOnly="0" outline="0" fieldPosition="0"/>
    </format>
    <format dxfId="228">
      <pivotArea outline="0" collapsedLevelsAreSubtotals="1" fieldPosition="0"/>
    </format>
    <format dxfId="227">
      <pivotArea type="all" dataOnly="0" outline="0" fieldPosition="0"/>
    </format>
    <format dxfId="226">
      <pivotArea outline="0" collapsedLevelsAreSubtotals="1" fieldPosition="0"/>
    </format>
    <format dxfId="225">
      <pivotArea outline="0" collapsedLevelsAreSubtotals="1" fieldPosition="0"/>
    </format>
    <format dxfId="224">
      <pivotArea type="all" dataOnly="0" outline="0" fieldPosition="0"/>
    </format>
    <format dxfId="223">
      <pivotArea dataOnly="0" labelOnly="1" outline="0" fieldPosition="0">
        <references count="2">
          <reference field="13" count="1" selected="0">
            <x v="0"/>
          </reference>
          <reference field="14" count="2">
            <x v="0"/>
            <x v="3"/>
          </reference>
        </references>
      </pivotArea>
    </format>
    <format dxfId="222">
      <pivotArea type="all" dataOnly="0" outline="0" fieldPosition="0"/>
    </format>
    <format dxfId="221">
      <pivotArea dataOnly="0" labelOnly="1" outline="0" fieldPosition="0">
        <references count="2">
          <reference field="13" count="1" selected="0">
            <x v="0"/>
          </reference>
          <reference field="14" count="2">
            <x v="0"/>
            <x v="3"/>
          </reference>
        </references>
      </pivotArea>
    </format>
    <format dxfId="220">
      <pivotArea grandRow="1" outline="0" collapsedLevelsAreSubtotals="1" fieldPosition="0"/>
    </format>
    <format dxfId="219">
      <pivotArea type="all" dataOnly="0" outline="0" fieldPosition="0"/>
    </format>
    <format dxfId="218">
      <pivotArea outline="0" collapsedLevelsAreSubtotals="1" fieldPosition="0"/>
    </format>
    <format dxfId="217">
      <pivotArea field="13" type="button" dataOnly="0" labelOnly="1" outline="0" axis="axisRow" fieldPosition="0"/>
    </format>
    <format dxfId="216">
      <pivotArea field="14" type="button" dataOnly="0" labelOnly="1" outline="0" axis="axisRow" fieldPosition="1"/>
    </format>
    <format dxfId="215">
      <pivotArea dataOnly="0" labelOnly="1" outline="0" fieldPosition="0">
        <references count="1">
          <reference field="13" count="0"/>
        </references>
      </pivotArea>
    </format>
    <format dxfId="214">
      <pivotArea dataOnly="0" labelOnly="1" outline="0" fieldPosition="0">
        <references count="1">
          <reference field="13" count="0" defaultSubtotal="1"/>
        </references>
      </pivotArea>
    </format>
    <format dxfId="213">
      <pivotArea dataOnly="0" labelOnly="1" grandRow="1" outline="0" fieldPosition="0"/>
    </format>
    <format dxfId="212">
      <pivotArea dataOnly="0" labelOnly="1" outline="0" fieldPosition="0">
        <references count="2">
          <reference field="13" count="1" selected="0">
            <x v="0"/>
          </reference>
          <reference field="14" count="2">
            <x v="0"/>
            <x v="1"/>
          </reference>
        </references>
      </pivotArea>
    </format>
    <format dxfId="211">
      <pivotArea dataOnly="0" labelOnly="1" outline="0" fieldPosition="0">
        <references count="2">
          <reference field="13" count="1" selected="0">
            <x v="1"/>
          </reference>
          <reference field="14" count="0"/>
        </references>
      </pivotArea>
    </format>
    <format dxfId="210">
      <pivotArea dataOnly="0" labelOnly="1" outline="0" axis="axisValues" fieldPosition="0"/>
    </format>
    <format dxfId="209">
      <pivotArea type="all" dataOnly="0" outline="0" fieldPosition="0"/>
    </format>
    <format dxfId="208">
      <pivotArea outline="0" collapsedLevelsAreSubtotals="1" fieldPosition="0"/>
    </format>
    <format dxfId="207">
      <pivotArea field="13" type="button" dataOnly="0" labelOnly="1" outline="0" axis="axisRow" fieldPosition="0"/>
    </format>
    <format dxfId="206">
      <pivotArea field="14" type="button" dataOnly="0" labelOnly="1" outline="0" axis="axisRow" fieldPosition="1"/>
    </format>
    <format dxfId="205">
      <pivotArea dataOnly="0" labelOnly="1" outline="0" fieldPosition="0">
        <references count="1">
          <reference field="13" count="0"/>
        </references>
      </pivotArea>
    </format>
    <format dxfId="204">
      <pivotArea dataOnly="0" labelOnly="1" outline="0" fieldPosition="0">
        <references count="1">
          <reference field="13" count="0" defaultSubtotal="1"/>
        </references>
      </pivotArea>
    </format>
    <format dxfId="203">
      <pivotArea dataOnly="0" labelOnly="1" grandRow="1" outline="0" fieldPosition="0"/>
    </format>
    <format dxfId="202">
      <pivotArea dataOnly="0" labelOnly="1" outline="0" fieldPosition="0">
        <references count="2">
          <reference field="13" count="1" selected="0">
            <x v="0"/>
          </reference>
          <reference field="14" count="2">
            <x v="0"/>
            <x v="1"/>
          </reference>
        </references>
      </pivotArea>
    </format>
    <format dxfId="201">
      <pivotArea dataOnly="0" labelOnly="1" outline="0" fieldPosition="0">
        <references count="2">
          <reference field="13" count="1" selected="0">
            <x v="1"/>
          </reference>
          <reference field="14" count="0"/>
        </references>
      </pivotArea>
    </format>
    <format dxfId="20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00000000-0007-0000-5500-000007000000}" name="PivotTable5" cacheId="28"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M30:O33" firstHeaderRow="1" firstDataRow="1" firstDataCol="2"/>
  <pivotFields count="15">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ubtotalTop="0" showAll="0"/>
    <pivotField compact="0" outline="0" subtotalTop="0" showAll="0"/>
    <pivotField compact="0" numFmtId="44" outline="0" subtotalTop="0" showAll="0"/>
    <pivotField dataField="1" compact="0" numFmtId="44" outline="0" subtotalTop="0" showAll="0"/>
    <pivotField compact="0" numFmtId="44" outline="0" subtotalTop="0" showAll="0"/>
    <pivotField axis="axisRow" compact="0" outline="0" showAll="0">
      <items count="3">
        <item x="1"/>
        <item x="0"/>
        <item t="default"/>
      </items>
    </pivotField>
    <pivotField axis="axisRow" compact="0" outline="0" subtotalTop="0" showAll="0">
      <items count="9">
        <item h="1" x="2"/>
        <item h="1" x="0"/>
        <item h="1" x="1"/>
        <item h="1" x="3"/>
        <item h="1" x="5"/>
        <item h="1" x="4"/>
        <item h="1" m="1" x="7"/>
        <item x="6"/>
        <item t="default"/>
      </items>
    </pivotField>
  </pivotFields>
  <rowFields count="2">
    <field x="13"/>
    <field x="14"/>
  </rowFields>
  <rowItems count="3">
    <i>
      <x v="1"/>
      <x v="7"/>
    </i>
    <i t="default">
      <x v="1"/>
    </i>
    <i t="grand">
      <x/>
    </i>
  </rowItems>
  <colItems count="1">
    <i/>
  </colItems>
  <dataFields count="1">
    <dataField name="Sum of allocated_reserve" fld="11" baseField="0" baseItem="0" numFmtId="44"/>
  </dataFields>
  <formats count="28">
    <format dxfId="257">
      <pivotArea type="all" dataOnly="0" outline="0" fieldPosition="0"/>
    </format>
    <format dxfId="256">
      <pivotArea outline="0" collapsedLevelsAreSubtotals="1" fieldPosition="0"/>
    </format>
    <format dxfId="255">
      <pivotArea type="all" dataOnly="0" outline="0" fieldPosition="0"/>
    </format>
    <format dxfId="254">
      <pivotArea outline="0" collapsedLevelsAreSubtotals="1" fieldPosition="0"/>
    </format>
    <format dxfId="253">
      <pivotArea outline="0" collapsedLevelsAreSubtotals="1" fieldPosition="0"/>
    </format>
    <format dxfId="252">
      <pivotArea type="all" dataOnly="0" outline="0" fieldPosition="0"/>
    </format>
    <format dxfId="251">
      <pivotArea dataOnly="0" labelOnly="1" outline="0" fieldPosition="0">
        <references count="2">
          <reference field="13" count="1" selected="0">
            <x v="0"/>
          </reference>
          <reference field="14" count="2">
            <x v="0"/>
            <x v="3"/>
          </reference>
        </references>
      </pivotArea>
    </format>
    <format dxfId="250">
      <pivotArea type="all" dataOnly="0" outline="0" fieldPosition="0"/>
    </format>
    <format dxfId="249">
      <pivotArea dataOnly="0" labelOnly="1" outline="0" fieldPosition="0">
        <references count="2">
          <reference field="13" count="1" selected="0">
            <x v="0"/>
          </reference>
          <reference field="14" count="2">
            <x v="0"/>
            <x v="3"/>
          </reference>
        </references>
      </pivotArea>
    </format>
    <format dxfId="248">
      <pivotArea grandRow="1" outline="0" collapsedLevelsAreSubtotals="1" fieldPosition="0"/>
    </format>
    <format dxfId="247">
      <pivotArea type="all" dataOnly="0" outline="0" fieldPosition="0"/>
    </format>
    <format dxfId="246">
      <pivotArea outline="0" collapsedLevelsAreSubtotals="1" fieldPosition="0"/>
    </format>
    <format dxfId="245">
      <pivotArea field="13" type="button" dataOnly="0" labelOnly="1" outline="0" axis="axisRow" fieldPosition="0"/>
    </format>
    <format dxfId="244">
      <pivotArea field="14" type="button" dataOnly="0" labelOnly="1" outline="0" axis="axisRow" fieldPosition="1"/>
    </format>
    <format dxfId="243">
      <pivotArea dataOnly="0" labelOnly="1" outline="0" fieldPosition="0">
        <references count="1">
          <reference field="13" count="1">
            <x v="1"/>
          </reference>
        </references>
      </pivotArea>
    </format>
    <format dxfId="242">
      <pivotArea dataOnly="0" labelOnly="1" outline="0" fieldPosition="0">
        <references count="1">
          <reference field="13" count="1" defaultSubtotal="1">
            <x v="1"/>
          </reference>
        </references>
      </pivotArea>
    </format>
    <format dxfId="241">
      <pivotArea dataOnly="0" labelOnly="1" grandRow="1" outline="0" fieldPosition="0"/>
    </format>
    <format dxfId="240">
      <pivotArea dataOnly="0" labelOnly="1" outline="0" fieldPosition="0">
        <references count="2">
          <reference field="13" count="1" selected="0">
            <x v="1"/>
          </reference>
          <reference field="14" count="0"/>
        </references>
      </pivotArea>
    </format>
    <format dxfId="239">
      <pivotArea dataOnly="0" labelOnly="1" outline="0" axis="axisValues" fieldPosition="0"/>
    </format>
    <format dxfId="238">
      <pivotArea type="all" dataOnly="0" outline="0" fieldPosition="0"/>
    </format>
    <format dxfId="237">
      <pivotArea outline="0" collapsedLevelsAreSubtotals="1" fieldPosition="0"/>
    </format>
    <format dxfId="236">
      <pivotArea field="13" type="button" dataOnly="0" labelOnly="1" outline="0" axis="axisRow" fieldPosition="0"/>
    </format>
    <format dxfId="235">
      <pivotArea field="14" type="button" dataOnly="0" labelOnly="1" outline="0" axis="axisRow" fieldPosition="1"/>
    </format>
    <format dxfId="234">
      <pivotArea dataOnly="0" labelOnly="1" outline="0" fieldPosition="0">
        <references count="1">
          <reference field="13" count="1">
            <x v="1"/>
          </reference>
        </references>
      </pivotArea>
    </format>
    <format dxfId="233">
      <pivotArea dataOnly="0" labelOnly="1" outline="0" fieldPosition="0">
        <references count="1">
          <reference field="13" count="1" defaultSubtotal="1">
            <x v="1"/>
          </reference>
        </references>
      </pivotArea>
    </format>
    <format dxfId="232">
      <pivotArea dataOnly="0" labelOnly="1" grandRow="1" outline="0" fieldPosition="0"/>
    </format>
    <format dxfId="231">
      <pivotArea dataOnly="0" labelOnly="1" outline="0" fieldPosition="0">
        <references count="2">
          <reference field="13" count="1" selected="0">
            <x v="1"/>
          </reference>
          <reference field="14" count="0"/>
        </references>
      </pivotArea>
    </format>
    <format dxfId="23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00000000-0007-0000-5500-00000B000000}" name="PivotTable6" cacheId="27"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rowHeaderCaption="(b)">
  <location ref="N2:P6" firstHeaderRow="0" firstDataRow="1" firstDataCol="1"/>
  <pivotFields count="10">
    <pivotField axis="axisRow" showAll="0">
      <items count="4">
        <item x="0"/>
        <item x="2"/>
        <item x="1"/>
        <item t="default"/>
      </items>
    </pivotField>
    <pivotField showAll="0"/>
    <pivotField showAll="0"/>
    <pivotField showAll="0"/>
    <pivotField showAll="0"/>
    <pivotField dataField="1" showAll="0"/>
    <pivotField showAll="0"/>
    <pivotField showAll="0"/>
    <pivotField showAll="0"/>
    <pivotField dataField="1" numFmtId="193" showAll="0"/>
  </pivotFields>
  <rowFields count="1">
    <field x="0"/>
  </rowFields>
  <rowItems count="4">
    <i>
      <x/>
    </i>
    <i>
      <x v="1"/>
    </i>
    <i>
      <x v="2"/>
    </i>
    <i t="grand">
      <x/>
    </i>
  </rowItems>
  <colFields count="1">
    <field x="-2"/>
  </colFields>
  <colItems count="2">
    <i>
      <x/>
    </i>
    <i i="1">
      <x v="1"/>
    </i>
  </colItems>
  <dataFields count="2">
    <dataField name="Sum of (k)" fld="9" baseField="0" baseItem="0"/>
    <dataField name="Sum of (g)" fld="5" baseField="0" baseItem="0"/>
  </dataFields>
  <formats count="21">
    <format dxfId="141">
      <pivotArea type="all" dataOnly="0" outline="0" fieldPosition="0"/>
    </format>
    <format dxfId="140">
      <pivotArea outline="0" collapsedLevelsAreSubtotals="1" fieldPosition="0"/>
    </format>
    <format dxfId="139">
      <pivotArea field="0" type="button" dataOnly="0" labelOnly="1" outline="0" axis="axisRow" fieldPosition="0"/>
    </format>
    <format dxfId="138">
      <pivotArea dataOnly="0" labelOnly="1" fieldPosition="0">
        <references count="1">
          <reference field="0" count="0"/>
        </references>
      </pivotArea>
    </format>
    <format dxfId="137">
      <pivotArea dataOnly="0" labelOnly="1" grandRow="1" outline="0" fieldPosition="0"/>
    </format>
    <format dxfId="136">
      <pivotArea dataOnly="0" labelOnly="1" outline="0" fieldPosition="0">
        <references count="1">
          <reference field="4294967294" count="2">
            <x v="0"/>
            <x v="1"/>
          </reference>
        </references>
      </pivotArea>
    </format>
    <format dxfId="135">
      <pivotArea outline="0" collapsedLevelsAreSubtotals="1" fieldPosition="0"/>
    </format>
    <format dxfId="134">
      <pivotArea outline="0" collapsedLevelsAreSubtotals="1" fieldPosition="0"/>
    </format>
    <format dxfId="133">
      <pivotArea outline="0" collapsedLevelsAreSubtotals="1" fieldPosition="0"/>
    </format>
    <format dxfId="132">
      <pivotArea type="all" dataOnly="0" outline="0" fieldPosition="0"/>
    </format>
    <format dxfId="131">
      <pivotArea outline="0" collapsedLevelsAreSubtotals="1" fieldPosition="0"/>
    </format>
    <format dxfId="130">
      <pivotArea field="0" type="button" dataOnly="0" labelOnly="1" outline="0" axis="axisRow" fieldPosition="0"/>
    </format>
    <format dxfId="129">
      <pivotArea dataOnly="0" labelOnly="1" fieldPosition="0">
        <references count="1">
          <reference field="0" count="0"/>
        </references>
      </pivotArea>
    </format>
    <format dxfId="128">
      <pivotArea dataOnly="0" labelOnly="1" grandRow="1" outline="0" fieldPosition="0"/>
    </format>
    <format dxfId="127">
      <pivotArea dataOnly="0" labelOnly="1" outline="0" fieldPosition="0">
        <references count="1">
          <reference field="4294967294" count="2">
            <x v="0"/>
            <x v="1"/>
          </reference>
        </references>
      </pivotArea>
    </format>
    <format dxfId="126">
      <pivotArea type="all" dataOnly="0" outline="0" fieldPosition="0"/>
    </format>
    <format dxfId="125">
      <pivotArea outline="0" collapsedLevelsAreSubtotals="1" fieldPosition="0"/>
    </format>
    <format dxfId="124">
      <pivotArea field="0" type="button" dataOnly="0" labelOnly="1" outline="0" axis="axisRow" fieldPosition="0"/>
    </format>
    <format dxfId="123">
      <pivotArea dataOnly="0" labelOnly="1" fieldPosition="0">
        <references count="1">
          <reference field="0" count="0"/>
        </references>
      </pivotArea>
    </format>
    <format dxfId="122">
      <pivotArea dataOnly="0" labelOnly="1" grandRow="1" outline="0" fieldPosition="0"/>
    </format>
    <format dxfId="121">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00000000-0007-0000-5500-00000C000000}" name="PivotTable6" cacheId="2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rowHeaderCaption="(b)">
  <location ref="N2:P6" firstHeaderRow="0" firstDataRow="1" firstDataCol="1"/>
  <pivotFields count="10">
    <pivotField axis="axisRow" showAll="0">
      <items count="4">
        <item x="1"/>
        <item x="2"/>
        <item x="0"/>
        <item t="default"/>
      </items>
    </pivotField>
    <pivotField showAll="0"/>
    <pivotField showAll="0"/>
    <pivotField showAll="0"/>
    <pivotField showAll="0"/>
    <pivotField dataField="1" showAll="0"/>
    <pivotField showAll="0"/>
    <pivotField showAll="0"/>
    <pivotField showAll="0"/>
    <pivotField dataField="1" numFmtId="193" showAll="0"/>
  </pivotFields>
  <rowFields count="1">
    <field x="0"/>
  </rowFields>
  <rowItems count="4">
    <i>
      <x/>
    </i>
    <i>
      <x v="1"/>
    </i>
    <i>
      <x v="2"/>
    </i>
    <i t="grand">
      <x/>
    </i>
  </rowItems>
  <colFields count="1">
    <field x="-2"/>
  </colFields>
  <colItems count="2">
    <i>
      <x/>
    </i>
    <i i="1">
      <x v="1"/>
    </i>
  </colItems>
  <dataFields count="2">
    <dataField name="Sum of (k)" fld="9" baseField="0" baseItem="0"/>
    <dataField name="Sum of (g)" fld="5" baseField="0" baseItem="0"/>
  </dataFields>
  <formats count="21">
    <format dxfId="120">
      <pivotArea type="all" dataOnly="0" outline="0" fieldPosition="0"/>
    </format>
    <format dxfId="119">
      <pivotArea outline="0" collapsedLevelsAreSubtotals="1" fieldPosition="0"/>
    </format>
    <format dxfId="118">
      <pivotArea field="0" type="button" dataOnly="0" labelOnly="1" outline="0" axis="axisRow" fieldPosition="0"/>
    </format>
    <format dxfId="117">
      <pivotArea dataOnly="0" labelOnly="1" fieldPosition="0">
        <references count="1">
          <reference field="0" count="0"/>
        </references>
      </pivotArea>
    </format>
    <format dxfId="116">
      <pivotArea dataOnly="0" labelOnly="1" grandRow="1" outline="0" fieldPosition="0"/>
    </format>
    <format dxfId="115">
      <pivotArea dataOnly="0" labelOnly="1" outline="0" fieldPosition="0">
        <references count="1">
          <reference field="4294967294" count="2">
            <x v="0"/>
            <x v="1"/>
          </reference>
        </references>
      </pivotArea>
    </format>
    <format dxfId="114">
      <pivotArea outline="0" collapsedLevelsAreSubtotals="1" fieldPosition="0"/>
    </format>
    <format dxfId="113">
      <pivotArea outline="0" collapsedLevelsAreSubtotals="1" fieldPosition="0"/>
    </format>
    <format dxfId="112">
      <pivotArea outline="0" collapsedLevelsAreSubtotals="1" fieldPosition="0"/>
    </format>
    <format dxfId="111">
      <pivotArea type="all" dataOnly="0" outline="0" fieldPosition="0"/>
    </format>
    <format dxfId="110">
      <pivotArea outline="0" collapsedLevelsAreSubtotals="1" fieldPosition="0"/>
    </format>
    <format dxfId="109">
      <pivotArea field="0" type="button" dataOnly="0" labelOnly="1" outline="0" axis="axisRow" fieldPosition="0"/>
    </format>
    <format dxfId="108">
      <pivotArea dataOnly="0" labelOnly="1" fieldPosition="0">
        <references count="1">
          <reference field="0" count="0"/>
        </references>
      </pivotArea>
    </format>
    <format dxfId="107">
      <pivotArea dataOnly="0" labelOnly="1" grandRow="1" outline="0" fieldPosition="0"/>
    </format>
    <format dxfId="106">
      <pivotArea dataOnly="0" labelOnly="1" outline="0" fieldPosition="0">
        <references count="1">
          <reference field="4294967294" count="2">
            <x v="0"/>
            <x v="1"/>
          </reference>
        </references>
      </pivotArea>
    </format>
    <format dxfId="105">
      <pivotArea type="all" dataOnly="0" outline="0" fieldPosition="0"/>
    </format>
    <format dxfId="104">
      <pivotArea outline="0" collapsedLevelsAreSubtotals="1" fieldPosition="0"/>
    </format>
    <format dxfId="103">
      <pivotArea field="0" type="button" dataOnly="0" labelOnly="1" outline="0" axis="axisRow" fieldPosition="0"/>
    </format>
    <format dxfId="102">
      <pivotArea dataOnly="0" labelOnly="1" fieldPosition="0">
        <references count="1">
          <reference field="0" count="0"/>
        </references>
      </pivotArea>
    </format>
    <format dxfId="101">
      <pivotArea dataOnly="0" labelOnly="1" grandRow="1" outline="0" fieldPosition="0"/>
    </format>
    <format dxfId="100">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00000000-0007-0000-5500-00000D000000}" name="PivotTable3" cacheId="2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N2:P6" firstHeaderRow="0" firstDataRow="1" firstDataCol="1"/>
  <pivotFields count="11">
    <pivotField showAll="0"/>
    <pivotField axis="axisRow" showAll="0">
      <items count="4">
        <item x="1"/>
        <item x="2"/>
        <item x="0"/>
        <item t="default"/>
      </items>
    </pivotField>
    <pivotField showAll="0"/>
    <pivotField showAll="0"/>
    <pivotField showAll="0"/>
    <pivotField showAll="0"/>
    <pivotField dataField="1" numFmtId="191" showAll="0"/>
    <pivotField showAll="0"/>
    <pivotField numFmtId="192" showAll="0"/>
    <pivotField numFmtId="192" showAll="0"/>
    <pivotField dataField="1" numFmtId="192" showAll="0"/>
  </pivotFields>
  <rowFields count="1">
    <field x="1"/>
  </rowFields>
  <rowItems count="4">
    <i>
      <x/>
    </i>
    <i>
      <x v="1"/>
    </i>
    <i>
      <x v="2"/>
    </i>
    <i t="grand">
      <x/>
    </i>
  </rowItems>
  <colFields count="1">
    <field x="-2"/>
  </colFields>
  <colItems count="2">
    <i>
      <x/>
    </i>
    <i i="1">
      <x v="1"/>
    </i>
  </colItems>
  <dataFields count="2">
    <dataField name="Sum of (k)" fld="10" baseField="0" baseItem="0"/>
    <dataField name="Sum of (g)" fld="6" baseField="0" baseItem="0"/>
  </dataFields>
  <formats count="21">
    <format dxfId="99">
      <pivotArea outline="0" collapsedLevelsAreSubtotals="1" fieldPosition="0"/>
    </format>
    <format dxfId="98">
      <pivotArea outline="0" collapsedLevelsAreSubtotals="1" fieldPosition="0"/>
    </format>
    <format dxfId="97">
      <pivotArea outline="0" collapsedLevelsAreSubtotals="1" fieldPosition="0"/>
    </format>
    <format dxfId="96">
      <pivotArea type="all" dataOnly="0" outline="0" fieldPosition="0"/>
    </format>
    <format dxfId="95">
      <pivotArea outline="0" collapsedLevelsAreSubtotals="1" fieldPosition="0"/>
    </format>
    <format dxfId="94">
      <pivotArea field="1" type="button" dataOnly="0" labelOnly="1" outline="0" axis="axisRow" fieldPosition="0"/>
    </format>
    <format dxfId="93">
      <pivotArea dataOnly="0" labelOnly="1" fieldPosition="0">
        <references count="1">
          <reference field="1" count="0"/>
        </references>
      </pivotArea>
    </format>
    <format dxfId="92">
      <pivotArea dataOnly="0" labelOnly="1" grandRow="1" outline="0" fieldPosition="0"/>
    </format>
    <format dxfId="91">
      <pivotArea dataOnly="0" labelOnly="1" outline="0" fieldPosition="0">
        <references count="1">
          <reference field="4294967294" count="2">
            <x v="0"/>
            <x v="1"/>
          </reference>
        </references>
      </pivotArea>
    </format>
    <format dxfId="90">
      <pivotArea type="all" dataOnly="0" outline="0" fieldPosition="0"/>
    </format>
    <format dxfId="89">
      <pivotArea outline="0" collapsedLevelsAreSubtotals="1" fieldPosition="0"/>
    </format>
    <format dxfId="88">
      <pivotArea field="1" type="button" dataOnly="0" labelOnly="1" outline="0" axis="axisRow" fieldPosition="0"/>
    </format>
    <format dxfId="87">
      <pivotArea dataOnly="0" labelOnly="1" fieldPosition="0">
        <references count="1">
          <reference field="1" count="0"/>
        </references>
      </pivotArea>
    </format>
    <format dxfId="86">
      <pivotArea dataOnly="0" labelOnly="1" grandRow="1" outline="0" fieldPosition="0"/>
    </format>
    <format dxfId="85">
      <pivotArea dataOnly="0" labelOnly="1" outline="0" fieldPosition="0">
        <references count="1">
          <reference field="4294967294" count="2">
            <x v="0"/>
            <x v="1"/>
          </reference>
        </references>
      </pivotArea>
    </format>
    <format dxfId="84">
      <pivotArea type="all" dataOnly="0" outline="0" fieldPosition="0"/>
    </format>
    <format dxfId="83">
      <pivotArea outline="0" collapsedLevelsAreSubtotals="1" fieldPosition="0"/>
    </format>
    <format dxfId="82">
      <pivotArea field="1" type="button" dataOnly="0" labelOnly="1" outline="0" axis="axisRow" fieldPosition="0"/>
    </format>
    <format dxfId="81">
      <pivotArea dataOnly="0" labelOnly="1" fieldPosition="0">
        <references count="1">
          <reference field="1" count="0"/>
        </references>
      </pivotArea>
    </format>
    <format dxfId="80">
      <pivotArea dataOnly="0" labelOnly="1" grandRow="1" outline="0" fieldPosition="0"/>
    </format>
    <format dxfId="79">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00000000-0007-0000-5500-00000E000000}" name="PivotTable8" cacheId="25"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rowHeaderCaption="(b)">
  <location ref="S2:U10" firstHeaderRow="0" firstDataRow="1" firstDataCol="1"/>
  <pivotFields count="13">
    <pivotField axis="axisRow" showAll="0">
      <items count="8">
        <item x="5"/>
        <item x="4"/>
        <item x="0"/>
        <item x="6"/>
        <item x="3"/>
        <item x="2"/>
        <item x="1"/>
        <item t="default"/>
      </items>
    </pivotField>
    <pivotField showAll="0"/>
    <pivotField showAll="0"/>
    <pivotField showAll="0"/>
    <pivotField showAll="0"/>
    <pivotField dataField="1" showAll="0"/>
    <pivotField showAll="0"/>
    <pivotField showAll="0"/>
    <pivotField showAll="0"/>
    <pivotField showAll="0"/>
    <pivotField showAll="0"/>
    <pivotField showAll="0"/>
    <pivotField dataField="1" showAll="0"/>
  </pivotFields>
  <rowFields count="1">
    <field x="0"/>
  </rowFields>
  <rowItems count="8">
    <i>
      <x/>
    </i>
    <i>
      <x v="1"/>
    </i>
    <i>
      <x v="2"/>
    </i>
    <i>
      <x v="3"/>
    </i>
    <i>
      <x v="4"/>
    </i>
    <i>
      <x v="5"/>
    </i>
    <i>
      <x v="6"/>
    </i>
    <i t="grand">
      <x/>
    </i>
  </rowItems>
  <colFields count="1">
    <field x="-2"/>
  </colFields>
  <colItems count="2">
    <i>
      <x/>
    </i>
    <i i="1">
      <x v="1"/>
    </i>
  </colItems>
  <dataFields count="2">
    <dataField name="Sum of (n)" fld="12" baseField="0" baseItem="0"/>
    <dataField name="Sum of (g)" fld="5" baseField="0" baseItem="1"/>
  </dataFields>
  <formats count="17">
    <format dxfId="78">
      <pivotArea outline="0" collapsedLevelsAreSubtotals="1" fieldPosition="0"/>
    </format>
    <format dxfId="77">
      <pivotArea outline="0" collapsedLevelsAreSubtotals="1" fieldPosition="0"/>
    </format>
    <format dxfId="76">
      <pivotArea dataOnly="0" fieldPosition="0">
        <references count="1">
          <reference field="0" count="0"/>
        </references>
      </pivotArea>
    </format>
    <format dxfId="75">
      <pivotArea grandRow="1" outline="0" collapsedLevelsAreSubtotals="1" fieldPosition="0"/>
    </format>
    <format dxfId="74">
      <pivotArea dataOnly="0" labelOnly="1" grandRow="1" outline="0" fieldPosition="0"/>
    </format>
    <format dxfId="73">
      <pivotArea type="all" dataOnly="0" outline="0" fieldPosition="0"/>
    </format>
    <format dxfId="72">
      <pivotArea outline="0" collapsedLevelsAreSubtotals="1" fieldPosition="0"/>
    </format>
    <format dxfId="71">
      <pivotArea field="0" type="button" dataOnly="0" labelOnly="1" outline="0" axis="axisRow" fieldPosition="0"/>
    </format>
    <format dxfId="70">
      <pivotArea dataOnly="0" labelOnly="1" fieldPosition="0">
        <references count="1">
          <reference field="0" count="0"/>
        </references>
      </pivotArea>
    </format>
    <format dxfId="69">
      <pivotArea dataOnly="0" labelOnly="1" grandRow="1" outline="0" fieldPosition="0"/>
    </format>
    <format dxfId="68">
      <pivotArea dataOnly="0" labelOnly="1" outline="0" fieldPosition="0">
        <references count="1">
          <reference field="4294967294" count="2">
            <x v="0"/>
            <x v="1"/>
          </reference>
        </references>
      </pivotArea>
    </format>
    <format dxfId="67">
      <pivotArea type="all" dataOnly="0" outline="0" fieldPosition="0"/>
    </format>
    <format dxfId="66">
      <pivotArea outline="0" collapsedLevelsAreSubtotals="1" fieldPosition="0"/>
    </format>
    <format dxfId="65">
      <pivotArea field="0" type="button" dataOnly="0" labelOnly="1" outline="0" axis="axisRow" fieldPosition="0"/>
    </format>
    <format dxfId="64">
      <pivotArea dataOnly="0" labelOnly="1" fieldPosition="0">
        <references count="1">
          <reference field="0" count="0"/>
        </references>
      </pivotArea>
    </format>
    <format dxfId="63">
      <pivotArea dataOnly="0" labelOnly="1" grandRow="1" outline="0" fieldPosition="0"/>
    </format>
    <format dxfId="62">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00000000-0007-0000-5500-00000F000000}" name="PivotTable8" cacheId="2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rowHeaderCaption="(b)">
  <location ref="S2:U10" firstHeaderRow="0" firstDataRow="1" firstDataCol="1"/>
  <pivotFields count="13">
    <pivotField axis="axisRow" showAll="0">
      <items count="8">
        <item x="4"/>
        <item x="2"/>
        <item x="3"/>
        <item x="6"/>
        <item x="5"/>
        <item x="0"/>
        <item x="1"/>
        <item t="default"/>
      </items>
    </pivotField>
    <pivotField showAll="0"/>
    <pivotField showAll="0"/>
    <pivotField showAll="0"/>
    <pivotField showAll="0"/>
    <pivotField dataField="1" showAll="0"/>
    <pivotField showAll="0"/>
    <pivotField showAll="0"/>
    <pivotField showAll="0"/>
    <pivotField showAll="0"/>
    <pivotField showAll="0"/>
    <pivotField showAll="0"/>
    <pivotField dataField="1" showAll="0"/>
  </pivotFields>
  <rowFields count="1">
    <field x="0"/>
  </rowFields>
  <rowItems count="8">
    <i>
      <x/>
    </i>
    <i>
      <x v="1"/>
    </i>
    <i>
      <x v="2"/>
    </i>
    <i>
      <x v="3"/>
    </i>
    <i>
      <x v="4"/>
    </i>
    <i>
      <x v="5"/>
    </i>
    <i>
      <x v="6"/>
    </i>
    <i t="grand">
      <x/>
    </i>
  </rowItems>
  <colFields count="1">
    <field x="-2"/>
  </colFields>
  <colItems count="2">
    <i>
      <x/>
    </i>
    <i i="1">
      <x v="1"/>
    </i>
  </colItems>
  <dataFields count="2">
    <dataField name="Sum of (n)" fld="12" baseField="0" baseItem="0"/>
    <dataField name="Sum of (g)" fld="5" baseField="0" baseItem="1"/>
  </dataFields>
  <formats count="17">
    <format dxfId="61">
      <pivotArea outline="0" collapsedLevelsAreSubtotals="1" fieldPosition="0"/>
    </format>
    <format dxfId="60">
      <pivotArea outline="0" collapsedLevelsAreSubtotals="1" fieldPosition="0"/>
    </format>
    <format dxfId="59">
      <pivotArea dataOnly="0" fieldPosition="0">
        <references count="1">
          <reference field="0" count="0"/>
        </references>
      </pivotArea>
    </format>
    <format dxfId="58">
      <pivotArea grandRow="1" outline="0" collapsedLevelsAreSubtotals="1" fieldPosition="0"/>
    </format>
    <format dxfId="57">
      <pivotArea dataOnly="0" labelOnly="1" grandRow="1" outline="0" fieldPosition="0"/>
    </format>
    <format dxfId="56">
      <pivotArea type="all" dataOnly="0" outline="0" fieldPosition="0"/>
    </format>
    <format dxfId="55">
      <pivotArea outline="0" collapsedLevelsAreSubtotals="1" fieldPosition="0"/>
    </format>
    <format dxfId="54">
      <pivotArea field="0" type="button" dataOnly="0" labelOnly="1" outline="0" axis="axisRow" fieldPosition="0"/>
    </format>
    <format dxfId="53">
      <pivotArea dataOnly="0" labelOnly="1" fieldPosition="0">
        <references count="1">
          <reference field="0" count="0"/>
        </references>
      </pivotArea>
    </format>
    <format dxfId="52">
      <pivotArea dataOnly="0" labelOnly="1" grandRow="1" outline="0" fieldPosition="0"/>
    </format>
    <format dxfId="51">
      <pivotArea dataOnly="0" labelOnly="1" outline="0" fieldPosition="0">
        <references count="1">
          <reference field="4294967294" count="2">
            <x v="0"/>
            <x v="1"/>
          </reference>
        </references>
      </pivotArea>
    </format>
    <format dxfId="50">
      <pivotArea type="all" dataOnly="0" outline="0" fieldPosition="0"/>
    </format>
    <format dxfId="49">
      <pivotArea outline="0" collapsedLevelsAreSubtotals="1" fieldPosition="0"/>
    </format>
    <format dxfId="48">
      <pivotArea field="0" type="button" dataOnly="0" labelOnly="1" outline="0" axis="axisRow" fieldPosition="0"/>
    </format>
    <format dxfId="47">
      <pivotArea dataOnly="0" labelOnly="1" fieldPosition="0">
        <references count="1">
          <reference field="0" count="0"/>
        </references>
      </pivotArea>
    </format>
    <format dxfId="46">
      <pivotArea dataOnly="0" labelOnly="1" grandRow="1" outline="0" fieldPosition="0"/>
    </format>
    <format dxfId="45">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00000000-0007-0000-5500-000010000000}" name="PivotTable8" cacheId="26"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S2:U10" firstHeaderRow="0" firstDataRow="1" firstDataCol="1"/>
  <pivotFields count="14">
    <pivotField showAll="0"/>
    <pivotField axis="axisRow" showAll="0">
      <items count="8">
        <item x="1"/>
        <item x="3"/>
        <item x="4"/>
        <item x="6"/>
        <item x="5"/>
        <item x="0"/>
        <item x="2"/>
        <item t="default"/>
      </items>
    </pivotField>
    <pivotField showAll="0"/>
    <pivotField showAll="0"/>
    <pivotField showAll="0"/>
    <pivotField showAll="0"/>
    <pivotField dataField="1" showAll="0"/>
    <pivotField showAll="0"/>
    <pivotField showAll="0"/>
    <pivotField showAll="0"/>
    <pivotField showAll="0"/>
    <pivotField showAll="0"/>
    <pivotField showAll="0"/>
    <pivotField dataField="1" numFmtId="192" showAll="0"/>
  </pivotFields>
  <rowFields count="1">
    <field x="1"/>
  </rowFields>
  <rowItems count="8">
    <i>
      <x/>
    </i>
    <i>
      <x v="1"/>
    </i>
    <i>
      <x v="2"/>
    </i>
    <i>
      <x v="3"/>
    </i>
    <i>
      <x v="4"/>
    </i>
    <i>
      <x v="5"/>
    </i>
    <i>
      <x v="6"/>
    </i>
    <i t="grand">
      <x/>
    </i>
  </rowItems>
  <colFields count="1">
    <field x="-2"/>
  </colFields>
  <colItems count="2">
    <i>
      <x/>
    </i>
    <i i="1">
      <x v="1"/>
    </i>
  </colItems>
  <dataFields count="2">
    <dataField name="Sum of (n)" fld="13" baseField="0" baseItem="0"/>
    <dataField name="Sum of (g)" fld="6" baseField="1" baseItem="0"/>
  </dataFields>
  <formats count="13">
    <format dxfId="44">
      <pivotArea outline="0" collapsedLevelsAreSubtotals="1" fieldPosition="0"/>
    </format>
    <format dxfId="43">
      <pivotArea type="all" dataOnly="0" outline="0" fieldPosition="0"/>
    </format>
    <format dxfId="42">
      <pivotArea outline="0" collapsedLevelsAreSubtotals="1" fieldPosition="0"/>
    </format>
    <format dxfId="41">
      <pivotArea field="1" type="button" dataOnly="0" labelOnly="1" outline="0" axis="axisRow" fieldPosition="0"/>
    </format>
    <format dxfId="40">
      <pivotArea dataOnly="0" labelOnly="1" fieldPosition="0">
        <references count="1">
          <reference field="1" count="0"/>
        </references>
      </pivotArea>
    </format>
    <format dxfId="39">
      <pivotArea dataOnly="0" labelOnly="1" grandRow="1" outline="0" fieldPosition="0"/>
    </format>
    <format dxfId="38">
      <pivotArea dataOnly="0" labelOnly="1" outline="0" fieldPosition="0">
        <references count="1">
          <reference field="4294967294" count="2">
            <x v="0"/>
            <x v="1"/>
          </reference>
        </references>
      </pivotArea>
    </format>
    <format dxfId="37">
      <pivotArea type="all" dataOnly="0" outline="0" fieldPosition="0"/>
    </format>
    <format dxfId="36">
      <pivotArea outline="0" collapsedLevelsAreSubtotals="1" fieldPosition="0"/>
    </format>
    <format dxfId="35">
      <pivotArea field="1" type="button" dataOnly="0" labelOnly="1" outline="0" axis="axisRow" fieldPosition="0"/>
    </format>
    <format dxfId="34">
      <pivotArea dataOnly="0" labelOnly="1" fieldPosition="0">
        <references count="1">
          <reference field="1" count="0"/>
        </references>
      </pivotArea>
    </format>
    <format dxfId="33">
      <pivotArea dataOnly="0" labelOnly="1" grandRow="1" outline="0" fieldPosition="0"/>
    </format>
    <format dxfId="32">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12" dT="2024-06-11T15:57:14.14" personId="{C3FCBA68-F2D8-45BC-A624-94B5258571CF}" id="{16ECD57D-F5F4-45AD-9FC0-89ED5278E5A0}">
    <text>Not yet approved in 2024 GRC, marking DIST until approved Jan 2025, will classify PROD in next BPA ASC</text>
  </threadedComment>
  <threadedComment ref="F27" dT="2024-06-11T15:57:24.90" personId="{C3FCBA68-F2D8-45BC-A624-94B5258571CF}" id="{7A141379-CC40-4A77-B70D-A16A84E9237D}">
    <text>Not yet approved in 2024 GRC, marking DIST until approved Jan 2025, will classify PROD in next BPA ASC</text>
  </threadedComment>
  <threadedComment ref="F41" dT="2024-06-11T15:57:46.59" personId="{C3FCBA68-F2D8-45BC-A624-94B5258571CF}" id="{8C6D7389-541D-4C66-8C9B-AAFB71138356}">
    <text>Not yet approved in 2024 GRC, marking DIST until approved Jan 2025, will classify PTD in next BPA ASC</text>
  </threadedComment>
  <threadedComment ref="F42" dT="2024-06-11T15:57:57.20" personId="{C3FCBA68-F2D8-45BC-A624-94B5258571CF}" id="{70CF55EE-2903-4E09-8584-EEB9A499350F}">
    <text>Not yet approved in 2024 GRC, marking DIST until approved Jan 2025, will classify PTD in next BPA ASC</text>
  </threadedComment>
  <threadedComment ref="F43" dT="2024-06-11T15:58:07.26" personId="{C3FCBA68-F2D8-45BC-A624-94B5258571CF}" id="{897A6905-2974-468F-B19A-6B29265AB35A}">
    <text>Not yet approved in 2024 GRC, marking DIST until approved Jan 2025, will classify PTD in next BPA ASC</text>
  </threadedComment>
  <threadedComment ref="F63" dT="2024-06-11T15:58:22.69" personId="{C3FCBA68-F2D8-45BC-A624-94B5258571CF}" id="{079A67FD-330D-4978-A2BA-1E7C263F2583}">
    <text>Not yet approved in 2024 GRC, marking DIST until approved Jan 2025, will classify PROD in next BPA ASC</text>
  </threadedComment>
</ThreadedComments>
</file>

<file path=xl/threadedComments/threadedComment2.xml><?xml version="1.0" encoding="utf-8"?>
<ThreadedComments xmlns="http://schemas.microsoft.com/office/spreadsheetml/2018/threadedcomments" xmlns:x="http://schemas.openxmlformats.org/spreadsheetml/2006/main">
  <threadedComment ref="C102" dT="2024-06-11T22:21:28.75" personId="{C3FCBA68-F2D8-45BC-A624-94B5258571CF}" id="{FACEE8A1-2767-48A0-BDA2-657F9C0945CE}">
    <text>Order is mapped to the wrong order group 928 instead of 407.4</text>
  </threadedComment>
</ThreadedComments>
</file>

<file path=xl/threadedComments/threadedComment3.xml><?xml version="1.0" encoding="utf-8"?>
<ThreadedComments xmlns="http://schemas.microsoft.com/office/spreadsheetml/2018/threadedcomments" xmlns:x="http://schemas.openxmlformats.org/spreadsheetml/2006/main">
  <threadedComment ref="F22" dT="2024-10-10T17:20:41.10" personId="{E1E7E19F-1FB6-46E4-8CC0-BC8433CE9794}" id="{A464C9EC-27F7-4911-9CC3-1119B6E401C0}">
    <text>Changed per DR 10</text>
  </threadedComment>
</ThreadedComments>
</file>

<file path=xl/threadedComments/threadedComment4.xml><?xml version="1.0" encoding="utf-8"?>
<ThreadedComments xmlns="http://schemas.microsoft.com/office/spreadsheetml/2018/threadedcomments" xmlns:x="http://schemas.openxmlformats.org/spreadsheetml/2006/main">
  <threadedComment ref="D44" dT="2024-06-10T18:58:25.19" personId="{C3FCBA68-F2D8-45BC-A624-94B5258571CF}" id="{562B00B6-43D2-4F43-8DC4-B49CEE4196C7}">
    <text xml:space="preserve">Per Property Accounting: In prior FERC filing Electric did not include Electric portion of Common Share, corrected in 2023. </text>
  </threadedComment>
</ThreadedComments>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customProperty" Target="../customProperty6.bin"/><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9.bin"/><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ustomProperty" Target="../customProperty10.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customProperty" Target="../customProperty11.bin"/><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customProperty" Target="../customProperty14.bin"/><Relationship Id="rId1" Type="http://schemas.openxmlformats.org/officeDocument/2006/relationships/printerSettings" Target="../printerSettings/printerSettings14.bin"/><Relationship Id="rId4" Type="http://schemas.openxmlformats.org/officeDocument/2006/relationships/comments" Target="../comments2.xml"/></Relationships>
</file>

<file path=xl/worksheets/_rels/sheet15.xml.rels><?xml version="1.0" encoding="UTF-8" standalone="yes"?>
<Relationships xmlns="http://schemas.openxmlformats.org/package/2006/relationships"><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customProperty" Target="../customProperty17.bin"/><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ustomProperty" Target="../customProperty18.bin"/><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customProperty" Target="../customProperty19.bin"/><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customProperty" Target="../customProperty23.bin"/><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customProperty" Target="../customProperty24.bin"/></Relationships>
</file>

<file path=xl/worksheets/_rels/sheet25.xml.rels><?xml version="1.0" encoding="UTF-8" standalone="yes"?>
<Relationships xmlns="http://schemas.openxmlformats.org/package/2006/relationships"><Relationship Id="rId1" Type="http://schemas.openxmlformats.org/officeDocument/2006/relationships/customProperty" Target="../customProperty25.bin"/></Relationships>
</file>

<file path=xl/worksheets/_rels/sheet26.xml.rels><?xml version="1.0" encoding="UTF-8" standalone="yes"?>
<Relationships xmlns="http://schemas.openxmlformats.org/package/2006/relationships"><Relationship Id="rId2" Type="http://schemas.openxmlformats.org/officeDocument/2006/relationships/customProperty" Target="../customProperty26.bin"/><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customProperty" Target="../customProperty27.bin"/><Relationship Id="rId1" Type="http://schemas.openxmlformats.org/officeDocument/2006/relationships/printerSettings" Target="../printerSettings/printerSettings25.bin"/><Relationship Id="rId4" Type="http://schemas.openxmlformats.org/officeDocument/2006/relationships/comments" Target="../comments3.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customProperty" Target="../customProperty28.bin"/><Relationship Id="rId1" Type="http://schemas.openxmlformats.org/officeDocument/2006/relationships/printerSettings" Target="../printerSettings/printerSettings26.bin"/><Relationship Id="rId4" Type="http://schemas.openxmlformats.org/officeDocument/2006/relationships/comments" Target="../comments4.xml"/></Relationships>
</file>

<file path=xl/worksheets/_rels/sheet29.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drawing" Target="../drawings/drawing1.xml"/><Relationship Id="rId4" Type="http://schemas.openxmlformats.org/officeDocument/2006/relationships/customProperty" Target="../customProperty29.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customProperty" Target="../customProperty30.bin"/><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3" Type="http://schemas.openxmlformats.org/officeDocument/2006/relationships/pivotTable" Target="../pivotTables/pivotTable6.xml"/><Relationship Id="rId2" Type="http://schemas.openxmlformats.org/officeDocument/2006/relationships/pivotTable" Target="../pivotTables/pivotTable5.xml"/><Relationship Id="rId1" Type="http://schemas.openxmlformats.org/officeDocument/2006/relationships/pivotTable" Target="../pivotTables/pivotTable4.xml"/><Relationship Id="rId6" Type="http://schemas.openxmlformats.org/officeDocument/2006/relationships/customProperty" Target="../customProperty31.bin"/><Relationship Id="rId5" Type="http://schemas.openxmlformats.org/officeDocument/2006/relationships/printerSettings" Target="../printerSettings/printerSettings28.bin"/><Relationship Id="rId4" Type="http://schemas.openxmlformats.org/officeDocument/2006/relationships/pivotTable" Target="../pivotTables/pivotTable7.xm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customProperty" Target="../customProperty32.bin"/><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3" Type="http://schemas.openxmlformats.org/officeDocument/2006/relationships/pivotTable" Target="../pivotTables/pivotTable10.xml"/><Relationship Id="rId2" Type="http://schemas.openxmlformats.org/officeDocument/2006/relationships/pivotTable" Target="../pivotTables/pivotTable9.xml"/><Relationship Id="rId1" Type="http://schemas.openxmlformats.org/officeDocument/2006/relationships/pivotTable" Target="../pivotTables/pivotTable8.xml"/><Relationship Id="rId5" Type="http://schemas.openxmlformats.org/officeDocument/2006/relationships/customProperty" Target="../customProperty33.bin"/><Relationship Id="rId4" Type="http://schemas.openxmlformats.org/officeDocument/2006/relationships/pivotTable" Target="../pivotTables/pivotTable11.xml"/></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34.bin"/><Relationship Id="rId1" Type="http://schemas.openxmlformats.org/officeDocument/2006/relationships/printerSettings" Target="../printerSettings/printerSettings30.bin"/></Relationships>
</file>

<file path=xl/worksheets/_rels/sheet35.xml.rels><?xml version="1.0" encoding="UTF-8" standalone="yes"?>
<Relationships xmlns="http://schemas.openxmlformats.org/package/2006/relationships"><Relationship Id="rId2" Type="http://schemas.openxmlformats.org/officeDocument/2006/relationships/customProperty" Target="../customProperty35.bin"/><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2" Type="http://schemas.openxmlformats.org/officeDocument/2006/relationships/customProperty" Target="../customProperty36.bin"/><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2" Type="http://schemas.openxmlformats.org/officeDocument/2006/relationships/customProperty" Target="../customProperty37.bin"/><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customProperty" Target="../customProperty38.bin"/><Relationship Id="rId1" Type="http://schemas.openxmlformats.org/officeDocument/2006/relationships/printerSettings" Target="../printerSettings/printerSettings34.bin"/><Relationship Id="rId6" Type="http://schemas.microsoft.com/office/2017/10/relationships/threadedComment" Target="../threadedComments/threadedComment1.xml"/><Relationship Id="rId5" Type="http://schemas.openxmlformats.org/officeDocument/2006/relationships/comments" Target="../comments5.xml"/><Relationship Id="rId4" Type="http://schemas.openxmlformats.org/officeDocument/2006/relationships/vmlDrawing" Target="../drawings/vmlDrawing5.vml"/></Relationships>
</file>

<file path=xl/worksheets/_rels/sheet3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customProperty" Target="../customProperty39.bin"/><Relationship Id="rId1" Type="http://schemas.openxmlformats.org/officeDocument/2006/relationships/printerSettings" Target="../printerSettings/printerSettings35.bin"/></Relationships>
</file>

<file path=xl/worksheets/_rels/sheet4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customProperty" Target="../customProperty40.bin"/><Relationship Id="rId1" Type="http://schemas.openxmlformats.org/officeDocument/2006/relationships/printerSettings" Target="../printerSettings/printerSettings36.bin"/><Relationship Id="rId6" Type="http://schemas.microsoft.com/office/2017/10/relationships/threadedComment" Target="../threadedComments/threadedComment2.xml"/><Relationship Id="rId5" Type="http://schemas.openxmlformats.org/officeDocument/2006/relationships/comments" Target="../comments6.xml"/><Relationship Id="rId4" Type="http://schemas.openxmlformats.org/officeDocument/2006/relationships/vmlDrawing" Target="../drawings/vmlDrawing6.vml"/></Relationships>
</file>

<file path=xl/worksheets/_rels/sheet4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customProperty" Target="../customProperty41.bin"/><Relationship Id="rId1" Type="http://schemas.openxmlformats.org/officeDocument/2006/relationships/printerSettings" Target="../printerSettings/printerSettings37.bin"/></Relationships>
</file>

<file path=xl/worksheets/_rels/sheet42.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customProperty" Target="../customProperty42.bin"/><Relationship Id="rId1" Type="http://schemas.openxmlformats.org/officeDocument/2006/relationships/printerSettings" Target="../printerSettings/printerSettings38.bin"/></Relationships>
</file>

<file path=xl/worksheets/_rels/sheet43.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customProperty" Target="../customProperty43.bin"/><Relationship Id="rId1" Type="http://schemas.openxmlformats.org/officeDocument/2006/relationships/printerSettings" Target="../printerSettings/printerSettings39.bin"/><Relationship Id="rId6" Type="http://schemas.microsoft.com/office/2017/10/relationships/threadedComment" Target="../threadedComments/threadedComment3.xml"/><Relationship Id="rId5" Type="http://schemas.openxmlformats.org/officeDocument/2006/relationships/comments" Target="../comments7.xml"/><Relationship Id="rId4" Type="http://schemas.openxmlformats.org/officeDocument/2006/relationships/vmlDrawing" Target="../drawings/vmlDrawing7.vml"/></Relationships>
</file>

<file path=xl/worksheets/_rels/sheet44.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customProperty" Target="../customProperty44.bin"/><Relationship Id="rId1" Type="http://schemas.openxmlformats.org/officeDocument/2006/relationships/printerSettings" Target="../printerSettings/printerSettings40.bin"/></Relationships>
</file>

<file path=xl/worksheets/_rels/sheet45.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customProperty" Target="../customProperty45.bin"/><Relationship Id="rId1" Type="http://schemas.openxmlformats.org/officeDocument/2006/relationships/printerSettings" Target="../printerSettings/printerSettings41.bin"/><Relationship Id="rId5" Type="http://schemas.openxmlformats.org/officeDocument/2006/relationships/comments" Target="../comments8.xml"/><Relationship Id="rId4" Type="http://schemas.openxmlformats.org/officeDocument/2006/relationships/vmlDrawing" Target="../drawings/vmlDrawing8.vml"/></Relationships>
</file>

<file path=xl/worksheets/_rels/sheet46.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customProperty" Target="../customProperty46.bin"/><Relationship Id="rId1" Type="http://schemas.openxmlformats.org/officeDocument/2006/relationships/printerSettings" Target="../printerSettings/printerSettings42.bin"/><Relationship Id="rId5" Type="http://schemas.openxmlformats.org/officeDocument/2006/relationships/comments" Target="../comments9.xml"/><Relationship Id="rId4" Type="http://schemas.openxmlformats.org/officeDocument/2006/relationships/vmlDrawing" Target="../drawings/vmlDrawing9.vml"/></Relationships>
</file>

<file path=xl/worksheets/_rels/sheet47.xml.rels><?xml version="1.0" encoding="UTF-8" standalone="yes"?>
<Relationships xmlns="http://schemas.openxmlformats.org/package/2006/relationships"><Relationship Id="rId1" Type="http://schemas.openxmlformats.org/officeDocument/2006/relationships/customProperty" Target="../customProperty47.bin"/></Relationships>
</file>

<file path=xl/worksheets/_rels/sheet48.xml.rels><?xml version="1.0" encoding="UTF-8" standalone="yes"?>
<Relationships xmlns="http://schemas.openxmlformats.org/package/2006/relationships"><Relationship Id="rId2" Type="http://schemas.openxmlformats.org/officeDocument/2006/relationships/customProperty" Target="../customProperty48.bin"/><Relationship Id="rId1" Type="http://schemas.openxmlformats.org/officeDocument/2006/relationships/printerSettings" Target="../printerSettings/printerSettings43.bin"/></Relationships>
</file>

<file path=xl/worksheets/_rels/sheet49.xml.rels><?xml version="1.0" encoding="UTF-8" standalone="yes"?>
<Relationships xmlns="http://schemas.openxmlformats.org/package/2006/relationships"><Relationship Id="rId2" Type="http://schemas.openxmlformats.org/officeDocument/2006/relationships/customProperty" Target="../customProperty49.bin"/><Relationship Id="rId1" Type="http://schemas.openxmlformats.org/officeDocument/2006/relationships/printerSettings" Target="../printerSettings/printerSettings44.bin"/></Relationships>
</file>

<file path=xl/worksheets/_rels/sheet50.xml.rels><?xml version="1.0" encoding="UTF-8" standalone="yes"?>
<Relationships xmlns="http://schemas.openxmlformats.org/package/2006/relationships"><Relationship Id="rId2" Type="http://schemas.openxmlformats.org/officeDocument/2006/relationships/customProperty" Target="../customProperty50.bin"/><Relationship Id="rId1" Type="http://schemas.openxmlformats.org/officeDocument/2006/relationships/printerSettings" Target="../printerSettings/printerSettings45.bin"/></Relationships>
</file>

<file path=xl/worksheets/_rels/sheet51.xml.rels><?xml version="1.0" encoding="UTF-8" standalone="yes"?>
<Relationships xmlns="http://schemas.openxmlformats.org/package/2006/relationships"><Relationship Id="rId1" Type="http://schemas.openxmlformats.org/officeDocument/2006/relationships/customProperty" Target="../customProperty51.bin"/></Relationships>
</file>

<file path=xl/worksheets/_rels/sheet52.xml.rels><?xml version="1.0" encoding="UTF-8" standalone="yes"?>
<Relationships xmlns="http://schemas.openxmlformats.org/package/2006/relationships"><Relationship Id="rId2" Type="http://schemas.openxmlformats.org/officeDocument/2006/relationships/customProperty" Target="../customProperty52.bin"/><Relationship Id="rId1" Type="http://schemas.openxmlformats.org/officeDocument/2006/relationships/printerSettings" Target="../printerSettings/printerSettings46.bin"/></Relationships>
</file>

<file path=xl/worksheets/_rels/sheet5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customProperty" Target="../customProperty53.bin"/><Relationship Id="rId4" Type="http://schemas.microsoft.com/office/2017/10/relationships/threadedComment" Target="../threadedComments/threadedComment4.xml"/></Relationships>
</file>

<file path=xl/worksheets/_rels/sheet54.xml.rels><?xml version="1.0" encoding="UTF-8" standalone="yes"?>
<Relationships xmlns="http://schemas.openxmlformats.org/package/2006/relationships"><Relationship Id="rId2" Type="http://schemas.openxmlformats.org/officeDocument/2006/relationships/customProperty" Target="../customProperty54.bin"/><Relationship Id="rId1" Type="http://schemas.openxmlformats.org/officeDocument/2006/relationships/printerSettings" Target="../printerSettings/printerSettings47.bin"/></Relationships>
</file>

<file path=xl/worksheets/_rels/sheet55.xml.rels><?xml version="1.0" encoding="UTF-8" standalone="yes"?>
<Relationships xmlns="http://schemas.openxmlformats.org/package/2006/relationships"><Relationship Id="rId2" Type="http://schemas.openxmlformats.org/officeDocument/2006/relationships/customProperty" Target="../customProperty55.bin"/><Relationship Id="rId1" Type="http://schemas.openxmlformats.org/officeDocument/2006/relationships/printerSettings" Target="../printerSettings/printerSettings48.bin"/></Relationships>
</file>

<file path=xl/worksheets/_rels/sheet56.xml.rels><?xml version="1.0" encoding="UTF-8" standalone="yes"?>
<Relationships xmlns="http://schemas.openxmlformats.org/package/2006/relationships"><Relationship Id="rId2" Type="http://schemas.openxmlformats.org/officeDocument/2006/relationships/customProperty" Target="../customProperty56.bin"/><Relationship Id="rId1" Type="http://schemas.openxmlformats.org/officeDocument/2006/relationships/printerSettings" Target="../printerSettings/printerSettings49.bin"/></Relationships>
</file>

<file path=xl/worksheets/_rels/sheet57.xml.rels><?xml version="1.0" encoding="UTF-8" standalone="yes"?>
<Relationships xmlns="http://schemas.openxmlformats.org/package/2006/relationships"><Relationship Id="rId2" Type="http://schemas.openxmlformats.org/officeDocument/2006/relationships/customProperty" Target="../customProperty57.bin"/><Relationship Id="rId1" Type="http://schemas.openxmlformats.org/officeDocument/2006/relationships/printerSettings" Target="../printerSettings/printerSettings50.bin"/></Relationships>
</file>

<file path=xl/worksheets/_rels/sheet58.xml.rels><?xml version="1.0" encoding="UTF-8" standalone="yes"?>
<Relationships xmlns="http://schemas.openxmlformats.org/package/2006/relationships"><Relationship Id="rId2" Type="http://schemas.openxmlformats.org/officeDocument/2006/relationships/customProperty" Target="../customProperty58.bin"/><Relationship Id="rId1" Type="http://schemas.openxmlformats.org/officeDocument/2006/relationships/printerSettings" Target="../printerSettings/printerSettings51.bin"/></Relationships>
</file>

<file path=xl/worksheets/_rels/sheet59.xml.rels><?xml version="1.0" encoding="UTF-8" standalone="yes"?>
<Relationships xmlns="http://schemas.openxmlformats.org/package/2006/relationships"><Relationship Id="rId2" Type="http://schemas.openxmlformats.org/officeDocument/2006/relationships/customProperty" Target="../customProperty59.bin"/><Relationship Id="rId1" Type="http://schemas.openxmlformats.org/officeDocument/2006/relationships/printerSettings" Target="../printerSettings/printerSettings52.bin"/></Relationships>
</file>

<file path=xl/worksheets/_rels/sheet60.xml.rels><?xml version="1.0" encoding="UTF-8" standalone="yes"?>
<Relationships xmlns="http://schemas.openxmlformats.org/package/2006/relationships"><Relationship Id="rId1" Type="http://schemas.openxmlformats.org/officeDocument/2006/relationships/customProperty" Target="../customProperty60.bin"/></Relationships>
</file>

<file path=xl/worksheets/_rels/sheet61.xml.rels><?xml version="1.0" encoding="UTF-8" standalone="yes"?>
<Relationships xmlns="http://schemas.openxmlformats.org/package/2006/relationships"><Relationship Id="rId3" Type="http://schemas.openxmlformats.org/officeDocument/2006/relationships/customProperty" Target="../customProperty61.bin"/><Relationship Id="rId2" Type="http://schemas.openxmlformats.org/officeDocument/2006/relationships/printerSettings" Target="../printerSettings/printerSettings53.bin"/><Relationship Id="rId1" Type="http://schemas.openxmlformats.org/officeDocument/2006/relationships/pivotTable" Target="../pivotTables/pivotTable12.xml"/></Relationships>
</file>

<file path=xl/worksheets/_rels/sheet62.xml.rels><?xml version="1.0" encoding="UTF-8" standalone="yes"?>
<Relationships xmlns="http://schemas.openxmlformats.org/package/2006/relationships"><Relationship Id="rId3" Type="http://schemas.openxmlformats.org/officeDocument/2006/relationships/customProperty" Target="../customProperty62.bin"/><Relationship Id="rId2" Type="http://schemas.openxmlformats.org/officeDocument/2006/relationships/printerSettings" Target="../printerSettings/printerSettings54.bin"/><Relationship Id="rId1" Type="http://schemas.openxmlformats.org/officeDocument/2006/relationships/pivotTable" Target="../pivotTables/pivotTable13.xml"/></Relationships>
</file>

<file path=xl/worksheets/_rels/sheet63.xml.rels><?xml version="1.0" encoding="UTF-8" standalone="yes"?>
<Relationships xmlns="http://schemas.openxmlformats.org/package/2006/relationships"><Relationship Id="rId3" Type="http://schemas.openxmlformats.org/officeDocument/2006/relationships/customProperty" Target="../customProperty63.bin"/><Relationship Id="rId2" Type="http://schemas.openxmlformats.org/officeDocument/2006/relationships/printerSettings" Target="../printerSettings/printerSettings55.bin"/><Relationship Id="rId1" Type="http://schemas.openxmlformats.org/officeDocument/2006/relationships/pivotTable" Target="../pivotTables/pivotTable14.xml"/></Relationships>
</file>

<file path=xl/worksheets/_rels/sheet64.xml.rels><?xml version="1.0" encoding="UTF-8" standalone="yes"?>
<Relationships xmlns="http://schemas.openxmlformats.org/package/2006/relationships"><Relationship Id="rId1" Type="http://schemas.openxmlformats.org/officeDocument/2006/relationships/customProperty" Target="../customProperty64.bin"/></Relationships>
</file>

<file path=xl/worksheets/_rels/sheet65.xml.rels><?xml version="1.0" encoding="UTF-8" standalone="yes"?>
<Relationships xmlns="http://schemas.openxmlformats.org/package/2006/relationships"><Relationship Id="rId3" Type="http://schemas.openxmlformats.org/officeDocument/2006/relationships/customProperty" Target="../customProperty65.bin"/><Relationship Id="rId2" Type="http://schemas.openxmlformats.org/officeDocument/2006/relationships/printerSettings" Target="../printerSettings/printerSettings56.bin"/><Relationship Id="rId1" Type="http://schemas.openxmlformats.org/officeDocument/2006/relationships/pivotTable" Target="../pivotTables/pivotTable15.xml"/><Relationship Id="rId5" Type="http://schemas.openxmlformats.org/officeDocument/2006/relationships/comments" Target="../comments11.xml"/><Relationship Id="rId4" Type="http://schemas.openxmlformats.org/officeDocument/2006/relationships/vmlDrawing" Target="../drawings/vmlDrawing11.vml"/></Relationships>
</file>

<file path=xl/worksheets/_rels/sheet66.xml.rels><?xml version="1.0" encoding="UTF-8" standalone="yes"?>
<Relationships xmlns="http://schemas.openxmlformats.org/package/2006/relationships"><Relationship Id="rId3" Type="http://schemas.openxmlformats.org/officeDocument/2006/relationships/customProperty" Target="../customProperty66.bin"/><Relationship Id="rId2" Type="http://schemas.openxmlformats.org/officeDocument/2006/relationships/printerSettings" Target="../printerSettings/printerSettings57.bin"/><Relationship Id="rId1" Type="http://schemas.openxmlformats.org/officeDocument/2006/relationships/pivotTable" Target="../pivotTables/pivotTable16.xml"/><Relationship Id="rId5" Type="http://schemas.openxmlformats.org/officeDocument/2006/relationships/comments" Target="../comments12.xml"/><Relationship Id="rId4" Type="http://schemas.openxmlformats.org/officeDocument/2006/relationships/vmlDrawing" Target="../drawings/vmlDrawing12.vml"/></Relationships>
</file>

<file path=xl/worksheets/_rels/sheet67.xml.rels><?xml version="1.0" encoding="UTF-8" standalone="yes"?>
<Relationships xmlns="http://schemas.openxmlformats.org/package/2006/relationships"><Relationship Id="rId3" Type="http://schemas.openxmlformats.org/officeDocument/2006/relationships/customProperty" Target="../customProperty67.bin"/><Relationship Id="rId2" Type="http://schemas.openxmlformats.org/officeDocument/2006/relationships/printerSettings" Target="../printerSettings/printerSettings58.bin"/><Relationship Id="rId1" Type="http://schemas.openxmlformats.org/officeDocument/2006/relationships/pivotTable" Target="../pivotTables/pivotTable17.xml"/><Relationship Id="rId5" Type="http://schemas.openxmlformats.org/officeDocument/2006/relationships/comments" Target="../comments13.xml"/><Relationship Id="rId4" Type="http://schemas.openxmlformats.org/officeDocument/2006/relationships/vmlDrawing" Target="../drawings/vmlDrawing13.vml"/></Relationships>
</file>

<file path=xl/worksheets/_rels/sheet68.xml.rels><?xml version="1.0" encoding="UTF-8" standalone="yes"?>
<Relationships xmlns="http://schemas.openxmlformats.org/package/2006/relationships"><Relationship Id="rId1" Type="http://schemas.openxmlformats.org/officeDocument/2006/relationships/customProperty" Target="../customProperty68.bin"/></Relationships>
</file>

<file path=xl/worksheets/_rels/sheet69.xml.rels><?xml version="1.0" encoding="UTF-8" standalone="yes"?>
<Relationships xmlns="http://schemas.openxmlformats.org/package/2006/relationships"><Relationship Id="rId1" Type="http://schemas.openxmlformats.org/officeDocument/2006/relationships/customProperty" Target="../customProperty69.bin"/></Relationships>
</file>

<file path=xl/worksheets/_rels/sheet70.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customProperty" Target="../customProperty70.bin"/></Relationships>
</file>

<file path=xl/worksheets/_rels/sheet71.xml.rels><?xml version="1.0" encoding="UTF-8" standalone="yes"?>
<Relationships xmlns="http://schemas.openxmlformats.org/package/2006/relationships"><Relationship Id="rId1" Type="http://schemas.openxmlformats.org/officeDocument/2006/relationships/customProperty" Target="../customProperty71.bin"/></Relationships>
</file>

<file path=xl/worksheets/_rels/sheet72.xml.rels><?xml version="1.0" encoding="UTF-8" standalone="yes"?>
<Relationships xmlns="http://schemas.openxmlformats.org/package/2006/relationships"><Relationship Id="rId1" Type="http://schemas.openxmlformats.org/officeDocument/2006/relationships/customProperty" Target="../customProperty72.bin"/></Relationships>
</file>

<file path=xl/worksheets/_rels/sheet73.xml.rels><?xml version="1.0" encoding="UTF-8" standalone="yes"?>
<Relationships xmlns="http://schemas.openxmlformats.org/package/2006/relationships"><Relationship Id="rId1" Type="http://schemas.openxmlformats.org/officeDocument/2006/relationships/customProperty" Target="../customProperty73.bin"/></Relationships>
</file>

<file path=xl/worksheets/_rels/sheet74.xml.rels><?xml version="1.0" encoding="UTF-8" standalone="yes"?>
<Relationships xmlns="http://schemas.openxmlformats.org/package/2006/relationships"><Relationship Id="rId1" Type="http://schemas.openxmlformats.org/officeDocument/2006/relationships/customProperty" Target="../customProperty74.bin"/></Relationships>
</file>

<file path=xl/worksheets/_rels/sheet75.xml.rels><?xml version="1.0" encoding="UTF-8" standalone="yes"?>
<Relationships xmlns="http://schemas.openxmlformats.org/package/2006/relationships"><Relationship Id="rId2" Type="http://schemas.openxmlformats.org/officeDocument/2006/relationships/customProperty" Target="../customProperty75.bin"/><Relationship Id="rId1" Type="http://schemas.openxmlformats.org/officeDocument/2006/relationships/printerSettings" Target="../printerSettings/printerSettings59.bin"/></Relationships>
</file>

<file path=xl/worksheets/_rels/sheet76.xml.rels><?xml version="1.0" encoding="UTF-8" standalone="yes"?>
<Relationships xmlns="http://schemas.openxmlformats.org/package/2006/relationships"><Relationship Id="rId1" Type="http://schemas.openxmlformats.org/officeDocument/2006/relationships/customProperty" Target="../customProperty76.bin"/></Relationships>
</file>

<file path=xl/worksheets/_rels/sheet77.xml.rels><?xml version="1.0" encoding="UTF-8" standalone="yes"?>
<Relationships xmlns="http://schemas.openxmlformats.org/package/2006/relationships"><Relationship Id="rId1" Type="http://schemas.openxmlformats.org/officeDocument/2006/relationships/customProperty" Target="../customProperty77.bin"/></Relationships>
</file>

<file path=xl/worksheets/_rels/sheet78.xml.rels><?xml version="1.0" encoding="UTF-8" standalone="yes"?>
<Relationships xmlns="http://schemas.openxmlformats.org/package/2006/relationships"><Relationship Id="rId1" Type="http://schemas.openxmlformats.org/officeDocument/2006/relationships/customProperty" Target="../customProperty78.bin"/></Relationships>
</file>

<file path=xl/worksheets/_rels/sheet79.xml.rels><?xml version="1.0" encoding="UTF-8" standalone="yes"?>
<Relationships xmlns="http://schemas.openxmlformats.org/package/2006/relationships"><Relationship Id="rId1" Type="http://schemas.openxmlformats.org/officeDocument/2006/relationships/customProperty" Target="../customProperty79.bin"/></Relationships>
</file>

<file path=xl/worksheets/_rels/sheet80.xml.rels><?xml version="1.0" encoding="UTF-8" standalone="yes"?>
<Relationships xmlns="http://schemas.openxmlformats.org/package/2006/relationships"><Relationship Id="rId2" Type="http://schemas.openxmlformats.org/officeDocument/2006/relationships/customProperty" Target="../customProperty80.bin"/><Relationship Id="rId1" Type="http://schemas.openxmlformats.org/officeDocument/2006/relationships/printerSettings" Target="../printerSettings/printerSettings60.bin"/></Relationships>
</file>

<file path=xl/worksheets/_rels/sheet81.xml.rels><?xml version="1.0" encoding="UTF-8" standalone="yes"?>
<Relationships xmlns="http://schemas.openxmlformats.org/package/2006/relationships"><Relationship Id="rId1" Type="http://schemas.openxmlformats.org/officeDocument/2006/relationships/customProperty" Target="../customProperty81.bin"/></Relationships>
</file>

<file path=xl/worksheets/_rels/sheet82.xml.rels><?xml version="1.0" encoding="UTF-8" standalone="yes"?>
<Relationships xmlns="http://schemas.openxmlformats.org/package/2006/relationships"><Relationship Id="rId1" Type="http://schemas.openxmlformats.org/officeDocument/2006/relationships/customProperty" Target="../customProperty82.bin"/></Relationships>
</file>

<file path=xl/worksheets/_rels/sheet83.xml.rels><?xml version="1.0" encoding="UTF-8" standalone="yes"?>
<Relationships xmlns="http://schemas.openxmlformats.org/package/2006/relationships"><Relationship Id="rId2" Type="http://schemas.openxmlformats.org/officeDocument/2006/relationships/customProperty" Target="../customProperty83.bin"/><Relationship Id="rId1" Type="http://schemas.openxmlformats.org/officeDocument/2006/relationships/printerSettings" Target="../printerSettings/printerSettings61.bin"/></Relationships>
</file>

<file path=xl/worksheets/_rels/sheet84.xml.rels><?xml version="1.0" encoding="UTF-8" standalone="yes"?>
<Relationships xmlns="http://schemas.openxmlformats.org/package/2006/relationships"><Relationship Id="rId2" Type="http://schemas.openxmlformats.org/officeDocument/2006/relationships/customProperty" Target="../customProperty84.bin"/><Relationship Id="rId1" Type="http://schemas.openxmlformats.org/officeDocument/2006/relationships/printerSettings" Target="../printerSettings/printerSettings62.bin"/></Relationships>
</file>

<file path=xl/worksheets/_rels/sheet85.xml.rels><?xml version="1.0" encoding="UTF-8" standalone="yes"?>
<Relationships xmlns="http://schemas.openxmlformats.org/package/2006/relationships"><Relationship Id="rId1" Type="http://schemas.openxmlformats.org/officeDocument/2006/relationships/customProperty" Target="../customProperty8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A1:P103"/>
  <sheetViews>
    <sheetView workbookViewId="0"/>
  </sheetViews>
  <sheetFormatPr defaultColWidth="9" defaultRowHeight="15.75"/>
  <cols>
    <col min="3" max="3" width="12.875" customWidth="1"/>
    <col min="4" max="4" width="11.75" customWidth="1"/>
    <col min="5" max="5" width="10.125" customWidth="1"/>
    <col min="6" max="6" width="50.875" style="121" customWidth="1"/>
    <col min="8" max="8" width="32.75" style="121" customWidth="1"/>
  </cols>
  <sheetData>
    <row r="1" spans="1:12">
      <c r="A1" s="444"/>
      <c r="B1" s="444"/>
      <c r="C1" s="444"/>
      <c r="D1" s="444"/>
      <c r="E1" s="444"/>
      <c r="F1" s="445"/>
      <c r="G1" s="444"/>
      <c r="H1" s="445"/>
      <c r="I1" s="444"/>
      <c r="J1" s="444"/>
      <c r="K1" s="444"/>
      <c r="L1" s="444"/>
    </row>
    <row r="2" spans="1:12">
      <c r="A2" s="444"/>
      <c r="B2" s="444"/>
      <c r="C2" s="444"/>
      <c r="D2" s="444"/>
      <c r="E2" s="444"/>
      <c r="F2" s="445"/>
      <c r="G2" s="444"/>
      <c r="H2" s="445"/>
      <c r="I2" s="444"/>
      <c r="J2" s="444"/>
      <c r="K2" s="444"/>
      <c r="L2" s="444"/>
    </row>
    <row r="3" spans="1:12">
      <c r="A3" s="444"/>
      <c r="B3" s="444"/>
      <c r="C3" s="444"/>
      <c r="D3" s="444"/>
      <c r="E3" s="444"/>
      <c r="F3" s="445"/>
      <c r="G3" s="444"/>
      <c r="H3" s="445"/>
      <c r="I3" s="444"/>
      <c r="J3" s="444"/>
      <c r="K3" s="444"/>
      <c r="L3" s="444"/>
    </row>
    <row r="4" spans="1:12">
      <c r="A4" s="446">
        <v>1</v>
      </c>
      <c r="B4" s="447" t="s">
        <v>802</v>
      </c>
      <c r="C4" s="444"/>
      <c r="D4" s="444"/>
      <c r="E4" s="444"/>
      <c r="F4" s="445"/>
      <c r="G4" s="444"/>
      <c r="H4" s="445"/>
      <c r="I4" s="444"/>
      <c r="J4" s="444"/>
      <c r="K4" s="444"/>
      <c r="L4" s="444"/>
    </row>
    <row r="5" spans="1:12">
      <c r="A5" s="444"/>
      <c r="B5" s="444"/>
      <c r="C5" s="444"/>
      <c r="D5" s="444"/>
      <c r="E5" s="444"/>
      <c r="F5" s="445"/>
      <c r="G5" s="444"/>
      <c r="H5" s="445"/>
      <c r="I5" s="444"/>
      <c r="J5" s="444"/>
      <c r="K5" s="444"/>
      <c r="L5" s="444"/>
    </row>
    <row r="6" spans="1:12">
      <c r="A6" s="444"/>
      <c r="B6" s="444"/>
      <c r="C6" s="448" t="s">
        <v>798</v>
      </c>
      <c r="D6" s="447" t="s">
        <v>799</v>
      </c>
      <c r="E6" s="444"/>
      <c r="F6" s="449">
        <v>2021</v>
      </c>
      <c r="G6" s="450" t="s">
        <v>794</v>
      </c>
      <c r="H6" s="451">
        <v>2023</v>
      </c>
      <c r="I6" s="444"/>
      <c r="J6" s="444"/>
      <c r="K6" s="444"/>
      <c r="L6" s="444"/>
    </row>
    <row r="8" spans="1:12">
      <c r="C8" s="486" t="s">
        <v>800</v>
      </c>
      <c r="D8" s="273" t="s">
        <v>799</v>
      </c>
      <c r="F8" s="487">
        <v>44743</v>
      </c>
      <c r="G8" s="349" t="s">
        <v>794</v>
      </c>
      <c r="H8" s="487">
        <v>45476</v>
      </c>
    </row>
    <row r="10" spans="1:12">
      <c r="B10" s="273"/>
    </row>
    <row r="11" spans="1:12">
      <c r="A11" s="7">
        <v>2</v>
      </c>
      <c r="B11" s="273" t="s">
        <v>809</v>
      </c>
    </row>
    <row r="12" spans="1:12">
      <c r="C12" s="259"/>
      <c r="D12" s="273"/>
      <c r="F12" s="347"/>
      <c r="G12" s="349"/>
      <c r="H12" s="352"/>
    </row>
    <row r="13" spans="1:12">
      <c r="C13" s="486" t="s">
        <v>803</v>
      </c>
      <c r="D13" s="273" t="s">
        <v>804</v>
      </c>
      <c r="F13" s="347" t="s">
        <v>818</v>
      </c>
      <c r="G13" s="349" t="s">
        <v>794</v>
      </c>
      <c r="H13" s="347" t="s">
        <v>856</v>
      </c>
    </row>
    <row r="15" spans="1:12">
      <c r="C15" s="259"/>
      <c r="D15" s="273"/>
      <c r="F15" s="347"/>
      <c r="G15" s="349"/>
      <c r="H15" s="347"/>
    </row>
    <row r="16" spans="1:12">
      <c r="A16" s="7">
        <v>3</v>
      </c>
      <c r="B16" s="273" t="s">
        <v>810</v>
      </c>
    </row>
    <row r="17" spans="1:9">
      <c r="C17" s="259"/>
      <c r="D17" s="273"/>
      <c r="F17" s="347"/>
      <c r="G17" s="349"/>
      <c r="H17" s="352"/>
    </row>
    <row r="18" spans="1:9">
      <c r="C18" s="486" t="s">
        <v>803</v>
      </c>
      <c r="D18" s="273" t="s">
        <v>804</v>
      </c>
      <c r="F18" s="347" t="s">
        <v>819</v>
      </c>
      <c r="G18" s="349" t="s">
        <v>794</v>
      </c>
      <c r="H18" s="347" t="s">
        <v>857</v>
      </c>
    </row>
    <row r="21" spans="1:9">
      <c r="A21" s="7">
        <v>4</v>
      </c>
      <c r="B21" s="273" t="s">
        <v>805</v>
      </c>
      <c r="C21" s="273"/>
      <c r="F21" s="352" t="s">
        <v>820</v>
      </c>
      <c r="G21" s="349" t="s">
        <v>794</v>
      </c>
      <c r="H21" s="352" t="s">
        <v>820</v>
      </c>
    </row>
    <row r="22" spans="1:9">
      <c r="C22" s="259"/>
    </row>
    <row r="23" spans="1:9">
      <c r="A23" s="7"/>
      <c r="C23" s="259"/>
      <c r="D23" s="273"/>
      <c r="F23" s="347"/>
      <c r="H23" s="352"/>
    </row>
    <row r="24" spans="1:9">
      <c r="A24" s="7">
        <v>5</v>
      </c>
      <c r="B24" s="273" t="s">
        <v>807</v>
      </c>
      <c r="C24" s="259"/>
      <c r="D24" s="273"/>
      <c r="F24" s="347"/>
      <c r="H24" s="352"/>
    </row>
    <row r="25" spans="1:9">
      <c r="A25" s="7"/>
      <c r="C25" s="259"/>
      <c r="D25" s="273"/>
      <c r="F25" s="347"/>
      <c r="H25" s="352"/>
    </row>
    <row r="26" spans="1:9">
      <c r="A26" s="7"/>
      <c r="C26" s="486" t="s">
        <v>808</v>
      </c>
      <c r="D26" s="273" t="s">
        <v>804</v>
      </c>
      <c r="F26" s="487">
        <v>45566</v>
      </c>
      <c r="G26" s="349" t="s">
        <v>794</v>
      </c>
      <c r="H26" s="487">
        <v>46478</v>
      </c>
      <c r="I26" t="s">
        <v>858</v>
      </c>
    </row>
    <row r="27" spans="1:9">
      <c r="A27" s="7"/>
      <c r="C27" s="259"/>
      <c r="D27" s="273"/>
      <c r="F27" s="347"/>
      <c r="H27" s="352"/>
    </row>
    <row r="28" spans="1:9">
      <c r="A28" s="7">
        <v>6</v>
      </c>
      <c r="B28" s="273" t="s">
        <v>854</v>
      </c>
      <c r="C28" s="486"/>
      <c r="D28" s="273"/>
      <c r="F28" s="347"/>
      <c r="G28" s="273"/>
      <c r="H28" s="347"/>
    </row>
    <row r="29" spans="1:9">
      <c r="A29" s="7"/>
      <c r="C29" s="486"/>
      <c r="D29" s="273"/>
      <c r="E29" s="259"/>
      <c r="F29" s="352"/>
      <c r="G29" s="349"/>
      <c r="H29" s="347"/>
    </row>
    <row r="30" spans="1:9">
      <c r="A30" s="7"/>
      <c r="C30" t="s">
        <v>860</v>
      </c>
      <c r="D30" s="259"/>
      <c r="E30" s="3726"/>
      <c r="F30" s="3726"/>
      <c r="G30" s="259"/>
    </row>
    <row r="31" spans="1:9">
      <c r="A31" s="7"/>
      <c r="C31" s="486"/>
      <c r="D31" s="273"/>
      <c r="E31" s="259"/>
      <c r="F31" s="347"/>
      <c r="G31" s="349"/>
      <c r="H31" s="347"/>
    </row>
    <row r="32" spans="1:9">
      <c r="A32" s="7"/>
      <c r="D32" s="259"/>
      <c r="E32" s="3726"/>
      <c r="F32" s="3726"/>
      <c r="G32" s="259"/>
    </row>
    <row r="33" spans="1:16">
      <c r="A33" s="7"/>
      <c r="C33" s="348"/>
      <c r="D33" s="273"/>
      <c r="E33" s="259"/>
      <c r="F33" s="352"/>
      <c r="G33" s="349"/>
      <c r="H33" s="347"/>
    </row>
    <row r="34" spans="1:16">
      <c r="A34" s="7"/>
      <c r="E34" s="259"/>
      <c r="F34" s="352"/>
    </row>
    <row r="35" spans="1:16">
      <c r="A35" s="7"/>
      <c r="C35" s="348"/>
      <c r="D35" s="273"/>
      <c r="E35" s="259"/>
      <c r="F35" s="352"/>
      <c r="G35" s="349"/>
      <c r="H35" s="347"/>
    </row>
    <row r="36" spans="1:16">
      <c r="A36" s="7"/>
      <c r="C36" s="259"/>
      <c r="D36" s="259"/>
      <c r="E36" s="259"/>
      <c r="F36" s="352"/>
    </row>
    <row r="37" spans="1:16">
      <c r="A37" s="7"/>
      <c r="C37" s="348"/>
      <c r="D37" s="273"/>
      <c r="E37" s="259"/>
      <c r="F37" s="352"/>
      <c r="G37" s="349"/>
      <c r="H37" s="347"/>
    </row>
    <row r="38" spans="1:16">
      <c r="A38" s="7"/>
      <c r="D38" s="259"/>
      <c r="E38" s="3726"/>
      <c r="F38" s="3726"/>
      <c r="G38" s="259"/>
    </row>
    <row r="39" spans="1:16">
      <c r="A39" s="7"/>
      <c r="C39" s="348"/>
      <c r="D39" s="273"/>
      <c r="E39" s="259"/>
      <c r="F39" s="352"/>
      <c r="G39" s="349"/>
      <c r="H39" s="347"/>
    </row>
    <row r="40" spans="1:16">
      <c r="A40" s="7"/>
      <c r="D40" s="259"/>
      <c r="E40" s="3726"/>
      <c r="F40" s="3726"/>
      <c r="G40" s="259"/>
    </row>
    <row r="41" spans="1:16">
      <c r="A41" s="7"/>
      <c r="C41" s="348"/>
      <c r="D41" s="273"/>
      <c r="E41" s="259"/>
      <c r="F41" s="352"/>
      <c r="G41" s="349"/>
      <c r="H41" s="347"/>
    </row>
    <row r="42" spans="1:16">
      <c r="A42" s="7"/>
      <c r="D42" s="259"/>
    </row>
    <row r="43" spans="1:16">
      <c r="A43" s="7"/>
      <c r="C43" s="348"/>
      <c r="D43" s="273"/>
      <c r="F43" s="347"/>
      <c r="G43" s="349"/>
      <c r="H43" s="347"/>
    </row>
    <row r="44" spans="1:16">
      <c r="A44" s="7"/>
      <c r="C44" s="259"/>
      <c r="D44" s="259"/>
    </row>
    <row r="45" spans="1:16">
      <c r="A45" s="7"/>
      <c r="C45" s="348"/>
      <c r="D45" s="273"/>
      <c r="F45" s="347"/>
      <c r="G45" s="349"/>
      <c r="H45" s="347"/>
    </row>
    <row r="46" spans="1:16">
      <c r="A46" s="7"/>
      <c r="D46" s="259"/>
      <c r="E46" s="3724"/>
      <c r="F46" s="3724"/>
      <c r="G46" s="259"/>
      <c r="O46" s="346"/>
      <c r="P46" s="346"/>
    </row>
    <row r="47" spans="1:16">
      <c r="A47" s="7"/>
      <c r="C47" s="348"/>
      <c r="D47" s="273"/>
      <c r="F47" s="347"/>
      <c r="G47" s="349"/>
      <c r="H47" s="347"/>
    </row>
    <row r="48" spans="1:16">
      <c r="A48" s="7"/>
      <c r="D48" s="259"/>
    </row>
    <row r="49" spans="1:8">
      <c r="A49" s="7"/>
      <c r="C49" s="348"/>
      <c r="D49" s="273"/>
      <c r="F49" s="347"/>
      <c r="G49" s="349"/>
      <c r="H49" s="347"/>
    </row>
    <row r="50" spans="1:8">
      <c r="A50" s="7"/>
      <c r="D50" s="259"/>
      <c r="E50" s="3724"/>
      <c r="F50" s="3724"/>
      <c r="G50" s="259"/>
    </row>
    <row r="51" spans="1:8">
      <c r="A51" s="7"/>
      <c r="C51" s="348"/>
      <c r="D51" s="273"/>
      <c r="E51" s="352"/>
      <c r="F51" s="352"/>
      <c r="G51" s="349"/>
      <c r="H51" s="347"/>
    </row>
    <row r="52" spans="1:8">
      <c r="A52" s="7"/>
      <c r="C52" s="259"/>
      <c r="D52" s="259"/>
      <c r="E52" s="3725"/>
      <c r="F52" s="3725"/>
      <c r="G52" s="259"/>
      <c r="H52" s="352"/>
    </row>
    <row r="53" spans="1:8">
      <c r="A53" s="7"/>
      <c r="C53" s="348"/>
      <c r="D53" s="273"/>
      <c r="E53" s="352"/>
      <c r="F53" s="352"/>
      <c r="G53" s="349"/>
      <c r="H53" s="347"/>
    </row>
    <row r="54" spans="1:8">
      <c r="A54" s="7"/>
      <c r="C54" s="259"/>
      <c r="E54" s="352"/>
      <c r="F54" s="352"/>
      <c r="H54" s="352"/>
    </row>
    <row r="55" spans="1:8">
      <c r="A55" s="7"/>
      <c r="C55" s="348"/>
      <c r="D55" s="273"/>
      <c r="E55" s="352"/>
      <c r="F55" s="352"/>
      <c r="G55" s="349"/>
      <c r="H55" s="347"/>
    </row>
    <row r="56" spans="1:8">
      <c r="A56" s="7"/>
      <c r="B56" s="273"/>
      <c r="C56" s="259"/>
      <c r="E56" s="352"/>
      <c r="F56" s="352"/>
      <c r="H56" s="352"/>
    </row>
    <row r="57" spans="1:8">
      <c r="A57" s="7"/>
      <c r="C57" s="348"/>
      <c r="D57" s="273"/>
      <c r="E57" s="352"/>
      <c r="F57" s="352"/>
      <c r="G57" s="349"/>
      <c r="H57" s="347"/>
    </row>
    <row r="58" spans="1:8">
      <c r="C58" s="259"/>
      <c r="D58" s="273"/>
      <c r="E58" s="352"/>
      <c r="F58" s="347"/>
      <c r="G58" s="349"/>
      <c r="H58" s="352"/>
    </row>
    <row r="59" spans="1:8">
      <c r="C59" s="348"/>
      <c r="D59" s="273"/>
      <c r="E59" s="352"/>
      <c r="F59" s="352"/>
      <c r="G59" s="349"/>
      <c r="H59" s="347"/>
    </row>
    <row r="60" spans="1:8">
      <c r="C60" s="259"/>
      <c r="E60" s="352"/>
      <c r="F60" s="352"/>
      <c r="H60" s="352"/>
    </row>
    <row r="61" spans="1:8">
      <c r="B61" s="273"/>
      <c r="C61" s="348"/>
      <c r="D61" s="273"/>
      <c r="E61" s="352"/>
      <c r="F61" s="352"/>
      <c r="G61" s="349"/>
      <c r="H61" s="347"/>
    </row>
    <row r="62" spans="1:8">
      <c r="C62" s="259"/>
      <c r="E62" s="352"/>
      <c r="F62" s="352"/>
      <c r="H62" s="352"/>
    </row>
    <row r="63" spans="1:8">
      <c r="C63" s="348"/>
      <c r="D63" s="273"/>
      <c r="E63" s="352"/>
      <c r="F63" s="352"/>
      <c r="G63" s="349"/>
      <c r="H63" s="347"/>
    </row>
    <row r="64" spans="1:8">
      <c r="C64" s="259"/>
      <c r="D64" s="273"/>
      <c r="E64" s="352"/>
      <c r="F64" s="352"/>
      <c r="H64" s="352"/>
    </row>
    <row r="65" spans="2:8">
      <c r="C65" s="348"/>
      <c r="D65" s="273"/>
      <c r="E65" s="352"/>
      <c r="F65" s="352"/>
      <c r="G65" s="349"/>
      <c r="H65" s="347"/>
    </row>
    <row r="66" spans="2:8">
      <c r="B66" s="273"/>
      <c r="C66" s="259"/>
      <c r="D66" s="273"/>
      <c r="E66" s="352"/>
      <c r="F66" s="352"/>
      <c r="H66" s="352"/>
    </row>
    <row r="67" spans="2:8">
      <c r="B67" s="273"/>
      <c r="C67" s="348"/>
      <c r="D67" s="273"/>
      <c r="E67" s="352"/>
      <c r="F67" s="352"/>
      <c r="G67" s="349"/>
      <c r="H67" s="347"/>
    </row>
    <row r="68" spans="2:8">
      <c r="C68" s="259"/>
      <c r="D68" s="273"/>
      <c r="E68" s="352"/>
      <c r="F68" s="352"/>
      <c r="G68" s="349"/>
      <c r="H68" s="347"/>
    </row>
    <row r="69" spans="2:8">
      <c r="C69" s="348"/>
      <c r="D69" s="273"/>
      <c r="E69" s="352"/>
      <c r="F69" s="352"/>
      <c r="G69" s="349"/>
      <c r="H69" s="347"/>
    </row>
    <row r="70" spans="2:8">
      <c r="C70" s="259"/>
      <c r="D70" s="273"/>
      <c r="F70" s="347"/>
      <c r="G70" s="349"/>
      <c r="H70" s="347"/>
    </row>
    <row r="71" spans="2:8">
      <c r="C71" s="348"/>
      <c r="D71" s="273"/>
      <c r="E71" s="352"/>
      <c r="F71" s="352"/>
      <c r="G71" s="349"/>
      <c r="H71" s="347"/>
    </row>
    <row r="72" spans="2:8">
      <c r="C72" s="259"/>
      <c r="D72" s="273"/>
      <c r="F72" s="347"/>
      <c r="G72" s="349"/>
      <c r="H72" s="347"/>
    </row>
    <row r="73" spans="2:8">
      <c r="C73" s="348"/>
      <c r="D73" s="273"/>
      <c r="E73" s="352"/>
      <c r="F73" s="352"/>
      <c r="G73" s="349"/>
      <c r="H73" s="347"/>
    </row>
    <row r="75" spans="2:8">
      <c r="C75" s="348"/>
      <c r="D75" s="273"/>
      <c r="E75" s="352"/>
      <c r="F75" s="352"/>
      <c r="G75" s="349"/>
      <c r="H75" s="347"/>
    </row>
    <row r="77" spans="2:8">
      <c r="C77" s="348"/>
      <c r="D77" s="273"/>
      <c r="E77" s="352"/>
      <c r="F77" s="352"/>
      <c r="G77" s="349"/>
      <c r="H77" s="347"/>
    </row>
    <row r="79" spans="2:8">
      <c r="C79" s="348"/>
      <c r="D79" s="273"/>
      <c r="E79" s="352"/>
      <c r="F79" s="352"/>
      <c r="G79" s="349"/>
      <c r="H79" s="347"/>
    </row>
    <row r="81" spans="3:8">
      <c r="C81" s="348"/>
      <c r="D81" s="273"/>
      <c r="E81" s="352"/>
      <c r="F81" s="352"/>
      <c r="G81" s="349"/>
      <c r="H81" s="347"/>
    </row>
    <row r="83" spans="3:8">
      <c r="C83" s="348"/>
      <c r="D83" s="273"/>
      <c r="E83" s="352"/>
      <c r="F83" s="352"/>
      <c r="G83" s="349"/>
      <c r="H83" s="347"/>
    </row>
    <row r="85" spans="3:8">
      <c r="C85" s="348"/>
      <c r="D85" s="273"/>
      <c r="E85" s="352"/>
      <c r="F85" s="352"/>
      <c r="G85" s="349"/>
      <c r="H85" s="347"/>
    </row>
    <row r="87" spans="3:8">
      <c r="C87" s="348"/>
      <c r="D87" s="273"/>
      <c r="E87" s="352"/>
      <c r="F87" s="352"/>
      <c r="G87" s="349"/>
      <c r="H87" s="347"/>
    </row>
    <row r="89" spans="3:8">
      <c r="C89" s="348"/>
      <c r="D89" s="273"/>
      <c r="E89" s="352"/>
      <c r="F89" s="352"/>
      <c r="G89" s="349"/>
      <c r="H89" s="347"/>
    </row>
    <row r="91" spans="3:8">
      <c r="C91" s="348"/>
      <c r="D91" s="273"/>
      <c r="E91" s="352"/>
      <c r="F91" s="352"/>
      <c r="G91" s="349"/>
      <c r="H91" s="347"/>
    </row>
    <row r="93" spans="3:8">
      <c r="C93" s="348"/>
      <c r="D93" s="273"/>
      <c r="E93" s="352"/>
      <c r="F93" s="352"/>
      <c r="G93" s="349"/>
      <c r="H93" s="347"/>
    </row>
    <row r="95" spans="3:8">
      <c r="C95" s="348"/>
      <c r="D95" s="273"/>
      <c r="E95" s="352"/>
      <c r="F95" s="352"/>
      <c r="G95" s="349"/>
      <c r="H95" s="347"/>
    </row>
    <row r="97" spans="3:8">
      <c r="C97" s="348"/>
      <c r="D97" s="273"/>
      <c r="E97" s="352"/>
      <c r="F97" s="352"/>
      <c r="G97" s="349"/>
      <c r="H97" s="347"/>
    </row>
    <row r="99" spans="3:8">
      <c r="C99" s="348"/>
      <c r="D99" s="273"/>
      <c r="E99" s="352"/>
      <c r="F99" s="352"/>
      <c r="G99" s="349"/>
      <c r="H99" s="347"/>
    </row>
    <row r="101" spans="3:8">
      <c r="C101" s="348"/>
      <c r="D101" s="273"/>
      <c r="E101" s="352"/>
      <c r="F101" s="352"/>
      <c r="G101" s="349"/>
      <c r="H101" s="347"/>
    </row>
    <row r="103" spans="3:8">
      <c r="C103" s="348"/>
      <c r="D103" s="273"/>
      <c r="E103" s="352"/>
      <c r="F103" s="352"/>
      <c r="G103" s="349"/>
      <c r="H103" s="347"/>
    </row>
  </sheetData>
  <mergeCells count="7">
    <mergeCell ref="E50:F50"/>
    <mergeCell ref="E52:F52"/>
    <mergeCell ref="E32:F32"/>
    <mergeCell ref="E30:F30"/>
    <mergeCell ref="E38:F38"/>
    <mergeCell ref="E40:F40"/>
    <mergeCell ref="E46:F46"/>
  </mergeCells>
  <hyperlinks>
    <hyperlink ref="C6" location="'Sch 1- Rate Base '!E6" display="Cell E6" xr:uid="{00000000-0004-0000-0000-000000000000}"/>
    <hyperlink ref="C13" location="'NLSL_Base_New-Calc'!A47" display="Cell A47" xr:uid="{00000000-0004-0000-0000-000001000000}"/>
    <hyperlink ref="C8" location="'Sch 1- Rate Base '!E7" display="Cell E7" xr:uid="{00000000-0004-0000-0000-000002000000}"/>
    <hyperlink ref="C18" location="'Above-RHWM_Base_Calc'!A47" display="Cell A47" xr:uid="{00000000-0004-0000-0000-000003000000}"/>
    <hyperlink ref="C26" location="'New Resources - Individual'!B3" display="Cell B3" xr:uid="{00000000-0004-0000-0000-000004000000}"/>
  </hyperlinks>
  <pageMargins left="0.25" right="0.25" top="0.75" bottom="0.75" header="0.3" footer="0.3"/>
  <pageSetup scale="63" orientation="landscape"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indexed="20"/>
  </sheetPr>
  <dimension ref="A1:D43"/>
  <sheetViews>
    <sheetView workbookViewId="0">
      <selection sqref="A1:B1"/>
    </sheetView>
  </sheetViews>
  <sheetFormatPr defaultRowHeight="15.75"/>
  <cols>
    <col min="1" max="1" width="5.5" customWidth="1"/>
    <col min="2" max="2" width="32.5" style="275" customWidth="1"/>
    <col min="3" max="4" width="9" style="275"/>
  </cols>
  <sheetData>
    <row r="1" spans="1:4">
      <c r="A1" s="3726" t="s">
        <v>855</v>
      </c>
      <c r="B1" s="3726"/>
    </row>
    <row r="2" spans="1:4">
      <c r="A2" s="3726" t="s">
        <v>708</v>
      </c>
      <c r="B2" s="3726"/>
      <c r="C2" s="273"/>
      <c r="D2" s="273"/>
    </row>
    <row r="4" spans="1:4">
      <c r="A4" s="264">
        <v>1</v>
      </c>
      <c r="B4" s="274" t="s">
        <v>684</v>
      </c>
    </row>
    <row r="5" spans="1:4">
      <c r="A5" s="278">
        <v>2</v>
      </c>
      <c r="B5" s="274" t="s">
        <v>688</v>
      </c>
    </row>
    <row r="6" spans="1:4">
      <c r="A6" s="266">
        <v>3</v>
      </c>
      <c r="B6" s="274" t="s">
        <v>689</v>
      </c>
    </row>
    <row r="7" spans="1:4">
      <c r="A7" s="267">
        <v>5</v>
      </c>
      <c r="B7" s="274" t="s">
        <v>690</v>
      </c>
    </row>
    <row r="8" spans="1:4">
      <c r="A8" s="268">
        <v>6</v>
      </c>
      <c r="B8" s="274" t="s">
        <v>691</v>
      </c>
    </row>
    <row r="9" spans="1:4">
      <c r="A9" s="269">
        <v>7</v>
      </c>
      <c r="B9" s="274" t="s">
        <v>692</v>
      </c>
    </row>
    <row r="10" spans="1:4">
      <c r="A10" s="270">
        <v>8</v>
      </c>
      <c r="B10" s="274" t="s">
        <v>693</v>
      </c>
    </row>
    <row r="11" spans="1:4">
      <c r="A11" s="265">
        <v>9</v>
      </c>
      <c r="B11" s="274" t="s">
        <v>687</v>
      </c>
    </row>
    <row r="12" spans="1:4">
      <c r="A12" s="263">
        <v>10</v>
      </c>
      <c r="B12" s="274" t="s">
        <v>694</v>
      </c>
    </row>
    <row r="13" spans="1:4">
      <c r="A13" s="153">
        <v>11</v>
      </c>
      <c r="B13" s="274" t="s">
        <v>695</v>
      </c>
    </row>
    <row r="14" spans="1:4">
      <c r="A14" s="284">
        <v>12</v>
      </c>
      <c r="B14" s="274" t="s">
        <v>696</v>
      </c>
    </row>
    <row r="15" spans="1:4">
      <c r="A15" s="283">
        <v>13</v>
      </c>
      <c r="B15" s="274" t="s">
        <v>697</v>
      </c>
    </row>
    <row r="16" spans="1:4">
      <c r="A16" s="283">
        <v>14</v>
      </c>
      <c r="B16" s="274" t="s">
        <v>751</v>
      </c>
    </row>
    <row r="17" spans="1:2">
      <c r="A17" s="281">
        <v>15</v>
      </c>
      <c r="B17" s="274" t="s">
        <v>698</v>
      </c>
    </row>
    <row r="18" spans="1:2">
      <c r="A18" s="282">
        <v>16</v>
      </c>
      <c r="B18" s="274" t="s">
        <v>699</v>
      </c>
    </row>
    <row r="19" spans="1:2">
      <c r="A19" s="279">
        <v>17</v>
      </c>
      <c r="B19" s="274" t="s">
        <v>700</v>
      </c>
    </row>
    <row r="20" spans="1:2">
      <c r="A20" s="271">
        <v>18</v>
      </c>
      <c r="B20" s="274" t="s">
        <v>701</v>
      </c>
    </row>
    <row r="21" spans="1:2">
      <c r="A21" s="271">
        <v>19</v>
      </c>
      <c r="B21" s="274" t="s">
        <v>781</v>
      </c>
    </row>
    <row r="22" spans="1:2">
      <c r="A22" s="280">
        <v>20</v>
      </c>
      <c r="B22" s="274" t="s">
        <v>703</v>
      </c>
    </row>
    <row r="23" spans="1:2">
      <c r="A23" s="280">
        <v>21</v>
      </c>
      <c r="B23" s="274" t="s">
        <v>752</v>
      </c>
    </row>
    <row r="24" spans="1:2">
      <c r="A24" s="272">
        <v>22</v>
      </c>
      <c r="B24" s="274" t="s">
        <v>702</v>
      </c>
    </row>
    <row r="35" spans="1:1">
      <c r="A35" s="273"/>
    </row>
    <row r="37" spans="1:1">
      <c r="A37" s="345"/>
    </row>
    <row r="43" spans="1:1">
      <c r="A43" s="345"/>
    </row>
  </sheetData>
  <mergeCells count="2">
    <mergeCell ref="A2:B2"/>
    <mergeCell ref="A1:B1"/>
  </mergeCells>
  <phoneticPr fontId="62" type="noConversion"/>
  <hyperlinks>
    <hyperlink ref="B4" location="'Sch 1- Rate Base '!A1" display="Schedule 1 - Rate Base" xr:uid="{00000000-0004-0000-0100-000000000000}"/>
    <hyperlink ref="B5" location="'Sch 1A - Cash Working Capital'!A1" display="Schedule 1A - Cash Working Capital" xr:uid="{00000000-0004-0000-0100-000001000000}"/>
    <hyperlink ref="B6" location="'Sch 2 -Rate of Return'!A1" display="Schedule 2 -Rate of Return" xr:uid="{00000000-0004-0000-0100-000002000000}"/>
    <hyperlink ref="B7" location="'Sch 3 - Expenses'!A1" display="Schedule 3 - Expenses" xr:uid="{00000000-0004-0000-0100-000003000000}"/>
    <hyperlink ref="B8" location="'Sch 3A - Taxes'!A1" display="Schedule 3A - Taxes" xr:uid="{00000000-0004-0000-0100-000004000000}"/>
    <hyperlink ref="B9" location="'Sch 3B - Other Items'!A1" display="Schedule 3B - Other Items" xr:uid="{00000000-0004-0000-0100-000005000000}"/>
    <hyperlink ref="B10" location="'Sch 4 - Average System Cost'!A1" display="Schedule 4 - Average System Cost" xr:uid="{00000000-0004-0000-0100-000006000000}"/>
    <hyperlink ref="B11" location="'3-YEAR PP &amp; OSS Worksheet'!A1" display="3-YEAR PP &amp; OSS Worksheet" xr:uid="{00000000-0004-0000-0100-000007000000}"/>
    <hyperlink ref="B12" location="'Load Forecast'!A1" display="Load Forecast" xr:uid="{00000000-0004-0000-0100-000008000000}"/>
    <hyperlink ref="B13" location="'Distribution Loss Calc'!A1" display="Distribution Loss Calc" xr:uid="{00000000-0004-0000-0100-000009000000}"/>
    <hyperlink ref="B14" location="Salaries!A1" display="Salaries" xr:uid="{00000000-0004-0000-0100-00000A000000}"/>
    <hyperlink ref="B15" location="Ratios!A1" display="Ratios" xr:uid="{00000000-0004-0000-0100-00000B000000}"/>
    <hyperlink ref="B17" location="'New Resources - Individual'!A1" display="New Resources- Individual" xr:uid="{00000000-0004-0000-0100-00000C000000}"/>
    <hyperlink ref="B18" location="'New Resources - Group'!A1" display="New Resources-Group" xr:uid="{00000000-0004-0000-0100-00000D000000}"/>
    <hyperlink ref="B19" location="'Materiality - Individual'!A1" display="Materiality - Individual" xr:uid="{00000000-0004-0000-0100-00000E000000}"/>
    <hyperlink ref="B20" location="'Materiality -  Group'!A1" display="Materiality - Group" xr:uid="{00000000-0004-0000-0100-00000F000000}"/>
    <hyperlink ref="B22" location="'NLSL_Base_New-Calc'!A1" display="NLSL Base New Calculation" xr:uid="{00000000-0004-0000-0100-000010000000}"/>
    <hyperlink ref="B24" location="'Tiered Rates'!A1" display="Tiered Rates" xr:uid="{00000000-0004-0000-0100-000011000000}"/>
    <hyperlink ref="B16" location="'A-RHWM_Ratios'!A1" display="A-RHWM Ratios" xr:uid="{00000000-0004-0000-0100-000012000000}"/>
    <hyperlink ref="B23" location="'Above-RHWM_Base_Calc'!A1" display="Above-RHWM Base Calc" xr:uid="{00000000-0004-0000-0100-000013000000}"/>
    <hyperlink ref="B21" location="Wind_Resources_Costs!A1" display="Wind_Resources_Costs" xr:uid="{00000000-0004-0000-0100-000014000000}"/>
  </hyperlinks>
  <pageMargins left="0.75" right="0.75" top="1" bottom="1" header="0.5" footer="0.5"/>
  <pageSetup orientation="portrait" r:id="rId1"/>
  <headerFooter alignWithMargins="0">
    <oddFooter>&amp;LFY 2026-2028 ASC Filing
&amp;CPages &amp;P of &amp;N&amp;R&amp;A
&amp;D</oddFooter>
  </headerFooter>
  <customProperties>
    <customPr name="_pios_id" r:id="rId2"/>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43"/>
  </sheetPr>
  <dimension ref="A1:Q565"/>
  <sheetViews>
    <sheetView zoomScaleNormal="100" workbookViewId="0">
      <pane ySplit="14" topLeftCell="A89" activePane="bottomLeft" state="frozen"/>
      <selection pane="bottomLeft" activeCell="O7" sqref="O7"/>
    </sheetView>
  </sheetViews>
  <sheetFormatPr defaultColWidth="9" defaultRowHeight="15" customHeight="1"/>
  <cols>
    <col min="1" max="1" width="6.125" style="546" customWidth="1"/>
    <col min="2" max="2" width="43.5" style="546" bestFit="1" customWidth="1"/>
    <col min="3" max="3" width="6.375" style="547" bestFit="1" customWidth="1"/>
    <col min="4" max="4" width="19.125" style="547" bestFit="1" customWidth="1"/>
    <col min="5" max="5" width="6" style="546" bestFit="1" customWidth="1"/>
    <col min="6" max="6" width="8.375" style="546" bestFit="1" customWidth="1"/>
    <col min="7" max="7" width="12" style="2137" bestFit="1" customWidth="1"/>
    <col min="8" max="9" width="11.25" style="2137" bestFit="1" customWidth="1"/>
    <col min="10" max="10" width="11" style="2137" customWidth="1"/>
    <col min="11" max="11" width="2.25" style="1926" customWidth="1"/>
    <col min="12" max="12" width="9.5" style="546" bestFit="1" customWidth="1"/>
    <col min="13" max="13" width="10.5" style="546" bestFit="1" customWidth="1"/>
    <col min="14" max="14" width="9.375" style="546" bestFit="1" customWidth="1"/>
    <col min="15" max="15" width="8.125" style="546" customWidth="1"/>
    <col min="16" max="16" width="0.875" style="546" customWidth="1"/>
    <col min="17" max="17" width="12.125" style="546" customWidth="1"/>
    <col min="18" max="16384" width="9" style="546"/>
  </cols>
  <sheetData>
    <row r="1" spans="1:16" ht="19.5" customHeight="1" thickTop="1">
      <c r="A1" s="3727" t="s">
        <v>54</v>
      </c>
      <c r="B1" s="3728"/>
      <c r="C1" s="3728"/>
      <c r="D1" s="3728"/>
      <c r="E1" s="3728"/>
      <c r="F1" s="3728"/>
      <c r="G1" s="3728"/>
      <c r="H1" s="3728"/>
      <c r="I1" s="3728"/>
      <c r="J1" s="3729"/>
      <c r="K1" s="1041"/>
      <c r="L1" s="975"/>
    </row>
    <row r="2" spans="1:16" ht="19.5" customHeight="1">
      <c r="A2" s="3739" t="s">
        <v>226</v>
      </c>
      <c r="B2" s="3740"/>
      <c r="C2" s="3740"/>
      <c r="D2" s="3740"/>
      <c r="E2" s="3740"/>
      <c r="F2" s="3740"/>
      <c r="G2" s="3740"/>
      <c r="H2" s="3740"/>
      <c r="I2" s="3740"/>
      <c r="J2" s="3741"/>
      <c r="K2" s="1041"/>
      <c r="L2" s="975"/>
    </row>
    <row r="3" spans="1:16" ht="17.25" customHeight="1">
      <c r="A3" s="3736" t="s">
        <v>709</v>
      </c>
      <c r="B3" s="3737"/>
      <c r="C3" s="3737"/>
      <c r="D3" s="3737"/>
      <c r="E3" s="3737"/>
      <c r="F3" s="3737"/>
      <c r="G3" s="3737"/>
      <c r="H3" s="3737"/>
      <c r="I3" s="3737"/>
      <c r="J3" s="3738"/>
      <c r="K3" s="1041"/>
      <c r="L3" s="975"/>
    </row>
    <row r="4" spans="1:16" ht="15" customHeight="1" thickBot="1">
      <c r="A4" s="2138"/>
      <c r="B4" s="2139"/>
      <c r="C4" s="2139"/>
      <c r="D4" s="2139"/>
      <c r="E4" s="2139"/>
      <c r="F4" s="2139"/>
      <c r="G4" s="2139"/>
      <c r="H4" s="2139"/>
      <c r="J4" s="2140"/>
      <c r="K4" s="1041"/>
      <c r="L4" s="975"/>
    </row>
    <row r="5" spans="1:16" ht="15.75" customHeight="1">
      <c r="A5" s="2141" t="s">
        <v>685</v>
      </c>
      <c r="B5" s="2142"/>
      <c r="C5" s="2143"/>
      <c r="D5" s="2144" t="s">
        <v>571</v>
      </c>
      <c r="E5" s="3742" t="s">
        <v>6686</v>
      </c>
      <c r="F5" s="3743"/>
      <c r="G5" s="3744"/>
      <c r="H5" s="2143"/>
      <c r="I5" s="2145" t="s">
        <v>707</v>
      </c>
      <c r="J5" s="2146"/>
      <c r="K5" s="1041"/>
      <c r="L5" s="975"/>
    </row>
    <row r="6" spans="1:16" ht="15.75" customHeight="1">
      <c r="A6" s="2147" t="s">
        <v>686</v>
      </c>
      <c r="B6" s="2142"/>
      <c r="C6" s="2143"/>
      <c r="D6" s="2144" t="s">
        <v>572</v>
      </c>
      <c r="E6" s="3745">
        <v>2023</v>
      </c>
      <c r="F6" s="3746"/>
      <c r="G6" s="3747"/>
      <c r="H6" s="2148"/>
      <c r="I6" s="2149" t="s">
        <v>713</v>
      </c>
      <c r="J6" s="2146"/>
      <c r="K6" s="1041"/>
      <c r="L6" s="975"/>
    </row>
    <row r="7" spans="1:16" ht="15.75" customHeight="1" thickBot="1">
      <c r="A7" s="2150"/>
      <c r="B7" s="2143"/>
      <c r="C7" s="2143"/>
      <c r="D7" s="2144" t="s">
        <v>573</v>
      </c>
      <c r="E7" s="3748">
        <v>45474</v>
      </c>
      <c r="F7" s="3749"/>
      <c r="G7" s="3750"/>
      <c r="H7" s="2148"/>
      <c r="I7" s="2151" t="s">
        <v>713</v>
      </c>
      <c r="J7" s="2146"/>
      <c r="K7" s="1041"/>
      <c r="L7" s="975"/>
    </row>
    <row r="8" spans="1:16" ht="9.75" customHeight="1">
      <c r="A8" s="2150"/>
      <c r="B8" s="2152"/>
      <c r="C8" s="2153"/>
      <c r="D8" s="2153"/>
      <c r="E8" s="2152"/>
      <c r="F8" s="2152"/>
      <c r="G8" s="2154"/>
      <c r="H8" s="2155"/>
      <c r="I8" s="2155"/>
      <c r="J8" s="2156"/>
      <c r="K8" s="1041"/>
      <c r="L8" s="975"/>
    </row>
    <row r="9" spans="1:16" ht="2.1" customHeight="1">
      <c r="A9" s="2150"/>
      <c r="B9" s="2152"/>
      <c r="C9" s="2153"/>
      <c r="D9" s="2153"/>
      <c r="E9" s="2152"/>
      <c r="F9" s="2152"/>
      <c r="G9" s="2154"/>
      <c r="H9" s="2155"/>
      <c r="I9" s="2155"/>
      <c r="J9" s="2156"/>
      <c r="K9" s="1041"/>
      <c r="L9" s="975"/>
    </row>
    <row r="10" spans="1:16" ht="15.75" customHeight="1">
      <c r="A10" s="3754" t="s">
        <v>323</v>
      </c>
      <c r="B10" s="3755"/>
      <c r="C10" s="3755"/>
      <c r="D10" s="3755"/>
      <c r="E10" s="3755"/>
      <c r="F10" s="3755"/>
      <c r="G10" s="3755"/>
      <c r="H10" s="3755"/>
      <c r="I10" s="3755"/>
      <c r="J10" s="3756"/>
      <c r="K10" s="1041"/>
      <c r="L10" s="975"/>
    </row>
    <row r="11" spans="1:16" ht="11.25" customHeight="1" thickBot="1">
      <c r="A11" s="2157"/>
      <c r="B11" s="2158"/>
      <c r="C11" s="2159"/>
      <c r="D11" s="2159"/>
      <c r="E11" s="2158"/>
      <c r="F11" s="2158"/>
      <c r="G11" s="2158"/>
      <c r="H11" s="2158"/>
      <c r="I11" s="2158"/>
      <c r="J11" s="2160"/>
      <c r="K11" s="1041"/>
      <c r="L11" s="975"/>
    </row>
    <row r="12" spans="1:16" ht="15" customHeight="1" thickBot="1">
      <c r="A12" s="3730" t="s">
        <v>100</v>
      </c>
      <c r="B12" s="3731"/>
      <c r="C12" s="2161" t="s">
        <v>274</v>
      </c>
      <c r="D12" s="2079"/>
      <c r="E12" s="2162" t="s">
        <v>350</v>
      </c>
      <c r="F12" s="2163"/>
      <c r="G12" s="3734" t="s">
        <v>104</v>
      </c>
      <c r="H12" s="3734" t="s">
        <v>105</v>
      </c>
      <c r="I12" s="3734" t="s">
        <v>106</v>
      </c>
      <c r="J12" s="3758" t="s">
        <v>716</v>
      </c>
      <c r="K12" s="1041"/>
      <c r="L12" s="3734" t="s">
        <v>105</v>
      </c>
      <c r="M12" s="3734" t="s">
        <v>106</v>
      </c>
      <c r="N12" s="2080"/>
    </row>
    <row r="13" spans="1:16" ht="15" customHeight="1" thickBot="1">
      <c r="A13" s="3732"/>
      <c r="B13" s="3733"/>
      <c r="C13" s="2164" t="s">
        <v>270</v>
      </c>
      <c r="D13" s="2164" t="s">
        <v>96</v>
      </c>
      <c r="E13" s="2165" t="s">
        <v>449</v>
      </c>
      <c r="F13" s="2166"/>
      <c r="G13" s="3735"/>
      <c r="H13" s="3735"/>
      <c r="I13" s="3735"/>
      <c r="J13" s="3759"/>
      <c r="K13" s="2081"/>
      <c r="L13" s="3735"/>
      <c r="M13" s="3735"/>
      <c r="N13" s="2167" t="s">
        <v>98</v>
      </c>
    </row>
    <row r="14" spans="1:16" ht="15" customHeight="1" thickBot="1">
      <c r="A14" s="3732"/>
      <c r="B14" s="3733"/>
      <c r="C14" s="2164" t="s">
        <v>271</v>
      </c>
      <c r="D14" s="2164" t="s">
        <v>250</v>
      </c>
      <c r="E14" s="2164" t="s">
        <v>348</v>
      </c>
      <c r="F14" s="2164" t="s">
        <v>349</v>
      </c>
      <c r="G14" s="3735"/>
      <c r="H14" s="3735"/>
      <c r="I14" s="3735"/>
      <c r="J14" s="3760"/>
      <c r="K14" s="2082"/>
      <c r="L14" s="3757"/>
      <c r="M14" s="3757"/>
      <c r="N14" s="2168" t="s">
        <v>107</v>
      </c>
    </row>
    <row r="15" spans="1:16" ht="15" customHeight="1" thickTop="1">
      <c r="A15" s="2169" t="s">
        <v>472</v>
      </c>
      <c r="B15" s="2083"/>
      <c r="C15" s="2084"/>
      <c r="D15" s="2084"/>
      <c r="E15" s="2084"/>
      <c r="F15" s="2084"/>
      <c r="G15" s="2085"/>
      <c r="H15" s="2085"/>
      <c r="I15" s="2085"/>
      <c r="J15" s="2086"/>
      <c r="K15" s="1041"/>
      <c r="L15" s="2087"/>
      <c r="M15" s="2136"/>
      <c r="N15" s="2136"/>
    </row>
    <row r="16" spans="1:16" ht="15" customHeight="1">
      <c r="A16" s="2088"/>
      <c r="B16" s="2103" t="s">
        <v>145</v>
      </c>
      <c r="C16" s="2170" t="s">
        <v>70</v>
      </c>
      <c r="D16" s="2171">
        <v>301</v>
      </c>
      <c r="E16" s="2171" t="s">
        <v>390</v>
      </c>
      <c r="F16" s="2171" t="s">
        <v>97</v>
      </c>
      <c r="G16" s="2172">
        <f>'FERC p204-207 Electric Plant'!H13</f>
        <v>114202</v>
      </c>
      <c r="H16" s="2173">
        <f>VLOOKUP($E16,Ratio,2,FALSE)*$G16</f>
        <v>0</v>
      </c>
      <c r="I16" s="2173">
        <f>VLOOKUP($E16,Ratio,3,FALSE)*$G16</f>
        <v>0</v>
      </c>
      <c r="J16" s="2174">
        <f>VLOOKUP($E16,Ratio,4,FALSE)*$G16</f>
        <v>114202</v>
      </c>
      <c r="K16" s="2089"/>
      <c r="L16" s="2136"/>
      <c r="M16" s="2136"/>
      <c r="N16" s="2136"/>
      <c r="O16" s="2087"/>
      <c r="P16" s="2078"/>
    </row>
    <row r="17" spans="1:16" ht="15" customHeight="1">
      <c r="A17" s="2088"/>
      <c r="B17" s="2103" t="s">
        <v>146</v>
      </c>
      <c r="C17" s="2170" t="s">
        <v>70</v>
      </c>
      <c r="D17" s="2171">
        <v>302</v>
      </c>
      <c r="E17" s="2171" t="s">
        <v>90</v>
      </c>
      <c r="F17" s="2171" t="s">
        <v>99</v>
      </c>
      <c r="G17" s="2172">
        <f>'FERC p204-207 Electric Plant'!H14</f>
        <v>80196650</v>
      </c>
      <c r="H17" s="2173">
        <f>IF($E17="DIRECT",$L17,VLOOKUP($E17,Ratio,2,FALSE)*$G17)</f>
        <v>55817303.479669861</v>
      </c>
      <c r="I17" s="2173">
        <f>IF($E17="DIRECT",$M17,VLOOKUP($E17,Ratio,3,FALSE)*$G17)</f>
        <v>0</v>
      </c>
      <c r="J17" s="2174">
        <f>IF($E17="DIRECT",$N17,VLOOKUP($E17,Ratio,4,FALSE)*$G17)</f>
        <v>24379345.720330127</v>
      </c>
      <c r="K17" s="2089"/>
      <c r="L17" s="2172">
        <f>'E Intangible_Summary'!G12</f>
        <v>55817303.479669861</v>
      </c>
      <c r="M17" s="2172">
        <f>'E Intangible_Summary'!H12</f>
        <v>0</v>
      </c>
      <c r="N17" s="2172">
        <f>'E Intangible_Summary'!I12</f>
        <v>24379345.720330127</v>
      </c>
      <c r="O17" s="2087"/>
      <c r="P17" s="2078"/>
    </row>
    <row r="18" spans="1:16" ht="15" customHeight="1">
      <c r="A18" s="2088"/>
      <c r="B18" s="2103" t="s">
        <v>147</v>
      </c>
      <c r="C18" s="2170" t="s">
        <v>70</v>
      </c>
      <c r="D18" s="2171">
        <v>303</v>
      </c>
      <c r="E18" s="2171" t="s">
        <v>90</v>
      </c>
      <c r="F18" s="2171" t="s">
        <v>390</v>
      </c>
      <c r="G18" s="2172">
        <f>'FERC p204-207 Electric Plant'!H15</f>
        <v>75530269</v>
      </c>
      <c r="H18" s="2173">
        <f>IF($E18="DIRECT",$L18,VLOOKUP($E18,Ratio,2,FALSE)*$G18)</f>
        <v>10321488.568474432</v>
      </c>
      <c r="I18" s="2173">
        <f>IF($E18="DIRECT",$M18,VLOOKUP($E18,Ratio,3,FALSE)*$G18)</f>
        <v>0</v>
      </c>
      <c r="J18" s="2174">
        <f>IF($E18="DIRECT",$N18,VLOOKUP($E18,Ratio,4,FALSE)*$G18)</f>
        <v>65208779.001525573</v>
      </c>
      <c r="K18" s="2089"/>
      <c r="L18" s="2172">
        <f>'E Intangible_Summary'!G19</f>
        <v>10321488.568474432</v>
      </c>
      <c r="M18" s="2172">
        <f>'E Intangible_Summary'!H19</f>
        <v>0</v>
      </c>
      <c r="N18" s="2172">
        <f>'E Intangible_Summary'!I19</f>
        <v>65208779.001525573</v>
      </c>
      <c r="O18" s="2087"/>
      <c r="P18" s="2078"/>
    </row>
    <row r="19" spans="1:16" ht="15" customHeight="1">
      <c r="A19" s="2091" t="s">
        <v>438</v>
      </c>
      <c r="B19" s="2100"/>
      <c r="C19" s="2175"/>
      <c r="D19" s="2176"/>
      <c r="E19" s="2176"/>
      <c r="F19" s="2177"/>
      <c r="G19" s="2178">
        <f>SUM(G16:G18)</f>
        <v>155841121</v>
      </c>
      <c r="H19" s="2179">
        <f>SUM(H16:H18)</f>
        <v>66138792.048144296</v>
      </c>
      <c r="I19" s="2179">
        <f>SUM(I16:I18)</f>
        <v>0</v>
      </c>
      <c r="J19" s="2180">
        <f>SUM(J16:J18)</f>
        <v>89702326.7218557</v>
      </c>
      <c r="K19" s="2089"/>
      <c r="L19" s="2090"/>
      <c r="M19" s="2129"/>
      <c r="N19" s="2129"/>
      <c r="O19" s="2078"/>
      <c r="P19" s="2078"/>
    </row>
    <row r="20" spans="1:16" ht="8.1" customHeight="1">
      <c r="A20" s="2091"/>
      <c r="B20" s="2100"/>
      <c r="C20" s="2098"/>
      <c r="D20" s="2098"/>
      <c r="E20" s="2098"/>
      <c r="F20" s="2098"/>
      <c r="G20" s="2117"/>
      <c r="H20" s="2181"/>
      <c r="I20" s="2182"/>
      <c r="J20" s="2183"/>
      <c r="K20" s="2089"/>
      <c r="L20" s="2090"/>
      <c r="M20" s="2129"/>
      <c r="N20" s="2129"/>
      <c r="O20" s="2078"/>
      <c r="P20" s="2078"/>
    </row>
    <row r="21" spans="1:16" ht="15" customHeight="1">
      <c r="A21" s="2102" t="s">
        <v>110</v>
      </c>
      <c r="B21" s="2184"/>
      <c r="C21" s="2098"/>
      <c r="D21" s="2098"/>
      <c r="E21" s="2087"/>
      <c r="F21" s="2087"/>
      <c r="G21" s="2087"/>
      <c r="H21" s="2182"/>
      <c r="I21" s="2182"/>
      <c r="J21" s="2183"/>
      <c r="K21" s="1041"/>
      <c r="L21" s="2087"/>
      <c r="M21" s="2136"/>
      <c r="N21" s="2136"/>
    </row>
    <row r="22" spans="1:16" ht="15" customHeight="1">
      <c r="A22" s="2092"/>
      <c r="B22" s="2185" t="s">
        <v>111</v>
      </c>
      <c r="C22" s="2170" t="s">
        <v>70</v>
      </c>
      <c r="D22" s="2171" t="s">
        <v>813</v>
      </c>
      <c r="E22" s="2171" t="s">
        <v>392</v>
      </c>
      <c r="F22" s="2171"/>
      <c r="G22" s="2172">
        <f>'FERC p204-207 Electric Plant'!H27</f>
        <v>1034308926</v>
      </c>
      <c r="H22" s="2173">
        <f>VLOOKUP($E22,Ratio,2,FALSE)*$G22</f>
        <v>1034308926</v>
      </c>
      <c r="I22" s="2173">
        <f>VLOOKUP($E22,Ratio,3,FALSE)*$G22</f>
        <v>0</v>
      </c>
      <c r="J22" s="2174">
        <f>VLOOKUP($E22,Ratio,4,FALSE)*$G22</f>
        <v>0</v>
      </c>
      <c r="K22" s="2089"/>
      <c r="L22" s="2090"/>
      <c r="M22" s="2093"/>
      <c r="N22" s="2093"/>
    </row>
    <row r="23" spans="1:16" ht="15" customHeight="1">
      <c r="A23" s="2092"/>
      <c r="B23" s="2185" t="s">
        <v>113</v>
      </c>
      <c r="C23" s="2170" t="s">
        <v>70</v>
      </c>
      <c r="D23" s="2171" t="s">
        <v>814</v>
      </c>
      <c r="E23" s="2171" t="s">
        <v>392</v>
      </c>
      <c r="F23" s="2171"/>
      <c r="G23" s="2172">
        <f>'FERC p204-207 Electric Plant'!H36</f>
        <v>0</v>
      </c>
      <c r="H23" s="2173">
        <f>VLOOKUP($E23,Ratio,2,FALSE)*$G23</f>
        <v>0</v>
      </c>
      <c r="I23" s="2173">
        <f>VLOOKUP($E23,Ratio,3,FALSE)*$G23</f>
        <v>0</v>
      </c>
      <c r="J23" s="2174">
        <f>VLOOKUP($E23,Ratio,4,FALSE)*$G23</f>
        <v>0</v>
      </c>
      <c r="K23" s="2089"/>
      <c r="L23" s="2090"/>
      <c r="M23" s="2094"/>
      <c r="N23" s="2095"/>
      <c r="O23" s="2078"/>
      <c r="P23" s="2078"/>
    </row>
    <row r="24" spans="1:16" ht="15" customHeight="1">
      <c r="A24" s="2092"/>
      <c r="B24" s="2185" t="s">
        <v>115</v>
      </c>
      <c r="C24" s="2170" t="s">
        <v>70</v>
      </c>
      <c r="D24" s="2171" t="s">
        <v>815</v>
      </c>
      <c r="E24" s="2171" t="s">
        <v>392</v>
      </c>
      <c r="F24" s="2171"/>
      <c r="G24" s="2172">
        <f>'FERC p204-207 Electric Plant'!H46</f>
        <v>788941762</v>
      </c>
      <c r="H24" s="2173">
        <f>VLOOKUP($E24,Ratio,2,FALSE)*$G24</f>
        <v>788941762</v>
      </c>
      <c r="I24" s="2173">
        <f>VLOOKUP($E24,Ratio,3,FALSE)*$G24</f>
        <v>0</v>
      </c>
      <c r="J24" s="2174">
        <f>VLOOKUP($E24,Ratio,4,FALSE)*$G24</f>
        <v>0</v>
      </c>
      <c r="K24" s="2089"/>
      <c r="L24" s="2090"/>
      <c r="M24" s="2129"/>
      <c r="N24" s="2129"/>
      <c r="O24" s="2078"/>
      <c r="P24" s="2078"/>
    </row>
    <row r="25" spans="1:16" ht="15" customHeight="1">
      <c r="A25" s="2092"/>
      <c r="B25" s="2185" t="s">
        <v>117</v>
      </c>
      <c r="C25" s="2170" t="s">
        <v>70</v>
      </c>
      <c r="D25" s="2171" t="s">
        <v>859</v>
      </c>
      <c r="E25" s="2171" t="s">
        <v>392</v>
      </c>
      <c r="F25" s="2171"/>
      <c r="G25" s="2172">
        <f>'FERC p204-207 Electric Plant'!H57</f>
        <v>2079134143</v>
      </c>
      <c r="H25" s="2173">
        <f>VLOOKUP($E25,Ratio,2,FALSE)*$G25</f>
        <v>2079134143</v>
      </c>
      <c r="I25" s="2173">
        <f>VLOOKUP($E25,Ratio,3,FALSE)*$G25</f>
        <v>0</v>
      </c>
      <c r="J25" s="2174">
        <f>VLOOKUP($E25,Ratio,4,FALSE)*$G25</f>
        <v>0</v>
      </c>
      <c r="K25" s="2089"/>
      <c r="L25" s="2090"/>
      <c r="M25" s="2129"/>
      <c r="N25" s="2129"/>
      <c r="O25" s="2078"/>
      <c r="P25" s="2078"/>
    </row>
    <row r="26" spans="1:16" ht="15" customHeight="1">
      <c r="A26" s="2091" t="s">
        <v>119</v>
      </c>
      <c r="B26" s="2100"/>
      <c r="C26" s="2175"/>
      <c r="D26" s="2176"/>
      <c r="E26" s="2176"/>
      <c r="F26" s="2177"/>
      <c r="G26" s="2186">
        <f>SUM(G22:G25)</f>
        <v>3902384831</v>
      </c>
      <c r="H26" s="2187">
        <f>SUM(H22:H25)</f>
        <v>3902384831</v>
      </c>
      <c r="I26" s="2188">
        <f>SUM(I22:I25)</f>
        <v>0</v>
      </c>
      <c r="J26" s="2189">
        <f>SUM(J22:J25)</f>
        <v>0</v>
      </c>
      <c r="K26" s="2089"/>
      <c r="L26" s="2090"/>
      <c r="M26" s="2129"/>
      <c r="N26" s="2129"/>
      <c r="O26" s="2078"/>
      <c r="P26" s="2078"/>
    </row>
    <row r="27" spans="1:16" ht="8.1" customHeight="1">
      <c r="A27" s="2091"/>
      <c r="B27" s="2100"/>
      <c r="C27" s="2098"/>
      <c r="D27" s="2098"/>
      <c r="E27" s="2098"/>
      <c r="F27" s="2098"/>
      <c r="G27" s="2190"/>
      <c r="H27" s="2182"/>
      <c r="I27" s="2182"/>
      <c r="J27" s="2183"/>
      <c r="K27" s="2089"/>
      <c r="L27" s="2090"/>
      <c r="M27" s="2129"/>
      <c r="N27" s="2129"/>
    </row>
    <row r="28" spans="1:16" ht="15" customHeight="1">
      <c r="A28" s="2102" t="s">
        <v>97</v>
      </c>
      <c r="B28" s="2103"/>
      <c r="C28" s="2098"/>
      <c r="D28" s="2098"/>
      <c r="E28" s="2087"/>
      <c r="F28" s="2087"/>
      <c r="G28" s="2087"/>
      <c r="H28" s="2182"/>
      <c r="I28" s="2182"/>
      <c r="J28" s="2183"/>
      <c r="K28" s="2089"/>
      <c r="L28" s="2090"/>
      <c r="M28" s="2129"/>
      <c r="N28" s="2129"/>
    </row>
    <row r="29" spans="1:16" ht="15" customHeight="1">
      <c r="A29" s="2092"/>
      <c r="B29" s="2185" t="s">
        <v>496</v>
      </c>
      <c r="C29" s="2191" t="s">
        <v>70</v>
      </c>
      <c r="D29" s="2192" t="s">
        <v>816</v>
      </c>
      <c r="E29" s="2171" t="s">
        <v>391</v>
      </c>
      <c r="F29" s="2171"/>
      <c r="G29" s="2193">
        <f>'FERC p204-207 Electric Plant'!H76</f>
        <v>1992381238</v>
      </c>
      <c r="H29" s="2173">
        <f>VLOOKUP($E29,Ratio,2,FALSE)*$G29</f>
        <v>0</v>
      </c>
      <c r="I29" s="2173">
        <f>VLOOKUP($E29,Ratio,3,FALSE)*$G29</f>
        <v>0</v>
      </c>
      <c r="J29" s="2174">
        <f>VLOOKUP($E29,Ratio,4,FALSE)*$G29</f>
        <v>1992381238</v>
      </c>
      <c r="K29" s="2089"/>
      <c r="L29" s="2090"/>
      <c r="M29" s="2129"/>
      <c r="N29" s="2129"/>
      <c r="O29" s="2078"/>
      <c r="P29" s="2078"/>
    </row>
    <row r="30" spans="1:16" ht="15" customHeight="1">
      <c r="A30" s="2091" t="s">
        <v>121</v>
      </c>
      <c r="B30" s="2100"/>
      <c r="C30" s="2194"/>
      <c r="D30" s="2195"/>
      <c r="E30" s="2176"/>
      <c r="F30" s="2177"/>
      <c r="G30" s="2186">
        <f>SUM(G29)</f>
        <v>1992381238</v>
      </c>
      <c r="H30" s="2188">
        <f>SUM(H29)</f>
        <v>0</v>
      </c>
      <c r="I30" s="2179">
        <f>SUM(I29)</f>
        <v>0</v>
      </c>
      <c r="J30" s="2189">
        <f>SUM(J29)</f>
        <v>1992381238</v>
      </c>
      <c r="K30" s="2089"/>
      <c r="L30" s="2090"/>
      <c r="M30" s="2129"/>
      <c r="N30" s="2129"/>
      <c r="O30" s="2078"/>
      <c r="P30" s="2078"/>
    </row>
    <row r="31" spans="1:16" ht="8.1" customHeight="1">
      <c r="A31" s="2091"/>
      <c r="B31" s="2100"/>
      <c r="C31" s="2098"/>
      <c r="D31" s="2098"/>
      <c r="E31" s="2098"/>
      <c r="F31" s="2098"/>
      <c r="G31" s="2117"/>
      <c r="H31" s="2182"/>
      <c r="I31" s="2182"/>
      <c r="J31" s="2183"/>
      <c r="K31" s="2089"/>
      <c r="L31" s="2090"/>
      <c r="M31" s="2129"/>
      <c r="N31" s="2129"/>
      <c r="O31" s="2078"/>
      <c r="P31" s="2078"/>
    </row>
    <row r="32" spans="1:16" ht="15" customHeight="1">
      <c r="A32" s="2102" t="s">
        <v>471</v>
      </c>
      <c r="B32" s="2103"/>
      <c r="C32" s="2098"/>
      <c r="D32" s="2098"/>
      <c r="E32" s="2087"/>
      <c r="F32" s="2087"/>
      <c r="G32" s="2087"/>
      <c r="H32" s="2182"/>
      <c r="I32" s="2182"/>
      <c r="J32" s="2183"/>
      <c r="K32" s="2089"/>
      <c r="L32" s="2090"/>
      <c r="M32" s="2129"/>
      <c r="N32" s="2129"/>
    </row>
    <row r="33" spans="1:17" ht="15" customHeight="1">
      <c r="A33" s="2092"/>
      <c r="B33" s="2185" t="s">
        <v>140</v>
      </c>
      <c r="C33" s="2170" t="s">
        <v>70</v>
      </c>
      <c r="D33" s="2171" t="s">
        <v>817</v>
      </c>
      <c r="E33" s="2171" t="s">
        <v>390</v>
      </c>
      <c r="F33" s="2171"/>
      <c r="G33" s="2193">
        <f>'FERC p204-207 Electric Plant'!H93</f>
        <v>5283922742</v>
      </c>
      <c r="H33" s="2173">
        <f>VLOOKUP($E33,Ratio,2,FALSE)*$G33</f>
        <v>0</v>
      </c>
      <c r="I33" s="2173">
        <f>VLOOKUP($E33,Ratio,3,FALSE)*$G33</f>
        <v>0</v>
      </c>
      <c r="J33" s="2174">
        <f>VLOOKUP($E33,Ratio,4,FALSE)*$G33</f>
        <v>5283922742</v>
      </c>
      <c r="K33" s="2089"/>
      <c r="L33" s="2090"/>
      <c r="M33" s="2129"/>
      <c r="N33" s="2129"/>
      <c r="O33" s="2078"/>
      <c r="P33" s="2078"/>
    </row>
    <row r="34" spans="1:17" ht="15" customHeight="1">
      <c r="A34" s="2196" t="s">
        <v>122</v>
      </c>
      <c r="B34" s="2103"/>
      <c r="C34" s="2175"/>
      <c r="D34" s="2176"/>
      <c r="E34" s="2176"/>
      <c r="F34" s="2177"/>
      <c r="G34" s="2186">
        <f>SUM(G33)</f>
        <v>5283922742</v>
      </c>
      <c r="H34" s="2179">
        <f>SUM(H33)</f>
        <v>0</v>
      </c>
      <c r="I34" s="2179">
        <f>SUM(I33)</f>
        <v>0</v>
      </c>
      <c r="J34" s="2180">
        <f>SUM(J33)</f>
        <v>5283922742</v>
      </c>
      <c r="K34" s="2089"/>
      <c r="L34" s="2090"/>
      <c r="M34" s="2129"/>
      <c r="N34" s="2129"/>
      <c r="O34" s="2078"/>
      <c r="P34" s="2078"/>
      <c r="Q34" s="2078"/>
    </row>
    <row r="35" spans="1:17" ht="8.1" customHeight="1">
      <c r="A35" s="2196"/>
      <c r="B35" s="2103"/>
      <c r="C35" s="2098"/>
      <c r="D35" s="2098"/>
      <c r="E35" s="2098"/>
      <c r="F35" s="2098"/>
      <c r="G35" s="2197"/>
      <c r="H35" s="2198"/>
      <c r="I35" s="2198"/>
      <c r="J35" s="2199"/>
      <c r="K35" s="2089"/>
      <c r="L35" s="2090"/>
      <c r="M35" s="2129"/>
      <c r="N35" s="2129"/>
      <c r="O35" s="2078"/>
      <c r="P35" s="2078"/>
      <c r="Q35" s="2078"/>
    </row>
    <row r="36" spans="1:17" ht="15" customHeight="1">
      <c r="A36" s="2102" t="s">
        <v>124</v>
      </c>
      <c r="B36" s="2100"/>
      <c r="C36" s="2098"/>
      <c r="D36" s="2098"/>
      <c r="E36" s="2087"/>
      <c r="F36" s="2087"/>
      <c r="G36" s="2087"/>
      <c r="H36" s="2181"/>
      <c r="I36" s="2181"/>
      <c r="J36" s="2200"/>
      <c r="K36" s="2089"/>
      <c r="L36" s="2090"/>
      <c r="M36" s="2129"/>
      <c r="N36" s="2129"/>
      <c r="Q36" s="2078"/>
    </row>
    <row r="37" spans="1:17" ht="15" customHeight="1">
      <c r="A37" s="2092"/>
      <c r="B37" s="2097" t="s">
        <v>125</v>
      </c>
      <c r="C37" s="2170" t="s">
        <v>70</v>
      </c>
      <c r="D37" s="2171">
        <v>389</v>
      </c>
      <c r="E37" s="2171" t="s">
        <v>99</v>
      </c>
      <c r="F37" s="2171"/>
      <c r="G37" s="2193">
        <f>'FERC p204-207 Electric Plant'!H104</f>
        <v>5100521</v>
      </c>
      <c r="H37" s="2173">
        <f t="shared" ref="H37:H46" si="0">VLOOKUP($E37,Ratio,2,FALSE)*$G37</f>
        <v>1780548.3377452032</v>
      </c>
      <c r="I37" s="2173">
        <f t="shared" ref="I37:I46" si="1">VLOOKUP($E37,Ratio,3,FALSE)*$G37</f>
        <v>0</v>
      </c>
      <c r="J37" s="2174">
        <f t="shared" ref="J37:J46" si="2">VLOOKUP($E37,Ratio,4,FALSE)*$G37</f>
        <v>3319972.6622547973</v>
      </c>
      <c r="K37" s="2089"/>
      <c r="L37" s="2090"/>
      <c r="M37" s="2129"/>
      <c r="N37" s="2129"/>
      <c r="Q37" s="2078"/>
    </row>
    <row r="38" spans="1:17" ht="15" customHeight="1">
      <c r="A38" s="2092"/>
      <c r="B38" s="2097" t="s">
        <v>126</v>
      </c>
      <c r="C38" s="2170" t="s">
        <v>70</v>
      </c>
      <c r="D38" s="2171">
        <v>390</v>
      </c>
      <c r="E38" s="2171" t="s">
        <v>99</v>
      </c>
      <c r="F38" s="2171"/>
      <c r="G38" s="2193">
        <f>'FERC p204-207 Electric Plant'!H105</f>
        <v>126721170</v>
      </c>
      <c r="H38" s="2173">
        <f t="shared" si="0"/>
        <v>44237278.623228356</v>
      </c>
      <c r="I38" s="2173">
        <f t="shared" si="1"/>
        <v>0</v>
      </c>
      <c r="J38" s="2174">
        <f t="shared" si="2"/>
        <v>82483891.376771659</v>
      </c>
      <c r="K38" s="2089"/>
      <c r="L38" s="2090"/>
      <c r="M38" s="2129"/>
      <c r="N38" s="2129"/>
      <c r="Q38" s="2078"/>
    </row>
    <row r="39" spans="1:17" ht="15" customHeight="1">
      <c r="A39" s="2092"/>
      <c r="B39" s="2097" t="s">
        <v>127</v>
      </c>
      <c r="C39" s="2170" t="s">
        <v>70</v>
      </c>
      <c r="D39" s="2171">
        <v>391</v>
      </c>
      <c r="E39" s="2171" t="s">
        <v>95</v>
      </c>
      <c r="F39" s="2171"/>
      <c r="G39" s="2193">
        <f>'FERC p204-207 Electric Plant'!H106</f>
        <v>31597697</v>
      </c>
      <c r="H39" s="2173">
        <f t="shared" si="0"/>
        <v>10737849.558694087</v>
      </c>
      <c r="I39" s="2173">
        <f t="shared" si="1"/>
        <v>0</v>
      </c>
      <c r="J39" s="2174">
        <f t="shared" si="2"/>
        <v>20859847.441305913</v>
      </c>
      <c r="K39" s="2089"/>
      <c r="L39" s="2090"/>
      <c r="M39" s="2129"/>
      <c r="N39" s="2129"/>
      <c r="Q39" s="2078"/>
    </row>
    <row r="40" spans="1:17" ht="15" customHeight="1">
      <c r="A40" s="2092"/>
      <c r="B40" s="2097" t="s">
        <v>128</v>
      </c>
      <c r="C40" s="2170" t="s">
        <v>70</v>
      </c>
      <c r="D40" s="2171">
        <v>392</v>
      </c>
      <c r="E40" s="2171" t="s">
        <v>109</v>
      </c>
      <c r="F40" s="2171"/>
      <c r="G40" s="2193">
        <f>'FERC p204-207 Electric Plant'!H107</f>
        <v>3994065</v>
      </c>
      <c r="H40" s="2173">
        <f t="shared" si="0"/>
        <v>0</v>
      </c>
      <c r="I40" s="2173">
        <f t="shared" si="1"/>
        <v>0</v>
      </c>
      <c r="J40" s="2174">
        <f t="shared" si="2"/>
        <v>3994065</v>
      </c>
      <c r="K40" s="2089"/>
      <c r="L40" s="2090"/>
      <c r="M40" s="2129"/>
      <c r="N40" s="2129"/>
      <c r="Q40" s="2078"/>
    </row>
    <row r="41" spans="1:17" ht="15" customHeight="1">
      <c r="A41" s="2092"/>
      <c r="B41" s="2097" t="s">
        <v>129</v>
      </c>
      <c r="C41" s="2170" t="s">
        <v>70</v>
      </c>
      <c r="D41" s="2171">
        <v>393</v>
      </c>
      <c r="E41" s="2171" t="s">
        <v>99</v>
      </c>
      <c r="F41" s="2171"/>
      <c r="G41" s="2193">
        <f>'FERC p204-207 Electric Plant'!H108</f>
        <v>1969191</v>
      </c>
      <c r="H41" s="2173">
        <f t="shared" si="0"/>
        <v>687427.76703650749</v>
      </c>
      <c r="I41" s="2173">
        <f t="shared" si="1"/>
        <v>0</v>
      </c>
      <c r="J41" s="2174">
        <f t="shared" si="2"/>
        <v>1281763.2329634926</v>
      </c>
      <c r="K41" s="2089"/>
      <c r="L41" s="2090"/>
      <c r="M41" s="2129"/>
      <c r="N41" s="2129"/>
      <c r="Q41" s="2078"/>
    </row>
    <row r="42" spans="1:17" ht="15" customHeight="1">
      <c r="A42" s="2092"/>
      <c r="B42" s="2097" t="s">
        <v>130</v>
      </c>
      <c r="C42" s="2170" t="s">
        <v>70</v>
      </c>
      <c r="D42" s="2171">
        <v>394</v>
      </c>
      <c r="E42" s="2171" t="s">
        <v>99</v>
      </c>
      <c r="F42" s="2171"/>
      <c r="G42" s="2193">
        <f>'FERC p204-207 Electric Plant'!H109</f>
        <v>32372182</v>
      </c>
      <c r="H42" s="2173">
        <f t="shared" si="0"/>
        <v>11300852.373568345</v>
      </c>
      <c r="I42" s="2173">
        <f t="shared" si="1"/>
        <v>0</v>
      </c>
      <c r="J42" s="2174">
        <f t="shared" si="2"/>
        <v>21071329.626431659</v>
      </c>
      <c r="K42" s="2089"/>
      <c r="L42" s="2090"/>
      <c r="M42" s="2129"/>
      <c r="N42" s="2129"/>
      <c r="Q42" s="2078"/>
    </row>
    <row r="43" spans="1:17" ht="15" customHeight="1">
      <c r="A43" s="2092"/>
      <c r="B43" s="2097" t="s">
        <v>131</v>
      </c>
      <c r="C43" s="2170" t="s">
        <v>70</v>
      </c>
      <c r="D43" s="2171">
        <v>395</v>
      </c>
      <c r="E43" s="2171" t="s">
        <v>99</v>
      </c>
      <c r="F43" s="2171"/>
      <c r="G43" s="2193">
        <f>'FERC p204-207 Electric Plant'!H110</f>
        <v>5973622</v>
      </c>
      <c r="H43" s="2173">
        <f t="shared" si="0"/>
        <v>2085340.4431465287</v>
      </c>
      <c r="I43" s="2173">
        <f t="shared" si="1"/>
        <v>0</v>
      </c>
      <c r="J43" s="2174">
        <f t="shared" si="2"/>
        <v>3888281.5568534718</v>
      </c>
      <c r="K43" s="2089"/>
      <c r="L43" s="2090"/>
      <c r="M43" s="2129"/>
      <c r="N43" s="2129"/>
      <c r="Q43" s="2078"/>
    </row>
    <row r="44" spans="1:17" ht="15" customHeight="1">
      <c r="A44" s="2092"/>
      <c r="B44" s="2097" t="s">
        <v>132</v>
      </c>
      <c r="C44" s="2170" t="s">
        <v>70</v>
      </c>
      <c r="D44" s="2171">
        <v>396</v>
      </c>
      <c r="E44" s="2171" t="s">
        <v>109</v>
      </c>
      <c r="F44" s="2171"/>
      <c r="G44" s="2193">
        <f>'FERC p204-207 Electric Plant'!H111</f>
        <v>2715513</v>
      </c>
      <c r="H44" s="2173">
        <f t="shared" si="0"/>
        <v>0</v>
      </c>
      <c r="I44" s="2173">
        <f t="shared" si="1"/>
        <v>0</v>
      </c>
      <c r="J44" s="2174">
        <f t="shared" si="2"/>
        <v>2715513</v>
      </c>
      <c r="K44" s="2089"/>
      <c r="L44" s="2090"/>
      <c r="M44" s="2129"/>
      <c r="N44" s="2129"/>
      <c r="Q44" s="2078"/>
    </row>
    <row r="45" spans="1:17" ht="15" customHeight="1">
      <c r="A45" s="2092"/>
      <c r="B45" s="2097" t="s">
        <v>133</v>
      </c>
      <c r="C45" s="2170" t="s">
        <v>70</v>
      </c>
      <c r="D45" s="2171">
        <v>397</v>
      </c>
      <c r="E45" s="2171" t="s">
        <v>99</v>
      </c>
      <c r="F45" s="2171"/>
      <c r="G45" s="2193">
        <f>'FERC p204-207 Electric Plant'!H112</f>
        <v>105832047</v>
      </c>
      <c r="H45" s="2173">
        <f t="shared" si="0"/>
        <v>36945064.11521925</v>
      </c>
      <c r="I45" s="2173">
        <f t="shared" si="1"/>
        <v>0</v>
      </c>
      <c r="J45" s="2174">
        <f t="shared" si="2"/>
        <v>68886982.88478075</v>
      </c>
      <c r="K45" s="2089"/>
      <c r="L45" s="2090"/>
      <c r="M45" s="2129"/>
      <c r="N45" s="2129"/>
      <c r="Q45" s="2078"/>
    </row>
    <row r="46" spans="1:17" ht="15" customHeight="1">
      <c r="A46" s="2092"/>
      <c r="B46" s="2097" t="s">
        <v>134</v>
      </c>
      <c r="C46" s="2170" t="s">
        <v>70</v>
      </c>
      <c r="D46" s="2171">
        <v>398</v>
      </c>
      <c r="E46" s="2171" t="s">
        <v>99</v>
      </c>
      <c r="F46" s="2171"/>
      <c r="G46" s="2193">
        <f>'FERC p204-207 Electric Plant'!H113</f>
        <v>381575</v>
      </c>
      <c r="H46" s="2173">
        <f t="shared" si="0"/>
        <v>133204.57497873763</v>
      </c>
      <c r="I46" s="2173">
        <f t="shared" si="1"/>
        <v>0</v>
      </c>
      <c r="J46" s="2174">
        <f t="shared" si="2"/>
        <v>248370.42502126237</v>
      </c>
      <c r="K46" s="2089"/>
      <c r="L46" s="2090"/>
      <c r="M46" s="2129"/>
      <c r="N46" s="2129"/>
      <c r="O46" s="2087"/>
      <c r="Q46" s="2078"/>
    </row>
    <row r="47" spans="1:17" ht="15" customHeight="1">
      <c r="A47" s="2092"/>
      <c r="B47" s="2097" t="s">
        <v>254</v>
      </c>
      <c r="C47" s="2170" t="s">
        <v>70</v>
      </c>
      <c r="D47" s="2171">
        <v>399</v>
      </c>
      <c r="E47" s="2171" t="s">
        <v>90</v>
      </c>
      <c r="F47" s="2171" t="s">
        <v>99</v>
      </c>
      <c r="G47" s="2172">
        <f>'FERC p204-207 Electric Plant'!H115</f>
        <v>0</v>
      </c>
      <c r="H47" s="2173">
        <f>IF($E47="DIRECT",$L47,VLOOKUP($E47,Ratio,2,FALSE)*$G47)</f>
        <v>0</v>
      </c>
      <c r="I47" s="2173">
        <f>IF($E47="DIRECT",$M47,VLOOKUP($E47,Ratio,3,FALSE)*$G47)</f>
        <v>0</v>
      </c>
      <c r="J47" s="2174">
        <f>IF($E47="DIRECT",$N47,VLOOKUP($E47,Ratio,4,FALSE)*$G47)</f>
        <v>0</v>
      </c>
      <c r="K47" s="2089"/>
      <c r="L47" s="2172">
        <v>0</v>
      </c>
      <c r="M47" s="2172">
        <v>0</v>
      </c>
      <c r="N47" s="2172">
        <v>0</v>
      </c>
      <c r="O47" s="2087"/>
      <c r="Q47" s="2078"/>
    </row>
    <row r="48" spans="1:17" ht="15" customHeight="1">
      <c r="A48" s="2092"/>
      <c r="B48" s="2097" t="s">
        <v>441</v>
      </c>
      <c r="C48" s="2170" t="s">
        <v>70</v>
      </c>
      <c r="D48" s="2171">
        <v>399.1</v>
      </c>
      <c r="E48" s="2171" t="s">
        <v>99</v>
      </c>
      <c r="F48" s="2171"/>
      <c r="G48" s="2193">
        <f>'FERC p204-207 Electric Plant'!H116</f>
        <v>0</v>
      </c>
      <c r="H48" s="2173">
        <f>VLOOKUP($E48,Ratio,2,FALSE)*$G48</f>
        <v>0</v>
      </c>
      <c r="I48" s="2173">
        <f>VLOOKUP($E48,Ratio,3,FALSE)*$G48</f>
        <v>0</v>
      </c>
      <c r="J48" s="2174">
        <f>VLOOKUP($E48,Ratio,4,FALSE)*$G48</f>
        <v>0</v>
      </c>
      <c r="K48" s="2089"/>
      <c r="L48" s="2136"/>
      <c r="M48" s="2136"/>
      <c r="N48" s="2136"/>
      <c r="Q48" s="2078"/>
    </row>
    <row r="49" spans="1:17" ht="8.1" customHeight="1">
      <c r="A49" s="2096"/>
      <c r="B49" s="2097"/>
      <c r="C49" s="2098"/>
      <c r="D49" s="2098"/>
      <c r="E49" s="2098"/>
      <c r="F49" s="2098"/>
      <c r="G49" s="2201"/>
      <c r="H49" s="2202"/>
      <c r="I49" s="2202"/>
      <c r="J49" s="2203"/>
      <c r="K49" s="2089"/>
      <c r="L49" s="2090"/>
      <c r="M49" s="2129"/>
      <c r="N49" s="2129"/>
      <c r="Q49" s="2078"/>
    </row>
    <row r="50" spans="1:17" ht="15" customHeight="1" thickBot="1">
      <c r="A50" s="2204" t="s">
        <v>135</v>
      </c>
      <c r="B50" s="2099"/>
      <c r="C50" s="2205"/>
      <c r="D50" s="2206"/>
      <c r="E50" s="2206"/>
      <c r="F50" s="2207"/>
      <c r="G50" s="2208">
        <f>SUM(G37:G49)</f>
        <v>316657583</v>
      </c>
      <c r="H50" s="2209">
        <f>SUM(H37:H49)</f>
        <v>107907565.79361701</v>
      </c>
      <c r="I50" s="2209">
        <f>SUM(I37:I49)</f>
        <v>0</v>
      </c>
      <c r="J50" s="2210">
        <f>SUM(J37:J49)</f>
        <v>208750017.20638302</v>
      </c>
      <c r="K50" s="2089"/>
      <c r="L50" s="2090"/>
      <c r="M50" s="2129"/>
      <c r="N50" s="2129"/>
      <c r="Q50" s="2078"/>
    </row>
    <row r="51" spans="1:17" ht="8.1" customHeight="1" thickTop="1">
      <c r="A51" s="2091"/>
      <c r="B51" s="2100"/>
      <c r="C51" s="2098"/>
      <c r="D51" s="2098"/>
      <c r="E51" s="2098"/>
      <c r="F51" s="2098"/>
      <c r="G51" s="2211"/>
      <c r="H51" s="2181"/>
      <c r="I51" s="2181"/>
      <c r="J51" s="2200"/>
      <c r="K51" s="2089"/>
      <c r="L51" s="2090"/>
      <c r="M51" s="2129"/>
      <c r="N51" s="2129"/>
    </row>
    <row r="52" spans="1:17" ht="15" customHeight="1">
      <c r="A52" s="2196" t="s">
        <v>136</v>
      </c>
      <c r="B52" s="2100"/>
      <c r="C52" s="2212"/>
      <c r="D52" s="2176"/>
      <c r="E52" s="2176"/>
      <c r="F52" s="2177"/>
      <c r="G52" s="2186">
        <f>G19+G26+G30+G34+G50</f>
        <v>11651187515</v>
      </c>
      <c r="H52" s="2187">
        <f>H19+H26+H30+H34+H50</f>
        <v>4076431188.8417616</v>
      </c>
      <c r="I52" s="2187">
        <f>I19+I26+I30+I34+I50</f>
        <v>0</v>
      </c>
      <c r="J52" s="2213">
        <f>J19+J26+J30+J34+J50</f>
        <v>7574756323.9282379</v>
      </c>
      <c r="K52" s="2089"/>
      <c r="L52" s="2101"/>
      <c r="M52" s="2129"/>
      <c r="N52" s="2129"/>
    </row>
    <row r="53" spans="1:17" ht="15" customHeight="1">
      <c r="A53" s="2214" t="s">
        <v>439</v>
      </c>
      <c r="B53" s="2100"/>
      <c r="C53" s="2098"/>
      <c r="D53" s="2098"/>
      <c r="E53" s="2087"/>
      <c r="F53" s="2087"/>
      <c r="G53" s="2087"/>
      <c r="H53" s="2181"/>
      <c r="I53" s="2181"/>
      <c r="J53" s="2200"/>
      <c r="K53" s="2089"/>
      <c r="L53" s="2090"/>
      <c r="M53" s="2129"/>
      <c r="N53" s="2129"/>
    </row>
    <row r="54" spans="1:17" ht="15" customHeight="1">
      <c r="A54" s="2102"/>
      <c r="B54" s="2103"/>
      <c r="C54" s="2098"/>
      <c r="D54" s="2098"/>
      <c r="E54" s="2087"/>
      <c r="F54" s="2087"/>
      <c r="G54" s="2087"/>
      <c r="H54" s="2181"/>
      <c r="I54" s="2181"/>
      <c r="J54" s="2200"/>
      <c r="K54" s="2089"/>
      <c r="L54" s="2090"/>
      <c r="M54" s="2129"/>
      <c r="N54" s="2129"/>
    </row>
    <row r="55" spans="1:17" ht="15" customHeight="1">
      <c r="A55" s="2102" t="s">
        <v>473</v>
      </c>
      <c r="B55" s="2103"/>
      <c r="C55" s="2098"/>
      <c r="D55" s="2098"/>
      <c r="E55" s="2098"/>
      <c r="F55" s="2098"/>
      <c r="G55" s="2117"/>
      <c r="H55" s="2182"/>
      <c r="I55" s="2182"/>
      <c r="J55" s="2183"/>
      <c r="K55" s="2089"/>
      <c r="L55" s="2090"/>
      <c r="M55" s="2129"/>
      <c r="N55" s="2129"/>
    </row>
    <row r="56" spans="1:17" ht="15" customHeight="1">
      <c r="A56" s="2102" t="s">
        <v>208</v>
      </c>
      <c r="B56" s="2103"/>
      <c r="C56" s="2098"/>
      <c r="D56" s="2098"/>
      <c r="E56" s="2098"/>
      <c r="F56" s="2098"/>
      <c r="G56" s="2117"/>
      <c r="H56" s="2182"/>
      <c r="I56" s="2182"/>
      <c r="J56" s="2183"/>
      <c r="K56" s="2089"/>
      <c r="L56" s="2090"/>
      <c r="M56" s="2129"/>
      <c r="N56" s="2129"/>
    </row>
    <row r="57" spans="1:17" ht="15" customHeight="1">
      <c r="A57" s="2092"/>
      <c r="B57" s="2185" t="s">
        <v>88</v>
      </c>
      <c r="C57" s="2171">
        <v>219</v>
      </c>
      <c r="D57" s="2171">
        <v>108</v>
      </c>
      <c r="E57" s="2171" t="s">
        <v>392</v>
      </c>
      <c r="F57" s="2171"/>
      <c r="G57" s="2172">
        <f>'FERC p219 Acc. Depr. Elec Plant'!D32</f>
        <v>953504602</v>
      </c>
      <c r="H57" s="2173">
        <f t="shared" ref="H57:H64" si="3">VLOOKUP($E57,Ratio,2,FALSE)*$G57</f>
        <v>953504602</v>
      </c>
      <c r="I57" s="2173">
        <f t="shared" ref="I57:I64" si="4">VLOOKUP($E57,Ratio,3,FALSE)*$G57</f>
        <v>0</v>
      </c>
      <c r="J57" s="2174">
        <f t="shared" ref="J57:J64" si="5">VLOOKUP($E57,Ratio,4,FALSE)*$G57</f>
        <v>0</v>
      </c>
      <c r="K57" s="2089"/>
      <c r="L57" s="2090"/>
      <c r="M57" s="2129"/>
      <c r="N57" s="2129"/>
    </row>
    <row r="58" spans="1:17" ht="15" customHeight="1">
      <c r="A58" s="2092"/>
      <c r="B58" s="2185" t="s">
        <v>89</v>
      </c>
      <c r="C58" s="2171">
        <v>219</v>
      </c>
      <c r="D58" s="2171">
        <v>108</v>
      </c>
      <c r="E58" s="2171" t="s">
        <v>392</v>
      </c>
      <c r="F58" s="2171"/>
      <c r="G58" s="2172">
        <f>'FERC p219 Acc. Depr. Elec Plant'!D33</f>
        <v>0</v>
      </c>
      <c r="H58" s="2173">
        <f t="shared" si="3"/>
        <v>0</v>
      </c>
      <c r="I58" s="2173">
        <f t="shared" si="4"/>
        <v>0</v>
      </c>
      <c r="J58" s="2174">
        <f t="shared" si="5"/>
        <v>0</v>
      </c>
      <c r="K58" s="2089"/>
      <c r="L58" s="2090"/>
      <c r="M58" s="2129"/>
      <c r="N58" s="2129"/>
    </row>
    <row r="59" spans="1:17" ht="15" customHeight="1">
      <c r="A59" s="2092"/>
      <c r="B59" s="2185" t="s">
        <v>324</v>
      </c>
      <c r="C59" s="2171">
        <v>219</v>
      </c>
      <c r="D59" s="2171">
        <v>108</v>
      </c>
      <c r="E59" s="2171" t="s">
        <v>392</v>
      </c>
      <c r="F59" s="2171"/>
      <c r="G59" s="2172">
        <f>SUM('FERC p219 Acc. Depr. Elec Plant'!D34:D35)</f>
        <v>270525277</v>
      </c>
      <c r="H59" s="2173">
        <f t="shared" si="3"/>
        <v>270525277</v>
      </c>
      <c r="I59" s="2173">
        <f t="shared" si="4"/>
        <v>0</v>
      </c>
      <c r="J59" s="2174">
        <f t="shared" si="5"/>
        <v>0</v>
      </c>
      <c r="K59" s="2089"/>
      <c r="L59" s="2090"/>
      <c r="M59" s="2129"/>
      <c r="N59" s="2129"/>
    </row>
    <row r="60" spans="1:17" ht="15" customHeight="1">
      <c r="A60" s="2092"/>
      <c r="B60" s="2185" t="s">
        <v>137</v>
      </c>
      <c r="C60" s="2171">
        <v>219</v>
      </c>
      <c r="D60" s="2171">
        <v>108</v>
      </c>
      <c r="E60" s="2171" t="s">
        <v>392</v>
      </c>
      <c r="F60" s="2171"/>
      <c r="G60" s="2172">
        <f>'FERC p219 Acc. Depr. Elec Plant'!D36</f>
        <v>1084449271</v>
      </c>
      <c r="H60" s="2173">
        <f t="shared" si="3"/>
        <v>1084449271</v>
      </c>
      <c r="I60" s="2173">
        <f t="shared" si="4"/>
        <v>0</v>
      </c>
      <c r="J60" s="2174">
        <f t="shared" si="5"/>
        <v>0</v>
      </c>
      <c r="K60" s="2089"/>
      <c r="L60" s="2090"/>
      <c r="M60" s="2129"/>
      <c r="N60" s="2129"/>
    </row>
    <row r="61" spans="1:17" ht="15" customHeight="1">
      <c r="A61" s="2092"/>
      <c r="B61" s="2185" t="s">
        <v>143</v>
      </c>
      <c r="C61" s="2171">
        <v>219</v>
      </c>
      <c r="D61" s="2171">
        <v>108</v>
      </c>
      <c r="E61" s="2171" t="s">
        <v>391</v>
      </c>
      <c r="F61" s="2171"/>
      <c r="G61" s="2172">
        <f>'FERC p219 Acc. Depr. Elec Plant'!D37</f>
        <v>663408032</v>
      </c>
      <c r="H61" s="2173">
        <f t="shared" si="3"/>
        <v>0</v>
      </c>
      <c r="I61" s="2173">
        <f t="shared" si="4"/>
        <v>0</v>
      </c>
      <c r="J61" s="2174">
        <f t="shared" si="5"/>
        <v>663408032</v>
      </c>
      <c r="K61" s="2089"/>
      <c r="L61" s="2090"/>
      <c r="M61" s="2129"/>
      <c r="N61" s="2129"/>
    </row>
    <row r="62" spans="1:17" ht="15" customHeight="1">
      <c r="A62" s="2092"/>
      <c r="B62" s="2185" t="s">
        <v>469</v>
      </c>
      <c r="C62" s="2171">
        <v>219</v>
      </c>
      <c r="D62" s="2171">
        <v>108</v>
      </c>
      <c r="E62" s="2171" t="s">
        <v>390</v>
      </c>
      <c r="F62" s="2171"/>
      <c r="G62" s="2172">
        <f>'FERC p219 Acc. Depr. Elec Plant'!D38</f>
        <v>2008273620</v>
      </c>
      <c r="H62" s="2173">
        <f t="shared" si="3"/>
        <v>0</v>
      </c>
      <c r="I62" s="2173">
        <f t="shared" si="4"/>
        <v>0</v>
      </c>
      <c r="J62" s="2174">
        <f t="shared" si="5"/>
        <v>2008273620</v>
      </c>
      <c r="K62" s="2089"/>
      <c r="L62" s="2090"/>
      <c r="M62" s="2129"/>
      <c r="N62" s="2129"/>
    </row>
    <row r="63" spans="1:17" ht="15" customHeight="1">
      <c r="A63" s="2092"/>
      <c r="B63" s="2185" t="s">
        <v>92</v>
      </c>
      <c r="C63" s="2171">
        <v>219</v>
      </c>
      <c r="D63" s="2171">
        <v>108</v>
      </c>
      <c r="E63" s="2171" t="s">
        <v>91</v>
      </c>
      <c r="F63" s="2171"/>
      <c r="G63" s="2172">
        <f>'FERC p219 Acc. Depr. Elec Plant'!D40</f>
        <v>199145541</v>
      </c>
      <c r="H63" s="2173">
        <f t="shared" si="3"/>
        <v>67862927.406866983</v>
      </c>
      <c r="I63" s="2173">
        <f t="shared" si="4"/>
        <v>0</v>
      </c>
      <c r="J63" s="2174">
        <f t="shared" si="5"/>
        <v>131282613.59313303</v>
      </c>
      <c r="K63" s="2089"/>
      <c r="L63" s="2090"/>
      <c r="M63" s="2129"/>
      <c r="N63" s="2129"/>
    </row>
    <row r="64" spans="1:17" ht="15" customHeight="1">
      <c r="A64" s="2092"/>
      <c r="B64" s="2185" t="s">
        <v>368</v>
      </c>
      <c r="C64" s="2171">
        <v>219</v>
      </c>
      <c r="D64" s="2171">
        <v>111</v>
      </c>
      <c r="E64" s="2171" t="s">
        <v>390</v>
      </c>
      <c r="F64" s="2215" t="s">
        <v>97</v>
      </c>
      <c r="G64" s="2172">
        <f>'FERC p200-201 Utility Plant'!N4</f>
        <v>0</v>
      </c>
      <c r="H64" s="2173">
        <f t="shared" si="3"/>
        <v>0</v>
      </c>
      <c r="I64" s="2173">
        <f t="shared" si="4"/>
        <v>0</v>
      </c>
      <c r="J64" s="2174">
        <f t="shared" si="5"/>
        <v>0</v>
      </c>
      <c r="K64" s="2089"/>
      <c r="L64" s="2090"/>
      <c r="M64" s="2129"/>
      <c r="N64" s="2129"/>
      <c r="O64" s="2087"/>
    </row>
    <row r="65" spans="1:15" ht="15" customHeight="1">
      <c r="A65" s="2092"/>
      <c r="B65" s="2185" t="s">
        <v>369</v>
      </c>
      <c r="C65" s="2171">
        <v>219</v>
      </c>
      <c r="D65" s="2171">
        <v>111</v>
      </c>
      <c r="E65" s="2171" t="s">
        <v>90</v>
      </c>
      <c r="F65" s="2215" t="s">
        <v>99</v>
      </c>
      <c r="G65" s="2172">
        <f>'FERC p200-201 Utility Plant'!N5</f>
        <v>30864423.829999998</v>
      </c>
      <c r="H65" s="2173">
        <f>IF($E65="DIRECT",$L65,VLOOKUP($E65,Ratio,2,FALSE)*$G65)</f>
        <v>19280613.831983685</v>
      </c>
      <c r="I65" s="2173">
        <f>IF($E65="DIRECT",$M65,VLOOKUP($E65,Ratio,3,FALSE)*$G65)</f>
        <v>0</v>
      </c>
      <c r="J65" s="2174">
        <f>IF($E65="DIRECT",$N65,VLOOKUP($E65,Ratio,4,FALSE)*$G65)</f>
        <v>11583809.998016311</v>
      </c>
      <c r="K65" s="2089"/>
      <c r="L65" s="2172">
        <f>'E Intangible_Summary'!G42</f>
        <v>19280613.831983685</v>
      </c>
      <c r="M65" s="2172">
        <f>'E Intangible_Summary'!H42</f>
        <v>0</v>
      </c>
      <c r="N65" s="2172">
        <f>'E Intangible_Summary'!I42</f>
        <v>11583809.998016311</v>
      </c>
      <c r="O65" s="2087"/>
    </row>
    <row r="66" spans="1:15" ht="15" customHeight="1">
      <c r="A66" s="2092"/>
      <c r="B66" s="2185" t="s">
        <v>398</v>
      </c>
      <c r="C66" s="2171">
        <v>219</v>
      </c>
      <c r="D66" s="2171">
        <v>111</v>
      </c>
      <c r="E66" s="2171" t="s">
        <v>90</v>
      </c>
      <c r="F66" s="2215" t="s">
        <v>390</v>
      </c>
      <c r="G66" s="2172">
        <f>SUM('FERC p200-201 Utility Plant'!N6:N7)</f>
        <v>18084328.429999996</v>
      </c>
      <c r="H66" s="2173">
        <f>IF($E66="DIRECT",$L66,VLOOKUP($E66,Ratio,2,FALSE)*$G66)</f>
        <v>3441408.3183936053</v>
      </c>
      <c r="I66" s="2173">
        <f>IF($E66="DIRECT",$M66,VLOOKUP($E66,Ratio,3,FALSE)*$G66)</f>
        <v>0</v>
      </c>
      <c r="J66" s="2174">
        <f>IF($E66="DIRECT",$N66,VLOOKUP($E66,Ratio,4,FALSE)*$G66)</f>
        <v>14642920.111606393</v>
      </c>
      <c r="K66" s="2089"/>
      <c r="L66" s="2172">
        <f>'E Intangible_Summary'!G49+'E Intangible_Summary'!G57</f>
        <v>3441408.3183936053</v>
      </c>
      <c r="M66" s="2172">
        <f>'E Intangible_Summary'!H49+'E Intangible_Summary'!H57</f>
        <v>0</v>
      </c>
      <c r="N66" s="2172">
        <f>'E Intangible_Summary'!I49+'E Intangible_Summary'!I57</f>
        <v>14642920.111606393</v>
      </c>
      <c r="O66" s="2087"/>
    </row>
    <row r="67" spans="1:15" ht="15" customHeight="1">
      <c r="A67" s="2092"/>
      <c r="B67" s="2185" t="s">
        <v>251</v>
      </c>
      <c r="C67" s="2171">
        <v>219</v>
      </c>
      <c r="D67" s="2171">
        <v>108</v>
      </c>
      <c r="E67" s="2171" t="s">
        <v>392</v>
      </c>
      <c r="F67" s="2171"/>
      <c r="G67" s="2172">
        <v>0</v>
      </c>
      <c r="H67" s="2173">
        <f>VLOOKUP($E67,Ratio,2,FALSE)*$G67</f>
        <v>0</v>
      </c>
      <c r="I67" s="2173">
        <f>VLOOKUP($E67,Ratio,3,FALSE)*$G67</f>
        <v>0</v>
      </c>
      <c r="J67" s="2174">
        <f>VLOOKUP($E67,Ratio,4,FALSE)*$G67</f>
        <v>0</v>
      </c>
      <c r="K67" s="2089"/>
      <c r="L67" s="2090"/>
      <c r="M67" s="2129"/>
      <c r="N67" s="2129"/>
      <c r="O67" s="2087"/>
    </row>
    <row r="68" spans="1:15" ht="15" customHeight="1">
      <c r="A68" s="2092"/>
      <c r="B68" s="2185" t="s">
        <v>28</v>
      </c>
      <c r="C68" s="2171">
        <v>219</v>
      </c>
      <c r="D68" s="2171">
        <v>111</v>
      </c>
      <c r="E68" s="2216" t="s">
        <v>391</v>
      </c>
      <c r="F68" s="2171"/>
      <c r="G68" s="2172">
        <f>'FERC p219 Acc. Depr. Elec Plant'!E37</f>
        <v>162425</v>
      </c>
      <c r="H68" s="2173">
        <f>VLOOKUP($E68,Ratio,2,FALSE)*$G68</f>
        <v>0</v>
      </c>
      <c r="I68" s="2173">
        <f>VLOOKUP($E68,Ratio,3,FALSE)*$G68</f>
        <v>0</v>
      </c>
      <c r="J68" s="2174">
        <f>VLOOKUP($E68,Ratio,4,FALSE)*$G68</f>
        <v>162425</v>
      </c>
      <c r="K68" s="2089"/>
      <c r="L68" s="2090"/>
      <c r="M68" s="2129"/>
      <c r="N68" s="2129"/>
      <c r="O68" s="2087"/>
    </row>
    <row r="69" spans="1:15" ht="15" customHeight="1">
      <c r="A69" s="2092"/>
      <c r="B69" s="2185" t="s">
        <v>29</v>
      </c>
      <c r="C69" s="2171">
        <v>219</v>
      </c>
      <c r="D69" s="2171">
        <v>108</v>
      </c>
      <c r="E69" s="2171" t="s">
        <v>90</v>
      </c>
      <c r="F69" s="2215" t="s">
        <v>99</v>
      </c>
      <c r="G69" s="2172">
        <v>0</v>
      </c>
      <c r="H69" s="2173">
        <f>IF($E69="DIRECT",$L69,VLOOKUP($E69,Ratio,2,FALSE)*$G69)</f>
        <v>0</v>
      </c>
      <c r="I69" s="2173">
        <f>IF($E69="DIRECT",$M69,VLOOKUP($E69,Ratio,3,FALSE)*$G69)</f>
        <v>0</v>
      </c>
      <c r="J69" s="2174">
        <f>IF($E69="DIRECT",$N69,VLOOKUP($E69,Ratio,4,FALSE)*$G69)</f>
        <v>0</v>
      </c>
      <c r="K69" s="2089"/>
      <c r="L69" s="2172"/>
      <c r="M69" s="2172"/>
      <c r="N69" s="2172"/>
      <c r="O69" s="2087"/>
    </row>
    <row r="70" spans="1:15" ht="15" customHeight="1">
      <c r="A70" s="2092"/>
      <c r="B70" s="2185" t="s">
        <v>162</v>
      </c>
      <c r="C70" s="2171" t="s">
        <v>69</v>
      </c>
      <c r="D70" s="2171">
        <v>108</v>
      </c>
      <c r="E70" s="2171" t="s">
        <v>90</v>
      </c>
      <c r="F70" s="2171" t="s">
        <v>390</v>
      </c>
      <c r="G70" s="2172">
        <v>0</v>
      </c>
      <c r="H70" s="2173">
        <f>IF($E70="DIRECT",$L70,VLOOKUP($E70,Ratio,2,FALSE)*$G70)</f>
        <v>0</v>
      </c>
      <c r="I70" s="2173">
        <f>IF($E70="DIRECT",$M70,VLOOKUP($E70,Ratio,3,FALSE)*$G70)</f>
        <v>0</v>
      </c>
      <c r="J70" s="2174">
        <f>IF($E70="DIRECT",$N70,VLOOKUP($E70,Ratio,4,FALSE)*$G70)</f>
        <v>0</v>
      </c>
      <c r="K70" s="2089"/>
      <c r="L70" s="2172"/>
      <c r="M70" s="2172"/>
      <c r="N70" s="2172"/>
      <c r="O70" s="2087"/>
    </row>
    <row r="71" spans="1:15" ht="15" customHeight="1">
      <c r="A71" s="2092"/>
      <c r="B71" s="2185" t="s">
        <v>399</v>
      </c>
      <c r="C71" s="2171" t="s">
        <v>69</v>
      </c>
      <c r="D71" s="2171">
        <v>108</v>
      </c>
      <c r="E71" s="2171" t="s">
        <v>90</v>
      </c>
      <c r="F71" s="2215" t="s">
        <v>99</v>
      </c>
      <c r="G71" s="2172">
        <f>'FERC p200-201 Utility Plant'!I28*'Four Factor Allocator'!$C$5</f>
        <v>86358710.079808488</v>
      </c>
      <c r="H71" s="2173">
        <f>IF($E71="DIRECT",$L71,VLOOKUP($E71,Ratio,2,FALSE)*$G71)</f>
        <v>23510847.890424702</v>
      </c>
      <c r="I71" s="2173">
        <f>IF($E71="DIRECT",$M71,VLOOKUP($E71,Ratio,3,FALSE)*$G71)</f>
        <v>0</v>
      </c>
      <c r="J71" s="2174">
        <f>IF($E71="DIRECT",$N71,VLOOKUP($E71,Ratio,4,FALSE)*$G71)</f>
        <v>62847862.189383827</v>
      </c>
      <c r="K71" s="2089"/>
      <c r="L71" s="2172">
        <f>'389-399 Common_Summary'!H61</f>
        <v>23510847.890424702</v>
      </c>
      <c r="M71" s="2172">
        <f>'389-399 Common_Summary'!I61</f>
        <v>0</v>
      </c>
      <c r="N71" s="2172">
        <f>'389-399 Common_Summary'!J61</f>
        <v>62847862.189383827</v>
      </c>
      <c r="O71" s="2087"/>
    </row>
    <row r="72" spans="1:15" ht="15" customHeight="1">
      <c r="A72" s="2092"/>
      <c r="B72" s="2185" t="s">
        <v>400</v>
      </c>
      <c r="C72" s="2171" t="s">
        <v>69</v>
      </c>
      <c r="D72" s="2171">
        <v>108</v>
      </c>
      <c r="E72" s="2171" t="s">
        <v>90</v>
      </c>
      <c r="F72" s="2171" t="s">
        <v>390</v>
      </c>
      <c r="G72" s="2172">
        <f>('FERC p200-201 Utility Plant'!I31-'C Intangible_Summary'!$O$33)*'Four Factor Allocator'!$C$5-G71</f>
        <v>90080742.531604186</v>
      </c>
      <c r="H72" s="2173">
        <f>IF($E72="DIRECT",$L72,VLOOKUP($E72,Ratio,2,FALSE)*$G72)</f>
        <v>28133789.970597092</v>
      </c>
      <c r="I72" s="2173">
        <f>IF($E72="DIRECT",$M72,VLOOKUP($E72,Ratio,3,FALSE)*$G72)</f>
        <v>0</v>
      </c>
      <c r="J72" s="2174">
        <f>IF($E72="DIRECT",$N72,VLOOKUP($E72,Ratio,4,FALSE)*$G72)</f>
        <v>61946952.232538618</v>
      </c>
      <c r="K72" s="2089"/>
      <c r="L72" s="2172">
        <f>'C Intangible_Summary'!H39-L71</f>
        <v>28133789.970597092</v>
      </c>
      <c r="M72" s="2172">
        <f>'C Intangible_Summary'!I39-M71</f>
        <v>0</v>
      </c>
      <c r="N72" s="2172">
        <f>'C Intangible_Summary'!J39-N71</f>
        <v>61946952.232538618</v>
      </c>
      <c r="O72" s="2087"/>
    </row>
    <row r="73" spans="1:15" ht="15" customHeight="1">
      <c r="A73" s="2092"/>
      <c r="B73" s="2185" t="s">
        <v>546</v>
      </c>
      <c r="C73" s="2171" t="s">
        <v>69</v>
      </c>
      <c r="D73" s="2171">
        <v>115</v>
      </c>
      <c r="E73" s="2171" t="s">
        <v>90</v>
      </c>
      <c r="F73" s="2171" t="s">
        <v>390</v>
      </c>
      <c r="G73" s="2172">
        <f>'FERC p200-201 Utility Plant'!C42</f>
        <v>177057826</v>
      </c>
      <c r="H73" s="2173">
        <f>IF($E73="DIRECT",$L73,VLOOKUP($E73,Ratio,2,FALSE)*$G73)</f>
        <v>175809295.39000002</v>
      </c>
      <c r="I73" s="2173">
        <f>IF($E73="DIRECT",$M73,VLOOKUP($E73,Ratio,3,FALSE)*$G73)</f>
        <v>0</v>
      </c>
      <c r="J73" s="2174">
        <f>IF($E73="DIRECT",$N73,VLOOKUP($E73,Ratio,4,FALSE)*$G73)</f>
        <v>1248530.26</v>
      </c>
      <c r="K73" s="2089"/>
      <c r="L73" s="2172">
        <f>-'RB Adj Direct Summary'!I24</f>
        <v>175809295.39000002</v>
      </c>
      <c r="M73" s="2172">
        <f>-'RB Adj Direct Summary'!J24</f>
        <v>0</v>
      </c>
      <c r="N73" s="2172">
        <f>-'RB Adj Direct Summary'!K24</f>
        <v>1248530.26</v>
      </c>
      <c r="O73" s="2087"/>
    </row>
    <row r="74" spans="1:15" ht="15" customHeight="1">
      <c r="A74" s="2092"/>
      <c r="B74" s="2185"/>
      <c r="C74" s="2098"/>
      <c r="D74" s="2098"/>
      <c r="E74" s="2098"/>
      <c r="F74" s="2087"/>
      <c r="G74" s="2087"/>
      <c r="H74" s="2202"/>
      <c r="I74" s="2202"/>
      <c r="J74" s="2203"/>
      <c r="K74" s="2089"/>
      <c r="L74" s="2090"/>
      <c r="M74" s="2129"/>
      <c r="N74" s="2129"/>
      <c r="O74" s="2087"/>
    </row>
    <row r="75" spans="1:15" ht="15" customHeight="1">
      <c r="A75" s="2102" t="s">
        <v>209</v>
      </c>
      <c r="B75" s="2185"/>
      <c r="C75" s="2171"/>
      <c r="D75" s="2171"/>
      <c r="E75" s="2171" t="s">
        <v>90</v>
      </c>
      <c r="F75" s="2171"/>
      <c r="G75" s="2172"/>
      <c r="H75" s="2173">
        <f>IF($E75="DIRECT",$L75,VLOOKUP($E75,Ratio,2,FALSE)*$G75)</f>
        <v>0</v>
      </c>
      <c r="I75" s="2173">
        <f>IF($E75="DIRECT",$M75,VLOOKUP($E75,Ratio,3,FALSE)*$G75)</f>
        <v>0</v>
      </c>
      <c r="J75" s="2174">
        <f>IF($E75="DIRECT",$N75,VLOOKUP($E75,Ratio,4,FALSE)*$G75)</f>
        <v>0</v>
      </c>
      <c r="K75" s="2089"/>
      <c r="L75" s="2172"/>
      <c r="M75" s="2172"/>
      <c r="N75" s="2172"/>
      <c r="O75" s="2087"/>
    </row>
    <row r="76" spans="1:15" ht="15" customHeight="1">
      <c r="A76" s="2104"/>
      <c r="B76" s="2185"/>
      <c r="C76" s="2098"/>
      <c r="D76" s="2098"/>
      <c r="E76" s="2098"/>
      <c r="F76" s="2098"/>
      <c r="G76" s="2117"/>
      <c r="H76" s="2202"/>
      <c r="I76" s="2202"/>
      <c r="J76" s="2203"/>
      <c r="K76" s="2089"/>
      <c r="L76" s="2090"/>
      <c r="M76" s="2129"/>
      <c r="N76" s="2129"/>
    </row>
    <row r="77" spans="1:15" ht="15" customHeight="1">
      <c r="A77" s="2196" t="s">
        <v>221</v>
      </c>
      <c r="B77" s="2100"/>
      <c r="C77" s="2212"/>
      <c r="D77" s="2176"/>
      <c r="E77" s="2176"/>
      <c r="F77" s="2177"/>
      <c r="G77" s="2186">
        <f>SUM(G57:G75)</f>
        <v>5581914798.8714123</v>
      </c>
      <c r="H77" s="2187">
        <f>SUM(H57:H75)</f>
        <v>2626518032.8082662</v>
      </c>
      <c r="I77" s="2187">
        <f>SUM(I57:I75)</f>
        <v>0</v>
      </c>
      <c r="J77" s="2213">
        <f>SUM(J57:J75)</f>
        <v>2955396765.3846788</v>
      </c>
      <c r="K77" s="2089"/>
      <c r="L77" s="2090"/>
      <c r="M77" s="2129"/>
      <c r="N77" s="2129"/>
    </row>
    <row r="78" spans="1:15" ht="15" customHeight="1">
      <c r="A78" s="2104"/>
      <c r="B78" s="2217"/>
      <c r="C78" s="2098"/>
      <c r="D78" s="2098"/>
      <c r="E78" s="2087"/>
      <c r="F78" s="2087"/>
      <c r="G78" s="2087"/>
      <c r="H78" s="2182"/>
      <c r="I78" s="2182"/>
      <c r="J78" s="2183"/>
      <c r="K78" s="2089"/>
      <c r="L78" s="2090"/>
      <c r="M78" s="2218"/>
      <c r="N78" s="2129"/>
    </row>
    <row r="79" spans="1:15" ht="15" customHeight="1">
      <c r="A79" s="2196" t="s">
        <v>474</v>
      </c>
      <c r="B79" s="2100"/>
      <c r="C79" s="2212"/>
      <c r="D79" s="2176"/>
      <c r="E79" s="2176"/>
      <c r="F79" s="2177"/>
      <c r="G79" s="2186">
        <f>G52-G77</f>
        <v>6069272716.1285877</v>
      </c>
      <c r="H79" s="2187">
        <f>H52-H77</f>
        <v>1449913156.0334954</v>
      </c>
      <c r="I79" s="2187">
        <f>I52-I77</f>
        <v>0</v>
      </c>
      <c r="J79" s="2213">
        <f>J52-J77</f>
        <v>4619359558.5435591</v>
      </c>
      <c r="K79" s="2089"/>
      <c r="L79" s="2090"/>
      <c r="M79" s="2129"/>
      <c r="N79" s="2129"/>
    </row>
    <row r="80" spans="1:15" ht="15" customHeight="1">
      <c r="A80" s="2214" t="s">
        <v>84</v>
      </c>
      <c r="B80" s="2100"/>
      <c r="C80" s="2098"/>
      <c r="D80" s="2098"/>
      <c r="E80" s="2087"/>
      <c r="F80" s="2087"/>
      <c r="G80" s="2117"/>
      <c r="H80" s="2182"/>
      <c r="I80" s="2182"/>
      <c r="J80" s="2200"/>
      <c r="K80" s="2089"/>
      <c r="L80" s="2090"/>
      <c r="M80" s="2129"/>
      <c r="N80" s="2129"/>
    </row>
    <row r="81" spans="1:15" ht="15" customHeight="1" thickBot="1">
      <c r="A81" s="2219"/>
      <c r="B81" s="2099"/>
      <c r="C81" s="2105"/>
      <c r="D81" s="2105"/>
      <c r="E81" s="2106"/>
      <c r="F81" s="2106"/>
      <c r="G81" s="2121"/>
      <c r="H81" s="2220"/>
      <c r="I81" s="2220"/>
      <c r="J81" s="2221"/>
      <c r="K81" s="2089"/>
      <c r="L81" s="2090"/>
      <c r="M81" s="2129"/>
      <c r="N81" s="2129"/>
    </row>
    <row r="82" spans="1:15" ht="15" customHeight="1" thickTop="1">
      <c r="A82" s="2096" t="s">
        <v>76</v>
      </c>
      <c r="B82" s="2100"/>
      <c r="C82" s="2098"/>
      <c r="D82" s="2098"/>
      <c r="E82" s="2107"/>
      <c r="F82" s="2107"/>
      <c r="G82" s="2117"/>
      <c r="H82" s="2182"/>
      <c r="I82" s="2182"/>
      <c r="J82" s="2200"/>
      <c r="K82" s="2089"/>
      <c r="L82" s="2090"/>
      <c r="M82" s="2129"/>
      <c r="N82" s="2129"/>
    </row>
    <row r="83" spans="1:15" ht="9.9499999999999993" customHeight="1">
      <c r="A83" s="2096"/>
      <c r="B83" s="2100"/>
      <c r="C83" s="2098"/>
      <c r="D83" s="2098"/>
      <c r="E83" s="2107"/>
      <c r="F83" s="2107"/>
      <c r="G83" s="2117"/>
      <c r="H83" s="2182"/>
      <c r="I83" s="2182"/>
      <c r="J83" s="2200"/>
      <c r="K83" s="2089"/>
      <c r="L83" s="2090"/>
      <c r="M83" s="2129"/>
      <c r="N83" s="2129"/>
    </row>
    <row r="84" spans="1:15" ht="15" customHeight="1">
      <c r="A84" s="2222" t="s">
        <v>144</v>
      </c>
      <c r="B84" s="2111"/>
      <c r="C84" s="3751" t="s">
        <v>227</v>
      </c>
      <c r="D84" s="3752"/>
      <c r="E84" s="3752"/>
      <c r="F84" s="3753"/>
      <c r="G84" s="2223">
        <f>'Sch 1A - Cash Working Capital'!C24</f>
        <v>108180025.5</v>
      </c>
      <c r="H84" s="2224">
        <f>'Sch 1A - Cash Working Capital'!D24</f>
        <v>61843517.356707066</v>
      </c>
      <c r="I84" s="2225">
        <f>'Sch 1A - Cash Working Capital'!E24</f>
        <v>0</v>
      </c>
      <c r="J84" s="2226">
        <f>'Sch 1A - Cash Working Capital'!F24</f>
        <v>46336508.190641761</v>
      </c>
      <c r="K84" s="2089"/>
      <c r="L84" s="2090"/>
      <c r="M84" s="2129"/>
      <c r="N84" s="2129"/>
    </row>
    <row r="85" spans="1:15" ht="9.9499999999999993" customHeight="1">
      <c r="A85" s="2092"/>
      <c r="B85" s="2097"/>
      <c r="C85" s="2098"/>
      <c r="D85" s="2098"/>
      <c r="E85" s="2098"/>
      <c r="F85" s="2098"/>
      <c r="G85" s="2197"/>
      <c r="H85" s="2227"/>
      <c r="I85" s="2227"/>
      <c r="J85" s="2228"/>
      <c r="K85" s="2089"/>
      <c r="L85" s="2090"/>
      <c r="M85" s="2129"/>
      <c r="N85" s="2129"/>
    </row>
    <row r="86" spans="1:15" ht="15" customHeight="1">
      <c r="A86" s="2229" t="s">
        <v>272</v>
      </c>
      <c r="B86" s="2110"/>
      <c r="C86" s="2112"/>
      <c r="D86" s="2098"/>
      <c r="E86" s="2098"/>
      <c r="F86" s="2098"/>
      <c r="G86" s="2201"/>
      <c r="H86" s="2202"/>
      <c r="I86" s="2202"/>
      <c r="J86" s="2203"/>
      <c r="K86" s="2108"/>
      <c r="L86" s="2090"/>
      <c r="M86" s="2129"/>
      <c r="N86" s="2129"/>
    </row>
    <row r="87" spans="1:15" ht="15" customHeight="1">
      <c r="A87" s="2092"/>
      <c r="B87" s="2097" t="s">
        <v>432</v>
      </c>
      <c r="C87" s="2171" t="s">
        <v>69</v>
      </c>
      <c r="D87" s="2171">
        <v>105</v>
      </c>
      <c r="E87" s="2171" t="s">
        <v>390</v>
      </c>
      <c r="F87" s="2171"/>
      <c r="G87" s="2193">
        <f>'FERC p200-201 Utility Plant'!D20</f>
        <v>49315001</v>
      </c>
      <c r="H87" s="2173">
        <f>VLOOKUP($E87,Ratio,2,FALSE)*$G87</f>
        <v>0</v>
      </c>
      <c r="I87" s="2173">
        <f>VLOOKUP($E87,Ratio,3,FALSE)*$G87</f>
        <v>0</v>
      </c>
      <c r="J87" s="2174">
        <f>VLOOKUP($E87,Ratio,4,FALSE)*$G87</f>
        <v>49315001</v>
      </c>
      <c r="K87" s="2108"/>
      <c r="L87" s="2090"/>
      <c r="M87" s="2129"/>
      <c r="N87" s="2129"/>
    </row>
    <row r="88" spans="1:15" ht="15" customHeight="1">
      <c r="A88" s="2092"/>
      <c r="B88" s="2097" t="s">
        <v>77</v>
      </c>
      <c r="C88" s="2171" t="s">
        <v>69</v>
      </c>
      <c r="D88" s="2171">
        <v>106</v>
      </c>
      <c r="E88" s="2230" t="s">
        <v>99</v>
      </c>
      <c r="F88" s="2171"/>
      <c r="G88" s="2193">
        <v>0</v>
      </c>
      <c r="H88" s="2173">
        <f>VLOOKUP($E88,Ratio,2,FALSE)*$G88</f>
        <v>0</v>
      </c>
      <c r="I88" s="2173">
        <f>VLOOKUP($E88,Ratio,3,FALSE)*$G88</f>
        <v>0</v>
      </c>
      <c r="J88" s="2174">
        <f>VLOOKUP($E88,Ratio,4,FALSE)*$G88</f>
        <v>0</v>
      </c>
      <c r="K88" s="2108"/>
      <c r="L88" s="2090"/>
      <c r="M88" s="2129"/>
      <c r="N88" s="2129"/>
    </row>
    <row r="89" spans="1:15" ht="15" customHeight="1">
      <c r="A89" s="2092"/>
      <c r="B89" s="2100" t="s">
        <v>475</v>
      </c>
      <c r="C89" s="2171" t="s">
        <v>72</v>
      </c>
      <c r="D89" s="2171" t="s">
        <v>255</v>
      </c>
      <c r="E89" s="2171" t="s">
        <v>392</v>
      </c>
      <c r="F89" s="2171"/>
      <c r="G89" s="2193">
        <v>0</v>
      </c>
      <c r="H89" s="2173">
        <f>VLOOKUP($E89,Ratio,2,FALSE)*$G89</f>
        <v>0</v>
      </c>
      <c r="I89" s="2173">
        <f>VLOOKUP($E89,Ratio,3,FALSE)*$G89</f>
        <v>0</v>
      </c>
      <c r="J89" s="2174">
        <f>VLOOKUP($E89,Ratio,4,FALSE)*$G89</f>
        <v>0</v>
      </c>
      <c r="K89" s="2089"/>
      <c r="L89" s="2090"/>
      <c r="M89" s="2129"/>
      <c r="N89" s="2129"/>
    </row>
    <row r="90" spans="1:15" ht="15" customHeight="1">
      <c r="A90" s="2092"/>
      <c r="B90" s="2097" t="s">
        <v>80</v>
      </c>
      <c r="C90" s="2171" t="s">
        <v>69</v>
      </c>
      <c r="D90" s="2171" t="s">
        <v>256</v>
      </c>
      <c r="E90" s="2171" t="s">
        <v>390</v>
      </c>
      <c r="F90" s="2171"/>
      <c r="G90" s="2193">
        <f>'FERC p200-201 Utility Plant'!D21</f>
        <v>1060266765</v>
      </c>
      <c r="H90" s="2173">
        <f>VLOOKUP($E90,Ratio,2,FALSE)*$G90</f>
        <v>0</v>
      </c>
      <c r="I90" s="2173">
        <f>VLOOKUP($E90,Ratio,3,FALSE)*$G90</f>
        <v>0</v>
      </c>
      <c r="J90" s="2174">
        <f>VLOOKUP($E90,Ratio,4,FALSE)*$G90</f>
        <v>1060266765</v>
      </c>
      <c r="K90" s="2108"/>
      <c r="L90" s="2090"/>
      <c r="M90" s="2129"/>
      <c r="N90" s="2129"/>
      <c r="O90" s="2087"/>
    </row>
    <row r="91" spans="1:15" ht="15" customHeight="1">
      <c r="A91" s="2092"/>
      <c r="B91" s="2097" t="s">
        <v>222</v>
      </c>
      <c r="C91" s="2171">
        <v>356</v>
      </c>
      <c r="D91" s="2171"/>
      <c r="E91" s="2171" t="s">
        <v>90</v>
      </c>
      <c r="F91" s="2171"/>
      <c r="G91" s="2193">
        <f>'FERC p200-201 Utility Plant'!$I$23*'Four Factor Allocator'!$C$5</f>
        <v>800158907.49414837</v>
      </c>
      <c r="H91" s="2173">
        <f>IF($E91="DIRECT",$L91,VLOOKUP($E91,Ratio,2,FALSE)*$G91)</f>
        <v>263365769.24809498</v>
      </c>
      <c r="I91" s="2173">
        <f>IF($E91="DIRECT",$M91,VLOOKUP($E91,Ratio,3,FALSE)*$G91)</f>
        <v>0</v>
      </c>
      <c r="J91" s="2174">
        <f>IF($E91="DIRECT",$N91,VLOOKUP($E91,Ratio,4,FALSE)*$G91)</f>
        <v>536793138.24605334</v>
      </c>
      <c r="K91" s="2108"/>
      <c r="L91" s="2172">
        <f>'389-399 Common_Summary'!H28</f>
        <v>263365769.24809498</v>
      </c>
      <c r="M91" s="2172">
        <f>'389-399 Common_Summary'!I28</f>
        <v>0</v>
      </c>
      <c r="N91" s="2172">
        <f>'389-399 Common_Summary'!J28</f>
        <v>536793138.24605334</v>
      </c>
      <c r="O91" s="2087"/>
    </row>
    <row r="92" spans="1:15" ht="15" customHeight="1">
      <c r="A92" s="2092"/>
      <c r="B92" s="2097" t="s">
        <v>71</v>
      </c>
      <c r="C92" s="2171" t="s">
        <v>69</v>
      </c>
      <c r="D92" s="2171">
        <v>114</v>
      </c>
      <c r="E92" s="2171" t="s">
        <v>90</v>
      </c>
      <c r="F92" s="2171" t="s">
        <v>390</v>
      </c>
      <c r="G92" s="2172">
        <f>'FERC p200-201 Utility Plant'!D22</f>
        <v>282791675</v>
      </c>
      <c r="H92" s="2173">
        <f>IF($E92="DIRECT",$L92,VLOOKUP($E92,Ratio,2,FALSE)*$G92)</f>
        <v>281543144.61000001</v>
      </c>
      <c r="I92" s="2173">
        <f>IF($E92="DIRECT",$M92,VLOOKUP($E92,Ratio,3,FALSE)*$G92)</f>
        <v>0</v>
      </c>
      <c r="J92" s="2174">
        <f>IF($E92="DIRECT",$N92,VLOOKUP($E92,Ratio,4,FALSE)*$G92)</f>
        <v>1248530.26</v>
      </c>
      <c r="K92" s="2108"/>
      <c r="L92" s="2172">
        <f>'RB Adj Direct Summary'!I17</f>
        <v>281543144.61000001</v>
      </c>
      <c r="M92" s="2172">
        <f>'RB Adj Direct Summary'!J17</f>
        <v>0</v>
      </c>
      <c r="N92" s="2172">
        <f>'RB Adj Direct Summary'!K17</f>
        <v>1248530.26</v>
      </c>
      <c r="O92" s="2087"/>
    </row>
    <row r="93" spans="1:15" ht="15" customHeight="1">
      <c r="A93" s="2092"/>
      <c r="B93" s="2231" t="s">
        <v>104</v>
      </c>
      <c r="C93" s="2212"/>
      <c r="D93" s="2176"/>
      <c r="E93" s="2176"/>
      <c r="F93" s="2177"/>
      <c r="G93" s="2186">
        <f>SUM(G87:G92)</f>
        <v>2192532348.4941483</v>
      </c>
      <c r="H93" s="2187">
        <f>SUM(H87:H92)</f>
        <v>544908913.85809493</v>
      </c>
      <c r="I93" s="2187">
        <f>SUM(I87:I92)</f>
        <v>0</v>
      </c>
      <c r="J93" s="2213">
        <f>SUM(J87:J92)</f>
        <v>1647623434.5060532</v>
      </c>
      <c r="K93" s="2108"/>
      <c r="L93" s="2090"/>
      <c r="M93" s="2129"/>
      <c r="N93" s="2129"/>
      <c r="O93" s="2087"/>
    </row>
    <row r="94" spans="1:15" ht="9.9499999999999993" customHeight="1">
      <c r="A94" s="2092"/>
      <c r="B94" s="2231"/>
      <c r="C94" s="2143"/>
      <c r="D94" s="2143"/>
      <c r="E94" s="2143"/>
      <c r="F94" s="2143"/>
      <c r="G94" s="2232"/>
      <c r="H94" s="2233"/>
      <c r="I94" s="2233"/>
      <c r="J94" s="2234"/>
      <c r="K94" s="2108"/>
      <c r="L94" s="2090"/>
      <c r="M94" s="2129"/>
      <c r="N94" s="2129"/>
      <c r="O94" s="2087"/>
    </row>
    <row r="95" spans="1:15" ht="15" customHeight="1">
      <c r="A95" s="2235" t="s">
        <v>273</v>
      </c>
      <c r="B95" s="2110"/>
      <c r="C95" s="2112"/>
      <c r="D95" s="2098"/>
      <c r="E95" s="2087"/>
      <c r="F95" s="2087"/>
      <c r="G95" s="2236"/>
      <c r="H95" s="2237"/>
      <c r="I95" s="2237"/>
      <c r="J95" s="2238"/>
      <c r="K95" s="2108"/>
      <c r="L95" s="2090"/>
      <c r="M95" s="2129"/>
      <c r="N95" s="2129"/>
      <c r="O95" s="2087"/>
    </row>
    <row r="96" spans="1:15" ht="15" customHeight="1">
      <c r="A96" s="2092"/>
      <c r="B96" s="2185" t="s">
        <v>443</v>
      </c>
      <c r="C96" s="2171" t="s">
        <v>78</v>
      </c>
      <c r="D96" s="2171">
        <v>123</v>
      </c>
      <c r="E96" s="2171" t="s">
        <v>90</v>
      </c>
      <c r="F96" s="2171" t="s">
        <v>390</v>
      </c>
      <c r="G96" s="2172">
        <f>'FERC p110-111 Assets'!D30</f>
        <v>0</v>
      </c>
      <c r="H96" s="2173">
        <f>IF($E96="DIRECT",$L96,VLOOKUP($E96,Ratio,2,FALSE)*$G96)</f>
        <v>0</v>
      </c>
      <c r="I96" s="2173">
        <f>IF($E96="DIRECT",$M96,VLOOKUP($E96,Ratio,3,FALSE)*$G96)</f>
        <v>0</v>
      </c>
      <c r="J96" s="2174">
        <f>IF($E96="DIRECT",$N96,VLOOKUP($E96,Ratio,4,FALSE)*$G96)</f>
        <v>0</v>
      </c>
      <c r="K96" s="2108"/>
      <c r="L96" s="2172">
        <f>'RB Adj Direct Summary'!I26</f>
        <v>0</v>
      </c>
      <c r="M96" s="2172">
        <f>'RB Adj Direct Summary'!J26</f>
        <v>0</v>
      </c>
      <c r="N96" s="2172">
        <f>'RB Adj Direct Summary'!K26</f>
        <v>0</v>
      </c>
      <c r="O96" s="2087"/>
    </row>
    <row r="97" spans="1:14" ht="15" customHeight="1">
      <c r="A97" s="2092"/>
      <c r="B97" s="2097" t="s">
        <v>476</v>
      </c>
      <c r="C97" s="2171" t="s">
        <v>78</v>
      </c>
      <c r="D97" s="2171">
        <v>124</v>
      </c>
      <c r="E97" s="2171" t="s">
        <v>390</v>
      </c>
      <c r="F97" s="2171"/>
      <c r="G97" s="2193">
        <f>'Reconcile Other RB Items'!H19</f>
        <v>29310581.839956224</v>
      </c>
      <c r="H97" s="2173">
        <f>VLOOKUP($E97,Ratio,2,FALSE)*$G97</f>
        <v>0</v>
      </c>
      <c r="I97" s="2173">
        <f>VLOOKUP($E97,Ratio,3,FALSE)*$G97</f>
        <v>0</v>
      </c>
      <c r="J97" s="2174">
        <f>VLOOKUP($E97,Ratio,4,FALSE)*$G97</f>
        <v>29310581.839956224</v>
      </c>
      <c r="K97" s="2108"/>
      <c r="L97" s="2090"/>
      <c r="M97" s="2129"/>
      <c r="N97" s="2129"/>
    </row>
    <row r="98" spans="1:14" ht="15" customHeight="1">
      <c r="A98" s="2092"/>
      <c r="B98" s="2110" t="s">
        <v>6</v>
      </c>
      <c r="C98" s="2171" t="s">
        <v>78</v>
      </c>
      <c r="D98" s="2171">
        <v>175</v>
      </c>
      <c r="E98" s="2171" t="s">
        <v>390</v>
      </c>
      <c r="F98" s="2171"/>
      <c r="G98" s="2193">
        <f>'Reconcile Other RB Items'!I349</f>
        <v>30098821.84</v>
      </c>
      <c r="H98" s="2173">
        <f>VLOOKUP($E98,Ratio,2,FALSE)*$G98</f>
        <v>0</v>
      </c>
      <c r="I98" s="2173">
        <f>VLOOKUP($E98,Ratio,3,FALSE)*$G98</f>
        <v>0</v>
      </c>
      <c r="J98" s="2174">
        <f>VLOOKUP($E98,Ratio,4,FALSE)*$G98</f>
        <v>30098821.84</v>
      </c>
      <c r="K98" s="2108"/>
      <c r="L98" s="2090"/>
      <c r="M98" s="2129"/>
      <c r="N98" s="2129"/>
    </row>
    <row r="99" spans="1:14" ht="15" customHeight="1">
      <c r="A99" s="2092"/>
      <c r="B99" s="2110" t="s">
        <v>370</v>
      </c>
      <c r="C99" s="2171" t="s">
        <v>78</v>
      </c>
      <c r="D99" s="2171">
        <v>176</v>
      </c>
      <c r="E99" s="2171" t="s">
        <v>390</v>
      </c>
      <c r="F99" s="2171"/>
      <c r="G99" s="2193">
        <f>'Reconcile Other RB Items'!I353</f>
        <v>0</v>
      </c>
      <c r="H99" s="2173">
        <f>VLOOKUP($E99,Ratio,2,FALSE)*$G99</f>
        <v>0</v>
      </c>
      <c r="I99" s="2173">
        <f>VLOOKUP($E99,Ratio,3,FALSE)*$G99</f>
        <v>0</v>
      </c>
      <c r="J99" s="2174">
        <f>VLOOKUP($E99,Ratio,4,FALSE)*$G99</f>
        <v>0</v>
      </c>
      <c r="K99" s="2108"/>
      <c r="L99" s="2090"/>
      <c r="M99" s="2129"/>
      <c r="N99" s="2129"/>
    </row>
    <row r="100" spans="1:14" ht="15" customHeight="1">
      <c r="A100" s="2092"/>
      <c r="B100" s="2231" t="s">
        <v>104</v>
      </c>
      <c r="C100" s="2212"/>
      <c r="D100" s="2176"/>
      <c r="E100" s="2176"/>
      <c r="F100" s="2177"/>
      <c r="G100" s="2186">
        <f>SUM(G96:G99)</f>
        <v>59409403.679956228</v>
      </c>
      <c r="H100" s="2187">
        <f>SUM(H96:H99)</f>
        <v>0</v>
      </c>
      <c r="I100" s="2187">
        <f>SUM(I96:I99)</f>
        <v>0</v>
      </c>
      <c r="J100" s="2213">
        <f>SUM(J96:J99)</f>
        <v>59409403.679956228</v>
      </c>
      <c r="K100" s="2108"/>
      <c r="L100" s="2090"/>
      <c r="M100" s="2129"/>
      <c r="N100" s="2129"/>
    </row>
    <row r="101" spans="1:14" ht="9.9499999999999993" customHeight="1">
      <c r="A101" s="2092"/>
      <c r="B101" s="2231"/>
      <c r="C101" s="2143"/>
      <c r="D101" s="2143"/>
      <c r="E101" s="2143"/>
      <c r="F101" s="2143"/>
      <c r="G101" s="2232"/>
      <c r="H101" s="2233"/>
      <c r="I101" s="2233"/>
      <c r="J101" s="2234"/>
      <c r="K101" s="2108"/>
      <c r="L101" s="2090"/>
      <c r="M101" s="2129"/>
      <c r="N101" s="2129"/>
    </row>
    <row r="102" spans="1:14" ht="15" customHeight="1">
      <c r="A102" s="2229" t="s">
        <v>177</v>
      </c>
      <c r="B102" s="2110"/>
      <c r="C102" s="2112"/>
      <c r="D102" s="2098"/>
      <c r="E102" s="2087"/>
      <c r="F102" s="2087"/>
      <c r="G102" s="2197"/>
      <c r="H102" s="2198"/>
      <c r="I102" s="2198"/>
      <c r="J102" s="2199"/>
      <c r="K102" s="2108"/>
      <c r="L102" s="2090"/>
      <c r="M102" s="2129"/>
      <c r="N102" s="2129"/>
    </row>
    <row r="103" spans="1:14" ht="15" customHeight="1">
      <c r="A103" s="2092"/>
      <c r="B103" s="2097" t="s">
        <v>435</v>
      </c>
      <c r="C103" s="2171" t="s">
        <v>78</v>
      </c>
      <c r="D103" s="2171">
        <v>151</v>
      </c>
      <c r="E103" s="2171" t="s">
        <v>392</v>
      </c>
      <c r="F103" s="2171"/>
      <c r="G103" s="2193">
        <f>'Reconcile Other RB Items'!H51</f>
        <v>32051446.329999998</v>
      </c>
      <c r="H103" s="2173">
        <f t="shared" ref="H103:H115" si="6">VLOOKUP($E103,Ratio,2,FALSE)*$G103</f>
        <v>32051446.329999998</v>
      </c>
      <c r="I103" s="2173">
        <f t="shared" ref="I103:I115" si="7">VLOOKUP($E103,Ratio,3,FALSE)*$G103</f>
        <v>0</v>
      </c>
      <c r="J103" s="2174">
        <f t="shared" ref="J103:J115" si="8">VLOOKUP($E103,Ratio,4,FALSE)*$G103</f>
        <v>0</v>
      </c>
      <c r="K103" s="2108"/>
      <c r="L103" s="2090"/>
      <c r="M103" s="2129"/>
      <c r="N103" s="2129"/>
    </row>
    <row r="104" spans="1:14" ht="15" customHeight="1">
      <c r="A104" s="2092"/>
      <c r="B104" s="2110" t="s">
        <v>7</v>
      </c>
      <c r="C104" s="2171" t="s">
        <v>78</v>
      </c>
      <c r="D104" s="2171">
        <v>152</v>
      </c>
      <c r="E104" s="2171" t="s">
        <v>392</v>
      </c>
      <c r="F104" s="2171"/>
      <c r="G104" s="2193">
        <f>'FERC p110-111 Assets'!D56</f>
        <v>0</v>
      </c>
      <c r="H104" s="2173">
        <f t="shared" si="6"/>
        <v>0</v>
      </c>
      <c r="I104" s="2173">
        <f t="shared" si="7"/>
        <v>0</v>
      </c>
      <c r="J104" s="2174">
        <f t="shared" si="8"/>
        <v>0</v>
      </c>
      <c r="K104" s="2108"/>
      <c r="L104" s="2090"/>
      <c r="M104" s="2129"/>
      <c r="N104" s="2129"/>
    </row>
    <row r="105" spans="1:14" ht="15" customHeight="1">
      <c r="A105" s="2092"/>
      <c r="B105" s="2097" t="s">
        <v>79</v>
      </c>
      <c r="C105" s="2171" t="s">
        <v>78</v>
      </c>
      <c r="D105" s="2171">
        <v>154</v>
      </c>
      <c r="E105" s="2171" t="s">
        <v>99</v>
      </c>
      <c r="F105" s="2171"/>
      <c r="G105" s="2193">
        <f>'Reconcile Other RB Items'!H66</f>
        <v>147763213.27615592</v>
      </c>
      <c r="H105" s="2173">
        <f t="shared" si="6"/>
        <v>51582876.294156879</v>
      </c>
      <c r="I105" s="2173">
        <f t="shared" si="7"/>
        <v>0</v>
      </c>
      <c r="J105" s="2174">
        <f t="shared" si="8"/>
        <v>96180336.98199904</v>
      </c>
      <c r="K105" s="2108"/>
      <c r="L105" s="2090"/>
      <c r="M105" s="2129"/>
      <c r="N105" s="2129"/>
    </row>
    <row r="106" spans="1:14" ht="15" customHeight="1">
      <c r="A106" s="2092"/>
      <c r="B106" s="2097" t="s">
        <v>351</v>
      </c>
      <c r="C106" s="2171" t="s">
        <v>78</v>
      </c>
      <c r="D106" s="2171">
        <v>155</v>
      </c>
      <c r="E106" s="2171" t="s">
        <v>390</v>
      </c>
      <c r="F106" s="2171"/>
      <c r="G106" s="2193">
        <f>'FERC p110-111 Assets'!D59</f>
        <v>0</v>
      </c>
      <c r="H106" s="2173">
        <f t="shared" si="6"/>
        <v>0</v>
      </c>
      <c r="I106" s="2173">
        <f t="shared" si="7"/>
        <v>0</v>
      </c>
      <c r="J106" s="2174">
        <f t="shared" si="8"/>
        <v>0</v>
      </c>
      <c r="K106" s="2108"/>
      <c r="L106" s="2090"/>
      <c r="M106" s="2129"/>
      <c r="N106" s="2129"/>
    </row>
    <row r="107" spans="1:14" ht="15" customHeight="1">
      <c r="A107" s="2092"/>
      <c r="B107" s="2097" t="s">
        <v>352</v>
      </c>
      <c r="C107" s="2171" t="s">
        <v>78</v>
      </c>
      <c r="D107" s="2171">
        <v>156</v>
      </c>
      <c r="E107" s="2171" t="s">
        <v>390</v>
      </c>
      <c r="F107" s="2171"/>
      <c r="G107" s="2193">
        <f>'Reconcile Other RB Items'!H70</f>
        <v>0</v>
      </c>
      <c r="H107" s="2173">
        <f t="shared" si="6"/>
        <v>0</v>
      </c>
      <c r="I107" s="2173">
        <f t="shared" si="7"/>
        <v>0</v>
      </c>
      <c r="J107" s="2174">
        <f t="shared" si="8"/>
        <v>0</v>
      </c>
      <c r="K107" s="2108"/>
      <c r="L107" s="2090"/>
      <c r="M107" s="2129"/>
      <c r="N107" s="2129"/>
    </row>
    <row r="108" spans="1:14" ht="15" customHeight="1">
      <c r="A108" s="2092"/>
      <c r="B108" s="2097" t="s">
        <v>353</v>
      </c>
      <c r="C108" s="2171" t="s">
        <v>78</v>
      </c>
      <c r="D108" s="2171">
        <v>158.1</v>
      </c>
      <c r="E108" s="2171" t="s">
        <v>392</v>
      </c>
      <c r="F108" s="2171"/>
      <c r="G108" s="2193">
        <f>'Reconcile Other RB Items'!H80</f>
        <v>-93977950.769999996</v>
      </c>
      <c r="H108" s="2173">
        <f t="shared" si="6"/>
        <v>-93977950.769999996</v>
      </c>
      <c r="I108" s="2173">
        <f t="shared" si="7"/>
        <v>0</v>
      </c>
      <c r="J108" s="2174">
        <f t="shared" si="8"/>
        <v>0</v>
      </c>
      <c r="K108" s="2108"/>
      <c r="L108" s="2090"/>
      <c r="M108" s="2129"/>
      <c r="N108" s="2129"/>
    </row>
    <row r="109" spans="1:14" ht="15" customHeight="1">
      <c r="A109" s="2092"/>
      <c r="B109" s="2097" t="s">
        <v>178</v>
      </c>
      <c r="C109" s="2171" t="s">
        <v>78</v>
      </c>
      <c r="D109" s="2171">
        <v>158.19999999999999</v>
      </c>
      <c r="E109" s="2171" t="s">
        <v>392</v>
      </c>
      <c r="F109" s="2171"/>
      <c r="G109" s="2193">
        <f>'FERC p110-111 Assets'!D62-G108-'Reconcile Other RB Items'!$G$77</f>
        <v>-0.23000000417232513</v>
      </c>
      <c r="H109" s="2173">
        <f t="shared" si="6"/>
        <v>-0.23000000417232513</v>
      </c>
      <c r="I109" s="2173">
        <f t="shared" si="7"/>
        <v>0</v>
      </c>
      <c r="J109" s="2174">
        <f t="shared" si="8"/>
        <v>0</v>
      </c>
      <c r="K109" s="2108"/>
      <c r="L109" s="2090"/>
      <c r="M109" s="2129"/>
      <c r="N109" s="2129"/>
    </row>
    <row r="110" spans="1:14" ht="14.25" customHeight="1">
      <c r="A110" s="2092"/>
      <c r="B110" s="2097" t="s">
        <v>55</v>
      </c>
      <c r="C110" s="2171" t="s">
        <v>78</v>
      </c>
      <c r="D110" s="2171">
        <v>163</v>
      </c>
      <c r="E110" s="2171" t="s">
        <v>99</v>
      </c>
      <c r="F110" s="2171"/>
      <c r="G110" s="2193">
        <f>'Reconcile Other RB Items'!H86</f>
        <v>-861822.14029058116</v>
      </c>
      <c r="H110" s="2173">
        <f t="shared" si="6"/>
        <v>-300854.75176485057</v>
      </c>
      <c r="I110" s="2173">
        <f t="shared" si="7"/>
        <v>0</v>
      </c>
      <c r="J110" s="2174">
        <f t="shared" si="8"/>
        <v>-560967.38852573058</v>
      </c>
      <c r="K110" s="2108"/>
      <c r="L110" s="2090"/>
      <c r="M110" s="2129"/>
      <c r="N110" s="2129"/>
    </row>
    <row r="111" spans="1:14" ht="15" customHeight="1">
      <c r="A111" s="2092"/>
      <c r="B111" s="2097" t="s">
        <v>8</v>
      </c>
      <c r="C111" s="2171" t="s">
        <v>78</v>
      </c>
      <c r="D111" s="2171">
        <v>165</v>
      </c>
      <c r="E111" s="2171" t="s">
        <v>99</v>
      </c>
      <c r="F111" s="2171"/>
      <c r="G111" s="2193">
        <f>'Reconcile Other RB Items'!H334</f>
        <v>57629356.754719973</v>
      </c>
      <c r="H111" s="2173">
        <f t="shared" si="6"/>
        <v>20117916.458915066</v>
      </c>
      <c r="I111" s="2173">
        <f t="shared" si="7"/>
        <v>0</v>
      </c>
      <c r="J111" s="2174">
        <f t="shared" si="8"/>
        <v>37511440.29580491</v>
      </c>
      <c r="K111" s="2108"/>
      <c r="L111" s="2090"/>
      <c r="M111" s="2129"/>
      <c r="N111" s="2129"/>
    </row>
    <row r="112" spans="1:14" ht="15" customHeight="1">
      <c r="A112" s="2092"/>
      <c r="B112" s="2110" t="s">
        <v>9</v>
      </c>
      <c r="C112" s="2171" t="s">
        <v>78</v>
      </c>
      <c r="D112" s="2171">
        <v>175</v>
      </c>
      <c r="E112" s="2171" t="s">
        <v>390</v>
      </c>
      <c r="F112" s="2171"/>
      <c r="G112" s="2193">
        <f>'Reconcile Other RB Items'!H342</f>
        <v>3021644.13</v>
      </c>
      <c r="H112" s="2173">
        <f t="shared" si="6"/>
        <v>0</v>
      </c>
      <c r="I112" s="2173">
        <f t="shared" si="7"/>
        <v>0</v>
      </c>
      <c r="J112" s="2174">
        <f t="shared" si="8"/>
        <v>3021644.13</v>
      </c>
      <c r="K112" s="2108"/>
      <c r="L112" s="2090"/>
      <c r="M112" s="2129"/>
      <c r="N112" s="2129"/>
    </row>
    <row r="113" spans="1:15" ht="15" customHeight="1">
      <c r="A113" s="2092"/>
      <c r="B113" s="2239" t="s">
        <v>8368</v>
      </c>
      <c r="C113" s="2171" t="s">
        <v>78</v>
      </c>
      <c r="D113" s="2171">
        <v>175</v>
      </c>
      <c r="E113" s="2171" t="s">
        <v>390</v>
      </c>
      <c r="F113" s="2171"/>
      <c r="G113" s="2193">
        <f>G98</f>
        <v>30098821.84</v>
      </c>
      <c r="H113" s="2173">
        <f t="shared" si="6"/>
        <v>0</v>
      </c>
      <c r="I113" s="2173">
        <f t="shared" si="7"/>
        <v>0</v>
      </c>
      <c r="J113" s="2174">
        <f t="shared" si="8"/>
        <v>30098821.84</v>
      </c>
      <c r="K113" s="2108"/>
      <c r="L113" s="2090"/>
      <c r="M113" s="2129"/>
      <c r="N113" s="2129"/>
    </row>
    <row r="114" spans="1:15" ht="15" customHeight="1">
      <c r="A114" s="2092"/>
      <c r="B114" s="2110" t="s">
        <v>332</v>
      </c>
      <c r="C114" s="2240" t="s">
        <v>78</v>
      </c>
      <c r="D114" s="2240">
        <v>176</v>
      </c>
      <c r="E114" s="2240" t="s">
        <v>390</v>
      </c>
      <c r="F114" s="2171"/>
      <c r="G114" s="2193">
        <f>'Reconcile Other RB Items'!H353</f>
        <v>0</v>
      </c>
      <c r="H114" s="2173">
        <f t="shared" si="6"/>
        <v>0</v>
      </c>
      <c r="I114" s="2173">
        <f t="shared" si="7"/>
        <v>0</v>
      </c>
      <c r="J114" s="2174">
        <f t="shared" si="8"/>
        <v>0</v>
      </c>
      <c r="K114" s="2108"/>
      <c r="L114" s="2090"/>
      <c r="M114" s="2129"/>
      <c r="N114" s="2129"/>
    </row>
    <row r="115" spans="1:15" ht="15" customHeight="1">
      <c r="A115" s="2092"/>
      <c r="B115" s="2239" t="s">
        <v>8369</v>
      </c>
      <c r="C115" s="2240" t="s">
        <v>78</v>
      </c>
      <c r="D115" s="2240">
        <v>176</v>
      </c>
      <c r="E115" s="2240" t="s">
        <v>390</v>
      </c>
      <c r="F115" s="2171"/>
      <c r="G115" s="2193">
        <f>G99</f>
        <v>0</v>
      </c>
      <c r="H115" s="2173">
        <f t="shared" si="6"/>
        <v>0</v>
      </c>
      <c r="I115" s="2173">
        <f t="shared" si="7"/>
        <v>0</v>
      </c>
      <c r="J115" s="2174">
        <f t="shared" si="8"/>
        <v>0</v>
      </c>
      <c r="K115" s="2108"/>
      <c r="L115" s="2090"/>
      <c r="M115" s="2129"/>
      <c r="N115" s="2129"/>
    </row>
    <row r="116" spans="1:15" ht="15" customHeight="1" thickBot="1">
      <c r="A116" s="2092"/>
      <c r="B116" s="2231" t="s">
        <v>104</v>
      </c>
      <c r="C116" s="2241"/>
      <c r="D116" s="2242"/>
      <c r="E116" s="2242"/>
      <c r="F116" s="2243"/>
      <c r="G116" s="2244">
        <f>SUM(G103:G112,G114)-G113-G115</f>
        <v>115527065.51058531</v>
      </c>
      <c r="H116" s="2245">
        <f>SUM(H103:H112,H114)-H113-H115</f>
        <v>9473433.3313070927</v>
      </c>
      <c r="I116" s="2245">
        <f>SUM(I103:I112,I114)-I113-I115</f>
        <v>0</v>
      </c>
      <c r="J116" s="2246">
        <f>SUM(J103:J112,J114)-J113-J115</f>
        <v>106053632.17927822</v>
      </c>
      <c r="K116" s="2108"/>
      <c r="L116" s="2090"/>
      <c r="M116" s="2129"/>
      <c r="N116" s="2129"/>
    </row>
    <row r="117" spans="1:15" ht="4.5" customHeight="1" thickTop="1">
      <c r="A117" s="2109"/>
      <c r="B117" s="2247"/>
      <c r="C117" s="2248"/>
      <c r="D117" s="2248"/>
      <c r="E117" s="2248"/>
      <c r="F117" s="2248"/>
      <c r="G117" s="2249"/>
      <c r="H117" s="2250"/>
      <c r="I117" s="2250"/>
      <c r="J117" s="2251"/>
      <c r="K117" s="2108"/>
      <c r="L117" s="2090"/>
      <c r="M117" s="2129"/>
      <c r="N117" s="2129"/>
    </row>
    <row r="118" spans="1:15" ht="15" customHeight="1">
      <c r="A118" s="2229" t="s">
        <v>179</v>
      </c>
      <c r="B118" s="2110"/>
      <c r="C118" s="2112"/>
      <c r="D118" s="2098"/>
      <c r="E118" s="2087"/>
      <c r="F118" s="2087"/>
      <c r="G118" s="2201"/>
      <c r="H118" s="2202"/>
      <c r="I118" s="2202"/>
      <c r="J118" s="2203"/>
      <c r="K118" s="2108"/>
      <c r="L118" s="2090"/>
      <c r="M118" s="2129"/>
      <c r="N118" s="2129"/>
    </row>
    <row r="119" spans="1:15" ht="15" customHeight="1">
      <c r="A119" s="2092"/>
      <c r="B119" s="2110" t="s">
        <v>10</v>
      </c>
      <c r="C119" s="2171" t="s">
        <v>78</v>
      </c>
      <c r="D119" s="2171">
        <v>181</v>
      </c>
      <c r="E119" s="2171" t="s">
        <v>108</v>
      </c>
      <c r="F119" s="2171"/>
      <c r="G119" s="2193">
        <f>'Reconcile Other RB Items'!H389</f>
        <v>15369566.283713212</v>
      </c>
      <c r="H119" s="2173">
        <f>VLOOKUP($E119,Ratio,2,FALSE)*$G119</f>
        <v>5377390.0108669996</v>
      </c>
      <c r="I119" s="2173">
        <f>VLOOKUP($E119,Ratio,3,FALSE)*$G119</f>
        <v>0</v>
      </c>
      <c r="J119" s="2174">
        <f>VLOOKUP($E119,Ratio,4,FALSE)*$G119</f>
        <v>9992176.269904526</v>
      </c>
      <c r="K119" s="2108"/>
      <c r="L119" s="2090"/>
      <c r="M119" s="2129"/>
      <c r="N119" s="2129"/>
      <c r="O119" s="2087"/>
    </row>
    <row r="120" spans="1:15" ht="15" customHeight="1">
      <c r="A120" s="2092"/>
      <c r="B120" s="2110" t="s">
        <v>11</v>
      </c>
      <c r="C120" s="2171" t="s">
        <v>78</v>
      </c>
      <c r="D120" s="2171">
        <v>182.1</v>
      </c>
      <c r="E120" s="2171" t="s">
        <v>90</v>
      </c>
      <c r="F120" s="2171" t="s">
        <v>390</v>
      </c>
      <c r="G120" s="2172">
        <f>SUM('RB Adj Direct Summary'!I47:K47)</f>
        <v>95753809.859999985</v>
      </c>
      <c r="H120" s="2173">
        <f>IF($E120="DIRECT",$L120,VLOOKUP($E120,Ratio,2,FALSE)*$G120)</f>
        <v>0</v>
      </c>
      <c r="I120" s="2173">
        <f>IF($E120="DIRECT",$M120,VLOOKUP($E120,Ratio,3,FALSE)*$G120)</f>
        <v>0</v>
      </c>
      <c r="J120" s="2174">
        <f>IF($E120="DIRECT",$N120,VLOOKUP($E120,Ratio,4,FALSE)*$G120)</f>
        <v>95753809.859999985</v>
      </c>
      <c r="K120" s="2108"/>
      <c r="L120" s="2172">
        <f>'RB Adj Direct Summary'!I47</f>
        <v>0</v>
      </c>
      <c r="M120" s="2172">
        <f>'RB Adj Direct Summary'!J47</f>
        <v>0</v>
      </c>
      <c r="N120" s="2172">
        <f>'RB Adj Direct Summary'!K47</f>
        <v>95753809.859999985</v>
      </c>
      <c r="O120" s="2087"/>
    </row>
    <row r="121" spans="1:15" ht="15" customHeight="1">
      <c r="A121" s="2092"/>
      <c r="B121" s="2110" t="s">
        <v>12</v>
      </c>
      <c r="C121" s="2171" t="s">
        <v>78</v>
      </c>
      <c r="D121" s="2171">
        <v>182.2</v>
      </c>
      <c r="E121" s="2171" t="s">
        <v>90</v>
      </c>
      <c r="F121" s="2171" t="s">
        <v>390</v>
      </c>
      <c r="G121" s="2172">
        <f>SUM('RB Adj Direct Summary'!I58:K58)</f>
        <v>0</v>
      </c>
      <c r="H121" s="2173">
        <f>IF($E121="DIRECT",$L121,VLOOKUP($E121,Ratio,2,FALSE)*$G121)</f>
        <v>0</v>
      </c>
      <c r="I121" s="2173">
        <f>IF($E121="DIRECT",$M121,VLOOKUP($E121,Ratio,3,FALSE)*$G121)</f>
        <v>0</v>
      </c>
      <c r="J121" s="2174">
        <f>IF($E121="DIRECT",$N121,VLOOKUP($E121,Ratio,4,FALSE)*$G121)</f>
        <v>0</v>
      </c>
      <c r="K121" s="2108"/>
      <c r="L121" s="2172">
        <f>'RB Adj Direct Summary'!I58</f>
        <v>0</v>
      </c>
      <c r="M121" s="2172">
        <f>'RB Adj Direct Summary'!J58</f>
        <v>0</v>
      </c>
      <c r="N121" s="2172">
        <f>'RB Adj Direct Summary'!K58</f>
        <v>0</v>
      </c>
      <c r="O121" s="2087"/>
    </row>
    <row r="122" spans="1:15" ht="15" customHeight="1">
      <c r="A122" s="2092"/>
      <c r="B122" s="2110" t="s">
        <v>13</v>
      </c>
      <c r="C122" s="2171" t="s">
        <v>78</v>
      </c>
      <c r="D122" s="2171">
        <v>182.3</v>
      </c>
      <c r="E122" s="2171" t="s">
        <v>90</v>
      </c>
      <c r="F122" s="2171" t="s">
        <v>390</v>
      </c>
      <c r="G122" s="2172">
        <f>SUM('RB Adj Direct Summary'!I326:K326)</f>
        <v>591927572.39124942</v>
      </c>
      <c r="H122" s="2173">
        <f>IF($E122="DIRECT",$L122,VLOOKUP($E122,Ratio,2,FALSE)*$G122)</f>
        <v>307143997.88341385</v>
      </c>
      <c r="I122" s="2173">
        <f>IF($E122="DIRECT",$M122,VLOOKUP($E122,Ratio,3,FALSE)*$G122)</f>
        <v>0</v>
      </c>
      <c r="J122" s="2174">
        <f>IF($E122="DIRECT",$N122,VLOOKUP($E122,Ratio,4,FALSE)*$G122)</f>
        <v>284783574.50783557</v>
      </c>
      <c r="K122" s="2108"/>
      <c r="L122" s="2172">
        <f>'RB Adj Direct Summary'!I326</f>
        <v>307143997.88341385</v>
      </c>
      <c r="M122" s="2172">
        <f>'RB Adj Direct Summary'!J326</f>
        <v>0</v>
      </c>
      <c r="N122" s="2172">
        <f>'RB Adj Direct Summary'!K326</f>
        <v>284783574.50783557</v>
      </c>
      <c r="O122" s="2087"/>
    </row>
    <row r="123" spans="1:15" ht="15" customHeight="1">
      <c r="A123" s="2092"/>
      <c r="B123" s="2110" t="s">
        <v>183</v>
      </c>
      <c r="C123" s="2171" t="s">
        <v>78</v>
      </c>
      <c r="D123" s="2171">
        <v>183</v>
      </c>
      <c r="E123" s="2171" t="s">
        <v>390</v>
      </c>
      <c r="F123" s="2171"/>
      <c r="G123" s="2193">
        <f>'Reconcile Other RB Items'!H396</f>
        <v>779621.87999999989</v>
      </c>
      <c r="H123" s="2173">
        <f>VLOOKUP($E123,Ratio,2,FALSE)*$G123</f>
        <v>0</v>
      </c>
      <c r="I123" s="2173">
        <f>VLOOKUP($E123,Ratio,3,FALSE)*$G123</f>
        <v>0</v>
      </c>
      <c r="J123" s="2174">
        <f>VLOOKUP($E123,Ratio,4,FALSE)*$G123</f>
        <v>779621.87999999989</v>
      </c>
      <c r="K123" s="2108"/>
      <c r="L123" s="2252"/>
      <c r="M123" s="2136"/>
      <c r="N123" s="2136"/>
      <c r="O123" s="2087"/>
    </row>
    <row r="124" spans="1:15" ht="15" customHeight="1">
      <c r="A124" s="2092"/>
      <c r="B124" s="2110" t="s">
        <v>14</v>
      </c>
      <c r="C124" s="2171" t="s">
        <v>78</v>
      </c>
      <c r="D124" s="2171">
        <v>183.1</v>
      </c>
      <c r="E124" s="2171" t="s">
        <v>390</v>
      </c>
      <c r="F124" s="2171"/>
      <c r="G124" s="2193">
        <f>'FERC p110-111 Assets'!D87</f>
        <v>0</v>
      </c>
      <c r="H124" s="2173">
        <f>VLOOKUP($E124,Ratio,2,FALSE)*$G124</f>
        <v>0</v>
      </c>
      <c r="I124" s="2173">
        <f>VLOOKUP($E124,Ratio,3,FALSE)*$G124</f>
        <v>0</v>
      </c>
      <c r="J124" s="2174">
        <f>VLOOKUP($E124,Ratio,4,FALSE)*$G124</f>
        <v>0</v>
      </c>
      <c r="K124" s="2108"/>
      <c r="L124" s="2090"/>
      <c r="M124" s="2129"/>
      <c r="N124" s="2129"/>
    </row>
    <row r="125" spans="1:15" ht="15" customHeight="1">
      <c r="A125" s="2092"/>
      <c r="B125" s="2110" t="s">
        <v>444</v>
      </c>
      <c r="C125" s="2171" t="s">
        <v>78</v>
      </c>
      <c r="D125" s="2171">
        <v>183.2</v>
      </c>
      <c r="E125" s="2171" t="s">
        <v>390</v>
      </c>
      <c r="F125" s="2171"/>
      <c r="G125" s="2193">
        <f>'FERC p110-111 Assets'!D88</f>
        <v>0</v>
      </c>
      <c r="H125" s="2173">
        <f>VLOOKUP($E125,Ratio,2,FALSE)*$G125</f>
        <v>0</v>
      </c>
      <c r="I125" s="2173">
        <f>VLOOKUP($E125,Ratio,3,FALSE)*$G125</f>
        <v>0</v>
      </c>
      <c r="J125" s="2174">
        <f>VLOOKUP($E125,Ratio,4,FALSE)*$G125</f>
        <v>0</v>
      </c>
      <c r="K125" s="2108"/>
      <c r="L125" s="2090"/>
      <c r="M125" s="2129"/>
      <c r="N125" s="2129"/>
    </row>
    <row r="126" spans="1:15" ht="15" customHeight="1">
      <c r="A126" s="2092"/>
      <c r="B126" s="2110" t="s">
        <v>15</v>
      </c>
      <c r="C126" s="2171" t="s">
        <v>78</v>
      </c>
      <c r="D126" s="2171">
        <v>184</v>
      </c>
      <c r="E126" s="2171" t="s">
        <v>390</v>
      </c>
      <c r="F126" s="2171"/>
      <c r="G126" s="2193">
        <f>'Reconcile Other RB Items'!H428</f>
        <v>0</v>
      </c>
      <c r="H126" s="2173">
        <f>VLOOKUP($E126,Ratio,2,FALSE)*$G126</f>
        <v>0</v>
      </c>
      <c r="I126" s="2173">
        <f>VLOOKUP($E126,Ratio,3,FALSE)*$G126</f>
        <v>0</v>
      </c>
      <c r="J126" s="2174">
        <f>VLOOKUP($E126,Ratio,4,FALSE)*$G126</f>
        <v>0</v>
      </c>
      <c r="K126" s="2108"/>
      <c r="L126" s="2090"/>
      <c r="M126" s="2129"/>
      <c r="N126" s="2129"/>
    </row>
    <row r="127" spans="1:15" ht="15" customHeight="1">
      <c r="A127" s="2092"/>
      <c r="B127" s="2110" t="s">
        <v>16</v>
      </c>
      <c r="C127" s="2171" t="s">
        <v>78</v>
      </c>
      <c r="D127" s="2171">
        <v>185</v>
      </c>
      <c r="E127" s="2171" t="s">
        <v>108</v>
      </c>
      <c r="F127" s="2171"/>
      <c r="G127" s="2193">
        <f>'Reconcile Other RB Items'!H432</f>
        <v>120988.12387947456</v>
      </c>
      <c r="H127" s="2173">
        <f>VLOOKUP($E127,Ratio,2,FALSE)*$G127</f>
        <v>42330.428638864869</v>
      </c>
      <c r="I127" s="2173">
        <f>VLOOKUP($E127,Ratio,3,FALSE)*$G127</f>
        <v>0</v>
      </c>
      <c r="J127" s="2174">
        <f>VLOOKUP($E127,Ratio,4,FALSE)*$G127</f>
        <v>78657.695217452958</v>
      </c>
      <c r="K127" s="2108"/>
      <c r="L127" s="2090"/>
      <c r="M127" s="2129"/>
      <c r="N127" s="2129"/>
      <c r="O127" s="2087"/>
    </row>
    <row r="128" spans="1:15" ht="15" customHeight="1">
      <c r="A128" s="2092"/>
      <c r="B128" s="2110" t="s">
        <v>17</v>
      </c>
      <c r="C128" s="2171" t="s">
        <v>78</v>
      </c>
      <c r="D128" s="2171">
        <v>186</v>
      </c>
      <c r="E128" s="2171" t="s">
        <v>90</v>
      </c>
      <c r="F128" s="2171" t="s">
        <v>390</v>
      </c>
      <c r="G128" s="2172">
        <f>SUM('RB Adj Direct Summary'!I495:K495)</f>
        <v>110048026.98478225</v>
      </c>
      <c r="H128" s="2173">
        <f>IF($E128="DIRECT",$L128,VLOOKUP($E128,Ratio,2,FALSE)*$G128)</f>
        <v>-94452622.49526912</v>
      </c>
      <c r="I128" s="2173">
        <f>IF($E128="DIRECT",$M128,VLOOKUP($E128,Ratio,3,FALSE)*$G128)</f>
        <v>0</v>
      </c>
      <c r="J128" s="2174">
        <f>IF($E128="DIRECT",$N128,VLOOKUP($E128,Ratio,4,FALSE)*$G128)</f>
        <v>204500649.48005137</v>
      </c>
      <c r="K128" s="2108"/>
      <c r="L128" s="2172">
        <f>'RB Adj Direct Summary'!I495</f>
        <v>-94452622.49526912</v>
      </c>
      <c r="M128" s="2172">
        <f>'RB Adj Direct Summary'!J495</f>
        <v>0</v>
      </c>
      <c r="N128" s="2172">
        <f>'RB Adj Direct Summary'!K495</f>
        <v>204500649.48005137</v>
      </c>
      <c r="O128" s="2087"/>
    </row>
    <row r="129" spans="1:15" ht="15" customHeight="1">
      <c r="A129" s="2092"/>
      <c r="B129" s="2110" t="s">
        <v>18</v>
      </c>
      <c r="C129" s="2171" t="s">
        <v>78</v>
      </c>
      <c r="D129" s="2171">
        <v>187</v>
      </c>
      <c r="E129" s="2171" t="s">
        <v>90</v>
      </c>
      <c r="F129" s="2171"/>
      <c r="G129" s="2172">
        <f>SUM('RB Adj Direct Summary'!I508:K508)</f>
        <v>11494.21</v>
      </c>
      <c r="H129" s="2173">
        <f>IF($E129="DIRECT",$L129,VLOOKUP($E129,Ratio,2,FALSE)*$G129)</f>
        <v>0</v>
      </c>
      <c r="I129" s="2173">
        <f>IF($E129="DIRECT",$M129,VLOOKUP($E129,Ratio,3,FALSE)*$G129)</f>
        <v>0</v>
      </c>
      <c r="J129" s="2174">
        <f>IF($E129="DIRECT",$N129,VLOOKUP($E129,Ratio,4,FALSE)*$G129)</f>
        <v>11494.21</v>
      </c>
      <c r="K129" s="2108"/>
      <c r="L129" s="2172">
        <f>'RB Adj Direct Summary'!I508</f>
        <v>0</v>
      </c>
      <c r="M129" s="2172">
        <f>'RB Adj Direct Summary'!J508</f>
        <v>0</v>
      </c>
      <c r="N129" s="2172">
        <f>'RB Adj Direct Summary'!K508</f>
        <v>11494.21</v>
      </c>
      <c r="O129" s="2087"/>
    </row>
    <row r="130" spans="1:15" ht="15" customHeight="1">
      <c r="A130" s="2092"/>
      <c r="B130" s="2110" t="s">
        <v>19</v>
      </c>
      <c r="C130" s="2171" t="s">
        <v>78</v>
      </c>
      <c r="D130" s="2171">
        <v>188</v>
      </c>
      <c r="E130" s="2171" t="s">
        <v>390</v>
      </c>
      <c r="F130" s="2171"/>
      <c r="G130" s="2193">
        <f>'FERC p110-111 Assets'!D93</f>
        <v>0</v>
      </c>
      <c r="H130" s="2173">
        <f>VLOOKUP($E130,Ratio,2,FALSE)*$G130</f>
        <v>0</v>
      </c>
      <c r="I130" s="2173">
        <f>VLOOKUP($E130,Ratio,3,FALSE)*$G130</f>
        <v>0</v>
      </c>
      <c r="J130" s="2174">
        <f>VLOOKUP($E130,Ratio,4,FALSE)*$G130</f>
        <v>0</v>
      </c>
      <c r="K130" s="2108"/>
      <c r="L130" s="2090"/>
      <c r="M130" s="2129"/>
      <c r="N130" s="2129"/>
    </row>
    <row r="131" spans="1:15" ht="15" customHeight="1">
      <c r="A131" s="2092"/>
      <c r="B131" s="2110" t="s">
        <v>20</v>
      </c>
      <c r="C131" s="2171" t="s">
        <v>78</v>
      </c>
      <c r="D131" s="2171">
        <v>189</v>
      </c>
      <c r="E131" s="2171" t="s">
        <v>108</v>
      </c>
      <c r="F131" s="2171"/>
      <c r="G131" s="2193">
        <f>'Reconcile Other RB Items'!H467</f>
        <v>20765305.086143192</v>
      </c>
      <c r="H131" s="2173">
        <f>VLOOKUP($E131,Ratio,2,FALSE)*$G131</f>
        <v>7265211.1374905258</v>
      </c>
      <c r="I131" s="2173">
        <f>VLOOKUP($E131,Ratio,3,FALSE)*$G131</f>
        <v>0</v>
      </c>
      <c r="J131" s="2174">
        <f>VLOOKUP($E131,Ratio,4,FALSE)*$G131</f>
        <v>13500093.944678253</v>
      </c>
      <c r="K131" s="2108"/>
      <c r="L131" s="2090"/>
      <c r="M131" s="2129"/>
      <c r="N131" s="2129"/>
    </row>
    <row r="132" spans="1:15" ht="15" customHeight="1">
      <c r="A132" s="2092"/>
      <c r="B132" s="2110" t="s">
        <v>21</v>
      </c>
      <c r="C132" s="2171" t="s">
        <v>78</v>
      </c>
      <c r="D132" s="2171">
        <v>190</v>
      </c>
      <c r="E132" s="2171" t="s">
        <v>390</v>
      </c>
      <c r="F132" s="2171"/>
      <c r="G132" s="2193">
        <f>'Reconcile Other RB Items'!H596</f>
        <v>232865758.83263156</v>
      </c>
      <c r="H132" s="2173">
        <f>VLOOKUP($E132,Ratio,2,FALSE)*$G132</f>
        <v>0</v>
      </c>
      <c r="I132" s="2173">
        <f>VLOOKUP($E132,Ratio,3,FALSE)*$G132</f>
        <v>0</v>
      </c>
      <c r="J132" s="2174">
        <f>VLOOKUP($E132,Ratio,4,FALSE)*$G132</f>
        <v>232865758.83263156</v>
      </c>
      <c r="K132" s="2108"/>
      <c r="L132" s="2090"/>
      <c r="M132" s="2129"/>
      <c r="N132" s="2129"/>
    </row>
    <row r="133" spans="1:15" ht="15" customHeight="1">
      <c r="A133" s="2096"/>
      <c r="B133" s="2231" t="s">
        <v>104</v>
      </c>
      <c r="C133" s="2212"/>
      <c r="D133" s="2176"/>
      <c r="E133" s="2176"/>
      <c r="F133" s="2177"/>
      <c r="G133" s="2186">
        <f>SUM(G119:G132)</f>
        <v>1067642143.6523991</v>
      </c>
      <c r="H133" s="2187">
        <f>SUM(H119:H132)</f>
        <v>225376306.96514112</v>
      </c>
      <c r="I133" s="2187">
        <f>SUM(I119:I132)</f>
        <v>0</v>
      </c>
      <c r="J133" s="2213">
        <f>SUM(J119:J132)</f>
        <v>842265836.68031883</v>
      </c>
      <c r="K133" s="2108"/>
      <c r="L133" s="2090"/>
      <c r="M133" s="2129"/>
      <c r="N133" s="2129"/>
    </row>
    <row r="134" spans="1:15" ht="15" customHeight="1">
      <c r="A134" s="2096"/>
      <c r="B134" s="2111"/>
      <c r="C134" s="2112"/>
      <c r="D134" s="2098"/>
      <c r="E134" s="2087"/>
      <c r="F134" s="2087"/>
      <c r="G134" s="2117"/>
      <c r="H134" s="2202"/>
      <c r="I134" s="2202"/>
      <c r="J134" s="2203"/>
      <c r="K134" s="2108"/>
      <c r="L134" s="2090"/>
      <c r="M134" s="2129"/>
      <c r="N134" s="2129"/>
    </row>
    <row r="135" spans="1:15" ht="15" customHeight="1">
      <c r="A135" s="2196" t="s">
        <v>74</v>
      </c>
      <c r="B135" s="2100"/>
      <c r="C135" s="2212"/>
      <c r="D135" s="2176"/>
      <c r="E135" s="2176"/>
      <c r="F135" s="2177"/>
      <c r="G135" s="2186">
        <f>G84+G93+G100+G116+G133</f>
        <v>3543290986.8370891</v>
      </c>
      <c r="H135" s="2187">
        <f>H84+H93+H100+H116+H133</f>
        <v>841602171.51125026</v>
      </c>
      <c r="I135" s="2187">
        <f>I84+I93+I100+I116+I133</f>
        <v>0</v>
      </c>
      <c r="J135" s="2213">
        <f>J84+J93+J100+J116+J133</f>
        <v>2701688815.236248</v>
      </c>
      <c r="K135" s="2089"/>
      <c r="L135" s="2090"/>
      <c r="M135" s="2129"/>
      <c r="N135" s="2129"/>
    </row>
    <row r="136" spans="1:15" ht="15" customHeight="1" thickBot="1">
      <c r="A136" s="2219"/>
      <c r="B136" s="2099"/>
      <c r="C136" s="2105"/>
      <c r="D136" s="2105"/>
      <c r="E136" s="3703"/>
      <c r="F136" s="3703"/>
      <c r="G136" s="2253"/>
      <c r="H136" s="2254"/>
      <c r="I136" s="2254"/>
      <c r="J136" s="2255"/>
      <c r="K136" s="2089"/>
      <c r="L136" s="2090"/>
      <c r="M136" s="2129"/>
      <c r="N136" s="2129"/>
    </row>
    <row r="137" spans="1:15" ht="15" customHeight="1" thickTop="1">
      <c r="A137" s="2096" t="s">
        <v>75</v>
      </c>
      <c r="B137" s="2100"/>
      <c r="C137" s="2098"/>
      <c r="D137" s="2098"/>
      <c r="E137" s="2098"/>
      <c r="F137" s="2098"/>
      <c r="G137" s="2117"/>
      <c r="H137" s="2182"/>
      <c r="I137" s="2182"/>
      <c r="J137" s="2183"/>
      <c r="K137" s="2089"/>
      <c r="L137" s="2090"/>
      <c r="M137" s="2129"/>
      <c r="N137" s="2129"/>
    </row>
    <row r="138" spans="1:15" ht="15" customHeight="1">
      <c r="A138" s="2092"/>
      <c r="B138" s="2231" t="s">
        <v>433</v>
      </c>
      <c r="C138" s="2098"/>
      <c r="D138" s="2113"/>
      <c r="E138" s="2098"/>
      <c r="F138" s="2098"/>
      <c r="G138" s="2256"/>
      <c r="H138" s="2202"/>
      <c r="I138" s="2202"/>
      <c r="J138" s="2203"/>
      <c r="K138" s="2089"/>
      <c r="L138" s="2090"/>
      <c r="M138" s="2129"/>
      <c r="N138" s="2129"/>
    </row>
    <row r="139" spans="1:15" ht="15" customHeight="1">
      <c r="A139" s="2092"/>
      <c r="B139" s="2110" t="s">
        <v>330</v>
      </c>
      <c r="C139" s="2171" t="s">
        <v>81</v>
      </c>
      <c r="D139" s="2216">
        <v>175</v>
      </c>
      <c r="E139" s="2171" t="s">
        <v>390</v>
      </c>
      <c r="F139" s="2171"/>
      <c r="G139" s="2193">
        <f>-'Reconcile Other RB Items'!H603</f>
        <v>126938815.89</v>
      </c>
      <c r="H139" s="2173">
        <f>VLOOKUP($E139,Ratio,2,FALSE)*$G139</f>
        <v>0</v>
      </c>
      <c r="I139" s="2173">
        <f>VLOOKUP($E139,Ratio,3,FALSE)*$G139</f>
        <v>0</v>
      </c>
      <c r="J139" s="2174">
        <f>VLOOKUP($E139,Ratio,4,FALSE)*$G139</f>
        <v>126938815.89</v>
      </c>
      <c r="K139" s="2089"/>
      <c r="L139" s="2090"/>
      <c r="M139" s="2129"/>
      <c r="N139" s="2129"/>
    </row>
    <row r="140" spans="1:15" ht="15" customHeight="1">
      <c r="A140" s="2092"/>
      <c r="B140" s="2239" t="s">
        <v>8370</v>
      </c>
      <c r="C140" s="2171" t="s">
        <v>81</v>
      </c>
      <c r="D140" s="2216">
        <v>175</v>
      </c>
      <c r="E140" s="2171" t="s">
        <v>390</v>
      </c>
      <c r="F140" s="2171"/>
      <c r="G140" s="2193">
        <f>-'Reconcile Other RB Items'!I603</f>
        <v>19744163.190000001</v>
      </c>
      <c r="H140" s="2173">
        <f>VLOOKUP($E140,Ratio,2,FALSE)*$G140</f>
        <v>0</v>
      </c>
      <c r="I140" s="2173">
        <f>VLOOKUP($E140,Ratio,3,FALSE)*$G140</f>
        <v>0</v>
      </c>
      <c r="J140" s="2174">
        <f>VLOOKUP($E140,Ratio,4,FALSE)*$G140</f>
        <v>19744163.190000001</v>
      </c>
      <c r="K140" s="2089"/>
      <c r="L140" s="2090"/>
      <c r="M140" s="2129"/>
      <c r="N140" s="2129"/>
    </row>
    <row r="141" spans="1:15" ht="15" customHeight="1">
      <c r="A141" s="2092"/>
      <c r="B141" s="2110" t="s">
        <v>331</v>
      </c>
      <c r="C141" s="2171" t="s">
        <v>81</v>
      </c>
      <c r="D141" s="2216">
        <v>176</v>
      </c>
      <c r="E141" s="2171" t="s">
        <v>390</v>
      </c>
      <c r="F141" s="2171"/>
      <c r="G141" s="2193">
        <f>-'Reconcile Other RB Items'!H353</f>
        <v>0</v>
      </c>
      <c r="H141" s="2173">
        <f>VLOOKUP($E141,Ratio,2,FALSE)*$G141</f>
        <v>0</v>
      </c>
      <c r="I141" s="2173">
        <f>VLOOKUP($E141,Ratio,3,FALSE)*$G141</f>
        <v>0</v>
      </c>
      <c r="J141" s="2174">
        <f>VLOOKUP($E141,Ratio,4,FALSE)*$G141</f>
        <v>0</v>
      </c>
      <c r="K141" s="2089"/>
      <c r="L141" s="2090"/>
      <c r="M141" s="2129"/>
      <c r="N141" s="2129"/>
    </row>
    <row r="142" spans="1:15" ht="15" customHeight="1">
      <c r="A142" s="2092"/>
      <c r="B142" s="2239" t="s">
        <v>8371</v>
      </c>
      <c r="C142" s="2171" t="s">
        <v>81</v>
      </c>
      <c r="D142" s="2216">
        <v>176</v>
      </c>
      <c r="E142" s="2171" t="s">
        <v>390</v>
      </c>
      <c r="F142" s="2171"/>
      <c r="G142" s="2193">
        <f>-'Reconcile Other RB Items'!I353</f>
        <v>0</v>
      </c>
      <c r="H142" s="2173">
        <f>VLOOKUP($E142,Ratio,2,FALSE)*$G142</f>
        <v>0</v>
      </c>
      <c r="I142" s="2173">
        <f>VLOOKUP($E142,Ratio,3,FALSE)*$G142</f>
        <v>0</v>
      </c>
      <c r="J142" s="2174">
        <f>VLOOKUP($E142,Ratio,4,FALSE)*$G142</f>
        <v>0</v>
      </c>
      <c r="K142" s="2089"/>
      <c r="L142" s="2090"/>
      <c r="M142" s="2129"/>
      <c r="N142" s="2129"/>
    </row>
    <row r="143" spans="1:15" ht="15" customHeight="1">
      <c r="A143" s="2092"/>
      <c r="B143" s="2231" t="s">
        <v>104</v>
      </c>
      <c r="C143" s="2212"/>
      <c r="D143" s="2176"/>
      <c r="E143" s="2176"/>
      <c r="F143" s="2177"/>
      <c r="G143" s="2186">
        <f>G139-G140+G141-G142</f>
        <v>107194652.7</v>
      </c>
      <c r="H143" s="2187">
        <f>H139-H140+H141-H142</f>
        <v>0</v>
      </c>
      <c r="I143" s="2187">
        <f>I139-I140+I141-I142</f>
        <v>0</v>
      </c>
      <c r="J143" s="2213">
        <f>J139-J140+J141-J142</f>
        <v>107194652.7</v>
      </c>
      <c r="K143" s="2089"/>
      <c r="L143" s="2090"/>
      <c r="M143" s="2129"/>
      <c r="N143" s="2129"/>
    </row>
    <row r="144" spans="1:15" ht="15" customHeight="1">
      <c r="A144" s="2092"/>
      <c r="B144" s="2231" t="s">
        <v>434</v>
      </c>
      <c r="C144" s="2098"/>
      <c r="D144" s="2113"/>
      <c r="E144" s="3705"/>
      <c r="F144" s="1397"/>
      <c r="G144" s="2117"/>
      <c r="H144" s="2202"/>
      <c r="I144" s="2202"/>
      <c r="J144" s="2203"/>
      <c r="K144" s="2089"/>
      <c r="L144" s="2090"/>
      <c r="M144" s="2129"/>
      <c r="N144" s="2129"/>
    </row>
    <row r="145" spans="1:15" ht="15" hidden="1" customHeight="1">
      <c r="A145" s="2092"/>
      <c r="B145" s="2110" t="s">
        <v>372</v>
      </c>
      <c r="C145" s="2171" t="s">
        <v>81</v>
      </c>
      <c r="D145" s="2171">
        <v>244</v>
      </c>
      <c r="E145" s="2171" t="s">
        <v>390</v>
      </c>
      <c r="F145" s="2171"/>
      <c r="G145" s="2193"/>
      <c r="H145" s="2173">
        <f>VLOOKUP($E145,Ratio,2,FALSE)*$G145</f>
        <v>0</v>
      </c>
      <c r="I145" s="2173">
        <f>VLOOKUP($E145,Ratio,3,FALSE)*$G145</f>
        <v>0</v>
      </c>
      <c r="J145" s="2174">
        <f>VLOOKUP($E145,Ratio,4,FALSE)*$G145</f>
        <v>0</v>
      </c>
      <c r="K145" s="2089"/>
      <c r="L145" s="2090"/>
      <c r="M145" s="2129"/>
      <c r="N145" s="2129"/>
    </row>
    <row r="146" spans="1:15" ht="18" customHeight="1">
      <c r="A146" s="2092"/>
      <c r="B146" s="2110" t="s">
        <v>373</v>
      </c>
      <c r="C146" s="2171" t="s">
        <v>81</v>
      </c>
      <c r="D146" s="2171">
        <v>245</v>
      </c>
      <c r="E146" s="2171" t="s">
        <v>390</v>
      </c>
      <c r="F146" s="2171"/>
      <c r="G146" s="2193">
        <f>-'Reconcile Other RB Items'!I620</f>
        <v>0</v>
      </c>
      <c r="H146" s="2173">
        <f>VLOOKUP($E146,Ratio,2,FALSE)*$G146</f>
        <v>0</v>
      </c>
      <c r="I146" s="2173">
        <f>VLOOKUP($E146,Ratio,3,FALSE)*$G146</f>
        <v>0</v>
      </c>
      <c r="J146" s="2174">
        <f>VLOOKUP($E146,Ratio,4,FALSE)*$G146</f>
        <v>0</v>
      </c>
      <c r="K146" s="2089"/>
      <c r="L146" s="2090"/>
      <c r="M146" s="2129"/>
      <c r="N146" s="2129"/>
    </row>
    <row r="147" spans="1:15" ht="15" customHeight="1">
      <c r="A147" s="2092"/>
      <c r="B147" s="2110" t="s">
        <v>22</v>
      </c>
      <c r="C147" s="2171" t="s">
        <v>81</v>
      </c>
      <c r="D147" s="2171">
        <v>252</v>
      </c>
      <c r="E147" s="2171" t="s">
        <v>390</v>
      </c>
      <c r="F147" s="2171"/>
      <c r="G147" s="2193">
        <f>-'Reconcile Other RB Items'!H638</f>
        <v>141549489.40000001</v>
      </c>
      <c r="H147" s="2173">
        <f>VLOOKUP($E147,Ratio,2,FALSE)*$G147</f>
        <v>0</v>
      </c>
      <c r="I147" s="2173">
        <f>VLOOKUP($E147,Ratio,3,FALSE)*$G147</f>
        <v>0</v>
      </c>
      <c r="J147" s="2174">
        <f>VLOOKUP($E147,Ratio,4,FALSE)*$G147</f>
        <v>141549489.40000001</v>
      </c>
      <c r="K147" s="2089"/>
      <c r="L147" s="2090"/>
      <c r="M147" s="2129"/>
      <c r="N147" s="2129"/>
      <c r="O147" s="1397"/>
    </row>
    <row r="148" spans="1:15" ht="15" customHeight="1">
      <c r="A148" s="2092"/>
      <c r="B148" s="2110" t="s">
        <v>25</v>
      </c>
      <c r="C148" s="2171" t="s">
        <v>81</v>
      </c>
      <c r="D148" s="2171">
        <v>253</v>
      </c>
      <c r="E148" s="2171" t="s">
        <v>90</v>
      </c>
      <c r="F148" s="2171" t="s">
        <v>390</v>
      </c>
      <c r="G148" s="2172">
        <f>-SUM('RB Adj Direct Summary'!I637:K637)</f>
        <v>240685828.18268144</v>
      </c>
      <c r="H148" s="2173">
        <f>IF($E148="DIRECT",$L148,VLOOKUP($E148,Ratio,2,FALSE)*$G148)</f>
        <v>74029658.958190456</v>
      </c>
      <c r="I148" s="2173">
        <f>IF($E148="DIRECT",$M148,VLOOKUP($E148,Ratio,3,FALSE)*$G148)</f>
        <v>0</v>
      </c>
      <c r="J148" s="2174">
        <f>IF($E148="DIRECT",$N148,VLOOKUP($E148,Ratio,4,FALSE)*$G148)</f>
        <v>166656169.22449097</v>
      </c>
      <c r="K148" s="2089"/>
      <c r="L148" s="2172">
        <f>-'RB Adj Direct Summary'!I637</f>
        <v>74029658.958190456</v>
      </c>
      <c r="M148" s="2172">
        <f>-'RB Adj Direct Summary'!J637</f>
        <v>0</v>
      </c>
      <c r="N148" s="2172">
        <f>-'RB Adj Direct Summary'!K637</f>
        <v>166656169.22449097</v>
      </c>
      <c r="O148" s="3704"/>
    </row>
    <row r="149" spans="1:15" ht="15" customHeight="1">
      <c r="A149" s="2092"/>
      <c r="B149" s="2110" t="s">
        <v>26</v>
      </c>
      <c r="C149" s="2171" t="s">
        <v>81</v>
      </c>
      <c r="D149" s="2171">
        <v>254</v>
      </c>
      <c r="E149" s="2171" t="s">
        <v>90</v>
      </c>
      <c r="F149" s="2171" t="s">
        <v>390</v>
      </c>
      <c r="G149" s="2172">
        <f>-SUM('RB Adj Direct Summary'!I739:K739)</f>
        <v>529787017.69000006</v>
      </c>
      <c r="H149" s="2173">
        <f>IF($E149="DIRECT",$L149,VLOOKUP($E149,Ratio,2,FALSE)*$G149)</f>
        <v>317891.18</v>
      </c>
      <c r="I149" s="2173">
        <f>IF($E149="DIRECT",$M149,VLOOKUP($E149,Ratio,3,FALSE)*$G149)</f>
        <v>0</v>
      </c>
      <c r="J149" s="2174">
        <f>IF($E149="DIRECT",$N149,VLOOKUP($E149,Ratio,4,FALSE)*$G149)</f>
        <v>529469126.51000005</v>
      </c>
      <c r="K149" s="2089"/>
      <c r="L149" s="2172">
        <f>-'RB Adj Direct Summary'!I739</f>
        <v>317891.18</v>
      </c>
      <c r="M149" s="2172">
        <f>-'RB Adj Direct Summary'!J739</f>
        <v>0</v>
      </c>
      <c r="N149" s="2172">
        <f>-'RB Adj Direct Summary'!K739</f>
        <v>529469126.51000005</v>
      </c>
      <c r="O149" s="3704"/>
    </row>
    <row r="150" spans="1:15" ht="15" customHeight="1">
      <c r="A150" s="2092"/>
      <c r="B150" s="2110" t="s">
        <v>23</v>
      </c>
      <c r="C150" s="2171" t="s">
        <v>81</v>
      </c>
      <c r="D150" s="2171">
        <v>255</v>
      </c>
      <c r="E150" s="2171" t="s">
        <v>390</v>
      </c>
      <c r="F150" s="2171"/>
      <c r="G150" s="2193">
        <f>-'Reconcile Other RB Items'!H643</f>
        <v>0</v>
      </c>
      <c r="H150" s="2173">
        <f>VLOOKUP($E150,Ratio,2,FALSE)*$G150</f>
        <v>0</v>
      </c>
      <c r="I150" s="2173">
        <f>VLOOKUP($E150,Ratio,3,FALSE)*$G150</f>
        <v>0</v>
      </c>
      <c r="J150" s="2174">
        <f>VLOOKUP($E150,Ratio,4,FALSE)*$G150</f>
        <v>0</v>
      </c>
      <c r="K150" s="2089"/>
      <c r="L150" s="2252"/>
      <c r="M150" s="2136"/>
      <c r="N150" s="2136"/>
      <c r="O150" s="1397"/>
    </row>
    <row r="151" spans="1:15" ht="15" customHeight="1">
      <c r="A151" s="2092"/>
      <c r="B151" s="2110" t="s">
        <v>24</v>
      </c>
      <c r="C151" s="2171" t="s">
        <v>81</v>
      </c>
      <c r="D151" s="2171">
        <v>256</v>
      </c>
      <c r="E151" s="2171" t="s">
        <v>90</v>
      </c>
      <c r="F151" s="2171"/>
      <c r="G151" s="2172">
        <f>-SUM('RB Adj Direct Summary'!I750:K750)</f>
        <v>1353224.7999999998</v>
      </c>
      <c r="H151" s="2173">
        <f>IF($E151="DIRECT",$L151,VLOOKUP($E151,Ratio,2,FALSE)*$G151)</f>
        <v>0</v>
      </c>
      <c r="I151" s="2173">
        <f>IF($E151="DIRECT",$M151,VLOOKUP($E151,Ratio,3,FALSE)*$G151)</f>
        <v>0</v>
      </c>
      <c r="J151" s="2174">
        <f>IF($E151="DIRECT",$N151,VLOOKUP($E151,Ratio,4,FALSE)*$G151)</f>
        <v>1353224.7999999998</v>
      </c>
      <c r="K151" s="2089"/>
      <c r="L151" s="2172">
        <f>-'RB Adj Direct Summary'!I750</f>
        <v>0</v>
      </c>
      <c r="M151" s="2172">
        <f>-'RB Adj Direct Summary'!J750</f>
        <v>0</v>
      </c>
      <c r="N151" s="2172">
        <f>-'RB Adj Direct Summary'!K750</f>
        <v>1353224.7999999998</v>
      </c>
      <c r="O151" s="3704"/>
    </row>
    <row r="152" spans="1:15" ht="15.75" customHeight="1">
      <c r="A152" s="2092"/>
      <c r="B152" s="2110" t="s">
        <v>27</v>
      </c>
      <c r="C152" s="2171" t="s">
        <v>81</v>
      </c>
      <c r="D152" s="2171">
        <v>257</v>
      </c>
      <c r="E152" s="2171" t="s">
        <v>108</v>
      </c>
      <c r="F152" s="2171"/>
      <c r="G152" s="2193">
        <f>-'Reconcile Other RB Items'!H647</f>
        <v>0</v>
      </c>
      <c r="H152" s="2173">
        <f>VLOOKUP($E152,Ratio,2,FALSE)*$G152</f>
        <v>0</v>
      </c>
      <c r="I152" s="2173">
        <f>VLOOKUP($E152,Ratio,3,FALSE)*$G152</f>
        <v>0</v>
      </c>
      <c r="J152" s="2174">
        <f>VLOOKUP($E152,Ratio,4,FALSE)*$G152</f>
        <v>0</v>
      </c>
      <c r="K152" s="2089"/>
      <c r="L152" s="2090"/>
      <c r="M152" s="2129"/>
      <c r="N152" s="2129"/>
    </row>
    <row r="153" spans="1:15" ht="15" customHeight="1">
      <c r="A153" s="2092"/>
      <c r="B153" s="2110" t="s">
        <v>31</v>
      </c>
      <c r="C153" s="2171" t="s">
        <v>81</v>
      </c>
      <c r="D153" s="2171">
        <v>281</v>
      </c>
      <c r="E153" s="2171" t="s">
        <v>390</v>
      </c>
      <c r="F153" s="2171"/>
      <c r="G153" s="2193">
        <f>'FERC p112-113 Liabilities'!D75</f>
        <v>0</v>
      </c>
      <c r="H153" s="2173">
        <f>VLOOKUP($E153,Ratio,2,FALSE)*$G153</f>
        <v>0</v>
      </c>
      <c r="I153" s="2173">
        <f>VLOOKUP($E153,Ratio,3,FALSE)*$G153</f>
        <v>0</v>
      </c>
      <c r="J153" s="2174">
        <f>VLOOKUP($E153,Ratio,4,FALSE)*$G153</f>
        <v>0</v>
      </c>
      <c r="K153" s="2089"/>
      <c r="L153" s="2090"/>
      <c r="M153" s="2129"/>
      <c r="N153" s="2129"/>
    </row>
    <row r="154" spans="1:15" ht="15" customHeight="1">
      <c r="A154" s="2092"/>
      <c r="B154" s="2110" t="s">
        <v>32</v>
      </c>
      <c r="C154" s="2171" t="s">
        <v>81</v>
      </c>
      <c r="D154" s="2171">
        <v>282</v>
      </c>
      <c r="E154" s="2171" t="s">
        <v>390</v>
      </c>
      <c r="F154" s="2171"/>
      <c r="G154" s="2193">
        <f>-'Reconcile Other RB Items'!H660</f>
        <v>763011479.07151985</v>
      </c>
      <c r="H154" s="2173">
        <f>VLOOKUP($E154,Ratio,2,FALSE)*$G154</f>
        <v>0</v>
      </c>
      <c r="I154" s="2173">
        <f>VLOOKUP($E154,Ratio,3,FALSE)*$G154</f>
        <v>0</v>
      </c>
      <c r="J154" s="2174">
        <f>VLOOKUP($E154,Ratio,4,FALSE)*$G154</f>
        <v>763011479.07151985</v>
      </c>
      <c r="K154" s="2089"/>
      <c r="L154" s="2090"/>
      <c r="M154" s="2129"/>
      <c r="N154" s="2129"/>
    </row>
    <row r="155" spans="1:15" ht="15" customHeight="1">
      <c r="A155" s="2092"/>
      <c r="B155" s="2110" t="s">
        <v>33</v>
      </c>
      <c r="C155" s="2171" t="s">
        <v>81</v>
      </c>
      <c r="D155" s="2171">
        <v>283</v>
      </c>
      <c r="E155" s="2171" t="s">
        <v>390</v>
      </c>
      <c r="F155" s="2171"/>
      <c r="G155" s="2193">
        <f>-'Reconcile Other RB Items'!H783</f>
        <v>226461605.12920922</v>
      </c>
      <c r="H155" s="2173">
        <f>VLOOKUP($E155,Ratio,2,FALSE)*$G155</f>
        <v>0</v>
      </c>
      <c r="I155" s="2173">
        <f>VLOOKUP($E155,Ratio,3,FALSE)*$G155</f>
        <v>0</v>
      </c>
      <c r="J155" s="2174">
        <f>VLOOKUP($E155,Ratio,4,FALSE)*$G155</f>
        <v>226461605.12920922</v>
      </c>
      <c r="K155" s="2089"/>
      <c r="L155" s="2090"/>
      <c r="M155" s="2129"/>
      <c r="N155" s="2129"/>
    </row>
    <row r="156" spans="1:15" ht="15" customHeight="1">
      <c r="A156" s="2092"/>
      <c r="B156" s="2231" t="s">
        <v>104</v>
      </c>
      <c r="C156" s="2212"/>
      <c r="D156" s="2176"/>
      <c r="E156" s="2176"/>
      <c r="F156" s="2177"/>
      <c r="G156" s="2186">
        <f>SUM(G145:G155)</f>
        <v>1902848644.2734106</v>
      </c>
      <c r="H156" s="2187">
        <f>SUM(H145:H155)</f>
        <v>74347550.138190463</v>
      </c>
      <c r="I156" s="2187">
        <f>SUM(I145:I155)</f>
        <v>0</v>
      </c>
      <c r="J156" s="2213">
        <f>SUM(J145:J155)</f>
        <v>1828501094.1352201</v>
      </c>
      <c r="K156" s="2089"/>
      <c r="L156" s="2090"/>
      <c r="M156" s="2129"/>
      <c r="N156" s="2129"/>
    </row>
    <row r="157" spans="1:15" ht="15" customHeight="1">
      <c r="A157" s="2092"/>
      <c r="B157" s="2110"/>
      <c r="C157" s="2098"/>
      <c r="D157" s="2113"/>
      <c r="E157" s="3705"/>
      <c r="F157" s="1397"/>
      <c r="G157" s="2257"/>
      <c r="H157" s="2258"/>
      <c r="I157" s="2258"/>
      <c r="J157" s="2259"/>
      <c r="K157" s="2089"/>
      <c r="L157" s="2090"/>
      <c r="M157" s="2129"/>
      <c r="N157" s="2129"/>
    </row>
    <row r="158" spans="1:15" ht="15" customHeight="1">
      <c r="A158" s="2196" t="s">
        <v>73</v>
      </c>
      <c r="B158" s="2100"/>
      <c r="C158" s="2212"/>
      <c r="D158" s="2176"/>
      <c r="E158" s="2176"/>
      <c r="F158" s="2177"/>
      <c r="G158" s="2186">
        <f>+G156+G143</f>
        <v>2010043296.9734106</v>
      </c>
      <c r="H158" s="2187">
        <f>+H156+H143</f>
        <v>74347550.138190463</v>
      </c>
      <c r="I158" s="2187">
        <f>+I156+I143</f>
        <v>0</v>
      </c>
      <c r="J158" s="2213">
        <f>+J156+J143</f>
        <v>1935695746.8352201</v>
      </c>
      <c r="L158" s="2114"/>
      <c r="M158" s="2129"/>
      <c r="N158" s="2129"/>
    </row>
    <row r="159" spans="1:15" ht="15" customHeight="1">
      <c r="A159" s="2260"/>
      <c r="B159" s="2100"/>
      <c r="C159" s="2098"/>
      <c r="D159" s="2098"/>
      <c r="E159" s="3705"/>
      <c r="F159" s="1397"/>
      <c r="G159" s="2117"/>
      <c r="H159" s="2182"/>
      <c r="I159" s="2182"/>
      <c r="J159" s="2183"/>
      <c r="L159" s="2114"/>
      <c r="M159" s="2129"/>
      <c r="N159" s="2129"/>
    </row>
    <row r="160" spans="1:15" ht="15" customHeight="1">
      <c r="A160" s="2261"/>
      <c r="B160" s="2110"/>
      <c r="C160" s="2113"/>
      <c r="D160" s="2113"/>
      <c r="E160" s="2262"/>
      <c r="F160" s="2262"/>
      <c r="G160" s="2190"/>
      <c r="H160" s="2263"/>
      <c r="I160" s="2263"/>
      <c r="J160" s="2264"/>
      <c r="L160" s="2136"/>
      <c r="M160" s="2136"/>
      <c r="N160" s="2136"/>
    </row>
    <row r="161" spans="1:14" ht="15" customHeight="1">
      <c r="A161" s="2091" t="s">
        <v>477</v>
      </c>
      <c r="B161" s="2100"/>
      <c r="C161" s="2265"/>
      <c r="D161" s="2266"/>
      <c r="E161" s="2266"/>
      <c r="F161" s="2267"/>
      <c r="G161" s="2268">
        <f>G79+G135-G158</f>
        <v>7602520405.9922667</v>
      </c>
      <c r="H161" s="2269">
        <f>H79+H135-H158</f>
        <v>2217167777.4065552</v>
      </c>
      <c r="I161" s="2269">
        <f>I79+I135-I158</f>
        <v>0</v>
      </c>
      <c r="J161" s="2270">
        <f>J79+J135-J158</f>
        <v>5385352626.9445868</v>
      </c>
      <c r="L161" s="2115"/>
      <c r="M161" s="2129"/>
      <c r="N161" s="2129"/>
    </row>
    <row r="162" spans="1:14" ht="15" customHeight="1">
      <c r="A162" s="2214" t="s">
        <v>83</v>
      </c>
      <c r="B162" s="2100"/>
      <c r="C162" s="2116"/>
      <c r="D162" s="2116"/>
      <c r="E162" s="2116"/>
      <c r="F162" s="2116"/>
      <c r="G162" s="2117"/>
      <c r="H162" s="2118"/>
      <c r="I162" s="2119"/>
      <c r="J162" s="2271"/>
      <c r="K162" s="2078"/>
      <c r="L162" s="2129"/>
      <c r="M162" s="2129"/>
      <c r="N162" s="2136"/>
    </row>
    <row r="163" spans="1:14" ht="15" customHeight="1" thickBot="1">
      <c r="A163" s="2219"/>
      <c r="B163" s="2099"/>
      <c r="C163" s="2120"/>
      <c r="D163" s="2120"/>
      <c r="E163" s="2120"/>
      <c r="F163" s="2120"/>
      <c r="G163" s="2121"/>
      <c r="H163" s="2122"/>
      <c r="I163" s="2123"/>
      <c r="J163" s="2272"/>
      <c r="K163" s="2078"/>
      <c r="L163" s="2129"/>
      <c r="M163" s="2129"/>
      <c r="N163" s="2136"/>
    </row>
    <row r="164" spans="1:14" ht="15" customHeight="1" thickTop="1">
      <c r="C164" s="546"/>
      <c r="D164" s="546"/>
      <c r="G164" s="2136"/>
      <c r="H164" s="546"/>
      <c r="I164" s="546"/>
      <c r="J164" s="546"/>
      <c r="K164" s="2078"/>
      <c r="L164" s="2129"/>
      <c r="M164" s="2129"/>
      <c r="N164" s="2136"/>
    </row>
    <row r="165" spans="1:14" ht="15" customHeight="1">
      <c r="C165" s="546"/>
      <c r="D165" s="546"/>
      <c r="G165" s="2136"/>
      <c r="H165" s="546"/>
      <c r="I165" s="546"/>
      <c r="J165" s="546"/>
      <c r="L165" s="2114"/>
      <c r="M165" s="2129"/>
      <c r="N165" s="2129"/>
    </row>
    <row r="166" spans="1:14" ht="15" customHeight="1">
      <c r="C166" s="546"/>
      <c r="D166" s="546"/>
      <c r="G166" s="2136"/>
      <c r="H166" s="546"/>
      <c r="I166" s="546"/>
      <c r="J166" s="546"/>
      <c r="L166" s="2114"/>
      <c r="M166" s="2129"/>
      <c r="N166" s="2129"/>
    </row>
    <row r="167" spans="1:14" ht="15" customHeight="1">
      <c r="C167" s="546"/>
      <c r="D167" s="546"/>
      <c r="G167" s="2136"/>
      <c r="H167" s="546"/>
      <c r="I167" s="546"/>
      <c r="J167" s="546"/>
      <c r="L167" s="2114"/>
      <c r="M167" s="2129"/>
      <c r="N167" s="2129"/>
    </row>
    <row r="168" spans="1:14" ht="15" customHeight="1">
      <c r="C168" s="546"/>
      <c r="D168" s="546"/>
      <c r="G168" s="2136"/>
      <c r="H168" s="546"/>
      <c r="I168" s="546"/>
      <c r="J168" s="546"/>
      <c r="L168" s="2114"/>
      <c r="M168" s="2129"/>
      <c r="N168" s="2129"/>
    </row>
    <row r="169" spans="1:14" ht="15" customHeight="1">
      <c r="C169" s="546"/>
      <c r="D169" s="546"/>
      <c r="G169" s="2136"/>
      <c r="H169" s="546"/>
      <c r="I169" s="546"/>
      <c r="J169" s="546"/>
      <c r="L169" s="2114"/>
      <c r="M169" s="2129"/>
      <c r="N169" s="2129"/>
    </row>
    <row r="170" spans="1:14" ht="15" customHeight="1">
      <c r="C170" s="546"/>
      <c r="D170" s="546"/>
      <c r="G170" s="2136"/>
      <c r="H170" s="546"/>
      <c r="I170" s="546"/>
      <c r="J170" s="546"/>
      <c r="L170" s="2114"/>
      <c r="M170" s="2129"/>
      <c r="N170" s="2129"/>
    </row>
    <row r="171" spans="1:14" ht="15" customHeight="1">
      <c r="C171" s="546"/>
      <c r="D171" s="546"/>
      <c r="G171" s="2136"/>
      <c r="H171" s="546"/>
      <c r="I171" s="546"/>
      <c r="J171" s="546"/>
      <c r="L171" s="2114"/>
      <c r="M171" s="2129"/>
      <c r="N171" s="2129"/>
    </row>
    <row r="172" spans="1:14" ht="15" customHeight="1">
      <c r="C172" s="546"/>
      <c r="D172" s="546"/>
      <c r="G172" s="2136"/>
      <c r="H172" s="546"/>
      <c r="I172" s="546"/>
      <c r="J172" s="546"/>
      <c r="L172" s="2114"/>
      <c r="M172" s="2129"/>
      <c r="N172" s="2129"/>
    </row>
    <row r="173" spans="1:14" ht="15" customHeight="1">
      <c r="C173" s="546"/>
      <c r="D173" s="546"/>
      <c r="G173" s="2136"/>
      <c r="H173" s="546"/>
      <c r="I173" s="546"/>
      <c r="J173" s="546"/>
      <c r="L173" s="2114"/>
      <c r="M173" s="2129"/>
      <c r="N173" s="2129"/>
    </row>
    <row r="174" spans="1:14" ht="15" customHeight="1">
      <c r="C174" s="546"/>
      <c r="D174" s="546"/>
      <c r="G174" s="2136"/>
      <c r="H174" s="546"/>
      <c r="I174" s="546"/>
      <c r="J174" s="546"/>
      <c r="L174" s="2114"/>
      <c r="M174" s="2129"/>
      <c r="N174" s="2129"/>
    </row>
    <row r="175" spans="1:14" ht="15" customHeight="1">
      <c r="C175" s="546"/>
      <c r="D175" s="546"/>
      <c r="G175" s="2136"/>
      <c r="H175" s="546"/>
      <c r="I175" s="546"/>
      <c r="J175" s="546"/>
      <c r="L175" s="2114"/>
      <c r="M175" s="2129"/>
      <c r="N175" s="2129"/>
    </row>
    <row r="176" spans="1:14" ht="15" customHeight="1">
      <c r="C176" s="546"/>
      <c r="D176" s="546"/>
      <c r="G176" s="2136"/>
      <c r="H176" s="546"/>
      <c r="I176" s="546"/>
      <c r="J176" s="546"/>
      <c r="L176" s="2114"/>
      <c r="M176" s="2129"/>
      <c r="N176" s="2129"/>
    </row>
    <row r="177" spans="3:14" ht="15" customHeight="1">
      <c r="C177" s="546"/>
      <c r="D177" s="546"/>
      <c r="G177" s="2136"/>
      <c r="H177" s="546"/>
      <c r="I177" s="546"/>
      <c r="J177" s="546"/>
      <c r="L177" s="2114"/>
      <c r="M177" s="2129"/>
      <c r="N177" s="2129"/>
    </row>
    <row r="178" spans="3:14" ht="15" customHeight="1">
      <c r="C178" s="546"/>
      <c r="D178" s="546"/>
      <c r="G178" s="2136"/>
      <c r="H178" s="546"/>
      <c r="I178" s="546"/>
      <c r="J178" s="546"/>
      <c r="L178" s="2114"/>
      <c r="M178" s="2129"/>
      <c r="N178" s="2129"/>
    </row>
    <row r="179" spans="3:14" ht="15" customHeight="1">
      <c r="C179" s="546"/>
      <c r="D179" s="546"/>
      <c r="G179" s="2136"/>
      <c r="H179" s="546"/>
      <c r="I179" s="546"/>
      <c r="J179" s="546"/>
      <c r="L179" s="2114"/>
      <c r="M179" s="2129"/>
      <c r="N179" s="2129"/>
    </row>
    <row r="180" spans="3:14" ht="15" customHeight="1">
      <c r="C180" s="546"/>
      <c r="D180" s="546"/>
      <c r="G180" s="2136"/>
      <c r="H180" s="546"/>
      <c r="I180" s="546"/>
      <c r="J180" s="546"/>
      <c r="L180" s="2114"/>
      <c r="M180" s="2129"/>
      <c r="N180" s="2129"/>
    </row>
    <row r="181" spans="3:14" ht="15" customHeight="1">
      <c r="C181" s="546"/>
      <c r="D181" s="546"/>
      <c r="G181" s="2136"/>
      <c r="H181" s="546"/>
      <c r="I181" s="546"/>
      <c r="J181" s="546"/>
      <c r="L181" s="2114"/>
      <c r="M181" s="2129"/>
      <c r="N181" s="2129"/>
    </row>
    <row r="182" spans="3:14" ht="15" customHeight="1">
      <c r="C182" s="546"/>
      <c r="D182" s="546"/>
      <c r="G182" s="2136"/>
      <c r="H182" s="546"/>
      <c r="I182" s="546"/>
      <c r="J182" s="546"/>
      <c r="L182" s="2114"/>
      <c r="M182" s="2129"/>
      <c r="N182" s="2129"/>
    </row>
    <row r="183" spans="3:14" ht="15" customHeight="1">
      <c r="C183" s="546"/>
      <c r="D183" s="546"/>
      <c r="G183" s="2136"/>
      <c r="H183" s="546"/>
      <c r="I183" s="546"/>
      <c r="J183" s="546"/>
      <c r="L183" s="2114"/>
      <c r="M183" s="2129"/>
      <c r="N183" s="2129"/>
    </row>
    <row r="184" spans="3:14" ht="15" customHeight="1">
      <c r="C184" s="546"/>
      <c r="D184" s="546"/>
      <c r="G184" s="2136"/>
      <c r="H184" s="546"/>
      <c r="I184" s="546"/>
      <c r="J184" s="546"/>
      <c r="L184" s="2114"/>
      <c r="M184" s="2129"/>
      <c r="N184" s="2129"/>
    </row>
    <row r="185" spans="3:14" ht="15" customHeight="1">
      <c r="C185" s="546"/>
      <c r="D185" s="546"/>
      <c r="G185" s="2136"/>
      <c r="H185" s="546"/>
      <c r="I185" s="546"/>
      <c r="J185" s="546"/>
      <c r="L185" s="2114"/>
      <c r="M185" s="2129"/>
      <c r="N185" s="2129"/>
    </row>
    <row r="186" spans="3:14" ht="15" customHeight="1">
      <c r="C186" s="546"/>
      <c r="D186" s="546"/>
      <c r="G186" s="2136"/>
      <c r="H186" s="546"/>
      <c r="I186" s="546"/>
      <c r="J186" s="546"/>
      <c r="L186" s="2124"/>
      <c r="M186" s="2129"/>
      <c r="N186" s="2129"/>
    </row>
    <row r="187" spans="3:14" ht="15" customHeight="1">
      <c r="C187" s="546"/>
      <c r="D187" s="546"/>
      <c r="G187" s="2136"/>
      <c r="H187" s="546"/>
      <c r="I187" s="546"/>
      <c r="J187" s="546"/>
      <c r="L187" s="2114"/>
      <c r="M187" s="2129"/>
      <c r="N187" s="2129"/>
    </row>
    <row r="188" spans="3:14" ht="15" customHeight="1">
      <c r="C188" s="546"/>
      <c r="D188" s="546"/>
      <c r="G188" s="2136"/>
      <c r="H188" s="546"/>
      <c r="I188" s="546"/>
      <c r="J188" s="546"/>
      <c r="L188" s="2114"/>
      <c r="M188" s="2129"/>
      <c r="N188" s="2129"/>
    </row>
    <row r="189" spans="3:14" ht="15" customHeight="1">
      <c r="C189" s="546"/>
      <c r="D189" s="546"/>
      <c r="G189" s="2136"/>
      <c r="H189" s="546"/>
      <c r="I189" s="546"/>
      <c r="J189" s="546"/>
      <c r="L189" s="2114"/>
      <c r="M189" s="2129"/>
      <c r="N189" s="2129"/>
    </row>
    <row r="190" spans="3:14" ht="15" customHeight="1">
      <c r="C190" s="546"/>
      <c r="D190" s="546"/>
      <c r="G190" s="2136"/>
      <c r="H190" s="546"/>
      <c r="I190" s="546"/>
      <c r="J190" s="546"/>
      <c r="L190" s="2114"/>
      <c r="M190" s="2129"/>
      <c r="N190" s="2129"/>
    </row>
    <row r="191" spans="3:14" ht="15" customHeight="1">
      <c r="C191" s="546"/>
      <c r="D191" s="546"/>
      <c r="G191" s="2136"/>
      <c r="H191" s="546"/>
      <c r="I191" s="546"/>
      <c r="J191" s="546"/>
      <c r="L191" s="2114"/>
      <c r="M191" s="2129"/>
      <c r="N191" s="2129"/>
    </row>
    <row r="192" spans="3:14" ht="15" customHeight="1">
      <c r="C192" s="546"/>
      <c r="D192" s="546"/>
      <c r="G192" s="2136"/>
      <c r="H192" s="546"/>
      <c r="I192" s="546"/>
      <c r="J192" s="546"/>
      <c r="L192" s="2114"/>
      <c r="M192" s="2129"/>
      <c r="N192" s="2129"/>
    </row>
    <row r="193" spans="3:14" ht="15" customHeight="1">
      <c r="C193" s="546"/>
      <c r="D193" s="546"/>
      <c r="G193" s="2136"/>
      <c r="H193" s="546"/>
      <c r="I193" s="546"/>
      <c r="J193" s="546"/>
      <c r="L193" s="2114"/>
      <c r="M193" s="2129"/>
      <c r="N193" s="2129"/>
    </row>
    <row r="194" spans="3:14" ht="15" customHeight="1">
      <c r="C194" s="546"/>
      <c r="D194" s="546"/>
      <c r="G194" s="2136"/>
      <c r="H194" s="546"/>
      <c r="I194" s="546"/>
      <c r="J194" s="546"/>
      <c r="L194" s="2114"/>
      <c r="M194" s="2129"/>
      <c r="N194" s="2129"/>
    </row>
    <row r="195" spans="3:14" ht="15" customHeight="1">
      <c r="C195" s="546"/>
      <c r="D195" s="546"/>
      <c r="G195" s="2136"/>
      <c r="H195" s="546"/>
      <c r="I195" s="546"/>
      <c r="J195" s="546"/>
      <c r="L195" s="2114"/>
      <c r="M195" s="2129"/>
      <c r="N195" s="2129"/>
    </row>
    <row r="196" spans="3:14" ht="15" customHeight="1">
      <c r="C196" s="546"/>
      <c r="D196" s="546"/>
      <c r="G196" s="2136"/>
      <c r="H196" s="546"/>
      <c r="I196" s="546"/>
      <c r="J196" s="546"/>
      <c r="L196" s="2114"/>
      <c r="M196" s="2129"/>
      <c r="N196" s="2129"/>
    </row>
    <row r="197" spans="3:14" ht="15" customHeight="1">
      <c r="C197" s="546"/>
      <c r="D197" s="546"/>
      <c r="G197" s="2136"/>
      <c r="H197" s="546"/>
      <c r="I197" s="546"/>
      <c r="J197" s="546"/>
      <c r="L197" s="2124"/>
      <c r="M197" s="2129"/>
      <c r="N197" s="2129"/>
    </row>
    <row r="198" spans="3:14" ht="15" customHeight="1">
      <c r="C198" s="546"/>
      <c r="D198" s="546"/>
      <c r="G198" s="2136"/>
      <c r="H198" s="546"/>
      <c r="I198" s="546"/>
      <c r="J198" s="546"/>
      <c r="L198" s="2114"/>
      <c r="M198" s="2129"/>
      <c r="N198" s="2129"/>
    </row>
    <row r="199" spans="3:14" ht="15" customHeight="1">
      <c r="C199" s="546"/>
      <c r="D199" s="546"/>
      <c r="G199" s="2136"/>
      <c r="H199" s="546"/>
      <c r="I199" s="546"/>
      <c r="J199" s="546"/>
      <c r="L199" s="2114"/>
      <c r="M199" s="2129"/>
      <c r="N199" s="2129"/>
    </row>
    <row r="200" spans="3:14" ht="15" customHeight="1">
      <c r="C200" s="546"/>
      <c r="D200" s="546"/>
      <c r="G200" s="2136"/>
      <c r="H200" s="546"/>
      <c r="I200" s="546"/>
      <c r="J200" s="546"/>
      <c r="L200" s="2114"/>
      <c r="M200" s="2129"/>
      <c r="N200" s="2129"/>
    </row>
    <row r="201" spans="3:14" ht="15" customHeight="1">
      <c r="C201" s="546"/>
      <c r="D201" s="546"/>
      <c r="G201" s="2136"/>
      <c r="H201" s="546"/>
      <c r="I201" s="546"/>
      <c r="J201" s="546"/>
      <c r="L201" s="2114"/>
      <c r="M201" s="2129"/>
      <c r="N201" s="2129"/>
    </row>
    <row r="202" spans="3:14" ht="15" customHeight="1">
      <c r="C202" s="546"/>
      <c r="D202" s="546"/>
      <c r="G202" s="2136"/>
      <c r="H202" s="546"/>
      <c r="I202" s="546"/>
      <c r="J202" s="546"/>
      <c r="L202" s="2114"/>
      <c r="M202" s="2129"/>
      <c r="N202" s="2129"/>
    </row>
    <row r="203" spans="3:14" ht="15" customHeight="1">
      <c r="C203" s="546"/>
      <c r="D203" s="546"/>
      <c r="G203" s="2136"/>
      <c r="H203" s="546"/>
      <c r="I203" s="546"/>
      <c r="J203" s="546"/>
      <c r="L203" s="2114"/>
      <c r="M203" s="2129"/>
      <c r="N203" s="2129"/>
    </row>
    <row r="204" spans="3:14" ht="15" customHeight="1">
      <c r="C204" s="546"/>
      <c r="D204" s="546"/>
      <c r="G204" s="2136"/>
      <c r="H204" s="546"/>
      <c r="I204" s="546"/>
      <c r="J204" s="546"/>
      <c r="L204" s="2124"/>
      <c r="M204" s="2129"/>
      <c r="N204" s="2129"/>
    </row>
    <row r="205" spans="3:14" ht="15" customHeight="1">
      <c r="C205" s="546"/>
      <c r="D205" s="546"/>
      <c r="G205" s="2136"/>
      <c r="H205" s="546"/>
      <c r="I205" s="546"/>
      <c r="J205" s="546"/>
      <c r="L205" s="2114"/>
      <c r="M205" s="2129"/>
      <c r="N205" s="2129"/>
    </row>
    <row r="206" spans="3:14" ht="15" customHeight="1">
      <c r="C206" s="546"/>
      <c r="D206" s="546"/>
      <c r="G206" s="2136"/>
      <c r="H206" s="546"/>
      <c r="I206" s="546"/>
      <c r="J206" s="546"/>
      <c r="L206" s="2114"/>
      <c r="M206" s="2129"/>
      <c r="N206" s="2129"/>
    </row>
    <row r="207" spans="3:14" ht="15" customHeight="1">
      <c r="C207" s="546"/>
      <c r="D207" s="546"/>
      <c r="G207" s="2136"/>
      <c r="H207" s="546"/>
      <c r="I207" s="546"/>
      <c r="J207" s="546"/>
      <c r="L207" s="2114"/>
      <c r="M207" s="2129"/>
      <c r="N207" s="2129"/>
    </row>
    <row r="208" spans="3:14" ht="15" customHeight="1">
      <c r="C208" s="546"/>
      <c r="D208" s="546"/>
      <c r="G208" s="2136"/>
      <c r="H208" s="546"/>
      <c r="I208" s="546"/>
      <c r="J208" s="546"/>
      <c r="L208" s="2114"/>
      <c r="M208" s="2129"/>
      <c r="N208" s="2129"/>
    </row>
    <row r="209" spans="3:14" ht="15" customHeight="1">
      <c r="C209" s="546"/>
      <c r="D209" s="546"/>
      <c r="G209" s="2136"/>
      <c r="H209" s="546"/>
      <c r="I209" s="546"/>
      <c r="J209" s="546"/>
      <c r="L209" s="2114"/>
      <c r="M209" s="2129"/>
      <c r="N209" s="2129"/>
    </row>
    <row r="210" spans="3:14" ht="15" customHeight="1">
      <c r="C210" s="546"/>
      <c r="D210" s="546"/>
      <c r="G210" s="2136"/>
      <c r="H210" s="546"/>
      <c r="I210" s="546"/>
      <c r="J210" s="546"/>
      <c r="L210" s="2114"/>
      <c r="M210" s="2129"/>
      <c r="N210" s="2129"/>
    </row>
    <row r="211" spans="3:14" ht="15" customHeight="1">
      <c r="C211" s="546"/>
      <c r="D211" s="546"/>
      <c r="G211" s="2136"/>
      <c r="H211" s="546"/>
      <c r="I211" s="546"/>
      <c r="J211" s="546"/>
      <c r="L211" s="2114"/>
      <c r="M211" s="2129"/>
      <c r="N211" s="2129"/>
    </row>
    <row r="212" spans="3:14" ht="15" customHeight="1">
      <c r="C212" s="546"/>
      <c r="D212" s="546"/>
      <c r="G212" s="2136"/>
      <c r="H212" s="546"/>
      <c r="I212" s="546"/>
      <c r="J212" s="546"/>
      <c r="L212" s="2114"/>
      <c r="M212" s="2129"/>
      <c r="N212" s="2129"/>
    </row>
    <row r="213" spans="3:14" ht="15" customHeight="1">
      <c r="C213" s="546"/>
      <c r="D213" s="546"/>
      <c r="G213" s="2136"/>
      <c r="H213" s="546"/>
      <c r="I213" s="546"/>
      <c r="J213" s="546"/>
      <c r="L213" s="2114"/>
      <c r="M213" s="2129"/>
      <c r="N213" s="2129"/>
    </row>
    <row r="214" spans="3:14" ht="15" customHeight="1">
      <c r="C214" s="546"/>
      <c r="D214" s="546"/>
      <c r="G214" s="2136"/>
      <c r="H214" s="546"/>
      <c r="I214" s="546"/>
      <c r="J214" s="546"/>
      <c r="L214" s="2114"/>
      <c r="M214" s="2129"/>
      <c r="N214" s="2129"/>
    </row>
    <row r="215" spans="3:14" ht="15" customHeight="1">
      <c r="C215" s="546"/>
      <c r="D215" s="546"/>
      <c r="G215" s="2136"/>
      <c r="H215" s="546"/>
      <c r="I215" s="546"/>
      <c r="J215" s="546"/>
      <c r="L215" s="2114"/>
      <c r="M215" s="2129"/>
      <c r="N215" s="2129"/>
    </row>
    <row r="216" spans="3:14" ht="15" customHeight="1">
      <c r="C216" s="546"/>
      <c r="D216" s="546"/>
      <c r="G216" s="2136"/>
      <c r="H216" s="546"/>
      <c r="I216" s="546"/>
      <c r="J216" s="546"/>
      <c r="L216" s="2114"/>
      <c r="M216" s="2129"/>
      <c r="N216" s="2129"/>
    </row>
    <row r="217" spans="3:14" ht="15" customHeight="1">
      <c r="C217" s="546"/>
      <c r="D217" s="546"/>
      <c r="G217" s="2136"/>
      <c r="H217" s="546"/>
      <c r="I217" s="546"/>
      <c r="J217" s="546"/>
      <c r="L217" s="2114"/>
      <c r="M217" s="2129"/>
      <c r="N217" s="2129"/>
    </row>
    <row r="218" spans="3:14" ht="15" customHeight="1">
      <c r="C218" s="546"/>
      <c r="D218" s="546"/>
      <c r="G218" s="2136"/>
      <c r="H218" s="546"/>
      <c r="I218" s="546"/>
      <c r="J218" s="546"/>
      <c r="L218" s="2114"/>
      <c r="M218" s="2129"/>
      <c r="N218" s="2129"/>
    </row>
    <row r="219" spans="3:14" ht="15" customHeight="1">
      <c r="C219" s="546"/>
      <c r="D219" s="546"/>
      <c r="G219" s="2136"/>
      <c r="H219" s="546"/>
      <c r="I219" s="546"/>
      <c r="J219" s="546"/>
      <c r="L219" s="2114"/>
      <c r="M219" s="2129"/>
      <c r="N219" s="2129"/>
    </row>
    <row r="220" spans="3:14" ht="15" customHeight="1">
      <c r="C220" s="546"/>
      <c r="D220" s="546"/>
      <c r="G220" s="2136"/>
      <c r="H220" s="546"/>
      <c r="I220" s="546"/>
      <c r="J220" s="546"/>
      <c r="L220" s="2114"/>
      <c r="M220" s="2129"/>
      <c r="N220" s="2129"/>
    </row>
    <row r="221" spans="3:14" ht="15" customHeight="1">
      <c r="C221" s="546"/>
      <c r="D221" s="546"/>
      <c r="G221" s="2136"/>
      <c r="H221" s="546"/>
      <c r="I221" s="546"/>
      <c r="J221" s="546"/>
      <c r="L221" s="2114"/>
      <c r="M221" s="2129"/>
      <c r="N221" s="2129"/>
    </row>
    <row r="222" spans="3:14" ht="15" customHeight="1">
      <c r="C222" s="546"/>
      <c r="D222" s="546"/>
      <c r="G222" s="2136"/>
      <c r="H222" s="546"/>
      <c r="I222" s="546"/>
      <c r="J222" s="546"/>
      <c r="L222" s="2114"/>
      <c r="M222" s="2129"/>
      <c r="N222" s="2129"/>
    </row>
    <row r="223" spans="3:14" ht="15" customHeight="1">
      <c r="C223" s="546"/>
      <c r="D223" s="546"/>
      <c r="G223" s="2136"/>
      <c r="H223" s="546"/>
      <c r="I223" s="546"/>
      <c r="J223" s="546"/>
      <c r="L223" s="2114"/>
      <c r="M223" s="2129"/>
      <c r="N223" s="2129"/>
    </row>
    <row r="224" spans="3:14" ht="15" customHeight="1">
      <c r="C224" s="546"/>
      <c r="D224" s="546"/>
      <c r="G224" s="2136"/>
      <c r="H224" s="546"/>
      <c r="I224" s="546"/>
      <c r="J224" s="546"/>
      <c r="L224" s="2114"/>
      <c r="M224" s="2129"/>
      <c r="N224" s="2129"/>
    </row>
    <row r="225" spans="3:14" ht="15" customHeight="1">
      <c r="C225" s="546"/>
      <c r="D225" s="546"/>
      <c r="G225" s="2136"/>
      <c r="H225" s="546"/>
      <c r="I225" s="546"/>
      <c r="J225" s="546"/>
      <c r="L225" s="2114"/>
      <c r="M225" s="2129"/>
      <c r="N225" s="2129"/>
    </row>
    <row r="226" spans="3:14" ht="15" customHeight="1">
      <c r="C226" s="546"/>
      <c r="D226" s="546"/>
      <c r="G226" s="2136"/>
      <c r="H226" s="546"/>
      <c r="I226" s="546"/>
      <c r="J226" s="546"/>
      <c r="L226" s="2114"/>
      <c r="M226" s="2129"/>
      <c r="N226" s="2129"/>
    </row>
    <row r="227" spans="3:14" ht="15" customHeight="1">
      <c r="C227" s="546"/>
      <c r="D227" s="546"/>
      <c r="G227" s="2136"/>
      <c r="H227" s="546"/>
      <c r="I227" s="546"/>
      <c r="J227" s="546"/>
      <c r="L227" s="2114"/>
      <c r="M227" s="2129"/>
      <c r="N227" s="2129"/>
    </row>
    <row r="228" spans="3:14" ht="15" customHeight="1">
      <c r="C228" s="546"/>
      <c r="D228" s="546"/>
      <c r="G228" s="2136"/>
      <c r="H228" s="546"/>
      <c r="I228" s="546"/>
      <c r="J228" s="546"/>
      <c r="L228" s="2114"/>
      <c r="M228" s="2129"/>
      <c r="N228" s="2129"/>
    </row>
    <row r="229" spans="3:14" ht="15" customHeight="1">
      <c r="C229" s="546"/>
      <c r="D229" s="546"/>
      <c r="G229" s="2136"/>
      <c r="H229" s="546"/>
      <c r="I229" s="546"/>
      <c r="J229" s="546"/>
      <c r="L229" s="2114"/>
      <c r="M229" s="2129"/>
      <c r="N229" s="2129"/>
    </row>
    <row r="230" spans="3:14" ht="15" customHeight="1">
      <c r="C230" s="546"/>
      <c r="D230" s="546"/>
      <c r="G230" s="2136"/>
      <c r="H230" s="546"/>
      <c r="I230" s="546"/>
      <c r="J230" s="546"/>
      <c r="L230" s="2114"/>
      <c r="M230" s="2129"/>
      <c r="N230" s="2129"/>
    </row>
    <row r="231" spans="3:14" ht="15" customHeight="1">
      <c r="C231" s="546"/>
      <c r="D231" s="546"/>
      <c r="G231" s="2136"/>
      <c r="H231" s="546"/>
      <c r="I231" s="546"/>
      <c r="J231" s="546"/>
      <c r="L231" s="2114"/>
      <c r="M231" s="2129"/>
      <c r="N231" s="2129"/>
    </row>
    <row r="232" spans="3:14" ht="15" customHeight="1">
      <c r="C232" s="546"/>
      <c r="D232" s="546"/>
      <c r="G232" s="2136"/>
      <c r="H232" s="546"/>
      <c r="I232" s="546"/>
      <c r="J232" s="546"/>
      <c r="L232" s="2114"/>
      <c r="M232" s="2129"/>
      <c r="N232" s="2129"/>
    </row>
    <row r="233" spans="3:14" ht="15" customHeight="1">
      <c r="C233" s="546"/>
      <c r="D233" s="546"/>
      <c r="G233" s="2136"/>
      <c r="H233" s="546"/>
      <c r="I233" s="546"/>
      <c r="J233" s="546"/>
      <c r="L233" s="2114"/>
      <c r="M233" s="2129"/>
      <c r="N233" s="2129"/>
    </row>
    <row r="234" spans="3:14" ht="15" customHeight="1">
      <c r="C234" s="546"/>
      <c r="D234" s="546"/>
      <c r="G234" s="2136"/>
      <c r="H234" s="546"/>
      <c r="I234" s="546"/>
      <c r="J234" s="546"/>
      <c r="L234" s="2114"/>
      <c r="M234" s="2129"/>
      <c r="N234" s="2129"/>
    </row>
    <row r="235" spans="3:14" ht="15" customHeight="1">
      <c r="C235" s="546"/>
      <c r="D235" s="546"/>
      <c r="G235" s="2136"/>
      <c r="H235" s="546"/>
      <c r="I235" s="546"/>
      <c r="J235" s="546"/>
      <c r="L235" s="2114"/>
      <c r="M235" s="2129"/>
      <c r="N235" s="2129"/>
    </row>
    <row r="236" spans="3:14" ht="15" customHeight="1">
      <c r="C236" s="546"/>
      <c r="D236" s="546"/>
      <c r="G236" s="2136"/>
      <c r="H236" s="546"/>
      <c r="I236" s="546"/>
      <c r="J236" s="546"/>
      <c r="L236" s="2114"/>
      <c r="M236" s="2129"/>
      <c r="N236" s="2129"/>
    </row>
    <row r="237" spans="3:14" ht="15" customHeight="1">
      <c r="C237" s="546"/>
      <c r="D237" s="546"/>
      <c r="G237" s="2136"/>
      <c r="H237" s="546"/>
      <c r="I237" s="546"/>
      <c r="J237" s="546"/>
      <c r="L237" s="2114"/>
      <c r="M237" s="2129"/>
      <c r="N237" s="2129"/>
    </row>
    <row r="238" spans="3:14" ht="15" customHeight="1">
      <c r="C238" s="546"/>
      <c r="D238" s="546"/>
      <c r="G238" s="2136"/>
      <c r="H238" s="546"/>
      <c r="I238" s="546"/>
      <c r="J238" s="546"/>
      <c r="L238" s="2114"/>
      <c r="M238" s="2129"/>
      <c r="N238" s="2129"/>
    </row>
    <row r="239" spans="3:14" ht="15" customHeight="1">
      <c r="C239" s="546"/>
      <c r="D239" s="546"/>
      <c r="G239" s="2136"/>
      <c r="H239" s="546"/>
      <c r="I239" s="546"/>
      <c r="J239" s="546"/>
      <c r="L239" s="2114"/>
      <c r="M239" s="2129"/>
      <c r="N239" s="2129"/>
    </row>
    <row r="240" spans="3:14" ht="15" customHeight="1">
      <c r="C240" s="546"/>
      <c r="D240" s="546"/>
      <c r="G240" s="2136"/>
      <c r="H240" s="546"/>
      <c r="I240" s="546"/>
      <c r="J240" s="546"/>
      <c r="L240" s="2114"/>
      <c r="M240" s="2129"/>
      <c r="N240" s="2129"/>
    </row>
    <row r="241" spans="3:14" ht="15" customHeight="1">
      <c r="C241" s="546"/>
      <c r="D241" s="546"/>
      <c r="G241" s="2136"/>
      <c r="H241" s="546"/>
      <c r="I241" s="546"/>
      <c r="J241" s="546"/>
      <c r="L241" s="2114"/>
      <c r="M241" s="2129"/>
      <c r="N241" s="2129"/>
    </row>
    <row r="242" spans="3:14" ht="15" customHeight="1">
      <c r="C242" s="546"/>
      <c r="D242" s="546"/>
      <c r="G242" s="2136"/>
      <c r="H242" s="546"/>
      <c r="I242" s="546"/>
      <c r="J242" s="546"/>
      <c r="L242" s="2114"/>
      <c r="M242" s="2129"/>
      <c r="N242" s="2129"/>
    </row>
    <row r="243" spans="3:14" ht="15" customHeight="1">
      <c r="C243" s="546"/>
      <c r="D243" s="546"/>
      <c r="G243" s="2136"/>
      <c r="H243" s="546"/>
      <c r="I243" s="546"/>
      <c r="J243" s="546"/>
      <c r="L243" s="2114"/>
      <c r="M243" s="2129"/>
      <c r="N243" s="2129"/>
    </row>
    <row r="244" spans="3:14" ht="15" customHeight="1">
      <c r="C244" s="546"/>
      <c r="D244" s="546"/>
      <c r="G244" s="2136"/>
      <c r="H244" s="546"/>
      <c r="I244" s="546"/>
      <c r="J244" s="546"/>
      <c r="L244" s="2114"/>
      <c r="M244" s="2129"/>
      <c r="N244" s="2129"/>
    </row>
    <row r="245" spans="3:14" ht="15" customHeight="1">
      <c r="C245" s="546"/>
      <c r="D245" s="546"/>
      <c r="G245" s="2136"/>
      <c r="H245" s="546"/>
      <c r="I245" s="546"/>
      <c r="J245" s="546"/>
      <c r="L245" s="2114"/>
      <c r="M245" s="2129"/>
      <c r="N245" s="2129"/>
    </row>
    <row r="246" spans="3:14" ht="15" customHeight="1">
      <c r="C246" s="546"/>
      <c r="D246" s="546"/>
      <c r="G246" s="2136"/>
      <c r="H246" s="546"/>
      <c r="I246" s="546"/>
      <c r="J246" s="546"/>
      <c r="L246" s="2114"/>
      <c r="M246" s="2129"/>
      <c r="N246" s="2129"/>
    </row>
    <row r="247" spans="3:14" ht="15" customHeight="1">
      <c r="C247" s="546"/>
      <c r="D247" s="546"/>
      <c r="G247" s="2136"/>
      <c r="H247" s="546"/>
      <c r="I247" s="546"/>
      <c r="J247" s="546"/>
      <c r="L247" s="2114"/>
      <c r="M247" s="2129"/>
      <c r="N247" s="2129"/>
    </row>
    <row r="248" spans="3:14" ht="15" customHeight="1">
      <c r="C248" s="546"/>
      <c r="D248" s="546"/>
      <c r="G248" s="2136"/>
      <c r="H248" s="546"/>
      <c r="I248" s="546"/>
      <c r="J248" s="546"/>
      <c r="L248" s="2114"/>
      <c r="M248" s="2129"/>
      <c r="N248" s="2129"/>
    </row>
    <row r="249" spans="3:14" ht="15" customHeight="1">
      <c r="C249" s="546"/>
      <c r="D249" s="546"/>
      <c r="G249" s="2136"/>
      <c r="H249" s="546"/>
      <c r="I249" s="546"/>
      <c r="J249" s="546"/>
      <c r="L249" s="2125"/>
      <c r="M249" s="2129"/>
      <c r="N249" s="2129"/>
    </row>
    <row r="250" spans="3:14" ht="15" customHeight="1">
      <c r="C250" s="546"/>
      <c r="D250" s="546"/>
      <c r="G250" s="2136"/>
      <c r="H250" s="546"/>
      <c r="I250" s="546"/>
      <c r="J250" s="546"/>
      <c r="L250" s="2125"/>
      <c r="M250" s="2129"/>
      <c r="N250" s="2129"/>
    </row>
    <row r="251" spans="3:14" ht="15" customHeight="1">
      <c r="C251" s="546"/>
      <c r="D251" s="546"/>
      <c r="G251" s="2136"/>
      <c r="H251" s="546"/>
      <c r="I251" s="546"/>
      <c r="J251" s="546"/>
      <c r="L251" s="2273"/>
      <c r="M251" s="2129"/>
      <c r="N251" s="2129"/>
    </row>
    <row r="252" spans="3:14" ht="15" customHeight="1">
      <c r="C252" s="546"/>
      <c r="D252" s="546"/>
      <c r="G252" s="2136"/>
      <c r="H252" s="546"/>
      <c r="I252" s="546"/>
      <c r="J252" s="546"/>
      <c r="L252" s="2125"/>
      <c r="M252" s="2129"/>
      <c r="N252" s="2129"/>
    </row>
    <row r="253" spans="3:14" ht="15" customHeight="1">
      <c r="C253" s="546"/>
      <c r="D253" s="546"/>
      <c r="G253" s="2136"/>
      <c r="H253" s="546"/>
      <c r="I253" s="546"/>
      <c r="J253" s="546"/>
      <c r="L253" s="2125"/>
      <c r="M253" s="2129"/>
      <c r="N253" s="2129"/>
    </row>
    <row r="254" spans="3:14" ht="15" customHeight="1">
      <c r="C254" s="546"/>
      <c r="D254" s="546"/>
      <c r="G254" s="2136"/>
      <c r="H254" s="546"/>
      <c r="I254" s="546"/>
      <c r="J254" s="546"/>
      <c r="L254" s="2125"/>
      <c r="M254" s="2129"/>
      <c r="N254" s="2129"/>
    </row>
    <row r="255" spans="3:14" ht="15" customHeight="1">
      <c r="C255" s="546"/>
      <c r="D255" s="546"/>
      <c r="G255" s="2136"/>
      <c r="H255" s="546"/>
      <c r="I255" s="546"/>
      <c r="J255" s="546"/>
      <c r="L255" s="2125"/>
      <c r="M255" s="2129"/>
      <c r="N255" s="2129"/>
    </row>
    <row r="256" spans="3:14" ht="15" customHeight="1">
      <c r="C256" s="546"/>
      <c r="D256" s="546"/>
      <c r="G256" s="2136"/>
      <c r="H256" s="546"/>
      <c r="I256" s="546"/>
      <c r="J256" s="546"/>
      <c r="L256" s="2125"/>
      <c r="M256" s="2129"/>
      <c r="N256" s="2129"/>
    </row>
    <row r="257" spans="3:14" ht="15" customHeight="1">
      <c r="C257" s="546"/>
      <c r="D257" s="546"/>
      <c r="G257" s="2136"/>
      <c r="H257" s="546"/>
      <c r="I257" s="546"/>
      <c r="J257" s="546"/>
      <c r="L257" s="2125"/>
      <c r="M257" s="2129"/>
      <c r="N257" s="2129"/>
    </row>
    <row r="258" spans="3:14" ht="15" customHeight="1">
      <c r="C258" s="546"/>
      <c r="D258" s="546"/>
      <c r="G258" s="2136"/>
      <c r="H258" s="546"/>
      <c r="I258" s="546"/>
      <c r="J258" s="546"/>
      <c r="L258" s="2125"/>
      <c r="M258" s="2129"/>
      <c r="N258" s="2129"/>
    </row>
    <row r="259" spans="3:14" ht="15" customHeight="1">
      <c r="C259" s="546"/>
      <c r="D259" s="546"/>
      <c r="G259" s="2136"/>
      <c r="H259" s="546"/>
      <c r="I259" s="546"/>
      <c r="J259" s="546"/>
      <c r="K259" s="2089"/>
      <c r="L259" s="2090"/>
      <c r="M259" s="2129"/>
      <c r="N259" s="2129"/>
    </row>
    <row r="260" spans="3:14" ht="15" customHeight="1">
      <c r="C260" s="546"/>
      <c r="D260" s="546"/>
      <c r="G260" s="2136"/>
      <c r="H260" s="546"/>
      <c r="I260" s="546"/>
      <c r="J260" s="546"/>
      <c r="K260" s="2089"/>
      <c r="L260" s="2090"/>
      <c r="M260" s="2129"/>
      <c r="N260" s="2129"/>
    </row>
    <row r="261" spans="3:14" ht="15" customHeight="1">
      <c r="C261" s="546"/>
      <c r="D261" s="546"/>
      <c r="G261" s="2136"/>
      <c r="H261" s="546"/>
      <c r="I261" s="546"/>
      <c r="J261" s="546"/>
      <c r="K261" s="2089"/>
      <c r="L261" s="2090"/>
      <c r="M261" s="2129"/>
      <c r="N261" s="2129"/>
    </row>
    <row r="262" spans="3:14" ht="15" customHeight="1">
      <c r="C262" s="546"/>
      <c r="D262" s="546"/>
      <c r="G262" s="2136"/>
      <c r="H262" s="546"/>
      <c r="I262" s="546"/>
      <c r="J262" s="546"/>
      <c r="L262" s="2114"/>
      <c r="M262" s="2129"/>
      <c r="N262" s="2129"/>
    </row>
    <row r="263" spans="3:14" ht="15" customHeight="1">
      <c r="C263" s="546"/>
      <c r="D263" s="546"/>
      <c r="G263" s="2136"/>
      <c r="H263" s="546"/>
      <c r="I263" s="546"/>
      <c r="J263" s="546"/>
      <c r="L263" s="2114"/>
      <c r="M263" s="2129"/>
      <c r="N263" s="2129"/>
    </row>
    <row r="264" spans="3:14" ht="15" customHeight="1">
      <c r="C264" s="546"/>
      <c r="D264" s="546"/>
      <c r="G264" s="2136"/>
      <c r="H264" s="546"/>
      <c r="I264" s="546"/>
      <c r="J264" s="546"/>
      <c r="L264" s="2126"/>
      <c r="M264" s="2129"/>
      <c r="N264" s="2129"/>
    </row>
    <row r="265" spans="3:14" ht="15" customHeight="1">
      <c r="C265" s="546"/>
      <c r="D265" s="546"/>
      <c r="G265" s="2136"/>
      <c r="H265" s="546"/>
      <c r="I265" s="546"/>
      <c r="J265" s="546"/>
      <c r="L265" s="2126"/>
      <c r="M265" s="2129"/>
      <c r="N265" s="2129"/>
    </row>
    <row r="266" spans="3:14" ht="15" customHeight="1">
      <c r="C266" s="546"/>
      <c r="D266" s="546"/>
      <c r="G266" s="2136"/>
      <c r="H266" s="546"/>
      <c r="I266" s="546"/>
      <c r="J266" s="546"/>
      <c r="K266" s="2089"/>
      <c r="L266" s="2090"/>
      <c r="M266" s="2129"/>
      <c r="N266" s="2129"/>
    </row>
    <row r="267" spans="3:14" ht="15" customHeight="1">
      <c r="C267" s="546"/>
      <c r="D267" s="546"/>
      <c r="G267" s="2136"/>
      <c r="H267" s="546"/>
      <c r="I267" s="546"/>
      <c r="J267" s="546"/>
      <c r="L267" s="2127"/>
      <c r="M267" s="2129"/>
      <c r="N267" s="2129"/>
    </row>
    <row r="268" spans="3:14" ht="15" customHeight="1">
      <c r="C268" s="546"/>
      <c r="D268" s="546"/>
      <c r="G268" s="2136"/>
      <c r="H268" s="546"/>
      <c r="I268" s="546"/>
      <c r="J268" s="546"/>
      <c r="K268" s="2089"/>
      <c r="L268" s="2136"/>
      <c r="M268" s="2136"/>
      <c r="N268" s="2136"/>
    </row>
    <row r="269" spans="3:14" ht="15" customHeight="1">
      <c r="C269" s="546"/>
      <c r="D269" s="546"/>
      <c r="G269" s="2136"/>
      <c r="H269" s="546"/>
      <c r="I269" s="546"/>
      <c r="J269" s="546"/>
      <c r="K269" s="2089"/>
      <c r="L269" s="2136"/>
      <c r="M269" s="2136"/>
      <c r="N269" s="2136"/>
    </row>
    <row r="270" spans="3:14" ht="15" customHeight="1">
      <c r="C270" s="546"/>
      <c r="D270" s="546"/>
      <c r="G270" s="2136"/>
      <c r="H270" s="546"/>
      <c r="I270" s="546"/>
      <c r="J270" s="546"/>
      <c r="K270" s="2089"/>
      <c r="L270" s="2136"/>
      <c r="M270" s="2136"/>
      <c r="N270" s="2136"/>
    </row>
    <row r="271" spans="3:14" ht="15" customHeight="1">
      <c r="C271" s="546"/>
      <c r="D271" s="546"/>
      <c r="G271" s="2136"/>
      <c r="H271" s="546"/>
      <c r="I271" s="546"/>
      <c r="J271" s="546"/>
      <c r="K271" s="2089"/>
      <c r="L271" s="2136"/>
      <c r="M271" s="2136"/>
      <c r="N271" s="2136"/>
    </row>
    <row r="272" spans="3:14" ht="15" customHeight="1">
      <c r="C272" s="546"/>
      <c r="D272" s="546"/>
      <c r="G272" s="2136"/>
      <c r="H272" s="546"/>
      <c r="I272" s="546"/>
      <c r="J272" s="546"/>
      <c r="K272" s="2089"/>
      <c r="L272" s="2136"/>
      <c r="M272" s="2136"/>
      <c r="N272" s="2136"/>
    </row>
    <row r="273" spans="3:14" ht="15" customHeight="1">
      <c r="C273" s="546"/>
      <c r="D273" s="546"/>
      <c r="G273" s="2136"/>
      <c r="H273" s="546"/>
      <c r="I273" s="546"/>
      <c r="J273" s="546"/>
      <c r="K273" s="2128"/>
      <c r="L273" s="2136"/>
      <c r="M273" s="2136"/>
      <c r="N273" s="2136"/>
    </row>
    <row r="274" spans="3:14" ht="15" customHeight="1">
      <c r="C274" s="546"/>
      <c r="D274" s="546"/>
      <c r="G274" s="2136"/>
      <c r="H274" s="546"/>
      <c r="I274" s="546"/>
      <c r="J274" s="546"/>
      <c r="K274" s="2128"/>
      <c r="L274" s="2136"/>
      <c r="M274" s="2136"/>
      <c r="N274" s="2136"/>
    </row>
    <row r="275" spans="3:14" ht="15" customHeight="1">
      <c r="C275" s="546"/>
      <c r="D275" s="546"/>
      <c r="G275" s="2136"/>
      <c r="H275" s="546"/>
      <c r="I275" s="546"/>
      <c r="J275" s="546"/>
      <c r="K275" s="2128"/>
      <c r="L275" s="2114"/>
      <c r="M275" s="2129"/>
      <c r="N275" s="2129"/>
    </row>
    <row r="276" spans="3:14" ht="15" customHeight="1">
      <c r="C276" s="546"/>
      <c r="D276" s="546"/>
      <c r="G276" s="2136"/>
      <c r="H276" s="546"/>
      <c r="I276" s="546"/>
      <c r="J276" s="546"/>
      <c r="K276" s="2128"/>
      <c r="L276" s="2114"/>
      <c r="M276" s="2129"/>
      <c r="N276" s="2129"/>
    </row>
    <row r="277" spans="3:14" ht="15" customHeight="1">
      <c r="C277" s="546"/>
      <c r="D277" s="546"/>
      <c r="G277" s="2136"/>
      <c r="H277" s="546"/>
      <c r="I277" s="546"/>
      <c r="J277" s="546"/>
      <c r="K277" s="2089"/>
      <c r="L277" s="2090"/>
      <c r="M277" s="2129"/>
      <c r="N277" s="2129"/>
    </row>
    <row r="278" spans="3:14" ht="15" customHeight="1">
      <c r="C278" s="546"/>
      <c r="D278" s="546"/>
      <c r="G278" s="2136"/>
      <c r="H278" s="546"/>
      <c r="I278" s="546"/>
      <c r="J278" s="546"/>
      <c r="K278" s="2089"/>
      <c r="L278" s="2090"/>
      <c r="M278" s="2129"/>
      <c r="N278" s="2129"/>
    </row>
    <row r="279" spans="3:14" ht="15" customHeight="1">
      <c r="C279" s="546"/>
      <c r="D279" s="546"/>
      <c r="G279" s="2136"/>
      <c r="H279" s="546"/>
      <c r="I279" s="546"/>
      <c r="J279" s="546"/>
      <c r="K279" s="2089"/>
      <c r="L279" s="2090"/>
      <c r="M279" s="2129"/>
      <c r="N279" s="2129"/>
    </row>
    <row r="280" spans="3:14" ht="15" customHeight="1">
      <c r="C280" s="546"/>
      <c r="D280" s="546"/>
      <c r="G280" s="2136"/>
      <c r="H280" s="546"/>
      <c r="I280" s="546"/>
      <c r="J280" s="546"/>
      <c r="K280" s="2089"/>
      <c r="L280" s="2090"/>
      <c r="M280" s="2129"/>
      <c r="N280" s="2129"/>
    </row>
    <row r="281" spans="3:14" ht="15" customHeight="1">
      <c r="C281" s="546"/>
      <c r="D281" s="546"/>
      <c r="G281" s="2136"/>
      <c r="H281" s="546"/>
      <c r="I281" s="546"/>
      <c r="J281" s="546"/>
      <c r="K281" s="2089"/>
      <c r="L281" s="2090"/>
      <c r="M281" s="2129"/>
      <c r="N281" s="2129"/>
    </row>
    <row r="282" spans="3:14" ht="15" customHeight="1">
      <c r="C282" s="546"/>
      <c r="D282" s="546"/>
      <c r="G282" s="2136"/>
      <c r="H282" s="546"/>
      <c r="I282" s="546"/>
      <c r="J282" s="546"/>
      <c r="K282" s="2089"/>
      <c r="L282" s="2090"/>
      <c r="M282" s="2129"/>
      <c r="N282" s="2129"/>
    </row>
    <row r="283" spans="3:14" ht="15" customHeight="1">
      <c r="C283" s="546"/>
      <c r="D283" s="546"/>
      <c r="G283" s="2136"/>
      <c r="H283" s="546"/>
      <c r="I283" s="546"/>
      <c r="J283" s="546"/>
      <c r="K283" s="2130"/>
      <c r="L283" s="2131"/>
      <c r="M283" s="2129"/>
      <c r="N283" s="2129"/>
    </row>
    <row r="284" spans="3:14" ht="15" customHeight="1">
      <c r="C284" s="546"/>
      <c r="D284" s="546"/>
      <c r="G284" s="2136"/>
      <c r="H284" s="546"/>
      <c r="I284" s="546"/>
      <c r="J284" s="546"/>
      <c r="K284" s="2130"/>
      <c r="L284" s="2131"/>
      <c r="M284" s="2129"/>
      <c r="N284" s="2129"/>
    </row>
    <row r="285" spans="3:14" ht="15" customHeight="1">
      <c r="C285" s="546"/>
      <c r="D285" s="546"/>
      <c r="G285" s="2136"/>
      <c r="H285" s="546"/>
      <c r="I285" s="546"/>
      <c r="J285" s="546"/>
      <c r="K285" s="2130"/>
      <c r="L285" s="2131"/>
      <c r="M285" s="2129"/>
      <c r="N285" s="2129"/>
    </row>
    <row r="286" spans="3:14" ht="15" customHeight="1">
      <c r="C286" s="546"/>
      <c r="D286" s="546"/>
      <c r="G286" s="2136"/>
      <c r="H286" s="546"/>
      <c r="I286" s="546"/>
      <c r="J286" s="546"/>
      <c r="K286" s="2130"/>
      <c r="L286" s="2131"/>
      <c r="M286" s="2129"/>
      <c r="N286" s="2129"/>
    </row>
    <row r="287" spans="3:14" ht="15" customHeight="1">
      <c r="C287" s="546"/>
      <c r="D287" s="546"/>
      <c r="G287" s="2136"/>
      <c r="H287" s="546"/>
      <c r="I287" s="546"/>
      <c r="J287" s="546"/>
      <c r="K287" s="2130"/>
      <c r="L287" s="2131"/>
      <c r="M287" s="2129"/>
      <c r="N287" s="2129"/>
    </row>
    <row r="288" spans="3:14" ht="15" customHeight="1">
      <c r="C288" s="546"/>
      <c r="D288" s="546"/>
      <c r="G288" s="2136"/>
      <c r="H288" s="546"/>
      <c r="I288" s="546"/>
      <c r="J288" s="546"/>
      <c r="K288" s="2130"/>
      <c r="L288" s="2131"/>
      <c r="M288" s="2129"/>
      <c r="N288" s="2129"/>
    </row>
    <row r="289" spans="3:14" ht="15" customHeight="1">
      <c r="C289" s="546"/>
      <c r="D289" s="546"/>
      <c r="G289" s="2136"/>
      <c r="H289" s="546"/>
      <c r="I289" s="546"/>
      <c r="J289" s="546"/>
      <c r="K289" s="1041"/>
      <c r="L289" s="2087"/>
      <c r="M289" s="2129"/>
      <c r="N289" s="2129"/>
    </row>
    <row r="290" spans="3:14" ht="15" customHeight="1">
      <c r="C290" s="546"/>
      <c r="D290" s="546"/>
      <c r="G290" s="2136"/>
      <c r="H290" s="546"/>
      <c r="I290" s="546"/>
      <c r="J290" s="546"/>
      <c r="K290" s="1041"/>
      <c r="L290" s="2087"/>
      <c r="M290" s="2129"/>
      <c r="N290" s="2129"/>
    </row>
    <row r="291" spans="3:14" ht="15" customHeight="1">
      <c r="C291" s="546"/>
      <c r="D291" s="546"/>
      <c r="G291" s="2136"/>
      <c r="H291" s="546"/>
      <c r="I291" s="546"/>
      <c r="J291" s="546"/>
      <c r="K291" s="1041"/>
      <c r="L291" s="2087"/>
      <c r="M291" s="2129"/>
      <c r="N291" s="2129"/>
    </row>
    <row r="292" spans="3:14" ht="15" customHeight="1">
      <c r="C292" s="546"/>
      <c r="D292" s="546"/>
      <c r="G292" s="2136"/>
      <c r="H292" s="546"/>
      <c r="I292" s="546"/>
      <c r="J292" s="546"/>
      <c r="K292" s="1041"/>
      <c r="L292" s="2087"/>
      <c r="M292" s="2129"/>
      <c r="N292" s="2129"/>
    </row>
    <row r="293" spans="3:14" ht="15" customHeight="1">
      <c r="C293" s="546"/>
      <c r="D293" s="546"/>
      <c r="G293" s="2136"/>
      <c r="H293" s="546"/>
      <c r="I293" s="546"/>
      <c r="J293" s="546"/>
      <c r="K293" s="1041"/>
      <c r="L293" s="2087"/>
      <c r="M293" s="2129"/>
      <c r="N293" s="2129"/>
    </row>
    <row r="294" spans="3:14" ht="15" customHeight="1">
      <c r="C294" s="546"/>
      <c r="D294" s="546"/>
      <c r="G294" s="2136"/>
      <c r="H294" s="546"/>
      <c r="I294" s="546"/>
      <c r="J294" s="546"/>
      <c r="K294" s="1041"/>
      <c r="L294" s="2087"/>
      <c r="M294" s="2129"/>
      <c r="N294" s="2129"/>
    </row>
    <row r="295" spans="3:14" ht="15" customHeight="1">
      <c r="C295" s="546"/>
      <c r="D295" s="546"/>
      <c r="G295" s="2136"/>
      <c r="H295" s="546"/>
      <c r="I295" s="546"/>
      <c r="J295" s="546"/>
      <c r="K295" s="1041"/>
      <c r="L295" s="2087"/>
      <c r="M295" s="2129"/>
      <c r="N295" s="2129"/>
    </row>
    <row r="296" spans="3:14" ht="15" customHeight="1">
      <c r="C296" s="546"/>
      <c r="D296" s="546"/>
      <c r="G296" s="2136"/>
      <c r="H296" s="546"/>
      <c r="I296" s="546"/>
      <c r="J296" s="546"/>
      <c r="K296" s="1041"/>
      <c r="L296" s="2087"/>
      <c r="M296" s="2129"/>
      <c r="N296" s="2129"/>
    </row>
    <row r="297" spans="3:14" ht="15" customHeight="1">
      <c r="C297" s="546"/>
      <c r="D297" s="546"/>
      <c r="G297" s="2136"/>
      <c r="H297" s="546"/>
      <c r="I297" s="546"/>
      <c r="J297" s="546"/>
      <c r="K297" s="1041"/>
      <c r="L297" s="2087"/>
      <c r="M297" s="2129"/>
      <c r="N297" s="2129"/>
    </row>
    <row r="298" spans="3:14" ht="15" customHeight="1">
      <c r="C298" s="546"/>
      <c r="D298" s="546"/>
      <c r="G298" s="2136"/>
      <c r="H298" s="546"/>
      <c r="I298" s="546"/>
      <c r="J298" s="546"/>
      <c r="K298" s="1041"/>
      <c r="L298" s="2087"/>
      <c r="M298" s="2129"/>
      <c r="N298" s="2129"/>
    </row>
    <row r="299" spans="3:14" ht="15" customHeight="1">
      <c r="C299" s="546"/>
      <c r="D299" s="546"/>
      <c r="G299" s="2136"/>
      <c r="H299" s="546"/>
      <c r="I299" s="546"/>
      <c r="J299" s="546"/>
      <c r="K299" s="1041"/>
      <c r="L299" s="2087"/>
      <c r="M299" s="2129"/>
      <c r="N299" s="2129"/>
    </row>
    <row r="300" spans="3:14" ht="15" customHeight="1">
      <c r="C300" s="546"/>
      <c r="D300" s="546"/>
      <c r="G300" s="2136"/>
      <c r="H300" s="546"/>
      <c r="I300" s="546"/>
      <c r="J300" s="546"/>
      <c r="K300" s="1041"/>
      <c r="L300" s="2087"/>
      <c r="M300" s="2129"/>
      <c r="N300" s="2129"/>
    </row>
    <row r="301" spans="3:14" ht="15" customHeight="1">
      <c r="C301" s="546"/>
      <c r="D301" s="546"/>
      <c r="G301" s="2136"/>
      <c r="H301" s="546"/>
      <c r="I301" s="546"/>
      <c r="J301" s="546"/>
      <c r="K301" s="1041"/>
      <c r="L301" s="2087"/>
      <c r="M301" s="2129"/>
      <c r="N301" s="2129"/>
    </row>
    <row r="302" spans="3:14" ht="15" customHeight="1">
      <c r="C302" s="546"/>
      <c r="D302" s="546"/>
      <c r="G302" s="2136"/>
      <c r="H302" s="546"/>
      <c r="I302" s="546"/>
      <c r="J302" s="546"/>
      <c r="K302" s="1041"/>
      <c r="L302" s="2087"/>
      <c r="M302" s="2129"/>
      <c r="N302" s="2129"/>
    </row>
    <row r="303" spans="3:14" ht="15" customHeight="1">
      <c r="C303" s="546"/>
      <c r="D303" s="546"/>
      <c r="G303" s="2136"/>
      <c r="H303" s="546"/>
      <c r="I303" s="546"/>
      <c r="J303" s="546"/>
      <c r="K303" s="1041"/>
      <c r="L303" s="2087"/>
      <c r="M303" s="2129"/>
      <c r="N303" s="2129"/>
    </row>
    <row r="304" spans="3:14" ht="15" customHeight="1">
      <c r="C304" s="546"/>
      <c r="D304" s="546"/>
      <c r="G304" s="2136"/>
      <c r="H304" s="546"/>
      <c r="I304" s="546"/>
      <c r="J304" s="546"/>
      <c r="K304" s="1041"/>
      <c r="L304" s="2087"/>
      <c r="M304" s="2129"/>
      <c r="N304" s="2129"/>
    </row>
    <row r="305" spans="3:14" ht="15" customHeight="1">
      <c r="C305" s="546"/>
      <c r="D305" s="546"/>
      <c r="G305" s="2136"/>
      <c r="H305" s="546"/>
      <c r="I305" s="546"/>
      <c r="J305" s="546"/>
      <c r="K305" s="1041"/>
      <c r="L305" s="2087"/>
      <c r="M305" s="2129"/>
      <c r="N305" s="2129"/>
    </row>
    <row r="306" spans="3:14" ht="15" customHeight="1">
      <c r="C306" s="546"/>
      <c r="D306" s="546"/>
      <c r="G306" s="2136"/>
      <c r="H306" s="546"/>
      <c r="I306" s="546"/>
      <c r="J306" s="546"/>
      <c r="K306" s="1041"/>
      <c r="L306" s="2087"/>
      <c r="M306" s="2129"/>
      <c r="N306" s="2129"/>
    </row>
    <row r="307" spans="3:14" ht="15" customHeight="1">
      <c r="C307" s="546"/>
      <c r="D307" s="546"/>
      <c r="G307" s="2136"/>
      <c r="H307" s="546"/>
      <c r="I307" s="546"/>
      <c r="J307" s="546"/>
      <c r="K307" s="1041"/>
      <c r="L307" s="2087"/>
      <c r="M307" s="2129"/>
      <c r="N307" s="2129"/>
    </row>
    <row r="308" spans="3:14" ht="15" customHeight="1">
      <c r="C308" s="546"/>
      <c r="D308" s="546"/>
      <c r="G308" s="2136"/>
      <c r="H308" s="546"/>
      <c r="I308" s="546"/>
      <c r="J308" s="546"/>
      <c r="L308" s="2136"/>
      <c r="M308" s="2129"/>
      <c r="N308" s="2129"/>
    </row>
    <row r="309" spans="3:14" ht="15" customHeight="1">
      <c r="C309" s="546"/>
      <c r="D309" s="546"/>
      <c r="G309" s="2136"/>
      <c r="H309" s="546"/>
      <c r="I309" s="546"/>
      <c r="J309" s="546"/>
      <c r="L309" s="2136"/>
      <c r="M309" s="2129"/>
      <c r="N309" s="2129"/>
    </row>
    <row r="310" spans="3:14" ht="15" customHeight="1">
      <c r="C310" s="546"/>
      <c r="D310" s="546"/>
      <c r="G310" s="2136"/>
      <c r="H310" s="546"/>
      <c r="I310" s="546"/>
      <c r="J310" s="546"/>
      <c r="L310" s="2136"/>
      <c r="M310" s="2129"/>
      <c r="N310" s="2129"/>
    </row>
    <row r="311" spans="3:14" ht="15" customHeight="1">
      <c r="C311" s="546"/>
      <c r="D311" s="546"/>
      <c r="G311" s="2136"/>
      <c r="H311" s="546"/>
      <c r="I311" s="546"/>
      <c r="J311" s="546"/>
      <c r="K311" s="1041"/>
      <c r="L311" s="2132"/>
      <c r="M311" s="2129"/>
      <c r="N311" s="2129"/>
    </row>
    <row r="312" spans="3:14" ht="15" customHeight="1">
      <c r="C312" s="546"/>
      <c r="D312" s="546"/>
      <c r="G312" s="2136"/>
      <c r="H312" s="546"/>
      <c r="I312" s="546"/>
      <c r="J312" s="546"/>
      <c r="K312" s="1041"/>
      <c r="L312" s="2132"/>
      <c r="M312" s="2129"/>
      <c r="N312" s="2129"/>
    </row>
    <row r="313" spans="3:14" ht="15" customHeight="1">
      <c r="C313" s="546"/>
      <c r="D313" s="546"/>
      <c r="G313" s="2136"/>
      <c r="H313" s="546"/>
      <c r="I313" s="546"/>
      <c r="J313" s="546"/>
      <c r="K313" s="1041"/>
      <c r="L313" s="2132"/>
      <c r="M313" s="2129"/>
      <c r="N313" s="2129"/>
    </row>
    <row r="314" spans="3:14" ht="15" customHeight="1">
      <c r="C314" s="546"/>
      <c r="D314" s="546"/>
      <c r="G314" s="2136"/>
      <c r="H314" s="546"/>
      <c r="I314" s="546"/>
      <c r="J314" s="546"/>
      <c r="K314" s="1041"/>
      <c r="L314" s="2132"/>
      <c r="M314" s="2129"/>
      <c r="N314" s="2129"/>
    </row>
    <row r="315" spans="3:14" ht="15" customHeight="1">
      <c r="C315" s="546"/>
      <c r="D315" s="546"/>
      <c r="G315" s="2136"/>
      <c r="H315" s="546"/>
      <c r="I315" s="546"/>
      <c r="J315" s="546"/>
      <c r="K315" s="2089"/>
      <c r="L315" s="2090"/>
      <c r="M315" s="2129"/>
      <c r="N315" s="2129"/>
    </row>
    <row r="316" spans="3:14" ht="15" customHeight="1">
      <c r="C316" s="546"/>
      <c r="D316" s="546"/>
      <c r="G316" s="2136"/>
      <c r="H316" s="546"/>
      <c r="I316" s="546"/>
      <c r="J316" s="546"/>
      <c r="K316" s="2089"/>
      <c r="L316" s="2090"/>
      <c r="M316" s="2129"/>
      <c r="N316" s="2129"/>
    </row>
    <row r="317" spans="3:14" ht="15" customHeight="1">
      <c r="C317" s="546"/>
      <c r="D317" s="546"/>
      <c r="G317" s="2136"/>
      <c r="H317" s="546"/>
      <c r="I317" s="546"/>
      <c r="J317" s="546"/>
      <c r="K317" s="2108"/>
      <c r="L317" s="2090"/>
      <c r="M317" s="2129"/>
      <c r="N317" s="2129"/>
    </row>
    <row r="318" spans="3:14" ht="15" customHeight="1">
      <c r="C318" s="546"/>
      <c r="D318" s="546"/>
      <c r="G318" s="2136"/>
      <c r="H318" s="546"/>
      <c r="I318" s="546"/>
      <c r="J318" s="546"/>
      <c r="K318" s="2089"/>
      <c r="L318" s="2090"/>
      <c r="M318" s="2129"/>
      <c r="N318" s="2129"/>
    </row>
    <row r="319" spans="3:14" ht="15" customHeight="1">
      <c r="C319" s="546"/>
      <c r="D319" s="546"/>
      <c r="G319" s="2136"/>
      <c r="H319" s="546"/>
      <c r="I319" s="546"/>
      <c r="J319" s="546"/>
      <c r="K319" s="2089"/>
      <c r="L319" s="2090"/>
      <c r="M319" s="2129"/>
      <c r="N319" s="2129"/>
    </row>
    <row r="320" spans="3:14" ht="15" customHeight="1">
      <c r="C320" s="546"/>
      <c r="D320" s="546"/>
      <c r="G320" s="2136"/>
      <c r="H320" s="546"/>
      <c r="I320" s="546"/>
      <c r="J320" s="546"/>
      <c r="K320" s="2089"/>
      <c r="L320" s="2090"/>
      <c r="M320" s="2129"/>
      <c r="N320" s="2129"/>
    </row>
    <row r="321" spans="3:14" ht="15" customHeight="1">
      <c r="C321" s="546"/>
      <c r="D321" s="546"/>
      <c r="G321" s="2136"/>
      <c r="H321" s="546"/>
      <c r="I321" s="546"/>
      <c r="J321" s="546"/>
      <c r="K321" s="2130"/>
      <c r="L321" s="2131"/>
      <c r="M321" s="2129"/>
      <c r="N321" s="2129"/>
    </row>
    <row r="322" spans="3:14" ht="15" customHeight="1">
      <c r="C322" s="546"/>
      <c r="D322" s="546"/>
      <c r="G322" s="2136"/>
      <c r="H322" s="546"/>
      <c r="I322" s="546"/>
      <c r="J322" s="546"/>
      <c r="K322" s="1041"/>
      <c r="L322" s="2087"/>
      <c r="M322" s="2129"/>
      <c r="N322" s="2129"/>
    </row>
    <row r="323" spans="3:14" ht="15" customHeight="1">
      <c r="C323" s="546"/>
      <c r="D323" s="546"/>
      <c r="G323" s="2136"/>
      <c r="H323" s="546"/>
      <c r="I323" s="546"/>
      <c r="J323" s="546"/>
      <c r="K323" s="1041"/>
      <c r="L323" s="2087"/>
      <c r="M323" s="2129"/>
      <c r="N323" s="2129"/>
    </row>
    <row r="324" spans="3:14" ht="15" customHeight="1">
      <c r="C324" s="546"/>
      <c r="D324" s="546"/>
      <c r="G324" s="2136"/>
      <c r="H324" s="546"/>
      <c r="I324" s="546"/>
      <c r="J324" s="546"/>
      <c r="K324" s="1041"/>
      <c r="L324" s="2087"/>
      <c r="M324" s="2129"/>
      <c r="N324" s="2129"/>
    </row>
    <row r="325" spans="3:14" ht="15" customHeight="1">
      <c r="C325" s="546"/>
      <c r="D325" s="546"/>
      <c r="G325" s="2136"/>
      <c r="H325" s="546"/>
      <c r="I325" s="546"/>
      <c r="J325" s="546"/>
      <c r="K325" s="1041"/>
      <c r="L325" s="2087"/>
      <c r="M325" s="2129"/>
      <c r="N325" s="2129"/>
    </row>
    <row r="326" spans="3:14" ht="15" customHeight="1">
      <c r="C326" s="546"/>
      <c r="D326" s="546"/>
      <c r="G326" s="2136"/>
      <c r="H326" s="546"/>
      <c r="I326" s="546"/>
      <c r="J326" s="546"/>
      <c r="K326" s="1041"/>
      <c r="L326" s="2087"/>
      <c r="M326" s="2129"/>
      <c r="N326" s="2129"/>
    </row>
    <row r="327" spans="3:14" ht="15" customHeight="1">
      <c r="C327" s="546"/>
      <c r="D327" s="546"/>
      <c r="G327" s="2136"/>
      <c r="H327" s="546"/>
      <c r="I327" s="546"/>
      <c r="J327" s="546"/>
      <c r="K327" s="1041"/>
      <c r="L327" s="2087"/>
      <c r="M327" s="2129"/>
      <c r="N327" s="2129"/>
    </row>
    <row r="328" spans="3:14" ht="15" customHeight="1">
      <c r="C328" s="546"/>
      <c r="D328" s="546"/>
      <c r="G328" s="2136"/>
      <c r="H328" s="546"/>
      <c r="I328" s="546"/>
      <c r="J328" s="546"/>
      <c r="K328" s="1041"/>
      <c r="L328" s="2087"/>
      <c r="M328" s="2129"/>
      <c r="N328" s="2129"/>
    </row>
    <row r="329" spans="3:14" ht="15" customHeight="1">
      <c r="C329" s="546"/>
      <c r="D329" s="546"/>
      <c r="G329" s="2136"/>
      <c r="H329" s="546"/>
      <c r="I329" s="546"/>
      <c r="J329" s="546"/>
      <c r="K329" s="1041"/>
      <c r="L329" s="2087"/>
      <c r="M329" s="2129"/>
      <c r="N329" s="2129"/>
    </row>
    <row r="330" spans="3:14" ht="15" customHeight="1">
      <c r="C330" s="546"/>
      <c r="D330" s="546"/>
      <c r="G330" s="2136"/>
      <c r="H330" s="546"/>
      <c r="I330" s="546"/>
      <c r="J330" s="546"/>
      <c r="K330" s="1041"/>
      <c r="L330" s="2087"/>
      <c r="M330" s="2129"/>
      <c r="N330" s="2129"/>
    </row>
    <row r="331" spans="3:14" ht="15" customHeight="1">
      <c r="C331" s="546"/>
      <c r="D331" s="546"/>
      <c r="G331" s="2136"/>
      <c r="H331" s="546"/>
      <c r="I331" s="546"/>
      <c r="J331" s="546"/>
      <c r="K331" s="1041"/>
      <c r="L331" s="2087"/>
      <c r="M331" s="2129"/>
      <c r="N331" s="2129"/>
    </row>
    <row r="332" spans="3:14" ht="15" customHeight="1">
      <c r="C332" s="546"/>
      <c r="D332" s="546"/>
      <c r="G332" s="2136"/>
      <c r="H332" s="546"/>
      <c r="I332" s="546"/>
      <c r="J332" s="546"/>
      <c r="K332" s="1041"/>
      <c r="L332" s="2087"/>
      <c r="M332" s="2129"/>
      <c r="N332" s="2129"/>
    </row>
    <row r="333" spans="3:14" ht="15" customHeight="1">
      <c r="C333" s="546"/>
      <c r="D333" s="546"/>
      <c r="G333" s="2136"/>
      <c r="H333" s="546"/>
      <c r="I333" s="546"/>
      <c r="J333" s="546"/>
      <c r="K333" s="2130"/>
      <c r="L333" s="2131"/>
      <c r="M333" s="2129"/>
      <c r="N333" s="2129"/>
    </row>
    <row r="334" spans="3:14" ht="15" customHeight="1">
      <c r="C334" s="546"/>
      <c r="D334" s="546"/>
      <c r="G334" s="2136"/>
      <c r="H334" s="546"/>
      <c r="I334" s="546"/>
      <c r="J334" s="546"/>
      <c r="K334" s="2133"/>
      <c r="L334" s="2134"/>
      <c r="M334" s="2129"/>
      <c r="N334" s="2129"/>
    </row>
    <row r="335" spans="3:14" ht="15" customHeight="1">
      <c r="C335" s="546"/>
      <c r="D335" s="546"/>
      <c r="G335" s="2136"/>
      <c r="H335" s="546"/>
      <c r="I335" s="546"/>
      <c r="J335" s="546"/>
      <c r="K335" s="2133"/>
      <c r="L335" s="2134"/>
      <c r="M335" s="2129"/>
      <c r="N335" s="2129"/>
    </row>
    <row r="336" spans="3:14" ht="15" customHeight="1">
      <c r="C336" s="546"/>
      <c r="D336" s="546"/>
      <c r="G336" s="2136"/>
      <c r="H336" s="546"/>
      <c r="I336" s="546"/>
      <c r="J336" s="546"/>
      <c r="K336" s="2133"/>
      <c r="L336" s="2134"/>
      <c r="M336" s="2129"/>
      <c r="N336" s="2129"/>
    </row>
    <row r="337" spans="3:14" ht="15" customHeight="1">
      <c r="C337" s="546"/>
      <c r="D337" s="546"/>
      <c r="G337" s="2136"/>
      <c r="H337" s="546"/>
      <c r="I337" s="546"/>
      <c r="J337" s="546"/>
      <c r="K337" s="2133"/>
      <c r="L337" s="2129"/>
      <c r="M337" s="2129"/>
      <c r="N337" s="2129"/>
    </row>
    <row r="338" spans="3:14" ht="15" customHeight="1">
      <c r="C338" s="546"/>
      <c r="D338" s="546"/>
      <c r="G338" s="2136"/>
      <c r="H338" s="546"/>
      <c r="I338" s="546"/>
      <c r="J338" s="546"/>
      <c r="K338" s="2130"/>
      <c r="L338" s="2135"/>
      <c r="M338" s="2129"/>
      <c r="N338" s="2129"/>
    </row>
    <row r="339" spans="3:14" ht="15" customHeight="1">
      <c r="C339" s="546"/>
      <c r="D339" s="546"/>
      <c r="G339" s="2136"/>
      <c r="H339" s="546"/>
      <c r="I339" s="546"/>
      <c r="J339" s="546"/>
      <c r="K339" s="2130"/>
      <c r="L339" s="2131"/>
      <c r="M339" s="2129"/>
      <c r="N339" s="2129"/>
    </row>
    <row r="340" spans="3:14" ht="15" customHeight="1">
      <c r="C340" s="546"/>
      <c r="D340" s="546"/>
      <c r="G340" s="2136"/>
      <c r="H340" s="546"/>
      <c r="I340" s="546"/>
      <c r="J340" s="546"/>
      <c r="K340" s="2133"/>
      <c r="L340" s="2134"/>
      <c r="M340" s="2129"/>
      <c r="N340" s="2129"/>
    </row>
    <row r="341" spans="3:14" ht="15" customHeight="1">
      <c r="C341" s="546"/>
      <c r="D341" s="546"/>
      <c r="G341" s="2136"/>
      <c r="H341" s="546"/>
      <c r="I341" s="546"/>
      <c r="J341" s="546"/>
      <c r="K341" s="2133"/>
      <c r="L341" s="2134"/>
      <c r="M341" s="2129"/>
      <c r="N341" s="2129"/>
    </row>
    <row r="342" spans="3:14" ht="15" customHeight="1">
      <c r="C342" s="546"/>
      <c r="D342" s="546"/>
      <c r="G342" s="2136"/>
      <c r="H342" s="546"/>
      <c r="I342" s="546"/>
      <c r="J342" s="546"/>
      <c r="K342" s="2133"/>
      <c r="L342" s="2129"/>
      <c r="M342" s="2129"/>
      <c r="N342" s="2129"/>
    </row>
    <row r="343" spans="3:14" ht="15" customHeight="1">
      <c r="C343" s="546"/>
      <c r="D343" s="546"/>
      <c r="G343" s="2136"/>
      <c r="H343" s="546"/>
      <c r="I343" s="546"/>
      <c r="J343" s="546"/>
      <c r="K343" s="2133"/>
      <c r="L343" s="2129"/>
      <c r="M343" s="2129"/>
      <c r="N343" s="2129"/>
    </row>
    <row r="344" spans="3:14" ht="15" customHeight="1">
      <c r="C344" s="546"/>
      <c r="D344" s="546"/>
      <c r="G344" s="2136"/>
      <c r="H344" s="546"/>
      <c r="I344" s="546"/>
      <c r="J344" s="546"/>
      <c r="K344" s="2133"/>
      <c r="L344" s="2129"/>
      <c r="M344" s="2129"/>
      <c r="N344" s="2129"/>
    </row>
    <row r="345" spans="3:14" ht="15" customHeight="1">
      <c r="C345" s="546"/>
      <c r="D345" s="546"/>
      <c r="G345" s="2136"/>
      <c r="H345" s="546"/>
      <c r="I345" s="546"/>
      <c r="J345" s="546"/>
      <c r="K345" s="2133"/>
      <c r="L345" s="2129"/>
      <c r="M345" s="2129"/>
      <c r="N345" s="2129"/>
    </row>
    <row r="346" spans="3:14" ht="15" customHeight="1">
      <c r="C346" s="546"/>
      <c r="D346" s="546"/>
      <c r="G346" s="2136"/>
      <c r="H346" s="546"/>
      <c r="I346" s="546"/>
      <c r="J346" s="546"/>
      <c r="K346" s="2133"/>
      <c r="L346" s="2129"/>
      <c r="M346" s="2129"/>
      <c r="N346" s="2129"/>
    </row>
    <row r="347" spans="3:14" ht="15" customHeight="1">
      <c r="C347" s="546"/>
      <c r="D347" s="546"/>
      <c r="G347" s="2136"/>
      <c r="H347" s="546"/>
      <c r="I347" s="546"/>
      <c r="J347" s="546"/>
      <c r="K347" s="1041"/>
      <c r="L347" s="2087"/>
      <c r="M347" s="2129"/>
      <c r="N347" s="2129"/>
    </row>
    <row r="348" spans="3:14" ht="15" customHeight="1">
      <c r="C348" s="546"/>
      <c r="D348" s="546"/>
      <c r="G348" s="2136"/>
      <c r="H348" s="546"/>
      <c r="I348" s="546"/>
      <c r="J348" s="546"/>
      <c r="K348" s="2089"/>
      <c r="L348" s="2090"/>
      <c r="M348" s="2129"/>
      <c r="N348" s="2129"/>
    </row>
    <row r="349" spans="3:14" ht="15" customHeight="1">
      <c r="C349" s="546"/>
      <c r="D349" s="546"/>
      <c r="G349" s="2136"/>
      <c r="H349" s="546"/>
      <c r="I349" s="546"/>
      <c r="J349" s="546"/>
      <c r="K349" s="2089"/>
      <c r="L349" s="2090"/>
      <c r="M349" s="2129"/>
      <c r="N349" s="2129"/>
    </row>
    <row r="350" spans="3:14" ht="15" customHeight="1">
      <c r="C350" s="546"/>
      <c r="D350" s="546"/>
      <c r="G350" s="2136"/>
      <c r="H350" s="546"/>
      <c r="I350" s="546"/>
      <c r="J350" s="546"/>
      <c r="K350" s="2133"/>
      <c r="L350" s="2134"/>
      <c r="M350" s="2136"/>
      <c r="N350" s="2136"/>
    </row>
    <row r="351" spans="3:14" ht="15" customHeight="1">
      <c r="C351" s="546"/>
      <c r="D351" s="546"/>
      <c r="G351" s="2136"/>
      <c r="H351" s="546"/>
      <c r="I351" s="546"/>
      <c r="J351" s="546"/>
      <c r="L351" s="2136"/>
      <c r="M351" s="2136"/>
      <c r="N351" s="2136"/>
    </row>
    <row r="352" spans="3:14" ht="15" customHeight="1">
      <c r="C352" s="546"/>
      <c r="D352" s="546"/>
      <c r="G352" s="2136"/>
      <c r="H352" s="546"/>
      <c r="I352" s="546"/>
      <c r="J352" s="546"/>
      <c r="L352" s="2136"/>
      <c r="M352" s="2136"/>
      <c r="N352" s="2136"/>
    </row>
    <row r="353" spans="3:14" ht="15" customHeight="1">
      <c r="C353" s="546"/>
      <c r="D353" s="546"/>
      <c r="G353" s="2136"/>
      <c r="H353" s="546"/>
      <c r="I353" s="546"/>
      <c r="J353" s="546"/>
      <c r="L353" s="2136"/>
      <c r="M353" s="2136"/>
      <c r="N353" s="2136"/>
    </row>
    <row r="354" spans="3:14" ht="15" customHeight="1">
      <c r="C354" s="546"/>
      <c r="D354" s="546"/>
      <c r="G354" s="2136"/>
      <c r="H354" s="546"/>
      <c r="I354" s="546"/>
      <c r="J354" s="546"/>
      <c r="L354" s="2136"/>
      <c r="M354" s="2136"/>
      <c r="N354" s="2136"/>
    </row>
    <row r="355" spans="3:14" ht="15" customHeight="1">
      <c r="C355" s="546"/>
      <c r="D355" s="546"/>
      <c r="G355" s="2136"/>
      <c r="H355" s="546"/>
      <c r="I355" s="546"/>
      <c r="J355" s="546"/>
      <c r="L355" s="2136"/>
      <c r="M355" s="2136"/>
      <c r="N355" s="2136"/>
    </row>
    <row r="356" spans="3:14" ht="15" customHeight="1">
      <c r="C356" s="546"/>
      <c r="D356" s="546"/>
      <c r="G356" s="2136"/>
      <c r="H356" s="546"/>
      <c r="I356" s="546"/>
      <c r="J356" s="546"/>
      <c r="L356" s="2136"/>
      <c r="M356" s="2129"/>
      <c r="N356" s="2129"/>
    </row>
    <row r="357" spans="3:14" ht="15" customHeight="1">
      <c r="C357" s="546"/>
      <c r="D357" s="546"/>
      <c r="G357" s="2136"/>
      <c r="H357" s="546"/>
      <c r="I357" s="546"/>
      <c r="J357" s="546"/>
      <c r="L357" s="2136"/>
      <c r="M357" s="2129"/>
      <c r="N357" s="2129"/>
    </row>
    <row r="358" spans="3:14" ht="15" customHeight="1">
      <c r="C358" s="546"/>
      <c r="D358" s="546"/>
      <c r="G358" s="2136"/>
      <c r="H358" s="546"/>
      <c r="I358" s="546"/>
      <c r="J358" s="546"/>
      <c r="L358" s="2136"/>
      <c r="M358" s="2129"/>
      <c r="N358" s="2129"/>
    </row>
    <row r="359" spans="3:14" ht="15" customHeight="1">
      <c r="C359" s="546"/>
      <c r="D359" s="546"/>
      <c r="G359" s="2136"/>
      <c r="H359" s="546"/>
      <c r="I359" s="546"/>
      <c r="J359" s="546"/>
      <c r="L359" s="2136"/>
      <c r="M359" s="2129"/>
      <c r="N359" s="2129"/>
    </row>
    <row r="360" spans="3:14" ht="15" customHeight="1">
      <c r="C360" s="546"/>
      <c r="D360" s="546"/>
      <c r="G360" s="2136"/>
      <c r="H360" s="546"/>
      <c r="I360" s="546"/>
      <c r="J360" s="546"/>
      <c r="L360" s="2136"/>
      <c r="M360" s="2129"/>
      <c r="N360" s="2129"/>
    </row>
    <row r="361" spans="3:14" ht="15" customHeight="1">
      <c r="C361" s="546"/>
      <c r="D361" s="546"/>
      <c r="G361" s="2136"/>
      <c r="H361" s="546"/>
      <c r="I361" s="546"/>
      <c r="J361" s="546"/>
      <c r="L361" s="2136"/>
      <c r="M361" s="2129"/>
      <c r="N361" s="2129"/>
    </row>
    <row r="362" spans="3:14" ht="15" customHeight="1">
      <c r="C362" s="546"/>
      <c r="D362" s="546"/>
      <c r="G362" s="2136"/>
      <c r="H362" s="546"/>
      <c r="I362" s="546"/>
      <c r="J362" s="546"/>
      <c r="L362" s="2136"/>
      <c r="M362" s="2129"/>
      <c r="N362" s="2129"/>
    </row>
    <row r="363" spans="3:14" ht="15" customHeight="1">
      <c r="C363" s="546"/>
      <c r="D363" s="546"/>
      <c r="G363" s="2136"/>
      <c r="H363" s="546"/>
      <c r="I363" s="546"/>
      <c r="J363" s="546"/>
      <c r="L363" s="2136"/>
      <c r="M363" s="2129"/>
      <c r="N363" s="2129"/>
    </row>
    <row r="364" spans="3:14" ht="15" customHeight="1">
      <c r="C364" s="546"/>
      <c r="D364" s="546"/>
      <c r="G364" s="2136"/>
      <c r="H364" s="546"/>
      <c r="I364" s="546"/>
      <c r="J364" s="546"/>
      <c r="L364" s="2136"/>
      <c r="M364" s="2129"/>
      <c r="N364" s="2129"/>
    </row>
    <row r="365" spans="3:14" ht="15" customHeight="1">
      <c r="C365" s="546"/>
      <c r="D365" s="546"/>
      <c r="G365" s="2136"/>
      <c r="H365" s="546"/>
      <c r="I365" s="546"/>
      <c r="J365" s="546"/>
      <c r="L365" s="2136"/>
      <c r="M365" s="2129"/>
      <c r="N365" s="2129"/>
    </row>
    <row r="366" spans="3:14" ht="15" customHeight="1">
      <c r="C366" s="546"/>
      <c r="D366" s="546"/>
      <c r="G366" s="2136"/>
      <c r="H366" s="546"/>
      <c r="I366" s="546"/>
      <c r="J366" s="546"/>
      <c r="L366" s="2136"/>
      <c r="M366" s="2129"/>
      <c r="N366" s="2129"/>
    </row>
    <row r="367" spans="3:14" ht="15" customHeight="1">
      <c r="C367" s="546"/>
      <c r="D367" s="546"/>
      <c r="G367" s="2136"/>
      <c r="H367" s="546"/>
      <c r="I367" s="546"/>
      <c r="J367" s="546"/>
      <c r="L367" s="2136"/>
      <c r="M367" s="2129"/>
      <c r="N367" s="2129"/>
    </row>
    <row r="368" spans="3:14" ht="15" customHeight="1">
      <c r="C368" s="546"/>
      <c r="D368" s="546"/>
      <c r="G368" s="2136"/>
      <c r="H368" s="546"/>
      <c r="I368" s="546"/>
      <c r="J368" s="546"/>
      <c r="L368" s="2136"/>
      <c r="M368" s="2129"/>
      <c r="N368" s="2129"/>
    </row>
    <row r="369" spans="3:14" ht="15" customHeight="1">
      <c r="C369" s="546"/>
      <c r="D369" s="546"/>
      <c r="G369" s="2136"/>
      <c r="H369" s="546"/>
      <c r="I369" s="546"/>
      <c r="J369" s="546"/>
      <c r="L369" s="2136"/>
      <c r="M369" s="2129"/>
      <c r="N369" s="2129"/>
    </row>
    <row r="370" spans="3:14" ht="15" customHeight="1">
      <c r="C370" s="546"/>
      <c r="D370" s="546"/>
      <c r="G370" s="2136"/>
      <c r="H370" s="546"/>
      <c r="I370" s="546"/>
      <c r="J370" s="546"/>
      <c r="L370" s="2136"/>
      <c r="M370" s="2129"/>
      <c r="N370" s="2129"/>
    </row>
    <row r="371" spans="3:14" ht="15" customHeight="1">
      <c r="C371" s="546"/>
      <c r="D371" s="546"/>
      <c r="G371" s="2136"/>
      <c r="H371" s="546"/>
      <c r="I371" s="546"/>
      <c r="J371" s="546"/>
      <c r="L371" s="2136"/>
      <c r="M371" s="2129"/>
      <c r="N371" s="2129"/>
    </row>
    <row r="372" spans="3:14" ht="15" customHeight="1">
      <c r="C372" s="546"/>
      <c r="D372" s="546"/>
      <c r="G372" s="2136"/>
      <c r="H372" s="546"/>
      <c r="I372" s="546"/>
      <c r="J372" s="546"/>
      <c r="L372" s="2136"/>
      <c r="M372" s="2129"/>
      <c r="N372" s="2129"/>
    </row>
    <row r="373" spans="3:14" ht="15" customHeight="1">
      <c r="C373" s="546"/>
      <c r="D373" s="546"/>
      <c r="G373" s="2136"/>
      <c r="H373" s="546"/>
      <c r="I373" s="546"/>
      <c r="J373" s="546"/>
      <c r="L373" s="2136"/>
      <c r="M373" s="2129"/>
      <c r="N373" s="2129"/>
    </row>
    <row r="374" spans="3:14" ht="15" customHeight="1">
      <c r="C374" s="546"/>
      <c r="D374" s="546"/>
      <c r="G374" s="2136"/>
      <c r="H374" s="546"/>
      <c r="I374" s="546"/>
      <c r="J374" s="546"/>
      <c r="L374" s="2136"/>
      <c r="M374" s="2129"/>
      <c r="N374" s="2129"/>
    </row>
    <row r="375" spans="3:14" ht="15" customHeight="1">
      <c r="C375" s="546"/>
      <c r="D375" s="546"/>
      <c r="G375" s="2136"/>
      <c r="H375" s="546"/>
      <c r="I375" s="546"/>
      <c r="J375" s="546"/>
      <c r="L375" s="2136"/>
      <c r="M375" s="2129"/>
      <c r="N375" s="2129"/>
    </row>
    <row r="376" spans="3:14" ht="15" customHeight="1">
      <c r="C376" s="546"/>
      <c r="D376" s="546"/>
      <c r="G376" s="2136"/>
      <c r="H376" s="546"/>
      <c r="I376" s="546"/>
      <c r="J376" s="546"/>
      <c r="L376" s="2136"/>
      <c r="M376" s="2129"/>
      <c r="N376" s="2129"/>
    </row>
    <row r="377" spans="3:14" ht="15" customHeight="1">
      <c r="C377" s="546"/>
      <c r="D377" s="546"/>
      <c r="G377" s="2136"/>
      <c r="H377" s="546"/>
      <c r="I377" s="546"/>
      <c r="J377" s="546"/>
      <c r="L377" s="2136"/>
      <c r="M377" s="2129"/>
      <c r="N377" s="2129"/>
    </row>
    <row r="378" spans="3:14" ht="15" customHeight="1">
      <c r="C378" s="546"/>
      <c r="D378" s="546"/>
      <c r="G378" s="2136"/>
      <c r="H378" s="546"/>
      <c r="I378" s="546"/>
      <c r="J378" s="546"/>
      <c r="L378" s="2136"/>
      <c r="M378" s="2129"/>
      <c r="N378" s="2129"/>
    </row>
    <row r="379" spans="3:14" ht="15" customHeight="1">
      <c r="C379" s="546"/>
      <c r="D379" s="546"/>
      <c r="G379" s="2136"/>
      <c r="H379" s="546"/>
      <c r="I379" s="546"/>
      <c r="J379" s="546"/>
      <c r="L379" s="2136"/>
      <c r="M379" s="2129"/>
      <c r="N379" s="2129"/>
    </row>
    <row r="380" spans="3:14" ht="15" customHeight="1">
      <c r="C380" s="546"/>
      <c r="D380" s="546"/>
      <c r="G380" s="2136"/>
      <c r="H380" s="546"/>
      <c r="I380" s="546"/>
      <c r="J380" s="546"/>
      <c r="L380" s="2136"/>
      <c r="M380" s="2129"/>
      <c r="N380" s="2129"/>
    </row>
    <row r="381" spans="3:14" ht="15" customHeight="1">
      <c r="C381" s="546"/>
      <c r="D381" s="546"/>
      <c r="G381" s="2136"/>
      <c r="H381" s="546"/>
      <c r="I381" s="546"/>
      <c r="J381" s="546"/>
      <c r="L381" s="2136"/>
      <c r="M381" s="2129"/>
      <c r="N381" s="2129"/>
    </row>
    <row r="382" spans="3:14" ht="15" customHeight="1">
      <c r="C382" s="546"/>
      <c r="D382" s="546"/>
      <c r="G382" s="2136"/>
      <c r="H382" s="546"/>
      <c r="I382" s="546"/>
      <c r="J382" s="546"/>
      <c r="L382" s="2136"/>
      <c r="M382" s="2129"/>
      <c r="N382" s="2129"/>
    </row>
    <row r="383" spans="3:14" ht="15" customHeight="1">
      <c r="C383" s="546"/>
      <c r="D383" s="546"/>
      <c r="G383" s="2136"/>
      <c r="H383" s="546"/>
      <c r="I383" s="546"/>
      <c r="J383" s="546"/>
      <c r="L383" s="2136"/>
      <c r="M383" s="2129"/>
      <c r="N383" s="2129"/>
    </row>
    <row r="384" spans="3:14" ht="15" customHeight="1">
      <c r="C384" s="546"/>
      <c r="D384" s="546"/>
      <c r="G384" s="2136"/>
      <c r="H384" s="546"/>
      <c r="I384" s="546"/>
      <c r="J384" s="546"/>
      <c r="L384" s="2136"/>
      <c r="M384" s="2129"/>
      <c r="N384" s="2129"/>
    </row>
    <row r="385" spans="3:14" ht="15" customHeight="1">
      <c r="C385" s="546"/>
      <c r="D385" s="546"/>
      <c r="G385" s="2136"/>
      <c r="H385" s="546"/>
      <c r="I385" s="546"/>
      <c r="J385" s="546"/>
      <c r="L385" s="2136"/>
      <c r="M385" s="2129"/>
      <c r="N385" s="2129"/>
    </row>
    <row r="386" spans="3:14" ht="15" customHeight="1">
      <c r="C386" s="546"/>
      <c r="D386" s="546"/>
      <c r="G386" s="2136"/>
      <c r="H386" s="546"/>
      <c r="I386" s="546"/>
      <c r="J386" s="546"/>
      <c r="L386" s="2136"/>
      <c r="M386" s="2129"/>
      <c r="N386" s="2129"/>
    </row>
    <row r="387" spans="3:14" ht="15" customHeight="1">
      <c r="C387" s="546"/>
      <c r="D387" s="546"/>
      <c r="G387" s="2136"/>
      <c r="H387" s="546"/>
      <c r="I387" s="546"/>
      <c r="J387" s="546"/>
      <c r="L387" s="2136"/>
      <c r="M387" s="2129"/>
      <c r="N387" s="2129"/>
    </row>
    <row r="388" spans="3:14" ht="15" customHeight="1">
      <c r="C388" s="546"/>
      <c r="D388" s="546"/>
      <c r="G388" s="2136"/>
      <c r="H388" s="546"/>
      <c r="I388" s="546"/>
      <c r="J388" s="546"/>
      <c r="L388" s="2136"/>
      <c r="M388" s="2129"/>
      <c r="N388" s="2129"/>
    </row>
    <row r="389" spans="3:14" ht="15" customHeight="1">
      <c r="C389" s="546"/>
      <c r="D389" s="546"/>
      <c r="G389" s="2136"/>
      <c r="H389" s="546"/>
      <c r="I389" s="546"/>
      <c r="J389" s="546"/>
      <c r="L389" s="2136"/>
      <c r="M389" s="2129"/>
      <c r="N389" s="2129"/>
    </row>
    <row r="390" spans="3:14" ht="15" customHeight="1">
      <c r="C390" s="546"/>
      <c r="D390" s="546"/>
      <c r="G390" s="2136"/>
      <c r="H390" s="546"/>
      <c r="I390" s="546"/>
      <c r="J390" s="546"/>
      <c r="L390" s="2136"/>
      <c r="M390" s="2129"/>
      <c r="N390" s="2129"/>
    </row>
    <row r="391" spans="3:14" ht="15" customHeight="1">
      <c r="C391" s="546"/>
      <c r="D391" s="546"/>
      <c r="G391" s="2136"/>
      <c r="H391" s="546"/>
      <c r="I391" s="546"/>
      <c r="J391" s="546"/>
      <c r="L391" s="2136"/>
      <c r="M391" s="2129"/>
      <c r="N391" s="2129"/>
    </row>
    <row r="392" spans="3:14" ht="15" customHeight="1">
      <c r="C392" s="546"/>
      <c r="D392" s="546"/>
      <c r="G392" s="2136"/>
      <c r="H392" s="546"/>
      <c r="I392" s="546"/>
      <c r="J392" s="546"/>
      <c r="L392" s="2136"/>
      <c r="M392" s="2129"/>
      <c r="N392" s="2129"/>
    </row>
    <row r="393" spans="3:14" ht="15" customHeight="1">
      <c r="C393" s="546"/>
      <c r="D393" s="546"/>
      <c r="G393" s="2136"/>
      <c r="H393" s="546"/>
      <c r="I393" s="546"/>
      <c r="J393" s="546"/>
      <c r="L393" s="2136"/>
      <c r="M393" s="2129"/>
      <c r="N393" s="2129"/>
    </row>
    <row r="394" spans="3:14" ht="15" customHeight="1">
      <c r="C394" s="546"/>
      <c r="D394" s="546"/>
      <c r="G394" s="2136"/>
      <c r="H394" s="546"/>
      <c r="I394" s="546"/>
      <c r="J394" s="546"/>
      <c r="L394" s="2136"/>
      <c r="M394" s="2129"/>
      <c r="N394" s="2129"/>
    </row>
    <row r="395" spans="3:14" ht="15" customHeight="1">
      <c r="C395" s="546"/>
      <c r="D395" s="546"/>
      <c r="G395" s="2136"/>
      <c r="H395" s="546"/>
      <c r="I395" s="546"/>
      <c r="J395" s="546"/>
      <c r="L395" s="2136"/>
      <c r="M395" s="2129"/>
      <c r="N395" s="2129"/>
    </row>
    <row r="396" spans="3:14" ht="15" customHeight="1">
      <c r="C396" s="546"/>
      <c r="D396" s="546"/>
      <c r="G396" s="2136"/>
      <c r="H396" s="546"/>
      <c r="I396" s="546"/>
      <c r="J396" s="546"/>
      <c r="L396" s="2136"/>
      <c r="M396" s="2129"/>
      <c r="N396" s="2129"/>
    </row>
    <row r="397" spans="3:14" ht="15" customHeight="1">
      <c r="C397" s="546"/>
      <c r="D397" s="546"/>
      <c r="G397" s="2136"/>
      <c r="H397" s="546"/>
      <c r="I397" s="546"/>
      <c r="J397" s="546"/>
      <c r="L397" s="2136"/>
      <c r="M397" s="2129"/>
      <c r="N397" s="2129"/>
    </row>
    <row r="398" spans="3:14" ht="15" customHeight="1">
      <c r="C398" s="546"/>
      <c r="D398" s="546"/>
      <c r="G398" s="2136"/>
      <c r="H398" s="546"/>
      <c r="I398" s="546"/>
      <c r="J398" s="546"/>
      <c r="L398" s="2136"/>
      <c r="M398" s="2129"/>
      <c r="N398" s="2129"/>
    </row>
    <row r="399" spans="3:14" ht="15" customHeight="1">
      <c r="C399" s="546"/>
      <c r="D399" s="546"/>
      <c r="G399" s="2136"/>
      <c r="H399" s="546"/>
      <c r="I399" s="546"/>
      <c r="J399" s="546"/>
      <c r="L399" s="2136"/>
      <c r="M399" s="2129"/>
      <c r="N399" s="2129"/>
    </row>
    <row r="400" spans="3:14" ht="15" customHeight="1">
      <c r="C400" s="546"/>
      <c r="D400" s="546"/>
      <c r="G400" s="2136"/>
      <c r="H400" s="546"/>
      <c r="I400" s="546"/>
      <c r="J400" s="546"/>
      <c r="L400" s="2136"/>
      <c r="M400" s="2129"/>
      <c r="N400" s="2129"/>
    </row>
    <row r="401" spans="3:14" ht="15" customHeight="1">
      <c r="C401" s="546"/>
      <c r="D401" s="546"/>
      <c r="G401" s="2136"/>
      <c r="H401" s="546"/>
      <c r="I401" s="546"/>
      <c r="J401" s="546"/>
      <c r="L401" s="2136"/>
      <c r="M401" s="2129"/>
      <c r="N401" s="2129"/>
    </row>
    <row r="402" spans="3:14" ht="15" customHeight="1">
      <c r="C402" s="546"/>
      <c r="D402" s="546"/>
      <c r="G402" s="2136"/>
      <c r="H402" s="546"/>
      <c r="I402" s="546"/>
      <c r="J402" s="546"/>
      <c r="L402" s="2136"/>
      <c r="M402" s="2129"/>
      <c r="N402" s="2129"/>
    </row>
    <row r="403" spans="3:14" ht="15" customHeight="1">
      <c r="C403" s="546"/>
      <c r="D403" s="546"/>
      <c r="G403" s="2136"/>
      <c r="H403" s="546"/>
      <c r="I403" s="546"/>
      <c r="J403" s="546"/>
      <c r="L403" s="2136"/>
      <c r="M403" s="2129"/>
      <c r="N403" s="2129"/>
    </row>
    <row r="404" spans="3:14" ht="15" customHeight="1">
      <c r="C404" s="546"/>
      <c r="D404" s="546"/>
      <c r="G404" s="2136"/>
      <c r="H404" s="546"/>
      <c r="I404" s="546"/>
      <c r="J404" s="546"/>
      <c r="L404" s="2136"/>
      <c r="M404" s="2129"/>
      <c r="N404" s="2129"/>
    </row>
    <row r="405" spans="3:14" ht="15" customHeight="1">
      <c r="C405" s="546"/>
      <c r="D405" s="546"/>
      <c r="G405" s="546"/>
      <c r="H405" s="546"/>
      <c r="I405" s="546"/>
      <c r="J405" s="546"/>
      <c r="L405" s="2136"/>
      <c r="M405" s="2129"/>
      <c r="N405" s="2129"/>
    </row>
    <row r="406" spans="3:14" ht="15" customHeight="1">
      <c r="C406" s="546"/>
      <c r="D406" s="546"/>
      <c r="G406" s="546"/>
      <c r="H406" s="546"/>
      <c r="I406" s="546"/>
      <c r="J406" s="546"/>
      <c r="L406" s="2136"/>
      <c r="M406" s="2129"/>
      <c r="N406" s="2129"/>
    </row>
    <row r="407" spans="3:14" ht="15" customHeight="1">
      <c r="C407" s="546"/>
      <c r="D407" s="546"/>
      <c r="G407" s="546"/>
      <c r="H407" s="546"/>
      <c r="I407" s="546"/>
      <c r="J407" s="546"/>
      <c r="L407" s="2136"/>
      <c r="M407" s="2129"/>
      <c r="N407" s="2129"/>
    </row>
    <row r="408" spans="3:14" ht="15" customHeight="1">
      <c r="C408" s="546"/>
      <c r="D408" s="546"/>
      <c r="G408" s="546"/>
      <c r="H408" s="546"/>
      <c r="I408" s="546"/>
      <c r="J408" s="546"/>
      <c r="L408" s="2136"/>
      <c r="M408" s="2129"/>
      <c r="N408" s="2129"/>
    </row>
    <row r="409" spans="3:14" ht="15" customHeight="1">
      <c r="C409" s="546"/>
      <c r="D409" s="546"/>
      <c r="G409" s="546"/>
      <c r="H409" s="546"/>
      <c r="I409" s="546"/>
      <c r="J409" s="546"/>
      <c r="L409" s="2136"/>
      <c r="M409" s="2129"/>
      <c r="N409" s="2129"/>
    </row>
    <row r="410" spans="3:14" ht="15" customHeight="1">
      <c r="C410" s="546"/>
      <c r="D410" s="546"/>
      <c r="G410" s="546"/>
      <c r="H410" s="546"/>
      <c r="I410" s="546"/>
      <c r="J410" s="546"/>
      <c r="L410" s="2136"/>
      <c r="M410" s="2129"/>
      <c r="N410" s="2129"/>
    </row>
    <row r="411" spans="3:14" ht="15" customHeight="1">
      <c r="C411" s="546"/>
      <c r="D411" s="546"/>
      <c r="G411" s="546"/>
      <c r="H411" s="546"/>
      <c r="I411" s="546"/>
      <c r="J411" s="546"/>
      <c r="K411" s="1041"/>
      <c r="L411" s="2087"/>
      <c r="M411" s="2129"/>
      <c r="N411" s="2129"/>
    </row>
    <row r="412" spans="3:14" ht="15" customHeight="1">
      <c r="C412" s="546"/>
      <c r="D412" s="546"/>
      <c r="G412" s="546"/>
      <c r="H412" s="546"/>
      <c r="I412" s="546"/>
      <c r="J412" s="546"/>
      <c r="L412" s="2136"/>
      <c r="M412" s="2129"/>
      <c r="N412" s="2129"/>
    </row>
    <row r="413" spans="3:14" ht="15" customHeight="1">
      <c r="C413" s="546"/>
      <c r="D413" s="546"/>
      <c r="G413" s="546"/>
      <c r="H413" s="546"/>
      <c r="I413" s="546"/>
      <c r="J413" s="546"/>
      <c r="L413" s="2136"/>
      <c r="M413" s="2136"/>
      <c r="N413" s="2136"/>
    </row>
    <row r="414" spans="3:14" ht="15" customHeight="1">
      <c r="C414" s="546"/>
      <c r="D414" s="546"/>
      <c r="G414" s="546"/>
      <c r="H414" s="546"/>
      <c r="I414" s="546"/>
      <c r="J414" s="546"/>
      <c r="L414" s="2136"/>
      <c r="M414" s="2136"/>
      <c r="N414" s="2136"/>
    </row>
    <row r="415" spans="3:14" ht="15" customHeight="1">
      <c r="C415" s="546"/>
      <c r="D415" s="546"/>
      <c r="G415" s="546"/>
      <c r="H415" s="546"/>
      <c r="I415" s="546"/>
      <c r="J415" s="546"/>
      <c r="L415" s="2136"/>
      <c r="M415" s="2136"/>
      <c r="N415" s="2136"/>
    </row>
    <row r="416" spans="3:14" ht="15" customHeight="1">
      <c r="C416" s="546"/>
      <c r="D416" s="546"/>
      <c r="G416" s="546"/>
      <c r="H416" s="546"/>
      <c r="I416" s="546"/>
      <c r="J416" s="546"/>
      <c r="L416" s="2136"/>
      <c r="M416" s="2136"/>
      <c r="N416" s="2136"/>
    </row>
    <row r="417" spans="3:14" ht="15" customHeight="1">
      <c r="C417" s="546"/>
      <c r="D417" s="546"/>
      <c r="G417" s="546"/>
      <c r="H417" s="546"/>
      <c r="I417" s="546"/>
      <c r="J417" s="546"/>
      <c r="L417" s="2136"/>
      <c r="M417" s="2136"/>
      <c r="N417" s="2136"/>
    </row>
    <row r="418" spans="3:14" ht="15" customHeight="1">
      <c r="C418" s="546"/>
      <c r="D418" s="546"/>
      <c r="G418" s="546"/>
      <c r="H418" s="546"/>
      <c r="I418" s="546"/>
      <c r="J418" s="546"/>
      <c r="L418" s="2136"/>
      <c r="M418" s="2136"/>
      <c r="N418" s="2136"/>
    </row>
    <row r="419" spans="3:14" ht="15" customHeight="1">
      <c r="C419" s="546"/>
      <c r="D419" s="546"/>
      <c r="G419" s="546"/>
      <c r="H419" s="546"/>
      <c r="I419" s="546"/>
      <c r="J419" s="546"/>
      <c r="L419" s="2136"/>
      <c r="M419" s="2136"/>
      <c r="N419" s="2136"/>
    </row>
    <row r="420" spans="3:14" ht="15" customHeight="1">
      <c r="C420" s="546"/>
      <c r="D420" s="546"/>
      <c r="G420" s="546"/>
      <c r="H420" s="546"/>
      <c r="I420" s="546"/>
      <c r="J420" s="546"/>
      <c r="L420" s="2136"/>
      <c r="M420" s="2136"/>
      <c r="N420" s="2136"/>
    </row>
    <row r="421" spans="3:14" ht="15" customHeight="1">
      <c r="C421" s="546"/>
      <c r="D421" s="546"/>
      <c r="G421" s="546"/>
      <c r="H421" s="546"/>
      <c r="I421" s="546"/>
      <c r="J421" s="546"/>
      <c r="L421" s="2136"/>
      <c r="M421" s="2136"/>
      <c r="N421" s="2136"/>
    </row>
    <row r="422" spans="3:14" ht="15" customHeight="1">
      <c r="C422" s="546"/>
      <c r="D422" s="546"/>
      <c r="G422" s="546"/>
      <c r="H422" s="546"/>
      <c r="I422" s="546"/>
      <c r="J422" s="546"/>
      <c r="L422" s="2136"/>
      <c r="M422" s="2136"/>
      <c r="N422" s="2136"/>
    </row>
    <row r="423" spans="3:14" ht="15" customHeight="1">
      <c r="C423" s="546"/>
      <c r="D423" s="546"/>
      <c r="G423" s="546"/>
      <c r="H423" s="546"/>
      <c r="I423" s="546"/>
      <c r="J423" s="546"/>
      <c r="L423" s="2136"/>
      <c r="M423" s="2136"/>
      <c r="N423" s="2136"/>
    </row>
    <row r="424" spans="3:14" ht="15" customHeight="1">
      <c r="C424" s="546"/>
      <c r="D424" s="546"/>
      <c r="G424" s="546"/>
      <c r="H424" s="546"/>
      <c r="I424" s="546"/>
      <c r="J424" s="546"/>
      <c r="L424" s="2136"/>
      <c r="M424" s="2136"/>
      <c r="N424" s="2136"/>
    </row>
    <row r="425" spans="3:14" ht="15" customHeight="1">
      <c r="C425" s="546"/>
      <c r="D425" s="546"/>
      <c r="G425" s="546"/>
      <c r="H425" s="546"/>
      <c r="I425" s="546"/>
      <c r="J425" s="546"/>
      <c r="L425" s="2136"/>
      <c r="M425" s="2136"/>
      <c r="N425" s="2136"/>
    </row>
    <row r="426" spans="3:14" ht="15" customHeight="1">
      <c r="C426" s="546"/>
      <c r="D426" s="546"/>
      <c r="G426" s="546"/>
      <c r="H426" s="546"/>
      <c r="I426" s="546"/>
      <c r="J426" s="546"/>
      <c r="L426" s="2136"/>
      <c r="M426" s="2136"/>
      <c r="N426" s="2136"/>
    </row>
    <row r="427" spans="3:14" ht="15" customHeight="1">
      <c r="C427" s="546"/>
      <c r="D427" s="546"/>
      <c r="G427" s="546"/>
      <c r="H427" s="546"/>
      <c r="I427" s="546"/>
      <c r="J427" s="546"/>
      <c r="L427" s="2136"/>
      <c r="M427" s="2136"/>
      <c r="N427" s="2136"/>
    </row>
    <row r="428" spans="3:14" ht="15" customHeight="1">
      <c r="C428" s="546"/>
      <c r="D428" s="546"/>
      <c r="G428" s="546"/>
      <c r="H428" s="546"/>
      <c r="I428" s="546"/>
      <c r="J428" s="546"/>
      <c r="L428" s="2136"/>
      <c r="M428" s="2136"/>
      <c r="N428" s="2136"/>
    </row>
    <row r="429" spans="3:14" ht="15" customHeight="1">
      <c r="C429" s="546"/>
      <c r="D429" s="546"/>
      <c r="G429" s="546"/>
      <c r="H429" s="546"/>
      <c r="I429" s="546"/>
      <c r="J429" s="546"/>
      <c r="K429" s="546"/>
      <c r="L429" s="2136"/>
      <c r="M429" s="2136"/>
      <c r="N429" s="2136"/>
    </row>
    <row r="430" spans="3:14" ht="15" customHeight="1">
      <c r="C430" s="546"/>
      <c r="D430" s="546"/>
      <c r="G430" s="546"/>
      <c r="H430" s="546"/>
      <c r="I430" s="546"/>
      <c r="J430" s="546"/>
      <c r="L430" s="2136"/>
      <c r="M430" s="2136"/>
      <c r="N430" s="2136"/>
    </row>
    <row r="431" spans="3:14" ht="15" customHeight="1">
      <c r="C431" s="546"/>
      <c r="D431" s="546"/>
      <c r="G431" s="546"/>
      <c r="H431" s="546"/>
      <c r="I431" s="546"/>
      <c r="J431" s="546"/>
      <c r="L431" s="2136"/>
      <c r="M431" s="2136"/>
      <c r="N431" s="2136"/>
    </row>
    <row r="432" spans="3:14" ht="15" customHeight="1">
      <c r="C432" s="546"/>
      <c r="D432" s="546"/>
      <c r="G432" s="546"/>
      <c r="H432" s="546"/>
      <c r="I432" s="546"/>
      <c r="J432" s="546"/>
      <c r="L432" s="2136"/>
      <c r="M432" s="2136"/>
      <c r="N432" s="2136"/>
    </row>
    <row r="433" spans="3:14" ht="15" customHeight="1">
      <c r="C433" s="546"/>
      <c r="D433" s="546"/>
      <c r="G433" s="546"/>
      <c r="H433" s="546"/>
      <c r="I433" s="546"/>
      <c r="J433" s="546"/>
      <c r="L433" s="2136"/>
      <c r="M433" s="2136"/>
      <c r="N433" s="2136"/>
    </row>
    <row r="434" spans="3:14" ht="15" customHeight="1">
      <c r="C434" s="546"/>
      <c r="D434" s="546"/>
      <c r="G434" s="546"/>
      <c r="H434" s="546"/>
      <c r="I434" s="546"/>
      <c r="J434" s="546"/>
      <c r="L434" s="2136"/>
      <c r="M434" s="2136"/>
      <c r="N434" s="2136"/>
    </row>
    <row r="435" spans="3:14" ht="15" customHeight="1">
      <c r="C435" s="546"/>
      <c r="D435" s="546"/>
      <c r="G435" s="546"/>
      <c r="H435" s="546"/>
      <c r="I435" s="546"/>
      <c r="J435" s="546"/>
      <c r="L435" s="2136"/>
      <c r="M435" s="2136"/>
      <c r="N435" s="2136"/>
    </row>
    <row r="436" spans="3:14" ht="15" customHeight="1">
      <c r="C436" s="546"/>
      <c r="D436" s="546"/>
      <c r="G436" s="546"/>
      <c r="H436" s="546"/>
      <c r="I436" s="546"/>
      <c r="J436" s="546"/>
      <c r="L436" s="2136"/>
      <c r="M436" s="2136"/>
      <c r="N436" s="2136"/>
    </row>
    <row r="437" spans="3:14" ht="15" customHeight="1">
      <c r="C437" s="546"/>
      <c r="D437" s="546"/>
      <c r="G437" s="546"/>
      <c r="H437" s="546"/>
      <c r="I437" s="546"/>
      <c r="J437" s="546"/>
      <c r="L437" s="2136"/>
      <c r="M437" s="2136"/>
      <c r="N437" s="2136"/>
    </row>
    <row r="438" spans="3:14" ht="15" customHeight="1">
      <c r="C438" s="546"/>
      <c r="D438" s="546"/>
      <c r="G438" s="546"/>
      <c r="H438" s="546"/>
      <c r="I438" s="546"/>
      <c r="J438" s="546"/>
      <c r="L438" s="2136"/>
      <c r="M438" s="2136"/>
      <c r="N438" s="2136"/>
    </row>
    <row r="439" spans="3:14" ht="15" customHeight="1">
      <c r="C439" s="546"/>
      <c r="D439" s="546"/>
      <c r="G439" s="546"/>
      <c r="H439" s="546"/>
      <c r="I439" s="546"/>
      <c r="J439" s="546"/>
      <c r="L439" s="2136"/>
      <c r="M439" s="2136"/>
      <c r="N439" s="2136"/>
    </row>
    <row r="440" spans="3:14" ht="15" customHeight="1">
      <c r="C440" s="546"/>
      <c r="D440" s="546"/>
      <c r="G440" s="546"/>
      <c r="H440" s="546"/>
      <c r="I440" s="546"/>
      <c r="J440" s="546"/>
      <c r="L440" s="2136"/>
      <c r="M440" s="2136"/>
      <c r="N440" s="2136"/>
    </row>
    <row r="441" spans="3:14" ht="15" customHeight="1">
      <c r="C441" s="546"/>
      <c r="D441" s="546"/>
      <c r="G441" s="546"/>
      <c r="H441" s="546"/>
      <c r="I441" s="546"/>
      <c r="J441" s="546"/>
      <c r="L441" s="2136"/>
      <c r="M441" s="2136"/>
      <c r="N441" s="2136"/>
    </row>
    <row r="442" spans="3:14" ht="15" customHeight="1">
      <c r="C442" s="546"/>
      <c r="D442" s="546"/>
      <c r="G442" s="546"/>
      <c r="H442" s="546"/>
      <c r="I442" s="546"/>
      <c r="J442" s="546"/>
      <c r="L442" s="2136"/>
      <c r="M442" s="2136"/>
      <c r="N442" s="2136"/>
    </row>
    <row r="443" spans="3:14" ht="15" customHeight="1">
      <c r="C443" s="546"/>
      <c r="D443" s="546"/>
      <c r="G443" s="546"/>
      <c r="H443" s="546"/>
      <c r="I443" s="546"/>
      <c r="J443" s="546"/>
      <c r="L443" s="2136"/>
      <c r="M443" s="2136"/>
      <c r="N443" s="2136"/>
    </row>
    <row r="444" spans="3:14" ht="15" customHeight="1">
      <c r="C444" s="546"/>
      <c r="D444" s="546"/>
      <c r="G444" s="546"/>
      <c r="H444" s="546"/>
      <c r="I444" s="546"/>
      <c r="J444" s="546"/>
      <c r="L444" s="2136"/>
      <c r="M444" s="2136"/>
      <c r="N444" s="2136"/>
    </row>
    <row r="445" spans="3:14" ht="15" customHeight="1">
      <c r="C445" s="546"/>
      <c r="D445" s="546"/>
      <c r="G445" s="546"/>
      <c r="H445" s="546"/>
      <c r="I445" s="546"/>
      <c r="J445" s="546"/>
      <c r="L445" s="2136"/>
      <c r="M445" s="2136"/>
      <c r="N445" s="2136"/>
    </row>
    <row r="446" spans="3:14" ht="15" customHeight="1">
      <c r="C446" s="546"/>
      <c r="D446" s="546"/>
      <c r="G446" s="546"/>
      <c r="H446" s="546"/>
      <c r="I446" s="546"/>
      <c r="J446" s="546"/>
      <c r="L446" s="2136"/>
      <c r="M446" s="2136"/>
      <c r="N446" s="2136"/>
    </row>
    <row r="447" spans="3:14" ht="15" customHeight="1">
      <c r="C447" s="546"/>
      <c r="D447" s="546"/>
      <c r="G447" s="546"/>
      <c r="H447" s="546"/>
      <c r="I447" s="546"/>
      <c r="J447" s="546"/>
      <c r="L447" s="2136"/>
      <c r="M447" s="2136"/>
      <c r="N447" s="2136"/>
    </row>
    <row r="448" spans="3:14" ht="15" customHeight="1">
      <c r="C448" s="546"/>
      <c r="D448" s="546"/>
      <c r="G448" s="546"/>
      <c r="H448" s="546"/>
      <c r="I448" s="546"/>
      <c r="J448" s="546"/>
      <c r="L448" s="2136"/>
      <c r="M448" s="2136"/>
      <c r="N448" s="2136"/>
    </row>
    <row r="449" spans="3:14" ht="21.75" customHeight="1">
      <c r="C449" s="546"/>
      <c r="D449" s="546"/>
      <c r="G449" s="546"/>
      <c r="H449" s="546"/>
      <c r="I449" s="546"/>
      <c r="J449" s="546"/>
      <c r="L449" s="2136"/>
      <c r="M449" s="2136"/>
      <c r="N449" s="2136"/>
    </row>
    <row r="450" spans="3:14" ht="15" customHeight="1">
      <c r="C450" s="546"/>
      <c r="D450" s="546"/>
      <c r="G450" s="546"/>
      <c r="H450" s="546"/>
      <c r="I450" s="546"/>
      <c r="J450" s="546"/>
      <c r="L450" s="2136"/>
      <c r="M450" s="2136"/>
      <c r="N450" s="2136"/>
    </row>
    <row r="451" spans="3:14" ht="15" customHeight="1">
      <c r="C451" s="546"/>
      <c r="D451" s="546"/>
      <c r="G451" s="546"/>
      <c r="H451" s="546"/>
      <c r="I451" s="546"/>
      <c r="J451" s="546"/>
      <c r="L451" s="2136"/>
      <c r="M451" s="2136"/>
      <c r="N451" s="2136"/>
    </row>
    <row r="452" spans="3:14" ht="15" customHeight="1">
      <c r="C452" s="546"/>
      <c r="D452" s="546"/>
      <c r="G452" s="546"/>
      <c r="H452" s="546"/>
      <c r="I452" s="546"/>
      <c r="J452" s="546"/>
      <c r="L452" s="2136"/>
      <c r="M452" s="2136"/>
      <c r="N452" s="2136"/>
    </row>
    <row r="453" spans="3:14" ht="15" customHeight="1">
      <c r="C453" s="546"/>
      <c r="D453" s="546"/>
      <c r="G453" s="546"/>
      <c r="H453" s="546"/>
      <c r="I453" s="546"/>
      <c r="J453" s="546"/>
      <c r="L453" s="2136"/>
      <c r="M453" s="2136"/>
      <c r="N453" s="2136"/>
    </row>
    <row r="454" spans="3:14" ht="15" customHeight="1">
      <c r="C454" s="546"/>
      <c r="D454" s="546"/>
      <c r="G454" s="546"/>
      <c r="H454" s="546"/>
      <c r="I454" s="546"/>
      <c r="J454" s="546"/>
      <c r="L454" s="2136"/>
      <c r="M454" s="2136"/>
      <c r="N454" s="2136"/>
    </row>
    <row r="455" spans="3:14" ht="15" customHeight="1">
      <c r="C455" s="546"/>
      <c r="D455" s="546"/>
      <c r="G455" s="546"/>
      <c r="H455" s="546"/>
      <c r="I455" s="546"/>
      <c r="J455" s="546"/>
      <c r="L455" s="2136"/>
      <c r="M455" s="2136"/>
      <c r="N455" s="2136"/>
    </row>
    <row r="456" spans="3:14" ht="15" customHeight="1">
      <c r="C456" s="546"/>
      <c r="D456" s="546"/>
      <c r="G456" s="546"/>
      <c r="H456" s="546"/>
      <c r="I456" s="546"/>
      <c r="J456" s="546"/>
      <c r="L456" s="2136"/>
      <c r="M456" s="2136"/>
      <c r="N456" s="2136"/>
    </row>
    <row r="457" spans="3:14" ht="15" customHeight="1">
      <c r="C457" s="546"/>
      <c r="D457" s="546"/>
      <c r="G457" s="546"/>
      <c r="H457" s="546"/>
      <c r="I457" s="546"/>
      <c r="J457" s="546"/>
      <c r="L457" s="2136"/>
      <c r="M457" s="2136"/>
      <c r="N457" s="2136"/>
    </row>
    <row r="458" spans="3:14" ht="15" customHeight="1">
      <c r="C458" s="546"/>
      <c r="D458" s="546"/>
      <c r="G458" s="546"/>
      <c r="H458" s="546"/>
      <c r="I458" s="546"/>
      <c r="J458" s="546"/>
      <c r="L458" s="2136"/>
      <c r="M458" s="2136"/>
      <c r="N458" s="2136"/>
    </row>
    <row r="459" spans="3:14" ht="15" customHeight="1">
      <c r="C459" s="546"/>
      <c r="D459" s="546"/>
      <c r="G459" s="546"/>
      <c r="H459" s="546"/>
      <c r="I459" s="546"/>
      <c r="J459" s="546"/>
      <c r="L459" s="2136"/>
      <c r="M459" s="2136"/>
      <c r="N459" s="2136"/>
    </row>
    <row r="460" spans="3:14" ht="15" customHeight="1">
      <c r="C460" s="546"/>
      <c r="D460" s="546"/>
      <c r="G460" s="546"/>
      <c r="H460" s="546"/>
      <c r="I460" s="546"/>
      <c r="J460" s="546"/>
      <c r="L460" s="2136"/>
      <c r="M460" s="2136"/>
      <c r="N460" s="2136"/>
    </row>
    <row r="461" spans="3:14" ht="15" customHeight="1">
      <c r="C461" s="546"/>
      <c r="D461" s="546"/>
      <c r="G461" s="546"/>
      <c r="H461" s="546"/>
      <c r="I461" s="546"/>
      <c r="J461" s="546"/>
      <c r="L461" s="2136"/>
      <c r="M461" s="2136"/>
      <c r="N461" s="2136"/>
    </row>
    <row r="462" spans="3:14" ht="15" customHeight="1">
      <c r="C462" s="546"/>
      <c r="D462" s="546"/>
      <c r="G462" s="546"/>
      <c r="H462" s="546"/>
      <c r="I462" s="546"/>
      <c r="J462" s="546"/>
      <c r="L462" s="2136"/>
      <c r="M462" s="2136"/>
      <c r="N462" s="2136"/>
    </row>
    <row r="463" spans="3:14" ht="15" customHeight="1">
      <c r="C463" s="546"/>
      <c r="D463" s="546"/>
      <c r="G463" s="546"/>
      <c r="H463" s="546"/>
      <c r="I463" s="546"/>
      <c r="J463" s="546"/>
      <c r="L463" s="2136"/>
      <c r="M463" s="2136"/>
      <c r="N463" s="2136"/>
    </row>
    <row r="464" spans="3:14" ht="15" customHeight="1">
      <c r="C464" s="546"/>
      <c r="D464" s="546"/>
      <c r="G464" s="546"/>
      <c r="H464" s="546"/>
      <c r="I464" s="546"/>
      <c r="J464" s="546"/>
      <c r="L464" s="2136"/>
      <c r="M464" s="2136"/>
      <c r="N464" s="2136"/>
    </row>
    <row r="465" spans="3:14" ht="15" customHeight="1">
      <c r="C465" s="546"/>
      <c r="D465" s="546"/>
      <c r="G465" s="546"/>
      <c r="H465" s="546"/>
      <c r="I465" s="546"/>
      <c r="J465" s="546"/>
      <c r="L465" s="2136"/>
      <c r="M465" s="2136"/>
      <c r="N465" s="2136"/>
    </row>
    <row r="466" spans="3:14" ht="15" customHeight="1">
      <c r="C466" s="546"/>
      <c r="D466" s="546"/>
      <c r="G466" s="546"/>
      <c r="H466" s="546"/>
      <c r="I466" s="546"/>
      <c r="J466" s="546"/>
      <c r="L466" s="2136"/>
      <c r="M466" s="2136"/>
      <c r="N466" s="2136"/>
    </row>
    <row r="467" spans="3:14" ht="15" customHeight="1">
      <c r="C467" s="546"/>
      <c r="D467" s="546"/>
      <c r="G467" s="546"/>
      <c r="H467" s="546"/>
      <c r="I467" s="546"/>
      <c r="J467" s="546"/>
      <c r="L467" s="2136"/>
      <c r="M467" s="2136"/>
      <c r="N467" s="2136"/>
    </row>
    <row r="468" spans="3:14" ht="15" customHeight="1">
      <c r="C468" s="546"/>
      <c r="D468" s="546"/>
      <c r="G468" s="546"/>
      <c r="H468" s="546"/>
      <c r="I468" s="546"/>
      <c r="J468" s="546"/>
      <c r="L468" s="2136"/>
      <c r="M468" s="2136"/>
      <c r="N468" s="2136"/>
    </row>
    <row r="469" spans="3:14" ht="15" customHeight="1">
      <c r="C469" s="546"/>
      <c r="D469" s="546"/>
      <c r="G469" s="546"/>
      <c r="H469" s="546"/>
      <c r="I469" s="546"/>
      <c r="J469" s="546"/>
      <c r="L469" s="2136"/>
      <c r="M469" s="2136"/>
      <c r="N469" s="2136"/>
    </row>
    <row r="470" spans="3:14" ht="15" customHeight="1">
      <c r="C470" s="546"/>
      <c r="D470" s="546"/>
      <c r="G470" s="546"/>
      <c r="H470" s="546"/>
      <c r="I470" s="546"/>
      <c r="J470" s="546"/>
      <c r="L470" s="2136"/>
      <c r="M470" s="2136"/>
      <c r="N470" s="2136"/>
    </row>
    <row r="471" spans="3:14" ht="15" customHeight="1">
      <c r="C471" s="546"/>
      <c r="D471" s="546"/>
      <c r="G471" s="546"/>
      <c r="H471" s="546"/>
      <c r="I471" s="546"/>
      <c r="J471" s="546"/>
      <c r="L471" s="2136"/>
      <c r="M471" s="2136"/>
      <c r="N471" s="2136"/>
    </row>
    <row r="472" spans="3:14" ht="15" customHeight="1">
      <c r="C472" s="546"/>
      <c r="D472" s="546"/>
      <c r="G472" s="546"/>
      <c r="H472" s="546"/>
      <c r="I472" s="546"/>
      <c r="J472" s="546"/>
      <c r="L472" s="2136"/>
      <c r="M472" s="2136"/>
      <c r="N472" s="2136"/>
    </row>
    <row r="473" spans="3:14" ht="15" customHeight="1">
      <c r="C473" s="546"/>
      <c r="D473" s="546"/>
      <c r="G473" s="546"/>
      <c r="H473" s="546"/>
      <c r="I473" s="546"/>
      <c r="J473" s="546"/>
      <c r="L473" s="2136"/>
      <c r="M473" s="2136"/>
      <c r="N473" s="2136"/>
    </row>
    <row r="474" spans="3:14" ht="15" customHeight="1">
      <c r="C474" s="546"/>
      <c r="D474" s="546"/>
      <c r="G474" s="546"/>
      <c r="H474" s="546"/>
      <c r="I474" s="546"/>
      <c r="J474" s="546"/>
      <c r="L474" s="2136"/>
      <c r="M474" s="2136"/>
      <c r="N474" s="2136"/>
    </row>
    <row r="475" spans="3:14" ht="15" customHeight="1">
      <c r="C475" s="546"/>
      <c r="D475" s="546"/>
      <c r="G475" s="546"/>
      <c r="H475" s="546"/>
      <c r="I475" s="546"/>
      <c r="J475" s="546"/>
      <c r="L475" s="2136"/>
      <c r="M475" s="2136"/>
      <c r="N475" s="2136"/>
    </row>
    <row r="476" spans="3:14" ht="15" customHeight="1">
      <c r="C476" s="546"/>
      <c r="D476" s="546"/>
      <c r="G476" s="546"/>
      <c r="H476" s="546"/>
      <c r="I476" s="546"/>
      <c r="J476" s="546"/>
      <c r="L476" s="2136"/>
      <c r="M476" s="2136"/>
      <c r="N476" s="2136"/>
    </row>
    <row r="477" spans="3:14" ht="15" customHeight="1">
      <c r="C477" s="546"/>
      <c r="D477" s="546"/>
      <c r="G477" s="546"/>
      <c r="H477" s="546"/>
      <c r="I477" s="546"/>
      <c r="J477" s="546"/>
      <c r="L477" s="2136"/>
      <c r="M477" s="2136"/>
      <c r="N477" s="2136"/>
    </row>
    <row r="478" spans="3:14" ht="15" customHeight="1">
      <c r="C478" s="546"/>
      <c r="D478" s="546"/>
      <c r="G478" s="546"/>
      <c r="H478" s="546"/>
      <c r="I478" s="546"/>
      <c r="J478" s="546"/>
      <c r="L478" s="2136"/>
      <c r="M478" s="2136"/>
      <c r="N478" s="2136"/>
    </row>
    <row r="479" spans="3:14" ht="15" customHeight="1">
      <c r="C479" s="546"/>
      <c r="D479" s="546"/>
      <c r="G479" s="546"/>
      <c r="H479" s="546"/>
      <c r="I479" s="546"/>
      <c r="J479" s="546"/>
      <c r="L479" s="2136"/>
      <c r="M479" s="2136"/>
      <c r="N479" s="2136"/>
    </row>
    <row r="480" spans="3:14" ht="15" customHeight="1">
      <c r="C480" s="546"/>
      <c r="D480" s="546"/>
      <c r="G480" s="546"/>
      <c r="H480" s="546"/>
      <c r="I480" s="546"/>
      <c r="J480" s="546"/>
      <c r="L480" s="2136"/>
      <c r="M480" s="2136"/>
      <c r="N480" s="2136"/>
    </row>
    <row r="481" spans="3:14" ht="15" customHeight="1">
      <c r="C481" s="546"/>
      <c r="D481" s="546"/>
      <c r="G481" s="546"/>
      <c r="H481" s="546"/>
      <c r="I481" s="546"/>
      <c r="J481" s="546"/>
      <c r="L481" s="2136"/>
      <c r="M481" s="2136"/>
      <c r="N481" s="2136"/>
    </row>
    <row r="482" spans="3:14" ht="15" customHeight="1">
      <c r="C482" s="546"/>
      <c r="D482" s="546"/>
      <c r="G482" s="546"/>
      <c r="H482" s="546"/>
      <c r="I482" s="546"/>
      <c r="J482" s="546"/>
      <c r="L482" s="2136"/>
      <c r="M482" s="2136"/>
      <c r="N482" s="2136"/>
    </row>
    <row r="483" spans="3:14" ht="15" customHeight="1">
      <c r="C483" s="546"/>
      <c r="D483" s="546"/>
      <c r="G483" s="546"/>
      <c r="H483" s="546"/>
      <c r="I483" s="546"/>
      <c r="J483" s="546"/>
      <c r="L483" s="2136"/>
      <c r="M483" s="2136"/>
      <c r="N483" s="2136"/>
    </row>
    <row r="484" spans="3:14" ht="15" customHeight="1">
      <c r="C484" s="546"/>
      <c r="D484" s="546"/>
      <c r="G484" s="546"/>
      <c r="H484" s="546"/>
      <c r="I484" s="546"/>
      <c r="J484" s="546"/>
      <c r="L484" s="2136"/>
      <c r="M484" s="2136"/>
      <c r="N484" s="2136"/>
    </row>
    <row r="485" spans="3:14" ht="15" customHeight="1">
      <c r="C485" s="546"/>
      <c r="D485" s="546"/>
      <c r="G485" s="546"/>
      <c r="H485" s="546"/>
      <c r="I485" s="546"/>
      <c r="J485" s="546"/>
      <c r="L485" s="2136"/>
      <c r="M485" s="2136"/>
      <c r="N485" s="2136"/>
    </row>
    <row r="486" spans="3:14" ht="15" customHeight="1">
      <c r="C486" s="546"/>
      <c r="D486" s="546"/>
      <c r="G486" s="546"/>
      <c r="H486" s="546"/>
      <c r="I486" s="546"/>
      <c r="J486" s="546"/>
      <c r="L486" s="2136"/>
      <c r="M486" s="2136"/>
      <c r="N486" s="2136"/>
    </row>
    <row r="487" spans="3:14" ht="15" customHeight="1">
      <c r="C487" s="546"/>
      <c r="D487" s="546"/>
      <c r="G487" s="546"/>
      <c r="H487" s="546"/>
      <c r="I487" s="546"/>
      <c r="J487" s="546"/>
      <c r="L487" s="2136"/>
      <c r="M487" s="2136"/>
      <c r="N487" s="2136"/>
    </row>
    <row r="488" spans="3:14" ht="15" customHeight="1">
      <c r="C488" s="546"/>
      <c r="D488" s="546"/>
      <c r="G488" s="546"/>
      <c r="H488" s="546"/>
      <c r="I488" s="546"/>
      <c r="J488" s="546"/>
      <c r="L488" s="2136"/>
      <c r="M488" s="2136"/>
      <c r="N488" s="2136"/>
    </row>
    <row r="489" spans="3:14" ht="15" customHeight="1">
      <c r="C489" s="546"/>
      <c r="D489" s="546"/>
      <c r="G489" s="546"/>
      <c r="H489" s="546"/>
      <c r="I489" s="546"/>
      <c r="J489" s="546"/>
      <c r="L489" s="2136"/>
      <c r="M489" s="2136"/>
      <c r="N489" s="2136"/>
    </row>
    <row r="490" spans="3:14" ht="15" customHeight="1">
      <c r="C490" s="546"/>
      <c r="D490" s="546"/>
      <c r="G490" s="546"/>
      <c r="H490" s="546"/>
      <c r="I490" s="546"/>
      <c r="J490" s="546"/>
      <c r="L490" s="2136"/>
      <c r="M490" s="2136"/>
      <c r="N490" s="2136"/>
    </row>
    <row r="491" spans="3:14" ht="15" customHeight="1">
      <c r="C491" s="546"/>
      <c r="D491" s="546"/>
      <c r="G491" s="546"/>
      <c r="H491" s="546"/>
      <c r="I491" s="546"/>
      <c r="J491" s="546"/>
      <c r="L491" s="2136"/>
      <c r="M491" s="2136"/>
      <c r="N491" s="2136"/>
    </row>
    <row r="492" spans="3:14" ht="15" customHeight="1">
      <c r="C492" s="546"/>
      <c r="D492" s="546"/>
      <c r="G492" s="546"/>
      <c r="H492" s="546"/>
      <c r="I492" s="546"/>
      <c r="J492" s="546"/>
      <c r="L492" s="2136"/>
      <c r="M492" s="2136"/>
      <c r="N492" s="2136"/>
    </row>
    <row r="493" spans="3:14" ht="15" customHeight="1">
      <c r="C493" s="546"/>
      <c r="D493" s="546"/>
      <c r="G493" s="546"/>
      <c r="H493" s="546"/>
      <c r="I493" s="546"/>
      <c r="J493" s="546"/>
      <c r="L493" s="2136"/>
      <c r="M493" s="2136"/>
      <c r="N493" s="2136"/>
    </row>
    <row r="494" spans="3:14" ht="15" customHeight="1">
      <c r="C494" s="546"/>
      <c r="D494" s="546"/>
      <c r="G494" s="546"/>
      <c r="H494" s="546"/>
      <c r="I494" s="546"/>
      <c r="J494" s="546"/>
      <c r="L494" s="2136"/>
      <c r="M494" s="2136"/>
      <c r="N494" s="2136"/>
    </row>
    <row r="495" spans="3:14" ht="15" customHeight="1">
      <c r="C495" s="546"/>
      <c r="D495" s="546"/>
      <c r="G495" s="546"/>
      <c r="H495" s="546"/>
      <c r="I495" s="546"/>
      <c r="J495" s="546"/>
      <c r="L495" s="2136"/>
      <c r="M495" s="2136"/>
      <c r="N495" s="2136"/>
    </row>
    <row r="496" spans="3:14" ht="15" customHeight="1">
      <c r="C496" s="546"/>
      <c r="D496" s="546"/>
      <c r="G496" s="546"/>
      <c r="H496" s="546"/>
      <c r="I496" s="546"/>
      <c r="J496" s="546"/>
      <c r="L496" s="2136"/>
      <c r="M496" s="2136"/>
      <c r="N496" s="2136"/>
    </row>
    <row r="497" spans="3:14" ht="15" customHeight="1">
      <c r="C497" s="546"/>
      <c r="D497" s="546"/>
      <c r="G497" s="546"/>
      <c r="H497" s="546"/>
      <c r="I497" s="546"/>
      <c r="J497" s="546"/>
      <c r="L497" s="2136"/>
      <c r="M497" s="2136"/>
      <c r="N497" s="2136"/>
    </row>
    <row r="498" spans="3:14" ht="15" customHeight="1">
      <c r="C498" s="546"/>
      <c r="D498" s="546"/>
      <c r="G498" s="546"/>
      <c r="H498" s="546"/>
      <c r="I498" s="546"/>
      <c r="J498" s="546"/>
      <c r="L498" s="2136"/>
      <c r="M498" s="2136"/>
      <c r="N498" s="2136"/>
    </row>
    <row r="499" spans="3:14" ht="15" customHeight="1">
      <c r="C499" s="546"/>
      <c r="D499" s="546"/>
      <c r="G499" s="546"/>
      <c r="H499" s="546"/>
      <c r="I499" s="546"/>
      <c r="J499" s="546"/>
      <c r="L499" s="2136"/>
      <c r="M499" s="2136"/>
      <c r="N499" s="2136"/>
    </row>
    <row r="500" spans="3:14" ht="15" customHeight="1">
      <c r="C500" s="546"/>
      <c r="D500" s="546"/>
      <c r="G500" s="546"/>
      <c r="H500" s="546"/>
      <c r="I500" s="546"/>
      <c r="J500" s="546"/>
      <c r="L500" s="2136"/>
      <c r="M500" s="2136"/>
      <c r="N500" s="2136"/>
    </row>
    <row r="501" spans="3:14" ht="15" customHeight="1">
      <c r="C501" s="546"/>
      <c r="D501" s="546"/>
      <c r="G501" s="546"/>
      <c r="H501" s="546"/>
      <c r="I501" s="546"/>
      <c r="J501" s="546"/>
      <c r="L501" s="2136"/>
      <c r="M501" s="2136"/>
      <c r="N501" s="2136"/>
    </row>
    <row r="502" spans="3:14" ht="15" customHeight="1">
      <c r="C502" s="546"/>
      <c r="D502" s="546"/>
      <c r="G502" s="546"/>
      <c r="H502" s="546"/>
      <c r="I502" s="546"/>
      <c r="J502" s="546"/>
    </row>
    <row r="503" spans="3:14" ht="15" customHeight="1">
      <c r="C503" s="546"/>
      <c r="D503" s="546"/>
      <c r="G503" s="546"/>
      <c r="H503" s="546"/>
      <c r="I503" s="546"/>
      <c r="J503" s="546"/>
    </row>
    <row r="504" spans="3:14" ht="15" customHeight="1">
      <c r="C504" s="546"/>
      <c r="D504" s="546"/>
      <c r="G504" s="546"/>
      <c r="H504" s="546"/>
      <c r="I504" s="546"/>
      <c r="J504" s="546"/>
    </row>
    <row r="505" spans="3:14" ht="15" customHeight="1">
      <c r="C505" s="546"/>
      <c r="D505" s="546"/>
      <c r="G505" s="546"/>
      <c r="H505" s="546"/>
      <c r="I505" s="546"/>
      <c r="J505" s="546"/>
    </row>
    <row r="506" spans="3:14" ht="15" customHeight="1">
      <c r="C506" s="546"/>
      <c r="D506" s="546"/>
      <c r="G506" s="546"/>
      <c r="H506" s="546"/>
      <c r="I506" s="546"/>
      <c r="J506" s="546"/>
    </row>
    <row r="507" spans="3:14" ht="15" customHeight="1">
      <c r="C507" s="546"/>
      <c r="D507" s="546"/>
      <c r="G507" s="546"/>
      <c r="H507" s="546"/>
      <c r="I507" s="546"/>
      <c r="J507" s="546"/>
    </row>
    <row r="508" spans="3:14" ht="15" customHeight="1">
      <c r="C508" s="546"/>
      <c r="D508" s="546"/>
      <c r="G508" s="546"/>
      <c r="H508" s="546"/>
      <c r="I508" s="546"/>
      <c r="J508" s="546"/>
    </row>
    <row r="509" spans="3:14" ht="15" customHeight="1">
      <c r="C509" s="546"/>
      <c r="D509" s="546"/>
      <c r="G509" s="546"/>
      <c r="H509" s="546"/>
      <c r="I509" s="546"/>
      <c r="J509" s="546"/>
    </row>
    <row r="510" spans="3:14" ht="15" customHeight="1">
      <c r="C510" s="546"/>
      <c r="D510" s="546"/>
      <c r="G510" s="546"/>
      <c r="H510" s="546"/>
      <c r="I510" s="546"/>
      <c r="J510" s="546"/>
    </row>
    <row r="511" spans="3:14" ht="15" customHeight="1">
      <c r="C511" s="546"/>
      <c r="D511" s="546"/>
      <c r="G511" s="546"/>
      <c r="H511" s="546"/>
      <c r="I511" s="546"/>
      <c r="J511" s="546"/>
    </row>
    <row r="512" spans="3:14" ht="15" customHeight="1">
      <c r="C512" s="546"/>
      <c r="D512" s="546"/>
      <c r="G512" s="546"/>
      <c r="H512" s="546"/>
      <c r="I512" s="546"/>
      <c r="J512" s="546"/>
    </row>
    <row r="513" spans="3:10" ht="15" customHeight="1">
      <c r="C513" s="546"/>
      <c r="D513" s="546"/>
      <c r="G513" s="546"/>
      <c r="H513" s="546"/>
      <c r="I513" s="546"/>
      <c r="J513" s="546"/>
    </row>
    <row r="514" spans="3:10" ht="15" customHeight="1">
      <c r="C514" s="546"/>
      <c r="D514" s="546"/>
      <c r="G514" s="546"/>
      <c r="H514" s="546"/>
      <c r="I514" s="546"/>
      <c r="J514" s="546"/>
    </row>
    <row r="515" spans="3:10" ht="15" customHeight="1">
      <c r="C515" s="546"/>
      <c r="D515" s="546"/>
      <c r="G515" s="546"/>
      <c r="H515" s="546"/>
      <c r="I515" s="546"/>
      <c r="J515" s="546"/>
    </row>
    <row r="516" spans="3:10" ht="15" customHeight="1">
      <c r="C516" s="546"/>
      <c r="D516" s="546"/>
      <c r="G516" s="546"/>
      <c r="H516" s="546"/>
      <c r="I516" s="546"/>
      <c r="J516" s="546"/>
    </row>
    <row r="517" spans="3:10" ht="15" customHeight="1">
      <c r="C517" s="546"/>
      <c r="D517" s="546"/>
      <c r="G517" s="546"/>
      <c r="H517" s="546"/>
      <c r="I517" s="546"/>
      <c r="J517" s="546"/>
    </row>
    <row r="518" spans="3:10" ht="15" customHeight="1">
      <c r="C518" s="546"/>
      <c r="D518" s="546"/>
      <c r="G518" s="546"/>
      <c r="H518" s="546"/>
      <c r="I518" s="546"/>
      <c r="J518" s="546"/>
    </row>
    <row r="519" spans="3:10" ht="15" customHeight="1">
      <c r="C519" s="546"/>
      <c r="D519" s="546"/>
      <c r="G519" s="546"/>
      <c r="H519" s="546"/>
      <c r="I519" s="546"/>
      <c r="J519" s="546"/>
    </row>
    <row r="520" spans="3:10" ht="15" customHeight="1">
      <c r="C520" s="546"/>
      <c r="D520" s="546"/>
      <c r="G520" s="546"/>
      <c r="H520" s="546"/>
      <c r="I520" s="546"/>
      <c r="J520" s="546"/>
    </row>
    <row r="521" spans="3:10" ht="15" customHeight="1">
      <c r="C521" s="546"/>
      <c r="D521" s="546"/>
      <c r="G521" s="546"/>
      <c r="H521" s="546"/>
      <c r="I521" s="546"/>
      <c r="J521" s="546"/>
    </row>
    <row r="522" spans="3:10" ht="15" customHeight="1">
      <c r="C522" s="546"/>
      <c r="D522" s="546"/>
      <c r="G522" s="546"/>
      <c r="H522" s="546"/>
      <c r="I522" s="546"/>
      <c r="J522" s="546"/>
    </row>
    <row r="523" spans="3:10" ht="15" customHeight="1">
      <c r="C523" s="546"/>
      <c r="D523" s="546"/>
      <c r="G523" s="546"/>
      <c r="H523" s="546"/>
      <c r="I523" s="546"/>
      <c r="J523" s="546"/>
    </row>
    <row r="524" spans="3:10" ht="15" customHeight="1">
      <c r="C524" s="546"/>
      <c r="D524" s="546"/>
      <c r="G524" s="546"/>
      <c r="H524" s="546"/>
      <c r="I524" s="546"/>
      <c r="J524" s="546"/>
    </row>
    <row r="525" spans="3:10" ht="15" customHeight="1">
      <c r="C525" s="546"/>
      <c r="D525" s="546"/>
      <c r="G525" s="546"/>
      <c r="H525" s="546"/>
      <c r="I525" s="546"/>
      <c r="J525" s="546"/>
    </row>
    <row r="526" spans="3:10" ht="15" customHeight="1">
      <c r="C526" s="546"/>
      <c r="D526" s="546"/>
      <c r="G526" s="546"/>
      <c r="H526" s="546"/>
      <c r="I526" s="546"/>
      <c r="J526" s="546"/>
    </row>
    <row r="527" spans="3:10" ht="15" customHeight="1">
      <c r="C527" s="546"/>
      <c r="D527" s="546"/>
      <c r="G527" s="546"/>
      <c r="H527" s="546"/>
      <c r="I527" s="546"/>
      <c r="J527" s="546"/>
    </row>
    <row r="528" spans="3:10" ht="15" customHeight="1">
      <c r="C528" s="546"/>
      <c r="D528" s="546"/>
      <c r="G528" s="546"/>
      <c r="H528" s="546"/>
      <c r="I528" s="546"/>
      <c r="J528" s="546"/>
    </row>
    <row r="529" spans="3:10" ht="15" customHeight="1">
      <c r="C529" s="546"/>
      <c r="D529" s="546"/>
      <c r="G529" s="546"/>
      <c r="H529" s="546"/>
      <c r="I529" s="546"/>
      <c r="J529" s="546"/>
    </row>
    <row r="530" spans="3:10" ht="15" customHeight="1">
      <c r="C530" s="546"/>
      <c r="D530" s="546"/>
      <c r="G530" s="546"/>
      <c r="H530" s="546"/>
      <c r="I530" s="546"/>
      <c r="J530" s="546"/>
    </row>
    <row r="531" spans="3:10" ht="15" customHeight="1">
      <c r="C531" s="546"/>
      <c r="D531" s="546"/>
      <c r="G531" s="546"/>
      <c r="H531" s="546"/>
      <c r="I531" s="546"/>
      <c r="J531" s="546"/>
    </row>
    <row r="532" spans="3:10" ht="15" customHeight="1">
      <c r="C532" s="546"/>
      <c r="D532" s="546"/>
      <c r="G532" s="546"/>
      <c r="H532" s="546"/>
      <c r="I532" s="546"/>
      <c r="J532" s="546"/>
    </row>
    <row r="533" spans="3:10" ht="15" customHeight="1">
      <c r="C533" s="546"/>
      <c r="D533" s="546"/>
      <c r="G533" s="546"/>
      <c r="H533" s="546"/>
      <c r="I533" s="546"/>
      <c r="J533" s="546"/>
    </row>
    <row r="534" spans="3:10" ht="15" customHeight="1">
      <c r="C534" s="546"/>
      <c r="D534" s="546"/>
      <c r="G534" s="546"/>
      <c r="H534" s="546"/>
      <c r="I534" s="546"/>
      <c r="J534" s="546"/>
    </row>
    <row r="535" spans="3:10" ht="15" customHeight="1">
      <c r="C535" s="546"/>
      <c r="D535" s="546"/>
      <c r="G535" s="546"/>
      <c r="H535" s="546"/>
      <c r="I535" s="546"/>
      <c r="J535" s="546"/>
    </row>
    <row r="536" spans="3:10" ht="15" customHeight="1">
      <c r="C536" s="546"/>
      <c r="D536" s="546"/>
      <c r="G536" s="546"/>
      <c r="H536" s="546"/>
      <c r="I536" s="546"/>
      <c r="J536" s="546"/>
    </row>
    <row r="537" spans="3:10" ht="15" customHeight="1">
      <c r="C537" s="546"/>
      <c r="D537" s="546"/>
      <c r="G537" s="546"/>
      <c r="H537" s="546"/>
      <c r="I537" s="546"/>
      <c r="J537" s="546"/>
    </row>
    <row r="538" spans="3:10" ht="15" customHeight="1">
      <c r="C538" s="546"/>
      <c r="D538" s="546"/>
      <c r="G538" s="546"/>
      <c r="H538" s="546"/>
      <c r="I538" s="546"/>
      <c r="J538" s="546"/>
    </row>
    <row r="539" spans="3:10" ht="15" customHeight="1">
      <c r="C539" s="546"/>
      <c r="D539" s="546"/>
      <c r="G539" s="546"/>
      <c r="H539" s="546"/>
      <c r="I539" s="546"/>
      <c r="J539" s="546"/>
    </row>
    <row r="540" spans="3:10" ht="15" customHeight="1">
      <c r="C540" s="546"/>
      <c r="D540" s="546"/>
      <c r="G540" s="546"/>
      <c r="H540" s="546"/>
      <c r="I540" s="546"/>
      <c r="J540" s="546"/>
    </row>
    <row r="541" spans="3:10" ht="15" customHeight="1">
      <c r="C541" s="546"/>
      <c r="D541" s="546"/>
      <c r="G541" s="546"/>
      <c r="H541" s="546"/>
      <c r="I541" s="546"/>
      <c r="J541" s="546"/>
    </row>
    <row r="542" spans="3:10" ht="15" customHeight="1">
      <c r="C542" s="546"/>
      <c r="D542" s="546"/>
      <c r="G542" s="546"/>
      <c r="H542" s="546"/>
      <c r="I542" s="546"/>
      <c r="J542" s="546"/>
    </row>
    <row r="543" spans="3:10" ht="15" customHeight="1">
      <c r="C543" s="546"/>
      <c r="D543" s="546"/>
      <c r="G543" s="546"/>
      <c r="H543" s="546"/>
      <c r="I543" s="546"/>
      <c r="J543" s="546"/>
    </row>
    <row r="544" spans="3:10" ht="15" customHeight="1">
      <c r="C544" s="546"/>
      <c r="D544" s="546"/>
      <c r="G544" s="546"/>
      <c r="H544" s="546"/>
      <c r="I544" s="546"/>
      <c r="J544" s="546"/>
    </row>
    <row r="545" spans="3:10" ht="15" customHeight="1">
      <c r="C545" s="546"/>
      <c r="D545" s="546"/>
      <c r="G545" s="546"/>
      <c r="H545" s="546"/>
      <c r="I545" s="546"/>
      <c r="J545" s="546"/>
    </row>
    <row r="546" spans="3:10" ht="15" customHeight="1">
      <c r="C546" s="546"/>
      <c r="D546" s="546"/>
      <c r="G546" s="546"/>
      <c r="H546" s="546"/>
      <c r="I546" s="546"/>
      <c r="J546" s="546"/>
    </row>
    <row r="547" spans="3:10" ht="15" customHeight="1">
      <c r="C547" s="546"/>
      <c r="D547" s="546"/>
      <c r="G547" s="546"/>
      <c r="H547" s="546"/>
      <c r="I547" s="546"/>
      <c r="J547" s="546"/>
    </row>
    <row r="548" spans="3:10" ht="15" customHeight="1">
      <c r="C548" s="546"/>
      <c r="D548" s="546"/>
      <c r="G548" s="546"/>
      <c r="H548" s="546"/>
      <c r="I548" s="546"/>
      <c r="J548" s="546"/>
    </row>
    <row r="549" spans="3:10" ht="15" customHeight="1">
      <c r="C549" s="546"/>
      <c r="D549" s="546"/>
      <c r="G549" s="546"/>
      <c r="H549" s="546"/>
      <c r="I549" s="546"/>
      <c r="J549" s="546"/>
    </row>
    <row r="550" spans="3:10" ht="15" customHeight="1">
      <c r="C550" s="546"/>
      <c r="D550" s="546"/>
      <c r="G550" s="546"/>
      <c r="H550" s="546"/>
      <c r="I550" s="546"/>
      <c r="J550" s="546"/>
    </row>
    <row r="551" spans="3:10" ht="15" customHeight="1">
      <c r="C551" s="546"/>
      <c r="D551" s="546"/>
      <c r="G551" s="546"/>
      <c r="H551" s="546"/>
      <c r="I551" s="546"/>
      <c r="J551" s="546"/>
    </row>
    <row r="552" spans="3:10" ht="15" customHeight="1">
      <c r="C552" s="546"/>
      <c r="D552" s="546"/>
      <c r="G552" s="546"/>
      <c r="H552" s="546"/>
      <c r="I552" s="546"/>
      <c r="J552" s="546"/>
    </row>
    <row r="553" spans="3:10" ht="15" customHeight="1">
      <c r="C553" s="546"/>
      <c r="D553" s="546"/>
      <c r="G553" s="546"/>
      <c r="H553" s="546"/>
      <c r="I553" s="546"/>
      <c r="J553" s="546"/>
    </row>
    <row r="554" spans="3:10" ht="15" customHeight="1">
      <c r="C554" s="546"/>
      <c r="D554" s="546"/>
      <c r="G554" s="546"/>
      <c r="H554" s="546"/>
      <c r="I554" s="546"/>
      <c r="J554" s="546"/>
    </row>
    <row r="555" spans="3:10" ht="15" customHeight="1">
      <c r="C555" s="546"/>
      <c r="D555" s="546"/>
      <c r="G555" s="546"/>
      <c r="H555" s="546"/>
      <c r="I555" s="546"/>
      <c r="J555" s="546"/>
    </row>
    <row r="556" spans="3:10" ht="15" customHeight="1">
      <c r="C556" s="546"/>
      <c r="D556" s="546"/>
      <c r="G556" s="546"/>
      <c r="H556" s="546"/>
      <c r="I556" s="546"/>
      <c r="J556" s="546"/>
    </row>
    <row r="557" spans="3:10" ht="15" customHeight="1">
      <c r="C557" s="546"/>
      <c r="D557" s="546"/>
      <c r="G557" s="546"/>
      <c r="H557" s="546"/>
      <c r="I557" s="546"/>
      <c r="J557" s="546"/>
    </row>
    <row r="558" spans="3:10" ht="15" customHeight="1">
      <c r="C558" s="546"/>
      <c r="D558" s="546"/>
      <c r="G558" s="546"/>
      <c r="H558" s="546"/>
      <c r="I558" s="546"/>
      <c r="J558" s="546"/>
    </row>
    <row r="559" spans="3:10" ht="15" customHeight="1">
      <c r="C559" s="546"/>
      <c r="D559" s="546"/>
      <c r="G559" s="546"/>
      <c r="H559" s="546"/>
      <c r="I559" s="546"/>
      <c r="J559" s="546"/>
    </row>
    <row r="560" spans="3:10" ht="15" customHeight="1">
      <c r="C560" s="546"/>
      <c r="D560" s="546"/>
      <c r="G560" s="546"/>
      <c r="H560" s="546"/>
      <c r="I560" s="546"/>
      <c r="J560" s="546"/>
    </row>
    <row r="561" spans="3:10" ht="15" customHeight="1">
      <c r="C561" s="546"/>
      <c r="D561" s="546"/>
      <c r="G561" s="546"/>
      <c r="H561" s="546"/>
      <c r="I561" s="546"/>
      <c r="J561" s="546"/>
    </row>
    <row r="562" spans="3:10" ht="15" customHeight="1">
      <c r="C562" s="546"/>
      <c r="D562" s="546"/>
      <c r="G562" s="546"/>
      <c r="H562" s="546"/>
      <c r="I562" s="546"/>
      <c r="J562" s="546"/>
    </row>
    <row r="563" spans="3:10" ht="15" customHeight="1">
      <c r="C563" s="546"/>
      <c r="D563" s="546"/>
      <c r="G563" s="546"/>
      <c r="H563" s="546"/>
      <c r="I563" s="546"/>
      <c r="J563" s="546"/>
    </row>
    <row r="564" spans="3:10" ht="15" customHeight="1">
      <c r="C564" s="546"/>
      <c r="D564" s="546"/>
      <c r="G564" s="546"/>
      <c r="H564" s="546"/>
      <c r="I564" s="546"/>
      <c r="J564" s="546"/>
    </row>
    <row r="565" spans="3:10" ht="15" customHeight="1">
      <c r="C565" s="546"/>
      <c r="D565" s="546"/>
      <c r="G565" s="546"/>
      <c r="H565" s="546"/>
      <c r="I565" s="546"/>
      <c r="J565" s="546"/>
    </row>
  </sheetData>
  <mergeCells count="15">
    <mergeCell ref="C84:F84"/>
    <mergeCell ref="A10:J10"/>
    <mergeCell ref="L12:L14"/>
    <mergeCell ref="M12:M14"/>
    <mergeCell ref="J12:J14"/>
    <mergeCell ref="A1:J1"/>
    <mergeCell ref="A12:B14"/>
    <mergeCell ref="H12:H14"/>
    <mergeCell ref="I12:I14"/>
    <mergeCell ref="G12:G14"/>
    <mergeCell ref="A3:J3"/>
    <mergeCell ref="A2:J2"/>
    <mergeCell ref="E5:G5"/>
    <mergeCell ref="E6:G6"/>
    <mergeCell ref="E7:G7"/>
  </mergeCells>
  <conditionalFormatting sqref="G17">
    <cfRule type="expression" dxfId="31" priority="12">
      <formula>G17&lt;&gt;SUM(H17:J17)</formula>
    </cfRule>
  </conditionalFormatting>
  <conditionalFormatting sqref="G18">
    <cfRule type="expression" dxfId="30" priority="11">
      <formula>G18&lt;&gt;SUM(H18:J18)</formula>
    </cfRule>
  </conditionalFormatting>
  <conditionalFormatting sqref="G47">
    <cfRule type="expression" dxfId="29" priority="10">
      <formula>G47&lt;&gt;SUM(H47:J47)</formula>
    </cfRule>
  </conditionalFormatting>
  <conditionalFormatting sqref="G57:G73">
    <cfRule type="expression" dxfId="28" priority="1">
      <formula>G57&lt;&gt;SUM(H57:J57)</formula>
    </cfRule>
  </conditionalFormatting>
  <conditionalFormatting sqref="G75">
    <cfRule type="expression" dxfId="27" priority="8">
      <formula>G75&lt;&gt;SUM(H75:J75)</formula>
    </cfRule>
  </conditionalFormatting>
  <conditionalFormatting sqref="G92">
    <cfRule type="expression" dxfId="26" priority="7">
      <formula>G92&lt;&gt;SUM(H92:J92)</formula>
    </cfRule>
  </conditionalFormatting>
  <conditionalFormatting sqref="G96">
    <cfRule type="expression" dxfId="25" priority="6">
      <formula>G96&lt;&gt;SUM(H96:J96)</formula>
    </cfRule>
  </conditionalFormatting>
  <conditionalFormatting sqref="G120:G122">
    <cfRule type="expression" dxfId="24" priority="5">
      <formula>G120&lt;&gt;SUM(H120:J120)</formula>
    </cfRule>
  </conditionalFormatting>
  <conditionalFormatting sqref="G128:G129">
    <cfRule type="expression" dxfId="23" priority="4">
      <formula>G128&lt;&gt;SUM(H128:J128)</formula>
    </cfRule>
  </conditionalFormatting>
  <conditionalFormatting sqref="G148:G149">
    <cfRule type="expression" dxfId="22" priority="3">
      <formula>G148&lt;&gt;SUM(H148:J148)</formula>
    </cfRule>
  </conditionalFormatting>
  <conditionalFormatting sqref="G151">
    <cfRule type="expression" dxfId="21" priority="2">
      <formula>G151&lt;&gt;SUM(H151:J151)</formula>
    </cfRule>
  </conditionalFormatting>
  <dataValidations count="2">
    <dataValidation type="list" allowBlank="1" showInputMessage="1" showErrorMessage="1" sqref="E17 E65 E47 E69 E71" xr:uid="{00000000-0002-0000-0200-000000000000}">
      <formula1>PTD</formula1>
    </dataValidation>
    <dataValidation type="list" allowBlank="1" showInputMessage="1" showErrorMessage="1" sqref="E18 E148:E149 E128 E120:E122 E96 E92 E66 E70 E72:E73" xr:uid="{00000000-0002-0000-0200-000001000000}">
      <formula1>DIST</formula1>
    </dataValidation>
  </dataValidations>
  <hyperlinks>
    <hyperlink ref="A5" location="TOC!A1" display="TOC" xr:uid="{00000000-0004-0000-0200-000000000000}"/>
    <hyperlink ref="A6" location="'Sch 1- Rate Base '!A15" display="é" xr:uid="{00000000-0004-0000-0200-000001000000}"/>
  </hyperlinks>
  <printOptions horizontalCentered="1" headings="1"/>
  <pageMargins left="0.5" right="0.5" top="0.5" bottom="0.75" header="0.25" footer="0.25"/>
  <pageSetup scale="74" fitToHeight="5" orientation="landscape" r:id="rId1"/>
  <headerFooter alignWithMargins="0">
    <oddFooter>&amp;LFY 2026-2028 ASC Filing
&amp;CPage &amp;P of &amp;N&amp;R&amp;A
&amp;D</oddFooter>
  </headerFooter>
  <rowBreaks count="4" manualBreakCount="4">
    <brk id="50" max="9" man="1"/>
    <brk id="81" max="9" man="1"/>
    <brk id="116" max="9" man="1"/>
    <brk id="136" max="9" man="1"/>
  </rowBreaks>
  <customProperties>
    <customPr name="_pios_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indexed="29"/>
  </sheetPr>
  <dimension ref="A1:H30"/>
  <sheetViews>
    <sheetView zoomScaleNormal="100" workbookViewId="0">
      <pane ySplit="13" topLeftCell="A14" activePane="bottomLeft" state="frozen"/>
      <selection pane="bottomLeft" sqref="A1:XFD1048576"/>
    </sheetView>
  </sheetViews>
  <sheetFormatPr defaultColWidth="9" defaultRowHeight="11.25"/>
  <cols>
    <col min="1" max="1" width="6.75" style="493" customWidth="1"/>
    <col min="2" max="2" width="52.625" style="493" customWidth="1"/>
    <col min="3" max="6" width="11.75" style="493" customWidth="1"/>
    <col min="7" max="8" width="9.375" style="493" bestFit="1" customWidth="1"/>
    <col min="9" max="16384" width="9" style="493"/>
  </cols>
  <sheetData>
    <row r="1" spans="1:6" ht="12" thickTop="1">
      <c r="A1" s="3766" t="s">
        <v>54</v>
      </c>
      <c r="B1" s="3767"/>
      <c r="C1" s="3767"/>
      <c r="D1" s="3767"/>
      <c r="E1" s="3767"/>
      <c r="F1" s="3768"/>
    </row>
    <row r="2" spans="1:6">
      <c r="A2" s="3763" t="s">
        <v>56</v>
      </c>
      <c r="B2" s="3764"/>
      <c r="C2" s="3764"/>
      <c r="D2" s="3764"/>
      <c r="E2" s="3764"/>
      <c r="F2" s="3765"/>
    </row>
    <row r="3" spans="1:6">
      <c r="A3" s="3761" t="s">
        <v>709</v>
      </c>
      <c r="B3" s="3737"/>
      <c r="C3" s="3737"/>
      <c r="D3" s="3737"/>
      <c r="E3" s="3737"/>
      <c r="F3" s="3762"/>
    </row>
    <row r="4" spans="1:6" ht="12" customHeight="1" thickBot="1">
      <c r="A4" s="2291"/>
      <c r="B4" s="2292"/>
      <c r="C4" s="2293"/>
      <c r="D4" s="2294"/>
      <c r="E4" s="2294"/>
      <c r="F4" s="2295"/>
    </row>
    <row r="5" spans="1:6">
      <c r="A5" s="2296" t="s">
        <v>685</v>
      </c>
      <c r="B5" s="2297" t="s">
        <v>571</v>
      </c>
      <c r="C5" s="3777" t="str">
        <f>'Sch 1- Rate Base '!$E$5</f>
        <v>PUGET SOUND ENERGY</v>
      </c>
      <c r="D5" s="3778"/>
      <c r="E5" s="2298"/>
      <c r="F5" s="2299" t="s">
        <v>707</v>
      </c>
    </row>
    <row r="6" spans="1:6">
      <c r="A6" s="2296"/>
      <c r="B6" s="2297" t="s">
        <v>572</v>
      </c>
      <c r="C6" s="3779">
        <f>'Sch 1- Rate Base '!$E$6</f>
        <v>2023</v>
      </c>
      <c r="D6" s="3780"/>
      <c r="E6" s="2298"/>
      <c r="F6" s="2300" t="str">
        <f>'Sch 1- Rate Base '!I6</f>
        <v/>
      </c>
    </row>
    <row r="7" spans="1:6" ht="12" thickBot="1">
      <c r="A7" s="2301"/>
      <c r="B7" s="2297" t="s">
        <v>573</v>
      </c>
      <c r="C7" s="3781">
        <f>'Sch 1- Rate Base '!$E$7</f>
        <v>45474</v>
      </c>
      <c r="D7" s="3782"/>
      <c r="E7" s="2298"/>
      <c r="F7" s="2302" t="str">
        <f>'Sch 1- Rate Base '!I7</f>
        <v/>
      </c>
    </row>
    <row r="8" spans="1:6">
      <c r="A8" s="2301"/>
      <c r="B8" s="2297"/>
      <c r="C8" s="2303"/>
      <c r="D8" s="2304"/>
      <c r="E8" s="2139"/>
      <c r="F8" s="2295"/>
    </row>
    <row r="9" spans="1:6">
      <c r="A9" s="2301"/>
      <c r="B9" s="2297"/>
      <c r="C9" s="2139"/>
      <c r="D9" s="2304"/>
      <c r="E9" s="2139"/>
      <c r="F9" s="2295"/>
    </row>
    <row r="10" spans="1:6">
      <c r="A10" s="2301" t="s">
        <v>497</v>
      </c>
      <c r="B10" s="2292"/>
      <c r="C10" s="2293"/>
      <c r="D10" s="2294"/>
      <c r="E10" s="2294"/>
      <c r="F10" s="2295"/>
    </row>
    <row r="11" spans="1:6" ht="17.25" customHeight="1" thickBot="1">
      <c r="A11" s="3774" t="s">
        <v>228</v>
      </c>
      <c r="B11" s="3775"/>
      <c r="C11" s="3775"/>
      <c r="D11" s="3775"/>
      <c r="E11" s="3775"/>
      <c r="F11" s="3776"/>
    </row>
    <row r="12" spans="1:6">
      <c r="A12" s="3771" t="s">
        <v>100</v>
      </c>
      <c r="B12" s="3731"/>
      <c r="C12" s="3734" t="s">
        <v>104</v>
      </c>
      <c r="D12" s="3734" t="s">
        <v>105</v>
      </c>
      <c r="E12" s="3734" t="s">
        <v>106</v>
      </c>
      <c r="F12" s="3769" t="s">
        <v>717</v>
      </c>
    </row>
    <row r="13" spans="1:6" ht="12" thickBot="1">
      <c r="A13" s="3772"/>
      <c r="B13" s="3773"/>
      <c r="C13" s="3757"/>
      <c r="D13" s="3757"/>
      <c r="E13" s="3757"/>
      <c r="F13" s="3770"/>
    </row>
    <row r="14" spans="1:6">
      <c r="A14" s="2305" t="s">
        <v>154</v>
      </c>
      <c r="B14" s="2100"/>
      <c r="C14" s="2182"/>
      <c r="D14" s="2182"/>
      <c r="E14" s="2182"/>
      <c r="F14" s="2289"/>
    </row>
    <row r="15" spans="1:6">
      <c r="A15" s="2306"/>
      <c r="B15" s="2100" t="s">
        <v>155</v>
      </c>
      <c r="C15" s="2307">
        <f>'Sch 3 - Expenses'!G36</f>
        <v>1755510842</v>
      </c>
      <c r="D15" s="2307">
        <f>'Sch 3 - Expenses'!H36</f>
        <v>1755510842</v>
      </c>
      <c r="E15" s="2307">
        <f>'Sch 3 - Expenses'!I36</f>
        <v>0</v>
      </c>
      <c r="F15" s="2308">
        <f>'Sch 3 - Expenses'!J36</f>
        <v>0</v>
      </c>
    </row>
    <row r="16" spans="1:6">
      <c r="A16" s="2306"/>
      <c r="B16" s="2100" t="s">
        <v>498</v>
      </c>
      <c r="C16" s="2307">
        <f>'Sch 3 - Expenses'!G42</f>
        <v>188803479</v>
      </c>
      <c r="D16" s="2307">
        <f>'Sch 3 - Expenses'!H42</f>
        <v>162583424</v>
      </c>
      <c r="E16" s="2307">
        <f>'Sch 3 - Expenses'!I42</f>
        <v>0</v>
      </c>
      <c r="F16" s="2308">
        <f>'Sch 3 - Expenses'!J42</f>
        <v>26220055</v>
      </c>
    </row>
    <row r="17" spans="1:8">
      <c r="A17" s="2306"/>
      <c r="B17" s="2100" t="s">
        <v>519</v>
      </c>
      <c r="C17" s="2307">
        <f>'Sch 3 - Expenses'!G47</f>
        <v>108646732</v>
      </c>
      <c r="D17" s="2307">
        <f>'Sch 3 - Expenses'!H47</f>
        <v>0</v>
      </c>
      <c r="E17" s="2307">
        <f>'Sch 3 - Expenses'!I47</f>
        <v>0</v>
      </c>
      <c r="F17" s="2308">
        <f>'Sch 3 - Expenses'!J47</f>
        <v>108646732</v>
      </c>
    </row>
    <row r="18" spans="1:8">
      <c r="A18" s="2306"/>
      <c r="B18" s="2100" t="s">
        <v>541</v>
      </c>
      <c r="C18" s="2307">
        <f>'Sch 3 - Expenses'!G55</f>
        <v>208270735</v>
      </c>
      <c r="D18" s="2307">
        <f>'Sch 3 - Expenses'!H55</f>
        <v>97941405.329999998</v>
      </c>
      <c r="E18" s="2307">
        <f>'Sch 3 - Expenses'!I55</f>
        <v>0</v>
      </c>
      <c r="F18" s="2308">
        <f>'Sch 3 - Expenses'!J55</f>
        <v>110329330.05</v>
      </c>
    </row>
    <row r="19" spans="1:8">
      <c r="A19" s="2306"/>
      <c r="B19" s="2100" t="s">
        <v>156</v>
      </c>
      <c r="C19" s="2307">
        <f>'Sch 3 - Expenses'!G75</f>
        <v>172081054</v>
      </c>
      <c r="D19" s="2307">
        <f>'Sch 3 - Expenses'!H75</f>
        <v>46585105.523656681</v>
      </c>
      <c r="E19" s="2307">
        <f>'Sch 3 - Expenses'!I75</f>
        <v>0</v>
      </c>
      <c r="F19" s="2308">
        <f>'Sch 3 - Expenses'!J75</f>
        <v>125495948.47513407</v>
      </c>
    </row>
    <row r="20" spans="1:8">
      <c r="A20" s="2306"/>
      <c r="B20" s="2100" t="s">
        <v>182</v>
      </c>
      <c r="C20" s="2309">
        <f>'Sch 3 - Expenses'!G16+'Sch 3 - Expenses'!G20+'Sch 3 - Expenses'!G27+'Sch 3 - Expenses'!G31+'Sch 3 - Expenses'!G34+'Sch 3 - Expenses'!G35+G30</f>
        <v>1567872638</v>
      </c>
      <c r="D20" s="2309">
        <f>'Sch 3 - Expenses'!H16+'Sch 3 - Expenses'!H20+'Sch 3 - Expenses'!H27+'Sch 3 - Expenses'!H31+'Sch 3 - Expenses'!H34+'Sch 3 - Expenses'!H35+H30</f>
        <v>1567872638</v>
      </c>
      <c r="E20" s="2307">
        <f>'Sch 3 - Expenses'!I16+'Sch 3 - Expenses'!I20+'Sch 3 - Expenses'!I27+'Sch 3 - Expenses'!I31+'Sch 3 - Expenses'!I34+'Sch 3 - Expenses'!I35</f>
        <v>0</v>
      </c>
      <c r="F20" s="2308">
        <f>'Sch 3 - Expenses'!J16+'Sch 3 - Expenses'!J20+'Sch 3 - Expenses'!J27+'Sch 3 - Expenses'!J31+'Sch 3 - Expenses'!J34+'Sch 3 - Expenses'!J35</f>
        <v>0</v>
      </c>
    </row>
    <row r="21" spans="1:8">
      <c r="A21" s="2310" t="s">
        <v>158</v>
      </c>
      <c r="B21" s="2100"/>
      <c r="C21" s="2311">
        <f>SUM(C15:C19)-C20</f>
        <v>865440204</v>
      </c>
      <c r="D21" s="2311">
        <f>SUM(D15:D19)-D20</f>
        <v>494748138.85365653</v>
      </c>
      <c r="E21" s="2311">
        <f>SUM(E15:E19)-E20</f>
        <v>0</v>
      </c>
      <c r="F21" s="2312">
        <f>SUM(F15:F19)-F20</f>
        <v>370692065.52513409</v>
      </c>
    </row>
    <row r="22" spans="1:8">
      <c r="A22" s="2310"/>
      <c r="B22" s="2100"/>
      <c r="C22" s="2182"/>
      <c r="D22" s="2182"/>
      <c r="E22" s="2182"/>
      <c r="F22" s="2289"/>
    </row>
    <row r="23" spans="1:8">
      <c r="A23" s="2305" t="s">
        <v>159</v>
      </c>
      <c r="B23" s="2290"/>
      <c r="C23" s="2182"/>
      <c r="D23" s="2182"/>
      <c r="E23" s="2182"/>
      <c r="F23" s="2289"/>
    </row>
    <row r="24" spans="1:8">
      <c r="A24" s="2310" t="s">
        <v>157</v>
      </c>
      <c r="B24" s="2290"/>
      <c r="C24" s="2313">
        <f>C21/8</f>
        <v>108180025.5</v>
      </c>
      <c r="D24" s="2311">
        <f>D21/8</f>
        <v>61843517.356707066</v>
      </c>
      <c r="E24" s="2311">
        <f>E21/8</f>
        <v>0</v>
      </c>
      <c r="F24" s="2312">
        <f>F21/8</f>
        <v>46336508.190641761</v>
      </c>
    </row>
    <row r="25" spans="1:8">
      <c r="A25" s="2314"/>
      <c r="B25" s="2290"/>
      <c r="C25" s="2290"/>
      <c r="D25" s="2290"/>
      <c r="E25" s="2290"/>
      <c r="F25" s="2315"/>
    </row>
    <row r="26" spans="1:8" ht="12" thickBot="1">
      <c r="A26" s="2316"/>
      <c r="B26" s="2317"/>
      <c r="C26" s="2317"/>
      <c r="D26" s="2317"/>
      <c r="E26" s="2317"/>
      <c r="F26" s="2318"/>
    </row>
    <row r="27" spans="1:8" ht="12" thickTop="1"/>
    <row r="30" spans="1:8">
      <c r="B30" s="2319" t="s">
        <v>741</v>
      </c>
      <c r="C30" s="2320"/>
      <c r="D30" s="2320"/>
      <c r="E30" s="2320"/>
      <c r="F30" s="2320"/>
      <c r="G30" s="2321">
        <f>'557 Details'!$C$56</f>
        <v>24948345</v>
      </c>
      <c r="H30" s="2322">
        <f>G30</f>
        <v>24948345</v>
      </c>
    </row>
  </sheetData>
  <mergeCells count="12">
    <mergeCell ref="A3:F3"/>
    <mergeCell ref="A2:F2"/>
    <mergeCell ref="A1:F1"/>
    <mergeCell ref="F12:F13"/>
    <mergeCell ref="A12:B13"/>
    <mergeCell ref="C12:C13"/>
    <mergeCell ref="D12:D13"/>
    <mergeCell ref="E12:E13"/>
    <mergeCell ref="A11:F11"/>
    <mergeCell ref="C5:D5"/>
    <mergeCell ref="C6:D6"/>
    <mergeCell ref="C7:D7"/>
  </mergeCells>
  <phoneticPr fontId="0" type="noConversion"/>
  <hyperlinks>
    <hyperlink ref="A5" location="TOC!A1" display="TOC" xr:uid="{00000000-0004-0000-0300-000000000000}"/>
  </hyperlinks>
  <printOptions horizontalCentered="1" headings="1"/>
  <pageMargins left="0.5" right="0.5" top="1" bottom="0.55000000000000004"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42"/>
  </sheetPr>
  <dimension ref="A1:Q129"/>
  <sheetViews>
    <sheetView zoomScaleNormal="100" workbookViewId="0">
      <pane ySplit="9" topLeftCell="A10" activePane="bottomLeft" state="frozen"/>
      <selection pane="bottomLeft" sqref="A1:XFD1048576"/>
    </sheetView>
  </sheetViews>
  <sheetFormatPr defaultColWidth="9" defaultRowHeight="11.25"/>
  <cols>
    <col min="1" max="1" width="29.625" style="546" customWidth="1"/>
    <col min="2" max="2" width="7.625" style="546" bestFit="1" customWidth="1"/>
    <col min="3" max="3" width="19.125" style="546" bestFit="1" customWidth="1"/>
    <col min="4" max="4" width="14.5" style="546" customWidth="1"/>
    <col min="5" max="5" width="12.375" style="546" bestFit="1" customWidth="1"/>
    <col min="6" max="6" width="11.25" style="546" bestFit="1" customWidth="1"/>
    <col min="7" max="7" width="18.5" style="546" customWidth="1"/>
    <col min="8" max="8" width="16.625" style="546" customWidth="1"/>
    <col min="9" max="9" width="2.75" style="546" customWidth="1"/>
    <col min="10" max="11" width="9.625" style="546" customWidth="1"/>
    <col min="12" max="12" width="10.5" style="546" customWidth="1"/>
    <col min="13" max="16384" width="9" style="546"/>
  </cols>
  <sheetData>
    <row r="1" spans="1:17" ht="20.100000000000001" customHeight="1" thickTop="1">
      <c r="A1" s="3793" t="s">
        <v>54</v>
      </c>
      <c r="B1" s="3794"/>
      <c r="C1" s="3794"/>
      <c r="D1" s="3794"/>
      <c r="E1" s="3794"/>
      <c r="F1" s="3794"/>
      <c r="G1" s="3794"/>
      <c r="H1" s="3795"/>
      <c r="L1" s="2128"/>
      <c r="M1" s="1926"/>
      <c r="N1" s="2323"/>
      <c r="O1" s="2078"/>
      <c r="P1" s="2078"/>
      <c r="Q1" s="2078"/>
    </row>
    <row r="2" spans="1:17" ht="20.100000000000001" customHeight="1">
      <c r="A2" s="3796" t="s">
        <v>56</v>
      </c>
      <c r="B2" s="3740"/>
      <c r="C2" s="3740"/>
      <c r="D2" s="3740"/>
      <c r="E2" s="3740"/>
      <c r="F2" s="3740"/>
      <c r="G2" s="3740"/>
      <c r="H2" s="3797"/>
      <c r="L2" s="2128"/>
      <c r="M2" s="1926"/>
      <c r="N2" s="2323"/>
      <c r="O2" s="2078"/>
      <c r="P2" s="2078"/>
      <c r="Q2" s="2078"/>
    </row>
    <row r="3" spans="1:17" ht="20.100000000000001" customHeight="1">
      <c r="A3" s="3761" t="s">
        <v>709</v>
      </c>
      <c r="B3" s="3737"/>
      <c r="C3" s="3737"/>
      <c r="D3" s="3737"/>
      <c r="E3" s="3737"/>
      <c r="F3" s="3737"/>
      <c r="G3" s="3737"/>
      <c r="H3" s="3762"/>
      <c r="L3" s="2128"/>
      <c r="M3" s="1926"/>
      <c r="N3" s="2323"/>
      <c r="O3" s="2078"/>
      <c r="P3" s="2078"/>
      <c r="Q3" s="2078"/>
    </row>
    <row r="4" spans="1:17" ht="12" customHeight="1" thickBot="1">
      <c r="A4" s="2291"/>
      <c r="B4" s="2589"/>
      <c r="C4" s="2589"/>
      <c r="D4" s="2589"/>
      <c r="E4" s="2589"/>
      <c r="F4" s="2541"/>
      <c r="G4" s="2541"/>
      <c r="H4" s="2590"/>
      <c r="L4" s="2128"/>
      <c r="M4" s="1926"/>
      <c r="N4" s="2323"/>
      <c r="O4" s="2078"/>
      <c r="P4" s="2078"/>
      <c r="Q4" s="2078"/>
    </row>
    <row r="5" spans="1:17" ht="15.75" customHeight="1">
      <c r="A5" s="2296" t="s">
        <v>685</v>
      </c>
      <c r="B5" s="2589"/>
      <c r="C5" s="2297" t="s">
        <v>571</v>
      </c>
      <c r="D5" s="3777" t="str">
        <f>'Sch 1- Rate Base '!$E$5</f>
        <v>PUGET SOUND ENERGY</v>
      </c>
      <c r="E5" s="3778"/>
      <c r="F5" s="3798"/>
      <c r="G5" s="2304"/>
      <c r="H5" s="2299" t="s">
        <v>707</v>
      </c>
      <c r="L5" s="2128"/>
      <c r="M5" s="1926"/>
      <c r="N5" s="2323"/>
      <c r="O5" s="2078"/>
      <c r="P5" s="2078"/>
      <c r="Q5" s="2078"/>
    </row>
    <row r="6" spans="1:17" ht="15.75" customHeight="1">
      <c r="A6" s="2329" t="s">
        <v>686</v>
      </c>
      <c r="B6" s="2589"/>
      <c r="C6" s="2297" t="s">
        <v>572</v>
      </c>
      <c r="D6" s="3779">
        <f>'Sch 1- Rate Base '!$E$6</f>
        <v>2023</v>
      </c>
      <c r="E6" s="3780"/>
      <c r="F6" s="3799"/>
      <c r="G6" s="2304"/>
      <c r="H6" s="2300" t="str">
        <f>'Sch 1- Rate Base '!I6</f>
        <v/>
      </c>
      <c r="L6" s="2128"/>
      <c r="M6" s="1926"/>
      <c r="N6" s="2323"/>
      <c r="O6" s="2078"/>
      <c r="P6" s="2078"/>
      <c r="Q6" s="2078"/>
    </row>
    <row r="7" spans="1:17" ht="15.75" customHeight="1" thickBot="1">
      <c r="A7" s="2291"/>
      <c r="B7" s="2589"/>
      <c r="C7" s="2297" t="s">
        <v>573</v>
      </c>
      <c r="D7" s="3781">
        <f>'Sch 1- Rate Base '!$E$7</f>
        <v>45474</v>
      </c>
      <c r="E7" s="3791"/>
      <c r="F7" s="3792"/>
      <c r="G7" s="2541"/>
      <c r="H7" s="2302" t="str">
        <f>'Sch 1- Rate Base '!I7</f>
        <v/>
      </c>
      <c r="L7" s="2128"/>
      <c r="M7" s="1926"/>
      <c r="N7" s="2323"/>
      <c r="O7" s="2078"/>
      <c r="P7" s="2078"/>
      <c r="Q7" s="2078"/>
    </row>
    <row r="8" spans="1:17" ht="18.75" customHeight="1">
      <c r="A8" s="3783" t="s">
        <v>499</v>
      </c>
      <c r="B8" s="3784"/>
      <c r="C8" s="3784"/>
      <c r="D8" s="3784"/>
      <c r="E8" s="3784"/>
      <c r="F8" s="3784"/>
      <c r="G8" s="3784"/>
      <c r="H8" s="3785"/>
      <c r="L8" s="2128"/>
      <c r="M8" s="1926"/>
      <c r="N8" s="2323"/>
      <c r="O8" s="2078"/>
      <c r="P8" s="2078"/>
      <c r="Q8" s="2078"/>
    </row>
    <row r="9" spans="1:17" ht="13.5" customHeight="1" thickBot="1">
      <c r="A9" s="2330"/>
      <c r="B9" s="2588"/>
      <c r="C9" s="2588"/>
      <c r="D9" s="2588"/>
      <c r="E9" s="2588"/>
      <c r="F9" s="2588"/>
      <c r="G9" s="2588"/>
      <c r="H9" s="2587"/>
      <c r="L9" s="2128"/>
      <c r="M9" s="1926"/>
      <c r="N9" s="2323"/>
      <c r="O9" s="2078"/>
      <c r="P9" s="2078"/>
      <c r="Q9" s="2078"/>
    </row>
    <row r="10" spans="1:17" ht="20.100000000000001" customHeight="1">
      <c r="A10" s="2331"/>
      <c r="B10" s="2584"/>
      <c r="C10" s="2584"/>
      <c r="D10" s="2332" t="s">
        <v>8373</v>
      </c>
      <c r="E10" s="2333"/>
      <c r="F10" s="2334"/>
      <c r="G10" s="2334"/>
      <c r="H10" s="2335"/>
      <c r="L10" s="2128"/>
      <c r="M10" s="1926"/>
      <c r="N10" s="2323"/>
      <c r="O10" s="2078"/>
      <c r="P10" s="2078"/>
      <c r="Q10" s="2078"/>
    </row>
    <row r="11" spans="1:17" ht="15" customHeight="1">
      <c r="A11" s="2586"/>
      <c r="B11" s="2584"/>
      <c r="C11" s="2584"/>
      <c r="D11" s="2336" t="s">
        <v>200</v>
      </c>
      <c r="E11" s="2337">
        <f>E35</f>
        <v>8.3803797468354424E-2</v>
      </c>
      <c r="F11" s="2334"/>
      <c r="G11" s="2334"/>
      <c r="H11" s="2335"/>
      <c r="L11" s="2128"/>
      <c r="M11" s="1926"/>
      <c r="N11" s="2323"/>
      <c r="O11" s="2078"/>
      <c r="P11" s="2078"/>
      <c r="Q11" s="2078"/>
    </row>
    <row r="12" spans="1:17" ht="15" customHeight="1">
      <c r="A12" s="2338"/>
      <c r="B12" s="2584"/>
      <c r="C12" s="2584"/>
      <c r="D12" s="2579" t="s">
        <v>550</v>
      </c>
      <c r="E12" s="2339">
        <f>E90</f>
        <v>0</v>
      </c>
      <c r="H12" s="2585"/>
      <c r="L12" s="2128"/>
      <c r="M12" s="1926"/>
      <c r="N12" s="2323"/>
      <c r="O12" s="2078"/>
      <c r="P12" s="2078"/>
      <c r="Q12" s="2078"/>
    </row>
    <row r="13" spans="1:17" ht="15" customHeight="1" thickBot="1">
      <c r="A13" s="2338"/>
      <c r="B13" s="2580"/>
      <c r="C13" s="2584"/>
      <c r="D13" s="2579" t="s">
        <v>225</v>
      </c>
      <c r="E13" s="2583">
        <f>E118</f>
        <v>0</v>
      </c>
      <c r="F13" s="2582"/>
      <c r="G13" s="2582"/>
      <c r="H13" s="2581"/>
      <c r="L13" s="2128"/>
      <c r="M13" s="1926"/>
      <c r="N13" s="2323"/>
      <c r="O13" s="2078"/>
      <c r="P13" s="2078"/>
      <c r="Q13" s="2078"/>
    </row>
    <row r="14" spans="1:17" ht="15" customHeight="1" thickBot="1">
      <c r="A14" s="2338"/>
      <c r="B14" s="2580"/>
      <c r="C14" s="2580"/>
      <c r="D14" s="2579" t="s">
        <v>202</v>
      </c>
      <c r="E14" s="2342">
        <f>SUM(E11:E13)</f>
        <v>8.3803797468354424E-2</v>
      </c>
      <c r="F14" s="2343"/>
      <c r="G14" s="2343"/>
      <c r="H14" s="2344"/>
      <c r="L14" s="2128"/>
      <c r="M14" s="1926"/>
      <c r="N14" s="2323"/>
      <c r="O14" s="2078"/>
      <c r="P14" s="2078"/>
      <c r="Q14" s="2078"/>
    </row>
    <row r="15" spans="1:17" ht="12" customHeight="1" thickBot="1">
      <c r="A15" s="2345"/>
      <c r="B15" s="2541"/>
      <c r="C15" s="2541"/>
      <c r="D15" s="2541"/>
      <c r="E15" s="2541"/>
      <c r="F15" s="2541"/>
      <c r="G15" s="2110"/>
      <c r="H15" s="2523"/>
      <c r="L15" s="2128"/>
      <c r="M15" s="1926"/>
      <c r="N15" s="2323"/>
      <c r="O15" s="2078"/>
      <c r="P15" s="2078"/>
      <c r="Q15" s="2078"/>
    </row>
    <row r="16" spans="1:17" ht="24.95" customHeight="1" thickBot="1">
      <c r="A16" s="2540" t="s">
        <v>355</v>
      </c>
      <c r="B16" s="2539"/>
      <c r="C16" s="2346"/>
      <c r="D16" s="2347"/>
      <c r="E16" s="2348"/>
      <c r="F16" s="2100" t="s">
        <v>97</v>
      </c>
      <c r="G16" s="2100"/>
      <c r="H16" s="2324"/>
      <c r="I16" s="2349"/>
      <c r="J16" s="2349"/>
      <c r="K16" s="2350"/>
      <c r="L16" s="2128"/>
      <c r="M16" s="1926"/>
      <c r="N16" s="2323"/>
      <c r="O16" s="2078"/>
      <c r="P16" s="2078"/>
      <c r="Q16" s="2078"/>
    </row>
    <row r="17" spans="1:17" ht="12" customHeight="1">
      <c r="A17" s="2530"/>
      <c r="B17" s="2529"/>
      <c r="C17" s="2352"/>
      <c r="D17" s="2325"/>
      <c r="E17" s="2325"/>
      <c r="F17" s="2325"/>
      <c r="G17" s="2325"/>
      <c r="H17" s="2326"/>
      <c r="I17" s="2349"/>
      <c r="J17" s="2349"/>
      <c r="K17" s="2350"/>
      <c r="L17" s="2128"/>
      <c r="M17" s="1926"/>
      <c r="N17" s="2323"/>
      <c r="O17" s="2078"/>
      <c r="P17" s="2078"/>
      <c r="Q17" s="2078"/>
    </row>
    <row r="18" spans="1:17" ht="15" customHeight="1">
      <c r="A18" s="2530" t="s">
        <v>322</v>
      </c>
      <c r="B18" s="2529"/>
      <c r="C18" s="2352"/>
      <c r="D18" s="2325"/>
      <c r="E18" s="2325"/>
      <c r="F18" s="2325"/>
      <c r="G18" s="2325"/>
      <c r="H18" s="2326"/>
      <c r="I18" s="2349"/>
      <c r="J18" s="2349"/>
      <c r="K18" s="2350"/>
      <c r="L18" s="2128"/>
      <c r="M18" s="1926"/>
      <c r="N18" s="2323"/>
      <c r="O18" s="2078"/>
      <c r="P18" s="2078"/>
      <c r="Q18" s="2078"/>
    </row>
    <row r="19" spans="1:17" ht="15" customHeight="1">
      <c r="A19" s="2525" t="s">
        <v>374</v>
      </c>
      <c r="B19" s="2529"/>
      <c r="C19" s="2352"/>
      <c r="D19" s="2325"/>
      <c r="E19" s="2325"/>
      <c r="F19" s="2325"/>
      <c r="G19" s="2325"/>
      <c r="H19" s="2326"/>
      <c r="I19" s="2349"/>
      <c r="J19" s="2349"/>
      <c r="K19" s="2350"/>
      <c r="L19" s="2128"/>
      <c r="M19" s="1926"/>
      <c r="N19" s="2323"/>
      <c r="O19" s="2078"/>
      <c r="P19" s="2078"/>
      <c r="Q19" s="2078"/>
    </row>
    <row r="20" spans="1:17" ht="15" customHeight="1">
      <c r="A20" s="2525" t="s">
        <v>375</v>
      </c>
      <c r="B20" s="2529"/>
      <c r="C20" s="2352"/>
      <c r="D20" s="2325"/>
      <c r="E20" s="2325"/>
      <c r="F20" s="2325"/>
      <c r="G20" s="2325"/>
      <c r="H20" s="2326"/>
      <c r="I20" s="2349"/>
      <c r="J20" s="2349"/>
      <c r="K20" s="2350"/>
      <c r="L20" s="2128"/>
      <c r="M20" s="1926"/>
      <c r="N20" s="2323"/>
      <c r="O20" s="2078"/>
      <c r="P20" s="2078"/>
      <c r="Q20" s="2078"/>
    </row>
    <row r="21" spans="1:17" ht="15" customHeight="1" thickBot="1">
      <c r="A21" s="2530"/>
      <c r="B21" s="2529"/>
      <c r="C21" s="2352"/>
      <c r="D21" s="2110"/>
      <c r="E21" s="2110"/>
      <c r="F21" s="2325"/>
      <c r="G21" s="2325"/>
      <c r="H21" s="2326"/>
      <c r="I21" s="2349"/>
      <c r="J21" s="2349"/>
      <c r="K21" s="2350"/>
      <c r="L21" s="2128"/>
      <c r="M21" s="1926"/>
      <c r="N21" s="2323"/>
      <c r="O21" s="2078"/>
      <c r="P21" s="2078"/>
      <c r="Q21" s="2078"/>
    </row>
    <row r="22" spans="1:17" ht="15" customHeight="1">
      <c r="A22" s="2538"/>
      <c r="B22" s="3790" t="s">
        <v>538</v>
      </c>
      <c r="C22" s="3790"/>
      <c r="D22" s="3788" t="s">
        <v>537</v>
      </c>
      <c r="E22" s="3789"/>
      <c r="F22" s="2353"/>
      <c r="G22" s="2110"/>
      <c r="H22" s="2523"/>
      <c r="P22" s="2078"/>
      <c r="Q22" s="2078"/>
    </row>
    <row r="23" spans="1:17" ht="15.75" customHeight="1" thickBot="1">
      <c r="A23" s="2575" t="s">
        <v>53</v>
      </c>
      <c r="B23" s="2536" t="s">
        <v>440</v>
      </c>
      <c r="C23" s="2536" t="s">
        <v>539</v>
      </c>
      <c r="D23" s="2354" t="s">
        <v>536</v>
      </c>
      <c r="E23" s="2355" t="s">
        <v>57</v>
      </c>
      <c r="F23" s="2356"/>
      <c r="G23" s="2110"/>
      <c r="H23" s="2523"/>
      <c r="P23" s="2078"/>
      <c r="Q23" s="2078"/>
    </row>
    <row r="24" spans="1:17" ht="15.75" customHeight="1">
      <c r="A24" s="2535" t="s">
        <v>58</v>
      </c>
      <c r="B24" s="2357">
        <f>'2022 GRC Compliance COC+ConvF'!C10</f>
        <v>0.51</v>
      </c>
      <c r="C24" s="2358">
        <f>IF($B$27=0,0,B24/$B$27)</f>
        <v>0.51</v>
      </c>
      <c r="D24" s="2359">
        <f>'2022 GRC Compliance COC+ConvF'!D10</f>
        <v>0.05</v>
      </c>
      <c r="E24" s="2360">
        <f>ROUNDUP(D24*C24,5)</f>
        <v>2.5499999999999998E-2</v>
      </c>
      <c r="F24" s="2356"/>
      <c r="G24" s="2578"/>
      <c r="H24" s="2523"/>
      <c r="P24" s="2078"/>
      <c r="Q24" s="2078"/>
    </row>
    <row r="25" spans="1:17" ht="15.75" customHeight="1">
      <c r="A25" s="2534" t="s">
        <v>59</v>
      </c>
      <c r="B25" s="2357">
        <v>0</v>
      </c>
      <c r="C25" s="2361">
        <f>IF($B$27=0,0,B25/$B$27)</f>
        <v>0</v>
      </c>
      <c r="D25" s="2357"/>
      <c r="E25" s="2362">
        <f>ROUNDUP(D25*C25,5)</f>
        <v>0</v>
      </c>
      <c r="F25" s="2363"/>
      <c r="G25" s="2578"/>
      <c r="H25" s="2523"/>
      <c r="P25" s="2078"/>
      <c r="Q25" s="2078"/>
    </row>
    <row r="26" spans="1:17" ht="15.75" customHeight="1">
      <c r="A26" s="2534" t="s">
        <v>60</v>
      </c>
      <c r="B26" s="2357">
        <f>'2022 GRC Compliance COC+ConvF'!C11</f>
        <v>0.49</v>
      </c>
      <c r="C26" s="2361">
        <f>IF($B$27=0,0,B26/$B$27)</f>
        <v>0.49</v>
      </c>
      <c r="D26" s="2357">
        <f>'2022 GRC Compliance COC+ConvF'!D11</f>
        <v>9.4E-2</v>
      </c>
      <c r="E26" s="2362">
        <f>ROUNDUP(D26*C26,5)</f>
        <v>4.6059999999999997E-2</v>
      </c>
      <c r="F26" s="2363"/>
      <c r="G26" s="2578"/>
      <c r="H26" s="2523"/>
      <c r="P26" s="2078"/>
      <c r="Q26" s="2078"/>
    </row>
    <row r="27" spans="1:17" ht="15.75" customHeight="1" thickBot="1">
      <c r="A27" s="2533" t="s">
        <v>275</v>
      </c>
      <c r="B27" s="2519">
        <f>SUM(B24:B26)</f>
        <v>1</v>
      </c>
      <c r="C27" s="2519">
        <f>IF($B$27=0,0,B27/$B$27)</f>
        <v>1</v>
      </c>
      <c r="D27" s="2532"/>
      <c r="E27" s="2364">
        <f>SUM(E24:E26)</f>
        <v>7.1559999999999999E-2</v>
      </c>
      <c r="F27" s="2356"/>
      <c r="G27" s="2578"/>
      <c r="H27" s="2523"/>
      <c r="P27" s="2078"/>
      <c r="Q27" s="2078"/>
    </row>
    <row r="28" spans="1:17" ht="12" customHeight="1">
      <c r="A28" s="2524"/>
      <c r="B28" s="2110"/>
      <c r="C28" s="2110"/>
      <c r="D28" s="2365"/>
      <c r="E28" s="2353"/>
      <c r="F28" s="2356"/>
      <c r="G28" s="2531"/>
      <c r="H28" s="2523"/>
      <c r="P28" s="2078"/>
      <c r="Q28" s="2078"/>
    </row>
    <row r="29" spans="1:17" ht="15" customHeight="1">
      <c r="A29" s="2530" t="s">
        <v>61</v>
      </c>
      <c r="B29" s="2529"/>
      <c r="C29" s="2110"/>
      <c r="D29" s="2365"/>
      <c r="E29" s="2353"/>
      <c r="F29" s="2356"/>
      <c r="G29" s="2110"/>
      <c r="H29" s="2523"/>
      <c r="P29" s="2078"/>
      <c r="Q29" s="2078"/>
    </row>
    <row r="30" spans="1:17" ht="12" customHeight="1">
      <c r="A30" s="2524"/>
      <c r="B30" s="2110"/>
      <c r="C30" s="2110"/>
      <c r="D30" s="2365"/>
      <c r="E30" s="2353"/>
      <c r="F30" s="2356"/>
      <c r="G30" s="2110"/>
      <c r="H30" s="2523"/>
      <c r="P30" s="2078"/>
      <c r="Q30" s="2078"/>
    </row>
    <row r="31" spans="1:17" ht="15.75" customHeight="1" thickBot="1">
      <c r="A31" s="2530" t="s">
        <v>811</v>
      </c>
      <c r="B31" s="2110"/>
      <c r="C31" s="2110"/>
      <c r="D31" s="2366">
        <v>0.21</v>
      </c>
      <c r="E31" s="2110"/>
      <c r="F31" s="2353"/>
      <c r="G31" s="2367"/>
      <c r="H31" s="2523"/>
      <c r="P31" s="2078"/>
      <c r="Q31" s="2078"/>
    </row>
    <row r="32" spans="1:17" ht="15.75" customHeight="1" thickBot="1">
      <c r="A32" s="2530" t="s">
        <v>268</v>
      </c>
      <c r="B32" s="2110"/>
      <c r="C32" s="2110"/>
      <c r="D32" s="2110"/>
      <c r="E32" s="2368">
        <f>(E27-(E24))*(D31/(1-D31))</f>
        <v>1.2243797468354431E-2</v>
      </c>
      <c r="F32" s="2577"/>
      <c r="G32" s="2110"/>
      <c r="H32" s="2523"/>
      <c r="P32" s="2078"/>
      <c r="Q32" s="2078"/>
    </row>
    <row r="33" spans="1:17" ht="15.75" customHeight="1">
      <c r="A33" s="3786" t="s">
        <v>540</v>
      </c>
      <c r="B33" s="3787"/>
      <c r="C33" s="3787"/>
      <c r="D33" s="3787"/>
      <c r="E33" s="3787"/>
      <c r="F33" s="2369"/>
      <c r="G33" s="2110"/>
      <c r="H33" s="2523"/>
      <c r="P33" s="2078"/>
      <c r="Q33" s="2078"/>
    </row>
    <row r="34" spans="1:17" ht="12" customHeight="1" thickBot="1">
      <c r="A34" s="2551"/>
      <c r="B34" s="2549"/>
      <c r="C34" s="2110"/>
      <c r="D34" s="2365"/>
      <c r="E34" s="2353"/>
      <c r="F34" s="2369"/>
      <c r="G34" s="2110"/>
      <c r="H34" s="2523"/>
      <c r="P34" s="2078"/>
      <c r="Q34" s="2078"/>
    </row>
    <row r="35" spans="1:17" ht="15.75" customHeight="1" thickBot="1">
      <c r="A35" s="2530" t="s">
        <v>63</v>
      </c>
      <c r="B35" s="2549"/>
      <c r="C35" s="2110"/>
      <c r="D35" s="2365"/>
      <c r="E35" s="2368">
        <f>E27+E32</f>
        <v>8.3803797468354424E-2</v>
      </c>
      <c r="F35" s="2369"/>
      <c r="G35" s="2110"/>
      <c r="H35" s="2523"/>
      <c r="P35" s="2078"/>
      <c r="Q35" s="2078"/>
    </row>
    <row r="36" spans="1:17" ht="15.75" customHeight="1">
      <c r="A36" s="2525" t="s">
        <v>494</v>
      </c>
      <c r="B36" s="2549"/>
      <c r="C36" s="2110"/>
      <c r="D36" s="2365"/>
      <c r="E36" s="2353"/>
      <c r="F36" s="2369"/>
      <c r="G36" s="2110"/>
      <c r="H36" s="2523"/>
      <c r="P36" s="2078"/>
      <c r="Q36" s="2078"/>
    </row>
    <row r="37" spans="1:17" ht="12" customHeight="1">
      <c r="A37" s="2524"/>
      <c r="B37" s="2110"/>
      <c r="C37" s="2184"/>
      <c r="D37" s="2097"/>
      <c r="E37" s="2116"/>
      <c r="F37" s="2098"/>
      <c r="G37" s="2116"/>
      <c r="H37" s="2327"/>
      <c r="I37" s="2181"/>
      <c r="J37" s="2181"/>
      <c r="K37" s="2181"/>
      <c r="L37" s="2089"/>
      <c r="M37" s="2089"/>
      <c r="N37" s="2108"/>
      <c r="O37" s="2078"/>
      <c r="P37" s="2078"/>
      <c r="Q37" s="2078"/>
    </row>
    <row r="38" spans="1:17" ht="15.75" customHeight="1" thickBot="1">
      <c r="A38" s="2530" t="s">
        <v>495</v>
      </c>
      <c r="B38" s="2529"/>
      <c r="C38" s="2110"/>
      <c r="D38" s="2365"/>
      <c r="E38" s="2370"/>
      <c r="F38" s="2370"/>
      <c r="G38" s="2370"/>
      <c r="H38" s="2371"/>
    </row>
    <row r="39" spans="1:17" ht="15.75" customHeight="1">
      <c r="A39" s="2530"/>
      <c r="B39" s="2529"/>
      <c r="C39" s="2110"/>
      <c r="D39" s="2365"/>
      <c r="E39" s="2372" t="s">
        <v>104</v>
      </c>
      <c r="F39" s="2373" t="s">
        <v>105</v>
      </c>
      <c r="G39" s="2373" t="s">
        <v>106</v>
      </c>
      <c r="H39" s="2374" t="s">
        <v>107</v>
      </c>
    </row>
    <row r="40" spans="1:17" ht="15.75" customHeight="1">
      <c r="A40" s="2524" t="s">
        <v>62</v>
      </c>
      <c r="B40" s="2110"/>
      <c r="C40" s="2110"/>
      <c r="D40" s="2110"/>
      <c r="E40" s="2375">
        <f>'Sch 1- Rate Base '!G161</f>
        <v>7602520405.9922667</v>
      </c>
      <c r="F40" s="2376">
        <f>'Sch 1- Rate Base '!H161</f>
        <v>2217167777.4065552</v>
      </c>
      <c r="G40" s="2376">
        <f>'Sch 1- Rate Base '!I161</f>
        <v>0</v>
      </c>
      <c r="H40" s="2377">
        <f>'Sch 1- Rate Base '!J161</f>
        <v>5385352626.9445868</v>
      </c>
    </row>
    <row r="41" spans="1:17" ht="15.75" customHeight="1">
      <c r="A41" s="2524" t="s">
        <v>63</v>
      </c>
      <c r="B41" s="2110"/>
      <c r="C41" s="2110"/>
      <c r="D41" s="2110"/>
      <c r="E41" s="2545">
        <f>$E$35</f>
        <v>8.3803797468354424E-2</v>
      </c>
      <c r="F41" s="2544">
        <f>$E$35</f>
        <v>8.3803797468354424E-2</v>
      </c>
      <c r="G41" s="2544">
        <f>$E$35</f>
        <v>8.3803797468354424E-2</v>
      </c>
      <c r="H41" s="2543">
        <f>$E$35</f>
        <v>8.3803797468354424E-2</v>
      </c>
    </row>
    <row r="42" spans="1:17" ht="15.75" customHeight="1" thickBot="1">
      <c r="A42" s="2530" t="s">
        <v>141</v>
      </c>
      <c r="B42" s="2529"/>
      <c r="C42" s="2529"/>
      <c r="D42" s="2529"/>
      <c r="E42" s="2528">
        <f>E41*E40</f>
        <v>637120080.35280752</v>
      </c>
      <c r="F42" s="2527">
        <f>F41*F40</f>
        <v>185807079.37114048</v>
      </c>
      <c r="G42" s="2527">
        <f>G41*G40</f>
        <v>0</v>
      </c>
      <c r="H42" s="2526">
        <f>H41*H40</f>
        <v>451313000.84413463</v>
      </c>
    </row>
    <row r="43" spans="1:17" ht="15" customHeight="1">
      <c r="A43" s="2525" t="s">
        <v>34</v>
      </c>
      <c r="B43" s="2110"/>
      <c r="C43" s="2110"/>
      <c r="D43" s="2110"/>
      <c r="E43" s="2110"/>
      <c r="F43" s="2110"/>
      <c r="G43" s="2110"/>
      <c r="H43" s="2523"/>
    </row>
    <row r="44" spans="1:17" ht="6" customHeight="1">
      <c r="A44" s="2524"/>
      <c r="B44" s="2110"/>
      <c r="C44" s="2110"/>
      <c r="D44" s="2110"/>
      <c r="E44" s="2110"/>
      <c r="F44" s="2110"/>
      <c r="G44" s="2110"/>
      <c r="H44" s="2523"/>
    </row>
    <row r="45" spans="1:17" ht="6" customHeight="1" thickBot="1">
      <c r="A45" s="2522"/>
      <c r="B45" s="2521"/>
      <c r="C45" s="2521"/>
      <c r="D45" s="2521"/>
      <c r="E45" s="2521"/>
      <c r="F45" s="2521"/>
      <c r="G45" s="2521"/>
      <c r="H45" s="2520"/>
    </row>
    <row r="46" spans="1:17" ht="12.75" thickTop="1" thickBot="1">
      <c r="A46" s="2345"/>
      <c r="B46" s="2541"/>
      <c r="C46" s="2541"/>
      <c r="D46" s="2541"/>
      <c r="E46" s="2541"/>
      <c r="F46" s="2541"/>
      <c r="G46" s="2110"/>
      <c r="H46" s="2523"/>
    </row>
    <row r="47" spans="1:17" ht="24.95" customHeight="1" thickBot="1">
      <c r="A47" s="2540" t="s">
        <v>354</v>
      </c>
      <c r="B47" s="2539"/>
      <c r="C47" s="2346"/>
      <c r="D47" s="2347"/>
      <c r="E47" s="2348"/>
      <c r="F47" s="2100" t="s">
        <v>97</v>
      </c>
      <c r="G47" s="2100"/>
      <c r="H47" s="2324"/>
    </row>
    <row r="48" spans="1:17">
      <c r="A48" s="2530" t="s">
        <v>356</v>
      </c>
      <c r="B48" s="2529"/>
      <c r="C48" s="2352"/>
      <c r="D48" s="2325"/>
      <c r="E48" s="2325"/>
      <c r="F48" s="2325"/>
      <c r="G48" s="2325"/>
      <c r="H48" s="2326"/>
      <c r="I48" s="565"/>
    </row>
    <row r="49" spans="1:9">
      <c r="A49" s="2530" t="s">
        <v>357</v>
      </c>
      <c r="B49" s="2529"/>
      <c r="C49" s="2352"/>
      <c r="D49" s="2325"/>
      <c r="E49" s="2325"/>
      <c r="F49" s="2325"/>
      <c r="G49" s="2325"/>
      <c r="H49" s="2326"/>
      <c r="I49" s="565"/>
    </row>
    <row r="50" spans="1:9" ht="12" thickBot="1">
      <c r="A50" s="2530"/>
      <c r="B50" s="2529"/>
      <c r="C50" s="2352"/>
      <c r="D50" s="2110"/>
      <c r="E50" s="2110"/>
      <c r="F50" s="2378"/>
      <c r="G50" s="2325"/>
      <c r="H50" s="2326"/>
    </row>
    <row r="51" spans="1:9">
      <c r="A51" s="2538"/>
      <c r="B51" s="3790" t="s">
        <v>538</v>
      </c>
      <c r="C51" s="3790"/>
      <c r="D51" s="3788" t="s">
        <v>537</v>
      </c>
      <c r="E51" s="3789"/>
      <c r="F51" s="2379" t="s">
        <v>549</v>
      </c>
      <c r="G51" s="2380" t="s">
        <v>365</v>
      </c>
      <c r="H51" s="2576"/>
    </row>
    <row r="52" spans="1:9" ht="12" thickBot="1">
      <c r="A52" s="2575" t="s">
        <v>53</v>
      </c>
      <c r="B52" s="2536" t="s">
        <v>440</v>
      </c>
      <c r="C52" s="2536" t="s">
        <v>539</v>
      </c>
      <c r="D52" s="2354" t="s">
        <v>536</v>
      </c>
      <c r="E52" s="2355" t="s">
        <v>57</v>
      </c>
      <c r="F52" s="2381" t="s">
        <v>366</v>
      </c>
      <c r="G52" s="2574" t="s">
        <v>367</v>
      </c>
      <c r="H52" s="2573"/>
    </row>
    <row r="53" spans="1:9" ht="12" thickBot="1">
      <c r="A53" s="2572" t="s">
        <v>58</v>
      </c>
      <c r="B53" s="2382"/>
      <c r="C53" s="2383">
        <f>IF($B$56=0,0,B53/$B$56)</f>
        <v>0</v>
      </c>
      <c r="D53" s="2384"/>
      <c r="E53" s="2385">
        <f>ROUNDUP(D53*C53,5)</f>
        <v>0</v>
      </c>
      <c r="F53" s="2386" t="str">
        <f>IF(B75=0,"0",B75/$B$78)</f>
        <v>0</v>
      </c>
      <c r="G53" s="2387">
        <f>E53*$F$53</f>
        <v>0</v>
      </c>
      <c r="H53" s="2388">
        <f>C53*$F$53</f>
        <v>0</v>
      </c>
    </row>
    <row r="54" spans="1:9">
      <c r="A54" s="2571" t="s">
        <v>59</v>
      </c>
      <c r="B54" s="2389"/>
      <c r="C54" s="2358">
        <f>IF($B$56=0,0,B54/$B$56)</f>
        <v>0</v>
      </c>
      <c r="D54" s="2357"/>
      <c r="E54" s="2362">
        <f>ROUNDUP(D54*C54,5)</f>
        <v>0</v>
      </c>
      <c r="F54" s="2560"/>
      <c r="G54" s="2390">
        <f>E54*$F$53</f>
        <v>0</v>
      </c>
      <c r="H54" s="2391">
        <f>C54*$F$53</f>
        <v>0</v>
      </c>
    </row>
    <row r="55" spans="1:9">
      <c r="A55" s="2571" t="s">
        <v>60</v>
      </c>
      <c r="B55" s="2389"/>
      <c r="C55" s="2358">
        <f>IF($B$56=0,0,B55/$B$56)</f>
        <v>0</v>
      </c>
      <c r="D55" s="2357"/>
      <c r="E55" s="2362">
        <f>ROUNDUP(D55*C55,5)</f>
        <v>0</v>
      </c>
      <c r="F55" s="2560"/>
      <c r="G55" s="2390">
        <f>E55*$F$53</f>
        <v>0</v>
      </c>
      <c r="H55" s="2391">
        <f>C55*$F$53</f>
        <v>0</v>
      </c>
    </row>
    <row r="56" spans="1:9" ht="12" thickBot="1">
      <c r="A56" s="2570" t="s">
        <v>275</v>
      </c>
      <c r="B56" s="2392">
        <f>SUM(B53:B55)</f>
        <v>0</v>
      </c>
      <c r="C56" s="2568">
        <f>SUM(C53:C55)</f>
        <v>0</v>
      </c>
      <c r="D56" s="2532"/>
      <c r="E56" s="2393">
        <f>SUM(E53:E55)</f>
        <v>0</v>
      </c>
      <c r="F56" s="2394"/>
      <c r="G56" s="2395">
        <f>SUM(G53:G55)</f>
        <v>0</v>
      </c>
      <c r="H56" s="2396">
        <f>SUM(H53:H55)</f>
        <v>0</v>
      </c>
    </row>
    <row r="57" spans="1:9">
      <c r="A57" s="2524"/>
      <c r="B57" s="2110"/>
      <c r="C57" s="2110"/>
      <c r="D57" s="2365"/>
      <c r="E57" s="2353"/>
      <c r="F57" s="2397"/>
      <c r="G57" s="2560"/>
      <c r="H57" s="2565"/>
    </row>
    <row r="58" spans="1:9">
      <c r="A58" s="2530" t="s">
        <v>358</v>
      </c>
      <c r="B58" s="2529"/>
      <c r="C58" s="2352"/>
      <c r="D58" s="2325"/>
      <c r="E58" s="2325"/>
      <c r="F58" s="2397"/>
      <c r="G58" s="2560"/>
      <c r="H58" s="2565"/>
    </row>
    <row r="59" spans="1:9" ht="12" thickBot="1">
      <c r="A59" s="2530"/>
      <c r="B59" s="2529"/>
      <c r="C59" s="2352"/>
      <c r="D59" s="2110"/>
      <c r="E59" s="2110"/>
      <c r="F59" s="2397"/>
      <c r="G59" s="2560"/>
      <c r="H59" s="2565"/>
    </row>
    <row r="60" spans="1:9" ht="12" thickBot="1">
      <c r="A60" s="2569" t="s">
        <v>53</v>
      </c>
      <c r="B60" s="2566" t="s">
        <v>440</v>
      </c>
      <c r="C60" s="2566" t="s">
        <v>539</v>
      </c>
      <c r="D60" s="2398" t="s">
        <v>536</v>
      </c>
      <c r="E60" s="2399" t="s">
        <v>57</v>
      </c>
      <c r="F60" s="2397"/>
      <c r="G60" s="2560"/>
      <c r="H60" s="2565"/>
    </row>
    <row r="61" spans="1:9" ht="12" thickBot="1">
      <c r="A61" s="2535" t="s">
        <v>58</v>
      </c>
      <c r="B61" s="2400"/>
      <c r="C61" s="2358">
        <f>IF($B$64=0,0,B61/$B$64)</f>
        <v>0</v>
      </c>
      <c r="D61" s="2359"/>
      <c r="E61" s="2385">
        <f>ROUNDUP(D61*C61,5)</f>
        <v>0</v>
      </c>
      <c r="F61" s="2386" t="str">
        <f>IF(B76=0,"0",B76/$B$78)</f>
        <v>0</v>
      </c>
      <c r="G61" s="2387">
        <f>E61*$F$61</f>
        <v>0</v>
      </c>
      <c r="H61" s="2388">
        <f>C61*$F$61</f>
        <v>0</v>
      </c>
    </row>
    <row r="62" spans="1:9">
      <c r="A62" s="2534" t="s">
        <v>59</v>
      </c>
      <c r="B62" s="2401"/>
      <c r="C62" s="2361">
        <f>IF($B$64=0,0,B62/$B$64)</f>
        <v>0</v>
      </c>
      <c r="D62" s="2357"/>
      <c r="E62" s="2362">
        <f>ROUNDUP(D62*C62,5)</f>
        <v>0</v>
      </c>
      <c r="F62" s="2560"/>
      <c r="G62" s="2390">
        <f>E62*$F$61</f>
        <v>0</v>
      </c>
      <c r="H62" s="2391">
        <f>C62*$F$61</f>
        <v>0</v>
      </c>
    </row>
    <row r="63" spans="1:9">
      <c r="A63" s="2534" t="s">
        <v>60</v>
      </c>
      <c r="B63" s="2401"/>
      <c r="C63" s="2358">
        <f>IF($B$64=0,0,B63/$B$64)</f>
        <v>0</v>
      </c>
      <c r="D63" s="2357"/>
      <c r="E63" s="2362">
        <f>ROUNDUP(D63*C63,5)</f>
        <v>0</v>
      </c>
      <c r="F63" s="2560"/>
      <c r="G63" s="2390">
        <f>E63*$F$61</f>
        <v>0</v>
      </c>
      <c r="H63" s="2391">
        <f>C63*$F$61</f>
        <v>0</v>
      </c>
    </row>
    <row r="64" spans="1:9" ht="12" thickBot="1">
      <c r="A64" s="2533" t="s">
        <v>275</v>
      </c>
      <c r="B64" s="2392">
        <f>SUM(B61:B63)</f>
        <v>0</v>
      </c>
      <c r="C64" s="2568">
        <f>SUM(C61:C63)</f>
        <v>0</v>
      </c>
      <c r="D64" s="2532"/>
      <c r="E64" s="2364">
        <f>SUM(E61:E63)</f>
        <v>0</v>
      </c>
      <c r="F64" s="2394"/>
      <c r="G64" s="2395">
        <f>SUM(G61:G63)</f>
        <v>0</v>
      </c>
      <c r="H64" s="2396">
        <f>SUM(H61:H63)</f>
        <v>0</v>
      </c>
    </row>
    <row r="65" spans="1:8">
      <c r="A65" s="2524"/>
      <c r="B65" s="2110"/>
      <c r="C65" s="2110"/>
      <c r="D65" s="2365"/>
      <c r="E65" s="2353"/>
      <c r="F65" s="2397"/>
      <c r="G65" s="2560"/>
      <c r="H65" s="2565"/>
    </row>
    <row r="66" spans="1:8">
      <c r="A66" s="2530" t="s">
        <v>359</v>
      </c>
      <c r="B66" s="2529"/>
      <c r="C66" s="2352"/>
      <c r="D66" s="2325"/>
      <c r="E66" s="2325"/>
      <c r="F66" s="2397"/>
      <c r="G66" s="2560"/>
      <c r="H66" s="2565"/>
    </row>
    <row r="67" spans="1:8" ht="12" thickBot="1">
      <c r="A67" s="2530"/>
      <c r="B67" s="2529"/>
      <c r="C67" s="2352"/>
      <c r="D67" s="2110"/>
      <c r="E67" s="2110"/>
      <c r="F67" s="2397"/>
      <c r="G67" s="2560"/>
      <c r="H67" s="2565"/>
    </row>
    <row r="68" spans="1:8" ht="12" thickBot="1">
      <c r="A68" s="2569" t="s">
        <v>53</v>
      </c>
      <c r="B68" s="2566" t="s">
        <v>440</v>
      </c>
      <c r="C68" s="2566" t="s">
        <v>539</v>
      </c>
      <c r="D68" s="2398" t="s">
        <v>536</v>
      </c>
      <c r="E68" s="2399" t="s">
        <v>57</v>
      </c>
      <c r="F68" s="2397"/>
      <c r="G68" s="2560"/>
      <c r="H68" s="2565"/>
    </row>
    <row r="69" spans="1:8" ht="12" thickBot="1">
      <c r="A69" s="2535" t="s">
        <v>58</v>
      </c>
      <c r="B69" s="2400"/>
      <c r="C69" s="2358">
        <f>IF($B$72=0,0,B69/$B$72)</f>
        <v>0</v>
      </c>
      <c r="D69" s="2359"/>
      <c r="E69" s="2360">
        <f>ROUNDUP(D69*C69,5)</f>
        <v>0</v>
      </c>
      <c r="F69" s="2386" t="str">
        <f>IF(B77=0,"0",B77/$B$78)</f>
        <v>0</v>
      </c>
      <c r="G69" s="2387">
        <f>E69*$F$69</f>
        <v>0</v>
      </c>
      <c r="H69" s="2388">
        <f>C69*$F$69</f>
        <v>0</v>
      </c>
    </row>
    <row r="70" spans="1:8">
      <c r="A70" s="2534" t="s">
        <v>59</v>
      </c>
      <c r="B70" s="2401"/>
      <c r="C70" s="2358">
        <f>IF($B$72=0,0,B70/$B$72)</f>
        <v>0</v>
      </c>
      <c r="D70" s="2357"/>
      <c r="E70" s="2362">
        <f>ROUNDUP(D70*C70,5)</f>
        <v>0</v>
      </c>
      <c r="F70" s="2560"/>
      <c r="G70" s="2390">
        <f>E70*$F$69</f>
        <v>0</v>
      </c>
      <c r="H70" s="2402">
        <f>C70*$F$69</f>
        <v>0</v>
      </c>
    </row>
    <row r="71" spans="1:8">
      <c r="A71" s="2534" t="s">
        <v>60</v>
      </c>
      <c r="B71" s="2401"/>
      <c r="C71" s="2358">
        <f>IF($B$72=0,0,B71/$B$72)</f>
        <v>0</v>
      </c>
      <c r="D71" s="2357"/>
      <c r="E71" s="2362">
        <f>ROUNDUP(D71*C71,5)</f>
        <v>0</v>
      </c>
      <c r="F71" s="2560"/>
      <c r="G71" s="2390">
        <f>E71*$F$69</f>
        <v>0</v>
      </c>
      <c r="H71" s="2402">
        <f>C71*$F$69</f>
        <v>0</v>
      </c>
    </row>
    <row r="72" spans="1:8" ht="12" thickBot="1">
      <c r="A72" s="2533" t="s">
        <v>275</v>
      </c>
      <c r="B72" s="2392">
        <f>SUM(B69:B71)</f>
        <v>0</v>
      </c>
      <c r="C72" s="2568">
        <f>SUM(C69:C71)</f>
        <v>0</v>
      </c>
      <c r="D72" s="2532"/>
      <c r="E72" s="2364">
        <f>SUM(E69:E71)</f>
        <v>0</v>
      </c>
      <c r="F72" s="2394"/>
      <c r="G72" s="2395">
        <f>SUM(G69:G71)</f>
        <v>0</v>
      </c>
      <c r="H72" s="2396">
        <f>SUM(H69:H71)</f>
        <v>0</v>
      </c>
    </row>
    <row r="73" spans="1:8" ht="12" thickBot="1">
      <c r="A73" s="2524"/>
      <c r="B73" s="2110"/>
      <c r="C73" s="2110"/>
      <c r="D73" s="2365"/>
      <c r="E73" s="2353"/>
      <c r="F73" s="2397"/>
      <c r="G73" s="2560"/>
      <c r="H73" s="2565"/>
    </row>
    <row r="74" spans="1:8" ht="12" thickBot="1">
      <c r="A74" s="2567" t="s">
        <v>364</v>
      </c>
      <c r="B74" s="2566" t="s">
        <v>360</v>
      </c>
      <c r="C74" s="2566" t="s">
        <v>361</v>
      </c>
      <c r="D74" s="2398" t="s">
        <v>363</v>
      </c>
      <c r="E74" s="2399" t="s">
        <v>362</v>
      </c>
      <c r="F74" s="2397"/>
      <c r="G74" s="2560"/>
      <c r="H74" s="2565"/>
    </row>
    <row r="75" spans="1:8">
      <c r="A75" s="2564"/>
      <c r="B75" s="2563"/>
      <c r="C75" s="2359">
        <f>E56</f>
        <v>0</v>
      </c>
      <c r="D75" s="2403">
        <f>C75*F53</f>
        <v>0</v>
      </c>
      <c r="E75" s="2404">
        <f>$D$78*B75</f>
        <v>0</v>
      </c>
      <c r="F75" s="2405"/>
      <c r="G75" s="2406">
        <f>G56</f>
        <v>0</v>
      </c>
      <c r="H75" s="2407"/>
    </row>
    <row r="76" spans="1:8">
      <c r="A76" s="2562"/>
      <c r="B76" s="2561"/>
      <c r="C76" s="2357">
        <f>E64</f>
        <v>0</v>
      </c>
      <c r="D76" s="2403">
        <f>C76*F61</f>
        <v>0</v>
      </c>
      <c r="E76" s="2408">
        <f>$D$78*B76</f>
        <v>0</v>
      </c>
      <c r="F76" s="2560"/>
      <c r="G76" s="2409">
        <f>G64</f>
        <v>0</v>
      </c>
      <c r="H76" s="2410"/>
    </row>
    <row r="77" spans="1:8" ht="12" thickBot="1">
      <c r="A77" s="2562"/>
      <c r="B77" s="2561"/>
      <c r="C77" s="2357">
        <f>E72</f>
        <v>0</v>
      </c>
      <c r="D77" s="2403">
        <f>C77*F69</f>
        <v>0</v>
      </c>
      <c r="E77" s="2408">
        <f>$D$78*B77</f>
        <v>0</v>
      </c>
      <c r="F77" s="2560"/>
      <c r="G77" s="2409">
        <f>G72</f>
        <v>0</v>
      </c>
      <c r="H77" s="2410"/>
    </row>
    <row r="78" spans="1:8" ht="12" thickBot="1">
      <c r="A78" s="2533" t="s">
        <v>104</v>
      </c>
      <c r="B78" s="2559">
        <f>SUM(B75:B77)</f>
        <v>0</v>
      </c>
      <c r="C78" s="2558"/>
      <c r="D78" s="2411">
        <f>SUM(D75:D77)</f>
        <v>0</v>
      </c>
      <c r="E78" s="2412">
        <f>SUM(E75:E77)</f>
        <v>0</v>
      </c>
      <c r="F78" s="2413">
        <f>SUM(F53:F77)</f>
        <v>0</v>
      </c>
      <c r="G78" s="2414">
        <f>SUM(G75:G77)</f>
        <v>0</v>
      </c>
      <c r="H78" s="2410"/>
    </row>
    <row r="79" spans="1:8" ht="12" thickBot="1">
      <c r="A79" s="2557"/>
      <c r="B79" s="2521"/>
      <c r="C79" s="2521"/>
      <c r="D79" s="2415"/>
      <c r="E79" s="2416"/>
      <c r="F79" s="2417"/>
      <c r="G79" s="2556"/>
      <c r="H79" s="2520"/>
    </row>
    <row r="80" spans="1:8" ht="12.75" thickTop="1" thickBot="1">
      <c r="A80" s="2555"/>
      <c r="B80" s="2554"/>
      <c r="C80" s="2554"/>
      <c r="D80" s="2419"/>
      <c r="E80" s="2420"/>
      <c r="F80" s="2421"/>
      <c r="G80" s="2553"/>
      <c r="H80" s="2552"/>
    </row>
    <row r="81" spans="1:8" ht="24.95" customHeight="1" thickBot="1">
      <c r="A81" s="2540" t="s">
        <v>8374</v>
      </c>
      <c r="B81" s="2539"/>
      <c r="C81" s="2346"/>
      <c r="D81" s="2347"/>
      <c r="E81" s="2348"/>
      <c r="F81" s="2356"/>
      <c r="G81" s="2531"/>
      <c r="H81" s="2523"/>
    </row>
    <row r="82" spans="1:8">
      <c r="A82" s="2524"/>
      <c r="B82" s="2110"/>
      <c r="C82" s="2110"/>
      <c r="D82" s="2365"/>
      <c r="E82" s="2353"/>
      <c r="F82" s="2356"/>
      <c r="G82" s="2531"/>
      <c r="H82" s="2523"/>
    </row>
    <row r="83" spans="1:8">
      <c r="A83" s="2524"/>
      <c r="B83" s="2110"/>
      <c r="C83" s="2110"/>
      <c r="D83" s="2365"/>
      <c r="E83" s="2353"/>
      <c r="F83" s="2356"/>
      <c r="G83" s="2531"/>
      <c r="H83" s="2523"/>
    </row>
    <row r="84" spans="1:8">
      <c r="A84" s="2530" t="s">
        <v>61</v>
      </c>
      <c r="B84" s="2529"/>
      <c r="C84" s="2110"/>
      <c r="D84" s="2365"/>
      <c r="E84" s="2353"/>
      <c r="F84" s="2356"/>
      <c r="G84" s="2110"/>
      <c r="H84" s="2523"/>
    </row>
    <row r="85" spans="1:8">
      <c r="A85" s="2524"/>
      <c r="B85" s="2110"/>
      <c r="C85" s="2110"/>
      <c r="D85" s="2365"/>
      <c r="E85" s="2353"/>
      <c r="F85" s="2356"/>
      <c r="G85" s="2110"/>
      <c r="H85" s="2523"/>
    </row>
    <row r="86" spans="1:8" ht="12" thickBot="1">
      <c r="A86" s="2530" t="s">
        <v>811</v>
      </c>
      <c r="B86" s="2110"/>
      <c r="C86" s="2110"/>
      <c r="D86" s="2366">
        <v>0.21</v>
      </c>
      <c r="E86" s="2110"/>
      <c r="F86" s="2353"/>
      <c r="G86" s="2367"/>
      <c r="H86" s="2523"/>
    </row>
    <row r="87" spans="1:8" ht="12" thickBot="1">
      <c r="A87" s="2530" t="s">
        <v>268</v>
      </c>
      <c r="B87" s="2110"/>
      <c r="C87" s="2110"/>
      <c r="D87" s="2110"/>
      <c r="E87" s="2422">
        <f>(G78-(G53+G61+G69))*(D86/(1-D86))</f>
        <v>0</v>
      </c>
      <c r="G87" s="2110"/>
      <c r="H87" s="2523"/>
    </row>
    <row r="88" spans="1:8">
      <c r="A88" s="3786" t="s">
        <v>540</v>
      </c>
      <c r="B88" s="3787"/>
      <c r="C88" s="3787"/>
      <c r="D88" s="3787"/>
      <c r="E88" s="3787"/>
      <c r="F88" s="2369"/>
      <c r="G88" s="2110"/>
      <c r="H88" s="2523"/>
    </row>
    <row r="89" spans="1:8" ht="12" thickBot="1">
      <c r="A89" s="2551"/>
      <c r="B89" s="2549"/>
      <c r="C89" s="2110"/>
      <c r="D89" s="2365"/>
      <c r="E89" s="2353"/>
      <c r="F89" s="2369"/>
      <c r="G89" s="2110"/>
      <c r="H89" s="2523"/>
    </row>
    <row r="90" spans="1:8" ht="12" thickBot="1">
      <c r="A90" s="2524" t="s">
        <v>63</v>
      </c>
      <c r="B90" s="2549"/>
      <c r="C90" s="2110"/>
      <c r="D90" s="2365"/>
      <c r="E90" s="2422">
        <f>G78+E87</f>
        <v>0</v>
      </c>
      <c r="G90" s="2110"/>
      <c r="H90" s="2523"/>
    </row>
    <row r="91" spans="1:8">
      <c r="A91" s="2550" t="s">
        <v>494</v>
      </c>
      <c r="B91" s="2549"/>
      <c r="C91" s="2110"/>
      <c r="D91" s="2365"/>
      <c r="E91" s="2353"/>
      <c r="F91" s="2369"/>
      <c r="G91" s="2110"/>
      <c r="H91" s="2523"/>
    </row>
    <row r="92" spans="1:8">
      <c r="A92" s="2524"/>
      <c r="B92" s="2110"/>
      <c r="C92" s="2184"/>
      <c r="D92" s="2097"/>
      <c r="E92" s="2116"/>
      <c r="F92" s="2098"/>
      <c r="G92" s="2116"/>
      <c r="H92" s="2327"/>
    </row>
    <row r="93" spans="1:8" ht="12" thickBot="1">
      <c r="A93" s="2530" t="s">
        <v>495</v>
      </c>
      <c r="B93" s="2529"/>
      <c r="C93" s="2110"/>
      <c r="D93" s="2365"/>
      <c r="E93" s="2370"/>
      <c r="F93" s="2370"/>
      <c r="G93" s="2370"/>
      <c r="H93" s="2371"/>
    </row>
    <row r="94" spans="1:8">
      <c r="A94" s="2530"/>
      <c r="B94" s="2529"/>
      <c r="C94" s="2110"/>
      <c r="D94" s="2365"/>
      <c r="E94" s="2372" t="s">
        <v>104</v>
      </c>
      <c r="F94" s="2373" t="s">
        <v>105</v>
      </c>
      <c r="G94" s="2373" t="s">
        <v>106</v>
      </c>
      <c r="H94" s="2374" t="s">
        <v>107</v>
      </c>
    </row>
    <row r="95" spans="1:8">
      <c r="A95" s="2524"/>
      <c r="B95" s="2110"/>
      <c r="C95" s="2110"/>
      <c r="D95" s="2110"/>
      <c r="E95" s="2548"/>
      <c r="F95" s="2547"/>
      <c r="G95" s="2547"/>
      <c r="H95" s="2546"/>
    </row>
    <row r="96" spans="1:8">
      <c r="A96" s="2524" t="s">
        <v>62</v>
      </c>
      <c r="B96" s="2110"/>
      <c r="C96" s="2110"/>
      <c r="D96" s="2110"/>
      <c r="E96" s="2423">
        <f>'Sch 1- Rate Base '!G161</f>
        <v>7602520405.9922667</v>
      </c>
      <c r="F96" s="2424">
        <f>'Sch 1- Rate Base '!H161</f>
        <v>2217167777.4065552</v>
      </c>
      <c r="G96" s="2424">
        <f>'Sch 1- Rate Base '!I161</f>
        <v>0</v>
      </c>
      <c r="H96" s="2425">
        <f>'Sch 1- Rate Base '!J161</f>
        <v>5385352626.9445868</v>
      </c>
    </row>
    <row r="97" spans="1:8">
      <c r="A97" s="2524" t="s">
        <v>63</v>
      </c>
      <c r="B97" s="2110"/>
      <c r="C97" s="2110"/>
      <c r="D97" s="2110"/>
      <c r="E97" s="2545">
        <f>$E$90</f>
        <v>0</v>
      </c>
      <c r="F97" s="2544">
        <f>$E$90</f>
        <v>0</v>
      </c>
      <c r="G97" s="2544">
        <f>$E$90</f>
        <v>0</v>
      </c>
      <c r="H97" s="2543">
        <f>$E$90</f>
        <v>0</v>
      </c>
    </row>
    <row r="98" spans="1:8" ht="12" thickBot="1">
      <c r="A98" s="2530" t="s">
        <v>141</v>
      </c>
      <c r="B98" s="2529"/>
      <c r="C98" s="2529"/>
      <c r="D98" s="2529"/>
      <c r="E98" s="2528">
        <f>E97*E96</f>
        <v>0</v>
      </c>
      <c r="F98" s="2527">
        <f>F97*F96</f>
        <v>0</v>
      </c>
      <c r="G98" s="2527">
        <f>G97*G96</f>
        <v>0</v>
      </c>
      <c r="H98" s="2526">
        <f>H97*H96</f>
        <v>0</v>
      </c>
    </row>
    <row r="99" spans="1:8" ht="12" thickBot="1">
      <c r="A99" s="2542" t="s">
        <v>34</v>
      </c>
      <c r="B99" s="2521"/>
      <c r="C99" s="2521"/>
      <c r="D99" s="2521"/>
      <c r="E99" s="2521"/>
      <c r="F99" s="2521"/>
      <c r="G99" s="2521"/>
      <c r="H99" s="2520"/>
    </row>
    <row r="100" spans="1:8" ht="12.75" thickTop="1" thickBot="1">
      <c r="A100" s="2345"/>
      <c r="B100" s="2541"/>
      <c r="C100" s="2541"/>
      <c r="D100" s="2541"/>
      <c r="E100" s="2541"/>
      <c r="F100" s="2541"/>
      <c r="G100" s="2110"/>
      <c r="H100" s="2523"/>
    </row>
    <row r="101" spans="1:8" ht="24.95" customHeight="1" thickBot="1">
      <c r="A101" s="2540" t="s">
        <v>224</v>
      </c>
      <c r="B101" s="2539"/>
      <c r="C101" s="2346"/>
      <c r="D101" s="2347"/>
      <c r="E101" s="2348"/>
      <c r="F101" s="2100" t="s">
        <v>97</v>
      </c>
      <c r="G101" s="2100"/>
      <c r="H101" s="2324"/>
    </row>
    <row r="102" spans="1:8">
      <c r="A102" s="2530"/>
      <c r="B102" s="2529"/>
      <c r="C102" s="2352"/>
      <c r="D102" s="2325"/>
      <c r="E102" s="2325"/>
      <c r="F102" s="2325"/>
      <c r="G102" s="2325"/>
      <c r="H102" s="2326"/>
    </row>
    <row r="103" spans="1:8">
      <c r="A103" s="2530" t="s">
        <v>376</v>
      </c>
      <c r="B103" s="2529"/>
      <c r="C103" s="2352"/>
      <c r="D103" s="2325"/>
      <c r="E103" s="2325"/>
      <c r="F103" s="2325"/>
      <c r="G103" s="2325"/>
      <c r="H103" s="2326"/>
    </row>
    <row r="104" spans="1:8">
      <c r="A104" s="2525"/>
      <c r="B104" s="2529"/>
      <c r="C104" s="2352"/>
      <c r="D104" s="2325"/>
      <c r="E104" s="2325"/>
      <c r="F104" s="2325"/>
      <c r="G104" s="2325"/>
      <c r="H104" s="2326"/>
    </row>
    <row r="105" spans="1:8">
      <c r="A105" s="2525"/>
      <c r="B105" s="2529"/>
      <c r="C105" s="2352"/>
      <c r="D105" s="2325"/>
      <c r="E105" s="2325"/>
      <c r="F105" s="2325"/>
      <c r="G105" s="2325"/>
      <c r="H105" s="2326"/>
    </row>
    <row r="106" spans="1:8" ht="12" thickBot="1">
      <c r="A106" s="2530"/>
      <c r="B106" s="2529"/>
      <c r="C106" s="2352"/>
      <c r="D106" s="2110"/>
      <c r="E106" s="2110"/>
      <c r="F106" s="2325"/>
      <c r="G106" s="2325"/>
      <c r="H106" s="2326"/>
    </row>
    <row r="107" spans="1:8">
      <c r="A107" s="2538"/>
      <c r="B107" s="2537" t="s">
        <v>381</v>
      </c>
      <c r="C107" s="2537" t="s">
        <v>377</v>
      </c>
      <c r="D107" s="2537" t="s">
        <v>377</v>
      </c>
      <c r="E107" s="2426" t="s">
        <v>382</v>
      </c>
      <c r="F107" s="2427" t="s">
        <v>383</v>
      </c>
      <c r="H107" s="2523"/>
    </row>
    <row r="108" spans="1:8" ht="12" thickBot="1">
      <c r="A108" s="2533" t="s">
        <v>379</v>
      </c>
      <c r="B108" s="2536" t="s">
        <v>440</v>
      </c>
      <c r="C108" s="2536" t="s">
        <v>380</v>
      </c>
      <c r="D108" s="2536" t="s">
        <v>385</v>
      </c>
      <c r="E108" s="2354" t="s">
        <v>378</v>
      </c>
      <c r="F108" s="2428" t="s">
        <v>384</v>
      </c>
      <c r="H108" s="2523"/>
    </row>
    <row r="109" spans="1:8">
      <c r="A109" s="2535"/>
      <c r="B109" s="2429"/>
      <c r="C109" s="2430"/>
      <c r="D109" s="2430"/>
      <c r="E109" s="2359"/>
      <c r="F109" s="2431">
        <f t="shared" ref="F109:F117" si="0">E109*B109</f>
        <v>0</v>
      </c>
      <c r="H109" s="2523"/>
    </row>
    <row r="110" spans="1:8">
      <c r="A110" s="2534"/>
      <c r="B110" s="2389"/>
      <c r="C110" s="2430"/>
      <c r="D110" s="2430"/>
      <c r="E110" s="2357"/>
      <c r="F110" s="2431">
        <f t="shared" si="0"/>
        <v>0</v>
      </c>
      <c r="H110" s="2523"/>
    </row>
    <row r="111" spans="1:8">
      <c r="A111" s="2534"/>
      <c r="B111" s="2389"/>
      <c r="C111" s="2430"/>
      <c r="D111" s="2430"/>
      <c r="E111" s="2357"/>
      <c r="F111" s="2431">
        <f t="shared" si="0"/>
        <v>0</v>
      </c>
      <c r="H111" s="2523"/>
    </row>
    <row r="112" spans="1:8">
      <c r="A112" s="2534"/>
      <c r="B112" s="2389"/>
      <c r="C112" s="2430"/>
      <c r="D112" s="2430"/>
      <c r="E112" s="2357"/>
      <c r="F112" s="2431">
        <f t="shared" si="0"/>
        <v>0</v>
      </c>
      <c r="H112" s="2523"/>
    </row>
    <row r="113" spans="1:8">
      <c r="A113" s="2534"/>
      <c r="B113" s="2389"/>
      <c r="C113" s="2430"/>
      <c r="D113" s="2430"/>
      <c r="E113" s="2357"/>
      <c r="F113" s="2431">
        <f t="shared" si="0"/>
        <v>0</v>
      </c>
      <c r="H113" s="2523"/>
    </row>
    <row r="114" spans="1:8">
      <c r="A114" s="2534"/>
      <c r="B114" s="2389"/>
      <c r="C114" s="2430"/>
      <c r="D114" s="2430"/>
      <c r="E114" s="2357"/>
      <c r="F114" s="2431">
        <f t="shared" si="0"/>
        <v>0</v>
      </c>
      <c r="H114" s="2523"/>
    </row>
    <row r="115" spans="1:8">
      <c r="A115" s="2534"/>
      <c r="B115" s="2389"/>
      <c r="C115" s="2430"/>
      <c r="D115" s="2430"/>
      <c r="E115" s="2357"/>
      <c r="F115" s="2431">
        <f t="shared" si="0"/>
        <v>0</v>
      </c>
      <c r="H115" s="2523"/>
    </row>
    <row r="116" spans="1:8">
      <c r="A116" s="2534"/>
      <c r="B116" s="2389"/>
      <c r="C116" s="2430"/>
      <c r="D116" s="2430"/>
      <c r="E116" s="2357"/>
      <c r="F116" s="2431">
        <f t="shared" si="0"/>
        <v>0</v>
      </c>
      <c r="H116" s="2523"/>
    </row>
    <row r="117" spans="1:8">
      <c r="A117" s="2534"/>
      <c r="B117" s="2389"/>
      <c r="C117" s="2430"/>
      <c r="D117" s="2430"/>
      <c r="E117" s="2357"/>
      <c r="F117" s="2431">
        <f t="shared" si="0"/>
        <v>0</v>
      </c>
      <c r="H117" s="2523"/>
    </row>
    <row r="118" spans="1:8" ht="12" thickBot="1">
      <c r="A118" s="2533" t="s">
        <v>386</v>
      </c>
      <c r="B118" s="2432">
        <f>SUM(B109:B117)</f>
        <v>0</v>
      </c>
      <c r="C118" s="2433"/>
      <c r="D118" s="2532"/>
      <c r="E118" s="2434">
        <f>IF(B118=0,0,F118/B118)</f>
        <v>0</v>
      </c>
      <c r="F118" s="2435">
        <f>SUM(F109:F117)</f>
        <v>0</v>
      </c>
      <c r="H118" s="2523"/>
    </row>
    <row r="119" spans="1:8">
      <c r="A119" s="2524"/>
      <c r="B119" s="2110"/>
      <c r="C119" s="2110"/>
      <c r="D119" s="2365"/>
      <c r="E119" s="2353"/>
      <c r="F119" s="2356"/>
      <c r="G119" s="2531"/>
      <c r="H119" s="2523"/>
    </row>
    <row r="120" spans="1:8">
      <c r="A120" s="2524"/>
      <c r="B120" s="2110"/>
      <c r="C120" s="2184"/>
      <c r="D120" s="2097"/>
      <c r="E120" s="2116"/>
      <c r="F120" s="2098"/>
      <c r="G120" s="2116"/>
      <c r="H120" s="2327"/>
    </row>
    <row r="121" spans="1:8" ht="12" thickBot="1">
      <c r="A121" s="2530" t="s">
        <v>387</v>
      </c>
      <c r="B121" s="2529"/>
      <c r="C121" s="2110"/>
      <c r="D121" s="2365"/>
      <c r="E121" s="2370"/>
      <c r="F121" s="2370"/>
      <c r="G121" s="2370"/>
      <c r="H121" s="2371"/>
    </row>
    <row r="122" spans="1:8">
      <c r="A122" s="2530"/>
      <c r="B122" s="2529"/>
      <c r="C122" s="2110"/>
      <c r="D122" s="2365"/>
      <c r="E122" s="2372" t="s">
        <v>104</v>
      </c>
      <c r="F122" s="2373" t="s">
        <v>105</v>
      </c>
      <c r="G122" s="2373" t="s">
        <v>106</v>
      </c>
      <c r="H122" s="2374" t="s">
        <v>107</v>
      </c>
    </row>
    <row r="123" spans="1:8">
      <c r="A123" s="2530" t="s">
        <v>62</v>
      </c>
      <c r="B123" s="2110"/>
      <c r="C123" s="2110"/>
      <c r="D123" s="2110"/>
      <c r="E123" s="2436">
        <f>'Sch 1- Rate Base '!G161</f>
        <v>7602520405.9922667</v>
      </c>
      <c r="F123" s="2376">
        <f>'Sch 1- Rate Base '!H161</f>
        <v>2217167777.4065552</v>
      </c>
      <c r="G123" s="2437">
        <f>'Sch 1- Rate Base '!I161</f>
        <v>0</v>
      </c>
      <c r="H123" s="2377">
        <f>'Sch 1- Rate Base '!J161</f>
        <v>5385352626.9445868</v>
      </c>
    </row>
    <row r="124" spans="1:8">
      <c r="A124" s="2530" t="s">
        <v>386</v>
      </c>
      <c r="B124" s="2110"/>
      <c r="C124" s="2110"/>
      <c r="D124" s="2110"/>
      <c r="E124" s="2438">
        <f>$E$118</f>
        <v>0</v>
      </c>
      <c r="F124" s="2439">
        <f>$E$118</f>
        <v>0</v>
      </c>
      <c r="G124" s="2439">
        <f>$E$118</f>
        <v>0</v>
      </c>
      <c r="H124" s="2440">
        <f>$E$118</f>
        <v>0</v>
      </c>
    </row>
    <row r="125" spans="1:8" ht="12" thickBot="1">
      <c r="A125" s="2530" t="s">
        <v>201</v>
      </c>
      <c r="B125" s="2529"/>
      <c r="C125" s="2529"/>
      <c r="D125" s="2529"/>
      <c r="E125" s="2528">
        <f>E124*E123</f>
        <v>0</v>
      </c>
      <c r="F125" s="2527">
        <f>F124*F123</f>
        <v>0</v>
      </c>
      <c r="G125" s="2527">
        <f>G124*G123</f>
        <v>0</v>
      </c>
      <c r="H125" s="2526">
        <f>H124*H123</f>
        <v>0</v>
      </c>
    </row>
    <row r="126" spans="1:8">
      <c r="A126" s="2525"/>
      <c r="B126" s="2110"/>
      <c r="C126" s="2110"/>
      <c r="D126" s="2110"/>
      <c r="E126" s="2110"/>
      <c r="F126" s="2110"/>
      <c r="G126" s="2110"/>
      <c r="H126" s="2523"/>
    </row>
    <row r="127" spans="1:8">
      <c r="A127" s="2524"/>
      <c r="B127" s="2110"/>
      <c r="C127" s="2110"/>
      <c r="D127" s="2110"/>
      <c r="E127" s="2110"/>
      <c r="F127" s="2110"/>
      <c r="G127" s="2110"/>
      <c r="H127" s="2523"/>
    </row>
    <row r="128" spans="1:8" ht="12" thickBot="1">
      <c r="A128" s="2522"/>
      <c r="B128" s="2521"/>
      <c r="C128" s="2521"/>
      <c r="D128" s="2521"/>
      <c r="E128" s="2521"/>
      <c r="F128" s="2521"/>
      <c r="G128" s="2521"/>
      <c r="H128" s="2520"/>
    </row>
    <row r="129" ht="12" thickTop="1"/>
  </sheetData>
  <mergeCells count="13">
    <mergeCell ref="D7:F7"/>
    <mergeCell ref="A1:H1"/>
    <mergeCell ref="A2:H2"/>
    <mergeCell ref="A3:H3"/>
    <mergeCell ref="D5:F5"/>
    <mergeCell ref="D6:F6"/>
    <mergeCell ref="A8:H8"/>
    <mergeCell ref="A88:E88"/>
    <mergeCell ref="D22:E22"/>
    <mergeCell ref="B22:C22"/>
    <mergeCell ref="A33:E33"/>
    <mergeCell ref="B51:C51"/>
    <mergeCell ref="D51:E51"/>
  </mergeCells>
  <hyperlinks>
    <hyperlink ref="A5" location="TOC!A1" display="TOC" xr:uid="{00000000-0004-0000-0400-000000000000}"/>
    <hyperlink ref="A6" location="'Sch 2 -Rate of Return'!A10" display="é" xr:uid="{00000000-0004-0000-0400-000001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rowBreaks count="3" manualBreakCount="3">
    <brk id="45" max="7" man="1"/>
    <brk id="79" max="7" man="1"/>
    <brk id="99" max="7" man="1"/>
  </rowBreaks>
  <customProperties>
    <customPr name="_pios_id" r:id="rId2"/>
  </customPropertie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indexed="44"/>
  </sheetPr>
  <dimension ref="A1:O113"/>
  <sheetViews>
    <sheetView zoomScaleNormal="100" workbookViewId="0">
      <pane ySplit="13" topLeftCell="A33" activePane="bottomLeft" state="frozen"/>
      <selection pane="bottomLeft" activeCell="L47" sqref="L47"/>
    </sheetView>
  </sheetViews>
  <sheetFormatPr defaultColWidth="9" defaultRowHeight="11.25"/>
  <cols>
    <col min="1" max="1" width="5.375" style="493" customWidth="1"/>
    <col min="2" max="2" width="47.375" style="493" customWidth="1"/>
    <col min="3" max="3" width="6.375" style="493" bestFit="1" customWidth="1"/>
    <col min="4" max="4" width="19.125" style="493" bestFit="1" customWidth="1"/>
    <col min="5" max="5" width="5.625" style="493" bestFit="1" customWidth="1"/>
    <col min="6" max="6" width="8.5" style="493" bestFit="1" customWidth="1"/>
    <col min="7" max="7" width="11.25" style="2506" bestFit="1" customWidth="1"/>
    <col min="8" max="8" width="11.25" style="493" bestFit="1" customWidth="1"/>
    <col min="9" max="9" width="10.5" style="493" bestFit="1" customWidth="1"/>
    <col min="10" max="10" width="11.75" style="493" customWidth="1"/>
    <col min="11" max="11" width="2.625" style="493" customWidth="1"/>
    <col min="12" max="13" width="13.25" style="493" bestFit="1" customWidth="1"/>
    <col min="14" max="14" width="11.625" style="493" customWidth="1"/>
    <col min="15" max="15" width="9" style="493"/>
    <col min="16" max="16" width="12.625" style="493" customWidth="1"/>
    <col min="17" max="16384" width="9" style="493"/>
  </cols>
  <sheetData>
    <row r="1" spans="1:15" ht="12" thickTop="1">
      <c r="A1" s="3766" t="s">
        <v>54</v>
      </c>
      <c r="B1" s="3767"/>
      <c r="C1" s="3767"/>
      <c r="D1" s="3767"/>
      <c r="E1" s="3767"/>
      <c r="F1" s="3767"/>
      <c r="G1" s="3767"/>
      <c r="H1" s="3767"/>
      <c r="I1" s="3767"/>
      <c r="J1" s="3768"/>
      <c r="L1" s="2447"/>
      <c r="M1" s="2447"/>
      <c r="N1" s="2447"/>
      <c r="O1" s="2447"/>
    </row>
    <row r="2" spans="1:15">
      <c r="A2" s="3763" t="s">
        <v>56</v>
      </c>
      <c r="B2" s="3764"/>
      <c r="C2" s="3764"/>
      <c r="D2" s="3764"/>
      <c r="E2" s="3764"/>
      <c r="F2" s="3764"/>
      <c r="G2" s="3764"/>
      <c r="H2" s="3764"/>
      <c r="I2" s="3764"/>
      <c r="J2" s="3765"/>
      <c r="L2" s="2447"/>
      <c r="M2" s="2447"/>
      <c r="N2" s="2447"/>
      <c r="O2" s="2447"/>
    </row>
    <row r="3" spans="1:15">
      <c r="A3" s="3761" t="s">
        <v>709</v>
      </c>
      <c r="B3" s="3737"/>
      <c r="C3" s="3737"/>
      <c r="D3" s="3737"/>
      <c r="E3" s="3737"/>
      <c r="F3" s="3737"/>
      <c r="G3" s="3737"/>
      <c r="H3" s="3737"/>
      <c r="I3" s="3737"/>
      <c r="J3" s="3762"/>
      <c r="L3" s="2447"/>
      <c r="M3" s="2447"/>
      <c r="N3" s="2447"/>
      <c r="O3" s="2447"/>
    </row>
    <row r="4" spans="1:15" ht="10.5" customHeight="1" thickBot="1">
      <c r="A4" s="2448"/>
      <c r="B4" s="2449"/>
      <c r="C4" s="2449"/>
      <c r="D4" s="2449"/>
      <c r="E4" s="2292"/>
      <c r="F4" s="2292"/>
      <c r="G4" s="2450"/>
      <c r="H4" s="2451"/>
      <c r="I4" s="2451"/>
      <c r="J4" s="2295"/>
      <c r="L4" s="2447"/>
      <c r="M4" s="2447"/>
      <c r="N4" s="2447"/>
      <c r="O4" s="2447"/>
    </row>
    <row r="5" spans="1:15" s="2452" customFormat="1">
      <c r="A5" s="2296" t="s">
        <v>685</v>
      </c>
      <c r="D5" s="2297" t="s">
        <v>571</v>
      </c>
      <c r="E5" s="3777" t="str">
        <f>'Sch 1- Rate Base '!$E$5</f>
        <v>PUGET SOUND ENERGY</v>
      </c>
      <c r="F5" s="3778"/>
      <c r="G5" s="3798"/>
      <c r="I5" s="2453" t="s">
        <v>707</v>
      </c>
      <c r="J5" s="2295"/>
      <c r="L5" s="2454"/>
      <c r="M5" s="2454"/>
      <c r="N5" s="2454"/>
      <c r="O5" s="2454"/>
    </row>
    <row r="6" spans="1:15">
      <c r="A6" s="2329" t="s">
        <v>686</v>
      </c>
      <c r="B6" s="2449"/>
      <c r="C6" s="2449"/>
      <c r="D6" s="2297" t="s">
        <v>572</v>
      </c>
      <c r="E6" s="3779">
        <f>'Sch 1- Rate Base '!$E$6</f>
        <v>2023</v>
      </c>
      <c r="F6" s="3780"/>
      <c r="G6" s="3799"/>
      <c r="H6" s="2304"/>
      <c r="I6" s="2455" t="str">
        <f>'Sch 1- Rate Base '!I6</f>
        <v/>
      </c>
      <c r="J6" s="2295"/>
      <c r="L6" s="2447"/>
      <c r="M6" s="2447"/>
      <c r="N6" s="2447"/>
      <c r="O6" s="2447"/>
    </row>
    <row r="7" spans="1:15" ht="12" thickBot="1">
      <c r="A7" s="2448"/>
      <c r="B7" s="2449"/>
      <c r="C7" s="2449"/>
      <c r="D7" s="2297" t="s">
        <v>573</v>
      </c>
      <c r="E7" s="3781">
        <f>'Sch 1- Rate Base '!$E$7</f>
        <v>45474</v>
      </c>
      <c r="F7" s="3791"/>
      <c r="G7" s="3792"/>
      <c r="H7" s="2304"/>
      <c r="I7" s="2456" t="str">
        <f>'Sch 1- Rate Base '!I7</f>
        <v/>
      </c>
      <c r="J7" s="2295"/>
      <c r="L7" s="2447"/>
      <c r="M7" s="2447"/>
      <c r="N7" s="2447"/>
      <c r="O7" s="2447"/>
    </row>
    <row r="8" spans="1:15" ht="9" customHeight="1">
      <c r="A8" s="2448"/>
      <c r="B8" s="2449"/>
      <c r="C8" s="2449"/>
      <c r="D8" s="2297"/>
      <c r="E8" s="2139"/>
      <c r="F8" s="2139"/>
      <c r="G8" s="2139"/>
      <c r="H8" s="2451"/>
      <c r="I8" s="2451"/>
      <c r="J8" s="2295"/>
      <c r="L8" s="2447"/>
      <c r="M8" s="2447"/>
      <c r="N8" s="2447"/>
      <c r="O8" s="2447"/>
    </row>
    <row r="9" spans="1:15">
      <c r="A9" s="2301" t="s">
        <v>82</v>
      </c>
      <c r="B9" s="2449"/>
      <c r="C9" s="2449"/>
      <c r="D9" s="2449"/>
      <c r="E9" s="2292"/>
      <c r="F9" s="2292"/>
      <c r="G9" s="2450"/>
      <c r="H9" s="2451"/>
      <c r="I9" s="2451"/>
      <c r="J9" s="2295"/>
      <c r="L9" s="2447"/>
      <c r="M9" s="2447"/>
      <c r="N9" s="2447"/>
      <c r="O9" s="2447"/>
    </row>
    <row r="10" spans="1:15" ht="18" customHeight="1" thickBot="1">
      <c r="A10" s="2301"/>
      <c r="B10" s="2449"/>
      <c r="C10" s="2449"/>
      <c r="D10" s="2449"/>
      <c r="E10" s="2292"/>
      <c r="F10" s="2292"/>
      <c r="G10" s="2450"/>
      <c r="H10" s="2451"/>
      <c r="I10" s="2451"/>
      <c r="J10" s="2295"/>
      <c r="L10" s="2447"/>
      <c r="M10" s="2447"/>
      <c r="N10" s="2447"/>
      <c r="O10" s="2447"/>
    </row>
    <row r="11" spans="1:15" ht="17.25" customHeight="1" thickTop="1" thickBot="1">
      <c r="A11" s="3808" t="s">
        <v>100</v>
      </c>
      <c r="B11" s="3809"/>
      <c r="C11" s="2457" t="s">
        <v>321</v>
      </c>
      <c r="D11" s="2457"/>
      <c r="E11" s="2458" t="s">
        <v>350</v>
      </c>
      <c r="F11" s="2459"/>
      <c r="G11" s="3806" t="s">
        <v>104</v>
      </c>
      <c r="H11" s="3806" t="s">
        <v>105</v>
      </c>
      <c r="I11" s="3806" t="s">
        <v>106</v>
      </c>
      <c r="J11" s="3813" t="s">
        <v>715</v>
      </c>
      <c r="L11" s="3800" t="s">
        <v>105</v>
      </c>
      <c r="M11" s="3800" t="s">
        <v>106</v>
      </c>
      <c r="N11" s="3803" t="s">
        <v>714</v>
      </c>
      <c r="O11" s="2447"/>
    </row>
    <row r="12" spans="1:15" ht="12" thickBot="1">
      <c r="A12" s="3810"/>
      <c r="B12" s="3733"/>
      <c r="C12" s="2460" t="s">
        <v>270</v>
      </c>
      <c r="D12" s="2460" t="s">
        <v>96</v>
      </c>
      <c r="E12" s="2165" t="s">
        <v>449</v>
      </c>
      <c r="F12" s="2166"/>
      <c r="G12" s="3735"/>
      <c r="H12" s="3735"/>
      <c r="I12" s="3735"/>
      <c r="J12" s="3814"/>
      <c r="L12" s="3801"/>
      <c r="M12" s="3801"/>
      <c r="N12" s="3804"/>
      <c r="O12" s="2447"/>
    </row>
    <row r="13" spans="1:15" ht="12" thickBot="1">
      <c r="A13" s="3811"/>
      <c r="B13" s="3812"/>
      <c r="C13" s="2461" t="s">
        <v>271</v>
      </c>
      <c r="D13" s="2461" t="s">
        <v>250</v>
      </c>
      <c r="E13" s="2462" t="s">
        <v>348</v>
      </c>
      <c r="F13" s="2462" t="s">
        <v>349</v>
      </c>
      <c r="G13" s="3807"/>
      <c r="H13" s="3807"/>
      <c r="I13" s="3807"/>
      <c r="J13" s="3815"/>
      <c r="L13" s="3802"/>
      <c r="M13" s="3802"/>
      <c r="N13" s="3805"/>
      <c r="O13" s="2447"/>
    </row>
    <row r="14" spans="1:15" ht="12" thickTop="1">
      <c r="A14" s="2305" t="s">
        <v>455</v>
      </c>
      <c r="B14" s="2100"/>
      <c r="C14" s="2116"/>
      <c r="D14" s="2116"/>
      <c r="E14" s="2116"/>
      <c r="F14" s="2116"/>
      <c r="G14" s="2463"/>
      <c r="H14" s="2118"/>
      <c r="I14" s="2118"/>
      <c r="J14" s="2441"/>
      <c r="L14" s="2447"/>
      <c r="M14" s="2447"/>
      <c r="N14" s="2447"/>
      <c r="O14" s="2447"/>
    </row>
    <row r="15" spans="1:15">
      <c r="A15" s="2442"/>
      <c r="B15" s="2139" t="s">
        <v>456</v>
      </c>
      <c r="C15" s="2116"/>
      <c r="D15" s="2116"/>
      <c r="E15" s="2116"/>
      <c r="F15" s="2116"/>
      <c r="G15" s="2463"/>
      <c r="H15" s="2118"/>
      <c r="I15" s="2118"/>
      <c r="J15" s="2441"/>
      <c r="L15" s="2447"/>
      <c r="M15" s="2447"/>
      <c r="N15" s="2447"/>
      <c r="O15" s="2447"/>
    </row>
    <row r="16" spans="1:15" ht="15" customHeight="1">
      <c r="A16" s="2442"/>
      <c r="B16" s="2103" t="s">
        <v>257</v>
      </c>
      <c r="C16" s="2464" t="s">
        <v>72</v>
      </c>
      <c r="D16" s="2464">
        <v>501</v>
      </c>
      <c r="E16" s="2171" t="s">
        <v>392</v>
      </c>
      <c r="F16" s="2171"/>
      <c r="G16" s="2193">
        <f>'FERC p320-323 Elec. O&amp;M'!C16</f>
        <v>60636604</v>
      </c>
      <c r="H16" s="2465">
        <f>VLOOKUP($E16,Ratio,2,FALSE)*$G16</f>
        <v>60636604</v>
      </c>
      <c r="I16" s="2465">
        <f>VLOOKUP($E16,Ratio,3,FALSE)*$G16</f>
        <v>0</v>
      </c>
      <c r="J16" s="2466">
        <f>VLOOKUP($E16,Ratio,4,FALSE)*$G16</f>
        <v>0</v>
      </c>
      <c r="L16" s="2447"/>
      <c r="M16" s="2447"/>
      <c r="N16" s="2447"/>
      <c r="O16" s="2447"/>
    </row>
    <row r="17" spans="1:15" ht="15" customHeight="1">
      <c r="A17" s="2442"/>
      <c r="B17" s="2103" t="s">
        <v>258</v>
      </c>
      <c r="C17" s="2464" t="s">
        <v>72</v>
      </c>
      <c r="D17" s="2464" t="s">
        <v>451</v>
      </c>
      <c r="E17" s="2171" t="s">
        <v>392</v>
      </c>
      <c r="F17" s="2171"/>
      <c r="G17" s="2193">
        <f>'FERC p320-323 Elec. O&amp;M'!C24-G16</f>
        <v>20123737</v>
      </c>
      <c r="H17" s="2465">
        <f>VLOOKUP($E17,Ratio,2,FALSE)*$G17</f>
        <v>20123737</v>
      </c>
      <c r="I17" s="2465">
        <f>VLOOKUP($E17,Ratio,3,FALSE)*$G17</f>
        <v>0</v>
      </c>
      <c r="J17" s="2466">
        <f>VLOOKUP($E17,Ratio,4,FALSE)*$G17</f>
        <v>0</v>
      </c>
      <c r="L17" s="2447"/>
      <c r="M17" s="2447"/>
      <c r="N17" s="2447"/>
      <c r="O17" s="2447"/>
    </row>
    <row r="18" spans="1:15" ht="15" customHeight="1">
      <c r="A18" s="2442"/>
      <c r="B18" s="2103" t="s">
        <v>259</v>
      </c>
      <c r="C18" s="2464" t="s">
        <v>72</v>
      </c>
      <c r="D18" s="2464" t="s">
        <v>260</v>
      </c>
      <c r="E18" s="2171" t="s">
        <v>392</v>
      </c>
      <c r="F18" s="2171"/>
      <c r="G18" s="2193">
        <f>'FERC p320-323 Elec. O&amp;M'!C31</f>
        <v>23219450</v>
      </c>
      <c r="H18" s="2465">
        <f>VLOOKUP($E18,Ratio,2,FALSE)*$G18</f>
        <v>23219450</v>
      </c>
      <c r="I18" s="2465">
        <f>VLOOKUP($E18,Ratio,3,FALSE)*$G18</f>
        <v>0</v>
      </c>
      <c r="J18" s="2466">
        <f>VLOOKUP($E18,Ratio,4,FALSE)*$G18</f>
        <v>0</v>
      </c>
      <c r="L18" s="2447"/>
      <c r="M18" s="2447"/>
      <c r="N18" s="2447"/>
      <c r="O18" s="2447"/>
    </row>
    <row r="19" spans="1:15">
      <c r="A19" s="2442"/>
      <c r="B19" s="2143" t="s">
        <v>457</v>
      </c>
      <c r="C19" s="2116"/>
      <c r="D19" s="2116"/>
      <c r="E19" s="2098"/>
      <c r="F19" s="1397"/>
      <c r="G19" s="3706"/>
      <c r="H19" s="2467"/>
      <c r="I19" s="2467"/>
      <c r="J19" s="2468"/>
      <c r="L19" s="2447"/>
      <c r="M19" s="2447"/>
      <c r="N19" s="2447"/>
      <c r="O19" s="2447"/>
    </row>
    <row r="20" spans="1:15" ht="15" customHeight="1">
      <c r="A20" s="2442"/>
      <c r="B20" s="2103" t="s">
        <v>85</v>
      </c>
      <c r="C20" s="2464" t="s">
        <v>72</v>
      </c>
      <c r="D20" s="2464">
        <v>518</v>
      </c>
      <c r="E20" s="2171" t="s">
        <v>392</v>
      </c>
      <c r="F20" s="2171"/>
      <c r="G20" s="2193">
        <f>'FERC p320-323 Elec. O&amp;M'!C36</f>
        <v>0</v>
      </c>
      <c r="H20" s="2465">
        <f>VLOOKUP($E20,Ratio,2,FALSE)*$G20</f>
        <v>0</v>
      </c>
      <c r="I20" s="2465">
        <f>VLOOKUP($E20,Ratio,3,FALSE)*$G20</f>
        <v>0</v>
      </c>
      <c r="J20" s="2466">
        <f>VLOOKUP($E20,Ratio,4,FALSE)*$G20</f>
        <v>0</v>
      </c>
      <c r="L20" s="2447"/>
      <c r="M20" s="2447"/>
      <c r="N20" s="2447"/>
      <c r="O20" s="2447"/>
    </row>
    <row r="21" spans="1:15" ht="15" customHeight="1">
      <c r="A21" s="2442"/>
      <c r="B21" s="2185" t="s">
        <v>262</v>
      </c>
      <c r="C21" s="2464" t="s">
        <v>72</v>
      </c>
      <c r="D21" s="2464" t="s">
        <v>452</v>
      </c>
      <c r="E21" s="2171" t="s">
        <v>392</v>
      </c>
      <c r="F21" s="2171"/>
      <c r="G21" s="2193">
        <f>'FERC p320-323 Elec. O&amp;M'!C44-G20</f>
        <v>0</v>
      </c>
      <c r="H21" s="2465">
        <f>VLOOKUP($E21,Ratio,2,FALSE)*$G21</f>
        <v>0</v>
      </c>
      <c r="I21" s="2465">
        <f>VLOOKUP($E21,Ratio,3,FALSE)*$G21</f>
        <v>0</v>
      </c>
      <c r="J21" s="2466">
        <f>VLOOKUP($E21,Ratio,4,FALSE)*$G21</f>
        <v>0</v>
      </c>
      <c r="L21" s="2447"/>
      <c r="M21" s="2447"/>
      <c r="N21" s="2447"/>
      <c r="O21" s="2447"/>
    </row>
    <row r="22" spans="1:15" ht="15" customHeight="1">
      <c r="A22" s="2442"/>
      <c r="B22" s="2097" t="s">
        <v>478</v>
      </c>
      <c r="C22" s="2464" t="s">
        <v>72</v>
      </c>
      <c r="D22" s="2464" t="s">
        <v>479</v>
      </c>
      <c r="E22" s="2171" t="s">
        <v>392</v>
      </c>
      <c r="F22" s="2171"/>
      <c r="G22" s="2193">
        <f>'FERC p320-323 Elec. O&amp;M'!C51</f>
        <v>0</v>
      </c>
      <c r="H22" s="2465">
        <f>VLOOKUP($E22,Ratio,2,FALSE)*$G22</f>
        <v>0</v>
      </c>
      <c r="I22" s="2465">
        <f>VLOOKUP($E22,Ratio,3,FALSE)*$G22</f>
        <v>0</v>
      </c>
      <c r="J22" s="2466">
        <f>VLOOKUP($E22,Ratio,4,FALSE)*$G22</f>
        <v>0</v>
      </c>
      <c r="L22" s="2447"/>
      <c r="M22" s="2447"/>
      <c r="N22" s="2447"/>
      <c r="O22" s="2447"/>
    </row>
    <row r="23" spans="1:15">
      <c r="A23" s="2442"/>
      <c r="B23" s="2143" t="s">
        <v>458</v>
      </c>
      <c r="C23" s="2116"/>
      <c r="D23" s="2116"/>
      <c r="E23" s="2098"/>
      <c r="F23" s="1397"/>
      <c r="G23" s="3706"/>
      <c r="H23" s="2467"/>
      <c r="I23" s="2467"/>
      <c r="J23" s="2468"/>
      <c r="L23" s="2447"/>
      <c r="M23" s="2447"/>
      <c r="N23" s="2447"/>
      <c r="O23" s="2447"/>
    </row>
    <row r="24" spans="1:15" ht="15" customHeight="1">
      <c r="A24" s="2442"/>
      <c r="B24" s="2185" t="s">
        <v>86</v>
      </c>
      <c r="C24" s="2464" t="s">
        <v>72</v>
      </c>
      <c r="D24" s="2464" t="s">
        <v>212</v>
      </c>
      <c r="E24" s="2171" t="s">
        <v>392</v>
      </c>
      <c r="F24" s="2171"/>
      <c r="G24" s="2193">
        <f>'FERC p320-323 Elec. O&amp;M'!C61</f>
        <v>7020837</v>
      </c>
      <c r="H24" s="2465">
        <f>VLOOKUP($E24,Ratio,2,FALSE)*$G24</f>
        <v>7020837</v>
      </c>
      <c r="I24" s="2465">
        <f>VLOOKUP($E24,Ratio,3,FALSE)*$G24</f>
        <v>0</v>
      </c>
      <c r="J24" s="2466">
        <f>VLOOKUP($E24,Ratio,4,FALSE)*$G24</f>
        <v>0</v>
      </c>
      <c r="L24" s="2447"/>
      <c r="M24" s="2447"/>
      <c r="N24" s="2447"/>
      <c r="O24" s="2447"/>
    </row>
    <row r="25" spans="1:15" ht="15" customHeight="1">
      <c r="A25" s="2442"/>
      <c r="B25" s="2185" t="s">
        <v>87</v>
      </c>
      <c r="C25" s="2464" t="s">
        <v>72</v>
      </c>
      <c r="D25" s="2464" t="s">
        <v>213</v>
      </c>
      <c r="E25" s="2171" t="s">
        <v>392</v>
      </c>
      <c r="F25" s="2171"/>
      <c r="G25" s="2193">
        <f>'FERC p320-323 Elec. O&amp;M'!C69</f>
        <v>6951788</v>
      </c>
      <c r="H25" s="2465">
        <f>VLOOKUP($E25,Ratio,2,FALSE)*$G25</f>
        <v>6951788</v>
      </c>
      <c r="I25" s="2465">
        <f>VLOOKUP($E25,Ratio,3,FALSE)*$G25</f>
        <v>0</v>
      </c>
      <c r="J25" s="2466">
        <f>VLOOKUP($E25,Ratio,4,FALSE)*$G25</f>
        <v>0</v>
      </c>
      <c r="L25" s="2447"/>
      <c r="M25" s="2447"/>
      <c r="N25" s="2447"/>
      <c r="O25" s="2447"/>
    </row>
    <row r="26" spans="1:15">
      <c r="A26" s="2442"/>
      <c r="B26" s="2143" t="s">
        <v>459</v>
      </c>
      <c r="C26" s="2116"/>
      <c r="D26" s="2116"/>
      <c r="E26" s="2098"/>
      <c r="F26" s="1397"/>
      <c r="G26" s="3706"/>
      <c r="H26" s="2467"/>
      <c r="I26" s="2467"/>
      <c r="J26" s="2468"/>
      <c r="L26" s="2447"/>
      <c r="M26" s="2447"/>
      <c r="N26" s="2447"/>
      <c r="O26" s="2447"/>
    </row>
    <row r="27" spans="1:15" ht="15" customHeight="1">
      <c r="A27" s="2442"/>
      <c r="B27" s="2103" t="s">
        <v>450</v>
      </c>
      <c r="C27" s="2464" t="s">
        <v>72</v>
      </c>
      <c r="D27" s="2464">
        <v>547</v>
      </c>
      <c r="E27" s="2171" t="s">
        <v>392</v>
      </c>
      <c r="F27" s="2171"/>
      <c r="G27" s="2193">
        <f>'FERC p320-323 Elec. O&amp;M'!C81</f>
        <v>396650165</v>
      </c>
      <c r="H27" s="2465">
        <f>VLOOKUP($E27,Ratio,2,FALSE)*$G27</f>
        <v>396650165</v>
      </c>
      <c r="I27" s="2465">
        <f>VLOOKUP($E27,Ratio,3,FALSE)*$G27</f>
        <v>0</v>
      </c>
      <c r="J27" s="2466">
        <f>VLOOKUP($E27,Ratio,4,FALSE)*$G27</f>
        <v>0</v>
      </c>
      <c r="L27" s="2447"/>
      <c r="M27" s="2447"/>
      <c r="N27" s="2447"/>
      <c r="O27" s="2447"/>
    </row>
    <row r="28" spans="1:15" ht="15" customHeight="1">
      <c r="A28" s="2442"/>
      <c r="B28" s="2185" t="s">
        <v>261</v>
      </c>
      <c r="C28" s="2464" t="s">
        <v>72</v>
      </c>
      <c r="D28" s="2464" t="s">
        <v>214</v>
      </c>
      <c r="E28" s="2171" t="s">
        <v>392</v>
      </c>
      <c r="F28" s="2171"/>
      <c r="G28" s="2193">
        <f>'FERC p320-323 Elec. O&amp;M'!C86-G27</f>
        <v>33443518</v>
      </c>
      <c r="H28" s="2465">
        <f>VLOOKUP($E28,Ratio,2,FALSE)*$G28</f>
        <v>33443518</v>
      </c>
      <c r="I28" s="2465">
        <f>VLOOKUP($E28,Ratio,3,FALSE)*$G28</f>
        <v>0</v>
      </c>
      <c r="J28" s="2466">
        <f>VLOOKUP($E28,Ratio,4,FALSE)*$G28</f>
        <v>0</v>
      </c>
      <c r="L28" s="2447"/>
      <c r="M28" s="2447"/>
      <c r="N28" s="2447"/>
      <c r="O28" s="2447"/>
    </row>
    <row r="29" spans="1:15" ht="15" customHeight="1">
      <c r="A29" s="2442"/>
      <c r="B29" s="2185" t="s">
        <v>263</v>
      </c>
      <c r="C29" s="2464" t="s">
        <v>72</v>
      </c>
      <c r="D29" s="2464" t="s">
        <v>215</v>
      </c>
      <c r="E29" s="2171" t="s">
        <v>392</v>
      </c>
      <c r="F29" s="2171"/>
      <c r="G29" s="2193">
        <f>'FERC p320-323 Elec. O&amp;M'!C93</f>
        <v>27656590</v>
      </c>
      <c r="H29" s="2465">
        <f>VLOOKUP($E29,Ratio,2,FALSE)*$G29</f>
        <v>27656590</v>
      </c>
      <c r="I29" s="2465">
        <f>VLOOKUP($E29,Ratio,3,FALSE)*$G29</f>
        <v>0</v>
      </c>
      <c r="J29" s="2466">
        <f>VLOOKUP($E29,Ratio,4,FALSE)*$G29</f>
        <v>0</v>
      </c>
      <c r="L29" s="2447"/>
      <c r="M29" s="2447"/>
      <c r="N29" s="2447"/>
      <c r="O29" s="2447"/>
    </row>
    <row r="30" spans="1:15">
      <c r="A30" s="2442"/>
      <c r="B30" s="2143" t="s">
        <v>453</v>
      </c>
      <c r="C30" s="2116"/>
      <c r="D30" s="2116"/>
      <c r="E30" s="2098"/>
      <c r="F30" s="1397"/>
      <c r="G30" s="3706"/>
      <c r="H30" s="2467"/>
      <c r="I30" s="2467"/>
      <c r="J30" s="2468"/>
      <c r="L30" s="2447"/>
      <c r="M30" s="2447"/>
      <c r="N30" s="2447"/>
      <c r="O30" s="2447"/>
    </row>
    <row r="31" spans="1:15" ht="15" customHeight="1">
      <c r="A31" s="2442"/>
      <c r="B31" s="2103" t="s">
        <v>264</v>
      </c>
      <c r="C31" s="2464" t="s">
        <v>72</v>
      </c>
      <c r="D31" s="2464">
        <v>555</v>
      </c>
      <c r="E31" s="2171" t="s">
        <v>392</v>
      </c>
      <c r="F31" s="2171"/>
      <c r="G31" s="2469">
        <f>'3-YEAR PP &amp; OSS Worksheet'!D21</f>
        <v>1085637524</v>
      </c>
      <c r="H31" s="2470">
        <f>VLOOKUP($E31,Ratio,2,FALSE)*$G31</f>
        <v>1085637524</v>
      </c>
      <c r="I31" s="2470">
        <f>VLOOKUP($E31,Ratio,3,FALSE)*$G31</f>
        <v>0</v>
      </c>
      <c r="J31" s="2471">
        <f>VLOOKUP($E31,Ratio,4,FALSE)*$G31</f>
        <v>0</v>
      </c>
      <c r="L31" s="2447"/>
      <c r="M31" s="2447"/>
      <c r="N31" s="2447"/>
      <c r="O31" s="2447"/>
    </row>
    <row r="32" spans="1:15" ht="15" customHeight="1">
      <c r="A32" s="2442"/>
      <c r="B32" s="2185" t="s">
        <v>454</v>
      </c>
      <c r="C32" s="2464" t="s">
        <v>72</v>
      </c>
      <c r="D32" s="2464">
        <v>556</v>
      </c>
      <c r="E32" s="2171" t="s">
        <v>392</v>
      </c>
      <c r="F32" s="2171"/>
      <c r="G32" s="2193">
        <f>'FERC p320-323 Elec. O&amp;M'!C98</f>
        <v>28612</v>
      </c>
      <c r="H32" s="2465">
        <f>VLOOKUP($E32,Ratio,2,FALSE)*$G32</f>
        <v>28612</v>
      </c>
      <c r="I32" s="2465">
        <f>VLOOKUP($E32,Ratio,3,FALSE)*$G32</f>
        <v>0</v>
      </c>
      <c r="J32" s="2466">
        <f>VLOOKUP($E32,Ratio,4,FALSE)*$G32</f>
        <v>0</v>
      </c>
      <c r="L32" s="2447"/>
      <c r="M32" s="2447"/>
      <c r="N32" s="2447"/>
      <c r="O32" s="2447"/>
    </row>
    <row r="33" spans="1:15" ht="15" customHeight="1">
      <c r="A33" s="2442"/>
      <c r="B33" s="2185" t="s">
        <v>265</v>
      </c>
      <c r="C33" s="2464" t="s">
        <v>72</v>
      </c>
      <c r="D33" s="2464">
        <v>557</v>
      </c>
      <c r="E33" s="2171" t="s">
        <v>392</v>
      </c>
      <c r="F33" s="2171"/>
      <c r="G33" s="2193">
        <f>'FERC p320-323 Elec. O&amp;M'!C99</f>
        <v>94142017</v>
      </c>
      <c r="H33" s="2465">
        <f>VLOOKUP($E33,Ratio,2,FALSE)*$G33</f>
        <v>94142017</v>
      </c>
      <c r="I33" s="2465">
        <f>VLOOKUP($E33,Ratio,3,FALSE)*$G33</f>
        <v>0</v>
      </c>
      <c r="J33" s="2466">
        <f>VLOOKUP($E33,Ratio,4,FALSE)*$G33</f>
        <v>0</v>
      </c>
      <c r="L33" s="2447"/>
      <c r="M33" s="2447"/>
      <c r="N33" s="2447"/>
      <c r="O33" s="2447"/>
    </row>
    <row r="34" spans="1:15" ht="15" customHeight="1">
      <c r="A34" s="2442"/>
      <c r="B34" s="2103" t="s">
        <v>52</v>
      </c>
      <c r="C34" s="2464" t="s">
        <v>198</v>
      </c>
      <c r="D34" s="2464">
        <v>555</v>
      </c>
      <c r="E34" s="2171" t="s">
        <v>392</v>
      </c>
      <c r="F34" s="2171"/>
      <c r="G34" s="2193">
        <v>0</v>
      </c>
      <c r="H34" s="2465">
        <f>VLOOKUP($E34,Ratio,2,FALSE)*$G34</f>
        <v>0</v>
      </c>
      <c r="I34" s="2465">
        <f>VLOOKUP($E34,Ratio,3,FALSE)*$G34</f>
        <v>0</v>
      </c>
      <c r="J34" s="2466">
        <f>VLOOKUP($E34,Ratio,4,FALSE)*$G34</f>
        <v>0</v>
      </c>
      <c r="L34" s="2447"/>
      <c r="M34" s="2447"/>
      <c r="N34" s="2447"/>
      <c r="O34" s="1397"/>
    </row>
    <row r="35" spans="1:15" ht="15" customHeight="1">
      <c r="A35" s="2442"/>
      <c r="B35" s="2185" t="s">
        <v>501</v>
      </c>
      <c r="C35" s="2464"/>
      <c r="D35" s="2171"/>
      <c r="E35" s="2171" t="s">
        <v>90</v>
      </c>
      <c r="F35" s="2472" t="s">
        <v>390</v>
      </c>
      <c r="G35" s="2172">
        <v>0</v>
      </c>
      <c r="H35" s="2465">
        <f>IF($E35="DIRECT",$L35,VLOOKUP($E35,Ratio,2,FALSE)*$G35)</f>
        <v>0</v>
      </c>
      <c r="I35" s="2465">
        <f>IF($E35="DIRECT",$M35,VLOOKUP($E35,Ratio,3,FALSE)*$G35)</f>
        <v>0</v>
      </c>
      <c r="J35" s="2466">
        <f>IF($E35="DIRECT",$N35,VLOOKUP($E35,Ratio,4,FALSE)*$G35)</f>
        <v>0</v>
      </c>
      <c r="L35" s="2193"/>
      <c r="M35" s="2172"/>
      <c r="N35" s="2172"/>
      <c r="O35" s="3704"/>
    </row>
    <row r="36" spans="1:15">
      <c r="A36" s="2310" t="s">
        <v>480</v>
      </c>
      <c r="B36" s="2097"/>
      <c r="C36" s="2473"/>
      <c r="D36" s="2473"/>
      <c r="E36" s="2474"/>
      <c r="F36" s="2474"/>
      <c r="G36" s="2475">
        <f>SUM(G16:G35)</f>
        <v>1755510842</v>
      </c>
      <c r="H36" s="2311">
        <f>SUM(H16:H35)</f>
        <v>1755510842</v>
      </c>
      <c r="I36" s="2476">
        <f>SUM(I16:I35)</f>
        <v>0</v>
      </c>
      <c r="J36" s="2312">
        <f>SUM(J16:J35)</f>
        <v>0</v>
      </c>
      <c r="L36" s="2447"/>
      <c r="M36" s="2447"/>
      <c r="N36" s="2447"/>
      <c r="O36" s="2447"/>
    </row>
    <row r="37" spans="1:15" ht="15" customHeight="1">
      <c r="A37" s="2306"/>
      <c r="B37" s="2097"/>
      <c r="C37" s="2116"/>
      <c r="D37" s="2116"/>
      <c r="E37" s="3705"/>
      <c r="F37" s="1397"/>
      <c r="G37" s="3705"/>
      <c r="H37" s="2182"/>
      <c r="I37" s="2182"/>
      <c r="J37" s="2289"/>
      <c r="L37" s="2477"/>
      <c r="M37" s="2447"/>
      <c r="N37" s="2447"/>
      <c r="O37" s="2447"/>
    </row>
    <row r="38" spans="1:15">
      <c r="A38" s="2305" t="s">
        <v>500</v>
      </c>
      <c r="B38" s="2097"/>
      <c r="C38" s="2116"/>
      <c r="D38" s="2098"/>
      <c r="E38" s="2097"/>
      <c r="F38" s="2097"/>
      <c r="G38" s="2117"/>
      <c r="H38" s="2182"/>
      <c r="I38" s="2182"/>
      <c r="J38" s="2289"/>
      <c r="L38" s="2477"/>
      <c r="M38" s="2447"/>
      <c r="N38" s="2447"/>
      <c r="O38" s="2447"/>
    </row>
    <row r="39" spans="1:15" ht="15" customHeight="1">
      <c r="A39" s="2442"/>
      <c r="B39" s="2185" t="s">
        <v>397</v>
      </c>
      <c r="C39" s="2464" t="s">
        <v>72</v>
      </c>
      <c r="D39" s="2171" t="s">
        <v>481</v>
      </c>
      <c r="E39" s="2171" t="s">
        <v>8457</v>
      </c>
      <c r="F39" s="2171"/>
      <c r="G39" s="2193">
        <f>'FERC p320-323 Elec. O&amp;M'!C118</f>
        <v>162583424</v>
      </c>
      <c r="H39" s="2465">
        <f>VLOOKUP($E39,Ratio,2,FALSE)*$G39</f>
        <v>162583424</v>
      </c>
      <c r="I39" s="2465">
        <f>VLOOKUP($E39,Ratio,3,FALSE)*$G39</f>
        <v>0</v>
      </c>
      <c r="J39" s="2466">
        <f>VLOOKUP($E39,Ratio,4,FALSE)*$G39</f>
        <v>0</v>
      </c>
      <c r="L39" s="2447"/>
      <c r="M39" s="2447"/>
      <c r="N39" s="2447"/>
      <c r="O39" s="2447"/>
    </row>
    <row r="40" spans="1:15" ht="15" customHeight="1">
      <c r="A40" s="2442"/>
      <c r="B40" s="2185" t="s">
        <v>460</v>
      </c>
      <c r="C40" s="2464" t="s">
        <v>72</v>
      </c>
      <c r="D40" s="2171" t="s">
        <v>210</v>
      </c>
      <c r="E40" s="2171" t="s">
        <v>391</v>
      </c>
      <c r="F40" s="2171"/>
      <c r="G40" s="2193">
        <f>'FERC p320-323 Elec. O&amp;M'!C121-G39</f>
        <v>14310154</v>
      </c>
      <c r="H40" s="2465">
        <f>VLOOKUP($E40,Ratio,2,FALSE)*$G40</f>
        <v>0</v>
      </c>
      <c r="I40" s="2465">
        <f>VLOOKUP($E40,Ratio,3,FALSE)*$G40</f>
        <v>0</v>
      </c>
      <c r="J40" s="2466">
        <f>VLOOKUP($E40,Ratio,4,FALSE)*$G40</f>
        <v>14310154</v>
      </c>
      <c r="L40" s="2447"/>
      <c r="M40" s="2447"/>
      <c r="N40" s="2447"/>
      <c r="O40" s="2447"/>
    </row>
    <row r="41" spans="1:15" ht="15" customHeight="1">
      <c r="A41" s="2442"/>
      <c r="B41" s="2185" t="s">
        <v>461</v>
      </c>
      <c r="C41" s="2464" t="s">
        <v>72</v>
      </c>
      <c r="D41" s="2171" t="s">
        <v>211</v>
      </c>
      <c r="E41" s="2171" t="s">
        <v>391</v>
      </c>
      <c r="F41" s="2171"/>
      <c r="G41" s="2193">
        <f>'FERC p320-323 Elec. O&amp;M'!C134</f>
        <v>11909901</v>
      </c>
      <c r="H41" s="2465">
        <f>VLOOKUP($E41,Ratio,2,FALSE)*$G41</f>
        <v>0</v>
      </c>
      <c r="I41" s="2465">
        <f>VLOOKUP($E41,Ratio,3,FALSE)*$G41</f>
        <v>0</v>
      </c>
      <c r="J41" s="2466">
        <f>VLOOKUP($E41,Ratio,4,FALSE)*$G41</f>
        <v>11909901</v>
      </c>
      <c r="L41" s="2447"/>
      <c r="M41" s="2447"/>
      <c r="N41" s="2447"/>
      <c r="O41" s="2447"/>
    </row>
    <row r="42" spans="1:15">
      <c r="A42" s="2310" t="s">
        <v>482</v>
      </c>
      <c r="B42" s="2097"/>
      <c r="C42" s="2473"/>
      <c r="D42" s="2473"/>
      <c r="E42" s="2474"/>
      <c r="F42" s="2474"/>
      <c r="G42" s="2186">
        <f>SUM(G39:G41)</f>
        <v>188803479</v>
      </c>
      <c r="H42" s="2311">
        <f>SUM(H39:H41)</f>
        <v>162583424</v>
      </c>
      <c r="I42" s="2311">
        <f>SUM(I39:I41)</f>
        <v>0</v>
      </c>
      <c r="J42" s="2312">
        <f>SUM(J39:J41)</f>
        <v>26220055</v>
      </c>
      <c r="L42" s="2447"/>
      <c r="M42" s="2447"/>
      <c r="N42" s="2447"/>
      <c r="O42" s="2447"/>
    </row>
    <row r="43" spans="1:15" ht="12" thickBot="1">
      <c r="A43" s="2443"/>
      <c r="B43" s="2444"/>
      <c r="C43" s="2120"/>
      <c r="D43" s="2120"/>
      <c r="E43" s="3707"/>
      <c r="F43" s="3707"/>
      <c r="G43" s="3707"/>
      <c r="H43" s="2220"/>
      <c r="I43" s="2220"/>
      <c r="J43" s="2478"/>
      <c r="L43" s="2447"/>
      <c r="M43" s="2447"/>
      <c r="N43" s="2447"/>
      <c r="O43" s="2447"/>
    </row>
    <row r="44" spans="1:15" ht="15" customHeight="1" thickTop="1">
      <c r="A44" s="2305" t="s">
        <v>483</v>
      </c>
      <c r="B44" s="2097"/>
      <c r="C44" s="2116"/>
      <c r="D44" s="2098"/>
      <c r="E44" s="2097"/>
      <c r="F44" s="2097"/>
      <c r="G44" s="2117"/>
      <c r="H44" s="2182"/>
      <c r="I44" s="2182"/>
      <c r="J44" s="2289"/>
      <c r="L44" s="2447"/>
      <c r="M44" s="2447"/>
      <c r="N44" s="2447"/>
      <c r="O44" s="2447"/>
    </row>
    <row r="45" spans="1:15" ht="15" customHeight="1">
      <c r="A45" s="2442"/>
      <c r="B45" s="2185" t="s">
        <v>462</v>
      </c>
      <c r="C45" s="2464" t="s">
        <v>72</v>
      </c>
      <c r="D45" s="2171" t="s">
        <v>484</v>
      </c>
      <c r="E45" s="2171" t="s">
        <v>390</v>
      </c>
      <c r="F45" s="2171"/>
      <c r="G45" s="2193">
        <f>'FERC p320-323 Elec. O&amp;M'!C175</f>
        <v>44589259</v>
      </c>
      <c r="H45" s="2465">
        <f>VLOOKUP($E45,Ratio,2,FALSE)*$G45</f>
        <v>0</v>
      </c>
      <c r="I45" s="2465">
        <f>VLOOKUP($E45,Ratio,3,FALSE)*$G45</f>
        <v>0</v>
      </c>
      <c r="J45" s="2466">
        <f>VLOOKUP($E45,Ratio,4,FALSE)*$G45</f>
        <v>44589259</v>
      </c>
      <c r="L45" s="2447"/>
      <c r="M45" s="2447"/>
      <c r="N45" s="2447"/>
      <c r="O45" s="2447"/>
    </row>
    <row r="46" spans="1:15" ht="15" customHeight="1">
      <c r="A46" s="2442"/>
      <c r="B46" s="2185" t="s">
        <v>461</v>
      </c>
      <c r="C46" s="2464" t="s">
        <v>72</v>
      </c>
      <c r="D46" s="2171" t="s">
        <v>485</v>
      </c>
      <c r="E46" s="2171" t="s">
        <v>390</v>
      </c>
      <c r="F46" s="2171"/>
      <c r="G46" s="2193">
        <f>'FERC p320-323 Elec. O&amp;M'!C187</f>
        <v>64057473</v>
      </c>
      <c r="H46" s="2465">
        <f>VLOOKUP($E46,Ratio,2,FALSE)*$G46</f>
        <v>0</v>
      </c>
      <c r="I46" s="2465">
        <f>VLOOKUP($E46,Ratio,3,FALSE)*$G46</f>
        <v>0</v>
      </c>
      <c r="J46" s="2466">
        <f>VLOOKUP($E46,Ratio,4,FALSE)*$G46</f>
        <v>64057473</v>
      </c>
      <c r="L46" s="2447"/>
      <c r="M46" s="2447"/>
      <c r="N46" s="2447"/>
      <c r="O46" s="2447"/>
    </row>
    <row r="47" spans="1:15" ht="15" customHeight="1">
      <c r="A47" s="2310" t="s">
        <v>486</v>
      </c>
      <c r="B47" s="2097"/>
      <c r="C47" s="2473"/>
      <c r="D47" s="2473"/>
      <c r="E47" s="2474"/>
      <c r="F47" s="2474"/>
      <c r="G47" s="2186">
        <f>SUM(G45:G46)</f>
        <v>108646732</v>
      </c>
      <c r="H47" s="2311">
        <f>SUM(H45:H46)</f>
        <v>0</v>
      </c>
      <c r="I47" s="2311">
        <f>SUM(I45:I46)</f>
        <v>0</v>
      </c>
      <c r="J47" s="2312">
        <f>SUM(J45:J46)</f>
        <v>108646732</v>
      </c>
      <c r="L47" s="2447"/>
      <c r="M47" s="2447"/>
      <c r="N47" s="2447"/>
      <c r="O47" s="2447"/>
    </row>
    <row r="48" spans="1:15" ht="9.9499999999999993" customHeight="1">
      <c r="A48" s="2306"/>
      <c r="B48" s="2097"/>
      <c r="C48" s="2116"/>
      <c r="D48" s="2116"/>
      <c r="E48" s="2098"/>
      <c r="F48" s="2098"/>
      <c r="G48" s="2211"/>
      <c r="H48" s="2181"/>
      <c r="I48" s="2181"/>
      <c r="J48" s="2327"/>
      <c r="L48" s="2447"/>
      <c r="M48" s="2447"/>
      <c r="N48" s="2447"/>
      <c r="O48" s="2447"/>
    </row>
    <row r="49" spans="1:15" ht="15" customHeight="1">
      <c r="A49" s="2305" t="s">
        <v>487</v>
      </c>
      <c r="B49" s="2097"/>
      <c r="C49" s="2116"/>
      <c r="D49" s="2116"/>
      <c r="E49" s="3705"/>
      <c r="F49" s="1397"/>
      <c r="G49" s="3706"/>
      <c r="H49" s="2181"/>
      <c r="I49" s="2181"/>
      <c r="J49" s="2327"/>
      <c r="L49" s="2447"/>
      <c r="M49" s="2447"/>
      <c r="N49" s="2447"/>
      <c r="O49" s="2447"/>
    </row>
    <row r="50" spans="1:15" ht="15" customHeight="1">
      <c r="A50" s="2442"/>
      <c r="B50" s="2185" t="s">
        <v>463</v>
      </c>
      <c r="C50" s="2464" t="s">
        <v>72</v>
      </c>
      <c r="D50" s="2464" t="s">
        <v>488</v>
      </c>
      <c r="E50" s="2171" t="s">
        <v>390</v>
      </c>
      <c r="F50" s="2171"/>
      <c r="G50" s="2193">
        <f>'FERC p320-323 Elec. O&amp;M'!C196</f>
        <v>59970042</v>
      </c>
      <c r="H50" s="2465">
        <f>VLOOKUP($E50,Ratio,2,FALSE)*$G50</f>
        <v>0</v>
      </c>
      <c r="I50" s="2465">
        <f>VLOOKUP($E50,Ratio,3,FALSE)*$G50</f>
        <v>0</v>
      </c>
      <c r="J50" s="2466">
        <f>VLOOKUP($E50,Ratio,4,FALSE)*$G50</f>
        <v>59970042</v>
      </c>
      <c r="L50" s="2447"/>
      <c r="M50" s="2447"/>
      <c r="N50" s="2447"/>
      <c r="O50" s="2447"/>
    </row>
    <row r="51" spans="1:15" ht="15" customHeight="1">
      <c r="A51" s="2442"/>
      <c r="B51" s="2185" t="s">
        <v>172</v>
      </c>
      <c r="C51" s="2464" t="s">
        <v>72</v>
      </c>
      <c r="D51" s="2464" t="s">
        <v>393</v>
      </c>
      <c r="E51" s="2171" t="s">
        <v>390</v>
      </c>
      <c r="F51" s="2479"/>
      <c r="G51" s="2193">
        <f>'FERC p320-323 Elec. O&amp;M'!C206</f>
        <v>0</v>
      </c>
      <c r="H51" s="2465">
        <f>VLOOKUP($E51,Ratio,2,FALSE)*$G51</f>
        <v>0</v>
      </c>
      <c r="I51" s="2465">
        <f>VLOOKUP($E51,Ratio,3,FALSE)*$G51</f>
        <v>0</v>
      </c>
      <c r="J51" s="2466">
        <f>VLOOKUP($E51,Ratio,4,FALSE)*$G51</f>
        <v>0</v>
      </c>
      <c r="L51" s="2447"/>
      <c r="M51" s="2447"/>
      <c r="N51" s="2447"/>
      <c r="O51" s="1397"/>
    </row>
    <row r="52" spans="1:15" ht="15" customHeight="1">
      <c r="A52" s="2442"/>
      <c r="B52" s="2480" t="s">
        <v>574</v>
      </c>
      <c r="C52" s="2481" t="s">
        <v>72</v>
      </c>
      <c r="D52" s="2481">
        <v>908</v>
      </c>
      <c r="E52" s="2482" t="s">
        <v>90</v>
      </c>
      <c r="F52" s="2482" t="s">
        <v>390</v>
      </c>
      <c r="G52" s="2172">
        <f>'FERC p320-323 Elec. O&amp;M'!C207</f>
        <v>144569269</v>
      </c>
      <c r="H52" s="2465">
        <f>IF($E52="DIRECT",$L52,VLOOKUP($E52,Ratio,2,FALSE)*$G52)</f>
        <v>97941405.329999998</v>
      </c>
      <c r="I52" s="2465">
        <f>IF($E52="DIRECT",$M52,VLOOKUP($E52,Ratio,3,FALSE)*$G52)</f>
        <v>0</v>
      </c>
      <c r="J52" s="2466">
        <f>IF($E52="DIRECT",$N52,VLOOKUP($E52,Ratio,4,FALSE)*$G52)</f>
        <v>46627864.049999997</v>
      </c>
      <c r="L52" s="2483">
        <f>'DIRECT 908'!E29</f>
        <v>97941405.329999998</v>
      </c>
      <c r="M52" s="2483">
        <v>0</v>
      </c>
      <c r="N52" s="2483">
        <f>SUM('DIRECT 908'!E27:E28)</f>
        <v>46627864.049999997</v>
      </c>
      <c r="O52" s="3704"/>
    </row>
    <row r="53" spans="1:15" ht="15" customHeight="1">
      <c r="A53" s="2442"/>
      <c r="B53" s="2484" t="s">
        <v>172</v>
      </c>
      <c r="C53" s="2485" t="s">
        <v>72</v>
      </c>
      <c r="D53" s="2481" t="s">
        <v>394</v>
      </c>
      <c r="E53" s="2482" t="s">
        <v>390</v>
      </c>
      <c r="F53" s="2482" t="s">
        <v>90</v>
      </c>
      <c r="G53" s="2172">
        <f>SUM('FERC p320-323 Elec. O&amp;M'!C208:C209)</f>
        <v>2499626</v>
      </c>
      <c r="H53" s="2486">
        <f>IF($E53="DIRECT",$L53,VLOOKUP($E53,Ratio,2,FALSE)*$G53)</f>
        <v>0</v>
      </c>
      <c r="I53" s="2486">
        <f>IF($E53="DIRECT",$M53,VLOOKUP($E53,Ratio,3,FALSE)*$G53)</f>
        <v>0</v>
      </c>
      <c r="J53" s="2487">
        <f>IF($E53="DIRECT",$N53,VLOOKUP($E53,Ratio,4,FALSE)*$G53)</f>
        <v>2499626</v>
      </c>
      <c r="L53" s="2483"/>
      <c r="M53" s="2483"/>
      <c r="N53" s="2483"/>
      <c r="O53" s="2447"/>
    </row>
    <row r="54" spans="1:15" ht="15" customHeight="1">
      <c r="A54" s="2442"/>
      <c r="B54" s="2185" t="s">
        <v>395</v>
      </c>
      <c r="C54" s="2464" t="s">
        <v>72</v>
      </c>
      <c r="D54" s="2464" t="s">
        <v>396</v>
      </c>
      <c r="E54" s="2171" t="s">
        <v>390</v>
      </c>
      <c r="F54" s="2171"/>
      <c r="G54" s="2193">
        <f>'FERC p320-323 Elec. O&amp;M'!C217</f>
        <v>1231798</v>
      </c>
      <c r="H54" s="2465">
        <f>VLOOKUP($E54,Ratio,2,FALSE)*$G54</f>
        <v>0</v>
      </c>
      <c r="I54" s="2465">
        <f>VLOOKUP($E54,Ratio,3,FALSE)*$G54</f>
        <v>0</v>
      </c>
      <c r="J54" s="2466">
        <f>VLOOKUP($E54,Ratio,4,FALSE)*$G54</f>
        <v>1231798</v>
      </c>
      <c r="L54" s="2447"/>
      <c r="M54" s="2447"/>
      <c r="N54" s="2447"/>
      <c r="O54" s="2447"/>
    </row>
    <row r="55" spans="1:15" ht="15" customHeight="1">
      <c r="A55" s="2310" t="s">
        <v>489</v>
      </c>
      <c r="B55" s="2097"/>
      <c r="C55" s="2473"/>
      <c r="D55" s="2473"/>
      <c r="E55" s="2474"/>
      <c r="F55" s="2474"/>
      <c r="G55" s="2186">
        <f>SUM(G50:G54)</f>
        <v>208270735</v>
      </c>
      <c r="H55" s="2311">
        <f>SUM(H50:H54)</f>
        <v>97941405.329999998</v>
      </c>
      <c r="I55" s="2311">
        <f>SUM(I50:I54)</f>
        <v>0</v>
      </c>
      <c r="J55" s="2312">
        <f>SUM(J50:J54)</f>
        <v>110329330.05</v>
      </c>
      <c r="L55" s="2447"/>
      <c r="M55" s="2447"/>
      <c r="N55" s="2447"/>
      <c r="O55" s="2447"/>
    </row>
    <row r="56" spans="1:15" ht="9.9499999999999993" customHeight="1">
      <c r="A56" s="2306"/>
      <c r="B56" s="2097"/>
      <c r="C56" s="2116"/>
      <c r="D56" s="2098"/>
      <c r="E56" s="2098"/>
      <c r="F56" s="2098"/>
      <c r="G56" s="2211"/>
      <c r="H56" s="2181"/>
      <c r="I56" s="2181"/>
      <c r="J56" s="2327"/>
      <c r="L56" s="2447"/>
      <c r="M56" s="2447"/>
      <c r="N56" s="2447"/>
      <c r="O56" s="2447"/>
    </row>
    <row r="57" spans="1:15" ht="15" customHeight="1">
      <c r="A57" s="2305" t="s">
        <v>490</v>
      </c>
      <c r="B57" s="2097"/>
      <c r="C57" s="2116"/>
      <c r="D57" s="2098"/>
      <c r="E57" s="3705"/>
      <c r="F57" s="1397"/>
      <c r="G57" s="3706"/>
      <c r="H57" s="2182"/>
      <c r="I57" s="2182"/>
      <c r="J57" s="2289"/>
      <c r="L57" s="2447"/>
      <c r="M57" s="2447"/>
      <c r="N57" s="2447"/>
      <c r="O57" s="2447"/>
    </row>
    <row r="58" spans="1:15" ht="15" customHeight="1">
      <c r="A58" s="2305"/>
      <c r="B58" s="2143" t="s">
        <v>436</v>
      </c>
      <c r="C58" s="2116"/>
      <c r="D58" s="2098"/>
      <c r="E58" s="2097"/>
      <c r="F58" s="2097"/>
      <c r="G58" s="2117"/>
      <c r="H58" s="2182"/>
      <c r="I58" s="2182"/>
      <c r="J58" s="2289"/>
      <c r="L58" s="2447"/>
      <c r="M58" s="2447"/>
      <c r="N58" s="2447"/>
      <c r="O58" s="2447"/>
    </row>
    <row r="59" spans="1:15" ht="15" customHeight="1">
      <c r="A59" s="2442"/>
      <c r="B59" s="2185" t="s">
        <v>163</v>
      </c>
      <c r="C59" s="2464" t="s">
        <v>72</v>
      </c>
      <c r="D59" s="2464">
        <v>920</v>
      </c>
      <c r="E59" s="2171" t="s">
        <v>95</v>
      </c>
      <c r="F59" s="2171"/>
      <c r="G59" s="2193">
        <f>'FERC p320-323 Elec. O&amp;M'!C220</f>
        <v>78570677</v>
      </c>
      <c r="H59" s="2465">
        <f t="shared" ref="H59:H68" si="0">VLOOKUP($E59,Ratio,2,FALSE)*$G59</f>
        <v>26700683.57674123</v>
      </c>
      <c r="I59" s="2465">
        <f t="shared" ref="I59:I68" si="1">VLOOKUP($E59,Ratio,3,FALSE)*$G59</f>
        <v>0</v>
      </c>
      <c r="J59" s="2466">
        <f t="shared" ref="J59:J68" si="2">VLOOKUP($E59,Ratio,4,FALSE)*$G59</f>
        <v>51869993.423258774</v>
      </c>
      <c r="L59" s="2447"/>
      <c r="M59" s="2447"/>
      <c r="N59" s="2447"/>
      <c r="O59" s="2447"/>
    </row>
    <row r="60" spans="1:15" ht="15" customHeight="1">
      <c r="A60" s="2442"/>
      <c r="B60" s="2185" t="s">
        <v>164</v>
      </c>
      <c r="C60" s="2464" t="s">
        <v>72</v>
      </c>
      <c r="D60" s="2464">
        <v>921</v>
      </c>
      <c r="E60" s="2171" t="s">
        <v>95</v>
      </c>
      <c r="F60" s="2171"/>
      <c r="G60" s="2193">
        <f>'FERC p320-323 Elec. O&amp;M'!C221</f>
        <v>7463412</v>
      </c>
      <c r="H60" s="2465">
        <f t="shared" si="0"/>
        <v>2536292.2889776477</v>
      </c>
      <c r="I60" s="2465">
        <f t="shared" si="1"/>
        <v>0</v>
      </c>
      <c r="J60" s="2466">
        <f t="shared" si="2"/>
        <v>4927119.7110223528</v>
      </c>
      <c r="L60" s="2447"/>
      <c r="M60" s="2447"/>
      <c r="N60" s="2447"/>
      <c r="O60" s="2447"/>
    </row>
    <row r="61" spans="1:15" ht="15" customHeight="1">
      <c r="A61" s="2442"/>
      <c r="B61" s="2185" t="s">
        <v>165</v>
      </c>
      <c r="C61" s="2464" t="s">
        <v>72</v>
      </c>
      <c r="D61" s="2464">
        <v>922</v>
      </c>
      <c r="E61" s="2171" t="s">
        <v>95</v>
      </c>
      <c r="F61" s="2171"/>
      <c r="G61" s="2193">
        <f>'FERC p320-323 Elec. O&amp;M'!C222</f>
        <v>32365661</v>
      </c>
      <c r="H61" s="2465">
        <f t="shared" si="0"/>
        <v>10998826.866581207</v>
      </c>
      <c r="I61" s="2465">
        <f t="shared" si="1"/>
        <v>0</v>
      </c>
      <c r="J61" s="2466">
        <f t="shared" si="2"/>
        <v>21366834.133418795</v>
      </c>
      <c r="L61" s="2447"/>
      <c r="M61" s="2447"/>
      <c r="N61" s="2447"/>
      <c r="O61" s="2447"/>
    </row>
    <row r="62" spans="1:15" ht="15" customHeight="1">
      <c r="A62" s="2442"/>
      <c r="B62" s="2185" t="s">
        <v>166</v>
      </c>
      <c r="C62" s="2464" t="s">
        <v>72</v>
      </c>
      <c r="D62" s="2464">
        <v>923</v>
      </c>
      <c r="E62" s="2171" t="s">
        <v>95</v>
      </c>
      <c r="F62" s="2171"/>
      <c r="G62" s="2193">
        <f>'FERC p320-323 Elec. O&amp;M'!C223</f>
        <v>20765085</v>
      </c>
      <c r="H62" s="2465">
        <f t="shared" si="0"/>
        <v>7056601.5872452725</v>
      </c>
      <c r="I62" s="2465">
        <f t="shared" si="1"/>
        <v>0</v>
      </c>
      <c r="J62" s="2466">
        <f t="shared" si="2"/>
        <v>13708483.412754728</v>
      </c>
      <c r="L62" s="2447"/>
      <c r="M62" s="2447"/>
      <c r="N62" s="2447"/>
      <c r="O62" s="2447"/>
    </row>
    <row r="63" spans="1:15" ht="15" customHeight="1">
      <c r="A63" s="2442"/>
      <c r="B63" s="2185" t="s">
        <v>167</v>
      </c>
      <c r="C63" s="2464" t="s">
        <v>72</v>
      </c>
      <c r="D63" s="2464">
        <v>924</v>
      </c>
      <c r="E63" s="2171" t="s">
        <v>108</v>
      </c>
      <c r="F63" s="2171"/>
      <c r="G63" s="2193">
        <f>'FERC p320-323 Elec. O&amp;M'!C224</f>
        <v>6318020</v>
      </c>
      <c r="H63" s="2465">
        <f t="shared" si="0"/>
        <v>2210502.0408064411</v>
      </c>
      <c r="I63" s="2465">
        <f t="shared" si="1"/>
        <v>0</v>
      </c>
      <c r="J63" s="2466">
        <f t="shared" si="2"/>
        <v>4107517.9579843101</v>
      </c>
      <c r="L63" s="2447"/>
      <c r="M63" s="2447"/>
      <c r="N63" s="2447"/>
      <c r="O63" s="2447"/>
    </row>
    <row r="64" spans="1:15" ht="15" customHeight="1">
      <c r="A64" s="2442"/>
      <c r="B64" s="2185" t="s">
        <v>464</v>
      </c>
      <c r="C64" s="2464" t="s">
        <v>72</v>
      </c>
      <c r="D64" s="2464">
        <v>925</v>
      </c>
      <c r="E64" s="2171" t="s">
        <v>8458</v>
      </c>
      <c r="F64" s="2171"/>
      <c r="G64" s="2193">
        <f>'FERC p320-323 Elec. O&amp;M'!C225</f>
        <v>8919311</v>
      </c>
      <c r="H64" s="2465">
        <f t="shared" si="0"/>
        <v>3031050.6390768071</v>
      </c>
      <c r="I64" s="2465">
        <f t="shared" si="1"/>
        <v>0</v>
      </c>
      <c r="J64" s="2466">
        <f t="shared" si="2"/>
        <v>5888260.3609231925</v>
      </c>
      <c r="L64" s="2447"/>
      <c r="M64" s="2447"/>
      <c r="N64" s="2447"/>
      <c r="O64" s="2447"/>
    </row>
    <row r="65" spans="1:15" ht="15" customHeight="1">
      <c r="A65" s="2442"/>
      <c r="B65" s="2185" t="s">
        <v>465</v>
      </c>
      <c r="C65" s="2464" t="s">
        <v>72</v>
      </c>
      <c r="D65" s="2464">
        <v>926</v>
      </c>
      <c r="E65" s="2171" t="s">
        <v>95</v>
      </c>
      <c r="F65" s="2171"/>
      <c r="G65" s="2193">
        <f>'FERC p320-323 Elec. O&amp;M'!C226</f>
        <v>28392494</v>
      </c>
      <c r="H65" s="2465">
        <f t="shared" si="0"/>
        <v>9648624.9984650631</v>
      </c>
      <c r="I65" s="2465">
        <f t="shared" si="1"/>
        <v>0</v>
      </c>
      <c r="J65" s="2466">
        <f t="shared" si="2"/>
        <v>18743869.001534939</v>
      </c>
      <c r="L65" s="2447"/>
      <c r="M65" s="2447"/>
      <c r="N65" s="2447"/>
      <c r="O65" s="2447"/>
    </row>
    <row r="66" spans="1:15" ht="15" customHeight="1">
      <c r="A66" s="2442"/>
      <c r="B66" s="2185" t="s">
        <v>466</v>
      </c>
      <c r="C66" s="2464" t="s">
        <v>72</v>
      </c>
      <c r="D66" s="2464">
        <v>927</v>
      </c>
      <c r="E66" s="2171" t="s">
        <v>390</v>
      </c>
      <c r="F66" s="2171"/>
      <c r="G66" s="2193">
        <f>'FERC p320-323 Elec. O&amp;M'!C227</f>
        <v>0</v>
      </c>
      <c r="H66" s="2465">
        <f t="shared" si="0"/>
        <v>0</v>
      </c>
      <c r="I66" s="2465">
        <f t="shared" si="1"/>
        <v>0</v>
      </c>
      <c r="J66" s="2466">
        <f t="shared" si="2"/>
        <v>0</v>
      </c>
      <c r="L66" s="2447"/>
      <c r="M66" s="2447"/>
      <c r="N66" s="2447"/>
      <c r="O66" s="2447"/>
    </row>
    <row r="67" spans="1:15" ht="15" customHeight="1">
      <c r="A67" s="2442"/>
      <c r="B67" s="2185" t="s">
        <v>468</v>
      </c>
      <c r="C67" s="2464" t="s">
        <v>72</v>
      </c>
      <c r="D67" s="2464">
        <v>928</v>
      </c>
      <c r="E67" s="2171" t="s">
        <v>390</v>
      </c>
      <c r="F67" s="2171"/>
      <c r="G67" s="2193">
        <f>'FERC p320-323 Elec. O&amp;M'!C228</f>
        <v>16043545</v>
      </c>
      <c r="H67" s="2465">
        <f t="shared" si="0"/>
        <v>0</v>
      </c>
      <c r="I67" s="2465">
        <f t="shared" si="1"/>
        <v>0</v>
      </c>
      <c r="J67" s="2466">
        <f t="shared" si="2"/>
        <v>16043545</v>
      </c>
      <c r="L67" s="2447"/>
      <c r="M67" s="2447"/>
      <c r="N67" s="2447"/>
      <c r="O67" s="2447"/>
    </row>
    <row r="68" spans="1:15" ht="15" customHeight="1">
      <c r="A68" s="2442"/>
      <c r="B68" s="2185" t="s">
        <v>168</v>
      </c>
      <c r="C68" s="2464" t="s">
        <v>72</v>
      </c>
      <c r="D68" s="2464">
        <v>929</v>
      </c>
      <c r="E68" s="2171" t="s">
        <v>108</v>
      </c>
      <c r="F68" s="2171"/>
      <c r="G68" s="2193">
        <f>'FERC p320-323 Elec. O&amp;M'!C229</f>
        <v>0</v>
      </c>
      <c r="H68" s="2465">
        <f t="shared" si="0"/>
        <v>0</v>
      </c>
      <c r="I68" s="2465">
        <f t="shared" si="1"/>
        <v>0</v>
      </c>
      <c r="J68" s="2466">
        <f t="shared" si="2"/>
        <v>0</v>
      </c>
      <c r="L68" s="2447"/>
      <c r="M68" s="2447"/>
      <c r="N68" s="2447"/>
      <c r="O68" s="2447"/>
    </row>
    <row r="69" spans="1:15" ht="15" customHeight="1">
      <c r="A69" s="2442"/>
      <c r="B69" s="2484" t="s">
        <v>169</v>
      </c>
      <c r="C69" s="2485" t="s">
        <v>72</v>
      </c>
      <c r="D69" s="2485">
        <v>930.1</v>
      </c>
      <c r="E69" s="2482" t="s">
        <v>390</v>
      </c>
      <c r="F69" s="2482" t="s">
        <v>90</v>
      </c>
      <c r="G69" s="2172">
        <f>'FERC p320-323 Elec. O&amp;M'!C230</f>
        <v>56129</v>
      </c>
      <c r="H69" s="2486">
        <f>IF($E69="DIRECT",$L69,VLOOKUP($E69,Ratio,2,FALSE)*$G69)</f>
        <v>0</v>
      </c>
      <c r="I69" s="2486">
        <f>IF($E69="DIRECT",$M69,VLOOKUP($E69,Ratio,3,FALSE)*$G69)</f>
        <v>0</v>
      </c>
      <c r="J69" s="2487">
        <f>IF($E69="DIRECT",$N69,VLOOKUP($E69,Ratio,4,FALSE)*$G69)</f>
        <v>56129</v>
      </c>
      <c r="L69" s="2483"/>
      <c r="M69" s="2483"/>
      <c r="N69" s="2483"/>
      <c r="O69" s="2447"/>
    </row>
    <row r="70" spans="1:15" ht="15" customHeight="1">
      <c r="A70" s="2442"/>
      <c r="B70" s="2484" t="s">
        <v>467</v>
      </c>
      <c r="C70" s="2485" t="s">
        <v>72</v>
      </c>
      <c r="D70" s="2485">
        <v>930.2</v>
      </c>
      <c r="E70" s="2482" t="s">
        <v>390</v>
      </c>
      <c r="F70" s="2482" t="s">
        <v>90</v>
      </c>
      <c r="G70" s="2172">
        <f>'FERC p320-323 Elec. O&amp;M'!C231</f>
        <v>9187393</v>
      </c>
      <c r="H70" s="2486">
        <f>IF($E70="DIRECT",$L70,VLOOKUP($E70,Ratio,2,FALSE)*$G70)</f>
        <v>0</v>
      </c>
      <c r="I70" s="2486">
        <f>IF($E70="DIRECT",$M70,VLOOKUP($E70,Ratio,3,FALSE)*$G70)</f>
        <v>0</v>
      </c>
      <c r="J70" s="2487">
        <f>IF($E70="DIRECT",$N70,VLOOKUP($E70,Ratio,4,FALSE)*$G70)</f>
        <v>9187393</v>
      </c>
      <c r="L70" s="2483"/>
      <c r="M70" s="2483"/>
      <c r="N70" s="2483"/>
      <c r="O70" s="2447"/>
    </row>
    <row r="71" spans="1:15" ht="15" customHeight="1">
      <c r="A71" s="2442"/>
      <c r="B71" s="2185" t="s">
        <v>491</v>
      </c>
      <c r="C71" s="2464" t="s">
        <v>72</v>
      </c>
      <c r="D71" s="2464">
        <v>931</v>
      </c>
      <c r="E71" s="2171" t="s">
        <v>390</v>
      </c>
      <c r="F71" s="2171"/>
      <c r="G71" s="2193">
        <f>'FERC p320-323 Elec. O&amp;M'!C232</f>
        <v>10338554</v>
      </c>
      <c r="H71" s="2465">
        <f>VLOOKUP($E71,Ratio,2,FALSE)*$G71</f>
        <v>0</v>
      </c>
      <c r="I71" s="2465">
        <f>VLOOKUP($E71,Ratio,3,FALSE)*$G71</f>
        <v>0</v>
      </c>
      <c r="J71" s="2466">
        <f>VLOOKUP($E71,Ratio,4,FALSE)*$G71</f>
        <v>10338554</v>
      </c>
      <c r="L71" s="2447"/>
      <c r="M71" s="2447"/>
      <c r="N71" s="2447"/>
      <c r="O71" s="2447"/>
    </row>
    <row r="72" spans="1:15" ht="15" customHeight="1">
      <c r="A72" s="2442"/>
      <c r="B72" s="2185" t="s">
        <v>267</v>
      </c>
      <c r="C72" s="2464" t="s">
        <v>266</v>
      </c>
      <c r="D72" s="2464">
        <v>933</v>
      </c>
      <c r="E72" s="2171" t="s">
        <v>390</v>
      </c>
      <c r="F72" s="2171"/>
      <c r="G72" s="2193">
        <v>0</v>
      </c>
      <c r="H72" s="2465">
        <f>VLOOKUP($E72,Ratio,2,FALSE)*$G72</f>
        <v>0</v>
      </c>
      <c r="I72" s="2465">
        <f>VLOOKUP($E72,Ratio,3,FALSE)*$G72</f>
        <v>0</v>
      </c>
      <c r="J72" s="2466">
        <f>VLOOKUP($E72,Ratio,4,FALSE)*$G72</f>
        <v>0</v>
      </c>
      <c r="L72" s="2447"/>
      <c r="M72" s="2447"/>
      <c r="N72" s="2447"/>
      <c r="O72" s="2447"/>
    </row>
    <row r="73" spans="1:15" ht="15" customHeight="1">
      <c r="A73" s="2442"/>
      <c r="B73" s="2143" t="s">
        <v>437</v>
      </c>
      <c r="C73" s="2116"/>
      <c r="D73" s="2098"/>
      <c r="E73" s="2098"/>
      <c r="F73" s="2098"/>
      <c r="G73" s="2488"/>
      <c r="H73" s="2467"/>
      <c r="I73" s="2467"/>
      <c r="J73" s="2468"/>
      <c r="L73" s="2447"/>
      <c r="M73" s="2447"/>
      <c r="N73" s="2447"/>
      <c r="O73" s="2447"/>
    </row>
    <row r="74" spans="1:15" ht="15" customHeight="1">
      <c r="A74" s="2442"/>
      <c r="B74" s="2185" t="s">
        <v>94</v>
      </c>
      <c r="C74" s="2464" t="s">
        <v>72</v>
      </c>
      <c r="D74" s="2464">
        <v>935</v>
      </c>
      <c r="E74" s="2171" t="s">
        <v>93</v>
      </c>
      <c r="F74" s="2171"/>
      <c r="G74" s="2193">
        <f>'FERC p320-323 Elec. O&amp;M'!C235</f>
        <v>18392095</v>
      </c>
      <c r="H74" s="2465">
        <f>VLOOKUP($E74,Ratio,2,FALSE)*$G74</f>
        <v>6400177.2589254314</v>
      </c>
      <c r="I74" s="2465">
        <f>VLOOKUP($E74,Ratio,3,FALSE)*$G74</f>
        <v>0</v>
      </c>
      <c r="J74" s="2466">
        <f>VLOOKUP($E74,Ratio,4,FALSE)*$G74</f>
        <v>11991917.74107457</v>
      </c>
      <c r="L74" s="2447"/>
      <c r="M74" s="2447"/>
      <c r="N74" s="2447"/>
      <c r="O74" s="2447"/>
    </row>
    <row r="75" spans="1:15" ht="15" customHeight="1">
      <c r="A75" s="2310" t="s">
        <v>492</v>
      </c>
      <c r="B75" s="2097"/>
      <c r="C75" s="2473"/>
      <c r="D75" s="2473"/>
      <c r="E75" s="2474"/>
      <c r="F75" s="2474"/>
      <c r="G75" s="2311">
        <f>SUM(G59:G60,G62:G67,G69:G72,G74)-G61-G68</f>
        <v>172081054</v>
      </c>
      <c r="H75" s="2311">
        <f>SUM(H59:H60,H62:H67,H69:H72,H74)-H61-H68</f>
        <v>46585105.523656681</v>
      </c>
      <c r="I75" s="2311">
        <f>SUM(I59:I60,I62:I67,I69:I72,I74)-I61-I68</f>
        <v>0</v>
      </c>
      <c r="J75" s="2312">
        <f>SUM(J59:J60,J62:J67,J69:J72,J74)-J61-J68</f>
        <v>125495948.47513407</v>
      </c>
      <c r="L75" s="2447"/>
      <c r="M75" s="2447"/>
      <c r="N75" s="2447"/>
      <c r="O75" s="2447"/>
    </row>
    <row r="76" spans="1:15" ht="9.75" customHeight="1" thickBot="1">
      <c r="A76" s="2316"/>
      <c r="B76" s="2444"/>
      <c r="C76" s="2120"/>
      <c r="D76" s="2105"/>
      <c r="E76" s="2105"/>
      <c r="F76" s="2105"/>
      <c r="G76" s="2489"/>
      <c r="H76" s="2490"/>
      <c r="I76" s="2490"/>
      <c r="J76" s="2491"/>
      <c r="L76" s="2664"/>
      <c r="M76" s="2664"/>
      <c r="N76" s="2447"/>
      <c r="O76" s="2447"/>
    </row>
    <row r="77" spans="1:15" ht="12" thickTop="1">
      <c r="A77" s="2310" t="s">
        <v>493</v>
      </c>
      <c r="B77" s="2097"/>
      <c r="C77" s="2492"/>
      <c r="D77" s="2492"/>
      <c r="E77" s="2493"/>
      <c r="F77" s="2493"/>
      <c r="G77" s="2475">
        <f>G36+G42+G47+G55+G75</f>
        <v>2433312842</v>
      </c>
      <c r="H77" s="2494">
        <f>H36+H42+H47+H55+H75</f>
        <v>2062620776.8536565</v>
      </c>
      <c r="I77" s="2494">
        <f>I36+I42+I47+I55+I75</f>
        <v>0</v>
      </c>
      <c r="J77" s="2495">
        <f>J36+J42+J47+J55+J75</f>
        <v>370692065.52513409</v>
      </c>
      <c r="L77" s="2664"/>
      <c r="M77" s="2664"/>
      <c r="N77" s="2663"/>
      <c r="O77" s="2447"/>
    </row>
    <row r="78" spans="1:15">
      <c r="A78" s="2496" t="s">
        <v>428</v>
      </c>
      <c r="B78" s="2497"/>
      <c r="C78" s="2498"/>
      <c r="D78" s="2185"/>
      <c r="E78" s="3705"/>
      <c r="F78" s="1397"/>
      <c r="G78" s="3706"/>
      <c r="H78" s="2499"/>
      <c r="I78" s="2499"/>
      <c r="J78" s="2500"/>
      <c r="L78" s="2447"/>
      <c r="M78" s="2447"/>
      <c r="N78" s="2447"/>
      <c r="O78" s="2447"/>
    </row>
    <row r="79" spans="1:15">
      <c r="A79" s="2501"/>
      <c r="B79" s="2502"/>
      <c r="C79" s="2498"/>
      <c r="D79" s="2503"/>
      <c r="E79" s="3705"/>
      <c r="F79" s="1397"/>
      <c r="G79" s="3706"/>
      <c r="H79" s="2504"/>
      <c r="I79" s="2504"/>
      <c r="J79" s="2505"/>
      <c r="L79" s="2447"/>
      <c r="M79" s="2447"/>
      <c r="N79" s="2447"/>
      <c r="O79" s="2447"/>
    </row>
    <row r="80" spans="1:15">
      <c r="A80" s="2305" t="s">
        <v>40</v>
      </c>
      <c r="B80" s="2506"/>
      <c r="C80" s="896"/>
      <c r="D80" s="896"/>
      <c r="E80" s="2507"/>
      <c r="F80" s="2507"/>
      <c r="G80" s="2508"/>
      <c r="H80" s="2504"/>
      <c r="I80" s="2504"/>
      <c r="J80" s="2505"/>
      <c r="L80" s="2447"/>
      <c r="M80" s="2447"/>
      <c r="N80" s="2447"/>
      <c r="O80" s="2447"/>
    </row>
    <row r="81" spans="1:15">
      <c r="A81" s="2442"/>
      <c r="B81" s="2185" t="s">
        <v>368</v>
      </c>
      <c r="C81" s="2464">
        <v>336</v>
      </c>
      <c r="D81" s="2464">
        <v>404</v>
      </c>
      <c r="E81" s="2171" t="s">
        <v>390</v>
      </c>
      <c r="F81" s="2215" t="s">
        <v>97</v>
      </c>
      <c r="G81" s="2193">
        <v>0</v>
      </c>
      <c r="H81" s="2465">
        <f>VLOOKUP($E81,Ratio,2,FALSE)*$G81</f>
        <v>0</v>
      </c>
      <c r="I81" s="2465">
        <f>VLOOKUP($E81,Ratio,3,FALSE)*$G81</f>
        <v>0</v>
      </c>
      <c r="J81" s="2466">
        <f>VLOOKUP($E81,Ratio,4,FALSE)*$G81</f>
        <v>0</v>
      </c>
      <c r="L81" s="2447"/>
      <c r="M81" s="2447"/>
      <c r="N81" s="2447"/>
      <c r="O81" s="1397"/>
    </row>
    <row r="82" spans="1:15">
      <c r="A82" s="2442"/>
      <c r="B82" s="2185" t="s">
        <v>369</v>
      </c>
      <c r="C82" s="2464">
        <v>336</v>
      </c>
      <c r="D82" s="2464">
        <v>404</v>
      </c>
      <c r="E82" s="2171" t="s">
        <v>90</v>
      </c>
      <c r="F82" s="2215" t="s">
        <v>99</v>
      </c>
      <c r="G82" s="2172">
        <f>SUM('DIRECT Int Amort E302 and E303'!$F$8:$F$9)</f>
        <v>3046815.6500000004</v>
      </c>
      <c r="H82" s="2465">
        <f>IF($E82="DIRECT",$L82,VLOOKUP($E82,Ratio,2,FALSE)*$G82)</f>
        <v>2120600.2430168567</v>
      </c>
      <c r="I82" s="2465">
        <f>IF($E82="DIRECT",$M82,VLOOKUP($E82,Ratio,3,FALSE)*$G82)</f>
        <v>0</v>
      </c>
      <c r="J82" s="2466">
        <f>IF($E82="DIRECT",$N82,VLOOKUP($E82,Ratio,4,FALSE)*$G82)</f>
        <v>926215.4069831433</v>
      </c>
      <c r="L82" s="2172">
        <f>SUM('DIRECT Int Amort E302 and E303'!H8:H9)</f>
        <v>2120600.2430168567</v>
      </c>
      <c r="M82" s="2172">
        <f>SUM('DIRECT Int Amort E302 and E303'!I8:I9)</f>
        <v>0</v>
      </c>
      <c r="N82" s="2172">
        <f>SUM('DIRECT Int Amort E302 and E303'!J8:J9)</f>
        <v>926215.4069831433</v>
      </c>
      <c r="O82" s="3704"/>
    </row>
    <row r="83" spans="1:15">
      <c r="A83" s="2442"/>
      <c r="B83" s="2185" t="s">
        <v>398</v>
      </c>
      <c r="C83" s="2464">
        <v>336</v>
      </c>
      <c r="D83" s="2464">
        <v>404</v>
      </c>
      <c r="E83" s="2171" t="s">
        <v>90</v>
      </c>
      <c r="F83" s="2215" t="s">
        <v>390</v>
      </c>
      <c r="G83" s="2172">
        <f>SUM('DIRECT Int Amort E302 and E303'!$F$10:$F$11)</f>
        <v>9732326.5399999991</v>
      </c>
      <c r="H83" s="2465">
        <f>IF($E83="DIRECT",$L83,VLOOKUP($E83,Ratio,2,FALSE)*$G83)</f>
        <v>0</v>
      </c>
      <c r="I83" s="2465">
        <f>IF($E83="DIRECT",$M83,VLOOKUP($E83,Ratio,3,FALSE)*$G83)</f>
        <v>0</v>
      </c>
      <c r="J83" s="2466">
        <f>IF($E83="DIRECT",$N83,VLOOKUP($E83,Ratio,4,FALSE)*$G83)</f>
        <v>9732326.5399999991</v>
      </c>
      <c r="L83" s="2172">
        <f>SUM('DIRECT Int Amort E302 and E303'!H10:H11)</f>
        <v>0</v>
      </c>
      <c r="M83" s="2172">
        <f>SUM('DIRECT Int Amort E302 and E303'!I10:I11)</f>
        <v>0</v>
      </c>
      <c r="N83" s="2172">
        <f>SUM('DIRECT Int Amort E302 and E303'!J10:J11)</f>
        <v>9732326.5399999991</v>
      </c>
      <c r="O83" s="3704"/>
    </row>
    <row r="84" spans="1:15">
      <c r="A84" s="2442"/>
      <c r="B84" s="2185" t="s">
        <v>88</v>
      </c>
      <c r="C84" s="2464">
        <v>336</v>
      </c>
      <c r="D84" s="2464">
        <v>403</v>
      </c>
      <c r="E84" s="2171" t="s">
        <v>392</v>
      </c>
      <c r="F84" s="2171"/>
      <c r="G84" s="2193">
        <f>'FERC p336 Dep &amp; Amort'!C12</f>
        <v>39706645</v>
      </c>
      <c r="H84" s="2465">
        <f t="shared" ref="H84:H91" si="3">VLOOKUP($E84,Ratio,2,FALSE)*$G84</f>
        <v>39706645</v>
      </c>
      <c r="I84" s="2465">
        <f t="shared" ref="I84:I91" si="4">VLOOKUP($E84,Ratio,3,FALSE)*$G84</f>
        <v>0</v>
      </c>
      <c r="J84" s="2466">
        <f t="shared" ref="J84:J91" si="5">VLOOKUP($E84,Ratio,4,FALSE)*$G84</f>
        <v>0</v>
      </c>
      <c r="L84" s="2447"/>
      <c r="M84" s="2447"/>
      <c r="N84" s="2447"/>
      <c r="O84" s="2447"/>
    </row>
    <row r="85" spans="1:15">
      <c r="A85" s="2442"/>
      <c r="B85" s="2185" t="s">
        <v>89</v>
      </c>
      <c r="C85" s="2464">
        <v>336</v>
      </c>
      <c r="D85" s="2464">
        <v>403</v>
      </c>
      <c r="E85" s="2171" t="s">
        <v>392</v>
      </c>
      <c r="F85" s="2171"/>
      <c r="G85" s="2193">
        <f>'FERC p336 Dep &amp; Amort'!C13</f>
        <v>0</v>
      </c>
      <c r="H85" s="2465">
        <f t="shared" si="3"/>
        <v>0</v>
      </c>
      <c r="I85" s="2465">
        <f t="shared" si="4"/>
        <v>0</v>
      </c>
      <c r="J85" s="2466">
        <f t="shared" si="5"/>
        <v>0</v>
      </c>
      <c r="L85" s="2447"/>
      <c r="M85" s="2447"/>
      <c r="N85" s="2447"/>
      <c r="O85" s="2447"/>
    </row>
    <row r="86" spans="1:15">
      <c r="A86" s="2442"/>
      <c r="B86" s="2185" t="s">
        <v>429</v>
      </c>
      <c r="C86" s="2464">
        <v>336</v>
      </c>
      <c r="D86" s="2464">
        <v>403</v>
      </c>
      <c r="E86" s="2171" t="s">
        <v>392</v>
      </c>
      <c r="F86" s="2171"/>
      <c r="G86" s="2193">
        <f>'FERC p336 Dep &amp; Amort'!C14</f>
        <v>20380239</v>
      </c>
      <c r="H86" s="2465">
        <f t="shared" si="3"/>
        <v>20380239</v>
      </c>
      <c r="I86" s="2465">
        <f t="shared" si="4"/>
        <v>0</v>
      </c>
      <c r="J86" s="2466">
        <f t="shared" si="5"/>
        <v>0</v>
      </c>
      <c r="L86" s="2447"/>
      <c r="M86" s="2447"/>
      <c r="N86" s="2447"/>
      <c r="O86" s="2447"/>
    </row>
    <row r="87" spans="1:15">
      <c r="A87" s="2442"/>
      <c r="B87" s="2185" t="s">
        <v>430</v>
      </c>
      <c r="C87" s="2464">
        <v>336</v>
      </c>
      <c r="D87" s="2464">
        <v>403</v>
      </c>
      <c r="E87" s="2171" t="s">
        <v>392</v>
      </c>
      <c r="F87" s="2171"/>
      <c r="G87" s="2193">
        <f>'FERC p336 Dep &amp; Amort'!C15</f>
        <v>0</v>
      </c>
      <c r="H87" s="2465">
        <f t="shared" si="3"/>
        <v>0</v>
      </c>
      <c r="I87" s="2465">
        <f t="shared" si="4"/>
        <v>0</v>
      </c>
      <c r="J87" s="2466">
        <f t="shared" si="5"/>
        <v>0</v>
      </c>
      <c r="L87" s="2447"/>
      <c r="M87" s="2447"/>
      <c r="N87" s="2447"/>
      <c r="O87" s="2447"/>
    </row>
    <row r="88" spans="1:15">
      <c r="A88" s="2442"/>
      <c r="B88" s="2185" t="s">
        <v>137</v>
      </c>
      <c r="C88" s="2464">
        <v>336</v>
      </c>
      <c r="D88" s="2464">
        <v>403</v>
      </c>
      <c r="E88" s="2171" t="s">
        <v>392</v>
      </c>
      <c r="F88" s="2171"/>
      <c r="G88" s="2193">
        <f>'FERC p336 Dep &amp; Amort'!C16</f>
        <v>91335455</v>
      </c>
      <c r="H88" s="2465">
        <f t="shared" si="3"/>
        <v>91335455</v>
      </c>
      <c r="I88" s="2465">
        <f t="shared" si="4"/>
        <v>0</v>
      </c>
      <c r="J88" s="2466">
        <f t="shared" si="5"/>
        <v>0</v>
      </c>
      <c r="L88" s="2447"/>
      <c r="M88" s="2447"/>
      <c r="N88" s="2447"/>
      <c r="O88" s="2447"/>
    </row>
    <row r="89" spans="1:15">
      <c r="A89" s="2442"/>
      <c r="B89" s="2185" t="s">
        <v>143</v>
      </c>
      <c r="C89" s="2464">
        <v>336</v>
      </c>
      <c r="D89" s="2464">
        <v>403</v>
      </c>
      <c r="E89" s="2171" t="s">
        <v>391</v>
      </c>
      <c r="F89" s="2171"/>
      <c r="G89" s="2193">
        <f>'FERC p336 Dep &amp; Amort'!C17</f>
        <v>37267959</v>
      </c>
      <c r="H89" s="2465">
        <f t="shared" si="3"/>
        <v>0</v>
      </c>
      <c r="I89" s="2465">
        <f t="shared" si="4"/>
        <v>0</v>
      </c>
      <c r="J89" s="2466">
        <f t="shared" si="5"/>
        <v>37267959</v>
      </c>
      <c r="L89" s="2447"/>
      <c r="M89" s="2447"/>
      <c r="N89" s="2447"/>
      <c r="O89" s="2447"/>
    </row>
    <row r="90" spans="1:15">
      <c r="A90" s="2442"/>
      <c r="B90" s="2185" t="s">
        <v>469</v>
      </c>
      <c r="C90" s="2464">
        <v>336</v>
      </c>
      <c r="D90" s="2464">
        <v>403</v>
      </c>
      <c r="E90" s="2171" t="s">
        <v>390</v>
      </c>
      <c r="F90" s="2171"/>
      <c r="G90" s="2193">
        <f>'FERC p336 Dep &amp; Amort'!C18</f>
        <v>171427092</v>
      </c>
      <c r="H90" s="2465">
        <f t="shared" si="3"/>
        <v>0</v>
      </c>
      <c r="I90" s="2465">
        <f t="shared" si="4"/>
        <v>0</v>
      </c>
      <c r="J90" s="2466">
        <f t="shared" si="5"/>
        <v>171427092</v>
      </c>
      <c r="L90" s="2447"/>
      <c r="M90" s="2447"/>
      <c r="N90" s="2447"/>
      <c r="O90" s="2447"/>
    </row>
    <row r="91" spans="1:15">
      <c r="A91" s="2442"/>
      <c r="B91" s="2185" t="s">
        <v>92</v>
      </c>
      <c r="C91" s="2464">
        <v>336</v>
      </c>
      <c r="D91" s="2464">
        <v>403</v>
      </c>
      <c r="E91" s="2171" t="s">
        <v>91</v>
      </c>
      <c r="F91" s="2171"/>
      <c r="G91" s="2193">
        <f>'FERC p336 Dep &amp; Amort'!C20</f>
        <v>15618734</v>
      </c>
      <c r="H91" s="2465">
        <f t="shared" si="3"/>
        <v>5322403.9378776001</v>
      </c>
      <c r="I91" s="2465">
        <f t="shared" si="4"/>
        <v>0</v>
      </c>
      <c r="J91" s="2466">
        <f t="shared" si="5"/>
        <v>10296330.062122401</v>
      </c>
      <c r="L91" s="2447"/>
      <c r="M91" s="2447"/>
      <c r="N91" s="2447"/>
      <c r="O91" s="1397"/>
    </row>
    <row r="92" spans="1:15">
      <c r="A92" s="2442"/>
      <c r="B92" s="2185" t="s">
        <v>431</v>
      </c>
      <c r="C92" s="2464">
        <v>336</v>
      </c>
      <c r="D92" s="2509">
        <v>403</v>
      </c>
      <c r="E92" s="2171" t="s">
        <v>90</v>
      </c>
      <c r="F92" s="2171"/>
      <c r="G92" s="2172">
        <f>SUM('FERC p336 Dep &amp; Amort'!$C$21:$D$21)</f>
        <v>18119462</v>
      </c>
      <c r="H92" s="2465">
        <f>IF($E92="DIRECT",$L92,VLOOKUP($E92,Ratio,2,FALSE)*$G92)</f>
        <v>6138737.0983232521</v>
      </c>
      <c r="I92" s="2465">
        <f>IF($E92="DIRECT",$M92,VLOOKUP($E92,Ratio,3,FALSE)*$G92)</f>
        <v>0</v>
      </c>
      <c r="J92" s="2466">
        <f>IF($E92="DIRECT",$N92,VLOOKUP($E92,Ratio,4,FALSE)*$G92)</f>
        <v>11980724.901676752</v>
      </c>
      <c r="L92" s="2172">
        <f>'DIRECT Common Depr &amp; Amort Exp'!D35*$G$92</f>
        <v>6138737.0983232521</v>
      </c>
      <c r="M92" s="2172">
        <f>'DIRECT Common Depr &amp; Amort Exp'!E35*$G$92</f>
        <v>0</v>
      </c>
      <c r="N92" s="2172">
        <f>'DIRECT Common Depr &amp; Amort Exp'!F35*$G$92</f>
        <v>11980724.901676752</v>
      </c>
      <c r="O92" s="3704"/>
    </row>
    <row r="93" spans="1:15">
      <c r="A93" s="2442"/>
      <c r="B93" s="2185" t="s">
        <v>431</v>
      </c>
      <c r="C93" s="2464">
        <v>336</v>
      </c>
      <c r="D93" s="2509">
        <v>404</v>
      </c>
      <c r="E93" s="2171" t="s">
        <v>90</v>
      </c>
      <c r="F93" s="2171"/>
      <c r="G93" s="2172">
        <f>'FERC p336 Dep &amp; Amort'!E21</f>
        <v>44095861</v>
      </c>
      <c r="H93" s="2465">
        <f>IF($E93="DIRECT",$L93,VLOOKUP($E93,Ratio,2,FALSE)*$G93)</f>
        <v>11880277.722496061</v>
      </c>
      <c r="I93" s="2465">
        <f>IF($E93="DIRECT",$M93,VLOOKUP($E93,Ratio,3,FALSE)*$G93)</f>
        <v>0</v>
      </c>
      <c r="J93" s="2466">
        <f>IF($E93="DIRECT",$N93,VLOOKUP($E93,Ratio,4,FALSE)*$G93)</f>
        <v>32215583.277454484</v>
      </c>
      <c r="L93" s="2172">
        <f>'DIRECT Common Depr &amp; Amort Exp'!D39*$G$93</f>
        <v>11880277.722496061</v>
      </c>
      <c r="M93" s="2172">
        <f>'DIRECT Common Depr &amp; Amort Exp'!E39*$G$93</f>
        <v>0</v>
      </c>
      <c r="N93" s="2172">
        <f>'DIRECT Common Depr &amp; Amort Exp'!F39*$G$93</f>
        <v>32215583.277454484</v>
      </c>
      <c r="O93" s="3704"/>
    </row>
    <row r="94" spans="1:15">
      <c r="A94" s="2442"/>
      <c r="B94" s="2185" t="s">
        <v>563</v>
      </c>
      <c r="C94" s="2464">
        <v>336</v>
      </c>
      <c r="D94" s="2510">
        <v>403.1</v>
      </c>
      <c r="E94" s="2171" t="s">
        <v>90</v>
      </c>
      <c r="F94" s="2171"/>
      <c r="G94" s="2172">
        <f>'FERC p336 Dep &amp; Amort'!$D$22-'FERC p336 Dep &amp; Amort'!$D$21</f>
        <v>3659244</v>
      </c>
      <c r="H94" s="2465">
        <f>IF($E94="DIRECT",$L94,VLOOKUP($E94,Ratio,2,FALSE)*$G94)</f>
        <v>3364796</v>
      </c>
      <c r="I94" s="2465">
        <f>IF($E94="DIRECT",$M94,VLOOKUP($E94,Ratio,3,FALSE)*$G94)</f>
        <v>0</v>
      </c>
      <c r="J94" s="2466">
        <f>IF($E94="DIRECT",$N94,VLOOKUP($E94,Ratio,4,FALSE)*$G94)</f>
        <v>294448</v>
      </c>
      <c r="L94" s="2172">
        <f>SUM('FERC p336 Dep &amp; Amort'!D12:D16)</f>
        <v>3364796</v>
      </c>
      <c r="M94" s="2172">
        <f>0</f>
        <v>0</v>
      </c>
      <c r="N94" s="2172">
        <f>'FERC p336 Dep &amp; Amort'!$D$18+'FERC p336 Dep &amp; Amort'!$D$17</f>
        <v>294448</v>
      </c>
      <c r="O94" s="3704"/>
    </row>
    <row r="95" spans="1:15">
      <c r="A95" s="2442"/>
      <c r="B95" s="2185" t="s">
        <v>564</v>
      </c>
      <c r="C95" s="2464">
        <v>336</v>
      </c>
      <c r="D95" s="2509">
        <v>404</v>
      </c>
      <c r="E95" s="2171" t="s">
        <v>90</v>
      </c>
      <c r="F95" s="2171"/>
      <c r="G95" s="2172">
        <f>'FERC p336 Dep &amp; Amort'!E14-'DIRECT Int Amort E302 and E303'!F9</f>
        <v>-0.12000000011175871</v>
      </c>
      <c r="H95" s="2465">
        <f>IF($E95="DIRECT",$L95,VLOOKUP($E95,Ratio,2,FALSE)*$G95)</f>
        <v>0</v>
      </c>
      <c r="I95" s="2465">
        <f>IF($E95="DIRECT",$M95,VLOOKUP($E95,Ratio,3,FALSE)*$G95)</f>
        <v>0</v>
      </c>
      <c r="J95" s="2466">
        <f>IF($E95="DIRECT",$N95,VLOOKUP($E95,Ratio,4,FALSE)*$G95)</f>
        <v>0</v>
      </c>
      <c r="L95" s="2172"/>
      <c r="M95" s="2172"/>
      <c r="N95" s="2172"/>
      <c r="O95" s="3704"/>
    </row>
    <row r="96" spans="1:15">
      <c r="A96" s="2442"/>
      <c r="B96" s="2185" t="s">
        <v>30</v>
      </c>
      <c r="C96" s="2464" t="s">
        <v>69</v>
      </c>
      <c r="D96" s="2509">
        <v>406</v>
      </c>
      <c r="E96" s="2171" t="s">
        <v>90</v>
      </c>
      <c r="F96" s="2171"/>
      <c r="G96" s="2172">
        <f>'FERC p114-117a Income'!H21+'FERC p114-117a Income'!H22</f>
        <v>43464024</v>
      </c>
      <c r="H96" s="2465">
        <f>IF($E96="DIRECT",$L96,VLOOKUP($E96,Ratio,2,FALSE)*$G96)</f>
        <v>7550389.0994674871</v>
      </c>
      <c r="I96" s="2465">
        <f>IF($E96="DIRECT",$M96,VLOOKUP($E96,Ratio,3,FALSE)*$G96)</f>
        <v>0</v>
      </c>
      <c r="J96" s="2466">
        <f>IF($E96="DIRECT",$N96,VLOOKUP($E96,Ratio,4,FALSE)*$G96)</f>
        <v>35913634.510532513</v>
      </c>
      <c r="L96" s="2172">
        <f>'DIRECT 406E &amp; 407E'!G35</f>
        <v>7550389.0994674871</v>
      </c>
      <c r="M96" s="2172">
        <f>'DIRECT 406E &amp; 407E'!H35</f>
        <v>0</v>
      </c>
      <c r="N96" s="2172">
        <f>'DIRECT 406E &amp; 407E'!I35</f>
        <v>35913634.510532513</v>
      </c>
      <c r="O96" s="3704"/>
    </row>
    <row r="97" spans="1:15">
      <c r="A97" s="2310" t="s">
        <v>470</v>
      </c>
      <c r="B97" s="2097"/>
      <c r="C97" s="2511"/>
      <c r="D97" s="2511"/>
      <c r="E97" s="2512"/>
      <c r="F97" s="2512"/>
      <c r="G97" s="2186">
        <f>SUM(G81:G96)</f>
        <v>497853857.06999999</v>
      </c>
      <c r="H97" s="2311">
        <f>SUM(H81:H96)</f>
        <v>187799543.10118124</v>
      </c>
      <c r="I97" s="2311">
        <f>SUM(I81:I96)</f>
        <v>0</v>
      </c>
      <c r="J97" s="2312">
        <f>SUM(J81:J96)</f>
        <v>310054313.69876927</v>
      </c>
      <c r="L97" s="2447"/>
      <c r="M97" s="2447"/>
      <c r="N97" s="2447"/>
      <c r="O97" s="2447"/>
    </row>
    <row r="98" spans="1:15">
      <c r="A98" s="2310"/>
      <c r="B98" s="2097"/>
      <c r="C98" s="2116"/>
      <c r="D98" s="2098"/>
      <c r="E98" s="3705"/>
      <c r="F98" s="1397"/>
      <c r="G98" s="3705"/>
      <c r="H98" s="2513"/>
      <c r="I98" s="2513"/>
      <c r="J98" s="2514"/>
      <c r="L98" s="2447"/>
      <c r="M98" s="2447"/>
      <c r="N98" s="2447"/>
      <c r="O98" s="2447"/>
    </row>
    <row r="99" spans="1:15">
      <c r="A99" s="2314"/>
      <c r="B99" s="2290"/>
      <c r="C99" s="2290"/>
      <c r="D99" s="2290"/>
      <c r="E99" s="2515"/>
      <c r="F99" s="2515"/>
      <c r="G99" s="2515"/>
      <c r="H99" s="2290"/>
      <c r="I99" s="2290"/>
      <c r="J99" s="2315"/>
      <c r="L99" s="2447"/>
      <c r="M99" s="2447"/>
      <c r="N99" s="2447"/>
      <c r="O99" s="2447"/>
    </row>
    <row r="100" spans="1:15">
      <c r="A100" s="2310" t="s">
        <v>50</v>
      </c>
      <c r="B100" s="2100"/>
      <c r="C100" s="2511"/>
      <c r="D100" s="2511"/>
      <c r="E100" s="2512"/>
      <c r="F100" s="2512"/>
      <c r="G100" s="2186">
        <f>G77+G97</f>
        <v>2931166699.0700002</v>
      </c>
      <c r="H100" s="2311">
        <f>H77+H97</f>
        <v>2250420319.9548378</v>
      </c>
      <c r="I100" s="2311">
        <f>I77+I97</f>
        <v>0</v>
      </c>
      <c r="J100" s="2312">
        <f>J77+J97</f>
        <v>680746379.22390342</v>
      </c>
      <c r="L100" s="2447"/>
      <c r="M100" s="2447"/>
      <c r="N100" s="2447"/>
      <c r="O100" s="2447"/>
    </row>
    <row r="101" spans="1:15" ht="12" thickBot="1">
      <c r="A101" s="2516" t="s">
        <v>203</v>
      </c>
      <c r="B101" s="2099"/>
      <c r="C101" s="2120"/>
      <c r="D101" s="2120"/>
      <c r="E101" s="2105"/>
      <c r="F101" s="2105"/>
      <c r="G101" s="2517"/>
      <c r="H101" s="2445"/>
      <c r="I101" s="2445"/>
      <c r="J101" s="2446"/>
      <c r="L101" s="2447"/>
      <c r="M101" s="2447"/>
      <c r="N101" s="2447"/>
      <c r="O101" s="2447"/>
    </row>
    <row r="102" spans="1:15" ht="12" thickTop="1">
      <c r="E102" s="2447"/>
      <c r="F102" s="2447"/>
      <c r="G102" s="2518"/>
      <c r="L102" s="2447"/>
      <c r="M102" s="2447"/>
      <c r="N102" s="2447"/>
      <c r="O102" s="2447"/>
    </row>
    <row r="103" spans="1:15">
      <c r="E103" s="2447"/>
      <c r="F103" s="2447"/>
      <c r="G103" s="2518"/>
      <c r="L103" s="2447"/>
      <c r="M103" s="2447"/>
      <c r="N103" s="2447"/>
      <c r="O103" s="2447"/>
    </row>
    <row r="104" spans="1:15">
      <c r="E104" s="2447"/>
      <c r="F104" s="2447"/>
      <c r="G104" s="2518"/>
      <c r="L104" s="2447"/>
      <c r="M104" s="2447"/>
      <c r="N104" s="2447"/>
      <c r="O104" s="2447"/>
    </row>
    <row r="105" spans="1:15">
      <c r="E105" s="2447"/>
      <c r="F105" s="2447"/>
      <c r="G105" s="2518"/>
      <c r="L105" s="2447"/>
      <c r="M105" s="2447"/>
      <c r="N105" s="2447"/>
      <c r="O105" s="2447"/>
    </row>
    <row r="106" spans="1:15">
      <c r="E106" s="2447"/>
      <c r="F106" s="2447"/>
      <c r="G106" s="2518"/>
      <c r="L106" s="2447"/>
      <c r="M106" s="2447"/>
      <c r="N106" s="2447"/>
      <c r="O106" s="2447"/>
    </row>
    <row r="107" spans="1:15">
      <c r="E107" s="2447"/>
      <c r="F107" s="2447"/>
      <c r="G107" s="2518"/>
      <c r="L107" s="2447"/>
      <c r="M107" s="2447"/>
      <c r="N107" s="2447"/>
      <c r="O107" s="2447"/>
    </row>
    <row r="108" spans="1:15">
      <c r="E108" s="2447"/>
      <c r="F108" s="2447"/>
      <c r="G108" s="2518"/>
      <c r="L108" s="2447"/>
      <c r="M108" s="2447"/>
      <c r="N108" s="2447"/>
      <c r="O108" s="2447"/>
    </row>
    <row r="109" spans="1:15">
      <c r="E109" s="2447"/>
      <c r="F109" s="2447"/>
      <c r="G109" s="2518"/>
      <c r="L109" s="2447"/>
      <c r="M109" s="2447"/>
      <c r="N109" s="2447"/>
      <c r="O109" s="2447"/>
    </row>
    <row r="110" spans="1:15">
      <c r="E110" s="2447"/>
      <c r="F110" s="2447"/>
      <c r="G110" s="2518"/>
      <c r="L110" s="2447"/>
      <c r="M110" s="2447"/>
      <c r="N110" s="2447"/>
      <c r="O110" s="2447"/>
    </row>
    <row r="111" spans="1:15">
      <c r="G111" s="2518"/>
      <c r="L111" s="2447"/>
      <c r="M111" s="2447"/>
      <c r="N111" s="2447"/>
      <c r="O111" s="2447"/>
    </row>
    <row r="112" spans="1:15">
      <c r="G112" s="2518"/>
      <c r="L112" s="2447"/>
      <c r="M112" s="2447"/>
      <c r="N112" s="2447"/>
      <c r="O112" s="2447"/>
    </row>
    <row r="113" spans="7:15">
      <c r="G113" s="2518"/>
      <c r="L113" s="2447"/>
      <c r="M113" s="2447"/>
      <c r="N113" s="2447"/>
      <c r="O113" s="2447"/>
    </row>
  </sheetData>
  <mergeCells count="14">
    <mergeCell ref="L11:L13"/>
    <mergeCell ref="M11:M13"/>
    <mergeCell ref="N11:N13"/>
    <mergeCell ref="A2:J2"/>
    <mergeCell ref="A1:J1"/>
    <mergeCell ref="H11:H13"/>
    <mergeCell ref="I11:I13"/>
    <mergeCell ref="A3:J3"/>
    <mergeCell ref="E5:G5"/>
    <mergeCell ref="E6:G6"/>
    <mergeCell ref="E7:G7"/>
    <mergeCell ref="A11:B13"/>
    <mergeCell ref="G11:G13"/>
    <mergeCell ref="J11:J13"/>
  </mergeCells>
  <conditionalFormatting sqref="G35">
    <cfRule type="expression" dxfId="20" priority="5">
      <formula>G35&lt;&gt;SUM(H35:J35)</formula>
    </cfRule>
  </conditionalFormatting>
  <conditionalFormatting sqref="G52:G53">
    <cfRule type="expression" dxfId="19" priority="4">
      <formula>G52&lt;&gt;SUM(H52:J52)</formula>
    </cfRule>
  </conditionalFormatting>
  <conditionalFormatting sqref="G69:G70">
    <cfRule type="expression" dxfId="18" priority="3">
      <formula>G69&lt;&gt;SUM(H69:J69)</formula>
    </cfRule>
  </conditionalFormatting>
  <conditionalFormatting sqref="G82:G83">
    <cfRule type="expression" dxfId="17" priority="2">
      <formula>G82&lt;&gt;SUM(H82:J82)</formula>
    </cfRule>
  </conditionalFormatting>
  <conditionalFormatting sqref="G92:G96">
    <cfRule type="expression" dxfId="16" priority="1">
      <formula>G92&lt;&gt;SUM(H92:J92)</formula>
    </cfRule>
  </conditionalFormatting>
  <dataValidations count="2">
    <dataValidation type="list" allowBlank="1" showInputMessage="1" showErrorMessage="1" sqref="E69:E70 E35 E83 E52:E53" xr:uid="{00000000-0002-0000-0500-000000000000}">
      <formula1>DIST</formula1>
    </dataValidation>
    <dataValidation type="list" allowBlank="1" showInputMessage="1" showErrorMessage="1" sqref="E82" xr:uid="{00000000-0002-0000-0500-000001000000}">
      <formula1>PTD</formula1>
    </dataValidation>
  </dataValidations>
  <hyperlinks>
    <hyperlink ref="A5" location="TOC!A1" display="TOC" xr:uid="{00000000-0004-0000-0500-000000000000}"/>
    <hyperlink ref="A6" location="'Sch 3 - Expenses'!A14" display="é" xr:uid="{00000000-0004-0000-0500-000001000000}"/>
  </hyperlinks>
  <printOptions horizontalCentered="1" headings="1"/>
  <pageMargins left="0.5" right="0.5" top="0.75" bottom="0.55000000000000004" header="0.25" footer="0.25"/>
  <pageSetup scale="73" fitToHeight="3" orientation="landscape" r:id="rId1"/>
  <headerFooter alignWithMargins="0">
    <oddFooter>&amp;LFY 2026-2028 ASC Filing&amp;CPage &amp;P of &amp;N&amp;R&amp;A
&amp;D</oddFooter>
  </headerFooter>
  <rowBreaks count="2" manualBreakCount="2">
    <brk id="43" max="16383" man="1"/>
    <brk id="76" max="16383" man="1"/>
  </rowBreaks>
  <customProperties>
    <customPr name="_pios_id" r:id="rId2"/>
  </customProperties>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indexed="11"/>
  </sheetPr>
  <dimension ref="A1:K34"/>
  <sheetViews>
    <sheetView zoomScaleNormal="100" workbookViewId="0">
      <pane ySplit="13" topLeftCell="A14" activePane="bottomLeft" state="frozen"/>
      <selection pane="bottomLeft" sqref="A1:XFD1048576"/>
    </sheetView>
  </sheetViews>
  <sheetFormatPr defaultColWidth="9" defaultRowHeight="11.25"/>
  <cols>
    <col min="1" max="1" width="5.375" style="546" customWidth="1"/>
    <col min="2" max="2" width="30.625" style="546" customWidth="1"/>
    <col min="3" max="4" width="8.625" style="546" customWidth="1"/>
    <col min="5" max="5" width="10.625" style="546" customWidth="1"/>
    <col min="6" max="6" width="10.125" style="546" bestFit="1" customWidth="1"/>
    <col min="7" max="7" width="9.375" style="546" bestFit="1" customWidth="1"/>
    <col min="8" max="8" width="10.5" style="546" bestFit="1" customWidth="1"/>
    <col min="9" max="9" width="10" style="546" customWidth="1"/>
    <col min="10" max="10" width="10.5" style="546" customWidth="1"/>
    <col min="11" max="16384" width="9" style="546"/>
  </cols>
  <sheetData>
    <row r="1" spans="1:9" ht="20.100000000000001" customHeight="1" thickTop="1">
      <c r="A1" s="3793" t="s">
        <v>54</v>
      </c>
      <c r="B1" s="3794"/>
      <c r="C1" s="3794"/>
      <c r="D1" s="3794"/>
      <c r="E1" s="3794"/>
      <c r="F1" s="3794"/>
      <c r="G1" s="3794"/>
      <c r="H1" s="3794"/>
      <c r="I1" s="3795"/>
    </row>
    <row r="2" spans="1:9" ht="20.100000000000001" customHeight="1">
      <c r="A2" s="3796" t="s">
        <v>56</v>
      </c>
      <c r="B2" s="3740"/>
      <c r="C2" s="3740"/>
      <c r="D2" s="3740"/>
      <c r="E2" s="3740"/>
      <c r="F2" s="3740"/>
      <c r="G2" s="3740"/>
      <c r="H2" s="3740"/>
      <c r="I2" s="3797"/>
    </row>
    <row r="3" spans="1:9" ht="20.100000000000001" customHeight="1">
      <c r="A3" s="3761" t="s">
        <v>709</v>
      </c>
      <c r="B3" s="3737"/>
      <c r="C3" s="3737"/>
      <c r="D3" s="3737"/>
      <c r="E3" s="3737"/>
      <c r="F3" s="3737"/>
      <c r="G3" s="3737"/>
      <c r="H3" s="3737"/>
      <c r="I3" s="3762"/>
    </row>
    <row r="4" spans="1:9" ht="12" customHeight="1" thickBot="1">
      <c r="A4" s="2291"/>
      <c r="B4" s="2139"/>
      <c r="C4" s="2139"/>
      <c r="D4" s="2139"/>
      <c r="E4" s="2139"/>
      <c r="F4" s="2139"/>
      <c r="G4" s="2139"/>
      <c r="H4" s="2139"/>
      <c r="I4" s="2665"/>
    </row>
    <row r="5" spans="1:9" ht="15.75" customHeight="1">
      <c r="A5" s="2296" t="s">
        <v>685</v>
      </c>
      <c r="B5" s="2139"/>
      <c r="C5" s="2139"/>
      <c r="D5" s="2297" t="s">
        <v>571</v>
      </c>
      <c r="E5" s="3777" t="str">
        <f>'Sch 1- Rate Base '!$E$5</f>
        <v>PUGET SOUND ENERGY</v>
      </c>
      <c r="F5" s="3778"/>
      <c r="G5" s="3798"/>
      <c r="H5" s="2139"/>
      <c r="I5" s="2299" t="s">
        <v>707</v>
      </c>
    </row>
    <row r="6" spans="1:9" ht="15.75" customHeight="1">
      <c r="A6" s="2291"/>
      <c r="B6" s="2139"/>
      <c r="C6" s="2139"/>
      <c r="D6" s="2297" t="s">
        <v>572</v>
      </c>
      <c r="E6" s="3779">
        <f>'Sch 1- Rate Base '!$E$6</f>
        <v>2023</v>
      </c>
      <c r="F6" s="3780"/>
      <c r="G6" s="3799"/>
      <c r="H6" s="2304"/>
      <c r="I6" s="2300" t="str">
        <f>'Sch 1- Rate Base '!I6</f>
        <v/>
      </c>
    </row>
    <row r="7" spans="1:9" ht="15.75" customHeight="1" thickBot="1">
      <c r="A7" s="2291"/>
      <c r="B7" s="2139"/>
      <c r="C7" s="2139"/>
      <c r="D7" s="2297" t="s">
        <v>573</v>
      </c>
      <c r="E7" s="3781">
        <f>'Sch 1- Rate Base '!$E$7</f>
        <v>45474</v>
      </c>
      <c r="F7" s="3791"/>
      <c r="G7" s="3792"/>
      <c r="H7" s="2304"/>
      <c r="I7" s="2302" t="str">
        <f>'Sch 1- Rate Base '!I7</f>
        <v/>
      </c>
    </row>
    <row r="8" spans="1:9" ht="15.95" customHeight="1">
      <c r="A8" s="2291"/>
      <c r="B8" s="2139"/>
      <c r="C8" s="2139"/>
      <c r="D8" s="2297"/>
      <c r="E8" s="2303"/>
      <c r="F8" s="2139"/>
      <c r="G8" s="2304"/>
      <c r="H8" s="2304"/>
      <c r="I8" s="2665"/>
    </row>
    <row r="9" spans="1:9" ht="20.100000000000001" customHeight="1">
      <c r="A9" s="3783" t="s">
        <v>148</v>
      </c>
      <c r="B9" s="3784"/>
      <c r="C9" s="3784"/>
      <c r="D9" s="3784"/>
      <c r="E9" s="3784"/>
      <c r="F9" s="3784"/>
      <c r="G9" s="3784"/>
      <c r="H9" s="3784"/>
      <c r="I9" s="3785"/>
    </row>
    <row r="10" spans="1:9" ht="9.75" customHeight="1" thickBot="1">
      <c r="A10" s="2666"/>
      <c r="B10" s="2158"/>
      <c r="C10" s="2159"/>
      <c r="D10" s="2159"/>
      <c r="E10" s="2158"/>
      <c r="F10" s="2158"/>
      <c r="G10" s="2158"/>
      <c r="H10" s="2158"/>
      <c r="I10" s="2667"/>
    </row>
    <row r="11" spans="1:9" ht="12" thickBot="1">
      <c r="A11" s="3771" t="s">
        <v>100</v>
      </c>
      <c r="B11" s="3731"/>
      <c r="C11" s="2668" t="s">
        <v>274</v>
      </c>
      <c r="D11" s="2668"/>
      <c r="E11" s="3816" t="s">
        <v>207</v>
      </c>
      <c r="F11" s="3734" t="s">
        <v>104</v>
      </c>
      <c r="G11" s="3734" t="s">
        <v>105</v>
      </c>
      <c r="H11" s="3734" t="s">
        <v>106</v>
      </c>
      <c r="I11" s="3769" t="s">
        <v>718</v>
      </c>
    </row>
    <row r="12" spans="1:9">
      <c r="A12" s="3810"/>
      <c r="B12" s="3733"/>
      <c r="C12" s="2460" t="s">
        <v>270</v>
      </c>
      <c r="D12" s="2460" t="s">
        <v>96</v>
      </c>
      <c r="E12" s="3817"/>
      <c r="F12" s="3735"/>
      <c r="G12" s="3735"/>
      <c r="H12" s="3735"/>
      <c r="I12" s="3814"/>
    </row>
    <row r="13" spans="1:9" ht="12" thickBot="1">
      <c r="A13" s="3772"/>
      <c r="B13" s="3773"/>
      <c r="C13" s="2646" t="s">
        <v>271</v>
      </c>
      <c r="D13" s="2646" t="s">
        <v>250</v>
      </c>
      <c r="E13" s="3818"/>
      <c r="F13" s="3757"/>
      <c r="G13" s="3757"/>
      <c r="H13" s="3757"/>
      <c r="I13" s="3770"/>
    </row>
    <row r="14" spans="1:9">
      <c r="A14" s="2524"/>
      <c r="B14" s="2184"/>
      <c r="C14" s="2139"/>
      <c r="D14" s="2139"/>
      <c r="E14" s="2139"/>
      <c r="F14" s="2370"/>
      <c r="G14" s="2370"/>
      <c r="H14" s="2370"/>
      <c r="I14" s="2371"/>
    </row>
    <row r="15" spans="1:9" ht="15.75" customHeight="1">
      <c r="A15" s="2669" t="s">
        <v>149</v>
      </c>
      <c r="B15" s="2110"/>
      <c r="C15" s="2353"/>
      <c r="D15" s="2356"/>
      <c r="E15" s="2098"/>
      <c r="F15" s="2670"/>
      <c r="G15" s="2202"/>
      <c r="H15" s="2202"/>
      <c r="I15" s="2684"/>
    </row>
    <row r="16" spans="1:9" ht="15.75" customHeight="1">
      <c r="A16" s="2524"/>
      <c r="B16" s="2365" t="s">
        <v>35</v>
      </c>
      <c r="C16" s="2673" t="s">
        <v>821</v>
      </c>
      <c r="D16" s="2674">
        <v>409.1</v>
      </c>
      <c r="E16" s="2171" t="s">
        <v>390</v>
      </c>
      <c r="F16" s="2193">
        <f>'FERC p262 Taxes'!M39</f>
        <v>181201019</v>
      </c>
      <c r="G16" s="2465">
        <f>VLOOKUP($E16,Ratio,2,FALSE)*$F16</f>
        <v>0</v>
      </c>
      <c r="H16" s="2465">
        <f>VLOOKUP($E16,Ratio,3,FALSE)*$F16</f>
        <v>0</v>
      </c>
      <c r="I16" s="2466">
        <f>VLOOKUP($E16,Ratio,4,FALSE)*$F16</f>
        <v>181201019</v>
      </c>
    </row>
    <row r="17" spans="1:11" ht="15.75" customHeight="1">
      <c r="A17" s="2524"/>
      <c r="B17" s="2365" t="s">
        <v>150</v>
      </c>
      <c r="C17" s="2673" t="s">
        <v>821</v>
      </c>
      <c r="D17" s="2674">
        <v>408.1</v>
      </c>
      <c r="E17" s="2171" t="s">
        <v>95</v>
      </c>
      <c r="F17" s="2193">
        <f>'FERC p262 Taxes'!M75</f>
        <v>10966229</v>
      </c>
      <c r="G17" s="2465">
        <f>VLOOKUP($E17,Ratio,2,FALSE)*$F17</f>
        <v>3726655.054265135</v>
      </c>
      <c r="H17" s="2465">
        <f>VLOOKUP($E17,Ratio,3,FALSE)*$F17</f>
        <v>0</v>
      </c>
      <c r="I17" s="2466">
        <f>VLOOKUP($E17,Ratio,4,FALSE)*$F17</f>
        <v>7239573.945734865</v>
      </c>
    </row>
    <row r="18" spans="1:11" ht="15.75" customHeight="1">
      <c r="A18" s="2524"/>
      <c r="B18" s="2365" t="s">
        <v>151</v>
      </c>
      <c r="C18" s="2673" t="s">
        <v>821</v>
      </c>
      <c r="D18" s="2674">
        <v>408.1</v>
      </c>
      <c r="E18" s="2171" t="s">
        <v>390</v>
      </c>
      <c r="F18" s="2193">
        <f>'FERC p262 Taxes'!M57</f>
        <v>0</v>
      </c>
      <c r="G18" s="2465">
        <f>VLOOKUP($E18,Ratio,2,FALSE)*$F18</f>
        <v>0</v>
      </c>
      <c r="H18" s="2465">
        <f>VLOOKUP($E18,Ratio,3,FALSE)*$F18</f>
        <v>0</v>
      </c>
      <c r="I18" s="2466">
        <f>VLOOKUP($E18,Ratio,4,FALSE)*$F18</f>
        <v>0</v>
      </c>
    </row>
    <row r="19" spans="1:11" ht="15.75" customHeight="1">
      <c r="A19" s="2675" t="s">
        <v>37</v>
      </c>
      <c r="B19" s="2676"/>
      <c r="C19" s="2677"/>
      <c r="D19" s="2678"/>
      <c r="E19" s="2679"/>
      <c r="F19" s="2186">
        <f>SUM(F16:F18)</f>
        <v>192167248</v>
      </c>
      <c r="G19" s="2311">
        <f>SUM(G16:G18)</f>
        <v>3726655.054265135</v>
      </c>
      <c r="H19" s="2311">
        <f>SUM(H16:H18)</f>
        <v>0</v>
      </c>
      <c r="I19" s="2312">
        <f>SUM(I16:I18)</f>
        <v>188440592.94573486</v>
      </c>
    </row>
    <row r="20" spans="1:11" ht="15.75" customHeight="1">
      <c r="A20" s="2675"/>
      <c r="B20" s="2676"/>
      <c r="C20" s="2353"/>
      <c r="D20" s="2356"/>
      <c r="E20" s="3705"/>
      <c r="F20" s="1397"/>
      <c r="G20" s="2670"/>
      <c r="H20" s="2670"/>
      <c r="I20" s="2680"/>
    </row>
    <row r="21" spans="1:11" ht="15.75" customHeight="1">
      <c r="A21" s="2530" t="s">
        <v>38</v>
      </c>
      <c r="B21" s="2365"/>
      <c r="C21" s="2353"/>
      <c r="D21" s="2356"/>
      <c r="E21" s="2098"/>
      <c r="F21" s="2681"/>
      <c r="G21" s="2670"/>
      <c r="H21" s="2670"/>
      <c r="I21" s="2680"/>
      <c r="K21" s="743"/>
    </row>
    <row r="22" spans="1:11" ht="15.75" customHeight="1">
      <c r="A22" s="2524"/>
      <c r="B22" s="2365" t="s">
        <v>566</v>
      </c>
      <c r="C22" s="2673" t="s">
        <v>821</v>
      </c>
      <c r="D22" s="2674">
        <v>408.1</v>
      </c>
      <c r="E22" s="2171" t="s">
        <v>108</v>
      </c>
      <c r="F22" s="2193">
        <f>'FERC p262 Taxes'!M27</f>
        <v>47092120</v>
      </c>
      <c r="G22" s="2465">
        <f t="shared" ref="G22:G28" si="0">VLOOKUP($E22,Ratio,2,FALSE)*$F22</f>
        <v>16476242.140085313</v>
      </c>
      <c r="H22" s="2465">
        <f t="shared" ref="H22:H28" si="1">VLOOKUP($E22,Ratio,3,FALSE)*$F22</f>
        <v>0</v>
      </c>
      <c r="I22" s="2466">
        <f t="shared" ref="I22:I28" si="2">VLOOKUP($E22,Ratio,4,FALSE)*$F22</f>
        <v>30615877.850901406</v>
      </c>
      <c r="K22" s="743"/>
    </row>
    <row r="23" spans="1:11" ht="15.75" customHeight="1">
      <c r="A23" s="2524"/>
      <c r="B23" s="2365" t="s">
        <v>152</v>
      </c>
      <c r="C23" s="2673" t="s">
        <v>821</v>
      </c>
      <c r="D23" s="2674">
        <v>408.1</v>
      </c>
      <c r="E23" s="2171" t="s">
        <v>95</v>
      </c>
      <c r="F23" s="2193">
        <f>'FERC p262 Taxes'!M33</f>
        <v>0</v>
      </c>
      <c r="G23" s="2465">
        <f t="shared" si="0"/>
        <v>0</v>
      </c>
      <c r="H23" s="2465">
        <f t="shared" si="1"/>
        <v>0</v>
      </c>
      <c r="I23" s="2466">
        <f t="shared" si="2"/>
        <v>0</v>
      </c>
    </row>
    <row r="24" spans="1:11" ht="15.75" customHeight="1">
      <c r="A24" s="2524"/>
      <c r="B24" s="2365" t="s">
        <v>567</v>
      </c>
      <c r="C24" s="2673" t="s">
        <v>821</v>
      </c>
      <c r="D24" s="2674">
        <v>409.1</v>
      </c>
      <c r="E24" s="2171" t="s">
        <v>390</v>
      </c>
      <c r="F24" s="2193">
        <f>'FERC p262 Taxes'!M42</f>
        <v>104687355</v>
      </c>
      <c r="G24" s="2465">
        <f t="shared" si="0"/>
        <v>0</v>
      </c>
      <c r="H24" s="2465">
        <f t="shared" si="1"/>
        <v>0</v>
      </c>
      <c r="I24" s="2466">
        <f t="shared" si="2"/>
        <v>104687355</v>
      </c>
    </row>
    <row r="25" spans="1:11" ht="15.75" customHeight="1">
      <c r="A25" s="2524"/>
      <c r="B25" s="2365" t="s">
        <v>568</v>
      </c>
      <c r="C25" s="2673" t="s">
        <v>821</v>
      </c>
      <c r="D25" s="2674">
        <v>408.1</v>
      </c>
      <c r="E25" s="2171" t="s">
        <v>390</v>
      </c>
      <c r="F25" s="2193">
        <v>0</v>
      </c>
      <c r="G25" s="2465">
        <f t="shared" si="0"/>
        <v>0</v>
      </c>
      <c r="H25" s="2465">
        <f t="shared" si="1"/>
        <v>0</v>
      </c>
      <c r="I25" s="2466">
        <f t="shared" si="2"/>
        <v>0</v>
      </c>
    </row>
    <row r="26" spans="1:11" ht="15.75" customHeight="1">
      <c r="A26" s="2524"/>
      <c r="B26" s="2365" t="s">
        <v>153</v>
      </c>
      <c r="C26" s="2673" t="s">
        <v>821</v>
      </c>
      <c r="D26" s="2674">
        <v>408.1</v>
      </c>
      <c r="E26" s="2171" t="s">
        <v>390</v>
      </c>
      <c r="F26" s="2193">
        <v>0</v>
      </c>
      <c r="G26" s="2465">
        <f t="shared" si="0"/>
        <v>0</v>
      </c>
      <c r="H26" s="2465">
        <f t="shared" si="1"/>
        <v>0</v>
      </c>
      <c r="I26" s="2466">
        <f t="shared" si="2"/>
        <v>0</v>
      </c>
    </row>
    <row r="27" spans="1:11" ht="15.75" customHeight="1">
      <c r="A27" s="2524"/>
      <c r="B27" s="2365" t="s">
        <v>569</v>
      </c>
      <c r="C27" s="2673" t="s">
        <v>821</v>
      </c>
      <c r="D27" s="2674">
        <v>408.1</v>
      </c>
      <c r="E27" s="2171" t="s">
        <v>390</v>
      </c>
      <c r="F27" s="2193">
        <f>'FERC p262 Taxes'!M21</f>
        <v>103454099</v>
      </c>
      <c r="G27" s="2465">
        <f t="shared" si="0"/>
        <v>0</v>
      </c>
      <c r="H27" s="2465">
        <f t="shared" si="1"/>
        <v>0</v>
      </c>
      <c r="I27" s="2466">
        <f t="shared" si="2"/>
        <v>103454099</v>
      </c>
    </row>
    <row r="28" spans="1:11" ht="15.75" customHeight="1">
      <c r="A28" s="2524"/>
      <c r="B28" s="2365" t="s">
        <v>107</v>
      </c>
      <c r="C28" s="2673" t="s">
        <v>821</v>
      </c>
      <c r="D28" s="2674">
        <v>408.1</v>
      </c>
      <c r="E28" s="2171" t="s">
        <v>390</v>
      </c>
      <c r="F28" s="2193">
        <f>'FERC p262 Taxes'!M24</f>
        <v>879365</v>
      </c>
      <c r="G28" s="2465">
        <f t="shared" si="0"/>
        <v>0</v>
      </c>
      <c r="H28" s="2465">
        <f t="shared" si="1"/>
        <v>0</v>
      </c>
      <c r="I28" s="2466">
        <f t="shared" si="2"/>
        <v>879365</v>
      </c>
    </row>
    <row r="29" spans="1:11" ht="15.75" customHeight="1">
      <c r="A29" s="2675" t="s">
        <v>36</v>
      </c>
      <c r="B29" s="2365"/>
      <c r="C29" s="2677"/>
      <c r="D29" s="2678"/>
      <c r="E29" s="2679"/>
      <c r="F29" s="2186">
        <f>SUM(F22:F28)</f>
        <v>256112939</v>
      </c>
      <c r="G29" s="2311">
        <f>SUM(G22:G28)</f>
        <v>16476242.140085313</v>
      </c>
      <c r="H29" s="2311">
        <f>SUM(H22:H28)</f>
        <v>0</v>
      </c>
      <c r="I29" s="2312">
        <f>SUM(I22:I28)</f>
        <v>239636696.8509014</v>
      </c>
    </row>
    <row r="30" spans="1:11" ht="15.75" customHeight="1">
      <c r="A30" s="2675"/>
      <c r="B30" s="2365"/>
      <c r="C30" s="2353"/>
      <c r="D30" s="2356"/>
      <c r="E30" s="3705"/>
      <c r="F30" s="1397"/>
      <c r="G30" s="2682"/>
      <c r="H30" s="2682"/>
      <c r="I30" s="2683"/>
    </row>
    <row r="31" spans="1:11" ht="15.75" customHeight="1">
      <c r="A31" s="2675" t="s">
        <v>570</v>
      </c>
      <c r="B31" s="2365"/>
      <c r="C31" s="2677"/>
      <c r="D31" s="2678"/>
      <c r="E31" s="2679"/>
      <c r="F31" s="2186">
        <f>F29+F19</f>
        <v>448280187</v>
      </c>
      <c r="G31" s="2311">
        <f>G29+G19</f>
        <v>20202897.194350448</v>
      </c>
      <c r="H31" s="2311">
        <f>H29+H19</f>
        <v>0</v>
      </c>
      <c r="I31" s="2312">
        <f>I29+I19</f>
        <v>428077289.79663622</v>
      </c>
    </row>
    <row r="32" spans="1:11" ht="15.75" customHeight="1">
      <c r="A32" s="2675"/>
      <c r="B32" s="2365"/>
      <c r="C32" s="2353"/>
      <c r="D32" s="2356"/>
      <c r="E32" s="3705"/>
      <c r="F32" s="1397"/>
      <c r="G32" s="2682"/>
      <c r="H32" s="2682"/>
      <c r="I32" s="2683"/>
    </row>
    <row r="33" spans="1:9" ht="15.75" customHeight="1" thickBot="1">
      <c r="A33" s="2557"/>
      <c r="B33" s="2521"/>
      <c r="C33" s="2521"/>
      <c r="D33" s="2521"/>
      <c r="E33" s="2521"/>
      <c r="F33" s="2521"/>
      <c r="G33" s="2521"/>
      <c r="H33" s="2521"/>
      <c r="I33" s="2520"/>
    </row>
    <row r="34" spans="1:9" ht="12" thickTop="1"/>
  </sheetData>
  <mergeCells count="13">
    <mergeCell ref="A1:I1"/>
    <mergeCell ref="A2:I2"/>
    <mergeCell ref="A3:I3"/>
    <mergeCell ref="A9:I9"/>
    <mergeCell ref="E5:G5"/>
    <mergeCell ref="E6:G6"/>
    <mergeCell ref="E7:G7"/>
    <mergeCell ref="I11:I13"/>
    <mergeCell ref="H11:H13"/>
    <mergeCell ref="E11:E13"/>
    <mergeCell ref="A11:B13"/>
    <mergeCell ref="F11:F13"/>
    <mergeCell ref="G11:G13"/>
  </mergeCells>
  <hyperlinks>
    <hyperlink ref="A5" location="TOC!A1" display="TOC" xr:uid="{00000000-0004-0000-0600-000000000000}"/>
  </hyperlinks>
  <printOptions horizontalCentered="1" headings="1"/>
  <pageMargins left="0.5" right="0.5" top="0.75" bottom="0.55000000000000004" header="0.25" footer="0.25"/>
  <pageSetup scale="73" fitToHeight="2" orientation="landscape" r:id="rId1"/>
  <headerFooter alignWithMargins="0">
    <oddFooter>&amp;LFY 2026-2028 ASC Filing&amp;CPage &amp;P of &amp;N&amp;R&amp;A
&amp;D</oddFooter>
  </headerFooter>
  <customProperties>
    <customPr name="_pios_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indexed="46"/>
  </sheetPr>
  <dimension ref="A1:O43"/>
  <sheetViews>
    <sheetView zoomScaleNormal="100" workbookViewId="0">
      <pane ySplit="13" topLeftCell="A14" activePane="bottomLeft" state="frozen"/>
      <selection pane="bottomLeft" sqref="A1:XFD1048576"/>
    </sheetView>
  </sheetViews>
  <sheetFormatPr defaultColWidth="9" defaultRowHeight="11.25"/>
  <cols>
    <col min="1" max="1" width="5.375" style="493" customWidth="1"/>
    <col min="2" max="2" width="46.125" style="493" customWidth="1"/>
    <col min="3" max="4" width="10.625" style="493" customWidth="1"/>
    <col min="5" max="5" width="10" style="493" customWidth="1"/>
    <col min="6" max="6" width="9.375" style="493" customWidth="1"/>
    <col min="7" max="7" width="10.625" style="493" bestFit="1" customWidth="1"/>
    <col min="8" max="8" width="10.125" style="493" bestFit="1" customWidth="1"/>
    <col min="9" max="9" width="10.5" style="493" bestFit="1" customWidth="1"/>
    <col min="10" max="10" width="11.875" style="493" customWidth="1"/>
    <col min="11" max="11" width="1.125" style="493" customWidth="1"/>
    <col min="12" max="12" width="12.875" style="493" customWidth="1"/>
    <col min="13" max="13" width="10.5" style="493" bestFit="1" customWidth="1"/>
    <col min="14" max="14" width="10.5" style="493" customWidth="1"/>
    <col min="15" max="16384" width="9" style="493"/>
  </cols>
  <sheetData>
    <row r="1" spans="1:15" ht="12" thickTop="1">
      <c r="A1" s="3766" t="s">
        <v>54</v>
      </c>
      <c r="B1" s="3767"/>
      <c r="C1" s="3767"/>
      <c r="D1" s="3767"/>
      <c r="E1" s="3767"/>
      <c r="F1" s="3767"/>
      <c r="G1" s="3767"/>
      <c r="H1" s="3767"/>
      <c r="I1" s="3767"/>
      <c r="J1" s="3768"/>
    </row>
    <row r="2" spans="1:15">
      <c r="A2" s="3763" t="s">
        <v>56</v>
      </c>
      <c r="B2" s="3764"/>
      <c r="C2" s="3764"/>
      <c r="D2" s="3764"/>
      <c r="E2" s="3764"/>
      <c r="F2" s="3764"/>
      <c r="G2" s="3764"/>
      <c r="H2" s="3764"/>
      <c r="I2" s="3764"/>
      <c r="J2" s="3765"/>
    </row>
    <row r="3" spans="1:15">
      <c r="A3" s="3761" t="s">
        <v>709</v>
      </c>
      <c r="B3" s="3737"/>
      <c r="C3" s="3737"/>
      <c r="D3" s="3737"/>
      <c r="E3" s="3737"/>
      <c r="F3" s="3737"/>
      <c r="G3" s="3737"/>
      <c r="H3" s="3737"/>
      <c r="I3" s="3737"/>
      <c r="J3" s="3762"/>
    </row>
    <row r="4" spans="1:15" ht="13.5" customHeight="1" thickBot="1">
      <c r="A4" s="2448"/>
      <c r="B4" s="2292"/>
      <c r="C4" s="2449"/>
      <c r="D4" s="2449"/>
      <c r="E4" s="2292"/>
      <c r="F4" s="2292"/>
      <c r="G4" s="2689"/>
      <c r="H4" s="2451"/>
      <c r="I4" s="2451"/>
      <c r="J4" s="2295"/>
    </row>
    <row r="5" spans="1:15" ht="15.75" customHeight="1">
      <c r="A5" s="2296" t="s">
        <v>685</v>
      </c>
      <c r="B5" s="2292"/>
      <c r="C5" s="2449"/>
      <c r="D5" s="2297" t="s">
        <v>571</v>
      </c>
      <c r="E5" s="3777" t="str">
        <f>'Sch 1- Rate Base '!$E$5</f>
        <v>PUGET SOUND ENERGY</v>
      </c>
      <c r="F5" s="3778"/>
      <c r="G5" s="3798"/>
      <c r="H5" s="2451"/>
      <c r="I5" s="2453" t="s">
        <v>707</v>
      </c>
      <c r="J5" s="2295"/>
    </row>
    <row r="6" spans="1:15" ht="15.75" customHeight="1">
      <c r="A6" s="2690"/>
      <c r="B6" s="2292"/>
      <c r="C6" s="2449"/>
      <c r="D6" s="2297" t="s">
        <v>572</v>
      </c>
      <c r="E6" s="3779">
        <f>'Sch 1- Rate Base '!$E$6</f>
        <v>2023</v>
      </c>
      <c r="F6" s="3780"/>
      <c r="G6" s="3799"/>
      <c r="H6" s="2304"/>
      <c r="I6" s="2455" t="str">
        <f>'Sch 1- Rate Base '!I6</f>
        <v/>
      </c>
      <c r="J6" s="2295"/>
    </row>
    <row r="7" spans="1:15" ht="15.75" customHeight="1" thickBot="1">
      <c r="A7" s="2448"/>
      <c r="B7" s="2292"/>
      <c r="C7" s="2449"/>
      <c r="D7" s="2297" t="s">
        <v>573</v>
      </c>
      <c r="E7" s="3781">
        <f>'Sch 1- Rate Base '!$E$7</f>
        <v>45474</v>
      </c>
      <c r="F7" s="3791"/>
      <c r="G7" s="3792"/>
      <c r="H7" s="2304"/>
      <c r="I7" s="2456" t="str">
        <f>'Sch 1- Rate Base '!I7</f>
        <v/>
      </c>
      <c r="J7" s="2295"/>
    </row>
    <row r="8" spans="1:15" ht="9.75" customHeight="1">
      <c r="A8" s="2448"/>
      <c r="B8" s="2292"/>
      <c r="C8" s="2449"/>
      <c r="D8" s="2449"/>
      <c r="E8" s="2292"/>
      <c r="F8" s="2292"/>
      <c r="G8" s="2689"/>
      <c r="H8" s="2451"/>
      <c r="I8" s="2451"/>
      <c r="J8" s="2295"/>
    </row>
    <row r="9" spans="1:15">
      <c r="A9" s="2301" t="s">
        <v>160</v>
      </c>
      <c r="B9" s="2292"/>
      <c r="C9" s="2449"/>
      <c r="D9" s="2449"/>
      <c r="E9" s="2292"/>
      <c r="F9" s="2292"/>
      <c r="G9" s="2689"/>
      <c r="H9" s="2451"/>
      <c r="I9" s="2451"/>
      <c r="J9" s="2295"/>
    </row>
    <row r="10" spans="1:15" ht="9" customHeight="1" thickBot="1">
      <c r="A10" s="2301"/>
      <c r="B10" s="2292"/>
      <c r="C10" s="2449"/>
      <c r="D10" s="2449"/>
      <c r="E10" s="2292"/>
      <c r="F10" s="2292"/>
      <c r="G10" s="2689"/>
      <c r="H10" s="2451"/>
      <c r="I10" s="2451"/>
      <c r="J10" s="2295"/>
    </row>
    <row r="11" spans="1:15" ht="12" thickBot="1">
      <c r="A11" s="3771" t="s">
        <v>100</v>
      </c>
      <c r="B11" s="3731"/>
      <c r="C11" s="2649" t="s">
        <v>274</v>
      </c>
      <c r="D11" s="2685"/>
      <c r="E11" s="2162" t="s">
        <v>350</v>
      </c>
      <c r="F11" s="2163"/>
      <c r="G11" s="3734" t="s">
        <v>284</v>
      </c>
      <c r="H11" s="3734" t="s">
        <v>105</v>
      </c>
      <c r="I11" s="3734" t="s">
        <v>106</v>
      </c>
      <c r="J11" s="3769" t="s">
        <v>719</v>
      </c>
      <c r="L11" s="3734" t="s">
        <v>105</v>
      </c>
      <c r="M11" s="3734" t="s">
        <v>106</v>
      </c>
      <c r="N11" s="3769" t="s">
        <v>717</v>
      </c>
    </row>
    <row r="12" spans="1:15" ht="12" thickBot="1">
      <c r="A12" s="3810"/>
      <c r="B12" s="3733"/>
      <c r="C12" s="2164" t="s">
        <v>270</v>
      </c>
      <c r="D12" s="2691" t="s">
        <v>96</v>
      </c>
      <c r="E12" s="2165" t="s">
        <v>449</v>
      </c>
      <c r="F12" s="2166"/>
      <c r="G12" s="3735"/>
      <c r="H12" s="3735"/>
      <c r="I12" s="3735"/>
      <c r="J12" s="3814"/>
      <c r="L12" s="3735"/>
      <c r="M12" s="3735"/>
      <c r="N12" s="3814"/>
    </row>
    <row r="13" spans="1:15" ht="12" thickBot="1">
      <c r="A13" s="3811"/>
      <c r="B13" s="3812"/>
      <c r="C13" s="2461" t="s">
        <v>271</v>
      </c>
      <c r="D13" s="2692" t="s">
        <v>250</v>
      </c>
      <c r="E13" s="2462" t="s">
        <v>348</v>
      </c>
      <c r="F13" s="2462" t="s">
        <v>349</v>
      </c>
      <c r="G13" s="3807"/>
      <c r="H13" s="3807"/>
      <c r="I13" s="3807"/>
      <c r="J13" s="3815"/>
      <c r="L13" s="3757"/>
      <c r="M13" s="3757"/>
      <c r="N13" s="3770"/>
    </row>
    <row r="14" spans="1:15" ht="12" thickTop="1">
      <c r="A14" s="2669" t="s">
        <v>41</v>
      </c>
      <c r="B14" s="2097"/>
      <c r="C14" s="2686"/>
      <c r="D14" s="2687"/>
      <c r="E14" s="2116"/>
      <c r="F14" s="2116"/>
      <c r="G14" s="2181"/>
      <c r="H14" s="2181"/>
      <c r="I14" s="2181"/>
      <c r="J14" s="2688"/>
      <c r="O14" s="1397"/>
    </row>
    <row r="15" spans="1:15">
      <c r="A15" s="2669"/>
      <c r="B15" s="2097" t="s">
        <v>565</v>
      </c>
      <c r="C15" s="2464" t="s">
        <v>822</v>
      </c>
      <c r="D15" s="2171">
        <v>407.4</v>
      </c>
      <c r="E15" s="2171" t="s">
        <v>90</v>
      </c>
      <c r="F15" s="2171" t="s">
        <v>392</v>
      </c>
      <c r="G15" s="2172">
        <f>'FERC p114-117a Income'!H25</f>
        <v>134166092</v>
      </c>
      <c r="H15" s="2465">
        <f>IF($E15="DIRECT",$L15,VLOOKUP($E15,Ratio,2,FALSE)*$G15)</f>
        <v>101178031.47000001</v>
      </c>
      <c r="I15" s="2465">
        <f>IF($E15="DIRECT",$M15,VLOOKUP($E15,Ratio,3,FALSE)*$G15)</f>
        <v>0</v>
      </c>
      <c r="J15" s="2466">
        <f>IF($E15="DIRECT",$N15,VLOOKUP($E15,Ratio,4,FALSE)*$G15)</f>
        <v>32988060.300000001</v>
      </c>
      <c r="L15" s="2172">
        <f>-'DIRECT 4073 &amp; 4074'!H126</f>
        <v>101178031.47000001</v>
      </c>
      <c r="M15" s="2172">
        <f>-'DIRECT 4073 &amp; 4074'!I126</f>
        <v>0</v>
      </c>
      <c r="N15" s="2172">
        <f>-'DIRECT 4073 &amp; 4074'!J126</f>
        <v>32988060.300000001</v>
      </c>
      <c r="O15" s="3704"/>
    </row>
    <row r="16" spans="1:15">
      <c r="A16" s="2669"/>
      <c r="B16" s="2693" t="s">
        <v>8375</v>
      </c>
      <c r="C16" s="2464" t="s">
        <v>822</v>
      </c>
      <c r="D16" s="2171">
        <v>407.3</v>
      </c>
      <c r="E16" s="2171" t="s">
        <v>90</v>
      </c>
      <c r="F16" s="2171" t="s">
        <v>390</v>
      </c>
      <c r="G16" s="2172">
        <f>'FERC p114-117a Income'!H24</f>
        <v>66572207</v>
      </c>
      <c r="H16" s="2465">
        <f>IF($E16="DIRECT",$L16,VLOOKUP($E16,Ratio,2,FALSE)*$G16)</f>
        <v>35561739.260000005</v>
      </c>
      <c r="I16" s="2465">
        <f>IF($E16="DIRECT",$M16,VLOOKUP($E16,Ratio,3,FALSE)*$G16)</f>
        <v>0</v>
      </c>
      <c r="J16" s="2466">
        <f>IF($E16="DIRECT",$N16,VLOOKUP($E16,Ratio,4,FALSE)*$G16)</f>
        <v>31010467.999999996</v>
      </c>
      <c r="L16" s="2172">
        <f>'DIRECT 4073 &amp; 4074'!H45</f>
        <v>35561739.260000005</v>
      </c>
      <c r="M16" s="2172">
        <f>'DIRECT 4073 &amp; 4074'!I45</f>
        <v>0</v>
      </c>
      <c r="N16" s="2172">
        <f>'DIRECT 4073 &amp; 4074'!J45</f>
        <v>31010467.999999996</v>
      </c>
      <c r="O16" s="3704"/>
    </row>
    <row r="17" spans="1:15">
      <c r="A17" s="2442"/>
      <c r="B17" s="2185" t="s">
        <v>388</v>
      </c>
      <c r="C17" s="2464" t="s">
        <v>822</v>
      </c>
      <c r="D17" s="2171">
        <v>411.6</v>
      </c>
      <c r="E17" s="2171" t="s">
        <v>90</v>
      </c>
      <c r="F17" s="2171" t="s">
        <v>392</v>
      </c>
      <c r="G17" s="2172">
        <f>'FERC p114-117a Income'!H32</f>
        <v>611696</v>
      </c>
      <c r="H17" s="2465">
        <f>IF($E17="DIRECT",$L17,VLOOKUP($E17,Ratio,2,FALSE)*$G17)</f>
        <v>213537.98767209105</v>
      </c>
      <c r="I17" s="2465">
        <f>IF($E17="DIRECT",$M17,VLOOKUP($E17,Ratio,3,FALSE)*$G17)</f>
        <v>0</v>
      </c>
      <c r="J17" s="2466">
        <f>IF($E17="DIRECT",$N17,VLOOKUP($E17,Ratio,4,FALSE)*$G17)</f>
        <v>398158.40232790902</v>
      </c>
      <c r="L17" s="2172">
        <f>-SUM('DIRECT 411.6 &amp; 411.7'!I7:I9)</f>
        <v>213537.98767209105</v>
      </c>
      <c r="M17" s="2172">
        <f>-SUM('DIRECT 411.6 &amp; 411.7'!J7:J9)</f>
        <v>0</v>
      </c>
      <c r="N17" s="2172">
        <f>-SUM('DIRECT 411.6 &amp; 411.7'!K7:K9)</f>
        <v>398158.40232790902</v>
      </c>
      <c r="O17" s="3704"/>
    </row>
    <row r="18" spans="1:15">
      <c r="A18" s="2442"/>
      <c r="B18" s="2694" t="s">
        <v>8376</v>
      </c>
      <c r="C18" s="2464" t="s">
        <v>822</v>
      </c>
      <c r="D18" s="2171" t="s">
        <v>42</v>
      </c>
      <c r="E18" s="2171" t="s">
        <v>90</v>
      </c>
      <c r="F18" s="2171" t="s">
        <v>390</v>
      </c>
      <c r="G18" s="2172">
        <f>'FERC p114-117a Income'!H33</f>
        <v>5519</v>
      </c>
      <c r="H18" s="2465">
        <f>IF($E18="DIRECT",$L18,VLOOKUP($E18,Ratio,2,FALSE)*$G18)</f>
        <v>1926.5659657804031</v>
      </c>
      <c r="I18" s="2465">
        <f>IF($E18="DIRECT",$M18,VLOOKUP($E18,Ratio,3,FALSE)*$G18)</f>
        <v>0</v>
      </c>
      <c r="J18" s="2466">
        <f>IF($E18="DIRECT",$N18,VLOOKUP($E18,Ratio,4,FALSE)*$G18)</f>
        <v>3592.2340342195976</v>
      </c>
      <c r="L18" s="2172">
        <f>SUM('DIRECT 411.6 &amp; 411.7'!I10:I12)</f>
        <v>1926.5659657804031</v>
      </c>
      <c r="M18" s="2172">
        <f>SUM('DIRECT 411.6 &amp; 411.7'!J10:J12)</f>
        <v>0</v>
      </c>
      <c r="N18" s="2172">
        <f>SUM('DIRECT 411.6 &amp; 411.7'!K10:K12)</f>
        <v>3592.2340342195976</v>
      </c>
      <c r="O18" s="3704"/>
    </row>
    <row r="19" spans="1:15">
      <c r="A19" s="2442"/>
      <c r="B19" s="2185" t="s">
        <v>389</v>
      </c>
      <c r="C19" s="2464" t="s">
        <v>822</v>
      </c>
      <c r="D19" s="2171">
        <v>411.8</v>
      </c>
      <c r="E19" s="2171" t="s">
        <v>392</v>
      </c>
      <c r="F19" s="2171"/>
      <c r="G19" s="2193">
        <f>'FERC p114-117a Income'!H34</f>
        <v>0</v>
      </c>
      <c r="H19" s="2695">
        <f>VLOOKUP($E19,Ratio,2,FALSE)*$G19</f>
        <v>0</v>
      </c>
      <c r="I19" s="2695">
        <f>VLOOKUP($E19,Ratio,3,FALSE)*$G19</f>
        <v>0</v>
      </c>
      <c r="J19" s="2696">
        <f>VLOOKUP($E19,Ratio,4,FALSE)*$G19</f>
        <v>0</v>
      </c>
      <c r="L19" s="2447"/>
      <c r="M19" s="2447"/>
      <c r="N19" s="2447"/>
    </row>
    <row r="20" spans="1:15">
      <c r="A20" s="2442"/>
      <c r="B20" s="2694" t="s">
        <v>8377</v>
      </c>
      <c r="C20" s="2464" t="s">
        <v>822</v>
      </c>
      <c r="D20" s="2171">
        <v>411.9</v>
      </c>
      <c r="E20" s="2171" t="s">
        <v>392</v>
      </c>
      <c r="F20" s="2171"/>
      <c r="G20" s="2193">
        <f>'FERC p114-117a Income'!H35</f>
        <v>0</v>
      </c>
      <c r="H20" s="2695">
        <f>VLOOKUP($E20,Ratio,2,FALSE)*$G20</f>
        <v>0</v>
      </c>
      <c r="I20" s="2695">
        <f>VLOOKUP($E20,Ratio,3,FALSE)*$G20</f>
        <v>0</v>
      </c>
      <c r="J20" s="2696">
        <f>VLOOKUP($E20,Ratio,4,FALSE)*$G20</f>
        <v>0</v>
      </c>
      <c r="L20" s="2447"/>
      <c r="M20" s="2447"/>
      <c r="N20" s="2447"/>
      <c r="O20" s="1397"/>
    </row>
    <row r="21" spans="1:15">
      <c r="A21" s="2442"/>
      <c r="B21" s="2185" t="s">
        <v>181</v>
      </c>
      <c r="C21" s="2464" t="s">
        <v>822</v>
      </c>
      <c r="D21" s="2171">
        <v>421</v>
      </c>
      <c r="E21" s="2171" t="s">
        <v>90</v>
      </c>
      <c r="F21" s="2171" t="s">
        <v>392</v>
      </c>
      <c r="G21" s="2172">
        <f>'FERC p114-117a Income'!D53-'DIRECT 421'!$F$9</f>
        <v>-261571031</v>
      </c>
      <c r="H21" s="2465">
        <f>IF($E21="DIRECT",$L21,VLOOKUP($E21,Ratio,2,FALSE)*$G21)</f>
        <v>11756.068681033697</v>
      </c>
      <c r="I21" s="2465">
        <f>IF($E21="DIRECT",$M21,VLOOKUP($E21,Ratio,3,FALSE)*$G21)</f>
        <v>0</v>
      </c>
      <c r="J21" s="2466">
        <f>IF($E21="DIRECT",$N21,VLOOKUP($E21,Ratio,4,FALSE)*$G21)</f>
        <v>-261582787.08259478</v>
      </c>
      <c r="L21" s="2172">
        <f>-'DIRECT 421'!I39</f>
        <v>11756.068681033697</v>
      </c>
      <c r="M21" s="2172">
        <f>-'DIRECT 421'!J39</f>
        <v>0</v>
      </c>
      <c r="N21" s="2172">
        <f>-'DIRECT 421'!K39</f>
        <v>-261582787.08259478</v>
      </c>
      <c r="O21" s="3704"/>
    </row>
    <row r="22" spans="1:15">
      <c r="A22" s="2697" t="s">
        <v>49</v>
      </c>
      <c r="B22" s="2103"/>
      <c r="C22" s="2698"/>
      <c r="D22" s="2699"/>
      <c r="E22" s="2679"/>
      <c r="F22" s="2679"/>
      <c r="G22" s="2700">
        <f>G15-G16+G17-G18+G19-G20+G21</f>
        <v>-193370969</v>
      </c>
      <c r="H22" s="2701">
        <f>H15-H16+H17-H18+H19-H20+H21</f>
        <v>65839659.700387351</v>
      </c>
      <c r="I22" s="2701">
        <f>I15-I16+I17-I18+I19-I20+I21</f>
        <v>0</v>
      </c>
      <c r="J22" s="2702">
        <f>J15-J16+J17-J18+J19-J20+J21</f>
        <v>-259210628.61430109</v>
      </c>
      <c r="M22" s="2447"/>
      <c r="N22" s="2447"/>
    </row>
    <row r="23" spans="1:15">
      <c r="A23" s="2703"/>
      <c r="B23" s="2103"/>
      <c r="C23" s="2116"/>
      <c r="D23" s="2116"/>
      <c r="E23" s="3705"/>
      <c r="F23" s="1397"/>
      <c r="G23" s="2181"/>
      <c r="H23" s="2181"/>
      <c r="I23" s="2181"/>
      <c r="J23" s="2327"/>
      <c r="M23" s="2447"/>
      <c r="N23" s="2447"/>
    </row>
    <row r="24" spans="1:15">
      <c r="A24" s="2669" t="s">
        <v>276</v>
      </c>
      <c r="B24" s="2103"/>
      <c r="C24" s="2116"/>
      <c r="D24" s="2116"/>
      <c r="E24" s="2098"/>
      <c r="F24" s="2098"/>
      <c r="G24" s="2211"/>
      <c r="H24" s="2181"/>
      <c r="I24" s="2181"/>
      <c r="J24" s="2327"/>
      <c r="M24" s="2447"/>
      <c r="N24" s="2447"/>
    </row>
    <row r="25" spans="1:15">
      <c r="A25" s="2669"/>
      <c r="B25" s="2185" t="s">
        <v>64</v>
      </c>
      <c r="C25" s="2464">
        <v>310</v>
      </c>
      <c r="D25" s="2171">
        <v>447</v>
      </c>
      <c r="E25" s="2171" t="s">
        <v>392</v>
      </c>
      <c r="F25" s="2171"/>
      <c r="G25" s="2704">
        <f>'3-YEAR PP &amp; OSS Worksheet'!D36</f>
        <v>640830574</v>
      </c>
      <c r="H25" s="2705">
        <f>VLOOKUP($E25,Ratio,2,FALSE)*$G25</f>
        <v>640830574</v>
      </c>
      <c r="I25" s="2705">
        <f>VLOOKUP($E25,Ratio,3,FALSE)*$G25</f>
        <v>0</v>
      </c>
      <c r="J25" s="2706">
        <f>VLOOKUP($E25,Ratio,4,FALSE)*$G25</f>
        <v>0</v>
      </c>
      <c r="M25" s="2447"/>
      <c r="N25" s="2447"/>
    </row>
    <row r="26" spans="1:15">
      <c r="A26" s="2310" t="s">
        <v>65</v>
      </c>
      <c r="B26" s="2100"/>
      <c r="C26" s="2698"/>
      <c r="D26" s="2699"/>
      <c r="E26" s="2679"/>
      <c r="F26" s="2679"/>
      <c r="G26" s="2700">
        <f>SUM(G25)</f>
        <v>640830574</v>
      </c>
      <c r="H26" s="2701">
        <f>SUM(H25)</f>
        <v>640830574</v>
      </c>
      <c r="I26" s="2701">
        <f>SUM(I25)</f>
        <v>0</v>
      </c>
      <c r="J26" s="2702">
        <f>SUM(J25)</f>
        <v>0</v>
      </c>
      <c r="L26" s="2447"/>
      <c r="M26" s="2447"/>
      <c r="N26" s="2447"/>
    </row>
    <row r="27" spans="1:15">
      <c r="A27" s="2306"/>
      <c r="B27" s="2100"/>
      <c r="C27" s="2116"/>
      <c r="D27" s="2116"/>
      <c r="E27" s="3705"/>
      <c r="F27" s="1397"/>
      <c r="G27" s="3705"/>
      <c r="H27" s="2181"/>
      <c r="I27" s="2181"/>
      <c r="J27" s="2327"/>
      <c r="L27" s="2447"/>
      <c r="M27" s="2447"/>
      <c r="N27" s="2447"/>
    </row>
    <row r="28" spans="1:15">
      <c r="A28" s="2305" t="s">
        <v>43</v>
      </c>
      <c r="B28" s="2100"/>
      <c r="C28" s="2116"/>
      <c r="D28" s="2116"/>
      <c r="E28" s="2098"/>
      <c r="F28" s="2098"/>
      <c r="G28" s="2211"/>
      <c r="H28" s="2181"/>
      <c r="I28" s="2181"/>
      <c r="J28" s="2327"/>
      <c r="L28" s="2447"/>
      <c r="M28" s="2447"/>
      <c r="N28" s="2447"/>
    </row>
    <row r="29" spans="1:15">
      <c r="A29" s="2442"/>
      <c r="B29" s="2290" t="s">
        <v>325</v>
      </c>
      <c r="C29" s="2464">
        <v>300</v>
      </c>
      <c r="D29" s="2171">
        <v>450</v>
      </c>
      <c r="E29" s="2171" t="s">
        <v>390</v>
      </c>
      <c r="F29" s="2171"/>
      <c r="G29" s="3722">
        <f>'FERC p300-301 Op Revenues'!C28</f>
        <v>-758</v>
      </c>
      <c r="H29" s="2695">
        <f>VLOOKUP($E29,Ratio,2,FALSE)*$G29</f>
        <v>0</v>
      </c>
      <c r="I29" s="2695">
        <f>VLOOKUP($E29,Ratio,3,FALSE)*$G29</f>
        <v>0</v>
      </c>
      <c r="J29" s="2696">
        <f>VLOOKUP($E29,Ratio,4,FALSE)*$G29</f>
        <v>-758</v>
      </c>
      <c r="L29" s="2447"/>
      <c r="M29" s="2447"/>
      <c r="N29" s="2447"/>
    </row>
    <row r="30" spans="1:15">
      <c r="A30" s="2442"/>
      <c r="B30" s="2290" t="s">
        <v>545</v>
      </c>
      <c r="C30" s="2464">
        <v>300</v>
      </c>
      <c r="D30" s="2171" t="s">
        <v>44</v>
      </c>
      <c r="E30" s="2171" t="s">
        <v>390</v>
      </c>
      <c r="F30" s="2171"/>
      <c r="G30" s="3722">
        <f>'FERC p300-301 Op Revenues'!C29</f>
        <v>16254690</v>
      </c>
      <c r="H30" s="2695">
        <f>VLOOKUP($E30,Ratio,2,FALSE)*$G30</f>
        <v>0</v>
      </c>
      <c r="I30" s="2695">
        <f>VLOOKUP($E30,Ratio,3,FALSE)*$G30</f>
        <v>0</v>
      </c>
      <c r="J30" s="2696">
        <f>VLOOKUP($E30,Ratio,4,FALSE)*$G30</f>
        <v>16254690</v>
      </c>
      <c r="L30" s="2447"/>
      <c r="M30" s="2447"/>
      <c r="N30" s="2447"/>
    </row>
    <row r="31" spans="1:15">
      <c r="A31" s="2442"/>
      <c r="B31" s="2290" t="s">
        <v>544</v>
      </c>
      <c r="C31" s="2464">
        <v>300</v>
      </c>
      <c r="D31" s="2171" t="s">
        <v>45</v>
      </c>
      <c r="E31" s="2171" t="s">
        <v>392</v>
      </c>
      <c r="F31" s="2171"/>
      <c r="G31" s="3722">
        <f>'FERC p300-301 Op Revenues'!$C$30</f>
        <v>0</v>
      </c>
      <c r="H31" s="2695">
        <f>VLOOKUP($E31,Ratio,2,FALSE)*$G31</f>
        <v>0</v>
      </c>
      <c r="I31" s="2695">
        <f>VLOOKUP($E31,Ratio,3,FALSE)*$G31</f>
        <v>0</v>
      </c>
      <c r="J31" s="2696">
        <f>VLOOKUP($E31,Ratio,4,FALSE)*$G31</f>
        <v>0</v>
      </c>
      <c r="L31" s="2447"/>
      <c r="M31" s="2447"/>
      <c r="N31" s="2447"/>
    </row>
    <row r="32" spans="1:15">
      <c r="A32" s="2442"/>
      <c r="B32" s="2290" t="s">
        <v>543</v>
      </c>
      <c r="C32" s="2464">
        <v>300</v>
      </c>
      <c r="D32" s="2171" t="s">
        <v>46</v>
      </c>
      <c r="E32" s="2171" t="s">
        <v>109</v>
      </c>
      <c r="F32" s="2171"/>
      <c r="G32" s="3722">
        <f>'FERC p300-301 Op Revenues'!C31</f>
        <v>16990858</v>
      </c>
      <c r="H32" s="2695">
        <f>VLOOKUP($E32,Ratio,2,FALSE)*$G32</f>
        <v>0</v>
      </c>
      <c r="I32" s="2695">
        <f>VLOOKUP($E32,Ratio,3,FALSE)*$G32</f>
        <v>0</v>
      </c>
      <c r="J32" s="2696">
        <f>VLOOKUP($E32,Ratio,4,FALSE)*$G32</f>
        <v>16990858</v>
      </c>
      <c r="L32" s="2447"/>
      <c r="M32" s="2447"/>
      <c r="N32" s="2447"/>
    </row>
    <row r="33" spans="1:15">
      <c r="A33" s="2442"/>
      <c r="B33" s="2290" t="s">
        <v>327</v>
      </c>
      <c r="C33" s="2464">
        <v>300</v>
      </c>
      <c r="D33" s="2171">
        <v>455</v>
      </c>
      <c r="E33" s="2171" t="s">
        <v>390</v>
      </c>
      <c r="F33" s="2171"/>
      <c r="G33" s="3722">
        <f>'FERC p300-301 Op Revenues'!C32</f>
        <v>0</v>
      </c>
      <c r="H33" s="2695">
        <f>VLOOKUP($E33,Ratio,2,FALSE)*$G33</f>
        <v>0</v>
      </c>
      <c r="I33" s="2695">
        <f>VLOOKUP($E33,Ratio,3,FALSE)*$G33</f>
        <v>0</v>
      </c>
      <c r="J33" s="2696">
        <f>VLOOKUP($E33,Ratio,4,FALSE)*$G33</f>
        <v>0</v>
      </c>
      <c r="L33" s="2447"/>
      <c r="M33" s="2447"/>
      <c r="N33" s="2447"/>
      <c r="O33" s="1397"/>
    </row>
    <row r="34" spans="1:15">
      <c r="A34" s="2442"/>
      <c r="B34" s="2290" t="s">
        <v>326</v>
      </c>
      <c r="C34" s="2464">
        <v>300</v>
      </c>
      <c r="D34" s="2171" t="s">
        <v>47</v>
      </c>
      <c r="E34" s="2171" t="s">
        <v>90</v>
      </c>
      <c r="F34" s="2171" t="s">
        <v>392</v>
      </c>
      <c r="G34" s="3722">
        <f>'FERC p300-301 Op Revenues'!C33</f>
        <v>33809167</v>
      </c>
      <c r="H34" s="2465">
        <f>IF($E34="DIRECT",$L34,VLOOKUP($E34,Ratio,2,FALSE)*$G34)</f>
        <v>46941385.813219115</v>
      </c>
      <c r="I34" s="2465">
        <f>IF($E34="DIRECT",$M34,VLOOKUP($E34,Ratio,3,FALSE)*$G34)</f>
        <v>0</v>
      </c>
      <c r="J34" s="2466">
        <f>IF($E34="DIRECT",$N34,VLOOKUP($E34,Ratio,4,FALSE)*$G34)</f>
        <v>-13132218.503405668</v>
      </c>
      <c r="L34" s="2172">
        <f>-'DIRECT 456'!G93</f>
        <v>46941385.813219115</v>
      </c>
      <c r="M34" s="2172">
        <f>-'DIRECT 456'!H93</f>
        <v>0</v>
      </c>
      <c r="N34" s="2172">
        <f>-'DIRECT 456'!I93</f>
        <v>-13132218.503405668</v>
      </c>
      <c r="O34" s="3704"/>
    </row>
    <row r="35" spans="1:15">
      <c r="A35" s="2442"/>
      <c r="B35" s="2290" t="s">
        <v>502</v>
      </c>
      <c r="C35" s="2464">
        <v>330</v>
      </c>
      <c r="D35" s="2464">
        <v>456.1</v>
      </c>
      <c r="E35" s="2171" t="s">
        <v>391</v>
      </c>
      <c r="F35" s="2171"/>
      <c r="G35" s="3722">
        <f>'FERC p300-301 Op Revenues'!C34</f>
        <v>34371414</v>
      </c>
      <c r="H35" s="2695">
        <f>VLOOKUP($E35,Ratio,2,FALSE)*$G35</f>
        <v>0</v>
      </c>
      <c r="I35" s="2695">
        <f>VLOOKUP($E35,Ratio,3,FALSE)*$G35</f>
        <v>0</v>
      </c>
      <c r="J35" s="2696">
        <f>VLOOKUP($E35,Ratio,4,FALSE)*$G35</f>
        <v>34371414</v>
      </c>
      <c r="L35" s="2447"/>
      <c r="M35" s="2447"/>
      <c r="N35" s="2447"/>
    </row>
    <row r="36" spans="1:15">
      <c r="A36" s="2669"/>
      <c r="B36" s="2290"/>
      <c r="C36" s="2116"/>
      <c r="D36" s="2098"/>
      <c r="E36" s="2098"/>
      <c r="F36" s="2098"/>
      <c r="G36" s="2211"/>
      <c r="H36" s="2181"/>
      <c r="I36" s="2181"/>
      <c r="J36" s="2327"/>
      <c r="L36" s="2707"/>
      <c r="M36" s="2447"/>
      <c r="N36" s="2447"/>
    </row>
    <row r="37" spans="1:15">
      <c r="A37" s="2310" t="s">
        <v>48</v>
      </c>
      <c r="B37" s="2100"/>
      <c r="C37" s="2708"/>
      <c r="D37" s="2709"/>
      <c r="E37" s="2710"/>
      <c r="F37" s="2711"/>
      <c r="G37" s="2700">
        <f>SUM(G29:G36)</f>
        <v>101425371</v>
      </c>
      <c r="H37" s="2701">
        <f>SUM(H29:H36)</f>
        <v>46941385.813219115</v>
      </c>
      <c r="I37" s="2701">
        <f>SUM(I29:I36)</f>
        <v>0</v>
      </c>
      <c r="J37" s="2702">
        <f>SUM(J29:J36)</f>
        <v>54483985.496594332</v>
      </c>
      <c r="L37" s="2447"/>
      <c r="M37" s="2447"/>
      <c r="N37" s="2447"/>
    </row>
    <row r="38" spans="1:15">
      <c r="A38" s="2310"/>
      <c r="B38" s="2100"/>
      <c r="C38" s="2116"/>
      <c r="D38" s="2116"/>
      <c r="E38" s="3705"/>
      <c r="F38" s="1397"/>
      <c r="G38" s="3708"/>
      <c r="H38" s="2181"/>
      <c r="I38" s="2181"/>
      <c r="J38" s="2327"/>
      <c r="L38" s="2447"/>
      <c r="M38" s="2447"/>
      <c r="N38" s="2447"/>
    </row>
    <row r="39" spans="1:15">
      <c r="A39" s="2310" t="s">
        <v>49</v>
      </c>
      <c r="B39" s="2100"/>
      <c r="C39" s="2708"/>
      <c r="D39" s="2709"/>
      <c r="E39" s="2710"/>
      <c r="F39" s="2710"/>
      <c r="G39" s="2712">
        <f>+G37+G26+G22</f>
        <v>548884976</v>
      </c>
      <c r="H39" s="2701">
        <f>+H37+H26+H22</f>
        <v>753611619.51360643</v>
      </c>
      <c r="I39" s="2701">
        <f>+I37+I26+I22</f>
        <v>0</v>
      </c>
      <c r="J39" s="2702">
        <f>+J37+J26+J22</f>
        <v>-204726643.11770675</v>
      </c>
      <c r="L39" s="2447"/>
      <c r="M39" s="2447"/>
      <c r="N39" s="2447"/>
    </row>
    <row r="40" spans="1:15">
      <c r="A40" s="2713" t="s">
        <v>67</v>
      </c>
      <c r="B40" s="2100"/>
      <c r="C40" s="2290"/>
      <c r="D40" s="2290"/>
      <c r="E40" s="2290"/>
      <c r="F40" s="2290"/>
      <c r="G40" s="2290"/>
      <c r="H40" s="2290"/>
      <c r="I40" s="2290"/>
      <c r="J40" s="2315"/>
      <c r="L40" s="2447"/>
      <c r="M40" s="2447"/>
      <c r="N40" s="2447"/>
    </row>
    <row r="41" spans="1:15">
      <c r="A41" s="2714"/>
      <c r="J41" s="2340"/>
      <c r="L41" s="2447"/>
      <c r="M41" s="2447"/>
      <c r="N41" s="2447"/>
    </row>
    <row r="42" spans="1:15" ht="12" thickBot="1">
      <c r="A42" s="2715"/>
      <c r="B42" s="2716"/>
      <c r="C42" s="2716"/>
      <c r="D42" s="2716"/>
      <c r="E42" s="2716"/>
      <c r="F42" s="2716"/>
      <c r="G42" s="2716"/>
      <c r="H42" s="2716"/>
      <c r="I42" s="2716"/>
      <c r="J42" s="2717"/>
      <c r="L42" s="2447"/>
      <c r="M42" s="2447"/>
      <c r="N42" s="2447"/>
    </row>
    <row r="43" spans="1:15" ht="12" thickTop="1">
      <c r="L43" s="2447"/>
      <c r="M43" s="2447"/>
      <c r="N43" s="2447"/>
    </row>
  </sheetData>
  <mergeCells count="14">
    <mergeCell ref="N11:N13"/>
    <mergeCell ref="A1:J1"/>
    <mergeCell ref="A11:B13"/>
    <mergeCell ref="E5:G5"/>
    <mergeCell ref="E6:G6"/>
    <mergeCell ref="E7:G7"/>
    <mergeCell ref="G11:G13"/>
    <mergeCell ref="H11:H13"/>
    <mergeCell ref="I11:I13"/>
    <mergeCell ref="A3:J3"/>
    <mergeCell ref="A2:J2"/>
    <mergeCell ref="L11:L13"/>
    <mergeCell ref="M11:M13"/>
    <mergeCell ref="J11:J13"/>
  </mergeCells>
  <conditionalFormatting sqref="G15:G18">
    <cfRule type="expression" dxfId="15" priority="3">
      <formula>G15&lt;&gt;SUM(H15:J15)</formula>
    </cfRule>
  </conditionalFormatting>
  <conditionalFormatting sqref="G21">
    <cfRule type="expression" dxfId="14" priority="2">
      <formula>G21&lt;&gt;SUM(H21:J21)</formula>
    </cfRule>
  </conditionalFormatting>
  <conditionalFormatting sqref="G34">
    <cfRule type="expression" dxfId="13" priority="1">
      <formula>G34&lt;&gt;SUM(H34:J34)</formula>
    </cfRule>
  </conditionalFormatting>
  <dataValidations count="2">
    <dataValidation type="list" allowBlank="1" showInputMessage="1" showErrorMessage="1" sqref="E16 E18" xr:uid="{00000000-0002-0000-0700-000000000000}">
      <formula1>DIST</formula1>
    </dataValidation>
    <dataValidation type="list" allowBlank="1" showInputMessage="1" showErrorMessage="1" sqref="E21 E17 E15 E34" xr:uid="{00000000-0002-0000-0700-000001000000}">
      <formula1>PROD</formula1>
    </dataValidation>
  </dataValidations>
  <hyperlinks>
    <hyperlink ref="A5" location="TOC!A1" display="TOC" xr:uid="{00000000-0004-0000-0700-000000000000}"/>
  </hyperlinks>
  <printOptions horizontalCentered="1" headings="1"/>
  <pageMargins left="0.5" right="0.5" top="0.75" bottom="0.55000000000000004" header="0.25" footer="0.25"/>
  <pageSetup scale="73" orientation="landscape" r:id="rId1"/>
  <headerFooter alignWithMargins="0">
    <oddFooter>&amp;LFY 2026-2028 ASC Filing&amp;CPage &amp;P of &amp;N&amp;R&amp;A
&amp;D</oddFooter>
  </headerFooter>
  <customProperties>
    <customPr name="_pios_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tabColor indexed="40"/>
  </sheetPr>
  <dimension ref="A1:K57"/>
  <sheetViews>
    <sheetView zoomScale="110" zoomScaleNormal="110" workbookViewId="0">
      <pane ySplit="10" topLeftCell="A39" activePane="bottomLeft" state="frozen"/>
      <selection pane="bottomLeft" sqref="A1:XFD1048576"/>
    </sheetView>
  </sheetViews>
  <sheetFormatPr defaultColWidth="9" defaultRowHeight="11.25"/>
  <cols>
    <col min="1" max="1" width="34.25" style="493" customWidth="1"/>
    <col min="2" max="2" width="19.125" style="493" bestFit="1" customWidth="1"/>
    <col min="3" max="4" width="11.25" style="493" bestFit="1" customWidth="1"/>
    <col min="5" max="5" width="10.5" style="493" bestFit="1" customWidth="1"/>
    <col min="6" max="6" width="15.75" style="493" customWidth="1"/>
    <col min="7" max="7" width="1.375" style="493" customWidth="1"/>
    <col min="8" max="8" width="15.75" style="493" bestFit="1" customWidth="1"/>
    <col min="9" max="9" width="11.25" style="493" bestFit="1" customWidth="1"/>
    <col min="10" max="11" width="13.875" style="493" bestFit="1" customWidth="1"/>
    <col min="12" max="16384" width="9" style="493"/>
  </cols>
  <sheetData>
    <row r="1" spans="1:6" ht="20.100000000000001" customHeight="1" thickTop="1">
      <c r="A1" s="3766" t="s">
        <v>54</v>
      </c>
      <c r="B1" s="3767"/>
      <c r="C1" s="3767"/>
      <c r="D1" s="3767"/>
      <c r="E1" s="3767"/>
      <c r="F1" s="3768"/>
    </row>
    <row r="2" spans="1:6" ht="20.100000000000001" customHeight="1">
      <c r="A2" s="3763" t="s">
        <v>56</v>
      </c>
      <c r="B2" s="3764"/>
      <c r="C2" s="3764"/>
      <c r="D2" s="3764"/>
      <c r="E2" s="3764"/>
      <c r="F2" s="3765"/>
    </row>
    <row r="3" spans="1:6" ht="20.100000000000001" customHeight="1">
      <c r="A3" s="3761" t="s">
        <v>709</v>
      </c>
      <c r="B3" s="3737"/>
      <c r="C3" s="3737"/>
      <c r="D3" s="3737"/>
      <c r="E3" s="3737"/>
      <c r="F3" s="3762"/>
    </row>
    <row r="4" spans="1:6" ht="15.75" customHeight="1" thickBot="1">
      <c r="A4" s="2291"/>
      <c r="B4" s="2139"/>
      <c r="C4" s="2139"/>
      <c r="D4" s="2139"/>
      <c r="E4" s="2139"/>
      <c r="F4" s="2665"/>
    </row>
    <row r="5" spans="1:6" ht="15.75" customHeight="1">
      <c r="A5" s="2296" t="s">
        <v>685</v>
      </c>
      <c r="B5" s="2297" t="s">
        <v>571</v>
      </c>
      <c r="C5" s="3777" t="str">
        <f>'Sch 1- Rate Base '!$E$5</f>
        <v>PUGET SOUND ENERGY</v>
      </c>
      <c r="D5" s="3778"/>
      <c r="E5" s="2298"/>
      <c r="F5" s="2299" t="s">
        <v>707</v>
      </c>
    </row>
    <row r="6" spans="1:6" ht="15.75" customHeight="1">
      <c r="A6" s="2690"/>
      <c r="B6" s="2297" t="s">
        <v>572</v>
      </c>
      <c r="C6" s="3779">
        <f>'Sch 1- Rate Base '!$E$6</f>
        <v>2023</v>
      </c>
      <c r="D6" s="3780"/>
      <c r="E6" s="2298"/>
      <c r="F6" s="2300" t="str">
        <f>'Sch 1- Rate Base '!I6</f>
        <v/>
      </c>
    </row>
    <row r="7" spans="1:6" ht="15.75" customHeight="1" thickBot="1">
      <c r="A7" s="2291"/>
      <c r="B7" s="2297" t="s">
        <v>573</v>
      </c>
      <c r="C7" s="3781">
        <f>'Sch 1- Rate Base '!$E$7</f>
        <v>45474</v>
      </c>
      <c r="D7" s="3782"/>
      <c r="E7" s="2298"/>
      <c r="F7" s="2302" t="str">
        <f>'Sch 1- Rate Base '!I7</f>
        <v/>
      </c>
    </row>
    <row r="8" spans="1:6" ht="15.75" customHeight="1">
      <c r="A8" s="2291"/>
      <c r="B8" s="2297"/>
      <c r="C8" s="2303"/>
      <c r="D8" s="2139"/>
      <c r="F8" s="2340"/>
    </row>
    <row r="9" spans="1:6" ht="19.5" customHeight="1">
      <c r="A9" s="3821" t="s">
        <v>66</v>
      </c>
      <c r="B9" s="3822"/>
      <c r="C9" s="3822"/>
      <c r="D9" s="3822"/>
      <c r="E9" s="3822"/>
      <c r="F9" s="3823"/>
    </row>
    <row r="10" spans="1:6" ht="15.75" customHeight="1" thickBot="1">
      <c r="A10" s="2722"/>
      <c r="B10" s="2723"/>
      <c r="C10" s="2723"/>
      <c r="D10" s="2723"/>
      <c r="E10" s="2723"/>
      <c r="F10" s="2724"/>
    </row>
    <row r="11" spans="1:6" ht="12" thickBot="1">
      <c r="A11" s="2725"/>
      <c r="B11" s="495"/>
      <c r="C11" s="495"/>
      <c r="D11" s="495"/>
      <c r="E11" s="495"/>
      <c r="F11" s="2341"/>
    </row>
    <row r="12" spans="1:6" ht="12" thickBot="1">
      <c r="A12" s="2314"/>
      <c r="C12" s="2726" t="s">
        <v>104</v>
      </c>
      <c r="D12" s="2726" t="s">
        <v>105</v>
      </c>
      <c r="E12" s="2726" t="s">
        <v>106</v>
      </c>
      <c r="F12" s="2727" t="s">
        <v>347</v>
      </c>
    </row>
    <row r="13" spans="1:6" ht="12" thickBot="1">
      <c r="A13" s="2310" t="s">
        <v>50</v>
      </c>
      <c r="B13" s="2686"/>
      <c r="C13" s="2728">
        <f>'Sch 3 - Expenses'!G100</f>
        <v>2931166699.0700002</v>
      </c>
      <c r="D13" s="2728">
        <f>'Sch 3 - Expenses'!H100</f>
        <v>2250420319.9548378</v>
      </c>
      <c r="E13" s="2728">
        <f>'Sch 3 - Expenses'!I100</f>
        <v>0</v>
      </c>
      <c r="F13" s="2729">
        <f>'Sch 3 - Expenses'!J100</f>
        <v>680746379.22390342</v>
      </c>
    </row>
    <row r="14" spans="1:6">
      <c r="A14" s="2713" t="s">
        <v>68</v>
      </c>
      <c r="B14" s="2686"/>
      <c r="C14" s="2181"/>
      <c r="D14" s="2181"/>
      <c r="E14" s="2181"/>
      <c r="F14" s="2327"/>
    </row>
    <row r="15" spans="1:6" ht="12" thickBot="1">
      <c r="A15" s="2713"/>
      <c r="B15" s="2686"/>
      <c r="C15" s="2181"/>
      <c r="D15" s="2181"/>
      <c r="E15" s="2181"/>
      <c r="F15" s="2327"/>
    </row>
    <row r="16" spans="1:6" ht="12" thickBot="1">
      <c r="A16" s="2310" t="s">
        <v>141</v>
      </c>
      <c r="B16" s="2686"/>
      <c r="C16" s="2728">
        <f>IF('Sch 2 -Rate of Return'!E42&gt;0,'Sch 2 -Rate of Return'!E42,IF('Sch 2 -Rate of Return'!E98&gt;0,'Sch 2 -Rate of Return'!E98,IF('Sch 2 -Rate of Return'!E125&gt;0,'Sch 2 -Rate of Return'!E125,0)))</f>
        <v>637120080.35280752</v>
      </c>
      <c r="D16" s="2728">
        <f>IF('Sch 2 -Rate of Return'!F42&gt;0,'Sch 2 -Rate of Return'!F42,IF('Sch 2 -Rate of Return'!F98&gt;0,'Sch 2 -Rate of Return'!F98,IF('Sch 2 -Rate of Return'!F125&gt;0,'Sch 2 -Rate of Return'!F125,0)))</f>
        <v>185807079.37114048</v>
      </c>
      <c r="E16" s="2728">
        <f>IF('Sch 2 -Rate of Return'!G42&gt;0,'Sch 2 -Rate of Return'!G42,IF('Sch 2 -Rate of Return'!G98&gt;0,'Sch 2 -Rate of Return'!G98,IF('Sch 2 -Rate of Return'!G125&gt;0,'Sch 2 -Rate of Return'!G125,0)))</f>
        <v>0</v>
      </c>
      <c r="F16" s="2729">
        <f>IF('Sch 2 -Rate of Return'!H42&gt;0,'Sch 2 -Rate of Return'!H42,IF('Sch 2 -Rate of Return'!H98&gt;0,'Sch 2 -Rate of Return'!H98,IF('Sch 2 -Rate of Return'!H125&gt;0,'Sch 2 -Rate of Return'!H125,0)))</f>
        <v>451313000.84413463</v>
      </c>
    </row>
    <row r="17" spans="1:11">
      <c r="A17" s="2713" t="s">
        <v>252</v>
      </c>
      <c r="B17" s="2686"/>
      <c r="C17" s="2181"/>
      <c r="D17" s="2181"/>
      <c r="E17" s="2181"/>
      <c r="F17" s="2327"/>
    </row>
    <row r="18" spans="1:11" ht="12" thickBot="1">
      <c r="A18" s="2713"/>
      <c r="B18" s="2686"/>
      <c r="C18" s="2181"/>
      <c r="D18" s="2181"/>
      <c r="E18" s="2181"/>
      <c r="F18" s="2327"/>
    </row>
    <row r="19" spans="1:11" ht="12" thickBot="1">
      <c r="A19" s="2310" t="s">
        <v>39</v>
      </c>
      <c r="B19" s="2686"/>
      <c r="C19" s="2728">
        <f>'Sch 3A - Taxes'!F31</f>
        <v>448280187</v>
      </c>
      <c r="D19" s="2728">
        <f>'Sch 3A - Taxes'!G31</f>
        <v>20202897.194350448</v>
      </c>
      <c r="E19" s="2728">
        <f>'Sch 3A - Taxes'!H31</f>
        <v>0</v>
      </c>
      <c r="F19" s="2729">
        <f>'Sch 3A - Taxes'!I31</f>
        <v>428077289.79663622</v>
      </c>
    </row>
    <row r="20" spans="1:11">
      <c r="A20" s="2713" t="s">
        <v>161</v>
      </c>
      <c r="B20" s="2686"/>
      <c r="C20" s="2181"/>
      <c r="D20" s="2181"/>
      <c r="E20" s="2181"/>
      <c r="F20" s="2327"/>
    </row>
    <row r="21" spans="1:11" ht="12" thickBot="1">
      <c r="A21" s="2713"/>
      <c r="B21" s="2686"/>
      <c r="C21" s="2181"/>
      <c r="D21" s="2181"/>
      <c r="E21" s="2181"/>
      <c r="F21" s="2327"/>
    </row>
    <row r="22" spans="1:11" ht="12" thickBot="1">
      <c r="A22" s="2310" t="s">
        <v>49</v>
      </c>
      <c r="B22" s="2686"/>
      <c r="C22" s="2728">
        <f>'Sch 3B - Other Items'!G39</f>
        <v>548884976</v>
      </c>
      <c r="D22" s="2728">
        <f>'Sch 3B - Other Items'!H39</f>
        <v>753611619.51360643</v>
      </c>
      <c r="E22" s="2728">
        <f>'Sch 3B - Other Items'!I39</f>
        <v>0</v>
      </c>
      <c r="F22" s="2729">
        <f>'Sch 3B - Other Items'!J39</f>
        <v>-204726643.11770675</v>
      </c>
    </row>
    <row r="23" spans="1:11">
      <c r="A23" s="2713" t="s">
        <v>503</v>
      </c>
      <c r="B23" s="2686"/>
      <c r="C23" s="2181"/>
      <c r="D23" s="2181"/>
      <c r="E23" s="2181"/>
      <c r="F23" s="2327"/>
    </row>
    <row r="24" spans="1:11" ht="12" thickBot="1">
      <c r="A24" s="2713"/>
      <c r="B24" s="2686"/>
      <c r="C24" s="2181"/>
      <c r="D24" s="2181"/>
      <c r="E24" s="2181"/>
      <c r="F24" s="2327"/>
    </row>
    <row r="25" spans="1:11" ht="12" thickBot="1">
      <c r="A25" s="2310" t="s">
        <v>51</v>
      </c>
      <c r="B25" s="2686"/>
      <c r="C25" s="2730">
        <f>C13+C16+C19-C22</f>
        <v>3467681990.4228077</v>
      </c>
      <c r="D25" s="2730">
        <f>D13+D16+D19-D22</f>
        <v>1702818677.006722</v>
      </c>
      <c r="E25" s="2730">
        <f>E13+E16+E19-E22</f>
        <v>0</v>
      </c>
      <c r="F25" s="2731">
        <f>F13+F16+F19-F22</f>
        <v>1764863312.9823809</v>
      </c>
    </row>
    <row r="26" spans="1:11" ht="15.75" customHeight="1">
      <c r="A26" s="2713" t="s">
        <v>249</v>
      </c>
      <c r="B26" s="2100"/>
      <c r="C26" s="2686"/>
      <c r="D26" s="2686"/>
      <c r="E26" s="2732"/>
      <c r="F26" s="2327"/>
      <c r="G26" s="2181"/>
      <c r="H26" s="2181"/>
      <c r="I26" s="2181"/>
    </row>
    <row r="27" spans="1:11" ht="15.75" customHeight="1">
      <c r="A27" s="2314"/>
      <c r="E27" s="1732"/>
      <c r="F27" s="2733"/>
    </row>
    <row r="28" spans="1:11" ht="15.75" customHeight="1" thickBot="1">
      <c r="A28" s="2316"/>
      <c r="B28" s="2716"/>
      <c r="C28" s="2716"/>
      <c r="D28" s="2716"/>
      <c r="E28" s="2716"/>
      <c r="F28" s="2717"/>
    </row>
    <row r="29" spans="1:11" ht="15.75" customHeight="1" thickTop="1">
      <c r="A29" s="2418"/>
      <c r="B29" s="2734"/>
      <c r="C29" s="2734"/>
      <c r="D29" s="2734"/>
      <c r="E29" s="2734"/>
      <c r="F29" s="2735"/>
      <c r="H29" s="504" t="s">
        <v>138</v>
      </c>
      <c r="J29" s="504" t="s">
        <v>733</v>
      </c>
      <c r="K29" s="504" t="s">
        <v>734</v>
      </c>
    </row>
    <row r="30" spans="1:11" ht="15.75" customHeight="1" thickBot="1">
      <c r="A30" s="2314"/>
      <c r="E30" s="2736"/>
      <c r="F30" s="2340"/>
      <c r="H30" s="507" t="s">
        <v>735</v>
      </c>
      <c r="I30" s="504" t="s">
        <v>139</v>
      </c>
      <c r="J30" s="504" t="s">
        <v>736</v>
      </c>
      <c r="K30" s="507" t="s">
        <v>736</v>
      </c>
    </row>
    <row r="31" spans="1:11" ht="15.75" customHeight="1" thickBot="1">
      <c r="A31" s="2737" t="s">
        <v>504</v>
      </c>
      <c r="B31" s="2686"/>
      <c r="C31" s="2686"/>
      <c r="D31" s="2721"/>
      <c r="E31" s="2721"/>
      <c r="F31" s="2340"/>
      <c r="H31" s="504" t="s">
        <v>737</v>
      </c>
      <c r="I31" s="504" t="s">
        <v>737</v>
      </c>
      <c r="J31" s="504" t="s">
        <v>737</v>
      </c>
      <c r="K31" s="504" t="s">
        <v>737</v>
      </c>
    </row>
    <row r="32" spans="1:11" ht="15.75" customHeight="1">
      <c r="A32" s="2306" t="s">
        <v>317</v>
      </c>
      <c r="B32" s="2686"/>
      <c r="C32" s="2686"/>
      <c r="D32" s="2738">
        <f>D25</f>
        <v>1702818677.006722</v>
      </c>
      <c r="E32" s="2721"/>
      <c r="F32" s="3819" t="s">
        <v>704</v>
      </c>
      <c r="G32" s="2721"/>
      <c r="H32" s="2738">
        <f>$D$25</f>
        <v>1702818677.006722</v>
      </c>
      <c r="I32" s="2738">
        <f>$D$25</f>
        <v>1702818677.006722</v>
      </c>
      <c r="J32" s="2738">
        <f>$D$25</f>
        <v>1702818677.006722</v>
      </c>
      <c r="K32" s="2738">
        <f>$D$25</f>
        <v>1702818677.006722</v>
      </c>
    </row>
    <row r="33" spans="1:11" ht="12" thickBot="1">
      <c r="A33" s="2306" t="s">
        <v>106</v>
      </c>
      <c r="B33" s="2686"/>
      <c r="C33" s="2686"/>
      <c r="D33" s="2739">
        <f>E25</f>
        <v>0</v>
      </c>
      <c r="E33" s="2721"/>
      <c r="F33" s="3820"/>
      <c r="H33" s="2739">
        <f>$E$25</f>
        <v>0</v>
      </c>
      <c r="I33" s="2739">
        <f>$E$25</f>
        <v>0</v>
      </c>
      <c r="J33" s="2739">
        <f>$E$25</f>
        <v>0</v>
      </c>
      <c r="K33" s="2739">
        <f>$E$25</f>
        <v>0</v>
      </c>
    </row>
    <row r="34" spans="1:11" ht="12" thickBot="1">
      <c r="A34" s="2306" t="s">
        <v>508</v>
      </c>
      <c r="B34" s="2686"/>
      <c r="C34" s="2686"/>
      <c r="D34" s="2740">
        <f>F34*D40</f>
        <v>0</v>
      </c>
      <c r="E34" s="2741" t="s">
        <v>241</v>
      </c>
      <c r="F34" s="2742">
        <f>'NLSL_Base_New-Calc'!AA43+'NLSL_Base_New-Calc'!AA46</f>
        <v>61.165569469962918</v>
      </c>
      <c r="H34" s="2739">
        <v>0</v>
      </c>
      <c r="I34" s="2739">
        <f>F34*F45</f>
        <v>0</v>
      </c>
      <c r="J34" s="2739">
        <v>0</v>
      </c>
      <c r="K34" s="2739">
        <f>F34*K40</f>
        <v>0</v>
      </c>
    </row>
    <row r="35" spans="1:11" ht="12" thickBot="1">
      <c r="A35" s="2306" t="s">
        <v>731</v>
      </c>
      <c r="B35" s="2686"/>
      <c r="C35" s="2686"/>
      <c r="D35" s="2743">
        <f>F35*D43</f>
        <v>0</v>
      </c>
      <c r="E35" s="2741" t="s">
        <v>738</v>
      </c>
      <c r="F35" s="2742">
        <f>'Above-RHWM_Base_Calc'!AA43+'Above-RHWM_Base_Calc'!AA46</f>
        <v>108.08009261539587</v>
      </c>
      <c r="H35" s="2739">
        <v>0</v>
      </c>
      <c r="I35" s="2739">
        <v>0</v>
      </c>
      <c r="J35" s="2739">
        <f>F35*F48</f>
        <v>0</v>
      </c>
      <c r="K35" s="2739">
        <f>F35*K43</f>
        <v>0</v>
      </c>
    </row>
    <row r="36" spans="1:11" ht="12" thickBot="1">
      <c r="A36" s="2305" t="s">
        <v>505</v>
      </c>
      <c r="B36" s="2686"/>
      <c r="C36" s="2686"/>
      <c r="D36" s="2730">
        <f>D32+D33-D34-D35</f>
        <v>1702818677.006722</v>
      </c>
      <c r="E36" s="2744"/>
      <c r="F36" s="2745"/>
      <c r="H36" s="2730">
        <f>H32+H33-H34-H35</f>
        <v>1702818677.006722</v>
      </c>
      <c r="I36" s="2730">
        <f>I32+I33-I34-I35</f>
        <v>1702818677.006722</v>
      </c>
      <c r="J36" s="2730">
        <f>J32+J33-J34-J35</f>
        <v>1702818677.006722</v>
      </c>
      <c r="K36" s="2730">
        <f>K32+K33-K34-K35</f>
        <v>1702818677.006722</v>
      </c>
    </row>
    <row r="37" spans="1:11" ht="15.75" customHeight="1" thickBot="1">
      <c r="A37" s="2306"/>
      <c r="B37" s="2686"/>
      <c r="C37" s="2686"/>
      <c r="D37" s="2746"/>
      <c r="E37" s="2721"/>
      <c r="F37" s="2745"/>
      <c r="H37" s="2746"/>
      <c r="I37" s="2747"/>
      <c r="J37" s="2747"/>
      <c r="K37" s="2747"/>
    </row>
    <row r="38" spans="1:11" ht="12" thickBot="1">
      <c r="A38" s="2737" t="s">
        <v>506</v>
      </c>
      <c r="B38" s="2686"/>
      <c r="C38" s="2686"/>
      <c r="D38" s="2370"/>
      <c r="E38" s="2370"/>
      <c r="F38" s="2745"/>
      <c r="H38" s="2370"/>
      <c r="I38" s="2747"/>
      <c r="J38" s="2747"/>
      <c r="K38" s="2747"/>
    </row>
    <row r="39" spans="1:11">
      <c r="A39" s="2306" t="s">
        <v>318</v>
      </c>
      <c r="B39" s="2686"/>
      <c r="C39" s="2686"/>
      <c r="D39" s="2748">
        <f>'FERC p401a Energy Acct BP - 23'!C31</f>
        <v>21165762</v>
      </c>
      <c r="E39" s="2211"/>
      <c r="F39" s="2749"/>
      <c r="H39" s="2750">
        <f>D39</f>
        <v>21165762</v>
      </c>
      <c r="I39" s="2750">
        <f>D39</f>
        <v>21165762</v>
      </c>
      <c r="J39" s="2750">
        <f>D39</f>
        <v>21165762</v>
      </c>
      <c r="K39" s="2750">
        <f>D39</f>
        <v>21165762</v>
      </c>
    </row>
    <row r="40" spans="1:11" ht="12" thickBot="1">
      <c r="A40" s="2306" t="s">
        <v>319</v>
      </c>
      <c r="B40" s="2686"/>
      <c r="C40" s="2686"/>
      <c r="D40" s="2751">
        <f>IF(F34&gt;MIN(H46,J46),F45,0)</f>
        <v>0</v>
      </c>
      <c r="E40" s="2211"/>
      <c r="F40" s="2749"/>
      <c r="H40" s="2751">
        <v>0</v>
      </c>
      <c r="I40" s="2751">
        <f>F45</f>
        <v>0</v>
      </c>
      <c r="J40" s="2751">
        <v>0</v>
      </c>
      <c r="K40" s="2751">
        <f>F45</f>
        <v>0</v>
      </c>
    </row>
    <row r="41" spans="1:11" ht="12" thickBot="1">
      <c r="A41" s="2306" t="s">
        <v>509</v>
      </c>
      <c r="B41" s="2686"/>
      <c r="C41" s="2686"/>
      <c r="D41" s="2751">
        <f>D39-D40</f>
        <v>21165762</v>
      </c>
      <c r="E41" s="2211"/>
      <c r="F41" s="2752" t="s">
        <v>705</v>
      </c>
      <c r="H41" s="2751">
        <f>H39-H40</f>
        <v>21165762</v>
      </c>
      <c r="I41" s="2751">
        <f>I39-I40</f>
        <v>21165762</v>
      </c>
      <c r="J41" s="2751">
        <f>J39-J40</f>
        <v>21165762</v>
      </c>
      <c r="K41" s="2751">
        <f>K39-K40</f>
        <v>21165762</v>
      </c>
    </row>
    <row r="42" spans="1:11" ht="12" thickBot="1">
      <c r="A42" s="2306" t="s">
        <v>176</v>
      </c>
      <c r="B42" s="2686"/>
      <c r="C42" s="2686"/>
      <c r="D42" s="2753">
        <f>D39*F42</f>
        <v>982091.35679999995</v>
      </c>
      <c r="E42" s="2211"/>
      <c r="F42" s="2754">
        <f>'Distribution Loss Calc'!F26</f>
        <v>4.6399999999999997E-2</v>
      </c>
      <c r="H42" s="2751">
        <f>H39*F42</f>
        <v>982091.35679999995</v>
      </c>
      <c r="I42" s="2753">
        <f>I39*F42</f>
        <v>982091.35679999995</v>
      </c>
      <c r="J42" s="2753">
        <f>J39*F42</f>
        <v>982091.35679999995</v>
      </c>
      <c r="K42" s="2753">
        <f>K39*F42</f>
        <v>982091.35679999995</v>
      </c>
    </row>
    <row r="43" spans="1:11" ht="12" thickBot="1">
      <c r="A43" s="2306" t="s">
        <v>732</v>
      </c>
      <c r="B43" s="2686"/>
      <c r="C43" s="2755"/>
      <c r="D43" s="2756">
        <f>IF(F35&gt;MIN(H46,I46),F48,0)</f>
        <v>0</v>
      </c>
      <c r="E43" s="2757"/>
      <c r="F43" s="2749"/>
      <c r="H43" s="2751">
        <v>0</v>
      </c>
      <c r="I43" s="2756">
        <v>0</v>
      </c>
      <c r="J43" s="2756">
        <f>F48</f>
        <v>0</v>
      </c>
      <c r="K43" s="2756">
        <f>F48</f>
        <v>0</v>
      </c>
    </row>
    <row r="44" spans="1:11" ht="12" thickBot="1">
      <c r="A44" s="2305" t="s">
        <v>507</v>
      </c>
      <c r="B44" s="2686"/>
      <c r="C44" s="2686"/>
      <c r="D44" s="2758">
        <f>D41+D42-D43</f>
        <v>22147853.356800001</v>
      </c>
      <c r="E44" s="2759"/>
      <c r="F44" s="2752" t="s">
        <v>739</v>
      </c>
      <c r="H44" s="2758">
        <f>H41+H42</f>
        <v>22147853.356800001</v>
      </c>
      <c r="I44" s="2758">
        <f>I41+I42-I43</f>
        <v>22147853.356800001</v>
      </c>
      <c r="J44" s="2758">
        <f>J41+J42-J43</f>
        <v>22147853.356800001</v>
      </c>
      <c r="K44" s="2758">
        <f>K41+K42-K43</f>
        <v>22147853.356800001</v>
      </c>
    </row>
    <row r="45" spans="1:11" ht="15.75" customHeight="1" thickBot="1">
      <c r="A45" s="2306"/>
      <c r="B45" s="2686"/>
      <c r="C45" s="2686"/>
      <c r="D45" s="2119"/>
      <c r="E45" s="2746"/>
      <c r="F45" s="2760"/>
      <c r="H45" s="2119"/>
    </row>
    <row r="46" spans="1:11" ht="12" thickBot="1">
      <c r="A46" s="2737" t="s">
        <v>320</v>
      </c>
      <c r="B46" s="2686"/>
      <c r="C46" s="2686"/>
      <c r="D46" s="2761">
        <f>IF(D44=0,"$0",D36/D44)</f>
        <v>76.884140849881049</v>
      </c>
      <c r="E46" s="2762"/>
      <c r="F46" s="2763"/>
      <c r="H46" s="2764">
        <f>IF(H44=0,"$0",H36/H44)</f>
        <v>76.884140849881049</v>
      </c>
      <c r="I46" s="2764">
        <f>IF(I44=0,"$0",I36/I44)</f>
        <v>76.884140849881049</v>
      </c>
      <c r="J46" s="2764">
        <f>IF(J44=0,"$0",J36/J44)</f>
        <v>76.884140849881049</v>
      </c>
      <c r="K46" s="2764">
        <f>IF(K44=0,"$0",K36/K44)</f>
        <v>76.884140849881049</v>
      </c>
    </row>
    <row r="47" spans="1:11" ht="15.75" customHeight="1" thickBot="1">
      <c r="A47" s="2305"/>
      <c r="B47" s="2686"/>
      <c r="C47" s="2686"/>
      <c r="D47" s="2765"/>
      <c r="E47" s="2721"/>
      <c r="F47" s="2752" t="s">
        <v>740</v>
      </c>
    </row>
    <row r="48" spans="1:11" ht="12" thickBot="1">
      <c r="A48" s="2305"/>
      <c r="B48" s="2686"/>
      <c r="C48" s="2686"/>
      <c r="D48" s="2766"/>
      <c r="E48" s="2721"/>
      <c r="F48" s="2760"/>
    </row>
    <row r="49" spans="1:6" ht="12" thickBot="1">
      <c r="A49" s="2767"/>
      <c r="B49" s="2768"/>
      <c r="C49" s="2768"/>
      <c r="D49" s="2769"/>
      <c r="E49" s="2770"/>
      <c r="F49" s="2717"/>
    </row>
    <row r="50" spans="1:6" ht="12" thickTop="1">
      <c r="A50" s="2771"/>
      <c r="B50" s="2686"/>
      <c r="C50" s="2686"/>
      <c r="D50" s="2772"/>
      <c r="E50" s="2721"/>
    </row>
    <row r="51" spans="1:6">
      <c r="A51" s="2771"/>
      <c r="B51" s="2686"/>
      <c r="C51" s="2686"/>
      <c r="D51" s="2766"/>
      <c r="E51" s="2721"/>
    </row>
    <row r="52" spans="1:6">
      <c r="A52" s="2771"/>
      <c r="B52" s="2686"/>
      <c r="C52" s="2686"/>
      <c r="D52" s="2766"/>
      <c r="E52" s="2721"/>
    </row>
    <row r="54" spans="1:6">
      <c r="A54" s="2290"/>
    </row>
    <row r="55" spans="1:6">
      <c r="A55" s="2290"/>
    </row>
    <row r="56" spans="1:6">
      <c r="A56" s="2290"/>
    </row>
    <row r="57" spans="1:6">
      <c r="A57" s="2290"/>
    </row>
  </sheetData>
  <mergeCells count="8">
    <mergeCell ref="F32:F33"/>
    <mergeCell ref="A1:F1"/>
    <mergeCell ref="A2:F2"/>
    <mergeCell ref="A3:F3"/>
    <mergeCell ref="A9:F9"/>
    <mergeCell ref="C5:D5"/>
    <mergeCell ref="C6:D6"/>
    <mergeCell ref="C7:D7"/>
  </mergeCells>
  <phoneticPr fontId="0" type="noConversion"/>
  <hyperlinks>
    <hyperlink ref="A5" location="TOC!A1" display="TOC" xr:uid="{00000000-0004-0000-08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1" manualBreakCount="1">
    <brk id="28" max="5" man="1"/>
  </rowBreaks>
  <customProperties>
    <customPr name="_pios_id" r:id="rId2"/>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indexed="15"/>
  </sheetPr>
  <dimension ref="A1:W88"/>
  <sheetViews>
    <sheetView zoomScaleNormal="100" workbookViewId="0">
      <pane ySplit="10" topLeftCell="A11" activePane="bottomLeft" state="frozen"/>
      <selection pane="bottomLeft" sqref="A1:XFD1048576"/>
    </sheetView>
  </sheetViews>
  <sheetFormatPr defaultColWidth="9" defaultRowHeight="11.25"/>
  <cols>
    <col min="1" max="1" width="3" style="546" customWidth="1"/>
    <col min="2" max="2" width="13.75" style="546" customWidth="1"/>
    <col min="3" max="3" width="9" style="546"/>
    <col min="4" max="4" width="14.125" style="546" bestFit="1" customWidth="1"/>
    <col min="5" max="5" width="12" style="546" bestFit="1" customWidth="1"/>
    <col min="6" max="6" width="8.75" style="546" customWidth="1"/>
    <col min="7" max="7" width="12.25" style="546" bestFit="1" customWidth="1"/>
    <col min="8" max="8" width="12" style="546" bestFit="1" customWidth="1"/>
    <col min="9" max="9" width="8.5" style="546" bestFit="1" customWidth="1"/>
    <col min="10" max="10" width="12.25" style="546" bestFit="1" customWidth="1"/>
    <col min="11" max="11" width="12" style="546" bestFit="1" customWidth="1"/>
    <col min="12" max="12" width="9" style="546"/>
    <col min="13" max="13" width="19.75" style="546" customWidth="1"/>
    <col min="14" max="14" width="6" style="546" customWidth="1"/>
    <col min="15" max="15" width="16.25" style="546" customWidth="1"/>
    <col min="16" max="16" width="14.5" style="546" customWidth="1"/>
    <col min="17" max="17" width="9.125" style="546" customWidth="1"/>
    <col min="18" max="18" width="16.25" style="546" bestFit="1" customWidth="1"/>
    <col min="19" max="19" width="13.625" style="546" bestFit="1" customWidth="1"/>
    <col min="20" max="20" width="12.5" style="546" customWidth="1"/>
    <col min="21" max="21" width="13.625" style="546" bestFit="1" customWidth="1"/>
    <col min="22" max="22" width="11.5" style="546" customWidth="1"/>
    <col min="23" max="23" width="11.125" style="546" customWidth="1"/>
    <col min="24" max="16384" width="9" style="546"/>
  </cols>
  <sheetData>
    <row r="1" spans="1:23" ht="12" thickTop="1">
      <c r="A1" s="3793" t="s">
        <v>54</v>
      </c>
      <c r="B1" s="3794"/>
      <c r="C1" s="3794"/>
      <c r="D1" s="3794"/>
      <c r="E1" s="3794"/>
      <c r="F1" s="3794"/>
      <c r="G1" s="3794"/>
      <c r="H1" s="3794"/>
      <c r="I1" s="3794"/>
      <c r="J1" s="3794"/>
      <c r="K1" s="3795"/>
    </row>
    <row r="2" spans="1:23">
      <c r="A2" s="3796" t="s">
        <v>56</v>
      </c>
      <c r="B2" s="3740"/>
      <c r="C2" s="3740"/>
      <c r="D2" s="3740"/>
      <c r="E2" s="3740"/>
      <c r="F2" s="3740"/>
      <c r="G2" s="3740"/>
      <c r="H2" s="3740"/>
      <c r="I2" s="3740"/>
      <c r="J2" s="3740"/>
      <c r="K2" s="3797"/>
    </row>
    <row r="3" spans="1:23" ht="20.25" customHeight="1" thickBot="1">
      <c r="A3" s="3761" t="s">
        <v>709</v>
      </c>
      <c r="B3" s="3737"/>
      <c r="C3" s="3737"/>
      <c r="D3" s="3737"/>
      <c r="E3" s="3737"/>
      <c r="F3" s="3737"/>
      <c r="G3" s="3737"/>
      <c r="H3" s="3737"/>
      <c r="I3" s="3737"/>
      <c r="J3" s="3737"/>
      <c r="K3" s="3762"/>
    </row>
    <row r="4" spans="1:23">
      <c r="A4" s="2291"/>
      <c r="B4" s="2139"/>
      <c r="F4" s="2297" t="s">
        <v>571</v>
      </c>
      <c r="G4" s="3777" t="str">
        <f>'Sch 1- Rate Base '!$E$5</f>
        <v>PUGET SOUND ENERGY</v>
      </c>
      <c r="H4" s="3778"/>
      <c r="I4" s="3798"/>
      <c r="K4" s="2299" t="s">
        <v>707</v>
      </c>
      <c r="M4" s="2110"/>
      <c r="N4" s="2110"/>
      <c r="O4" s="2110"/>
      <c r="P4" s="2110"/>
      <c r="Q4" s="2110"/>
      <c r="R4" s="2110"/>
      <c r="S4" s="2110"/>
      <c r="T4" s="2110"/>
      <c r="U4" s="2110"/>
      <c r="V4" s="2110"/>
      <c r="W4" s="2110"/>
    </row>
    <row r="5" spans="1:23">
      <c r="A5" s="2596"/>
      <c r="B5" s="2452" t="s">
        <v>685</v>
      </c>
      <c r="F5" s="2297" t="s">
        <v>572</v>
      </c>
      <c r="G5" s="3779">
        <f>'Sch 1- Rate Base '!$E$6</f>
        <v>2023</v>
      </c>
      <c r="H5" s="3780"/>
      <c r="I5" s="3799"/>
      <c r="J5" s="2304"/>
      <c r="K5" s="2300" t="str">
        <f>'Sch 1- Rate Base '!I6</f>
        <v/>
      </c>
      <c r="M5" s="2589"/>
      <c r="N5" s="2541"/>
      <c r="O5" s="2541"/>
      <c r="P5" s="2541"/>
      <c r="Q5" s="2541"/>
      <c r="R5" s="2541"/>
      <c r="S5" s="2541"/>
      <c r="T5" s="2541"/>
      <c r="U5" s="2541"/>
      <c r="V5" s="2541"/>
      <c r="W5" s="2110"/>
    </row>
    <row r="6" spans="1:23" ht="12" thickBot="1">
      <c r="A6" s="2596"/>
      <c r="F6" s="2297" t="s">
        <v>573</v>
      </c>
      <c r="G6" s="3781">
        <f>'Sch 1- Rate Base '!$E$7</f>
        <v>45474</v>
      </c>
      <c r="H6" s="3791"/>
      <c r="I6" s="3792"/>
      <c r="J6" s="2304"/>
      <c r="K6" s="2302" t="str">
        <f>'Sch 1- Rate Base '!I7</f>
        <v/>
      </c>
      <c r="M6" s="2589"/>
      <c r="N6" s="2541"/>
      <c r="O6" s="2541"/>
      <c r="P6" s="2541"/>
      <c r="Q6" s="2541"/>
      <c r="R6" s="2541"/>
      <c r="S6" s="2541"/>
      <c r="T6" s="2541"/>
      <c r="U6" s="2541"/>
    </row>
    <row r="7" spans="1:23" ht="12" thickBot="1">
      <c r="A7" s="3832" t="s">
        <v>220</v>
      </c>
      <c r="B7" s="3833"/>
      <c r="C7" s="3833"/>
      <c r="D7" s="3833"/>
      <c r="E7" s="3833"/>
      <c r="F7" s="3833"/>
      <c r="G7" s="3833"/>
      <c r="H7" s="3833"/>
      <c r="I7" s="3833"/>
      <c r="J7" s="3833"/>
      <c r="K7" s="3834"/>
      <c r="M7" s="2110"/>
      <c r="N7" s="2110"/>
      <c r="O7" s="2110"/>
      <c r="P7" s="2110"/>
      <c r="Q7" s="2110"/>
      <c r="R7" s="2110"/>
      <c r="S7" s="2110"/>
      <c r="T7" s="2110"/>
      <c r="U7" s="2110"/>
    </row>
    <row r="8" spans="1:23" ht="16.5" customHeight="1" thickBot="1">
      <c r="A8" s="2650"/>
      <c r="B8" s="2161" t="s">
        <v>274</v>
      </c>
      <c r="C8" s="2649"/>
      <c r="D8" s="3849" t="s">
        <v>199</v>
      </c>
      <c r="E8" s="3850"/>
      <c r="F8" s="3828"/>
      <c r="G8" s="3835" t="s">
        <v>216</v>
      </c>
      <c r="H8" s="3836"/>
      <c r="I8" s="3828"/>
      <c r="J8" s="3837" t="s">
        <v>217</v>
      </c>
      <c r="K8" s="3838"/>
      <c r="M8" s="2607"/>
      <c r="N8" s="2110"/>
      <c r="O8" s="2110"/>
      <c r="R8" s="2529"/>
      <c r="S8" s="2110"/>
      <c r="T8" s="2110"/>
      <c r="U8" s="2110"/>
    </row>
    <row r="9" spans="1:23" ht="12" thickBot="1">
      <c r="A9" s="2596"/>
      <c r="B9" s="2460" t="s">
        <v>548</v>
      </c>
      <c r="C9" s="2648" t="s">
        <v>270</v>
      </c>
      <c r="D9" s="3847"/>
      <c r="E9" s="3848"/>
      <c r="F9" s="3829"/>
      <c r="G9" s="3826"/>
      <c r="H9" s="3831"/>
      <c r="I9" s="3829"/>
      <c r="J9" s="3839"/>
      <c r="K9" s="3840"/>
      <c r="M9" s="2607"/>
      <c r="O9" s="2231"/>
      <c r="R9" s="2231"/>
      <c r="S9" s="2231"/>
      <c r="T9" s="2529"/>
      <c r="U9" s="2231"/>
    </row>
    <row r="10" spans="1:23" ht="12" thickBot="1">
      <c r="A10" s="2647"/>
      <c r="B10" s="2646" t="s">
        <v>547</v>
      </c>
      <c r="C10" s="2645" t="s">
        <v>271</v>
      </c>
      <c r="D10" s="2644" t="s">
        <v>184</v>
      </c>
      <c r="E10" s="2603" t="s">
        <v>185</v>
      </c>
      <c r="F10" s="3829"/>
      <c r="G10" s="2603" t="s">
        <v>184</v>
      </c>
      <c r="H10" s="2603" t="s">
        <v>185</v>
      </c>
      <c r="I10" s="3829"/>
      <c r="J10" s="2603" t="s">
        <v>184</v>
      </c>
      <c r="K10" s="2602" t="s">
        <v>185</v>
      </c>
      <c r="M10" s="2607"/>
      <c r="N10" s="2110"/>
      <c r="O10" s="2110"/>
      <c r="R10" s="2110"/>
      <c r="S10" s="2231"/>
      <c r="T10" s="2110"/>
      <c r="U10" s="2110"/>
    </row>
    <row r="11" spans="1:23">
      <c r="A11" s="2596"/>
      <c r="B11" s="2643" t="s">
        <v>186</v>
      </c>
      <c r="C11" s="2642" t="s">
        <v>198</v>
      </c>
      <c r="D11" s="2633"/>
      <c r="E11" s="2640"/>
      <c r="F11" s="2641"/>
      <c r="G11" s="2633"/>
      <c r="H11" s="2640"/>
      <c r="I11" s="2639"/>
      <c r="J11" s="2638"/>
      <c r="K11" s="2598"/>
      <c r="M11" s="2607"/>
      <c r="N11" s="2607"/>
      <c r="O11" s="2623"/>
      <c r="P11" s="2623"/>
      <c r="R11" s="2623"/>
      <c r="S11" s="2623"/>
      <c r="U11" s="2623"/>
    </row>
    <row r="12" spans="1:23">
      <c r="A12" s="2596"/>
      <c r="B12" s="2635" t="s">
        <v>187</v>
      </c>
      <c r="C12" s="2634" t="s">
        <v>198</v>
      </c>
      <c r="D12" s="2633">
        <f>'FERC p326-327 Purchased Pwr 23'!T3</f>
        <v>20964343</v>
      </c>
      <c r="E12" s="2654">
        <f>'FERC p326-327 Purchased Pwr 23'!U3</f>
        <v>243042</v>
      </c>
      <c r="F12" s="2641"/>
      <c r="G12" s="2633">
        <f>GETPIVOTDATA("Sum of (n)",'FERC p326-327 Purchased Pwr 22'!$S$2,"(b)","LF")</f>
        <v>21047048</v>
      </c>
      <c r="H12" s="2654">
        <f>GETPIVOTDATA("Sum of (g)",'FERC p326-327 Purchased Pwr 22'!$S$2,"(b)","LF")</f>
        <v>244785</v>
      </c>
      <c r="I12" s="2639"/>
      <c r="J12" s="2633">
        <f>'FERC p326-327 Purchased Pwr 21'!T7</f>
        <v>117812219</v>
      </c>
      <c r="K12" s="2466">
        <f>'FERC p326-327 Purchased Pwr 21'!U7</f>
        <v>3458996</v>
      </c>
      <c r="M12" s="2607"/>
      <c r="N12" s="2607"/>
      <c r="O12" s="2622"/>
      <c r="P12" s="2621"/>
      <c r="R12" s="2622"/>
      <c r="S12" s="2621"/>
      <c r="U12" s="2622"/>
    </row>
    <row r="13" spans="1:23">
      <c r="A13" s="2596"/>
      <c r="B13" s="2635" t="s">
        <v>188</v>
      </c>
      <c r="C13" s="2634" t="s">
        <v>198</v>
      </c>
      <c r="D13" s="2633">
        <f>'FERC p326-327 Purchased Pwr 23'!T4</f>
        <v>195413332</v>
      </c>
      <c r="E13" s="2654">
        <f>'FERC p326-327 Purchased Pwr 23'!U4</f>
        <v>1716317</v>
      </c>
      <c r="F13" s="2641"/>
      <c r="G13" s="2633">
        <f>GETPIVOTDATA("Sum of (n)",'FERC p326-327 Purchased Pwr 22'!$S$2,"(b)","IF")</f>
        <v>109977591</v>
      </c>
      <c r="H13" s="2654">
        <f>GETPIVOTDATA("Sum of (g)",'FERC p326-327 Purchased Pwr 22'!$S$2,"(b)","IF")</f>
        <v>996550</v>
      </c>
      <c r="I13" s="2639"/>
      <c r="J13" s="2633">
        <f>'FERC p326-327 Purchased Pwr 21'!T5</f>
        <v>967549</v>
      </c>
      <c r="K13" s="2466">
        <f>'FERC p326-327 Purchased Pwr 21'!U5</f>
        <v>18119</v>
      </c>
      <c r="M13" s="2607"/>
      <c r="N13" s="2607"/>
      <c r="O13" s="2622"/>
      <c r="P13" s="2621"/>
      <c r="R13" s="2622"/>
      <c r="S13" s="2621"/>
      <c r="U13" s="2622"/>
    </row>
    <row r="14" spans="1:23">
      <c r="A14" s="2596"/>
      <c r="B14" s="2635" t="s">
        <v>189</v>
      </c>
      <c r="C14" s="2634" t="s">
        <v>198</v>
      </c>
      <c r="D14" s="2633"/>
      <c r="E14" s="2654"/>
      <c r="F14" s="2641"/>
      <c r="G14" s="2633"/>
      <c r="H14" s="2654"/>
      <c r="I14" s="2639"/>
      <c r="J14" s="2633"/>
      <c r="K14" s="2466"/>
      <c r="M14" s="2607"/>
      <c r="N14" s="2607"/>
      <c r="O14" s="2622"/>
      <c r="P14" s="2621"/>
      <c r="R14" s="2622"/>
      <c r="S14" s="2621"/>
      <c r="U14" s="2622"/>
    </row>
    <row r="15" spans="1:23">
      <c r="A15" s="2596"/>
      <c r="B15" s="2635" t="s">
        <v>190</v>
      </c>
      <c r="C15" s="2634" t="s">
        <v>198</v>
      </c>
      <c r="D15" s="2633">
        <f>'FERC p326-327 Purchased Pwr 23'!T5</f>
        <v>503086094</v>
      </c>
      <c r="E15" s="2654">
        <f>'FERC p326-327 Purchased Pwr 23'!U5</f>
        <v>9891590</v>
      </c>
      <c r="F15" s="2641"/>
      <c r="G15" s="2633">
        <f>GETPIVOTDATA("Sum of (n)",'FERC p326-327 Purchased Pwr 22'!$S$2,"(b)","LU")</f>
        <v>427708427</v>
      </c>
      <c r="H15" s="2654">
        <f>GETPIVOTDATA("Sum of (g)",'FERC p326-327 Purchased Pwr 22'!$S$2,"(b)","LU")</f>
        <v>9438020</v>
      </c>
      <c r="I15" s="2639"/>
      <c r="J15" s="2633">
        <f>'FERC p326-327 Purchased Pwr 21'!T8</f>
        <v>263063266</v>
      </c>
      <c r="K15" s="2466">
        <f>'FERC p326-327 Purchased Pwr 21'!U8</f>
        <v>4962210</v>
      </c>
      <c r="M15" s="2607"/>
      <c r="N15" s="2607"/>
      <c r="O15" s="2622"/>
      <c r="P15" s="2621"/>
      <c r="R15" s="2622"/>
      <c r="S15" s="2621"/>
      <c r="U15" s="2622"/>
    </row>
    <row r="16" spans="1:23">
      <c r="A16" s="2596"/>
      <c r="B16" s="2635" t="s">
        <v>191</v>
      </c>
      <c r="C16" s="2634" t="s">
        <v>198</v>
      </c>
      <c r="D16" s="2633">
        <f>'FERC p326-327 Purchased Pwr 23'!T6</f>
        <v>36868643</v>
      </c>
      <c r="E16" s="2654">
        <f>'FERC p326-327 Purchased Pwr 23'!U6</f>
        <v>498674</v>
      </c>
      <c r="F16" s="2641"/>
      <c r="G16" s="2633">
        <f>GETPIVOTDATA("Sum of (n)",'FERC p326-327 Purchased Pwr 22'!$S$2,"(b)","IU")</f>
        <v>8423625</v>
      </c>
      <c r="H16" s="2654">
        <f>GETPIVOTDATA("Sum of (g)",'FERC p326-327 Purchased Pwr 22'!$S$2,"(b)","IU")</f>
        <v>234450</v>
      </c>
      <c r="I16" s="2639"/>
      <c r="J16" s="2633">
        <f>'FERC p326-327 Purchased Pwr 21'!T6</f>
        <v>123482</v>
      </c>
      <c r="K16" s="2466">
        <f>'FERC p326-327 Purchased Pwr 21'!U6</f>
        <v>3144</v>
      </c>
      <c r="M16" s="2607"/>
      <c r="N16" s="2607"/>
      <c r="O16" s="2622"/>
      <c r="P16" s="2621"/>
      <c r="R16" s="2622"/>
      <c r="S16" s="2621"/>
      <c r="U16" s="2622"/>
    </row>
    <row r="17" spans="1:21">
      <c r="A17" s="2596"/>
      <c r="B17" s="2635" t="s">
        <v>192</v>
      </c>
      <c r="C17" s="2634" t="s">
        <v>198</v>
      </c>
      <c r="D17" s="2633">
        <f>'FERC p326-327 Purchased Pwr 23'!T7</f>
        <v>227867672</v>
      </c>
      <c r="E17" s="2654">
        <f>'FERC p326-327 Purchased Pwr 23'!U7</f>
        <v>4250173</v>
      </c>
      <c r="F17" s="2641"/>
      <c r="G17" s="2633">
        <f>GETPIVOTDATA("Sum of (n)",'FERC p326-327 Purchased Pwr 22'!$S$2,"(b)","OS")</f>
        <v>550550865</v>
      </c>
      <c r="H17" s="2654">
        <f>GETPIVOTDATA("Sum of (g)",'FERC p326-327 Purchased Pwr 22'!$S$2,"(b)","OS")</f>
        <v>7019328</v>
      </c>
      <c r="I17" s="2639"/>
      <c r="J17" s="2633">
        <f>'FERC p326-327 Purchased Pwr 21'!T9</f>
        <v>393915086</v>
      </c>
      <c r="K17" s="2466">
        <f>'FERC p326-327 Purchased Pwr 21'!U9</f>
        <v>7991092</v>
      </c>
      <c r="M17" s="2607"/>
      <c r="N17" s="2607"/>
      <c r="O17" s="2622"/>
      <c r="P17" s="2621"/>
      <c r="R17" s="2622"/>
      <c r="S17" s="2621"/>
      <c r="U17" s="2622"/>
    </row>
    <row r="18" spans="1:21">
      <c r="A18" s="2596"/>
      <c r="B18" s="2635" t="s">
        <v>193</v>
      </c>
      <c r="C18" s="2634" t="s">
        <v>198</v>
      </c>
      <c r="D18" s="2633">
        <f>'FERC p326-327 Purchased Pwr 23'!$T$8</f>
        <v>1141967</v>
      </c>
      <c r="E18" s="2654">
        <v>0</v>
      </c>
      <c r="F18" s="2641"/>
      <c r="G18" s="2633">
        <f>GETPIVOTDATA("Sum of (n)",'FERC p326-327 Purchased Pwr 22'!$S$2,"(b)","EX")</f>
        <v>1154053</v>
      </c>
      <c r="H18" s="2654">
        <f>GETPIVOTDATA("Sum of (g)",'FERC p326-327 Purchased Pwr 22'!$S$2,"(b)","EX")</f>
        <v>0</v>
      </c>
      <c r="I18" s="2639"/>
      <c r="J18" s="2633">
        <f>'FERC p326-327 Purchased Pwr 21'!T4</f>
        <v>948565</v>
      </c>
      <c r="K18" s="2466">
        <f>'FERC p326-327 Purchased Pwr 21'!U4</f>
        <v>0</v>
      </c>
      <c r="M18" s="2607"/>
      <c r="N18" s="2607"/>
      <c r="O18" s="2622"/>
      <c r="P18" s="2621"/>
      <c r="R18" s="2622"/>
      <c r="S18" s="2621"/>
      <c r="U18" s="2622"/>
    </row>
    <row r="19" spans="1:21">
      <c r="A19" s="2596"/>
      <c r="B19" s="2635" t="s">
        <v>194</v>
      </c>
      <c r="C19" s="2634" t="s">
        <v>198</v>
      </c>
      <c r="D19" s="2633"/>
      <c r="E19" s="2654"/>
      <c r="F19" s="2641"/>
      <c r="G19" s="2633"/>
      <c r="H19" s="2654"/>
      <c r="I19" s="2639"/>
      <c r="J19" s="2633"/>
      <c r="K19" s="2466"/>
      <c r="M19" s="2607"/>
      <c r="N19" s="2607"/>
      <c r="O19" s="2622"/>
      <c r="P19" s="2621"/>
      <c r="R19" s="2622"/>
      <c r="S19" s="2621"/>
      <c r="U19" s="2622"/>
    </row>
    <row r="20" spans="1:21">
      <c r="A20" s="2596"/>
      <c r="B20" s="2635" t="s">
        <v>195</v>
      </c>
      <c r="C20" s="2634" t="s">
        <v>198</v>
      </c>
      <c r="D20" s="2633">
        <f>'FERC p326-327 Purchased Pwr 23'!T9</f>
        <v>100295473</v>
      </c>
      <c r="E20" s="2654">
        <f>'FERC p326-327 Purchased Pwr 23'!U9</f>
        <v>3958</v>
      </c>
      <c r="F20" s="2641"/>
      <c r="G20" s="2633">
        <f>GETPIVOTDATA("Sum of (n)",'FERC p326-327 Purchased Pwr 22'!$S$2,"(b)","AD")</f>
        <v>1860982</v>
      </c>
      <c r="H20" s="2654">
        <f>GETPIVOTDATA("Sum of (g)",'FERC p326-327 Purchased Pwr 22'!$S$2,"(b)","AD")</f>
        <v>-879</v>
      </c>
      <c r="I20" s="2639"/>
      <c r="J20" s="2633">
        <f>'FERC p326-327 Purchased Pwr 21'!T3</f>
        <v>-3435473</v>
      </c>
      <c r="K20" s="2466">
        <f>'FERC p326-327 Purchased Pwr 21'!U3</f>
        <v>-1058</v>
      </c>
      <c r="M20" s="2607"/>
      <c r="N20" s="2607"/>
      <c r="O20" s="2622"/>
      <c r="P20" s="2621"/>
      <c r="R20" s="2622"/>
      <c r="S20" s="2621"/>
      <c r="U20" s="2622"/>
    </row>
    <row r="21" spans="1:21">
      <c r="A21" s="2596"/>
      <c r="B21" s="3851" t="s">
        <v>196</v>
      </c>
      <c r="C21" s="3852"/>
      <c r="D21" s="2652">
        <f>SUM(D11:D20)</f>
        <v>1085637524</v>
      </c>
      <c r="E21" s="2653">
        <f>SUM(E11:E20)</f>
        <v>16603754</v>
      </c>
      <c r="F21" s="2641"/>
      <c r="G21" s="2652">
        <f>SUM(G11:G20)</f>
        <v>1120722591</v>
      </c>
      <c r="H21" s="2653">
        <f>SUM(H11:H20)</f>
        <v>17932254</v>
      </c>
      <c r="I21" s="2641"/>
      <c r="J21" s="2652">
        <f>SUM(J11:J20)</f>
        <v>773394694</v>
      </c>
      <c r="K21" s="2651">
        <f>SUM(K11:K20)</f>
        <v>16432503</v>
      </c>
      <c r="M21" s="2607"/>
      <c r="N21" s="2607"/>
      <c r="O21" s="2622"/>
      <c r="R21" s="2622"/>
      <c r="S21" s="2621"/>
      <c r="T21" s="2623"/>
      <c r="U21" s="2622"/>
    </row>
    <row r="22" spans="1:21" ht="12" thickBot="1">
      <c r="A22" s="2596"/>
      <c r="C22" s="1397"/>
      <c r="D22" s="3708"/>
      <c r="E22" s="3708"/>
      <c r="F22" s="1397"/>
      <c r="G22" s="3708"/>
      <c r="H22" s="3708"/>
      <c r="I22" s="1397"/>
      <c r="J22" s="3708"/>
      <c r="K22" s="3708"/>
      <c r="M22" s="2607"/>
      <c r="N22" s="2607"/>
      <c r="O22" s="2622"/>
      <c r="R22" s="2622"/>
      <c r="S22" s="2621"/>
      <c r="T22" s="2623"/>
      <c r="U22" s="2622"/>
    </row>
    <row r="23" spans="1:21" ht="12" thickBot="1">
      <c r="A23" s="2650"/>
      <c r="B23" s="2161" t="s">
        <v>274</v>
      </c>
      <c r="C23" s="2649"/>
      <c r="D23" s="3845" t="s">
        <v>64</v>
      </c>
      <c r="E23" s="3846"/>
      <c r="F23" s="3829"/>
      <c r="G23" s="3824" t="s">
        <v>218</v>
      </c>
      <c r="H23" s="3830"/>
      <c r="I23" s="3829"/>
      <c r="J23" s="3824" t="s">
        <v>219</v>
      </c>
      <c r="K23" s="3825"/>
      <c r="M23" s="2607"/>
      <c r="N23" s="2607"/>
      <c r="O23" s="2622"/>
      <c r="R23" s="2622"/>
      <c r="S23" s="2621"/>
      <c r="T23" s="2623"/>
      <c r="U23" s="2622"/>
    </row>
    <row r="24" spans="1:21" ht="12" thickBot="1">
      <c r="A24" s="2596"/>
      <c r="B24" s="2460" t="s">
        <v>548</v>
      </c>
      <c r="C24" s="2648" t="s">
        <v>270</v>
      </c>
      <c r="D24" s="3847"/>
      <c r="E24" s="3848"/>
      <c r="F24" s="3829"/>
      <c r="G24" s="3826"/>
      <c r="H24" s="3831"/>
      <c r="I24" s="3829"/>
      <c r="J24" s="3826"/>
      <c r="K24" s="3827"/>
      <c r="M24" s="2607"/>
      <c r="N24" s="2607"/>
      <c r="O24" s="2622"/>
      <c r="R24" s="2622"/>
      <c r="S24" s="2621"/>
      <c r="T24" s="2623"/>
      <c r="U24" s="2622"/>
    </row>
    <row r="25" spans="1:21" ht="12" thickBot="1">
      <c r="A25" s="2647"/>
      <c r="B25" s="2646" t="s">
        <v>547</v>
      </c>
      <c r="C25" s="2645" t="s">
        <v>271</v>
      </c>
      <c r="D25" s="2644" t="s">
        <v>184</v>
      </c>
      <c r="E25" s="2603" t="s">
        <v>521</v>
      </c>
      <c r="F25" s="3829"/>
      <c r="G25" s="2603" t="s">
        <v>184</v>
      </c>
      <c r="H25" s="2603" t="s">
        <v>521</v>
      </c>
      <c r="I25" s="3829"/>
      <c r="J25" s="2603" t="s">
        <v>184</v>
      </c>
      <c r="K25" s="2602" t="s">
        <v>521</v>
      </c>
      <c r="M25" s="2607"/>
      <c r="N25" s="2607"/>
      <c r="O25" s="2622"/>
      <c r="R25" s="2622"/>
      <c r="S25" s="2621"/>
      <c r="T25" s="2623"/>
      <c r="U25" s="2622"/>
    </row>
    <row r="26" spans="1:21">
      <c r="A26" s="2596"/>
      <c r="B26" s="2643" t="s">
        <v>186</v>
      </c>
      <c r="C26" s="2642" t="s">
        <v>197</v>
      </c>
      <c r="D26" s="2633">
        <f>'FERC p310-311 Sales for Rsl 23'!O3</f>
        <v>324999</v>
      </c>
      <c r="E26" s="2640">
        <f>'FERC p310-311 Sales for Rsl 23'!P3</f>
        <v>6700</v>
      </c>
      <c r="F26" s="2641"/>
      <c r="G26" s="2633">
        <f>'FERC p310-311 Sales for Rsl 22'!O5</f>
        <v>343677</v>
      </c>
      <c r="H26" s="2640">
        <f>'FERC p310-311 Sales for Rsl 22'!P5</f>
        <v>7136</v>
      </c>
      <c r="I26" s="2639"/>
      <c r="J26" s="2638">
        <f>'FERC p310-311 Sales for Rsl 21'!O5</f>
        <v>349832</v>
      </c>
      <c r="K26" s="2637">
        <f>'FERC p310-311 Sales for Rsl 21'!P5</f>
        <v>7204</v>
      </c>
      <c r="M26" s="2607"/>
      <c r="N26" s="2607"/>
      <c r="O26" s="2622"/>
      <c r="P26" s="2621"/>
      <c r="R26" s="2622"/>
      <c r="S26" s="2621"/>
      <c r="U26" s="2622"/>
    </row>
    <row r="27" spans="1:21">
      <c r="A27" s="2596"/>
      <c r="B27" s="2635" t="s">
        <v>187</v>
      </c>
      <c r="C27" s="2634" t="s">
        <v>197</v>
      </c>
      <c r="D27" s="2633"/>
      <c r="E27" s="2632"/>
      <c r="G27" s="2633"/>
      <c r="H27" s="2632"/>
      <c r="I27" s="2631"/>
      <c r="J27" s="2423"/>
      <c r="K27" s="2466"/>
      <c r="M27" s="2607"/>
      <c r="N27" s="2607"/>
      <c r="O27" s="2622"/>
      <c r="P27" s="2621"/>
      <c r="R27" s="2622"/>
      <c r="S27" s="2621"/>
      <c r="U27" s="2622"/>
    </row>
    <row r="28" spans="1:21">
      <c r="A28" s="2596"/>
      <c r="B28" s="2635" t="s">
        <v>188</v>
      </c>
      <c r="C28" s="2634" t="s">
        <v>197</v>
      </c>
      <c r="D28" s="2633"/>
      <c r="E28" s="2632"/>
      <c r="G28" s="2633"/>
      <c r="H28" s="2632"/>
      <c r="I28" s="2631"/>
      <c r="J28" s="2423"/>
      <c r="K28" s="2466"/>
      <c r="M28" s="2607"/>
      <c r="N28" s="2607"/>
      <c r="O28" s="2622"/>
      <c r="P28" s="2621"/>
      <c r="R28" s="2622"/>
      <c r="S28" s="2621"/>
      <c r="U28" s="2622"/>
    </row>
    <row r="29" spans="1:21">
      <c r="A29" s="2596"/>
      <c r="B29" s="2635" t="s">
        <v>189</v>
      </c>
      <c r="C29" s="2634" t="s">
        <v>197</v>
      </c>
      <c r="D29" s="2633"/>
      <c r="E29" s="2632"/>
      <c r="G29" s="2633"/>
      <c r="H29" s="2632"/>
      <c r="I29" s="2631"/>
      <c r="J29" s="2423"/>
      <c r="K29" s="2466"/>
      <c r="M29" s="2607"/>
      <c r="N29" s="2607"/>
      <c r="O29" s="2622"/>
      <c r="P29" s="2621"/>
      <c r="R29" s="2622"/>
      <c r="S29" s="2621"/>
      <c r="U29" s="2622"/>
    </row>
    <row r="30" spans="1:21">
      <c r="A30" s="2596"/>
      <c r="B30" s="2635" t="s">
        <v>190</v>
      </c>
      <c r="C30" s="2634" t="s">
        <v>197</v>
      </c>
      <c r="D30" s="2633"/>
      <c r="E30" s="2632"/>
      <c r="G30" s="2633"/>
      <c r="H30" s="2632"/>
      <c r="I30" s="2631"/>
      <c r="J30" s="2423"/>
      <c r="K30" s="2466"/>
      <c r="M30" s="2607"/>
      <c r="N30" s="2607"/>
      <c r="O30" s="2622"/>
      <c r="P30" s="2621"/>
      <c r="R30" s="2622"/>
      <c r="S30" s="2621"/>
      <c r="U30" s="2622"/>
    </row>
    <row r="31" spans="1:21">
      <c r="A31" s="2596"/>
      <c r="B31" s="2635" t="s">
        <v>191</v>
      </c>
      <c r="C31" s="2634" t="s">
        <v>197</v>
      </c>
      <c r="D31" s="2633"/>
      <c r="E31" s="2632"/>
      <c r="G31" s="2633"/>
      <c r="H31" s="2632"/>
      <c r="I31" s="2631"/>
      <c r="J31" s="2423"/>
      <c r="K31" s="2466"/>
      <c r="M31" s="2607"/>
      <c r="N31" s="2607"/>
      <c r="O31" s="2622"/>
      <c r="P31" s="2621"/>
      <c r="R31" s="2622"/>
      <c r="S31" s="2621"/>
      <c r="U31" s="2622"/>
    </row>
    <row r="32" spans="1:21">
      <c r="A32" s="2596"/>
      <c r="B32" s="2635" t="s">
        <v>192</v>
      </c>
      <c r="C32" s="2634" t="s">
        <v>197</v>
      </c>
      <c r="D32" s="2633">
        <f>'FERC p310-311 Sales for Rsl 23'!O4</f>
        <v>640780730</v>
      </c>
      <c r="E32" s="2632">
        <f>'FERC p310-311 Sales for Rsl 23'!P4</f>
        <v>9027709</v>
      </c>
      <c r="G32" s="2633">
        <f>'FERC p310-311 Sales for Rsl 22'!O4</f>
        <v>546361826</v>
      </c>
      <c r="H32" s="2632">
        <f>'FERC p310-311 Sales for Rsl 22'!P4</f>
        <v>6037163</v>
      </c>
      <c r="I32" s="2631"/>
      <c r="J32" s="2423">
        <f>'FERC p310-311 Sales for Rsl 21'!O4</f>
        <v>292596957</v>
      </c>
      <c r="K32" s="2466">
        <f>'FERC p310-311 Sales for Rsl 21'!P4</f>
        <v>6641435</v>
      </c>
      <c r="M32" s="2607"/>
      <c r="N32" s="2607"/>
      <c r="O32" s="2622"/>
      <c r="P32" s="2621"/>
      <c r="R32" s="2622"/>
      <c r="S32" s="2621"/>
      <c r="U32" s="2622"/>
    </row>
    <row r="33" spans="1:23">
      <c r="A33" s="2596"/>
      <c r="B33" s="2635" t="s">
        <v>193</v>
      </c>
      <c r="C33" s="2634" t="s">
        <v>197</v>
      </c>
      <c r="D33" s="2633"/>
      <c r="E33" s="2632"/>
      <c r="G33" s="2633"/>
      <c r="H33" s="2632"/>
      <c r="I33" s="2631"/>
      <c r="J33" s="2423"/>
      <c r="K33" s="2466"/>
      <c r="M33" s="2607"/>
      <c r="N33" s="2607"/>
      <c r="O33" s="2622"/>
      <c r="P33" s="2621"/>
      <c r="R33" s="2622"/>
      <c r="S33" s="2621"/>
      <c r="U33" s="2622"/>
    </row>
    <row r="34" spans="1:23">
      <c r="A34" s="2596"/>
      <c r="B34" s="2635" t="s">
        <v>194</v>
      </c>
      <c r="C34" s="2634" t="s">
        <v>197</v>
      </c>
      <c r="D34" s="2633"/>
      <c r="E34" s="2632"/>
      <c r="G34" s="2633"/>
      <c r="H34" s="2632"/>
      <c r="I34" s="2631"/>
      <c r="J34" s="2423"/>
      <c r="K34" s="2466"/>
      <c r="M34" s="2607"/>
      <c r="N34" s="2607"/>
      <c r="O34" s="2621"/>
      <c r="R34" s="2621"/>
      <c r="S34" s="2621"/>
      <c r="T34" s="2623"/>
      <c r="U34" s="2636"/>
    </row>
    <row r="35" spans="1:23">
      <c r="A35" s="2596"/>
      <c r="B35" s="2635" t="s">
        <v>195</v>
      </c>
      <c r="C35" s="2634" t="s">
        <v>197</v>
      </c>
      <c r="D35" s="2633">
        <f>'FERC p310-311 Sales for Rsl 23'!O5</f>
        <v>-275155</v>
      </c>
      <c r="E35" s="2632">
        <f>'FERC p310-311 Sales for Rsl 23'!P5</f>
        <v>-785</v>
      </c>
      <c r="G35" s="2633">
        <f>'FERC p310-311 Sales for Rsl 22'!O3</f>
        <v>255176</v>
      </c>
      <c r="H35" s="2632">
        <f>'FERC p310-311 Sales for Rsl 22'!P3</f>
        <v>134</v>
      </c>
      <c r="I35" s="2631"/>
      <c r="J35" s="2423">
        <f>'FERC p310-311 Sales for Rsl 21'!O3</f>
        <v>60369</v>
      </c>
      <c r="K35" s="2466">
        <f>'FERC p310-311 Sales for Rsl 21'!P3</f>
        <v>1309</v>
      </c>
      <c r="T35" s="2623"/>
      <c r="U35" s="2621"/>
    </row>
    <row r="36" spans="1:23" ht="12" thickBot="1">
      <c r="A36" s="2593"/>
      <c r="B36" s="3843" t="s">
        <v>196</v>
      </c>
      <c r="C36" s="3844"/>
      <c r="D36" s="2627">
        <f>SUM(D26:D35)</f>
        <v>640830574</v>
      </c>
      <c r="E36" s="2630">
        <f>SUM(E26:E35)</f>
        <v>9033624</v>
      </c>
      <c r="F36" s="2628"/>
      <c r="G36" s="2627">
        <f>SUM(G26:G35)</f>
        <v>546960679</v>
      </c>
      <c r="H36" s="2629">
        <f>SUM(H26:H35)</f>
        <v>6044433</v>
      </c>
      <c r="I36" s="2628"/>
      <c r="J36" s="2627">
        <f>SUM(J26:J35)</f>
        <v>293007158</v>
      </c>
      <c r="K36" s="2626">
        <f>SUM(K26:K35)</f>
        <v>6649948</v>
      </c>
      <c r="R36" s="2623"/>
      <c r="S36" s="2621"/>
      <c r="T36" s="2621"/>
      <c r="U36" s="2621"/>
    </row>
    <row r="37" spans="1:23" ht="12" thickTop="1">
      <c r="C37" s="1397"/>
      <c r="D37" s="3708"/>
      <c r="E37" s="3708"/>
      <c r="F37" s="1397"/>
      <c r="G37" s="3708"/>
      <c r="H37" s="3708"/>
      <c r="I37" s="1397"/>
      <c r="J37" s="3708"/>
      <c r="K37" s="3708"/>
      <c r="R37" s="2623"/>
      <c r="S37" s="2621"/>
      <c r="T37" s="2621"/>
      <c r="U37" s="2621"/>
      <c r="V37" s="2621"/>
      <c r="W37" s="2110"/>
    </row>
    <row r="38" spans="1:23" hidden="1">
      <c r="R38" s="2623"/>
      <c r="S38" s="2621"/>
      <c r="T38" s="2621"/>
      <c r="U38" s="2621"/>
      <c r="V38" s="2621"/>
      <c r="W38" s="2110"/>
    </row>
    <row r="39" spans="1:23" hidden="1">
      <c r="E39" s="2625"/>
      <c r="R39" s="2623"/>
      <c r="S39" s="2621"/>
      <c r="T39" s="2621"/>
      <c r="U39" s="2621"/>
      <c r="V39" s="2621"/>
      <c r="W39" s="2110"/>
    </row>
    <row r="40" spans="1:23" hidden="1">
      <c r="D40" s="2624"/>
      <c r="G40" s="2622"/>
      <c r="H40" s="2621"/>
      <c r="J40" s="2622"/>
      <c r="K40" s="2621"/>
      <c r="R40" s="2623"/>
      <c r="S40" s="2621"/>
      <c r="T40" s="2621"/>
      <c r="U40" s="2621"/>
      <c r="V40" s="2621"/>
      <c r="W40" s="2110"/>
    </row>
    <row r="41" spans="1:23" hidden="1">
      <c r="G41" s="2622"/>
      <c r="H41" s="2621"/>
      <c r="J41" s="2622"/>
      <c r="K41" s="2621"/>
      <c r="R41" s="2623"/>
      <c r="S41" s="2621"/>
      <c r="T41" s="2621"/>
      <c r="U41" s="2621"/>
      <c r="V41" s="2621"/>
      <c r="W41" s="2110"/>
    </row>
    <row r="42" spans="1:23" hidden="1">
      <c r="B42" s="2607"/>
      <c r="C42" s="2621"/>
      <c r="D42" s="2621"/>
      <c r="E42" s="2621"/>
      <c r="G42" s="2622"/>
      <c r="H42" s="2621"/>
      <c r="J42" s="2622"/>
      <c r="K42" s="2621"/>
      <c r="M42" s="2607"/>
      <c r="N42" s="2110"/>
      <c r="O42" s="2110"/>
      <c r="P42" s="2110"/>
      <c r="Q42" s="2110"/>
      <c r="R42" s="2110"/>
      <c r="S42" s="2110"/>
      <c r="T42" s="2110"/>
      <c r="U42" s="2110"/>
      <c r="V42" s="2110"/>
      <c r="W42" s="2110"/>
    </row>
    <row r="43" spans="1:23" hidden="1">
      <c r="B43" s="2607"/>
      <c r="C43" s="2621"/>
      <c r="D43" s="2621"/>
      <c r="E43" s="2621"/>
    </row>
    <row r="44" spans="1:23" hidden="1">
      <c r="B44" s="2611"/>
      <c r="C44" s="2620"/>
      <c r="D44" s="2620"/>
      <c r="E44" s="2620"/>
    </row>
    <row r="45" spans="1:23" hidden="1">
      <c r="B45" s="2607"/>
      <c r="C45" s="2607"/>
      <c r="D45" s="2621"/>
      <c r="E45" s="2621"/>
      <c r="F45" s="2621"/>
    </row>
    <row r="46" spans="1:23" hidden="1">
      <c r="C46" s="2607"/>
      <c r="D46" s="2621"/>
      <c r="E46" s="2621"/>
      <c r="F46" s="2621"/>
    </row>
    <row r="47" spans="1:23" hidden="1">
      <c r="C47" s="2611"/>
      <c r="D47" s="2620"/>
      <c r="E47" s="2620"/>
      <c r="F47" s="2620"/>
    </row>
    <row r="48" spans="1:23" hidden="1">
      <c r="G48" s="2613"/>
      <c r="M48" s="2607"/>
      <c r="N48" s="2607"/>
      <c r="O48" s="2621"/>
      <c r="P48" s="2621"/>
      <c r="Q48" s="2621"/>
    </row>
    <row r="49" spans="4:17" hidden="1">
      <c r="G49" s="2613"/>
      <c r="M49" s="2110"/>
      <c r="N49" s="2607"/>
      <c r="O49" s="2621"/>
      <c r="P49" s="2621"/>
      <c r="Q49" s="2621"/>
    </row>
    <row r="50" spans="4:17" hidden="1">
      <c r="G50" s="2613"/>
      <c r="M50" s="2110"/>
      <c r="N50" s="2611"/>
      <c r="O50" s="2620"/>
      <c r="P50" s="2620"/>
      <c r="Q50" s="2620"/>
    </row>
    <row r="51" spans="4:17" hidden="1">
      <c r="G51" s="2613"/>
      <c r="M51" s="2110"/>
      <c r="N51" s="2607"/>
      <c r="O51" s="2619"/>
      <c r="P51" s="2619"/>
      <c r="Q51" s="2619"/>
    </row>
    <row r="52" spans="4:17" hidden="1">
      <c r="G52" s="2613"/>
      <c r="M52" s="2110"/>
      <c r="N52" s="2607"/>
      <c r="O52" s="2618"/>
      <c r="P52" s="2618"/>
      <c r="Q52" s="2618"/>
    </row>
    <row r="53" spans="4:17" hidden="1">
      <c r="G53" s="2613"/>
      <c r="M53" s="2110"/>
      <c r="N53" s="2607"/>
      <c r="O53" s="2617"/>
      <c r="P53" s="2617"/>
      <c r="Q53" s="2617"/>
    </row>
    <row r="54" spans="4:17" hidden="1">
      <c r="G54" s="2613"/>
      <c r="M54" s="2110"/>
      <c r="N54" s="2607"/>
      <c r="O54" s="2616"/>
      <c r="P54" s="2615"/>
      <c r="Q54" s="2614"/>
    </row>
    <row r="55" spans="4:17" hidden="1">
      <c r="D55" s="2613"/>
      <c r="E55" s="2613"/>
      <c r="F55" s="2613"/>
      <c r="G55" s="2613"/>
    </row>
    <row r="56" spans="4:17" hidden="1"/>
    <row r="57" spans="4:17" hidden="1"/>
    <row r="58" spans="4:17" hidden="1"/>
    <row r="59" spans="4:17" hidden="1"/>
    <row r="60" spans="4:17" hidden="1"/>
    <row r="61" spans="4:17" hidden="1"/>
    <row r="62" spans="4:17" hidden="1"/>
    <row r="63" spans="4:17" hidden="1"/>
    <row r="64" spans="4:17" hidden="1"/>
    <row r="65" spans="1:7" hidden="1"/>
    <row r="66" spans="1:7" hidden="1"/>
    <row r="67" spans="1:7" hidden="1"/>
    <row r="68" spans="1:7" hidden="1"/>
    <row r="69" spans="1:7">
      <c r="D69" s="2607" t="s">
        <v>1</v>
      </c>
      <c r="E69" s="2612">
        <f>IF((E14+E17+E18)=0,0,(D14+D17+D18)/(E14+E17+E18))</f>
        <v>53.882427609417313</v>
      </c>
      <c r="F69" s="2612">
        <f>IF((H14+H17+H18)=0,0,(G14+G17+G18)/(H14+H17+H18))</f>
        <v>78.597968067598501</v>
      </c>
      <c r="G69" s="2612">
        <f>IF((K14+K17+K18)=0,0,(J14+J17+J18)/(K14+K17+K18))</f>
        <v>49.412977725697566</v>
      </c>
    </row>
    <row r="70" spans="1:7">
      <c r="D70" s="2607" t="s">
        <v>2</v>
      </c>
      <c r="E70" s="2612">
        <f>IF((E29+E32+E33)=0,0,(D29+D32+D33)/(E29+E32+E33))</f>
        <v>70.97932930713651</v>
      </c>
      <c r="F70" s="2612">
        <f>IF((H29+H32+H33)=0,0,(G29+G32+G33)/(H29+H32+H33))</f>
        <v>90.499763879159801</v>
      </c>
      <c r="G70" s="2612">
        <f>IF((K29+K32+K33)=0,0,(J29+J32+J33)/(K29+K32+K33))</f>
        <v>44.056285576836935</v>
      </c>
    </row>
    <row r="71" spans="1:7">
      <c r="D71" s="2611" t="s">
        <v>3</v>
      </c>
      <c r="E71" s="2610">
        <f>(E69-E70)/2</f>
        <v>-8.5484508488595985</v>
      </c>
      <c r="F71" s="2610">
        <f>(F69-F70)/2</f>
        <v>-5.9508979057806499</v>
      </c>
      <c r="G71" s="2610">
        <f>(G69-G70)/2</f>
        <v>2.6783460744303156</v>
      </c>
    </row>
    <row r="72" spans="1:7">
      <c r="D72" s="2607" t="s">
        <v>4</v>
      </c>
      <c r="E72" s="2610">
        <f>AVERAGE(E69:E70)</f>
        <v>62.430878458276908</v>
      </c>
      <c r="F72" s="2610">
        <f>AVERAGE(F69:F70)</f>
        <v>84.548865973379151</v>
      </c>
      <c r="G72" s="2610">
        <f>AVERAGE(G69:G70)</f>
        <v>46.73463165126725</v>
      </c>
    </row>
    <row r="73" spans="1:7" ht="12" thickBot="1">
      <c r="D73" s="2607"/>
      <c r="E73" s="2609">
        <f>IF(E72=0,0,((E72+E71)/E72)-1)</f>
        <v>-0.13692664687671507</v>
      </c>
      <c r="F73" s="2609">
        <f>IF(F72=0,0,((F72+F71)/F72)-1)</f>
        <v>-7.0384124461874364E-2</v>
      </c>
      <c r="G73" s="2609">
        <f>IF(G72=0,0,((G72+G71)/G72)-1)</f>
        <v>5.7309664798817161E-2</v>
      </c>
    </row>
    <row r="74" spans="1:7" ht="12" thickTop="1">
      <c r="D74" s="2607"/>
      <c r="E74" s="2608"/>
      <c r="F74" s="2608"/>
      <c r="G74" s="2608"/>
    </row>
    <row r="75" spans="1:7" ht="12" thickBot="1">
      <c r="D75" s="2607" t="s">
        <v>5</v>
      </c>
      <c r="E75" s="2606">
        <f>(E73*3+F73*2+G73*1)/6</f>
        <v>-8.237308745917947E-2</v>
      </c>
      <c r="F75" s="2605"/>
      <c r="G75" s="2604"/>
    </row>
    <row r="78" spans="1:7" ht="12" thickBot="1"/>
    <row r="79" spans="1:7" ht="12" thickTop="1">
      <c r="A79" s="3853"/>
      <c r="B79" s="3854"/>
      <c r="C79" s="3855"/>
      <c r="D79" s="3862" t="s">
        <v>680</v>
      </c>
      <c r="E79" s="3863"/>
    </row>
    <row r="80" spans="1:7" ht="12" thickBot="1">
      <c r="A80" s="3856"/>
      <c r="B80" s="3857"/>
      <c r="C80" s="3858"/>
      <c r="D80" s="3826"/>
      <c r="E80" s="3827"/>
    </row>
    <row r="81" spans="1:5" ht="12" thickBot="1">
      <c r="A81" s="3859"/>
      <c r="B81" s="3860"/>
      <c r="C81" s="3861"/>
      <c r="D81" s="2603" t="s">
        <v>681</v>
      </c>
      <c r="E81" s="2602" t="s">
        <v>185</v>
      </c>
    </row>
    <row r="82" spans="1:5">
      <c r="A82" s="2596"/>
      <c r="B82" s="2601" t="s">
        <v>682</v>
      </c>
      <c r="C82" s="2600"/>
      <c r="D82" s="2599"/>
      <c r="E82" s="2598"/>
    </row>
    <row r="83" spans="1:5">
      <c r="A83" s="2596"/>
      <c r="B83" s="2597" t="s">
        <v>683</v>
      </c>
      <c r="C83" s="2594"/>
      <c r="D83" s="2424"/>
      <c r="E83" s="2466"/>
    </row>
    <row r="84" spans="1:5">
      <c r="A84" s="2596"/>
      <c r="B84" s="2595" t="s">
        <v>748</v>
      </c>
      <c r="C84" s="2594"/>
      <c r="D84" s="2424"/>
      <c r="E84" s="2466"/>
    </row>
    <row r="85" spans="1:5">
      <c r="A85" s="2596"/>
      <c r="B85" s="2595" t="s">
        <v>749</v>
      </c>
      <c r="C85" s="2594"/>
      <c r="D85" s="2424"/>
      <c r="E85" s="2466"/>
    </row>
    <row r="86" spans="1:5">
      <c r="A86" s="2596"/>
      <c r="B86" s="2595" t="s">
        <v>750</v>
      </c>
      <c r="C86" s="2594"/>
      <c r="D86" s="2424"/>
      <c r="E86" s="2466"/>
    </row>
    <row r="87" spans="1:5" ht="12" thickBot="1">
      <c r="A87" s="2593"/>
      <c r="B87" s="3841" t="s">
        <v>196</v>
      </c>
      <c r="C87" s="3842"/>
      <c r="D87" s="2592">
        <f>SUM(D82:D86)</f>
        <v>0</v>
      </c>
      <c r="E87" s="2591">
        <f>SUM(E82:E86)</f>
        <v>0</v>
      </c>
    </row>
    <row r="88" spans="1:5" ht="12" thickTop="1"/>
  </sheetData>
  <mergeCells count="22">
    <mergeCell ref="B87:C87"/>
    <mergeCell ref="G4:I4"/>
    <mergeCell ref="G5:I5"/>
    <mergeCell ref="G6:I6"/>
    <mergeCell ref="B36:C36"/>
    <mergeCell ref="D23:E24"/>
    <mergeCell ref="D8:E9"/>
    <mergeCell ref="B21:C21"/>
    <mergeCell ref="F23:F25"/>
    <mergeCell ref="A79:C81"/>
    <mergeCell ref="D79:E80"/>
    <mergeCell ref="J23:K24"/>
    <mergeCell ref="I8:I10"/>
    <mergeCell ref="G23:H24"/>
    <mergeCell ref="I23:I25"/>
    <mergeCell ref="A1:K1"/>
    <mergeCell ref="A7:K7"/>
    <mergeCell ref="F8:F10"/>
    <mergeCell ref="G8:H9"/>
    <mergeCell ref="A3:K3"/>
    <mergeCell ref="A2:K2"/>
    <mergeCell ref="J8:K9"/>
  </mergeCells>
  <hyperlinks>
    <hyperlink ref="B5" location="TOC!A1" display="TOC" xr:uid="{00000000-0004-0000-09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olBreaks count="1" manualBreakCount="1">
    <brk id="11" max="36" man="1"/>
  </colBreaks>
  <customProperties>
    <customPr name="_pios_id" r:id="rId2"/>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indexed="13"/>
  </sheetPr>
  <dimension ref="A1:K28"/>
  <sheetViews>
    <sheetView workbookViewId="0">
      <pane ySplit="3" topLeftCell="A4" activePane="bottomLeft" state="frozen"/>
      <selection pane="bottomLeft" sqref="A1:XFD1048576"/>
    </sheetView>
  </sheetViews>
  <sheetFormatPr defaultColWidth="9" defaultRowHeight="11.25"/>
  <cols>
    <col min="1" max="1" width="38.375" style="546" customWidth="1"/>
    <col min="2" max="7" width="10.375" style="546" customWidth="1"/>
    <col min="8" max="11" width="12.625" style="546" customWidth="1"/>
    <col min="12" max="16384" width="9" style="546"/>
  </cols>
  <sheetData>
    <row r="1" spans="1:11" ht="12.75" thickTop="1" thickBot="1">
      <c r="A1" s="3793" t="s">
        <v>710</v>
      </c>
      <c r="B1" s="3794"/>
      <c r="C1" s="3794"/>
      <c r="D1" s="3794"/>
      <c r="E1" s="3794"/>
      <c r="F1" s="3794"/>
      <c r="G1" s="3795"/>
      <c r="K1" s="2541"/>
    </row>
    <row r="2" spans="1:11" ht="39.75" customHeight="1" thickBot="1">
      <c r="A2" s="2813" t="s">
        <v>726</v>
      </c>
      <c r="B2" s="2812" t="s">
        <v>791</v>
      </c>
      <c r="C2" s="3865" t="s">
        <v>792</v>
      </c>
      <c r="D2" s="3866"/>
      <c r="E2" s="3866"/>
      <c r="F2" s="3866"/>
      <c r="G2" s="3867"/>
    </row>
    <row r="3" spans="1:11" ht="12" thickBot="1">
      <c r="A3" s="2811" t="s">
        <v>576</v>
      </c>
      <c r="B3" s="2810">
        <f>'Sch 1- Rate Base '!E6</f>
        <v>2023</v>
      </c>
      <c r="C3" s="2809">
        <f>B3+1</f>
        <v>2024</v>
      </c>
      <c r="D3" s="2808">
        <f>C3+1</f>
        <v>2025</v>
      </c>
      <c r="E3" s="2808">
        <f>D3+1</f>
        <v>2026</v>
      </c>
      <c r="F3" s="2808">
        <f>E3+1</f>
        <v>2027</v>
      </c>
      <c r="G3" s="2807">
        <f>F3+1</f>
        <v>2028</v>
      </c>
    </row>
    <row r="4" spans="1:11">
      <c r="A4" s="2806" t="s">
        <v>679</v>
      </c>
      <c r="B4" s="2775">
        <f>'Sch 4 - Average System Cost'!D39</f>
        <v>21165762</v>
      </c>
      <c r="C4" s="2784">
        <f>'PSE F24 Forecast Load'!J7</f>
        <v>21133873</v>
      </c>
      <c r="D4" s="2785">
        <f>'PSE F24 Forecast Load'!J8</f>
        <v>21226594</v>
      </c>
      <c r="E4" s="2785">
        <f>'PSE F24 Forecast Load'!J9</f>
        <v>21400392</v>
      </c>
      <c r="F4" s="2785">
        <f>'PSE F24 Forecast Load'!J10</f>
        <v>21558214</v>
      </c>
      <c r="G4" s="2786">
        <f>'PSE F24 Forecast Load'!J11</f>
        <v>21854080</v>
      </c>
    </row>
    <row r="5" spans="1:11">
      <c r="A5" s="2805" t="s">
        <v>577</v>
      </c>
      <c r="B5" s="2776">
        <f>'Sch 4 - Average System Cost'!D42</f>
        <v>982091.35679999995</v>
      </c>
      <c r="C5" s="2777">
        <f>IF($B$4=0,0,C4*$B$16)</f>
        <v>980611.70719999995</v>
      </c>
      <c r="D5" s="2778">
        <f>IF($B$4=0,0,D4*$B$16)</f>
        <v>984913.96159999992</v>
      </c>
      <c r="E5" s="2778">
        <f>IF($B$4=0,0,E4*$B$16)</f>
        <v>992978.18879999989</v>
      </c>
      <c r="F5" s="2778">
        <f>IF($B$4=0,0,F4*$B$16)</f>
        <v>1000301.1296</v>
      </c>
      <c r="G5" s="2779">
        <f>IF($B$4=0,0,G4*$B$16)</f>
        <v>1014029.3119999999</v>
      </c>
    </row>
    <row r="6" spans="1:11">
      <c r="A6" s="2799" t="s">
        <v>578</v>
      </c>
      <c r="B6" s="2780">
        <f>B4+B5</f>
        <v>22147853.356800001</v>
      </c>
      <c r="C6" s="2778">
        <f>IF('Tiered Rates'!C14&gt;0,'Tiered Rates'!C14*8784,C4+C5)</f>
        <v>22114484.707199998</v>
      </c>
      <c r="D6" s="2778">
        <f>IF('Tiered Rates'!D14&gt;0,'Tiered Rates'!D14*8760,D4+D5)</f>
        <v>22211507.961599998</v>
      </c>
      <c r="E6" s="2778">
        <f>IF('Tiered Rates'!E14&gt;0,'Tiered Rates'!E14*8784,E4+E5)</f>
        <v>22393370.1888</v>
      </c>
      <c r="F6" s="2778">
        <f>IF('Tiered Rates'!E14&gt;0,'Tiered Rates'!E14*8760,F4+F5)</f>
        <v>22558515.1296</v>
      </c>
      <c r="G6" s="2779">
        <f>IF('Tiered Rates'!F14&gt;0,'Tiered Rates'!F14*8760,G4+G5)</f>
        <v>22868109.311999999</v>
      </c>
    </row>
    <row r="7" spans="1:11">
      <c r="A7" s="2804" t="s">
        <v>742</v>
      </c>
      <c r="B7" s="2780">
        <f>B6</f>
        <v>22147853.356800001</v>
      </c>
      <c r="C7" s="2781">
        <f>MAX(C6,B7)</f>
        <v>22147853.356800001</v>
      </c>
      <c r="D7" s="2778">
        <f>MAX(D6,C7)</f>
        <v>22211507.961599998</v>
      </c>
      <c r="E7" s="2778">
        <f>MAX(E6,D7)</f>
        <v>22393370.1888</v>
      </c>
      <c r="F7" s="2778">
        <f>MAX(F6,E7)</f>
        <v>22558515.1296</v>
      </c>
      <c r="G7" s="2779">
        <f>MAX(G6,F7)</f>
        <v>22868109.311999999</v>
      </c>
    </row>
    <row r="8" spans="1:11">
      <c r="A8" s="2795"/>
      <c r="B8" s="2793"/>
      <c r="C8" s="2793"/>
      <c r="D8" s="2793"/>
      <c r="E8" s="2793"/>
      <c r="F8" s="2793"/>
      <c r="G8" s="2779"/>
    </row>
    <row r="9" spans="1:11">
      <c r="A9" s="2804" t="s">
        <v>743</v>
      </c>
      <c r="B9" s="2780">
        <f>'Sch 4 - Average System Cost'!F45</f>
        <v>0</v>
      </c>
      <c r="C9" s="2781"/>
      <c r="D9" s="2778"/>
      <c r="E9" s="2778"/>
      <c r="F9" s="2778"/>
      <c r="G9" s="2779"/>
    </row>
    <row r="10" spans="1:11">
      <c r="A10" s="2804" t="s">
        <v>744</v>
      </c>
      <c r="B10" s="2780"/>
      <c r="C10" s="2778"/>
      <c r="D10" s="2778"/>
      <c r="E10" s="2778"/>
      <c r="F10" s="2778"/>
      <c r="G10" s="2779"/>
    </row>
    <row r="11" spans="1:11">
      <c r="A11" s="2804" t="s">
        <v>745</v>
      </c>
      <c r="B11" s="2780">
        <f>B9</f>
        <v>0</v>
      </c>
      <c r="C11" s="2781">
        <f>C10+B11</f>
        <v>0</v>
      </c>
      <c r="D11" s="2778">
        <f>D10+C11</f>
        <v>0</v>
      </c>
      <c r="E11" s="2778">
        <f>E10+D11</f>
        <v>0</v>
      </c>
      <c r="F11" s="2778">
        <f>F10+E11</f>
        <v>0</v>
      </c>
      <c r="G11" s="2779">
        <f>G10+F11</f>
        <v>0</v>
      </c>
    </row>
    <row r="12" spans="1:11">
      <c r="A12" s="2799"/>
      <c r="B12" s="2780"/>
      <c r="C12" s="2781"/>
      <c r="D12" s="2778"/>
      <c r="E12" s="2778"/>
      <c r="F12" s="2778"/>
      <c r="G12" s="2779"/>
    </row>
    <row r="13" spans="1:11">
      <c r="A13" s="2795"/>
      <c r="B13" s="2793"/>
      <c r="C13" s="2793"/>
      <c r="D13" s="2793"/>
      <c r="E13" s="2793"/>
      <c r="F13" s="2793"/>
      <c r="G13" s="2779"/>
    </row>
    <row r="14" spans="1:11">
      <c r="A14" s="2803" t="s">
        <v>579</v>
      </c>
      <c r="B14" s="2802"/>
      <c r="C14" s="2801">
        <f>C6-B6</f>
        <v>-33368.649600002915</v>
      </c>
      <c r="D14" s="2801">
        <f>D6-C6</f>
        <v>97023.254399999976</v>
      </c>
      <c r="E14" s="2801">
        <f>E6-D6</f>
        <v>181862.22720000148</v>
      </c>
      <c r="F14" s="2801">
        <f>F6-E6</f>
        <v>165144.94079999998</v>
      </c>
      <c r="G14" s="2800">
        <f>G6-F6</f>
        <v>309594.18239999935</v>
      </c>
    </row>
    <row r="15" spans="1:11">
      <c r="A15" s="2799"/>
      <c r="B15" s="2793"/>
      <c r="C15" s="2798"/>
      <c r="D15" s="2798"/>
      <c r="E15" s="2798"/>
      <c r="F15" s="2797"/>
      <c r="G15" s="2796"/>
    </row>
    <row r="16" spans="1:11">
      <c r="A16" s="2795" t="s">
        <v>753</v>
      </c>
      <c r="B16" s="2794">
        <f>ROUND('Sch 4 - Average System Cost'!F42,4)</f>
        <v>4.6399999999999997E-2</v>
      </c>
      <c r="C16" s="2793"/>
      <c r="D16" s="2793"/>
      <c r="E16" s="2793"/>
      <c r="F16" s="2792"/>
      <c r="G16" s="2791"/>
    </row>
    <row r="17" spans="1:7" ht="12" thickBot="1">
      <c r="A17" s="2790"/>
      <c r="B17" s="2789"/>
      <c r="C17" s="2789"/>
      <c r="D17" s="2789"/>
      <c r="E17" s="2789"/>
      <c r="F17" s="2788"/>
      <c r="G17" s="2787"/>
    </row>
    <row r="19" spans="1:7" ht="12" thickBot="1"/>
    <row r="20" spans="1:7">
      <c r="A20" s="2452" t="s">
        <v>685</v>
      </c>
      <c r="D20" s="3777" t="str">
        <f>'Sch 1- Rate Base '!E5</f>
        <v>PUGET SOUND ENERGY</v>
      </c>
      <c r="E20" s="3798"/>
      <c r="F20" s="2782"/>
    </row>
    <row r="21" spans="1:7">
      <c r="A21" s="2452"/>
      <c r="D21" s="3779">
        <f>'Sch 1- Rate Base '!E6</f>
        <v>2023</v>
      </c>
      <c r="E21" s="3799"/>
      <c r="F21" s="2782"/>
    </row>
    <row r="22" spans="1:7" ht="12" thickBot="1">
      <c r="D22" s="3781">
        <f>'Sch 1- Rate Base '!E7</f>
        <v>45474</v>
      </c>
      <c r="E22" s="3864"/>
      <c r="F22" s="2783"/>
    </row>
    <row r="25" spans="1:7">
      <c r="C25" s="3740" t="s">
        <v>54</v>
      </c>
      <c r="D25" s="3740"/>
      <c r="E25" s="3740"/>
      <c r="F25" s="3740"/>
      <c r="G25" s="3740"/>
    </row>
    <row r="26" spans="1:7">
      <c r="B26" s="2529"/>
      <c r="C26" s="3740" t="s">
        <v>56</v>
      </c>
      <c r="D26" s="3740"/>
      <c r="E26" s="3740"/>
      <c r="F26" s="3740"/>
      <c r="G26" s="3740"/>
    </row>
    <row r="27" spans="1:7">
      <c r="B27" s="2529"/>
      <c r="C27" s="3737" t="s">
        <v>709</v>
      </c>
      <c r="D27" s="3737"/>
      <c r="E27" s="3737"/>
      <c r="F27" s="3737"/>
      <c r="G27" s="3737"/>
    </row>
    <row r="28" spans="1:7">
      <c r="B28" s="2771"/>
      <c r="C28" s="2771"/>
      <c r="D28" s="2771"/>
      <c r="E28" s="2771"/>
      <c r="F28" s="2771"/>
      <c r="G28" s="2771"/>
    </row>
  </sheetData>
  <mergeCells count="8">
    <mergeCell ref="C26:G26"/>
    <mergeCell ref="C27:G27"/>
    <mergeCell ref="A1:G1"/>
    <mergeCell ref="C25:G25"/>
    <mergeCell ref="D20:E20"/>
    <mergeCell ref="D21:E21"/>
    <mergeCell ref="D22:E22"/>
    <mergeCell ref="C2:G2"/>
  </mergeCells>
  <hyperlinks>
    <hyperlink ref="A20" location="TOC!A1" display="TOC" xr:uid="{00000000-0004-0000-0A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indexed="55"/>
  </sheetPr>
  <dimension ref="A1:H28"/>
  <sheetViews>
    <sheetView workbookViewId="0">
      <pane ySplit="11" topLeftCell="A12" activePane="bottomLeft" state="frozen"/>
      <selection pane="bottomLeft" sqref="A1:XFD1048576"/>
    </sheetView>
  </sheetViews>
  <sheetFormatPr defaultColWidth="9" defaultRowHeight="11.25"/>
  <cols>
    <col min="1" max="1" width="9.125" style="546" customWidth="1"/>
    <col min="2" max="2" width="5.125" style="546" customWidth="1"/>
    <col min="3" max="3" width="14.625" style="546" customWidth="1"/>
    <col min="4" max="4" width="15.625" style="546" customWidth="1"/>
    <col min="5" max="5" width="18.625" style="546" customWidth="1"/>
    <col min="6" max="6" width="13.5" style="546" customWidth="1"/>
    <col min="7" max="7" width="9.875" style="546" hidden="1" customWidth="1"/>
    <col min="8" max="8" width="10.75" style="546" customWidth="1"/>
    <col min="9" max="16384" width="9" style="546"/>
  </cols>
  <sheetData>
    <row r="1" spans="1:8" ht="12" thickTop="1">
      <c r="A1" s="3793" t="s">
        <v>54</v>
      </c>
      <c r="B1" s="3794"/>
      <c r="C1" s="3794"/>
      <c r="D1" s="3794"/>
      <c r="E1" s="3794"/>
      <c r="F1" s="3794"/>
      <c r="G1" s="3794"/>
      <c r="H1" s="3795"/>
    </row>
    <row r="2" spans="1:8">
      <c r="A2" s="3796" t="s">
        <v>56</v>
      </c>
      <c r="B2" s="3740"/>
      <c r="C2" s="3740"/>
      <c r="D2" s="3740"/>
      <c r="E2" s="3740"/>
      <c r="F2" s="3740"/>
      <c r="G2" s="3740"/>
      <c r="H2" s="3797"/>
    </row>
    <row r="3" spans="1:8">
      <c r="A3" s="3761" t="s">
        <v>711</v>
      </c>
      <c r="B3" s="3737"/>
      <c r="C3" s="3737"/>
      <c r="D3" s="3737"/>
      <c r="E3" s="3737"/>
      <c r="F3" s="3737"/>
      <c r="G3" s="3737"/>
      <c r="H3" s="3762"/>
    </row>
    <row r="4" spans="1:8" ht="12" thickBot="1">
      <c r="A4" s="2291"/>
      <c r="B4" s="2292"/>
      <c r="C4" s="2292"/>
      <c r="D4" s="2292"/>
      <c r="E4" s="2292"/>
      <c r="F4" s="2292"/>
      <c r="G4" s="2582"/>
      <c r="H4" s="2581"/>
    </row>
    <row r="5" spans="1:8">
      <c r="A5" s="2814" t="s">
        <v>685</v>
      </c>
      <c r="C5" s="2297" t="s">
        <v>571</v>
      </c>
      <c r="D5" s="3777" t="str">
        <f>'Sch 1- Rate Base '!$E$5</f>
        <v>PUGET SOUND ENERGY</v>
      </c>
      <c r="E5" s="3798"/>
      <c r="F5" s="2771"/>
      <c r="G5" s="2582"/>
      <c r="H5" s="2581"/>
    </row>
    <row r="6" spans="1:8">
      <c r="A6" s="2448"/>
      <c r="C6" s="2297" t="s">
        <v>572</v>
      </c>
      <c r="D6" s="3779">
        <f>'Sch 1- Rate Base '!$E$6</f>
        <v>2023</v>
      </c>
      <c r="E6" s="3799"/>
      <c r="F6" s="2771"/>
      <c r="G6" s="2582"/>
      <c r="H6" s="2581"/>
    </row>
    <row r="7" spans="1:8" ht="12" thickBot="1">
      <c r="A7" s="2448"/>
      <c r="C7" s="2297" t="s">
        <v>573</v>
      </c>
      <c r="D7" s="3781">
        <f>'Sch 1- Rate Base '!$E$7</f>
        <v>45474</v>
      </c>
      <c r="E7" s="3864"/>
      <c r="F7" s="2771"/>
      <c r="G7" s="2582"/>
      <c r="H7" s="2581"/>
    </row>
    <row r="8" spans="1:8">
      <c r="A8" s="2448"/>
      <c r="C8" s="2297"/>
      <c r="D8" s="2303"/>
      <c r="E8" s="547"/>
      <c r="F8" s="2304"/>
      <c r="G8" s="2582"/>
      <c r="H8" s="2581"/>
    </row>
    <row r="9" spans="1:8">
      <c r="A9" s="2448"/>
      <c r="B9" s="2815"/>
      <c r="C9" s="2292"/>
      <c r="D9" s="2292"/>
      <c r="E9" s="2292"/>
      <c r="F9" s="2304"/>
      <c r="G9" s="2582"/>
      <c r="H9" s="2581"/>
    </row>
    <row r="10" spans="1:8">
      <c r="A10" s="2837" t="s">
        <v>575</v>
      </c>
      <c r="B10" s="2836"/>
      <c r="C10" s="2836"/>
      <c r="D10" s="2836"/>
      <c r="E10" s="2836"/>
      <c r="F10" s="2836"/>
      <c r="G10" s="2582"/>
      <c r="H10" s="2581"/>
    </row>
    <row r="11" spans="1:8" ht="12" thickBot="1">
      <c r="A11" s="2835"/>
      <c r="B11" s="2834"/>
      <c r="C11" s="2834"/>
      <c r="D11" s="2834"/>
      <c r="E11" s="2834"/>
      <c r="F11" s="2834"/>
      <c r="G11" s="2833"/>
      <c r="H11" s="2832"/>
    </row>
    <row r="12" spans="1:8" ht="22.5">
      <c r="A12" s="2650"/>
      <c r="C12" s="2831" t="s">
        <v>6822</v>
      </c>
      <c r="D12" s="2831" t="s">
        <v>6823</v>
      </c>
      <c r="E12" s="2831" t="s">
        <v>6824</v>
      </c>
      <c r="F12" s="2831" t="s">
        <v>6825</v>
      </c>
      <c r="H12" s="2585"/>
    </row>
    <row r="13" spans="1:8">
      <c r="A13" s="2824"/>
      <c r="B13" s="546">
        <v>1</v>
      </c>
      <c r="C13" s="2110">
        <v>2023</v>
      </c>
      <c r="D13" s="2830">
        <f>'FERC p401a Energy Acct BP - 23'!C36</f>
        <v>1090701</v>
      </c>
      <c r="E13" s="2830">
        <f>'FERC p401a Energy Acct BP - 23'!$C$31</f>
        <v>21165762</v>
      </c>
      <c r="F13" s="2817">
        <f>ROUND(+D13/E13,4)</f>
        <v>5.1499999999999997E-2</v>
      </c>
      <c r="H13" s="2585"/>
    </row>
    <row r="14" spans="1:8">
      <c r="A14" s="2824"/>
      <c r="B14" s="546">
        <v>2</v>
      </c>
      <c r="C14" s="2110">
        <v>2022</v>
      </c>
      <c r="D14" s="2830">
        <f>'FERC p401a Energy Acct BP - 22'!C36</f>
        <v>1343941</v>
      </c>
      <c r="E14" s="2830">
        <f>'FERC p401a Energy Acct BP - 22'!$C$31</f>
        <v>21613415.155999999</v>
      </c>
      <c r="F14" s="2817">
        <f>ROUND(+D14/E14,4)</f>
        <v>6.2199999999999998E-2</v>
      </c>
      <c r="H14" s="2585"/>
    </row>
    <row r="15" spans="1:8">
      <c r="A15" s="2524"/>
      <c r="B15" s="546">
        <v>3</v>
      </c>
      <c r="C15" s="2110">
        <v>2021</v>
      </c>
      <c r="D15" s="2830">
        <f>'FERC p401a Energy Acct BP - 21'!C36</f>
        <v>1459849</v>
      </c>
      <c r="E15" s="2830">
        <f>'FERC p401a Energy Acct BP - 21'!C31</f>
        <v>21036614</v>
      </c>
      <c r="F15" s="2817">
        <f>ROUND(+D15/E15,4)</f>
        <v>6.9400000000000003E-2</v>
      </c>
      <c r="H15" s="2585"/>
    </row>
    <row r="16" spans="1:8">
      <c r="A16" s="2524"/>
      <c r="B16" s="546">
        <v>4</v>
      </c>
      <c r="C16" s="2110">
        <v>2020</v>
      </c>
      <c r="D16" s="2830">
        <f>'FERC p401a Energy Acct BP - 20'!F28</f>
        <v>1588951</v>
      </c>
      <c r="E16" s="2830">
        <f>'FERC p401a Energy Acct BP - 20'!F23</f>
        <v>20088222</v>
      </c>
      <c r="F16" s="2817">
        <f>ROUND(+D16/E16,4)</f>
        <v>7.9100000000000004E-2</v>
      </c>
      <c r="H16" s="2585"/>
    </row>
    <row r="17" spans="1:8">
      <c r="A17" s="2524"/>
      <c r="B17" s="546">
        <v>5</v>
      </c>
      <c r="C17" s="2110">
        <v>2019</v>
      </c>
      <c r="D17" s="2830">
        <f>'FERC p401a Energy Acct BP - 19'!F28</f>
        <v>1275898</v>
      </c>
      <c r="E17" s="2830">
        <f>'FERC p401a Energy Acct BP - 19'!F23</f>
        <v>20833230</v>
      </c>
      <c r="F17" s="2817">
        <f>ROUND(+D17/E17,4)</f>
        <v>6.1199999999999997E-2</v>
      </c>
      <c r="H17" s="2585"/>
    </row>
    <row r="18" spans="1:8">
      <c r="A18" s="2524"/>
      <c r="C18" s="2110"/>
      <c r="D18" s="2830"/>
      <c r="E18" s="2830"/>
      <c r="F18" s="2817"/>
      <c r="H18" s="2585"/>
    </row>
    <row r="19" spans="1:8">
      <c r="A19" s="2524"/>
      <c r="B19" s="2263"/>
      <c r="C19" s="2829" t="s">
        <v>6826</v>
      </c>
      <c r="D19" s="2828">
        <f>SUM(D13:D17)</f>
        <v>6759340</v>
      </c>
      <c r="E19" s="2828">
        <f>SUM(E13:E17)</f>
        <v>104737243.156</v>
      </c>
      <c r="F19" s="2817">
        <f>ROUND(+D19/E19,4)</f>
        <v>6.4500000000000002E-2</v>
      </c>
      <c r="H19" s="2585"/>
    </row>
    <row r="20" spans="1:8">
      <c r="A20" s="2524"/>
      <c r="B20" s="2263"/>
      <c r="C20" s="2827" t="s">
        <v>6827</v>
      </c>
      <c r="D20" s="2137">
        <f>AVERAGE(D13:D17)</f>
        <v>1351868</v>
      </c>
      <c r="E20" s="2137">
        <f>AVERAGE(E13:E17)</f>
        <v>20947448.631200001</v>
      </c>
      <c r="F20" s="2817">
        <f>ROUND(+D20/E20,4)</f>
        <v>6.4500000000000002E-2</v>
      </c>
      <c r="H20" s="2585"/>
    </row>
    <row r="21" spans="1:8">
      <c r="A21" s="2824"/>
      <c r="B21" s="2110"/>
      <c r="C21" s="2110"/>
      <c r="D21" s="2110"/>
      <c r="E21" s="2110"/>
      <c r="F21" s="1512"/>
      <c r="H21" s="2585"/>
    </row>
    <row r="22" spans="1:8">
      <c r="A22" s="2824"/>
      <c r="B22" s="546" t="s">
        <v>6828</v>
      </c>
      <c r="E22" s="2818"/>
      <c r="F22" s="2826">
        <f>F20</f>
        <v>6.4500000000000002E-2</v>
      </c>
      <c r="H22" s="2585"/>
    </row>
    <row r="23" spans="1:8">
      <c r="A23" s="2824"/>
      <c r="B23" s="546" t="s">
        <v>6829</v>
      </c>
      <c r="E23" s="2110"/>
      <c r="F23" s="1512"/>
      <c r="H23" s="2585"/>
    </row>
    <row r="24" spans="1:8">
      <c r="A24" s="2824"/>
      <c r="B24" s="546" t="s">
        <v>6830</v>
      </c>
      <c r="E24" s="2825"/>
      <c r="F24" s="3723">
        <v>1.8100000000000002E-2</v>
      </c>
      <c r="H24" s="2585"/>
    </row>
    <row r="25" spans="1:8">
      <c r="A25" s="2824"/>
      <c r="F25" s="1512"/>
      <c r="H25" s="2585"/>
    </row>
    <row r="26" spans="1:8">
      <c r="A26" s="2596"/>
      <c r="B26" s="546" t="s">
        <v>8378</v>
      </c>
      <c r="F26" s="2823">
        <f>ROUND(+F22-F24,4)</f>
        <v>4.6399999999999997E-2</v>
      </c>
      <c r="H26" s="2585"/>
    </row>
    <row r="27" spans="1:8" ht="12" thickBot="1">
      <c r="A27" s="2593"/>
      <c r="B27" s="2628"/>
      <c r="C27" s="2628"/>
      <c r="D27" s="2628"/>
      <c r="E27" s="2628"/>
      <c r="F27" s="2628"/>
      <c r="G27" s="2628"/>
      <c r="H27" s="2822"/>
    </row>
    <row r="28" spans="1:8" ht="12" thickTop="1"/>
  </sheetData>
  <mergeCells count="6">
    <mergeCell ref="D6:E6"/>
    <mergeCell ref="D7:E7"/>
    <mergeCell ref="A1:H1"/>
    <mergeCell ref="A2:H2"/>
    <mergeCell ref="A3:H3"/>
    <mergeCell ref="D5:E5"/>
  </mergeCells>
  <hyperlinks>
    <hyperlink ref="A5" location="TOC!A1" display="TOC" xr:uid="{00000000-0004-0000-0B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indexed="19"/>
  </sheetPr>
  <dimension ref="A1:J42"/>
  <sheetViews>
    <sheetView workbookViewId="0">
      <pane ySplit="13" topLeftCell="A14" activePane="bottomLeft" state="frozen"/>
      <selection pane="bottomLeft" sqref="A1:XFD1048576"/>
    </sheetView>
  </sheetViews>
  <sheetFormatPr defaultColWidth="9" defaultRowHeight="11.25"/>
  <cols>
    <col min="1" max="1" width="7.125" style="493" customWidth="1"/>
    <col min="2" max="2" width="48.125" style="493" customWidth="1"/>
    <col min="3" max="3" width="14.875" style="739" customWidth="1"/>
    <col min="4" max="4" width="14.375" style="493" customWidth="1"/>
    <col min="5" max="5" width="0.125" style="493" customWidth="1"/>
    <col min="6" max="16384" width="9" style="493"/>
  </cols>
  <sheetData>
    <row r="1" spans="1:10" ht="12" thickTop="1">
      <c r="A1" s="3766" t="s">
        <v>54</v>
      </c>
      <c r="B1" s="3767"/>
      <c r="C1" s="3767"/>
      <c r="D1" s="3768"/>
    </row>
    <row r="2" spans="1:10">
      <c r="A2" s="3763" t="s">
        <v>56</v>
      </c>
      <c r="B2" s="3764"/>
      <c r="C2" s="3764"/>
      <c r="D2" s="3765"/>
    </row>
    <row r="3" spans="1:10">
      <c r="A3" s="3761" t="s">
        <v>709</v>
      </c>
      <c r="B3" s="3737"/>
      <c r="C3" s="3737"/>
      <c r="D3" s="3762"/>
    </row>
    <row r="4" spans="1:10" ht="12.75" customHeight="1" thickBot="1">
      <c r="A4" s="2291"/>
      <c r="B4" s="2139"/>
      <c r="C4" s="2139"/>
      <c r="D4" s="2665"/>
    </row>
    <row r="5" spans="1:10">
      <c r="A5" s="2296" t="s">
        <v>685</v>
      </c>
      <c r="B5" s="2297" t="s">
        <v>571</v>
      </c>
      <c r="C5" s="2453" t="str">
        <f>'Sch 1- Rate Base '!$E$5</f>
        <v>PUGET SOUND ENERGY</v>
      </c>
      <c r="D5" s="2340"/>
      <c r="H5" s="2771"/>
      <c r="I5" s="2771"/>
      <c r="J5" s="2771"/>
    </row>
    <row r="6" spans="1:10">
      <c r="A6" s="2329"/>
      <c r="B6" s="2297" t="s">
        <v>572</v>
      </c>
      <c r="C6" s="2838">
        <f>'Sch 1- Rate Base '!$E$6</f>
        <v>2023</v>
      </c>
      <c r="D6" s="2340"/>
      <c r="H6" s="2771"/>
      <c r="I6" s="2771"/>
      <c r="J6" s="2771"/>
    </row>
    <row r="7" spans="1:10" ht="12" thickBot="1">
      <c r="A7" s="2714" t="s">
        <v>8379</v>
      </c>
      <c r="B7" s="2297" t="s">
        <v>573</v>
      </c>
      <c r="C7" s="2839">
        <f>'Sch 1- Rate Base '!$E$7</f>
        <v>45474</v>
      </c>
      <c r="D7" s="2340"/>
      <c r="H7" s="2840"/>
      <c r="I7" s="2771"/>
      <c r="J7" s="2771"/>
    </row>
    <row r="8" spans="1:10" ht="15.75" hidden="1" customHeight="1">
      <c r="A8" s="2841"/>
      <c r="B8" s="525"/>
      <c r="C8" s="2304"/>
      <c r="D8" s="2842"/>
    </row>
    <row r="9" spans="1:10" ht="16.5" hidden="1" customHeight="1" thickBot="1">
      <c r="A9" s="2291"/>
      <c r="B9" s="2139"/>
      <c r="C9" s="2304"/>
      <c r="D9" s="2665"/>
    </row>
    <row r="10" spans="1:10" ht="12" thickBot="1">
      <c r="A10" s="3821" t="s">
        <v>328</v>
      </c>
      <c r="B10" s="3822"/>
      <c r="C10" s="3822"/>
      <c r="D10" s="3823"/>
    </row>
    <row r="11" spans="1:10">
      <c r="A11" s="3871" t="s">
        <v>229</v>
      </c>
      <c r="B11" s="3872"/>
      <c r="C11" s="2843" t="s">
        <v>321</v>
      </c>
      <c r="D11" s="3868" t="s">
        <v>440</v>
      </c>
    </row>
    <row r="12" spans="1:10">
      <c r="A12" s="3873"/>
      <c r="B12" s="3874"/>
      <c r="C12" s="2844" t="s">
        <v>270</v>
      </c>
      <c r="D12" s="3869"/>
    </row>
    <row r="13" spans="1:10" ht="12" thickBot="1">
      <c r="A13" s="3875"/>
      <c r="B13" s="3876"/>
      <c r="C13" s="2845" t="s">
        <v>271</v>
      </c>
      <c r="D13" s="3870"/>
    </row>
    <row r="14" spans="1:10">
      <c r="A14" s="2846" t="s">
        <v>510</v>
      </c>
      <c r="B14" s="2847"/>
      <c r="C14" s="2139"/>
      <c r="D14" s="2665"/>
    </row>
    <row r="15" spans="1:10">
      <c r="A15" s="2846" t="s">
        <v>436</v>
      </c>
      <c r="B15" s="2847"/>
      <c r="C15" s="2848"/>
      <c r="D15" s="2340"/>
    </row>
    <row r="16" spans="1:10">
      <c r="A16" s="2849">
        <v>1</v>
      </c>
      <c r="B16" s="2850" t="s">
        <v>105</v>
      </c>
      <c r="C16" s="2851" t="s">
        <v>329</v>
      </c>
      <c r="D16" s="2852">
        <f>'FERC p354-355 Salaries &amp; Wages'!C12</f>
        <v>27351096</v>
      </c>
    </row>
    <row r="17" spans="1:4">
      <c r="A17" s="2849">
        <v>2</v>
      </c>
      <c r="B17" s="2850" t="s">
        <v>106</v>
      </c>
      <c r="C17" s="2851" t="s">
        <v>329</v>
      </c>
      <c r="D17" s="2852">
        <f>'FERC p354-355 Salaries &amp; Wages'!C13</f>
        <v>8264727</v>
      </c>
    </row>
    <row r="18" spans="1:4">
      <c r="A18" s="2849">
        <v>3</v>
      </c>
      <c r="B18" s="2850" t="s">
        <v>511</v>
      </c>
      <c r="C18" s="2851" t="s">
        <v>329</v>
      </c>
      <c r="D18" s="2852">
        <f>'FERC p354-355 Salaries &amp; Wages'!C15</f>
        <v>30436062</v>
      </c>
    </row>
    <row r="19" spans="1:4">
      <c r="A19" s="2849">
        <v>4</v>
      </c>
      <c r="B19" s="2850" t="s">
        <v>512</v>
      </c>
      <c r="C19" s="2851" t="s">
        <v>329</v>
      </c>
      <c r="D19" s="2852">
        <f>'FERC p354-355 Salaries &amp; Wages'!C16</f>
        <v>10042836</v>
      </c>
    </row>
    <row r="20" spans="1:4">
      <c r="A20" s="2849">
        <v>5</v>
      </c>
      <c r="B20" s="2850" t="s">
        <v>172</v>
      </c>
      <c r="C20" s="2851" t="s">
        <v>329</v>
      </c>
      <c r="D20" s="2852">
        <f>'FERC p354-355 Salaries &amp; Wages'!C17</f>
        <v>2377648</v>
      </c>
    </row>
    <row r="21" spans="1:4">
      <c r="A21" s="2849">
        <v>6</v>
      </c>
      <c r="B21" s="2850" t="s">
        <v>514</v>
      </c>
      <c r="C21" s="2851" t="s">
        <v>329</v>
      </c>
      <c r="D21" s="2852">
        <f>'FERC p354-355 Salaries &amp; Wages'!C18</f>
        <v>834733</v>
      </c>
    </row>
    <row r="22" spans="1:4">
      <c r="A22" s="2849">
        <v>7</v>
      </c>
      <c r="B22" s="2850" t="s">
        <v>515</v>
      </c>
      <c r="C22" s="2851" t="s">
        <v>329</v>
      </c>
      <c r="D22" s="2852">
        <f>'FERC p354-355 Salaries &amp; Wages'!C19</f>
        <v>42501370</v>
      </c>
    </row>
    <row r="23" spans="1:4">
      <c r="A23" s="2846" t="s">
        <v>204</v>
      </c>
      <c r="B23" s="2850"/>
      <c r="C23" s="2853"/>
      <c r="D23" s="2854">
        <f>SUM(D16:D22)</f>
        <v>121808472</v>
      </c>
    </row>
    <row r="24" spans="1:4">
      <c r="A24" s="2849"/>
      <c r="B24" s="2850"/>
      <c r="C24" s="3709"/>
      <c r="D24" s="3710"/>
    </row>
    <row r="25" spans="1:4">
      <c r="A25" s="2846" t="s">
        <v>437</v>
      </c>
      <c r="B25" s="2847"/>
      <c r="C25" s="2855"/>
      <c r="D25" s="2315"/>
    </row>
    <row r="26" spans="1:4">
      <c r="A26" s="2849">
        <v>9</v>
      </c>
      <c r="B26" s="2850" t="s">
        <v>105</v>
      </c>
      <c r="C26" s="2851" t="s">
        <v>329</v>
      </c>
      <c r="D26" s="2852">
        <f>'FERC p354-355 Salaries &amp; Wages'!C22</f>
        <v>5284488</v>
      </c>
    </row>
    <row r="27" spans="1:4">
      <c r="A27" s="2849">
        <v>10</v>
      </c>
      <c r="B27" s="2850" t="s">
        <v>106</v>
      </c>
      <c r="C27" s="2851" t="s">
        <v>329</v>
      </c>
      <c r="D27" s="2852">
        <f>'FERC p354-355 Salaries &amp; Wages'!C23</f>
        <v>2233833</v>
      </c>
    </row>
    <row r="28" spans="1:4">
      <c r="A28" s="2849">
        <v>11</v>
      </c>
      <c r="B28" s="2850" t="s">
        <v>511</v>
      </c>
      <c r="C28" s="2851" t="s">
        <v>329</v>
      </c>
      <c r="D28" s="2852">
        <f>'FERC p354-355 Salaries &amp; Wages'!C25</f>
        <v>10369106</v>
      </c>
    </row>
    <row r="29" spans="1:4">
      <c r="A29" s="2849">
        <v>12</v>
      </c>
      <c r="B29" s="2850" t="s">
        <v>515</v>
      </c>
      <c r="C29" s="2851" t="s">
        <v>329</v>
      </c>
      <c r="D29" s="2852">
        <f>'FERC p354-355 Salaries &amp; Wages'!C26</f>
        <v>46045</v>
      </c>
    </row>
    <row r="30" spans="1:4">
      <c r="A30" s="2846" t="s">
        <v>205</v>
      </c>
      <c r="B30" s="2847"/>
      <c r="C30" s="2853"/>
      <c r="D30" s="2854">
        <f>SUM(D26:D29)</f>
        <v>17933472</v>
      </c>
    </row>
    <row r="31" spans="1:4">
      <c r="A31" s="2846"/>
      <c r="B31" s="2847"/>
      <c r="C31" s="3709"/>
      <c r="D31" s="3710"/>
    </row>
    <row r="32" spans="1:4">
      <c r="A32" s="2846" t="s">
        <v>277</v>
      </c>
      <c r="B32" s="2847"/>
      <c r="C32" s="2855"/>
      <c r="D32" s="2315"/>
    </row>
    <row r="33" spans="1:4">
      <c r="A33" s="2849"/>
      <c r="B33" s="2850" t="s">
        <v>278</v>
      </c>
      <c r="C33" s="2851" t="s">
        <v>329</v>
      </c>
      <c r="D33" s="2852">
        <f>+D16+D26</f>
        <v>32635584</v>
      </c>
    </row>
    <row r="34" spans="1:4">
      <c r="A34" s="2849"/>
      <c r="B34" s="2850" t="s">
        <v>279</v>
      </c>
      <c r="C34" s="2851" t="s">
        <v>329</v>
      </c>
      <c r="D34" s="2852">
        <f>+D17+D27</f>
        <v>10498560</v>
      </c>
    </row>
    <row r="35" spans="1:4">
      <c r="A35" s="2849"/>
      <c r="B35" s="2850" t="s">
        <v>170</v>
      </c>
      <c r="C35" s="2851" t="s">
        <v>329</v>
      </c>
      <c r="D35" s="2852">
        <f>+D18+D28</f>
        <v>40805168</v>
      </c>
    </row>
    <row r="36" spans="1:4">
      <c r="A36" s="2849"/>
      <c r="B36" s="2850" t="s">
        <v>171</v>
      </c>
      <c r="C36" s="2851" t="s">
        <v>329</v>
      </c>
      <c r="D36" s="2852">
        <f>+D19</f>
        <v>10042836</v>
      </c>
    </row>
    <row r="37" spans="1:4">
      <c r="A37" s="2849"/>
      <c r="B37" s="2850" t="s">
        <v>173</v>
      </c>
      <c r="C37" s="2851" t="s">
        <v>329</v>
      </c>
      <c r="D37" s="2852">
        <f>+D20</f>
        <v>2377648</v>
      </c>
    </row>
    <row r="38" spans="1:4">
      <c r="A38" s="2849"/>
      <c r="B38" s="2850" t="s">
        <v>174</v>
      </c>
      <c r="C38" s="2851" t="s">
        <v>329</v>
      </c>
      <c r="D38" s="2852">
        <f>+D21</f>
        <v>834733</v>
      </c>
    </row>
    <row r="39" spans="1:4">
      <c r="A39" s="2849"/>
      <c r="B39" s="2850" t="s">
        <v>175</v>
      </c>
      <c r="C39" s="2851" t="s">
        <v>329</v>
      </c>
      <c r="D39" s="2852">
        <f>+D22+D29</f>
        <v>42547415</v>
      </c>
    </row>
    <row r="40" spans="1:4">
      <c r="A40" s="2846" t="s">
        <v>206</v>
      </c>
      <c r="B40" s="2850"/>
      <c r="C40" s="2853"/>
      <c r="D40" s="2854">
        <f>SUM(D33:D39)</f>
        <v>139741944</v>
      </c>
    </row>
    <row r="41" spans="1:4" ht="12" thickBot="1">
      <c r="A41" s="2715"/>
      <c r="B41" s="2716"/>
      <c r="C41" s="3711"/>
      <c r="D41" s="3712"/>
    </row>
    <row r="42" spans="1:4" ht="12" thickTop="1"/>
  </sheetData>
  <mergeCells count="6">
    <mergeCell ref="D11:D13"/>
    <mergeCell ref="A11:B13"/>
    <mergeCell ref="A1:D1"/>
    <mergeCell ref="A2:D2"/>
    <mergeCell ref="A3:D3"/>
    <mergeCell ref="A10:D10"/>
  </mergeCells>
  <hyperlinks>
    <hyperlink ref="A5" location="TOC!A1" display="TOC" xr:uid="{00000000-0004-0000-0C00-000000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indexed="10"/>
  </sheetPr>
  <dimension ref="A1:S89"/>
  <sheetViews>
    <sheetView zoomScale="115" zoomScaleNormal="115" workbookViewId="0">
      <pane ySplit="12" topLeftCell="A73" activePane="bottomLeft" state="frozen"/>
      <selection pane="bottomLeft" activeCell="H3" sqref="H3"/>
    </sheetView>
  </sheetViews>
  <sheetFormatPr defaultColWidth="8" defaultRowHeight="11.25"/>
  <cols>
    <col min="1" max="1" width="10.375" style="3163" customWidth="1"/>
    <col min="2" max="2" width="54.625" style="3069" customWidth="1"/>
    <col min="3" max="3" width="15.5" style="3069" customWidth="1"/>
    <col min="4" max="7" width="12.625" style="743" customWidth="1"/>
    <col min="8" max="8" width="8.375" style="3069" bestFit="1" customWidth="1"/>
    <col min="9" max="9" width="12.375" style="3069" customWidth="1"/>
    <col min="10" max="11" width="12.625" style="3069" customWidth="1"/>
    <col min="12" max="12" width="16.25" style="3069" customWidth="1"/>
    <col min="13" max="14" width="10" style="3069" customWidth="1"/>
    <col min="15" max="16" width="12.625" style="3069" customWidth="1"/>
    <col min="17" max="19" width="18.625" style="3069" customWidth="1"/>
    <col min="20" max="16384" width="8" style="3069"/>
  </cols>
  <sheetData>
    <row r="1" spans="1:19" ht="15.75" customHeight="1" thickTop="1">
      <c r="A1" s="3063" t="s">
        <v>54</v>
      </c>
      <c r="B1" s="3064"/>
      <c r="C1" s="3065"/>
      <c r="D1" s="3066"/>
      <c r="E1" s="3065"/>
      <c r="F1" s="3067"/>
      <c r="G1" s="3068"/>
      <c r="M1" s="3069" t="s">
        <v>242</v>
      </c>
      <c r="R1" s="743">
        <f>R46</f>
        <v>3103924318.4887009</v>
      </c>
    </row>
    <row r="2" spans="1:19" ht="15.75" customHeight="1">
      <c r="A2" s="3070" t="s">
        <v>56</v>
      </c>
      <c r="B2" s="2328"/>
      <c r="C2" s="495"/>
      <c r="D2" s="3071"/>
      <c r="E2" s="495"/>
      <c r="F2" s="3072"/>
      <c r="G2" s="3073"/>
      <c r="M2" s="3069" t="s">
        <v>119</v>
      </c>
      <c r="R2" s="743">
        <f>E46</f>
        <v>3902384831</v>
      </c>
    </row>
    <row r="3" spans="1:19" ht="15.75" customHeight="1">
      <c r="A3" s="3736" t="s">
        <v>709</v>
      </c>
      <c r="B3" s="3737"/>
      <c r="C3" s="3737"/>
      <c r="D3" s="3737"/>
      <c r="E3" s="3737"/>
      <c r="F3" s="3737"/>
      <c r="G3" s="3738"/>
      <c r="M3" s="3069" t="s">
        <v>243</v>
      </c>
      <c r="R3" s="3074">
        <f>IF(R2=0,0,R1/R2)</f>
        <v>0.79539165226134534</v>
      </c>
    </row>
    <row r="4" spans="1:19" ht="15.75" customHeight="1" thickBot="1">
      <c r="A4" s="2138"/>
      <c r="B4" s="2292"/>
      <c r="C4" s="495"/>
      <c r="D4" s="3071"/>
      <c r="E4" s="495"/>
      <c r="F4" s="3072"/>
      <c r="G4" s="3073"/>
      <c r="M4" s="3069" t="s">
        <v>244</v>
      </c>
      <c r="R4" s="3074">
        <f>IF(R2=0,0,(R2-R1)/R2)</f>
        <v>0.20460834773865466</v>
      </c>
    </row>
    <row r="5" spans="1:19" ht="15.75" customHeight="1">
      <c r="A5" s="3075" t="s">
        <v>685</v>
      </c>
      <c r="B5" s="2297" t="s">
        <v>571</v>
      </c>
      <c r="C5" s="3777" t="str">
        <f>'Sch 1- Rate Base '!$E$5</f>
        <v>PUGET SOUND ENERGY</v>
      </c>
      <c r="D5" s="3778"/>
      <c r="E5" s="3798"/>
      <c r="F5" s="3072"/>
      <c r="G5" s="3073"/>
    </row>
    <row r="6" spans="1:19" ht="15.75" customHeight="1">
      <c r="A6" s="3076" t="s">
        <v>686</v>
      </c>
      <c r="B6" s="2297" t="s">
        <v>572</v>
      </c>
      <c r="C6" s="3779">
        <f>'Sch 1- Rate Base '!$E$6</f>
        <v>2023</v>
      </c>
      <c r="D6" s="3780"/>
      <c r="E6" s="3799"/>
      <c r="F6" s="2304"/>
      <c r="G6" s="3073"/>
      <c r="M6" s="3069" t="s">
        <v>245</v>
      </c>
      <c r="R6" s="743">
        <f>'NLSL_Base_New-Calc'!AA33+'NLSL_Base_New-Calc'!AA34</f>
        <v>101183636.48999999</v>
      </c>
    </row>
    <row r="7" spans="1:19" ht="15.75" customHeight="1" thickBot="1">
      <c r="A7" s="3077"/>
      <c r="B7" s="2297" t="s">
        <v>573</v>
      </c>
      <c r="C7" s="3781">
        <f>'Sch 1- Rate Base '!$E$7</f>
        <v>45474</v>
      </c>
      <c r="D7" s="3791"/>
      <c r="E7" s="3792"/>
      <c r="F7" s="2304"/>
      <c r="G7" s="3073"/>
      <c r="M7" s="3069" t="s">
        <v>246</v>
      </c>
      <c r="R7" s="743">
        <f>'Sch 3 - Expenses'!H17+'Sch 3 - Expenses'!H18+'Sch 3 - Expenses'!H21+'Sch 3 - Expenses'!H22+'Sch 3 - Expenses'!H24+'Sch 3 - Expenses'!H25+'Sch 3 - Expenses'!H28+'Sch 3 - Expenses'!H29</f>
        <v>118415920</v>
      </c>
    </row>
    <row r="8" spans="1:19" ht="15.75" customHeight="1">
      <c r="A8" s="3077"/>
      <c r="B8" s="2292"/>
      <c r="C8" s="495"/>
      <c r="D8" s="3071"/>
      <c r="E8" s="495"/>
      <c r="F8" s="3072"/>
      <c r="G8" s="3073"/>
      <c r="M8" s="3069" t="s">
        <v>247</v>
      </c>
      <c r="R8" s="3074">
        <f>IF(R7=0,0,R6/R7)</f>
        <v>0.85447663194273193</v>
      </c>
    </row>
    <row r="9" spans="1:19">
      <c r="A9" s="3078" t="s">
        <v>333</v>
      </c>
      <c r="B9" s="2816"/>
      <c r="C9" s="495"/>
      <c r="D9" s="3071"/>
      <c r="E9" s="495"/>
      <c r="F9" s="3072"/>
      <c r="G9" s="3073"/>
      <c r="M9" s="3069" t="s">
        <v>248</v>
      </c>
      <c r="R9" s="3074">
        <f>IF(R7=0,0,(R7-R6)/R7)</f>
        <v>0.14552336805726801</v>
      </c>
    </row>
    <row r="10" spans="1:19" ht="5.25" customHeight="1" thickBot="1">
      <c r="A10" s="3079"/>
      <c r="B10" s="3080"/>
      <c r="C10" s="3081"/>
      <c r="D10" s="3082"/>
      <c r="E10" s="3081"/>
      <c r="F10" s="3083"/>
      <c r="G10" s="3084"/>
    </row>
    <row r="11" spans="1:19">
      <c r="A11" s="3085"/>
      <c r="B11" s="3086"/>
      <c r="D11" s="3087"/>
      <c r="E11" s="3087"/>
      <c r="F11" s="3087"/>
      <c r="G11" s="3088"/>
      <c r="Q11" s="3877" t="s">
        <v>105</v>
      </c>
      <c r="R11" s="3877"/>
      <c r="S11" s="3877"/>
    </row>
    <row r="12" spans="1:19">
      <c r="A12" s="3085" t="s">
        <v>516</v>
      </c>
      <c r="B12" s="3089"/>
      <c r="C12" s="3090" t="s">
        <v>520</v>
      </c>
      <c r="D12" s="3091" t="s">
        <v>104</v>
      </c>
      <c r="E12" s="3091" t="s">
        <v>105</v>
      </c>
      <c r="F12" s="3091" t="s">
        <v>106</v>
      </c>
      <c r="G12" s="3092" t="s">
        <v>511</v>
      </c>
      <c r="Q12" s="3093" t="s">
        <v>240</v>
      </c>
      <c r="R12" s="3094" t="s">
        <v>241</v>
      </c>
      <c r="S12" s="3094" t="s">
        <v>104</v>
      </c>
    </row>
    <row r="13" spans="1:19">
      <c r="A13" s="3085"/>
      <c r="B13" s="3086" t="s">
        <v>105</v>
      </c>
      <c r="C13" s="3095" t="s">
        <v>392</v>
      </c>
      <c r="D13" s="3096">
        <f>Salaries!D33</f>
        <v>32635584</v>
      </c>
      <c r="E13" s="3096">
        <f t="shared" ref="E13:E19" si="0">VLOOKUP($C13,Ratio,2,FALSE)*$D13</f>
        <v>32635584</v>
      </c>
      <c r="F13" s="3096">
        <f t="shared" ref="F13:F19" si="1">VLOOKUP($C13,Ratio,3,FALSE)*$D13</f>
        <v>0</v>
      </c>
      <c r="G13" s="3097">
        <f t="shared" ref="G13:G19" si="2">VLOOKUP($C13,Ratio,4,FALSE)*$D13</f>
        <v>0</v>
      </c>
      <c r="Q13" s="3096">
        <f>E13*R9</f>
        <v>4749240.1021958869</v>
      </c>
      <c r="R13" s="3096">
        <f>E13*R8</f>
        <v>27886343.897804111</v>
      </c>
      <c r="S13" s="3098">
        <f>SUM(Q13:R13)</f>
        <v>32635584</v>
      </c>
    </row>
    <row r="14" spans="1:19">
      <c r="A14" s="3085"/>
      <c r="B14" s="3086" t="s">
        <v>106</v>
      </c>
      <c r="C14" s="3095" t="s">
        <v>391</v>
      </c>
      <c r="D14" s="2695">
        <f>Salaries!D34</f>
        <v>10498560</v>
      </c>
      <c r="E14" s="2695">
        <f t="shared" si="0"/>
        <v>0</v>
      </c>
      <c r="F14" s="2695">
        <f t="shared" si="1"/>
        <v>0</v>
      </c>
      <c r="G14" s="3099">
        <f t="shared" si="2"/>
        <v>10498560</v>
      </c>
      <c r="Q14" s="3100">
        <v>0</v>
      </c>
      <c r="R14" s="3100">
        <v>0</v>
      </c>
    </row>
    <row r="15" spans="1:19">
      <c r="A15" s="3085"/>
      <c r="B15" s="3086" t="s">
        <v>511</v>
      </c>
      <c r="C15" s="3095" t="s">
        <v>390</v>
      </c>
      <c r="D15" s="2695">
        <f>Salaries!D35</f>
        <v>40805168</v>
      </c>
      <c r="E15" s="2695">
        <f t="shared" si="0"/>
        <v>0</v>
      </c>
      <c r="F15" s="2695">
        <f t="shared" si="1"/>
        <v>0</v>
      </c>
      <c r="G15" s="3099">
        <f t="shared" si="2"/>
        <v>40805168</v>
      </c>
      <c r="Q15" s="3100">
        <v>0</v>
      </c>
      <c r="R15" s="3100">
        <v>0</v>
      </c>
    </row>
    <row r="16" spans="1:19">
      <c r="A16" s="3085"/>
      <c r="B16" s="3086" t="s">
        <v>512</v>
      </c>
      <c r="C16" s="3095" t="s">
        <v>390</v>
      </c>
      <c r="D16" s="2695">
        <f>Salaries!D36</f>
        <v>10042836</v>
      </c>
      <c r="E16" s="2695">
        <f t="shared" si="0"/>
        <v>0</v>
      </c>
      <c r="F16" s="2695">
        <f t="shared" si="1"/>
        <v>0</v>
      </c>
      <c r="G16" s="3099">
        <f t="shared" si="2"/>
        <v>10042836</v>
      </c>
      <c r="I16" s="3101" t="s">
        <v>101</v>
      </c>
      <c r="J16" s="3101" t="s">
        <v>102</v>
      </c>
      <c r="K16" s="3101" t="s">
        <v>103</v>
      </c>
      <c r="Q16" s="3100">
        <v>0</v>
      </c>
      <c r="R16" s="3100">
        <v>0</v>
      </c>
    </row>
    <row r="17" spans="1:19">
      <c r="A17" s="3085"/>
      <c r="B17" s="3102" t="s">
        <v>513</v>
      </c>
      <c r="C17" s="3103" t="s">
        <v>390</v>
      </c>
      <c r="D17" s="3104">
        <f>Salaries!D37</f>
        <v>2377648</v>
      </c>
      <c r="E17" s="2483">
        <f>IF($C17="DIRECT",I17,VLOOKUP($C17,Ratio,2,FALSE)*$D17)</f>
        <v>0</v>
      </c>
      <c r="F17" s="2483">
        <f>IF($C17="DIRECT",J17,VLOOKUP($C17,Ratio,3,FALSE)*$D17)</f>
        <v>0</v>
      </c>
      <c r="G17" s="3105">
        <f>IF($C17="DIRECT",K17,VLOOKUP($C17,Ratio,4,FALSE)*$D17)</f>
        <v>2377648</v>
      </c>
      <c r="H17" s="3106"/>
      <c r="I17" s="3107"/>
      <c r="J17" s="3107"/>
      <c r="K17" s="3107"/>
      <c r="Q17" s="3100">
        <f>E17</f>
        <v>0</v>
      </c>
      <c r="R17" s="3100">
        <v>0</v>
      </c>
      <c r="S17" s="3098">
        <f>SUM(Q17:R17)</f>
        <v>0</v>
      </c>
    </row>
    <row r="18" spans="1:19">
      <c r="A18" s="3085"/>
      <c r="B18" s="3086" t="s">
        <v>514</v>
      </c>
      <c r="C18" s="3095" t="s">
        <v>390</v>
      </c>
      <c r="D18" s="2695">
        <f>Salaries!D38</f>
        <v>834733</v>
      </c>
      <c r="E18" s="2695">
        <f t="shared" si="0"/>
        <v>0</v>
      </c>
      <c r="F18" s="2695">
        <f t="shared" si="1"/>
        <v>0</v>
      </c>
      <c r="G18" s="3099">
        <f t="shared" si="2"/>
        <v>834733</v>
      </c>
      <c r="Q18" s="3100">
        <v>0</v>
      </c>
      <c r="R18" s="3100">
        <v>0</v>
      </c>
    </row>
    <row r="19" spans="1:19">
      <c r="A19" s="3085"/>
      <c r="B19" s="3086" t="s">
        <v>517</v>
      </c>
      <c r="C19" s="3095" t="s">
        <v>99</v>
      </c>
      <c r="D19" s="2695">
        <f>Salaries!D39</f>
        <v>42547415</v>
      </c>
      <c r="E19" s="2695">
        <f t="shared" si="0"/>
        <v>14852939.347491231</v>
      </c>
      <c r="F19" s="2695">
        <f t="shared" si="1"/>
        <v>0</v>
      </c>
      <c r="G19" s="3099">
        <f t="shared" si="2"/>
        <v>27694475.652508773</v>
      </c>
      <c r="Q19" s="2695">
        <f>D19*Q50</f>
        <v>3039035.3789526322</v>
      </c>
      <c r="R19" s="2695">
        <f>D19*R50</f>
        <v>11813903.968538599</v>
      </c>
      <c r="S19" s="3098">
        <f>SUM(Q19:R19)</f>
        <v>14852939.347491231</v>
      </c>
    </row>
    <row r="20" spans="1:19">
      <c r="A20" s="3085"/>
      <c r="B20" s="3086"/>
      <c r="C20" s="3086"/>
      <c r="D20" s="3108"/>
      <c r="E20" s="3108"/>
      <c r="F20" s="3108"/>
      <c r="G20" s="3109"/>
      <c r="Q20" s="3110"/>
      <c r="R20" s="3110"/>
    </row>
    <row r="21" spans="1:19">
      <c r="A21" s="3085" t="s">
        <v>518</v>
      </c>
      <c r="B21" s="3086"/>
      <c r="C21" s="3111"/>
      <c r="D21" s="3112">
        <f>SUM(D13:D20)</f>
        <v>139741944</v>
      </c>
      <c r="E21" s="3112">
        <f>SUM(E13:E20)</f>
        <v>47488523.347491235</v>
      </c>
      <c r="F21" s="3112">
        <f>SUM(F13:F20)</f>
        <v>0</v>
      </c>
      <c r="G21" s="3113">
        <f>SUM(G13:G20)</f>
        <v>92253420.652508765</v>
      </c>
      <c r="Q21" s="3112">
        <f>SUM(Q13:Q19)</f>
        <v>7788275.4811485186</v>
      </c>
      <c r="R21" s="3112">
        <f>SUM(R13:R19)</f>
        <v>39700247.866342708</v>
      </c>
      <c r="S21" s="3098">
        <f>SUM(Q21:R21)</f>
        <v>47488523.347491227</v>
      </c>
    </row>
    <row r="22" spans="1:19">
      <c r="A22" s="3085"/>
      <c r="B22" s="3114" t="s">
        <v>334</v>
      </c>
      <c r="C22" s="3111"/>
      <c r="D22" s="3115">
        <f>IF($D21=0,0,D21/$D21)</f>
        <v>1</v>
      </c>
      <c r="E22" s="3116">
        <f>IF($D21=0,0,E21/$D21)</f>
        <v>0.33983013251548322</v>
      </c>
      <c r="F22" s="3116">
        <v>0</v>
      </c>
      <c r="G22" s="3117">
        <f>IF($D21=0,0,G21/$D21)+IF($D21=0,0,F21/$D21)</f>
        <v>0.66016986748451678</v>
      </c>
      <c r="O22" s="3114" t="s">
        <v>334</v>
      </c>
      <c r="Q22" s="3116">
        <f>IF(D21=0,0,Q21/D21)</f>
        <v>5.5733269898896771E-2</v>
      </c>
      <c r="R22" s="3116">
        <f>IF(D21=0,0,R21/D21)</f>
        <v>0.2840968626165864</v>
      </c>
      <c r="S22" s="3118">
        <f>SUM(Q22:R22)</f>
        <v>0.33983013251548316</v>
      </c>
    </row>
    <row r="23" spans="1:19">
      <c r="A23" s="3085"/>
      <c r="B23" s="3086"/>
      <c r="C23" s="3086"/>
      <c r="D23" s="3108"/>
      <c r="E23" s="3108"/>
      <c r="F23" s="3108"/>
      <c r="G23" s="3109"/>
      <c r="Q23" s="3108"/>
      <c r="R23" s="3108"/>
    </row>
    <row r="24" spans="1:19">
      <c r="A24" s="3085" t="s">
        <v>91</v>
      </c>
      <c r="B24" s="3119" t="s">
        <v>335</v>
      </c>
      <c r="C24" s="3090" t="s">
        <v>520</v>
      </c>
      <c r="D24" s="3091" t="s">
        <v>104</v>
      </c>
      <c r="E24" s="3091" t="s">
        <v>105</v>
      </c>
      <c r="F24" s="3091" t="s">
        <v>106</v>
      </c>
      <c r="G24" s="3092" t="s">
        <v>511</v>
      </c>
      <c r="Q24" s="3093" t="s">
        <v>240</v>
      </c>
      <c r="R24" s="3094" t="s">
        <v>241</v>
      </c>
      <c r="S24" s="3094" t="s">
        <v>104</v>
      </c>
    </row>
    <row r="25" spans="1:19">
      <c r="A25" s="3085"/>
      <c r="B25" s="3086" t="s">
        <v>125</v>
      </c>
      <c r="C25" s="3095" t="s">
        <v>99</v>
      </c>
      <c r="D25" s="3096">
        <f>'Sch 1- Rate Base '!G37</f>
        <v>5100521</v>
      </c>
      <c r="E25" s="3120">
        <f>'Sch 1- Rate Base '!H37</f>
        <v>1780548.3377452032</v>
      </c>
      <c r="F25" s="3120">
        <f>'Sch 1- Rate Base '!I37</f>
        <v>0</v>
      </c>
      <c r="G25" s="3121">
        <f>'Sch 1- Rate Base '!J37</f>
        <v>3319972.6622547973</v>
      </c>
      <c r="Q25" s="3096">
        <f>D25*Q$50</f>
        <v>364315.05345485406</v>
      </c>
      <c r="R25" s="3096">
        <f>D25*R$50</f>
        <v>1416233.2842903491</v>
      </c>
      <c r="S25" s="3098">
        <f>SUM(Q25:R25)</f>
        <v>1780548.3377452032</v>
      </c>
    </row>
    <row r="26" spans="1:19">
      <c r="A26" s="3085"/>
      <c r="B26" s="3086" t="s">
        <v>126</v>
      </c>
      <c r="C26" s="3095" t="s">
        <v>99</v>
      </c>
      <c r="D26" s="2695">
        <f>'Sch 1- Rate Base '!G38</f>
        <v>126721170</v>
      </c>
      <c r="E26" s="3122">
        <f>'Sch 1- Rate Base '!H38</f>
        <v>44237278.623228356</v>
      </c>
      <c r="F26" s="3122">
        <f>'Sch 1- Rate Base '!I38</f>
        <v>0</v>
      </c>
      <c r="G26" s="3123">
        <f>'Sch 1- Rate Base '!J38</f>
        <v>82483891.376771659</v>
      </c>
      <c r="Q26" s="3096">
        <f>D26*Q$50</f>
        <v>9051316.4875532612</v>
      </c>
      <c r="R26" s="3096">
        <f>D26*R$50</f>
        <v>35185962.135675095</v>
      </c>
      <c r="S26" s="3098">
        <f>SUM(Q26:R26)</f>
        <v>44237278.623228356</v>
      </c>
    </row>
    <row r="27" spans="1:19">
      <c r="A27" s="3085"/>
      <c r="B27" s="3086" t="s">
        <v>127</v>
      </c>
      <c r="C27" s="3095" t="s">
        <v>95</v>
      </c>
      <c r="D27" s="2695">
        <f>'Sch 1- Rate Base '!G39</f>
        <v>31597697</v>
      </c>
      <c r="E27" s="3122">
        <f>'Sch 1- Rate Base '!H39</f>
        <v>10737849.558694087</v>
      </c>
      <c r="F27" s="3122">
        <f>'Sch 1- Rate Base '!I39</f>
        <v>0</v>
      </c>
      <c r="G27" s="3123">
        <f>'Sch 1- Rate Base '!J39</f>
        <v>20859847.441305913</v>
      </c>
      <c r="Q27" s="3096">
        <f>D27*Q$22</f>
        <v>1761042.9750845609</v>
      </c>
      <c r="R27" s="3096">
        <f>D27*R$22</f>
        <v>8976806.5836095251</v>
      </c>
      <c r="S27" s="3098">
        <f>SUM(Q27:R27)</f>
        <v>10737849.558694087</v>
      </c>
    </row>
    <row r="28" spans="1:19">
      <c r="A28" s="3085"/>
      <c r="B28" s="3086" t="s">
        <v>128</v>
      </c>
      <c r="C28" s="3095" t="s">
        <v>109</v>
      </c>
      <c r="D28" s="2695">
        <f>'Sch 1- Rate Base '!G40</f>
        <v>3994065</v>
      </c>
      <c r="E28" s="3122">
        <f>'Sch 1- Rate Base '!H40</f>
        <v>0</v>
      </c>
      <c r="F28" s="3122">
        <f>'Sch 1- Rate Base '!I40</f>
        <v>0</v>
      </c>
      <c r="G28" s="3123">
        <f>'Sch 1- Rate Base '!J40</f>
        <v>3994065</v>
      </c>
      <c r="Q28" s="3124">
        <v>0</v>
      </c>
      <c r="R28" s="3124">
        <v>0</v>
      </c>
    </row>
    <row r="29" spans="1:19">
      <c r="A29" s="3085"/>
      <c r="B29" s="3086" t="s">
        <v>129</v>
      </c>
      <c r="C29" s="3095" t="s">
        <v>99</v>
      </c>
      <c r="D29" s="2695">
        <f>'Sch 1- Rate Base '!G41</f>
        <v>1969191</v>
      </c>
      <c r="E29" s="3122">
        <f>'Sch 1- Rate Base '!H41</f>
        <v>687427.76703650749</v>
      </c>
      <c r="F29" s="3122">
        <f>'Sch 1- Rate Base '!I41</f>
        <v>0</v>
      </c>
      <c r="G29" s="3123">
        <f>'Sch 1- Rate Base '!J41</f>
        <v>1281763.2329634926</v>
      </c>
      <c r="Q29" s="3096">
        <f>D29*Q$50</f>
        <v>140653.45960301263</v>
      </c>
      <c r="R29" s="3096">
        <f>D29*R$50</f>
        <v>546774.30743349495</v>
      </c>
      <c r="S29" s="3098">
        <f>SUM(Q29:R29)</f>
        <v>687427.7670365076</v>
      </c>
    </row>
    <row r="30" spans="1:19">
      <c r="A30" s="3085"/>
      <c r="B30" s="3086" t="s">
        <v>130</v>
      </c>
      <c r="C30" s="3095" t="s">
        <v>99</v>
      </c>
      <c r="D30" s="2695">
        <f>'Sch 1- Rate Base '!G42</f>
        <v>32372182</v>
      </c>
      <c r="E30" s="3122">
        <f>'Sch 1- Rate Base '!H42</f>
        <v>11300852.373568345</v>
      </c>
      <c r="F30" s="3122">
        <f>'Sch 1- Rate Base '!I42</f>
        <v>0</v>
      </c>
      <c r="G30" s="3123">
        <f>'Sch 1- Rate Base '!J42</f>
        <v>21071329.626431659</v>
      </c>
      <c r="Q30" s="3096">
        <f>D30*Q$50</f>
        <v>2312248.7321942728</v>
      </c>
      <c r="R30" s="3096">
        <f>D30*R$50</f>
        <v>8988603.6413740721</v>
      </c>
      <c r="S30" s="3098">
        <f>SUM(Q30:R30)</f>
        <v>11300852.373568345</v>
      </c>
    </row>
    <row r="31" spans="1:19">
      <c r="A31" s="3085"/>
      <c r="B31" s="3086" t="s">
        <v>131</v>
      </c>
      <c r="C31" s="3095" t="s">
        <v>99</v>
      </c>
      <c r="D31" s="2695">
        <f>'Sch 1- Rate Base '!G43</f>
        <v>5973622</v>
      </c>
      <c r="E31" s="3122">
        <f>'Sch 1- Rate Base '!H43</f>
        <v>2085340.4431465287</v>
      </c>
      <c r="F31" s="3122">
        <f>'Sch 1- Rate Base '!I43</f>
        <v>0</v>
      </c>
      <c r="G31" s="3123">
        <f>'Sch 1- Rate Base '!J43</f>
        <v>3888281.5568534718</v>
      </c>
      <c r="Q31" s="3096">
        <f>D31*Q$50</f>
        <v>426678.06254480517</v>
      </c>
      <c r="R31" s="3096">
        <f>D31*R$50</f>
        <v>1658662.3806017237</v>
      </c>
      <c r="S31" s="3098">
        <f>SUM(Q31:R31)</f>
        <v>2085340.4431465289</v>
      </c>
    </row>
    <row r="32" spans="1:19">
      <c r="A32" s="3085"/>
      <c r="B32" s="3086" t="s">
        <v>132</v>
      </c>
      <c r="C32" s="3095" t="s">
        <v>109</v>
      </c>
      <c r="D32" s="2695">
        <f>'Sch 1- Rate Base '!G44</f>
        <v>2715513</v>
      </c>
      <c r="E32" s="3122">
        <f>'Sch 1- Rate Base '!H44</f>
        <v>0</v>
      </c>
      <c r="F32" s="3122">
        <f>'Sch 1- Rate Base '!I44</f>
        <v>0</v>
      </c>
      <c r="G32" s="3123">
        <f>'Sch 1- Rate Base '!J44</f>
        <v>2715513</v>
      </c>
      <c r="Q32" s="3124">
        <v>0</v>
      </c>
      <c r="R32" s="3124">
        <v>0</v>
      </c>
    </row>
    <row r="33" spans="1:19">
      <c r="A33" s="3085"/>
      <c r="B33" s="3086" t="s">
        <v>133</v>
      </c>
      <c r="C33" s="3095" t="s">
        <v>99</v>
      </c>
      <c r="D33" s="2695">
        <f>'Sch 1- Rate Base '!G45</f>
        <v>105832047</v>
      </c>
      <c r="E33" s="3122">
        <f>'Sch 1- Rate Base '!H45</f>
        <v>36945064.11521925</v>
      </c>
      <c r="F33" s="3122">
        <f>'Sch 1- Rate Base '!I45</f>
        <v>0</v>
      </c>
      <c r="G33" s="3123">
        <f>'Sch 1- Rate Base '!J45</f>
        <v>68886982.88478075</v>
      </c>
      <c r="Q33" s="3096">
        <f>D33*Q$50</f>
        <v>7559268.5257136729</v>
      </c>
      <c r="R33" s="3096">
        <f>D33*R$50</f>
        <v>29385795.589505579</v>
      </c>
      <c r="S33" s="3098">
        <f>SUM(Q33:R33)</f>
        <v>36945064.11521925</v>
      </c>
    </row>
    <row r="34" spans="1:19">
      <c r="A34" s="3085"/>
      <c r="B34" s="3086" t="s">
        <v>134</v>
      </c>
      <c r="C34" s="3095" t="s">
        <v>99</v>
      </c>
      <c r="D34" s="2695">
        <f>'Sch 1- Rate Base '!G46</f>
        <v>381575</v>
      </c>
      <c r="E34" s="3122">
        <f>'Sch 1- Rate Base '!H46</f>
        <v>133204.57497873763</v>
      </c>
      <c r="F34" s="3122">
        <f>'Sch 1- Rate Base '!I46</f>
        <v>0</v>
      </c>
      <c r="G34" s="3123">
        <f>'Sch 1- Rate Base '!J46</f>
        <v>248370.42502126237</v>
      </c>
      <c r="Q34" s="3096">
        <f>D34*Q$50</f>
        <v>27254.767997629249</v>
      </c>
      <c r="R34" s="3096">
        <f>D34*R$50</f>
        <v>105949.8069811084</v>
      </c>
      <c r="S34" s="3098">
        <f>SUM(Q34:R34)</f>
        <v>133204.57497873766</v>
      </c>
    </row>
    <row r="35" spans="1:19">
      <c r="A35" s="3085"/>
      <c r="B35" s="3086" t="s">
        <v>254</v>
      </c>
      <c r="C35" s="3095" t="str">
        <f>'Sch 1- Rate Base '!E47</f>
        <v>DIRECT</v>
      </c>
      <c r="D35" s="2695">
        <f>'Sch 1- Rate Base '!G47</f>
        <v>0</v>
      </c>
      <c r="E35" s="3122">
        <f>'Sch 1- Rate Base '!H47</f>
        <v>0</v>
      </c>
      <c r="F35" s="3122">
        <f>'Sch 1- Rate Base '!I47</f>
        <v>0</v>
      </c>
      <c r="G35" s="3123">
        <f>'Sch 1- Rate Base '!J47</f>
        <v>0</v>
      </c>
      <c r="Q35" s="3124">
        <f>E35*R4</f>
        <v>0</v>
      </c>
      <c r="R35" s="3124">
        <f>E35*R3</f>
        <v>0</v>
      </c>
    </row>
    <row r="36" spans="1:19">
      <c r="A36" s="3085"/>
      <c r="B36" s="3086" t="s">
        <v>441</v>
      </c>
      <c r="C36" s="3095" t="s">
        <v>99</v>
      </c>
      <c r="D36" s="2695">
        <f>'Sch 1- Rate Base '!G48</f>
        <v>0</v>
      </c>
      <c r="E36" s="3122">
        <f>'Sch 1- Rate Base '!H48</f>
        <v>0</v>
      </c>
      <c r="F36" s="3122">
        <f>'Sch 1- Rate Base '!I48</f>
        <v>0</v>
      </c>
      <c r="G36" s="3123">
        <f>'Sch 1- Rate Base '!J48</f>
        <v>0</v>
      </c>
      <c r="Q36" s="3096">
        <f>D36*Q$50</f>
        <v>0</v>
      </c>
      <c r="R36" s="3096">
        <f>D36*R$50</f>
        <v>0</v>
      </c>
      <c r="S36" s="3098">
        <f>SUM(Q36:R36)</f>
        <v>0</v>
      </c>
    </row>
    <row r="37" spans="1:19">
      <c r="A37" s="3085"/>
      <c r="B37" s="3086" t="s">
        <v>522</v>
      </c>
      <c r="C37" s="3125"/>
      <c r="D37" s="3126">
        <f>SUM(D25:D36)</f>
        <v>316657583</v>
      </c>
      <c r="E37" s="3126">
        <f>SUM(E25:E36)</f>
        <v>107907565.79361701</v>
      </c>
      <c r="F37" s="3126">
        <f>SUM(F25:F36)</f>
        <v>0</v>
      </c>
      <c r="G37" s="3127">
        <f>SUM(G25:G36)</f>
        <v>208750017.20638302</v>
      </c>
      <c r="Q37" s="3126">
        <f>SUM(Q25:Q36)</f>
        <v>21642778.064146072</v>
      </c>
      <c r="R37" s="3126">
        <f>SUM(R25:R36)</f>
        <v>86264787.729470938</v>
      </c>
      <c r="S37" s="3098">
        <f>SUM(Q37:R37)</f>
        <v>107907565.79361701</v>
      </c>
    </row>
    <row r="38" spans="1:19">
      <c r="A38" s="3085"/>
      <c r="B38" s="3114" t="s">
        <v>523</v>
      </c>
      <c r="C38" s="3125"/>
      <c r="D38" s="3128">
        <f>IF($D37=0,0,D37/$D37)</f>
        <v>1</v>
      </c>
      <c r="E38" s="3129">
        <f>IF($D37=0,0,E37/$D37)</f>
        <v>0.34077050917683854</v>
      </c>
      <c r="F38" s="3116">
        <v>0</v>
      </c>
      <c r="G38" s="3117">
        <f>IF($D37=0,0,G37/$D37)+IF($D37=0,0,F37/$D37)</f>
        <v>0.65922949082316151</v>
      </c>
      <c r="O38" s="3114" t="s">
        <v>445</v>
      </c>
      <c r="Q38" s="3129">
        <f>IF(D37=0,0,Q37/D37)</f>
        <v>6.834757550759829E-2</v>
      </c>
      <c r="R38" s="3129">
        <f>IF(D37=0,0,R37/D37)</f>
        <v>0.27242293366924025</v>
      </c>
      <c r="S38" s="3129">
        <f>SUM(Q38:R38)</f>
        <v>0.34077050917683854</v>
      </c>
    </row>
    <row r="39" spans="1:19" ht="12" thickBot="1">
      <c r="A39" s="3131"/>
      <c r="B39" s="3132"/>
      <c r="C39" s="3133"/>
      <c r="D39" s="3134"/>
      <c r="E39" s="3134"/>
      <c r="F39" s="3134"/>
      <c r="G39" s="3135"/>
      <c r="Q39" s="3134"/>
      <c r="R39" s="3134"/>
    </row>
    <row r="40" spans="1:19" ht="12" thickTop="1">
      <c r="A40" s="3085"/>
      <c r="B40" s="3086"/>
      <c r="C40" s="3086"/>
      <c r="D40" s="3108"/>
      <c r="E40" s="3108"/>
      <c r="F40" s="3108"/>
      <c r="G40" s="3109"/>
      <c r="Q40" s="3108"/>
      <c r="R40" s="3108"/>
    </row>
    <row r="41" spans="1:19">
      <c r="A41" s="3085" t="s">
        <v>99</v>
      </c>
      <c r="B41" s="3136" t="s">
        <v>336</v>
      </c>
      <c r="C41" s="3090" t="s">
        <v>520</v>
      </c>
      <c r="D41" s="3091" t="s">
        <v>104</v>
      </c>
      <c r="E41" s="3091" t="s">
        <v>105</v>
      </c>
      <c r="F41" s="3091" t="s">
        <v>106</v>
      </c>
      <c r="G41" s="3092" t="s">
        <v>511</v>
      </c>
      <c r="Q41" s="3093" t="s">
        <v>240</v>
      </c>
      <c r="R41" s="3094" t="s">
        <v>241</v>
      </c>
      <c r="S41" s="3094" t="s">
        <v>104</v>
      </c>
    </row>
    <row r="42" spans="1:19">
      <c r="A42" s="3085"/>
      <c r="B42" s="3086" t="s">
        <v>111</v>
      </c>
      <c r="C42" s="3095" t="s">
        <v>392</v>
      </c>
      <c r="D42" s="3096">
        <f>'Sch 1- Rate Base '!G22</f>
        <v>1034308926</v>
      </c>
      <c r="E42" s="3120">
        <f>'Sch 1- Rate Base '!H22</f>
        <v>1034308926</v>
      </c>
      <c r="F42" s="3120">
        <f>'Sch 1- Rate Base '!I22</f>
        <v>0</v>
      </c>
      <c r="G42" s="3121">
        <f>'Sch 1- Rate Base '!J22</f>
        <v>0</v>
      </c>
      <c r="Q42" s="3096">
        <f>D42-R42</f>
        <v>454948785.05994511</v>
      </c>
      <c r="R42" s="3096">
        <f>SUMIF('NLSL_Base_New-Calc'!B$11:N$11,1,'NLSL_Base_New-Calc'!B$17:N$17)</f>
        <v>579360140.94005489</v>
      </c>
    </row>
    <row r="43" spans="1:19">
      <c r="A43" s="3085"/>
      <c r="B43" s="3086" t="s">
        <v>113</v>
      </c>
      <c r="C43" s="3095" t="s">
        <v>392</v>
      </c>
      <c r="D43" s="2695">
        <f>'Sch 1- Rate Base '!G23</f>
        <v>0</v>
      </c>
      <c r="E43" s="3120">
        <f>'Sch 1- Rate Base '!H23</f>
        <v>0</v>
      </c>
      <c r="F43" s="3120">
        <f>'Sch 1- Rate Base '!I23</f>
        <v>0</v>
      </c>
      <c r="G43" s="3121">
        <f>'Sch 1- Rate Base '!J23</f>
        <v>0</v>
      </c>
      <c r="Q43" s="3096">
        <f>D43-R43</f>
        <v>0</v>
      </c>
      <c r="R43" s="2695"/>
    </row>
    <row r="44" spans="1:19">
      <c r="A44" s="3085"/>
      <c r="B44" s="3086" t="s">
        <v>115</v>
      </c>
      <c r="C44" s="3095" t="s">
        <v>392</v>
      </c>
      <c r="D44" s="2695">
        <f>'Sch 1- Rate Base '!G24</f>
        <v>788941762</v>
      </c>
      <c r="E44" s="3120">
        <f>'Sch 1- Rate Base '!H24</f>
        <v>788941762</v>
      </c>
      <c r="F44" s="3120">
        <f>'Sch 1- Rate Base '!I24</f>
        <v>0</v>
      </c>
      <c r="G44" s="3121">
        <f>'Sch 1- Rate Base '!J24</f>
        <v>0</v>
      </c>
      <c r="Q44" s="3096">
        <f>D44-R44</f>
        <v>788941762</v>
      </c>
      <c r="R44" s="3096">
        <f>SUMIF('NLSL_Base_New-Calc'!B$11:N$11,2,'NLSL_Base_New-Calc'!B$17:N$17)</f>
        <v>0</v>
      </c>
    </row>
    <row r="45" spans="1:19">
      <c r="A45" s="3085"/>
      <c r="B45" s="3086" t="s">
        <v>117</v>
      </c>
      <c r="C45" s="3095" t="s">
        <v>392</v>
      </c>
      <c r="D45" s="2695">
        <f>'Sch 1- Rate Base '!G25</f>
        <v>2079134143</v>
      </c>
      <c r="E45" s="3120">
        <f>'Sch 1- Rate Base '!H25</f>
        <v>2079134143</v>
      </c>
      <c r="F45" s="3120">
        <f>'Sch 1- Rate Base '!I25</f>
        <v>0</v>
      </c>
      <c r="G45" s="3121">
        <f>'Sch 1- Rate Base '!J25</f>
        <v>0</v>
      </c>
      <c r="Q45" s="3096">
        <f>D45-R45</f>
        <v>-445430034.54864597</v>
      </c>
      <c r="R45" s="3096">
        <f>SUMIF('NLSL_Base_New-Calc'!B$11:N$11,3,'NLSL_Base_New-Calc'!B$17:N$17)</f>
        <v>2524564177.548646</v>
      </c>
    </row>
    <row r="46" spans="1:19">
      <c r="A46" s="3085"/>
      <c r="B46" s="3086" t="s">
        <v>119</v>
      </c>
      <c r="C46" s="3095"/>
      <c r="D46" s="2695">
        <f>SUM(D42:D45)</f>
        <v>3902384831</v>
      </c>
      <c r="E46" s="2695">
        <f>SUM(E42:E45)</f>
        <v>3902384831</v>
      </c>
      <c r="F46" s="2695">
        <f>SUM(F42:F45)</f>
        <v>0</v>
      </c>
      <c r="G46" s="3099">
        <f>SUM(G42:G45)</f>
        <v>0</v>
      </c>
      <c r="Q46" s="2695">
        <f>SUM(Q42:Q45)</f>
        <v>798460512.51129913</v>
      </c>
      <c r="R46" s="2695">
        <f>SUM(R42:R45)</f>
        <v>3103924318.4887009</v>
      </c>
      <c r="S46" s="3096">
        <f>Q46+R46</f>
        <v>3902384831</v>
      </c>
    </row>
    <row r="47" spans="1:19">
      <c r="A47" s="3085"/>
      <c r="B47" s="3086" t="s">
        <v>525</v>
      </c>
      <c r="C47" s="3095" t="s">
        <v>391</v>
      </c>
      <c r="D47" s="2695">
        <f>'Sch 1- Rate Base '!G30</f>
        <v>1992381238</v>
      </c>
      <c r="E47" s="3120">
        <f>'Sch 1- Rate Base '!H30</f>
        <v>0</v>
      </c>
      <c r="F47" s="3120">
        <f>'Sch 1- Rate Base '!I30</f>
        <v>0</v>
      </c>
      <c r="G47" s="3121">
        <f>'Sch 1- Rate Base '!J30</f>
        <v>1992381238</v>
      </c>
      <c r="Q47" s="2695"/>
      <c r="R47" s="2695"/>
    </row>
    <row r="48" spans="1:19">
      <c r="A48" s="3085"/>
      <c r="B48" s="3086" t="s">
        <v>122</v>
      </c>
      <c r="C48" s="3095" t="s">
        <v>390</v>
      </c>
      <c r="D48" s="2695">
        <f>'Sch 1- Rate Base '!G34</f>
        <v>5283922742</v>
      </c>
      <c r="E48" s="3120">
        <f>'Sch 1- Rate Base '!H34</f>
        <v>0</v>
      </c>
      <c r="F48" s="3120">
        <f>'Sch 1- Rate Base '!I34</f>
        <v>0</v>
      </c>
      <c r="G48" s="3121">
        <f>'Sch 1- Rate Base '!J34</f>
        <v>5283922742</v>
      </c>
      <c r="Q48" s="2695"/>
      <c r="R48" s="2695"/>
    </row>
    <row r="49" spans="1:19">
      <c r="A49" s="3085"/>
      <c r="B49" s="3086" t="s">
        <v>522</v>
      </c>
      <c r="C49" s="3095"/>
      <c r="D49" s="3096">
        <f>D46+D47+D48</f>
        <v>11178688811</v>
      </c>
      <c r="E49" s="3096">
        <f>E46+E47+E48</f>
        <v>3902384831</v>
      </c>
      <c r="F49" s="3096">
        <f>F46+F47+F48</f>
        <v>0</v>
      </c>
      <c r="G49" s="3097">
        <f>G46+G47+G48</f>
        <v>7276303980</v>
      </c>
      <c r="Q49" s="3096">
        <f>Q46</f>
        <v>798460512.51129913</v>
      </c>
      <c r="R49" s="3096">
        <f>R46</f>
        <v>3103924318.4887009</v>
      </c>
      <c r="S49" s="3096">
        <f>Q49+R49</f>
        <v>3902384831</v>
      </c>
    </row>
    <row r="50" spans="1:19">
      <c r="A50" s="3085"/>
      <c r="B50" s="3114" t="s">
        <v>337</v>
      </c>
      <c r="C50" s="3125"/>
      <c r="D50" s="3128">
        <f>IF($D49=0,0,D49/$D49)</f>
        <v>1</v>
      </c>
      <c r="E50" s="3129">
        <f>IF($D49=0,0,E49/$D49)</f>
        <v>0.34909146295941201</v>
      </c>
      <c r="F50" s="3116">
        <v>0</v>
      </c>
      <c r="G50" s="3117">
        <f>IF($D49=0,0,G49/$D49)+IF($D49=0,0,F49/$D49)</f>
        <v>0.65090853704058804</v>
      </c>
      <c r="O50" s="3114" t="s">
        <v>337</v>
      </c>
      <c r="Q50" s="3129">
        <f>IF(D49=0,0,Q46/D49)</f>
        <v>7.1427027445795058E-2</v>
      </c>
      <c r="R50" s="3129">
        <f>IF(D49=0,0,R46/D49)</f>
        <v>0.27766443551361697</v>
      </c>
      <c r="S50" s="3129">
        <f>Q50+R50</f>
        <v>0.34909146295941201</v>
      </c>
    </row>
    <row r="51" spans="1:19">
      <c r="A51" s="3085"/>
      <c r="B51" s="3086"/>
      <c r="C51" s="3086"/>
      <c r="D51" s="3108"/>
      <c r="E51" s="3108"/>
      <c r="F51" s="3108"/>
      <c r="G51" s="3109"/>
      <c r="Q51" s="3108"/>
      <c r="R51" s="3108"/>
    </row>
    <row r="52" spans="1:19">
      <c r="A52" s="3085" t="s">
        <v>108</v>
      </c>
      <c r="B52" s="3136" t="s">
        <v>338</v>
      </c>
      <c r="C52" s="3090" t="s">
        <v>520</v>
      </c>
      <c r="D52" s="3091" t="s">
        <v>104</v>
      </c>
      <c r="E52" s="3091" t="s">
        <v>105</v>
      </c>
      <c r="F52" s="3091" t="s">
        <v>106</v>
      </c>
      <c r="G52" s="3092" t="s">
        <v>511</v>
      </c>
      <c r="Q52" s="3093" t="s">
        <v>240</v>
      </c>
      <c r="R52" s="3094" t="s">
        <v>241</v>
      </c>
      <c r="S52" s="3094" t="s">
        <v>104</v>
      </c>
    </row>
    <row r="53" spans="1:19">
      <c r="A53" s="3085"/>
      <c r="B53" s="3086" t="s">
        <v>526</v>
      </c>
      <c r="C53" s="3095"/>
      <c r="D53" s="3096">
        <f>D49</f>
        <v>11178688811</v>
      </c>
      <c r="E53" s="3096">
        <f>E49</f>
        <v>3902384831</v>
      </c>
      <c r="F53" s="3096">
        <f>F49</f>
        <v>0</v>
      </c>
      <c r="G53" s="3097">
        <f>G49</f>
        <v>7276303980</v>
      </c>
      <c r="H53" s="3137"/>
      <c r="Q53" s="3096">
        <f>Q49</f>
        <v>798460512.51129913</v>
      </c>
      <c r="R53" s="3096">
        <f>R49</f>
        <v>3103924318.4887009</v>
      </c>
      <c r="S53" s="3096">
        <f>Q53+R53</f>
        <v>3902384831</v>
      </c>
    </row>
    <row r="54" spans="1:19">
      <c r="A54" s="3085"/>
      <c r="B54" s="3086" t="s">
        <v>527</v>
      </c>
      <c r="C54" s="3095" t="s">
        <v>390</v>
      </c>
      <c r="D54" s="2695">
        <f>'Sch 1- Rate Base '!G16</f>
        <v>114202</v>
      </c>
      <c r="E54" s="3122">
        <f>'Sch 1- Rate Base '!H16</f>
        <v>0</v>
      </c>
      <c r="F54" s="3122">
        <f>'Sch 1- Rate Base '!I16</f>
        <v>0</v>
      </c>
      <c r="G54" s="3123">
        <f>'Sch 1- Rate Base '!J16</f>
        <v>114202</v>
      </c>
      <c r="H54" s="3137"/>
      <c r="Q54" s="2695"/>
      <c r="R54" s="2695"/>
    </row>
    <row r="55" spans="1:19">
      <c r="A55" s="3085"/>
      <c r="B55" s="3086" t="s">
        <v>528</v>
      </c>
      <c r="C55" s="3095" t="s">
        <v>90</v>
      </c>
      <c r="D55" s="2695">
        <f>'Sch 1- Rate Base '!G17</f>
        <v>80196650</v>
      </c>
      <c r="E55" s="3122">
        <f>'Sch 1- Rate Base '!H17</f>
        <v>55817303.479669861</v>
      </c>
      <c r="F55" s="3122">
        <f>'Sch 1- Rate Base '!I17</f>
        <v>0</v>
      </c>
      <c r="G55" s="3123">
        <f>'Sch 1- Rate Base '!J17</f>
        <v>24379345.720330127</v>
      </c>
      <c r="H55" s="3137"/>
      <c r="Q55" s="2695">
        <f>E55*R$4</f>
        <v>11420686.24020231</v>
      </c>
      <c r="R55" s="2695">
        <f>E55*R$3</f>
        <v>44396617.239467554</v>
      </c>
      <c r="S55" s="3096">
        <f>Q55+R55</f>
        <v>55817303.479669861</v>
      </c>
    </row>
    <row r="56" spans="1:19">
      <c r="A56" s="3085"/>
      <c r="B56" s="3086" t="s">
        <v>542</v>
      </c>
      <c r="C56" s="3095" t="s">
        <v>90</v>
      </c>
      <c r="D56" s="2695">
        <f>'Sch 1- Rate Base '!G18</f>
        <v>75530269</v>
      </c>
      <c r="E56" s="3122">
        <f>'Sch 1- Rate Base '!H18</f>
        <v>10321488.568474432</v>
      </c>
      <c r="F56" s="3122">
        <f>'Sch 1- Rate Base '!I18</f>
        <v>0</v>
      </c>
      <c r="G56" s="3123">
        <f>'Sch 1- Rate Base '!J18</f>
        <v>65208779.001525573</v>
      </c>
      <c r="H56" s="3137"/>
      <c r="Q56" s="2695">
        <f>E56*R$4</f>
        <v>2111862.7221989655</v>
      </c>
      <c r="R56" s="2695">
        <f>E56*R$3</f>
        <v>8209625.8462754665</v>
      </c>
      <c r="S56" s="3096">
        <f>Q56+R56</f>
        <v>10321488.568474432</v>
      </c>
    </row>
    <row r="57" spans="1:19">
      <c r="A57" s="3085"/>
      <c r="B57" s="3086" t="s">
        <v>339</v>
      </c>
      <c r="C57" s="3095"/>
      <c r="D57" s="2695">
        <f>D37</f>
        <v>316657583</v>
      </c>
      <c r="E57" s="2695">
        <f>E37</f>
        <v>107907565.79361701</v>
      </c>
      <c r="F57" s="2695">
        <f>F37</f>
        <v>0</v>
      </c>
      <c r="G57" s="3099">
        <f>G37</f>
        <v>208750017.20638302</v>
      </c>
      <c r="H57" s="3137"/>
      <c r="Q57" s="2695">
        <f>Q37</f>
        <v>21642778.064146072</v>
      </c>
      <c r="R57" s="2695">
        <f>R37</f>
        <v>86264787.729470938</v>
      </c>
      <c r="S57" s="3096">
        <f>Q57+R57</f>
        <v>107907565.79361701</v>
      </c>
    </row>
    <row r="58" spans="1:19">
      <c r="A58" s="3085"/>
      <c r="B58" s="3086" t="s">
        <v>522</v>
      </c>
      <c r="C58" s="3095"/>
      <c r="D58" s="3096">
        <f>SUM(D53:D57)</f>
        <v>11651187515</v>
      </c>
      <c r="E58" s="3096">
        <f>SUM(E53:E57)</f>
        <v>4076431188.8417616</v>
      </c>
      <c r="F58" s="3096">
        <f>SUM(F53:F57)</f>
        <v>0</v>
      </c>
      <c r="G58" s="3097">
        <f>SUM(G53:G57)</f>
        <v>7574756323.9282389</v>
      </c>
      <c r="H58" s="3137"/>
      <c r="Q58" s="3096">
        <f>SUM(Q53:Q57)</f>
        <v>833635839.53784645</v>
      </c>
      <c r="R58" s="3096">
        <f>SUM(R53:R57)</f>
        <v>3242795349.3039145</v>
      </c>
      <c r="S58" s="3096">
        <f>Q58+R58</f>
        <v>4076431188.8417611</v>
      </c>
    </row>
    <row r="59" spans="1:19">
      <c r="A59" s="3085"/>
      <c r="B59" s="3114" t="s">
        <v>340</v>
      </c>
      <c r="C59" s="3125"/>
      <c r="D59" s="3128">
        <f>IF($D58=0,0,D58/$D58)</f>
        <v>1</v>
      </c>
      <c r="E59" s="3129">
        <f>IF($D58=0,0,E58/$D58)</f>
        <v>0.34987259312354835</v>
      </c>
      <c r="F59" s="3116">
        <v>0</v>
      </c>
      <c r="G59" s="3117">
        <f>IF($D58=0,0,G58/$D58)+IF($D58=0,0,F58/$D58)</f>
        <v>0.65012740668505486</v>
      </c>
      <c r="O59" s="3114" t="s">
        <v>446</v>
      </c>
      <c r="Q59" s="3129">
        <f>IF(D58=0,0,Q58/D58)</f>
        <v>7.1549431203008704E-2</v>
      </c>
      <c r="R59" s="3129">
        <f>IF(D58=0,0,R58/D58)</f>
        <v>0.27832316192053963</v>
      </c>
      <c r="S59" s="3129">
        <f>Q59+R59</f>
        <v>0.34987259312354835</v>
      </c>
    </row>
    <row r="60" spans="1:19">
      <c r="A60" s="3085"/>
      <c r="B60" s="3086"/>
      <c r="C60" s="3086"/>
      <c r="D60" s="3108"/>
      <c r="E60" s="3108"/>
      <c r="F60" s="3108"/>
      <c r="G60" s="3109"/>
      <c r="Q60" s="3108"/>
      <c r="R60" s="3108"/>
    </row>
    <row r="61" spans="1:19">
      <c r="A61" s="3085" t="s">
        <v>109</v>
      </c>
      <c r="B61" s="3136" t="s">
        <v>341</v>
      </c>
      <c r="C61" s="3090" t="s">
        <v>520</v>
      </c>
      <c r="D61" s="3091" t="s">
        <v>104</v>
      </c>
      <c r="E61" s="3091" t="s">
        <v>105</v>
      </c>
      <c r="F61" s="3091" t="s">
        <v>106</v>
      </c>
      <c r="G61" s="3092" t="s">
        <v>511</v>
      </c>
      <c r="Q61" s="3093" t="s">
        <v>240</v>
      </c>
      <c r="R61" s="3094" t="s">
        <v>241</v>
      </c>
      <c r="S61" s="3094" t="s">
        <v>104</v>
      </c>
    </row>
    <row r="62" spans="1:19">
      <c r="A62" s="3085"/>
      <c r="B62" s="3086" t="s">
        <v>121</v>
      </c>
      <c r="C62" s="3095" t="s">
        <v>391</v>
      </c>
      <c r="D62" s="3096">
        <f>D47</f>
        <v>1992381238</v>
      </c>
      <c r="E62" s="3120">
        <f t="shared" ref="E62:G62" si="3">E47</f>
        <v>0</v>
      </c>
      <c r="F62" s="3120">
        <f t="shared" si="3"/>
        <v>0</v>
      </c>
      <c r="G62" s="3121">
        <f t="shared" si="3"/>
        <v>1992381238</v>
      </c>
      <c r="Q62" s="3096"/>
      <c r="R62" s="3096"/>
    </row>
    <row r="63" spans="1:19">
      <c r="A63" s="3085"/>
      <c r="B63" s="3086" t="s">
        <v>122</v>
      </c>
      <c r="C63" s="3095" t="s">
        <v>390</v>
      </c>
      <c r="D63" s="2695">
        <f>D48</f>
        <v>5283922742</v>
      </c>
      <c r="E63" s="3120">
        <f t="shared" ref="E63:G63" si="4">E48</f>
        <v>0</v>
      </c>
      <c r="F63" s="3120">
        <f t="shared" si="4"/>
        <v>0</v>
      </c>
      <c r="G63" s="3121">
        <f t="shared" si="4"/>
        <v>5283922742</v>
      </c>
      <c r="Q63" s="2695"/>
      <c r="R63" s="2695"/>
    </row>
    <row r="64" spans="1:19">
      <c r="A64" s="3085"/>
      <c r="B64" s="3086" t="s">
        <v>522</v>
      </c>
      <c r="C64" s="3095"/>
      <c r="D64" s="3096">
        <f>SUM(D62:D63)</f>
        <v>7276303980</v>
      </c>
      <c r="E64" s="3096">
        <f>SUM(E62:E63)</f>
        <v>0</v>
      </c>
      <c r="F64" s="3096">
        <f>SUM(F62:F63)</f>
        <v>0</v>
      </c>
      <c r="G64" s="3097">
        <f>SUM(G62:G63)</f>
        <v>7276303980</v>
      </c>
      <c r="Q64" s="3138">
        <f>SUM(Q62:Q63)</f>
        <v>0</v>
      </c>
      <c r="R64" s="3138">
        <f>SUM(R62:R63)</f>
        <v>0</v>
      </c>
      <c r="S64" s="3138">
        <f>Q64+R64</f>
        <v>0</v>
      </c>
    </row>
    <row r="65" spans="1:19">
      <c r="A65" s="3085"/>
      <c r="B65" s="3114" t="s">
        <v>342</v>
      </c>
      <c r="C65" s="3139"/>
      <c r="D65" s="3140">
        <f>IF($D64=0,0,D64/$D64)</f>
        <v>1</v>
      </c>
      <c r="E65" s="3141">
        <f>IF($D64=0,0,E64/$D64)</f>
        <v>0</v>
      </c>
      <c r="F65" s="3116">
        <v>0</v>
      </c>
      <c r="G65" s="3117">
        <f>IF($D64=0,0,G64/$D64)+IF($D64=0,0,F64/$D64)</f>
        <v>1</v>
      </c>
      <c r="O65" s="3114" t="s">
        <v>447</v>
      </c>
      <c r="Q65" s="3141">
        <f>IF(D64=0,0,Q64/D64)</f>
        <v>0</v>
      </c>
      <c r="R65" s="3141">
        <f>IF(D64=0,0,R64/D64)</f>
        <v>0</v>
      </c>
      <c r="S65" s="3129">
        <f>Q65+R65</f>
        <v>0</v>
      </c>
    </row>
    <row r="66" spans="1:19" ht="12" thickBot="1">
      <c r="A66" s="3131"/>
      <c r="B66" s="3132"/>
      <c r="C66" s="3132"/>
      <c r="D66" s="3143"/>
      <c r="E66" s="3143"/>
      <c r="F66" s="3143"/>
      <c r="G66" s="3144"/>
      <c r="Q66" s="3143"/>
      <c r="R66" s="3143"/>
    </row>
    <row r="67" spans="1:19" ht="12" thickTop="1">
      <c r="A67" s="3085"/>
      <c r="B67" s="3086"/>
      <c r="C67" s="3086"/>
      <c r="D67" s="3108"/>
      <c r="E67" s="3108"/>
      <c r="F67" s="3108"/>
      <c r="G67" s="3109"/>
      <c r="Q67" s="3108"/>
      <c r="R67" s="3108"/>
    </row>
    <row r="68" spans="1:19">
      <c r="A68" s="3085" t="s">
        <v>93</v>
      </c>
      <c r="B68" s="3136" t="s">
        <v>343</v>
      </c>
      <c r="C68" s="3090" t="s">
        <v>520</v>
      </c>
      <c r="D68" s="3091" t="s">
        <v>104</v>
      </c>
      <c r="E68" s="3091" t="s">
        <v>105</v>
      </c>
      <c r="F68" s="3091" t="s">
        <v>106</v>
      </c>
      <c r="G68" s="3092" t="s">
        <v>511</v>
      </c>
      <c r="Q68" s="3093" t="s">
        <v>240</v>
      </c>
      <c r="R68" s="3094" t="s">
        <v>241</v>
      </c>
      <c r="S68" s="3094" t="s">
        <v>104</v>
      </c>
    </row>
    <row r="69" spans="1:19">
      <c r="A69" s="3085"/>
      <c r="B69" s="3086" t="s">
        <v>126</v>
      </c>
      <c r="C69" s="3095" t="str">
        <f>C26</f>
        <v>PTD</v>
      </c>
      <c r="D69" s="3096">
        <f>D26</f>
        <v>126721170</v>
      </c>
      <c r="E69" s="3120">
        <f t="shared" ref="E69:G69" si="5">E26</f>
        <v>44237278.623228356</v>
      </c>
      <c r="F69" s="3120">
        <f t="shared" si="5"/>
        <v>0</v>
      </c>
      <c r="G69" s="3121">
        <f t="shared" si="5"/>
        <v>82483891.376771659</v>
      </c>
      <c r="Q69" s="3096">
        <f>D69*Q$50</f>
        <v>9051316.4875532612</v>
      </c>
      <c r="R69" s="3096">
        <f>D69*R$50</f>
        <v>35185962.135675095</v>
      </c>
      <c r="S69" s="3096">
        <f t="shared" ref="S69:S74" si="6">Q69+R69</f>
        <v>44237278.623228356</v>
      </c>
    </row>
    <row r="70" spans="1:19">
      <c r="A70" s="3085"/>
      <c r="B70" s="3086" t="s">
        <v>127</v>
      </c>
      <c r="C70" s="3095" t="str">
        <f>C27</f>
        <v>LABOR</v>
      </c>
      <c r="D70" s="2695">
        <f>D27</f>
        <v>31597697</v>
      </c>
      <c r="E70" s="3120">
        <f t="shared" ref="E70:G70" si="7">E27</f>
        <v>10737849.558694087</v>
      </c>
      <c r="F70" s="3120">
        <f t="shared" si="7"/>
        <v>0</v>
      </c>
      <c r="G70" s="3121">
        <f t="shared" si="7"/>
        <v>20859847.441305913</v>
      </c>
      <c r="Q70" s="3096">
        <f>D70*Q$22</f>
        <v>1761042.9750845609</v>
      </c>
      <c r="R70" s="3096">
        <f>D70*R$22</f>
        <v>8976806.5836095251</v>
      </c>
      <c r="S70" s="3096">
        <f t="shared" si="6"/>
        <v>10737849.558694087</v>
      </c>
    </row>
    <row r="71" spans="1:19">
      <c r="A71" s="3085"/>
      <c r="B71" s="3086" t="s">
        <v>133</v>
      </c>
      <c r="C71" s="3095" t="str">
        <f>C33</f>
        <v>PTD</v>
      </c>
      <c r="D71" s="2695">
        <f>D33</f>
        <v>105832047</v>
      </c>
      <c r="E71" s="3120">
        <f t="shared" ref="E71:G71" si="8">E33</f>
        <v>36945064.11521925</v>
      </c>
      <c r="F71" s="3120">
        <f t="shared" si="8"/>
        <v>0</v>
      </c>
      <c r="G71" s="3121">
        <f t="shared" si="8"/>
        <v>68886982.88478075</v>
      </c>
      <c r="Q71" s="3096">
        <f>D71*Q$50</f>
        <v>7559268.5257136729</v>
      </c>
      <c r="R71" s="3096">
        <f>D71*R$50</f>
        <v>29385795.589505579</v>
      </c>
      <c r="S71" s="3096">
        <f t="shared" si="6"/>
        <v>36945064.11521925</v>
      </c>
    </row>
    <row r="72" spans="1:19">
      <c r="A72" s="3085"/>
      <c r="B72" s="3086" t="s">
        <v>134</v>
      </c>
      <c r="C72" s="3095" t="str">
        <f>C34</f>
        <v>PTD</v>
      </c>
      <c r="D72" s="2695">
        <f>D34</f>
        <v>381575</v>
      </c>
      <c r="E72" s="3120">
        <f t="shared" ref="E72:G72" si="9">E34</f>
        <v>133204.57497873763</v>
      </c>
      <c r="F72" s="3120">
        <f t="shared" si="9"/>
        <v>0</v>
      </c>
      <c r="G72" s="3121">
        <f t="shared" si="9"/>
        <v>248370.42502126237</v>
      </c>
      <c r="Q72" s="3096">
        <f>D72*Q$50</f>
        <v>27254.767997629249</v>
      </c>
      <c r="R72" s="3096">
        <f>D72*R$50</f>
        <v>105949.8069811084</v>
      </c>
      <c r="S72" s="3096">
        <f t="shared" si="6"/>
        <v>133204.57497873766</v>
      </c>
    </row>
    <row r="73" spans="1:19">
      <c r="A73" s="3085"/>
      <c r="B73" s="3086" t="s">
        <v>522</v>
      </c>
      <c r="C73" s="3095"/>
      <c r="D73" s="3096">
        <f>SUM(D69:D72)</f>
        <v>264532489</v>
      </c>
      <c r="E73" s="3096">
        <f>SUM(E69:E72)</f>
        <v>92053396.87212044</v>
      </c>
      <c r="F73" s="3096">
        <f>SUM(F69:F72)</f>
        <v>0</v>
      </c>
      <c r="G73" s="3097">
        <f>SUM(G69:G72)</f>
        <v>172479092.12787959</v>
      </c>
      <c r="Q73" s="3096">
        <f>SUM(Q69:Q72)</f>
        <v>18398882.756349124</v>
      </c>
      <c r="R73" s="3096">
        <f>SUM(R69:R72)</f>
        <v>73654514.115771309</v>
      </c>
      <c r="S73" s="3096">
        <f t="shared" si="6"/>
        <v>92053396.87212044</v>
      </c>
    </row>
    <row r="74" spans="1:19">
      <c r="A74" s="3085"/>
      <c r="B74" s="3114" t="s">
        <v>344</v>
      </c>
      <c r="C74" s="3125"/>
      <c r="D74" s="3128">
        <f>IF($D73=0,0,D73/$D73)</f>
        <v>1</v>
      </c>
      <c r="E74" s="3129">
        <f>IF($D73=0,0,E73/$D73)</f>
        <v>0.34798522185348824</v>
      </c>
      <c r="F74" s="3116">
        <v>0</v>
      </c>
      <c r="G74" s="3117">
        <f>IF($D73=0,0,G73/$D73)+IF($D73=0,0,F73/$D73)</f>
        <v>0.65201477814651188</v>
      </c>
      <c r="O74" s="3114" t="s">
        <v>448</v>
      </c>
      <c r="Q74" s="3129">
        <f>IF(D73=0,0,Q73/D73)</f>
        <v>6.9552450158018683E-2</v>
      </c>
      <c r="R74" s="3129">
        <f>IF(D73=0,0,R73/D73)</f>
        <v>0.27843277169546954</v>
      </c>
      <c r="S74" s="3129">
        <f t="shared" si="6"/>
        <v>0.34798522185348824</v>
      </c>
    </row>
    <row r="75" spans="1:19">
      <c r="A75" s="3085"/>
      <c r="B75" s="3114"/>
      <c r="C75" s="3086"/>
      <c r="D75" s="3145"/>
      <c r="E75" s="3145"/>
      <c r="F75" s="3145"/>
      <c r="G75" s="3146"/>
      <c r="Q75" s="3145"/>
      <c r="R75" s="3145"/>
    </row>
    <row r="76" spans="1:19" ht="12" thickBot="1">
      <c r="A76" s="3085"/>
      <c r="B76" s="3114" t="s">
        <v>345</v>
      </c>
      <c r="C76" s="3086"/>
      <c r="D76" s="3110"/>
      <c r="E76" s="3110"/>
      <c r="F76" s="3110"/>
      <c r="G76" s="3147"/>
      <c r="Q76" s="3093" t="s">
        <v>240</v>
      </c>
      <c r="R76" s="3094" t="s">
        <v>241</v>
      </c>
      <c r="S76" s="3094" t="s">
        <v>104</v>
      </c>
    </row>
    <row r="77" spans="1:19" ht="12" thickBot="1">
      <c r="A77" s="3085"/>
      <c r="B77" s="3136"/>
      <c r="C77" s="3086"/>
      <c r="D77" s="3148"/>
      <c r="E77" s="3148"/>
      <c r="F77" s="3148"/>
      <c r="G77" s="3149"/>
      <c r="P77" s="3150" t="s">
        <v>180</v>
      </c>
      <c r="Q77" s="3880"/>
      <c r="R77" s="3881"/>
      <c r="S77" s="3151"/>
    </row>
    <row r="78" spans="1:19">
      <c r="A78" s="3085"/>
      <c r="B78" s="3136" t="s">
        <v>531</v>
      </c>
      <c r="C78" s="3086"/>
      <c r="D78" s="3152" t="s">
        <v>390</v>
      </c>
      <c r="E78" s="3153">
        <v>0</v>
      </c>
      <c r="F78" s="3153">
        <v>0</v>
      </c>
      <c r="G78" s="3154">
        <v>1</v>
      </c>
      <c r="H78" s="3069">
        <f>ROW()</f>
        <v>78</v>
      </c>
      <c r="J78" s="3155" t="s">
        <v>390</v>
      </c>
      <c r="K78" s="3069">
        <f>VLOOKUP(J78,$D$78:$H$87,5,FALSE)</f>
        <v>78</v>
      </c>
      <c r="P78" s="3156" t="s">
        <v>390</v>
      </c>
      <c r="Q78" s="3878">
        <v>0</v>
      </c>
      <c r="R78" s="3879"/>
      <c r="S78" s="3157"/>
    </row>
    <row r="79" spans="1:19">
      <c r="A79" s="3085"/>
      <c r="B79" s="3136" t="s">
        <v>532</v>
      </c>
      <c r="C79" s="3086"/>
      <c r="D79" s="3156" t="s">
        <v>392</v>
      </c>
      <c r="E79" s="3129">
        <v>1</v>
      </c>
      <c r="F79" s="3129">
        <v>0</v>
      </c>
      <c r="G79" s="3130">
        <v>0</v>
      </c>
      <c r="H79" s="3069">
        <f>ROW()</f>
        <v>79</v>
      </c>
      <c r="J79" s="3158" t="s">
        <v>392</v>
      </c>
      <c r="K79" s="3069">
        <f t="shared" ref="K79:K87" si="10">VLOOKUP(J79,$D$78:$H$87,5,FALSE)</f>
        <v>79</v>
      </c>
      <c r="P79" s="3156" t="s">
        <v>392</v>
      </c>
      <c r="Q79" s="3878"/>
      <c r="R79" s="3879"/>
      <c r="S79" s="3157"/>
    </row>
    <row r="80" spans="1:19">
      <c r="A80" s="3085"/>
      <c r="B80" s="3136" t="s">
        <v>533</v>
      </c>
      <c r="C80" s="3086"/>
      <c r="D80" s="3156" t="s">
        <v>391</v>
      </c>
      <c r="E80" s="3129">
        <v>0</v>
      </c>
      <c r="F80" s="3129">
        <v>0</v>
      </c>
      <c r="G80" s="3130">
        <v>1</v>
      </c>
      <c r="H80" s="3069">
        <f>ROW()</f>
        <v>80</v>
      </c>
      <c r="J80" s="3158" t="s">
        <v>391</v>
      </c>
      <c r="K80" s="3069">
        <f t="shared" si="10"/>
        <v>80</v>
      </c>
      <c r="P80" s="3156" t="s">
        <v>391</v>
      </c>
      <c r="Q80" s="3878">
        <v>0</v>
      </c>
      <c r="R80" s="3879"/>
      <c r="S80" s="3157"/>
    </row>
    <row r="81" spans="1:19">
      <c r="A81" s="3085"/>
      <c r="B81" s="3136" t="s">
        <v>534</v>
      </c>
      <c r="C81" s="3086"/>
      <c r="D81" s="3156" t="s">
        <v>90</v>
      </c>
      <c r="E81" s="3129">
        <v>0</v>
      </c>
      <c r="F81" s="3129">
        <v>0</v>
      </c>
      <c r="G81" s="3130">
        <v>0</v>
      </c>
      <c r="H81" s="3069">
        <f>ROW()</f>
        <v>81</v>
      </c>
      <c r="J81" s="3158" t="s">
        <v>90</v>
      </c>
      <c r="K81" s="3069">
        <f t="shared" si="10"/>
        <v>81</v>
      </c>
      <c r="P81" s="3156" t="s">
        <v>90</v>
      </c>
      <c r="Q81" s="3878"/>
      <c r="R81" s="3879"/>
      <c r="S81" s="3157"/>
    </row>
    <row r="82" spans="1:19">
      <c r="A82" s="3085"/>
      <c r="B82" s="3136" t="s">
        <v>92</v>
      </c>
      <c r="C82" s="3086"/>
      <c r="D82" s="3156" t="s">
        <v>91</v>
      </c>
      <c r="E82" s="3129">
        <f>E38</f>
        <v>0.34077050917683854</v>
      </c>
      <c r="F82" s="3129">
        <f>F38</f>
        <v>0</v>
      </c>
      <c r="G82" s="3130">
        <f>G38</f>
        <v>0.65922949082316151</v>
      </c>
      <c r="H82" s="3069">
        <f>ROW()</f>
        <v>82</v>
      </c>
      <c r="J82" s="3158" t="s">
        <v>91</v>
      </c>
      <c r="K82" s="3069">
        <f t="shared" si="10"/>
        <v>82</v>
      </c>
      <c r="P82" s="3156" t="s">
        <v>91</v>
      </c>
      <c r="Q82" s="3129">
        <f>Q38</f>
        <v>6.834757550759829E-2</v>
      </c>
      <c r="R82" s="3129">
        <f>R38</f>
        <v>0.27242293366924025</v>
      </c>
      <c r="S82" s="3129">
        <f t="shared" ref="S82:S87" si="11">Q82+R82</f>
        <v>0.34077050917683854</v>
      </c>
    </row>
    <row r="83" spans="1:19">
      <c r="A83" s="3085"/>
      <c r="B83" s="3136" t="s">
        <v>94</v>
      </c>
      <c r="C83" s="3086"/>
      <c r="D83" s="3156" t="s">
        <v>93</v>
      </c>
      <c r="E83" s="3129">
        <f>E74</f>
        <v>0.34798522185348824</v>
      </c>
      <c r="F83" s="3129">
        <f>F74</f>
        <v>0</v>
      </c>
      <c r="G83" s="3130">
        <f>G74</f>
        <v>0.65201477814651188</v>
      </c>
      <c r="H83" s="3069">
        <f>ROW()</f>
        <v>83</v>
      </c>
      <c r="J83" s="3158" t="s">
        <v>93</v>
      </c>
      <c r="K83" s="3069">
        <f t="shared" si="10"/>
        <v>83</v>
      </c>
      <c r="P83" s="3156" t="s">
        <v>93</v>
      </c>
      <c r="Q83" s="3129">
        <f>Q74</f>
        <v>6.9552450158018683E-2</v>
      </c>
      <c r="R83" s="3129">
        <f>R74</f>
        <v>0.27843277169546954</v>
      </c>
      <c r="S83" s="3129">
        <f t="shared" si="11"/>
        <v>0.34798522185348824</v>
      </c>
    </row>
    <row r="84" spans="1:19">
      <c r="A84" s="3085"/>
      <c r="B84" s="3136" t="s">
        <v>530</v>
      </c>
      <c r="C84" s="3086"/>
      <c r="D84" s="3156" t="s">
        <v>95</v>
      </c>
      <c r="E84" s="3129">
        <f>E22</f>
        <v>0.33983013251548322</v>
      </c>
      <c r="F84" s="3129">
        <f>F22</f>
        <v>0</v>
      </c>
      <c r="G84" s="3130">
        <f>G22</f>
        <v>0.66016986748451678</v>
      </c>
      <c r="H84" s="3069">
        <f>ROW()</f>
        <v>84</v>
      </c>
      <c r="J84" s="3158" t="s">
        <v>95</v>
      </c>
      <c r="K84" s="3069">
        <f t="shared" si="10"/>
        <v>84</v>
      </c>
      <c r="P84" s="3156" t="s">
        <v>95</v>
      </c>
      <c r="Q84" s="3129">
        <f>Q22</f>
        <v>5.5733269898896771E-2</v>
      </c>
      <c r="R84" s="3129">
        <f>R22</f>
        <v>0.2840968626165864</v>
      </c>
      <c r="S84" s="3129">
        <f t="shared" si="11"/>
        <v>0.33983013251548316</v>
      </c>
    </row>
    <row r="85" spans="1:19">
      <c r="A85" s="3085"/>
      <c r="B85" s="3136" t="s">
        <v>524</v>
      </c>
      <c r="C85" s="3086"/>
      <c r="D85" s="3156" t="s">
        <v>99</v>
      </c>
      <c r="E85" s="3129">
        <f>E50</f>
        <v>0.34909146295941201</v>
      </c>
      <c r="F85" s="3129">
        <f>F50</f>
        <v>0</v>
      </c>
      <c r="G85" s="3130">
        <f>G50</f>
        <v>0.65090853704058804</v>
      </c>
      <c r="H85" s="3069">
        <f>ROW()</f>
        <v>85</v>
      </c>
      <c r="J85" s="3158" t="s">
        <v>99</v>
      </c>
      <c r="K85" s="3069">
        <f t="shared" si="10"/>
        <v>85</v>
      </c>
      <c r="P85" s="3156" t="s">
        <v>99</v>
      </c>
      <c r="Q85" s="3129">
        <f>Q50</f>
        <v>7.1427027445795058E-2</v>
      </c>
      <c r="R85" s="3129">
        <f>R50</f>
        <v>0.27766443551361697</v>
      </c>
      <c r="S85" s="3129">
        <f t="shared" si="11"/>
        <v>0.34909146295941201</v>
      </c>
    </row>
    <row r="86" spans="1:19">
      <c r="A86" s="3085"/>
      <c r="B86" s="3136" t="s">
        <v>535</v>
      </c>
      <c r="C86" s="3086"/>
      <c r="D86" s="3156" t="s">
        <v>108</v>
      </c>
      <c r="E86" s="3129">
        <f>E59</f>
        <v>0.34987259312354835</v>
      </c>
      <c r="F86" s="3129">
        <f>F59</f>
        <v>0</v>
      </c>
      <c r="G86" s="3130">
        <f>G59</f>
        <v>0.65012740668505486</v>
      </c>
      <c r="H86" s="3069">
        <f>ROW()</f>
        <v>86</v>
      </c>
      <c r="J86" s="3158" t="s">
        <v>108</v>
      </c>
      <c r="K86" s="3069">
        <f t="shared" si="10"/>
        <v>86</v>
      </c>
      <c r="P86" s="3156" t="s">
        <v>108</v>
      </c>
      <c r="Q86" s="3129">
        <f>Q59</f>
        <v>7.1549431203008704E-2</v>
      </c>
      <c r="R86" s="3129">
        <f>R59</f>
        <v>0.27832316192053963</v>
      </c>
      <c r="S86" s="3129">
        <f t="shared" si="11"/>
        <v>0.34987259312354835</v>
      </c>
    </row>
    <row r="87" spans="1:19" ht="12" thickBot="1">
      <c r="A87" s="3085"/>
      <c r="B87" s="3136" t="s">
        <v>529</v>
      </c>
      <c r="C87" s="3086"/>
      <c r="D87" s="3159" t="s">
        <v>109</v>
      </c>
      <c r="E87" s="3160">
        <f>E65</f>
        <v>0</v>
      </c>
      <c r="F87" s="3160">
        <f>F65</f>
        <v>0</v>
      </c>
      <c r="G87" s="3161">
        <f>G65</f>
        <v>1</v>
      </c>
      <c r="H87" s="3069">
        <f>ROW()</f>
        <v>87</v>
      </c>
      <c r="J87" s="3162" t="s">
        <v>109</v>
      </c>
      <c r="K87" s="3069">
        <f t="shared" si="10"/>
        <v>87</v>
      </c>
      <c r="P87" s="3159" t="s">
        <v>109</v>
      </c>
      <c r="Q87" s="3160">
        <f>Q65</f>
        <v>0</v>
      </c>
      <c r="R87" s="3160">
        <f>R65</f>
        <v>0</v>
      </c>
      <c r="S87" s="3160">
        <f t="shared" si="11"/>
        <v>0</v>
      </c>
    </row>
    <row r="88" spans="1:19" ht="12" thickBot="1">
      <c r="A88" s="3131"/>
      <c r="B88" s="3132"/>
      <c r="C88" s="3132"/>
      <c r="D88" s="3143"/>
      <c r="E88" s="3143"/>
      <c r="F88" s="3143"/>
      <c r="G88" s="3144"/>
      <c r="Q88" s="3108"/>
      <c r="R88" s="3108"/>
    </row>
    <row r="89" spans="1:19" ht="12" thickTop="1"/>
  </sheetData>
  <mergeCells count="10">
    <mergeCell ref="Q81:R81"/>
    <mergeCell ref="Q77:R77"/>
    <mergeCell ref="Q78:R78"/>
    <mergeCell ref="Q79:R79"/>
    <mergeCell ref="Q80:R80"/>
    <mergeCell ref="A3:G3"/>
    <mergeCell ref="C5:E5"/>
    <mergeCell ref="C6:E6"/>
    <mergeCell ref="C7:E7"/>
    <mergeCell ref="Q11:S11"/>
  </mergeCells>
  <phoneticPr fontId="0" type="noConversion"/>
  <dataValidations count="1">
    <dataValidation type="list" allowBlank="1" showInputMessage="1" showErrorMessage="1" sqref="C17" xr:uid="{00000000-0002-0000-0D00-000000000000}">
      <formula1>DIST</formula1>
    </dataValidation>
  </dataValidations>
  <hyperlinks>
    <hyperlink ref="A5" location="TOC!A1" display="TOC" xr:uid="{00000000-0004-0000-0D00-000000000000}"/>
    <hyperlink ref="A6" location="Ratios!A11" display="é" xr:uid="{00000000-0004-0000-0D00-000001000000}"/>
  </hyperlinks>
  <printOptions horizontalCentered="1" headings="1"/>
  <pageMargins left="0.5" right="0.5" top="1"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_pios_id" r:id="rId2"/>
  </customProperties>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indexed="10"/>
  </sheetPr>
  <dimension ref="A1:S89"/>
  <sheetViews>
    <sheetView workbookViewId="0">
      <selection sqref="A1:XFD1048576"/>
    </sheetView>
  </sheetViews>
  <sheetFormatPr defaultColWidth="8" defaultRowHeight="11.25"/>
  <cols>
    <col min="1" max="1" width="10.375" style="3163" customWidth="1"/>
    <col min="2" max="2" width="54.625" style="3069" customWidth="1"/>
    <col min="3" max="3" width="15.5" style="3069" customWidth="1"/>
    <col min="4" max="4" width="17.625" style="743" bestFit="1" customWidth="1"/>
    <col min="5" max="6" width="16.375" style="743" bestFit="1" customWidth="1"/>
    <col min="7" max="7" width="17.375" style="743" customWidth="1"/>
    <col min="8" max="8" width="8.375" style="3069" bestFit="1" customWidth="1"/>
    <col min="9" max="9" width="12.375" style="3069" customWidth="1"/>
    <col min="10" max="11" width="12.625" style="3069" customWidth="1"/>
    <col min="12" max="12" width="16.25" style="3069" customWidth="1"/>
    <col min="13" max="14" width="10" style="3069" customWidth="1"/>
    <col min="15" max="16" width="12.625" style="3069" customWidth="1"/>
    <col min="17" max="19" width="18.625" style="3069" customWidth="1"/>
    <col min="20" max="16384" width="8" style="3069"/>
  </cols>
  <sheetData>
    <row r="1" spans="1:19" ht="15.75" customHeight="1" thickTop="1">
      <c r="A1" s="3063" t="s">
        <v>54</v>
      </c>
      <c r="B1" s="3064"/>
      <c r="C1" s="3065"/>
      <c r="D1" s="3066"/>
      <c r="E1" s="3065"/>
      <c r="F1" s="3067"/>
      <c r="G1" s="3068"/>
      <c r="M1" s="3069" t="s">
        <v>727</v>
      </c>
      <c r="R1" s="743">
        <f>R46</f>
        <v>454201098</v>
      </c>
    </row>
    <row r="2" spans="1:19" ht="15.75" customHeight="1">
      <c r="A2" s="3070" t="s">
        <v>56</v>
      </c>
      <c r="B2" s="2328"/>
      <c r="C2" s="495"/>
      <c r="D2" s="3071"/>
      <c r="E2" s="495"/>
      <c r="F2" s="3072"/>
      <c r="G2" s="3073"/>
      <c r="M2" s="3069" t="s">
        <v>119</v>
      </c>
      <c r="R2" s="743">
        <f>E46</f>
        <v>3902384831</v>
      </c>
    </row>
    <row r="3" spans="1:19" ht="15.75" customHeight="1">
      <c r="A3" s="3761" t="s">
        <v>709</v>
      </c>
      <c r="B3" s="3737"/>
      <c r="C3" s="3737"/>
      <c r="D3" s="3737"/>
      <c r="E3" s="3737"/>
      <c r="F3" s="3737"/>
      <c r="G3" s="3738"/>
      <c r="M3" s="3069" t="s">
        <v>728</v>
      </c>
      <c r="R3" s="3074">
        <f>IF(R2=0,0,R1/R2)</f>
        <v>0.11639064768597139</v>
      </c>
    </row>
    <row r="4" spans="1:19" ht="15.75" customHeight="1" thickBot="1">
      <c r="A4" s="2138"/>
      <c r="B4" s="2292"/>
      <c r="C4" s="495"/>
      <c r="D4" s="3071"/>
      <c r="E4" s="495"/>
      <c r="F4" s="3072"/>
      <c r="G4" s="3073"/>
      <c r="M4" s="3069" t="s">
        <v>244</v>
      </c>
      <c r="R4" s="3074">
        <f>IF(R2=0,0,(R2-R1)/R2)</f>
        <v>0.8836093523140286</v>
      </c>
    </row>
    <row r="5" spans="1:19" ht="15.75" customHeight="1">
      <c r="A5" s="3075" t="s">
        <v>685</v>
      </c>
      <c r="B5" s="2297" t="s">
        <v>571</v>
      </c>
      <c r="C5" s="3777" t="str">
        <f>'Sch 1- Rate Base '!$E$5</f>
        <v>PUGET SOUND ENERGY</v>
      </c>
      <c r="D5" s="3778"/>
      <c r="E5" s="3798"/>
      <c r="F5" s="3072"/>
      <c r="G5" s="3073"/>
    </row>
    <row r="6" spans="1:19" ht="15.75" customHeight="1">
      <c r="A6" s="3076" t="s">
        <v>686</v>
      </c>
      <c r="B6" s="2297" t="s">
        <v>572</v>
      </c>
      <c r="C6" s="3779">
        <f>'Sch 1- Rate Base '!$E$6</f>
        <v>2023</v>
      </c>
      <c r="D6" s="3780"/>
      <c r="E6" s="3799"/>
      <c r="F6" s="2304"/>
      <c r="G6" s="3073"/>
      <c r="M6" s="3069" t="s">
        <v>729</v>
      </c>
      <c r="R6" s="3650">
        <f>'Above-RHWM_Base_Calc'!AA33+'Above-RHWM_Base_Calc'!AA34</f>
        <v>11078188.620000001</v>
      </c>
    </row>
    <row r="7" spans="1:19" ht="15.75" customHeight="1" thickBot="1">
      <c r="A7" s="3077"/>
      <c r="B7" s="2297" t="s">
        <v>573</v>
      </c>
      <c r="C7" s="3781">
        <f>'Sch 1- Rate Base '!$E$7</f>
        <v>45474</v>
      </c>
      <c r="D7" s="3791"/>
      <c r="E7" s="3792"/>
      <c r="F7" s="2304"/>
      <c r="G7" s="3073"/>
      <c r="M7" s="3069" t="s">
        <v>246</v>
      </c>
      <c r="R7" s="743">
        <f>'Sch 3 - Expenses'!H17+'Sch 3 - Expenses'!H18+'Sch 3 - Expenses'!H21+'Sch 3 - Expenses'!H22+'Sch 3 - Expenses'!H24+'Sch 3 - Expenses'!H25+'Sch 3 - Expenses'!H28+'Sch 3 - Expenses'!H29</f>
        <v>118415920</v>
      </c>
    </row>
    <row r="8" spans="1:19" ht="15.75" customHeight="1">
      <c r="A8" s="3077"/>
      <c r="B8" s="2292"/>
      <c r="C8" s="495"/>
      <c r="D8" s="3071"/>
      <c r="E8" s="495"/>
      <c r="F8" s="3072"/>
      <c r="G8" s="3073"/>
      <c r="M8" s="3069" t="s">
        <v>730</v>
      </c>
      <c r="R8" s="3074">
        <f>IF(R7=0,0,R6/R7)</f>
        <v>9.3553203150387218E-2</v>
      </c>
    </row>
    <row r="9" spans="1:19">
      <c r="A9" s="3078" t="s">
        <v>333</v>
      </c>
      <c r="B9" s="2816"/>
      <c r="C9" s="495"/>
      <c r="D9" s="3071"/>
      <c r="E9" s="495"/>
      <c r="F9" s="3072"/>
      <c r="G9" s="3073"/>
      <c r="M9" s="3069" t="s">
        <v>248</v>
      </c>
      <c r="R9" s="3074">
        <f>IF(R7=0,0,(R7-R6)/R7)</f>
        <v>0.90644679684961271</v>
      </c>
    </row>
    <row r="10" spans="1:19" ht="5.25" customHeight="1" thickBot="1">
      <c r="A10" s="3079"/>
      <c r="B10" s="3080"/>
      <c r="C10" s="3081"/>
      <c r="D10" s="3082"/>
      <c r="E10" s="3081"/>
      <c r="F10" s="3083"/>
      <c r="G10" s="3084"/>
    </row>
    <row r="11" spans="1:19">
      <c r="A11" s="3085"/>
      <c r="B11" s="3086"/>
      <c r="D11" s="3087"/>
      <c r="E11" s="3087"/>
      <c r="F11" s="3087"/>
      <c r="G11" s="3088"/>
      <c r="Q11" s="3877" t="s">
        <v>105</v>
      </c>
      <c r="R11" s="3877"/>
      <c r="S11" s="3877"/>
    </row>
    <row r="12" spans="1:19">
      <c r="A12" s="3085" t="s">
        <v>516</v>
      </c>
      <c r="B12" s="3089"/>
      <c r="C12" s="3090" t="s">
        <v>520</v>
      </c>
      <c r="D12" s="3091" t="s">
        <v>104</v>
      </c>
      <c r="E12" s="3091" t="s">
        <v>105</v>
      </c>
      <c r="F12" s="3091" t="s">
        <v>106</v>
      </c>
      <c r="G12" s="3092" t="s">
        <v>511</v>
      </c>
      <c r="Q12" s="3093" t="s">
        <v>240</v>
      </c>
      <c r="R12" s="3094" t="s">
        <v>241</v>
      </c>
      <c r="S12" s="3094" t="s">
        <v>104</v>
      </c>
    </row>
    <row r="13" spans="1:19">
      <c r="A13" s="3085"/>
      <c r="B13" s="3086" t="s">
        <v>105</v>
      </c>
      <c r="C13" s="3095" t="s">
        <v>392</v>
      </c>
      <c r="D13" s="3096">
        <f>Salaries!D33</f>
        <v>32635584</v>
      </c>
      <c r="E13" s="3096">
        <f t="shared" ref="E13:E19" si="0">VLOOKUP($C13,Ratio,2,FALSE)*$D13</f>
        <v>32635584</v>
      </c>
      <c r="F13" s="3096">
        <f t="shared" ref="F13:F19" si="1">VLOOKUP($C13,Ratio,3,FALSE)*$D13</f>
        <v>0</v>
      </c>
      <c r="G13" s="3097">
        <f t="shared" ref="G13:G19" si="2">VLOOKUP($C13,Ratio,4,FALSE)*$D13</f>
        <v>0</v>
      </c>
      <c r="Q13" s="3096">
        <f>E13*R9</f>
        <v>29582420.580116469</v>
      </c>
      <c r="R13" s="3096">
        <f>E13*R8</f>
        <v>3053163.4198835269</v>
      </c>
      <c r="S13" s="3098">
        <f>SUM(Q13:R13)</f>
        <v>32635583.999999996</v>
      </c>
    </row>
    <row r="14" spans="1:19">
      <c r="A14" s="3085"/>
      <c r="B14" s="3086" t="s">
        <v>106</v>
      </c>
      <c r="C14" s="3095" t="s">
        <v>391</v>
      </c>
      <c r="D14" s="2695">
        <f>Salaries!D34</f>
        <v>10498560</v>
      </c>
      <c r="E14" s="2695">
        <f t="shared" si="0"/>
        <v>0</v>
      </c>
      <c r="F14" s="2695">
        <f t="shared" si="1"/>
        <v>10498560</v>
      </c>
      <c r="G14" s="3099">
        <f t="shared" si="2"/>
        <v>0</v>
      </c>
      <c r="Q14" s="3100">
        <v>0</v>
      </c>
      <c r="R14" s="3100">
        <v>0</v>
      </c>
    </row>
    <row r="15" spans="1:19">
      <c r="A15" s="3085"/>
      <c r="B15" s="3086" t="s">
        <v>511</v>
      </c>
      <c r="C15" s="3095" t="s">
        <v>390</v>
      </c>
      <c r="D15" s="2695">
        <f>Salaries!D35</f>
        <v>40805168</v>
      </c>
      <c r="E15" s="2695">
        <f t="shared" si="0"/>
        <v>0</v>
      </c>
      <c r="F15" s="2695">
        <f t="shared" si="1"/>
        <v>0</v>
      </c>
      <c r="G15" s="3099">
        <f t="shared" si="2"/>
        <v>40805168</v>
      </c>
      <c r="Q15" s="3100">
        <v>0</v>
      </c>
      <c r="R15" s="3100">
        <v>0</v>
      </c>
    </row>
    <row r="16" spans="1:19">
      <c r="A16" s="3085"/>
      <c r="B16" s="3086" t="s">
        <v>512</v>
      </c>
      <c r="C16" s="3095" t="s">
        <v>390</v>
      </c>
      <c r="D16" s="2695">
        <f>Salaries!D36</f>
        <v>10042836</v>
      </c>
      <c r="E16" s="2695">
        <f t="shared" si="0"/>
        <v>0</v>
      </c>
      <c r="F16" s="2695">
        <f t="shared" si="1"/>
        <v>0</v>
      </c>
      <c r="G16" s="3099">
        <f t="shared" si="2"/>
        <v>10042836</v>
      </c>
      <c r="I16" s="3101" t="s">
        <v>101</v>
      </c>
      <c r="J16" s="3101" t="s">
        <v>102</v>
      </c>
      <c r="K16" s="3101" t="s">
        <v>103</v>
      </c>
      <c r="Q16" s="3100">
        <v>0</v>
      </c>
      <c r="R16" s="3100">
        <v>0</v>
      </c>
    </row>
    <row r="17" spans="1:19">
      <c r="A17" s="3085"/>
      <c r="B17" s="3399" t="s">
        <v>513</v>
      </c>
      <c r="C17" s="3651" t="s">
        <v>390</v>
      </c>
      <c r="D17" s="3652">
        <f>Salaries!D37</f>
        <v>2377648</v>
      </c>
      <c r="E17" s="2486">
        <f>IF($C17="DIRECT",I17,VLOOKUP($C17,Ratio,2,FALSE)*$D17)</f>
        <v>0</v>
      </c>
      <c r="F17" s="2486">
        <f>IF($C17="DIRECT",J17,VLOOKUP($C17,Ratio,3,FALSE)*$D17)</f>
        <v>0</v>
      </c>
      <c r="G17" s="3653">
        <f>IF($C17="DIRECT",K17,VLOOKUP($C17,Ratio,4,FALSE)*$D17)</f>
        <v>2377648</v>
      </c>
      <c r="I17" s="2695"/>
      <c r="J17" s="2695"/>
      <c r="K17" s="2695"/>
      <c r="Q17" s="3100">
        <f>E17</f>
        <v>0</v>
      </c>
      <c r="R17" s="3100">
        <v>0</v>
      </c>
      <c r="S17" s="3098">
        <f>SUM(Q17:R17)</f>
        <v>0</v>
      </c>
    </row>
    <row r="18" spans="1:19">
      <c r="A18" s="3085"/>
      <c r="B18" s="3086" t="s">
        <v>514</v>
      </c>
      <c r="C18" s="3095" t="s">
        <v>390</v>
      </c>
      <c r="D18" s="2695">
        <f>Salaries!D38</f>
        <v>834733</v>
      </c>
      <c r="E18" s="2695">
        <f t="shared" si="0"/>
        <v>0</v>
      </c>
      <c r="F18" s="2695">
        <f t="shared" si="1"/>
        <v>0</v>
      </c>
      <c r="G18" s="3099">
        <f t="shared" si="2"/>
        <v>834733</v>
      </c>
      <c r="Q18" s="3100">
        <v>0</v>
      </c>
      <c r="R18" s="3100">
        <v>0</v>
      </c>
    </row>
    <row r="19" spans="1:19">
      <c r="A19" s="3085"/>
      <c r="B19" s="3086" t="s">
        <v>517</v>
      </c>
      <c r="C19" s="3095" t="s">
        <v>99</v>
      </c>
      <c r="D19" s="2695">
        <f>Salaries!D39</f>
        <v>42547415</v>
      </c>
      <c r="E19" s="2695">
        <f t="shared" si="0"/>
        <v>14852939.347491231</v>
      </c>
      <c r="F19" s="2695">
        <f t="shared" si="1"/>
        <v>0</v>
      </c>
      <c r="G19" s="3099">
        <f t="shared" si="2"/>
        <v>27694475.652508773</v>
      </c>
      <c r="Q19" s="2695">
        <f>D19*Q50</f>
        <v>13124196.116796277</v>
      </c>
      <c r="R19" s="2695">
        <f>D19*R50</f>
        <v>1728743.2306949536</v>
      </c>
      <c r="S19" s="3098">
        <f>SUM(Q19:R19)</f>
        <v>14852939.347491231</v>
      </c>
    </row>
    <row r="20" spans="1:19">
      <c r="A20" s="3085"/>
      <c r="B20" s="3086"/>
      <c r="C20" s="3086"/>
      <c r="D20" s="3108"/>
      <c r="E20" s="3108"/>
      <c r="F20" s="3108"/>
      <c r="G20" s="3109"/>
      <c r="Q20" s="3110"/>
      <c r="R20" s="3110"/>
    </row>
    <row r="21" spans="1:19">
      <c r="A21" s="3085" t="s">
        <v>518</v>
      </c>
      <c r="B21" s="3086"/>
      <c r="C21" s="3111"/>
      <c r="D21" s="3112">
        <f>SUM(D13:D20)</f>
        <v>139741944</v>
      </c>
      <c r="E21" s="3112">
        <f>SUM(E13:E20)</f>
        <v>47488523.347491235</v>
      </c>
      <c r="F21" s="3112">
        <f>SUM(F13:F20)</f>
        <v>10498560</v>
      </c>
      <c r="G21" s="3113">
        <f>SUM(G13:G20)</f>
        <v>81754860.652508765</v>
      </c>
      <c r="Q21" s="3112">
        <f>SUM(Q13:Q19)</f>
        <v>42706616.696912751</v>
      </c>
      <c r="R21" s="3112">
        <f>SUM(R13:R19)</f>
        <v>4781906.6505784802</v>
      </c>
      <c r="S21" s="3098">
        <f>SUM(Q21:R21)</f>
        <v>47488523.347491235</v>
      </c>
    </row>
    <row r="22" spans="1:19">
      <c r="A22" s="3085"/>
      <c r="B22" s="3114" t="s">
        <v>334</v>
      </c>
      <c r="C22" s="3111"/>
      <c r="D22" s="3115">
        <f>IF($D21=0,0,D21/$D21)</f>
        <v>1</v>
      </c>
      <c r="E22" s="3116">
        <f>IF($D21=0,0,E21/$D21)</f>
        <v>0.33983013251548322</v>
      </c>
      <c r="F22" s="3116">
        <f>IF($D21=0,0,F21/$D21)</f>
        <v>7.5128194867533832E-2</v>
      </c>
      <c r="G22" s="3117">
        <f>IF($D21=0,0,G21/$D21)</f>
        <v>0.58504167261698292</v>
      </c>
      <c r="O22" s="3114" t="s">
        <v>334</v>
      </c>
      <c r="Q22" s="3116">
        <f>IF(D21=0,0,Q21/D21)</f>
        <v>0.30561058100717958</v>
      </c>
      <c r="R22" s="3116">
        <f>IF(D21=0,0,R21/D21)</f>
        <v>3.4219551508303622E-2</v>
      </c>
      <c r="S22" s="3118">
        <f>SUM(Q22:R22)</f>
        <v>0.33983013251548322</v>
      </c>
    </row>
    <row r="23" spans="1:19">
      <c r="A23" s="3085"/>
      <c r="B23" s="3086"/>
      <c r="C23" s="3086"/>
      <c r="D23" s="3108"/>
      <c r="E23" s="3108"/>
      <c r="F23" s="3108"/>
      <c r="G23" s="3109"/>
      <c r="Q23" s="3108"/>
      <c r="R23" s="3108"/>
    </row>
    <row r="24" spans="1:19">
      <c r="A24" s="3085" t="s">
        <v>91</v>
      </c>
      <c r="B24" s="3119" t="s">
        <v>335</v>
      </c>
      <c r="C24" s="3090" t="s">
        <v>520</v>
      </c>
      <c r="D24" s="3091" t="s">
        <v>104</v>
      </c>
      <c r="E24" s="3091" t="s">
        <v>105</v>
      </c>
      <c r="F24" s="3091" t="s">
        <v>106</v>
      </c>
      <c r="G24" s="3092" t="s">
        <v>511</v>
      </c>
      <c r="Q24" s="3093" t="s">
        <v>240</v>
      </c>
      <c r="R24" s="3094" t="s">
        <v>241</v>
      </c>
      <c r="S24" s="3094" t="s">
        <v>104</v>
      </c>
    </row>
    <row r="25" spans="1:19">
      <c r="A25" s="3085"/>
      <c r="B25" s="3086" t="s">
        <v>125</v>
      </c>
      <c r="C25" s="3095" t="s">
        <v>99</v>
      </c>
      <c r="D25" s="3096">
        <f>'Sch 1- Rate Base '!G37</f>
        <v>5100521</v>
      </c>
      <c r="E25" s="3120">
        <f>'Sch 1- Rate Base '!H37</f>
        <v>1780548.3377452032</v>
      </c>
      <c r="F25" s="3120">
        <f>'Sch 1- Rate Base '!I37</f>
        <v>0</v>
      </c>
      <c r="G25" s="3121">
        <f>'Sch 1- Rate Base '!J37</f>
        <v>3319972.6622547973</v>
      </c>
      <c r="Q25" s="3096">
        <f>D25*Q$50</f>
        <v>1573309.163478859</v>
      </c>
      <c r="R25" s="3096">
        <f>D25*R$50</f>
        <v>207239.17426634394</v>
      </c>
      <c r="S25" s="3098">
        <f>SUM(Q25:R25)</f>
        <v>1780548.3377452029</v>
      </c>
    </row>
    <row r="26" spans="1:19">
      <c r="A26" s="3085"/>
      <c r="B26" s="3086" t="s">
        <v>126</v>
      </c>
      <c r="C26" s="3095" t="s">
        <v>99</v>
      </c>
      <c r="D26" s="2695">
        <f>'Sch 1- Rate Base '!G38</f>
        <v>126721170</v>
      </c>
      <c r="E26" s="3122">
        <f>'Sch 1- Rate Base '!H38</f>
        <v>44237278.623228356</v>
      </c>
      <c r="F26" s="3122">
        <f>'Sch 1- Rate Base '!I38</f>
        <v>0</v>
      </c>
      <c r="G26" s="3123">
        <f>'Sch 1- Rate Base '!J38</f>
        <v>82483891.376771659</v>
      </c>
      <c r="Q26" s="3096">
        <f>D26*Q$50</f>
        <v>39088473.112406023</v>
      </c>
      <c r="R26" s="3096">
        <f>D26*R$50</f>
        <v>5148805.510822325</v>
      </c>
      <c r="S26" s="3098">
        <f>SUM(Q26:R26)</f>
        <v>44237278.623228349</v>
      </c>
    </row>
    <row r="27" spans="1:19">
      <c r="A27" s="3085"/>
      <c r="B27" s="3086" t="s">
        <v>127</v>
      </c>
      <c r="C27" s="3095" t="s">
        <v>95</v>
      </c>
      <c r="D27" s="2695">
        <f>'Sch 1- Rate Base '!G39</f>
        <v>31597697</v>
      </c>
      <c r="E27" s="3122">
        <f>'Sch 1- Rate Base '!H39</f>
        <v>10737849.558694087</v>
      </c>
      <c r="F27" s="3122">
        <f>'Sch 1- Rate Base '!I39</f>
        <v>0</v>
      </c>
      <c r="G27" s="3123">
        <f>'Sch 1- Rate Base '!J39</f>
        <v>20859847.441305913</v>
      </c>
      <c r="Q27" s="3096">
        <f>D27*Q$22</f>
        <v>9656590.5386588145</v>
      </c>
      <c r="R27" s="3096">
        <f>D27*R$22</f>
        <v>1081259.0200352708</v>
      </c>
      <c r="S27" s="3098">
        <f>SUM(Q27:R27)</f>
        <v>10737849.558694085</v>
      </c>
    </row>
    <row r="28" spans="1:19">
      <c r="A28" s="3085"/>
      <c r="B28" s="3086" t="s">
        <v>128</v>
      </c>
      <c r="C28" s="3095" t="s">
        <v>109</v>
      </c>
      <c r="D28" s="2695">
        <f>'Sch 1- Rate Base '!G40</f>
        <v>3994065</v>
      </c>
      <c r="E28" s="3122">
        <f>'Sch 1- Rate Base '!H40</f>
        <v>0</v>
      </c>
      <c r="F28" s="3122">
        <f>'Sch 1- Rate Base '!I40</f>
        <v>0</v>
      </c>
      <c r="G28" s="3123">
        <f>'Sch 1- Rate Base '!J40</f>
        <v>3994065</v>
      </c>
      <c r="Q28" s="3124">
        <v>0</v>
      </c>
      <c r="R28" s="3124">
        <v>0</v>
      </c>
    </row>
    <row r="29" spans="1:19">
      <c r="A29" s="3085"/>
      <c r="B29" s="3086" t="s">
        <v>129</v>
      </c>
      <c r="C29" s="3095" t="s">
        <v>99</v>
      </c>
      <c r="D29" s="2695">
        <f>'Sch 1- Rate Base '!G41</f>
        <v>1969191</v>
      </c>
      <c r="E29" s="3122">
        <f>'Sch 1- Rate Base '!H41</f>
        <v>687427.76703650749</v>
      </c>
      <c r="F29" s="3122">
        <f>'Sch 1- Rate Base '!I41</f>
        <v>0</v>
      </c>
      <c r="G29" s="3123">
        <f>'Sch 1- Rate Base '!J41</f>
        <v>1281763.2329634926</v>
      </c>
      <c r="Q29" s="3096">
        <f>D29*Q$50</f>
        <v>607417.60399380734</v>
      </c>
      <c r="R29" s="3096">
        <f>D29*R$50</f>
        <v>80010.163042700166</v>
      </c>
      <c r="S29" s="3098">
        <f>SUM(Q29:R29)</f>
        <v>687427.76703650749</v>
      </c>
    </row>
    <row r="30" spans="1:19">
      <c r="A30" s="3085"/>
      <c r="B30" s="3086" t="s">
        <v>130</v>
      </c>
      <c r="C30" s="3095" t="s">
        <v>99</v>
      </c>
      <c r="D30" s="2695">
        <f>'Sch 1- Rate Base '!G42</f>
        <v>32372182</v>
      </c>
      <c r="E30" s="3122">
        <f>'Sch 1- Rate Base '!H42</f>
        <v>11300852.373568345</v>
      </c>
      <c r="F30" s="3122">
        <f>'Sch 1- Rate Base '!I42</f>
        <v>0</v>
      </c>
      <c r="G30" s="3123">
        <f>'Sch 1- Rate Base '!J42</f>
        <v>21071329.626431659</v>
      </c>
      <c r="Q30" s="3096">
        <f>D30*Q$50</f>
        <v>9985538.8464051764</v>
      </c>
      <c r="R30" s="3096">
        <f>D30*R$50</f>
        <v>1315313.5271631668</v>
      </c>
      <c r="S30" s="3098">
        <f>SUM(Q30:R30)</f>
        <v>11300852.373568343</v>
      </c>
    </row>
    <row r="31" spans="1:19">
      <c r="A31" s="3085"/>
      <c r="B31" s="3086" t="s">
        <v>131</v>
      </c>
      <c r="C31" s="3095" t="s">
        <v>99</v>
      </c>
      <c r="D31" s="2695">
        <f>'Sch 1- Rate Base '!G43</f>
        <v>5973622</v>
      </c>
      <c r="E31" s="3122">
        <f>'Sch 1- Rate Base '!H43</f>
        <v>2085340.4431465287</v>
      </c>
      <c r="F31" s="3122">
        <f>'Sch 1- Rate Base '!I43</f>
        <v>0</v>
      </c>
      <c r="G31" s="3123">
        <f>'Sch 1- Rate Base '!J43</f>
        <v>3888281.5568534718</v>
      </c>
      <c r="Q31" s="3096">
        <f>D31*Q$50</f>
        <v>1842626.3183229535</v>
      </c>
      <c r="R31" s="3096">
        <f>D31*R$50</f>
        <v>242714.12482357508</v>
      </c>
      <c r="S31" s="3098">
        <f>SUM(Q31:R31)</f>
        <v>2085340.4431465287</v>
      </c>
    </row>
    <row r="32" spans="1:19">
      <c r="A32" s="3085"/>
      <c r="B32" s="3086" t="s">
        <v>132</v>
      </c>
      <c r="C32" s="3095" t="s">
        <v>109</v>
      </c>
      <c r="D32" s="2695">
        <f>'Sch 1- Rate Base '!G44</f>
        <v>2715513</v>
      </c>
      <c r="E32" s="3122">
        <f>'Sch 1- Rate Base '!H44</f>
        <v>0</v>
      </c>
      <c r="F32" s="3122">
        <f>'Sch 1- Rate Base '!I44</f>
        <v>0</v>
      </c>
      <c r="G32" s="3123">
        <f>'Sch 1- Rate Base '!J44</f>
        <v>2715513</v>
      </c>
      <c r="Q32" s="3124">
        <v>0</v>
      </c>
      <c r="R32" s="3124">
        <v>0</v>
      </c>
    </row>
    <row r="33" spans="1:19">
      <c r="A33" s="3085"/>
      <c r="B33" s="3086" t="s">
        <v>133</v>
      </c>
      <c r="C33" s="3095" t="s">
        <v>99</v>
      </c>
      <c r="D33" s="2695">
        <f>'Sch 1- Rate Base '!G45</f>
        <v>105832047</v>
      </c>
      <c r="E33" s="3122">
        <f>'Sch 1- Rate Base '!H45</f>
        <v>36945064.11521925</v>
      </c>
      <c r="F33" s="3122">
        <f>'Sch 1- Rate Base '!I45</f>
        <v>0</v>
      </c>
      <c r="G33" s="3123">
        <f>'Sch 1- Rate Base '!J45</f>
        <v>68886982.88478075</v>
      </c>
      <c r="Q33" s="3096">
        <f>D33*Q$50</f>
        <v>32645004.174049143</v>
      </c>
      <c r="R33" s="3096">
        <f>D33*R$50</f>
        <v>4300059.9411701085</v>
      </c>
      <c r="S33" s="3098">
        <f>SUM(Q33:R33)</f>
        <v>36945064.11521925</v>
      </c>
    </row>
    <row r="34" spans="1:19">
      <c r="A34" s="3085"/>
      <c r="B34" s="3086" t="s">
        <v>134</v>
      </c>
      <c r="C34" s="3095" t="s">
        <v>99</v>
      </c>
      <c r="D34" s="2695">
        <f>'Sch 1- Rate Base '!G46</f>
        <v>381575</v>
      </c>
      <c r="E34" s="3122">
        <f>'Sch 1- Rate Base '!H46</f>
        <v>133204.57497873763</v>
      </c>
      <c r="F34" s="3122">
        <f>'Sch 1- Rate Base '!I46</f>
        <v>0</v>
      </c>
      <c r="G34" s="3123">
        <f>'Sch 1- Rate Base '!J46</f>
        <v>248370.42502126237</v>
      </c>
      <c r="Q34" s="3096">
        <f>D34*Q$50</f>
        <v>117700.80822222782</v>
      </c>
      <c r="R34" s="3096">
        <f>D34*R$50</f>
        <v>15503.766756509813</v>
      </c>
      <c r="S34" s="3098">
        <f>SUM(Q34:R34)</f>
        <v>133204.57497873763</v>
      </c>
    </row>
    <row r="35" spans="1:19">
      <c r="A35" s="3085"/>
      <c r="B35" s="3086" t="s">
        <v>254</v>
      </c>
      <c r="C35" s="3095" t="str">
        <f>'Sch 1- Rate Base '!E47</f>
        <v>DIRECT</v>
      </c>
      <c r="D35" s="2695">
        <f>'Sch 1- Rate Base '!G47</f>
        <v>0</v>
      </c>
      <c r="E35" s="3122">
        <f>'Sch 1- Rate Base '!H47</f>
        <v>0</v>
      </c>
      <c r="F35" s="3122">
        <f>'Sch 1- Rate Base '!I47</f>
        <v>0</v>
      </c>
      <c r="G35" s="3123">
        <f>'Sch 1- Rate Base '!J47</f>
        <v>0</v>
      </c>
      <c r="Q35" s="3124">
        <f>E35*R4</f>
        <v>0</v>
      </c>
      <c r="R35" s="3124">
        <f>E35*R3</f>
        <v>0</v>
      </c>
    </row>
    <row r="36" spans="1:19">
      <c r="A36" s="3085"/>
      <c r="B36" s="3086" t="s">
        <v>441</v>
      </c>
      <c r="C36" s="3095" t="s">
        <v>99</v>
      </c>
      <c r="D36" s="2695">
        <f>'Sch 1- Rate Base '!G48</f>
        <v>0</v>
      </c>
      <c r="E36" s="3122">
        <f>'Sch 1- Rate Base '!H48</f>
        <v>0</v>
      </c>
      <c r="F36" s="3122">
        <f>'Sch 1- Rate Base '!I48</f>
        <v>0</v>
      </c>
      <c r="G36" s="3123">
        <f>'Sch 1- Rate Base '!J48</f>
        <v>0</v>
      </c>
      <c r="Q36" s="3096">
        <f>D36*Q$50</f>
        <v>0</v>
      </c>
      <c r="R36" s="3096">
        <f>D36*R$50</f>
        <v>0</v>
      </c>
      <c r="S36" s="3098">
        <f>SUM(Q36:R36)</f>
        <v>0</v>
      </c>
    </row>
    <row r="37" spans="1:19">
      <c r="A37" s="3085"/>
      <c r="B37" s="3086" t="s">
        <v>522</v>
      </c>
      <c r="C37" s="3125"/>
      <c r="D37" s="3126">
        <f>SUM(D25:D36)</f>
        <v>316657583</v>
      </c>
      <c r="E37" s="3126">
        <f>SUM(E25:E36)</f>
        <v>107907565.79361701</v>
      </c>
      <c r="F37" s="3126">
        <f>SUM(F25:F36)</f>
        <v>0</v>
      </c>
      <c r="G37" s="3127">
        <f>SUM(G25:G36)</f>
        <v>208750017.20638302</v>
      </c>
      <c r="Q37" s="3126">
        <f>SUM(Q25:Q36)</f>
        <v>95516660.565537021</v>
      </c>
      <c r="R37" s="3126">
        <f>SUM(R25:R36)</f>
        <v>12390905.228079999</v>
      </c>
      <c r="S37" s="3098">
        <f>SUM(Q37:R37)</f>
        <v>107907565.79361703</v>
      </c>
    </row>
    <row r="38" spans="1:19">
      <c r="A38" s="3085"/>
      <c r="B38" s="3114" t="s">
        <v>523</v>
      </c>
      <c r="C38" s="3125"/>
      <c r="D38" s="3128">
        <f>IF($D37=0,0,D37/$D37)</f>
        <v>1</v>
      </c>
      <c r="E38" s="3129">
        <f>IF($D37=0,0,E37/$D37)</f>
        <v>0.34077050917683854</v>
      </c>
      <c r="F38" s="3129">
        <f>IF($D37=0,0,F37/$D37)</f>
        <v>0</v>
      </c>
      <c r="G38" s="3130">
        <f>IF($D37=0,0,G37/$D37)</f>
        <v>0.65922949082316151</v>
      </c>
      <c r="O38" s="3114" t="s">
        <v>445</v>
      </c>
      <c r="Q38" s="3129">
        <f>IF(D37=0,0,Q37/D37)</f>
        <v>0.30164021230951232</v>
      </c>
      <c r="R38" s="3129">
        <f>IF(D37=0,0,R37/D37)</f>
        <v>3.9130296867326241E-2</v>
      </c>
      <c r="S38" s="3129">
        <f>SUM(Q38:R38)</f>
        <v>0.34077050917683854</v>
      </c>
    </row>
    <row r="39" spans="1:19" ht="12" thickBot="1">
      <c r="A39" s="3131"/>
      <c r="B39" s="3132"/>
      <c r="C39" s="3133"/>
      <c r="D39" s="3134"/>
      <c r="E39" s="3134"/>
      <c r="F39" s="3134"/>
      <c r="G39" s="3135"/>
      <c r="Q39" s="3134"/>
      <c r="R39" s="3134"/>
    </row>
    <row r="40" spans="1:19" ht="12" thickTop="1">
      <c r="A40" s="3085"/>
      <c r="B40" s="3086"/>
      <c r="C40" s="3086"/>
      <c r="D40" s="3108"/>
      <c r="E40" s="3108"/>
      <c r="F40" s="3108"/>
      <c r="G40" s="3109"/>
      <c r="Q40" s="3108"/>
      <c r="R40" s="3108"/>
    </row>
    <row r="41" spans="1:19">
      <c r="A41" s="3085" t="s">
        <v>99</v>
      </c>
      <c r="B41" s="3136" t="s">
        <v>336</v>
      </c>
      <c r="C41" s="3090" t="s">
        <v>520</v>
      </c>
      <c r="D41" s="3091" t="s">
        <v>104</v>
      </c>
      <c r="E41" s="3091" t="s">
        <v>105</v>
      </c>
      <c r="F41" s="3091" t="s">
        <v>106</v>
      </c>
      <c r="G41" s="3092" t="s">
        <v>511</v>
      </c>
      <c r="Q41" s="3093" t="s">
        <v>240</v>
      </c>
      <c r="R41" s="3094" t="s">
        <v>241</v>
      </c>
      <c r="S41" s="3094" t="s">
        <v>104</v>
      </c>
    </row>
    <row r="42" spans="1:19">
      <c r="A42" s="3085"/>
      <c r="B42" s="3086" t="s">
        <v>111</v>
      </c>
      <c r="C42" s="3095" t="s">
        <v>392</v>
      </c>
      <c r="D42" s="3096">
        <f>'Sch 1- Rate Base '!G22</f>
        <v>1034308926</v>
      </c>
      <c r="E42" s="3120">
        <f>'Sch 1- Rate Base '!H22</f>
        <v>1034308926</v>
      </c>
      <c r="F42" s="3120">
        <f>'Sch 1- Rate Base '!I22</f>
        <v>0</v>
      </c>
      <c r="G42" s="3121">
        <f>'Sch 1- Rate Base '!J22</f>
        <v>0</v>
      </c>
      <c r="Q42" s="3096">
        <f>D42-R42</f>
        <v>1034308926</v>
      </c>
      <c r="R42" s="3654">
        <f>SUMIF('Above-RHWM_Base_Calc'!B$11:Z$11,1,'Above-RHWM_Base_Calc'!B$17:Z$17)</f>
        <v>0</v>
      </c>
    </row>
    <row r="43" spans="1:19">
      <c r="A43" s="3085"/>
      <c r="B43" s="3086" t="s">
        <v>113</v>
      </c>
      <c r="C43" s="3095" t="s">
        <v>392</v>
      </c>
      <c r="D43" s="2695">
        <f>'Sch 1- Rate Base '!G23</f>
        <v>0</v>
      </c>
      <c r="E43" s="3122">
        <f>'Sch 1- Rate Base '!H23</f>
        <v>0</v>
      </c>
      <c r="F43" s="3122">
        <f>'Sch 1- Rate Base '!I23</f>
        <v>0</v>
      </c>
      <c r="G43" s="3123">
        <f>'Sch 1- Rate Base '!J23</f>
        <v>0</v>
      </c>
      <c r="Q43" s="3096">
        <f>D43-R43</f>
        <v>0</v>
      </c>
      <c r="R43" s="2695"/>
    </row>
    <row r="44" spans="1:19">
      <c r="A44" s="3085"/>
      <c r="B44" s="3086" t="s">
        <v>115</v>
      </c>
      <c r="C44" s="3095" t="s">
        <v>392</v>
      </c>
      <c r="D44" s="2695">
        <f>'Sch 1- Rate Base '!G24</f>
        <v>788941762</v>
      </c>
      <c r="E44" s="3122">
        <f>'Sch 1- Rate Base '!H24</f>
        <v>788941762</v>
      </c>
      <c r="F44" s="3122">
        <f>'Sch 1- Rate Base '!I24</f>
        <v>0</v>
      </c>
      <c r="G44" s="3123">
        <f>'Sch 1- Rate Base '!J24</f>
        <v>0</v>
      </c>
      <c r="Q44" s="3096">
        <f>D44-R44</f>
        <v>788941762</v>
      </c>
      <c r="R44" s="3654">
        <f>SUMIF('Above-RHWM_Base_Calc'!B$11:Z$11,2,'Above-RHWM_Base_Calc'!B$17:Z$17)</f>
        <v>0</v>
      </c>
    </row>
    <row r="45" spans="1:19">
      <c r="A45" s="3085"/>
      <c r="B45" s="3086" t="s">
        <v>117</v>
      </c>
      <c r="C45" s="3095" t="s">
        <v>392</v>
      </c>
      <c r="D45" s="2695">
        <f>'Sch 1- Rate Base '!G25</f>
        <v>2079134143</v>
      </c>
      <c r="E45" s="3122">
        <f>'Sch 1- Rate Base '!H25</f>
        <v>2079134143</v>
      </c>
      <c r="F45" s="3122">
        <f>'Sch 1- Rate Base '!I25</f>
        <v>0</v>
      </c>
      <c r="G45" s="3123">
        <f>'Sch 1- Rate Base '!J25</f>
        <v>0</v>
      </c>
      <c r="Q45" s="3096">
        <f>D45-R45</f>
        <v>1624933045</v>
      </c>
      <c r="R45" s="3654">
        <f>SUMIF('Above-RHWM_Base_Calc'!B$11:Z$11,3,'Above-RHWM_Base_Calc'!B$17:Z$17)</f>
        <v>454201098</v>
      </c>
    </row>
    <row r="46" spans="1:19">
      <c r="A46" s="3085"/>
      <c r="B46" s="3086" t="s">
        <v>119</v>
      </c>
      <c r="C46" s="3095"/>
      <c r="D46" s="2695">
        <f>SUM(D42:D45)</f>
        <v>3902384831</v>
      </c>
      <c r="E46" s="2695">
        <f>SUM(E42:E45)</f>
        <v>3902384831</v>
      </c>
      <c r="F46" s="2695">
        <f>SUM(F42:F45)</f>
        <v>0</v>
      </c>
      <c r="G46" s="3099">
        <f>SUM(G42:G45)</f>
        <v>0</v>
      </c>
      <c r="Q46" s="2695">
        <f>SUM(Q42:Q45)</f>
        <v>3448183733</v>
      </c>
      <c r="R46" s="2695">
        <f>SUM(R42:R45)</f>
        <v>454201098</v>
      </c>
      <c r="S46" s="3096">
        <f>Q46+R46</f>
        <v>3902384831</v>
      </c>
    </row>
    <row r="47" spans="1:19">
      <c r="A47" s="3085"/>
      <c r="B47" s="3086" t="s">
        <v>525</v>
      </c>
      <c r="C47" s="3095" t="s">
        <v>391</v>
      </c>
      <c r="D47" s="2695">
        <f>'Sch 1- Rate Base '!G30</f>
        <v>1992381238</v>
      </c>
      <c r="E47" s="3122">
        <f>'Sch 1- Rate Base '!H30</f>
        <v>0</v>
      </c>
      <c r="F47" s="3122">
        <f>'Sch 1- Rate Base '!I30</f>
        <v>0</v>
      </c>
      <c r="G47" s="3123">
        <f>'Sch 1- Rate Base '!J30</f>
        <v>1992381238</v>
      </c>
      <c r="Q47" s="2695"/>
      <c r="R47" s="2695"/>
    </row>
    <row r="48" spans="1:19">
      <c r="A48" s="3085"/>
      <c r="B48" s="3086" t="s">
        <v>122</v>
      </c>
      <c r="C48" s="3095" t="s">
        <v>390</v>
      </c>
      <c r="D48" s="2695">
        <f>'Sch 1- Rate Base '!G34</f>
        <v>5283922742</v>
      </c>
      <c r="E48" s="3122">
        <f>'Sch 1- Rate Base '!H34</f>
        <v>0</v>
      </c>
      <c r="F48" s="3122">
        <f>'Sch 1- Rate Base '!I34</f>
        <v>0</v>
      </c>
      <c r="G48" s="3123">
        <f>'Sch 1- Rate Base '!J34</f>
        <v>5283922742</v>
      </c>
      <c r="Q48" s="2695"/>
      <c r="R48" s="2695"/>
    </row>
    <row r="49" spans="1:19">
      <c r="A49" s="3085"/>
      <c r="B49" s="3086" t="s">
        <v>522</v>
      </c>
      <c r="C49" s="3095"/>
      <c r="D49" s="3096">
        <f>D46+D47+D48</f>
        <v>11178688811</v>
      </c>
      <c r="E49" s="3096">
        <f>E46+E47+E48</f>
        <v>3902384831</v>
      </c>
      <c r="F49" s="3096">
        <f>F46+F47+F48</f>
        <v>0</v>
      </c>
      <c r="G49" s="3097">
        <f>G46+G47+G48</f>
        <v>7276303980</v>
      </c>
      <c r="Q49" s="3096">
        <f>Q46</f>
        <v>3448183733</v>
      </c>
      <c r="R49" s="3096">
        <f>R46</f>
        <v>454201098</v>
      </c>
      <c r="S49" s="3096">
        <f>Q49+R49</f>
        <v>3902384831</v>
      </c>
    </row>
    <row r="50" spans="1:19">
      <c r="A50" s="3085"/>
      <c r="B50" s="3114" t="s">
        <v>337</v>
      </c>
      <c r="C50" s="3125"/>
      <c r="D50" s="3128">
        <f>IF($D49=0,0,D49/$D49)</f>
        <v>1</v>
      </c>
      <c r="E50" s="3129">
        <f>IF($D49=0,0,E49/$D49)</f>
        <v>0.34909146295941201</v>
      </c>
      <c r="F50" s="3129">
        <f>IF($D49=0,0,F49/$D49)</f>
        <v>0</v>
      </c>
      <c r="G50" s="3130">
        <f>IF($D49=0,0,G49/$D49)</f>
        <v>0.65090853704058804</v>
      </c>
      <c r="O50" s="3114" t="s">
        <v>337</v>
      </c>
      <c r="Q50" s="3129">
        <f>IF(D49=0,0,Q46/D49)</f>
        <v>0.30846048148392274</v>
      </c>
      <c r="R50" s="3129">
        <f>IF(D49=0,0,R46/D49)</f>
        <v>4.0630981475489256E-2</v>
      </c>
      <c r="S50" s="3129">
        <f>Q50+R50</f>
        <v>0.34909146295941201</v>
      </c>
    </row>
    <row r="51" spans="1:19">
      <c r="A51" s="3085"/>
      <c r="B51" s="3086"/>
      <c r="C51" s="3086"/>
      <c r="D51" s="3108"/>
      <c r="E51" s="3108"/>
      <c r="F51" s="3108"/>
      <c r="G51" s="3109"/>
      <c r="Q51" s="3108"/>
      <c r="R51" s="3108"/>
    </row>
    <row r="52" spans="1:19">
      <c r="A52" s="3085" t="s">
        <v>108</v>
      </c>
      <c r="B52" s="3136" t="s">
        <v>338</v>
      </c>
      <c r="C52" s="3090" t="s">
        <v>520</v>
      </c>
      <c r="D52" s="3091" t="s">
        <v>104</v>
      </c>
      <c r="E52" s="3091" t="s">
        <v>105</v>
      </c>
      <c r="F52" s="3091" t="s">
        <v>106</v>
      </c>
      <c r="G52" s="3092" t="s">
        <v>511</v>
      </c>
      <c r="Q52" s="3093" t="s">
        <v>240</v>
      </c>
      <c r="R52" s="3094" t="s">
        <v>241</v>
      </c>
      <c r="S52" s="3094" t="s">
        <v>104</v>
      </c>
    </row>
    <row r="53" spans="1:19">
      <c r="A53" s="3085"/>
      <c r="B53" s="3086" t="s">
        <v>526</v>
      </c>
      <c r="C53" s="3095"/>
      <c r="D53" s="3096">
        <f>D49</f>
        <v>11178688811</v>
      </c>
      <c r="E53" s="3096">
        <f>E49</f>
        <v>3902384831</v>
      </c>
      <c r="F53" s="3096">
        <f>F49</f>
        <v>0</v>
      </c>
      <c r="G53" s="3097">
        <f>G49</f>
        <v>7276303980</v>
      </c>
      <c r="Q53" s="3096">
        <f>Q49</f>
        <v>3448183733</v>
      </c>
      <c r="R53" s="3096">
        <f>R49</f>
        <v>454201098</v>
      </c>
      <c r="S53" s="3096">
        <f>Q53+R53</f>
        <v>3902384831</v>
      </c>
    </row>
    <row r="54" spans="1:19">
      <c r="A54" s="3085"/>
      <c r="B54" s="3086" t="s">
        <v>527</v>
      </c>
      <c r="C54" s="3095" t="s">
        <v>390</v>
      </c>
      <c r="D54" s="2695">
        <f>'Sch 1- Rate Base '!G16</f>
        <v>114202</v>
      </c>
      <c r="E54" s="3122">
        <f>'Sch 1- Rate Base '!H16</f>
        <v>0</v>
      </c>
      <c r="F54" s="3122">
        <f>'Sch 1- Rate Base '!I16</f>
        <v>0</v>
      </c>
      <c r="G54" s="3123">
        <f>'Sch 1- Rate Base '!J16</f>
        <v>114202</v>
      </c>
      <c r="Q54" s="2695"/>
      <c r="R54" s="2695"/>
    </row>
    <row r="55" spans="1:19">
      <c r="A55" s="3085"/>
      <c r="B55" s="3086" t="s">
        <v>528</v>
      </c>
      <c r="C55" s="3095" t="str">
        <f>'Sch 1- Rate Base '!E17</f>
        <v>DIRECT</v>
      </c>
      <c r="D55" s="2695">
        <f>'Sch 1- Rate Base '!G17</f>
        <v>80196650</v>
      </c>
      <c r="E55" s="3122">
        <f>'Sch 1- Rate Base '!H17</f>
        <v>55817303.479669861</v>
      </c>
      <c r="F55" s="3122">
        <f>'Sch 1- Rate Base '!I17</f>
        <v>0</v>
      </c>
      <c r="G55" s="3123">
        <f>'Sch 1- Rate Base '!J17</f>
        <v>24379345.720330127</v>
      </c>
      <c r="Q55" s="2695">
        <f>E55*R$4</f>
        <v>49320691.375586659</v>
      </c>
      <c r="R55" s="2695">
        <f>E55*R$3</f>
        <v>6496612.1040832</v>
      </c>
      <c r="S55" s="3096">
        <f>Q55+R55</f>
        <v>55817303.479669861</v>
      </c>
    </row>
    <row r="56" spans="1:19">
      <c r="A56" s="3085"/>
      <c r="B56" s="3086" t="s">
        <v>542</v>
      </c>
      <c r="C56" s="3095" t="str">
        <f>'Sch 1- Rate Base '!E18</f>
        <v>DIRECT</v>
      </c>
      <c r="D56" s="2695">
        <f>'Sch 1- Rate Base '!G18</f>
        <v>75530269</v>
      </c>
      <c r="E56" s="3122">
        <f>'Sch 1- Rate Base '!H18</f>
        <v>10321488.568474432</v>
      </c>
      <c r="F56" s="3122">
        <f>'Sch 1- Rate Base '!I18</f>
        <v>0</v>
      </c>
      <c r="G56" s="3123">
        <f>'Sch 1- Rate Base '!J18</f>
        <v>65208779.001525573</v>
      </c>
      <c r="Q56" s="2695">
        <f>E56*R$4</f>
        <v>9120163.8289063442</v>
      </c>
      <c r="R56" s="2695">
        <f>E56*R$3</f>
        <v>1201324.7395680889</v>
      </c>
      <c r="S56" s="3096">
        <f>Q56+R56</f>
        <v>10321488.568474432</v>
      </c>
    </row>
    <row r="57" spans="1:19">
      <c r="A57" s="3085"/>
      <c r="B57" s="3086" t="s">
        <v>339</v>
      </c>
      <c r="C57" s="3095"/>
      <c r="D57" s="2695">
        <f>D37</f>
        <v>316657583</v>
      </c>
      <c r="E57" s="2695">
        <f>E37</f>
        <v>107907565.79361701</v>
      </c>
      <c r="F57" s="2695">
        <f>F37</f>
        <v>0</v>
      </c>
      <c r="G57" s="3099">
        <f>G37</f>
        <v>208750017.20638302</v>
      </c>
      <c r="Q57" s="2695">
        <f>Q37</f>
        <v>95516660.565537021</v>
      </c>
      <c r="R57" s="2695">
        <f>R37</f>
        <v>12390905.228079999</v>
      </c>
      <c r="S57" s="3096">
        <f>Q57+R57</f>
        <v>107907565.79361703</v>
      </c>
    </row>
    <row r="58" spans="1:19">
      <c r="A58" s="3085"/>
      <c r="B58" s="3086" t="s">
        <v>522</v>
      </c>
      <c r="C58" s="3095"/>
      <c r="D58" s="3096">
        <f>SUM(D53:D57)</f>
        <v>11651187515</v>
      </c>
      <c r="E58" s="3096">
        <f>SUM(E53:E57)</f>
        <v>4076431188.8417616</v>
      </c>
      <c r="F58" s="3096">
        <f>SUM(F53:F57)</f>
        <v>0</v>
      </c>
      <c r="G58" s="3097">
        <f>SUM(G53:G57)</f>
        <v>7574756323.9282389</v>
      </c>
      <c r="Q58" s="3096">
        <f>SUM(Q53:Q57)</f>
        <v>3602141248.77003</v>
      </c>
      <c r="R58" s="3096">
        <f>SUM(R53:R57)</f>
        <v>474289940.07173127</v>
      </c>
      <c r="S58" s="3096">
        <f>Q58+R58</f>
        <v>4076431188.8417611</v>
      </c>
    </row>
    <row r="59" spans="1:19">
      <c r="A59" s="3085"/>
      <c r="B59" s="3114" t="s">
        <v>340</v>
      </c>
      <c r="C59" s="3125"/>
      <c r="D59" s="3128">
        <f>IF($D58=0,0,D58/$D58)</f>
        <v>1</v>
      </c>
      <c r="E59" s="3129">
        <f>IF($D58=0,0,E58/$D58)</f>
        <v>0.34987259312354835</v>
      </c>
      <c r="F59" s="3129">
        <f>IF($D58=0,0,F58/$D58)</f>
        <v>0</v>
      </c>
      <c r="G59" s="3130">
        <f>IF($D58=0,0,G58/$D58)</f>
        <v>0.65012740668505486</v>
      </c>
      <c r="O59" s="3114" t="s">
        <v>446</v>
      </c>
      <c r="Q59" s="3129">
        <f>IF(D58=0,0,Q58/D58)</f>
        <v>0.30916515970003511</v>
      </c>
      <c r="R59" s="3129">
        <f>IF(D58=0,0,R58/D58)</f>
        <v>4.0707433423513247E-2</v>
      </c>
      <c r="S59" s="3129">
        <f>Q59+R59</f>
        <v>0.34987259312354835</v>
      </c>
    </row>
    <row r="60" spans="1:19">
      <c r="A60" s="3085"/>
      <c r="B60" s="3086"/>
      <c r="C60" s="3086"/>
      <c r="D60" s="3108"/>
      <c r="E60" s="3108"/>
      <c r="F60" s="3108"/>
      <c r="G60" s="3109"/>
      <c r="Q60" s="3108"/>
      <c r="R60" s="3108"/>
    </row>
    <row r="61" spans="1:19">
      <c r="A61" s="3085" t="s">
        <v>109</v>
      </c>
      <c r="B61" s="3136" t="s">
        <v>341</v>
      </c>
      <c r="C61" s="3090" t="s">
        <v>520</v>
      </c>
      <c r="D61" s="3091" t="s">
        <v>104</v>
      </c>
      <c r="E61" s="3091" t="s">
        <v>105</v>
      </c>
      <c r="F61" s="3091" t="s">
        <v>106</v>
      </c>
      <c r="G61" s="3092" t="s">
        <v>511</v>
      </c>
      <c r="Q61" s="3093" t="s">
        <v>240</v>
      </c>
      <c r="R61" s="3094" t="s">
        <v>241</v>
      </c>
      <c r="S61" s="3094" t="s">
        <v>104</v>
      </c>
    </row>
    <row r="62" spans="1:19">
      <c r="A62" s="3085"/>
      <c r="B62" s="3086" t="s">
        <v>121</v>
      </c>
      <c r="C62" s="3095" t="s">
        <v>391</v>
      </c>
      <c r="D62" s="3096">
        <f>D47</f>
        <v>1992381238</v>
      </c>
      <c r="E62" s="3120">
        <f t="shared" ref="E62:G62" si="3">E47</f>
        <v>0</v>
      </c>
      <c r="F62" s="3120">
        <f t="shared" si="3"/>
        <v>0</v>
      </c>
      <c r="G62" s="3121">
        <f t="shared" si="3"/>
        <v>1992381238</v>
      </c>
      <c r="Q62" s="3096"/>
      <c r="R62" s="3096"/>
    </row>
    <row r="63" spans="1:19">
      <c r="A63" s="3085"/>
      <c r="B63" s="3086" t="s">
        <v>122</v>
      </c>
      <c r="C63" s="3095" t="s">
        <v>390</v>
      </c>
      <c r="D63" s="2695">
        <f>D48</f>
        <v>5283922742</v>
      </c>
      <c r="E63" s="3122">
        <f t="shared" ref="E63:G63" si="4">E48</f>
        <v>0</v>
      </c>
      <c r="F63" s="3122">
        <f t="shared" si="4"/>
        <v>0</v>
      </c>
      <c r="G63" s="3123">
        <f t="shared" si="4"/>
        <v>5283922742</v>
      </c>
      <c r="Q63" s="2695"/>
      <c r="R63" s="2695"/>
    </row>
    <row r="64" spans="1:19">
      <c r="A64" s="3085"/>
      <c r="B64" s="3086" t="s">
        <v>522</v>
      </c>
      <c r="C64" s="3095"/>
      <c r="D64" s="3096">
        <f>SUM(D62:D63)</f>
        <v>7276303980</v>
      </c>
      <c r="E64" s="3096">
        <f>SUM(E62:E63)</f>
        <v>0</v>
      </c>
      <c r="F64" s="3096">
        <f>SUM(F62:F63)</f>
        <v>0</v>
      </c>
      <c r="G64" s="3097">
        <f>SUM(G62:G63)</f>
        <v>7276303980</v>
      </c>
      <c r="Q64" s="3138">
        <f>SUM(Q62:Q63)</f>
        <v>0</v>
      </c>
      <c r="R64" s="3138">
        <f>SUM(R62:R63)</f>
        <v>0</v>
      </c>
      <c r="S64" s="3138">
        <f>Q64+R64</f>
        <v>0</v>
      </c>
    </row>
    <row r="65" spans="1:19">
      <c r="A65" s="3085"/>
      <c r="B65" s="3114" t="s">
        <v>342</v>
      </c>
      <c r="C65" s="3139"/>
      <c r="D65" s="3140">
        <f>IF($D64=0,0,D64/$D64)</f>
        <v>1</v>
      </c>
      <c r="E65" s="3141">
        <f>IF($D64=0,0,E64/$D64)</f>
        <v>0</v>
      </c>
      <c r="F65" s="3141">
        <f>IF($D64=0,0,F64/$D64)</f>
        <v>0</v>
      </c>
      <c r="G65" s="3142">
        <f>IF($D64=0,0,G64/$D64)</f>
        <v>1</v>
      </c>
      <c r="O65" s="3114" t="s">
        <v>447</v>
      </c>
      <c r="Q65" s="3141">
        <f>IF(D64=0,0,Q64/D64)</f>
        <v>0</v>
      </c>
      <c r="R65" s="3141">
        <f>IF(D64=0,0,R64/D64)</f>
        <v>0</v>
      </c>
      <c r="S65" s="3129">
        <f>Q65+R65</f>
        <v>0</v>
      </c>
    </row>
    <row r="66" spans="1:19" ht="12" thickBot="1">
      <c r="A66" s="3131"/>
      <c r="B66" s="3132"/>
      <c r="C66" s="3132"/>
      <c r="D66" s="3143"/>
      <c r="E66" s="3143"/>
      <c r="F66" s="3143"/>
      <c r="G66" s="3144"/>
      <c r="Q66" s="3143"/>
      <c r="R66" s="3143"/>
    </row>
    <row r="67" spans="1:19" ht="12" thickTop="1">
      <c r="A67" s="3085"/>
      <c r="B67" s="3086"/>
      <c r="C67" s="3086"/>
      <c r="D67" s="3108"/>
      <c r="E67" s="3108"/>
      <c r="F67" s="3108"/>
      <c r="G67" s="3109"/>
      <c r="Q67" s="3108"/>
      <c r="R67" s="3108"/>
    </row>
    <row r="68" spans="1:19">
      <c r="A68" s="3085" t="s">
        <v>93</v>
      </c>
      <c r="B68" s="3136" t="s">
        <v>343</v>
      </c>
      <c r="C68" s="3090" t="s">
        <v>520</v>
      </c>
      <c r="D68" s="3091" t="s">
        <v>104</v>
      </c>
      <c r="E68" s="3091" t="s">
        <v>105</v>
      </c>
      <c r="F68" s="3091" t="s">
        <v>106</v>
      </c>
      <c r="G68" s="3092" t="s">
        <v>511</v>
      </c>
      <c r="Q68" s="3093" t="s">
        <v>240</v>
      </c>
      <c r="R68" s="3094" t="s">
        <v>241</v>
      </c>
      <c r="S68" s="3094" t="s">
        <v>104</v>
      </c>
    </row>
    <row r="69" spans="1:19">
      <c r="A69" s="3085"/>
      <c r="B69" s="3086" t="s">
        <v>126</v>
      </c>
      <c r="C69" s="3095" t="str">
        <f>C26</f>
        <v>PTD</v>
      </c>
      <c r="D69" s="3096">
        <f>D26</f>
        <v>126721170</v>
      </c>
      <c r="E69" s="3096">
        <f t="shared" ref="E69:G69" si="5">E26</f>
        <v>44237278.623228356</v>
      </c>
      <c r="F69" s="3096">
        <f t="shared" si="5"/>
        <v>0</v>
      </c>
      <c r="G69" s="3097">
        <f t="shared" si="5"/>
        <v>82483891.376771659</v>
      </c>
      <c r="Q69" s="3096">
        <f>D69*Q$50</f>
        <v>39088473.112406023</v>
      </c>
      <c r="R69" s="3096">
        <f>D69*R$50</f>
        <v>5148805.510822325</v>
      </c>
      <c r="S69" s="3096">
        <f t="shared" ref="S69:S74" si="6">Q69+R69</f>
        <v>44237278.623228349</v>
      </c>
    </row>
    <row r="70" spans="1:19">
      <c r="A70" s="3085"/>
      <c r="B70" s="3086" t="s">
        <v>127</v>
      </c>
      <c r="C70" s="3095" t="str">
        <f>C27</f>
        <v>LABOR</v>
      </c>
      <c r="D70" s="2695">
        <f>D27</f>
        <v>31597697</v>
      </c>
      <c r="E70" s="2695">
        <f t="shared" ref="E70:G70" si="7">E27</f>
        <v>10737849.558694087</v>
      </c>
      <c r="F70" s="2695">
        <f t="shared" si="7"/>
        <v>0</v>
      </c>
      <c r="G70" s="3099">
        <f t="shared" si="7"/>
        <v>20859847.441305913</v>
      </c>
      <c r="Q70" s="3096">
        <f>D70*Q$22</f>
        <v>9656590.5386588145</v>
      </c>
      <c r="R70" s="3096">
        <f>D70*R$22</f>
        <v>1081259.0200352708</v>
      </c>
      <c r="S70" s="3096">
        <f t="shared" si="6"/>
        <v>10737849.558694085</v>
      </c>
    </row>
    <row r="71" spans="1:19">
      <c r="A71" s="3085"/>
      <c r="B71" s="3086" t="s">
        <v>133</v>
      </c>
      <c r="C71" s="3095" t="str">
        <f>C33</f>
        <v>PTD</v>
      </c>
      <c r="D71" s="2695">
        <f>D33</f>
        <v>105832047</v>
      </c>
      <c r="E71" s="2695">
        <f t="shared" ref="E71:G71" si="8">E33</f>
        <v>36945064.11521925</v>
      </c>
      <c r="F71" s="2695">
        <f t="shared" si="8"/>
        <v>0</v>
      </c>
      <c r="G71" s="3099">
        <f t="shared" si="8"/>
        <v>68886982.88478075</v>
      </c>
      <c r="Q71" s="3096">
        <f>D71*Q$50</f>
        <v>32645004.174049143</v>
      </c>
      <c r="R71" s="3096">
        <f>D71*R$50</f>
        <v>4300059.9411701085</v>
      </c>
      <c r="S71" s="3096">
        <f t="shared" si="6"/>
        <v>36945064.11521925</v>
      </c>
    </row>
    <row r="72" spans="1:19">
      <c r="A72" s="3085"/>
      <c r="B72" s="3086" t="s">
        <v>134</v>
      </c>
      <c r="C72" s="3095" t="str">
        <f>C34</f>
        <v>PTD</v>
      </c>
      <c r="D72" s="2695">
        <f>D34</f>
        <v>381575</v>
      </c>
      <c r="E72" s="2695">
        <f t="shared" ref="E72:G72" si="9">E34</f>
        <v>133204.57497873763</v>
      </c>
      <c r="F72" s="2695">
        <f t="shared" si="9"/>
        <v>0</v>
      </c>
      <c r="G72" s="3099">
        <f t="shared" si="9"/>
        <v>248370.42502126237</v>
      </c>
      <c r="Q72" s="3096">
        <f>D72*Q$50</f>
        <v>117700.80822222782</v>
      </c>
      <c r="R72" s="3096">
        <f>D72*R$50</f>
        <v>15503.766756509813</v>
      </c>
      <c r="S72" s="3096">
        <f t="shared" si="6"/>
        <v>133204.57497873763</v>
      </c>
    </row>
    <row r="73" spans="1:19">
      <c r="A73" s="3085"/>
      <c r="B73" s="3086" t="s">
        <v>522</v>
      </c>
      <c r="C73" s="3095"/>
      <c r="D73" s="3096">
        <f>SUM(D69:D72)</f>
        <v>264532489</v>
      </c>
      <c r="E73" s="3096">
        <f>SUM(E69:E72)</f>
        <v>92053396.87212044</v>
      </c>
      <c r="F73" s="3096">
        <f>SUM(F69:F72)</f>
        <v>0</v>
      </c>
      <c r="G73" s="3097">
        <f>SUM(G69:G72)</f>
        <v>172479092.12787959</v>
      </c>
      <c r="Q73" s="3096">
        <f>SUM(Q69:Q72)</f>
        <v>81507768.633336216</v>
      </c>
      <c r="R73" s="3096">
        <f>SUM(R69:R72)</f>
        <v>10545628.238784214</v>
      </c>
      <c r="S73" s="3096">
        <f t="shared" si="6"/>
        <v>92053396.872120425</v>
      </c>
    </row>
    <row r="74" spans="1:19">
      <c r="A74" s="3085"/>
      <c r="B74" s="3114" t="s">
        <v>344</v>
      </c>
      <c r="C74" s="3125"/>
      <c r="D74" s="3128">
        <f>IF($D73=0,0,D73/$D73)</f>
        <v>1</v>
      </c>
      <c r="E74" s="3129">
        <f>IF($D73=0,0,E73/$D73)</f>
        <v>0.34798522185348824</v>
      </c>
      <c r="F74" s="3129">
        <f>IF($D73=0,0,F73/$D73)</f>
        <v>0</v>
      </c>
      <c r="G74" s="3130">
        <f>IF($D73=0,0,G73/$D73)</f>
        <v>0.65201477814651188</v>
      </c>
      <c r="O74" s="3114" t="s">
        <v>448</v>
      </c>
      <c r="Q74" s="3129">
        <f>IF(D73=0,0,Q73/D73)</f>
        <v>0.30812006850824369</v>
      </c>
      <c r="R74" s="3129">
        <f>IF(D73=0,0,R73/D73)</f>
        <v>3.9865153345244542E-2</v>
      </c>
      <c r="S74" s="3129">
        <f t="shared" si="6"/>
        <v>0.34798522185348824</v>
      </c>
    </row>
    <row r="75" spans="1:19">
      <c r="A75" s="3085"/>
      <c r="B75" s="3114"/>
      <c r="C75" s="3086"/>
      <c r="D75" s="3145"/>
      <c r="E75" s="3145"/>
      <c r="F75" s="3145"/>
      <c r="G75" s="3146"/>
      <c r="Q75" s="3145"/>
      <c r="R75" s="3145"/>
    </row>
    <row r="76" spans="1:19" ht="12" thickBot="1">
      <c r="A76" s="3085"/>
      <c r="B76" s="3114" t="s">
        <v>345</v>
      </c>
      <c r="C76" s="3086"/>
      <c r="D76" s="3110"/>
      <c r="E76" s="3110"/>
      <c r="F76" s="3110"/>
      <c r="G76" s="3147"/>
      <c r="Q76" s="3093" t="s">
        <v>240</v>
      </c>
      <c r="R76" s="3094" t="s">
        <v>241</v>
      </c>
      <c r="S76" s="3094" t="s">
        <v>104</v>
      </c>
    </row>
    <row r="77" spans="1:19" ht="12" thickBot="1">
      <c r="A77" s="3085"/>
      <c r="B77" s="3136"/>
      <c r="C77" s="3086"/>
      <c r="D77" s="3148"/>
      <c r="E77" s="3148"/>
      <c r="F77" s="3148"/>
      <c r="G77" s="3149"/>
      <c r="P77" s="3150" t="s">
        <v>180</v>
      </c>
      <c r="Q77" s="3880"/>
      <c r="R77" s="3881"/>
      <c r="S77" s="3151"/>
    </row>
    <row r="78" spans="1:19">
      <c r="A78" s="3085"/>
      <c r="B78" s="3136" t="s">
        <v>531</v>
      </c>
      <c r="C78" s="3086"/>
      <c r="D78" s="3152" t="s">
        <v>390</v>
      </c>
      <c r="E78" s="3153">
        <v>0</v>
      </c>
      <c r="F78" s="3153">
        <v>0</v>
      </c>
      <c r="G78" s="3154">
        <v>1</v>
      </c>
      <c r="H78" s="3069">
        <f>ROW()</f>
        <v>78</v>
      </c>
      <c r="J78" s="3155" t="s">
        <v>390</v>
      </c>
      <c r="K78" s="3069">
        <f>VLOOKUP(J78,$D$78:$H$87,5,FALSE)</f>
        <v>78</v>
      </c>
      <c r="P78" s="3156" t="s">
        <v>390</v>
      </c>
      <c r="Q78" s="3878">
        <v>0</v>
      </c>
      <c r="R78" s="3879"/>
      <c r="S78" s="3157"/>
    </row>
    <row r="79" spans="1:19">
      <c r="A79" s="3085"/>
      <c r="B79" s="3136" t="s">
        <v>532</v>
      </c>
      <c r="C79" s="3086"/>
      <c r="D79" s="3156" t="s">
        <v>392</v>
      </c>
      <c r="E79" s="3129">
        <v>1</v>
      </c>
      <c r="F79" s="3129">
        <v>0</v>
      </c>
      <c r="G79" s="3130">
        <v>0</v>
      </c>
      <c r="H79" s="3069">
        <f>ROW()</f>
        <v>79</v>
      </c>
      <c r="J79" s="3158" t="s">
        <v>392</v>
      </c>
      <c r="K79" s="3069">
        <f t="shared" ref="K79:K87" si="10">VLOOKUP(J79,$D$78:$H$87,5,FALSE)</f>
        <v>79</v>
      </c>
      <c r="P79" s="3156" t="s">
        <v>392</v>
      </c>
      <c r="Q79" s="3878"/>
      <c r="R79" s="3879"/>
      <c r="S79" s="3157"/>
    </row>
    <row r="80" spans="1:19">
      <c r="A80" s="3085"/>
      <c r="B80" s="3136" t="s">
        <v>533</v>
      </c>
      <c r="C80" s="3086"/>
      <c r="D80" s="3156" t="s">
        <v>391</v>
      </c>
      <c r="E80" s="3129">
        <v>0</v>
      </c>
      <c r="F80" s="3129">
        <v>1</v>
      </c>
      <c r="G80" s="3130">
        <v>0</v>
      </c>
      <c r="H80" s="3069">
        <f>ROW()</f>
        <v>80</v>
      </c>
      <c r="J80" s="3158" t="s">
        <v>391</v>
      </c>
      <c r="K80" s="3069">
        <f t="shared" si="10"/>
        <v>80</v>
      </c>
      <c r="P80" s="3156" t="s">
        <v>391</v>
      </c>
      <c r="Q80" s="3878">
        <v>0</v>
      </c>
      <c r="R80" s="3879"/>
      <c r="S80" s="3157"/>
    </row>
    <row r="81" spans="1:19">
      <c r="A81" s="3085"/>
      <c r="B81" s="3136" t="s">
        <v>534</v>
      </c>
      <c r="C81" s="3086"/>
      <c r="D81" s="3156" t="s">
        <v>90</v>
      </c>
      <c r="E81" s="3129">
        <v>0</v>
      </c>
      <c r="F81" s="3129">
        <v>0</v>
      </c>
      <c r="G81" s="3130">
        <v>0</v>
      </c>
      <c r="H81" s="3069">
        <f>ROW()</f>
        <v>81</v>
      </c>
      <c r="J81" s="3158" t="s">
        <v>90</v>
      </c>
      <c r="K81" s="3069">
        <f t="shared" si="10"/>
        <v>81</v>
      </c>
      <c r="P81" s="3156" t="s">
        <v>90</v>
      </c>
      <c r="Q81" s="3878"/>
      <c r="R81" s="3879"/>
      <c r="S81" s="3157"/>
    </row>
    <row r="82" spans="1:19">
      <c r="A82" s="3085"/>
      <c r="B82" s="3136" t="s">
        <v>92</v>
      </c>
      <c r="C82" s="3086"/>
      <c r="D82" s="3156" t="s">
        <v>91</v>
      </c>
      <c r="E82" s="3129">
        <f>E38</f>
        <v>0.34077050917683854</v>
      </c>
      <c r="F82" s="3129">
        <f>F38</f>
        <v>0</v>
      </c>
      <c r="G82" s="3130">
        <f>G38</f>
        <v>0.65922949082316151</v>
      </c>
      <c r="H82" s="3069">
        <f>ROW()</f>
        <v>82</v>
      </c>
      <c r="J82" s="3158" t="s">
        <v>91</v>
      </c>
      <c r="K82" s="3069">
        <f t="shared" si="10"/>
        <v>82</v>
      </c>
      <c r="P82" s="3156" t="s">
        <v>91</v>
      </c>
      <c r="Q82" s="3129">
        <f>Q38</f>
        <v>0.30164021230951232</v>
      </c>
      <c r="R82" s="3129">
        <f>R38</f>
        <v>3.9130296867326241E-2</v>
      </c>
      <c r="S82" s="3129">
        <f t="shared" ref="S82:S87" si="11">Q82+R82</f>
        <v>0.34077050917683854</v>
      </c>
    </row>
    <row r="83" spans="1:19">
      <c r="A83" s="3085"/>
      <c r="B83" s="3136" t="s">
        <v>94</v>
      </c>
      <c r="C83" s="3086"/>
      <c r="D83" s="3156" t="s">
        <v>93</v>
      </c>
      <c r="E83" s="3129">
        <f>E74</f>
        <v>0.34798522185348824</v>
      </c>
      <c r="F83" s="3129">
        <f>F74</f>
        <v>0</v>
      </c>
      <c r="G83" s="3130">
        <f>G74</f>
        <v>0.65201477814651188</v>
      </c>
      <c r="H83" s="3069">
        <f>ROW()</f>
        <v>83</v>
      </c>
      <c r="J83" s="3158" t="s">
        <v>93</v>
      </c>
      <c r="K83" s="3069">
        <f t="shared" si="10"/>
        <v>83</v>
      </c>
      <c r="P83" s="3156" t="s">
        <v>93</v>
      </c>
      <c r="Q83" s="3129">
        <f>Q74</f>
        <v>0.30812006850824369</v>
      </c>
      <c r="R83" s="3129">
        <f>R74</f>
        <v>3.9865153345244542E-2</v>
      </c>
      <c r="S83" s="3129">
        <f t="shared" si="11"/>
        <v>0.34798522185348824</v>
      </c>
    </row>
    <row r="84" spans="1:19">
      <c r="A84" s="3085"/>
      <c r="B84" s="3136" t="s">
        <v>530</v>
      </c>
      <c r="C84" s="3086"/>
      <c r="D84" s="3156" t="s">
        <v>95</v>
      </c>
      <c r="E84" s="3129">
        <f>E22</f>
        <v>0.33983013251548322</v>
      </c>
      <c r="F84" s="3129">
        <f>F22</f>
        <v>7.5128194867533832E-2</v>
      </c>
      <c r="G84" s="3130">
        <f>G22</f>
        <v>0.58504167261698292</v>
      </c>
      <c r="H84" s="3069">
        <f>ROW()</f>
        <v>84</v>
      </c>
      <c r="J84" s="3158" t="s">
        <v>95</v>
      </c>
      <c r="K84" s="3069">
        <f t="shared" si="10"/>
        <v>84</v>
      </c>
      <c r="P84" s="3156" t="s">
        <v>95</v>
      </c>
      <c r="Q84" s="3129">
        <f>Q22</f>
        <v>0.30561058100717958</v>
      </c>
      <c r="R84" s="3129">
        <f>R22</f>
        <v>3.4219551508303622E-2</v>
      </c>
      <c r="S84" s="3129">
        <f t="shared" si="11"/>
        <v>0.33983013251548322</v>
      </c>
    </row>
    <row r="85" spans="1:19">
      <c r="A85" s="3085"/>
      <c r="B85" s="3136" t="s">
        <v>524</v>
      </c>
      <c r="C85" s="3086"/>
      <c r="D85" s="3156" t="s">
        <v>99</v>
      </c>
      <c r="E85" s="3129">
        <f>E50</f>
        <v>0.34909146295941201</v>
      </c>
      <c r="F85" s="3129">
        <f>F50</f>
        <v>0</v>
      </c>
      <c r="G85" s="3130">
        <f>G50</f>
        <v>0.65090853704058804</v>
      </c>
      <c r="H85" s="3069">
        <f>ROW()</f>
        <v>85</v>
      </c>
      <c r="J85" s="3158" t="s">
        <v>99</v>
      </c>
      <c r="K85" s="3069">
        <f t="shared" si="10"/>
        <v>85</v>
      </c>
      <c r="P85" s="3156" t="s">
        <v>99</v>
      </c>
      <c r="Q85" s="3129">
        <f>Q50</f>
        <v>0.30846048148392274</v>
      </c>
      <c r="R85" s="3129">
        <f>R50</f>
        <v>4.0630981475489256E-2</v>
      </c>
      <c r="S85" s="3129">
        <f t="shared" si="11"/>
        <v>0.34909146295941201</v>
      </c>
    </row>
    <row r="86" spans="1:19">
      <c r="A86" s="3085"/>
      <c r="B86" s="3136" t="s">
        <v>535</v>
      </c>
      <c r="C86" s="3086"/>
      <c r="D86" s="3156" t="s">
        <v>108</v>
      </c>
      <c r="E86" s="3129">
        <f>E59</f>
        <v>0.34987259312354835</v>
      </c>
      <c r="F86" s="3129">
        <f>F59</f>
        <v>0</v>
      </c>
      <c r="G86" s="3130">
        <f>G59</f>
        <v>0.65012740668505486</v>
      </c>
      <c r="H86" s="3069">
        <f>ROW()</f>
        <v>86</v>
      </c>
      <c r="J86" s="3158" t="s">
        <v>108</v>
      </c>
      <c r="K86" s="3069">
        <f t="shared" si="10"/>
        <v>86</v>
      </c>
      <c r="P86" s="3156" t="s">
        <v>108</v>
      </c>
      <c r="Q86" s="3129">
        <f>Q59</f>
        <v>0.30916515970003511</v>
      </c>
      <c r="R86" s="3129">
        <f>R59</f>
        <v>4.0707433423513247E-2</v>
      </c>
      <c r="S86" s="3129">
        <f t="shared" si="11"/>
        <v>0.34987259312354835</v>
      </c>
    </row>
    <row r="87" spans="1:19" ht="12" thickBot="1">
      <c r="A87" s="3085"/>
      <c r="B87" s="3136" t="s">
        <v>529</v>
      </c>
      <c r="C87" s="3086"/>
      <c r="D87" s="3159" t="s">
        <v>109</v>
      </c>
      <c r="E87" s="3160">
        <f>E65</f>
        <v>0</v>
      </c>
      <c r="F87" s="3160">
        <f>F65</f>
        <v>0</v>
      </c>
      <c r="G87" s="3161">
        <f>G65</f>
        <v>1</v>
      </c>
      <c r="H87" s="3069">
        <f>ROW()</f>
        <v>87</v>
      </c>
      <c r="J87" s="3162" t="s">
        <v>109</v>
      </c>
      <c r="K87" s="3069">
        <f t="shared" si="10"/>
        <v>87</v>
      </c>
      <c r="P87" s="3159" t="s">
        <v>109</v>
      </c>
      <c r="Q87" s="3160">
        <f>Q65</f>
        <v>0</v>
      </c>
      <c r="R87" s="3160">
        <f>R65</f>
        <v>0</v>
      </c>
      <c r="S87" s="3160">
        <f t="shared" si="11"/>
        <v>0</v>
      </c>
    </row>
    <row r="88" spans="1:19" ht="12" thickBot="1">
      <c r="A88" s="3131"/>
      <c r="B88" s="3132"/>
      <c r="C88" s="3132"/>
      <c r="D88" s="3143"/>
      <c r="E88" s="3143"/>
      <c r="F88" s="3143"/>
      <c r="G88" s="3144"/>
      <c r="Q88" s="3108"/>
      <c r="R88" s="3108"/>
    </row>
    <row r="89" spans="1:19" ht="12" thickTop="1"/>
  </sheetData>
  <mergeCells count="10">
    <mergeCell ref="A3:G3"/>
    <mergeCell ref="Q79:R79"/>
    <mergeCell ref="Q80:R80"/>
    <mergeCell ref="Q81:R81"/>
    <mergeCell ref="C5:E5"/>
    <mergeCell ref="C6:E6"/>
    <mergeCell ref="C7:E7"/>
    <mergeCell ref="Q11:S11"/>
    <mergeCell ref="Q77:R77"/>
    <mergeCell ref="Q78:R78"/>
  </mergeCells>
  <dataValidations count="1">
    <dataValidation type="list" allowBlank="1" showInputMessage="1" showErrorMessage="1" sqref="C17" xr:uid="{00000000-0002-0000-0E00-000000000000}">
      <formula1>DIST</formula1>
    </dataValidation>
  </dataValidations>
  <hyperlinks>
    <hyperlink ref="A5" location="TOC!A1" display="TOC" xr:uid="{00000000-0004-0000-0E00-000000000000}"/>
    <hyperlink ref="A6" location="Ratios!A11" display="é" xr:uid="{00000000-0004-0000-0E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9" max="16383" man="1"/>
    <brk id="66" max="16383" man="1"/>
  </rowBreaks>
  <customProperties>
    <customPr name="_pios_id" r:id="rId2"/>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indexed="57"/>
  </sheetPr>
  <dimension ref="A1:AH186"/>
  <sheetViews>
    <sheetView tabSelected="1" workbookViewId="0">
      <selection activeCell="H24" sqref="H24"/>
    </sheetView>
  </sheetViews>
  <sheetFormatPr defaultColWidth="9" defaultRowHeight="11.25"/>
  <cols>
    <col min="1" max="1" width="6" style="493" bestFit="1" customWidth="1"/>
    <col min="2" max="2" width="35.75" style="493" bestFit="1" customWidth="1"/>
    <col min="3" max="3" width="13.625" style="493" customWidth="1"/>
    <col min="4" max="4" width="11" style="493" customWidth="1"/>
    <col min="5" max="5" width="13.375" style="493" customWidth="1"/>
    <col min="6" max="6" width="13" style="493" customWidth="1"/>
    <col min="7" max="7" width="12.125" style="493" customWidth="1"/>
    <col min="8" max="8" width="12.75" style="493" customWidth="1"/>
    <col min="9" max="9" width="15.125" style="493" customWidth="1"/>
    <col min="10" max="10" width="14.5" style="493" customWidth="1"/>
    <col min="11" max="11" width="16.375" style="493" customWidth="1"/>
    <col min="12" max="12" width="11.25" style="493" customWidth="1"/>
    <col min="13" max="13" width="12.75" style="493" customWidth="1"/>
    <col min="14" max="17" width="9" style="493"/>
    <col min="18" max="18" width="11.75" style="493" bestFit="1" customWidth="1"/>
    <col min="19" max="25" width="10.375" style="493" bestFit="1" customWidth="1"/>
    <col min="26" max="16384" width="9" style="493"/>
  </cols>
  <sheetData>
    <row r="1" spans="1:34" ht="12" thickTop="1">
      <c r="A1" s="2139"/>
      <c r="B1" s="3612" t="str">
        <f>'Sch 1- Rate Base '!E5</f>
        <v>PUGET SOUND ENERGY</v>
      </c>
      <c r="C1" s="2734"/>
      <c r="D1" s="2734"/>
      <c r="E1" s="2734"/>
      <c r="F1" s="3553"/>
      <c r="G1" s="3553"/>
      <c r="H1" s="3555"/>
      <c r="I1" s="3554"/>
      <c r="J1" s="3555"/>
      <c r="K1" s="3553"/>
      <c r="L1" s="3553"/>
      <c r="M1" s="3555"/>
      <c r="N1" s="3553"/>
      <c r="O1" s="3613"/>
      <c r="P1" s="3613"/>
      <c r="Q1" s="3613"/>
      <c r="R1" s="3613"/>
      <c r="S1" s="3613"/>
      <c r="T1" s="3613"/>
      <c r="U1" s="3613"/>
      <c r="V1" s="3613"/>
      <c r="W1" s="3613"/>
      <c r="X1" s="3613"/>
      <c r="Y1" s="3613"/>
      <c r="Z1" s="3557"/>
      <c r="AA1" s="3557"/>
      <c r="AB1" s="3557"/>
      <c r="AC1" s="3557"/>
      <c r="AD1" s="3557"/>
      <c r="AE1" s="3557"/>
      <c r="AF1" s="3557"/>
      <c r="AG1" s="3558">
        <v>2008</v>
      </c>
      <c r="AH1" s="3558">
        <v>1</v>
      </c>
    </row>
    <row r="2" spans="1:34">
      <c r="A2" s="2452" t="s">
        <v>685</v>
      </c>
      <c r="B2" s="3560" t="s">
        <v>580</v>
      </c>
      <c r="C2" s="589"/>
      <c r="D2" s="589"/>
      <c r="E2" s="3561" t="s">
        <v>581</v>
      </c>
      <c r="F2" s="3614"/>
      <c r="G2" s="3614"/>
      <c r="H2" s="3614"/>
      <c r="I2" s="3614"/>
      <c r="J2" s="3614"/>
      <c r="K2" s="3614"/>
      <c r="L2" s="3614"/>
      <c r="M2" s="3614"/>
      <c r="N2" s="3614"/>
      <c r="O2" s="3614"/>
      <c r="P2" s="3614"/>
      <c r="Q2" s="3614"/>
      <c r="R2" s="3614"/>
      <c r="S2" s="3614"/>
      <c r="T2" s="3614"/>
      <c r="U2" s="3614"/>
      <c r="V2" s="3614"/>
      <c r="W2" s="3614"/>
      <c r="X2" s="3614"/>
      <c r="Y2" s="3614"/>
      <c r="Z2" s="122"/>
      <c r="AA2" s="122"/>
      <c r="AB2" s="122"/>
      <c r="AC2" s="122"/>
      <c r="AD2" s="122"/>
      <c r="AE2" s="122"/>
      <c r="AF2" s="122"/>
      <c r="AG2" s="3564">
        <v>2009</v>
      </c>
      <c r="AH2" s="3564">
        <v>2</v>
      </c>
    </row>
    <row r="3" spans="1:34">
      <c r="A3" s="3215" t="s">
        <v>686</v>
      </c>
      <c r="B3" s="3566">
        <v>46478</v>
      </c>
      <c r="C3" s="589"/>
      <c r="D3" s="589"/>
      <c r="E3" s="3567" t="s">
        <v>582</v>
      </c>
      <c r="F3" s="3615"/>
      <c r="G3" s="3615"/>
      <c r="H3" s="3615"/>
      <c r="I3" s="3615"/>
      <c r="J3" s="3615"/>
      <c r="K3" s="3615"/>
      <c r="L3" s="3615"/>
      <c r="M3" s="3615"/>
      <c r="N3" s="3615"/>
      <c r="O3" s="3615"/>
      <c r="P3" s="3615"/>
      <c r="Q3" s="3615"/>
      <c r="R3" s="3615"/>
      <c r="S3" s="3615"/>
      <c r="T3" s="3615"/>
      <c r="U3" s="3615"/>
      <c r="V3" s="3615"/>
      <c r="W3" s="3615"/>
      <c r="X3" s="3615"/>
      <c r="Y3" s="3615"/>
      <c r="Z3" s="122"/>
      <c r="AA3" s="122"/>
      <c r="AB3" s="122"/>
      <c r="AC3" s="122"/>
      <c r="AD3" s="122"/>
      <c r="AE3" s="122"/>
      <c r="AF3" s="122"/>
      <c r="AG3" s="3569">
        <v>2010</v>
      </c>
      <c r="AH3" s="3564">
        <v>3</v>
      </c>
    </row>
    <row r="4" spans="1:34">
      <c r="A4" s="3193"/>
      <c r="B4" s="3616"/>
      <c r="C4" s="589"/>
      <c r="D4" s="589"/>
      <c r="E4" s="3570">
        <f>B3</f>
        <v>46478</v>
      </c>
      <c r="F4" s="3617" t="str">
        <f t="shared" ref="F4:Y4" si="0">IF(ISERROR(DATE(F2,F3,1)),"",(DATE(F2,F3,1)))</f>
        <v/>
      </c>
      <c r="G4" s="3617" t="str">
        <f t="shared" si="0"/>
        <v/>
      </c>
      <c r="H4" s="3571" t="str">
        <f t="shared" si="0"/>
        <v/>
      </c>
      <c r="I4" s="3618" t="str">
        <f t="shared" si="0"/>
        <v/>
      </c>
      <c r="J4" s="3571" t="str">
        <f t="shared" si="0"/>
        <v/>
      </c>
      <c r="K4" s="3617" t="str">
        <f t="shared" si="0"/>
        <v/>
      </c>
      <c r="L4" s="3617" t="str">
        <f t="shared" si="0"/>
        <v/>
      </c>
      <c r="M4" s="3571" t="str">
        <f t="shared" si="0"/>
        <v/>
      </c>
      <c r="N4" s="3617" t="str">
        <f t="shared" si="0"/>
        <v/>
      </c>
      <c r="O4" s="3571" t="str">
        <f t="shared" si="0"/>
        <v/>
      </c>
      <c r="P4" s="3571" t="str">
        <f t="shared" si="0"/>
        <v/>
      </c>
      <c r="Q4" s="3571" t="str">
        <f t="shared" si="0"/>
        <v/>
      </c>
      <c r="R4" s="3571" t="str">
        <f t="shared" si="0"/>
        <v/>
      </c>
      <c r="S4" s="3571" t="str">
        <f t="shared" si="0"/>
        <v/>
      </c>
      <c r="T4" s="3571" t="str">
        <f t="shared" si="0"/>
        <v/>
      </c>
      <c r="U4" s="3571" t="str">
        <f t="shared" si="0"/>
        <v/>
      </c>
      <c r="V4" s="3571" t="str">
        <f t="shared" si="0"/>
        <v/>
      </c>
      <c r="W4" s="3571" t="str">
        <f t="shared" si="0"/>
        <v/>
      </c>
      <c r="X4" s="3571" t="str">
        <f t="shared" si="0"/>
        <v/>
      </c>
      <c r="Y4" s="3571" t="str">
        <f t="shared" si="0"/>
        <v/>
      </c>
      <c r="AG4" s="3564">
        <v>2011</v>
      </c>
      <c r="AH4" s="3564">
        <v>4</v>
      </c>
    </row>
    <row r="5" spans="1:34" ht="12" thickBot="1">
      <c r="A5" s="3168">
        <v>1</v>
      </c>
      <c r="B5" s="3197">
        <v>2</v>
      </c>
      <c r="C5" s="3198">
        <v>3</v>
      </c>
      <c r="D5" s="3198">
        <v>4</v>
      </c>
      <c r="E5" s="3168">
        <v>5</v>
      </c>
      <c r="F5" s="3199">
        <v>6</v>
      </c>
      <c r="G5" s="3199">
        <v>7</v>
      </c>
      <c r="H5" s="3199">
        <v>8</v>
      </c>
      <c r="I5" s="3199">
        <v>9</v>
      </c>
      <c r="J5" s="3199">
        <v>10</v>
      </c>
      <c r="K5" s="3199">
        <v>11</v>
      </c>
      <c r="L5" s="3199">
        <v>12</v>
      </c>
      <c r="M5" s="3199">
        <v>13</v>
      </c>
      <c r="N5" s="3199">
        <v>14</v>
      </c>
      <c r="O5" s="3168">
        <v>15</v>
      </c>
      <c r="P5" s="3168">
        <v>16</v>
      </c>
      <c r="Q5" s="3168">
        <v>17</v>
      </c>
      <c r="R5" s="3168">
        <v>18</v>
      </c>
      <c r="S5" s="3168">
        <v>19</v>
      </c>
      <c r="T5" s="3168">
        <v>20</v>
      </c>
      <c r="U5" s="3168">
        <v>21</v>
      </c>
      <c r="V5" s="3168">
        <v>22</v>
      </c>
      <c r="W5" s="3168">
        <v>23</v>
      </c>
      <c r="X5" s="3168">
        <v>24</v>
      </c>
      <c r="Y5" s="3168">
        <v>25</v>
      </c>
      <c r="Z5" s="3574"/>
      <c r="AA5" s="3574">
        <v>1</v>
      </c>
      <c r="AB5" s="3574">
        <v>5</v>
      </c>
      <c r="AC5" s="3574">
        <v>5</v>
      </c>
      <c r="AD5" s="3574">
        <v>5</v>
      </c>
      <c r="AE5" s="3574"/>
      <c r="AF5" s="3574"/>
      <c r="AG5" s="3569">
        <v>2012</v>
      </c>
      <c r="AH5" s="3575">
        <v>5</v>
      </c>
    </row>
    <row r="6" spans="1:34" ht="12" thickTop="1">
      <c r="A6" s="3200"/>
      <c r="B6" s="3170" t="s">
        <v>793</v>
      </c>
      <c r="C6" s="3201"/>
      <c r="D6" s="3202"/>
      <c r="E6" s="3578"/>
      <c r="F6" s="3619"/>
      <c r="G6" s="3620"/>
      <c r="H6" s="3620"/>
      <c r="I6" s="3620"/>
      <c r="J6" s="3620"/>
      <c r="K6" s="3620"/>
      <c r="L6" s="3620"/>
      <c r="M6" s="3620"/>
      <c r="N6" s="3620"/>
      <c r="O6" s="3620"/>
      <c r="P6" s="3620"/>
      <c r="Q6" s="3620"/>
      <c r="R6" s="3620"/>
      <c r="S6" s="3620"/>
      <c r="T6" s="3620"/>
      <c r="U6" s="3620"/>
      <c r="V6" s="3620"/>
      <c r="W6" s="3620"/>
      <c r="X6" s="3620"/>
      <c r="Y6" s="3621"/>
      <c r="Z6" s="3581"/>
      <c r="AA6" s="3581"/>
      <c r="AB6" s="3581"/>
      <c r="AC6" s="3581"/>
      <c r="AD6" s="3581"/>
      <c r="AE6" s="3581"/>
      <c r="AF6" s="3581"/>
      <c r="AG6" s="3564">
        <v>2013</v>
      </c>
      <c r="AH6" s="3582">
        <v>6</v>
      </c>
    </row>
    <row r="7" spans="1:34">
      <c r="A7" s="3175">
        <v>100</v>
      </c>
      <c r="B7" s="3172" t="s">
        <v>88</v>
      </c>
      <c r="C7" s="3173" t="s">
        <v>584</v>
      </c>
      <c r="D7" s="3173"/>
      <c r="E7" s="3203"/>
      <c r="F7" s="3622"/>
      <c r="G7" s="3622"/>
      <c r="H7" s="3622"/>
      <c r="I7" s="3622"/>
      <c r="J7" s="3622"/>
      <c r="K7" s="3622"/>
      <c r="L7" s="3622"/>
      <c r="M7" s="3622"/>
      <c r="N7" s="3622"/>
      <c r="O7" s="3622"/>
      <c r="P7" s="3622"/>
      <c r="Q7" s="3622"/>
      <c r="R7" s="3622"/>
      <c r="S7" s="3622"/>
      <c r="T7" s="3622"/>
      <c r="U7" s="3622"/>
      <c r="V7" s="3622"/>
      <c r="W7" s="3622"/>
      <c r="X7" s="3622"/>
      <c r="Y7" s="3623"/>
      <c r="AG7" s="3564"/>
      <c r="AH7" s="3564">
        <v>7</v>
      </c>
    </row>
    <row r="8" spans="1:34">
      <c r="A8" s="3175">
        <v>110</v>
      </c>
      <c r="B8" s="3176" t="s">
        <v>111</v>
      </c>
      <c r="C8" s="3177" t="s">
        <v>112</v>
      </c>
      <c r="D8" s="3177"/>
      <c r="E8" s="3178"/>
      <c r="F8" s="3624">
        <v>0</v>
      </c>
      <c r="G8" s="3586">
        <v>0</v>
      </c>
      <c r="H8" s="3586">
        <v>0</v>
      </c>
      <c r="I8" s="3586">
        <v>0</v>
      </c>
      <c r="J8" s="3589">
        <v>0</v>
      </c>
      <c r="K8" s="3624">
        <v>0</v>
      </c>
      <c r="L8" s="3586">
        <v>0</v>
      </c>
      <c r="M8" s="3589">
        <v>0</v>
      </c>
      <c r="N8" s="3624">
        <v>0</v>
      </c>
      <c r="O8" s="3589">
        <v>0</v>
      </c>
      <c r="P8" s="3624">
        <v>0</v>
      </c>
      <c r="Q8" s="3586">
        <v>0</v>
      </c>
      <c r="R8" s="3586">
        <v>0</v>
      </c>
      <c r="S8" s="3586">
        <v>0</v>
      </c>
      <c r="T8" s="3589">
        <v>0</v>
      </c>
      <c r="U8" s="3624">
        <v>0</v>
      </c>
      <c r="V8" s="3586">
        <v>0</v>
      </c>
      <c r="W8" s="3586">
        <v>0</v>
      </c>
      <c r="X8" s="3586">
        <v>0</v>
      </c>
      <c r="Y8" s="3589">
        <v>0</v>
      </c>
      <c r="AG8" s="3564"/>
      <c r="AH8" s="3564">
        <v>8</v>
      </c>
    </row>
    <row r="9" spans="1:34">
      <c r="A9" s="3175">
        <v>120</v>
      </c>
      <c r="B9" s="3179" t="s">
        <v>8380</v>
      </c>
      <c r="C9" s="3180">
        <v>151</v>
      </c>
      <c r="D9" s="3180"/>
      <c r="E9" s="3178"/>
      <c r="F9" s="3586">
        <v>0</v>
      </c>
      <c r="G9" s="3586">
        <v>0</v>
      </c>
      <c r="H9" s="3586">
        <v>0</v>
      </c>
      <c r="I9" s="3586">
        <v>0</v>
      </c>
      <c r="J9" s="3589">
        <v>0</v>
      </c>
      <c r="K9" s="3586">
        <v>0</v>
      </c>
      <c r="L9" s="3586">
        <v>0</v>
      </c>
      <c r="M9" s="3589">
        <v>0</v>
      </c>
      <c r="N9" s="3586">
        <v>0</v>
      </c>
      <c r="O9" s="3589">
        <v>0</v>
      </c>
      <c r="P9" s="3586">
        <v>0</v>
      </c>
      <c r="Q9" s="3586">
        <v>0</v>
      </c>
      <c r="R9" s="3586">
        <v>0</v>
      </c>
      <c r="S9" s="3586">
        <v>0</v>
      </c>
      <c r="T9" s="3589">
        <v>0</v>
      </c>
      <c r="U9" s="3586">
        <v>0</v>
      </c>
      <c r="V9" s="3586">
        <v>0</v>
      </c>
      <c r="W9" s="3586">
        <v>0</v>
      </c>
      <c r="X9" s="3586">
        <v>0</v>
      </c>
      <c r="Y9" s="3589">
        <v>0</v>
      </c>
      <c r="AG9" s="3564"/>
      <c r="AH9" s="3564">
        <v>9</v>
      </c>
    </row>
    <row r="10" spans="1:34">
      <c r="A10" s="3175">
        <v>130</v>
      </c>
      <c r="B10" s="3176" t="s">
        <v>79</v>
      </c>
      <c r="C10" s="3177">
        <v>154</v>
      </c>
      <c r="D10" s="3177"/>
      <c r="E10" s="3178"/>
      <c r="F10" s="3586">
        <v>0</v>
      </c>
      <c r="G10" s="3586">
        <v>0</v>
      </c>
      <c r="H10" s="3586">
        <v>0</v>
      </c>
      <c r="I10" s="3586">
        <v>0</v>
      </c>
      <c r="J10" s="3589">
        <v>0</v>
      </c>
      <c r="K10" s="3586">
        <v>0</v>
      </c>
      <c r="L10" s="3586">
        <v>0</v>
      </c>
      <c r="M10" s="3589">
        <v>0</v>
      </c>
      <c r="N10" s="3586">
        <v>0</v>
      </c>
      <c r="O10" s="3589">
        <v>0</v>
      </c>
      <c r="P10" s="3586">
        <v>0</v>
      </c>
      <c r="Q10" s="3586">
        <v>0</v>
      </c>
      <c r="R10" s="3586">
        <v>0</v>
      </c>
      <c r="S10" s="3586">
        <v>0</v>
      </c>
      <c r="T10" s="3589">
        <v>0</v>
      </c>
      <c r="U10" s="3586">
        <v>0</v>
      </c>
      <c r="V10" s="3586">
        <v>0</v>
      </c>
      <c r="W10" s="3586">
        <v>0</v>
      </c>
      <c r="X10" s="3586">
        <v>0</v>
      </c>
      <c r="Y10" s="3589">
        <v>0</v>
      </c>
      <c r="AG10" s="3564"/>
      <c r="AH10" s="3564">
        <v>10</v>
      </c>
    </row>
    <row r="11" spans="1:34">
      <c r="A11" s="3175">
        <v>140</v>
      </c>
      <c r="B11" s="3179" t="s">
        <v>585</v>
      </c>
      <c r="C11" s="3180" t="s">
        <v>586</v>
      </c>
      <c r="D11" s="3180"/>
      <c r="E11" s="3178"/>
      <c r="F11" s="3586">
        <v>0</v>
      </c>
      <c r="G11" s="3586">
        <v>0</v>
      </c>
      <c r="H11" s="3586">
        <v>0</v>
      </c>
      <c r="I11" s="3586">
        <v>0</v>
      </c>
      <c r="J11" s="3589">
        <v>0</v>
      </c>
      <c r="K11" s="3586">
        <v>0</v>
      </c>
      <c r="L11" s="3586">
        <v>0</v>
      </c>
      <c r="M11" s="3589">
        <v>0</v>
      </c>
      <c r="N11" s="3586">
        <v>0</v>
      </c>
      <c r="O11" s="3589">
        <v>0</v>
      </c>
      <c r="P11" s="3586">
        <v>0</v>
      </c>
      <c r="Q11" s="3586">
        <v>0</v>
      </c>
      <c r="R11" s="3586">
        <v>0</v>
      </c>
      <c r="S11" s="3586">
        <v>0</v>
      </c>
      <c r="T11" s="3589">
        <v>0</v>
      </c>
      <c r="U11" s="3586">
        <v>0</v>
      </c>
      <c r="V11" s="3586">
        <v>0</v>
      </c>
      <c r="W11" s="3586">
        <v>0</v>
      </c>
      <c r="X11" s="3586">
        <v>0</v>
      </c>
      <c r="Y11" s="3589">
        <v>0</v>
      </c>
      <c r="AG11" s="3564"/>
      <c r="AH11" s="3564">
        <v>11</v>
      </c>
    </row>
    <row r="12" spans="1:34">
      <c r="A12" s="3175">
        <v>150</v>
      </c>
      <c r="B12" s="3181" t="s">
        <v>587</v>
      </c>
      <c r="C12" s="3182"/>
      <c r="D12" s="3182"/>
      <c r="E12" s="3174"/>
      <c r="F12" s="3591"/>
      <c r="G12" s="3591"/>
      <c r="H12" s="3591"/>
      <c r="I12" s="3591"/>
      <c r="J12" s="3591"/>
      <c r="K12" s="3591"/>
      <c r="L12" s="3591"/>
      <c r="M12" s="3591"/>
      <c r="N12" s="3591"/>
      <c r="O12" s="3591"/>
      <c r="P12" s="3591"/>
      <c r="Q12" s="3591"/>
      <c r="R12" s="3591"/>
      <c r="S12" s="3591"/>
      <c r="T12" s="3591"/>
      <c r="U12" s="3591"/>
      <c r="V12" s="3591"/>
      <c r="W12" s="3591"/>
      <c r="X12" s="3591"/>
      <c r="Y12" s="3591"/>
      <c r="AG12" s="3564"/>
      <c r="AH12" s="3564">
        <v>12</v>
      </c>
    </row>
    <row r="13" spans="1:34">
      <c r="A13" s="3175">
        <v>160</v>
      </c>
      <c r="B13" s="3179" t="s">
        <v>257</v>
      </c>
      <c r="C13" s="3177">
        <v>501</v>
      </c>
      <c r="D13" s="3177"/>
      <c r="E13" s="3178"/>
      <c r="F13" s="3625">
        <v>0</v>
      </c>
      <c r="G13" s="3625">
        <v>0</v>
      </c>
      <c r="H13" s="3625">
        <v>0</v>
      </c>
      <c r="I13" s="3625">
        <v>0</v>
      </c>
      <c r="J13" s="3625">
        <f t="shared" ref="J13" si="1">J141</f>
        <v>0</v>
      </c>
      <c r="K13" s="3625">
        <f t="shared" ref="K13:Y13" si="2">K141</f>
        <v>0</v>
      </c>
      <c r="L13" s="3625">
        <f t="shared" si="2"/>
        <v>0</v>
      </c>
      <c r="M13" s="3625">
        <f t="shared" si="2"/>
        <v>0</v>
      </c>
      <c r="N13" s="3625">
        <f t="shared" si="2"/>
        <v>0</v>
      </c>
      <c r="O13" s="3625">
        <f t="shared" si="2"/>
        <v>0</v>
      </c>
      <c r="P13" s="3625">
        <f t="shared" si="2"/>
        <v>0</v>
      </c>
      <c r="Q13" s="3625">
        <f t="shared" si="2"/>
        <v>0</v>
      </c>
      <c r="R13" s="3625">
        <f t="shared" si="2"/>
        <v>0</v>
      </c>
      <c r="S13" s="3625">
        <f t="shared" si="2"/>
        <v>0</v>
      </c>
      <c r="T13" s="3625">
        <f t="shared" si="2"/>
        <v>0</v>
      </c>
      <c r="U13" s="3625">
        <f t="shared" si="2"/>
        <v>0</v>
      </c>
      <c r="V13" s="3625">
        <f t="shared" si="2"/>
        <v>0</v>
      </c>
      <c r="W13" s="3625">
        <f t="shared" si="2"/>
        <v>0</v>
      </c>
      <c r="X13" s="3625">
        <f t="shared" si="2"/>
        <v>0</v>
      </c>
      <c r="Y13" s="3625">
        <f t="shared" si="2"/>
        <v>0</v>
      </c>
      <c r="AG13" s="3564"/>
      <c r="AH13" s="3564"/>
    </row>
    <row r="14" spans="1:34">
      <c r="A14" s="3175">
        <v>170</v>
      </c>
      <c r="B14" s="3176" t="s">
        <v>588</v>
      </c>
      <c r="C14" s="3180" t="s">
        <v>451</v>
      </c>
      <c r="D14" s="3180"/>
      <c r="E14" s="3178"/>
      <c r="F14" s="3586"/>
      <c r="G14" s="3586">
        <v>0</v>
      </c>
      <c r="H14" s="3589">
        <v>0</v>
      </c>
      <c r="I14" s="3586">
        <v>0</v>
      </c>
      <c r="J14" s="3589">
        <v>0</v>
      </c>
      <c r="K14" s="3586">
        <v>0</v>
      </c>
      <c r="L14" s="3586">
        <v>0</v>
      </c>
      <c r="M14" s="3589">
        <v>0</v>
      </c>
      <c r="N14" s="3586">
        <v>0</v>
      </c>
      <c r="O14" s="3589">
        <v>0</v>
      </c>
      <c r="P14" s="3586">
        <v>0</v>
      </c>
      <c r="Q14" s="3586">
        <v>0</v>
      </c>
      <c r="R14" s="3589">
        <v>0</v>
      </c>
      <c r="S14" s="3586">
        <v>0</v>
      </c>
      <c r="T14" s="3589">
        <v>0</v>
      </c>
      <c r="U14" s="3586">
        <v>0</v>
      </c>
      <c r="V14" s="3586">
        <v>0</v>
      </c>
      <c r="W14" s="3589">
        <v>0</v>
      </c>
      <c r="X14" s="3586">
        <v>0</v>
      </c>
      <c r="Y14" s="3589">
        <v>0</v>
      </c>
      <c r="AG14" s="3564"/>
      <c r="AH14" s="3564"/>
    </row>
    <row r="15" spans="1:34">
      <c r="A15" s="3175">
        <v>180</v>
      </c>
      <c r="B15" s="3179" t="s">
        <v>259</v>
      </c>
      <c r="C15" s="3177" t="s">
        <v>260</v>
      </c>
      <c r="D15" s="3177"/>
      <c r="E15" s="3178"/>
      <c r="F15" s="3586"/>
      <c r="G15" s="3586">
        <v>0</v>
      </c>
      <c r="H15" s="3589">
        <v>0</v>
      </c>
      <c r="I15" s="3586">
        <v>0</v>
      </c>
      <c r="J15" s="3589">
        <v>0</v>
      </c>
      <c r="K15" s="3586">
        <v>0</v>
      </c>
      <c r="L15" s="3586">
        <v>0</v>
      </c>
      <c r="M15" s="3589">
        <v>0</v>
      </c>
      <c r="N15" s="3586">
        <v>0</v>
      </c>
      <c r="O15" s="3589">
        <v>0</v>
      </c>
      <c r="P15" s="3586">
        <v>0</v>
      </c>
      <c r="Q15" s="3586">
        <v>0</v>
      </c>
      <c r="R15" s="3589">
        <v>0</v>
      </c>
      <c r="S15" s="3586">
        <v>0</v>
      </c>
      <c r="T15" s="3589">
        <v>0</v>
      </c>
      <c r="U15" s="3586">
        <v>0</v>
      </c>
      <c r="V15" s="3586">
        <v>0</v>
      </c>
      <c r="W15" s="3589">
        <v>0</v>
      </c>
      <c r="X15" s="3586">
        <v>0</v>
      </c>
      <c r="Y15" s="3589">
        <v>0</v>
      </c>
      <c r="AG15" s="3564"/>
      <c r="AH15" s="3564"/>
    </row>
    <row r="16" spans="1:34">
      <c r="A16" s="3175">
        <v>190</v>
      </c>
      <c r="B16" s="3183" t="s">
        <v>167</v>
      </c>
      <c r="C16" s="3184">
        <v>924</v>
      </c>
      <c r="D16" s="3184"/>
      <c r="E16" s="3185"/>
      <c r="F16" s="3586">
        <v>0</v>
      </c>
      <c r="G16" s="3586">
        <v>0</v>
      </c>
      <c r="H16" s="3589">
        <v>0</v>
      </c>
      <c r="I16" s="3586">
        <v>0</v>
      </c>
      <c r="J16" s="3589">
        <v>0</v>
      </c>
      <c r="K16" s="3586">
        <v>0</v>
      </c>
      <c r="L16" s="3586">
        <v>0</v>
      </c>
      <c r="M16" s="3589">
        <v>0</v>
      </c>
      <c r="N16" s="3586">
        <v>0</v>
      </c>
      <c r="O16" s="3589">
        <v>0</v>
      </c>
      <c r="P16" s="3586">
        <v>0</v>
      </c>
      <c r="Q16" s="3586">
        <v>0</v>
      </c>
      <c r="R16" s="3589">
        <v>0</v>
      </c>
      <c r="S16" s="3586">
        <v>0</v>
      </c>
      <c r="T16" s="3589">
        <v>0</v>
      </c>
      <c r="U16" s="3586">
        <v>0</v>
      </c>
      <c r="V16" s="3586">
        <v>0</v>
      </c>
      <c r="W16" s="3589">
        <v>0</v>
      </c>
      <c r="X16" s="3586">
        <v>0</v>
      </c>
      <c r="Y16" s="3589">
        <v>0</v>
      </c>
      <c r="AG16" s="3564"/>
      <c r="AH16" s="3564"/>
    </row>
    <row r="17" spans="1:34">
      <c r="A17" s="3175">
        <v>200</v>
      </c>
      <c r="B17" s="3176" t="s">
        <v>589</v>
      </c>
      <c r="C17" s="3180">
        <v>403</v>
      </c>
      <c r="D17" s="3180" t="s">
        <v>590</v>
      </c>
      <c r="E17" s="3178"/>
      <c r="F17" s="3586"/>
      <c r="G17" s="3586">
        <v>0</v>
      </c>
      <c r="H17" s="3589">
        <v>0</v>
      </c>
      <c r="I17" s="3586">
        <v>0</v>
      </c>
      <c r="J17" s="3589">
        <v>0</v>
      </c>
      <c r="K17" s="3586">
        <v>0</v>
      </c>
      <c r="L17" s="3586">
        <v>0</v>
      </c>
      <c r="M17" s="3589">
        <v>0</v>
      </c>
      <c r="N17" s="3586">
        <v>0</v>
      </c>
      <c r="O17" s="3589">
        <v>0</v>
      </c>
      <c r="P17" s="3586">
        <v>0</v>
      </c>
      <c r="Q17" s="3586">
        <v>0</v>
      </c>
      <c r="R17" s="3589">
        <v>0</v>
      </c>
      <c r="S17" s="3586">
        <v>0</v>
      </c>
      <c r="T17" s="3589">
        <v>0</v>
      </c>
      <c r="U17" s="3586">
        <v>0</v>
      </c>
      <c r="V17" s="3586">
        <v>0</v>
      </c>
      <c r="W17" s="3589">
        <v>0</v>
      </c>
      <c r="X17" s="3586">
        <v>0</v>
      </c>
      <c r="Y17" s="3589">
        <v>0</v>
      </c>
      <c r="AG17" s="3564"/>
      <c r="AH17" s="3564"/>
    </row>
    <row r="18" spans="1:34">
      <c r="A18" s="3175">
        <v>210</v>
      </c>
      <c r="B18" s="3176" t="s">
        <v>591</v>
      </c>
      <c r="C18" s="3177">
        <v>447</v>
      </c>
      <c r="D18" s="3177" t="s">
        <v>592</v>
      </c>
      <c r="E18" s="3178"/>
      <c r="F18" s="3586">
        <v>0</v>
      </c>
      <c r="G18" s="3586">
        <v>0</v>
      </c>
      <c r="H18" s="3589">
        <v>0</v>
      </c>
      <c r="I18" s="3586">
        <v>0</v>
      </c>
      <c r="J18" s="3589">
        <v>0</v>
      </c>
      <c r="K18" s="3586">
        <v>0</v>
      </c>
      <c r="L18" s="3586">
        <v>0</v>
      </c>
      <c r="M18" s="3589">
        <v>0</v>
      </c>
      <c r="N18" s="3586">
        <v>0</v>
      </c>
      <c r="O18" s="3589">
        <v>0</v>
      </c>
      <c r="P18" s="3586">
        <v>0</v>
      </c>
      <c r="Q18" s="3586">
        <v>0</v>
      </c>
      <c r="R18" s="3589">
        <v>0</v>
      </c>
      <c r="S18" s="3586">
        <v>0</v>
      </c>
      <c r="T18" s="3589">
        <v>0</v>
      </c>
      <c r="U18" s="3586">
        <v>0</v>
      </c>
      <c r="V18" s="3586">
        <v>0</v>
      </c>
      <c r="W18" s="3589">
        <v>0</v>
      </c>
      <c r="X18" s="3586">
        <v>0</v>
      </c>
      <c r="Y18" s="3589">
        <v>0</v>
      </c>
      <c r="AG18" s="3564"/>
      <c r="AH18" s="3564"/>
    </row>
    <row r="19" spans="1:34">
      <c r="A19" s="3175">
        <v>220</v>
      </c>
      <c r="B19" s="3179" t="s">
        <v>593</v>
      </c>
      <c r="C19" s="3180"/>
      <c r="D19" s="3177" t="s">
        <v>592</v>
      </c>
      <c r="E19" s="3178"/>
      <c r="F19" s="3586">
        <v>0</v>
      </c>
      <c r="G19" s="3586">
        <v>0</v>
      </c>
      <c r="H19" s="3589">
        <v>0</v>
      </c>
      <c r="I19" s="3586">
        <v>0</v>
      </c>
      <c r="J19" s="3589">
        <v>0</v>
      </c>
      <c r="K19" s="3586">
        <v>0</v>
      </c>
      <c r="L19" s="3586">
        <v>0</v>
      </c>
      <c r="M19" s="3589">
        <v>0</v>
      </c>
      <c r="N19" s="3586">
        <v>0</v>
      </c>
      <c r="O19" s="3589">
        <v>0</v>
      </c>
      <c r="P19" s="3586">
        <v>0</v>
      </c>
      <c r="Q19" s="3586">
        <v>0</v>
      </c>
      <c r="R19" s="3589">
        <v>0</v>
      </c>
      <c r="S19" s="3586">
        <v>0</v>
      </c>
      <c r="T19" s="3589">
        <v>0</v>
      </c>
      <c r="U19" s="3586">
        <v>0</v>
      </c>
      <c r="V19" s="3586">
        <v>0</v>
      </c>
      <c r="W19" s="3589">
        <v>0</v>
      </c>
      <c r="X19" s="3586">
        <v>0</v>
      </c>
      <c r="Y19" s="3589">
        <v>0</v>
      </c>
      <c r="AG19" s="3564"/>
      <c r="AH19" s="3564"/>
    </row>
    <row r="20" spans="1:34">
      <c r="A20" s="3175">
        <v>230</v>
      </c>
      <c r="B20" s="3176" t="s">
        <v>594</v>
      </c>
      <c r="C20" s="3177"/>
      <c r="D20" s="3177" t="s">
        <v>592</v>
      </c>
      <c r="E20" s="3178"/>
      <c r="F20" s="3625">
        <v>0</v>
      </c>
      <c r="G20" s="3625">
        <v>0</v>
      </c>
      <c r="H20" s="3625">
        <v>0</v>
      </c>
      <c r="I20" s="3625">
        <v>0</v>
      </c>
      <c r="J20" s="3625">
        <f t="shared" ref="J20" si="3">J140</f>
        <v>0</v>
      </c>
      <c r="K20" s="3625">
        <f t="shared" ref="K20:Y20" si="4">K140</f>
        <v>0</v>
      </c>
      <c r="L20" s="3625">
        <f t="shared" si="4"/>
        <v>0</v>
      </c>
      <c r="M20" s="3625">
        <f t="shared" si="4"/>
        <v>0</v>
      </c>
      <c r="N20" s="3625">
        <f t="shared" si="4"/>
        <v>0</v>
      </c>
      <c r="O20" s="3625">
        <f t="shared" si="4"/>
        <v>0</v>
      </c>
      <c r="P20" s="3625">
        <f t="shared" si="4"/>
        <v>0</v>
      </c>
      <c r="Q20" s="3625">
        <f t="shared" si="4"/>
        <v>0</v>
      </c>
      <c r="R20" s="3625">
        <f t="shared" si="4"/>
        <v>0</v>
      </c>
      <c r="S20" s="3625">
        <f t="shared" si="4"/>
        <v>0</v>
      </c>
      <c r="T20" s="3625">
        <f t="shared" si="4"/>
        <v>0</v>
      </c>
      <c r="U20" s="3625">
        <f t="shared" si="4"/>
        <v>0</v>
      </c>
      <c r="V20" s="3625">
        <f t="shared" si="4"/>
        <v>0</v>
      </c>
      <c r="W20" s="3625">
        <f t="shared" si="4"/>
        <v>0</v>
      </c>
      <c r="X20" s="3625">
        <f t="shared" si="4"/>
        <v>0</v>
      </c>
      <c r="Y20" s="3625">
        <f t="shared" si="4"/>
        <v>0</v>
      </c>
      <c r="AG20" s="3564"/>
      <c r="AH20" s="3564"/>
    </row>
    <row r="21" spans="1:34">
      <c r="A21" s="3175">
        <v>240</v>
      </c>
      <c r="B21" s="3181" t="s">
        <v>89</v>
      </c>
      <c r="C21" s="3182"/>
      <c r="D21" s="3182"/>
      <c r="E21" s="3174"/>
      <c r="F21" s="3174"/>
      <c r="G21" s="3174"/>
      <c r="H21" s="3174"/>
      <c r="I21" s="3174"/>
      <c r="J21" s="3591"/>
      <c r="K21" s="3174"/>
      <c r="L21" s="3174"/>
      <c r="M21" s="3174"/>
      <c r="N21" s="3174"/>
      <c r="O21" s="3591"/>
      <c r="P21" s="3174"/>
      <c r="Q21" s="3174"/>
      <c r="R21" s="3174"/>
      <c r="S21" s="3174"/>
      <c r="T21" s="3591"/>
      <c r="U21" s="3174"/>
      <c r="V21" s="3174"/>
      <c r="W21" s="3174"/>
      <c r="X21" s="3174"/>
      <c r="Y21" s="3591"/>
      <c r="AG21" s="3564"/>
      <c r="AH21" s="3564"/>
    </row>
    <row r="22" spans="1:34">
      <c r="A22" s="3175">
        <v>250</v>
      </c>
      <c r="B22" s="3176" t="s">
        <v>113</v>
      </c>
      <c r="C22" s="3177" t="s">
        <v>114</v>
      </c>
      <c r="D22" s="3177"/>
      <c r="E22" s="3178"/>
      <c r="F22" s="3586">
        <v>0</v>
      </c>
      <c r="G22" s="3586">
        <v>0</v>
      </c>
      <c r="H22" s="3589">
        <v>0</v>
      </c>
      <c r="I22" s="3586">
        <v>0</v>
      </c>
      <c r="J22" s="3589">
        <v>0</v>
      </c>
      <c r="K22" s="3586">
        <v>0</v>
      </c>
      <c r="L22" s="3586">
        <v>0</v>
      </c>
      <c r="M22" s="3589">
        <v>0</v>
      </c>
      <c r="N22" s="3586">
        <v>0</v>
      </c>
      <c r="O22" s="3589">
        <v>0</v>
      </c>
      <c r="P22" s="3586">
        <v>0</v>
      </c>
      <c r="Q22" s="3586">
        <v>0</v>
      </c>
      <c r="R22" s="3589">
        <v>0</v>
      </c>
      <c r="S22" s="3586">
        <v>0</v>
      </c>
      <c r="T22" s="3589">
        <v>0</v>
      </c>
      <c r="U22" s="3586">
        <v>0</v>
      </c>
      <c r="V22" s="3586">
        <v>0</v>
      </c>
      <c r="W22" s="3589">
        <v>0</v>
      </c>
      <c r="X22" s="3586">
        <v>0</v>
      </c>
      <c r="Y22" s="3589">
        <v>0</v>
      </c>
      <c r="AG22" s="3564"/>
      <c r="AH22" s="3564"/>
    </row>
    <row r="23" spans="1:34">
      <c r="A23" s="3175">
        <v>260</v>
      </c>
      <c r="B23" s="3176" t="s">
        <v>8381</v>
      </c>
      <c r="C23" s="3180" t="s">
        <v>255</v>
      </c>
      <c r="D23" s="3180" t="s">
        <v>590</v>
      </c>
      <c r="E23" s="3178"/>
      <c r="F23" s="3586">
        <v>0</v>
      </c>
      <c r="G23" s="3586">
        <v>0</v>
      </c>
      <c r="H23" s="3589">
        <v>0</v>
      </c>
      <c r="I23" s="3586">
        <v>0</v>
      </c>
      <c r="J23" s="3589">
        <v>0</v>
      </c>
      <c r="K23" s="3586">
        <v>0</v>
      </c>
      <c r="L23" s="3586">
        <v>0</v>
      </c>
      <c r="M23" s="3589">
        <v>0</v>
      </c>
      <c r="N23" s="3586">
        <v>0</v>
      </c>
      <c r="O23" s="3589">
        <v>0</v>
      </c>
      <c r="P23" s="3586">
        <v>0</v>
      </c>
      <c r="Q23" s="3586">
        <v>0</v>
      </c>
      <c r="R23" s="3589">
        <v>0</v>
      </c>
      <c r="S23" s="3586">
        <v>0</v>
      </c>
      <c r="T23" s="3589">
        <v>0</v>
      </c>
      <c r="U23" s="3586">
        <v>0</v>
      </c>
      <c r="V23" s="3586">
        <v>0</v>
      </c>
      <c r="W23" s="3589">
        <v>0</v>
      </c>
      <c r="X23" s="3586">
        <v>0</v>
      </c>
      <c r="Y23" s="3589">
        <v>0</v>
      </c>
      <c r="AG23" s="3564"/>
      <c r="AH23" s="3564"/>
    </row>
    <row r="24" spans="1:34">
      <c r="A24" s="3175">
        <v>270</v>
      </c>
      <c r="B24" s="3176" t="s">
        <v>79</v>
      </c>
      <c r="C24" s="3177">
        <v>154</v>
      </c>
      <c r="D24" s="3177"/>
      <c r="E24" s="3178"/>
      <c r="F24" s="3586">
        <v>0</v>
      </c>
      <c r="G24" s="3586">
        <v>0</v>
      </c>
      <c r="H24" s="3589">
        <v>0</v>
      </c>
      <c r="I24" s="3586">
        <v>0</v>
      </c>
      <c r="J24" s="3589">
        <v>0</v>
      </c>
      <c r="K24" s="3586">
        <v>0</v>
      </c>
      <c r="L24" s="3586">
        <v>0</v>
      </c>
      <c r="M24" s="3589">
        <v>0</v>
      </c>
      <c r="N24" s="3586">
        <v>0</v>
      </c>
      <c r="O24" s="3589">
        <v>0</v>
      </c>
      <c r="P24" s="3586">
        <v>0</v>
      </c>
      <c r="Q24" s="3586">
        <v>0</v>
      </c>
      <c r="R24" s="3589">
        <v>0</v>
      </c>
      <c r="S24" s="3586">
        <v>0</v>
      </c>
      <c r="T24" s="3589">
        <v>0</v>
      </c>
      <c r="U24" s="3586">
        <v>0</v>
      </c>
      <c r="V24" s="3586">
        <v>0</v>
      </c>
      <c r="W24" s="3589">
        <v>0</v>
      </c>
      <c r="X24" s="3586">
        <v>0</v>
      </c>
      <c r="Y24" s="3589">
        <v>0</v>
      </c>
      <c r="AG24" s="3564"/>
      <c r="AH24" s="3564"/>
    </row>
    <row r="25" spans="1:34">
      <c r="A25" s="3175">
        <v>280</v>
      </c>
      <c r="B25" s="3181" t="s">
        <v>595</v>
      </c>
      <c r="C25" s="3182"/>
      <c r="D25" s="3182"/>
      <c r="E25" s="3174"/>
      <c r="F25" s="3174"/>
      <c r="G25" s="3174"/>
      <c r="H25" s="3174"/>
      <c r="I25" s="3174"/>
      <c r="J25" s="3591"/>
      <c r="K25" s="3174"/>
      <c r="L25" s="3174"/>
      <c r="M25" s="3174"/>
      <c r="N25" s="3174"/>
      <c r="O25" s="3591"/>
      <c r="P25" s="3174"/>
      <c r="Q25" s="3174"/>
      <c r="R25" s="3174"/>
      <c r="S25" s="3174"/>
      <c r="T25" s="3591"/>
      <c r="U25" s="3174"/>
      <c r="V25" s="3174"/>
      <c r="W25" s="3174"/>
      <c r="X25" s="3174"/>
      <c r="Y25" s="3591"/>
      <c r="AG25" s="3564"/>
      <c r="AH25" s="3564"/>
    </row>
    <row r="26" spans="1:34">
      <c r="A26" s="3175">
        <v>290</v>
      </c>
      <c r="B26" s="3186" t="s">
        <v>8382</v>
      </c>
      <c r="C26" s="3177">
        <v>518</v>
      </c>
      <c r="D26" s="3177"/>
      <c r="E26" s="3185"/>
      <c r="F26" s="3625">
        <v>0</v>
      </c>
      <c r="G26" s="3625">
        <v>0</v>
      </c>
      <c r="H26" s="3625">
        <v>0</v>
      </c>
      <c r="I26" s="3625">
        <v>0</v>
      </c>
      <c r="J26" s="3625">
        <f t="shared" ref="J26" si="5">J150</f>
        <v>0</v>
      </c>
      <c r="K26" s="3625">
        <f t="shared" ref="K26:Y26" si="6">K150</f>
        <v>0</v>
      </c>
      <c r="L26" s="3625">
        <f t="shared" si="6"/>
        <v>0</v>
      </c>
      <c r="M26" s="3625">
        <f t="shared" si="6"/>
        <v>0</v>
      </c>
      <c r="N26" s="3625">
        <f t="shared" si="6"/>
        <v>0</v>
      </c>
      <c r="O26" s="3625">
        <f t="shared" si="6"/>
        <v>0</v>
      </c>
      <c r="P26" s="3625">
        <f t="shared" si="6"/>
        <v>0</v>
      </c>
      <c r="Q26" s="3625">
        <f t="shared" si="6"/>
        <v>0</v>
      </c>
      <c r="R26" s="3625">
        <f t="shared" si="6"/>
        <v>0</v>
      </c>
      <c r="S26" s="3625">
        <f t="shared" si="6"/>
        <v>0</v>
      </c>
      <c r="T26" s="3625">
        <f t="shared" si="6"/>
        <v>0</v>
      </c>
      <c r="U26" s="3625">
        <f t="shared" si="6"/>
        <v>0</v>
      </c>
      <c r="V26" s="3625">
        <f t="shared" si="6"/>
        <v>0</v>
      </c>
      <c r="W26" s="3625">
        <f t="shared" si="6"/>
        <v>0</v>
      </c>
      <c r="X26" s="3625">
        <f t="shared" si="6"/>
        <v>0</v>
      </c>
      <c r="Y26" s="3625">
        <f t="shared" si="6"/>
        <v>0</v>
      </c>
      <c r="AG26" s="3564"/>
      <c r="AH26" s="3564"/>
    </row>
    <row r="27" spans="1:34">
      <c r="A27" s="3175">
        <v>300</v>
      </c>
      <c r="B27" s="3186" t="s">
        <v>262</v>
      </c>
      <c r="C27" s="3177" t="s">
        <v>452</v>
      </c>
      <c r="D27" s="3177"/>
      <c r="E27" s="3185"/>
      <c r="F27" s="3586">
        <v>0</v>
      </c>
      <c r="G27" s="3586">
        <v>0</v>
      </c>
      <c r="H27" s="3589">
        <v>0</v>
      </c>
      <c r="I27" s="3586">
        <v>0</v>
      </c>
      <c r="J27" s="3589">
        <v>0</v>
      </c>
      <c r="K27" s="3586">
        <v>0</v>
      </c>
      <c r="L27" s="3586">
        <v>0</v>
      </c>
      <c r="M27" s="3589">
        <v>0</v>
      </c>
      <c r="N27" s="3586">
        <v>0</v>
      </c>
      <c r="O27" s="3589">
        <v>0</v>
      </c>
      <c r="P27" s="3586">
        <v>0</v>
      </c>
      <c r="Q27" s="3586">
        <v>0</v>
      </c>
      <c r="R27" s="3589">
        <v>0</v>
      </c>
      <c r="S27" s="3586">
        <v>0</v>
      </c>
      <c r="T27" s="3589">
        <v>0</v>
      </c>
      <c r="U27" s="3586">
        <v>0</v>
      </c>
      <c r="V27" s="3586">
        <v>0</v>
      </c>
      <c r="W27" s="3589">
        <v>0</v>
      </c>
      <c r="X27" s="3586">
        <v>0</v>
      </c>
      <c r="Y27" s="3589">
        <v>0</v>
      </c>
      <c r="AG27" s="3564"/>
      <c r="AH27" s="3564"/>
    </row>
    <row r="28" spans="1:34">
      <c r="A28" s="3175">
        <v>310</v>
      </c>
      <c r="B28" s="3186" t="s">
        <v>478</v>
      </c>
      <c r="C28" s="3177" t="s">
        <v>479</v>
      </c>
      <c r="D28" s="3177"/>
      <c r="E28" s="3185"/>
      <c r="F28" s="3586">
        <v>0</v>
      </c>
      <c r="G28" s="3586">
        <v>0</v>
      </c>
      <c r="H28" s="3589">
        <v>0</v>
      </c>
      <c r="I28" s="3586">
        <v>0</v>
      </c>
      <c r="J28" s="3589">
        <v>0</v>
      </c>
      <c r="K28" s="3586">
        <v>0</v>
      </c>
      <c r="L28" s="3586">
        <v>0</v>
      </c>
      <c r="M28" s="3589">
        <v>0</v>
      </c>
      <c r="N28" s="3586">
        <v>0</v>
      </c>
      <c r="O28" s="3589">
        <v>0</v>
      </c>
      <c r="P28" s="3586">
        <v>0</v>
      </c>
      <c r="Q28" s="3586">
        <v>0</v>
      </c>
      <c r="R28" s="3589">
        <v>0</v>
      </c>
      <c r="S28" s="3586">
        <v>0</v>
      </c>
      <c r="T28" s="3589">
        <v>0</v>
      </c>
      <c r="U28" s="3586">
        <v>0</v>
      </c>
      <c r="V28" s="3586">
        <v>0</v>
      </c>
      <c r="W28" s="3589">
        <v>0</v>
      </c>
      <c r="X28" s="3586">
        <v>0</v>
      </c>
      <c r="Y28" s="3589">
        <v>0</v>
      </c>
      <c r="AG28" s="3564"/>
      <c r="AH28" s="3564"/>
    </row>
    <row r="29" spans="1:34">
      <c r="A29" s="3175">
        <v>320</v>
      </c>
      <c r="B29" s="3186" t="s">
        <v>167</v>
      </c>
      <c r="C29" s="3177">
        <v>924</v>
      </c>
      <c r="D29" s="3177"/>
      <c r="E29" s="3185"/>
      <c r="F29" s="3586">
        <v>0</v>
      </c>
      <c r="G29" s="3586">
        <v>0</v>
      </c>
      <c r="H29" s="3589">
        <v>0</v>
      </c>
      <c r="I29" s="3586">
        <v>0</v>
      </c>
      <c r="J29" s="3589">
        <v>0</v>
      </c>
      <c r="K29" s="3586">
        <v>0</v>
      </c>
      <c r="L29" s="3586">
        <v>0</v>
      </c>
      <c r="M29" s="3589">
        <v>0</v>
      </c>
      <c r="N29" s="3586">
        <v>0</v>
      </c>
      <c r="O29" s="3589">
        <v>0</v>
      </c>
      <c r="P29" s="3586">
        <v>0</v>
      </c>
      <c r="Q29" s="3586">
        <v>0</v>
      </c>
      <c r="R29" s="3589">
        <v>0</v>
      </c>
      <c r="S29" s="3586">
        <v>0</v>
      </c>
      <c r="T29" s="3589">
        <v>0</v>
      </c>
      <c r="U29" s="3586">
        <v>0</v>
      </c>
      <c r="V29" s="3586">
        <v>0</v>
      </c>
      <c r="W29" s="3589">
        <v>0</v>
      </c>
      <c r="X29" s="3586">
        <v>0</v>
      </c>
      <c r="Y29" s="3589">
        <v>0</v>
      </c>
      <c r="AG29" s="3564"/>
      <c r="AH29" s="3564"/>
    </row>
    <row r="30" spans="1:34">
      <c r="A30" s="3175">
        <v>330</v>
      </c>
      <c r="B30" s="3186" t="s">
        <v>589</v>
      </c>
      <c r="C30" s="3177">
        <v>403</v>
      </c>
      <c r="D30" s="3177" t="s">
        <v>590</v>
      </c>
      <c r="E30" s="3185"/>
      <c r="F30" s="3586">
        <v>0</v>
      </c>
      <c r="G30" s="3586">
        <v>0</v>
      </c>
      <c r="H30" s="3589">
        <v>0</v>
      </c>
      <c r="I30" s="3586">
        <v>0</v>
      </c>
      <c r="J30" s="3589">
        <v>0</v>
      </c>
      <c r="K30" s="3586">
        <v>0</v>
      </c>
      <c r="L30" s="3586">
        <v>0</v>
      </c>
      <c r="M30" s="3589">
        <v>0</v>
      </c>
      <c r="N30" s="3586">
        <v>0</v>
      </c>
      <c r="O30" s="3589">
        <v>0</v>
      </c>
      <c r="P30" s="3586">
        <v>0</v>
      </c>
      <c r="Q30" s="3586">
        <v>0</v>
      </c>
      <c r="R30" s="3589">
        <v>0</v>
      </c>
      <c r="S30" s="3586">
        <v>0</v>
      </c>
      <c r="T30" s="3589">
        <v>0</v>
      </c>
      <c r="U30" s="3586">
        <v>0</v>
      </c>
      <c r="V30" s="3586">
        <v>0</v>
      </c>
      <c r="W30" s="3589">
        <v>0</v>
      </c>
      <c r="X30" s="3586">
        <v>0</v>
      </c>
      <c r="Y30" s="3589">
        <v>0</v>
      </c>
      <c r="AG30" s="3564"/>
      <c r="AH30" s="3564"/>
    </row>
    <row r="31" spans="1:34">
      <c r="A31" s="3175">
        <v>340</v>
      </c>
      <c r="B31" s="3176" t="s">
        <v>591</v>
      </c>
      <c r="C31" s="3177">
        <v>447</v>
      </c>
      <c r="D31" s="3177" t="s">
        <v>592</v>
      </c>
      <c r="E31" s="3178"/>
      <c r="F31" s="3586">
        <v>0</v>
      </c>
      <c r="G31" s="3586">
        <v>0</v>
      </c>
      <c r="H31" s="3589">
        <v>0</v>
      </c>
      <c r="I31" s="3586">
        <v>0</v>
      </c>
      <c r="J31" s="3589">
        <v>0</v>
      </c>
      <c r="K31" s="3586">
        <v>0</v>
      </c>
      <c r="L31" s="3586">
        <v>0</v>
      </c>
      <c r="M31" s="3589">
        <v>0</v>
      </c>
      <c r="N31" s="3586">
        <v>0</v>
      </c>
      <c r="O31" s="3589">
        <v>0</v>
      </c>
      <c r="P31" s="3586">
        <v>0</v>
      </c>
      <c r="Q31" s="3586">
        <v>0</v>
      </c>
      <c r="R31" s="3589">
        <v>0</v>
      </c>
      <c r="S31" s="3586">
        <v>0</v>
      </c>
      <c r="T31" s="3589">
        <v>0</v>
      </c>
      <c r="U31" s="3586">
        <v>0</v>
      </c>
      <c r="V31" s="3586">
        <v>0</v>
      </c>
      <c r="W31" s="3589">
        <v>0</v>
      </c>
      <c r="X31" s="3586">
        <v>0</v>
      </c>
      <c r="Y31" s="3589">
        <v>0</v>
      </c>
      <c r="AG31" s="3564"/>
      <c r="AH31" s="3564"/>
    </row>
    <row r="32" spans="1:34">
      <c r="A32" s="3175">
        <v>350</v>
      </c>
      <c r="B32" s="3179" t="s">
        <v>593</v>
      </c>
      <c r="C32" s="3180"/>
      <c r="D32" s="3177" t="s">
        <v>592</v>
      </c>
      <c r="E32" s="3178"/>
      <c r="F32" s="3586">
        <v>0</v>
      </c>
      <c r="G32" s="3586">
        <v>0</v>
      </c>
      <c r="H32" s="3589">
        <v>0</v>
      </c>
      <c r="I32" s="3586">
        <v>0</v>
      </c>
      <c r="J32" s="3589">
        <v>0</v>
      </c>
      <c r="K32" s="3586">
        <v>0</v>
      </c>
      <c r="L32" s="3586">
        <v>0</v>
      </c>
      <c r="M32" s="3589">
        <v>0</v>
      </c>
      <c r="N32" s="3586">
        <v>0</v>
      </c>
      <c r="O32" s="3589">
        <v>0</v>
      </c>
      <c r="P32" s="3586">
        <v>0</v>
      </c>
      <c r="Q32" s="3586">
        <v>0</v>
      </c>
      <c r="R32" s="3589">
        <v>0</v>
      </c>
      <c r="S32" s="3586">
        <v>0</v>
      </c>
      <c r="T32" s="3589">
        <v>0</v>
      </c>
      <c r="U32" s="3586">
        <v>0</v>
      </c>
      <c r="V32" s="3586">
        <v>0</v>
      </c>
      <c r="W32" s="3589">
        <v>0</v>
      </c>
      <c r="X32" s="3586">
        <v>0</v>
      </c>
      <c r="Y32" s="3589">
        <v>0</v>
      </c>
      <c r="AG32" s="3564"/>
      <c r="AH32" s="3564"/>
    </row>
    <row r="33" spans="1:34">
      <c r="A33" s="3175">
        <v>360</v>
      </c>
      <c r="B33" s="3176" t="s">
        <v>594</v>
      </c>
      <c r="C33" s="3177"/>
      <c r="D33" s="3177" t="s">
        <v>592</v>
      </c>
      <c r="E33" s="3178"/>
      <c r="F33" s="3625">
        <v>0</v>
      </c>
      <c r="G33" s="3625">
        <v>0</v>
      </c>
      <c r="H33" s="3625">
        <v>0</v>
      </c>
      <c r="I33" s="3625">
        <v>0</v>
      </c>
      <c r="J33" s="3625">
        <f t="shared" ref="J33" si="7">J149</f>
        <v>0</v>
      </c>
      <c r="K33" s="3625">
        <f t="shared" ref="K33:Y33" si="8">K149</f>
        <v>0</v>
      </c>
      <c r="L33" s="3625">
        <f t="shared" si="8"/>
        <v>0</v>
      </c>
      <c r="M33" s="3625">
        <f t="shared" si="8"/>
        <v>0</v>
      </c>
      <c r="N33" s="3625">
        <f t="shared" si="8"/>
        <v>0</v>
      </c>
      <c r="O33" s="3625">
        <f t="shared" si="8"/>
        <v>0</v>
      </c>
      <c r="P33" s="3625">
        <f t="shared" si="8"/>
        <v>0</v>
      </c>
      <c r="Q33" s="3625">
        <f t="shared" si="8"/>
        <v>0</v>
      </c>
      <c r="R33" s="3625">
        <f t="shared" si="8"/>
        <v>0</v>
      </c>
      <c r="S33" s="3625">
        <f t="shared" si="8"/>
        <v>0</v>
      </c>
      <c r="T33" s="3625">
        <f t="shared" si="8"/>
        <v>0</v>
      </c>
      <c r="U33" s="3625">
        <f t="shared" si="8"/>
        <v>0</v>
      </c>
      <c r="V33" s="3625">
        <f t="shared" si="8"/>
        <v>0</v>
      </c>
      <c r="W33" s="3625">
        <f t="shared" si="8"/>
        <v>0</v>
      </c>
      <c r="X33" s="3625">
        <f t="shared" si="8"/>
        <v>0</v>
      </c>
      <c r="Y33" s="3625">
        <f t="shared" si="8"/>
        <v>0</v>
      </c>
      <c r="AG33" s="3564"/>
      <c r="AH33" s="3564"/>
    </row>
    <row r="34" spans="1:34">
      <c r="A34" s="3175">
        <v>370</v>
      </c>
      <c r="B34" s="3181" t="s">
        <v>596</v>
      </c>
      <c r="C34" s="3182"/>
      <c r="D34" s="3182"/>
      <c r="E34" s="3174"/>
      <c r="F34" s="3591"/>
      <c r="G34" s="3591"/>
      <c r="H34" s="3591"/>
      <c r="I34" s="3591"/>
      <c r="J34" s="3591"/>
      <c r="K34" s="3591"/>
      <c r="L34" s="3591"/>
      <c r="M34" s="3591"/>
      <c r="N34" s="3591"/>
      <c r="O34" s="3591"/>
      <c r="P34" s="3591"/>
      <c r="Q34" s="3591"/>
      <c r="R34" s="3591"/>
      <c r="S34" s="3591"/>
      <c r="T34" s="3591"/>
      <c r="U34" s="3591"/>
      <c r="V34" s="3591"/>
      <c r="W34" s="3591"/>
      <c r="X34" s="3591"/>
      <c r="Y34" s="3591"/>
      <c r="AG34" s="3564"/>
      <c r="AH34" s="3564"/>
    </row>
    <row r="35" spans="1:34">
      <c r="A35" s="3175">
        <v>380</v>
      </c>
      <c r="B35" s="3176" t="s">
        <v>115</v>
      </c>
      <c r="C35" s="3177" t="s">
        <v>116</v>
      </c>
      <c r="D35" s="3177"/>
      <c r="E35" s="3178"/>
      <c r="F35" s="3586">
        <v>0</v>
      </c>
      <c r="G35" s="3586">
        <v>0</v>
      </c>
      <c r="H35" s="3586">
        <v>0</v>
      </c>
      <c r="I35" s="3586">
        <v>0</v>
      </c>
      <c r="J35" s="3589">
        <v>0</v>
      </c>
      <c r="K35" s="3586">
        <v>0</v>
      </c>
      <c r="L35" s="3586">
        <v>0</v>
      </c>
      <c r="M35" s="3586">
        <v>0</v>
      </c>
      <c r="N35" s="3586">
        <v>0</v>
      </c>
      <c r="O35" s="3589">
        <v>0</v>
      </c>
      <c r="P35" s="3586">
        <v>0</v>
      </c>
      <c r="Q35" s="3586">
        <v>0</v>
      </c>
      <c r="R35" s="3586">
        <v>0</v>
      </c>
      <c r="S35" s="3586">
        <v>0</v>
      </c>
      <c r="T35" s="3589">
        <v>0</v>
      </c>
      <c r="U35" s="3586">
        <v>0</v>
      </c>
      <c r="V35" s="3586">
        <v>0</v>
      </c>
      <c r="W35" s="3586">
        <v>0</v>
      </c>
      <c r="X35" s="3586">
        <v>0</v>
      </c>
      <c r="Y35" s="3589">
        <v>0</v>
      </c>
      <c r="AG35" s="3564"/>
      <c r="AH35" s="3564"/>
    </row>
    <row r="36" spans="1:34">
      <c r="A36" s="3175">
        <v>390</v>
      </c>
      <c r="B36" s="3179" t="s">
        <v>79</v>
      </c>
      <c r="C36" s="3177">
        <v>154</v>
      </c>
      <c r="D36" s="3177"/>
      <c r="E36" s="3178"/>
      <c r="F36" s="3626">
        <v>0</v>
      </c>
      <c r="G36" s="3586">
        <v>0</v>
      </c>
      <c r="H36" s="3586">
        <v>0</v>
      </c>
      <c r="I36" s="3586">
        <v>0</v>
      </c>
      <c r="J36" s="3589">
        <v>0</v>
      </c>
      <c r="K36" s="3626">
        <v>0</v>
      </c>
      <c r="L36" s="3586">
        <v>0</v>
      </c>
      <c r="M36" s="3586">
        <v>0</v>
      </c>
      <c r="N36" s="3586">
        <v>0</v>
      </c>
      <c r="O36" s="3589">
        <v>0</v>
      </c>
      <c r="P36" s="3626">
        <v>0</v>
      </c>
      <c r="Q36" s="3586">
        <v>0</v>
      </c>
      <c r="R36" s="3586">
        <v>0</v>
      </c>
      <c r="S36" s="3586">
        <v>0</v>
      </c>
      <c r="T36" s="3589">
        <v>0</v>
      </c>
      <c r="U36" s="3626">
        <v>0</v>
      </c>
      <c r="V36" s="3586">
        <v>0</v>
      </c>
      <c r="W36" s="3586">
        <v>0</v>
      </c>
      <c r="X36" s="3586">
        <v>0</v>
      </c>
      <c r="Y36" s="3589">
        <v>0</v>
      </c>
      <c r="AG36" s="3564"/>
      <c r="AH36" s="3564"/>
    </row>
    <row r="37" spans="1:34">
      <c r="A37" s="3175">
        <v>400</v>
      </c>
      <c r="B37" s="3181" t="s">
        <v>597</v>
      </c>
      <c r="C37" s="3182"/>
      <c r="D37" s="3182"/>
      <c r="E37" s="3174"/>
      <c r="F37" s="3591"/>
      <c r="G37" s="3591"/>
      <c r="H37" s="3591"/>
      <c r="I37" s="3591"/>
      <c r="J37" s="3591"/>
      <c r="K37" s="3591"/>
      <c r="L37" s="3591"/>
      <c r="M37" s="3591"/>
      <c r="N37" s="3591"/>
      <c r="O37" s="3591"/>
      <c r="P37" s="3591"/>
      <c r="Q37" s="3591"/>
      <c r="R37" s="3591"/>
      <c r="S37" s="3591"/>
      <c r="T37" s="3591"/>
      <c r="U37" s="3591"/>
      <c r="V37" s="3591"/>
      <c r="W37" s="3591"/>
      <c r="X37" s="3591"/>
      <c r="Y37" s="3591"/>
      <c r="AG37" s="3564"/>
      <c r="AH37" s="3564"/>
    </row>
    <row r="38" spans="1:34">
      <c r="A38" s="3175">
        <v>410</v>
      </c>
      <c r="B38" s="3183" t="s">
        <v>86</v>
      </c>
      <c r="C38" s="3177" t="s">
        <v>598</v>
      </c>
      <c r="D38" s="3177"/>
      <c r="E38" s="3185"/>
      <c r="F38" s="3586">
        <v>0</v>
      </c>
      <c r="G38" s="3586">
        <v>0</v>
      </c>
      <c r="H38" s="3586">
        <v>0</v>
      </c>
      <c r="I38" s="3589">
        <v>0</v>
      </c>
      <c r="J38" s="3589">
        <v>0</v>
      </c>
      <c r="K38" s="3586">
        <v>0</v>
      </c>
      <c r="L38" s="3586">
        <v>0</v>
      </c>
      <c r="M38" s="3586">
        <v>0</v>
      </c>
      <c r="N38" s="3589">
        <v>0</v>
      </c>
      <c r="O38" s="3589">
        <v>0</v>
      </c>
      <c r="P38" s="3586">
        <v>0</v>
      </c>
      <c r="Q38" s="3586">
        <v>0</v>
      </c>
      <c r="R38" s="3586">
        <v>0</v>
      </c>
      <c r="S38" s="3589">
        <v>0</v>
      </c>
      <c r="T38" s="3589">
        <v>0</v>
      </c>
      <c r="U38" s="3586">
        <v>0</v>
      </c>
      <c r="V38" s="3586">
        <v>0</v>
      </c>
      <c r="W38" s="3586">
        <v>0</v>
      </c>
      <c r="X38" s="3589">
        <v>0</v>
      </c>
      <c r="Y38" s="3589">
        <v>0</v>
      </c>
      <c r="AG38" s="3564"/>
      <c r="AH38" s="3564"/>
    </row>
    <row r="39" spans="1:34">
      <c r="A39" s="3175">
        <v>420</v>
      </c>
      <c r="B39" s="3183" t="s">
        <v>87</v>
      </c>
      <c r="C39" s="3177" t="s">
        <v>599</v>
      </c>
      <c r="D39" s="3177"/>
      <c r="E39" s="3185"/>
      <c r="F39" s="3586">
        <v>0</v>
      </c>
      <c r="G39" s="3586">
        <v>0</v>
      </c>
      <c r="H39" s="3586">
        <v>0</v>
      </c>
      <c r="I39" s="3589">
        <v>0</v>
      </c>
      <c r="J39" s="3589">
        <v>0</v>
      </c>
      <c r="K39" s="3586">
        <v>0</v>
      </c>
      <c r="L39" s="3586">
        <v>0</v>
      </c>
      <c r="M39" s="3586">
        <v>0</v>
      </c>
      <c r="N39" s="3589">
        <v>0</v>
      </c>
      <c r="O39" s="3589">
        <v>0</v>
      </c>
      <c r="P39" s="3586">
        <v>0</v>
      </c>
      <c r="Q39" s="3586">
        <v>0</v>
      </c>
      <c r="R39" s="3586">
        <v>0</v>
      </c>
      <c r="S39" s="3589">
        <v>0</v>
      </c>
      <c r="T39" s="3589">
        <v>0</v>
      </c>
      <c r="U39" s="3586">
        <v>0</v>
      </c>
      <c r="V39" s="3586">
        <v>0</v>
      </c>
      <c r="W39" s="3586">
        <v>0</v>
      </c>
      <c r="X39" s="3589">
        <v>0</v>
      </c>
      <c r="Y39" s="3589">
        <v>0</v>
      </c>
      <c r="AG39" s="3564"/>
      <c r="AH39" s="3564"/>
    </row>
    <row r="40" spans="1:34">
      <c r="A40" s="3175">
        <v>430</v>
      </c>
      <c r="B40" s="3183" t="s">
        <v>167</v>
      </c>
      <c r="C40" s="3177">
        <v>924</v>
      </c>
      <c r="D40" s="3177"/>
      <c r="E40" s="3185"/>
      <c r="F40" s="3586">
        <v>0</v>
      </c>
      <c r="G40" s="3586">
        <v>0</v>
      </c>
      <c r="H40" s="3589">
        <v>0</v>
      </c>
      <c r="I40" s="3589">
        <v>0</v>
      </c>
      <c r="J40" s="3589">
        <v>0</v>
      </c>
      <c r="K40" s="3586">
        <v>0</v>
      </c>
      <c r="L40" s="3586">
        <v>0</v>
      </c>
      <c r="M40" s="3589">
        <v>0</v>
      </c>
      <c r="N40" s="3589">
        <v>0</v>
      </c>
      <c r="O40" s="3589">
        <v>0</v>
      </c>
      <c r="P40" s="3586">
        <v>0</v>
      </c>
      <c r="Q40" s="3586">
        <v>0</v>
      </c>
      <c r="R40" s="3589">
        <v>0</v>
      </c>
      <c r="S40" s="3589">
        <v>0</v>
      </c>
      <c r="T40" s="3589">
        <v>0</v>
      </c>
      <c r="U40" s="3586">
        <v>0</v>
      </c>
      <c r="V40" s="3586">
        <v>0</v>
      </c>
      <c r="W40" s="3589">
        <v>0</v>
      </c>
      <c r="X40" s="3589">
        <v>0</v>
      </c>
      <c r="Y40" s="3589">
        <v>0</v>
      </c>
      <c r="AG40" s="3564"/>
      <c r="AH40" s="3564"/>
    </row>
    <row r="41" spans="1:34">
      <c r="A41" s="3175">
        <v>520</v>
      </c>
      <c r="B41" s="3176" t="s">
        <v>591</v>
      </c>
      <c r="C41" s="3177">
        <v>447</v>
      </c>
      <c r="D41" s="3177" t="s">
        <v>592</v>
      </c>
      <c r="E41" s="3178"/>
      <c r="F41" s="3586">
        <v>0</v>
      </c>
      <c r="G41" s="3586">
        <v>0</v>
      </c>
      <c r="H41" s="3586">
        <v>0</v>
      </c>
      <c r="I41" s="3589">
        <v>0</v>
      </c>
      <c r="J41" s="3589">
        <v>0</v>
      </c>
      <c r="K41" s="3586">
        <v>0</v>
      </c>
      <c r="L41" s="3586">
        <v>0</v>
      </c>
      <c r="M41" s="3586">
        <v>0</v>
      </c>
      <c r="N41" s="3589">
        <v>0</v>
      </c>
      <c r="O41" s="3589">
        <v>0</v>
      </c>
      <c r="P41" s="3586">
        <v>0</v>
      </c>
      <c r="Q41" s="3586">
        <v>0</v>
      </c>
      <c r="R41" s="3586">
        <v>0</v>
      </c>
      <c r="S41" s="3589">
        <v>0</v>
      </c>
      <c r="T41" s="3589">
        <v>0</v>
      </c>
      <c r="U41" s="3586">
        <v>0</v>
      </c>
      <c r="V41" s="3586">
        <v>0</v>
      </c>
      <c r="W41" s="3586">
        <v>0</v>
      </c>
      <c r="X41" s="3589">
        <v>0</v>
      </c>
      <c r="Y41" s="3589">
        <v>0</v>
      </c>
      <c r="AG41" s="3564"/>
      <c r="AH41" s="3564"/>
    </row>
    <row r="42" spans="1:34">
      <c r="A42" s="3175">
        <v>530</v>
      </c>
      <c r="B42" s="3179" t="s">
        <v>593</v>
      </c>
      <c r="C42" s="3180"/>
      <c r="D42" s="3177" t="s">
        <v>592</v>
      </c>
      <c r="E42" s="3178"/>
      <c r="F42" s="3586">
        <v>0</v>
      </c>
      <c r="G42" s="3586">
        <v>0</v>
      </c>
      <c r="H42" s="3586">
        <v>0</v>
      </c>
      <c r="I42" s="3589">
        <v>0</v>
      </c>
      <c r="J42" s="3589">
        <v>0</v>
      </c>
      <c r="K42" s="3586">
        <v>0</v>
      </c>
      <c r="L42" s="3586">
        <v>0</v>
      </c>
      <c r="M42" s="3586">
        <v>0</v>
      </c>
      <c r="N42" s="3589">
        <v>0</v>
      </c>
      <c r="O42" s="3589">
        <v>0</v>
      </c>
      <c r="P42" s="3586">
        <v>0</v>
      </c>
      <c r="Q42" s="3586">
        <v>0</v>
      </c>
      <c r="R42" s="3586">
        <v>0</v>
      </c>
      <c r="S42" s="3589">
        <v>0</v>
      </c>
      <c r="T42" s="3589">
        <v>0</v>
      </c>
      <c r="U42" s="3586">
        <v>0</v>
      </c>
      <c r="V42" s="3586">
        <v>0</v>
      </c>
      <c r="W42" s="3586">
        <v>0</v>
      </c>
      <c r="X42" s="3589">
        <v>0</v>
      </c>
      <c r="Y42" s="3589">
        <v>0</v>
      </c>
      <c r="AG42" s="3564"/>
      <c r="AH42" s="3564"/>
    </row>
    <row r="43" spans="1:34">
      <c r="A43" s="3175">
        <v>540</v>
      </c>
      <c r="B43" s="3176" t="s">
        <v>594</v>
      </c>
      <c r="C43" s="3177"/>
      <c r="D43" s="3177" t="s">
        <v>592</v>
      </c>
      <c r="E43" s="3178"/>
      <c r="F43" s="3625">
        <v>0</v>
      </c>
      <c r="G43" s="3625">
        <v>0</v>
      </c>
      <c r="H43" s="3625">
        <v>0</v>
      </c>
      <c r="I43" s="3625">
        <v>0</v>
      </c>
      <c r="J43" s="3625">
        <f t="shared" ref="J43" si="9">J158</f>
        <v>0</v>
      </c>
      <c r="K43" s="3625">
        <f t="shared" ref="K43:Y43" si="10">K158</f>
        <v>0</v>
      </c>
      <c r="L43" s="3625">
        <f t="shared" si="10"/>
        <v>0</v>
      </c>
      <c r="M43" s="3625">
        <f t="shared" si="10"/>
        <v>0</v>
      </c>
      <c r="N43" s="3625">
        <f t="shared" si="10"/>
        <v>0</v>
      </c>
      <c r="O43" s="3625">
        <f t="shared" si="10"/>
        <v>0</v>
      </c>
      <c r="P43" s="3625">
        <f t="shared" si="10"/>
        <v>0</v>
      </c>
      <c r="Q43" s="3625">
        <f t="shared" si="10"/>
        <v>0</v>
      </c>
      <c r="R43" s="3625">
        <f t="shared" si="10"/>
        <v>0</v>
      </c>
      <c r="S43" s="3625">
        <f t="shared" si="10"/>
        <v>0</v>
      </c>
      <c r="T43" s="3625">
        <f t="shared" si="10"/>
        <v>0</v>
      </c>
      <c r="U43" s="3625">
        <f t="shared" si="10"/>
        <v>0</v>
      </c>
      <c r="V43" s="3625">
        <f t="shared" si="10"/>
        <v>0</v>
      </c>
      <c r="W43" s="3625">
        <f t="shared" si="10"/>
        <v>0</v>
      </c>
      <c r="X43" s="3625">
        <f t="shared" si="10"/>
        <v>0</v>
      </c>
      <c r="Y43" s="3625">
        <f t="shared" si="10"/>
        <v>0</v>
      </c>
      <c r="AG43" s="3564"/>
      <c r="AH43" s="3564"/>
    </row>
    <row r="44" spans="1:34">
      <c r="A44" s="3175">
        <v>440</v>
      </c>
      <c r="B44" s="3189" t="s">
        <v>589</v>
      </c>
      <c r="C44" s="3182"/>
      <c r="D44" s="3182"/>
      <c r="E44" s="3174"/>
      <c r="F44" s="3591"/>
      <c r="G44" s="3591"/>
      <c r="H44" s="3591"/>
      <c r="I44" s="3591"/>
      <c r="J44" s="3591"/>
      <c r="K44" s="3591"/>
      <c r="L44" s="3591"/>
      <c r="M44" s="3591"/>
      <c r="N44" s="3591"/>
      <c r="O44" s="3591"/>
      <c r="P44" s="3591"/>
      <c r="Q44" s="3591"/>
      <c r="R44" s="3591"/>
      <c r="S44" s="3591"/>
      <c r="T44" s="3591"/>
      <c r="U44" s="3591"/>
      <c r="V44" s="3591"/>
      <c r="W44" s="3591"/>
      <c r="X44" s="3591"/>
      <c r="Y44" s="3591"/>
      <c r="AG44" s="3564"/>
      <c r="AH44" s="3564"/>
    </row>
    <row r="45" spans="1:34">
      <c r="A45" s="3175">
        <v>450</v>
      </c>
      <c r="B45" s="3183" t="s">
        <v>8383</v>
      </c>
      <c r="C45" s="3177">
        <v>403</v>
      </c>
      <c r="D45" s="3177"/>
      <c r="E45" s="3185"/>
      <c r="F45" s="3586">
        <v>0</v>
      </c>
      <c r="G45" s="3627">
        <v>0</v>
      </c>
      <c r="H45" s="3589">
        <v>0</v>
      </c>
      <c r="I45" s="3586">
        <v>0</v>
      </c>
      <c r="J45" s="3586">
        <v>0</v>
      </c>
      <c r="K45" s="3586">
        <v>0</v>
      </c>
      <c r="L45" s="3627">
        <v>0</v>
      </c>
      <c r="M45" s="3589">
        <v>0</v>
      </c>
      <c r="N45" s="3586">
        <v>0</v>
      </c>
      <c r="O45" s="3589">
        <v>0</v>
      </c>
      <c r="P45" s="3586">
        <v>0</v>
      </c>
      <c r="Q45" s="3627">
        <v>0</v>
      </c>
      <c r="R45" s="3589">
        <v>0</v>
      </c>
      <c r="S45" s="3586">
        <v>0</v>
      </c>
      <c r="T45" s="3589">
        <v>0</v>
      </c>
      <c r="U45" s="3586">
        <v>0</v>
      </c>
      <c r="V45" s="3627">
        <v>0</v>
      </c>
      <c r="W45" s="3589">
        <v>0</v>
      </c>
      <c r="X45" s="3586">
        <v>0</v>
      </c>
      <c r="Y45" s="3589">
        <v>0</v>
      </c>
      <c r="AG45" s="3564"/>
      <c r="AH45" s="3564"/>
    </row>
    <row r="46" spans="1:34">
      <c r="A46" s="3175">
        <v>460</v>
      </c>
      <c r="B46" s="3183" t="s">
        <v>8384</v>
      </c>
      <c r="C46" s="3180">
        <v>403</v>
      </c>
      <c r="D46" s="3180"/>
      <c r="E46" s="3185"/>
      <c r="F46" s="3586">
        <v>0</v>
      </c>
      <c r="G46" s="3627">
        <v>0</v>
      </c>
      <c r="H46" s="3589">
        <v>0</v>
      </c>
      <c r="I46" s="3586">
        <v>0</v>
      </c>
      <c r="J46" s="3586">
        <v>0</v>
      </c>
      <c r="K46" s="3586">
        <v>0</v>
      </c>
      <c r="L46" s="3627">
        <v>0</v>
      </c>
      <c r="M46" s="3589">
        <v>0</v>
      </c>
      <c r="N46" s="3586">
        <v>0</v>
      </c>
      <c r="O46" s="3589">
        <v>0</v>
      </c>
      <c r="P46" s="3586">
        <v>0</v>
      </c>
      <c r="Q46" s="3627">
        <v>0</v>
      </c>
      <c r="R46" s="3589">
        <v>0</v>
      </c>
      <c r="S46" s="3586">
        <v>0</v>
      </c>
      <c r="T46" s="3589">
        <v>0</v>
      </c>
      <c r="U46" s="3586">
        <v>0</v>
      </c>
      <c r="V46" s="3627">
        <v>0</v>
      </c>
      <c r="W46" s="3589">
        <v>0</v>
      </c>
      <c r="X46" s="3586">
        <v>0</v>
      </c>
      <c r="Y46" s="3589">
        <v>0</v>
      </c>
      <c r="AG46" s="3564"/>
      <c r="AH46" s="3564"/>
    </row>
    <row r="47" spans="1:34">
      <c r="A47" s="3175">
        <v>470</v>
      </c>
      <c r="B47" s="3181" t="s">
        <v>137</v>
      </c>
      <c r="C47" s="3182"/>
      <c r="D47" s="3182"/>
      <c r="E47" s="3174"/>
      <c r="F47" s="3591"/>
      <c r="G47" s="3591"/>
      <c r="H47" s="3628"/>
      <c r="I47" s="3591"/>
      <c r="J47" s="3591"/>
      <c r="K47" s="3591"/>
      <c r="L47" s="3591"/>
      <c r="M47" s="3628"/>
      <c r="N47" s="3591"/>
      <c r="O47" s="3591"/>
      <c r="P47" s="3591"/>
      <c r="Q47" s="3591"/>
      <c r="R47" s="3628"/>
      <c r="S47" s="3591"/>
      <c r="T47" s="3591"/>
      <c r="U47" s="3591"/>
      <c r="V47" s="3591"/>
      <c r="W47" s="3628"/>
      <c r="X47" s="3591"/>
      <c r="Y47" s="3591"/>
      <c r="AG47" s="3564"/>
      <c r="AH47" s="3564"/>
    </row>
    <row r="48" spans="1:34">
      <c r="A48" s="3175">
        <v>480</v>
      </c>
      <c r="B48" s="3176" t="s">
        <v>117</v>
      </c>
      <c r="C48" s="3180" t="s">
        <v>118</v>
      </c>
      <c r="D48" s="3180"/>
      <c r="E48" s="3178"/>
      <c r="F48" s="3586">
        <v>0</v>
      </c>
      <c r="G48" s="3627">
        <v>0</v>
      </c>
      <c r="H48" s="3589">
        <v>0</v>
      </c>
      <c r="I48" s="3586">
        <v>0</v>
      </c>
      <c r="J48" s="3589">
        <v>0</v>
      </c>
      <c r="K48" s="3586">
        <v>0</v>
      </c>
      <c r="L48" s="3627">
        <v>0</v>
      </c>
      <c r="M48" s="3589">
        <v>0</v>
      </c>
      <c r="N48" s="3586">
        <v>0</v>
      </c>
      <c r="O48" s="3589">
        <v>0</v>
      </c>
      <c r="P48" s="3586">
        <v>0</v>
      </c>
      <c r="Q48" s="3627">
        <v>0</v>
      </c>
      <c r="R48" s="3589">
        <v>0</v>
      </c>
      <c r="S48" s="3586">
        <v>0</v>
      </c>
      <c r="T48" s="3589">
        <v>0</v>
      </c>
      <c r="U48" s="3586">
        <v>0</v>
      </c>
      <c r="V48" s="3627">
        <v>0</v>
      </c>
      <c r="W48" s="3589">
        <v>0</v>
      </c>
      <c r="X48" s="3586">
        <v>0</v>
      </c>
      <c r="Y48" s="3589">
        <v>0</v>
      </c>
      <c r="AG48" s="3564"/>
      <c r="AH48" s="3564"/>
    </row>
    <row r="49" spans="1:34">
      <c r="A49" s="3175">
        <v>490</v>
      </c>
      <c r="B49" s="3176" t="s">
        <v>435</v>
      </c>
      <c r="C49" s="3177">
        <v>151</v>
      </c>
      <c r="D49" s="3177"/>
      <c r="E49" s="3178"/>
      <c r="F49" s="3586">
        <v>0</v>
      </c>
      <c r="G49" s="3627">
        <v>0</v>
      </c>
      <c r="H49" s="3589">
        <v>0</v>
      </c>
      <c r="I49" s="3586">
        <v>0</v>
      </c>
      <c r="J49" s="3589">
        <v>0</v>
      </c>
      <c r="K49" s="3586">
        <v>0</v>
      </c>
      <c r="L49" s="3627">
        <v>0</v>
      </c>
      <c r="M49" s="3589">
        <v>0</v>
      </c>
      <c r="N49" s="3586">
        <v>0</v>
      </c>
      <c r="O49" s="3589">
        <v>0</v>
      </c>
      <c r="P49" s="3586">
        <v>0</v>
      </c>
      <c r="Q49" s="3627">
        <v>0</v>
      </c>
      <c r="R49" s="3589">
        <v>0</v>
      </c>
      <c r="S49" s="3586">
        <v>0</v>
      </c>
      <c r="T49" s="3589">
        <v>0</v>
      </c>
      <c r="U49" s="3586">
        <v>0</v>
      </c>
      <c r="V49" s="3627">
        <v>0</v>
      </c>
      <c r="W49" s="3589">
        <v>0</v>
      </c>
      <c r="X49" s="3586">
        <v>0</v>
      </c>
      <c r="Y49" s="3589">
        <v>0</v>
      </c>
      <c r="AG49" s="3564"/>
      <c r="AH49" s="3564"/>
    </row>
    <row r="50" spans="1:34">
      <c r="A50" s="3175">
        <v>500</v>
      </c>
      <c r="B50" s="3176" t="s">
        <v>79</v>
      </c>
      <c r="C50" s="3180">
        <v>154</v>
      </c>
      <c r="D50" s="3180"/>
      <c r="E50" s="3178"/>
      <c r="F50" s="3586">
        <v>0</v>
      </c>
      <c r="G50" s="3627">
        <v>0</v>
      </c>
      <c r="H50" s="3589">
        <v>0</v>
      </c>
      <c r="I50" s="3586">
        <v>0</v>
      </c>
      <c r="J50" s="3589">
        <v>0</v>
      </c>
      <c r="K50" s="3586">
        <v>0</v>
      </c>
      <c r="L50" s="3627">
        <v>0</v>
      </c>
      <c r="M50" s="3589">
        <v>0</v>
      </c>
      <c r="N50" s="3586">
        <v>0</v>
      </c>
      <c r="O50" s="3589">
        <v>0</v>
      </c>
      <c r="P50" s="3586">
        <v>0</v>
      </c>
      <c r="Q50" s="3627">
        <v>0</v>
      </c>
      <c r="R50" s="3589">
        <v>0</v>
      </c>
      <c r="S50" s="3586">
        <v>0</v>
      </c>
      <c r="T50" s="3589">
        <v>0</v>
      </c>
      <c r="U50" s="3586">
        <v>0</v>
      </c>
      <c r="V50" s="3627">
        <v>0</v>
      </c>
      <c r="W50" s="3589">
        <v>0</v>
      </c>
      <c r="X50" s="3586">
        <v>0</v>
      </c>
      <c r="Y50" s="3589">
        <v>0</v>
      </c>
      <c r="AG50" s="3564"/>
      <c r="AH50" s="3564"/>
    </row>
    <row r="51" spans="1:34">
      <c r="A51" s="3175">
        <v>510</v>
      </c>
      <c r="B51" s="3176" t="s">
        <v>585</v>
      </c>
      <c r="C51" s="3180" t="s">
        <v>586</v>
      </c>
      <c r="D51" s="3180"/>
      <c r="E51" s="3178"/>
      <c r="F51" s="3586">
        <v>0</v>
      </c>
      <c r="G51" s="3627">
        <v>0</v>
      </c>
      <c r="H51" s="3589">
        <v>0</v>
      </c>
      <c r="I51" s="3586">
        <v>0</v>
      </c>
      <c r="J51" s="3589">
        <v>0</v>
      </c>
      <c r="K51" s="3586">
        <v>0</v>
      </c>
      <c r="L51" s="3627">
        <v>0</v>
      </c>
      <c r="M51" s="3589">
        <v>0</v>
      </c>
      <c r="N51" s="3586">
        <v>0</v>
      </c>
      <c r="O51" s="3589">
        <v>0</v>
      </c>
      <c r="P51" s="3586">
        <v>0</v>
      </c>
      <c r="Q51" s="3627">
        <v>0</v>
      </c>
      <c r="R51" s="3589">
        <v>0</v>
      </c>
      <c r="S51" s="3586">
        <v>0</v>
      </c>
      <c r="T51" s="3589">
        <v>0</v>
      </c>
      <c r="U51" s="3586">
        <v>0</v>
      </c>
      <c r="V51" s="3627">
        <v>0</v>
      </c>
      <c r="W51" s="3589">
        <v>0</v>
      </c>
      <c r="X51" s="3586">
        <v>0</v>
      </c>
      <c r="Y51" s="3589">
        <v>0</v>
      </c>
      <c r="AG51" s="3564"/>
      <c r="AH51" s="3564"/>
    </row>
    <row r="52" spans="1:34">
      <c r="A52" s="3175">
        <v>550</v>
      </c>
      <c r="B52" s="3181" t="s">
        <v>600</v>
      </c>
      <c r="C52" s="3182"/>
      <c r="D52" s="3182"/>
      <c r="E52" s="3174"/>
      <c r="F52" s="3596"/>
      <c r="G52" s="3596"/>
      <c r="H52" s="3596"/>
      <c r="I52" s="3596"/>
      <c r="J52" s="3596"/>
      <c r="K52" s="3596"/>
      <c r="L52" s="3596"/>
      <c r="M52" s="3596"/>
      <c r="N52" s="3596"/>
      <c r="O52" s="3596"/>
      <c r="P52" s="3596"/>
      <c r="Q52" s="3596"/>
      <c r="R52" s="3596"/>
      <c r="S52" s="3596"/>
      <c r="T52" s="3596"/>
      <c r="U52" s="3596"/>
      <c r="V52" s="3596"/>
      <c r="W52" s="3596"/>
      <c r="X52" s="3596"/>
      <c r="Y52" s="3596"/>
      <c r="AG52" s="3564"/>
      <c r="AH52" s="3564"/>
    </row>
    <row r="53" spans="1:34">
      <c r="A53" s="3175">
        <v>560</v>
      </c>
      <c r="B53" s="3176" t="s">
        <v>450</v>
      </c>
      <c r="C53" s="3180">
        <v>547</v>
      </c>
      <c r="D53" s="3180"/>
      <c r="E53" s="3178"/>
      <c r="F53" s="3625">
        <f t="shared" ref="F53:O53" si="11">F168+F177</f>
        <v>0</v>
      </c>
      <c r="G53" s="3629">
        <f t="shared" si="11"/>
        <v>0</v>
      </c>
      <c r="H53" s="3630">
        <f t="shared" si="11"/>
        <v>0</v>
      </c>
      <c r="I53" s="3625">
        <f t="shared" si="11"/>
        <v>0</v>
      </c>
      <c r="J53" s="3625">
        <f t="shared" ref="J53" si="12">J168+J177</f>
        <v>0</v>
      </c>
      <c r="K53" s="3625">
        <f t="shared" si="11"/>
        <v>0</v>
      </c>
      <c r="L53" s="3629">
        <f t="shared" si="11"/>
        <v>0</v>
      </c>
      <c r="M53" s="3630">
        <f t="shared" si="11"/>
        <v>0</v>
      </c>
      <c r="N53" s="3625">
        <f t="shared" si="11"/>
        <v>0</v>
      </c>
      <c r="O53" s="3625">
        <f t="shared" si="11"/>
        <v>0</v>
      </c>
      <c r="P53" s="3625">
        <f t="shared" ref="P53:Y53" si="13">P168+P177</f>
        <v>0</v>
      </c>
      <c r="Q53" s="3629">
        <f t="shared" si="13"/>
        <v>0</v>
      </c>
      <c r="R53" s="3630">
        <f t="shared" si="13"/>
        <v>0</v>
      </c>
      <c r="S53" s="3625">
        <f t="shared" si="13"/>
        <v>0</v>
      </c>
      <c r="T53" s="3625">
        <f t="shared" si="13"/>
        <v>0</v>
      </c>
      <c r="U53" s="3625">
        <f t="shared" si="13"/>
        <v>0</v>
      </c>
      <c r="V53" s="3629">
        <f t="shared" si="13"/>
        <v>0</v>
      </c>
      <c r="W53" s="3630">
        <f t="shared" si="13"/>
        <v>0</v>
      </c>
      <c r="X53" s="3625">
        <f t="shared" si="13"/>
        <v>0</v>
      </c>
      <c r="Y53" s="3625">
        <f t="shared" si="13"/>
        <v>0</v>
      </c>
      <c r="AG53" s="3564"/>
      <c r="AH53" s="3564"/>
    </row>
    <row r="54" spans="1:34">
      <c r="A54" s="3175">
        <v>570</v>
      </c>
      <c r="B54" s="3176" t="s">
        <v>261</v>
      </c>
      <c r="C54" s="3180" t="s">
        <v>601</v>
      </c>
      <c r="D54" s="3180"/>
      <c r="E54" s="3178"/>
      <c r="F54" s="3586">
        <v>0</v>
      </c>
      <c r="G54" s="3627">
        <v>0</v>
      </c>
      <c r="H54" s="3589">
        <v>0</v>
      </c>
      <c r="I54" s="3586">
        <v>0</v>
      </c>
      <c r="J54" s="3589">
        <v>0</v>
      </c>
      <c r="K54" s="3586">
        <v>0</v>
      </c>
      <c r="L54" s="3627">
        <v>0</v>
      </c>
      <c r="M54" s="3589">
        <v>0</v>
      </c>
      <c r="N54" s="3586">
        <v>0</v>
      </c>
      <c r="O54" s="3589">
        <v>0</v>
      </c>
      <c r="P54" s="3586">
        <v>0</v>
      </c>
      <c r="Q54" s="3627">
        <v>0</v>
      </c>
      <c r="R54" s="3589">
        <v>0</v>
      </c>
      <c r="S54" s="3586">
        <v>0</v>
      </c>
      <c r="T54" s="3589">
        <v>0</v>
      </c>
      <c r="U54" s="3586">
        <v>0</v>
      </c>
      <c r="V54" s="3627">
        <v>0</v>
      </c>
      <c r="W54" s="3589">
        <v>0</v>
      </c>
      <c r="X54" s="3586">
        <v>0</v>
      </c>
      <c r="Y54" s="3589">
        <v>0</v>
      </c>
      <c r="AG54" s="3564"/>
      <c r="AH54" s="3564"/>
    </row>
    <row r="55" spans="1:34">
      <c r="A55" s="3175">
        <v>580</v>
      </c>
      <c r="B55" s="3179" t="s">
        <v>263</v>
      </c>
      <c r="C55" s="3177" t="s">
        <v>602</v>
      </c>
      <c r="D55" s="3177"/>
      <c r="E55" s="3178"/>
      <c r="F55" s="3586">
        <v>0</v>
      </c>
      <c r="G55" s="3627">
        <v>0</v>
      </c>
      <c r="H55" s="3589">
        <v>0</v>
      </c>
      <c r="I55" s="3586">
        <v>0</v>
      </c>
      <c r="J55" s="3589">
        <v>0</v>
      </c>
      <c r="K55" s="3586">
        <v>0</v>
      </c>
      <c r="L55" s="3627">
        <v>0</v>
      </c>
      <c r="M55" s="3589">
        <v>0</v>
      </c>
      <c r="N55" s="3586">
        <v>0</v>
      </c>
      <c r="O55" s="3589">
        <v>0</v>
      </c>
      <c r="P55" s="3586">
        <v>0</v>
      </c>
      <c r="Q55" s="3627">
        <v>0</v>
      </c>
      <c r="R55" s="3589">
        <v>0</v>
      </c>
      <c r="S55" s="3586">
        <v>0</v>
      </c>
      <c r="T55" s="3589">
        <v>0</v>
      </c>
      <c r="U55" s="3586">
        <v>0</v>
      </c>
      <c r="V55" s="3627">
        <v>0</v>
      </c>
      <c r="W55" s="3589">
        <v>0</v>
      </c>
      <c r="X55" s="3586">
        <v>0</v>
      </c>
      <c r="Y55" s="3589">
        <v>0</v>
      </c>
      <c r="AG55" s="3564"/>
      <c r="AH55" s="3564"/>
    </row>
    <row r="56" spans="1:34">
      <c r="A56" s="3175">
        <v>590</v>
      </c>
      <c r="B56" s="3176" t="s">
        <v>167</v>
      </c>
      <c r="C56" s="3180">
        <v>924</v>
      </c>
      <c r="D56" s="3180"/>
      <c r="E56" s="3178"/>
      <c r="F56" s="3586">
        <v>0</v>
      </c>
      <c r="G56" s="3627">
        <v>0</v>
      </c>
      <c r="H56" s="3589">
        <v>0</v>
      </c>
      <c r="I56" s="3586">
        <v>0</v>
      </c>
      <c r="J56" s="3589">
        <v>0</v>
      </c>
      <c r="K56" s="3586">
        <v>0</v>
      </c>
      <c r="L56" s="3627">
        <v>0</v>
      </c>
      <c r="M56" s="3589">
        <v>0</v>
      </c>
      <c r="N56" s="3586">
        <v>0</v>
      </c>
      <c r="O56" s="3589">
        <v>0</v>
      </c>
      <c r="P56" s="3586">
        <v>0</v>
      </c>
      <c r="Q56" s="3627">
        <v>0</v>
      </c>
      <c r="R56" s="3589">
        <v>0</v>
      </c>
      <c r="S56" s="3586">
        <v>0</v>
      </c>
      <c r="T56" s="3589">
        <v>0</v>
      </c>
      <c r="U56" s="3586">
        <v>0</v>
      </c>
      <c r="V56" s="3627">
        <v>0</v>
      </c>
      <c r="W56" s="3589">
        <v>0</v>
      </c>
      <c r="X56" s="3586">
        <v>0</v>
      </c>
      <c r="Y56" s="3589">
        <v>0</v>
      </c>
      <c r="AG56" s="3564"/>
      <c r="AH56" s="3564"/>
    </row>
    <row r="57" spans="1:34">
      <c r="A57" s="3175">
        <v>600</v>
      </c>
      <c r="B57" s="3176" t="s">
        <v>589</v>
      </c>
      <c r="C57" s="3177">
        <v>403</v>
      </c>
      <c r="D57" s="3177" t="s">
        <v>590</v>
      </c>
      <c r="E57" s="3178"/>
      <c r="F57" s="3586">
        <v>0</v>
      </c>
      <c r="G57" s="3627">
        <v>0</v>
      </c>
      <c r="H57" s="3589">
        <v>0</v>
      </c>
      <c r="I57" s="3586">
        <v>0</v>
      </c>
      <c r="J57" s="3589">
        <v>0</v>
      </c>
      <c r="K57" s="3586">
        <v>0</v>
      </c>
      <c r="L57" s="3627">
        <v>0</v>
      </c>
      <c r="M57" s="3589">
        <v>0</v>
      </c>
      <c r="N57" s="3586">
        <v>0</v>
      </c>
      <c r="O57" s="3589">
        <v>0</v>
      </c>
      <c r="P57" s="3586">
        <v>0</v>
      </c>
      <c r="Q57" s="3627">
        <v>0</v>
      </c>
      <c r="R57" s="3589">
        <v>0</v>
      </c>
      <c r="S57" s="3586">
        <v>0</v>
      </c>
      <c r="T57" s="3589">
        <v>0</v>
      </c>
      <c r="U57" s="3586">
        <v>0</v>
      </c>
      <c r="V57" s="3627">
        <v>0</v>
      </c>
      <c r="W57" s="3589">
        <v>0</v>
      </c>
      <c r="X57" s="3586">
        <v>0</v>
      </c>
      <c r="Y57" s="3589">
        <v>0</v>
      </c>
      <c r="AG57" s="3564"/>
      <c r="AH57" s="3564"/>
    </row>
    <row r="58" spans="1:34">
      <c r="A58" s="3175">
        <v>610</v>
      </c>
      <c r="B58" s="3176" t="s">
        <v>591</v>
      </c>
      <c r="C58" s="3177">
        <v>447</v>
      </c>
      <c r="D58" s="3177" t="s">
        <v>592</v>
      </c>
      <c r="E58" s="3178"/>
      <c r="F58" s="3586">
        <v>0</v>
      </c>
      <c r="G58" s="3627">
        <v>0</v>
      </c>
      <c r="H58" s="3589">
        <v>0</v>
      </c>
      <c r="I58" s="3586">
        <v>0</v>
      </c>
      <c r="J58" s="3589">
        <v>0</v>
      </c>
      <c r="K58" s="3586">
        <v>0</v>
      </c>
      <c r="L58" s="3627">
        <v>0</v>
      </c>
      <c r="M58" s="3589">
        <v>0</v>
      </c>
      <c r="N58" s="3586">
        <v>0</v>
      </c>
      <c r="O58" s="3589">
        <v>0</v>
      </c>
      <c r="P58" s="3586">
        <v>0</v>
      </c>
      <c r="Q58" s="3627">
        <v>0</v>
      </c>
      <c r="R58" s="3589">
        <v>0</v>
      </c>
      <c r="S58" s="3586">
        <v>0</v>
      </c>
      <c r="T58" s="3589">
        <v>0</v>
      </c>
      <c r="U58" s="3586">
        <v>0</v>
      </c>
      <c r="V58" s="3627">
        <v>0</v>
      </c>
      <c r="W58" s="3589">
        <v>0</v>
      </c>
      <c r="X58" s="3586">
        <v>0</v>
      </c>
      <c r="Y58" s="3589">
        <v>0</v>
      </c>
      <c r="AG58" s="3564"/>
      <c r="AH58" s="3564"/>
    </row>
    <row r="59" spans="1:34">
      <c r="A59" s="3175">
        <v>620</v>
      </c>
      <c r="B59" s="3179" t="s">
        <v>593</v>
      </c>
      <c r="C59" s="3180"/>
      <c r="D59" s="3177" t="s">
        <v>592</v>
      </c>
      <c r="E59" s="3178"/>
      <c r="F59" s="3586">
        <v>0</v>
      </c>
      <c r="G59" s="3627">
        <v>0</v>
      </c>
      <c r="H59" s="3589">
        <v>0</v>
      </c>
      <c r="I59" s="3586">
        <v>0</v>
      </c>
      <c r="J59" s="3589">
        <v>0</v>
      </c>
      <c r="K59" s="3586">
        <v>0</v>
      </c>
      <c r="L59" s="3627">
        <v>0</v>
      </c>
      <c r="M59" s="3589">
        <v>0</v>
      </c>
      <c r="N59" s="3586">
        <v>0</v>
      </c>
      <c r="O59" s="3589">
        <v>0</v>
      </c>
      <c r="P59" s="3586">
        <v>0</v>
      </c>
      <c r="Q59" s="3627">
        <v>0</v>
      </c>
      <c r="R59" s="3589">
        <v>0</v>
      </c>
      <c r="S59" s="3586">
        <v>0</v>
      </c>
      <c r="T59" s="3589">
        <v>0</v>
      </c>
      <c r="U59" s="3586">
        <v>0</v>
      </c>
      <c r="V59" s="3627">
        <v>0</v>
      </c>
      <c r="W59" s="3589">
        <v>0</v>
      </c>
      <c r="X59" s="3586">
        <v>0</v>
      </c>
      <c r="Y59" s="3589">
        <v>0</v>
      </c>
      <c r="AG59" s="3564"/>
      <c r="AH59" s="3564"/>
    </row>
    <row r="60" spans="1:34">
      <c r="A60" s="3175">
        <v>630</v>
      </c>
      <c r="B60" s="3176" t="s">
        <v>594</v>
      </c>
      <c r="C60" s="3177"/>
      <c r="D60" s="3177" t="s">
        <v>592</v>
      </c>
      <c r="E60" s="3178"/>
      <c r="F60" s="3625">
        <f t="shared" ref="F60:O60" si="14">F167+F176+F185</f>
        <v>0</v>
      </c>
      <c r="G60" s="3625">
        <f t="shared" si="14"/>
        <v>0</v>
      </c>
      <c r="H60" s="3625">
        <f t="shared" si="14"/>
        <v>0</v>
      </c>
      <c r="I60" s="3625">
        <f t="shared" si="14"/>
        <v>0</v>
      </c>
      <c r="J60" s="3625">
        <f t="shared" ref="J60" si="15">J167+J176+J185</f>
        <v>0</v>
      </c>
      <c r="K60" s="3625">
        <f t="shared" si="14"/>
        <v>0</v>
      </c>
      <c r="L60" s="3625">
        <f t="shared" si="14"/>
        <v>0</v>
      </c>
      <c r="M60" s="3625">
        <f t="shared" si="14"/>
        <v>0</v>
      </c>
      <c r="N60" s="3625">
        <f t="shared" si="14"/>
        <v>0</v>
      </c>
      <c r="O60" s="3625">
        <f t="shared" si="14"/>
        <v>0</v>
      </c>
      <c r="P60" s="3625">
        <f t="shared" ref="P60:Y60" si="16">P167+P176+P185</f>
        <v>0</v>
      </c>
      <c r="Q60" s="3625">
        <f t="shared" si="16"/>
        <v>0</v>
      </c>
      <c r="R60" s="3625">
        <f t="shared" si="16"/>
        <v>0</v>
      </c>
      <c r="S60" s="3625">
        <f t="shared" si="16"/>
        <v>0</v>
      </c>
      <c r="T60" s="3625">
        <f t="shared" si="16"/>
        <v>0</v>
      </c>
      <c r="U60" s="3625">
        <f t="shared" si="16"/>
        <v>0</v>
      </c>
      <c r="V60" s="3625">
        <f t="shared" si="16"/>
        <v>0</v>
      </c>
      <c r="W60" s="3625">
        <f t="shared" si="16"/>
        <v>0</v>
      </c>
      <c r="X60" s="3625">
        <f t="shared" si="16"/>
        <v>0</v>
      </c>
      <c r="Y60" s="3625">
        <f t="shared" si="16"/>
        <v>0</v>
      </c>
      <c r="AG60" s="3564"/>
      <c r="AH60" s="3564"/>
    </row>
    <row r="61" spans="1:34">
      <c r="A61" s="3175">
        <v>640</v>
      </c>
      <c r="B61" s="3181" t="s">
        <v>603</v>
      </c>
      <c r="C61" s="3182"/>
      <c r="D61" s="3182"/>
      <c r="E61" s="3174"/>
      <c r="F61" s="3591"/>
      <c r="G61" s="3591"/>
      <c r="H61" s="3591"/>
      <c r="I61" s="3591"/>
      <c r="J61" s="3591"/>
      <c r="K61" s="3591"/>
      <c r="L61" s="3591"/>
      <c r="M61" s="3591"/>
      <c r="N61" s="3591"/>
      <c r="O61" s="3591"/>
      <c r="P61" s="3591"/>
      <c r="Q61" s="3591"/>
      <c r="R61" s="3591"/>
      <c r="S61" s="3591"/>
      <c r="T61" s="3591"/>
      <c r="U61" s="3591"/>
      <c r="V61" s="3591"/>
      <c r="W61" s="3591"/>
      <c r="X61" s="3591"/>
      <c r="Y61" s="3591"/>
      <c r="AG61" s="3564"/>
      <c r="AH61" s="3564"/>
    </row>
    <row r="62" spans="1:34">
      <c r="A62" s="3175">
        <v>650</v>
      </c>
      <c r="B62" s="3176" t="s">
        <v>604</v>
      </c>
      <c r="C62" s="3180">
        <v>262</v>
      </c>
      <c r="D62" s="3180"/>
      <c r="E62" s="3178"/>
      <c r="F62" s="3586">
        <v>0</v>
      </c>
      <c r="G62" s="3627">
        <v>0</v>
      </c>
      <c r="H62" s="3589">
        <v>0</v>
      </c>
      <c r="I62" s="3586">
        <v>0</v>
      </c>
      <c r="J62" s="3589">
        <v>0</v>
      </c>
      <c r="K62" s="3586">
        <v>0</v>
      </c>
      <c r="L62" s="3627">
        <v>0</v>
      </c>
      <c r="M62" s="3589">
        <v>0</v>
      </c>
      <c r="N62" s="3586">
        <v>0</v>
      </c>
      <c r="O62" s="3589">
        <v>0</v>
      </c>
      <c r="P62" s="3586">
        <v>0</v>
      </c>
      <c r="Q62" s="3627">
        <v>0</v>
      </c>
      <c r="R62" s="3589">
        <v>0</v>
      </c>
      <c r="S62" s="3586">
        <v>0</v>
      </c>
      <c r="T62" s="3589">
        <v>0</v>
      </c>
      <c r="U62" s="3586">
        <v>0</v>
      </c>
      <c r="V62" s="3627">
        <v>0</v>
      </c>
      <c r="W62" s="3589">
        <v>0</v>
      </c>
      <c r="X62" s="3586">
        <v>0</v>
      </c>
      <c r="Y62" s="3589">
        <v>0</v>
      </c>
      <c r="AG62" s="3564"/>
      <c r="AH62" s="3564"/>
    </row>
    <row r="63" spans="1:34">
      <c r="A63" s="3175">
        <v>660</v>
      </c>
      <c r="B63" s="3181" t="s">
        <v>285</v>
      </c>
      <c r="C63" s="3177"/>
      <c r="D63" s="3177"/>
      <c r="E63" s="3178"/>
      <c r="F63" s="3586">
        <v>0</v>
      </c>
      <c r="G63" s="3631">
        <v>0</v>
      </c>
      <c r="H63" s="3589">
        <v>0</v>
      </c>
      <c r="I63" s="3586">
        <v>0</v>
      </c>
      <c r="J63" s="3589">
        <v>0</v>
      </c>
      <c r="K63" s="3586">
        <v>0</v>
      </c>
      <c r="L63" s="3631">
        <v>0</v>
      </c>
      <c r="M63" s="3589">
        <v>0</v>
      </c>
      <c r="N63" s="3586">
        <v>0</v>
      </c>
      <c r="O63" s="3589">
        <v>0</v>
      </c>
      <c r="P63" s="3586">
        <v>0</v>
      </c>
      <c r="Q63" s="3631">
        <v>0</v>
      </c>
      <c r="R63" s="3589">
        <v>0</v>
      </c>
      <c r="S63" s="3586">
        <v>0</v>
      </c>
      <c r="T63" s="3589">
        <v>0</v>
      </c>
      <c r="U63" s="3586">
        <v>0</v>
      </c>
      <c r="V63" s="3631">
        <v>0</v>
      </c>
      <c r="W63" s="3589">
        <v>0</v>
      </c>
      <c r="X63" s="3586">
        <v>0</v>
      </c>
      <c r="Y63" s="3589">
        <v>0</v>
      </c>
      <c r="AG63" s="3564"/>
      <c r="AH63" s="3564"/>
    </row>
    <row r="64" spans="1:34">
      <c r="A64" s="3175">
        <v>670</v>
      </c>
      <c r="B64" s="3176" t="s">
        <v>286</v>
      </c>
      <c r="C64" s="3180"/>
      <c r="D64" s="3180"/>
      <c r="E64" s="3178"/>
      <c r="F64" s="3586">
        <v>0</v>
      </c>
      <c r="G64" s="3627">
        <v>0</v>
      </c>
      <c r="H64" s="3589">
        <v>0</v>
      </c>
      <c r="I64" s="3586">
        <v>0</v>
      </c>
      <c r="J64" s="3589">
        <v>0</v>
      </c>
      <c r="K64" s="3586">
        <v>0</v>
      </c>
      <c r="L64" s="3627">
        <v>0</v>
      </c>
      <c r="M64" s="3589">
        <v>0</v>
      </c>
      <c r="N64" s="3586">
        <v>0</v>
      </c>
      <c r="O64" s="3589">
        <v>0</v>
      </c>
      <c r="P64" s="3586">
        <v>0</v>
      </c>
      <c r="Q64" s="3627">
        <v>0</v>
      </c>
      <c r="R64" s="3589">
        <v>0</v>
      </c>
      <c r="S64" s="3586">
        <v>0</v>
      </c>
      <c r="T64" s="3589">
        <v>0</v>
      </c>
      <c r="U64" s="3586">
        <v>0</v>
      </c>
      <c r="V64" s="3627">
        <v>0</v>
      </c>
      <c r="W64" s="3589">
        <v>0</v>
      </c>
      <c r="X64" s="3586">
        <v>0</v>
      </c>
      <c r="Y64" s="3589">
        <v>0</v>
      </c>
      <c r="AC64" s="123"/>
      <c r="AD64" s="123"/>
      <c r="AE64" s="123"/>
      <c r="AF64" s="123"/>
      <c r="AG64" s="123"/>
      <c r="AH64" s="3564"/>
    </row>
    <row r="65" spans="1:34">
      <c r="A65" s="3175">
        <v>680</v>
      </c>
      <c r="B65" s="3179" t="s">
        <v>287</v>
      </c>
      <c r="C65" s="3177"/>
      <c r="D65" s="3177"/>
      <c r="E65" s="3178"/>
      <c r="F65" s="3586">
        <v>0</v>
      </c>
      <c r="G65" s="3627">
        <v>0</v>
      </c>
      <c r="H65" s="3589">
        <v>0</v>
      </c>
      <c r="I65" s="3586">
        <v>0</v>
      </c>
      <c r="J65" s="3589">
        <v>0</v>
      </c>
      <c r="K65" s="3586">
        <v>0</v>
      </c>
      <c r="L65" s="3627">
        <v>0</v>
      </c>
      <c r="M65" s="3589">
        <v>0</v>
      </c>
      <c r="N65" s="3586">
        <v>0</v>
      </c>
      <c r="O65" s="3589">
        <v>0</v>
      </c>
      <c r="P65" s="3586">
        <v>0</v>
      </c>
      <c r="Q65" s="3627">
        <v>0</v>
      </c>
      <c r="R65" s="3589">
        <v>0</v>
      </c>
      <c r="S65" s="3586">
        <v>0</v>
      </c>
      <c r="T65" s="3589">
        <v>0</v>
      </c>
      <c r="U65" s="3586">
        <v>0</v>
      </c>
      <c r="V65" s="3627">
        <v>0</v>
      </c>
      <c r="W65" s="3589">
        <v>0</v>
      </c>
      <c r="X65" s="3586">
        <v>0</v>
      </c>
      <c r="Y65" s="3589">
        <v>0</v>
      </c>
      <c r="AG65" s="3564"/>
      <c r="AH65" s="3564"/>
    </row>
    <row r="66" spans="1:34">
      <c r="A66" s="3175">
        <v>690</v>
      </c>
      <c r="B66" s="3176" t="s">
        <v>288</v>
      </c>
      <c r="C66" s="3180"/>
      <c r="D66" s="3180"/>
      <c r="E66" s="3178"/>
      <c r="F66" s="3586">
        <v>0</v>
      </c>
      <c r="G66" s="3627">
        <v>0</v>
      </c>
      <c r="H66" s="3589">
        <v>0</v>
      </c>
      <c r="I66" s="3586">
        <v>0</v>
      </c>
      <c r="J66" s="3589">
        <v>0</v>
      </c>
      <c r="K66" s="3586">
        <v>0</v>
      </c>
      <c r="L66" s="3627">
        <v>0</v>
      </c>
      <c r="M66" s="3589">
        <v>0</v>
      </c>
      <c r="N66" s="3586">
        <v>0</v>
      </c>
      <c r="O66" s="3589"/>
      <c r="P66" s="3586">
        <v>0</v>
      </c>
      <c r="Q66" s="3627">
        <v>0</v>
      </c>
      <c r="R66" s="3589">
        <v>0</v>
      </c>
      <c r="S66" s="3586">
        <v>0</v>
      </c>
      <c r="T66" s="3589">
        <v>0</v>
      </c>
      <c r="U66" s="3586">
        <v>0</v>
      </c>
      <c r="V66" s="3627">
        <v>0</v>
      </c>
      <c r="W66" s="3589">
        <v>0</v>
      </c>
      <c r="X66" s="3586">
        <v>0</v>
      </c>
      <c r="Y66" s="3589">
        <v>0</v>
      </c>
      <c r="AG66" s="3564"/>
      <c r="AH66" s="3564"/>
    </row>
    <row r="67" spans="1:34">
      <c r="A67" s="3175">
        <v>700</v>
      </c>
      <c r="B67" s="3179" t="s">
        <v>289</v>
      </c>
      <c r="C67" s="3177"/>
      <c r="D67" s="3177"/>
      <c r="E67" s="3178"/>
      <c r="F67" s="3586">
        <v>0</v>
      </c>
      <c r="G67" s="3627">
        <v>0</v>
      </c>
      <c r="H67" s="3589">
        <v>0</v>
      </c>
      <c r="I67" s="3586">
        <v>0</v>
      </c>
      <c r="J67" s="3589">
        <v>0</v>
      </c>
      <c r="K67" s="3586">
        <v>0</v>
      </c>
      <c r="L67" s="3627">
        <v>0</v>
      </c>
      <c r="M67" s="3589">
        <v>0</v>
      </c>
      <c r="N67" s="3586">
        <v>0</v>
      </c>
      <c r="O67" s="3589"/>
      <c r="P67" s="3586">
        <v>0</v>
      </c>
      <c r="Q67" s="3627">
        <v>0</v>
      </c>
      <c r="R67" s="3589">
        <v>0</v>
      </c>
      <c r="S67" s="3586">
        <v>0</v>
      </c>
      <c r="T67" s="3589">
        <v>0</v>
      </c>
      <c r="U67" s="3586">
        <v>0</v>
      </c>
      <c r="V67" s="3627">
        <v>0</v>
      </c>
      <c r="W67" s="3589">
        <v>0</v>
      </c>
      <c r="X67" s="3586">
        <v>0</v>
      </c>
      <c r="Y67" s="3589">
        <v>0</v>
      </c>
      <c r="AG67" s="3564"/>
      <c r="AH67" s="3564"/>
    </row>
    <row r="68" spans="1:34">
      <c r="A68" s="3175">
        <v>710</v>
      </c>
      <c r="B68" s="3176" t="s">
        <v>290</v>
      </c>
      <c r="C68" s="3180"/>
      <c r="D68" s="3180"/>
      <c r="E68" s="3178"/>
      <c r="F68" s="3586">
        <v>0</v>
      </c>
      <c r="G68" s="3627">
        <v>0</v>
      </c>
      <c r="H68" s="3589">
        <v>0</v>
      </c>
      <c r="I68" s="3586">
        <v>0</v>
      </c>
      <c r="J68" s="3589">
        <v>0</v>
      </c>
      <c r="K68" s="3586">
        <v>0</v>
      </c>
      <c r="L68" s="3627">
        <v>0</v>
      </c>
      <c r="M68" s="3589">
        <v>0</v>
      </c>
      <c r="N68" s="3586">
        <v>0</v>
      </c>
      <c r="O68" s="3589"/>
      <c r="P68" s="3586">
        <v>0</v>
      </c>
      <c r="Q68" s="3627">
        <v>0</v>
      </c>
      <c r="R68" s="3589">
        <v>0</v>
      </c>
      <c r="S68" s="3586">
        <v>0</v>
      </c>
      <c r="T68" s="3589">
        <v>0</v>
      </c>
      <c r="U68" s="3586">
        <v>0</v>
      </c>
      <c r="V68" s="3627">
        <v>0</v>
      </c>
      <c r="W68" s="3589">
        <v>0</v>
      </c>
      <c r="X68" s="3586">
        <v>0</v>
      </c>
      <c r="Y68" s="3589">
        <v>0</v>
      </c>
      <c r="AG68" s="3564"/>
      <c r="AH68" s="3564"/>
    </row>
    <row r="69" spans="1:34">
      <c r="A69" s="3175">
        <v>720</v>
      </c>
      <c r="B69" s="3179" t="s">
        <v>291</v>
      </c>
      <c r="C69" s="3177"/>
      <c r="D69" s="3177"/>
      <c r="E69" s="3178"/>
      <c r="F69" s="3586">
        <v>0</v>
      </c>
      <c r="G69" s="3627">
        <v>0</v>
      </c>
      <c r="H69" s="3589">
        <v>0</v>
      </c>
      <c r="I69" s="3586">
        <v>0</v>
      </c>
      <c r="J69" s="3589">
        <v>0</v>
      </c>
      <c r="K69" s="3586">
        <v>0</v>
      </c>
      <c r="L69" s="3627">
        <v>0</v>
      </c>
      <c r="M69" s="3589">
        <v>0</v>
      </c>
      <c r="N69" s="3586">
        <v>0</v>
      </c>
      <c r="O69" s="3589"/>
      <c r="P69" s="3586">
        <v>0</v>
      </c>
      <c r="Q69" s="3627">
        <v>0</v>
      </c>
      <c r="R69" s="3589">
        <v>0</v>
      </c>
      <c r="S69" s="3586">
        <v>0</v>
      </c>
      <c r="T69" s="3589">
        <v>0</v>
      </c>
      <c r="U69" s="3586">
        <v>0</v>
      </c>
      <c r="V69" s="3627">
        <v>0</v>
      </c>
      <c r="W69" s="3589">
        <v>0</v>
      </c>
      <c r="X69" s="3586">
        <v>0</v>
      </c>
      <c r="Y69" s="3589">
        <v>0</v>
      </c>
      <c r="AG69" s="3564"/>
      <c r="AH69" s="3564"/>
    </row>
    <row r="70" spans="1:34">
      <c r="A70" s="3175">
        <v>730</v>
      </c>
      <c r="B70" s="3176" t="s">
        <v>292</v>
      </c>
      <c r="C70" s="3180"/>
      <c r="D70" s="3180"/>
      <c r="E70" s="3178"/>
      <c r="F70" s="3586">
        <v>0</v>
      </c>
      <c r="G70" s="3627">
        <v>0</v>
      </c>
      <c r="H70" s="3589">
        <v>0</v>
      </c>
      <c r="I70" s="3586">
        <v>0</v>
      </c>
      <c r="J70" s="3589">
        <v>0</v>
      </c>
      <c r="K70" s="3586">
        <v>0</v>
      </c>
      <c r="L70" s="3627">
        <v>0</v>
      </c>
      <c r="M70" s="3589">
        <v>0</v>
      </c>
      <c r="N70" s="3586">
        <v>0</v>
      </c>
      <c r="O70" s="3589"/>
      <c r="P70" s="3586">
        <v>0</v>
      </c>
      <c r="Q70" s="3627">
        <v>0</v>
      </c>
      <c r="R70" s="3589">
        <v>0</v>
      </c>
      <c r="S70" s="3586">
        <v>0</v>
      </c>
      <c r="T70" s="3589">
        <v>0</v>
      </c>
      <c r="U70" s="3586">
        <v>0</v>
      </c>
      <c r="V70" s="3627">
        <v>0</v>
      </c>
      <c r="W70" s="3589">
        <v>0</v>
      </c>
      <c r="X70" s="3586">
        <v>0</v>
      </c>
      <c r="Y70" s="3589">
        <v>0</v>
      </c>
      <c r="AG70" s="3564"/>
      <c r="AH70" s="3564"/>
    </row>
    <row r="71" spans="1:34">
      <c r="A71" s="3175">
        <v>740</v>
      </c>
      <c r="B71" s="3179" t="s">
        <v>293</v>
      </c>
      <c r="C71" s="3177"/>
      <c r="D71" s="3177"/>
      <c r="E71" s="3178"/>
      <c r="F71" s="3586">
        <v>0</v>
      </c>
      <c r="G71" s="3627">
        <v>0</v>
      </c>
      <c r="H71" s="3589">
        <v>0</v>
      </c>
      <c r="I71" s="3586">
        <v>0</v>
      </c>
      <c r="J71" s="3589">
        <v>0</v>
      </c>
      <c r="K71" s="3586">
        <v>0</v>
      </c>
      <c r="L71" s="3627">
        <v>0</v>
      </c>
      <c r="M71" s="3589">
        <v>0</v>
      </c>
      <c r="N71" s="3586">
        <v>0</v>
      </c>
      <c r="O71" s="3589"/>
      <c r="P71" s="3586">
        <v>0</v>
      </c>
      <c r="Q71" s="3627">
        <v>0</v>
      </c>
      <c r="R71" s="3589">
        <v>0</v>
      </c>
      <c r="S71" s="3586">
        <v>0</v>
      </c>
      <c r="T71" s="3589">
        <v>0</v>
      </c>
      <c r="U71" s="3586">
        <v>0</v>
      </c>
      <c r="V71" s="3627">
        <v>0</v>
      </c>
      <c r="W71" s="3589">
        <v>0</v>
      </c>
      <c r="X71" s="3586">
        <v>0</v>
      </c>
      <c r="Y71" s="3589">
        <v>0</v>
      </c>
      <c r="AG71" s="3564"/>
      <c r="AH71" s="3564"/>
    </row>
    <row r="72" spans="1:34">
      <c r="A72" s="3175">
        <v>750</v>
      </c>
      <c r="B72" s="3176" t="s">
        <v>294</v>
      </c>
      <c r="C72" s="3177"/>
      <c r="D72" s="3177"/>
      <c r="E72" s="3178"/>
      <c r="F72" s="3586">
        <v>0</v>
      </c>
      <c r="G72" s="3627">
        <v>0</v>
      </c>
      <c r="H72" s="3589">
        <v>0</v>
      </c>
      <c r="I72" s="3586">
        <v>0</v>
      </c>
      <c r="J72" s="3589">
        <v>0</v>
      </c>
      <c r="K72" s="3586">
        <v>0</v>
      </c>
      <c r="L72" s="3627">
        <v>0</v>
      </c>
      <c r="M72" s="3589">
        <v>0</v>
      </c>
      <c r="N72" s="3586">
        <v>0</v>
      </c>
      <c r="O72" s="3589"/>
      <c r="P72" s="3586">
        <v>0</v>
      </c>
      <c r="Q72" s="3627">
        <v>0</v>
      </c>
      <c r="R72" s="3589">
        <v>0</v>
      </c>
      <c r="S72" s="3586">
        <v>0</v>
      </c>
      <c r="T72" s="3589">
        <v>0</v>
      </c>
      <c r="U72" s="3586">
        <v>0</v>
      </c>
      <c r="V72" s="3627">
        <v>0</v>
      </c>
      <c r="W72" s="3589">
        <v>0</v>
      </c>
      <c r="X72" s="3586">
        <v>0</v>
      </c>
      <c r="Y72" s="3589">
        <v>0</v>
      </c>
      <c r="AG72" s="3564"/>
      <c r="AH72" s="3564"/>
    </row>
    <row r="73" spans="1:34">
      <c r="A73" s="3175">
        <v>760</v>
      </c>
      <c r="B73" s="3179" t="s">
        <v>295</v>
      </c>
      <c r="C73" s="3180"/>
      <c r="D73" s="3180"/>
      <c r="E73" s="3178"/>
      <c r="F73" s="3586">
        <v>0</v>
      </c>
      <c r="G73" s="3627">
        <v>0</v>
      </c>
      <c r="H73" s="3589">
        <v>0</v>
      </c>
      <c r="I73" s="3586">
        <v>0</v>
      </c>
      <c r="J73" s="3589">
        <v>0</v>
      </c>
      <c r="K73" s="3586">
        <v>0</v>
      </c>
      <c r="L73" s="3627">
        <v>0</v>
      </c>
      <c r="M73" s="3589">
        <v>0</v>
      </c>
      <c r="N73" s="3586">
        <v>0</v>
      </c>
      <c r="O73" s="3589"/>
      <c r="P73" s="3586">
        <v>0</v>
      </c>
      <c r="Q73" s="3627">
        <v>0</v>
      </c>
      <c r="R73" s="3589">
        <v>0</v>
      </c>
      <c r="S73" s="3586">
        <v>0</v>
      </c>
      <c r="T73" s="3589">
        <v>0</v>
      </c>
      <c r="U73" s="3586">
        <v>0</v>
      </c>
      <c r="V73" s="3627">
        <v>0</v>
      </c>
      <c r="W73" s="3589">
        <v>0</v>
      </c>
      <c r="X73" s="3586">
        <v>0</v>
      </c>
      <c r="Y73" s="3589">
        <v>0</v>
      </c>
      <c r="AG73" s="3564"/>
      <c r="AH73" s="3564"/>
    </row>
    <row r="74" spans="1:34">
      <c r="A74" s="3175">
        <v>770</v>
      </c>
      <c r="B74" s="3179"/>
      <c r="C74" s="3177"/>
      <c r="D74" s="3177"/>
      <c r="E74" s="3178"/>
      <c r="F74" s="3586">
        <v>0</v>
      </c>
      <c r="G74" s="3631">
        <v>0</v>
      </c>
      <c r="H74" s="3589">
        <v>0</v>
      </c>
      <c r="I74" s="3586">
        <v>0</v>
      </c>
      <c r="J74" s="3589">
        <v>0</v>
      </c>
      <c r="K74" s="3586">
        <v>0</v>
      </c>
      <c r="L74" s="3631">
        <v>0</v>
      </c>
      <c r="M74" s="3589">
        <v>0</v>
      </c>
      <c r="N74" s="3586">
        <v>0</v>
      </c>
      <c r="O74" s="3589"/>
      <c r="P74" s="3586">
        <v>0</v>
      </c>
      <c r="Q74" s="3631">
        <v>0</v>
      </c>
      <c r="R74" s="3589">
        <v>0</v>
      </c>
      <c r="S74" s="3586">
        <v>0</v>
      </c>
      <c r="T74" s="3589">
        <v>0</v>
      </c>
      <c r="U74" s="3586">
        <v>0</v>
      </c>
      <c r="V74" s="3631">
        <v>0</v>
      </c>
      <c r="W74" s="3589">
        <v>0</v>
      </c>
      <c r="X74" s="3586">
        <v>0</v>
      </c>
      <c r="Y74" s="3589">
        <v>0</v>
      </c>
      <c r="AG74" s="3564"/>
      <c r="AH74" s="3564"/>
    </row>
    <row r="75" spans="1:34">
      <c r="A75" s="3175">
        <v>780</v>
      </c>
      <c r="B75" s="3181" t="s">
        <v>296</v>
      </c>
      <c r="C75" s="3182"/>
      <c r="D75" s="3182"/>
      <c r="E75" s="3174"/>
      <c r="F75" s="3586"/>
      <c r="G75" s="3591"/>
      <c r="H75" s="3591"/>
      <c r="I75" s="3591"/>
      <c r="J75" s="3591"/>
      <c r="K75" s="3586"/>
      <c r="L75" s="3591"/>
      <c r="M75" s="3591"/>
      <c r="N75" s="3591"/>
      <c r="O75" s="3591"/>
      <c r="P75" s="3586"/>
      <c r="Q75" s="3591"/>
      <c r="R75" s="3591"/>
      <c r="S75" s="3591"/>
      <c r="T75" s="3591"/>
      <c r="U75" s="3586"/>
      <c r="V75" s="3591"/>
      <c r="W75" s="3591"/>
      <c r="X75" s="3591"/>
      <c r="Y75" s="3591"/>
      <c r="AG75" s="3564"/>
      <c r="AH75" s="3564"/>
    </row>
    <row r="76" spans="1:34">
      <c r="A76" s="3175">
        <v>781</v>
      </c>
      <c r="B76" s="3179" t="s">
        <v>294</v>
      </c>
      <c r="C76" s="3182"/>
      <c r="D76" s="3182" t="s">
        <v>592</v>
      </c>
      <c r="E76" s="3185"/>
      <c r="F76" s="3586">
        <v>0</v>
      </c>
      <c r="G76" s="3586">
        <v>0</v>
      </c>
      <c r="H76" s="3589">
        <v>0</v>
      </c>
      <c r="I76" s="3586">
        <v>0</v>
      </c>
      <c r="J76" s="3586">
        <v>0</v>
      </c>
      <c r="K76" s="3586">
        <v>0</v>
      </c>
      <c r="L76" s="3586">
        <v>0</v>
      </c>
      <c r="M76" s="3589">
        <v>0</v>
      </c>
      <c r="N76" s="3586">
        <v>0</v>
      </c>
      <c r="O76" s="3586">
        <v>0</v>
      </c>
      <c r="P76" s="3586">
        <v>0</v>
      </c>
      <c r="Q76" s="3586">
        <v>0</v>
      </c>
      <c r="R76" s="3589">
        <v>0</v>
      </c>
      <c r="S76" s="3586">
        <v>0</v>
      </c>
      <c r="T76" s="3586">
        <v>0</v>
      </c>
      <c r="U76" s="3586">
        <v>0</v>
      </c>
      <c r="V76" s="3586">
        <v>0</v>
      </c>
      <c r="W76" s="3589">
        <v>0</v>
      </c>
      <c r="X76" s="3586">
        <v>0</v>
      </c>
      <c r="Y76" s="3586">
        <v>0</v>
      </c>
      <c r="AG76" s="3564"/>
      <c r="AH76" s="3564"/>
    </row>
    <row r="77" spans="1:34">
      <c r="A77" s="3175">
        <v>782</v>
      </c>
      <c r="B77" s="3179" t="s">
        <v>295</v>
      </c>
      <c r="C77" s="3182"/>
      <c r="D77" s="3182"/>
      <c r="E77" s="3185"/>
      <c r="F77" s="3586">
        <v>0</v>
      </c>
      <c r="G77" s="3586">
        <v>0</v>
      </c>
      <c r="H77" s="3589">
        <v>0</v>
      </c>
      <c r="I77" s="3586">
        <v>0</v>
      </c>
      <c r="J77" s="3586">
        <v>0</v>
      </c>
      <c r="K77" s="3586">
        <v>0</v>
      </c>
      <c r="L77" s="3586">
        <v>0</v>
      </c>
      <c r="M77" s="3589">
        <v>0</v>
      </c>
      <c r="N77" s="3586">
        <v>0</v>
      </c>
      <c r="O77" s="3586">
        <v>0</v>
      </c>
      <c r="P77" s="3586">
        <v>0</v>
      </c>
      <c r="Q77" s="3586">
        <v>0</v>
      </c>
      <c r="R77" s="3589">
        <v>0</v>
      </c>
      <c r="S77" s="3586">
        <v>0</v>
      </c>
      <c r="T77" s="3586">
        <v>0</v>
      </c>
      <c r="U77" s="3586">
        <v>0</v>
      </c>
      <c r="V77" s="3586">
        <v>0</v>
      </c>
      <c r="W77" s="3589">
        <v>0</v>
      </c>
      <c r="X77" s="3586">
        <v>0</v>
      </c>
      <c r="Y77" s="3586">
        <v>0</v>
      </c>
      <c r="AG77" s="3564"/>
      <c r="AH77" s="3564"/>
    </row>
    <row r="78" spans="1:34">
      <c r="A78" s="3175">
        <v>790</v>
      </c>
      <c r="B78" s="3179" t="s">
        <v>264</v>
      </c>
      <c r="C78" s="3177">
        <v>555</v>
      </c>
      <c r="D78" s="3177" t="s">
        <v>592</v>
      </c>
      <c r="E78" s="3178"/>
      <c r="F78" s="3586">
        <v>0</v>
      </c>
      <c r="G78" s="3586">
        <v>0</v>
      </c>
      <c r="H78" s="3589">
        <v>0</v>
      </c>
      <c r="I78" s="3586">
        <v>0</v>
      </c>
      <c r="J78" s="3586">
        <v>0</v>
      </c>
      <c r="K78" s="3586">
        <v>0</v>
      </c>
      <c r="L78" s="3586">
        <v>0</v>
      </c>
      <c r="M78" s="3589">
        <v>0</v>
      </c>
      <c r="N78" s="3586">
        <v>0</v>
      </c>
      <c r="O78" s="3586">
        <v>0</v>
      </c>
      <c r="P78" s="3586">
        <v>0</v>
      </c>
      <c r="Q78" s="3586">
        <v>0</v>
      </c>
      <c r="R78" s="3589">
        <v>0</v>
      </c>
      <c r="S78" s="3586">
        <v>0</v>
      </c>
      <c r="T78" s="3586">
        <v>0</v>
      </c>
      <c r="U78" s="3586">
        <v>0</v>
      </c>
      <c r="V78" s="3586">
        <v>0</v>
      </c>
      <c r="W78" s="3589">
        <v>0</v>
      </c>
      <c r="X78" s="3586">
        <v>0</v>
      </c>
      <c r="Y78" s="3586">
        <v>0</v>
      </c>
      <c r="AG78" s="3564"/>
      <c r="AH78" s="3564"/>
    </row>
    <row r="79" spans="1:34">
      <c r="A79" s="3175">
        <v>800</v>
      </c>
      <c r="B79" s="3186" t="s">
        <v>297</v>
      </c>
      <c r="C79" s="3182"/>
      <c r="D79" s="3177" t="s">
        <v>592</v>
      </c>
      <c r="E79" s="3185"/>
      <c r="F79" s="3586">
        <v>0</v>
      </c>
      <c r="G79" s="3586">
        <v>0</v>
      </c>
      <c r="H79" s="3589">
        <v>0</v>
      </c>
      <c r="I79" s="3586">
        <v>0</v>
      </c>
      <c r="J79" s="3586">
        <v>0</v>
      </c>
      <c r="K79" s="3586">
        <v>0</v>
      </c>
      <c r="L79" s="3586">
        <v>0</v>
      </c>
      <c r="M79" s="3589">
        <v>0</v>
      </c>
      <c r="N79" s="3586">
        <v>0</v>
      </c>
      <c r="O79" s="3586">
        <v>0</v>
      </c>
      <c r="P79" s="3586">
        <v>0</v>
      </c>
      <c r="Q79" s="3586">
        <v>0</v>
      </c>
      <c r="R79" s="3589">
        <v>0</v>
      </c>
      <c r="S79" s="3586">
        <v>0</v>
      </c>
      <c r="T79" s="3586">
        <v>0</v>
      </c>
      <c r="U79" s="3586">
        <v>0</v>
      </c>
      <c r="V79" s="3586">
        <v>0</v>
      </c>
      <c r="W79" s="3589">
        <v>0</v>
      </c>
      <c r="X79" s="3586">
        <v>0</v>
      </c>
      <c r="Y79" s="3586">
        <v>0</v>
      </c>
      <c r="AG79" s="3564"/>
      <c r="AH79" s="3564"/>
    </row>
    <row r="80" spans="1:34">
      <c r="A80" s="3175">
        <v>810</v>
      </c>
      <c r="B80" s="3183" t="s">
        <v>454</v>
      </c>
      <c r="C80" s="3184">
        <v>556</v>
      </c>
      <c r="D80" s="3184"/>
      <c r="E80" s="3185"/>
      <c r="F80" s="3586">
        <v>0</v>
      </c>
      <c r="G80" s="3586">
        <v>0</v>
      </c>
      <c r="H80" s="3589">
        <v>0</v>
      </c>
      <c r="I80" s="3586">
        <v>0</v>
      </c>
      <c r="J80" s="3586">
        <v>0</v>
      </c>
      <c r="K80" s="3586">
        <v>0</v>
      </c>
      <c r="L80" s="3586">
        <v>0</v>
      </c>
      <c r="M80" s="3589">
        <v>0</v>
      </c>
      <c r="N80" s="3586">
        <v>0</v>
      </c>
      <c r="O80" s="3586">
        <v>0</v>
      </c>
      <c r="P80" s="3586">
        <v>0</v>
      </c>
      <c r="Q80" s="3586">
        <v>0</v>
      </c>
      <c r="R80" s="3589">
        <v>0</v>
      </c>
      <c r="S80" s="3586">
        <v>0</v>
      </c>
      <c r="T80" s="3586">
        <v>0</v>
      </c>
      <c r="U80" s="3586">
        <v>0</v>
      </c>
      <c r="V80" s="3586">
        <v>0</v>
      </c>
      <c r="W80" s="3589">
        <v>0</v>
      </c>
      <c r="X80" s="3586">
        <v>0</v>
      </c>
      <c r="Y80" s="3586">
        <v>0</v>
      </c>
      <c r="AG80" s="3564"/>
      <c r="AH80" s="3564"/>
    </row>
    <row r="81" spans="1:34">
      <c r="A81" s="3175">
        <v>820</v>
      </c>
      <c r="B81" s="3179" t="s">
        <v>265</v>
      </c>
      <c r="C81" s="3177">
        <v>557</v>
      </c>
      <c r="D81" s="3177"/>
      <c r="E81" s="3178"/>
      <c r="F81" s="3632">
        <v>0</v>
      </c>
      <c r="G81" s="3586">
        <v>0</v>
      </c>
      <c r="H81" s="3589">
        <v>0</v>
      </c>
      <c r="I81" s="3586">
        <v>0</v>
      </c>
      <c r="J81" s="3586">
        <v>0</v>
      </c>
      <c r="K81" s="3632">
        <v>0</v>
      </c>
      <c r="L81" s="3586">
        <v>0</v>
      </c>
      <c r="M81" s="3589">
        <v>0</v>
      </c>
      <c r="N81" s="3586">
        <v>0</v>
      </c>
      <c r="O81" s="3586">
        <v>0</v>
      </c>
      <c r="P81" s="3632">
        <v>0</v>
      </c>
      <c r="Q81" s="3586">
        <v>0</v>
      </c>
      <c r="R81" s="3589">
        <v>0</v>
      </c>
      <c r="S81" s="3586">
        <v>0</v>
      </c>
      <c r="T81" s="3586">
        <v>0</v>
      </c>
      <c r="U81" s="3632">
        <v>0</v>
      </c>
      <c r="V81" s="3586">
        <v>0</v>
      </c>
      <c r="W81" s="3589">
        <v>0</v>
      </c>
      <c r="X81" s="3586">
        <v>0</v>
      </c>
      <c r="Y81" s="3586">
        <v>0</v>
      </c>
      <c r="AG81" s="3564"/>
      <c r="AH81" s="3564"/>
    </row>
    <row r="82" spans="1:34">
      <c r="A82" s="3175">
        <v>830</v>
      </c>
      <c r="B82" s="3181" t="s">
        <v>525</v>
      </c>
      <c r="C82" s="3182"/>
      <c r="D82" s="3182"/>
      <c r="E82" s="3174"/>
      <c r="F82" s="3586"/>
      <c r="G82" s="3591"/>
      <c r="H82" s="3591"/>
      <c r="I82" s="3591"/>
      <c r="J82" s="3591"/>
      <c r="K82" s="3586"/>
      <c r="L82" s="3591"/>
      <c r="M82" s="3591"/>
      <c r="N82" s="3591"/>
      <c r="O82" s="3591"/>
      <c r="P82" s="3586"/>
      <c r="Q82" s="3591"/>
      <c r="R82" s="3591"/>
      <c r="S82" s="3591"/>
      <c r="T82" s="3591"/>
      <c r="U82" s="3586"/>
      <c r="V82" s="3591"/>
      <c r="W82" s="3591"/>
      <c r="X82" s="3591"/>
      <c r="Y82" s="3591"/>
      <c r="AG82" s="3564"/>
      <c r="AH82" s="3564"/>
    </row>
    <row r="83" spans="1:34">
      <c r="A83" s="3175">
        <v>840</v>
      </c>
      <c r="B83" s="3179" t="s">
        <v>525</v>
      </c>
      <c r="C83" s="3177" t="s">
        <v>120</v>
      </c>
      <c r="D83" s="3177"/>
      <c r="E83" s="3178"/>
      <c r="F83" s="3586">
        <v>0</v>
      </c>
      <c r="G83" s="3586">
        <v>0</v>
      </c>
      <c r="H83" s="3589">
        <v>0</v>
      </c>
      <c r="I83" s="3586">
        <v>0</v>
      </c>
      <c r="J83" s="3589">
        <v>0</v>
      </c>
      <c r="K83" s="3586">
        <v>0</v>
      </c>
      <c r="L83" s="3586">
        <v>0</v>
      </c>
      <c r="M83" s="3589">
        <v>0</v>
      </c>
      <c r="N83" s="3586">
        <v>0</v>
      </c>
      <c r="O83" s="3589">
        <v>0</v>
      </c>
      <c r="P83" s="3586">
        <v>0</v>
      </c>
      <c r="Q83" s="3586">
        <v>0</v>
      </c>
      <c r="R83" s="3589">
        <v>0</v>
      </c>
      <c r="S83" s="3586">
        <v>0</v>
      </c>
      <c r="T83" s="3589">
        <v>0</v>
      </c>
      <c r="U83" s="3586">
        <v>0</v>
      </c>
      <c r="V83" s="3586">
        <v>0</v>
      </c>
      <c r="W83" s="3589">
        <v>0</v>
      </c>
      <c r="X83" s="3586">
        <v>0</v>
      </c>
      <c r="Y83" s="3589">
        <v>0</v>
      </c>
      <c r="AG83" s="3564"/>
      <c r="AH83" s="3564"/>
    </row>
    <row r="84" spans="1:34">
      <c r="A84" s="3175">
        <v>850</v>
      </c>
      <c r="B84" s="3179" t="s">
        <v>79</v>
      </c>
      <c r="C84" s="3177"/>
      <c r="D84" s="3177"/>
      <c r="E84" s="3178"/>
      <c r="F84" s="3586">
        <v>0</v>
      </c>
      <c r="G84" s="3586">
        <v>0</v>
      </c>
      <c r="H84" s="3589">
        <v>0</v>
      </c>
      <c r="I84" s="3586">
        <v>0</v>
      </c>
      <c r="J84" s="3589">
        <v>0</v>
      </c>
      <c r="K84" s="3586">
        <v>0</v>
      </c>
      <c r="L84" s="3586">
        <v>0</v>
      </c>
      <c r="M84" s="3589">
        <v>0</v>
      </c>
      <c r="N84" s="3586">
        <v>0</v>
      </c>
      <c r="O84" s="3589">
        <v>0</v>
      </c>
      <c r="P84" s="3586">
        <v>0</v>
      </c>
      <c r="Q84" s="3586">
        <v>0</v>
      </c>
      <c r="R84" s="3589">
        <v>0</v>
      </c>
      <c r="S84" s="3586">
        <v>0</v>
      </c>
      <c r="T84" s="3589">
        <v>0</v>
      </c>
      <c r="U84" s="3586">
        <v>0</v>
      </c>
      <c r="V84" s="3586">
        <v>0</v>
      </c>
      <c r="W84" s="3589">
        <v>0</v>
      </c>
      <c r="X84" s="3586">
        <v>0</v>
      </c>
      <c r="Y84" s="3589">
        <v>0</v>
      </c>
      <c r="AG84" s="3564"/>
      <c r="AH84" s="3564"/>
    </row>
    <row r="85" spans="1:34">
      <c r="A85" s="3175">
        <v>860</v>
      </c>
      <c r="B85" s="3181" t="s">
        <v>298</v>
      </c>
      <c r="C85" s="3182"/>
      <c r="D85" s="3182"/>
      <c r="E85" s="3174"/>
      <c r="F85" s="3627"/>
      <c r="G85" s="3627"/>
      <c r="H85" s="3627"/>
      <c r="I85" s="3627"/>
      <c r="J85" s="3591"/>
      <c r="K85" s="3627"/>
      <c r="L85" s="3627"/>
      <c r="M85" s="3627"/>
      <c r="N85" s="3627"/>
      <c r="O85" s="3591"/>
      <c r="P85" s="3627"/>
      <c r="Q85" s="3627"/>
      <c r="R85" s="3627"/>
      <c r="S85" s="3627"/>
      <c r="T85" s="3591"/>
      <c r="U85" s="3627"/>
      <c r="V85" s="3627"/>
      <c r="W85" s="3627"/>
      <c r="X85" s="3627"/>
      <c r="Y85" s="3591"/>
      <c r="AG85" s="3564"/>
      <c r="AH85" s="3564"/>
    </row>
    <row r="86" spans="1:34">
      <c r="A86" s="3175">
        <v>870</v>
      </c>
      <c r="B86" s="3176" t="s">
        <v>299</v>
      </c>
      <c r="C86" s="3180">
        <v>565</v>
      </c>
      <c r="D86" s="3180"/>
      <c r="E86" s="3178"/>
      <c r="F86" s="3586">
        <v>0</v>
      </c>
      <c r="G86" s="3586">
        <v>0</v>
      </c>
      <c r="H86" s="3589">
        <v>0</v>
      </c>
      <c r="I86" s="3586">
        <v>0</v>
      </c>
      <c r="J86" s="3589">
        <v>0</v>
      </c>
      <c r="K86" s="3586">
        <v>0</v>
      </c>
      <c r="L86" s="3586">
        <v>0</v>
      </c>
      <c r="M86" s="3589">
        <v>0</v>
      </c>
      <c r="N86" s="3586">
        <v>0</v>
      </c>
      <c r="O86" s="3589">
        <v>0</v>
      </c>
      <c r="P86" s="3586">
        <v>0</v>
      </c>
      <c r="Q86" s="3586">
        <v>0</v>
      </c>
      <c r="R86" s="3589">
        <v>0</v>
      </c>
      <c r="S86" s="3586">
        <v>0</v>
      </c>
      <c r="T86" s="3589">
        <v>0</v>
      </c>
      <c r="U86" s="3586">
        <v>0</v>
      </c>
      <c r="V86" s="3586">
        <v>0</v>
      </c>
      <c r="W86" s="3589">
        <v>0</v>
      </c>
      <c r="X86" s="3586">
        <v>0</v>
      </c>
      <c r="Y86" s="3589">
        <v>0</v>
      </c>
      <c r="AG86" s="3564"/>
      <c r="AH86" s="3564"/>
    </row>
    <row r="87" spans="1:34">
      <c r="A87" s="3175">
        <v>880</v>
      </c>
      <c r="B87" s="3179" t="s">
        <v>460</v>
      </c>
      <c r="C87" s="3177" t="s">
        <v>300</v>
      </c>
      <c r="D87" s="3177"/>
      <c r="E87" s="3178"/>
      <c r="F87" s="3586">
        <v>0</v>
      </c>
      <c r="G87" s="3586">
        <v>0</v>
      </c>
      <c r="H87" s="3589">
        <v>0</v>
      </c>
      <c r="I87" s="3586">
        <v>0</v>
      </c>
      <c r="J87" s="3589">
        <v>0</v>
      </c>
      <c r="K87" s="3586">
        <v>0</v>
      </c>
      <c r="L87" s="3586">
        <v>0</v>
      </c>
      <c r="M87" s="3589">
        <v>0</v>
      </c>
      <c r="N87" s="3586">
        <v>0</v>
      </c>
      <c r="O87" s="3589">
        <v>0</v>
      </c>
      <c r="P87" s="3586">
        <v>0</v>
      </c>
      <c r="Q87" s="3586">
        <v>0</v>
      </c>
      <c r="R87" s="3589">
        <v>0</v>
      </c>
      <c r="S87" s="3586">
        <v>0</v>
      </c>
      <c r="T87" s="3589">
        <v>0</v>
      </c>
      <c r="U87" s="3586">
        <v>0</v>
      </c>
      <c r="V87" s="3586">
        <v>0</v>
      </c>
      <c r="W87" s="3589">
        <v>0</v>
      </c>
      <c r="X87" s="3586">
        <v>0</v>
      </c>
      <c r="Y87" s="3589">
        <v>0</v>
      </c>
      <c r="AG87" s="3564"/>
      <c r="AH87" s="3564"/>
    </row>
    <row r="88" spans="1:34">
      <c r="A88" s="3175">
        <v>890</v>
      </c>
      <c r="B88" s="3176" t="s">
        <v>461</v>
      </c>
      <c r="C88" s="3180" t="s">
        <v>301</v>
      </c>
      <c r="D88" s="3180"/>
      <c r="E88" s="3178"/>
      <c r="F88" s="3586">
        <v>0</v>
      </c>
      <c r="G88" s="3586">
        <v>0</v>
      </c>
      <c r="H88" s="3589">
        <v>0</v>
      </c>
      <c r="I88" s="3586">
        <v>0</v>
      </c>
      <c r="J88" s="3589">
        <v>0</v>
      </c>
      <c r="K88" s="3586">
        <v>0</v>
      </c>
      <c r="L88" s="3586">
        <v>0</v>
      </c>
      <c r="M88" s="3589">
        <v>0</v>
      </c>
      <c r="N88" s="3586">
        <v>0</v>
      </c>
      <c r="O88" s="3589">
        <v>0</v>
      </c>
      <c r="P88" s="3586">
        <v>0</v>
      </c>
      <c r="Q88" s="3586">
        <v>0</v>
      </c>
      <c r="R88" s="3589">
        <v>0</v>
      </c>
      <c r="S88" s="3586">
        <v>0</v>
      </c>
      <c r="T88" s="3589">
        <v>0</v>
      </c>
      <c r="U88" s="3586">
        <v>0</v>
      </c>
      <c r="V88" s="3586">
        <v>0</v>
      </c>
      <c r="W88" s="3589">
        <v>0</v>
      </c>
      <c r="X88" s="3586">
        <v>0</v>
      </c>
      <c r="Y88" s="3589">
        <v>0</v>
      </c>
      <c r="AG88" s="3564"/>
      <c r="AH88" s="3564"/>
    </row>
    <row r="89" spans="1:34">
      <c r="A89" s="3175">
        <v>900</v>
      </c>
      <c r="B89" s="3179" t="s">
        <v>167</v>
      </c>
      <c r="C89" s="3177">
        <v>924</v>
      </c>
      <c r="D89" s="3177"/>
      <c r="E89" s="3178"/>
      <c r="F89" s="3586">
        <v>0</v>
      </c>
      <c r="G89" s="3586">
        <v>0</v>
      </c>
      <c r="H89" s="3589">
        <v>0</v>
      </c>
      <c r="I89" s="3586">
        <v>0</v>
      </c>
      <c r="J89" s="3589">
        <v>0</v>
      </c>
      <c r="K89" s="3586">
        <v>0</v>
      </c>
      <c r="L89" s="3586">
        <v>0</v>
      </c>
      <c r="M89" s="3589">
        <v>0</v>
      </c>
      <c r="N89" s="3586">
        <v>0</v>
      </c>
      <c r="O89" s="3589">
        <v>0</v>
      </c>
      <c r="P89" s="3586">
        <v>0</v>
      </c>
      <c r="Q89" s="3586">
        <v>0</v>
      </c>
      <c r="R89" s="3589">
        <v>0</v>
      </c>
      <c r="S89" s="3586">
        <v>0</v>
      </c>
      <c r="T89" s="3589">
        <v>0</v>
      </c>
      <c r="U89" s="3586">
        <v>0</v>
      </c>
      <c r="V89" s="3586">
        <v>0</v>
      </c>
      <c r="W89" s="3589">
        <v>0</v>
      </c>
      <c r="X89" s="3586">
        <v>0</v>
      </c>
      <c r="Y89" s="3589">
        <v>0</v>
      </c>
      <c r="AG89" s="3564"/>
      <c r="AH89" s="3564"/>
    </row>
    <row r="90" spans="1:34">
      <c r="A90" s="3175">
        <v>910</v>
      </c>
      <c r="B90" s="3176" t="s">
        <v>589</v>
      </c>
      <c r="C90" s="3180">
        <v>403</v>
      </c>
      <c r="D90" s="3180"/>
      <c r="E90" s="3178"/>
      <c r="F90" s="3586">
        <v>0</v>
      </c>
      <c r="G90" s="3586">
        <v>0</v>
      </c>
      <c r="H90" s="3589">
        <v>0</v>
      </c>
      <c r="I90" s="3586">
        <v>0</v>
      </c>
      <c r="J90" s="3589">
        <v>0</v>
      </c>
      <c r="K90" s="3586">
        <v>0</v>
      </c>
      <c r="L90" s="3586">
        <v>0</v>
      </c>
      <c r="M90" s="3589">
        <v>0</v>
      </c>
      <c r="N90" s="3586">
        <v>0</v>
      </c>
      <c r="O90" s="3589">
        <v>0</v>
      </c>
      <c r="P90" s="3586">
        <v>0</v>
      </c>
      <c r="Q90" s="3586">
        <v>0</v>
      </c>
      <c r="R90" s="3589">
        <v>0</v>
      </c>
      <c r="S90" s="3586">
        <v>0</v>
      </c>
      <c r="T90" s="3589">
        <v>0</v>
      </c>
      <c r="U90" s="3586">
        <v>0</v>
      </c>
      <c r="V90" s="3586">
        <v>0</v>
      </c>
      <c r="W90" s="3589">
        <v>0</v>
      </c>
      <c r="X90" s="3586">
        <v>0</v>
      </c>
      <c r="Y90" s="3589">
        <v>0</v>
      </c>
      <c r="AG90" s="3564"/>
      <c r="AH90" s="3564"/>
    </row>
    <row r="91" spans="1:34">
      <c r="A91" s="3175">
        <v>920</v>
      </c>
      <c r="B91" s="3179" t="s">
        <v>326</v>
      </c>
      <c r="C91" s="3177">
        <v>456</v>
      </c>
      <c r="D91" s="3177"/>
      <c r="E91" s="3178"/>
      <c r="F91" s="3586">
        <v>0</v>
      </c>
      <c r="G91" s="3586">
        <v>0</v>
      </c>
      <c r="H91" s="3589">
        <v>0</v>
      </c>
      <c r="I91" s="3586">
        <v>0</v>
      </c>
      <c r="J91" s="3589">
        <v>0</v>
      </c>
      <c r="K91" s="3586">
        <v>0</v>
      </c>
      <c r="L91" s="3586">
        <v>0</v>
      </c>
      <c r="M91" s="3589">
        <v>0</v>
      </c>
      <c r="N91" s="3586">
        <v>0</v>
      </c>
      <c r="O91" s="3589">
        <v>0</v>
      </c>
      <c r="P91" s="3586">
        <v>0</v>
      </c>
      <c r="Q91" s="3586">
        <v>0</v>
      </c>
      <c r="R91" s="3589">
        <v>0</v>
      </c>
      <c r="S91" s="3586">
        <v>0</v>
      </c>
      <c r="T91" s="3589">
        <v>0</v>
      </c>
      <c r="U91" s="3586">
        <v>0</v>
      </c>
      <c r="V91" s="3586">
        <v>0</v>
      </c>
      <c r="W91" s="3589">
        <v>0</v>
      </c>
      <c r="X91" s="3586">
        <v>0</v>
      </c>
      <c r="Y91" s="3589">
        <v>0</v>
      </c>
      <c r="AG91" s="3564"/>
      <c r="AH91" s="3564"/>
    </row>
    <row r="92" spans="1:34">
      <c r="A92" s="3175">
        <v>930</v>
      </c>
      <c r="B92" s="3176" t="s">
        <v>502</v>
      </c>
      <c r="C92" s="3180">
        <v>456.1</v>
      </c>
      <c r="D92" s="3180"/>
      <c r="E92" s="3178"/>
      <c r="F92" s="3586">
        <v>0</v>
      </c>
      <c r="G92" s="3586">
        <v>0</v>
      </c>
      <c r="H92" s="3589">
        <v>0</v>
      </c>
      <c r="I92" s="3586">
        <v>0</v>
      </c>
      <c r="J92" s="3589">
        <v>0</v>
      </c>
      <c r="K92" s="3586">
        <v>0</v>
      </c>
      <c r="L92" s="3586">
        <v>0</v>
      </c>
      <c r="M92" s="3589">
        <v>0</v>
      </c>
      <c r="N92" s="3586">
        <v>0</v>
      </c>
      <c r="O92" s="3589">
        <v>0</v>
      </c>
      <c r="P92" s="3586">
        <v>0</v>
      </c>
      <c r="Q92" s="3586">
        <v>0</v>
      </c>
      <c r="R92" s="3589">
        <v>0</v>
      </c>
      <c r="S92" s="3586">
        <v>0</v>
      </c>
      <c r="T92" s="3589">
        <v>0</v>
      </c>
      <c r="U92" s="3586">
        <v>0</v>
      </c>
      <c r="V92" s="3586">
        <v>0</v>
      </c>
      <c r="W92" s="3589">
        <v>0</v>
      </c>
      <c r="X92" s="3586">
        <v>0</v>
      </c>
      <c r="Y92" s="3589">
        <v>0</v>
      </c>
      <c r="AG92" s="3564"/>
      <c r="AH92" s="3564"/>
    </row>
    <row r="93" spans="1:34">
      <c r="A93" s="3175">
        <v>940</v>
      </c>
      <c r="B93" s="3181" t="s">
        <v>302</v>
      </c>
      <c r="C93" s="3182"/>
      <c r="D93" s="3182"/>
      <c r="E93" s="3174"/>
      <c r="F93" s="3591"/>
      <c r="G93" s="3591"/>
      <c r="H93" s="3591"/>
      <c r="I93" s="3591"/>
      <c r="J93" s="3591"/>
      <c r="K93" s="3591"/>
      <c r="L93" s="3591"/>
      <c r="M93" s="3591"/>
      <c r="N93" s="3591"/>
      <c r="O93" s="3591"/>
      <c r="P93" s="3591"/>
      <c r="Q93" s="3591"/>
      <c r="R93" s="3591"/>
      <c r="S93" s="3591"/>
      <c r="T93" s="3591"/>
      <c r="U93" s="3591"/>
      <c r="V93" s="3591"/>
      <c r="W93" s="3591"/>
      <c r="X93" s="3591"/>
      <c r="Y93" s="3591"/>
      <c r="AG93" s="3564"/>
      <c r="AH93" s="3564"/>
    </row>
    <row r="94" spans="1:34">
      <c r="A94" s="3175">
        <v>950</v>
      </c>
      <c r="B94" s="3176" t="s">
        <v>303</v>
      </c>
      <c r="C94" s="3180">
        <v>262</v>
      </c>
      <c r="D94" s="3180"/>
      <c r="E94" s="3178"/>
      <c r="F94" s="3586">
        <v>0</v>
      </c>
      <c r="G94" s="3586">
        <v>0</v>
      </c>
      <c r="H94" s="3589">
        <v>0</v>
      </c>
      <c r="I94" s="3586">
        <v>0</v>
      </c>
      <c r="J94" s="3589">
        <v>0</v>
      </c>
      <c r="K94" s="3586">
        <v>0</v>
      </c>
      <c r="L94" s="3586">
        <v>0</v>
      </c>
      <c r="M94" s="3589">
        <v>0</v>
      </c>
      <c r="N94" s="3586">
        <v>0</v>
      </c>
      <c r="O94" s="3589">
        <v>0</v>
      </c>
      <c r="P94" s="3586">
        <v>0</v>
      </c>
      <c r="Q94" s="3586">
        <v>0</v>
      </c>
      <c r="R94" s="3589">
        <v>0</v>
      </c>
      <c r="S94" s="3586">
        <v>0</v>
      </c>
      <c r="T94" s="3589">
        <v>0</v>
      </c>
      <c r="U94" s="3586">
        <v>0</v>
      </c>
      <c r="V94" s="3586">
        <v>0</v>
      </c>
      <c r="W94" s="3589">
        <v>0</v>
      </c>
      <c r="X94" s="3586">
        <v>0</v>
      </c>
      <c r="Y94" s="3589">
        <v>0</v>
      </c>
      <c r="AG94" s="3564"/>
      <c r="AH94" s="3564"/>
    </row>
    <row r="95" spans="1:34">
      <c r="A95" s="3175">
        <v>960</v>
      </c>
      <c r="B95" s="3179"/>
      <c r="C95" s="3177"/>
      <c r="D95" s="3177"/>
      <c r="E95" s="3178"/>
      <c r="F95" s="3586"/>
      <c r="G95" s="3589"/>
      <c r="H95" s="3589"/>
      <c r="I95" s="3586"/>
      <c r="J95" s="3589"/>
      <c r="K95" s="3586"/>
      <c r="L95" s="3589"/>
      <c r="M95" s="3590"/>
      <c r="N95" s="3586"/>
      <c r="O95" s="3589"/>
      <c r="P95" s="3589"/>
      <c r="Q95" s="3589"/>
      <c r="R95" s="3589"/>
      <c r="S95" s="3589"/>
      <c r="T95" s="3589"/>
      <c r="U95" s="3589"/>
      <c r="V95" s="3589"/>
      <c r="W95" s="3589"/>
      <c r="X95" s="3589"/>
      <c r="Y95" s="3633"/>
      <c r="AG95" s="3564"/>
      <c r="AH95" s="3564"/>
    </row>
    <row r="96" spans="1:34">
      <c r="A96" s="3175">
        <v>970</v>
      </c>
      <c r="B96" s="3176"/>
      <c r="C96" s="3180"/>
      <c r="D96" s="3180"/>
      <c r="E96" s="3178"/>
      <c r="F96" s="3586"/>
      <c r="G96" s="3589"/>
      <c r="H96" s="3589"/>
      <c r="I96" s="3586"/>
      <c r="J96" s="3589"/>
      <c r="K96" s="3586"/>
      <c r="L96" s="3589"/>
      <c r="M96" s="3590"/>
      <c r="N96" s="3586"/>
      <c r="O96" s="3589"/>
      <c r="P96" s="3589"/>
      <c r="Q96" s="3589"/>
      <c r="R96" s="3589"/>
      <c r="S96" s="3589"/>
      <c r="T96" s="3589"/>
      <c r="U96" s="3589"/>
      <c r="V96" s="3589"/>
      <c r="W96" s="3589"/>
      <c r="X96" s="3589"/>
      <c r="Y96" s="3633"/>
      <c r="AG96" s="3564"/>
      <c r="AH96" s="3564"/>
    </row>
    <row r="97" spans="1:34">
      <c r="A97" s="3175">
        <v>980</v>
      </c>
      <c r="B97" s="3181"/>
      <c r="C97" s="3177"/>
      <c r="D97" s="3177"/>
      <c r="E97" s="3178"/>
      <c r="F97" s="3586"/>
      <c r="G97" s="3589"/>
      <c r="H97" s="3589"/>
      <c r="I97" s="3586"/>
      <c r="J97" s="3589"/>
      <c r="K97" s="3586"/>
      <c r="L97" s="3589"/>
      <c r="M97" s="3590"/>
      <c r="N97" s="3586"/>
      <c r="O97" s="3589"/>
      <c r="P97" s="3589"/>
      <c r="Q97" s="3589"/>
      <c r="R97" s="3589"/>
      <c r="S97" s="3589"/>
      <c r="T97" s="3589"/>
      <c r="U97" s="3589"/>
      <c r="V97" s="3589"/>
      <c r="W97" s="3589"/>
      <c r="X97" s="3589"/>
      <c r="Y97" s="3633"/>
      <c r="AG97" s="3564"/>
      <c r="AH97" s="3564"/>
    </row>
    <row r="98" spans="1:34">
      <c r="A98" s="3175">
        <v>990</v>
      </c>
      <c r="B98" s="3176"/>
      <c r="C98" s="3180"/>
      <c r="D98" s="3180"/>
      <c r="E98" s="3178"/>
      <c r="F98" s="3586"/>
      <c r="G98" s="3589"/>
      <c r="H98" s="3589"/>
      <c r="I98" s="3586"/>
      <c r="J98" s="3589"/>
      <c r="K98" s="3586"/>
      <c r="L98" s="3589"/>
      <c r="M98" s="3590"/>
      <c r="N98" s="3586"/>
      <c r="O98" s="3589"/>
      <c r="P98" s="3589"/>
      <c r="Q98" s="3589"/>
      <c r="R98" s="3589"/>
      <c r="S98" s="3589"/>
      <c r="T98" s="3589"/>
      <c r="U98" s="3589"/>
      <c r="V98" s="3589"/>
      <c r="W98" s="3589"/>
      <c r="X98" s="3589"/>
      <c r="Y98" s="3633"/>
      <c r="AG98" s="3564"/>
      <c r="AH98" s="3564"/>
    </row>
    <row r="99" spans="1:34">
      <c r="A99" s="3175">
        <v>1000</v>
      </c>
      <c r="B99" s="3179"/>
      <c r="C99" s="3177"/>
      <c r="D99" s="3177"/>
      <c r="E99" s="3178"/>
      <c r="F99" s="3586"/>
      <c r="G99" s="3589"/>
      <c r="H99" s="3589"/>
      <c r="I99" s="3586"/>
      <c r="J99" s="3589"/>
      <c r="K99" s="3586"/>
      <c r="L99" s="3589"/>
      <c r="M99" s="3590"/>
      <c r="N99" s="3586"/>
      <c r="O99" s="3589"/>
      <c r="P99" s="3589"/>
      <c r="Q99" s="3589"/>
      <c r="R99" s="3589"/>
      <c r="S99" s="3589"/>
      <c r="T99" s="3589"/>
      <c r="U99" s="3589"/>
      <c r="V99" s="3589"/>
      <c r="W99" s="3589"/>
      <c r="X99" s="3589"/>
      <c r="Y99" s="3633"/>
      <c r="AG99" s="3564"/>
      <c r="AH99" s="3564"/>
    </row>
    <row r="100" spans="1:34">
      <c r="A100" s="3175">
        <v>1010</v>
      </c>
      <c r="B100" s="3176"/>
      <c r="C100" s="3180"/>
      <c r="D100" s="3180"/>
      <c r="E100" s="3178"/>
      <c r="F100" s="3586"/>
      <c r="G100" s="3589"/>
      <c r="H100" s="3589"/>
      <c r="I100" s="3586"/>
      <c r="J100" s="3589"/>
      <c r="K100" s="3586"/>
      <c r="L100" s="3589"/>
      <c r="M100" s="3590"/>
      <c r="N100" s="3586"/>
      <c r="O100" s="3589"/>
      <c r="P100" s="3589"/>
      <c r="Q100" s="3589"/>
      <c r="R100" s="3589"/>
      <c r="S100" s="3589"/>
      <c r="T100" s="3589"/>
      <c r="U100" s="3589"/>
      <c r="V100" s="3589"/>
      <c r="W100" s="3589"/>
      <c r="X100" s="3589"/>
      <c r="Y100" s="3633"/>
      <c r="AG100" s="3564"/>
      <c r="AH100" s="3564"/>
    </row>
    <row r="101" spans="1:34">
      <c r="A101" s="3175">
        <v>1020</v>
      </c>
      <c r="B101" s="3179"/>
      <c r="C101" s="3177"/>
      <c r="D101" s="3177"/>
      <c r="E101" s="3178"/>
      <c r="F101" s="3586"/>
      <c r="G101" s="3589"/>
      <c r="H101" s="3589"/>
      <c r="I101" s="3586"/>
      <c r="J101" s="3589"/>
      <c r="K101" s="3586"/>
      <c r="L101" s="3589"/>
      <c r="M101" s="3590"/>
      <c r="N101" s="3586"/>
      <c r="O101" s="3589"/>
      <c r="P101" s="3589"/>
      <c r="Q101" s="3589"/>
      <c r="R101" s="3589"/>
      <c r="S101" s="3589"/>
      <c r="T101" s="3589"/>
      <c r="U101" s="3589"/>
      <c r="V101" s="3589"/>
      <c r="W101" s="3589"/>
      <c r="X101" s="3589"/>
      <c r="Y101" s="3633"/>
      <c r="AG101" s="3564"/>
      <c r="AH101" s="3564"/>
    </row>
    <row r="102" spans="1:34">
      <c r="A102" s="3175">
        <v>1030</v>
      </c>
      <c r="B102" s="3176"/>
      <c r="C102" s="3180"/>
      <c r="D102" s="3180"/>
      <c r="E102" s="3178"/>
      <c r="F102" s="3586"/>
      <c r="G102" s="3589"/>
      <c r="H102" s="3589"/>
      <c r="I102" s="3586"/>
      <c r="J102" s="3589"/>
      <c r="K102" s="3586"/>
      <c r="L102" s="3589"/>
      <c r="M102" s="3590"/>
      <c r="N102" s="3586"/>
      <c r="O102" s="3589"/>
      <c r="P102" s="3589"/>
      <c r="Q102" s="3589"/>
      <c r="R102" s="3589"/>
      <c r="S102" s="3589"/>
      <c r="T102" s="3589"/>
      <c r="U102" s="3589"/>
      <c r="V102" s="3589"/>
      <c r="W102" s="3589"/>
      <c r="X102" s="3589"/>
      <c r="Y102" s="3633"/>
      <c r="AG102" s="3564"/>
      <c r="AH102" s="3564"/>
    </row>
    <row r="103" spans="1:34">
      <c r="A103" s="3175">
        <v>1040</v>
      </c>
      <c r="B103" s="3179"/>
      <c r="C103" s="3177"/>
      <c r="D103" s="3177"/>
      <c r="E103" s="3178"/>
      <c r="F103" s="3586"/>
      <c r="G103" s="3589"/>
      <c r="H103" s="3589"/>
      <c r="I103" s="3586"/>
      <c r="J103" s="3589"/>
      <c r="K103" s="3586"/>
      <c r="L103" s="3589"/>
      <c r="M103" s="3590"/>
      <c r="N103" s="3586"/>
      <c r="O103" s="3589"/>
      <c r="P103" s="3589"/>
      <c r="Q103" s="3589"/>
      <c r="R103" s="3589"/>
      <c r="S103" s="3589"/>
      <c r="T103" s="3589"/>
      <c r="U103" s="3589"/>
      <c r="V103" s="3589"/>
      <c r="W103" s="3589"/>
      <c r="X103" s="3589"/>
      <c r="Y103" s="3633"/>
      <c r="AG103" s="3564"/>
      <c r="AH103" s="3564"/>
    </row>
    <row r="104" spans="1:34">
      <c r="A104" s="3175">
        <v>1050</v>
      </c>
      <c r="B104" s="3179"/>
      <c r="C104" s="3177"/>
      <c r="D104" s="3177"/>
      <c r="E104" s="3178"/>
      <c r="F104" s="3586"/>
      <c r="G104" s="3589"/>
      <c r="H104" s="3589"/>
      <c r="I104" s="3586"/>
      <c r="J104" s="3589"/>
      <c r="K104" s="3586"/>
      <c r="L104" s="3589"/>
      <c r="M104" s="3590"/>
      <c r="N104" s="3586"/>
      <c r="O104" s="3589"/>
      <c r="P104" s="3589"/>
      <c r="Q104" s="3589"/>
      <c r="R104" s="3589"/>
      <c r="S104" s="3589"/>
      <c r="T104" s="3589"/>
      <c r="U104" s="3589"/>
      <c r="V104" s="3589"/>
      <c r="W104" s="3589"/>
      <c r="X104" s="3589"/>
      <c r="Y104" s="3633"/>
      <c r="AG104" s="3564"/>
      <c r="AH104" s="3564"/>
    </row>
    <row r="105" spans="1:34">
      <c r="A105" s="3175">
        <v>1060</v>
      </c>
      <c r="B105" s="3176"/>
      <c r="C105" s="3180"/>
      <c r="D105" s="3180"/>
      <c r="E105" s="3178"/>
      <c r="F105" s="3586"/>
      <c r="G105" s="3589"/>
      <c r="H105" s="3589"/>
      <c r="I105" s="3586"/>
      <c r="J105" s="3589"/>
      <c r="K105" s="3586"/>
      <c r="L105" s="3589"/>
      <c r="M105" s="3590"/>
      <c r="N105" s="3586"/>
      <c r="O105" s="3589"/>
      <c r="P105" s="3589"/>
      <c r="Q105" s="3589"/>
      <c r="R105" s="3589"/>
      <c r="S105" s="3589"/>
      <c r="T105" s="3589"/>
      <c r="U105" s="3589"/>
      <c r="V105" s="3589"/>
      <c r="W105" s="3589"/>
      <c r="X105" s="3589"/>
      <c r="Y105" s="3633"/>
      <c r="AG105" s="3564"/>
      <c r="AH105" s="3564"/>
    </row>
    <row r="106" spans="1:34">
      <c r="A106" s="3175">
        <v>1070</v>
      </c>
      <c r="B106" s="3190"/>
      <c r="C106" s="3191"/>
      <c r="D106" s="3191"/>
      <c r="E106" s="3192"/>
      <c r="F106" s="3598"/>
      <c r="G106" s="3599"/>
      <c r="H106" s="3599"/>
      <c r="I106" s="3598"/>
      <c r="J106" s="3599"/>
      <c r="K106" s="3598"/>
      <c r="L106" s="3599"/>
      <c r="M106" s="3600"/>
      <c r="N106" s="3598"/>
      <c r="O106" s="3599"/>
      <c r="P106" s="3599"/>
      <c r="Q106" s="3599"/>
      <c r="R106" s="3599"/>
      <c r="S106" s="3599"/>
      <c r="T106" s="3599"/>
      <c r="U106" s="3599"/>
      <c r="V106" s="3599"/>
      <c r="W106" s="3599"/>
      <c r="X106" s="3599"/>
      <c r="Y106" s="3634"/>
      <c r="AG106" s="3564"/>
      <c r="AH106" s="3564"/>
    </row>
    <row r="107" spans="1:34">
      <c r="A107" s="3175">
        <v>1080</v>
      </c>
      <c r="B107" s="3181" t="s">
        <v>304</v>
      </c>
      <c r="C107" s="3182"/>
      <c r="D107" s="3182"/>
      <c r="E107" s="3174"/>
      <c r="F107" s="3591"/>
      <c r="G107" s="3591"/>
      <c r="H107" s="3635"/>
      <c r="I107" s="3591"/>
      <c r="J107" s="3591"/>
      <c r="K107" s="3591"/>
      <c r="L107" s="3591"/>
      <c r="M107" s="3592"/>
      <c r="N107" s="3591"/>
      <c r="O107" s="3591"/>
      <c r="P107" s="3591"/>
      <c r="Q107" s="3591"/>
      <c r="R107" s="3591"/>
      <c r="S107" s="3591"/>
      <c r="T107" s="3591"/>
      <c r="U107" s="3591"/>
      <c r="V107" s="3591"/>
      <c r="W107" s="3591"/>
      <c r="X107" s="3591"/>
      <c r="Y107" s="3636"/>
      <c r="AG107" s="3564"/>
      <c r="AH107" s="3564"/>
    </row>
    <row r="108" spans="1:34">
      <c r="A108" s="3193">
        <v>91000</v>
      </c>
      <c r="B108" s="3176" t="s">
        <v>305</v>
      </c>
      <c r="C108" s="3180"/>
      <c r="D108" s="3180"/>
      <c r="E108" s="3178"/>
      <c r="F108" s="3601">
        <f>SUM(F9,F49)</f>
        <v>0</v>
      </c>
      <c r="G108" s="3601">
        <f>SUM(G9,G49)</f>
        <v>0</v>
      </c>
      <c r="H108" s="3602">
        <f>SUM(H9,H49)</f>
        <v>0</v>
      </c>
      <c r="I108" s="3601">
        <f t="shared" ref="I108:Y108" si="17">SUM(I9,I49)</f>
        <v>0</v>
      </c>
      <c r="J108" s="3601">
        <f t="shared" si="17"/>
        <v>0</v>
      </c>
      <c r="K108" s="3601">
        <f>SUM(K9,K49)</f>
        <v>0</v>
      </c>
      <c r="L108" s="3601">
        <f>SUM(L9,L49)</f>
        <v>0</v>
      </c>
      <c r="M108" s="3597">
        <f>SUM(M9,M49)</f>
        <v>0</v>
      </c>
      <c r="N108" s="3601">
        <f t="shared" si="17"/>
        <v>0</v>
      </c>
      <c r="O108" s="3601">
        <f t="shared" si="17"/>
        <v>0</v>
      </c>
      <c r="P108" s="3601">
        <f t="shared" si="17"/>
        <v>0</v>
      </c>
      <c r="Q108" s="3601">
        <f t="shared" si="17"/>
        <v>0</v>
      </c>
      <c r="R108" s="3601">
        <f t="shared" si="17"/>
        <v>0</v>
      </c>
      <c r="S108" s="3601">
        <f t="shared" si="17"/>
        <v>0</v>
      </c>
      <c r="T108" s="3601">
        <f t="shared" si="17"/>
        <v>0</v>
      </c>
      <c r="U108" s="3601">
        <f t="shared" si="17"/>
        <v>0</v>
      </c>
      <c r="V108" s="3601">
        <f t="shared" si="17"/>
        <v>0</v>
      </c>
      <c r="W108" s="3601">
        <f t="shared" si="17"/>
        <v>0</v>
      </c>
      <c r="X108" s="3601">
        <f t="shared" si="17"/>
        <v>0</v>
      </c>
      <c r="Y108" s="3601">
        <f t="shared" si="17"/>
        <v>0</v>
      </c>
    </row>
    <row r="109" spans="1:34">
      <c r="A109" s="3193">
        <v>92000</v>
      </c>
      <c r="B109" s="3179" t="s">
        <v>306</v>
      </c>
      <c r="C109" s="3177"/>
      <c r="D109" s="3177"/>
      <c r="E109" s="3178"/>
      <c r="F109" s="3601">
        <f>SUM(F10,F24,F36,F50,F84)</f>
        <v>0</v>
      </c>
      <c r="G109" s="3601">
        <f>SUM(G10,G24,G36,G50,G84)</f>
        <v>0</v>
      </c>
      <c r="H109" s="3602">
        <f>SUM(H10,H24,H36,H50,H84)</f>
        <v>0</v>
      </c>
      <c r="I109" s="3601">
        <f t="shared" ref="I109:Y109" si="18">SUM(I10,I24,I36,I50,I84)</f>
        <v>0</v>
      </c>
      <c r="J109" s="3601">
        <f t="shared" si="18"/>
        <v>0</v>
      </c>
      <c r="K109" s="3601">
        <f>SUM(K10,K24,K36,K50,K84)</f>
        <v>0</v>
      </c>
      <c r="L109" s="3601">
        <f>SUM(L10,L24,L36,L50,L84)</f>
        <v>0</v>
      </c>
      <c r="M109" s="3597">
        <f>SUM(M10,M24,M36,M50,M84)</f>
        <v>0</v>
      </c>
      <c r="N109" s="3601">
        <f t="shared" si="18"/>
        <v>0</v>
      </c>
      <c r="O109" s="3601">
        <f t="shared" si="18"/>
        <v>0</v>
      </c>
      <c r="P109" s="3601">
        <f t="shared" si="18"/>
        <v>0</v>
      </c>
      <c r="Q109" s="3601">
        <f t="shared" si="18"/>
        <v>0</v>
      </c>
      <c r="R109" s="3601">
        <f t="shared" si="18"/>
        <v>0</v>
      </c>
      <c r="S109" s="3601">
        <f t="shared" si="18"/>
        <v>0</v>
      </c>
      <c r="T109" s="3601">
        <f t="shared" si="18"/>
        <v>0</v>
      </c>
      <c r="U109" s="3601">
        <f t="shared" si="18"/>
        <v>0</v>
      </c>
      <c r="V109" s="3601">
        <f t="shared" si="18"/>
        <v>0</v>
      </c>
      <c r="W109" s="3601">
        <f t="shared" si="18"/>
        <v>0</v>
      </c>
      <c r="X109" s="3601">
        <f t="shared" si="18"/>
        <v>0</v>
      </c>
      <c r="Y109" s="3601">
        <f t="shared" si="18"/>
        <v>0</v>
      </c>
    </row>
    <row r="110" spans="1:34">
      <c r="A110" s="3193">
        <v>93000</v>
      </c>
      <c r="B110" s="3176" t="s">
        <v>307</v>
      </c>
      <c r="C110" s="3180"/>
      <c r="D110" s="3180"/>
      <c r="E110" s="3178"/>
      <c r="F110" s="3601">
        <f>SUM(F11,F51)</f>
        <v>0</v>
      </c>
      <c r="G110" s="3601">
        <f>SUM(G11,G51)</f>
        <v>0</v>
      </c>
      <c r="H110" s="3602">
        <f>SUM(H11,H51)</f>
        <v>0</v>
      </c>
      <c r="I110" s="3601">
        <f t="shared" ref="I110:Y110" si="19">SUM(I11,I51)</f>
        <v>0</v>
      </c>
      <c r="J110" s="3601">
        <f t="shared" si="19"/>
        <v>0</v>
      </c>
      <c r="K110" s="3601">
        <f>SUM(K11,K51)</f>
        <v>0</v>
      </c>
      <c r="L110" s="3601">
        <f>SUM(L11,L51)</f>
        <v>0</v>
      </c>
      <c r="M110" s="3597">
        <f>SUM(M11,M51)</f>
        <v>0</v>
      </c>
      <c r="N110" s="3601">
        <f t="shared" si="19"/>
        <v>0</v>
      </c>
      <c r="O110" s="3601">
        <f t="shared" si="19"/>
        <v>0</v>
      </c>
      <c r="P110" s="3601">
        <f t="shared" si="19"/>
        <v>0</v>
      </c>
      <c r="Q110" s="3601">
        <f t="shared" si="19"/>
        <v>0</v>
      </c>
      <c r="R110" s="3601">
        <f t="shared" si="19"/>
        <v>0</v>
      </c>
      <c r="S110" s="3601">
        <f t="shared" si="19"/>
        <v>0</v>
      </c>
      <c r="T110" s="3601">
        <f t="shared" si="19"/>
        <v>0</v>
      </c>
      <c r="U110" s="3601">
        <f t="shared" si="19"/>
        <v>0</v>
      </c>
      <c r="V110" s="3601">
        <f t="shared" si="19"/>
        <v>0</v>
      </c>
      <c r="W110" s="3601">
        <f t="shared" si="19"/>
        <v>0</v>
      </c>
      <c r="X110" s="3601">
        <f t="shared" si="19"/>
        <v>0</v>
      </c>
      <c r="Y110" s="3601">
        <f t="shared" si="19"/>
        <v>0</v>
      </c>
    </row>
    <row r="111" spans="1:34">
      <c r="A111" s="3193">
        <v>94000</v>
      </c>
      <c r="B111" s="3179" t="s">
        <v>308</v>
      </c>
      <c r="C111" s="3177"/>
      <c r="D111" s="3177"/>
      <c r="E111" s="3178"/>
      <c r="F111" s="3601">
        <f>SUM(F16,F29,F40,F56,F89)</f>
        <v>0</v>
      </c>
      <c r="G111" s="3601">
        <f>SUM(G16,G29,G40,G56,G89)</f>
        <v>0</v>
      </c>
      <c r="H111" s="3602">
        <f>SUM(H16,H29,H40,H56,H89)</f>
        <v>0</v>
      </c>
      <c r="I111" s="3601">
        <f t="shared" ref="I111:Y111" si="20">SUM(I16,I29,I40,I56,I89)</f>
        <v>0</v>
      </c>
      <c r="J111" s="3601">
        <f t="shared" si="20"/>
        <v>0</v>
      </c>
      <c r="K111" s="3601">
        <f>SUM(K16,K29,K40,K56,K89)</f>
        <v>0</v>
      </c>
      <c r="L111" s="3601">
        <f>SUM(L16,L29,L40,L56,L89)</f>
        <v>0</v>
      </c>
      <c r="M111" s="3597">
        <f>SUM(M16,M29,M40,M56,M89)</f>
        <v>0</v>
      </c>
      <c r="N111" s="3601">
        <f t="shared" si="20"/>
        <v>0</v>
      </c>
      <c r="O111" s="3601">
        <f t="shared" si="20"/>
        <v>0</v>
      </c>
      <c r="P111" s="3601">
        <f t="shared" si="20"/>
        <v>0</v>
      </c>
      <c r="Q111" s="3601">
        <f t="shared" si="20"/>
        <v>0</v>
      </c>
      <c r="R111" s="3601">
        <f t="shared" si="20"/>
        <v>0</v>
      </c>
      <c r="S111" s="3601">
        <f t="shared" si="20"/>
        <v>0</v>
      </c>
      <c r="T111" s="3601">
        <f t="shared" si="20"/>
        <v>0</v>
      </c>
      <c r="U111" s="3601">
        <f t="shared" si="20"/>
        <v>0</v>
      </c>
      <c r="V111" s="3601">
        <f t="shared" si="20"/>
        <v>0</v>
      </c>
      <c r="W111" s="3601">
        <f t="shared" si="20"/>
        <v>0</v>
      </c>
      <c r="X111" s="3601">
        <f t="shared" si="20"/>
        <v>0</v>
      </c>
      <c r="Y111" s="3601">
        <f t="shared" si="20"/>
        <v>0</v>
      </c>
    </row>
    <row r="112" spans="1:34">
      <c r="A112" s="3193">
        <v>95000</v>
      </c>
      <c r="B112" s="3176"/>
      <c r="C112" s="3180"/>
      <c r="D112" s="3180"/>
      <c r="E112" s="3178"/>
      <c r="F112" s="3601"/>
      <c r="G112" s="3601"/>
      <c r="H112" s="3602"/>
      <c r="I112" s="3601"/>
      <c r="J112" s="3601"/>
      <c r="K112" s="3601"/>
      <c r="L112" s="3601"/>
      <c r="M112" s="3597"/>
      <c r="N112" s="3601"/>
      <c r="O112" s="3601"/>
      <c r="P112" s="3601"/>
      <c r="Q112" s="3601"/>
      <c r="R112" s="3601"/>
      <c r="S112" s="3601"/>
      <c r="T112" s="3601"/>
      <c r="U112" s="3601"/>
      <c r="V112" s="3601"/>
      <c r="W112" s="3601"/>
      <c r="X112" s="3601"/>
      <c r="Y112" s="3601"/>
    </row>
    <row r="113" spans="1:25">
      <c r="A113" s="3193">
        <v>96000</v>
      </c>
      <c r="B113" s="3179" t="s">
        <v>309</v>
      </c>
      <c r="C113" s="3177"/>
      <c r="D113" s="3177"/>
      <c r="E113" s="3178"/>
      <c r="F113" s="3601">
        <f>SUM(F62,F94)</f>
        <v>0</v>
      </c>
      <c r="G113" s="3601">
        <f>SUM(G62,G94)</f>
        <v>0</v>
      </c>
      <c r="H113" s="3602">
        <f>SUM(H62,H94)</f>
        <v>0</v>
      </c>
      <c r="I113" s="3601">
        <f t="shared" ref="I113:Y113" si="21">SUM(I62,I94)</f>
        <v>0</v>
      </c>
      <c r="J113" s="3601">
        <f t="shared" si="21"/>
        <v>0</v>
      </c>
      <c r="K113" s="3601">
        <f>SUM(K62,K94)</f>
        <v>0</v>
      </c>
      <c r="L113" s="3601">
        <f>SUM(L62,L94)</f>
        <v>0</v>
      </c>
      <c r="M113" s="3597">
        <f>SUM(M62,M94)</f>
        <v>0</v>
      </c>
      <c r="N113" s="3601">
        <f t="shared" si="21"/>
        <v>0</v>
      </c>
      <c r="O113" s="3601">
        <f t="shared" si="21"/>
        <v>0</v>
      </c>
      <c r="P113" s="3601">
        <f t="shared" si="21"/>
        <v>0</v>
      </c>
      <c r="Q113" s="3601">
        <f t="shared" si="21"/>
        <v>0</v>
      </c>
      <c r="R113" s="3601">
        <f t="shared" si="21"/>
        <v>0</v>
      </c>
      <c r="S113" s="3601">
        <f t="shared" si="21"/>
        <v>0</v>
      </c>
      <c r="T113" s="3601">
        <f t="shared" si="21"/>
        <v>0</v>
      </c>
      <c r="U113" s="3601">
        <f t="shared" si="21"/>
        <v>0</v>
      </c>
      <c r="V113" s="3601">
        <f t="shared" si="21"/>
        <v>0</v>
      </c>
      <c r="W113" s="3601">
        <f t="shared" si="21"/>
        <v>0</v>
      </c>
      <c r="X113" s="3601">
        <f t="shared" si="21"/>
        <v>0</v>
      </c>
      <c r="Y113" s="3601">
        <f t="shared" si="21"/>
        <v>0</v>
      </c>
    </row>
    <row r="114" spans="1:25">
      <c r="A114" s="3193">
        <v>97000</v>
      </c>
      <c r="B114" s="3176"/>
      <c r="C114" s="3180"/>
      <c r="D114" s="3180"/>
      <c r="E114" s="3178"/>
      <c r="F114" s="3601"/>
      <c r="G114" s="3601"/>
      <c r="H114" s="3602"/>
      <c r="I114" s="3601"/>
      <c r="J114" s="3601"/>
      <c r="K114" s="3601"/>
      <c r="L114" s="3601"/>
      <c r="M114" s="3597"/>
      <c r="N114" s="3601"/>
      <c r="O114" s="3601"/>
      <c r="P114" s="3601"/>
      <c r="Q114" s="3601"/>
      <c r="R114" s="3601"/>
      <c r="S114" s="3601"/>
      <c r="T114" s="3601"/>
      <c r="U114" s="3601"/>
      <c r="V114" s="3601"/>
      <c r="W114" s="3601"/>
      <c r="X114" s="3601"/>
      <c r="Y114" s="3601"/>
    </row>
    <row r="115" spans="1:25">
      <c r="A115" s="3193">
        <v>98000</v>
      </c>
      <c r="B115" s="3179" t="s">
        <v>310</v>
      </c>
      <c r="C115" s="3177"/>
      <c r="D115" s="3177"/>
      <c r="E115" s="3178"/>
      <c r="F115" s="3601">
        <f>F14+F15</f>
        <v>0</v>
      </c>
      <c r="G115" s="3601">
        <f>G14+G15</f>
        <v>0</v>
      </c>
      <c r="H115" s="3602">
        <f>H14+H15</f>
        <v>0</v>
      </c>
      <c r="I115" s="3601">
        <f t="shared" ref="I115:Y115" si="22">I14+I15</f>
        <v>0</v>
      </c>
      <c r="J115" s="3601">
        <f t="shared" si="22"/>
        <v>0</v>
      </c>
      <c r="K115" s="3601">
        <f>K14+K15</f>
        <v>0</v>
      </c>
      <c r="L115" s="3601">
        <f>L14+L15</f>
        <v>0</v>
      </c>
      <c r="M115" s="3597">
        <f>M14+M15</f>
        <v>0</v>
      </c>
      <c r="N115" s="3601">
        <f t="shared" si="22"/>
        <v>0</v>
      </c>
      <c r="O115" s="3601">
        <f t="shared" si="22"/>
        <v>0</v>
      </c>
      <c r="P115" s="3601">
        <f t="shared" si="22"/>
        <v>0</v>
      </c>
      <c r="Q115" s="3601">
        <f t="shared" si="22"/>
        <v>0</v>
      </c>
      <c r="R115" s="3601">
        <f t="shared" si="22"/>
        <v>0</v>
      </c>
      <c r="S115" s="3601">
        <f t="shared" si="22"/>
        <v>0</v>
      </c>
      <c r="T115" s="3601">
        <f t="shared" si="22"/>
        <v>0</v>
      </c>
      <c r="U115" s="3601">
        <f t="shared" si="22"/>
        <v>0</v>
      </c>
      <c r="V115" s="3601">
        <f t="shared" si="22"/>
        <v>0</v>
      </c>
      <c r="W115" s="3601">
        <f t="shared" si="22"/>
        <v>0</v>
      </c>
      <c r="X115" s="3601">
        <f t="shared" si="22"/>
        <v>0</v>
      </c>
      <c r="Y115" s="3601">
        <f t="shared" si="22"/>
        <v>0</v>
      </c>
    </row>
    <row r="116" spans="1:25">
      <c r="A116" s="3193">
        <v>99000</v>
      </c>
      <c r="B116" s="3176" t="s">
        <v>311</v>
      </c>
      <c r="C116" s="3180"/>
      <c r="D116" s="3180"/>
      <c r="E116" s="3178"/>
      <c r="F116" s="3601">
        <f>F38+F39</f>
        <v>0</v>
      </c>
      <c r="G116" s="3601">
        <f>G38+G39</f>
        <v>0</v>
      </c>
      <c r="H116" s="3602">
        <f>H38+H39</f>
        <v>0</v>
      </c>
      <c r="I116" s="3601">
        <f t="shared" ref="I116:Y116" si="23">I38+I39</f>
        <v>0</v>
      </c>
      <c r="J116" s="3601">
        <f t="shared" si="23"/>
        <v>0</v>
      </c>
      <c r="K116" s="3601">
        <f>K38+K39</f>
        <v>0</v>
      </c>
      <c r="L116" s="3601">
        <f>L38+L39</f>
        <v>0</v>
      </c>
      <c r="M116" s="3597">
        <f>M38+M39</f>
        <v>0</v>
      </c>
      <c r="N116" s="3601">
        <f t="shared" si="23"/>
        <v>0</v>
      </c>
      <c r="O116" s="3601">
        <f t="shared" si="23"/>
        <v>0</v>
      </c>
      <c r="P116" s="3601">
        <f t="shared" si="23"/>
        <v>0</v>
      </c>
      <c r="Q116" s="3601">
        <f t="shared" si="23"/>
        <v>0</v>
      </c>
      <c r="R116" s="3601">
        <f t="shared" si="23"/>
        <v>0</v>
      </c>
      <c r="S116" s="3601">
        <f t="shared" si="23"/>
        <v>0</v>
      </c>
      <c r="T116" s="3601">
        <f t="shared" si="23"/>
        <v>0</v>
      </c>
      <c r="U116" s="3601">
        <f t="shared" si="23"/>
        <v>0</v>
      </c>
      <c r="V116" s="3601">
        <f t="shared" si="23"/>
        <v>0</v>
      </c>
      <c r="W116" s="3601">
        <f t="shared" si="23"/>
        <v>0</v>
      </c>
      <c r="X116" s="3601">
        <f t="shared" si="23"/>
        <v>0</v>
      </c>
      <c r="Y116" s="3601">
        <f t="shared" si="23"/>
        <v>0</v>
      </c>
    </row>
    <row r="117" spans="1:25">
      <c r="A117" s="3193">
        <v>100000</v>
      </c>
      <c r="B117" s="3179" t="s">
        <v>312</v>
      </c>
      <c r="C117" s="3177"/>
      <c r="D117" s="3177"/>
      <c r="E117" s="3178"/>
      <c r="F117" s="3601">
        <f>F54+F55</f>
        <v>0</v>
      </c>
      <c r="G117" s="3601">
        <f>G54+G55</f>
        <v>0</v>
      </c>
      <c r="H117" s="3602">
        <f>H54+H55</f>
        <v>0</v>
      </c>
      <c r="I117" s="3601">
        <f t="shared" ref="I117:Y117" si="24">I54+I55</f>
        <v>0</v>
      </c>
      <c r="J117" s="3601">
        <f t="shared" si="24"/>
        <v>0</v>
      </c>
      <c r="K117" s="3601">
        <f>K54+K55</f>
        <v>0</v>
      </c>
      <c r="L117" s="3601">
        <f>L54+L55</f>
        <v>0</v>
      </c>
      <c r="M117" s="3597">
        <f>M54+M55</f>
        <v>0</v>
      </c>
      <c r="N117" s="3601">
        <f t="shared" si="24"/>
        <v>0</v>
      </c>
      <c r="O117" s="3601">
        <f t="shared" si="24"/>
        <v>0</v>
      </c>
      <c r="P117" s="3601">
        <f t="shared" si="24"/>
        <v>0</v>
      </c>
      <c r="Q117" s="3601">
        <f t="shared" si="24"/>
        <v>0</v>
      </c>
      <c r="R117" s="3601">
        <f t="shared" si="24"/>
        <v>0</v>
      </c>
      <c r="S117" s="3601">
        <f t="shared" si="24"/>
        <v>0</v>
      </c>
      <c r="T117" s="3601">
        <f t="shared" si="24"/>
        <v>0</v>
      </c>
      <c r="U117" s="3601">
        <f t="shared" si="24"/>
        <v>0</v>
      </c>
      <c r="V117" s="3601">
        <f t="shared" si="24"/>
        <v>0</v>
      </c>
      <c r="W117" s="3601">
        <f t="shared" si="24"/>
        <v>0</v>
      </c>
      <c r="X117" s="3601">
        <f t="shared" si="24"/>
        <v>0</v>
      </c>
      <c r="Y117" s="3601">
        <f t="shared" si="24"/>
        <v>0</v>
      </c>
    </row>
    <row r="118" spans="1:25">
      <c r="A118" s="3193">
        <v>101000</v>
      </c>
      <c r="B118" s="3176"/>
      <c r="C118" s="3180"/>
      <c r="D118" s="3180"/>
      <c r="E118" s="3178"/>
      <c r="F118" s="3601"/>
      <c r="G118" s="3601"/>
      <c r="H118" s="3602"/>
      <c r="I118" s="3601"/>
      <c r="J118" s="3601"/>
      <c r="K118" s="3601"/>
      <c r="L118" s="3601"/>
      <c r="M118" s="3597"/>
      <c r="N118" s="3601"/>
      <c r="O118" s="3601"/>
      <c r="P118" s="3601"/>
      <c r="Q118" s="3601"/>
      <c r="R118" s="3601"/>
      <c r="S118" s="3601"/>
      <c r="T118" s="3601"/>
      <c r="U118" s="3601"/>
      <c r="V118" s="3601"/>
      <c r="W118" s="3601"/>
      <c r="X118" s="3601"/>
      <c r="Y118" s="3601"/>
    </row>
    <row r="119" spans="1:25">
      <c r="A119" s="3193">
        <v>102000</v>
      </c>
      <c r="B119" s="3179"/>
      <c r="C119" s="3177"/>
      <c r="D119" s="3177"/>
      <c r="E119" s="3178"/>
      <c r="F119" s="3601"/>
      <c r="G119" s="3601"/>
      <c r="H119" s="3602"/>
      <c r="I119" s="3601"/>
      <c r="J119" s="3601"/>
      <c r="K119" s="3601"/>
      <c r="L119" s="3601"/>
      <c r="M119" s="3597"/>
      <c r="N119" s="3601"/>
      <c r="O119" s="3601"/>
      <c r="P119" s="3601"/>
      <c r="Q119" s="3601"/>
      <c r="R119" s="3601"/>
      <c r="S119" s="3601"/>
      <c r="T119" s="3601"/>
      <c r="U119" s="3601"/>
      <c r="V119" s="3601"/>
      <c r="W119" s="3601"/>
      <c r="X119" s="3601"/>
      <c r="Y119" s="3601"/>
    </row>
    <row r="120" spans="1:25">
      <c r="A120" s="3193">
        <v>103000</v>
      </c>
      <c r="B120" s="3176" t="s">
        <v>674</v>
      </c>
      <c r="C120" s="3180"/>
      <c r="D120" s="3180"/>
      <c r="E120" s="3178"/>
      <c r="F120" s="3601">
        <f>SUM(F18,F31,F41,F58)</f>
        <v>0</v>
      </c>
      <c r="G120" s="3601">
        <f t="shared" ref="G120:Y121" si="25">SUM(G18,G31,G41,G58)</f>
        <v>0</v>
      </c>
      <c r="H120" s="3602">
        <f t="shared" si="25"/>
        <v>0</v>
      </c>
      <c r="I120" s="3601">
        <f t="shared" si="25"/>
        <v>0</v>
      </c>
      <c r="J120" s="3601">
        <f t="shared" si="25"/>
        <v>0</v>
      </c>
      <c r="K120" s="3601">
        <f t="shared" si="25"/>
        <v>0</v>
      </c>
      <c r="L120" s="3601">
        <f t="shared" si="25"/>
        <v>0</v>
      </c>
      <c r="M120" s="3597">
        <f t="shared" si="25"/>
        <v>0</v>
      </c>
      <c r="N120" s="3601">
        <f t="shared" si="25"/>
        <v>0</v>
      </c>
      <c r="O120" s="3601">
        <f t="shared" si="25"/>
        <v>0</v>
      </c>
      <c r="P120" s="3601">
        <f t="shared" si="25"/>
        <v>0</v>
      </c>
      <c r="Q120" s="3601">
        <f t="shared" si="25"/>
        <v>0</v>
      </c>
      <c r="R120" s="3601">
        <f t="shared" si="25"/>
        <v>0</v>
      </c>
      <c r="S120" s="3601">
        <f t="shared" si="25"/>
        <v>0</v>
      </c>
      <c r="T120" s="3601">
        <f t="shared" si="25"/>
        <v>0</v>
      </c>
      <c r="U120" s="3601">
        <f t="shared" si="25"/>
        <v>0</v>
      </c>
      <c r="V120" s="3601">
        <f t="shared" si="25"/>
        <v>0</v>
      </c>
      <c r="W120" s="3601">
        <f t="shared" si="25"/>
        <v>0</v>
      </c>
      <c r="X120" s="3601">
        <f t="shared" si="25"/>
        <v>0</v>
      </c>
      <c r="Y120" s="3601">
        <f t="shared" si="25"/>
        <v>0</v>
      </c>
    </row>
    <row r="121" spans="1:25">
      <c r="A121" s="3193">
        <v>104000</v>
      </c>
      <c r="B121" s="3179" t="s">
        <v>675</v>
      </c>
      <c r="C121" s="3177"/>
      <c r="D121" s="3177"/>
      <c r="E121" s="3178"/>
      <c r="F121" s="3601">
        <f>SUM(F19,F32,F42,F59)</f>
        <v>0</v>
      </c>
      <c r="G121" s="3601">
        <f t="shared" si="25"/>
        <v>0</v>
      </c>
      <c r="H121" s="3602">
        <f t="shared" si="25"/>
        <v>0</v>
      </c>
      <c r="I121" s="3601">
        <f t="shared" si="25"/>
        <v>0</v>
      </c>
      <c r="J121" s="3601">
        <f t="shared" si="25"/>
        <v>0</v>
      </c>
      <c r="K121" s="3601">
        <f t="shared" si="25"/>
        <v>0</v>
      </c>
      <c r="L121" s="3601">
        <f t="shared" si="25"/>
        <v>0</v>
      </c>
      <c r="M121" s="3597">
        <f t="shared" si="25"/>
        <v>0</v>
      </c>
      <c r="N121" s="3601">
        <f t="shared" si="25"/>
        <v>0</v>
      </c>
      <c r="O121" s="3601">
        <f t="shared" si="25"/>
        <v>0</v>
      </c>
      <c r="P121" s="3601">
        <f t="shared" si="25"/>
        <v>0</v>
      </c>
      <c r="Q121" s="3601">
        <f t="shared" si="25"/>
        <v>0</v>
      </c>
      <c r="R121" s="3601">
        <f t="shared" si="25"/>
        <v>0</v>
      </c>
      <c r="S121" s="3601">
        <f t="shared" si="25"/>
        <v>0</v>
      </c>
      <c r="T121" s="3601">
        <f t="shared" si="25"/>
        <v>0</v>
      </c>
      <c r="U121" s="3601">
        <f t="shared" si="25"/>
        <v>0</v>
      </c>
      <c r="V121" s="3601">
        <f t="shared" si="25"/>
        <v>0</v>
      </c>
      <c r="W121" s="3601">
        <f t="shared" si="25"/>
        <v>0</v>
      </c>
      <c r="X121" s="3601">
        <f t="shared" si="25"/>
        <v>0</v>
      </c>
      <c r="Y121" s="3601">
        <f t="shared" si="25"/>
        <v>0</v>
      </c>
    </row>
    <row r="122" spans="1:25">
      <c r="A122" s="3193">
        <v>105000</v>
      </c>
      <c r="B122" s="3176" t="s">
        <v>676</v>
      </c>
      <c r="C122" s="3180"/>
      <c r="D122" s="3180"/>
      <c r="E122" s="3178"/>
      <c r="F122" s="3601">
        <f>F76+F78+F64+F66+F68+F70+F72</f>
        <v>0</v>
      </c>
      <c r="G122" s="3601">
        <f t="shared" ref="G122:Y122" si="26">G76+G78+G64+G66+G68+G70+G72</f>
        <v>0</v>
      </c>
      <c r="H122" s="3602">
        <f t="shared" si="26"/>
        <v>0</v>
      </c>
      <c r="I122" s="3601">
        <f t="shared" si="26"/>
        <v>0</v>
      </c>
      <c r="J122" s="3601">
        <f t="shared" si="26"/>
        <v>0</v>
      </c>
      <c r="K122" s="3601">
        <f t="shared" si="26"/>
        <v>0</v>
      </c>
      <c r="L122" s="3601">
        <f t="shared" si="26"/>
        <v>0</v>
      </c>
      <c r="M122" s="3597">
        <f t="shared" si="26"/>
        <v>0</v>
      </c>
      <c r="N122" s="3601">
        <f t="shared" si="26"/>
        <v>0</v>
      </c>
      <c r="O122" s="3601">
        <f t="shared" si="26"/>
        <v>0</v>
      </c>
      <c r="P122" s="3601">
        <f t="shared" si="26"/>
        <v>0</v>
      </c>
      <c r="Q122" s="3601">
        <f t="shared" si="26"/>
        <v>0</v>
      </c>
      <c r="R122" s="3601">
        <f t="shared" si="26"/>
        <v>0</v>
      </c>
      <c r="S122" s="3601">
        <f t="shared" si="26"/>
        <v>0</v>
      </c>
      <c r="T122" s="3601">
        <f t="shared" si="26"/>
        <v>0</v>
      </c>
      <c r="U122" s="3601">
        <f t="shared" si="26"/>
        <v>0</v>
      </c>
      <c r="V122" s="3601">
        <f t="shared" si="26"/>
        <v>0</v>
      </c>
      <c r="W122" s="3601">
        <f t="shared" si="26"/>
        <v>0</v>
      </c>
      <c r="X122" s="3601">
        <f t="shared" si="26"/>
        <v>0</v>
      </c>
      <c r="Y122" s="3601">
        <f t="shared" si="26"/>
        <v>0</v>
      </c>
    </row>
    <row r="123" spans="1:25">
      <c r="A123" s="3193">
        <v>106000</v>
      </c>
      <c r="B123" s="3179" t="s">
        <v>677</v>
      </c>
      <c r="C123" s="3177"/>
      <c r="D123" s="3177"/>
      <c r="E123" s="3178"/>
      <c r="F123" s="3601">
        <f>F79+F77+F65+F67+F69+F71+F73</f>
        <v>0</v>
      </c>
      <c r="G123" s="3601">
        <f t="shared" ref="G123:Y123" si="27">G79+G77+G65+G67+G69+G71+G73</f>
        <v>0</v>
      </c>
      <c r="H123" s="3602">
        <f t="shared" si="27"/>
        <v>0</v>
      </c>
      <c r="I123" s="3601">
        <f t="shared" si="27"/>
        <v>0</v>
      </c>
      <c r="J123" s="3601">
        <f t="shared" si="27"/>
        <v>0</v>
      </c>
      <c r="K123" s="3601">
        <f t="shared" si="27"/>
        <v>0</v>
      </c>
      <c r="L123" s="3601">
        <f t="shared" si="27"/>
        <v>0</v>
      </c>
      <c r="M123" s="3597">
        <f t="shared" si="27"/>
        <v>0</v>
      </c>
      <c r="N123" s="3601">
        <f t="shared" si="27"/>
        <v>0</v>
      </c>
      <c r="O123" s="3601">
        <f t="shared" si="27"/>
        <v>0</v>
      </c>
      <c r="P123" s="3601">
        <f t="shared" si="27"/>
        <v>0</v>
      </c>
      <c r="Q123" s="3601">
        <f t="shared" si="27"/>
        <v>0</v>
      </c>
      <c r="R123" s="3601">
        <f t="shared" si="27"/>
        <v>0</v>
      </c>
      <c r="S123" s="3601">
        <f t="shared" si="27"/>
        <v>0</v>
      </c>
      <c r="T123" s="3601">
        <f t="shared" si="27"/>
        <v>0</v>
      </c>
      <c r="U123" s="3601">
        <f t="shared" si="27"/>
        <v>0</v>
      </c>
      <c r="V123" s="3601">
        <f t="shared" si="27"/>
        <v>0</v>
      </c>
      <c r="W123" s="3601">
        <f t="shared" si="27"/>
        <v>0</v>
      </c>
      <c r="X123" s="3601">
        <f t="shared" si="27"/>
        <v>0</v>
      </c>
      <c r="Y123" s="3601">
        <f t="shared" si="27"/>
        <v>0</v>
      </c>
    </row>
    <row r="124" spans="1:25">
      <c r="A124" s="3193">
        <v>107000</v>
      </c>
      <c r="B124" s="3176" t="s">
        <v>678</v>
      </c>
      <c r="C124" s="3180"/>
      <c r="D124" s="3180"/>
      <c r="E124" s="3178"/>
      <c r="F124" s="3601">
        <f>SUM(F20,F33,F43,F60)</f>
        <v>0</v>
      </c>
      <c r="G124" s="3601">
        <f t="shared" ref="G124:Y124" si="28">SUM(G20,G33,G43,G60)</f>
        <v>0</v>
      </c>
      <c r="H124" s="3602">
        <f t="shared" si="28"/>
        <v>0</v>
      </c>
      <c r="I124" s="3601">
        <f t="shared" si="28"/>
        <v>0</v>
      </c>
      <c r="J124" s="3601">
        <f t="shared" si="28"/>
        <v>0</v>
      </c>
      <c r="K124" s="3601">
        <f t="shared" si="28"/>
        <v>0</v>
      </c>
      <c r="L124" s="3601">
        <f t="shared" si="28"/>
        <v>0</v>
      </c>
      <c r="M124" s="3597">
        <f t="shared" si="28"/>
        <v>0</v>
      </c>
      <c r="N124" s="3601">
        <f t="shared" si="28"/>
        <v>0</v>
      </c>
      <c r="O124" s="3601">
        <f t="shared" si="28"/>
        <v>0</v>
      </c>
      <c r="P124" s="3601">
        <f t="shared" si="28"/>
        <v>0</v>
      </c>
      <c r="Q124" s="3601">
        <f t="shared" si="28"/>
        <v>0</v>
      </c>
      <c r="R124" s="3601">
        <f t="shared" si="28"/>
        <v>0</v>
      </c>
      <c r="S124" s="3601">
        <f t="shared" si="28"/>
        <v>0</v>
      </c>
      <c r="T124" s="3601">
        <f t="shared" si="28"/>
        <v>0</v>
      </c>
      <c r="U124" s="3601">
        <f t="shared" si="28"/>
        <v>0</v>
      </c>
      <c r="V124" s="3601">
        <f t="shared" si="28"/>
        <v>0</v>
      </c>
      <c r="W124" s="3601">
        <f t="shared" si="28"/>
        <v>0</v>
      </c>
      <c r="X124" s="3601">
        <f t="shared" si="28"/>
        <v>0</v>
      </c>
      <c r="Y124" s="3601">
        <f t="shared" si="28"/>
        <v>0</v>
      </c>
    </row>
    <row r="125" spans="1:25">
      <c r="A125" s="3193">
        <v>108000</v>
      </c>
      <c r="B125" s="3179" t="s">
        <v>313</v>
      </c>
      <c r="C125" s="3177"/>
      <c r="D125" s="3177"/>
      <c r="E125" s="3178"/>
      <c r="F125" s="3601">
        <f>SUM(F20,F33,F43,F60,F65,F67,F69,F71,F73,F77,F79)</f>
        <v>0</v>
      </c>
      <c r="G125" s="3601">
        <f>SUM(G20,G33,G43,G60,G65,G67,G69,G71,G73,G77,G79)</f>
        <v>0</v>
      </c>
      <c r="H125" s="3602">
        <f>SUM(H20,H33,H43,H60,H65,H67,H69,H71,H73,H77,H79)</f>
        <v>0</v>
      </c>
      <c r="I125" s="3601">
        <f t="shared" ref="I125:Y125" si="29">SUM(I20,I33,I43,I60,I65,I67,I69,I71,I73,I77,I79)</f>
        <v>0</v>
      </c>
      <c r="J125" s="3601">
        <f t="shared" si="29"/>
        <v>0</v>
      </c>
      <c r="K125" s="3601">
        <f>SUM(K20,K33,K43,K60,K65,K67,K69,K71,K73,K77,K79)</f>
        <v>0</v>
      </c>
      <c r="L125" s="3601">
        <f>SUM(L20,L33,L43,L60,L65,L67,L69,L71,L73,L77,L79)</f>
        <v>0</v>
      </c>
      <c r="M125" s="3597">
        <f>SUM(M20,M33,M43,M60,M65,M67,M69,M71,M73,M77,M79)</f>
        <v>0</v>
      </c>
      <c r="N125" s="3601">
        <f t="shared" si="29"/>
        <v>0</v>
      </c>
      <c r="O125" s="3601">
        <f t="shared" si="29"/>
        <v>0</v>
      </c>
      <c r="P125" s="3601">
        <f t="shared" si="29"/>
        <v>0</v>
      </c>
      <c r="Q125" s="3601">
        <f t="shared" si="29"/>
        <v>0</v>
      </c>
      <c r="R125" s="3601">
        <f t="shared" si="29"/>
        <v>0</v>
      </c>
      <c r="S125" s="3601">
        <f t="shared" si="29"/>
        <v>0</v>
      </c>
      <c r="T125" s="3601">
        <f t="shared" si="29"/>
        <v>0</v>
      </c>
      <c r="U125" s="3601">
        <f t="shared" si="29"/>
        <v>0</v>
      </c>
      <c r="V125" s="3601">
        <f t="shared" si="29"/>
        <v>0</v>
      </c>
      <c r="W125" s="3601">
        <f t="shared" si="29"/>
        <v>0</v>
      </c>
      <c r="X125" s="3601">
        <f t="shared" si="29"/>
        <v>0</v>
      </c>
      <c r="Y125" s="3601">
        <f t="shared" si="29"/>
        <v>0</v>
      </c>
    </row>
    <row r="126" spans="1:25">
      <c r="A126" s="3193">
        <v>109000</v>
      </c>
      <c r="B126" s="3179" t="s">
        <v>314</v>
      </c>
      <c r="C126" s="3177"/>
      <c r="D126" s="3177"/>
      <c r="E126" s="3178"/>
      <c r="F126" s="3601">
        <f>SUM(F19,F32,F42,F59)</f>
        <v>0</v>
      </c>
      <c r="G126" s="3601">
        <f>SUM(G19,G32,G42,G59)</f>
        <v>0</v>
      </c>
      <c r="H126" s="3602">
        <f>SUM(H19,H32,H42,H59)</f>
        <v>0</v>
      </c>
      <c r="I126" s="3601">
        <f t="shared" ref="I126:Y126" si="30">SUM(I19,I32,I42,I59)</f>
        <v>0</v>
      </c>
      <c r="J126" s="3601">
        <f t="shared" si="30"/>
        <v>0</v>
      </c>
      <c r="K126" s="3601">
        <f>SUM(K19,K32,K42,K59)</f>
        <v>0</v>
      </c>
      <c r="L126" s="3601">
        <f>SUM(L19,L32,L42,L59)</f>
        <v>0</v>
      </c>
      <c r="M126" s="3597">
        <f>SUM(M19,M32,M42,M59)</f>
        <v>0</v>
      </c>
      <c r="N126" s="3601">
        <f t="shared" si="30"/>
        <v>0</v>
      </c>
      <c r="O126" s="3601">
        <f t="shared" si="30"/>
        <v>0</v>
      </c>
      <c r="P126" s="3601">
        <f t="shared" si="30"/>
        <v>0</v>
      </c>
      <c r="Q126" s="3601">
        <f t="shared" si="30"/>
        <v>0</v>
      </c>
      <c r="R126" s="3601">
        <f t="shared" si="30"/>
        <v>0</v>
      </c>
      <c r="S126" s="3601">
        <f t="shared" si="30"/>
        <v>0</v>
      </c>
      <c r="T126" s="3601">
        <f t="shared" si="30"/>
        <v>0</v>
      </c>
      <c r="U126" s="3601">
        <f t="shared" si="30"/>
        <v>0</v>
      </c>
      <c r="V126" s="3601">
        <f t="shared" si="30"/>
        <v>0</v>
      </c>
      <c r="W126" s="3601">
        <f t="shared" si="30"/>
        <v>0</v>
      </c>
      <c r="X126" s="3601">
        <f t="shared" si="30"/>
        <v>0</v>
      </c>
      <c r="Y126" s="3601">
        <f t="shared" si="30"/>
        <v>0</v>
      </c>
    </row>
    <row r="127" spans="1:25">
      <c r="A127" s="3193">
        <v>110000</v>
      </c>
      <c r="B127" s="3176" t="s">
        <v>315</v>
      </c>
      <c r="C127" s="3180"/>
      <c r="D127" s="3180"/>
      <c r="E127" s="3178"/>
      <c r="F127" s="3601">
        <f>SUM(F18,F31,F41,F58)</f>
        <v>0</v>
      </c>
      <c r="G127" s="3601">
        <f>SUM(G18,G31,G41,G58)</f>
        <v>0</v>
      </c>
      <c r="H127" s="3602">
        <f>SUM(H18,H31,H41,H58)</f>
        <v>0</v>
      </c>
      <c r="I127" s="3601">
        <f t="shared" ref="I127:Y127" si="31">SUM(I18,I31,I41,I58)</f>
        <v>0</v>
      </c>
      <c r="J127" s="3601">
        <f t="shared" si="31"/>
        <v>0</v>
      </c>
      <c r="K127" s="3601">
        <f>SUM(K18,K31,K41,K58)</f>
        <v>0</v>
      </c>
      <c r="L127" s="3601">
        <f>SUM(L18,L31,L41,L58)</f>
        <v>0</v>
      </c>
      <c r="M127" s="3597">
        <f>SUM(M18,M31,M41,M58)</f>
        <v>0</v>
      </c>
      <c r="N127" s="3601">
        <f t="shared" si="31"/>
        <v>0</v>
      </c>
      <c r="O127" s="3601">
        <f t="shared" si="31"/>
        <v>0</v>
      </c>
      <c r="P127" s="3601">
        <f t="shared" si="31"/>
        <v>0</v>
      </c>
      <c r="Q127" s="3601">
        <f t="shared" si="31"/>
        <v>0</v>
      </c>
      <c r="R127" s="3601">
        <f t="shared" si="31"/>
        <v>0</v>
      </c>
      <c r="S127" s="3601">
        <f t="shared" si="31"/>
        <v>0</v>
      </c>
      <c r="T127" s="3601">
        <f t="shared" si="31"/>
        <v>0</v>
      </c>
      <c r="U127" s="3601">
        <f t="shared" si="31"/>
        <v>0</v>
      </c>
      <c r="V127" s="3601">
        <f t="shared" si="31"/>
        <v>0</v>
      </c>
      <c r="W127" s="3601">
        <f t="shared" si="31"/>
        <v>0</v>
      </c>
      <c r="X127" s="3601">
        <f t="shared" si="31"/>
        <v>0</v>
      </c>
      <c r="Y127" s="3601">
        <f t="shared" si="31"/>
        <v>0</v>
      </c>
    </row>
    <row r="128" spans="1:25">
      <c r="A128" s="3193">
        <v>111000</v>
      </c>
      <c r="B128" s="3179" t="s">
        <v>316</v>
      </c>
      <c r="C128" s="3177"/>
      <c r="D128" s="3177"/>
      <c r="E128" s="3178"/>
      <c r="F128" s="3601">
        <f>F45+F46</f>
        <v>0</v>
      </c>
      <c r="G128" s="3602">
        <f>G45+G46</f>
        <v>0</v>
      </c>
      <c r="H128" s="3602">
        <f>H45+H46</f>
        <v>0</v>
      </c>
      <c r="I128" s="3601">
        <f t="shared" ref="I128:Y128" si="32">I45+I46</f>
        <v>0</v>
      </c>
      <c r="J128" s="3602">
        <f t="shared" si="32"/>
        <v>0</v>
      </c>
      <c r="K128" s="3601">
        <f>K45+K46</f>
        <v>0</v>
      </c>
      <c r="L128" s="3602">
        <f>L45+L46</f>
        <v>0</v>
      </c>
      <c r="M128" s="3603">
        <f>M45+M46</f>
        <v>0</v>
      </c>
      <c r="N128" s="3601">
        <f t="shared" si="32"/>
        <v>0</v>
      </c>
      <c r="O128" s="3602">
        <f t="shared" si="32"/>
        <v>0</v>
      </c>
      <c r="P128" s="3602">
        <f t="shared" si="32"/>
        <v>0</v>
      </c>
      <c r="Q128" s="3602">
        <f t="shared" si="32"/>
        <v>0</v>
      </c>
      <c r="R128" s="3602">
        <f t="shared" si="32"/>
        <v>0</v>
      </c>
      <c r="S128" s="3602">
        <f t="shared" si="32"/>
        <v>0</v>
      </c>
      <c r="T128" s="3602">
        <f t="shared" si="32"/>
        <v>0</v>
      </c>
      <c r="U128" s="3602">
        <f t="shared" si="32"/>
        <v>0</v>
      </c>
      <c r="V128" s="3602">
        <f t="shared" si="32"/>
        <v>0</v>
      </c>
      <c r="W128" s="3602">
        <f t="shared" si="32"/>
        <v>0</v>
      </c>
      <c r="X128" s="3602">
        <f t="shared" si="32"/>
        <v>0</v>
      </c>
      <c r="Y128" s="3602">
        <f t="shared" si="32"/>
        <v>0</v>
      </c>
    </row>
    <row r="129" spans="1:25">
      <c r="A129" s="3193">
        <v>112000</v>
      </c>
      <c r="B129" s="3179"/>
      <c r="C129" s="3177"/>
      <c r="D129" s="3177"/>
      <c r="E129" s="3178"/>
      <c r="F129" s="3601"/>
      <c r="G129" s="3602"/>
      <c r="H129" s="3602"/>
      <c r="I129" s="3601"/>
      <c r="J129" s="3602"/>
      <c r="K129" s="3601"/>
      <c r="L129" s="3602"/>
      <c r="M129" s="3603"/>
      <c r="N129" s="3601"/>
      <c r="O129" s="3602"/>
      <c r="P129" s="3602"/>
      <c r="Q129" s="3602"/>
      <c r="R129" s="3602"/>
      <c r="S129" s="3602"/>
      <c r="T129" s="3602"/>
      <c r="U129" s="3602"/>
      <c r="V129" s="3602"/>
      <c r="W129" s="3602"/>
      <c r="X129" s="3602"/>
      <c r="Y129" s="3637"/>
    </row>
    <row r="130" spans="1:25">
      <c r="A130" s="3193">
        <v>113000</v>
      </c>
      <c r="B130" s="3176"/>
      <c r="C130" s="3180"/>
      <c r="D130" s="3180"/>
      <c r="E130" s="3178"/>
      <c r="F130" s="3601"/>
      <c r="G130" s="3602"/>
      <c r="H130" s="3602"/>
      <c r="I130" s="3601"/>
      <c r="J130" s="3602"/>
      <c r="K130" s="3601"/>
      <c r="L130" s="3602"/>
      <c r="M130" s="3603"/>
      <c r="N130" s="3601"/>
      <c r="O130" s="3602"/>
      <c r="P130" s="3602"/>
      <c r="Q130" s="3602"/>
      <c r="R130" s="3602"/>
      <c r="S130" s="3602"/>
      <c r="T130" s="3602"/>
      <c r="U130" s="3602"/>
      <c r="V130" s="3602"/>
      <c r="W130" s="3602"/>
      <c r="X130" s="3602"/>
      <c r="Y130" s="3637"/>
    </row>
    <row r="131" spans="1:25" ht="12" thickBot="1">
      <c r="A131" s="3193">
        <v>114000</v>
      </c>
      <c r="B131" s="3194"/>
      <c r="C131" s="3195"/>
      <c r="D131" s="3195"/>
      <c r="E131" s="3196"/>
      <c r="F131" s="3606"/>
      <c r="G131" s="3605"/>
      <c r="H131" s="3605"/>
      <c r="I131" s="3638"/>
      <c r="J131" s="3639"/>
      <c r="K131" s="3606"/>
      <c r="L131" s="3605"/>
      <c r="M131" s="3607"/>
      <c r="N131" s="3640"/>
      <c r="O131" s="3641"/>
      <c r="P131" s="3641"/>
      <c r="Q131" s="3641"/>
      <c r="R131" s="3641"/>
      <c r="S131" s="3641"/>
      <c r="T131" s="3641"/>
      <c r="U131" s="3641"/>
      <c r="V131" s="3641"/>
      <c r="W131" s="3641"/>
      <c r="X131" s="3641"/>
      <c r="Y131" s="3642"/>
    </row>
    <row r="132" spans="1:25" ht="12" thickTop="1"/>
    <row r="134" spans="1:25">
      <c r="B134" s="507" t="s">
        <v>659</v>
      </c>
    </row>
    <row r="136" spans="1:25">
      <c r="B136" s="493" t="s">
        <v>660</v>
      </c>
      <c r="C136" s="493" t="s">
        <v>661</v>
      </c>
      <c r="F136" s="3643"/>
      <c r="G136" s="3643"/>
      <c r="H136" s="3643"/>
      <c r="I136" s="3643"/>
      <c r="J136" s="3643"/>
      <c r="K136" s="3643"/>
      <c r="L136" s="3643"/>
    </row>
    <row r="137" spans="1:25">
      <c r="B137" s="493" t="s">
        <v>662</v>
      </c>
      <c r="C137" s="493" t="s">
        <v>663</v>
      </c>
      <c r="F137" s="3644"/>
      <c r="G137" s="3643"/>
      <c r="H137" s="3644"/>
      <c r="I137" s="3644"/>
      <c r="J137" s="3644"/>
      <c r="K137" s="3644"/>
      <c r="L137" s="3644"/>
    </row>
    <row r="138" spans="1:25">
      <c r="B138" s="493" t="s">
        <v>664</v>
      </c>
      <c r="C138" s="493" t="s">
        <v>665</v>
      </c>
      <c r="F138" s="3645"/>
      <c r="G138" s="3643"/>
      <c r="H138" s="3645"/>
      <c r="I138" s="3645"/>
      <c r="J138" s="3645"/>
      <c r="K138" s="3645"/>
      <c r="L138" s="3645"/>
    </row>
    <row r="139" spans="1:25">
      <c r="B139" s="493" t="s">
        <v>666</v>
      </c>
      <c r="F139" s="3646"/>
      <c r="G139" s="3643"/>
      <c r="H139" s="3646"/>
      <c r="I139" s="3646"/>
      <c r="J139" s="3646"/>
      <c r="K139" s="3646"/>
      <c r="L139" s="3646"/>
    </row>
    <row r="140" spans="1:25">
      <c r="B140" s="493" t="s">
        <v>789</v>
      </c>
      <c r="C140" s="493" t="s">
        <v>0</v>
      </c>
      <c r="F140" s="3647">
        <f>(F136*F139*8760)</f>
        <v>0</v>
      </c>
      <c r="G140" s="3647">
        <f t="shared" ref="G140:L140" si="33">(G136*G139*8760)</f>
        <v>0</v>
      </c>
      <c r="H140" s="3647">
        <f t="shared" si="33"/>
        <v>0</v>
      </c>
      <c r="I140" s="3647">
        <f t="shared" si="33"/>
        <v>0</v>
      </c>
      <c r="J140" s="3647">
        <f t="shared" si="33"/>
        <v>0</v>
      </c>
      <c r="K140" s="3647">
        <f t="shared" si="33"/>
        <v>0</v>
      </c>
      <c r="L140" s="3647">
        <f t="shared" si="33"/>
        <v>0</v>
      </c>
    </row>
    <row r="141" spans="1:25">
      <c r="B141" s="493" t="s">
        <v>667</v>
      </c>
      <c r="F141" s="3648">
        <f>F140*F137*F138/1000</f>
        <v>0</v>
      </c>
      <c r="G141" s="3649">
        <f t="shared" ref="G141:L141" si="34">G140*G137*G138/1000</f>
        <v>0</v>
      </c>
      <c r="H141" s="3649">
        <f t="shared" si="34"/>
        <v>0</v>
      </c>
      <c r="I141" s="3649">
        <f t="shared" si="34"/>
        <v>0</v>
      </c>
      <c r="J141" s="3649">
        <f t="shared" si="34"/>
        <v>0</v>
      </c>
      <c r="K141" s="3649">
        <f t="shared" si="34"/>
        <v>0</v>
      </c>
      <c r="L141" s="3649">
        <f t="shared" si="34"/>
        <v>0</v>
      </c>
    </row>
    <row r="142" spans="1:25">
      <c r="R142" s="3608"/>
    </row>
    <row r="143" spans="1:25">
      <c r="B143" s="507" t="s">
        <v>668</v>
      </c>
    </row>
    <row r="145" spans="2:18">
      <c r="B145" s="493" t="s">
        <v>660</v>
      </c>
      <c r="C145" s="493" t="s">
        <v>661</v>
      </c>
      <c r="F145" s="3643"/>
      <c r="G145" s="3643"/>
      <c r="H145" s="3643"/>
      <c r="I145" s="3643"/>
      <c r="J145" s="3643"/>
      <c r="K145" s="3643"/>
      <c r="L145" s="3643"/>
    </row>
    <row r="146" spans="2:18">
      <c r="B146" s="493" t="s">
        <v>662</v>
      </c>
      <c r="C146" s="493" t="s">
        <v>663</v>
      </c>
      <c r="F146" s="3644"/>
      <c r="G146" s="3644"/>
      <c r="H146" s="3644"/>
      <c r="I146" s="3644"/>
      <c r="J146" s="3644"/>
      <c r="K146" s="3644"/>
      <c r="L146" s="3644"/>
    </row>
    <row r="147" spans="2:18">
      <c r="B147" s="493" t="s">
        <v>664</v>
      </c>
      <c r="C147" s="493" t="s">
        <v>665</v>
      </c>
      <c r="F147" s="3645"/>
      <c r="G147" s="3645"/>
      <c r="H147" s="3645"/>
      <c r="I147" s="3645"/>
      <c r="J147" s="3645"/>
      <c r="K147" s="3645"/>
      <c r="L147" s="3645"/>
      <c r="R147" s="3609"/>
    </row>
    <row r="148" spans="2:18">
      <c r="B148" s="493" t="s">
        <v>666</v>
      </c>
      <c r="F148" s="3646"/>
      <c r="G148" s="3646"/>
      <c r="H148" s="3646"/>
      <c r="I148" s="3646"/>
      <c r="J148" s="3646"/>
      <c r="K148" s="3646"/>
      <c r="L148" s="3646"/>
      <c r="R148" s="3610"/>
    </row>
    <row r="149" spans="2:18">
      <c r="B149" s="493" t="s">
        <v>789</v>
      </c>
      <c r="C149" s="493" t="s">
        <v>0</v>
      </c>
      <c r="F149" s="3647">
        <f t="shared" ref="F149:L149" si="35">(F145*F148*8760)</f>
        <v>0</v>
      </c>
      <c r="G149" s="3647">
        <f t="shared" si="35"/>
        <v>0</v>
      </c>
      <c r="H149" s="3647">
        <f t="shared" si="35"/>
        <v>0</v>
      </c>
      <c r="I149" s="3647">
        <f t="shared" si="35"/>
        <v>0</v>
      </c>
      <c r="J149" s="3647">
        <f t="shared" si="35"/>
        <v>0</v>
      </c>
      <c r="K149" s="3647">
        <f t="shared" si="35"/>
        <v>0</v>
      </c>
      <c r="L149" s="3647">
        <f t="shared" si="35"/>
        <v>0</v>
      </c>
      <c r="R149" s="3610"/>
    </row>
    <row r="150" spans="2:18">
      <c r="B150" s="493" t="s">
        <v>667</v>
      </c>
      <c r="F150" s="3649">
        <f t="shared" ref="F150:L150" si="36">F149*F146*F147/1000</f>
        <v>0</v>
      </c>
      <c r="G150" s="3648">
        <f t="shared" si="36"/>
        <v>0</v>
      </c>
      <c r="H150" s="3649">
        <f t="shared" si="36"/>
        <v>0</v>
      </c>
      <c r="I150" s="3649">
        <f t="shared" si="36"/>
        <v>0</v>
      </c>
      <c r="J150" s="3649">
        <f t="shared" si="36"/>
        <v>0</v>
      </c>
      <c r="K150" s="3649">
        <f t="shared" si="36"/>
        <v>0</v>
      </c>
      <c r="L150" s="3649">
        <f t="shared" si="36"/>
        <v>0</v>
      </c>
    </row>
    <row r="152" spans="2:18">
      <c r="B152" s="507" t="s">
        <v>669</v>
      </c>
    </row>
    <row r="154" spans="2:18">
      <c r="B154" s="493" t="s">
        <v>660</v>
      </c>
      <c r="C154" s="493" t="s">
        <v>661</v>
      </c>
      <c r="F154" s="3643"/>
      <c r="G154" s="3643"/>
      <c r="H154" s="3643"/>
      <c r="I154" s="3643"/>
      <c r="J154" s="3643"/>
      <c r="K154" s="3643"/>
      <c r="L154" s="3643"/>
    </row>
    <row r="155" spans="2:18">
      <c r="B155" s="493" t="s">
        <v>662</v>
      </c>
      <c r="C155" s="493" t="s">
        <v>663</v>
      </c>
      <c r="F155" s="3644" t="s">
        <v>194</v>
      </c>
      <c r="G155" s="3644" t="s">
        <v>194</v>
      </c>
      <c r="H155" s="3644" t="s">
        <v>194</v>
      </c>
      <c r="I155" s="3644" t="s">
        <v>194</v>
      </c>
      <c r="J155" s="3644" t="s">
        <v>194</v>
      </c>
      <c r="K155" s="3644" t="s">
        <v>194</v>
      </c>
      <c r="L155" s="3644" t="s">
        <v>194</v>
      </c>
    </row>
    <row r="156" spans="2:18">
      <c r="B156" s="493" t="s">
        <v>664</v>
      </c>
      <c r="C156" s="493" t="s">
        <v>665</v>
      </c>
      <c r="F156" s="3644" t="s">
        <v>194</v>
      </c>
      <c r="G156" s="3644" t="s">
        <v>194</v>
      </c>
      <c r="H156" s="3644" t="s">
        <v>194</v>
      </c>
      <c r="I156" s="3644" t="s">
        <v>194</v>
      </c>
      <c r="J156" s="3644" t="s">
        <v>194</v>
      </c>
      <c r="K156" s="3644" t="s">
        <v>194</v>
      </c>
      <c r="L156" s="3644" t="s">
        <v>194</v>
      </c>
      <c r="R156" s="3609"/>
    </row>
    <row r="157" spans="2:18">
      <c r="B157" s="493" t="s">
        <v>666</v>
      </c>
      <c r="F157" s="3646"/>
      <c r="G157" s="3643"/>
      <c r="H157" s="3646"/>
      <c r="I157" s="3646"/>
      <c r="J157" s="3643"/>
      <c r="K157" s="3643"/>
      <c r="L157" s="3643"/>
      <c r="R157" s="3611"/>
    </row>
    <row r="158" spans="2:18">
      <c r="B158" s="493" t="s">
        <v>789</v>
      </c>
      <c r="C158" s="493" t="s">
        <v>0</v>
      </c>
      <c r="F158" s="3647">
        <f t="shared" ref="F158:L158" si="37">(F154*F157*8760)</f>
        <v>0</v>
      </c>
      <c r="G158" s="3647">
        <f t="shared" si="37"/>
        <v>0</v>
      </c>
      <c r="H158" s="3647">
        <f t="shared" si="37"/>
        <v>0</v>
      </c>
      <c r="I158" s="3647">
        <f t="shared" si="37"/>
        <v>0</v>
      </c>
      <c r="J158" s="3647">
        <f t="shared" si="37"/>
        <v>0</v>
      </c>
      <c r="K158" s="3647">
        <f t="shared" si="37"/>
        <v>0</v>
      </c>
      <c r="L158" s="3647">
        <f t="shared" si="37"/>
        <v>0</v>
      </c>
    </row>
    <row r="159" spans="2:18">
      <c r="B159" s="493" t="s">
        <v>667</v>
      </c>
      <c r="F159" s="3644" t="s">
        <v>194</v>
      </c>
      <c r="G159" s="3644" t="s">
        <v>194</v>
      </c>
      <c r="H159" s="3644" t="s">
        <v>194</v>
      </c>
      <c r="I159" s="3644" t="s">
        <v>194</v>
      </c>
      <c r="J159" s="3644" t="s">
        <v>194</v>
      </c>
      <c r="K159" s="3644" t="s">
        <v>194</v>
      </c>
      <c r="L159" s="3644" t="s">
        <v>194</v>
      </c>
    </row>
    <row r="161" spans="2:12" ht="17.25" customHeight="1">
      <c r="B161" s="507" t="s">
        <v>670</v>
      </c>
    </row>
    <row r="163" spans="2:12">
      <c r="B163" s="493" t="s">
        <v>660</v>
      </c>
      <c r="C163" s="493" t="s">
        <v>661</v>
      </c>
      <c r="F163" s="3643"/>
      <c r="G163" s="3643"/>
      <c r="H163" s="3643"/>
      <c r="I163" s="3643"/>
      <c r="J163" s="3643"/>
      <c r="K163" s="3643"/>
      <c r="L163" s="3643"/>
    </row>
    <row r="164" spans="2:12">
      <c r="B164" s="493" t="s">
        <v>662</v>
      </c>
      <c r="C164" s="493" t="s">
        <v>663</v>
      </c>
      <c r="F164" s="3644"/>
      <c r="G164" s="3643"/>
      <c r="H164" s="3644"/>
      <c r="I164" s="3644"/>
      <c r="J164" s="3644"/>
      <c r="K164" s="3644"/>
      <c r="L164" s="3644"/>
    </row>
    <row r="165" spans="2:12">
      <c r="B165" s="493" t="s">
        <v>664</v>
      </c>
      <c r="C165" s="493" t="s">
        <v>665</v>
      </c>
      <c r="F165" s="3645"/>
      <c r="G165" s="3643"/>
      <c r="H165" s="3645"/>
      <c r="I165" s="3645"/>
      <c r="J165" s="3645"/>
      <c r="K165" s="3645"/>
      <c r="L165" s="3645"/>
    </row>
    <row r="166" spans="2:12">
      <c r="B166" s="493" t="s">
        <v>666</v>
      </c>
      <c r="F166" s="3646"/>
      <c r="G166" s="3643"/>
      <c r="H166" s="3646"/>
      <c r="I166" s="3646"/>
      <c r="J166" s="3646"/>
      <c r="K166" s="3646"/>
      <c r="L166" s="3646"/>
    </row>
    <row r="167" spans="2:12">
      <c r="B167" s="493" t="s">
        <v>789</v>
      </c>
      <c r="C167" s="493" t="s">
        <v>0</v>
      </c>
      <c r="F167" s="3647">
        <f t="shared" ref="F167:L167" si="38">(F163*F166*8760)</f>
        <v>0</v>
      </c>
      <c r="G167" s="3647">
        <f t="shared" si="38"/>
        <v>0</v>
      </c>
      <c r="H167" s="3647">
        <f t="shared" si="38"/>
        <v>0</v>
      </c>
      <c r="I167" s="3647">
        <f t="shared" si="38"/>
        <v>0</v>
      </c>
      <c r="J167" s="3647">
        <f t="shared" si="38"/>
        <v>0</v>
      </c>
      <c r="K167" s="3647">
        <f t="shared" si="38"/>
        <v>0</v>
      </c>
      <c r="L167" s="3647">
        <f t="shared" si="38"/>
        <v>0</v>
      </c>
    </row>
    <row r="168" spans="2:12">
      <c r="B168" s="493" t="s">
        <v>667</v>
      </c>
      <c r="F168" s="3649">
        <f t="shared" ref="F168:L168" si="39">F167*F164*F165/1000</f>
        <v>0</v>
      </c>
      <c r="G168" s="3649">
        <f t="shared" si="39"/>
        <v>0</v>
      </c>
      <c r="H168" s="3649">
        <f t="shared" si="39"/>
        <v>0</v>
      </c>
      <c r="I168" s="3649">
        <f t="shared" si="39"/>
        <v>0</v>
      </c>
      <c r="J168" s="3649">
        <f t="shared" si="39"/>
        <v>0</v>
      </c>
      <c r="K168" s="3649">
        <f t="shared" si="39"/>
        <v>0</v>
      </c>
      <c r="L168" s="3649">
        <f t="shared" si="39"/>
        <v>0</v>
      </c>
    </row>
    <row r="170" spans="2:12" ht="17.25" customHeight="1">
      <c r="B170" s="507" t="s">
        <v>671</v>
      </c>
    </row>
    <row r="172" spans="2:12">
      <c r="B172" s="493" t="s">
        <v>660</v>
      </c>
      <c r="C172" s="493" t="s">
        <v>661</v>
      </c>
      <c r="F172" s="3643"/>
      <c r="G172" s="3643"/>
      <c r="H172" s="3643"/>
      <c r="I172" s="3643"/>
      <c r="J172" s="3643"/>
      <c r="K172" s="3643"/>
      <c r="L172" s="3643"/>
    </row>
    <row r="173" spans="2:12">
      <c r="B173" s="493" t="s">
        <v>662</v>
      </c>
      <c r="C173" s="493" t="s">
        <v>663</v>
      </c>
      <c r="F173" s="3644"/>
      <c r="G173" s="3644"/>
      <c r="H173" s="3644"/>
      <c r="I173" s="3644"/>
      <c r="J173" s="3644"/>
      <c r="K173" s="3644"/>
      <c r="L173" s="3644"/>
    </row>
    <row r="174" spans="2:12">
      <c r="B174" s="493" t="s">
        <v>664</v>
      </c>
      <c r="C174" s="493" t="s">
        <v>665</v>
      </c>
      <c r="F174" s="3645"/>
      <c r="G174" s="3645"/>
      <c r="H174" s="3645"/>
      <c r="I174" s="3645"/>
      <c r="J174" s="3645"/>
      <c r="K174" s="3645"/>
      <c r="L174" s="3645"/>
    </row>
    <row r="175" spans="2:12">
      <c r="B175" s="493" t="s">
        <v>666</v>
      </c>
      <c r="F175" s="3646"/>
      <c r="G175" s="3646"/>
      <c r="H175" s="3646"/>
      <c r="I175" s="3646"/>
      <c r="J175" s="3646"/>
      <c r="K175" s="3646"/>
      <c r="L175" s="3646"/>
    </row>
    <row r="176" spans="2:12">
      <c r="B176" s="493" t="s">
        <v>789</v>
      </c>
      <c r="C176" s="493" t="s">
        <v>0</v>
      </c>
      <c r="F176" s="3647">
        <f>(F172*F175*8760)</f>
        <v>0</v>
      </c>
      <c r="G176" s="3647">
        <f t="shared" ref="G176:L176" si="40">(G172*G175*8760)</f>
        <v>0</v>
      </c>
      <c r="H176" s="3647">
        <f t="shared" si="40"/>
        <v>0</v>
      </c>
      <c r="I176" s="3647">
        <f t="shared" si="40"/>
        <v>0</v>
      </c>
      <c r="J176" s="3647">
        <f t="shared" si="40"/>
        <v>0</v>
      </c>
      <c r="K176" s="3647">
        <f t="shared" si="40"/>
        <v>0</v>
      </c>
      <c r="L176" s="3647">
        <f t="shared" si="40"/>
        <v>0</v>
      </c>
    </row>
    <row r="177" spans="2:12">
      <c r="B177" s="493" t="s">
        <v>667</v>
      </c>
      <c r="F177" s="3649">
        <f>F176*F173*F174/1000</f>
        <v>0</v>
      </c>
      <c r="G177" s="3649">
        <f t="shared" ref="G177:L177" si="41">G176*G173*G174/1000</f>
        <v>0</v>
      </c>
      <c r="H177" s="3649">
        <f t="shared" si="41"/>
        <v>0</v>
      </c>
      <c r="I177" s="3649">
        <f t="shared" si="41"/>
        <v>0</v>
      </c>
      <c r="J177" s="3649">
        <f t="shared" si="41"/>
        <v>0</v>
      </c>
      <c r="K177" s="3649">
        <f t="shared" si="41"/>
        <v>0</v>
      </c>
      <c r="L177" s="3649">
        <f t="shared" si="41"/>
        <v>0</v>
      </c>
    </row>
    <row r="179" spans="2:12" ht="15.75" customHeight="1">
      <c r="B179" s="507" t="s">
        <v>672</v>
      </c>
    </row>
    <row r="181" spans="2:12">
      <c r="B181" s="493" t="s">
        <v>660</v>
      </c>
      <c r="C181" s="493" t="s">
        <v>661</v>
      </c>
      <c r="F181" s="3643"/>
      <c r="G181" s="3643"/>
      <c r="H181" s="3643"/>
      <c r="I181" s="3643"/>
      <c r="J181" s="3643"/>
      <c r="K181" s="3643"/>
      <c r="L181" s="3643"/>
    </row>
    <row r="182" spans="2:12">
      <c r="B182" s="493" t="s">
        <v>662</v>
      </c>
      <c r="C182" s="493" t="s">
        <v>663</v>
      </c>
      <c r="F182" s="3644" t="s">
        <v>194</v>
      </c>
      <c r="G182" s="3644" t="s">
        <v>194</v>
      </c>
      <c r="H182" s="3644" t="s">
        <v>194</v>
      </c>
      <c r="I182" s="3644" t="s">
        <v>194</v>
      </c>
      <c r="J182" s="3644" t="s">
        <v>194</v>
      </c>
      <c r="K182" s="3644" t="s">
        <v>194</v>
      </c>
      <c r="L182" s="3644" t="s">
        <v>194</v>
      </c>
    </row>
    <row r="183" spans="2:12">
      <c r="B183" s="493" t="s">
        <v>664</v>
      </c>
      <c r="C183" s="493" t="s">
        <v>665</v>
      </c>
      <c r="F183" s="3644" t="s">
        <v>194</v>
      </c>
      <c r="G183" s="3644" t="s">
        <v>194</v>
      </c>
      <c r="H183" s="3644" t="s">
        <v>194</v>
      </c>
      <c r="I183" s="3644" t="s">
        <v>194</v>
      </c>
      <c r="J183" s="3644" t="s">
        <v>194</v>
      </c>
      <c r="K183" s="3644" t="s">
        <v>194</v>
      </c>
      <c r="L183" s="3644" t="s">
        <v>194</v>
      </c>
    </row>
    <row r="184" spans="2:12">
      <c r="B184" s="493" t="s">
        <v>666</v>
      </c>
      <c r="F184" s="3646"/>
      <c r="G184" s="3643"/>
      <c r="H184" s="3646"/>
      <c r="I184" s="3646"/>
      <c r="J184" s="3646"/>
      <c r="K184" s="3646"/>
      <c r="L184" s="3646"/>
    </row>
    <row r="185" spans="2:12">
      <c r="B185" s="493" t="s">
        <v>789</v>
      </c>
      <c r="C185" s="493" t="s">
        <v>0</v>
      </c>
      <c r="F185" s="3647">
        <f>(F181*F184*8760)</f>
        <v>0</v>
      </c>
      <c r="G185" s="3647">
        <f t="shared" ref="G185:L185" si="42">(G181*G184*8760)</f>
        <v>0</v>
      </c>
      <c r="H185" s="3647">
        <f t="shared" si="42"/>
        <v>0</v>
      </c>
      <c r="I185" s="3647">
        <f t="shared" si="42"/>
        <v>0</v>
      </c>
      <c r="J185" s="3647">
        <f t="shared" si="42"/>
        <v>0</v>
      </c>
      <c r="K185" s="3647">
        <f t="shared" si="42"/>
        <v>0</v>
      </c>
      <c r="L185" s="3647">
        <f t="shared" si="42"/>
        <v>0</v>
      </c>
    </row>
    <row r="186" spans="2:12">
      <c r="B186" s="493" t="s">
        <v>667</v>
      </c>
      <c r="F186" s="3644" t="s">
        <v>194</v>
      </c>
      <c r="G186" s="3644" t="s">
        <v>194</v>
      </c>
      <c r="H186" s="3644" t="s">
        <v>194</v>
      </c>
      <c r="I186" s="3644" t="s">
        <v>194</v>
      </c>
      <c r="J186" s="3644" t="s">
        <v>194</v>
      </c>
      <c r="K186" s="3644" t="s">
        <v>194</v>
      </c>
      <c r="L186" s="3644" t="s">
        <v>194</v>
      </c>
    </row>
  </sheetData>
  <phoneticPr fontId="0" type="noConversion"/>
  <conditionalFormatting sqref="B7:Y131">
    <cfRule type="expression" dxfId="12" priority="1" stopIfTrue="1">
      <formula>MOD(ROW(),2)=1</formula>
    </cfRule>
  </conditionalFormatting>
  <conditionalFormatting sqref="E2:Y4">
    <cfRule type="expression" dxfId="11" priority="2" stopIfTrue="1">
      <formula>MOD(ROW(),2)=1</formula>
    </cfRule>
  </conditionalFormatting>
  <dataValidations disablePrompts="1" count="2">
    <dataValidation type="list" allowBlank="1" showInputMessage="1" showErrorMessage="1" prompt="Select Online Month" sqref="F3:Y3" xr:uid="{00000000-0002-0000-0F00-000000000000}">
      <formula1>Month</formula1>
    </dataValidation>
    <dataValidation type="list" allowBlank="1" showInputMessage="1" showErrorMessage="1" prompt="Select Online Year" sqref="F2:Y2" xr:uid="{00000000-0002-0000-0F00-000001000000}">
      <formula1>Year</formula1>
    </dataValidation>
  </dataValidations>
  <hyperlinks>
    <hyperlink ref="A2" location="TOC!A1" display="TOC" xr:uid="{00000000-0004-0000-0F00-000000000000}"/>
    <hyperlink ref="A3" location="'New Resources - Individual'!A7" display="é" xr:uid="{00000000-0004-0000-0F00-000001000000}"/>
  </hyperlinks>
  <printOptions horizontalCentered="1" headings="1"/>
  <pageMargins left="0.5" right="0.5" top="0.75" bottom="0.8" header="0.25" footer="0.25"/>
  <pageSetup scale="75" fitToHeight="5" orientation="landscape" r:id="rId1"/>
  <headerFooter alignWithMargins="0">
    <oddFooter>&amp;LFY 2026-2028 ASC Filing&amp;CPage &amp;P of &amp;N&amp;R&amp;A
&amp;D</oddFooter>
  </headerFooter>
  <rowBreaks count="1" manualBreakCount="1">
    <brk id="81" min="1" max="7" man="1"/>
  </rowBreaks>
  <customProperties>
    <customPr name="_pios_id" r:id="rId2"/>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tabColor indexed="17"/>
  </sheetPr>
  <dimension ref="A1:AH157"/>
  <sheetViews>
    <sheetView workbookViewId="0">
      <selection sqref="A1:XFD1048576"/>
    </sheetView>
  </sheetViews>
  <sheetFormatPr defaultColWidth="9" defaultRowHeight="11.25"/>
  <cols>
    <col min="1" max="1" width="5.375" style="493" bestFit="1" customWidth="1"/>
    <col min="2" max="2" width="35.75" style="493" bestFit="1" customWidth="1"/>
    <col min="3" max="3" width="8.375" style="493" bestFit="1" customWidth="1"/>
    <col min="4" max="4" width="11" style="493" hidden="1" customWidth="1"/>
    <col min="5" max="5" width="11.375" style="493" bestFit="1" customWidth="1"/>
    <col min="6" max="6" width="11.625" style="493" customWidth="1"/>
    <col min="7" max="7" width="11.25" style="493" customWidth="1"/>
    <col min="8" max="8" width="12.75" style="493" customWidth="1"/>
    <col min="9" max="9" width="11.125" style="493" customWidth="1"/>
    <col min="10" max="17" width="9" style="493"/>
    <col min="18" max="18" width="11.75" style="493" bestFit="1" customWidth="1"/>
    <col min="19" max="25" width="10.375" style="493" bestFit="1" customWidth="1"/>
    <col min="26" max="33" width="9" style="493"/>
    <col min="34" max="34" width="7.5" style="493" customWidth="1"/>
    <col min="35" max="16384" width="9" style="493"/>
  </cols>
  <sheetData>
    <row r="1" spans="1:34" ht="41.25" customHeight="1" thickTop="1">
      <c r="A1" s="2665"/>
      <c r="B1" s="3552" t="str">
        <f>'Sch 1- Rate Base '!E5</f>
        <v>PUGET SOUND ENERGY</v>
      </c>
      <c r="C1" s="2734"/>
      <c r="D1" s="2734"/>
      <c r="E1" s="2734"/>
      <c r="F1" s="3553"/>
      <c r="G1" s="3553"/>
      <c r="H1" s="3553"/>
      <c r="I1" s="3554"/>
      <c r="J1" s="3555"/>
      <c r="K1" s="3555"/>
      <c r="L1" s="3555"/>
      <c r="M1" s="3555"/>
      <c r="N1" s="3555"/>
      <c r="O1" s="3555"/>
      <c r="P1" s="3555"/>
      <c r="Q1" s="3555"/>
      <c r="R1" s="3555"/>
      <c r="S1" s="3555"/>
      <c r="T1" s="3555"/>
      <c r="U1" s="3555"/>
      <c r="V1" s="3555"/>
      <c r="W1" s="3555"/>
      <c r="X1" s="3555"/>
      <c r="Y1" s="3556"/>
      <c r="Z1" s="3557"/>
      <c r="AA1" s="3557"/>
      <c r="AB1" s="3557"/>
      <c r="AC1" s="3557"/>
      <c r="AD1" s="3557"/>
      <c r="AE1" s="3557"/>
      <c r="AF1" s="3557"/>
      <c r="AG1" s="3558">
        <v>2008</v>
      </c>
      <c r="AH1" s="3558">
        <v>1</v>
      </c>
    </row>
    <row r="2" spans="1:34">
      <c r="A2" s="3559" t="s">
        <v>685</v>
      </c>
      <c r="B2" s="3560" t="s">
        <v>580</v>
      </c>
      <c r="C2" s="589"/>
      <c r="D2" s="589"/>
      <c r="E2" s="3561" t="s">
        <v>581</v>
      </c>
      <c r="F2" s="3562" t="str">
        <f t="shared" ref="F2:Y2" si="0">IF(F4&gt;0,YEAR(F4),"")</f>
        <v/>
      </c>
      <c r="G2" s="3562" t="str">
        <f t="shared" si="0"/>
        <v/>
      </c>
      <c r="H2" s="3562" t="str">
        <f t="shared" si="0"/>
        <v/>
      </c>
      <c r="I2" s="3562" t="str">
        <f t="shared" si="0"/>
        <v/>
      </c>
      <c r="J2" s="3562" t="str">
        <f t="shared" si="0"/>
        <v/>
      </c>
      <c r="K2" s="3562" t="str">
        <f t="shared" si="0"/>
        <v/>
      </c>
      <c r="L2" s="3562" t="str">
        <f t="shared" si="0"/>
        <v/>
      </c>
      <c r="M2" s="3562" t="str">
        <f t="shared" si="0"/>
        <v/>
      </c>
      <c r="N2" s="3562" t="str">
        <f t="shared" si="0"/>
        <v/>
      </c>
      <c r="O2" s="3562" t="str">
        <f t="shared" si="0"/>
        <v/>
      </c>
      <c r="P2" s="3562" t="str">
        <f t="shared" si="0"/>
        <v/>
      </c>
      <c r="Q2" s="3562" t="str">
        <f t="shared" si="0"/>
        <v/>
      </c>
      <c r="R2" s="3562" t="str">
        <f t="shared" si="0"/>
        <v/>
      </c>
      <c r="S2" s="3562" t="str">
        <f t="shared" si="0"/>
        <v/>
      </c>
      <c r="T2" s="3562" t="str">
        <f t="shared" si="0"/>
        <v/>
      </c>
      <c r="U2" s="3562" t="str">
        <f t="shared" si="0"/>
        <v/>
      </c>
      <c r="V2" s="3562" t="str">
        <f t="shared" si="0"/>
        <v/>
      </c>
      <c r="W2" s="3562" t="str">
        <f t="shared" si="0"/>
        <v/>
      </c>
      <c r="X2" s="3562" t="str">
        <f t="shared" si="0"/>
        <v/>
      </c>
      <c r="Y2" s="3563" t="str">
        <f t="shared" si="0"/>
        <v/>
      </c>
      <c r="Z2" s="122"/>
      <c r="AA2" s="122"/>
      <c r="AB2" s="122"/>
      <c r="AC2" s="122"/>
      <c r="AD2" s="122"/>
      <c r="AE2" s="122"/>
      <c r="AF2" s="122"/>
      <c r="AG2" s="3564">
        <v>2009</v>
      </c>
      <c r="AH2" s="3564">
        <v>2</v>
      </c>
    </row>
    <row r="3" spans="1:34">
      <c r="A3" s="3565" t="s">
        <v>686</v>
      </c>
      <c r="B3" s="3566">
        <f>'New Resources - Individual'!B3</f>
        <v>46478</v>
      </c>
      <c r="C3" s="589"/>
      <c r="D3" s="589"/>
      <c r="E3" s="3567" t="s">
        <v>582</v>
      </c>
      <c r="F3" s="3568" t="str">
        <f t="shared" ref="F3:Y3" si="1">IF(F4&gt;0,MONTH(F4),"")</f>
        <v/>
      </c>
      <c r="G3" s="3568" t="str">
        <f t="shared" si="1"/>
        <v/>
      </c>
      <c r="H3" s="3568" t="str">
        <f t="shared" si="1"/>
        <v/>
      </c>
      <c r="I3" s="3568" t="str">
        <f t="shared" si="1"/>
        <v/>
      </c>
      <c r="J3" s="3568" t="str">
        <f t="shared" si="1"/>
        <v/>
      </c>
      <c r="K3" s="3568" t="str">
        <f t="shared" si="1"/>
        <v/>
      </c>
      <c r="L3" s="3568" t="str">
        <f t="shared" si="1"/>
        <v/>
      </c>
      <c r="M3" s="3568" t="str">
        <f t="shared" si="1"/>
        <v/>
      </c>
      <c r="N3" s="3568" t="str">
        <f t="shared" si="1"/>
        <v/>
      </c>
      <c r="O3" s="3568" t="str">
        <f t="shared" si="1"/>
        <v/>
      </c>
      <c r="P3" s="3568" t="str">
        <f t="shared" si="1"/>
        <v/>
      </c>
      <c r="Q3" s="3568" t="str">
        <f t="shared" si="1"/>
        <v/>
      </c>
      <c r="R3" s="3568" t="str">
        <f t="shared" si="1"/>
        <v/>
      </c>
      <c r="S3" s="3568" t="str">
        <f t="shared" si="1"/>
        <v/>
      </c>
      <c r="T3" s="3568" t="str">
        <f t="shared" si="1"/>
        <v/>
      </c>
      <c r="U3" s="3568" t="str">
        <f t="shared" si="1"/>
        <v/>
      </c>
      <c r="V3" s="3568" t="str">
        <f t="shared" si="1"/>
        <v/>
      </c>
      <c r="W3" s="3568" t="str">
        <f t="shared" si="1"/>
        <v/>
      </c>
      <c r="X3" s="3568" t="str">
        <f t="shared" si="1"/>
        <v/>
      </c>
      <c r="Y3" s="3563" t="str">
        <f t="shared" si="1"/>
        <v/>
      </c>
      <c r="Z3" s="122"/>
      <c r="AA3" s="122"/>
      <c r="AB3" s="122"/>
      <c r="AC3" s="122"/>
      <c r="AD3" s="122"/>
      <c r="AE3" s="122"/>
      <c r="AF3" s="122"/>
      <c r="AG3" s="3569">
        <v>2010</v>
      </c>
      <c r="AH3" s="3564">
        <v>3</v>
      </c>
    </row>
    <row r="4" spans="1:34">
      <c r="A4" s="3166"/>
      <c r="B4" s="2714"/>
      <c r="C4" s="589"/>
      <c r="D4" s="589"/>
      <c r="E4" s="3570">
        <f>B3</f>
        <v>46478</v>
      </c>
      <c r="F4" s="3571">
        <f t="array" ref="F4">MAX(IF(('New Resources - Individual'!$F$6:$Y$6=F$6),'New Resources - Individual'!$F$4:$Y$4))</f>
        <v>0</v>
      </c>
      <c r="G4" s="3571">
        <f t="array" ref="G4">MAX(IF(('New Resources - Individual'!$F$6:$Y$6=G$6),'New Resources - Individual'!$F$4:$Y$4))</f>
        <v>0</v>
      </c>
      <c r="H4" s="3571">
        <f t="array" ref="H4">MAX(IF(('New Resources - Individual'!$F$6:$Y$6=H$6),'New Resources - Individual'!$F$4:$Y$4))</f>
        <v>0</v>
      </c>
      <c r="I4" s="3571">
        <f t="array" ref="I4">MAX(IF(('New Resources - Individual'!$F$6:$Y$6=I$6),'New Resources - Individual'!$F$4:$Y$4))</f>
        <v>0</v>
      </c>
      <c r="J4" s="3571">
        <f t="array" ref="J4">MAX(IF(('New Resources - Individual'!$F$6:$Y$6=J$6),'New Resources - Individual'!$F$4:$Y$4))</f>
        <v>0</v>
      </c>
      <c r="K4" s="3571">
        <f t="array" ref="K4">MAX(IF(('New Resources - Individual'!$F$6:$Y$6=K$6),'New Resources - Individual'!$F$4:$Y$4))</f>
        <v>0</v>
      </c>
      <c r="L4" s="3571">
        <f t="array" ref="L4">MAX(IF(('New Resources - Individual'!$F$6:$Y$6=L$6),'New Resources - Individual'!$F$4:$Y$4))</f>
        <v>0</v>
      </c>
      <c r="M4" s="3571">
        <f t="array" ref="M4">MAX(IF(('New Resources - Individual'!$F$6:$Y$6=M$6),'New Resources - Individual'!$F$4:$Y$4))</f>
        <v>0</v>
      </c>
      <c r="N4" s="3571">
        <f t="array" ref="N4">MAX(IF(('New Resources - Individual'!$F$6:$Y$6=N$6),'New Resources - Individual'!$F$4:$Y$4))</f>
        <v>0</v>
      </c>
      <c r="O4" s="3571">
        <f t="array" ref="O4">MAX(IF(('New Resources - Individual'!$F$6:$Y$6=O$6),'New Resources - Individual'!$F$4:$Y$4))</f>
        <v>0</v>
      </c>
      <c r="P4" s="3571">
        <f t="array" ref="P4">MAX(IF(('New Resources - Individual'!$F$6:$Y$6=P$6),'New Resources - Individual'!$F$4:$Y$4))</f>
        <v>0</v>
      </c>
      <c r="Q4" s="3571">
        <f t="array" ref="Q4">MAX(IF(('New Resources - Individual'!$F$6:$Y$6=Q$6),'New Resources - Individual'!$F$4:$Y$4))</f>
        <v>0</v>
      </c>
      <c r="R4" s="3571">
        <f t="array" ref="R4">MAX(IF(('New Resources - Individual'!$F$6:$Y$6=R$6),'New Resources - Individual'!$F$4:$Y$4))</f>
        <v>0</v>
      </c>
      <c r="S4" s="3571">
        <f t="array" ref="S4">MAX(IF(('New Resources - Individual'!$F$6:$Y$6=S$6),'New Resources - Individual'!$F$4:$Y$4))</f>
        <v>0</v>
      </c>
      <c r="T4" s="3571">
        <f t="array" ref="T4">MAX(IF(('New Resources - Individual'!$F$6:$Y$6=T$6),'New Resources - Individual'!$F$4:$Y$4))</f>
        <v>0</v>
      </c>
      <c r="U4" s="3571">
        <f t="array" ref="U4">MAX(IF(('New Resources - Individual'!$F$6:$Y$6=U$6),'New Resources - Individual'!$F$4:$Y$4))</f>
        <v>0</v>
      </c>
      <c r="V4" s="3571">
        <f t="array" ref="V4">MAX(IF(('New Resources - Individual'!$F$6:$Y$6=V$6),'New Resources - Individual'!$F$4:$Y$4))</f>
        <v>0</v>
      </c>
      <c r="W4" s="3571">
        <f t="array" ref="W4">MAX(IF(('New Resources - Individual'!$F$6:$Y$6=W$6),'New Resources - Individual'!$F$4:$Y$4))</f>
        <v>0</v>
      </c>
      <c r="X4" s="3571">
        <f t="array" ref="X4">MAX(IF(('New Resources - Individual'!$F$6:$Y$6=X$6),'New Resources - Individual'!$F$4:$Y$4))</f>
        <v>0</v>
      </c>
      <c r="Y4" s="3572">
        <f t="array" ref="Y4">MAX(IF(('New Resources - Individual'!$F$6:$Y$6=Y$6),'New Resources - Individual'!$F$4:$Y$4))</f>
        <v>0</v>
      </c>
      <c r="AG4" s="3564">
        <v>2011</v>
      </c>
      <c r="AH4" s="3564">
        <v>4</v>
      </c>
    </row>
    <row r="5" spans="1:34" ht="12" thickBot="1">
      <c r="A5" s="3167">
        <v>1</v>
      </c>
      <c r="B5" s="3573">
        <v>2</v>
      </c>
      <c r="C5" s="3168">
        <v>3</v>
      </c>
      <c r="D5" s="3168">
        <v>4</v>
      </c>
      <c r="E5" s="3168">
        <v>5</v>
      </c>
      <c r="F5" s="3168">
        <v>6</v>
      </c>
      <c r="G5" s="3168">
        <v>7</v>
      </c>
      <c r="H5" s="3168">
        <v>8</v>
      </c>
      <c r="I5" s="3168">
        <v>9</v>
      </c>
      <c r="J5" s="3168">
        <v>10</v>
      </c>
      <c r="K5" s="3168">
        <v>11</v>
      </c>
      <c r="L5" s="3168">
        <v>12</v>
      </c>
      <c r="M5" s="3168">
        <v>13</v>
      </c>
      <c r="N5" s="3168">
        <v>14</v>
      </c>
      <c r="O5" s="3168">
        <v>15</v>
      </c>
      <c r="P5" s="3168">
        <v>16</v>
      </c>
      <c r="Q5" s="3168">
        <v>17</v>
      </c>
      <c r="R5" s="3168">
        <v>18</v>
      </c>
      <c r="S5" s="3168">
        <v>19</v>
      </c>
      <c r="T5" s="3168">
        <v>20</v>
      </c>
      <c r="U5" s="3168">
        <v>21</v>
      </c>
      <c r="V5" s="3168">
        <v>22</v>
      </c>
      <c r="W5" s="3168">
        <v>23</v>
      </c>
      <c r="X5" s="3168">
        <v>24</v>
      </c>
      <c r="Y5" s="3167">
        <v>25</v>
      </c>
      <c r="Z5" s="3574">
        <v>5</v>
      </c>
      <c r="AA5" s="3574">
        <v>5</v>
      </c>
      <c r="AB5" s="3574">
        <v>5</v>
      </c>
      <c r="AC5" s="3574">
        <v>5</v>
      </c>
      <c r="AD5" s="3574">
        <v>5</v>
      </c>
      <c r="AE5" s="3574"/>
      <c r="AF5" s="3574"/>
      <c r="AG5" s="3569">
        <v>2012</v>
      </c>
      <c r="AH5" s="3575">
        <v>5</v>
      </c>
    </row>
    <row r="6" spans="1:34" ht="12" thickTop="1">
      <c r="A6" s="3576" t="s">
        <v>686</v>
      </c>
      <c r="B6" s="3577" t="s">
        <v>795</v>
      </c>
      <c r="C6" s="3169"/>
      <c r="D6" s="3170" t="s">
        <v>583</v>
      </c>
      <c r="E6" s="3578"/>
      <c r="F6" s="3579">
        <v>1</v>
      </c>
      <c r="G6" s="3579">
        <v>2</v>
      </c>
      <c r="H6" s="3579">
        <v>3</v>
      </c>
      <c r="I6" s="3579">
        <v>4</v>
      </c>
      <c r="J6" s="3579">
        <v>5</v>
      </c>
      <c r="K6" s="3579">
        <v>6</v>
      </c>
      <c r="L6" s="3579">
        <v>7</v>
      </c>
      <c r="M6" s="3579">
        <v>8</v>
      </c>
      <c r="N6" s="3579">
        <v>9</v>
      </c>
      <c r="O6" s="3579">
        <v>10</v>
      </c>
      <c r="P6" s="3579">
        <v>11</v>
      </c>
      <c r="Q6" s="3579">
        <v>12</v>
      </c>
      <c r="R6" s="3579">
        <v>13</v>
      </c>
      <c r="S6" s="3579">
        <v>14</v>
      </c>
      <c r="T6" s="3579">
        <v>15</v>
      </c>
      <c r="U6" s="3579">
        <v>16</v>
      </c>
      <c r="V6" s="3579">
        <v>17</v>
      </c>
      <c r="W6" s="3579">
        <v>18</v>
      </c>
      <c r="X6" s="3579">
        <v>19</v>
      </c>
      <c r="Y6" s="3580">
        <v>20</v>
      </c>
      <c r="Z6" s="3581"/>
      <c r="AA6" s="3581"/>
      <c r="AB6" s="3581"/>
      <c r="AC6" s="3581"/>
      <c r="AD6" s="3581"/>
      <c r="AE6" s="3581"/>
      <c r="AF6" s="3581"/>
      <c r="AG6" s="3564">
        <v>2013</v>
      </c>
      <c r="AH6" s="3582">
        <v>6</v>
      </c>
    </row>
    <row r="7" spans="1:34">
      <c r="A7" s="3171">
        <v>100</v>
      </c>
      <c r="B7" s="3172" t="s">
        <v>88</v>
      </c>
      <c r="C7" s="3173" t="s">
        <v>584</v>
      </c>
      <c r="D7" s="3173"/>
      <c r="E7" s="3174"/>
      <c r="F7" s="3583"/>
      <c r="G7" s="3583"/>
      <c r="H7" s="3583"/>
      <c r="I7" s="3583"/>
      <c r="J7" s="3583"/>
      <c r="K7" s="3583"/>
      <c r="L7" s="3583"/>
      <c r="M7" s="3583"/>
      <c r="N7" s="3583"/>
      <c r="O7" s="3583"/>
      <c r="P7" s="3583"/>
      <c r="Q7" s="3583"/>
      <c r="R7" s="3583"/>
      <c r="S7" s="3583"/>
      <c r="T7" s="3583"/>
      <c r="U7" s="3583"/>
      <c r="V7" s="3583"/>
      <c r="W7" s="3583"/>
      <c r="X7" s="3583"/>
      <c r="Y7" s="3584"/>
      <c r="AG7" s="3564"/>
      <c r="AH7" s="3564">
        <v>7</v>
      </c>
    </row>
    <row r="8" spans="1:34">
      <c r="A8" s="3175">
        <v>110</v>
      </c>
      <c r="B8" s="3176" t="s">
        <v>111</v>
      </c>
      <c r="C8" s="3177" t="s">
        <v>112</v>
      </c>
      <c r="D8" s="3177"/>
      <c r="E8" s="3178"/>
      <c r="F8" s="3585">
        <f>SUMIF('New Resources - Individual'!$F$6:$Y$6,F$6,'New Resources - Individual'!$F8:$Y8)</f>
        <v>0</v>
      </c>
      <c r="G8" s="3585">
        <f>SUMIF('New Resources - Individual'!$F$6:$Y$6,G$6,'New Resources - Individual'!$F8:$Y8)</f>
        <v>0</v>
      </c>
      <c r="H8" s="3586">
        <f>SUMIF('New Resources - Individual'!$F$6:$Y$6,H$6,'New Resources - Individual'!$F8:$Y8)</f>
        <v>0</v>
      </c>
      <c r="I8" s="3585">
        <f>SUMIF('New Resources - Individual'!$F$6:$Y$6,I$6,'New Resources - Individual'!$F8:$Y8)</f>
        <v>0</v>
      </c>
      <c r="J8" s="3587">
        <f>SUMIF('New Resources - Individual'!$F$6:$Y$6,J$6,'New Resources - Individual'!$F8:$Y8)</f>
        <v>0</v>
      </c>
      <c r="K8" s="3587">
        <f>SUMIF('New Resources - Individual'!$F$6:$Y$6,K$6,'New Resources - Individual'!$F8:$Y8)</f>
        <v>0</v>
      </c>
      <c r="L8" s="3587">
        <f>SUMIF('New Resources - Individual'!$F$6:$Y$6,L$6,'New Resources - Individual'!$F8:$Y8)</f>
        <v>0</v>
      </c>
      <c r="M8" s="3587">
        <f>SUMIF('New Resources - Individual'!$F$6:$Y$6,M$6,'New Resources - Individual'!$F8:$Y8)</f>
        <v>0</v>
      </c>
      <c r="N8" s="3587">
        <f>SUMIF('New Resources - Individual'!$F$6:$Y$6,N$6,'New Resources - Individual'!$F8:$Y8)</f>
        <v>0</v>
      </c>
      <c r="O8" s="3587">
        <f>SUMIF('New Resources - Individual'!$F$6:$Y$6,O$6,'New Resources - Individual'!$F8:$Y8)</f>
        <v>0</v>
      </c>
      <c r="P8" s="3587">
        <f>SUMIF('New Resources - Individual'!$F$6:$Y$6,P$6,'New Resources - Individual'!$F8:$Y8)</f>
        <v>0</v>
      </c>
      <c r="Q8" s="3587">
        <f>SUMIF('New Resources - Individual'!$F$6:$Y$6,Q$6,'New Resources - Individual'!$F8:$Y8)</f>
        <v>0</v>
      </c>
      <c r="R8" s="3587">
        <f>SUMIF('New Resources - Individual'!$F$6:$Y$6,R$6,'New Resources - Individual'!$F8:$Y8)</f>
        <v>0</v>
      </c>
      <c r="S8" s="3587">
        <f>SUMIF('New Resources - Individual'!$F$6:$Y$6,S$6,'New Resources - Individual'!$F8:$Y8)</f>
        <v>0</v>
      </c>
      <c r="T8" s="3587">
        <f>SUMIF('New Resources - Individual'!$F$6:$Y$6,T$6,'New Resources - Individual'!$F8:$Y8)</f>
        <v>0</v>
      </c>
      <c r="U8" s="3587">
        <f>SUMIF('New Resources - Individual'!$F$6:$Y$6,U$6,'New Resources - Individual'!$F8:$Y8)</f>
        <v>0</v>
      </c>
      <c r="V8" s="3587">
        <f>SUMIF('New Resources - Individual'!$F$6:$Y$6,V$6,'New Resources - Individual'!$F8:$Y8)</f>
        <v>0</v>
      </c>
      <c r="W8" s="3587">
        <f>SUMIF('New Resources - Individual'!$F$6:$Y$6,W$6,'New Resources - Individual'!$F8:$Y8)</f>
        <v>0</v>
      </c>
      <c r="X8" s="3587">
        <f>SUMIF('New Resources - Individual'!$F$6:$Y$6,X$6,'New Resources - Individual'!$F8:$Y8)</f>
        <v>0</v>
      </c>
      <c r="Y8" s="3588">
        <f>SUMIF('New Resources - Individual'!$F$6:$Y$6,Y$6,'New Resources - Individual'!$F8:$Y8)</f>
        <v>0</v>
      </c>
      <c r="AG8" s="3564"/>
      <c r="AH8" s="3564">
        <v>8</v>
      </c>
    </row>
    <row r="9" spans="1:34">
      <c r="A9" s="3175">
        <v>120</v>
      </c>
      <c r="B9" s="3179" t="s">
        <v>8380</v>
      </c>
      <c r="C9" s="3180">
        <v>151</v>
      </c>
      <c r="D9" s="3180"/>
      <c r="E9" s="3178"/>
      <c r="F9" s="3586">
        <f>SUMIF('New Resources - Individual'!$F$6:$Y$6,F$6,'New Resources - Individual'!$F9:$Y9)</f>
        <v>0</v>
      </c>
      <c r="G9" s="3586">
        <f>('New Resources - Individual'!G9)-(SUMIF('New Resources - Individual'!$F$6:$Y$6,G$6,'New Resources - Individual'!$F9:$Y9))</f>
        <v>0</v>
      </c>
      <c r="H9" s="3586">
        <f>0-(SUMIF('New Resources - Individual'!$F$6:$Y$6,H$6,'New Resources - Individual'!$F9:$Y9))</f>
        <v>0</v>
      </c>
      <c r="I9" s="3586">
        <f>0-(SUMIF('New Resources - Individual'!$F$6:$Y$6,I$6,'New Resources - Individual'!$F9:$Y9))</f>
        <v>0</v>
      </c>
      <c r="J9" s="3589">
        <f>0-(SUMIF('New Resources - Individual'!$F$6:$Y$6,J$6,'New Resources - Individual'!$F9:$Y9))</f>
        <v>0</v>
      </c>
      <c r="K9" s="3589">
        <f>0-(SUMIF('New Resources - Individual'!$F$6:$Y$6,K$6,'New Resources - Individual'!$F9:$Y9))</f>
        <v>0</v>
      </c>
      <c r="L9" s="3589">
        <f>0-(SUMIF('New Resources - Individual'!$F$6:$Y$6,L$6,'New Resources - Individual'!$F9:$Y9))</f>
        <v>0</v>
      </c>
      <c r="M9" s="3589">
        <f>0-(SUMIF('New Resources - Individual'!$F$6:$Y$6,M$6,'New Resources - Individual'!$F9:$Y9))</f>
        <v>0</v>
      </c>
      <c r="N9" s="3589">
        <f>0-(SUMIF('New Resources - Individual'!$F$6:$Y$6,N$6,'New Resources - Individual'!$F9:$Y9))</f>
        <v>0</v>
      </c>
      <c r="O9" s="3589">
        <f>0-(SUMIF('New Resources - Individual'!$F$6:$Y$6,O$6,'New Resources - Individual'!$F9:$Y9))</f>
        <v>0</v>
      </c>
      <c r="P9" s="3589">
        <f>0-(SUMIF('New Resources - Individual'!$F$6:$Y$6,P$6,'New Resources - Individual'!$F9:$Y9))</f>
        <v>0</v>
      </c>
      <c r="Q9" s="3589">
        <f>0-(SUMIF('New Resources - Individual'!$F$6:$Y$6,Q$6,'New Resources - Individual'!$F9:$Y9))</f>
        <v>0</v>
      </c>
      <c r="R9" s="3589">
        <f>0-(SUMIF('New Resources - Individual'!$F$6:$Y$6,R$6,'New Resources - Individual'!$F9:$Y9))</f>
        <v>0</v>
      </c>
      <c r="S9" s="3589">
        <f>0-(SUMIF('New Resources - Individual'!$F$6:$Y$6,S$6,'New Resources - Individual'!$F9:$Y9))</f>
        <v>0</v>
      </c>
      <c r="T9" s="3589">
        <f>0-(SUMIF('New Resources - Individual'!$F$6:$Y$6,T$6,'New Resources - Individual'!$F9:$Y9))</f>
        <v>0</v>
      </c>
      <c r="U9" s="3589">
        <f>0-(SUMIF('New Resources - Individual'!$F$6:$Y$6,U$6,'New Resources - Individual'!$F9:$Y9))</f>
        <v>0</v>
      </c>
      <c r="V9" s="3589">
        <f>0-(SUMIF('New Resources - Individual'!$F$6:$Y$6,V$6,'New Resources - Individual'!$F9:$Y9))</f>
        <v>0</v>
      </c>
      <c r="W9" s="3589">
        <f>0-(SUMIF('New Resources - Individual'!$F$6:$Y$6,W$6,'New Resources - Individual'!$F9:$Y9))</f>
        <v>0</v>
      </c>
      <c r="X9" s="3589">
        <f>0-(SUMIF('New Resources - Individual'!$F$6:$Y$6,X$6,'New Resources - Individual'!$F9:$Y9))</f>
        <v>0</v>
      </c>
      <c r="Y9" s="3590">
        <f>0-(SUMIF('New Resources - Individual'!$F$6:$Y$6,Y$6,'New Resources - Individual'!$F9:$Y9))</f>
        <v>0</v>
      </c>
      <c r="AG9" s="3564"/>
      <c r="AH9" s="3564">
        <v>9</v>
      </c>
    </row>
    <row r="10" spans="1:34">
      <c r="A10" s="3175">
        <v>130</v>
      </c>
      <c r="B10" s="3176" t="s">
        <v>79</v>
      </c>
      <c r="C10" s="3177">
        <v>154</v>
      </c>
      <c r="D10" s="3177"/>
      <c r="E10" s="3178"/>
      <c r="F10" s="3586">
        <f>SUMIF('New Resources - Individual'!$F$6:$Y$6,F$6,'New Resources - Individual'!$F10:$Y10)</f>
        <v>0</v>
      </c>
      <c r="G10" s="3586">
        <f>SUMIF('New Resources - Individual'!$F$6:$Y$6,G$6,'New Resources - Individual'!$F10:$Y10)</f>
        <v>0</v>
      </c>
      <c r="H10" s="3586">
        <f>SUMIF('New Resources - Individual'!$F$6:$Y$6,H$6,'New Resources - Individual'!$F10:$Y10)</f>
        <v>0</v>
      </c>
      <c r="I10" s="3586">
        <f>SUMIF('New Resources - Individual'!$F$6:$Y$6,I$6,'New Resources - Individual'!$F10:$Y10)</f>
        <v>0</v>
      </c>
      <c r="J10" s="3589">
        <f>SUMIF('New Resources - Individual'!$F$6:$Y$6,J$6,'New Resources - Individual'!$F10:$Y10)</f>
        <v>0</v>
      </c>
      <c r="K10" s="3589">
        <f>SUMIF('New Resources - Individual'!$F$6:$Y$6,K$6,'New Resources - Individual'!$F10:$Y10)</f>
        <v>0</v>
      </c>
      <c r="L10" s="3589">
        <f>SUMIF('New Resources - Individual'!$F$6:$Y$6,L$6,'New Resources - Individual'!$F10:$Y10)</f>
        <v>0</v>
      </c>
      <c r="M10" s="3589">
        <f>SUMIF('New Resources - Individual'!$F$6:$Y$6,M$6,'New Resources - Individual'!$F10:$Y10)</f>
        <v>0</v>
      </c>
      <c r="N10" s="3589">
        <f>SUMIF('New Resources - Individual'!$F$6:$Y$6,N$6,'New Resources - Individual'!$F10:$Y10)</f>
        <v>0</v>
      </c>
      <c r="O10" s="3589">
        <f>SUMIF('New Resources - Individual'!$F$6:$Y$6,O$6,'New Resources - Individual'!$F10:$Y10)</f>
        <v>0</v>
      </c>
      <c r="P10" s="3589">
        <f>SUMIF('New Resources - Individual'!$F$6:$Y$6,P$6,'New Resources - Individual'!$F10:$Y10)</f>
        <v>0</v>
      </c>
      <c r="Q10" s="3589">
        <f>SUMIF('New Resources - Individual'!$F$6:$Y$6,Q$6,'New Resources - Individual'!$F10:$Y10)</f>
        <v>0</v>
      </c>
      <c r="R10" s="3589">
        <f>SUMIF('New Resources - Individual'!$F$6:$Y$6,R$6,'New Resources - Individual'!$F10:$Y10)</f>
        <v>0</v>
      </c>
      <c r="S10" s="3589">
        <f>SUMIF('New Resources - Individual'!$F$6:$Y$6,S$6,'New Resources - Individual'!$F10:$Y10)</f>
        <v>0</v>
      </c>
      <c r="T10" s="3589">
        <f>SUMIF('New Resources - Individual'!$F$6:$Y$6,T$6,'New Resources - Individual'!$F10:$Y10)</f>
        <v>0</v>
      </c>
      <c r="U10" s="3589">
        <f>SUMIF('New Resources - Individual'!$F$6:$Y$6,U$6,'New Resources - Individual'!$F10:$Y10)</f>
        <v>0</v>
      </c>
      <c r="V10" s="3589">
        <f>SUMIF('New Resources - Individual'!$F$6:$Y$6,V$6,'New Resources - Individual'!$F10:$Y10)</f>
        <v>0</v>
      </c>
      <c r="W10" s="3589">
        <f>SUMIF('New Resources - Individual'!$F$6:$Y$6,W$6,'New Resources - Individual'!$F10:$Y10)</f>
        <v>0</v>
      </c>
      <c r="X10" s="3589">
        <f>SUMIF('New Resources - Individual'!$F$6:$Y$6,X$6,'New Resources - Individual'!$F10:$Y10)</f>
        <v>0</v>
      </c>
      <c r="Y10" s="3590">
        <f>SUMIF('New Resources - Individual'!$F$6:$Y$6,Y$6,'New Resources - Individual'!$F10:$Y10)</f>
        <v>0</v>
      </c>
      <c r="AG10" s="3564"/>
      <c r="AH10" s="3564">
        <v>10</v>
      </c>
    </row>
    <row r="11" spans="1:34">
      <c r="A11" s="3175">
        <v>140</v>
      </c>
      <c r="B11" s="3179" t="s">
        <v>585</v>
      </c>
      <c r="C11" s="3180" t="s">
        <v>586</v>
      </c>
      <c r="D11" s="3180"/>
      <c r="E11" s="3178"/>
      <c r="F11" s="3586">
        <f>SUMIF('New Resources - Individual'!$F$6:$Y$6,F$6,'New Resources - Individual'!$F11:$Y11)</f>
        <v>0</v>
      </c>
      <c r="G11" s="3586">
        <f>SUMIF('New Resources - Individual'!$F$6:$Y$6,G$6,'New Resources - Individual'!$F11:$Y11)</f>
        <v>0</v>
      </c>
      <c r="H11" s="3586">
        <f>SUMIF('New Resources - Individual'!$F$6:$Y$6,H$6,'New Resources - Individual'!$F11:$Y11)</f>
        <v>0</v>
      </c>
      <c r="I11" s="3586">
        <f>SUMIF('New Resources - Individual'!$F$6:$Y$6,I$6,'New Resources - Individual'!$F11:$Y11)</f>
        <v>0</v>
      </c>
      <c r="J11" s="3589">
        <f>SUMIF('New Resources - Individual'!$F$6:$Y$6,J$6,'New Resources - Individual'!$F11:$Y11)</f>
        <v>0</v>
      </c>
      <c r="K11" s="3589">
        <f>SUMIF('New Resources - Individual'!$F$6:$Y$6,K$6,'New Resources - Individual'!$F11:$Y11)</f>
        <v>0</v>
      </c>
      <c r="L11" s="3589">
        <f>SUMIF('New Resources - Individual'!$F$6:$Y$6,L$6,'New Resources - Individual'!$F11:$Y11)</f>
        <v>0</v>
      </c>
      <c r="M11" s="3589">
        <f>SUMIF('New Resources - Individual'!$F$6:$Y$6,M$6,'New Resources - Individual'!$F11:$Y11)</f>
        <v>0</v>
      </c>
      <c r="N11" s="3589">
        <f>SUMIF('New Resources - Individual'!$F$6:$Y$6,N$6,'New Resources - Individual'!$F11:$Y11)</f>
        <v>0</v>
      </c>
      <c r="O11" s="3589">
        <f>SUMIF('New Resources - Individual'!$F$6:$Y$6,O$6,'New Resources - Individual'!$F11:$Y11)</f>
        <v>0</v>
      </c>
      <c r="P11" s="3589">
        <f>SUMIF('New Resources - Individual'!$F$6:$Y$6,P$6,'New Resources - Individual'!$F11:$Y11)</f>
        <v>0</v>
      </c>
      <c r="Q11" s="3589">
        <f>SUMIF('New Resources - Individual'!$F$6:$Y$6,Q$6,'New Resources - Individual'!$F11:$Y11)</f>
        <v>0</v>
      </c>
      <c r="R11" s="3589">
        <f>SUMIF('New Resources - Individual'!$F$6:$Y$6,R$6,'New Resources - Individual'!$F11:$Y11)</f>
        <v>0</v>
      </c>
      <c r="S11" s="3589">
        <f>SUMIF('New Resources - Individual'!$F$6:$Y$6,S$6,'New Resources - Individual'!$F11:$Y11)</f>
        <v>0</v>
      </c>
      <c r="T11" s="3589">
        <f>SUMIF('New Resources - Individual'!$F$6:$Y$6,T$6,'New Resources - Individual'!$F11:$Y11)</f>
        <v>0</v>
      </c>
      <c r="U11" s="3589">
        <f>SUMIF('New Resources - Individual'!$F$6:$Y$6,U$6,'New Resources - Individual'!$F11:$Y11)</f>
        <v>0</v>
      </c>
      <c r="V11" s="3589">
        <f>SUMIF('New Resources - Individual'!$F$6:$Y$6,V$6,'New Resources - Individual'!$F11:$Y11)</f>
        <v>0</v>
      </c>
      <c r="W11" s="3589">
        <f>SUMIF('New Resources - Individual'!$F$6:$Y$6,W$6,'New Resources - Individual'!$F11:$Y11)</f>
        <v>0</v>
      </c>
      <c r="X11" s="3589">
        <f>SUMIF('New Resources - Individual'!$F$6:$Y$6,X$6,'New Resources - Individual'!$F11:$Y11)</f>
        <v>0</v>
      </c>
      <c r="Y11" s="3590">
        <f>SUMIF('New Resources - Individual'!$F$6:$Y$6,Y$6,'New Resources - Individual'!$F11:$Y11)</f>
        <v>0</v>
      </c>
      <c r="AG11" s="3564"/>
      <c r="AH11" s="3564">
        <v>11</v>
      </c>
    </row>
    <row r="12" spans="1:34">
      <c r="A12" s="3175">
        <v>150</v>
      </c>
      <c r="B12" s="3181" t="s">
        <v>587</v>
      </c>
      <c r="C12" s="3182"/>
      <c r="D12" s="3182"/>
      <c r="E12" s="3174"/>
      <c r="F12" s="3591"/>
      <c r="G12" s="3591"/>
      <c r="H12" s="3174"/>
      <c r="I12" s="3591"/>
      <c r="J12" s="3591"/>
      <c r="K12" s="3591"/>
      <c r="L12" s="3591"/>
      <c r="M12" s="3591"/>
      <c r="N12" s="3591"/>
      <c r="O12" s="3591"/>
      <c r="P12" s="3591"/>
      <c r="Q12" s="3591"/>
      <c r="R12" s="3591"/>
      <c r="S12" s="3591"/>
      <c r="T12" s="3591"/>
      <c r="U12" s="3591"/>
      <c r="V12" s="3591"/>
      <c r="W12" s="3591"/>
      <c r="X12" s="3591"/>
      <c r="Y12" s="3592"/>
      <c r="AG12" s="3564"/>
      <c r="AH12" s="3564">
        <v>12</v>
      </c>
    </row>
    <row r="13" spans="1:34">
      <c r="A13" s="3175">
        <v>160</v>
      </c>
      <c r="B13" s="3179" t="s">
        <v>257</v>
      </c>
      <c r="C13" s="3177">
        <v>501</v>
      </c>
      <c r="D13" s="3177"/>
      <c r="E13" s="3178"/>
      <c r="F13" s="3586">
        <f>SUMIF('New Resources - Individual'!$F$6:$Y$6,F$6,'New Resources - Individual'!$F13:$Y13)</f>
        <v>0</v>
      </c>
      <c r="G13" s="3586">
        <f>SUMIF('New Resources - Individual'!$F$6:$Y$6,G$6,'New Resources - Individual'!$F13:$Y13)</f>
        <v>0</v>
      </c>
      <c r="H13" s="3586">
        <f>SUMIF('New Resources - Individual'!$F$6:$Y$6,H$6,'New Resources - Individual'!$F13:$Y13)</f>
        <v>0</v>
      </c>
      <c r="I13" s="3586">
        <f>SUMIF('New Resources - Individual'!$F$6:$Y$6,I$6,'New Resources - Individual'!$F13:$Y13)</f>
        <v>0</v>
      </c>
      <c r="J13" s="3589">
        <f>SUMIF('New Resources - Individual'!$F$6:$Y$6,J$6,'New Resources - Individual'!$F13:$Y13)</f>
        <v>0</v>
      </c>
      <c r="K13" s="3589">
        <f>SUMIF('New Resources - Individual'!$F$6:$Y$6,K$6,'New Resources - Individual'!$F13:$Y13)</f>
        <v>0</v>
      </c>
      <c r="L13" s="3589">
        <f>SUMIF('New Resources - Individual'!$F$6:$Y$6,L$6,'New Resources - Individual'!$F13:$Y13)</f>
        <v>0</v>
      </c>
      <c r="M13" s="3589">
        <f>SUMIF('New Resources - Individual'!$F$6:$Y$6,M$6,'New Resources - Individual'!$F13:$Y13)</f>
        <v>0</v>
      </c>
      <c r="N13" s="3589">
        <f>SUMIF('New Resources - Individual'!$F$6:$Y$6,N$6,'New Resources - Individual'!$F13:$Y13)</f>
        <v>0</v>
      </c>
      <c r="O13" s="3589">
        <f>SUMIF('New Resources - Individual'!$F$6:$Y$6,O$6,'New Resources - Individual'!$F13:$Y13)</f>
        <v>0</v>
      </c>
      <c r="P13" s="3589">
        <f>SUMIF('New Resources - Individual'!$F$6:$Y$6,P$6,'New Resources - Individual'!$F13:$Y13)</f>
        <v>0</v>
      </c>
      <c r="Q13" s="3589">
        <f>SUMIF('New Resources - Individual'!$F$6:$Y$6,Q$6,'New Resources - Individual'!$F13:$Y13)</f>
        <v>0</v>
      </c>
      <c r="R13" s="3589">
        <f>SUMIF('New Resources - Individual'!$F$6:$Y$6,R$6,'New Resources - Individual'!$F13:$Y13)</f>
        <v>0</v>
      </c>
      <c r="S13" s="3589">
        <f>SUMIF('New Resources - Individual'!$F$6:$Y$6,S$6,'New Resources - Individual'!$F13:$Y13)</f>
        <v>0</v>
      </c>
      <c r="T13" s="3589">
        <f>SUMIF('New Resources - Individual'!$F$6:$Y$6,T$6,'New Resources - Individual'!$F13:$Y13)</f>
        <v>0</v>
      </c>
      <c r="U13" s="3589">
        <f>SUMIF('New Resources - Individual'!$F$6:$Y$6,U$6,'New Resources - Individual'!$F13:$Y13)</f>
        <v>0</v>
      </c>
      <c r="V13" s="3589">
        <f>SUMIF('New Resources - Individual'!$F$6:$Y$6,V$6,'New Resources - Individual'!$F13:$Y13)</f>
        <v>0</v>
      </c>
      <c r="W13" s="3589">
        <f>SUMIF('New Resources - Individual'!$F$6:$Y$6,W$6,'New Resources - Individual'!$F13:$Y13)</f>
        <v>0</v>
      </c>
      <c r="X13" s="3589">
        <f>SUMIF('New Resources - Individual'!$F$6:$Y$6,X$6,'New Resources - Individual'!$F13:$Y13)</f>
        <v>0</v>
      </c>
      <c r="Y13" s="3590">
        <f>SUMIF('New Resources - Individual'!$F$6:$Y$6,Y$6,'New Resources - Individual'!$F13:$Y13)</f>
        <v>0</v>
      </c>
      <c r="AG13" s="3564"/>
      <c r="AH13" s="3564"/>
    </row>
    <row r="14" spans="1:34">
      <c r="A14" s="3175">
        <v>170</v>
      </c>
      <c r="B14" s="3176" t="s">
        <v>588</v>
      </c>
      <c r="C14" s="3180" t="s">
        <v>451</v>
      </c>
      <c r="D14" s="3180"/>
      <c r="E14" s="3178"/>
      <c r="F14" s="3586">
        <f>SUMIF('New Resources - Individual'!$F$6:$Y$6,F$6,'New Resources - Individual'!$F14:$Y14)</f>
        <v>0</v>
      </c>
      <c r="G14" s="3586">
        <f>SUMIF('New Resources - Individual'!$F$6:$Y$6,G$6,'New Resources - Individual'!$F14:$Y14)</f>
        <v>0</v>
      </c>
      <c r="H14" s="3586">
        <f>SUMIF('New Resources - Individual'!$F$6:$Y$6,H$6,'New Resources - Individual'!$F14:$Y14)</f>
        <v>0</v>
      </c>
      <c r="I14" s="3586">
        <f>SUMIF('New Resources - Individual'!$F$6:$Y$6,I$6,'New Resources - Individual'!$F14:$Y14)</f>
        <v>0</v>
      </c>
      <c r="J14" s="3589">
        <f>SUMIF('New Resources - Individual'!$F$6:$Y$6,J$6,'New Resources - Individual'!$F14:$Y14)</f>
        <v>0</v>
      </c>
      <c r="K14" s="3589">
        <f>SUMIF('New Resources - Individual'!$F$6:$Y$6,K$6,'New Resources - Individual'!$F14:$Y14)</f>
        <v>0</v>
      </c>
      <c r="L14" s="3589">
        <f>SUMIF('New Resources - Individual'!$F$6:$Y$6,L$6,'New Resources - Individual'!$F14:$Y14)</f>
        <v>0</v>
      </c>
      <c r="M14" s="3589">
        <f>SUMIF('New Resources - Individual'!$F$6:$Y$6,M$6,'New Resources - Individual'!$F14:$Y14)</f>
        <v>0</v>
      </c>
      <c r="N14" s="3589">
        <f>SUMIF('New Resources - Individual'!$F$6:$Y$6,N$6,'New Resources - Individual'!$F14:$Y14)</f>
        <v>0</v>
      </c>
      <c r="O14" s="3589">
        <f>SUMIF('New Resources - Individual'!$F$6:$Y$6,O$6,'New Resources - Individual'!$F14:$Y14)</f>
        <v>0</v>
      </c>
      <c r="P14" s="3589">
        <f>SUMIF('New Resources - Individual'!$F$6:$Y$6,P$6,'New Resources - Individual'!$F14:$Y14)</f>
        <v>0</v>
      </c>
      <c r="Q14" s="3589">
        <f>SUMIF('New Resources - Individual'!$F$6:$Y$6,Q$6,'New Resources - Individual'!$F14:$Y14)</f>
        <v>0</v>
      </c>
      <c r="R14" s="3589">
        <f>SUMIF('New Resources - Individual'!$F$6:$Y$6,R$6,'New Resources - Individual'!$F14:$Y14)</f>
        <v>0</v>
      </c>
      <c r="S14" s="3589">
        <f>SUMIF('New Resources - Individual'!$F$6:$Y$6,S$6,'New Resources - Individual'!$F14:$Y14)</f>
        <v>0</v>
      </c>
      <c r="T14" s="3589">
        <f>SUMIF('New Resources - Individual'!$F$6:$Y$6,T$6,'New Resources - Individual'!$F14:$Y14)</f>
        <v>0</v>
      </c>
      <c r="U14" s="3589">
        <f>SUMIF('New Resources - Individual'!$F$6:$Y$6,U$6,'New Resources - Individual'!$F14:$Y14)</f>
        <v>0</v>
      </c>
      <c r="V14" s="3589">
        <f>SUMIF('New Resources - Individual'!$F$6:$Y$6,V$6,'New Resources - Individual'!$F14:$Y14)</f>
        <v>0</v>
      </c>
      <c r="W14" s="3589">
        <f>SUMIF('New Resources - Individual'!$F$6:$Y$6,W$6,'New Resources - Individual'!$F14:$Y14)</f>
        <v>0</v>
      </c>
      <c r="X14" s="3589">
        <f>SUMIF('New Resources - Individual'!$F$6:$Y$6,X$6,'New Resources - Individual'!$F14:$Y14)</f>
        <v>0</v>
      </c>
      <c r="Y14" s="3590">
        <f>SUMIF('New Resources - Individual'!$F$6:$Y$6,Y$6,'New Resources - Individual'!$F14:$Y14)</f>
        <v>0</v>
      </c>
      <c r="AG14" s="3564"/>
      <c r="AH14" s="3564"/>
    </row>
    <row r="15" spans="1:34">
      <c r="A15" s="3175">
        <v>180</v>
      </c>
      <c r="B15" s="3179" t="s">
        <v>259</v>
      </c>
      <c r="C15" s="3177" t="s">
        <v>260</v>
      </c>
      <c r="D15" s="3177"/>
      <c r="E15" s="3178"/>
      <c r="F15" s="3586">
        <f>SUMIF('New Resources - Individual'!$F$6:$Y$6,F$6,'New Resources - Individual'!$F15:$Y15)</f>
        <v>0</v>
      </c>
      <c r="G15" s="3586">
        <f>SUMIF('New Resources - Individual'!$F$6:$Y$6,G$6,'New Resources - Individual'!$F15:$Y15)</f>
        <v>0</v>
      </c>
      <c r="H15" s="3586">
        <f>SUMIF('New Resources - Individual'!$F$6:$Y$6,H$6,'New Resources - Individual'!$F15:$Y15)</f>
        <v>0</v>
      </c>
      <c r="I15" s="3586">
        <f>SUMIF('New Resources - Individual'!$F$6:$Y$6,I$6,'New Resources - Individual'!$F15:$Y15)</f>
        <v>0</v>
      </c>
      <c r="J15" s="3589">
        <f>SUMIF('New Resources - Individual'!$F$6:$Y$6,J$6,'New Resources - Individual'!$F15:$Y15)</f>
        <v>0</v>
      </c>
      <c r="K15" s="3589">
        <f>SUMIF('New Resources - Individual'!$F$6:$Y$6,K$6,'New Resources - Individual'!$F15:$Y15)</f>
        <v>0</v>
      </c>
      <c r="L15" s="3589">
        <f>SUMIF('New Resources - Individual'!$F$6:$Y$6,L$6,'New Resources - Individual'!$F15:$Y15)</f>
        <v>0</v>
      </c>
      <c r="M15" s="3589">
        <f>SUMIF('New Resources - Individual'!$F$6:$Y$6,M$6,'New Resources - Individual'!$F15:$Y15)</f>
        <v>0</v>
      </c>
      <c r="N15" s="3589">
        <f>SUMIF('New Resources - Individual'!$F$6:$Y$6,N$6,'New Resources - Individual'!$F15:$Y15)</f>
        <v>0</v>
      </c>
      <c r="O15" s="3589">
        <f>SUMIF('New Resources - Individual'!$F$6:$Y$6,O$6,'New Resources - Individual'!$F15:$Y15)</f>
        <v>0</v>
      </c>
      <c r="P15" s="3589">
        <f>SUMIF('New Resources - Individual'!$F$6:$Y$6,P$6,'New Resources - Individual'!$F15:$Y15)</f>
        <v>0</v>
      </c>
      <c r="Q15" s="3589">
        <f>SUMIF('New Resources - Individual'!$F$6:$Y$6,Q$6,'New Resources - Individual'!$F15:$Y15)</f>
        <v>0</v>
      </c>
      <c r="R15" s="3589">
        <f>SUMIF('New Resources - Individual'!$F$6:$Y$6,R$6,'New Resources - Individual'!$F15:$Y15)</f>
        <v>0</v>
      </c>
      <c r="S15" s="3589">
        <f>SUMIF('New Resources - Individual'!$F$6:$Y$6,S$6,'New Resources - Individual'!$F15:$Y15)</f>
        <v>0</v>
      </c>
      <c r="T15" s="3589">
        <f>SUMIF('New Resources - Individual'!$F$6:$Y$6,T$6,'New Resources - Individual'!$F15:$Y15)</f>
        <v>0</v>
      </c>
      <c r="U15" s="3589">
        <f>SUMIF('New Resources - Individual'!$F$6:$Y$6,U$6,'New Resources - Individual'!$F15:$Y15)</f>
        <v>0</v>
      </c>
      <c r="V15" s="3589">
        <f>SUMIF('New Resources - Individual'!$F$6:$Y$6,V$6,'New Resources - Individual'!$F15:$Y15)</f>
        <v>0</v>
      </c>
      <c r="W15" s="3589">
        <f>SUMIF('New Resources - Individual'!$F$6:$Y$6,W$6,'New Resources - Individual'!$F15:$Y15)</f>
        <v>0</v>
      </c>
      <c r="X15" s="3589">
        <f>SUMIF('New Resources - Individual'!$F$6:$Y$6,X$6,'New Resources - Individual'!$F15:$Y15)</f>
        <v>0</v>
      </c>
      <c r="Y15" s="3590">
        <f>SUMIF('New Resources - Individual'!$F$6:$Y$6,Y$6,'New Resources - Individual'!$F15:$Y15)</f>
        <v>0</v>
      </c>
      <c r="AG15" s="3564"/>
      <c r="AH15" s="3564"/>
    </row>
    <row r="16" spans="1:34">
      <c r="A16" s="3175">
        <v>190</v>
      </c>
      <c r="B16" s="3183" t="s">
        <v>167</v>
      </c>
      <c r="C16" s="3184">
        <v>924</v>
      </c>
      <c r="D16" s="3184"/>
      <c r="E16" s="3185"/>
      <c r="F16" s="3586">
        <f>SUMIF('New Resources - Individual'!$F$6:$Y$6,F$6,'New Resources - Individual'!$F16:$Y16)</f>
        <v>0</v>
      </c>
      <c r="G16" s="3586">
        <f>SUMIF('New Resources - Individual'!$F$6:$Y$6,G$6,'New Resources - Individual'!$F16:$Y16)</f>
        <v>0</v>
      </c>
      <c r="H16" s="3586">
        <f>SUMIF('New Resources - Individual'!$F$6:$Y$6,H$6,'New Resources - Individual'!$F16:$Y16)</f>
        <v>0</v>
      </c>
      <c r="I16" s="3586">
        <f>SUMIF('New Resources - Individual'!$F$6:$Y$6,I$6,'New Resources - Individual'!$F16:$Y16)</f>
        <v>0</v>
      </c>
      <c r="J16" s="3589">
        <f>SUMIF('New Resources - Individual'!$F$6:$Y$6,J$6,'New Resources - Individual'!$F16:$Y16)</f>
        <v>0</v>
      </c>
      <c r="K16" s="3589">
        <f>SUMIF('New Resources - Individual'!$F$6:$Y$6,K$6,'New Resources - Individual'!$F16:$Y16)</f>
        <v>0</v>
      </c>
      <c r="L16" s="3589">
        <f>SUMIF('New Resources - Individual'!$F$6:$Y$6,L$6,'New Resources - Individual'!$F16:$Y16)</f>
        <v>0</v>
      </c>
      <c r="M16" s="3589">
        <f>SUMIF('New Resources - Individual'!$F$6:$Y$6,M$6,'New Resources - Individual'!$F16:$Y16)</f>
        <v>0</v>
      </c>
      <c r="N16" s="3589">
        <f>SUMIF('New Resources - Individual'!$F$6:$Y$6,N$6,'New Resources - Individual'!$F16:$Y16)</f>
        <v>0</v>
      </c>
      <c r="O16" s="3589">
        <f>SUMIF('New Resources - Individual'!$F$6:$Y$6,O$6,'New Resources - Individual'!$F16:$Y16)</f>
        <v>0</v>
      </c>
      <c r="P16" s="3589">
        <f>SUMIF('New Resources - Individual'!$F$6:$Y$6,P$6,'New Resources - Individual'!$F16:$Y16)</f>
        <v>0</v>
      </c>
      <c r="Q16" s="3589">
        <f>SUMIF('New Resources - Individual'!$F$6:$Y$6,Q$6,'New Resources - Individual'!$F16:$Y16)</f>
        <v>0</v>
      </c>
      <c r="R16" s="3589">
        <f>SUMIF('New Resources - Individual'!$F$6:$Y$6,R$6,'New Resources - Individual'!$F16:$Y16)</f>
        <v>0</v>
      </c>
      <c r="S16" s="3589">
        <f>SUMIF('New Resources - Individual'!$F$6:$Y$6,S$6,'New Resources - Individual'!$F16:$Y16)</f>
        <v>0</v>
      </c>
      <c r="T16" s="3589">
        <f>SUMIF('New Resources - Individual'!$F$6:$Y$6,T$6,'New Resources - Individual'!$F16:$Y16)</f>
        <v>0</v>
      </c>
      <c r="U16" s="3589">
        <f>SUMIF('New Resources - Individual'!$F$6:$Y$6,U$6,'New Resources - Individual'!$F16:$Y16)</f>
        <v>0</v>
      </c>
      <c r="V16" s="3589">
        <f>SUMIF('New Resources - Individual'!$F$6:$Y$6,V$6,'New Resources - Individual'!$F16:$Y16)</f>
        <v>0</v>
      </c>
      <c r="W16" s="3589">
        <f>SUMIF('New Resources - Individual'!$F$6:$Y$6,W$6,'New Resources - Individual'!$F16:$Y16)</f>
        <v>0</v>
      </c>
      <c r="X16" s="3589">
        <f>SUMIF('New Resources - Individual'!$F$6:$Y$6,X$6,'New Resources - Individual'!$F16:$Y16)</f>
        <v>0</v>
      </c>
      <c r="Y16" s="3590">
        <f>SUMIF('New Resources - Individual'!$F$6:$Y$6,Y$6,'New Resources - Individual'!$F16:$Y16)</f>
        <v>0</v>
      </c>
      <c r="AG16" s="3564"/>
      <c r="AH16" s="3564"/>
    </row>
    <row r="17" spans="1:34">
      <c r="A17" s="3175">
        <v>200</v>
      </c>
      <c r="B17" s="3176" t="s">
        <v>589</v>
      </c>
      <c r="C17" s="3180">
        <v>403</v>
      </c>
      <c r="D17" s="3180" t="s">
        <v>590</v>
      </c>
      <c r="E17" s="3178"/>
      <c r="F17" s="3586">
        <f>SUMIF('New Resources - Individual'!$F$6:$Y$6,F$6,'New Resources - Individual'!$F17:$Y17)</f>
        <v>0</v>
      </c>
      <c r="G17" s="3586">
        <f>SUMIF('New Resources - Individual'!$F$6:$Y$6,G$6,'New Resources - Individual'!$F17:$Y17)</f>
        <v>0</v>
      </c>
      <c r="H17" s="3586">
        <f>SUMIF('New Resources - Individual'!$F$6:$Y$6,H$6,'New Resources - Individual'!$F17:$Y17)</f>
        <v>0</v>
      </c>
      <c r="I17" s="3586">
        <f>SUMIF('New Resources - Individual'!$F$6:$Y$6,I$6,'New Resources - Individual'!$F17:$Y17)</f>
        <v>0</v>
      </c>
      <c r="J17" s="3589">
        <f>SUMIF('New Resources - Individual'!$F$6:$Y$6,J$6,'New Resources - Individual'!$F17:$Y17)</f>
        <v>0</v>
      </c>
      <c r="K17" s="3589">
        <f>SUMIF('New Resources - Individual'!$F$6:$Y$6,K$6,'New Resources - Individual'!$F17:$Y17)</f>
        <v>0</v>
      </c>
      <c r="L17" s="3589">
        <f>SUMIF('New Resources - Individual'!$F$6:$Y$6,L$6,'New Resources - Individual'!$F17:$Y17)</f>
        <v>0</v>
      </c>
      <c r="M17" s="3589">
        <f>SUMIF('New Resources - Individual'!$F$6:$Y$6,M$6,'New Resources - Individual'!$F17:$Y17)</f>
        <v>0</v>
      </c>
      <c r="N17" s="3589">
        <f>SUMIF('New Resources - Individual'!$F$6:$Y$6,N$6,'New Resources - Individual'!$F17:$Y17)</f>
        <v>0</v>
      </c>
      <c r="O17" s="3589">
        <f>SUMIF('New Resources - Individual'!$F$6:$Y$6,O$6,'New Resources - Individual'!$F17:$Y17)</f>
        <v>0</v>
      </c>
      <c r="P17" s="3589">
        <f>SUMIF('New Resources - Individual'!$F$6:$Y$6,P$6,'New Resources - Individual'!$F17:$Y17)</f>
        <v>0</v>
      </c>
      <c r="Q17" s="3589">
        <f>SUMIF('New Resources - Individual'!$F$6:$Y$6,Q$6,'New Resources - Individual'!$F17:$Y17)</f>
        <v>0</v>
      </c>
      <c r="R17" s="3589">
        <f>SUMIF('New Resources - Individual'!$F$6:$Y$6,R$6,'New Resources - Individual'!$F17:$Y17)</f>
        <v>0</v>
      </c>
      <c r="S17" s="3589">
        <f>SUMIF('New Resources - Individual'!$F$6:$Y$6,S$6,'New Resources - Individual'!$F17:$Y17)</f>
        <v>0</v>
      </c>
      <c r="T17" s="3589">
        <f>SUMIF('New Resources - Individual'!$F$6:$Y$6,T$6,'New Resources - Individual'!$F17:$Y17)</f>
        <v>0</v>
      </c>
      <c r="U17" s="3589">
        <f>SUMIF('New Resources - Individual'!$F$6:$Y$6,U$6,'New Resources - Individual'!$F17:$Y17)</f>
        <v>0</v>
      </c>
      <c r="V17" s="3589">
        <f>SUMIF('New Resources - Individual'!$F$6:$Y$6,V$6,'New Resources - Individual'!$F17:$Y17)</f>
        <v>0</v>
      </c>
      <c r="W17" s="3589">
        <f>SUMIF('New Resources - Individual'!$F$6:$Y$6,W$6,'New Resources - Individual'!$F17:$Y17)</f>
        <v>0</v>
      </c>
      <c r="X17" s="3589">
        <f>SUMIF('New Resources - Individual'!$F$6:$Y$6,X$6,'New Resources - Individual'!$F17:$Y17)</f>
        <v>0</v>
      </c>
      <c r="Y17" s="3590">
        <f>SUMIF('New Resources - Individual'!$F$6:$Y$6,Y$6,'New Resources - Individual'!$F17:$Y17)</f>
        <v>0</v>
      </c>
      <c r="AG17" s="3564"/>
      <c r="AH17" s="3564"/>
    </row>
    <row r="18" spans="1:34">
      <c r="A18" s="3175">
        <v>210</v>
      </c>
      <c r="B18" s="3176" t="s">
        <v>591</v>
      </c>
      <c r="C18" s="3177">
        <v>447</v>
      </c>
      <c r="D18" s="3177" t="s">
        <v>592</v>
      </c>
      <c r="E18" s="3178"/>
      <c r="F18" s="3586">
        <f>SUMIF('New Resources - Individual'!$F$6:$Y$6,F$6,'New Resources - Individual'!$F18:$Y18)</f>
        <v>0</v>
      </c>
      <c r="G18" s="3586">
        <f>SUMIF('New Resources - Individual'!$F$6:$Y$6,G$6,'New Resources - Individual'!$F18:$Y18)</f>
        <v>0</v>
      </c>
      <c r="H18" s="3586">
        <f>SUMIF('New Resources - Individual'!$F$6:$Y$6,H$6,'New Resources - Individual'!$F18:$Y18)</f>
        <v>0</v>
      </c>
      <c r="I18" s="3586">
        <f>SUMIF('New Resources - Individual'!$F$6:$Y$6,I$6,'New Resources - Individual'!$F18:$Y18)</f>
        <v>0</v>
      </c>
      <c r="J18" s="3589">
        <f>SUMIF('New Resources - Individual'!$F$6:$Y$6,J$6,'New Resources - Individual'!$F18:$Y18)</f>
        <v>0</v>
      </c>
      <c r="K18" s="3589">
        <f>SUMIF('New Resources - Individual'!$F$6:$Y$6,K$6,'New Resources - Individual'!$F18:$Y18)</f>
        <v>0</v>
      </c>
      <c r="L18" s="3589">
        <f>SUMIF('New Resources - Individual'!$F$6:$Y$6,L$6,'New Resources - Individual'!$F18:$Y18)</f>
        <v>0</v>
      </c>
      <c r="M18" s="3589">
        <f>SUMIF('New Resources - Individual'!$F$6:$Y$6,M$6,'New Resources - Individual'!$F18:$Y18)</f>
        <v>0</v>
      </c>
      <c r="N18" s="3589">
        <f>SUMIF('New Resources - Individual'!$F$6:$Y$6,N$6,'New Resources - Individual'!$F18:$Y18)</f>
        <v>0</v>
      </c>
      <c r="O18" s="3589">
        <f>SUMIF('New Resources - Individual'!$F$6:$Y$6,O$6,'New Resources - Individual'!$F18:$Y18)</f>
        <v>0</v>
      </c>
      <c r="P18" s="3589">
        <f>SUMIF('New Resources - Individual'!$F$6:$Y$6,P$6,'New Resources - Individual'!$F18:$Y18)</f>
        <v>0</v>
      </c>
      <c r="Q18" s="3589">
        <f>SUMIF('New Resources - Individual'!$F$6:$Y$6,Q$6,'New Resources - Individual'!$F18:$Y18)</f>
        <v>0</v>
      </c>
      <c r="R18" s="3589">
        <f>SUMIF('New Resources - Individual'!$F$6:$Y$6,R$6,'New Resources - Individual'!$F18:$Y18)</f>
        <v>0</v>
      </c>
      <c r="S18" s="3589">
        <f>SUMIF('New Resources - Individual'!$F$6:$Y$6,S$6,'New Resources - Individual'!$F18:$Y18)</f>
        <v>0</v>
      </c>
      <c r="T18" s="3589">
        <f>SUMIF('New Resources - Individual'!$F$6:$Y$6,T$6,'New Resources - Individual'!$F18:$Y18)</f>
        <v>0</v>
      </c>
      <c r="U18" s="3589">
        <f>SUMIF('New Resources - Individual'!$F$6:$Y$6,U$6,'New Resources - Individual'!$F18:$Y18)</f>
        <v>0</v>
      </c>
      <c r="V18" s="3589">
        <f>SUMIF('New Resources - Individual'!$F$6:$Y$6,V$6,'New Resources - Individual'!$F18:$Y18)</f>
        <v>0</v>
      </c>
      <c r="W18" s="3589">
        <f>SUMIF('New Resources - Individual'!$F$6:$Y$6,W$6,'New Resources - Individual'!$F18:$Y18)</f>
        <v>0</v>
      </c>
      <c r="X18" s="3589">
        <f>SUMIF('New Resources - Individual'!$F$6:$Y$6,X$6,'New Resources - Individual'!$F18:$Y18)</f>
        <v>0</v>
      </c>
      <c r="Y18" s="3590">
        <f>SUMIF('New Resources - Individual'!$F$6:$Y$6,Y$6,'New Resources - Individual'!$F18:$Y18)</f>
        <v>0</v>
      </c>
      <c r="AG18" s="3564"/>
      <c r="AH18" s="3564"/>
    </row>
    <row r="19" spans="1:34">
      <c r="A19" s="3175">
        <v>220</v>
      </c>
      <c r="B19" s="3179" t="s">
        <v>593</v>
      </c>
      <c r="C19" s="3180"/>
      <c r="D19" s="3177" t="s">
        <v>592</v>
      </c>
      <c r="E19" s="3178"/>
      <c r="F19" s="3586">
        <f>SUMIF('New Resources - Individual'!$F$6:$Y$6,F$6,'New Resources - Individual'!$F19:$Y19)</f>
        <v>0</v>
      </c>
      <c r="G19" s="3586">
        <f>SUMIF('New Resources - Individual'!$F$6:$Y$6,G$6,'New Resources - Individual'!$F19:$Y19)</f>
        <v>0</v>
      </c>
      <c r="H19" s="3586">
        <f>SUMIF('New Resources - Individual'!$F$6:$Y$6,H$6,'New Resources - Individual'!$F19:$Y19)</f>
        <v>0</v>
      </c>
      <c r="I19" s="3586">
        <f>SUMIF('New Resources - Individual'!$F$6:$Y$6,I$6,'New Resources - Individual'!$F19:$Y19)</f>
        <v>0</v>
      </c>
      <c r="J19" s="3589">
        <f>SUMIF('New Resources - Individual'!$F$6:$Y$6,J$6,'New Resources - Individual'!$F19:$Y19)</f>
        <v>0</v>
      </c>
      <c r="K19" s="3589">
        <f>SUMIF('New Resources - Individual'!$F$6:$Y$6,K$6,'New Resources - Individual'!$F19:$Y19)</f>
        <v>0</v>
      </c>
      <c r="L19" s="3589">
        <f>SUMIF('New Resources - Individual'!$F$6:$Y$6,L$6,'New Resources - Individual'!$F19:$Y19)</f>
        <v>0</v>
      </c>
      <c r="M19" s="3589">
        <f>SUMIF('New Resources - Individual'!$F$6:$Y$6,M$6,'New Resources - Individual'!$F19:$Y19)</f>
        <v>0</v>
      </c>
      <c r="N19" s="3589">
        <f>SUMIF('New Resources - Individual'!$F$6:$Y$6,N$6,'New Resources - Individual'!$F19:$Y19)</f>
        <v>0</v>
      </c>
      <c r="O19" s="3589">
        <f>SUMIF('New Resources - Individual'!$F$6:$Y$6,O$6,'New Resources - Individual'!$F19:$Y19)</f>
        <v>0</v>
      </c>
      <c r="P19" s="3589">
        <f>SUMIF('New Resources - Individual'!$F$6:$Y$6,P$6,'New Resources - Individual'!$F19:$Y19)</f>
        <v>0</v>
      </c>
      <c r="Q19" s="3589">
        <f>SUMIF('New Resources - Individual'!$F$6:$Y$6,Q$6,'New Resources - Individual'!$F19:$Y19)</f>
        <v>0</v>
      </c>
      <c r="R19" s="3589">
        <f>SUMIF('New Resources - Individual'!$F$6:$Y$6,R$6,'New Resources - Individual'!$F19:$Y19)</f>
        <v>0</v>
      </c>
      <c r="S19" s="3589">
        <f>SUMIF('New Resources - Individual'!$F$6:$Y$6,S$6,'New Resources - Individual'!$F19:$Y19)</f>
        <v>0</v>
      </c>
      <c r="T19" s="3589">
        <f>SUMIF('New Resources - Individual'!$F$6:$Y$6,T$6,'New Resources - Individual'!$F19:$Y19)</f>
        <v>0</v>
      </c>
      <c r="U19" s="3589">
        <f>SUMIF('New Resources - Individual'!$F$6:$Y$6,U$6,'New Resources - Individual'!$F19:$Y19)</f>
        <v>0</v>
      </c>
      <c r="V19" s="3589">
        <f>SUMIF('New Resources - Individual'!$F$6:$Y$6,V$6,'New Resources - Individual'!$F19:$Y19)</f>
        <v>0</v>
      </c>
      <c r="W19" s="3589">
        <f>SUMIF('New Resources - Individual'!$F$6:$Y$6,W$6,'New Resources - Individual'!$F19:$Y19)</f>
        <v>0</v>
      </c>
      <c r="X19" s="3589">
        <f>SUMIF('New Resources - Individual'!$F$6:$Y$6,X$6,'New Resources - Individual'!$F19:$Y19)</f>
        <v>0</v>
      </c>
      <c r="Y19" s="3590">
        <f>SUMIF('New Resources - Individual'!$F$6:$Y$6,Y$6,'New Resources - Individual'!$F19:$Y19)</f>
        <v>0</v>
      </c>
      <c r="AG19" s="3564"/>
      <c r="AH19" s="3564"/>
    </row>
    <row r="20" spans="1:34">
      <c r="A20" s="3175">
        <v>230</v>
      </c>
      <c r="B20" s="3176" t="s">
        <v>594</v>
      </c>
      <c r="C20" s="3177"/>
      <c r="D20" s="3177" t="s">
        <v>592</v>
      </c>
      <c r="E20" s="3178"/>
      <c r="F20" s="3586">
        <f>SUMIF('New Resources - Individual'!$F$6:$Y$6,F$6,'New Resources - Individual'!$F20:$Y20)</f>
        <v>0</v>
      </c>
      <c r="G20" s="3586">
        <f>SUMIF('New Resources - Individual'!$F$6:$Y$6,G$6,'New Resources - Individual'!$F20:$Y20)</f>
        <v>0</v>
      </c>
      <c r="H20" s="3586">
        <f>SUMIF('New Resources - Individual'!$F$6:$Y$6,H$6,'New Resources - Individual'!$F20:$Y20)</f>
        <v>0</v>
      </c>
      <c r="I20" s="3586">
        <f>SUMIF('New Resources - Individual'!$F$6:$Y$6,I$6,'New Resources - Individual'!$F20:$Y20)</f>
        <v>0</v>
      </c>
      <c r="J20" s="3589">
        <f>SUMIF('New Resources - Individual'!$F$6:$Y$6,J$6,'New Resources - Individual'!$F20:$Y20)</f>
        <v>0</v>
      </c>
      <c r="K20" s="3589">
        <f>SUMIF('New Resources - Individual'!$F$6:$Y$6,K$6,'New Resources - Individual'!$F20:$Y20)</f>
        <v>0</v>
      </c>
      <c r="L20" s="3589">
        <f>SUMIF('New Resources - Individual'!$F$6:$Y$6,L$6,'New Resources - Individual'!$F20:$Y20)</f>
        <v>0</v>
      </c>
      <c r="M20" s="3589">
        <f>SUMIF('New Resources - Individual'!$F$6:$Y$6,M$6,'New Resources - Individual'!$F20:$Y20)</f>
        <v>0</v>
      </c>
      <c r="N20" s="3589">
        <f>SUMIF('New Resources - Individual'!$F$6:$Y$6,N$6,'New Resources - Individual'!$F20:$Y20)</f>
        <v>0</v>
      </c>
      <c r="O20" s="3589">
        <f>SUMIF('New Resources - Individual'!$F$6:$Y$6,O$6,'New Resources - Individual'!$F20:$Y20)</f>
        <v>0</v>
      </c>
      <c r="P20" s="3589">
        <f>SUMIF('New Resources - Individual'!$F$6:$Y$6,P$6,'New Resources - Individual'!$F20:$Y20)</f>
        <v>0</v>
      </c>
      <c r="Q20" s="3589">
        <f>SUMIF('New Resources - Individual'!$F$6:$Y$6,Q$6,'New Resources - Individual'!$F20:$Y20)</f>
        <v>0</v>
      </c>
      <c r="R20" s="3589">
        <f>SUMIF('New Resources - Individual'!$F$6:$Y$6,R$6,'New Resources - Individual'!$F20:$Y20)</f>
        <v>0</v>
      </c>
      <c r="S20" s="3589">
        <f>SUMIF('New Resources - Individual'!$F$6:$Y$6,S$6,'New Resources - Individual'!$F20:$Y20)</f>
        <v>0</v>
      </c>
      <c r="T20" s="3589">
        <f>SUMIF('New Resources - Individual'!$F$6:$Y$6,T$6,'New Resources - Individual'!$F20:$Y20)</f>
        <v>0</v>
      </c>
      <c r="U20" s="3589">
        <f>SUMIF('New Resources - Individual'!$F$6:$Y$6,U$6,'New Resources - Individual'!$F20:$Y20)</f>
        <v>0</v>
      </c>
      <c r="V20" s="3589">
        <f>SUMIF('New Resources - Individual'!$F$6:$Y$6,V$6,'New Resources - Individual'!$F20:$Y20)</f>
        <v>0</v>
      </c>
      <c r="W20" s="3589">
        <f>SUMIF('New Resources - Individual'!$F$6:$Y$6,W$6,'New Resources - Individual'!$F20:$Y20)</f>
        <v>0</v>
      </c>
      <c r="X20" s="3589">
        <f>SUMIF('New Resources - Individual'!$F$6:$Y$6,X$6,'New Resources - Individual'!$F20:$Y20)</f>
        <v>0</v>
      </c>
      <c r="Y20" s="3590">
        <f>SUMIF('New Resources - Individual'!$F$6:$Y$6,Y$6,'New Resources - Individual'!$F20:$Y20)</f>
        <v>0</v>
      </c>
      <c r="AG20" s="3564"/>
      <c r="AH20" s="3564"/>
    </row>
    <row r="21" spans="1:34">
      <c r="A21" s="3175">
        <v>240</v>
      </c>
      <c r="B21" s="3181" t="s">
        <v>89</v>
      </c>
      <c r="C21" s="3182"/>
      <c r="D21" s="3182"/>
      <c r="E21" s="3174"/>
      <c r="F21" s="3591"/>
      <c r="G21" s="3591"/>
      <c r="H21" s="3174"/>
      <c r="I21" s="3591"/>
      <c r="J21" s="3591"/>
      <c r="K21" s="3591"/>
      <c r="L21" s="3591"/>
      <c r="M21" s="3591"/>
      <c r="N21" s="3591"/>
      <c r="O21" s="3591"/>
      <c r="P21" s="3591"/>
      <c r="Q21" s="3591"/>
      <c r="R21" s="3591"/>
      <c r="S21" s="3591"/>
      <c r="T21" s="3591"/>
      <c r="U21" s="3591"/>
      <c r="V21" s="3591"/>
      <c r="W21" s="3591"/>
      <c r="X21" s="3591"/>
      <c r="Y21" s="3592"/>
      <c r="AG21" s="3564"/>
      <c r="AH21" s="3564"/>
    </row>
    <row r="22" spans="1:34">
      <c r="A22" s="3175">
        <v>250</v>
      </c>
      <c r="B22" s="3176" t="s">
        <v>113</v>
      </c>
      <c r="C22" s="3177" t="s">
        <v>114</v>
      </c>
      <c r="D22" s="3177"/>
      <c r="E22" s="3178"/>
      <c r="F22" s="3586">
        <f>SUMIF('New Resources - Individual'!$F$6:$Y$6,F$6,'New Resources - Individual'!$F22:$Y22)</f>
        <v>0</v>
      </c>
      <c r="G22" s="3586">
        <f>SUMIF('New Resources - Individual'!$F$6:$Y$6,G$6,'New Resources - Individual'!$F22:$Y22)</f>
        <v>0</v>
      </c>
      <c r="H22" s="3586">
        <f>SUMIF('New Resources - Individual'!$F$6:$Y$6,H$6,'New Resources - Individual'!$F22:$Y22)</f>
        <v>0</v>
      </c>
      <c r="I22" s="3586">
        <f>SUMIF('New Resources - Individual'!$F$6:$Y$6,I$6,'New Resources - Individual'!$F22:$Y22)</f>
        <v>0</v>
      </c>
      <c r="J22" s="3589">
        <f>SUMIF('New Resources - Individual'!$F$6:$Y$6,J$6,'New Resources - Individual'!$F22:$Y22)</f>
        <v>0</v>
      </c>
      <c r="K22" s="3589">
        <f>SUMIF('New Resources - Individual'!$F$6:$Y$6,K$6,'New Resources - Individual'!$F22:$Y22)</f>
        <v>0</v>
      </c>
      <c r="L22" s="3589">
        <f>SUMIF('New Resources - Individual'!$F$6:$Y$6,L$6,'New Resources - Individual'!$F22:$Y22)</f>
        <v>0</v>
      </c>
      <c r="M22" s="3589">
        <f>SUMIF('New Resources - Individual'!$F$6:$Y$6,M$6,'New Resources - Individual'!$F22:$Y22)</f>
        <v>0</v>
      </c>
      <c r="N22" s="3589">
        <f>SUMIF('New Resources - Individual'!$F$6:$Y$6,N$6,'New Resources - Individual'!$F22:$Y22)</f>
        <v>0</v>
      </c>
      <c r="O22" s="3589">
        <f>SUMIF('New Resources - Individual'!$F$6:$Y$6,O$6,'New Resources - Individual'!$F22:$Y22)</f>
        <v>0</v>
      </c>
      <c r="P22" s="3589">
        <f>SUMIF('New Resources - Individual'!$F$6:$Y$6,P$6,'New Resources - Individual'!$F22:$Y22)</f>
        <v>0</v>
      </c>
      <c r="Q22" s="3589">
        <f>SUMIF('New Resources - Individual'!$F$6:$Y$6,Q$6,'New Resources - Individual'!$F22:$Y22)</f>
        <v>0</v>
      </c>
      <c r="R22" s="3589">
        <f>SUMIF('New Resources - Individual'!$F$6:$Y$6,R$6,'New Resources - Individual'!$F22:$Y22)</f>
        <v>0</v>
      </c>
      <c r="S22" s="3589">
        <f>SUMIF('New Resources - Individual'!$F$6:$Y$6,S$6,'New Resources - Individual'!$F22:$Y22)</f>
        <v>0</v>
      </c>
      <c r="T22" s="3589">
        <f>SUMIF('New Resources - Individual'!$F$6:$Y$6,T$6,'New Resources - Individual'!$F22:$Y22)</f>
        <v>0</v>
      </c>
      <c r="U22" s="3589">
        <f>SUMIF('New Resources - Individual'!$F$6:$Y$6,U$6,'New Resources - Individual'!$F22:$Y22)</f>
        <v>0</v>
      </c>
      <c r="V22" s="3589">
        <f>SUMIF('New Resources - Individual'!$F$6:$Y$6,V$6,'New Resources - Individual'!$F22:$Y22)</f>
        <v>0</v>
      </c>
      <c r="W22" s="3589">
        <f>SUMIF('New Resources - Individual'!$F$6:$Y$6,W$6,'New Resources - Individual'!$F22:$Y22)</f>
        <v>0</v>
      </c>
      <c r="X22" s="3589">
        <f>SUMIF('New Resources - Individual'!$F$6:$Y$6,X$6,'New Resources - Individual'!$F22:$Y22)</f>
        <v>0</v>
      </c>
      <c r="Y22" s="3590">
        <f>SUMIF('New Resources - Individual'!$F$6:$Y$6,Y$6,'New Resources - Individual'!$F22:$Y22)</f>
        <v>0</v>
      </c>
      <c r="AG22" s="3564"/>
      <c r="AH22" s="3564"/>
    </row>
    <row r="23" spans="1:34">
      <c r="A23" s="3175">
        <v>260</v>
      </c>
      <c r="B23" s="3176" t="s">
        <v>8381</v>
      </c>
      <c r="C23" s="3180" t="s">
        <v>255</v>
      </c>
      <c r="D23" s="3180" t="s">
        <v>590</v>
      </c>
      <c r="E23" s="3178"/>
      <c r="F23" s="3586">
        <f>SUMIF('New Resources - Individual'!$F$6:$Y$6,F$6,'New Resources - Individual'!$F23:$Y23)</f>
        <v>0</v>
      </c>
      <c r="G23" s="3586">
        <f>SUMIF('New Resources - Individual'!$F$6:$Y$6,G$6,'New Resources - Individual'!$F23:$Y23)</f>
        <v>0</v>
      </c>
      <c r="H23" s="3586">
        <f>SUMIF('New Resources - Individual'!$F$6:$Y$6,H$6,'New Resources - Individual'!$F23:$Y23)</f>
        <v>0</v>
      </c>
      <c r="I23" s="3586">
        <f>SUMIF('New Resources - Individual'!$F$6:$Y$6,I$6,'New Resources - Individual'!$F23:$Y23)</f>
        <v>0</v>
      </c>
      <c r="J23" s="3589">
        <f>SUMIF('New Resources - Individual'!$F$6:$Y$6,J$6,'New Resources - Individual'!$F23:$Y23)</f>
        <v>0</v>
      </c>
      <c r="K23" s="3589">
        <f>SUMIF('New Resources - Individual'!$F$6:$Y$6,K$6,'New Resources - Individual'!$F23:$Y23)</f>
        <v>0</v>
      </c>
      <c r="L23" s="3589">
        <f>SUMIF('New Resources - Individual'!$F$6:$Y$6,L$6,'New Resources - Individual'!$F23:$Y23)</f>
        <v>0</v>
      </c>
      <c r="M23" s="3589">
        <f>SUMIF('New Resources - Individual'!$F$6:$Y$6,M$6,'New Resources - Individual'!$F23:$Y23)</f>
        <v>0</v>
      </c>
      <c r="N23" s="3589">
        <f>SUMIF('New Resources - Individual'!$F$6:$Y$6,N$6,'New Resources - Individual'!$F23:$Y23)</f>
        <v>0</v>
      </c>
      <c r="O23" s="3589">
        <f>SUMIF('New Resources - Individual'!$F$6:$Y$6,O$6,'New Resources - Individual'!$F23:$Y23)</f>
        <v>0</v>
      </c>
      <c r="P23" s="3589">
        <f>SUMIF('New Resources - Individual'!$F$6:$Y$6,P$6,'New Resources - Individual'!$F23:$Y23)</f>
        <v>0</v>
      </c>
      <c r="Q23" s="3589">
        <f>SUMIF('New Resources - Individual'!$F$6:$Y$6,Q$6,'New Resources - Individual'!$F23:$Y23)</f>
        <v>0</v>
      </c>
      <c r="R23" s="3589">
        <f>SUMIF('New Resources - Individual'!$F$6:$Y$6,R$6,'New Resources - Individual'!$F23:$Y23)</f>
        <v>0</v>
      </c>
      <c r="S23" s="3589">
        <f>SUMIF('New Resources - Individual'!$F$6:$Y$6,S$6,'New Resources - Individual'!$F23:$Y23)</f>
        <v>0</v>
      </c>
      <c r="T23" s="3589">
        <f>SUMIF('New Resources - Individual'!$F$6:$Y$6,T$6,'New Resources - Individual'!$F23:$Y23)</f>
        <v>0</v>
      </c>
      <c r="U23" s="3589">
        <f>SUMIF('New Resources - Individual'!$F$6:$Y$6,U$6,'New Resources - Individual'!$F23:$Y23)</f>
        <v>0</v>
      </c>
      <c r="V23" s="3589">
        <f>SUMIF('New Resources - Individual'!$F$6:$Y$6,V$6,'New Resources - Individual'!$F23:$Y23)</f>
        <v>0</v>
      </c>
      <c r="W23" s="3589">
        <f>SUMIF('New Resources - Individual'!$F$6:$Y$6,W$6,'New Resources - Individual'!$F23:$Y23)</f>
        <v>0</v>
      </c>
      <c r="X23" s="3589">
        <f>SUMIF('New Resources - Individual'!$F$6:$Y$6,X$6,'New Resources - Individual'!$F23:$Y23)</f>
        <v>0</v>
      </c>
      <c r="Y23" s="3590">
        <f>SUMIF('New Resources - Individual'!$F$6:$Y$6,Y$6,'New Resources - Individual'!$F23:$Y23)</f>
        <v>0</v>
      </c>
      <c r="AG23" s="3564"/>
      <c r="AH23" s="3564"/>
    </row>
    <row r="24" spans="1:34">
      <c r="A24" s="3175">
        <v>270</v>
      </c>
      <c r="B24" s="3176" t="s">
        <v>79</v>
      </c>
      <c r="C24" s="3177">
        <v>154</v>
      </c>
      <c r="D24" s="3177"/>
      <c r="E24" s="3178"/>
      <c r="F24" s="3586">
        <f>SUMIF('New Resources - Individual'!$F$6:$Y$6,F$6,'New Resources - Individual'!$F24:$Y24)</f>
        <v>0</v>
      </c>
      <c r="G24" s="3586">
        <f>SUMIF('New Resources - Individual'!$F$6:$Y$6,G$6,'New Resources - Individual'!$F24:$Y24)</f>
        <v>0</v>
      </c>
      <c r="H24" s="3586">
        <f>SUMIF('New Resources - Individual'!$F$6:$Y$6,H$6,'New Resources - Individual'!$F24:$Y24)</f>
        <v>0</v>
      </c>
      <c r="I24" s="3586">
        <f>SUMIF('New Resources - Individual'!$F$6:$Y$6,I$6,'New Resources - Individual'!$F24:$Y24)</f>
        <v>0</v>
      </c>
      <c r="J24" s="3589">
        <f>SUMIF('New Resources - Individual'!$F$6:$Y$6,J$6,'New Resources - Individual'!$F24:$Y24)</f>
        <v>0</v>
      </c>
      <c r="K24" s="3589">
        <f>SUMIF('New Resources - Individual'!$F$6:$Y$6,K$6,'New Resources - Individual'!$F24:$Y24)</f>
        <v>0</v>
      </c>
      <c r="L24" s="3589">
        <f>SUMIF('New Resources - Individual'!$F$6:$Y$6,L$6,'New Resources - Individual'!$F24:$Y24)</f>
        <v>0</v>
      </c>
      <c r="M24" s="3589">
        <f>SUMIF('New Resources - Individual'!$F$6:$Y$6,M$6,'New Resources - Individual'!$F24:$Y24)</f>
        <v>0</v>
      </c>
      <c r="N24" s="3589">
        <f>SUMIF('New Resources - Individual'!$F$6:$Y$6,N$6,'New Resources - Individual'!$F24:$Y24)</f>
        <v>0</v>
      </c>
      <c r="O24" s="3589">
        <f>SUMIF('New Resources - Individual'!$F$6:$Y$6,O$6,'New Resources - Individual'!$F24:$Y24)</f>
        <v>0</v>
      </c>
      <c r="P24" s="3589">
        <f>SUMIF('New Resources - Individual'!$F$6:$Y$6,P$6,'New Resources - Individual'!$F24:$Y24)</f>
        <v>0</v>
      </c>
      <c r="Q24" s="3589">
        <f>SUMIF('New Resources - Individual'!$F$6:$Y$6,Q$6,'New Resources - Individual'!$F24:$Y24)</f>
        <v>0</v>
      </c>
      <c r="R24" s="3589">
        <f>SUMIF('New Resources - Individual'!$F$6:$Y$6,R$6,'New Resources - Individual'!$F24:$Y24)</f>
        <v>0</v>
      </c>
      <c r="S24" s="3589">
        <f>SUMIF('New Resources - Individual'!$F$6:$Y$6,S$6,'New Resources - Individual'!$F24:$Y24)</f>
        <v>0</v>
      </c>
      <c r="T24" s="3589">
        <f>SUMIF('New Resources - Individual'!$F$6:$Y$6,T$6,'New Resources - Individual'!$F24:$Y24)</f>
        <v>0</v>
      </c>
      <c r="U24" s="3589">
        <f>SUMIF('New Resources - Individual'!$F$6:$Y$6,U$6,'New Resources - Individual'!$F24:$Y24)</f>
        <v>0</v>
      </c>
      <c r="V24" s="3589">
        <f>SUMIF('New Resources - Individual'!$F$6:$Y$6,V$6,'New Resources - Individual'!$F24:$Y24)</f>
        <v>0</v>
      </c>
      <c r="W24" s="3589">
        <f>SUMIF('New Resources - Individual'!$F$6:$Y$6,W$6,'New Resources - Individual'!$F24:$Y24)</f>
        <v>0</v>
      </c>
      <c r="X24" s="3589">
        <f>SUMIF('New Resources - Individual'!$F$6:$Y$6,X$6,'New Resources - Individual'!$F24:$Y24)</f>
        <v>0</v>
      </c>
      <c r="Y24" s="3590">
        <f>SUMIF('New Resources - Individual'!$F$6:$Y$6,Y$6,'New Resources - Individual'!$F24:$Y24)</f>
        <v>0</v>
      </c>
      <c r="AG24" s="3564"/>
      <c r="AH24" s="3564"/>
    </row>
    <row r="25" spans="1:34">
      <c r="A25" s="3175">
        <v>280</v>
      </c>
      <c r="B25" s="3181" t="s">
        <v>595</v>
      </c>
      <c r="C25" s="3182"/>
      <c r="D25" s="3182"/>
      <c r="E25" s="3174"/>
      <c r="F25" s="3591"/>
      <c r="G25" s="3591"/>
      <c r="H25" s="3174"/>
      <c r="I25" s="3591"/>
      <c r="J25" s="3591"/>
      <c r="K25" s="3591"/>
      <c r="L25" s="3591"/>
      <c r="M25" s="3591"/>
      <c r="N25" s="3591"/>
      <c r="O25" s="3591"/>
      <c r="P25" s="3591"/>
      <c r="Q25" s="3591"/>
      <c r="R25" s="3591"/>
      <c r="S25" s="3591"/>
      <c r="T25" s="3591"/>
      <c r="U25" s="3591"/>
      <c r="V25" s="3591"/>
      <c r="W25" s="3591"/>
      <c r="X25" s="3591"/>
      <c r="Y25" s="3592"/>
      <c r="AG25" s="3564"/>
      <c r="AH25" s="3564"/>
    </row>
    <row r="26" spans="1:34">
      <c r="A26" s="3175">
        <v>290</v>
      </c>
      <c r="B26" s="3186" t="s">
        <v>8382</v>
      </c>
      <c r="C26" s="3177">
        <v>518</v>
      </c>
      <c r="D26" s="3177"/>
      <c r="E26" s="3185"/>
      <c r="F26" s="3586">
        <f>SUMIF('New Resources - Individual'!$F$6:$Y$6,F$6,'New Resources - Individual'!$F26:$Y26)</f>
        <v>0</v>
      </c>
      <c r="G26" s="3586">
        <f>SUMIF('New Resources - Individual'!$F$6:$Y$6,G$6,'New Resources - Individual'!$F26:$Y26)</f>
        <v>0</v>
      </c>
      <c r="H26" s="3586">
        <f>SUMIF('New Resources - Individual'!$F$6:$Y$6,H$6,'New Resources - Individual'!$F26:$Y26)</f>
        <v>0</v>
      </c>
      <c r="I26" s="3586">
        <f>SUMIF('New Resources - Individual'!$F$6:$Y$6,I$6,'New Resources - Individual'!$F26:$Y26)</f>
        <v>0</v>
      </c>
      <c r="J26" s="3589">
        <f>SUMIF('New Resources - Individual'!$F$6:$Y$6,J$6,'New Resources - Individual'!$F26:$Y26)</f>
        <v>0</v>
      </c>
      <c r="K26" s="3589">
        <f>SUMIF('New Resources - Individual'!$F$6:$Y$6,K$6,'New Resources - Individual'!$F26:$Y26)</f>
        <v>0</v>
      </c>
      <c r="L26" s="3589">
        <f>SUMIF('New Resources - Individual'!$F$6:$Y$6,L$6,'New Resources - Individual'!$F26:$Y26)</f>
        <v>0</v>
      </c>
      <c r="M26" s="3589">
        <f>SUMIF('New Resources - Individual'!$F$6:$Y$6,M$6,'New Resources - Individual'!$F26:$Y26)</f>
        <v>0</v>
      </c>
      <c r="N26" s="3589">
        <f>SUMIF('New Resources - Individual'!$F$6:$Y$6,N$6,'New Resources - Individual'!$F26:$Y26)</f>
        <v>0</v>
      </c>
      <c r="O26" s="3589">
        <f>SUMIF('New Resources - Individual'!$F$6:$Y$6,O$6,'New Resources - Individual'!$F26:$Y26)</f>
        <v>0</v>
      </c>
      <c r="P26" s="3589">
        <f>SUMIF('New Resources - Individual'!$F$6:$Y$6,P$6,'New Resources - Individual'!$F26:$Y26)</f>
        <v>0</v>
      </c>
      <c r="Q26" s="3589">
        <f>SUMIF('New Resources - Individual'!$F$6:$Y$6,Q$6,'New Resources - Individual'!$F26:$Y26)</f>
        <v>0</v>
      </c>
      <c r="R26" s="3589">
        <f>SUMIF('New Resources - Individual'!$F$6:$Y$6,R$6,'New Resources - Individual'!$F26:$Y26)</f>
        <v>0</v>
      </c>
      <c r="S26" s="3589">
        <f>SUMIF('New Resources - Individual'!$F$6:$Y$6,S$6,'New Resources - Individual'!$F26:$Y26)</f>
        <v>0</v>
      </c>
      <c r="T26" s="3589">
        <f>SUMIF('New Resources - Individual'!$F$6:$Y$6,T$6,'New Resources - Individual'!$F26:$Y26)</f>
        <v>0</v>
      </c>
      <c r="U26" s="3589">
        <f>SUMIF('New Resources - Individual'!$F$6:$Y$6,U$6,'New Resources - Individual'!$F26:$Y26)</f>
        <v>0</v>
      </c>
      <c r="V26" s="3589">
        <f>SUMIF('New Resources - Individual'!$F$6:$Y$6,V$6,'New Resources - Individual'!$F26:$Y26)</f>
        <v>0</v>
      </c>
      <c r="W26" s="3589">
        <f>SUMIF('New Resources - Individual'!$F$6:$Y$6,W$6,'New Resources - Individual'!$F26:$Y26)</f>
        <v>0</v>
      </c>
      <c r="X26" s="3589">
        <f>SUMIF('New Resources - Individual'!$F$6:$Y$6,X$6,'New Resources - Individual'!$F26:$Y26)</f>
        <v>0</v>
      </c>
      <c r="Y26" s="3590">
        <f>SUMIF('New Resources - Individual'!$F$6:$Y$6,Y$6,'New Resources - Individual'!$F26:$Y26)</f>
        <v>0</v>
      </c>
      <c r="AG26" s="3564"/>
      <c r="AH26" s="3564"/>
    </row>
    <row r="27" spans="1:34">
      <c r="A27" s="3175">
        <v>300</v>
      </c>
      <c r="B27" s="3186" t="s">
        <v>262</v>
      </c>
      <c r="C27" s="3177" t="s">
        <v>452</v>
      </c>
      <c r="D27" s="3177"/>
      <c r="E27" s="3185"/>
      <c r="F27" s="3586">
        <f>SUMIF('New Resources - Individual'!$F$6:$Y$6,F$6,'New Resources - Individual'!$F27:$Y27)</f>
        <v>0</v>
      </c>
      <c r="G27" s="3586">
        <f>SUMIF('New Resources - Individual'!$F$6:$Y$6,G$6,'New Resources - Individual'!$F27:$Y27)</f>
        <v>0</v>
      </c>
      <c r="H27" s="3586">
        <f>SUMIF('New Resources - Individual'!$F$6:$Y$6,H$6,'New Resources - Individual'!$F27:$Y27)</f>
        <v>0</v>
      </c>
      <c r="I27" s="3586">
        <f>SUMIF('New Resources - Individual'!$F$6:$Y$6,I$6,'New Resources - Individual'!$F27:$Y27)</f>
        <v>0</v>
      </c>
      <c r="J27" s="3589">
        <f>SUMIF('New Resources - Individual'!$F$6:$Y$6,J$6,'New Resources - Individual'!$F27:$Y27)</f>
        <v>0</v>
      </c>
      <c r="K27" s="3589">
        <f>SUMIF('New Resources - Individual'!$F$6:$Y$6,K$6,'New Resources - Individual'!$F27:$Y27)</f>
        <v>0</v>
      </c>
      <c r="L27" s="3589">
        <f>SUMIF('New Resources - Individual'!$F$6:$Y$6,L$6,'New Resources - Individual'!$F27:$Y27)</f>
        <v>0</v>
      </c>
      <c r="M27" s="3589">
        <f>SUMIF('New Resources - Individual'!$F$6:$Y$6,M$6,'New Resources - Individual'!$F27:$Y27)</f>
        <v>0</v>
      </c>
      <c r="N27" s="3589">
        <f>SUMIF('New Resources - Individual'!$F$6:$Y$6,N$6,'New Resources - Individual'!$F27:$Y27)</f>
        <v>0</v>
      </c>
      <c r="O27" s="3589">
        <f>SUMIF('New Resources - Individual'!$F$6:$Y$6,O$6,'New Resources - Individual'!$F27:$Y27)</f>
        <v>0</v>
      </c>
      <c r="P27" s="3589">
        <f>SUMIF('New Resources - Individual'!$F$6:$Y$6,P$6,'New Resources - Individual'!$F27:$Y27)</f>
        <v>0</v>
      </c>
      <c r="Q27" s="3589">
        <f>SUMIF('New Resources - Individual'!$F$6:$Y$6,Q$6,'New Resources - Individual'!$F27:$Y27)</f>
        <v>0</v>
      </c>
      <c r="R27" s="3589">
        <f>SUMIF('New Resources - Individual'!$F$6:$Y$6,R$6,'New Resources - Individual'!$F27:$Y27)</f>
        <v>0</v>
      </c>
      <c r="S27" s="3589">
        <f>SUMIF('New Resources - Individual'!$F$6:$Y$6,S$6,'New Resources - Individual'!$F27:$Y27)</f>
        <v>0</v>
      </c>
      <c r="T27" s="3589">
        <f>SUMIF('New Resources - Individual'!$F$6:$Y$6,T$6,'New Resources - Individual'!$F27:$Y27)</f>
        <v>0</v>
      </c>
      <c r="U27" s="3589">
        <f>SUMIF('New Resources - Individual'!$F$6:$Y$6,U$6,'New Resources - Individual'!$F27:$Y27)</f>
        <v>0</v>
      </c>
      <c r="V27" s="3589">
        <f>SUMIF('New Resources - Individual'!$F$6:$Y$6,V$6,'New Resources - Individual'!$F27:$Y27)</f>
        <v>0</v>
      </c>
      <c r="W27" s="3589">
        <f>SUMIF('New Resources - Individual'!$F$6:$Y$6,W$6,'New Resources - Individual'!$F27:$Y27)</f>
        <v>0</v>
      </c>
      <c r="X27" s="3589">
        <f>SUMIF('New Resources - Individual'!$F$6:$Y$6,X$6,'New Resources - Individual'!$F27:$Y27)</f>
        <v>0</v>
      </c>
      <c r="Y27" s="3590">
        <f>SUMIF('New Resources - Individual'!$F$6:$Y$6,Y$6,'New Resources - Individual'!$F27:$Y27)</f>
        <v>0</v>
      </c>
      <c r="AG27" s="3564"/>
      <c r="AH27" s="3564"/>
    </row>
    <row r="28" spans="1:34">
      <c r="A28" s="3175">
        <v>310</v>
      </c>
      <c r="B28" s="3186" t="s">
        <v>478</v>
      </c>
      <c r="C28" s="3177" t="s">
        <v>479</v>
      </c>
      <c r="D28" s="3177"/>
      <c r="E28" s="3185"/>
      <c r="F28" s="3586">
        <f>SUMIF('New Resources - Individual'!$F$6:$Y$6,F$6,'New Resources - Individual'!$F28:$Y28)</f>
        <v>0</v>
      </c>
      <c r="G28" s="3586">
        <f>SUMIF('New Resources - Individual'!$F$6:$Y$6,G$6,'New Resources - Individual'!$F28:$Y28)</f>
        <v>0</v>
      </c>
      <c r="H28" s="3586">
        <f>SUMIF('New Resources - Individual'!$F$6:$Y$6,H$6,'New Resources - Individual'!$F28:$Y28)</f>
        <v>0</v>
      </c>
      <c r="I28" s="3586">
        <f>SUMIF('New Resources - Individual'!$F$6:$Y$6,I$6,'New Resources - Individual'!$F28:$Y28)</f>
        <v>0</v>
      </c>
      <c r="J28" s="3589">
        <f>SUMIF('New Resources - Individual'!$F$6:$Y$6,J$6,'New Resources - Individual'!$F28:$Y28)</f>
        <v>0</v>
      </c>
      <c r="K28" s="3589">
        <f>SUMIF('New Resources - Individual'!$F$6:$Y$6,K$6,'New Resources - Individual'!$F28:$Y28)</f>
        <v>0</v>
      </c>
      <c r="L28" s="3589">
        <f>SUMIF('New Resources - Individual'!$F$6:$Y$6,L$6,'New Resources - Individual'!$F28:$Y28)</f>
        <v>0</v>
      </c>
      <c r="M28" s="3589">
        <f>SUMIF('New Resources - Individual'!$F$6:$Y$6,M$6,'New Resources - Individual'!$F28:$Y28)</f>
        <v>0</v>
      </c>
      <c r="N28" s="3589">
        <f>SUMIF('New Resources - Individual'!$F$6:$Y$6,N$6,'New Resources - Individual'!$F28:$Y28)</f>
        <v>0</v>
      </c>
      <c r="O28" s="3589">
        <f>SUMIF('New Resources - Individual'!$F$6:$Y$6,O$6,'New Resources - Individual'!$F28:$Y28)</f>
        <v>0</v>
      </c>
      <c r="P28" s="3589">
        <f>SUMIF('New Resources - Individual'!$F$6:$Y$6,P$6,'New Resources - Individual'!$F28:$Y28)</f>
        <v>0</v>
      </c>
      <c r="Q28" s="3589">
        <f>SUMIF('New Resources - Individual'!$F$6:$Y$6,Q$6,'New Resources - Individual'!$F28:$Y28)</f>
        <v>0</v>
      </c>
      <c r="R28" s="3589">
        <f>SUMIF('New Resources - Individual'!$F$6:$Y$6,R$6,'New Resources - Individual'!$F28:$Y28)</f>
        <v>0</v>
      </c>
      <c r="S28" s="3589">
        <f>SUMIF('New Resources - Individual'!$F$6:$Y$6,S$6,'New Resources - Individual'!$F28:$Y28)</f>
        <v>0</v>
      </c>
      <c r="T28" s="3589">
        <f>SUMIF('New Resources - Individual'!$F$6:$Y$6,T$6,'New Resources - Individual'!$F28:$Y28)</f>
        <v>0</v>
      </c>
      <c r="U28" s="3589">
        <f>SUMIF('New Resources - Individual'!$F$6:$Y$6,U$6,'New Resources - Individual'!$F28:$Y28)</f>
        <v>0</v>
      </c>
      <c r="V28" s="3589">
        <f>SUMIF('New Resources - Individual'!$F$6:$Y$6,V$6,'New Resources - Individual'!$F28:$Y28)</f>
        <v>0</v>
      </c>
      <c r="W28" s="3589">
        <f>SUMIF('New Resources - Individual'!$F$6:$Y$6,W$6,'New Resources - Individual'!$F28:$Y28)</f>
        <v>0</v>
      </c>
      <c r="X28" s="3589">
        <f>SUMIF('New Resources - Individual'!$F$6:$Y$6,X$6,'New Resources - Individual'!$F28:$Y28)</f>
        <v>0</v>
      </c>
      <c r="Y28" s="3590">
        <f>SUMIF('New Resources - Individual'!$F$6:$Y$6,Y$6,'New Resources - Individual'!$F28:$Y28)</f>
        <v>0</v>
      </c>
      <c r="AG28" s="3564"/>
      <c r="AH28" s="3564"/>
    </row>
    <row r="29" spans="1:34">
      <c r="A29" s="3175">
        <v>320</v>
      </c>
      <c r="B29" s="3186" t="s">
        <v>167</v>
      </c>
      <c r="C29" s="3177">
        <v>924</v>
      </c>
      <c r="D29" s="3177"/>
      <c r="E29" s="3185"/>
      <c r="F29" s="3586">
        <f>SUMIF('New Resources - Individual'!$F$6:$Y$6,F$6,'New Resources - Individual'!$F29:$Y29)</f>
        <v>0</v>
      </c>
      <c r="G29" s="3586">
        <f>SUMIF('New Resources - Individual'!$F$6:$Y$6,G$6,'New Resources - Individual'!$F29:$Y29)</f>
        <v>0</v>
      </c>
      <c r="H29" s="3586">
        <f>SUMIF('New Resources - Individual'!$F$6:$Y$6,H$6,'New Resources - Individual'!$F29:$Y29)</f>
        <v>0</v>
      </c>
      <c r="I29" s="3586">
        <f>SUMIF('New Resources - Individual'!$F$6:$Y$6,I$6,'New Resources - Individual'!$F29:$Y29)</f>
        <v>0</v>
      </c>
      <c r="J29" s="3589">
        <f>SUMIF('New Resources - Individual'!$F$6:$Y$6,J$6,'New Resources - Individual'!$F29:$Y29)</f>
        <v>0</v>
      </c>
      <c r="K29" s="3589">
        <f>SUMIF('New Resources - Individual'!$F$6:$Y$6,K$6,'New Resources - Individual'!$F29:$Y29)</f>
        <v>0</v>
      </c>
      <c r="L29" s="3589">
        <f>SUMIF('New Resources - Individual'!$F$6:$Y$6,L$6,'New Resources - Individual'!$F29:$Y29)</f>
        <v>0</v>
      </c>
      <c r="M29" s="3589">
        <f>SUMIF('New Resources - Individual'!$F$6:$Y$6,M$6,'New Resources - Individual'!$F29:$Y29)</f>
        <v>0</v>
      </c>
      <c r="N29" s="3589">
        <f>SUMIF('New Resources - Individual'!$F$6:$Y$6,N$6,'New Resources - Individual'!$F29:$Y29)</f>
        <v>0</v>
      </c>
      <c r="O29" s="3589">
        <f>SUMIF('New Resources - Individual'!$F$6:$Y$6,O$6,'New Resources - Individual'!$F29:$Y29)</f>
        <v>0</v>
      </c>
      <c r="P29" s="3589">
        <f>SUMIF('New Resources - Individual'!$F$6:$Y$6,P$6,'New Resources - Individual'!$F29:$Y29)</f>
        <v>0</v>
      </c>
      <c r="Q29" s="3589">
        <f>SUMIF('New Resources - Individual'!$F$6:$Y$6,Q$6,'New Resources - Individual'!$F29:$Y29)</f>
        <v>0</v>
      </c>
      <c r="R29" s="3589">
        <f>SUMIF('New Resources - Individual'!$F$6:$Y$6,R$6,'New Resources - Individual'!$F29:$Y29)</f>
        <v>0</v>
      </c>
      <c r="S29" s="3589">
        <f>SUMIF('New Resources - Individual'!$F$6:$Y$6,S$6,'New Resources - Individual'!$F29:$Y29)</f>
        <v>0</v>
      </c>
      <c r="T29" s="3589">
        <f>SUMIF('New Resources - Individual'!$F$6:$Y$6,T$6,'New Resources - Individual'!$F29:$Y29)</f>
        <v>0</v>
      </c>
      <c r="U29" s="3589">
        <f>SUMIF('New Resources - Individual'!$F$6:$Y$6,U$6,'New Resources - Individual'!$F29:$Y29)</f>
        <v>0</v>
      </c>
      <c r="V29" s="3589">
        <f>SUMIF('New Resources - Individual'!$F$6:$Y$6,V$6,'New Resources - Individual'!$F29:$Y29)</f>
        <v>0</v>
      </c>
      <c r="W29" s="3589">
        <f>SUMIF('New Resources - Individual'!$F$6:$Y$6,W$6,'New Resources - Individual'!$F29:$Y29)</f>
        <v>0</v>
      </c>
      <c r="X29" s="3589">
        <f>SUMIF('New Resources - Individual'!$F$6:$Y$6,X$6,'New Resources - Individual'!$F29:$Y29)</f>
        <v>0</v>
      </c>
      <c r="Y29" s="3590">
        <f>SUMIF('New Resources - Individual'!$F$6:$Y$6,Y$6,'New Resources - Individual'!$F29:$Y29)</f>
        <v>0</v>
      </c>
      <c r="AG29" s="3564"/>
      <c r="AH29" s="3564"/>
    </row>
    <row r="30" spans="1:34">
      <c r="A30" s="3175">
        <v>330</v>
      </c>
      <c r="B30" s="3186" t="s">
        <v>589</v>
      </c>
      <c r="C30" s="3177">
        <v>403</v>
      </c>
      <c r="D30" s="3177" t="s">
        <v>590</v>
      </c>
      <c r="E30" s="3185"/>
      <c r="F30" s="3586">
        <f>SUMIF('New Resources - Individual'!$F$6:$Y$6,F$6,'New Resources - Individual'!$F30:$Y30)</f>
        <v>0</v>
      </c>
      <c r="G30" s="3586">
        <f>SUMIF('New Resources - Individual'!$F$6:$Y$6,G$6,'New Resources - Individual'!$F30:$Y30)</f>
        <v>0</v>
      </c>
      <c r="H30" s="3586">
        <f>SUMIF('New Resources - Individual'!$F$6:$Y$6,H$6,'New Resources - Individual'!$F30:$Y30)</f>
        <v>0</v>
      </c>
      <c r="I30" s="3586">
        <f>SUMIF('New Resources - Individual'!$F$6:$Y$6,I$6,'New Resources - Individual'!$F30:$Y30)</f>
        <v>0</v>
      </c>
      <c r="J30" s="3589">
        <f>SUMIF('New Resources - Individual'!$F$6:$Y$6,J$6,'New Resources - Individual'!$F30:$Y30)</f>
        <v>0</v>
      </c>
      <c r="K30" s="3589">
        <f>SUMIF('New Resources - Individual'!$F$6:$Y$6,K$6,'New Resources - Individual'!$F30:$Y30)</f>
        <v>0</v>
      </c>
      <c r="L30" s="3589">
        <f>SUMIF('New Resources - Individual'!$F$6:$Y$6,L$6,'New Resources - Individual'!$F30:$Y30)</f>
        <v>0</v>
      </c>
      <c r="M30" s="3589">
        <f>SUMIF('New Resources - Individual'!$F$6:$Y$6,M$6,'New Resources - Individual'!$F30:$Y30)</f>
        <v>0</v>
      </c>
      <c r="N30" s="3589">
        <f>SUMIF('New Resources - Individual'!$F$6:$Y$6,N$6,'New Resources - Individual'!$F30:$Y30)</f>
        <v>0</v>
      </c>
      <c r="O30" s="3589">
        <f>SUMIF('New Resources - Individual'!$F$6:$Y$6,O$6,'New Resources - Individual'!$F30:$Y30)</f>
        <v>0</v>
      </c>
      <c r="P30" s="3589">
        <f>SUMIF('New Resources - Individual'!$F$6:$Y$6,P$6,'New Resources - Individual'!$F30:$Y30)</f>
        <v>0</v>
      </c>
      <c r="Q30" s="3589">
        <f>SUMIF('New Resources - Individual'!$F$6:$Y$6,Q$6,'New Resources - Individual'!$F30:$Y30)</f>
        <v>0</v>
      </c>
      <c r="R30" s="3589">
        <f>SUMIF('New Resources - Individual'!$F$6:$Y$6,R$6,'New Resources - Individual'!$F30:$Y30)</f>
        <v>0</v>
      </c>
      <c r="S30" s="3589">
        <f>SUMIF('New Resources - Individual'!$F$6:$Y$6,S$6,'New Resources - Individual'!$F30:$Y30)</f>
        <v>0</v>
      </c>
      <c r="T30" s="3589">
        <f>SUMIF('New Resources - Individual'!$F$6:$Y$6,T$6,'New Resources - Individual'!$F30:$Y30)</f>
        <v>0</v>
      </c>
      <c r="U30" s="3589">
        <f>SUMIF('New Resources - Individual'!$F$6:$Y$6,U$6,'New Resources - Individual'!$F30:$Y30)</f>
        <v>0</v>
      </c>
      <c r="V30" s="3589">
        <f>SUMIF('New Resources - Individual'!$F$6:$Y$6,V$6,'New Resources - Individual'!$F30:$Y30)</f>
        <v>0</v>
      </c>
      <c r="W30" s="3589">
        <f>SUMIF('New Resources - Individual'!$F$6:$Y$6,W$6,'New Resources - Individual'!$F30:$Y30)</f>
        <v>0</v>
      </c>
      <c r="X30" s="3589">
        <f>SUMIF('New Resources - Individual'!$F$6:$Y$6,X$6,'New Resources - Individual'!$F30:$Y30)</f>
        <v>0</v>
      </c>
      <c r="Y30" s="3590">
        <f>SUMIF('New Resources - Individual'!$F$6:$Y$6,Y$6,'New Resources - Individual'!$F30:$Y30)</f>
        <v>0</v>
      </c>
      <c r="AG30" s="3564"/>
      <c r="AH30" s="3564"/>
    </row>
    <row r="31" spans="1:34">
      <c r="A31" s="3175">
        <v>340</v>
      </c>
      <c r="B31" s="3176" t="s">
        <v>591</v>
      </c>
      <c r="C31" s="3177">
        <v>447</v>
      </c>
      <c r="D31" s="3177" t="s">
        <v>592</v>
      </c>
      <c r="E31" s="3178"/>
      <c r="F31" s="3586">
        <f>SUMIF('New Resources - Individual'!$F$6:$Y$6,F$6,'New Resources - Individual'!$F31:$Y31)</f>
        <v>0</v>
      </c>
      <c r="G31" s="3586">
        <f>SUMIF('New Resources - Individual'!$F$6:$Y$6,G$6,'New Resources - Individual'!$F31:$Y31)</f>
        <v>0</v>
      </c>
      <c r="H31" s="3586">
        <f>SUMIF('New Resources - Individual'!$F$6:$Y$6,H$6,'New Resources - Individual'!$F31:$Y31)</f>
        <v>0</v>
      </c>
      <c r="I31" s="3586">
        <f>SUMIF('New Resources - Individual'!$F$6:$Y$6,I$6,'New Resources - Individual'!$F31:$Y31)</f>
        <v>0</v>
      </c>
      <c r="J31" s="3589">
        <f>SUMIF('New Resources - Individual'!$F$6:$Y$6,J$6,'New Resources - Individual'!$F31:$Y31)</f>
        <v>0</v>
      </c>
      <c r="K31" s="3589">
        <f>SUMIF('New Resources - Individual'!$F$6:$Y$6,K$6,'New Resources - Individual'!$F31:$Y31)</f>
        <v>0</v>
      </c>
      <c r="L31" s="3589">
        <f>SUMIF('New Resources - Individual'!$F$6:$Y$6,L$6,'New Resources - Individual'!$F31:$Y31)</f>
        <v>0</v>
      </c>
      <c r="M31" s="3589">
        <f>SUMIF('New Resources - Individual'!$F$6:$Y$6,M$6,'New Resources - Individual'!$F31:$Y31)</f>
        <v>0</v>
      </c>
      <c r="N31" s="3589">
        <f>SUMIF('New Resources - Individual'!$F$6:$Y$6,N$6,'New Resources - Individual'!$F31:$Y31)</f>
        <v>0</v>
      </c>
      <c r="O31" s="3589">
        <f>SUMIF('New Resources - Individual'!$F$6:$Y$6,O$6,'New Resources - Individual'!$F31:$Y31)</f>
        <v>0</v>
      </c>
      <c r="P31" s="3589">
        <f>SUMIF('New Resources - Individual'!$F$6:$Y$6,P$6,'New Resources - Individual'!$F31:$Y31)</f>
        <v>0</v>
      </c>
      <c r="Q31" s="3589">
        <f>SUMIF('New Resources - Individual'!$F$6:$Y$6,Q$6,'New Resources - Individual'!$F31:$Y31)</f>
        <v>0</v>
      </c>
      <c r="R31" s="3589">
        <f>SUMIF('New Resources - Individual'!$F$6:$Y$6,R$6,'New Resources - Individual'!$F31:$Y31)</f>
        <v>0</v>
      </c>
      <c r="S31" s="3589">
        <f>SUMIF('New Resources - Individual'!$F$6:$Y$6,S$6,'New Resources - Individual'!$F31:$Y31)</f>
        <v>0</v>
      </c>
      <c r="T31" s="3589">
        <f>SUMIF('New Resources - Individual'!$F$6:$Y$6,T$6,'New Resources - Individual'!$F31:$Y31)</f>
        <v>0</v>
      </c>
      <c r="U31" s="3589">
        <f>SUMIF('New Resources - Individual'!$F$6:$Y$6,U$6,'New Resources - Individual'!$F31:$Y31)</f>
        <v>0</v>
      </c>
      <c r="V31" s="3589">
        <f>SUMIF('New Resources - Individual'!$F$6:$Y$6,V$6,'New Resources - Individual'!$F31:$Y31)</f>
        <v>0</v>
      </c>
      <c r="W31" s="3589">
        <f>SUMIF('New Resources - Individual'!$F$6:$Y$6,W$6,'New Resources - Individual'!$F31:$Y31)</f>
        <v>0</v>
      </c>
      <c r="X31" s="3589">
        <f>SUMIF('New Resources - Individual'!$F$6:$Y$6,X$6,'New Resources - Individual'!$F31:$Y31)</f>
        <v>0</v>
      </c>
      <c r="Y31" s="3590">
        <f>SUMIF('New Resources - Individual'!$F$6:$Y$6,Y$6,'New Resources - Individual'!$F31:$Y31)</f>
        <v>0</v>
      </c>
      <c r="AG31" s="3564"/>
      <c r="AH31" s="3564"/>
    </row>
    <row r="32" spans="1:34">
      <c r="A32" s="3175">
        <v>350</v>
      </c>
      <c r="B32" s="3179" t="s">
        <v>593</v>
      </c>
      <c r="C32" s="3180"/>
      <c r="D32" s="3177" t="s">
        <v>592</v>
      </c>
      <c r="E32" s="3178"/>
      <c r="F32" s="3586">
        <f>SUMIF('New Resources - Individual'!$F$6:$Y$6,F$6,'New Resources - Individual'!$F32:$Y32)</f>
        <v>0</v>
      </c>
      <c r="G32" s="3586">
        <f>SUMIF('New Resources - Individual'!$F$6:$Y$6,G$6,'New Resources - Individual'!$F32:$Y32)</f>
        <v>0</v>
      </c>
      <c r="H32" s="3586">
        <f>SUMIF('New Resources - Individual'!$F$6:$Y$6,H$6,'New Resources - Individual'!$F32:$Y32)</f>
        <v>0</v>
      </c>
      <c r="I32" s="3586">
        <f>SUMIF('New Resources - Individual'!$F$6:$Y$6,I$6,'New Resources - Individual'!$F32:$Y32)</f>
        <v>0</v>
      </c>
      <c r="J32" s="3589">
        <f>SUMIF('New Resources - Individual'!$F$6:$Y$6,J$6,'New Resources - Individual'!$F32:$Y32)</f>
        <v>0</v>
      </c>
      <c r="K32" s="3589">
        <f>SUMIF('New Resources - Individual'!$F$6:$Y$6,K$6,'New Resources - Individual'!$F32:$Y32)</f>
        <v>0</v>
      </c>
      <c r="L32" s="3589">
        <f>SUMIF('New Resources - Individual'!$F$6:$Y$6,L$6,'New Resources - Individual'!$F32:$Y32)</f>
        <v>0</v>
      </c>
      <c r="M32" s="3589">
        <f>SUMIF('New Resources - Individual'!$F$6:$Y$6,M$6,'New Resources - Individual'!$F32:$Y32)</f>
        <v>0</v>
      </c>
      <c r="N32" s="3589">
        <f>SUMIF('New Resources - Individual'!$F$6:$Y$6,N$6,'New Resources - Individual'!$F32:$Y32)</f>
        <v>0</v>
      </c>
      <c r="O32" s="3589">
        <f>SUMIF('New Resources - Individual'!$F$6:$Y$6,O$6,'New Resources - Individual'!$F32:$Y32)</f>
        <v>0</v>
      </c>
      <c r="P32" s="3589">
        <f>SUMIF('New Resources - Individual'!$F$6:$Y$6,P$6,'New Resources - Individual'!$F32:$Y32)</f>
        <v>0</v>
      </c>
      <c r="Q32" s="3589">
        <f>SUMIF('New Resources - Individual'!$F$6:$Y$6,Q$6,'New Resources - Individual'!$F32:$Y32)</f>
        <v>0</v>
      </c>
      <c r="R32" s="3589">
        <f>SUMIF('New Resources - Individual'!$F$6:$Y$6,R$6,'New Resources - Individual'!$F32:$Y32)</f>
        <v>0</v>
      </c>
      <c r="S32" s="3589">
        <f>SUMIF('New Resources - Individual'!$F$6:$Y$6,S$6,'New Resources - Individual'!$F32:$Y32)</f>
        <v>0</v>
      </c>
      <c r="T32" s="3589">
        <f>SUMIF('New Resources - Individual'!$F$6:$Y$6,T$6,'New Resources - Individual'!$F32:$Y32)</f>
        <v>0</v>
      </c>
      <c r="U32" s="3589">
        <f>SUMIF('New Resources - Individual'!$F$6:$Y$6,U$6,'New Resources - Individual'!$F32:$Y32)</f>
        <v>0</v>
      </c>
      <c r="V32" s="3589">
        <f>SUMIF('New Resources - Individual'!$F$6:$Y$6,V$6,'New Resources - Individual'!$F32:$Y32)</f>
        <v>0</v>
      </c>
      <c r="W32" s="3589">
        <f>SUMIF('New Resources - Individual'!$F$6:$Y$6,W$6,'New Resources - Individual'!$F32:$Y32)</f>
        <v>0</v>
      </c>
      <c r="X32" s="3589">
        <f>SUMIF('New Resources - Individual'!$F$6:$Y$6,X$6,'New Resources - Individual'!$F32:$Y32)</f>
        <v>0</v>
      </c>
      <c r="Y32" s="3590">
        <f>SUMIF('New Resources - Individual'!$F$6:$Y$6,Y$6,'New Resources - Individual'!$F32:$Y32)</f>
        <v>0</v>
      </c>
      <c r="AG32" s="3564"/>
      <c r="AH32" s="3564"/>
    </row>
    <row r="33" spans="1:34">
      <c r="A33" s="3175">
        <v>360</v>
      </c>
      <c r="B33" s="3176" t="s">
        <v>594</v>
      </c>
      <c r="C33" s="3177"/>
      <c r="D33" s="3177" t="s">
        <v>592</v>
      </c>
      <c r="E33" s="3178"/>
      <c r="F33" s="3593">
        <f>SUMIF('New Resources - Individual'!$F$6:$Y$6,F$6,'New Resources - Individual'!$F33:$Y33)</f>
        <v>0</v>
      </c>
      <c r="G33" s="3594">
        <f>SUMIF('New Resources - Individual'!$F$6:$Y$6,G$6,'New Resources - Individual'!$F33:$Y33)</f>
        <v>0</v>
      </c>
      <c r="H33" s="3594">
        <f>SUMIF('New Resources - Individual'!$F$6:$Y$6,H$6,'New Resources - Individual'!$F33:$Y33)</f>
        <v>0</v>
      </c>
      <c r="I33" s="3594">
        <f>SUMIF('New Resources - Individual'!$F$6:$Y$6,I$6,'New Resources - Individual'!$F33:$Y33)</f>
        <v>0</v>
      </c>
      <c r="J33" s="3594">
        <f>SUMIF('New Resources - Individual'!$F$6:$Y$6,J$6,'New Resources - Individual'!$F33:$Y33)</f>
        <v>0</v>
      </c>
      <c r="K33" s="3594">
        <f>SUMIF('New Resources - Individual'!$F$6:$Y$6,K$6,'New Resources - Individual'!$F33:$Y33)</f>
        <v>0</v>
      </c>
      <c r="L33" s="3594">
        <f>SUMIF('New Resources - Individual'!$F$6:$Y$6,L$6,'New Resources - Individual'!$F33:$Y33)</f>
        <v>0</v>
      </c>
      <c r="M33" s="3594">
        <f>SUMIF('New Resources - Individual'!$F$6:$Y$6,M$6,'New Resources - Individual'!$F33:$Y33)</f>
        <v>0</v>
      </c>
      <c r="N33" s="3594">
        <f>SUMIF('New Resources - Individual'!$F$6:$Y$6,N$6,'New Resources - Individual'!$F33:$Y33)</f>
        <v>0</v>
      </c>
      <c r="O33" s="3594">
        <f>SUMIF('New Resources - Individual'!$F$6:$Y$6,O$6,'New Resources - Individual'!$F33:$Y33)</f>
        <v>0</v>
      </c>
      <c r="P33" s="3594">
        <f>SUMIF('New Resources - Individual'!$F$6:$Y$6,P$6,'New Resources - Individual'!$F33:$Y33)</f>
        <v>0</v>
      </c>
      <c r="Q33" s="3594">
        <f>SUMIF('New Resources - Individual'!$F$6:$Y$6,Q$6,'New Resources - Individual'!$F33:$Y33)</f>
        <v>0</v>
      </c>
      <c r="R33" s="3594">
        <f>SUMIF('New Resources - Individual'!$F$6:$Y$6,R$6,'New Resources - Individual'!$F33:$Y33)</f>
        <v>0</v>
      </c>
      <c r="S33" s="3594">
        <f>SUMIF('New Resources - Individual'!$F$6:$Y$6,S$6,'New Resources - Individual'!$F33:$Y33)</f>
        <v>0</v>
      </c>
      <c r="T33" s="3594">
        <f>SUMIF('New Resources - Individual'!$F$6:$Y$6,T$6,'New Resources - Individual'!$F33:$Y33)</f>
        <v>0</v>
      </c>
      <c r="U33" s="3594">
        <f>SUMIF('New Resources - Individual'!$F$6:$Y$6,U$6,'New Resources - Individual'!$F33:$Y33)</f>
        <v>0</v>
      </c>
      <c r="V33" s="3594">
        <f>SUMIF('New Resources - Individual'!$F$6:$Y$6,V$6,'New Resources - Individual'!$F33:$Y33)</f>
        <v>0</v>
      </c>
      <c r="W33" s="3594">
        <f>SUMIF('New Resources - Individual'!$F$6:$Y$6,W$6,'New Resources - Individual'!$F33:$Y33)</f>
        <v>0</v>
      </c>
      <c r="X33" s="3594">
        <f>SUMIF('New Resources - Individual'!$F$6:$Y$6,X$6,'New Resources - Individual'!$F33:$Y33)</f>
        <v>0</v>
      </c>
      <c r="Y33" s="3595">
        <f>SUMIF('New Resources - Individual'!$F$6:$Y$6,Y$6,'New Resources - Individual'!$F33:$Y33)</f>
        <v>0</v>
      </c>
      <c r="AG33" s="3564"/>
      <c r="AH33" s="3564"/>
    </row>
    <row r="34" spans="1:34">
      <c r="A34" s="3175">
        <v>370</v>
      </c>
      <c r="B34" s="3181" t="s">
        <v>596</v>
      </c>
      <c r="C34" s="3182"/>
      <c r="D34" s="3182"/>
      <c r="E34" s="3174"/>
      <c r="F34" s="3187"/>
      <c r="G34" s="3187"/>
      <c r="H34" s="3187"/>
      <c r="I34" s="3187"/>
      <c r="J34" s="3187"/>
      <c r="K34" s="3187"/>
      <c r="L34" s="3187"/>
      <c r="M34" s="3187"/>
      <c r="N34" s="3187"/>
      <c r="O34" s="3187"/>
      <c r="P34" s="3187"/>
      <c r="Q34" s="3187"/>
      <c r="R34" s="3187"/>
      <c r="S34" s="3187"/>
      <c r="T34" s="3187"/>
      <c r="U34" s="3187"/>
      <c r="V34" s="3187"/>
      <c r="W34" s="3187"/>
      <c r="X34" s="3187"/>
      <c r="Y34" s="3188"/>
      <c r="AG34" s="3564"/>
      <c r="AH34" s="3564"/>
    </row>
    <row r="35" spans="1:34">
      <c r="A35" s="3175">
        <v>380</v>
      </c>
      <c r="B35" s="3176" t="s">
        <v>115</v>
      </c>
      <c r="C35" s="3177" t="s">
        <v>116</v>
      </c>
      <c r="D35" s="3177"/>
      <c r="E35" s="3178"/>
      <c r="F35" s="3586">
        <f>SUMIF('New Resources - Individual'!$F$6:$Y$6,F$6,'New Resources - Individual'!$F35:$Y35)</f>
        <v>0</v>
      </c>
      <c r="G35" s="3586">
        <f>SUMIF('New Resources - Individual'!$F$6:$Y$6,G$6,'New Resources - Individual'!$F35:$Y35)</f>
        <v>0</v>
      </c>
      <c r="H35" s="3586">
        <f>SUMIF('New Resources - Individual'!$F$6:$Y$6,H$6,'New Resources - Individual'!$F35:$Y35)</f>
        <v>0</v>
      </c>
      <c r="I35" s="3586">
        <f>SUMIF('New Resources - Individual'!$F$6:$Y$6,I$6,'New Resources - Individual'!$F35:$Y35)</f>
        <v>0</v>
      </c>
      <c r="J35" s="3586">
        <f>SUMIF('New Resources - Individual'!$F$6:$Y$6,J$6,'New Resources - Individual'!$F35:$Y35)</f>
        <v>0</v>
      </c>
      <c r="K35" s="3586">
        <f>SUMIF('New Resources - Individual'!$F$6:$Y$6,K$6,'New Resources - Individual'!$F35:$Y35)</f>
        <v>0</v>
      </c>
      <c r="L35" s="3586">
        <f>SUMIF('New Resources - Individual'!$F$6:$Y$6,L$6,'New Resources - Individual'!$F35:$Y35)</f>
        <v>0</v>
      </c>
      <c r="M35" s="3586">
        <f>SUMIF('New Resources - Individual'!$F$6:$Y$6,M$6,'New Resources - Individual'!$F35:$Y35)</f>
        <v>0</v>
      </c>
      <c r="N35" s="3586">
        <f>SUMIF('New Resources - Individual'!$F$6:$Y$6,N$6,'New Resources - Individual'!$F35:$Y35)</f>
        <v>0</v>
      </c>
      <c r="O35" s="3589">
        <f>SUMIF('New Resources - Individual'!$F$6:$Y$6,O$6,'New Resources - Individual'!$F35:$Y35)</f>
        <v>0</v>
      </c>
      <c r="P35" s="3589">
        <f>SUMIF('New Resources - Individual'!$F$6:$Y$6,P$6,'New Resources - Individual'!$F35:$Y35)</f>
        <v>0</v>
      </c>
      <c r="Q35" s="3589">
        <f>SUMIF('New Resources - Individual'!$F$6:$Y$6,Q$6,'New Resources - Individual'!$F35:$Y35)</f>
        <v>0</v>
      </c>
      <c r="R35" s="3589">
        <f>SUMIF('New Resources - Individual'!$F$6:$Y$6,R$6,'New Resources - Individual'!$F35:$Y35)</f>
        <v>0</v>
      </c>
      <c r="S35" s="3589">
        <f>SUMIF('New Resources - Individual'!$F$6:$Y$6,S$6,'New Resources - Individual'!$F35:$Y35)</f>
        <v>0</v>
      </c>
      <c r="T35" s="3589">
        <f>SUMIF('New Resources - Individual'!$F$6:$Y$6,T$6,'New Resources - Individual'!$F35:$Y35)</f>
        <v>0</v>
      </c>
      <c r="U35" s="3589">
        <f>SUMIF('New Resources - Individual'!$F$6:$Y$6,U$6,'New Resources - Individual'!$F35:$Y35)</f>
        <v>0</v>
      </c>
      <c r="V35" s="3589">
        <f>SUMIF('New Resources - Individual'!$F$6:$Y$6,V$6,'New Resources - Individual'!$F35:$Y35)</f>
        <v>0</v>
      </c>
      <c r="W35" s="3589">
        <f>SUMIF('New Resources - Individual'!$F$6:$Y$6,W$6,'New Resources - Individual'!$F35:$Y35)</f>
        <v>0</v>
      </c>
      <c r="X35" s="3589">
        <f>SUMIF('New Resources - Individual'!$F$6:$Y$6,X$6,'New Resources - Individual'!$F35:$Y35)</f>
        <v>0</v>
      </c>
      <c r="Y35" s="3590">
        <f>SUMIF('New Resources - Individual'!$F$6:$Y$6,Y$6,'New Resources - Individual'!$F35:$Y35)</f>
        <v>0</v>
      </c>
      <c r="AG35" s="3564"/>
      <c r="AH35" s="3564"/>
    </row>
    <row r="36" spans="1:34">
      <c r="A36" s="3175">
        <v>390</v>
      </c>
      <c r="B36" s="3179" t="s">
        <v>79</v>
      </c>
      <c r="C36" s="3177">
        <v>154</v>
      </c>
      <c r="D36" s="3177"/>
      <c r="E36" s="3178"/>
      <c r="F36" s="3586">
        <f>SUMIF('New Resources - Individual'!$F$6:$Y$6,F$6,'New Resources - Individual'!$F36:$Y36)</f>
        <v>0</v>
      </c>
      <c r="G36" s="3586">
        <f>SUMIF('New Resources - Individual'!$F$6:$Y$6,G$6,'New Resources - Individual'!$F36:$Y36)</f>
        <v>0</v>
      </c>
      <c r="H36" s="3589">
        <f>SUMIF('New Resources - Individual'!$F$6:$Y$6,H$6,'New Resources - Individual'!$F36:$Y36)</f>
        <v>0</v>
      </c>
      <c r="I36" s="3586">
        <f>SUMIF('New Resources - Individual'!$F$6:$Y$6,I$6,'New Resources - Individual'!$F36:$Y36)</f>
        <v>0</v>
      </c>
      <c r="J36" s="3589">
        <f>SUMIF('New Resources - Individual'!$F$6:$Y$6,J$6,'New Resources - Individual'!$F36:$Y36)</f>
        <v>0</v>
      </c>
      <c r="K36" s="3589">
        <f>SUMIF('New Resources - Individual'!$F$6:$Y$6,K$6,'New Resources - Individual'!$F36:$Y36)</f>
        <v>0</v>
      </c>
      <c r="L36" s="3589">
        <f>SUMIF('New Resources - Individual'!$F$6:$Y$6,L$6,'New Resources - Individual'!$F36:$Y36)</f>
        <v>0</v>
      </c>
      <c r="M36" s="3589">
        <f>SUMIF('New Resources - Individual'!$F$6:$Y$6,M$6,'New Resources - Individual'!$F36:$Y36)</f>
        <v>0</v>
      </c>
      <c r="N36" s="3589">
        <f>SUMIF('New Resources - Individual'!$F$6:$Y$6,N$6,'New Resources - Individual'!$F36:$Y36)</f>
        <v>0</v>
      </c>
      <c r="O36" s="3589">
        <f>SUMIF('New Resources - Individual'!$F$6:$Y$6,O$6,'New Resources - Individual'!$F36:$Y36)</f>
        <v>0</v>
      </c>
      <c r="P36" s="3589">
        <f>SUMIF('New Resources - Individual'!$F$6:$Y$6,P$6,'New Resources - Individual'!$F36:$Y36)</f>
        <v>0</v>
      </c>
      <c r="Q36" s="3589">
        <f>SUMIF('New Resources - Individual'!$F$6:$Y$6,Q$6,'New Resources - Individual'!$F36:$Y36)</f>
        <v>0</v>
      </c>
      <c r="R36" s="3589">
        <f>SUMIF('New Resources - Individual'!$F$6:$Y$6,R$6,'New Resources - Individual'!$F36:$Y36)</f>
        <v>0</v>
      </c>
      <c r="S36" s="3589">
        <f>SUMIF('New Resources - Individual'!$F$6:$Y$6,S$6,'New Resources - Individual'!$F36:$Y36)</f>
        <v>0</v>
      </c>
      <c r="T36" s="3589">
        <f>SUMIF('New Resources - Individual'!$F$6:$Y$6,T$6,'New Resources - Individual'!$F36:$Y36)</f>
        <v>0</v>
      </c>
      <c r="U36" s="3589">
        <f>SUMIF('New Resources - Individual'!$F$6:$Y$6,U$6,'New Resources - Individual'!$F36:$Y36)</f>
        <v>0</v>
      </c>
      <c r="V36" s="3589">
        <f>SUMIF('New Resources - Individual'!$F$6:$Y$6,V$6,'New Resources - Individual'!$F36:$Y36)</f>
        <v>0</v>
      </c>
      <c r="W36" s="3589">
        <f>SUMIF('New Resources - Individual'!$F$6:$Y$6,W$6,'New Resources - Individual'!$F36:$Y36)</f>
        <v>0</v>
      </c>
      <c r="X36" s="3589">
        <f>SUMIF('New Resources - Individual'!$F$6:$Y$6,X$6,'New Resources - Individual'!$F36:$Y36)</f>
        <v>0</v>
      </c>
      <c r="Y36" s="3590">
        <f>SUMIF('New Resources - Individual'!$F$6:$Y$6,Y$6,'New Resources - Individual'!$F36:$Y36)</f>
        <v>0</v>
      </c>
      <c r="AG36" s="3564"/>
      <c r="AH36" s="3564"/>
    </row>
    <row r="37" spans="1:34">
      <c r="A37" s="3175">
        <v>400</v>
      </c>
      <c r="B37" s="3181" t="s">
        <v>597</v>
      </c>
      <c r="C37" s="3182"/>
      <c r="D37" s="3182"/>
      <c r="E37" s="3174"/>
      <c r="F37" s="3591"/>
      <c r="G37" s="3591"/>
      <c r="H37" s="3591"/>
      <c r="I37" s="3591"/>
      <c r="J37" s="3591"/>
      <c r="K37" s="3591"/>
      <c r="L37" s="3591"/>
      <c r="M37" s="3591"/>
      <c r="N37" s="3591"/>
      <c r="O37" s="3591"/>
      <c r="P37" s="3591"/>
      <c r="Q37" s="3591"/>
      <c r="R37" s="3591"/>
      <c r="S37" s="3591"/>
      <c r="T37" s="3591"/>
      <c r="U37" s="3591"/>
      <c r="V37" s="3591"/>
      <c r="W37" s="3591"/>
      <c r="X37" s="3591"/>
      <c r="Y37" s="3592"/>
      <c r="AG37" s="3564"/>
      <c r="AH37" s="3564"/>
    </row>
    <row r="38" spans="1:34">
      <c r="A38" s="3175">
        <v>410</v>
      </c>
      <c r="B38" s="3183" t="s">
        <v>86</v>
      </c>
      <c r="C38" s="3177" t="s">
        <v>598</v>
      </c>
      <c r="D38" s="3177"/>
      <c r="E38" s="3185"/>
      <c r="F38" s="3586">
        <f>SUMIF('New Resources - Individual'!$F$6:$Y$6,F$6,'New Resources - Individual'!$F38:$Y38)</f>
        <v>0</v>
      </c>
      <c r="G38" s="3586">
        <f>SUMIF('New Resources - Individual'!$F$6:$Y$6,G$6,'New Resources - Individual'!$F38:$Y38)</f>
        <v>0</v>
      </c>
      <c r="H38" s="3589">
        <f>SUMIF('New Resources - Individual'!$F$6:$Y$6,H$6,'New Resources - Individual'!$F38:$Y38)</f>
        <v>0</v>
      </c>
      <c r="I38" s="3586">
        <f>SUMIF('New Resources - Individual'!$F$6:$Y$6,I$6,'New Resources - Individual'!$F38:$Y38)</f>
        <v>0</v>
      </c>
      <c r="J38" s="3589">
        <f>SUMIF('New Resources - Individual'!$F$6:$Y$6,J$6,'New Resources - Individual'!$F38:$Y38)</f>
        <v>0</v>
      </c>
      <c r="K38" s="3589">
        <f>SUMIF('New Resources - Individual'!$F$6:$Y$6,K$6,'New Resources - Individual'!$F38:$Y38)</f>
        <v>0</v>
      </c>
      <c r="L38" s="3589">
        <f>SUMIF('New Resources - Individual'!$F$6:$Y$6,L$6,'New Resources - Individual'!$F38:$Y38)</f>
        <v>0</v>
      </c>
      <c r="M38" s="3589">
        <f>SUMIF('New Resources - Individual'!$F$6:$Y$6,M$6,'New Resources - Individual'!$F38:$Y38)</f>
        <v>0</v>
      </c>
      <c r="N38" s="3589">
        <f>SUMIF('New Resources - Individual'!$F$6:$Y$6,N$6,'New Resources - Individual'!$F38:$Y38)</f>
        <v>0</v>
      </c>
      <c r="O38" s="3589">
        <f>SUMIF('New Resources - Individual'!$F$6:$Y$6,O$6,'New Resources - Individual'!$F38:$Y38)</f>
        <v>0</v>
      </c>
      <c r="P38" s="3589">
        <f>SUMIF('New Resources - Individual'!$F$6:$Y$6,P$6,'New Resources - Individual'!$F38:$Y38)</f>
        <v>0</v>
      </c>
      <c r="Q38" s="3589">
        <f>SUMIF('New Resources - Individual'!$F$6:$Y$6,Q$6,'New Resources - Individual'!$F38:$Y38)</f>
        <v>0</v>
      </c>
      <c r="R38" s="3589">
        <f>SUMIF('New Resources - Individual'!$F$6:$Y$6,R$6,'New Resources - Individual'!$F38:$Y38)</f>
        <v>0</v>
      </c>
      <c r="S38" s="3589">
        <f>SUMIF('New Resources - Individual'!$F$6:$Y$6,S$6,'New Resources - Individual'!$F38:$Y38)</f>
        <v>0</v>
      </c>
      <c r="T38" s="3589">
        <f>SUMIF('New Resources - Individual'!$F$6:$Y$6,T$6,'New Resources - Individual'!$F38:$Y38)</f>
        <v>0</v>
      </c>
      <c r="U38" s="3589">
        <f>SUMIF('New Resources - Individual'!$F$6:$Y$6,U$6,'New Resources - Individual'!$F38:$Y38)</f>
        <v>0</v>
      </c>
      <c r="V38" s="3589">
        <f>SUMIF('New Resources - Individual'!$F$6:$Y$6,V$6,'New Resources - Individual'!$F38:$Y38)</f>
        <v>0</v>
      </c>
      <c r="W38" s="3589">
        <f>SUMIF('New Resources - Individual'!$F$6:$Y$6,W$6,'New Resources - Individual'!$F38:$Y38)</f>
        <v>0</v>
      </c>
      <c r="X38" s="3589">
        <f>SUMIF('New Resources - Individual'!$F$6:$Y$6,X$6,'New Resources - Individual'!$F38:$Y38)</f>
        <v>0</v>
      </c>
      <c r="Y38" s="3590">
        <f>SUMIF('New Resources - Individual'!$F$6:$Y$6,Y$6,'New Resources - Individual'!$F38:$Y38)</f>
        <v>0</v>
      </c>
      <c r="AG38" s="3564"/>
      <c r="AH38" s="3564"/>
    </row>
    <row r="39" spans="1:34">
      <c r="A39" s="3175">
        <v>420</v>
      </c>
      <c r="B39" s="3183" t="s">
        <v>87</v>
      </c>
      <c r="C39" s="3177" t="s">
        <v>599</v>
      </c>
      <c r="D39" s="3177"/>
      <c r="E39" s="3185"/>
      <c r="F39" s="3586">
        <f>SUMIF('New Resources - Individual'!$F$6:$Y$6,F$6,'New Resources - Individual'!$F39:$Y39)</f>
        <v>0</v>
      </c>
      <c r="G39" s="3586">
        <f>SUMIF('New Resources - Individual'!$F$6:$Y$6,G$6,'New Resources - Individual'!$F39:$Y39)</f>
        <v>0</v>
      </c>
      <c r="H39" s="3589">
        <f>SUMIF('New Resources - Individual'!$F$6:$Y$6,H$6,'New Resources - Individual'!$F39:$Y39)</f>
        <v>0</v>
      </c>
      <c r="I39" s="3586">
        <f>SUMIF('New Resources - Individual'!$F$6:$Y$6,I$6,'New Resources - Individual'!$F39:$Y39)</f>
        <v>0</v>
      </c>
      <c r="J39" s="3589">
        <f>SUMIF('New Resources - Individual'!$F$6:$Y$6,J$6,'New Resources - Individual'!$F39:$Y39)</f>
        <v>0</v>
      </c>
      <c r="K39" s="3589">
        <f>SUMIF('New Resources - Individual'!$F$6:$Y$6,K$6,'New Resources - Individual'!$F39:$Y39)</f>
        <v>0</v>
      </c>
      <c r="L39" s="3589">
        <f>SUMIF('New Resources - Individual'!$F$6:$Y$6,L$6,'New Resources - Individual'!$F39:$Y39)</f>
        <v>0</v>
      </c>
      <c r="M39" s="3589">
        <f>SUMIF('New Resources - Individual'!$F$6:$Y$6,M$6,'New Resources - Individual'!$F39:$Y39)</f>
        <v>0</v>
      </c>
      <c r="N39" s="3589">
        <f>SUMIF('New Resources - Individual'!$F$6:$Y$6,N$6,'New Resources - Individual'!$F39:$Y39)</f>
        <v>0</v>
      </c>
      <c r="O39" s="3589">
        <f>SUMIF('New Resources - Individual'!$F$6:$Y$6,O$6,'New Resources - Individual'!$F39:$Y39)</f>
        <v>0</v>
      </c>
      <c r="P39" s="3589">
        <f>SUMIF('New Resources - Individual'!$F$6:$Y$6,P$6,'New Resources - Individual'!$F39:$Y39)</f>
        <v>0</v>
      </c>
      <c r="Q39" s="3589">
        <f>SUMIF('New Resources - Individual'!$F$6:$Y$6,Q$6,'New Resources - Individual'!$F39:$Y39)</f>
        <v>0</v>
      </c>
      <c r="R39" s="3589">
        <f>SUMIF('New Resources - Individual'!$F$6:$Y$6,R$6,'New Resources - Individual'!$F39:$Y39)</f>
        <v>0</v>
      </c>
      <c r="S39" s="3589">
        <f>SUMIF('New Resources - Individual'!$F$6:$Y$6,S$6,'New Resources - Individual'!$F39:$Y39)</f>
        <v>0</v>
      </c>
      <c r="T39" s="3589">
        <f>SUMIF('New Resources - Individual'!$F$6:$Y$6,T$6,'New Resources - Individual'!$F39:$Y39)</f>
        <v>0</v>
      </c>
      <c r="U39" s="3589">
        <f>SUMIF('New Resources - Individual'!$F$6:$Y$6,U$6,'New Resources - Individual'!$F39:$Y39)</f>
        <v>0</v>
      </c>
      <c r="V39" s="3589">
        <f>SUMIF('New Resources - Individual'!$F$6:$Y$6,V$6,'New Resources - Individual'!$F39:$Y39)</f>
        <v>0</v>
      </c>
      <c r="W39" s="3589">
        <f>SUMIF('New Resources - Individual'!$F$6:$Y$6,W$6,'New Resources - Individual'!$F39:$Y39)</f>
        <v>0</v>
      </c>
      <c r="X39" s="3589">
        <f>SUMIF('New Resources - Individual'!$F$6:$Y$6,X$6,'New Resources - Individual'!$F39:$Y39)</f>
        <v>0</v>
      </c>
      <c r="Y39" s="3590">
        <f>SUMIF('New Resources - Individual'!$F$6:$Y$6,Y$6,'New Resources - Individual'!$F39:$Y39)</f>
        <v>0</v>
      </c>
      <c r="AG39" s="3564"/>
      <c r="AH39" s="3564"/>
    </row>
    <row r="40" spans="1:34">
      <c r="A40" s="3175">
        <v>430</v>
      </c>
      <c r="B40" s="3183" t="s">
        <v>167</v>
      </c>
      <c r="C40" s="3177">
        <v>924</v>
      </c>
      <c r="D40" s="3177"/>
      <c r="E40" s="3185"/>
      <c r="F40" s="3586">
        <f>SUMIF('New Resources - Individual'!$F$6:$Y$6,F$6,'New Resources - Individual'!$F40:$Y40)</f>
        <v>0</v>
      </c>
      <c r="G40" s="3586">
        <f>SUMIF('New Resources - Individual'!$F$6:$Y$6,G$6,'New Resources - Individual'!$F40:$Y40)</f>
        <v>0</v>
      </c>
      <c r="H40" s="3589">
        <f>SUMIF('New Resources - Individual'!$F$6:$Y$6,H$6,'New Resources - Individual'!$F40:$Y40)</f>
        <v>0</v>
      </c>
      <c r="I40" s="3586">
        <f>SUMIF('New Resources - Individual'!$F$6:$Y$6,I$6,'New Resources - Individual'!$F40:$Y40)</f>
        <v>0</v>
      </c>
      <c r="J40" s="3589">
        <f>SUMIF('New Resources - Individual'!$F$6:$Y$6,J$6,'New Resources - Individual'!$F40:$Y40)</f>
        <v>0</v>
      </c>
      <c r="K40" s="3589">
        <f>SUMIF('New Resources - Individual'!$F$6:$Y$6,K$6,'New Resources - Individual'!$F40:$Y40)</f>
        <v>0</v>
      </c>
      <c r="L40" s="3589">
        <f>SUMIF('New Resources - Individual'!$F$6:$Y$6,L$6,'New Resources - Individual'!$F40:$Y40)</f>
        <v>0</v>
      </c>
      <c r="M40" s="3589">
        <f>SUMIF('New Resources - Individual'!$F$6:$Y$6,M$6,'New Resources - Individual'!$F40:$Y40)</f>
        <v>0</v>
      </c>
      <c r="N40" s="3589">
        <f>SUMIF('New Resources - Individual'!$F$6:$Y$6,N$6,'New Resources - Individual'!$F40:$Y40)</f>
        <v>0</v>
      </c>
      <c r="O40" s="3589">
        <f>SUMIF('New Resources - Individual'!$F$6:$Y$6,O$6,'New Resources - Individual'!$F40:$Y40)</f>
        <v>0</v>
      </c>
      <c r="P40" s="3589">
        <f>SUMIF('New Resources - Individual'!$F$6:$Y$6,P$6,'New Resources - Individual'!$F40:$Y40)</f>
        <v>0</v>
      </c>
      <c r="Q40" s="3589">
        <f>SUMIF('New Resources - Individual'!$F$6:$Y$6,Q$6,'New Resources - Individual'!$F40:$Y40)</f>
        <v>0</v>
      </c>
      <c r="R40" s="3589">
        <f>SUMIF('New Resources - Individual'!$F$6:$Y$6,R$6,'New Resources - Individual'!$F40:$Y40)</f>
        <v>0</v>
      </c>
      <c r="S40" s="3589">
        <f>SUMIF('New Resources - Individual'!$F$6:$Y$6,S$6,'New Resources - Individual'!$F40:$Y40)</f>
        <v>0</v>
      </c>
      <c r="T40" s="3589">
        <f>SUMIF('New Resources - Individual'!$F$6:$Y$6,T$6,'New Resources - Individual'!$F40:$Y40)</f>
        <v>0</v>
      </c>
      <c r="U40" s="3589">
        <f>SUMIF('New Resources - Individual'!$F$6:$Y$6,U$6,'New Resources - Individual'!$F40:$Y40)</f>
        <v>0</v>
      </c>
      <c r="V40" s="3589">
        <f>SUMIF('New Resources - Individual'!$F$6:$Y$6,V$6,'New Resources - Individual'!$F40:$Y40)</f>
        <v>0</v>
      </c>
      <c r="W40" s="3589">
        <f>SUMIF('New Resources - Individual'!$F$6:$Y$6,W$6,'New Resources - Individual'!$F40:$Y40)</f>
        <v>0</v>
      </c>
      <c r="X40" s="3589">
        <f>SUMIF('New Resources - Individual'!$F$6:$Y$6,X$6,'New Resources - Individual'!$F40:$Y40)</f>
        <v>0</v>
      </c>
      <c r="Y40" s="3590">
        <f>SUMIF('New Resources - Individual'!$F$6:$Y$6,Y$6,'New Resources - Individual'!$F40:$Y40)</f>
        <v>0</v>
      </c>
      <c r="AG40" s="3564"/>
      <c r="AH40" s="3564"/>
    </row>
    <row r="41" spans="1:34">
      <c r="A41" s="3175">
        <v>520</v>
      </c>
      <c r="B41" s="3176" t="s">
        <v>591</v>
      </c>
      <c r="C41" s="3177">
        <v>447</v>
      </c>
      <c r="D41" s="3177" t="s">
        <v>592</v>
      </c>
      <c r="E41" s="3178"/>
      <c r="F41" s="3586">
        <f>SUMIF('New Resources - Individual'!$F$6:$Y$6,F$6,'New Resources - Individual'!$F41:$Y41)</f>
        <v>0</v>
      </c>
      <c r="G41" s="3586">
        <f>SUMIF('New Resources - Individual'!$F$6:$Y$6,G$6,'New Resources - Individual'!$F41:$Y41)</f>
        <v>0</v>
      </c>
      <c r="H41" s="3589">
        <f>SUMIF('New Resources - Individual'!$F$6:$Y$6,H$6,'New Resources - Individual'!$F41:$Y41)</f>
        <v>0</v>
      </c>
      <c r="I41" s="3586">
        <f>SUMIF('New Resources - Individual'!$F$6:$Y$6,I$6,'New Resources - Individual'!$F41:$Y41)</f>
        <v>0</v>
      </c>
      <c r="J41" s="3589">
        <f>SUMIF('New Resources - Individual'!$F$6:$Y$6,J$6,'New Resources - Individual'!$F41:$Y41)</f>
        <v>0</v>
      </c>
      <c r="K41" s="3589">
        <f>SUMIF('New Resources - Individual'!$F$6:$Y$6,K$6,'New Resources - Individual'!$F41:$Y41)</f>
        <v>0</v>
      </c>
      <c r="L41" s="3589">
        <f>SUMIF('New Resources - Individual'!$F$6:$Y$6,L$6,'New Resources - Individual'!$F41:$Y41)</f>
        <v>0</v>
      </c>
      <c r="M41" s="3589">
        <f>SUMIF('New Resources - Individual'!$F$6:$Y$6,M$6,'New Resources - Individual'!$F41:$Y41)</f>
        <v>0</v>
      </c>
      <c r="N41" s="3589">
        <f>SUMIF('New Resources - Individual'!$F$6:$Y$6,N$6,'New Resources - Individual'!$F41:$Y41)</f>
        <v>0</v>
      </c>
      <c r="O41" s="3589">
        <f>SUMIF('New Resources - Individual'!$F$6:$Y$6,O$6,'New Resources - Individual'!$F41:$Y41)</f>
        <v>0</v>
      </c>
      <c r="P41" s="3589">
        <f>SUMIF('New Resources - Individual'!$F$6:$Y$6,P$6,'New Resources - Individual'!$F41:$Y41)</f>
        <v>0</v>
      </c>
      <c r="Q41" s="3589">
        <f>SUMIF('New Resources - Individual'!$F$6:$Y$6,Q$6,'New Resources - Individual'!$F41:$Y41)</f>
        <v>0</v>
      </c>
      <c r="R41" s="3589">
        <f>SUMIF('New Resources - Individual'!$F$6:$Y$6,R$6,'New Resources - Individual'!$F41:$Y41)</f>
        <v>0</v>
      </c>
      <c r="S41" s="3589">
        <f>SUMIF('New Resources - Individual'!$F$6:$Y$6,S$6,'New Resources - Individual'!$F41:$Y41)</f>
        <v>0</v>
      </c>
      <c r="T41" s="3589">
        <f>SUMIF('New Resources - Individual'!$F$6:$Y$6,T$6,'New Resources - Individual'!$F41:$Y41)</f>
        <v>0</v>
      </c>
      <c r="U41" s="3589">
        <f>SUMIF('New Resources - Individual'!$F$6:$Y$6,U$6,'New Resources - Individual'!$F41:$Y41)</f>
        <v>0</v>
      </c>
      <c r="V41" s="3589">
        <f>SUMIF('New Resources - Individual'!$F$6:$Y$6,V$6,'New Resources - Individual'!$F41:$Y41)</f>
        <v>0</v>
      </c>
      <c r="W41" s="3589">
        <f>SUMIF('New Resources - Individual'!$F$6:$Y$6,W$6,'New Resources - Individual'!$F41:$Y41)</f>
        <v>0</v>
      </c>
      <c r="X41" s="3589">
        <f>SUMIF('New Resources - Individual'!$F$6:$Y$6,X$6,'New Resources - Individual'!$F41:$Y41)</f>
        <v>0</v>
      </c>
      <c r="Y41" s="3590">
        <f>SUMIF('New Resources - Individual'!$F$6:$Y$6,Y$6,'New Resources - Individual'!$F41:$Y41)</f>
        <v>0</v>
      </c>
      <c r="AG41" s="3564"/>
      <c r="AH41" s="3564"/>
    </row>
    <row r="42" spans="1:34">
      <c r="A42" s="3175">
        <v>530</v>
      </c>
      <c r="B42" s="3179" t="s">
        <v>593</v>
      </c>
      <c r="C42" s="3180"/>
      <c r="D42" s="3177" t="s">
        <v>592</v>
      </c>
      <c r="E42" s="3178"/>
      <c r="F42" s="3586">
        <f>SUMIF('New Resources - Individual'!$F$6:$Y$6,F$6,'New Resources - Individual'!$F42:$Y42)</f>
        <v>0</v>
      </c>
      <c r="G42" s="3586">
        <f>SUMIF('New Resources - Individual'!$F$6:$Y$6,G$6,'New Resources - Individual'!$F42:$Y42)</f>
        <v>0</v>
      </c>
      <c r="H42" s="3589">
        <f>SUMIF('New Resources - Individual'!$F$6:$Y$6,H$6,'New Resources - Individual'!$F42:$Y42)</f>
        <v>0</v>
      </c>
      <c r="I42" s="3586">
        <f>SUMIF('New Resources - Individual'!$F$6:$Y$6,I$6,'New Resources - Individual'!$F42:$Y42)</f>
        <v>0</v>
      </c>
      <c r="J42" s="3589">
        <f>SUMIF('New Resources - Individual'!$F$6:$Y$6,J$6,'New Resources - Individual'!$F42:$Y42)</f>
        <v>0</v>
      </c>
      <c r="K42" s="3589">
        <f>SUMIF('New Resources - Individual'!$F$6:$Y$6,K$6,'New Resources - Individual'!$F42:$Y42)</f>
        <v>0</v>
      </c>
      <c r="L42" s="3589">
        <f>SUMIF('New Resources - Individual'!$F$6:$Y$6,L$6,'New Resources - Individual'!$F42:$Y42)</f>
        <v>0</v>
      </c>
      <c r="M42" s="3589">
        <f>SUMIF('New Resources - Individual'!$F$6:$Y$6,M$6,'New Resources - Individual'!$F42:$Y42)</f>
        <v>0</v>
      </c>
      <c r="N42" s="3589">
        <f>SUMIF('New Resources - Individual'!$F$6:$Y$6,N$6,'New Resources - Individual'!$F42:$Y42)</f>
        <v>0</v>
      </c>
      <c r="O42" s="3589">
        <f>SUMIF('New Resources - Individual'!$F$6:$Y$6,O$6,'New Resources - Individual'!$F42:$Y42)</f>
        <v>0</v>
      </c>
      <c r="P42" s="3589">
        <f>SUMIF('New Resources - Individual'!$F$6:$Y$6,P$6,'New Resources - Individual'!$F42:$Y42)</f>
        <v>0</v>
      </c>
      <c r="Q42" s="3589">
        <f>SUMIF('New Resources - Individual'!$F$6:$Y$6,Q$6,'New Resources - Individual'!$F42:$Y42)</f>
        <v>0</v>
      </c>
      <c r="R42" s="3589">
        <f>SUMIF('New Resources - Individual'!$F$6:$Y$6,R$6,'New Resources - Individual'!$F42:$Y42)</f>
        <v>0</v>
      </c>
      <c r="S42" s="3589">
        <f>SUMIF('New Resources - Individual'!$F$6:$Y$6,S$6,'New Resources - Individual'!$F42:$Y42)</f>
        <v>0</v>
      </c>
      <c r="T42" s="3589">
        <f>SUMIF('New Resources - Individual'!$F$6:$Y$6,T$6,'New Resources - Individual'!$F42:$Y42)</f>
        <v>0</v>
      </c>
      <c r="U42" s="3589">
        <f>SUMIF('New Resources - Individual'!$F$6:$Y$6,U$6,'New Resources - Individual'!$F42:$Y42)</f>
        <v>0</v>
      </c>
      <c r="V42" s="3589">
        <f>SUMIF('New Resources - Individual'!$F$6:$Y$6,V$6,'New Resources - Individual'!$F42:$Y42)</f>
        <v>0</v>
      </c>
      <c r="W42" s="3589">
        <f>SUMIF('New Resources - Individual'!$F$6:$Y$6,W$6,'New Resources - Individual'!$F42:$Y42)</f>
        <v>0</v>
      </c>
      <c r="X42" s="3589">
        <f>SUMIF('New Resources - Individual'!$F$6:$Y$6,X$6,'New Resources - Individual'!$F42:$Y42)</f>
        <v>0</v>
      </c>
      <c r="Y42" s="3590">
        <f>SUMIF('New Resources - Individual'!$F$6:$Y$6,Y$6,'New Resources - Individual'!$F42:$Y42)</f>
        <v>0</v>
      </c>
      <c r="AG42" s="3564"/>
      <c r="AH42" s="3564"/>
    </row>
    <row r="43" spans="1:34">
      <c r="A43" s="3175">
        <v>540</v>
      </c>
      <c r="B43" s="3176" t="s">
        <v>594</v>
      </c>
      <c r="C43" s="3177"/>
      <c r="D43" s="3177" t="s">
        <v>592</v>
      </c>
      <c r="E43" s="3178"/>
      <c r="F43" s="3586">
        <f>SUMIF('New Resources - Individual'!$F$6:$Y$6,F$6,'New Resources - Individual'!$F43:$Y43)</f>
        <v>0</v>
      </c>
      <c r="G43" s="3586">
        <f>SUMIF('New Resources - Individual'!$F$6:$Y$6,G$6,'New Resources - Individual'!$F43:$Y43)</f>
        <v>0</v>
      </c>
      <c r="H43" s="3589">
        <f>SUMIF('New Resources - Individual'!$F$6:$Y$6,H$6,'New Resources - Individual'!$F43:$Y43)</f>
        <v>0</v>
      </c>
      <c r="I43" s="3586">
        <f>SUMIF('New Resources - Individual'!$F$6:$Y$6,I$6,'New Resources - Individual'!$F43:$Y43)</f>
        <v>0</v>
      </c>
      <c r="J43" s="3589">
        <f>SUMIF('New Resources - Individual'!$F$6:$Y$6,J$6,'New Resources - Individual'!$F43:$Y43)</f>
        <v>0</v>
      </c>
      <c r="K43" s="3589">
        <f>SUMIF('New Resources - Individual'!$F$6:$Y$6,K$6,'New Resources - Individual'!$F43:$Y43)</f>
        <v>0</v>
      </c>
      <c r="L43" s="3589">
        <f>SUMIF('New Resources - Individual'!$F$6:$Y$6,L$6,'New Resources - Individual'!$F43:$Y43)</f>
        <v>0</v>
      </c>
      <c r="M43" s="3589">
        <f>SUMIF('New Resources - Individual'!$F$6:$Y$6,M$6,'New Resources - Individual'!$F43:$Y43)</f>
        <v>0</v>
      </c>
      <c r="N43" s="3589">
        <f>SUMIF('New Resources - Individual'!$F$6:$Y$6,N$6,'New Resources - Individual'!$F43:$Y43)</f>
        <v>0</v>
      </c>
      <c r="O43" s="3589">
        <f>SUMIF('New Resources - Individual'!$F$6:$Y$6,O$6,'New Resources - Individual'!$F43:$Y43)</f>
        <v>0</v>
      </c>
      <c r="P43" s="3589">
        <f>SUMIF('New Resources - Individual'!$F$6:$Y$6,P$6,'New Resources - Individual'!$F43:$Y43)</f>
        <v>0</v>
      </c>
      <c r="Q43" s="3589">
        <f>SUMIF('New Resources - Individual'!$F$6:$Y$6,Q$6,'New Resources - Individual'!$F43:$Y43)</f>
        <v>0</v>
      </c>
      <c r="R43" s="3589">
        <f>SUMIF('New Resources - Individual'!$F$6:$Y$6,R$6,'New Resources - Individual'!$F43:$Y43)</f>
        <v>0</v>
      </c>
      <c r="S43" s="3589">
        <f>SUMIF('New Resources - Individual'!$F$6:$Y$6,S$6,'New Resources - Individual'!$F43:$Y43)</f>
        <v>0</v>
      </c>
      <c r="T43" s="3589">
        <f>SUMIF('New Resources - Individual'!$F$6:$Y$6,T$6,'New Resources - Individual'!$F43:$Y43)</f>
        <v>0</v>
      </c>
      <c r="U43" s="3589">
        <f>SUMIF('New Resources - Individual'!$F$6:$Y$6,U$6,'New Resources - Individual'!$F43:$Y43)</f>
        <v>0</v>
      </c>
      <c r="V43" s="3589">
        <f>SUMIF('New Resources - Individual'!$F$6:$Y$6,V$6,'New Resources - Individual'!$F43:$Y43)</f>
        <v>0</v>
      </c>
      <c r="W43" s="3589">
        <f>SUMIF('New Resources - Individual'!$F$6:$Y$6,W$6,'New Resources - Individual'!$F43:$Y43)</f>
        <v>0</v>
      </c>
      <c r="X43" s="3589">
        <f>SUMIF('New Resources - Individual'!$F$6:$Y$6,X$6,'New Resources - Individual'!$F43:$Y43)</f>
        <v>0</v>
      </c>
      <c r="Y43" s="3590">
        <f>SUMIF('New Resources - Individual'!$F$6:$Y$6,Y$6,'New Resources - Individual'!$F43:$Y43)</f>
        <v>0</v>
      </c>
      <c r="AG43" s="3564"/>
      <c r="AH43" s="3564"/>
    </row>
    <row r="44" spans="1:34">
      <c r="A44" s="3175">
        <v>440</v>
      </c>
      <c r="B44" s="3189" t="s">
        <v>589</v>
      </c>
      <c r="C44" s="3182"/>
      <c r="D44" s="3182"/>
      <c r="E44" s="3174"/>
      <c r="F44" s="3591"/>
      <c r="G44" s="3591"/>
      <c r="H44" s="3591"/>
      <c r="I44" s="3591"/>
      <c r="J44" s="3591"/>
      <c r="K44" s="3591"/>
      <c r="L44" s="3591"/>
      <c r="M44" s="3591"/>
      <c r="N44" s="3591"/>
      <c r="O44" s="3591"/>
      <c r="P44" s="3591"/>
      <c r="Q44" s="3591"/>
      <c r="R44" s="3591"/>
      <c r="S44" s="3591"/>
      <c r="T44" s="3591"/>
      <c r="U44" s="3591"/>
      <c r="V44" s="3591"/>
      <c r="W44" s="3591"/>
      <c r="X44" s="3591"/>
      <c r="Y44" s="3592"/>
      <c r="AG44" s="3564"/>
      <c r="AH44" s="3564"/>
    </row>
    <row r="45" spans="1:34">
      <c r="A45" s="3175">
        <v>450</v>
      </c>
      <c r="B45" s="3183" t="s">
        <v>8383</v>
      </c>
      <c r="C45" s="3177">
        <v>403</v>
      </c>
      <c r="D45" s="3177"/>
      <c r="E45" s="3185"/>
      <c r="F45" s="3586">
        <f>SUMIF('New Resources - Individual'!$F$6:$Y$6,F$6,'New Resources - Individual'!$F45:$Y45)</f>
        <v>0</v>
      </c>
      <c r="G45" s="3586">
        <f>SUMIF('New Resources - Individual'!$F$6:$Y$6,G$6,'New Resources - Individual'!$F45:$Y45)</f>
        <v>0</v>
      </c>
      <c r="H45" s="3589">
        <f>SUMIF('New Resources - Individual'!$F$6:$Y$6,H$6,'New Resources - Individual'!$F45:$Y45)</f>
        <v>0</v>
      </c>
      <c r="I45" s="3586">
        <f>SUMIF('New Resources - Individual'!$F$6:$Y$6,I$6,'New Resources - Individual'!$F45:$Y45)</f>
        <v>0</v>
      </c>
      <c r="J45" s="3589">
        <f>SUMIF('New Resources - Individual'!$F$6:$Y$6,J$6,'New Resources - Individual'!$F45:$Y45)</f>
        <v>0</v>
      </c>
      <c r="K45" s="3589">
        <f>SUMIF('New Resources - Individual'!$F$6:$Y$6,K$6,'New Resources - Individual'!$F45:$Y45)</f>
        <v>0</v>
      </c>
      <c r="L45" s="3589">
        <f>SUMIF('New Resources - Individual'!$F$6:$Y$6,L$6,'New Resources - Individual'!$F45:$Y45)</f>
        <v>0</v>
      </c>
      <c r="M45" s="3589">
        <f>SUMIF('New Resources - Individual'!$F$6:$Y$6,M$6,'New Resources - Individual'!$F45:$Y45)</f>
        <v>0</v>
      </c>
      <c r="N45" s="3589">
        <f>SUMIF('New Resources - Individual'!$F$6:$Y$6,N$6,'New Resources - Individual'!$F45:$Y45)</f>
        <v>0</v>
      </c>
      <c r="O45" s="3589">
        <f>SUMIF('New Resources - Individual'!$F$6:$Y$6,O$6,'New Resources - Individual'!$F45:$Y45)</f>
        <v>0</v>
      </c>
      <c r="P45" s="3589">
        <f>SUMIF('New Resources - Individual'!$F$6:$Y$6,P$6,'New Resources - Individual'!$F45:$Y45)</f>
        <v>0</v>
      </c>
      <c r="Q45" s="3589">
        <f>SUMIF('New Resources - Individual'!$F$6:$Y$6,Q$6,'New Resources - Individual'!$F45:$Y45)</f>
        <v>0</v>
      </c>
      <c r="R45" s="3589">
        <f>SUMIF('New Resources - Individual'!$F$6:$Y$6,R$6,'New Resources - Individual'!$F45:$Y45)</f>
        <v>0</v>
      </c>
      <c r="S45" s="3589">
        <f>SUMIF('New Resources - Individual'!$F$6:$Y$6,S$6,'New Resources - Individual'!$F45:$Y45)</f>
        <v>0</v>
      </c>
      <c r="T45" s="3589">
        <f>SUMIF('New Resources - Individual'!$F$6:$Y$6,T$6,'New Resources - Individual'!$F45:$Y45)</f>
        <v>0</v>
      </c>
      <c r="U45" s="3589">
        <f>SUMIF('New Resources - Individual'!$F$6:$Y$6,U$6,'New Resources - Individual'!$F45:$Y45)</f>
        <v>0</v>
      </c>
      <c r="V45" s="3589">
        <f>SUMIF('New Resources - Individual'!$F$6:$Y$6,V$6,'New Resources - Individual'!$F45:$Y45)</f>
        <v>0</v>
      </c>
      <c r="W45" s="3589">
        <f>SUMIF('New Resources - Individual'!$F$6:$Y$6,W$6,'New Resources - Individual'!$F45:$Y45)</f>
        <v>0</v>
      </c>
      <c r="X45" s="3589">
        <f>SUMIF('New Resources - Individual'!$F$6:$Y$6,X$6,'New Resources - Individual'!$F45:$Y45)</f>
        <v>0</v>
      </c>
      <c r="Y45" s="3590">
        <f>SUMIF('New Resources - Individual'!$F$6:$Y$6,Y$6,'New Resources - Individual'!$F45:$Y45)</f>
        <v>0</v>
      </c>
      <c r="AG45" s="3564"/>
      <c r="AH45" s="3564"/>
    </row>
    <row r="46" spans="1:34">
      <c r="A46" s="3175">
        <v>460</v>
      </c>
      <c r="B46" s="3183" t="s">
        <v>8384</v>
      </c>
      <c r="C46" s="3180">
        <v>403</v>
      </c>
      <c r="D46" s="3180"/>
      <c r="E46" s="3185"/>
      <c r="F46" s="3586">
        <f>SUMIF('New Resources - Individual'!$F$6:$Y$6,F$6,'New Resources - Individual'!$F46:$Y46)</f>
        <v>0</v>
      </c>
      <c r="G46" s="3586">
        <f>SUMIF('New Resources - Individual'!$F$6:$Y$6,G$6,'New Resources - Individual'!$F46:$Y46)</f>
        <v>0</v>
      </c>
      <c r="H46" s="3589">
        <f>SUMIF('New Resources - Individual'!$F$6:$Y$6,H$6,'New Resources - Individual'!$F46:$Y46)</f>
        <v>0</v>
      </c>
      <c r="I46" s="3586">
        <f>SUMIF('New Resources - Individual'!$F$6:$Y$6,I$6,'New Resources - Individual'!$F46:$Y46)</f>
        <v>0</v>
      </c>
      <c r="J46" s="3589">
        <f>SUMIF('New Resources - Individual'!$F$6:$Y$6,J$6,'New Resources - Individual'!$F46:$Y46)</f>
        <v>0</v>
      </c>
      <c r="K46" s="3589">
        <f>SUMIF('New Resources - Individual'!$F$6:$Y$6,K$6,'New Resources - Individual'!$F46:$Y46)</f>
        <v>0</v>
      </c>
      <c r="L46" s="3589">
        <f>SUMIF('New Resources - Individual'!$F$6:$Y$6,L$6,'New Resources - Individual'!$F46:$Y46)</f>
        <v>0</v>
      </c>
      <c r="M46" s="3589">
        <f>SUMIF('New Resources - Individual'!$F$6:$Y$6,M$6,'New Resources - Individual'!$F46:$Y46)</f>
        <v>0</v>
      </c>
      <c r="N46" s="3589">
        <f>SUMIF('New Resources - Individual'!$F$6:$Y$6,N$6,'New Resources - Individual'!$F46:$Y46)</f>
        <v>0</v>
      </c>
      <c r="O46" s="3589">
        <f>SUMIF('New Resources - Individual'!$F$6:$Y$6,O$6,'New Resources - Individual'!$F46:$Y46)</f>
        <v>0</v>
      </c>
      <c r="P46" s="3589">
        <f>SUMIF('New Resources - Individual'!$F$6:$Y$6,P$6,'New Resources - Individual'!$F46:$Y46)</f>
        <v>0</v>
      </c>
      <c r="Q46" s="3589">
        <f>SUMIF('New Resources - Individual'!$F$6:$Y$6,Q$6,'New Resources - Individual'!$F46:$Y46)</f>
        <v>0</v>
      </c>
      <c r="R46" s="3589">
        <f>SUMIF('New Resources - Individual'!$F$6:$Y$6,R$6,'New Resources - Individual'!$F46:$Y46)</f>
        <v>0</v>
      </c>
      <c r="S46" s="3589">
        <f>SUMIF('New Resources - Individual'!$F$6:$Y$6,S$6,'New Resources - Individual'!$F46:$Y46)</f>
        <v>0</v>
      </c>
      <c r="T46" s="3589">
        <f>SUMIF('New Resources - Individual'!$F$6:$Y$6,T$6,'New Resources - Individual'!$F46:$Y46)</f>
        <v>0</v>
      </c>
      <c r="U46" s="3589">
        <f>SUMIF('New Resources - Individual'!$F$6:$Y$6,U$6,'New Resources - Individual'!$F46:$Y46)</f>
        <v>0</v>
      </c>
      <c r="V46" s="3589">
        <f>SUMIF('New Resources - Individual'!$F$6:$Y$6,V$6,'New Resources - Individual'!$F46:$Y46)</f>
        <v>0</v>
      </c>
      <c r="W46" s="3589">
        <f>SUMIF('New Resources - Individual'!$F$6:$Y$6,W$6,'New Resources - Individual'!$F46:$Y46)</f>
        <v>0</v>
      </c>
      <c r="X46" s="3589">
        <f>SUMIF('New Resources - Individual'!$F$6:$Y$6,X$6,'New Resources - Individual'!$F46:$Y46)</f>
        <v>0</v>
      </c>
      <c r="Y46" s="3590">
        <f>SUMIF('New Resources - Individual'!$F$6:$Y$6,Y$6,'New Resources - Individual'!$F46:$Y46)</f>
        <v>0</v>
      </c>
      <c r="AG46" s="3564"/>
      <c r="AH46" s="3564"/>
    </row>
    <row r="47" spans="1:34">
      <c r="A47" s="3175">
        <v>470</v>
      </c>
      <c r="B47" s="3181" t="s">
        <v>137</v>
      </c>
      <c r="C47" s="3182"/>
      <c r="D47" s="3182"/>
      <c r="E47" s="3174"/>
      <c r="F47" s="3591"/>
      <c r="G47" s="3591"/>
      <c r="H47" s="3591"/>
      <c r="I47" s="3591"/>
      <c r="J47" s="3591"/>
      <c r="K47" s="3591"/>
      <c r="L47" s="3591"/>
      <c r="M47" s="3591"/>
      <c r="N47" s="3591"/>
      <c r="O47" s="3591"/>
      <c r="P47" s="3591"/>
      <c r="Q47" s="3591"/>
      <c r="R47" s="3591"/>
      <c r="S47" s="3591"/>
      <c r="T47" s="3591"/>
      <c r="U47" s="3591"/>
      <c r="V47" s="3591"/>
      <c r="W47" s="3591"/>
      <c r="X47" s="3591"/>
      <c r="Y47" s="3592"/>
      <c r="AG47" s="3564"/>
      <c r="AH47" s="3564"/>
    </row>
    <row r="48" spans="1:34">
      <c r="A48" s="3175">
        <v>480</v>
      </c>
      <c r="B48" s="3176" t="s">
        <v>117</v>
      </c>
      <c r="C48" s="3180" t="s">
        <v>118</v>
      </c>
      <c r="D48" s="3180"/>
      <c r="E48" s="3178"/>
      <c r="F48" s="3586">
        <f>SUMIF('New Resources - Individual'!$F$6:$Y$6,F$6,'New Resources - Individual'!$F48:$Y48)</f>
        <v>0</v>
      </c>
      <c r="G48" s="3586">
        <f>SUMIF('New Resources - Individual'!$F$6:$Y$6,G$6,'New Resources - Individual'!$F48:$Y48)</f>
        <v>0</v>
      </c>
      <c r="H48" s="3589">
        <f>SUMIF('New Resources - Individual'!$F$6:$Y$6,H$6,'New Resources - Individual'!$F48:$Y48)</f>
        <v>0</v>
      </c>
      <c r="I48" s="3586">
        <f>SUMIF('New Resources - Individual'!$F$6:$Y$6,I$6,'New Resources - Individual'!$F48:$Y48)</f>
        <v>0</v>
      </c>
      <c r="J48" s="3589">
        <f>SUMIF('New Resources - Individual'!$F$6:$Y$6,J$6,'New Resources - Individual'!$F48:$Y48)</f>
        <v>0</v>
      </c>
      <c r="K48" s="3589">
        <f>SUMIF('New Resources - Individual'!$F$6:$Y$6,K$6,'New Resources - Individual'!$F48:$Y48)</f>
        <v>0</v>
      </c>
      <c r="L48" s="3586">
        <f>SUMIF('New Resources - Individual'!$F$6:$Y$6,L$6,'New Resources - Individual'!$F48:$Y48)</f>
        <v>0</v>
      </c>
      <c r="M48" s="3589">
        <f>SUMIF('New Resources - Individual'!$F$6:$Y$6,M$6,'New Resources - Individual'!$F48:$Y48)</f>
        <v>0</v>
      </c>
      <c r="N48" s="3586">
        <f>SUMIF('New Resources - Individual'!$F$6:$Y$6,N$6,'New Resources - Individual'!$F48:$Y48)</f>
        <v>0</v>
      </c>
      <c r="O48" s="3586">
        <f>SUMIF('New Resources - Individual'!$F$6:$Y$6,O$6,'New Resources - Individual'!$F48:$Y48)</f>
        <v>0</v>
      </c>
      <c r="P48" s="3586">
        <f>SUMIF('New Resources - Individual'!$F$6:$Y$6,P$6,'New Resources - Individual'!$F48:$Y48)</f>
        <v>0</v>
      </c>
      <c r="Q48" s="3586">
        <f>SUMIF('New Resources - Individual'!$F$6:$Y$6,Q$6,'New Resources - Individual'!$F48:$Y48)</f>
        <v>0</v>
      </c>
      <c r="R48" s="3589">
        <f>SUMIF('New Resources - Individual'!$F$6:$Y$6,R$6,'New Resources - Individual'!$F48:$Y48)</f>
        <v>0</v>
      </c>
      <c r="S48" s="3589">
        <f>SUMIF('New Resources - Individual'!$F$6:$Y$6,S$6,'New Resources - Individual'!$F48:$Y48)</f>
        <v>0</v>
      </c>
      <c r="T48" s="3589">
        <f>SUMIF('New Resources - Individual'!$F$6:$Y$6,T$6,'New Resources - Individual'!$F48:$Y48)</f>
        <v>0</v>
      </c>
      <c r="U48" s="3589">
        <f>SUMIF('New Resources - Individual'!$F$6:$Y$6,U$6,'New Resources - Individual'!$F48:$Y48)</f>
        <v>0</v>
      </c>
      <c r="V48" s="3589">
        <f>SUMIF('New Resources - Individual'!$F$6:$Y$6,V$6,'New Resources - Individual'!$F48:$Y48)</f>
        <v>0</v>
      </c>
      <c r="W48" s="3586">
        <f>SUMIF('New Resources - Individual'!$F$6:$Y$6,W$6,'New Resources - Individual'!$F48:$Y48)</f>
        <v>0</v>
      </c>
      <c r="X48" s="3589">
        <f>SUMIF('New Resources - Individual'!$F$6:$Y$6,X$6,'New Resources - Individual'!$F48:$Y48)</f>
        <v>0</v>
      </c>
      <c r="Y48" s="3590">
        <f>SUMIF('New Resources - Individual'!$F$6:$Y$6,Y$6,'New Resources - Individual'!$F48:$Y48)</f>
        <v>0</v>
      </c>
      <c r="AG48" s="3564"/>
      <c r="AH48" s="3564"/>
    </row>
    <row r="49" spans="1:34">
      <c r="A49" s="3175">
        <v>490</v>
      </c>
      <c r="B49" s="3176" t="s">
        <v>435</v>
      </c>
      <c r="C49" s="3177">
        <v>151</v>
      </c>
      <c r="D49" s="3177"/>
      <c r="E49" s="3178"/>
      <c r="F49" s="3586">
        <f>SUMIF('New Resources - Individual'!$F$6:$Y$6,F$6,'New Resources - Individual'!$F49:$Y49)</f>
        <v>0</v>
      </c>
      <c r="G49" s="3586">
        <f>SUMIF('New Resources - Individual'!$F$6:$Y$6,G$6,'New Resources - Individual'!$F49:$Y49)</f>
        <v>0</v>
      </c>
      <c r="H49" s="3589">
        <f>SUMIF('New Resources - Individual'!$F$6:$Y$6,H$6,'New Resources - Individual'!$F49:$Y49)</f>
        <v>0</v>
      </c>
      <c r="I49" s="3586">
        <f>SUMIF('New Resources - Individual'!$F$6:$Y$6,I$6,'New Resources - Individual'!$F49:$Y49)</f>
        <v>0</v>
      </c>
      <c r="J49" s="3589">
        <f>SUMIF('New Resources - Individual'!$F$6:$Y$6,J$6,'New Resources - Individual'!$F49:$Y49)</f>
        <v>0</v>
      </c>
      <c r="K49" s="3589">
        <f>SUMIF('New Resources - Individual'!$F$6:$Y$6,K$6,'New Resources - Individual'!$F49:$Y49)</f>
        <v>0</v>
      </c>
      <c r="L49" s="3586">
        <f>SUMIF('New Resources - Individual'!$F$6:$Y$6,L$6,'New Resources - Individual'!$F49:$Y49)</f>
        <v>0</v>
      </c>
      <c r="M49" s="3589">
        <f>SUMIF('New Resources - Individual'!$F$6:$Y$6,M$6,'New Resources - Individual'!$F49:$Y49)</f>
        <v>0</v>
      </c>
      <c r="N49" s="3586">
        <f>SUMIF('New Resources - Individual'!$F$6:$Y$6,N$6,'New Resources - Individual'!$F49:$Y49)</f>
        <v>0</v>
      </c>
      <c r="O49" s="3586">
        <f>SUMIF('New Resources - Individual'!$F$6:$Y$6,O$6,'New Resources - Individual'!$F49:$Y49)</f>
        <v>0</v>
      </c>
      <c r="P49" s="3586">
        <f>SUMIF('New Resources - Individual'!$F$6:$Y$6,P$6,'New Resources - Individual'!$F49:$Y49)</f>
        <v>0</v>
      </c>
      <c r="Q49" s="3586">
        <f>SUMIF('New Resources - Individual'!$F$6:$Y$6,Q$6,'New Resources - Individual'!$F49:$Y49)</f>
        <v>0</v>
      </c>
      <c r="R49" s="3589">
        <f>SUMIF('New Resources - Individual'!$F$6:$Y$6,R$6,'New Resources - Individual'!$F49:$Y49)</f>
        <v>0</v>
      </c>
      <c r="S49" s="3589">
        <f>SUMIF('New Resources - Individual'!$F$6:$Y$6,S$6,'New Resources - Individual'!$F49:$Y49)</f>
        <v>0</v>
      </c>
      <c r="T49" s="3589">
        <f>SUMIF('New Resources - Individual'!$F$6:$Y$6,T$6,'New Resources - Individual'!$F49:$Y49)</f>
        <v>0</v>
      </c>
      <c r="U49" s="3589">
        <f>SUMIF('New Resources - Individual'!$F$6:$Y$6,U$6,'New Resources - Individual'!$F49:$Y49)</f>
        <v>0</v>
      </c>
      <c r="V49" s="3589">
        <f>SUMIF('New Resources - Individual'!$F$6:$Y$6,V$6,'New Resources - Individual'!$F49:$Y49)</f>
        <v>0</v>
      </c>
      <c r="W49" s="3586">
        <f>SUMIF('New Resources - Individual'!$F$6:$Y$6,W$6,'New Resources - Individual'!$F49:$Y49)</f>
        <v>0</v>
      </c>
      <c r="X49" s="3589">
        <f>SUMIF('New Resources - Individual'!$F$6:$Y$6,X$6,'New Resources - Individual'!$F49:$Y49)</f>
        <v>0</v>
      </c>
      <c r="Y49" s="3590">
        <f>SUMIF('New Resources - Individual'!$F$6:$Y$6,Y$6,'New Resources - Individual'!$F49:$Y49)</f>
        <v>0</v>
      </c>
      <c r="AG49" s="3564"/>
      <c r="AH49" s="3564"/>
    </row>
    <row r="50" spans="1:34">
      <c r="A50" s="3175">
        <v>500</v>
      </c>
      <c r="B50" s="3176" t="s">
        <v>79</v>
      </c>
      <c r="C50" s="3180">
        <v>154</v>
      </c>
      <c r="D50" s="3180"/>
      <c r="E50" s="3178"/>
      <c r="F50" s="3586">
        <f>SUMIF('New Resources - Individual'!$F$6:$Y$6,F$6,'New Resources - Individual'!$F50:$Y50)</f>
        <v>0</v>
      </c>
      <c r="G50" s="3586">
        <f>SUMIF('New Resources - Individual'!$F$6:$Y$6,G$6,'New Resources - Individual'!$F50:$Y50)</f>
        <v>0</v>
      </c>
      <c r="H50" s="3589">
        <f>SUMIF('New Resources - Individual'!$F$6:$Y$6,H$6,'New Resources - Individual'!$F50:$Y50)</f>
        <v>0</v>
      </c>
      <c r="I50" s="3586">
        <f>SUMIF('New Resources - Individual'!$F$6:$Y$6,I$6,'New Resources - Individual'!$F50:$Y50)</f>
        <v>0</v>
      </c>
      <c r="J50" s="3589">
        <f>SUMIF('New Resources - Individual'!$F$6:$Y$6,J$6,'New Resources - Individual'!$F50:$Y50)</f>
        <v>0</v>
      </c>
      <c r="K50" s="3589">
        <f>SUMIF('New Resources - Individual'!$F$6:$Y$6,K$6,'New Resources - Individual'!$F50:$Y50)</f>
        <v>0</v>
      </c>
      <c r="L50" s="3586">
        <f>SUMIF('New Resources - Individual'!$F$6:$Y$6,L$6,'New Resources - Individual'!$F50:$Y50)</f>
        <v>0</v>
      </c>
      <c r="M50" s="3589">
        <f>SUMIF('New Resources - Individual'!$F$6:$Y$6,M$6,'New Resources - Individual'!$F50:$Y50)</f>
        <v>0</v>
      </c>
      <c r="N50" s="3586">
        <f>SUMIF('New Resources - Individual'!$F$6:$Y$6,N$6,'New Resources - Individual'!$F50:$Y50)</f>
        <v>0</v>
      </c>
      <c r="O50" s="3586">
        <f>SUMIF('New Resources - Individual'!$F$6:$Y$6,O$6,'New Resources - Individual'!$F50:$Y50)</f>
        <v>0</v>
      </c>
      <c r="P50" s="3586">
        <f>SUMIF('New Resources - Individual'!$F$6:$Y$6,P$6,'New Resources - Individual'!$F50:$Y50)</f>
        <v>0</v>
      </c>
      <c r="Q50" s="3586">
        <f>SUMIF('New Resources - Individual'!$F$6:$Y$6,Q$6,'New Resources - Individual'!$F50:$Y50)</f>
        <v>0</v>
      </c>
      <c r="R50" s="3589">
        <f>SUMIF('New Resources - Individual'!$F$6:$Y$6,R$6,'New Resources - Individual'!$F50:$Y50)</f>
        <v>0</v>
      </c>
      <c r="S50" s="3589">
        <f>SUMIF('New Resources - Individual'!$F$6:$Y$6,S$6,'New Resources - Individual'!$F50:$Y50)</f>
        <v>0</v>
      </c>
      <c r="T50" s="3589">
        <f>SUMIF('New Resources - Individual'!$F$6:$Y$6,T$6,'New Resources - Individual'!$F50:$Y50)</f>
        <v>0</v>
      </c>
      <c r="U50" s="3589">
        <f>SUMIF('New Resources - Individual'!$F$6:$Y$6,U$6,'New Resources - Individual'!$F50:$Y50)</f>
        <v>0</v>
      </c>
      <c r="V50" s="3589">
        <f>SUMIF('New Resources - Individual'!$F$6:$Y$6,V$6,'New Resources - Individual'!$F50:$Y50)</f>
        <v>0</v>
      </c>
      <c r="W50" s="3586">
        <f>SUMIF('New Resources - Individual'!$F$6:$Y$6,W$6,'New Resources - Individual'!$F50:$Y50)</f>
        <v>0</v>
      </c>
      <c r="X50" s="3589">
        <f>SUMIF('New Resources - Individual'!$F$6:$Y$6,X$6,'New Resources - Individual'!$F50:$Y50)</f>
        <v>0</v>
      </c>
      <c r="Y50" s="3590">
        <f>SUMIF('New Resources - Individual'!$F$6:$Y$6,Y$6,'New Resources - Individual'!$F50:$Y50)</f>
        <v>0</v>
      </c>
      <c r="AG50" s="3564"/>
      <c r="AH50" s="3564"/>
    </row>
    <row r="51" spans="1:34">
      <c r="A51" s="3175">
        <v>510</v>
      </c>
      <c r="B51" s="3176" t="s">
        <v>585</v>
      </c>
      <c r="C51" s="3180" t="s">
        <v>586</v>
      </c>
      <c r="D51" s="3180"/>
      <c r="E51" s="3178"/>
      <c r="F51" s="3586">
        <f>SUMIF('New Resources - Individual'!$F$6:$Y$6,F$6,'New Resources - Individual'!$F51:$Y51)</f>
        <v>0</v>
      </c>
      <c r="G51" s="3586">
        <f>SUMIF('New Resources - Individual'!$F$6:$Y$6,G$6,'New Resources - Individual'!$F51:$Y51)</f>
        <v>0</v>
      </c>
      <c r="H51" s="3589">
        <f>SUMIF('New Resources - Individual'!$F$6:$Y$6,H$6,'New Resources - Individual'!$F51:$Y51)</f>
        <v>0</v>
      </c>
      <c r="I51" s="3586">
        <f>SUMIF('New Resources - Individual'!$F$6:$Y$6,I$6,'New Resources - Individual'!$F51:$Y51)</f>
        <v>0</v>
      </c>
      <c r="J51" s="3589">
        <f>SUMIF('New Resources - Individual'!$F$6:$Y$6,J$6,'New Resources - Individual'!$F51:$Y51)</f>
        <v>0</v>
      </c>
      <c r="K51" s="3589">
        <f>SUMIF('New Resources - Individual'!$F$6:$Y$6,K$6,'New Resources - Individual'!$F51:$Y51)</f>
        <v>0</v>
      </c>
      <c r="L51" s="3586">
        <f>SUMIF('New Resources - Individual'!$F$6:$Y$6,L$6,'New Resources - Individual'!$F51:$Y51)</f>
        <v>0</v>
      </c>
      <c r="M51" s="3589">
        <f>SUMIF('New Resources - Individual'!$F$6:$Y$6,M$6,'New Resources - Individual'!$F51:$Y51)</f>
        <v>0</v>
      </c>
      <c r="N51" s="3586">
        <f>SUMIF('New Resources - Individual'!$F$6:$Y$6,N$6,'New Resources - Individual'!$F51:$Y51)</f>
        <v>0</v>
      </c>
      <c r="O51" s="3586">
        <f>SUMIF('New Resources - Individual'!$F$6:$Y$6,O$6,'New Resources - Individual'!$F51:$Y51)</f>
        <v>0</v>
      </c>
      <c r="P51" s="3586">
        <f>SUMIF('New Resources - Individual'!$F$6:$Y$6,P$6,'New Resources - Individual'!$F51:$Y51)</f>
        <v>0</v>
      </c>
      <c r="Q51" s="3586">
        <f>SUMIF('New Resources - Individual'!$F$6:$Y$6,Q$6,'New Resources - Individual'!$F51:$Y51)</f>
        <v>0</v>
      </c>
      <c r="R51" s="3589">
        <f>SUMIF('New Resources - Individual'!$F$6:$Y$6,R$6,'New Resources - Individual'!$F51:$Y51)</f>
        <v>0</v>
      </c>
      <c r="S51" s="3589">
        <f>SUMIF('New Resources - Individual'!$F$6:$Y$6,S$6,'New Resources - Individual'!$F51:$Y51)</f>
        <v>0</v>
      </c>
      <c r="T51" s="3589">
        <f>SUMIF('New Resources - Individual'!$F$6:$Y$6,T$6,'New Resources - Individual'!$F51:$Y51)</f>
        <v>0</v>
      </c>
      <c r="U51" s="3589">
        <f>SUMIF('New Resources - Individual'!$F$6:$Y$6,U$6,'New Resources - Individual'!$F51:$Y51)</f>
        <v>0</v>
      </c>
      <c r="V51" s="3589">
        <f>SUMIF('New Resources - Individual'!$F$6:$Y$6,V$6,'New Resources - Individual'!$F51:$Y51)</f>
        <v>0</v>
      </c>
      <c r="W51" s="3586">
        <f>SUMIF('New Resources - Individual'!$F$6:$Y$6,W$6,'New Resources - Individual'!$F51:$Y51)</f>
        <v>0</v>
      </c>
      <c r="X51" s="3589">
        <f>SUMIF('New Resources - Individual'!$F$6:$Y$6,X$6,'New Resources - Individual'!$F51:$Y51)</f>
        <v>0</v>
      </c>
      <c r="Y51" s="3590">
        <f>SUMIF('New Resources - Individual'!$F$6:$Y$6,Y$6,'New Resources - Individual'!$F51:$Y51)</f>
        <v>0</v>
      </c>
      <c r="AG51" s="3564"/>
      <c r="AH51" s="3564"/>
    </row>
    <row r="52" spans="1:34">
      <c r="A52" s="3175">
        <v>550</v>
      </c>
      <c r="B52" s="3181" t="s">
        <v>600</v>
      </c>
      <c r="C52" s="3182"/>
      <c r="D52" s="3182"/>
      <c r="E52" s="3174"/>
      <c r="F52" s="3596"/>
      <c r="G52" s="3596"/>
      <c r="H52" s="3596"/>
      <c r="I52" s="3596"/>
      <c r="J52" s="3596"/>
      <c r="K52" s="3596"/>
      <c r="L52" s="3596"/>
      <c r="M52" s="3596"/>
      <c r="N52" s="3596"/>
      <c r="O52" s="3596"/>
      <c r="P52" s="3596"/>
      <c r="Q52" s="3596"/>
      <c r="R52" s="3596"/>
      <c r="S52" s="3596"/>
      <c r="T52" s="3596"/>
      <c r="U52" s="3596"/>
      <c r="V52" s="3596"/>
      <c r="W52" s="3596"/>
      <c r="X52" s="3596"/>
      <c r="Y52" s="3597"/>
      <c r="AG52" s="3564"/>
      <c r="AH52" s="3564"/>
    </row>
    <row r="53" spans="1:34">
      <c r="A53" s="3175">
        <v>560</v>
      </c>
      <c r="B53" s="3176" t="s">
        <v>450</v>
      </c>
      <c r="C53" s="3180">
        <v>547</v>
      </c>
      <c r="D53" s="3180"/>
      <c r="E53" s="3178"/>
      <c r="F53" s="3586">
        <f>SUMIF('New Resources - Individual'!$F$6:$Y$6,F$6,'New Resources - Individual'!$F53:$Y53)</f>
        <v>0</v>
      </c>
      <c r="G53" s="3586">
        <f>SUMIF('New Resources - Individual'!$F$6:$Y$6,G$6,'New Resources - Individual'!$F53:$Y53)</f>
        <v>0</v>
      </c>
      <c r="H53" s="3589">
        <f>SUMIF('New Resources - Individual'!$F$6:$Y$6,H$6,'New Resources - Individual'!$F53:$Y53)</f>
        <v>0</v>
      </c>
      <c r="I53" s="3586">
        <f>SUMIF('New Resources - Individual'!$F$6:$Y$6,I$6,'New Resources - Individual'!$F53:$Y53)</f>
        <v>0</v>
      </c>
      <c r="J53" s="3589">
        <f>SUMIF('New Resources - Individual'!$F$6:$Y$6,J$6,'New Resources - Individual'!$F53:$Y53)</f>
        <v>0</v>
      </c>
      <c r="K53" s="3589">
        <f>SUMIF('New Resources - Individual'!$F$6:$Y$6,K$6,'New Resources - Individual'!$F53:$Y53)</f>
        <v>0</v>
      </c>
      <c r="L53" s="3586">
        <f>SUMIF('New Resources - Individual'!$F$6:$Y$6,L$6,'New Resources - Individual'!$F53:$Y53)</f>
        <v>0</v>
      </c>
      <c r="M53" s="3589">
        <f>SUMIF('New Resources - Individual'!$F$6:$Y$6,M$6,'New Resources - Individual'!$F53:$Y53)</f>
        <v>0</v>
      </c>
      <c r="N53" s="3586">
        <f>SUMIF('New Resources - Individual'!$F$6:$Y$6,N$6,'New Resources - Individual'!$F53:$Y53)</f>
        <v>0</v>
      </c>
      <c r="O53" s="3586">
        <f>SUMIF('New Resources - Individual'!$F$6:$Y$6,O$6,'New Resources - Individual'!$F53:$Y53)</f>
        <v>0</v>
      </c>
      <c r="P53" s="3586">
        <f>SUMIF('New Resources - Individual'!$F$6:$Y$6,P$6,'New Resources - Individual'!$F53:$Y53)</f>
        <v>0</v>
      </c>
      <c r="Q53" s="3586">
        <f>SUMIF('New Resources - Individual'!$F$6:$Y$6,Q$6,'New Resources - Individual'!$F53:$Y53)</f>
        <v>0</v>
      </c>
      <c r="R53" s="3589">
        <f>SUMIF('New Resources - Individual'!$F$6:$Y$6,R$6,'New Resources - Individual'!$F53:$Y53)</f>
        <v>0</v>
      </c>
      <c r="S53" s="3589">
        <f>SUMIF('New Resources - Individual'!$F$6:$Y$6,S$6,'New Resources - Individual'!$F53:$Y53)</f>
        <v>0</v>
      </c>
      <c r="T53" s="3589">
        <f>SUMIF('New Resources - Individual'!$F$6:$Y$6,T$6,'New Resources - Individual'!$F53:$Y53)</f>
        <v>0</v>
      </c>
      <c r="U53" s="3589">
        <f>SUMIF('New Resources - Individual'!$F$6:$Y$6,U$6,'New Resources - Individual'!$F53:$Y53)</f>
        <v>0</v>
      </c>
      <c r="V53" s="3589">
        <f>SUMIF('New Resources - Individual'!$F$6:$Y$6,V$6,'New Resources - Individual'!$F53:$Y53)</f>
        <v>0</v>
      </c>
      <c r="W53" s="3586">
        <f>SUMIF('New Resources - Individual'!$F$6:$Y$6,W$6,'New Resources - Individual'!$F53:$Y53)</f>
        <v>0</v>
      </c>
      <c r="X53" s="3589">
        <f>SUMIF('New Resources - Individual'!$F$6:$Y$6,X$6,'New Resources - Individual'!$F53:$Y53)</f>
        <v>0</v>
      </c>
      <c r="Y53" s="3590">
        <f>SUMIF('New Resources - Individual'!$F$6:$Y$6,Y$6,'New Resources - Individual'!$F53:$Y53)</f>
        <v>0</v>
      </c>
      <c r="AG53" s="3564"/>
      <c r="AH53" s="3564"/>
    </row>
    <row r="54" spans="1:34">
      <c r="A54" s="3175">
        <v>570</v>
      </c>
      <c r="B54" s="3176" t="s">
        <v>261</v>
      </c>
      <c r="C54" s="3180" t="s">
        <v>601</v>
      </c>
      <c r="D54" s="3180"/>
      <c r="E54" s="3178"/>
      <c r="F54" s="3586">
        <f>SUMIF('New Resources - Individual'!$F$6:$Y$6,F$6,'New Resources - Individual'!$F54:$Y54)</f>
        <v>0</v>
      </c>
      <c r="G54" s="3586">
        <f>SUMIF('New Resources - Individual'!$F$6:$Y$6,G$6,'New Resources - Individual'!$F54:$Y54)</f>
        <v>0</v>
      </c>
      <c r="H54" s="3589">
        <f>SUMIF('New Resources - Individual'!$F$6:$Y$6,H$6,'New Resources - Individual'!$F54:$Y54)</f>
        <v>0</v>
      </c>
      <c r="I54" s="3586">
        <f>SUMIF('New Resources - Individual'!$F$6:$Y$6,I$6,'New Resources - Individual'!$F54:$Y54)</f>
        <v>0</v>
      </c>
      <c r="J54" s="3589">
        <f>SUMIF('New Resources - Individual'!$F$6:$Y$6,J$6,'New Resources - Individual'!$F54:$Y54)</f>
        <v>0</v>
      </c>
      <c r="K54" s="3589">
        <f>SUMIF('New Resources - Individual'!$F$6:$Y$6,K$6,'New Resources - Individual'!$F54:$Y54)</f>
        <v>0</v>
      </c>
      <c r="L54" s="3586">
        <f>SUMIF('New Resources - Individual'!$F$6:$Y$6,L$6,'New Resources - Individual'!$F54:$Y54)</f>
        <v>0</v>
      </c>
      <c r="M54" s="3589">
        <f>SUMIF('New Resources - Individual'!$F$6:$Y$6,M$6,'New Resources - Individual'!$F54:$Y54)</f>
        <v>0</v>
      </c>
      <c r="N54" s="3586">
        <f>SUMIF('New Resources - Individual'!$F$6:$Y$6,N$6,'New Resources - Individual'!$F54:$Y54)</f>
        <v>0</v>
      </c>
      <c r="O54" s="3586">
        <f>SUMIF('New Resources - Individual'!$F$6:$Y$6,O$6,'New Resources - Individual'!$F54:$Y54)</f>
        <v>0</v>
      </c>
      <c r="P54" s="3586">
        <f>SUMIF('New Resources - Individual'!$F$6:$Y$6,P$6,'New Resources - Individual'!$F54:$Y54)</f>
        <v>0</v>
      </c>
      <c r="Q54" s="3586">
        <f>SUMIF('New Resources - Individual'!$F$6:$Y$6,Q$6,'New Resources - Individual'!$F54:$Y54)</f>
        <v>0</v>
      </c>
      <c r="R54" s="3589">
        <f>SUMIF('New Resources - Individual'!$F$6:$Y$6,R$6,'New Resources - Individual'!$F54:$Y54)</f>
        <v>0</v>
      </c>
      <c r="S54" s="3589">
        <f>SUMIF('New Resources - Individual'!$F$6:$Y$6,S$6,'New Resources - Individual'!$F54:$Y54)</f>
        <v>0</v>
      </c>
      <c r="T54" s="3589">
        <f>SUMIF('New Resources - Individual'!$F$6:$Y$6,T$6,'New Resources - Individual'!$F54:$Y54)</f>
        <v>0</v>
      </c>
      <c r="U54" s="3589">
        <f>SUMIF('New Resources - Individual'!$F$6:$Y$6,U$6,'New Resources - Individual'!$F54:$Y54)</f>
        <v>0</v>
      </c>
      <c r="V54" s="3589">
        <f>SUMIF('New Resources - Individual'!$F$6:$Y$6,V$6,'New Resources - Individual'!$F54:$Y54)</f>
        <v>0</v>
      </c>
      <c r="W54" s="3586">
        <f>SUMIF('New Resources - Individual'!$F$6:$Y$6,W$6,'New Resources - Individual'!$F54:$Y54)</f>
        <v>0</v>
      </c>
      <c r="X54" s="3589">
        <f>SUMIF('New Resources - Individual'!$F$6:$Y$6,X$6,'New Resources - Individual'!$F54:$Y54)</f>
        <v>0</v>
      </c>
      <c r="Y54" s="3590">
        <f>SUMIF('New Resources - Individual'!$F$6:$Y$6,Y$6,'New Resources - Individual'!$F54:$Y54)</f>
        <v>0</v>
      </c>
      <c r="AG54" s="3564"/>
      <c r="AH54" s="3564"/>
    </row>
    <row r="55" spans="1:34">
      <c r="A55" s="3175">
        <v>580</v>
      </c>
      <c r="B55" s="3179" t="s">
        <v>263</v>
      </c>
      <c r="C55" s="3177" t="s">
        <v>602</v>
      </c>
      <c r="D55" s="3177"/>
      <c r="E55" s="3178"/>
      <c r="F55" s="3586">
        <f>SUMIF('New Resources - Individual'!$F$6:$Y$6,F$6,'New Resources - Individual'!$F55:$Y55)</f>
        <v>0</v>
      </c>
      <c r="G55" s="3586">
        <f>SUMIF('New Resources - Individual'!$F$6:$Y$6,G$6,'New Resources - Individual'!$F55:$Y55)</f>
        <v>0</v>
      </c>
      <c r="H55" s="3589">
        <f>SUMIF('New Resources - Individual'!$F$6:$Y$6,H$6,'New Resources - Individual'!$F55:$Y55)</f>
        <v>0</v>
      </c>
      <c r="I55" s="3586">
        <f>SUMIF('New Resources - Individual'!$F$6:$Y$6,I$6,'New Resources - Individual'!$F55:$Y55)</f>
        <v>0</v>
      </c>
      <c r="J55" s="3589">
        <f>SUMIF('New Resources - Individual'!$F$6:$Y$6,J$6,'New Resources - Individual'!$F55:$Y55)</f>
        <v>0</v>
      </c>
      <c r="K55" s="3589">
        <f>SUMIF('New Resources - Individual'!$F$6:$Y$6,K$6,'New Resources - Individual'!$F55:$Y55)</f>
        <v>0</v>
      </c>
      <c r="L55" s="3586">
        <f>SUMIF('New Resources - Individual'!$F$6:$Y$6,L$6,'New Resources - Individual'!$F55:$Y55)</f>
        <v>0</v>
      </c>
      <c r="M55" s="3589">
        <f>SUMIF('New Resources - Individual'!$F$6:$Y$6,M$6,'New Resources - Individual'!$F55:$Y55)</f>
        <v>0</v>
      </c>
      <c r="N55" s="3586">
        <f>SUMIF('New Resources - Individual'!$F$6:$Y$6,N$6,'New Resources - Individual'!$F55:$Y55)</f>
        <v>0</v>
      </c>
      <c r="O55" s="3586">
        <f>SUMIF('New Resources - Individual'!$F$6:$Y$6,O$6,'New Resources - Individual'!$F55:$Y55)</f>
        <v>0</v>
      </c>
      <c r="P55" s="3586">
        <f>SUMIF('New Resources - Individual'!$F$6:$Y$6,P$6,'New Resources - Individual'!$F55:$Y55)</f>
        <v>0</v>
      </c>
      <c r="Q55" s="3586">
        <f>SUMIF('New Resources - Individual'!$F$6:$Y$6,Q$6,'New Resources - Individual'!$F55:$Y55)</f>
        <v>0</v>
      </c>
      <c r="R55" s="3589">
        <f>SUMIF('New Resources - Individual'!$F$6:$Y$6,R$6,'New Resources - Individual'!$F55:$Y55)</f>
        <v>0</v>
      </c>
      <c r="S55" s="3589">
        <f>SUMIF('New Resources - Individual'!$F$6:$Y$6,S$6,'New Resources - Individual'!$F55:$Y55)</f>
        <v>0</v>
      </c>
      <c r="T55" s="3589">
        <f>SUMIF('New Resources - Individual'!$F$6:$Y$6,T$6,'New Resources - Individual'!$F55:$Y55)</f>
        <v>0</v>
      </c>
      <c r="U55" s="3589">
        <f>SUMIF('New Resources - Individual'!$F$6:$Y$6,U$6,'New Resources - Individual'!$F55:$Y55)</f>
        <v>0</v>
      </c>
      <c r="V55" s="3589">
        <f>SUMIF('New Resources - Individual'!$F$6:$Y$6,V$6,'New Resources - Individual'!$F55:$Y55)</f>
        <v>0</v>
      </c>
      <c r="W55" s="3586">
        <f>SUMIF('New Resources - Individual'!$F$6:$Y$6,W$6,'New Resources - Individual'!$F55:$Y55)</f>
        <v>0</v>
      </c>
      <c r="X55" s="3589">
        <f>SUMIF('New Resources - Individual'!$F$6:$Y$6,X$6,'New Resources - Individual'!$F55:$Y55)</f>
        <v>0</v>
      </c>
      <c r="Y55" s="3590">
        <f>SUMIF('New Resources - Individual'!$F$6:$Y$6,Y$6,'New Resources - Individual'!$F55:$Y55)</f>
        <v>0</v>
      </c>
      <c r="AG55" s="3564"/>
      <c r="AH55" s="3564"/>
    </row>
    <row r="56" spans="1:34">
      <c r="A56" s="3175">
        <v>590</v>
      </c>
      <c r="B56" s="3176" t="s">
        <v>167</v>
      </c>
      <c r="C56" s="3180">
        <v>924</v>
      </c>
      <c r="D56" s="3180"/>
      <c r="E56" s="3178"/>
      <c r="F56" s="3586">
        <f>SUMIF('New Resources - Individual'!$F$6:$Y$6,F$6,'New Resources - Individual'!$F56:$Y56)</f>
        <v>0</v>
      </c>
      <c r="G56" s="3586">
        <f>SUMIF('New Resources - Individual'!$F$6:$Y$6,G$6,'New Resources - Individual'!$F56:$Y56)</f>
        <v>0</v>
      </c>
      <c r="H56" s="3589">
        <f>SUMIF('New Resources - Individual'!$F$6:$Y$6,H$6,'New Resources - Individual'!$F56:$Y56)</f>
        <v>0</v>
      </c>
      <c r="I56" s="3586">
        <f>SUMIF('New Resources - Individual'!$F$6:$Y$6,I$6,'New Resources - Individual'!$F56:$Y56)</f>
        <v>0</v>
      </c>
      <c r="J56" s="3589">
        <f>SUMIF('New Resources - Individual'!$F$6:$Y$6,J$6,'New Resources - Individual'!$F56:$Y56)</f>
        <v>0</v>
      </c>
      <c r="K56" s="3589">
        <f>SUMIF('New Resources - Individual'!$F$6:$Y$6,K$6,'New Resources - Individual'!$F56:$Y56)</f>
        <v>0</v>
      </c>
      <c r="L56" s="3586">
        <f>SUMIF('New Resources - Individual'!$F$6:$Y$6,L$6,'New Resources - Individual'!$F56:$Y56)</f>
        <v>0</v>
      </c>
      <c r="M56" s="3589">
        <f>SUMIF('New Resources - Individual'!$F$6:$Y$6,M$6,'New Resources - Individual'!$F56:$Y56)</f>
        <v>0</v>
      </c>
      <c r="N56" s="3586">
        <f>SUMIF('New Resources - Individual'!$F$6:$Y$6,N$6,'New Resources - Individual'!$F56:$Y56)</f>
        <v>0</v>
      </c>
      <c r="O56" s="3586">
        <f>SUMIF('New Resources - Individual'!$F$6:$Y$6,O$6,'New Resources - Individual'!$F56:$Y56)</f>
        <v>0</v>
      </c>
      <c r="P56" s="3586">
        <f>SUMIF('New Resources - Individual'!$F$6:$Y$6,P$6,'New Resources - Individual'!$F56:$Y56)</f>
        <v>0</v>
      </c>
      <c r="Q56" s="3586">
        <f>SUMIF('New Resources - Individual'!$F$6:$Y$6,Q$6,'New Resources - Individual'!$F56:$Y56)</f>
        <v>0</v>
      </c>
      <c r="R56" s="3589">
        <f>SUMIF('New Resources - Individual'!$F$6:$Y$6,R$6,'New Resources - Individual'!$F56:$Y56)</f>
        <v>0</v>
      </c>
      <c r="S56" s="3589">
        <f>SUMIF('New Resources - Individual'!$F$6:$Y$6,S$6,'New Resources - Individual'!$F56:$Y56)</f>
        <v>0</v>
      </c>
      <c r="T56" s="3589">
        <f>SUMIF('New Resources - Individual'!$F$6:$Y$6,T$6,'New Resources - Individual'!$F56:$Y56)</f>
        <v>0</v>
      </c>
      <c r="U56" s="3589">
        <f>SUMIF('New Resources - Individual'!$F$6:$Y$6,U$6,'New Resources - Individual'!$F56:$Y56)</f>
        <v>0</v>
      </c>
      <c r="V56" s="3589">
        <f>SUMIF('New Resources - Individual'!$F$6:$Y$6,V$6,'New Resources - Individual'!$F56:$Y56)</f>
        <v>0</v>
      </c>
      <c r="W56" s="3586">
        <f>SUMIF('New Resources - Individual'!$F$6:$Y$6,W$6,'New Resources - Individual'!$F56:$Y56)</f>
        <v>0</v>
      </c>
      <c r="X56" s="3589">
        <f>SUMIF('New Resources - Individual'!$F$6:$Y$6,X$6,'New Resources - Individual'!$F56:$Y56)</f>
        <v>0</v>
      </c>
      <c r="Y56" s="3590">
        <f>SUMIF('New Resources - Individual'!$F$6:$Y$6,Y$6,'New Resources - Individual'!$F56:$Y56)</f>
        <v>0</v>
      </c>
      <c r="AG56" s="3564"/>
      <c r="AH56" s="3564"/>
    </row>
    <row r="57" spans="1:34">
      <c r="A57" s="3175">
        <v>600</v>
      </c>
      <c r="B57" s="3176" t="s">
        <v>589</v>
      </c>
      <c r="C57" s="3177">
        <v>403</v>
      </c>
      <c r="D57" s="3177" t="s">
        <v>590</v>
      </c>
      <c r="E57" s="3178"/>
      <c r="F57" s="3586">
        <f>SUMIF('New Resources - Individual'!$F$6:$Y$6,F$6,'New Resources - Individual'!$F57:$Y57)</f>
        <v>0</v>
      </c>
      <c r="G57" s="3586">
        <f>SUMIF('New Resources - Individual'!$F$6:$Y$6,G$6,'New Resources - Individual'!$F57:$Y57)</f>
        <v>0</v>
      </c>
      <c r="H57" s="3589">
        <f>SUMIF('New Resources - Individual'!$F$6:$Y$6,H$6,'New Resources - Individual'!$F57:$Y57)</f>
        <v>0</v>
      </c>
      <c r="I57" s="3586">
        <f>SUMIF('New Resources - Individual'!$F$6:$Y$6,I$6,'New Resources - Individual'!$F57:$Y57)</f>
        <v>0</v>
      </c>
      <c r="J57" s="3589">
        <f>SUMIF('New Resources - Individual'!$F$6:$Y$6,J$6,'New Resources - Individual'!$F57:$Y57)</f>
        <v>0</v>
      </c>
      <c r="K57" s="3589">
        <f>SUMIF('New Resources - Individual'!$F$6:$Y$6,K$6,'New Resources - Individual'!$F57:$Y57)</f>
        <v>0</v>
      </c>
      <c r="L57" s="3586">
        <f>SUMIF('New Resources - Individual'!$F$6:$Y$6,L$6,'New Resources - Individual'!$F57:$Y57)</f>
        <v>0</v>
      </c>
      <c r="M57" s="3589">
        <f>SUMIF('New Resources - Individual'!$F$6:$Y$6,M$6,'New Resources - Individual'!$F57:$Y57)</f>
        <v>0</v>
      </c>
      <c r="N57" s="3586">
        <f>SUMIF('New Resources - Individual'!$F$6:$Y$6,N$6,'New Resources - Individual'!$F57:$Y57)</f>
        <v>0</v>
      </c>
      <c r="O57" s="3586">
        <f>SUMIF('New Resources - Individual'!$F$6:$Y$6,O$6,'New Resources - Individual'!$F57:$Y57)</f>
        <v>0</v>
      </c>
      <c r="P57" s="3586">
        <f>SUMIF('New Resources - Individual'!$F$6:$Y$6,P$6,'New Resources - Individual'!$F57:$Y57)</f>
        <v>0</v>
      </c>
      <c r="Q57" s="3586">
        <f>SUMIF('New Resources - Individual'!$F$6:$Y$6,Q$6,'New Resources - Individual'!$F57:$Y57)</f>
        <v>0</v>
      </c>
      <c r="R57" s="3589">
        <f>SUMIF('New Resources - Individual'!$F$6:$Y$6,R$6,'New Resources - Individual'!$F57:$Y57)</f>
        <v>0</v>
      </c>
      <c r="S57" s="3589">
        <f>SUMIF('New Resources - Individual'!$F$6:$Y$6,S$6,'New Resources - Individual'!$F57:$Y57)</f>
        <v>0</v>
      </c>
      <c r="T57" s="3589">
        <f>SUMIF('New Resources - Individual'!$F$6:$Y$6,T$6,'New Resources - Individual'!$F57:$Y57)</f>
        <v>0</v>
      </c>
      <c r="U57" s="3589">
        <f>SUMIF('New Resources - Individual'!$F$6:$Y$6,U$6,'New Resources - Individual'!$F57:$Y57)</f>
        <v>0</v>
      </c>
      <c r="V57" s="3589">
        <f>SUMIF('New Resources - Individual'!$F$6:$Y$6,V$6,'New Resources - Individual'!$F57:$Y57)</f>
        <v>0</v>
      </c>
      <c r="W57" s="3586">
        <f>SUMIF('New Resources - Individual'!$F$6:$Y$6,W$6,'New Resources - Individual'!$F57:$Y57)</f>
        <v>0</v>
      </c>
      <c r="X57" s="3589">
        <f>SUMIF('New Resources - Individual'!$F$6:$Y$6,X$6,'New Resources - Individual'!$F57:$Y57)</f>
        <v>0</v>
      </c>
      <c r="Y57" s="3590">
        <f>SUMIF('New Resources - Individual'!$F$6:$Y$6,Y$6,'New Resources - Individual'!$F57:$Y57)</f>
        <v>0</v>
      </c>
      <c r="AG57" s="3564"/>
      <c r="AH57" s="3564"/>
    </row>
    <row r="58" spans="1:34">
      <c r="A58" s="3175">
        <v>610</v>
      </c>
      <c r="B58" s="3176" t="s">
        <v>591</v>
      </c>
      <c r="C58" s="3177">
        <v>447</v>
      </c>
      <c r="D58" s="3177" t="s">
        <v>592</v>
      </c>
      <c r="E58" s="3178"/>
      <c r="F58" s="3586">
        <f>SUMIF('New Resources - Individual'!$F$6:$Y$6,F$6,'New Resources - Individual'!$F58:$Y58)</f>
        <v>0</v>
      </c>
      <c r="G58" s="3586">
        <f>SUMIF('New Resources - Individual'!$F$6:$Y$6,G$6,'New Resources - Individual'!$F58:$Y58)</f>
        <v>0</v>
      </c>
      <c r="H58" s="3589">
        <f>SUMIF('New Resources - Individual'!$F$6:$Y$6,H$6,'New Resources - Individual'!$F58:$Y58)</f>
        <v>0</v>
      </c>
      <c r="I58" s="3586">
        <f>SUMIF('New Resources - Individual'!$F$6:$Y$6,I$6,'New Resources - Individual'!$F58:$Y58)</f>
        <v>0</v>
      </c>
      <c r="J58" s="3589">
        <f>SUMIF('New Resources - Individual'!$F$6:$Y$6,J$6,'New Resources - Individual'!$F58:$Y58)</f>
        <v>0</v>
      </c>
      <c r="K58" s="3589">
        <f>SUMIF('New Resources - Individual'!$F$6:$Y$6,K$6,'New Resources - Individual'!$F58:$Y58)</f>
        <v>0</v>
      </c>
      <c r="L58" s="3586">
        <f>SUMIF('New Resources - Individual'!$F$6:$Y$6,L$6,'New Resources - Individual'!$F58:$Y58)</f>
        <v>0</v>
      </c>
      <c r="M58" s="3589">
        <f>SUMIF('New Resources - Individual'!$F$6:$Y$6,M$6,'New Resources - Individual'!$F58:$Y58)</f>
        <v>0</v>
      </c>
      <c r="N58" s="3586">
        <f>SUMIF('New Resources - Individual'!$F$6:$Y$6,N$6,'New Resources - Individual'!$F58:$Y58)</f>
        <v>0</v>
      </c>
      <c r="O58" s="3586">
        <f>SUMIF('New Resources - Individual'!$F$6:$Y$6,O$6,'New Resources - Individual'!$F58:$Y58)</f>
        <v>0</v>
      </c>
      <c r="P58" s="3586">
        <f>SUMIF('New Resources - Individual'!$F$6:$Y$6,P$6,'New Resources - Individual'!$F58:$Y58)</f>
        <v>0</v>
      </c>
      <c r="Q58" s="3586">
        <f>SUMIF('New Resources - Individual'!$F$6:$Y$6,Q$6,'New Resources - Individual'!$F58:$Y58)</f>
        <v>0</v>
      </c>
      <c r="R58" s="3589">
        <f>SUMIF('New Resources - Individual'!$F$6:$Y$6,R$6,'New Resources - Individual'!$F58:$Y58)</f>
        <v>0</v>
      </c>
      <c r="S58" s="3589">
        <f>SUMIF('New Resources - Individual'!$F$6:$Y$6,S$6,'New Resources - Individual'!$F58:$Y58)</f>
        <v>0</v>
      </c>
      <c r="T58" s="3589">
        <f>SUMIF('New Resources - Individual'!$F$6:$Y$6,T$6,'New Resources - Individual'!$F58:$Y58)</f>
        <v>0</v>
      </c>
      <c r="U58" s="3589">
        <f>SUMIF('New Resources - Individual'!$F$6:$Y$6,U$6,'New Resources - Individual'!$F58:$Y58)</f>
        <v>0</v>
      </c>
      <c r="V58" s="3589">
        <f>SUMIF('New Resources - Individual'!$F$6:$Y$6,V$6,'New Resources - Individual'!$F58:$Y58)</f>
        <v>0</v>
      </c>
      <c r="W58" s="3586">
        <f>SUMIF('New Resources - Individual'!$F$6:$Y$6,W$6,'New Resources - Individual'!$F58:$Y58)</f>
        <v>0</v>
      </c>
      <c r="X58" s="3589">
        <f>SUMIF('New Resources - Individual'!$F$6:$Y$6,X$6,'New Resources - Individual'!$F58:$Y58)</f>
        <v>0</v>
      </c>
      <c r="Y58" s="3590">
        <f>SUMIF('New Resources - Individual'!$F$6:$Y$6,Y$6,'New Resources - Individual'!$F58:$Y58)</f>
        <v>0</v>
      </c>
      <c r="AG58" s="3564"/>
      <c r="AH58" s="3564"/>
    </row>
    <row r="59" spans="1:34">
      <c r="A59" s="3175">
        <v>620</v>
      </c>
      <c r="B59" s="3179" t="s">
        <v>593</v>
      </c>
      <c r="C59" s="3180"/>
      <c r="D59" s="3177" t="s">
        <v>592</v>
      </c>
      <c r="E59" s="3178"/>
      <c r="F59" s="3586">
        <f>SUMIF('New Resources - Individual'!$F$6:$Y$6,F$6,'New Resources - Individual'!$F59:$Y59)</f>
        <v>0</v>
      </c>
      <c r="G59" s="3586">
        <f>SUMIF('New Resources - Individual'!$F$6:$Y$6,G$6,'New Resources - Individual'!$F59:$Y59)</f>
        <v>0</v>
      </c>
      <c r="H59" s="3589">
        <f>SUMIF('New Resources - Individual'!$F$6:$Y$6,H$6,'New Resources - Individual'!$F59:$Y59)</f>
        <v>0</v>
      </c>
      <c r="I59" s="3586">
        <f>SUMIF('New Resources - Individual'!$F$6:$Y$6,I$6,'New Resources - Individual'!$F59:$Y59)</f>
        <v>0</v>
      </c>
      <c r="J59" s="3589">
        <f>SUMIF('New Resources - Individual'!$F$6:$Y$6,J$6,'New Resources - Individual'!$F59:$Y59)</f>
        <v>0</v>
      </c>
      <c r="K59" s="3589">
        <f>SUMIF('New Resources - Individual'!$F$6:$Y$6,K$6,'New Resources - Individual'!$F59:$Y59)</f>
        <v>0</v>
      </c>
      <c r="L59" s="3586">
        <f>SUMIF('New Resources - Individual'!$F$6:$Y$6,L$6,'New Resources - Individual'!$F59:$Y59)</f>
        <v>0</v>
      </c>
      <c r="M59" s="3589">
        <f>SUMIF('New Resources - Individual'!$F$6:$Y$6,M$6,'New Resources - Individual'!$F59:$Y59)</f>
        <v>0</v>
      </c>
      <c r="N59" s="3586">
        <f>SUMIF('New Resources - Individual'!$F$6:$Y$6,N$6,'New Resources - Individual'!$F59:$Y59)</f>
        <v>0</v>
      </c>
      <c r="O59" s="3586">
        <f>SUMIF('New Resources - Individual'!$F$6:$Y$6,O$6,'New Resources - Individual'!$F59:$Y59)</f>
        <v>0</v>
      </c>
      <c r="P59" s="3586">
        <f>SUMIF('New Resources - Individual'!$F$6:$Y$6,P$6,'New Resources - Individual'!$F59:$Y59)</f>
        <v>0</v>
      </c>
      <c r="Q59" s="3586">
        <f>SUMIF('New Resources - Individual'!$F$6:$Y$6,Q$6,'New Resources - Individual'!$F59:$Y59)</f>
        <v>0</v>
      </c>
      <c r="R59" s="3589">
        <f>SUMIF('New Resources - Individual'!$F$6:$Y$6,R$6,'New Resources - Individual'!$F59:$Y59)</f>
        <v>0</v>
      </c>
      <c r="S59" s="3589">
        <f>SUMIF('New Resources - Individual'!$F$6:$Y$6,S$6,'New Resources - Individual'!$F59:$Y59)</f>
        <v>0</v>
      </c>
      <c r="T59" s="3589">
        <f>SUMIF('New Resources - Individual'!$F$6:$Y$6,T$6,'New Resources - Individual'!$F59:$Y59)</f>
        <v>0</v>
      </c>
      <c r="U59" s="3589">
        <f>SUMIF('New Resources - Individual'!$F$6:$Y$6,U$6,'New Resources - Individual'!$F59:$Y59)</f>
        <v>0</v>
      </c>
      <c r="V59" s="3589">
        <f>SUMIF('New Resources - Individual'!$F$6:$Y$6,V$6,'New Resources - Individual'!$F59:$Y59)</f>
        <v>0</v>
      </c>
      <c r="W59" s="3586">
        <f>SUMIF('New Resources - Individual'!$F$6:$Y$6,W$6,'New Resources - Individual'!$F59:$Y59)</f>
        <v>0</v>
      </c>
      <c r="X59" s="3589">
        <f>SUMIF('New Resources - Individual'!$F$6:$Y$6,X$6,'New Resources - Individual'!$F59:$Y59)</f>
        <v>0</v>
      </c>
      <c r="Y59" s="3590">
        <f>SUMIF('New Resources - Individual'!$F$6:$Y$6,Y$6,'New Resources - Individual'!$F59:$Y59)</f>
        <v>0</v>
      </c>
      <c r="AG59" s="3564"/>
      <c r="AH59" s="3564"/>
    </row>
    <row r="60" spans="1:34">
      <c r="A60" s="3175">
        <v>630</v>
      </c>
      <c r="B60" s="3176" t="s">
        <v>594</v>
      </c>
      <c r="C60" s="3177"/>
      <c r="D60" s="3177" t="s">
        <v>592</v>
      </c>
      <c r="E60" s="3178"/>
      <c r="F60" s="3586">
        <f>SUMIF('New Resources - Individual'!$F$6:$Y$6,F$6,'New Resources - Individual'!$F60:$Y60)</f>
        <v>0</v>
      </c>
      <c r="G60" s="3586">
        <f>SUMIF('New Resources - Individual'!$F$6:$Y$6,G$6,'New Resources - Individual'!$F60:$Y60)</f>
        <v>0</v>
      </c>
      <c r="H60" s="3589">
        <f>SUMIF('New Resources - Individual'!$F$6:$Y$6,H$6,'New Resources - Individual'!$F60:$Y60)</f>
        <v>0</v>
      </c>
      <c r="I60" s="3586">
        <f>SUMIF('New Resources - Individual'!$F$6:$Y$6,I$6,'New Resources - Individual'!$F60:$Y60)</f>
        <v>0</v>
      </c>
      <c r="J60" s="3589">
        <f>SUMIF('New Resources - Individual'!$F$6:$Y$6,J$6,'New Resources - Individual'!$F60:$Y60)</f>
        <v>0</v>
      </c>
      <c r="K60" s="3589">
        <f>SUMIF('New Resources - Individual'!$F$6:$Y$6,K$6,'New Resources - Individual'!$F60:$Y60)</f>
        <v>0</v>
      </c>
      <c r="L60" s="3586">
        <f>SUMIF('New Resources - Individual'!$F$6:$Y$6,L$6,'New Resources - Individual'!$F60:$Y60)</f>
        <v>0</v>
      </c>
      <c r="M60" s="3589">
        <f>SUMIF('New Resources - Individual'!$F$6:$Y$6,M$6,'New Resources - Individual'!$F60:$Y60)</f>
        <v>0</v>
      </c>
      <c r="N60" s="3586">
        <f>SUMIF('New Resources - Individual'!$F$6:$Y$6,N$6,'New Resources - Individual'!$F60:$Y60)</f>
        <v>0</v>
      </c>
      <c r="O60" s="3586">
        <f>SUMIF('New Resources - Individual'!$F$6:$Y$6,O$6,'New Resources - Individual'!$F60:$Y60)</f>
        <v>0</v>
      </c>
      <c r="P60" s="3586">
        <f>SUMIF('New Resources - Individual'!$F$6:$Y$6,P$6,'New Resources - Individual'!$F60:$Y60)</f>
        <v>0</v>
      </c>
      <c r="Q60" s="3586">
        <f>SUMIF('New Resources - Individual'!$F$6:$Y$6,Q$6,'New Resources - Individual'!$F60:$Y60)</f>
        <v>0</v>
      </c>
      <c r="R60" s="3589">
        <f>SUMIF('New Resources - Individual'!$F$6:$Y$6,R$6,'New Resources - Individual'!$F60:$Y60)</f>
        <v>0</v>
      </c>
      <c r="S60" s="3589">
        <f>SUMIF('New Resources - Individual'!$F$6:$Y$6,S$6,'New Resources - Individual'!$F60:$Y60)</f>
        <v>0</v>
      </c>
      <c r="T60" s="3589">
        <f>SUMIF('New Resources - Individual'!$F$6:$Y$6,T$6,'New Resources - Individual'!$F60:$Y60)</f>
        <v>0</v>
      </c>
      <c r="U60" s="3589">
        <f>SUMIF('New Resources - Individual'!$F$6:$Y$6,U$6,'New Resources - Individual'!$F60:$Y60)</f>
        <v>0</v>
      </c>
      <c r="V60" s="3589">
        <f>SUMIF('New Resources - Individual'!$F$6:$Y$6,V$6,'New Resources - Individual'!$F60:$Y60)</f>
        <v>0</v>
      </c>
      <c r="W60" s="3586">
        <f>SUMIF('New Resources - Individual'!$F$6:$Y$6,W$6,'New Resources - Individual'!$F60:$Y60)</f>
        <v>0</v>
      </c>
      <c r="X60" s="3589">
        <f>SUMIF('New Resources - Individual'!$F$6:$Y$6,X$6,'New Resources - Individual'!$F60:$Y60)</f>
        <v>0</v>
      </c>
      <c r="Y60" s="3590">
        <f>SUMIF('New Resources - Individual'!$F$6:$Y$6,Y$6,'New Resources - Individual'!$F60:$Y60)</f>
        <v>0</v>
      </c>
      <c r="AG60" s="3564"/>
      <c r="AH60" s="3564"/>
    </row>
    <row r="61" spans="1:34">
      <c r="A61" s="3175">
        <v>640</v>
      </c>
      <c r="B61" s="3181" t="s">
        <v>603</v>
      </c>
      <c r="C61" s="3182"/>
      <c r="D61" s="3182"/>
      <c r="E61" s="3174"/>
      <c r="F61" s="3591"/>
      <c r="G61" s="3591"/>
      <c r="H61" s="3591"/>
      <c r="I61" s="3591"/>
      <c r="J61" s="3591"/>
      <c r="K61" s="3591"/>
      <c r="L61" s="3591"/>
      <c r="M61" s="3591"/>
      <c r="N61" s="3591"/>
      <c r="O61" s="3591"/>
      <c r="P61" s="3591"/>
      <c r="Q61" s="3591"/>
      <c r="R61" s="3591"/>
      <c r="S61" s="3591"/>
      <c r="T61" s="3591"/>
      <c r="U61" s="3591"/>
      <c r="V61" s="3591"/>
      <c r="W61" s="3591"/>
      <c r="X61" s="3591"/>
      <c r="Y61" s="3592"/>
      <c r="AG61" s="3564"/>
      <c r="AH61" s="3564"/>
    </row>
    <row r="62" spans="1:34">
      <c r="A62" s="3175">
        <v>650</v>
      </c>
      <c r="B62" s="3176" t="s">
        <v>604</v>
      </c>
      <c r="C62" s="3180">
        <v>262</v>
      </c>
      <c r="D62" s="3180"/>
      <c r="E62" s="3178"/>
      <c r="F62" s="3586">
        <f>SUMIF('New Resources - Individual'!$F$6:$Y$6,F$6,'New Resources - Individual'!$F62:$Y62)</f>
        <v>0</v>
      </c>
      <c r="G62" s="3586">
        <f>SUMIF('New Resources - Individual'!$F$6:$Y$6,G$6,'New Resources - Individual'!$F62:$Y62)</f>
        <v>0</v>
      </c>
      <c r="H62" s="3589">
        <f>SUMIF('New Resources - Individual'!$F$6:$Y$6,H$6,'New Resources - Individual'!$F62:$Y62)</f>
        <v>0</v>
      </c>
      <c r="I62" s="3586">
        <f>SUMIF('New Resources - Individual'!$F$6:$Y$6,I$6,'New Resources - Individual'!$F62:$Y62)</f>
        <v>0</v>
      </c>
      <c r="J62" s="3589">
        <f>SUMIF('New Resources - Individual'!$F$6:$Y$6,J$6,'New Resources - Individual'!$F62:$Y62)</f>
        <v>0</v>
      </c>
      <c r="K62" s="3589">
        <f>SUMIF('New Resources - Individual'!$F$6:$Y$6,K$6,'New Resources - Individual'!$F62:$Y62)</f>
        <v>0</v>
      </c>
      <c r="L62" s="3586">
        <f>SUMIF('New Resources - Individual'!$F$6:$Y$6,L$6,'New Resources - Individual'!$F62:$Y62)</f>
        <v>0</v>
      </c>
      <c r="M62" s="3589">
        <f>SUMIF('New Resources - Individual'!$F$6:$Y$6,M$6,'New Resources - Individual'!$F62:$Y62)</f>
        <v>0</v>
      </c>
      <c r="N62" s="3586">
        <f>SUMIF('New Resources - Individual'!$F$6:$Y$6,N$6,'New Resources - Individual'!$F62:$Y62)</f>
        <v>0</v>
      </c>
      <c r="O62" s="3586">
        <f>SUMIF('New Resources - Individual'!$F$6:$Y$6,O$6,'New Resources - Individual'!$F62:$Y62)</f>
        <v>0</v>
      </c>
      <c r="P62" s="3586">
        <f>SUMIF('New Resources - Individual'!$F$6:$Y$6,P$6,'New Resources - Individual'!$F62:$Y62)</f>
        <v>0</v>
      </c>
      <c r="Q62" s="3586">
        <f>SUMIF('New Resources - Individual'!$F$6:$Y$6,Q$6,'New Resources - Individual'!$F62:$Y62)</f>
        <v>0</v>
      </c>
      <c r="R62" s="3589">
        <f>SUMIF('New Resources - Individual'!$F$6:$Y$6,R$6,'New Resources - Individual'!$F62:$Y62)</f>
        <v>0</v>
      </c>
      <c r="S62" s="3589">
        <f>SUMIF('New Resources - Individual'!$F$6:$Y$6,S$6,'New Resources - Individual'!$F62:$Y62)</f>
        <v>0</v>
      </c>
      <c r="T62" s="3589">
        <f>SUMIF('New Resources - Individual'!$F$6:$Y$6,T$6,'New Resources - Individual'!$F62:$Y62)</f>
        <v>0</v>
      </c>
      <c r="U62" s="3589">
        <f>SUMIF('New Resources - Individual'!$F$6:$Y$6,U$6,'New Resources - Individual'!$F62:$Y62)</f>
        <v>0</v>
      </c>
      <c r="V62" s="3589">
        <f>SUMIF('New Resources - Individual'!$F$6:$Y$6,V$6,'New Resources - Individual'!$F62:$Y62)</f>
        <v>0</v>
      </c>
      <c r="W62" s="3586">
        <f>SUMIF('New Resources - Individual'!$F$6:$Y$6,W$6,'New Resources - Individual'!$F62:$Y62)</f>
        <v>0</v>
      </c>
      <c r="X62" s="3589">
        <f>SUMIF('New Resources - Individual'!$F$6:$Y$6,X$6,'New Resources - Individual'!$F62:$Y62)</f>
        <v>0</v>
      </c>
      <c r="Y62" s="3590">
        <f>SUMIF('New Resources - Individual'!$F$6:$Y$6,Y$6,'New Resources - Individual'!$F62:$Y62)</f>
        <v>0</v>
      </c>
      <c r="AG62" s="3564"/>
      <c r="AH62" s="3564"/>
    </row>
    <row r="63" spans="1:34">
      <c r="A63" s="3175">
        <v>660</v>
      </c>
      <c r="B63" s="3181" t="s">
        <v>285</v>
      </c>
      <c r="C63" s="3177"/>
      <c r="D63" s="3177"/>
      <c r="E63" s="3178"/>
      <c r="F63" s="3586">
        <f>SUMIF('New Resources - Individual'!$F$6:$Y$6,F$6,'New Resources - Individual'!$F63:$Y63)</f>
        <v>0</v>
      </c>
      <c r="G63" s="3586">
        <f>SUMIF('New Resources - Individual'!$F$6:$Y$6,G$6,'New Resources - Individual'!$F63:$Y63)</f>
        <v>0</v>
      </c>
      <c r="H63" s="3589">
        <f>SUMIF('New Resources - Individual'!$F$6:$Y$6,H$6,'New Resources - Individual'!$F63:$Y63)</f>
        <v>0</v>
      </c>
      <c r="I63" s="3586">
        <f>SUMIF('New Resources - Individual'!$F$6:$Y$6,I$6,'New Resources - Individual'!$F63:$Y63)</f>
        <v>0</v>
      </c>
      <c r="J63" s="3589">
        <f>SUMIF('New Resources - Individual'!$F$6:$Y$6,J$6,'New Resources - Individual'!$F63:$Y63)</f>
        <v>0</v>
      </c>
      <c r="K63" s="3589">
        <f>SUMIF('New Resources - Individual'!$F$6:$Y$6,K$6,'New Resources - Individual'!$F63:$Y63)</f>
        <v>0</v>
      </c>
      <c r="L63" s="3589">
        <f>SUMIF('New Resources - Individual'!$F$6:$Y$6,L$6,'New Resources - Individual'!$F63:$Y63)</f>
        <v>0</v>
      </c>
      <c r="M63" s="3589">
        <f>SUMIF('New Resources - Individual'!$F$6:$Y$6,M$6,'New Resources - Individual'!$F63:$Y63)</f>
        <v>0</v>
      </c>
      <c r="N63" s="3589">
        <f>SUMIF('New Resources - Individual'!$F$6:$Y$6,N$6,'New Resources - Individual'!$F63:$Y63)</f>
        <v>0</v>
      </c>
      <c r="O63" s="3589">
        <f>SUMIF('New Resources - Individual'!$F$6:$Y$6,O$6,'New Resources - Individual'!$F63:$Y63)</f>
        <v>0</v>
      </c>
      <c r="P63" s="3589">
        <f>SUMIF('New Resources - Individual'!$F$6:$Y$6,P$6,'New Resources - Individual'!$F63:$Y63)</f>
        <v>0</v>
      </c>
      <c r="Q63" s="3589">
        <f>SUMIF('New Resources - Individual'!$F$6:$Y$6,Q$6,'New Resources - Individual'!$F63:$Y63)</f>
        <v>0</v>
      </c>
      <c r="R63" s="3589">
        <f>SUMIF('New Resources - Individual'!$F$6:$Y$6,R$6,'New Resources - Individual'!$F63:$Y63)</f>
        <v>0</v>
      </c>
      <c r="S63" s="3589">
        <f>SUMIF('New Resources - Individual'!$F$6:$Y$6,S$6,'New Resources - Individual'!$F63:$Y63)</f>
        <v>0</v>
      </c>
      <c r="T63" s="3589">
        <f>SUMIF('New Resources - Individual'!$F$6:$Y$6,T$6,'New Resources - Individual'!$F63:$Y63)</f>
        <v>0</v>
      </c>
      <c r="U63" s="3589">
        <f>SUMIF('New Resources - Individual'!$F$6:$Y$6,U$6,'New Resources - Individual'!$F63:$Y63)</f>
        <v>0</v>
      </c>
      <c r="V63" s="3589">
        <f>SUMIF('New Resources - Individual'!$F$6:$Y$6,V$6,'New Resources - Individual'!$F63:$Y63)</f>
        <v>0</v>
      </c>
      <c r="W63" s="3589">
        <f>SUMIF('New Resources - Individual'!$F$6:$Y$6,W$6,'New Resources - Individual'!$F63:$Y63)</f>
        <v>0</v>
      </c>
      <c r="X63" s="3589">
        <f>SUMIF('New Resources - Individual'!$F$6:$Y$6,X$6,'New Resources - Individual'!$F63:$Y63)</f>
        <v>0</v>
      </c>
      <c r="Y63" s="3590">
        <f>SUMIF('New Resources - Individual'!$F$6:$Y$6,Y$6,'New Resources - Individual'!$F63:$Y63)</f>
        <v>0</v>
      </c>
      <c r="AG63" s="3564"/>
      <c r="AH63" s="3564"/>
    </row>
    <row r="64" spans="1:34">
      <c r="A64" s="3175">
        <v>670</v>
      </c>
      <c r="B64" s="3176" t="s">
        <v>286</v>
      </c>
      <c r="C64" s="3180"/>
      <c r="D64" s="3180"/>
      <c r="E64" s="3178"/>
      <c r="F64" s="3586">
        <f>SUMIF('New Resources - Individual'!$F$6:$Y$6,F$6,'New Resources - Individual'!$F64:$Y64)</f>
        <v>0</v>
      </c>
      <c r="G64" s="3586">
        <f>SUMIF('New Resources - Individual'!$F$6:$Y$6,G$6,'New Resources - Individual'!$F64:$Y64)</f>
        <v>0</v>
      </c>
      <c r="H64" s="3589">
        <f>SUMIF('New Resources - Individual'!$F$6:$Y$6,H$6,'New Resources - Individual'!$F64:$Y64)</f>
        <v>0</v>
      </c>
      <c r="I64" s="3586">
        <f>SUMIF('New Resources - Individual'!$F$6:$Y$6,I$6,'New Resources - Individual'!$F64:$Y64)</f>
        <v>0</v>
      </c>
      <c r="J64" s="3589">
        <f>SUMIF('New Resources - Individual'!$F$6:$Y$6,J$6,'New Resources - Individual'!$F64:$Y64)</f>
        <v>0</v>
      </c>
      <c r="K64" s="3589">
        <f>SUMIF('New Resources - Individual'!$F$6:$Y$6,K$6,'New Resources - Individual'!$F64:$Y64)</f>
        <v>0</v>
      </c>
      <c r="L64" s="3589">
        <f>SUMIF('New Resources - Individual'!$F$6:$Y$6,L$6,'New Resources - Individual'!$F64:$Y64)</f>
        <v>0</v>
      </c>
      <c r="M64" s="3589">
        <f>SUMIF('New Resources - Individual'!$F$6:$Y$6,M$6,'New Resources - Individual'!$F64:$Y64)</f>
        <v>0</v>
      </c>
      <c r="N64" s="3589">
        <f>SUMIF('New Resources - Individual'!$F$6:$Y$6,N$6,'New Resources - Individual'!$F64:$Y64)</f>
        <v>0</v>
      </c>
      <c r="O64" s="3589">
        <f>SUMIF('New Resources - Individual'!$F$6:$Y$6,O$6,'New Resources - Individual'!$F64:$Y64)</f>
        <v>0</v>
      </c>
      <c r="P64" s="3589">
        <f>SUMIF('New Resources - Individual'!$F$6:$Y$6,P$6,'New Resources - Individual'!$F64:$Y64)</f>
        <v>0</v>
      </c>
      <c r="Q64" s="3589">
        <f>SUMIF('New Resources - Individual'!$F$6:$Y$6,Q$6,'New Resources - Individual'!$F64:$Y64)</f>
        <v>0</v>
      </c>
      <c r="R64" s="3589">
        <f>SUMIF('New Resources - Individual'!$F$6:$Y$6,R$6,'New Resources - Individual'!$F64:$Y64)</f>
        <v>0</v>
      </c>
      <c r="S64" s="3589">
        <f>SUMIF('New Resources - Individual'!$F$6:$Y$6,S$6,'New Resources - Individual'!$F64:$Y64)</f>
        <v>0</v>
      </c>
      <c r="T64" s="3589">
        <f>SUMIF('New Resources - Individual'!$F$6:$Y$6,T$6,'New Resources - Individual'!$F64:$Y64)</f>
        <v>0</v>
      </c>
      <c r="U64" s="3589">
        <f>SUMIF('New Resources - Individual'!$F$6:$Y$6,U$6,'New Resources - Individual'!$F64:$Y64)</f>
        <v>0</v>
      </c>
      <c r="V64" s="3589">
        <f>SUMIF('New Resources - Individual'!$F$6:$Y$6,V$6,'New Resources - Individual'!$F64:$Y64)</f>
        <v>0</v>
      </c>
      <c r="W64" s="3589">
        <f>SUMIF('New Resources - Individual'!$F$6:$Y$6,W$6,'New Resources - Individual'!$F64:$Y64)</f>
        <v>0</v>
      </c>
      <c r="X64" s="3589">
        <f>SUMIF('New Resources - Individual'!$F$6:$Y$6,X$6,'New Resources - Individual'!$F64:$Y64)</f>
        <v>0</v>
      </c>
      <c r="Y64" s="3590">
        <f>SUMIF('New Resources - Individual'!$F$6:$Y$6,Y$6,'New Resources - Individual'!$F64:$Y64)</f>
        <v>0</v>
      </c>
      <c r="AC64" s="123"/>
      <c r="AD64" s="123"/>
      <c r="AE64" s="123"/>
      <c r="AF64" s="123"/>
      <c r="AG64" s="123"/>
      <c r="AH64" s="3564"/>
    </row>
    <row r="65" spans="1:34">
      <c r="A65" s="3175">
        <v>680</v>
      </c>
      <c r="B65" s="3179" t="s">
        <v>287</v>
      </c>
      <c r="C65" s="3177"/>
      <c r="D65" s="3177"/>
      <c r="E65" s="3178"/>
      <c r="F65" s="3586">
        <f>SUMIF('New Resources - Individual'!$F$6:$Y$6,F$6,'New Resources - Individual'!$F65:$Y65)</f>
        <v>0</v>
      </c>
      <c r="G65" s="3586">
        <f>SUMIF('New Resources - Individual'!$F$6:$Y$6,G$6,'New Resources - Individual'!$F65:$Y65)</f>
        <v>0</v>
      </c>
      <c r="H65" s="3589">
        <f>SUMIF('New Resources - Individual'!$F$6:$Y$6,H$6,'New Resources - Individual'!$F65:$Y65)</f>
        <v>0</v>
      </c>
      <c r="I65" s="3586">
        <f>SUMIF('New Resources - Individual'!$F$6:$Y$6,I$6,'New Resources - Individual'!$F65:$Y65)</f>
        <v>0</v>
      </c>
      <c r="J65" s="3589">
        <f>SUMIF('New Resources - Individual'!$F$6:$Y$6,J$6,'New Resources - Individual'!$F65:$Y65)</f>
        <v>0</v>
      </c>
      <c r="K65" s="3589">
        <f>SUMIF('New Resources - Individual'!$F$6:$Y$6,K$6,'New Resources - Individual'!$F65:$Y65)</f>
        <v>0</v>
      </c>
      <c r="L65" s="3589">
        <f>SUMIF('New Resources - Individual'!$F$6:$Y$6,L$6,'New Resources - Individual'!$F65:$Y65)</f>
        <v>0</v>
      </c>
      <c r="M65" s="3589">
        <f>SUMIF('New Resources - Individual'!$F$6:$Y$6,M$6,'New Resources - Individual'!$F65:$Y65)</f>
        <v>0</v>
      </c>
      <c r="N65" s="3589">
        <f>SUMIF('New Resources - Individual'!$F$6:$Y$6,N$6,'New Resources - Individual'!$F65:$Y65)</f>
        <v>0</v>
      </c>
      <c r="O65" s="3589">
        <f>SUMIF('New Resources - Individual'!$F$6:$Y$6,O$6,'New Resources - Individual'!$F65:$Y65)</f>
        <v>0</v>
      </c>
      <c r="P65" s="3589">
        <f>SUMIF('New Resources - Individual'!$F$6:$Y$6,P$6,'New Resources - Individual'!$F65:$Y65)</f>
        <v>0</v>
      </c>
      <c r="Q65" s="3589">
        <f>SUMIF('New Resources - Individual'!$F$6:$Y$6,Q$6,'New Resources - Individual'!$F65:$Y65)</f>
        <v>0</v>
      </c>
      <c r="R65" s="3589">
        <f>SUMIF('New Resources - Individual'!$F$6:$Y$6,R$6,'New Resources - Individual'!$F65:$Y65)</f>
        <v>0</v>
      </c>
      <c r="S65" s="3589">
        <f>SUMIF('New Resources - Individual'!$F$6:$Y$6,S$6,'New Resources - Individual'!$F65:$Y65)</f>
        <v>0</v>
      </c>
      <c r="T65" s="3589">
        <f>SUMIF('New Resources - Individual'!$F$6:$Y$6,T$6,'New Resources - Individual'!$F65:$Y65)</f>
        <v>0</v>
      </c>
      <c r="U65" s="3589">
        <f>SUMIF('New Resources - Individual'!$F$6:$Y$6,U$6,'New Resources - Individual'!$F65:$Y65)</f>
        <v>0</v>
      </c>
      <c r="V65" s="3589">
        <f>SUMIF('New Resources - Individual'!$F$6:$Y$6,V$6,'New Resources - Individual'!$F65:$Y65)</f>
        <v>0</v>
      </c>
      <c r="W65" s="3589">
        <f>SUMIF('New Resources - Individual'!$F$6:$Y$6,W$6,'New Resources - Individual'!$F65:$Y65)</f>
        <v>0</v>
      </c>
      <c r="X65" s="3589">
        <f>SUMIF('New Resources - Individual'!$F$6:$Y$6,X$6,'New Resources - Individual'!$F65:$Y65)</f>
        <v>0</v>
      </c>
      <c r="Y65" s="3590">
        <f>SUMIF('New Resources - Individual'!$F$6:$Y$6,Y$6,'New Resources - Individual'!$F65:$Y65)</f>
        <v>0</v>
      </c>
      <c r="AG65" s="3564"/>
      <c r="AH65" s="3564"/>
    </row>
    <row r="66" spans="1:34">
      <c r="A66" s="3175">
        <v>690</v>
      </c>
      <c r="B66" s="3176" t="s">
        <v>288</v>
      </c>
      <c r="C66" s="3180"/>
      <c r="D66" s="3180"/>
      <c r="E66" s="3178"/>
      <c r="F66" s="3586">
        <f>SUMIF('New Resources - Individual'!$F$6:$Y$6,F$6,'New Resources - Individual'!$F66:$Y66)</f>
        <v>0</v>
      </c>
      <c r="G66" s="3586">
        <f>SUMIF('New Resources - Individual'!$F$6:$Y$6,G$6,'New Resources - Individual'!$F66:$Y66)</f>
        <v>0</v>
      </c>
      <c r="H66" s="3589">
        <f>SUMIF('New Resources - Individual'!$F$6:$Y$6,H$6,'New Resources - Individual'!$F66:$Y66)</f>
        <v>0</v>
      </c>
      <c r="I66" s="3586">
        <f>SUMIF('New Resources - Individual'!$F$6:$Y$6,I$6,'New Resources - Individual'!$F66:$Y66)</f>
        <v>0</v>
      </c>
      <c r="J66" s="3589">
        <f>SUMIF('New Resources - Individual'!$F$6:$Y$6,J$6,'New Resources - Individual'!$F66:$Y66)</f>
        <v>0</v>
      </c>
      <c r="K66" s="3589">
        <f>SUMIF('New Resources - Individual'!$F$6:$Y$6,K$6,'New Resources - Individual'!$F66:$Y66)</f>
        <v>0</v>
      </c>
      <c r="L66" s="3589">
        <f>SUMIF('New Resources - Individual'!$F$6:$Y$6,L$6,'New Resources - Individual'!$F66:$Y66)</f>
        <v>0</v>
      </c>
      <c r="M66" s="3589">
        <f>SUMIF('New Resources - Individual'!$F$6:$Y$6,M$6,'New Resources - Individual'!$F66:$Y66)</f>
        <v>0</v>
      </c>
      <c r="N66" s="3589">
        <f>SUMIF('New Resources - Individual'!$F$6:$Y$6,N$6,'New Resources - Individual'!$F66:$Y66)</f>
        <v>0</v>
      </c>
      <c r="O66" s="3589">
        <f>SUMIF('New Resources - Individual'!$F$6:$Y$6,O$6,'New Resources - Individual'!$F66:$Y66)</f>
        <v>0</v>
      </c>
      <c r="P66" s="3589">
        <f>SUMIF('New Resources - Individual'!$F$6:$Y$6,P$6,'New Resources - Individual'!$F66:$Y66)</f>
        <v>0</v>
      </c>
      <c r="Q66" s="3589">
        <f>SUMIF('New Resources - Individual'!$F$6:$Y$6,Q$6,'New Resources - Individual'!$F66:$Y66)</f>
        <v>0</v>
      </c>
      <c r="R66" s="3589">
        <f>SUMIF('New Resources - Individual'!$F$6:$Y$6,R$6,'New Resources - Individual'!$F66:$Y66)</f>
        <v>0</v>
      </c>
      <c r="S66" s="3589">
        <f>SUMIF('New Resources - Individual'!$F$6:$Y$6,S$6,'New Resources - Individual'!$F66:$Y66)</f>
        <v>0</v>
      </c>
      <c r="T66" s="3589">
        <f>SUMIF('New Resources - Individual'!$F$6:$Y$6,T$6,'New Resources - Individual'!$F66:$Y66)</f>
        <v>0</v>
      </c>
      <c r="U66" s="3589">
        <f>SUMIF('New Resources - Individual'!$F$6:$Y$6,U$6,'New Resources - Individual'!$F66:$Y66)</f>
        <v>0</v>
      </c>
      <c r="V66" s="3589">
        <f>SUMIF('New Resources - Individual'!$F$6:$Y$6,V$6,'New Resources - Individual'!$F66:$Y66)</f>
        <v>0</v>
      </c>
      <c r="W66" s="3589">
        <f>SUMIF('New Resources - Individual'!$F$6:$Y$6,W$6,'New Resources - Individual'!$F66:$Y66)</f>
        <v>0</v>
      </c>
      <c r="X66" s="3589">
        <f>SUMIF('New Resources - Individual'!$F$6:$Y$6,X$6,'New Resources - Individual'!$F66:$Y66)</f>
        <v>0</v>
      </c>
      <c r="Y66" s="3590">
        <f>SUMIF('New Resources - Individual'!$F$6:$Y$6,Y$6,'New Resources - Individual'!$F66:$Y66)</f>
        <v>0</v>
      </c>
      <c r="AG66" s="3564"/>
      <c r="AH66" s="3564"/>
    </row>
    <row r="67" spans="1:34">
      <c r="A67" s="3175">
        <v>700</v>
      </c>
      <c r="B67" s="3179" t="s">
        <v>289</v>
      </c>
      <c r="C67" s="3177"/>
      <c r="D67" s="3177"/>
      <c r="E67" s="3178"/>
      <c r="F67" s="3586">
        <f>SUMIF('New Resources - Individual'!$F$6:$Y$6,F$6,'New Resources - Individual'!$F67:$Y67)</f>
        <v>0</v>
      </c>
      <c r="G67" s="3586">
        <f>SUMIF('New Resources - Individual'!$F$6:$Y$6,G$6,'New Resources - Individual'!$F67:$Y67)</f>
        <v>0</v>
      </c>
      <c r="H67" s="3589">
        <f>SUMIF('New Resources - Individual'!$F$6:$Y$6,H$6,'New Resources - Individual'!$F67:$Y67)</f>
        <v>0</v>
      </c>
      <c r="I67" s="3586">
        <f>SUMIF('New Resources - Individual'!$F$6:$Y$6,I$6,'New Resources - Individual'!$F67:$Y67)</f>
        <v>0</v>
      </c>
      <c r="J67" s="3589">
        <f>SUMIF('New Resources - Individual'!$F$6:$Y$6,J$6,'New Resources - Individual'!$F67:$Y67)</f>
        <v>0</v>
      </c>
      <c r="K67" s="3589">
        <f>SUMIF('New Resources - Individual'!$F$6:$Y$6,K$6,'New Resources - Individual'!$F67:$Y67)</f>
        <v>0</v>
      </c>
      <c r="L67" s="3589">
        <f>SUMIF('New Resources - Individual'!$F$6:$Y$6,L$6,'New Resources - Individual'!$F67:$Y67)</f>
        <v>0</v>
      </c>
      <c r="M67" s="3589">
        <f>SUMIF('New Resources - Individual'!$F$6:$Y$6,M$6,'New Resources - Individual'!$F67:$Y67)</f>
        <v>0</v>
      </c>
      <c r="N67" s="3589">
        <f>SUMIF('New Resources - Individual'!$F$6:$Y$6,N$6,'New Resources - Individual'!$F67:$Y67)</f>
        <v>0</v>
      </c>
      <c r="O67" s="3589">
        <f>SUMIF('New Resources - Individual'!$F$6:$Y$6,O$6,'New Resources - Individual'!$F67:$Y67)</f>
        <v>0</v>
      </c>
      <c r="P67" s="3589">
        <f>SUMIF('New Resources - Individual'!$F$6:$Y$6,P$6,'New Resources - Individual'!$F67:$Y67)</f>
        <v>0</v>
      </c>
      <c r="Q67" s="3589">
        <f>SUMIF('New Resources - Individual'!$F$6:$Y$6,Q$6,'New Resources - Individual'!$F67:$Y67)</f>
        <v>0</v>
      </c>
      <c r="R67" s="3589">
        <f>SUMIF('New Resources - Individual'!$F$6:$Y$6,R$6,'New Resources - Individual'!$F67:$Y67)</f>
        <v>0</v>
      </c>
      <c r="S67" s="3589">
        <f>SUMIF('New Resources - Individual'!$F$6:$Y$6,S$6,'New Resources - Individual'!$F67:$Y67)</f>
        <v>0</v>
      </c>
      <c r="T67" s="3589">
        <f>SUMIF('New Resources - Individual'!$F$6:$Y$6,T$6,'New Resources - Individual'!$F67:$Y67)</f>
        <v>0</v>
      </c>
      <c r="U67" s="3589">
        <f>SUMIF('New Resources - Individual'!$F$6:$Y$6,U$6,'New Resources - Individual'!$F67:$Y67)</f>
        <v>0</v>
      </c>
      <c r="V67" s="3589">
        <f>SUMIF('New Resources - Individual'!$F$6:$Y$6,V$6,'New Resources - Individual'!$F67:$Y67)</f>
        <v>0</v>
      </c>
      <c r="W67" s="3589">
        <f>SUMIF('New Resources - Individual'!$F$6:$Y$6,W$6,'New Resources - Individual'!$F67:$Y67)</f>
        <v>0</v>
      </c>
      <c r="X67" s="3589">
        <f>SUMIF('New Resources - Individual'!$F$6:$Y$6,X$6,'New Resources - Individual'!$F67:$Y67)</f>
        <v>0</v>
      </c>
      <c r="Y67" s="3590">
        <f>SUMIF('New Resources - Individual'!$F$6:$Y$6,Y$6,'New Resources - Individual'!$F67:$Y67)</f>
        <v>0</v>
      </c>
      <c r="AG67" s="3564"/>
      <c r="AH67" s="3564"/>
    </row>
    <row r="68" spans="1:34">
      <c r="A68" s="3175">
        <v>710</v>
      </c>
      <c r="B68" s="3176" t="s">
        <v>290</v>
      </c>
      <c r="C68" s="3180"/>
      <c r="D68" s="3180"/>
      <c r="E68" s="3178"/>
      <c r="F68" s="3586">
        <f>SUMIF('New Resources - Individual'!$F$6:$Y$6,F$6,'New Resources - Individual'!$F68:$Y68)</f>
        <v>0</v>
      </c>
      <c r="G68" s="3586">
        <f>SUMIF('New Resources - Individual'!$F$6:$Y$6,G$6,'New Resources - Individual'!$F68:$Y68)</f>
        <v>0</v>
      </c>
      <c r="H68" s="3589">
        <f>SUMIF('New Resources - Individual'!$F$6:$Y$6,H$6,'New Resources - Individual'!$F68:$Y68)</f>
        <v>0</v>
      </c>
      <c r="I68" s="3586">
        <f>SUMIF('New Resources - Individual'!$F$6:$Y$6,I$6,'New Resources - Individual'!$F68:$Y68)</f>
        <v>0</v>
      </c>
      <c r="J68" s="3589">
        <f>SUMIF('New Resources - Individual'!$F$6:$Y$6,J$6,'New Resources - Individual'!$F68:$Y68)</f>
        <v>0</v>
      </c>
      <c r="K68" s="3589">
        <f>SUMIF('New Resources - Individual'!$F$6:$Y$6,K$6,'New Resources - Individual'!$F68:$Y68)</f>
        <v>0</v>
      </c>
      <c r="L68" s="3589">
        <f>SUMIF('New Resources - Individual'!$F$6:$Y$6,L$6,'New Resources - Individual'!$F68:$Y68)</f>
        <v>0</v>
      </c>
      <c r="M68" s="3589">
        <f>SUMIF('New Resources - Individual'!$F$6:$Y$6,M$6,'New Resources - Individual'!$F68:$Y68)</f>
        <v>0</v>
      </c>
      <c r="N68" s="3589">
        <f>SUMIF('New Resources - Individual'!$F$6:$Y$6,N$6,'New Resources - Individual'!$F68:$Y68)</f>
        <v>0</v>
      </c>
      <c r="O68" s="3589">
        <f>SUMIF('New Resources - Individual'!$F$6:$Y$6,O$6,'New Resources - Individual'!$F68:$Y68)</f>
        <v>0</v>
      </c>
      <c r="P68" s="3589">
        <f>SUMIF('New Resources - Individual'!$F$6:$Y$6,P$6,'New Resources - Individual'!$F68:$Y68)</f>
        <v>0</v>
      </c>
      <c r="Q68" s="3589">
        <f>SUMIF('New Resources - Individual'!$F$6:$Y$6,Q$6,'New Resources - Individual'!$F68:$Y68)</f>
        <v>0</v>
      </c>
      <c r="R68" s="3589">
        <f>SUMIF('New Resources - Individual'!$F$6:$Y$6,R$6,'New Resources - Individual'!$F68:$Y68)</f>
        <v>0</v>
      </c>
      <c r="S68" s="3589">
        <f>SUMIF('New Resources - Individual'!$F$6:$Y$6,S$6,'New Resources - Individual'!$F68:$Y68)</f>
        <v>0</v>
      </c>
      <c r="T68" s="3589">
        <f>SUMIF('New Resources - Individual'!$F$6:$Y$6,T$6,'New Resources - Individual'!$F68:$Y68)</f>
        <v>0</v>
      </c>
      <c r="U68" s="3589">
        <f>SUMIF('New Resources - Individual'!$F$6:$Y$6,U$6,'New Resources - Individual'!$F68:$Y68)</f>
        <v>0</v>
      </c>
      <c r="V68" s="3589">
        <f>SUMIF('New Resources - Individual'!$F$6:$Y$6,V$6,'New Resources - Individual'!$F68:$Y68)</f>
        <v>0</v>
      </c>
      <c r="W68" s="3589">
        <f>SUMIF('New Resources - Individual'!$F$6:$Y$6,W$6,'New Resources - Individual'!$F68:$Y68)</f>
        <v>0</v>
      </c>
      <c r="X68" s="3589">
        <f>SUMIF('New Resources - Individual'!$F$6:$Y$6,X$6,'New Resources - Individual'!$F68:$Y68)</f>
        <v>0</v>
      </c>
      <c r="Y68" s="3590">
        <f>SUMIF('New Resources - Individual'!$F$6:$Y$6,Y$6,'New Resources - Individual'!$F68:$Y68)</f>
        <v>0</v>
      </c>
      <c r="AG68" s="3564"/>
      <c r="AH68" s="3564"/>
    </row>
    <row r="69" spans="1:34">
      <c r="A69" s="3175">
        <v>720</v>
      </c>
      <c r="B69" s="3179" t="s">
        <v>291</v>
      </c>
      <c r="C69" s="3177"/>
      <c r="D69" s="3177"/>
      <c r="E69" s="3178"/>
      <c r="F69" s="3586">
        <f>SUMIF('New Resources - Individual'!$F$6:$Y$6,F$6,'New Resources - Individual'!$F69:$Y69)</f>
        <v>0</v>
      </c>
      <c r="G69" s="3586">
        <f>SUMIF('New Resources - Individual'!$F$6:$Y$6,G$6,'New Resources - Individual'!$F69:$Y69)</f>
        <v>0</v>
      </c>
      <c r="H69" s="3589">
        <f>SUMIF('New Resources - Individual'!$F$6:$Y$6,H$6,'New Resources - Individual'!$F69:$Y69)</f>
        <v>0</v>
      </c>
      <c r="I69" s="3586">
        <f>SUMIF('New Resources - Individual'!$F$6:$Y$6,I$6,'New Resources - Individual'!$F69:$Y69)</f>
        <v>0</v>
      </c>
      <c r="J69" s="3589">
        <f>SUMIF('New Resources - Individual'!$F$6:$Y$6,J$6,'New Resources - Individual'!$F69:$Y69)</f>
        <v>0</v>
      </c>
      <c r="K69" s="3589">
        <f>SUMIF('New Resources - Individual'!$F$6:$Y$6,K$6,'New Resources - Individual'!$F69:$Y69)</f>
        <v>0</v>
      </c>
      <c r="L69" s="3589">
        <f>SUMIF('New Resources - Individual'!$F$6:$Y$6,L$6,'New Resources - Individual'!$F69:$Y69)</f>
        <v>0</v>
      </c>
      <c r="M69" s="3589">
        <f>SUMIF('New Resources - Individual'!$F$6:$Y$6,M$6,'New Resources - Individual'!$F69:$Y69)</f>
        <v>0</v>
      </c>
      <c r="N69" s="3589">
        <f>SUMIF('New Resources - Individual'!$F$6:$Y$6,N$6,'New Resources - Individual'!$F69:$Y69)</f>
        <v>0</v>
      </c>
      <c r="O69" s="3589">
        <f>SUMIF('New Resources - Individual'!$F$6:$Y$6,O$6,'New Resources - Individual'!$F69:$Y69)</f>
        <v>0</v>
      </c>
      <c r="P69" s="3589">
        <f>SUMIF('New Resources - Individual'!$F$6:$Y$6,P$6,'New Resources - Individual'!$F69:$Y69)</f>
        <v>0</v>
      </c>
      <c r="Q69" s="3589">
        <f>SUMIF('New Resources - Individual'!$F$6:$Y$6,Q$6,'New Resources - Individual'!$F69:$Y69)</f>
        <v>0</v>
      </c>
      <c r="R69" s="3589">
        <f>SUMIF('New Resources - Individual'!$F$6:$Y$6,R$6,'New Resources - Individual'!$F69:$Y69)</f>
        <v>0</v>
      </c>
      <c r="S69" s="3589">
        <f>SUMIF('New Resources - Individual'!$F$6:$Y$6,S$6,'New Resources - Individual'!$F69:$Y69)</f>
        <v>0</v>
      </c>
      <c r="T69" s="3589">
        <f>SUMIF('New Resources - Individual'!$F$6:$Y$6,T$6,'New Resources - Individual'!$F69:$Y69)</f>
        <v>0</v>
      </c>
      <c r="U69" s="3589">
        <f>SUMIF('New Resources - Individual'!$F$6:$Y$6,U$6,'New Resources - Individual'!$F69:$Y69)</f>
        <v>0</v>
      </c>
      <c r="V69" s="3589">
        <f>SUMIF('New Resources - Individual'!$F$6:$Y$6,V$6,'New Resources - Individual'!$F69:$Y69)</f>
        <v>0</v>
      </c>
      <c r="W69" s="3589">
        <f>SUMIF('New Resources - Individual'!$F$6:$Y$6,W$6,'New Resources - Individual'!$F69:$Y69)</f>
        <v>0</v>
      </c>
      <c r="X69" s="3589">
        <f>SUMIF('New Resources - Individual'!$F$6:$Y$6,X$6,'New Resources - Individual'!$F69:$Y69)</f>
        <v>0</v>
      </c>
      <c r="Y69" s="3590">
        <f>SUMIF('New Resources - Individual'!$F$6:$Y$6,Y$6,'New Resources - Individual'!$F69:$Y69)</f>
        <v>0</v>
      </c>
      <c r="AG69" s="3564"/>
      <c r="AH69" s="3564"/>
    </row>
    <row r="70" spans="1:34">
      <c r="A70" s="3175">
        <v>730</v>
      </c>
      <c r="B70" s="3176" t="s">
        <v>292</v>
      </c>
      <c r="C70" s="3180"/>
      <c r="D70" s="3180"/>
      <c r="E70" s="3178"/>
      <c r="F70" s="3586">
        <f>SUMIF('New Resources - Individual'!$F$6:$Y$6,F$6,'New Resources - Individual'!$F70:$Y70)</f>
        <v>0</v>
      </c>
      <c r="G70" s="3586">
        <f>SUMIF('New Resources - Individual'!$F$6:$Y$6,G$6,'New Resources - Individual'!$F70:$Y70)</f>
        <v>0</v>
      </c>
      <c r="H70" s="3589">
        <f>SUMIF('New Resources - Individual'!$F$6:$Y$6,H$6,'New Resources - Individual'!$F70:$Y70)</f>
        <v>0</v>
      </c>
      <c r="I70" s="3586">
        <f>SUMIF('New Resources - Individual'!$F$6:$Y$6,I$6,'New Resources - Individual'!$F70:$Y70)</f>
        <v>0</v>
      </c>
      <c r="J70" s="3589">
        <f>SUMIF('New Resources - Individual'!$F$6:$Y$6,J$6,'New Resources - Individual'!$F70:$Y70)</f>
        <v>0</v>
      </c>
      <c r="K70" s="3589">
        <f>SUMIF('New Resources - Individual'!$F$6:$Y$6,K$6,'New Resources - Individual'!$F70:$Y70)</f>
        <v>0</v>
      </c>
      <c r="L70" s="3589">
        <f>SUMIF('New Resources - Individual'!$F$6:$Y$6,L$6,'New Resources - Individual'!$F70:$Y70)</f>
        <v>0</v>
      </c>
      <c r="M70" s="3589">
        <f>SUMIF('New Resources - Individual'!$F$6:$Y$6,M$6,'New Resources - Individual'!$F70:$Y70)</f>
        <v>0</v>
      </c>
      <c r="N70" s="3589">
        <f>SUMIF('New Resources - Individual'!$F$6:$Y$6,N$6,'New Resources - Individual'!$F70:$Y70)</f>
        <v>0</v>
      </c>
      <c r="O70" s="3589">
        <f>SUMIF('New Resources - Individual'!$F$6:$Y$6,O$6,'New Resources - Individual'!$F70:$Y70)</f>
        <v>0</v>
      </c>
      <c r="P70" s="3589">
        <f>SUMIF('New Resources - Individual'!$F$6:$Y$6,P$6,'New Resources - Individual'!$F70:$Y70)</f>
        <v>0</v>
      </c>
      <c r="Q70" s="3589">
        <f>SUMIF('New Resources - Individual'!$F$6:$Y$6,Q$6,'New Resources - Individual'!$F70:$Y70)</f>
        <v>0</v>
      </c>
      <c r="R70" s="3589">
        <f>SUMIF('New Resources - Individual'!$F$6:$Y$6,R$6,'New Resources - Individual'!$F70:$Y70)</f>
        <v>0</v>
      </c>
      <c r="S70" s="3589">
        <f>SUMIF('New Resources - Individual'!$F$6:$Y$6,S$6,'New Resources - Individual'!$F70:$Y70)</f>
        <v>0</v>
      </c>
      <c r="T70" s="3589">
        <f>SUMIF('New Resources - Individual'!$F$6:$Y$6,T$6,'New Resources - Individual'!$F70:$Y70)</f>
        <v>0</v>
      </c>
      <c r="U70" s="3589">
        <f>SUMIF('New Resources - Individual'!$F$6:$Y$6,U$6,'New Resources - Individual'!$F70:$Y70)</f>
        <v>0</v>
      </c>
      <c r="V70" s="3589">
        <f>SUMIF('New Resources - Individual'!$F$6:$Y$6,V$6,'New Resources - Individual'!$F70:$Y70)</f>
        <v>0</v>
      </c>
      <c r="W70" s="3589">
        <f>SUMIF('New Resources - Individual'!$F$6:$Y$6,W$6,'New Resources - Individual'!$F70:$Y70)</f>
        <v>0</v>
      </c>
      <c r="X70" s="3589">
        <f>SUMIF('New Resources - Individual'!$F$6:$Y$6,X$6,'New Resources - Individual'!$F70:$Y70)</f>
        <v>0</v>
      </c>
      <c r="Y70" s="3590">
        <f>SUMIF('New Resources - Individual'!$F$6:$Y$6,Y$6,'New Resources - Individual'!$F70:$Y70)</f>
        <v>0</v>
      </c>
      <c r="AG70" s="3564"/>
      <c r="AH70" s="3564"/>
    </row>
    <row r="71" spans="1:34">
      <c r="A71" s="3175">
        <v>740</v>
      </c>
      <c r="B71" s="3179" t="s">
        <v>293</v>
      </c>
      <c r="C71" s="3177"/>
      <c r="D71" s="3177"/>
      <c r="E71" s="3178"/>
      <c r="F71" s="3586">
        <f>SUMIF('New Resources - Individual'!$F$6:$Y$6,F$6,'New Resources - Individual'!$F71:$Y71)</f>
        <v>0</v>
      </c>
      <c r="G71" s="3586">
        <f>SUMIF('New Resources - Individual'!$F$6:$Y$6,G$6,'New Resources - Individual'!$F71:$Y71)</f>
        <v>0</v>
      </c>
      <c r="H71" s="3589">
        <f>SUMIF('New Resources - Individual'!$F$6:$Y$6,H$6,'New Resources - Individual'!$F71:$Y71)</f>
        <v>0</v>
      </c>
      <c r="I71" s="3586">
        <f>SUMIF('New Resources - Individual'!$F$6:$Y$6,I$6,'New Resources - Individual'!$F71:$Y71)</f>
        <v>0</v>
      </c>
      <c r="J71" s="3589">
        <f>SUMIF('New Resources - Individual'!$F$6:$Y$6,J$6,'New Resources - Individual'!$F71:$Y71)</f>
        <v>0</v>
      </c>
      <c r="K71" s="3589">
        <f>SUMIF('New Resources - Individual'!$F$6:$Y$6,K$6,'New Resources - Individual'!$F71:$Y71)</f>
        <v>0</v>
      </c>
      <c r="L71" s="3589">
        <f>SUMIF('New Resources - Individual'!$F$6:$Y$6,L$6,'New Resources - Individual'!$F71:$Y71)</f>
        <v>0</v>
      </c>
      <c r="M71" s="3589">
        <f>SUMIF('New Resources - Individual'!$F$6:$Y$6,M$6,'New Resources - Individual'!$F71:$Y71)</f>
        <v>0</v>
      </c>
      <c r="N71" s="3589">
        <f>SUMIF('New Resources - Individual'!$F$6:$Y$6,N$6,'New Resources - Individual'!$F71:$Y71)</f>
        <v>0</v>
      </c>
      <c r="O71" s="3589">
        <f>SUMIF('New Resources - Individual'!$F$6:$Y$6,O$6,'New Resources - Individual'!$F71:$Y71)</f>
        <v>0</v>
      </c>
      <c r="P71" s="3589">
        <f>SUMIF('New Resources - Individual'!$F$6:$Y$6,P$6,'New Resources - Individual'!$F71:$Y71)</f>
        <v>0</v>
      </c>
      <c r="Q71" s="3589">
        <f>SUMIF('New Resources - Individual'!$F$6:$Y$6,Q$6,'New Resources - Individual'!$F71:$Y71)</f>
        <v>0</v>
      </c>
      <c r="R71" s="3589">
        <f>SUMIF('New Resources - Individual'!$F$6:$Y$6,R$6,'New Resources - Individual'!$F71:$Y71)</f>
        <v>0</v>
      </c>
      <c r="S71" s="3589">
        <f>SUMIF('New Resources - Individual'!$F$6:$Y$6,S$6,'New Resources - Individual'!$F71:$Y71)</f>
        <v>0</v>
      </c>
      <c r="T71" s="3589">
        <f>SUMIF('New Resources - Individual'!$F$6:$Y$6,T$6,'New Resources - Individual'!$F71:$Y71)</f>
        <v>0</v>
      </c>
      <c r="U71" s="3589">
        <f>SUMIF('New Resources - Individual'!$F$6:$Y$6,U$6,'New Resources - Individual'!$F71:$Y71)</f>
        <v>0</v>
      </c>
      <c r="V71" s="3589">
        <f>SUMIF('New Resources - Individual'!$F$6:$Y$6,V$6,'New Resources - Individual'!$F71:$Y71)</f>
        <v>0</v>
      </c>
      <c r="W71" s="3589">
        <f>SUMIF('New Resources - Individual'!$F$6:$Y$6,W$6,'New Resources - Individual'!$F71:$Y71)</f>
        <v>0</v>
      </c>
      <c r="X71" s="3589">
        <f>SUMIF('New Resources - Individual'!$F$6:$Y$6,X$6,'New Resources - Individual'!$F71:$Y71)</f>
        <v>0</v>
      </c>
      <c r="Y71" s="3590">
        <f>SUMIF('New Resources - Individual'!$F$6:$Y$6,Y$6,'New Resources - Individual'!$F71:$Y71)</f>
        <v>0</v>
      </c>
      <c r="AG71" s="3564"/>
      <c r="AH71" s="3564"/>
    </row>
    <row r="72" spans="1:34">
      <c r="A72" s="3175">
        <v>750</v>
      </c>
      <c r="B72" s="3176" t="s">
        <v>294</v>
      </c>
      <c r="C72" s="3177"/>
      <c r="D72" s="3177"/>
      <c r="E72" s="3178"/>
      <c r="F72" s="3586">
        <f>SUMIF('New Resources - Individual'!$F$6:$Y$6,F$6,'New Resources - Individual'!$F72:$Y72)</f>
        <v>0</v>
      </c>
      <c r="G72" s="3586">
        <f>SUMIF('New Resources - Individual'!$F$6:$Y$6,G$6,'New Resources - Individual'!$F72:$Y72)</f>
        <v>0</v>
      </c>
      <c r="H72" s="3589">
        <f>SUMIF('New Resources - Individual'!$F$6:$Y$6,H$6,'New Resources - Individual'!$F72:$Y72)</f>
        <v>0</v>
      </c>
      <c r="I72" s="3586">
        <f>SUMIF('New Resources - Individual'!$F$6:$Y$6,I$6,'New Resources - Individual'!$F72:$Y72)</f>
        <v>0</v>
      </c>
      <c r="J72" s="3589">
        <f>SUMIF('New Resources - Individual'!$F$6:$Y$6,J$6,'New Resources - Individual'!$F72:$Y72)</f>
        <v>0</v>
      </c>
      <c r="K72" s="3589">
        <f>SUMIF('New Resources - Individual'!$F$6:$Y$6,K$6,'New Resources - Individual'!$F72:$Y72)</f>
        <v>0</v>
      </c>
      <c r="L72" s="3589">
        <f>SUMIF('New Resources - Individual'!$F$6:$Y$6,L$6,'New Resources - Individual'!$F72:$Y72)</f>
        <v>0</v>
      </c>
      <c r="M72" s="3589">
        <f>SUMIF('New Resources - Individual'!$F$6:$Y$6,M$6,'New Resources - Individual'!$F72:$Y72)</f>
        <v>0</v>
      </c>
      <c r="N72" s="3589">
        <f>SUMIF('New Resources - Individual'!$F$6:$Y$6,N$6,'New Resources - Individual'!$F72:$Y72)</f>
        <v>0</v>
      </c>
      <c r="O72" s="3589">
        <f>SUMIF('New Resources - Individual'!$F$6:$Y$6,O$6,'New Resources - Individual'!$F72:$Y72)</f>
        <v>0</v>
      </c>
      <c r="P72" s="3589">
        <f>SUMIF('New Resources - Individual'!$F$6:$Y$6,P$6,'New Resources - Individual'!$F72:$Y72)</f>
        <v>0</v>
      </c>
      <c r="Q72" s="3589">
        <f>SUMIF('New Resources - Individual'!$F$6:$Y$6,Q$6,'New Resources - Individual'!$F72:$Y72)</f>
        <v>0</v>
      </c>
      <c r="R72" s="3589">
        <f>SUMIF('New Resources - Individual'!$F$6:$Y$6,R$6,'New Resources - Individual'!$F72:$Y72)</f>
        <v>0</v>
      </c>
      <c r="S72" s="3589">
        <f>SUMIF('New Resources - Individual'!$F$6:$Y$6,S$6,'New Resources - Individual'!$F72:$Y72)</f>
        <v>0</v>
      </c>
      <c r="T72" s="3589">
        <f>SUMIF('New Resources - Individual'!$F$6:$Y$6,T$6,'New Resources - Individual'!$F72:$Y72)</f>
        <v>0</v>
      </c>
      <c r="U72" s="3589">
        <f>SUMIF('New Resources - Individual'!$F$6:$Y$6,U$6,'New Resources - Individual'!$F72:$Y72)</f>
        <v>0</v>
      </c>
      <c r="V72" s="3589">
        <f>SUMIF('New Resources - Individual'!$F$6:$Y$6,V$6,'New Resources - Individual'!$F72:$Y72)</f>
        <v>0</v>
      </c>
      <c r="W72" s="3589">
        <f>SUMIF('New Resources - Individual'!$F$6:$Y$6,W$6,'New Resources - Individual'!$F72:$Y72)</f>
        <v>0</v>
      </c>
      <c r="X72" s="3589">
        <f>SUMIF('New Resources - Individual'!$F$6:$Y$6,X$6,'New Resources - Individual'!$F72:$Y72)</f>
        <v>0</v>
      </c>
      <c r="Y72" s="3590">
        <f>SUMIF('New Resources - Individual'!$F$6:$Y$6,Y$6,'New Resources - Individual'!$F72:$Y72)</f>
        <v>0</v>
      </c>
      <c r="AG72" s="3564"/>
      <c r="AH72" s="3564"/>
    </row>
    <row r="73" spans="1:34">
      <c r="A73" s="3175">
        <v>760</v>
      </c>
      <c r="B73" s="3179" t="s">
        <v>295</v>
      </c>
      <c r="C73" s="3180"/>
      <c r="D73" s="3180"/>
      <c r="E73" s="3178"/>
      <c r="F73" s="3586">
        <f>SUMIF('New Resources - Individual'!$F$6:$Y$6,F$6,'New Resources - Individual'!$F73:$Y73)</f>
        <v>0</v>
      </c>
      <c r="G73" s="3586">
        <f>SUMIF('New Resources - Individual'!$F$6:$Y$6,G$6,'New Resources - Individual'!$F73:$Y73)</f>
        <v>0</v>
      </c>
      <c r="H73" s="3589">
        <f>SUMIF('New Resources - Individual'!$F$6:$Y$6,H$6,'New Resources - Individual'!$F73:$Y73)</f>
        <v>0</v>
      </c>
      <c r="I73" s="3586">
        <f>SUMIF('New Resources - Individual'!$F$6:$Y$6,I$6,'New Resources - Individual'!$F73:$Y73)</f>
        <v>0</v>
      </c>
      <c r="J73" s="3589">
        <f>SUMIF('New Resources - Individual'!$F$6:$Y$6,J$6,'New Resources - Individual'!$F73:$Y73)</f>
        <v>0</v>
      </c>
      <c r="K73" s="3589">
        <f>SUMIF('New Resources - Individual'!$F$6:$Y$6,K$6,'New Resources - Individual'!$F73:$Y73)</f>
        <v>0</v>
      </c>
      <c r="L73" s="3589">
        <f>SUMIF('New Resources - Individual'!$F$6:$Y$6,L$6,'New Resources - Individual'!$F73:$Y73)</f>
        <v>0</v>
      </c>
      <c r="M73" s="3589">
        <f>SUMIF('New Resources - Individual'!$F$6:$Y$6,M$6,'New Resources - Individual'!$F73:$Y73)</f>
        <v>0</v>
      </c>
      <c r="N73" s="3589">
        <f>SUMIF('New Resources - Individual'!$F$6:$Y$6,N$6,'New Resources - Individual'!$F73:$Y73)</f>
        <v>0</v>
      </c>
      <c r="O73" s="3589">
        <f>SUMIF('New Resources - Individual'!$F$6:$Y$6,O$6,'New Resources - Individual'!$F73:$Y73)</f>
        <v>0</v>
      </c>
      <c r="P73" s="3589">
        <f>SUMIF('New Resources - Individual'!$F$6:$Y$6,P$6,'New Resources - Individual'!$F73:$Y73)</f>
        <v>0</v>
      </c>
      <c r="Q73" s="3589">
        <f>SUMIF('New Resources - Individual'!$F$6:$Y$6,Q$6,'New Resources - Individual'!$F73:$Y73)</f>
        <v>0</v>
      </c>
      <c r="R73" s="3589">
        <f>SUMIF('New Resources - Individual'!$F$6:$Y$6,R$6,'New Resources - Individual'!$F73:$Y73)</f>
        <v>0</v>
      </c>
      <c r="S73" s="3589">
        <f>SUMIF('New Resources - Individual'!$F$6:$Y$6,S$6,'New Resources - Individual'!$F73:$Y73)</f>
        <v>0</v>
      </c>
      <c r="T73" s="3589">
        <f>SUMIF('New Resources - Individual'!$F$6:$Y$6,T$6,'New Resources - Individual'!$F73:$Y73)</f>
        <v>0</v>
      </c>
      <c r="U73" s="3589">
        <f>SUMIF('New Resources - Individual'!$F$6:$Y$6,U$6,'New Resources - Individual'!$F73:$Y73)</f>
        <v>0</v>
      </c>
      <c r="V73" s="3589">
        <f>SUMIF('New Resources - Individual'!$F$6:$Y$6,V$6,'New Resources - Individual'!$F73:$Y73)</f>
        <v>0</v>
      </c>
      <c r="W73" s="3589">
        <f>SUMIF('New Resources - Individual'!$F$6:$Y$6,W$6,'New Resources - Individual'!$F73:$Y73)</f>
        <v>0</v>
      </c>
      <c r="X73" s="3589">
        <f>SUMIF('New Resources - Individual'!$F$6:$Y$6,X$6,'New Resources - Individual'!$F73:$Y73)</f>
        <v>0</v>
      </c>
      <c r="Y73" s="3590">
        <f>SUMIF('New Resources - Individual'!$F$6:$Y$6,Y$6,'New Resources - Individual'!$F73:$Y73)</f>
        <v>0</v>
      </c>
      <c r="AG73" s="3564"/>
      <c r="AH73" s="3564"/>
    </row>
    <row r="74" spans="1:34">
      <c r="A74" s="3175">
        <v>770</v>
      </c>
      <c r="B74" s="3179"/>
      <c r="C74" s="3177"/>
      <c r="D74" s="3177"/>
      <c r="E74" s="3178"/>
      <c r="F74" s="3586"/>
      <c r="G74" s="3589"/>
      <c r="H74" s="3589"/>
      <c r="I74" s="3586"/>
      <c r="J74" s="3589"/>
      <c r="K74" s="3589"/>
      <c r="L74" s="3589"/>
      <c r="M74" s="3589"/>
      <c r="N74" s="3589"/>
      <c r="O74" s="3589"/>
      <c r="P74" s="3589"/>
      <c r="Q74" s="3589"/>
      <c r="R74" s="3589"/>
      <c r="S74" s="3589"/>
      <c r="T74" s="3589"/>
      <c r="U74" s="3589"/>
      <c r="V74" s="3589"/>
      <c r="W74" s="3589"/>
      <c r="X74" s="3589"/>
      <c r="Y74" s="3590"/>
      <c r="AG74" s="3564"/>
      <c r="AH74" s="3564"/>
    </row>
    <row r="75" spans="1:34">
      <c r="A75" s="3175">
        <v>780</v>
      </c>
      <c r="B75" s="3181" t="s">
        <v>296</v>
      </c>
      <c r="C75" s="3182"/>
      <c r="D75" s="3182"/>
      <c r="E75" s="3174"/>
      <c r="F75" s="3586"/>
      <c r="G75" s="3591"/>
      <c r="H75" s="3591"/>
      <c r="I75" s="3591"/>
      <c r="J75" s="3591"/>
      <c r="K75" s="3591"/>
      <c r="L75" s="3591"/>
      <c r="M75" s="3591"/>
      <c r="N75" s="3591"/>
      <c r="O75" s="3591"/>
      <c r="P75" s="3591"/>
      <c r="Q75" s="3591"/>
      <c r="R75" s="3591"/>
      <c r="S75" s="3591"/>
      <c r="T75" s="3591"/>
      <c r="U75" s="3591"/>
      <c r="V75" s="3591"/>
      <c r="W75" s="3591"/>
      <c r="X75" s="3591"/>
      <c r="Y75" s="3592"/>
      <c r="AG75" s="3564"/>
      <c r="AH75" s="3564"/>
    </row>
    <row r="76" spans="1:34">
      <c r="A76" s="3175">
        <v>781</v>
      </c>
      <c r="B76" s="3179" t="s">
        <v>294</v>
      </c>
      <c r="C76" s="3182"/>
      <c r="D76" s="3182" t="s">
        <v>592</v>
      </c>
      <c r="E76" s="3174"/>
      <c r="F76" s="3586">
        <f>SUMIF('New Resources - Individual'!$F$6:$Y$6,F$6,'New Resources - Individual'!$F76:$Y76)</f>
        <v>0</v>
      </c>
      <c r="G76" s="3586">
        <f>SUMIF('New Resources - Individual'!$F$6:$Y$6,G$6,'New Resources - Individual'!$F76:$Y76)</f>
        <v>0</v>
      </c>
      <c r="H76" s="3589">
        <f>SUMIF('New Resources - Individual'!$F$6:$Y$6,H$6,'New Resources - Individual'!$F76:$Y76)</f>
        <v>0</v>
      </c>
      <c r="I76" s="3586">
        <f>SUMIF('New Resources - Individual'!$F$6:$Y$6,I$6,'New Resources - Individual'!$F76:$Y76)</f>
        <v>0</v>
      </c>
      <c r="J76" s="3589">
        <f>SUMIF('New Resources - Individual'!$F$6:$Y$6,J$6,'New Resources - Individual'!$F76:$Y76)</f>
        <v>0</v>
      </c>
      <c r="K76" s="3589">
        <f>SUMIF('New Resources - Individual'!$F$6:$Y$6,K$6,'New Resources - Individual'!$F76:$Y76)</f>
        <v>0</v>
      </c>
      <c r="L76" s="3589">
        <f>SUMIF('New Resources - Individual'!$F$6:$Y$6,L$6,'New Resources - Individual'!$F76:$Y76)</f>
        <v>0</v>
      </c>
      <c r="M76" s="3589">
        <f>SUMIF('New Resources - Individual'!$F$6:$Y$6,M$6,'New Resources - Individual'!$F76:$Y76)</f>
        <v>0</v>
      </c>
      <c r="N76" s="3589">
        <f>SUMIF('New Resources - Individual'!$F$6:$Y$6,N$6,'New Resources - Individual'!$F76:$Y76)</f>
        <v>0</v>
      </c>
      <c r="O76" s="3589">
        <f>SUMIF('New Resources - Individual'!$F$6:$Y$6,O$6,'New Resources - Individual'!$F76:$Y76)</f>
        <v>0</v>
      </c>
      <c r="P76" s="3589">
        <f>SUMIF('New Resources - Individual'!$F$6:$Y$6,P$6,'New Resources - Individual'!$F76:$Y76)</f>
        <v>0</v>
      </c>
      <c r="Q76" s="3589">
        <f>SUMIF('New Resources - Individual'!$F$6:$Y$6,Q$6,'New Resources - Individual'!$F76:$Y76)</f>
        <v>0</v>
      </c>
      <c r="R76" s="3589">
        <f>SUMIF('New Resources - Individual'!$F$6:$Y$6,R$6,'New Resources - Individual'!$F76:$Y76)</f>
        <v>0</v>
      </c>
      <c r="S76" s="3589">
        <f>SUMIF('New Resources - Individual'!$F$6:$Y$6,S$6,'New Resources - Individual'!$F76:$Y76)</f>
        <v>0</v>
      </c>
      <c r="T76" s="3589">
        <f>SUMIF('New Resources - Individual'!$F$6:$Y$6,T$6,'New Resources - Individual'!$F76:$Y76)</f>
        <v>0</v>
      </c>
      <c r="U76" s="3589">
        <f>SUMIF('New Resources - Individual'!$F$6:$Y$6,U$6,'New Resources - Individual'!$F76:$Y76)</f>
        <v>0</v>
      </c>
      <c r="V76" s="3589">
        <f>SUMIF('New Resources - Individual'!$F$6:$Y$6,V$6,'New Resources - Individual'!$F76:$Y76)</f>
        <v>0</v>
      </c>
      <c r="W76" s="3589">
        <f>SUMIF('New Resources - Individual'!$F$6:$Y$6,W$6,'New Resources - Individual'!$F76:$Y76)</f>
        <v>0</v>
      </c>
      <c r="X76" s="3589">
        <f>SUMIF('New Resources - Individual'!$F$6:$Y$6,X$6,'New Resources - Individual'!$F76:$Y76)</f>
        <v>0</v>
      </c>
      <c r="Y76" s="3590">
        <f>SUMIF('New Resources - Individual'!$F$6:$Y$6,Y$6,'New Resources - Individual'!$F76:$Y76)</f>
        <v>0</v>
      </c>
      <c r="AG76" s="3564"/>
      <c r="AH76" s="3564"/>
    </row>
    <row r="77" spans="1:34">
      <c r="A77" s="3175">
        <v>782</v>
      </c>
      <c r="B77" s="3179" t="s">
        <v>295</v>
      </c>
      <c r="C77" s="3182"/>
      <c r="D77" s="3182"/>
      <c r="E77" s="3174"/>
      <c r="F77" s="3586">
        <f>SUMIF('New Resources - Individual'!$F$6:$Y$6,F$6,'New Resources - Individual'!$F77:$Y77)</f>
        <v>0</v>
      </c>
      <c r="G77" s="3586">
        <f>SUMIF('New Resources - Individual'!$F$6:$Y$6,G$6,'New Resources - Individual'!$F77:$Y77)</f>
        <v>0</v>
      </c>
      <c r="H77" s="3589">
        <f>SUMIF('New Resources - Individual'!$F$6:$Y$6,H$6,'New Resources - Individual'!$F77:$Y77)</f>
        <v>0</v>
      </c>
      <c r="I77" s="3586">
        <f>SUMIF('New Resources - Individual'!$F$6:$Y$6,I$6,'New Resources - Individual'!$F77:$Y77)</f>
        <v>0</v>
      </c>
      <c r="J77" s="3589">
        <f>SUMIF('New Resources - Individual'!$F$6:$Y$6,J$6,'New Resources - Individual'!$F77:$Y77)</f>
        <v>0</v>
      </c>
      <c r="K77" s="3589">
        <f>SUMIF('New Resources - Individual'!$F$6:$Y$6,K$6,'New Resources - Individual'!$F77:$Y77)</f>
        <v>0</v>
      </c>
      <c r="L77" s="3589">
        <f>SUMIF('New Resources - Individual'!$F$6:$Y$6,L$6,'New Resources - Individual'!$F77:$Y77)</f>
        <v>0</v>
      </c>
      <c r="M77" s="3589">
        <f>SUMIF('New Resources - Individual'!$F$6:$Y$6,M$6,'New Resources - Individual'!$F77:$Y77)</f>
        <v>0</v>
      </c>
      <c r="N77" s="3589">
        <f>SUMIF('New Resources - Individual'!$F$6:$Y$6,N$6,'New Resources - Individual'!$F77:$Y77)</f>
        <v>0</v>
      </c>
      <c r="O77" s="3589">
        <f>SUMIF('New Resources - Individual'!$F$6:$Y$6,O$6,'New Resources - Individual'!$F77:$Y77)</f>
        <v>0</v>
      </c>
      <c r="P77" s="3589">
        <f>SUMIF('New Resources - Individual'!$F$6:$Y$6,P$6,'New Resources - Individual'!$F77:$Y77)</f>
        <v>0</v>
      </c>
      <c r="Q77" s="3589">
        <f>SUMIF('New Resources - Individual'!$F$6:$Y$6,Q$6,'New Resources - Individual'!$F77:$Y77)</f>
        <v>0</v>
      </c>
      <c r="R77" s="3589">
        <f>SUMIF('New Resources - Individual'!$F$6:$Y$6,R$6,'New Resources - Individual'!$F77:$Y77)</f>
        <v>0</v>
      </c>
      <c r="S77" s="3589">
        <f>SUMIF('New Resources - Individual'!$F$6:$Y$6,S$6,'New Resources - Individual'!$F77:$Y77)</f>
        <v>0</v>
      </c>
      <c r="T77" s="3589">
        <f>SUMIF('New Resources - Individual'!$F$6:$Y$6,T$6,'New Resources - Individual'!$F77:$Y77)</f>
        <v>0</v>
      </c>
      <c r="U77" s="3589">
        <f>SUMIF('New Resources - Individual'!$F$6:$Y$6,U$6,'New Resources - Individual'!$F77:$Y77)</f>
        <v>0</v>
      </c>
      <c r="V77" s="3589">
        <f>SUMIF('New Resources - Individual'!$F$6:$Y$6,V$6,'New Resources - Individual'!$F77:$Y77)</f>
        <v>0</v>
      </c>
      <c r="W77" s="3589">
        <f>SUMIF('New Resources - Individual'!$F$6:$Y$6,W$6,'New Resources - Individual'!$F77:$Y77)</f>
        <v>0</v>
      </c>
      <c r="X77" s="3589">
        <f>SUMIF('New Resources - Individual'!$F$6:$Y$6,X$6,'New Resources - Individual'!$F77:$Y77)</f>
        <v>0</v>
      </c>
      <c r="Y77" s="3590">
        <f>SUMIF('New Resources - Individual'!$F$6:$Y$6,Y$6,'New Resources - Individual'!$F77:$Y77)</f>
        <v>0</v>
      </c>
      <c r="AG77" s="3564"/>
      <c r="AH77" s="3564"/>
    </row>
    <row r="78" spans="1:34">
      <c r="A78" s="3175">
        <v>790</v>
      </c>
      <c r="B78" s="3179" t="s">
        <v>264</v>
      </c>
      <c r="C78" s="3177">
        <v>555</v>
      </c>
      <c r="D78" s="3177" t="s">
        <v>592</v>
      </c>
      <c r="E78" s="3178"/>
      <c r="F78" s="3586">
        <f>SUMIF('New Resources - Individual'!$F$6:$Y$6,F$6,'New Resources - Individual'!$F78:$Y78)</f>
        <v>0</v>
      </c>
      <c r="G78" s="3586">
        <f>SUMIF('New Resources - Individual'!$F$6:$Y$6,G$6,'New Resources - Individual'!$F78:$Y78)</f>
        <v>0</v>
      </c>
      <c r="H78" s="3589">
        <f>SUMIF('New Resources - Individual'!$F$6:$Y$6,H$6,'New Resources - Individual'!$F78:$Y78)</f>
        <v>0</v>
      </c>
      <c r="I78" s="3586">
        <f>SUMIF('New Resources - Individual'!$F$6:$Y$6,I$6,'New Resources - Individual'!$F78:$Y78)</f>
        <v>0</v>
      </c>
      <c r="J78" s="3589">
        <f>SUMIF('New Resources - Individual'!$F$6:$Y$6,J$6,'New Resources - Individual'!$F78:$Y78)</f>
        <v>0</v>
      </c>
      <c r="K78" s="3589">
        <f>SUMIF('New Resources - Individual'!$F$6:$Y$6,K$6,'New Resources - Individual'!$F78:$Y78)</f>
        <v>0</v>
      </c>
      <c r="L78" s="3589">
        <f>SUMIF('New Resources - Individual'!$F$6:$Y$6,L$6,'New Resources - Individual'!$F78:$Y78)</f>
        <v>0</v>
      </c>
      <c r="M78" s="3589">
        <f>SUMIF('New Resources - Individual'!$F$6:$Y$6,M$6,'New Resources - Individual'!$F78:$Y78)</f>
        <v>0</v>
      </c>
      <c r="N78" s="3589">
        <f>SUMIF('New Resources - Individual'!$F$6:$Y$6,N$6,'New Resources - Individual'!$F78:$Y78)</f>
        <v>0</v>
      </c>
      <c r="O78" s="3589">
        <f>SUMIF('New Resources - Individual'!$F$6:$Y$6,O$6,'New Resources - Individual'!$F78:$Y78)</f>
        <v>0</v>
      </c>
      <c r="P78" s="3589">
        <f>SUMIF('New Resources - Individual'!$F$6:$Y$6,P$6,'New Resources - Individual'!$F78:$Y78)</f>
        <v>0</v>
      </c>
      <c r="Q78" s="3589">
        <f>SUMIF('New Resources - Individual'!$F$6:$Y$6,Q$6,'New Resources - Individual'!$F78:$Y78)</f>
        <v>0</v>
      </c>
      <c r="R78" s="3589">
        <f>SUMIF('New Resources - Individual'!$F$6:$Y$6,R$6,'New Resources - Individual'!$F78:$Y78)</f>
        <v>0</v>
      </c>
      <c r="S78" s="3589">
        <f>SUMIF('New Resources - Individual'!$F$6:$Y$6,S$6,'New Resources - Individual'!$F78:$Y78)</f>
        <v>0</v>
      </c>
      <c r="T78" s="3589">
        <f>SUMIF('New Resources - Individual'!$F$6:$Y$6,T$6,'New Resources - Individual'!$F78:$Y78)</f>
        <v>0</v>
      </c>
      <c r="U78" s="3589">
        <f>SUMIF('New Resources - Individual'!$F$6:$Y$6,U$6,'New Resources - Individual'!$F78:$Y78)</f>
        <v>0</v>
      </c>
      <c r="V78" s="3589">
        <f>SUMIF('New Resources - Individual'!$F$6:$Y$6,V$6,'New Resources - Individual'!$F78:$Y78)</f>
        <v>0</v>
      </c>
      <c r="W78" s="3589">
        <f>SUMIF('New Resources - Individual'!$F$6:$Y$6,W$6,'New Resources - Individual'!$F78:$Y78)</f>
        <v>0</v>
      </c>
      <c r="X78" s="3589">
        <f>SUMIF('New Resources - Individual'!$F$6:$Y$6,X$6,'New Resources - Individual'!$F78:$Y78)</f>
        <v>0</v>
      </c>
      <c r="Y78" s="3590">
        <f>SUMIF('New Resources - Individual'!$F$6:$Y$6,Y$6,'New Resources - Individual'!$F78:$Y78)</f>
        <v>0</v>
      </c>
      <c r="AG78" s="3564"/>
      <c r="AH78" s="3564"/>
    </row>
    <row r="79" spans="1:34">
      <c r="A79" s="3175">
        <v>800</v>
      </c>
      <c r="B79" s="3186" t="s">
        <v>297</v>
      </c>
      <c r="C79" s="3182"/>
      <c r="D79" s="3177" t="s">
        <v>592</v>
      </c>
      <c r="E79" s="3185"/>
      <c r="F79" s="3586">
        <f>SUMIF('New Resources - Individual'!$F$6:$Y$6,F$6,'New Resources - Individual'!$F79:$Y79)</f>
        <v>0</v>
      </c>
      <c r="G79" s="3586">
        <f>SUMIF('New Resources - Individual'!$F$6:$Y$6,G$6,'New Resources - Individual'!$F79:$Y79)</f>
        <v>0</v>
      </c>
      <c r="H79" s="3589">
        <f>SUMIF('New Resources - Individual'!$F$6:$Y$6,H$6,'New Resources - Individual'!$F79:$Y79)</f>
        <v>0</v>
      </c>
      <c r="I79" s="3586">
        <f>SUMIF('New Resources - Individual'!$F$6:$Y$6,I$6,'New Resources - Individual'!$F79:$Y79)</f>
        <v>0</v>
      </c>
      <c r="J79" s="3589">
        <f>SUMIF('New Resources - Individual'!$F$6:$Y$6,J$6,'New Resources - Individual'!$F79:$Y79)</f>
        <v>0</v>
      </c>
      <c r="K79" s="3589">
        <f>SUMIF('New Resources - Individual'!$F$6:$Y$6,K$6,'New Resources - Individual'!$F79:$Y79)</f>
        <v>0</v>
      </c>
      <c r="L79" s="3589">
        <f>SUMIF('New Resources - Individual'!$F$6:$Y$6,L$6,'New Resources - Individual'!$F79:$Y79)</f>
        <v>0</v>
      </c>
      <c r="M79" s="3589">
        <f>SUMIF('New Resources - Individual'!$F$6:$Y$6,M$6,'New Resources - Individual'!$F79:$Y79)</f>
        <v>0</v>
      </c>
      <c r="N79" s="3589">
        <f>SUMIF('New Resources - Individual'!$F$6:$Y$6,N$6,'New Resources - Individual'!$F79:$Y79)</f>
        <v>0</v>
      </c>
      <c r="O79" s="3589">
        <f>SUMIF('New Resources - Individual'!$F$6:$Y$6,O$6,'New Resources - Individual'!$F79:$Y79)</f>
        <v>0</v>
      </c>
      <c r="P79" s="3589">
        <f>SUMIF('New Resources - Individual'!$F$6:$Y$6,P$6,'New Resources - Individual'!$F79:$Y79)</f>
        <v>0</v>
      </c>
      <c r="Q79" s="3589">
        <f>SUMIF('New Resources - Individual'!$F$6:$Y$6,Q$6,'New Resources - Individual'!$F79:$Y79)</f>
        <v>0</v>
      </c>
      <c r="R79" s="3589">
        <f>SUMIF('New Resources - Individual'!$F$6:$Y$6,R$6,'New Resources - Individual'!$F79:$Y79)</f>
        <v>0</v>
      </c>
      <c r="S79" s="3589">
        <f>SUMIF('New Resources - Individual'!$F$6:$Y$6,S$6,'New Resources - Individual'!$F79:$Y79)</f>
        <v>0</v>
      </c>
      <c r="T79" s="3589">
        <f>SUMIF('New Resources - Individual'!$F$6:$Y$6,T$6,'New Resources - Individual'!$F79:$Y79)</f>
        <v>0</v>
      </c>
      <c r="U79" s="3589">
        <f>SUMIF('New Resources - Individual'!$F$6:$Y$6,U$6,'New Resources - Individual'!$F79:$Y79)</f>
        <v>0</v>
      </c>
      <c r="V79" s="3589">
        <f>SUMIF('New Resources - Individual'!$F$6:$Y$6,V$6,'New Resources - Individual'!$F79:$Y79)</f>
        <v>0</v>
      </c>
      <c r="W79" s="3589">
        <f>SUMIF('New Resources - Individual'!$F$6:$Y$6,W$6,'New Resources - Individual'!$F79:$Y79)</f>
        <v>0</v>
      </c>
      <c r="X79" s="3589">
        <f>SUMIF('New Resources - Individual'!$F$6:$Y$6,X$6,'New Resources - Individual'!$F79:$Y79)</f>
        <v>0</v>
      </c>
      <c r="Y79" s="3590">
        <f>SUMIF('New Resources - Individual'!$F$6:$Y$6,Y$6,'New Resources - Individual'!$F79:$Y79)</f>
        <v>0</v>
      </c>
      <c r="AG79" s="3564"/>
      <c r="AH79" s="3564"/>
    </row>
    <row r="80" spans="1:34">
      <c r="A80" s="3175">
        <v>810</v>
      </c>
      <c r="B80" s="3183" t="s">
        <v>454</v>
      </c>
      <c r="C80" s="3184">
        <v>556</v>
      </c>
      <c r="D80" s="3184"/>
      <c r="E80" s="3185"/>
      <c r="F80" s="3586">
        <f>SUMIF('New Resources - Individual'!$F$6:$Y$6,F$6,'New Resources - Individual'!$F80:$Y80)</f>
        <v>0</v>
      </c>
      <c r="G80" s="3586">
        <f>SUMIF('New Resources - Individual'!$F$6:$Y$6,G$6,'New Resources - Individual'!$F80:$Y80)</f>
        <v>0</v>
      </c>
      <c r="H80" s="3589">
        <f>SUMIF('New Resources - Individual'!$F$6:$Y$6,H$6,'New Resources - Individual'!$F80:$Y80)</f>
        <v>0</v>
      </c>
      <c r="I80" s="3586">
        <f>SUMIF('New Resources - Individual'!$F$6:$Y$6,I$6,'New Resources - Individual'!$F80:$Y80)</f>
        <v>0</v>
      </c>
      <c r="J80" s="3589">
        <f>SUMIF('New Resources - Individual'!$F$6:$Y$6,J$6,'New Resources - Individual'!$F80:$Y80)</f>
        <v>0</v>
      </c>
      <c r="K80" s="3589">
        <f>SUMIF('New Resources - Individual'!$F$6:$Y$6,K$6,'New Resources - Individual'!$F80:$Y80)</f>
        <v>0</v>
      </c>
      <c r="L80" s="3589">
        <f>SUMIF('New Resources - Individual'!$F$6:$Y$6,L$6,'New Resources - Individual'!$F80:$Y80)</f>
        <v>0</v>
      </c>
      <c r="M80" s="3589">
        <f>SUMIF('New Resources - Individual'!$F$6:$Y$6,M$6,'New Resources - Individual'!$F80:$Y80)</f>
        <v>0</v>
      </c>
      <c r="N80" s="3589">
        <f>SUMIF('New Resources - Individual'!$F$6:$Y$6,N$6,'New Resources - Individual'!$F80:$Y80)</f>
        <v>0</v>
      </c>
      <c r="O80" s="3589">
        <f>SUMIF('New Resources - Individual'!$F$6:$Y$6,O$6,'New Resources - Individual'!$F80:$Y80)</f>
        <v>0</v>
      </c>
      <c r="P80" s="3589">
        <f>SUMIF('New Resources - Individual'!$F$6:$Y$6,P$6,'New Resources - Individual'!$F80:$Y80)</f>
        <v>0</v>
      </c>
      <c r="Q80" s="3589">
        <f>SUMIF('New Resources - Individual'!$F$6:$Y$6,Q$6,'New Resources - Individual'!$F80:$Y80)</f>
        <v>0</v>
      </c>
      <c r="R80" s="3589">
        <f>SUMIF('New Resources - Individual'!$F$6:$Y$6,R$6,'New Resources - Individual'!$F80:$Y80)</f>
        <v>0</v>
      </c>
      <c r="S80" s="3589">
        <f>SUMIF('New Resources - Individual'!$F$6:$Y$6,S$6,'New Resources - Individual'!$F80:$Y80)</f>
        <v>0</v>
      </c>
      <c r="T80" s="3589">
        <f>SUMIF('New Resources - Individual'!$F$6:$Y$6,T$6,'New Resources - Individual'!$F80:$Y80)</f>
        <v>0</v>
      </c>
      <c r="U80" s="3589">
        <f>SUMIF('New Resources - Individual'!$F$6:$Y$6,U$6,'New Resources - Individual'!$F80:$Y80)</f>
        <v>0</v>
      </c>
      <c r="V80" s="3589">
        <f>SUMIF('New Resources - Individual'!$F$6:$Y$6,V$6,'New Resources - Individual'!$F80:$Y80)</f>
        <v>0</v>
      </c>
      <c r="W80" s="3589">
        <f>SUMIF('New Resources - Individual'!$F$6:$Y$6,W$6,'New Resources - Individual'!$F80:$Y80)</f>
        <v>0</v>
      </c>
      <c r="X80" s="3589">
        <f>SUMIF('New Resources - Individual'!$F$6:$Y$6,X$6,'New Resources - Individual'!$F80:$Y80)</f>
        <v>0</v>
      </c>
      <c r="Y80" s="3590">
        <f>SUMIF('New Resources - Individual'!$F$6:$Y$6,Y$6,'New Resources - Individual'!$F80:$Y80)</f>
        <v>0</v>
      </c>
      <c r="AG80" s="3564"/>
      <c r="AH80" s="3564"/>
    </row>
    <row r="81" spans="1:34">
      <c r="A81" s="3175">
        <v>820</v>
      </c>
      <c r="B81" s="3179" t="s">
        <v>265</v>
      </c>
      <c r="C81" s="3177">
        <v>557</v>
      </c>
      <c r="D81" s="3177"/>
      <c r="E81" s="3178"/>
      <c r="F81" s="3586">
        <f>SUMIF('New Resources - Individual'!$F$6:$Y$6,F$6,'New Resources - Individual'!$F81:$Y81)</f>
        <v>0</v>
      </c>
      <c r="G81" s="3586">
        <f>SUMIF('New Resources - Individual'!$F$6:$Y$6,G$6,'New Resources - Individual'!$F81:$Y81)</f>
        <v>0</v>
      </c>
      <c r="H81" s="3589">
        <f>SUMIF('New Resources - Individual'!$F$6:$Y$6,H$6,'New Resources - Individual'!$F81:$Y81)</f>
        <v>0</v>
      </c>
      <c r="I81" s="3586">
        <f>SUMIF('New Resources - Individual'!$F$6:$Y$6,I$6,'New Resources - Individual'!$F81:$Y81)</f>
        <v>0</v>
      </c>
      <c r="J81" s="3589">
        <f>SUMIF('New Resources - Individual'!$F$6:$Y$6,J$6,'New Resources - Individual'!$F81:$Y81)</f>
        <v>0</v>
      </c>
      <c r="K81" s="3589">
        <f>SUMIF('New Resources - Individual'!$F$6:$Y$6,K$6,'New Resources - Individual'!$F81:$Y81)</f>
        <v>0</v>
      </c>
      <c r="L81" s="3589">
        <f>SUMIF('New Resources - Individual'!$F$6:$Y$6,L$6,'New Resources - Individual'!$F81:$Y81)</f>
        <v>0</v>
      </c>
      <c r="M81" s="3589">
        <f>SUMIF('New Resources - Individual'!$F$6:$Y$6,M$6,'New Resources - Individual'!$F81:$Y81)</f>
        <v>0</v>
      </c>
      <c r="N81" s="3589">
        <f>SUMIF('New Resources - Individual'!$F$6:$Y$6,N$6,'New Resources - Individual'!$F81:$Y81)</f>
        <v>0</v>
      </c>
      <c r="O81" s="3589">
        <f>SUMIF('New Resources - Individual'!$F$6:$Y$6,O$6,'New Resources - Individual'!$F81:$Y81)</f>
        <v>0</v>
      </c>
      <c r="P81" s="3589">
        <f>SUMIF('New Resources - Individual'!$F$6:$Y$6,P$6,'New Resources - Individual'!$F81:$Y81)</f>
        <v>0</v>
      </c>
      <c r="Q81" s="3589">
        <f>SUMIF('New Resources - Individual'!$F$6:$Y$6,Q$6,'New Resources - Individual'!$F81:$Y81)</f>
        <v>0</v>
      </c>
      <c r="R81" s="3589">
        <f>SUMIF('New Resources - Individual'!$F$6:$Y$6,R$6,'New Resources - Individual'!$F81:$Y81)</f>
        <v>0</v>
      </c>
      <c r="S81" s="3589">
        <f>SUMIF('New Resources - Individual'!$F$6:$Y$6,S$6,'New Resources - Individual'!$F81:$Y81)</f>
        <v>0</v>
      </c>
      <c r="T81" s="3589">
        <f>SUMIF('New Resources - Individual'!$F$6:$Y$6,T$6,'New Resources - Individual'!$F81:$Y81)</f>
        <v>0</v>
      </c>
      <c r="U81" s="3589">
        <f>SUMIF('New Resources - Individual'!$F$6:$Y$6,U$6,'New Resources - Individual'!$F81:$Y81)</f>
        <v>0</v>
      </c>
      <c r="V81" s="3589">
        <f>SUMIF('New Resources - Individual'!$F$6:$Y$6,V$6,'New Resources - Individual'!$F81:$Y81)</f>
        <v>0</v>
      </c>
      <c r="W81" s="3589">
        <f>SUMIF('New Resources - Individual'!$F$6:$Y$6,W$6,'New Resources - Individual'!$F81:$Y81)</f>
        <v>0</v>
      </c>
      <c r="X81" s="3589">
        <f>SUMIF('New Resources - Individual'!$F$6:$Y$6,X$6,'New Resources - Individual'!$F81:$Y81)</f>
        <v>0</v>
      </c>
      <c r="Y81" s="3590">
        <f>SUMIF('New Resources - Individual'!$F$6:$Y$6,Y$6,'New Resources - Individual'!$F81:$Y81)</f>
        <v>0</v>
      </c>
      <c r="AG81" s="3564"/>
      <c r="AH81" s="3564"/>
    </row>
    <row r="82" spans="1:34">
      <c r="A82" s="3175">
        <v>830</v>
      </c>
      <c r="B82" s="3181" t="s">
        <v>525</v>
      </c>
      <c r="C82" s="3182"/>
      <c r="D82" s="3182"/>
      <c r="E82" s="3174"/>
      <c r="F82" s="3586"/>
      <c r="G82" s="3591"/>
      <c r="H82" s="3591"/>
      <c r="I82" s="3591"/>
      <c r="J82" s="3591"/>
      <c r="K82" s="3591"/>
      <c r="L82" s="3591"/>
      <c r="M82" s="3591"/>
      <c r="N82" s="3591"/>
      <c r="O82" s="3591"/>
      <c r="P82" s="3591"/>
      <c r="Q82" s="3591"/>
      <c r="R82" s="3591"/>
      <c r="S82" s="3591"/>
      <c r="T82" s="3591"/>
      <c r="U82" s="3591"/>
      <c r="V82" s="3591"/>
      <c r="W82" s="3591"/>
      <c r="X82" s="3591"/>
      <c r="Y82" s="3592"/>
      <c r="AG82" s="3564"/>
      <c r="AH82" s="3564"/>
    </row>
    <row r="83" spans="1:34">
      <c r="A83" s="3175">
        <v>840</v>
      </c>
      <c r="B83" s="3179" t="s">
        <v>525</v>
      </c>
      <c r="C83" s="3177" t="s">
        <v>120</v>
      </c>
      <c r="D83" s="3177"/>
      <c r="E83" s="3178"/>
      <c r="F83" s="3586">
        <f>SUMIF('New Resources - Individual'!$F$6:$Y$6,F$6,'New Resources - Individual'!$F83:$Y83)</f>
        <v>0</v>
      </c>
      <c r="G83" s="3586">
        <f>SUMIF('New Resources - Individual'!$F$6:$Y$6,G$6,'New Resources - Individual'!$F83:$Y83)</f>
        <v>0</v>
      </c>
      <c r="H83" s="3589">
        <f>SUMIF('New Resources - Individual'!$F$6:$Y$6,H$6,'New Resources - Individual'!$F83:$Y83)</f>
        <v>0</v>
      </c>
      <c r="I83" s="3586">
        <f>SUMIF('New Resources - Individual'!$F$6:$Y$6,I$6,'New Resources - Individual'!$F83:$Y83)</f>
        <v>0</v>
      </c>
      <c r="J83" s="3589">
        <f>SUMIF('New Resources - Individual'!$F$6:$Y$6,J$6,'New Resources - Individual'!$F83:$Y83)</f>
        <v>0</v>
      </c>
      <c r="K83" s="3589">
        <f>SUMIF('New Resources - Individual'!$F$6:$Y$6,K$6,'New Resources - Individual'!$F83:$Y83)</f>
        <v>0</v>
      </c>
      <c r="L83" s="3589">
        <f>SUMIF('New Resources - Individual'!$F$6:$Y$6,L$6,'New Resources - Individual'!$F83:$Y83)</f>
        <v>0</v>
      </c>
      <c r="M83" s="3589">
        <f>SUMIF('New Resources - Individual'!$F$6:$Y$6,M$6,'New Resources - Individual'!$F83:$Y83)</f>
        <v>0</v>
      </c>
      <c r="N83" s="3589">
        <f>SUMIF('New Resources - Individual'!$F$6:$Y$6,N$6,'New Resources - Individual'!$F83:$Y83)</f>
        <v>0</v>
      </c>
      <c r="O83" s="3589">
        <f>SUMIF('New Resources - Individual'!$F$6:$Y$6,O$6,'New Resources - Individual'!$F83:$Y83)</f>
        <v>0</v>
      </c>
      <c r="P83" s="3589">
        <f>SUMIF('New Resources - Individual'!$F$6:$Y$6,P$6,'New Resources - Individual'!$F83:$Y83)</f>
        <v>0</v>
      </c>
      <c r="Q83" s="3589">
        <f>SUMIF('New Resources - Individual'!$F$6:$Y$6,Q$6,'New Resources - Individual'!$F83:$Y83)</f>
        <v>0</v>
      </c>
      <c r="R83" s="3589">
        <f>SUMIF('New Resources - Individual'!$F$6:$Y$6,R$6,'New Resources - Individual'!$F83:$Y83)</f>
        <v>0</v>
      </c>
      <c r="S83" s="3589">
        <f>SUMIF('New Resources - Individual'!$F$6:$Y$6,S$6,'New Resources - Individual'!$F83:$Y83)</f>
        <v>0</v>
      </c>
      <c r="T83" s="3589">
        <f>SUMIF('New Resources - Individual'!$F$6:$Y$6,T$6,'New Resources - Individual'!$F83:$Y83)</f>
        <v>0</v>
      </c>
      <c r="U83" s="3589">
        <f>SUMIF('New Resources - Individual'!$F$6:$Y$6,U$6,'New Resources - Individual'!$F83:$Y83)</f>
        <v>0</v>
      </c>
      <c r="V83" s="3589">
        <f>SUMIF('New Resources - Individual'!$F$6:$Y$6,V$6,'New Resources - Individual'!$F83:$Y83)</f>
        <v>0</v>
      </c>
      <c r="W83" s="3589">
        <f>SUMIF('New Resources - Individual'!$F$6:$Y$6,W$6,'New Resources - Individual'!$F83:$Y83)</f>
        <v>0</v>
      </c>
      <c r="X83" s="3589">
        <f>SUMIF('New Resources - Individual'!$F$6:$Y$6,X$6,'New Resources - Individual'!$F83:$Y83)</f>
        <v>0</v>
      </c>
      <c r="Y83" s="3590">
        <f>SUMIF('New Resources - Individual'!$F$6:$Y$6,Y$6,'New Resources - Individual'!$F83:$Y83)</f>
        <v>0</v>
      </c>
      <c r="AG83" s="3564"/>
      <c r="AH83" s="3564"/>
    </row>
    <row r="84" spans="1:34">
      <c r="A84" s="3175">
        <v>850</v>
      </c>
      <c r="B84" s="3179" t="s">
        <v>79</v>
      </c>
      <c r="C84" s="3177"/>
      <c r="D84" s="3177"/>
      <c r="E84" s="3178"/>
      <c r="F84" s="3586">
        <f>SUMIF('New Resources - Individual'!$F$6:$Y$6,F$6,'New Resources - Individual'!$F84:$Y84)</f>
        <v>0</v>
      </c>
      <c r="G84" s="3586">
        <f>SUMIF('New Resources - Individual'!$F$6:$Y$6,G$6,'New Resources - Individual'!$F84:$Y84)</f>
        <v>0</v>
      </c>
      <c r="H84" s="3589">
        <f>SUMIF('New Resources - Individual'!$F$6:$Y$6,H$6,'New Resources - Individual'!$F84:$Y84)</f>
        <v>0</v>
      </c>
      <c r="I84" s="3586">
        <f>SUMIF('New Resources - Individual'!$F$6:$Y$6,I$6,'New Resources - Individual'!$F84:$Y84)</f>
        <v>0</v>
      </c>
      <c r="J84" s="3589">
        <f>SUMIF('New Resources - Individual'!$F$6:$Y$6,J$6,'New Resources - Individual'!$F84:$Y84)</f>
        <v>0</v>
      </c>
      <c r="K84" s="3589">
        <f>SUMIF('New Resources - Individual'!$F$6:$Y$6,K$6,'New Resources - Individual'!$F84:$Y84)</f>
        <v>0</v>
      </c>
      <c r="L84" s="3589">
        <f>SUMIF('New Resources - Individual'!$F$6:$Y$6,L$6,'New Resources - Individual'!$F84:$Y84)</f>
        <v>0</v>
      </c>
      <c r="M84" s="3589">
        <f>SUMIF('New Resources - Individual'!$F$6:$Y$6,M$6,'New Resources - Individual'!$F84:$Y84)</f>
        <v>0</v>
      </c>
      <c r="N84" s="3589">
        <f>SUMIF('New Resources - Individual'!$F$6:$Y$6,N$6,'New Resources - Individual'!$F84:$Y84)</f>
        <v>0</v>
      </c>
      <c r="O84" s="3589">
        <f>SUMIF('New Resources - Individual'!$F$6:$Y$6,O$6,'New Resources - Individual'!$F84:$Y84)</f>
        <v>0</v>
      </c>
      <c r="P84" s="3589">
        <f>SUMIF('New Resources - Individual'!$F$6:$Y$6,P$6,'New Resources - Individual'!$F84:$Y84)</f>
        <v>0</v>
      </c>
      <c r="Q84" s="3589">
        <f>SUMIF('New Resources - Individual'!$F$6:$Y$6,Q$6,'New Resources - Individual'!$F84:$Y84)</f>
        <v>0</v>
      </c>
      <c r="R84" s="3589">
        <f>SUMIF('New Resources - Individual'!$F$6:$Y$6,R$6,'New Resources - Individual'!$F84:$Y84)</f>
        <v>0</v>
      </c>
      <c r="S84" s="3589">
        <f>SUMIF('New Resources - Individual'!$F$6:$Y$6,S$6,'New Resources - Individual'!$F84:$Y84)</f>
        <v>0</v>
      </c>
      <c r="T84" s="3589">
        <f>SUMIF('New Resources - Individual'!$F$6:$Y$6,T$6,'New Resources - Individual'!$F84:$Y84)</f>
        <v>0</v>
      </c>
      <c r="U84" s="3589">
        <f>SUMIF('New Resources - Individual'!$F$6:$Y$6,U$6,'New Resources - Individual'!$F84:$Y84)</f>
        <v>0</v>
      </c>
      <c r="V84" s="3589">
        <f>SUMIF('New Resources - Individual'!$F$6:$Y$6,V$6,'New Resources - Individual'!$F84:$Y84)</f>
        <v>0</v>
      </c>
      <c r="W84" s="3589">
        <f>SUMIF('New Resources - Individual'!$F$6:$Y$6,W$6,'New Resources - Individual'!$F84:$Y84)</f>
        <v>0</v>
      </c>
      <c r="X84" s="3589">
        <f>SUMIF('New Resources - Individual'!$F$6:$Y$6,X$6,'New Resources - Individual'!$F84:$Y84)</f>
        <v>0</v>
      </c>
      <c r="Y84" s="3590">
        <f>SUMIF('New Resources - Individual'!$F$6:$Y$6,Y$6,'New Resources - Individual'!$F84:$Y84)</f>
        <v>0</v>
      </c>
      <c r="AG84" s="3564"/>
      <c r="AH84" s="3564"/>
    </row>
    <row r="85" spans="1:34">
      <c r="A85" s="3175">
        <v>860</v>
      </c>
      <c r="B85" s="3181" t="s">
        <v>298</v>
      </c>
      <c r="C85" s="3182"/>
      <c r="D85" s="3182"/>
      <c r="E85" s="3174"/>
      <c r="F85" s="3589"/>
      <c r="G85" s="3589"/>
      <c r="H85" s="3591"/>
      <c r="I85" s="3586"/>
      <c r="J85" s="3591"/>
      <c r="K85" s="3589"/>
      <c r="L85" s="3591"/>
      <c r="M85" s="3591"/>
      <c r="N85" s="3591"/>
      <c r="O85" s="3591"/>
      <c r="P85" s="3591"/>
      <c r="Q85" s="3591"/>
      <c r="R85" s="3589"/>
      <c r="S85" s="3589"/>
      <c r="T85" s="3589"/>
      <c r="U85" s="3589"/>
      <c r="V85" s="3589"/>
      <c r="W85" s="3591"/>
      <c r="X85" s="3591"/>
      <c r="Y85" s="3590"/>
      <c r="AG85" s="3564"/>
      <c r="AH85" s="3564"/>
    </row>
    <row r="86" spans="1:34">
      <c r="A86" s="3175">
        <v>870</v>
      </c>
      <c r="B86" s="3176" t="s">
        <v>299</v>
      </c>
      <c r="C86" s="3180">
        <v>565</v>
      </c>
      <c r="D86" s="3180"/>
      <c r="E86" s="3178"/>
      <c r="F86" s="3586">
        <f>SUMIF('New Resources - Individual'!$F$6:$Y$6,F$6,'New Resources - Individual'!$F86:$Y86)</f>
        <v>0</v>
      </c>
      <c r="G86" s="3586">
        <f>SUMIF('New Resources - Individual'!$F$6:$Y$6,G$6,'New Resources - Individual'!$F86:$Y86)</f>
        <v>0</v>
      </c>
      <c r="H86" s="3589">
        <f>SUMIF('New Resources - Individual'!$F$6:$Y$6,H$6,'New Resources - Individual'!$F86:$Y86)</f>
        <v>0</v>
      </c>
      <c r="I86" s="3586">
        <f>SUMIF('New Resources - Individual'!$F$6:$Y$6,I$6,'New Resources - Individual'!$F86:$Y86)</f>
        <v>0</v>
      </c>
      <c r="J86" s="3589">
        <f>SUMIF('New Resources - Individual'!$F$6:$Y$6,J$6,'New Resources - Individual'!$F86:$Y86)</f>
        <v>0</v>
      </c>
      <c r="K86" s="3589">
        <f>SUMIF('New Resources - Individual'!$F$6:$Y$6,K$6,'New Resources - Individual'!$F86:$Y86)</f>
        <v>0</v>
      </c>
      <c r="L86" s="3589">
        <f>SUMIF('New Resources - Individual'!$F$6:$Y$6,L$6,'New Resources - Individual'!$F86:$Y86)</f>
        <v>0</v>
      </c>
      <c r="M86" s="3589">
        <f>SUMIF('New Resources - Individual'!$F$6:$Y$6,M$6,'New Resources - Individual'!$F86:$Y86)</f>
        <v>0</v>
      </c>
      <c r="N86" s="3589">
        <f>SUMIF('New Resources - Individual'!$F$6:$Y$6,N$6,'New Resources - Individual'!$F86:$Y86)</f>
        <v>0</v>
      </c>
      <c r="O86" s="3589">
        <f>SUMIF('New Resources - Individual'!$F$6:$Y$6,O$6,'New Resources - Individual'!$F86:$Y86)</f>
        <v>0</v>
      </c>
      <c r="P86" s="3589">
        <f>SUMIF('New Resources - Individual'!$F$6:$Y$6,P$6,'New Resources - Individual'!$F86:$Y86)</f>
        <v>0</v>
      </c>
      <c r="Q86" s="3589">
        <f>SUMIF('New Resources - Individual'!$F$6:$Y$6,Q$6,'New Resources - Individual'!$F86:$Y86)</f>
        <v>0</v>
      </c>
      <c r="R86" s="3589">
        <f>SUMIF('New Resources - Individual'!$F$6:$Y$6,R$6,'New Resources - Individual'!$F86:$Y86)</f>
        <v>0</v>
      </c>
      <c r="S86" s="3589">
        <f>SUMIF('New Resources - Individual'!$F$6:$Y$6,S$6,'New Resources - Individual'!$F86:$Y86)</f>
        <v>0</v>
      </c>
      <c r="T86" s="3589">
        <f>SUMIF('New Resources - Individual'!$F$6:$Y$6,T$6,'New Resources - Individual'!$F86:$Y86)</f>
        <v>0</v>
      </c>
      <c r="U86" s="3589">
        <f>SUMIF('New Resources - Individual'!$F$6:$Y$6,U$6,'New Resources - Individual'!$F86:$Y86)</f>
        <v>0</v>
      </c>
      <c r="V86" s="3589">
        <f>SUMIF('New Resources - Individual'!$F$6:$Y$6,V$6,'New Resources - Individual'!$F86:$Y86)</f>
        <v>0</v>
      </c>
      <c r="W86" s="3589">
        <f>SUMIF('New Resources - Individual'!$F$6:$Y$6,W$6,'New Resources - Individual'!$F86:$Y86)</f>
        <v>0</v>
      </c>
      <c r="X86" s="3589">
        <f>SUMIF('New Resources - Individual'!$F$6:$Y$6,X$6,'New Resources - Individual'!$F86:$Y86)</f>
        <v>0</v>
      </c>
      <c r="Y86" s="3590">
        <f>SUMIF('New Resources - Individual'!$F$6:$Y$6,Y$6,'New Resources - Individual'!$F86:$Y86)</f>
        <v>0</v>
      </c>
      <c r="AG86" s="3564"/>
      <c r="AH86" s="3564"/>
    </row>
    <row r="87" spans="1:34">
      <c r="A87" s="3175">
        <v>880</v>
      </c>
      <c r="B87" s="3179" t="s">
        <v>460</v>
      </c>
      <c r="C87" s="3177" t="s">
        <v>300</v>
      </c>
      <c r="D87" s="3177"/>
      <c r="E87" s="3178"/>
      <c r="F87" s="3586">
        <f>SUMIF('New Resources - Individual'!$F$6:$Y$6,F$6,'New Resources - Individual'!$F87:$Y87)</f>
        <v>0</v>
      </c>
      <c r="G87" s="3586">
        <f>SUMIF('New Resources - Individual'!$F$6:$Y$6,G$6,'New Resources - Individual'!$F87:$Y87)</f>
        <v>0</v>
      </c>
      <c r="H87" s="3589">
        <f>SUMIF('New Resources - Individual'!$F$6:$Y$6,H$6,'New Resources - Individual'!$F87:$Y87)</f>
        <v>0</v>
      </c>
      <c r="I87" s="3586">
        <f>SUMIF('New Resources - Individual'!$F$6:$Y$6,I$6,'New Resources - Individual'!$F87:$Y87)</f>
        <v>0</v>
      </c>
      <c r="J87" s="3589">
        <f>SUMIF('New Resources - Individual'!$F$6:$Y$6,J$6,'New Resources - Individual'!$F87:$Y87)</f>
        <v>0</v>
      </c>
      <c r="K87" s="3589">
        <f>SUMIF('New Resources - Individual'!$F$6:$Y$6,K$6,'New Resources - Individual'!$F87:$Y87)</f>
        <v>0</v>
      </c>
      <c r="L87" s="3589">
        <f>SUMIF('New Resources - Individual'!$F$6:$Y$6,L$6,'New Resources - Individual'!$F87:$Y87)</f>
        <v>0</v>
      </c>
      <c r="M87" s="3589">
        <f>SUMIF('New Resources - Individual'!$F$6:$Y$6,M$6,'New Resources - Individual'!$F87:$Y87)</f>
        <v>0</v>
      </c>
      <c r="N87" s="3589">
        <f>SUMIF('New Resources - Individual'!$F$6:$Y$6,N$6,'New Resources - Individual'!$F87:$Y87)</f>
        <v>0</v>
      </c>
      <c r="O87" s="3589">
        <f>SUMIF('New Resources - Individual'!$F$6:$Y$6,O$6,'New Resources - Individual'!$F87:$Y87)</f>
        <v>0</v>
      </c>
      <c r="P87" s="3589">
        <f>SUMIF('New Resources - Individual'!$F$6:$Y$6,P$6,'New Resources - Individual'!$F87:$Y87)</f>
        <v>0</v>
      </c>
      <c r="Q87" s="3589">
        <f>SUMIF('New Resources - Individual'!$F$6:$Y$6,Q$6,'New Resources - Individual'!$F87:$Y87)</f>
        <v>0</v>
      </c>
      <c r="R87" s="3589">
        <f>SUMIF('New Resources - Individual'!$F$6:$Y$6,R$6,'New Resources - Individual'!$F87:$Y87)</f>
        <v>0</v>
      </c>
      <c r="S87" s="3589">
        <f>SUMIF('New Resources - Individual'!$F$6:$Y$6,S$6,'New Resources - Individual'!$F87:$Y87)</f>
        <v>0</v>
      </c>
      <c r="T87" s="3589">
        <f>SUMIF('New Resources - Individual'!$F$6:$Y$6,T$6,'New Resources - Individual'!$F87:$Y87)</f>
        <v>0</v>
      </c>
      <c r="U87" s="3589">
        <f>SUMIF('New Resources - Individual'!$F$6:$Y$6,U$6,'New Resources - Individual'!$F87:$Y87)</f>
        <v>0</v>
      </c>
      <c r="V87" s="3589">
        <f>SUMIF('New Resources - Individual'!$F$6:$Y$6,V$6,'New Resources - Individual'!$F87:$Y87)</f>
        <v>0</v>
      </c>
      <c r="W87" s="3589">
        <f>SUMIF('New Resources - Individual'!$F$6:$Y$6,W$6,'New Resources - Individual'!$F87:$Y87)</f>
        <v>0</v>
      </c>
      <c r="X87" s="3589">
        <f>SUMIF('New Resources - Individual'!$F$6:$Y$6,X$6,'New Resources - Individual'!$F87:$Y87)</f>
        <v>0</v>
      </c>
      <c r="Y87" s="3590">
        <f>SUMIF('New Resources - Individual'!$F$6:$Y$6,Y$6,'New Resources - Individual'!$F87:$Y87)</f>
        <v>0</v>
      </c>
      <c r="AG87" s="3564"/>
      <c r="AH87" s="3564"/>
    </row>
    <row r="88" spans="1:34">
      <c r="A88" s="3175">
        <v>890</v>
      </c>
      <c r="B88" s="3176" t="s">
        <v>461</v>
      </c>
      <c r="C88" s="3180" t="s">
        <v>301</v>
      </c>
      <c r="D88" s="3180"/>
      <c r="E88" s="3178"/>
      <c r="F88" s="3586">
        <f>SUMIF('New Resources - Individual'!$F$6:$Y$6,F$6,'New Resources - Individual'!$F88:$Y88)</f>
        <v>0</v>
      </c>
      <c r="G88" s="3586">
        <f>SUMIF('New Resources - Individual'!$F$6:$Y$6,G$6,'New Resources - Individual'!$F88:$Y88)</f>
        <v>0</v>
      </c>
      <c r="H88" s="3589">
        <f>SUMIF('New Resources - Individual'!$F$6:$Y$6,H$6,'New Resources - Individual'!$F88:$Y88)</f>
        <v>0</v>
      </c>
      <c r="I88" s="3586">
        <f>SUMIF('New Resources - Individual'!$F$6:$Y$6,I$6,'New Resources - Individual'!$F88:$Y88)</f>
        <v>0</v>
      </c>
      <c r="J88" s="3589">
        <f>SUMIF('New Resources - Individual'!$F$6:$Y$6,J$6,'New Resources - Individual'!$F88:$Y88)</f>
        <v>0</v>
      </c>
      <c r="K88" s="3589">
        <f>SUMIF('New Resources - Individual'!$F$6:$Y$6,K$6,'New Resources - Individual'!$F88:$Y88)</f>
        <v>0</v>
      </c>
      <c r="L88" s="3589">
        <f>SUMIF('New Resources - Individual'!$F$6:$Y$6,L$6,'New Resources - Individual'!$F88:$Y88)</f>
        <v>0</v>
      </c>
      <c r="M88" s="3589">
        <f>SUMIF('New Resources - Individual'!$F$6:$Y$6,M$6,'New Resources - Individual'!$F88:$Y88)</f>
        <v>0</v>
      </c>
      <c r="N88" s="3589">
        <f>SUMIF('New Resources - Individual'!$F$6:$Y$6,N$6,'New Resources - Individual'!$F88:$Y88)</f>
        <v>0</v>
      </c>
      <c r="O88" s="3589">
        <f>SUMIF('New Resources - Individual'!$F$6:$Y$6,O$6,'New Resources - Individual'!$F88:$Y88)</f>
        <v>0</v>
      </c>
      <c r="P88" s="3589">
        <f>SUMIF('New Resources - Individual'!$F$6:$Y$6,P$6,'New Resources - Individual'!$F88:$Y88)</f>
        <v>0</v>
      </c>
      <c r="Q88" s="3589">
        <f>SUMIF('New Resources - Individual'!$F$6:$Y$6,Q$6,'New Resources - Individual'!$F88:$Y88)</f>
        <v>0</v>
      </c>
      <c r="R88" s="3589">
        <f>SUMIF('New Resources - Individual'!$F$6:$Y$6,R$6,'New Resources - Individual'!$F88:$Y88)</f>
        <v>0</v>
      </c>
      <c r="S88" s="3589">
        <f>SUMIF('New Resources - Individual'!$F$6:$Y$6,S$6,'New Resources - Individual'!$F88:$Y88)</f>
        <v>0</v>
      </c>
      <c r="T88" s="3589">
        <f>SUMIF('New Resources - Individual'!$F$6:$Y$6,T$6,'New Resources - Individual'!$F88:$Y88)</f>
        <v>0</v>
      </c>
      <c r="U88" s="3589">
        <f>SUMIF('New Resources - Individual'!$F$6:$Y$6,U$6,'New Resources - Individual'!$F88:$Y88)</f>
        <v>0</v>
      </c>
      <c r="V88" s="3589">
        <f>SUMIF('New Resources - Individual'!$F$6:$Y$6,V$6,'New Resources - Individual'!$F88:$Y88)</f>
        <v>0</v>
      </c>
      <c r="W88" s="3589">
        <f>SUMIF('New Resources - Individual'!$F$6:$Y$6,W$6,'New Resources - Individual'!$F88:$Y88)</f>
        <v>0</v>
      </c>
      <c r="X88" s="3589">
        <f>SUMIF('New Resources - Individual'!$F$6:$Y$6,X$6,'New Resources - Individual'!$F88:$Y88)</f>
        <v>0</v>
      </c>
      <c r="Y88" s="3590">
        <f>SUMIF('New Resources - Individual'!$F$6:$Y$6,Y$6,'New Resources - Individual'!$F88:$Y88)</f>
        <v>0</v>
      </c>
      <c r="AG88" s="3564"/>
      <c r="AH88" s="3564"/>
    </row>
    <row r="89" spans="1:34">
      <c r="A89" s="3175">
        <v>900</v>
      </c>
      <c r="B89" s="3179" t="s">
        <v>167</v>
      </c>
      <c r="C89" s="3177">
        <v>924</v>
      </c>
      <c r="D89" s="3177"/>
      <c r="E89" s="3178"/>
      <c r="F89" s="3586">
        <f>SUMIF('New Resources - Individual'!$F$6:$Y$6,F$6,'New Resources - Individual'!$F89:$Y89)</f>
        <v>0</v>
      </c>
      <c r="G89" s="3586">
        <f>SUMIF('New Resources - Individual'!$F$6:$Y$6,G$6,'New Resources - Individual'!$F89:$Y89)</f>
        <v>0</v>
      </c>
      <c r="H89" s="3589">
        <f>SUMIF('New Resources - Individual'!$F$6:$Y$6,H$6,'New Resources - Individual'!$F89:$Y89)</f>
        <v>0</v>
      </c>
      <c r="I89" s="3586">
        <f>SUMIF('New Resources - Individual'!$F$6:$Y$6,I$6,'New Resources - Individual'!$F89:$Y89)</f>
        <v>0</v>
      </c>
      <c r="J89" s="3589">
        <f>SUMIF('New Resources - Individual'!$F$6:$Y$6,J$6,'New Resources - Individual'!$F89:$Y89)</f>
        <v>0</v>
      </c>
      <c r="K89" s="3589">
        <f>SUMIF('New Resources - Individual'!$F$6:$Y$6,K$6,'New Resources - Individual'!$F89:$Y89)</f>
        <v>0</v>
      </c>
      <c r="L89" s="3589">
        <f>SUMIF('New Resources - Individual'!$F$6:$Y$6,L$6,'New Resources - Individual'!$F89:$Y89)</f>
        <v>0</v>
      </c>
      <c r="M89" s="3589">
        <f>SUMIF('New Resources - Individual'!$F$6:$Y$6,M$6,'New Resources - Individual'!$F89:$Y89)</f>
        <v>0</v>
      </c>
      <c r="N89" s="3589">
        <f>SUMIF('New Resources - Individual'!$F$6:$Y$6,N$6,'New Resources - Individual'!$F89:$Y89)</f>
        <v>0</v>
      </c>
      <c r="O89" s="3589">
        <f>SUMIF('New Resources - Individual'!$F$6:$Y$6,O$6,'New Resources - Individual'!$F89:$Y89)</f>
        <v>0</v>
      </c>
      <c r="P89" s="3589">
        <f>SUMIF('New Resources - Individual'!$F$6:$Y$6,P$6,'New Resources - Individual'!$F89:$Y89)</f>
        <v>0</v>
      </c>
      <c r="Q89" s="3589">
        <f>SUMIF('New Resources - Individual'!$F$6:$Y$6,Q$6,'New Resources - Individual'!$F89:$Y89)</f>
        <v>0</v>
      </c>
      <c r="R89" s="3589">
        <f>SUMIF('New Resources - Individual'!$F$6:$Y$6,R$6,'New Resources - Individual'!$F89:$Y89)</f>
        <v>0</v>
      </c>
      <c r="S89" s="3589">
        <f>SUMIF('New Resources - Individual'!$F$6:$Y$6,S$6,'New Resources - Individual'!$F89:$Y89)</f>
        <v>0</v>
      </c>
      <c r="T89" s="3589">
        <f>SUMIF('New Resources - Individual'!$F$6:$Y$6,T$6,'New Resources - Individual'!$F89:$Y89)</f>
        <v>0</v>
      </c>
      <c r="U89" s="3589">
        <f>SUMIF('New Resources - Individual'!$F$6:$Y$6,U$6,'New Resources - Individual'!$F89:$Y89)</f>
        <v>0</v>
      </c>
      <c r="V89" s="3589">
        <f>SUMIF('New Resources - Individual'!$F$6:$Y$6,V$6,'New Resources - Individual'!$F89:$Y89)</f>
        <v>0</v>
      </c>
      <c r="W89" s="3589">
        <f>SUMIF('New Resources - Individual'!$F$6:$Y$6,W$6,'New Resources - Individual'!$F89:$Y89)</f>
        <v>0</v>
      </c>
      <c r="X89" s="3589">
        <f>SUMIF('New Resources - Individual'!$F$6:$Y$6,X$6,'New Resources - Individual'!$F89:$Y89)</f>
        <v>0</v>
      </c>
      <c r="Y89" s="3590">
        <f>SUMIF('New Resources - Individual'!$F$6:$Y$6,Y$6,'New Resources - Individual'!$F89:$Y89)</f>
        <v>0</v>
      </c>
      <c r="AG89" s="3564"/>
      <c r="AH89" s="3564"/>
    </row>
    <row r="90" spans="1:34">
      <c r="A90" s="3175">
        <v>910</v>
      </c>
      <c r="B90" s="3176" t="s">
        <v>589</v>
      </c>
      <c r="C90" s="3180">
        <v>403</v>
      </c>
      <c r="D90" s="3180"/>
      <c r="E90" s="3178"/>
      <c r="F90" s="3586">
        <f>SUMIF('New Resources - Individual'!$F$6:$Y$6,F$6,'New Resources - Individual'!$F90:$Y90)</f>
        <v>0</v>
      </c>
      <c r="G90" s="3586">
        <f>SUMIF('New Resources - Individual'!$F$6:$Y$6,G$6,'New Resources - Individual'!$F90:$Y90)</f>
        <v>0</v>
      </c>
      <c r="H90" s="3589">
        <f>SUMIF('New Resources - Individual'!$F$6:$Y$6,H$6,'New Resources - Individual'!$F90:$Y90)</f>
        <v>0</v>
      </c>
      <c r="I90" s="3586">
        <f>SUMIF('New Resources - Individual'!$F$6:$Y$6,I$6,'New Resources - Individual'!$F90:$Y90)</f>
        <v>0</v>
      </c>
      <c r="J90" s="3589">
        <f>SUMIF('New Resources - Individual'!$F$6:$Y$6,J$6,'New Resources - Individual'!$F90:$Y90)</f>
        <v>0</v>
      </c>
      <c r="K90" s="3589">
        <f>SUMIF('New Resources - Individual'!$F$6:$Y$6,K$6,'New Resources - Individual'!$F90:$Y90)</f>
        <v>0</v>
      </c>
      <c r="L90" s="3589">
        <f>SUMIF('New Resources - Individual'!$F$6:$Y$6,L$6,'New Resources - Individual'!$F90:$Y90)</f>
        <v>0</v>
      </c>
      <c r="M90" s="3589">
        <f>SUMIF('New Resources - Individual'!$F$6:$Y$6,M$6,'New Resources - Individual'!$F90:$Y90)</f>
        <v>0</v>
      </c>
      <c r="N90" s="3589">
        <f>SUMIF('New Resources - Individual'!$F$6:$Y$6,N$6,'New Resources - Individual'!$F90:$Y90)</f>
        <v>0</v>
      </c>
      <c r="O90" s="3589">
        <f>SUMIF('New Resources - Individual'!$F$6:$Y$6,O$6,'New Resources - Individual'!$F90:$Y90)</f>
        <v>0</v>
      </c>
      <c r="P90" s="3589">
        <f>SUMIF('New Resources - Individual'!$F$6:$Y$6,P$6,'New Resources - Individual'!$F90:$Y90)</f>
        <v>0</v>
      </c>
      <c r="Q90" s="3589">
        <f>SUMIF('New Resources - Individual'!$F$6:$Y$6,Q$6,'New Resources - Individual'!$F90:$Y90)</f>
        <v>0</v>
      </c>
      <c r="R90" s="3589">
        <f>SUMIF('New Resources - Individual'!$F$6:$Y$6,R$6,'New Resources - Individual'!$F90:$Y90)</f>
        <v>0</v>
      </c>
      <c r="S90" s="3589">
        <f>SUMIF('New Resources - Individual'!$F$6:$Y$6,S$6,'New Resources - Individual'!$F90:$Y90)</f>
        <v>0</v>
      </c>
      <c r="T90" s="3589">
        <f>SUMIF('New Resources - Individual'!$F$6:$Y$6,T$6,'New Resources - Individual'!$F90:$Y90)</f>
        <v>0</v>
      </c>
      <c r="U90" s="3589">
        <f>SUMIF('New Resources - Individual'!$F$6:$Y$6,U$6,'New Resources - Individual'!$F90:$Y90)</f>
        <v>0</v>
      </c>
      <c r="V90" s="3589">
        <f>SUMIF('New Resources - Individual'!$F$6:$Y$6,V$6,'New Resources - Individual'!$F90:$Y90)</f>
        <v>0</v>
      </c>
      <c r="W90" s="3589">
        <f>SUMIF('New Resources - Individual'!$F$6:$Y$6,W$6,'New Resources - Individual'!$F90:$Y90)</f>
        <v>0</v>
      </c>
      <c r="X90" s="3589">
        <f>SUMIF('New Resources - Individual'!$F$6:$Y$6,X$6,'New Resources - Individual'!$F90:$Y90)</f>
        <v>0</v>
      </c>
      <c r="Y90" s="3590">
        <f>SUMIF('New Resources - Individual'!$F$6:$Y$6,Y$6,'New Resources - Individual'!$F90:$Y90)</f>
        <v>0</v>
      </c>
      <c r="AG90" s="3564"/>
      <c r="AH90" s="3564"/>
    </row>
    <row r="91" spans="1:34">
      <c r="A91" s="3175">
        <v>920</v>
      </c>
      <c r="B91" s="3179" t="s">
        <v>326</v>
      </c>
      <c r="C91" s="3177">
        <v>456</v>
      </c>
      <c r="D91" s="3177"/>
      <c r="E91" s="3178"/>
      <c r="F91" s="3586">
        <f>SUMIF('New Resources - Individual'!$F$6:$Y$6,F$6,'New Resources - Individual'!$F91:$Y91)</f>
        <v>0</v>
      </c>
      <c r="G91" s="3586">
        <f>SUMIF('New Resources - Individual'!$F$6:$Y$6,G$6,'New Resources - Individual'!$F91:$Y91)</f>
        <v>0</v>
      </c>
      <c r="H91" s="3589">
        <f>SUMIF('New Resources - Individual'!$F$6:$Y$6,H$6,'New Resources - Individual'!$F91:$Y91)</f>
        <v>0</v>
      </c>
      <c r="I91" s="3586">
        <f>SUMIF('New Resources - Individual'!$F$6:$Y$6,I$6,'New Resources - Individual'!$F91:$Y91)</f>
        <v>0</v>
      </c>
      <c r="J91" s="3589">
        <f>SUMIF('New Resources - Individual'!$F$6:$Y$6,J$6,'New Resources - Individual'!$F91:$Y91)</f>
        <v>0</v>
      </c>
      <c r="K91" s="3589">
        <f>SUMIF('New Resources - Individual'!$F$6:$Y$6,K$6,'New Resources - Individual'!$F91:$Y91)</f>
        <v>0</v>
      </c>
      <c r="L91" s="3589">
        <f>SUMIF('New Resources - Individual'!$F$6:$Y$6,L$6,'New Resources - Individual'!$F91:$Y91)</f>
        <v>0</v>
      </c>
      <c r="M91" s="3589">
        <f>SUMIF('New Resources - Individual'!$F$6:$Y$6,M$6,'New Resources - Individual'!$F91:$Y91)</f>
        <v>0</v>
      </c>
      <c r="N91" s="3589">
        <f>SUMIF('New Resources - Individual'!$F$6:$Y$6,N$6,'New Resources - Individual'!$F91:$Y91)</f>
        <v>0</v>
      </c>
      <c r="O91" s="3589">
        <f>SUMIF('New Resources - Individual'!$F$6:$Y$6,O$6,'New Resources - Individual'!$F91:$Y91)</f>
        <v>0</v>
      </c>
      <c r="P91" s="3589">
        <f>SUMIF('New Resources - Individual'!$F$6:$Y$6,P$6,'New Resources - Individual'!$F91:$Y91)</f>
        <v>0</v>
      </c>
      <c r="Q91" s="3589">
        <f>SUMIF('New Resources - Individual'!$F$6:$Y$6,Q$6,'New Resources - Individual'!$F91:$Y91)</f>
        <v>0</v>
      </c>
      <c r="R91" s="3589">
        <f>SUMIF('New Resources - Individual'!$F$6:$Y$6,R$6,'New Resources - Individual'!$F91:$Y91)</f>
        <v>0</v>
      </c>
      <c r="S91" s="3589">
        <f>SUMIF('New Resources - Individual'!$F$6:$Y$6,S$6,'New Resources - Individual'!$F91:$Y91)</f>
        <v>0</v>
      </c>
      <c r="T91" s="3589">
        <f>SUMIF('New Resources - Individual'!$F$6:$Y$6,T$6,'New Resources - Individual'!$F91:$Y91)</f>
        <v>0</v>
      </c>
      <c r="U91" s="3589">
        <f>SUMIF('New Resources - Individual'!$F$6:$Y$6,U$6,'New Resources - Individual'!$F91:$Y91)</f>
        <v>0</v>
      </c>
      <c r="V91" s="3589">
        <f>SUMIF('New Resources - Individual'!$F$6:$Y$6,V$6,'New Resources - Individual'!$F91:$Y91)</f>
        <v>0</v>
      </c>
      <c r="W91" s="3589">
        <f>SUMIF('New Resources - Individual'!$F$6:$Y$6,W$6,'New Resources - Individual'!$F91:$Y91)</f>
        <v>0</v>
      </c>
      <c r="X91" s="3589">
        <f>SUMIF('New Resources - Individual'!$F$6:$Y$6,X$6,'New Resources - Individual'!$F91:$Y91)</f>
        <v>0</v>
      </c>
      <c r="Y91" s="3590">
        <f>SUMIF('New Resources - Individual'!$F$6:$Y$6,Y$6,'New Resources - Individual'!$F91:$Y91)</f>
        <v>0</v>
      </c>
      <c r="AG91" s="3564"/>
      <c r="AH91" s="3564"/>
    </row>
    <row r="92" spans="1:34">
      <c r="A92" s="3175">
        <v>930</v>
      </c>
      <c r="B92" s="3176" t="s">
        <v>502</v>
      </c>
      <c r="C92" s="3180">
        <v>456.1</v>
      </c>
      <c r="D92" s="3180"/>
      <c r="E92" s="3178"/>
      <c r="F92" s="3586">
        <f>SUMIF('New Resources - Individual'!$F$6:$Y$6,F$6,'New Resources - Individual'!$F92:$Y92)</f>
        <v>0</v>
      </c>
      <c r="G92" s="3586">
        <f>SUMIF('New Resources - Individual'!$F$6:$Y$6,G$6,'New Resources - Individual'!$F92:$Y92)</f>
        <v>0</v>
      </c>
      <c r="H92" s="3589">
        <f>SUMIF('New Resources - Individual'!$F$6:$Y$6,H$6,'New Resources - Individual'!$F92:$Y92)</f>
        <v>0</v>
      </c>
      <c r="I92" s="3586">
        <f>SUMIF('New Resources - Individual'!$F$6:$Y$6,I$6,'New Resources - Individual'!$F92:$Y92)</f>
        <v>0</v>
      </c>
      <c r="J92" s="3589">
        <f>SUMIF('New Resources - Individual'!$F$6:$Y$6,J$6,'New Resources - Individual'!$F92:$Y92)</f>
        <v>0</v>
      </c>
      <c r="K92" s="3589">
        <f>SUMIF('New Resources - Individual'!$F$6:$Y$6,K$6,'New Resources - Individual'!$F92:$Y92)</f>
        <v>0</v>
      </c>
      <c r="L92" s="3589">
        <f>SUMIF('New Resources - Individual'!$F$6:$Y$6,L$6,'New Resources - Individual'!$F92:$Y92)</f>
        <v>0</v>
      </c>
      <c r="M92" s="3589">
        <f>SUMIF('New Resources - Individual'!$F$6:$Y$6,M$6,'New Resources - Individual'!$F92:$Y92)</f>
        <v>0</v>
      </c>
      <c r="N92" s="3589">
        <f>SUMIF('New Resources - Individual'!$F$6:$Y$6,N$6,'New Resources - Individual'!$F92:$Y92)</f>
        <v>0</v>
      </c>
      <c r="O92" s="3589">
        <f>SUMIF('New Resources - Individual'!$F$6:$Y$6,O$6,'New Resources - Individual'!$F92:$Y92)</f>
        <v>0</v>
      </c>
      <c r="P92" s="3589">
        <f>SUMIF('New Resources - Individual'!$F$6:$Y$6,P$6,'New Resources - Individual'!$F92:$Y92)</f>
        <v>0</v>
      </c>
      <c r="Q92" s="3589">
        <f>SUMIF('New Resources - Individual'!$F$6:$Y$6,Q$6,'New Resources - Individual'!$F92:$Y92)</f>
        <v>0</v>
      </c>
      <c r="R92" s="3589">
        <f>SUMIF('New Resources - Individual'!$F$6:$Y$6,R$6,'New Resources - Individual'!$F92:$Y92)</f>
        <v>0</v>
      </c>
      <c r="S92" s="3589">
        <f>SUMIF('New Resources - Individual'!$F$6:$Y$6,S$6,'New Resources - Individual'!$F92:$Y92)</f>
        <v>0</v>
      </c>
      <c r="T92" s="3589">
        <f>SUMIF('New Resources - Individual'!$F$6:$Y$6,T$6,'New Resources - Individual'!$F92:$Y92)</f>
        <v>0</v>
      </c>
      <c r="U92" s="3589">
        <f>SUMIF('New Resources - Individual'!$F$6:$Y$6,U$6,'New Resources - Individual'!$F92:$Y92)</f>
        <v>0</v>
      </c>
      <c r="V92" s="3589">
        <f>SUMIF('New Resources - Individual'!$F$6:$Y$6,V$6,'New Resources - Individual'!$F92:$Y92)</f>
        <v>0</v>
      </c>
      <c r="W92" s="3589">
        <f>SUMIF('New Resources - Individual'!$F$6:$Y$6,W$6,'New Resources - Individual'!$F92:$Y92)</f>
        <v>0</v>
      </c>
      <c r="X92" s="3589">
        <f>SUMIF('New Resources - Individual'!$F$6:$Y$6,X$6,'New Resources - Individual'!$F92:$Y92)</f>
        <v>0</v>
      </c>
      <c r="Y92" s="3590">
        <f>SUMIF('New Resources - Individual'!$F$6:$Y$6,Y$6,'New Resources - Individual'!$F92:$Y92)</f>
        <v>0</v>
      </c>
      <c r="AG92" s="3564"/>
      <c r="AH92" s="3564"/>
    </row>
    <row r="93" spans="1:34">
      <c r="A93" s="3175">
        <v>940</v>
      </c>
      <c r="B93" s="3181" t="s">
        <v>302</v>
      </c>
      <c r="C93" s="3182"/>
      <c r="D93" s="3182"/>
      <c r="E93" s="3174"/>
      <c r="F93" s="3591"/>
      <c r="G93" s="3591"/>
      <c r="H93" s="3591"/>
      <c r="I93" s="3591"/>
      <c r="J93" s="3591"/>
      <c r="K93" s="3591"/>
      <c r="L93" s="3591"/>
      <c r="M93" s="3591"/>
      <c r="N93" s="3591"/>
      <c r="O93" s="3591"/>
      <c r="P93" s="3591"/>
      <c r="Q93" s="3591"/>
      <c r="R93" s="3591"/>
      <c r="S93" s="3591"/>
      <c r="T93" s="3591"/>
      <c r="U93" s="3591"/>
      <c r="V93" s="3591"/>
      <c r="W93" s="3591"/>
      <c r="X93" s="3591"/>
      <c r="Y93" s="3592"/>
      <c r="AG93" s="3564"/>
      <c r="AH93" s="3564"/>
    </row>
    <row r="94" spans="1:34">
      <c r="A94" s="3175">
        <v>950</v>
      </c>
      <c r="B94" s="3176" t="s">
        <v>303</v>
      </c>
      <c r="C94" s="3180">
        <v>262</v>
      </c>
      <c r="D94" s="3180"/>
      <c r="E94" s="3178"/>
      <c r="F94" s="3586">
        <f>SUMIF('New Resources - Individual'!$F$6:$Y$6,F$6,'New Resources - Individual'!$F94:$Y94)</f>
        <v>0</v>
      </c>
      <c r="G94" s="3586">
        <f>SUMIF('New Resources - Individual'!$F$6:$Y$6,G$6,'New Resources - Individual'!$F94:$Y94)</f>
        <v>0</v>
      </c>
      <c r="H94" s="3589">
        <f>SUMIF('New Resources - Individual'!$F$6:$Y$6,H$6,'New Resources - Individual'!$F94:$Y94)</f>
        <v>0</v>
      </c>
      <c r="I94" s="3586">
        <f>SUMIF('New Resources - Individual'!$F$6:$Y$6,I$6,'New Resources - Individual'!$F94:$Y94)</f>
        <v>0</v>
      </c>
      <c r="J94" s="3589">
        <f>SUMIF('New Resources - Individual'!$F$6:$Y$6,J$6,'New Resources - Individual'!$F94:$Y94)</f>
        <v>0</v>
      </c>
      <c r="K94" s="3589">
        <f>SUMIF('New Resources - Individual'!$F$6:$Y$6,K$6,'New Resources - Individual'!$F94:$Y94)</f>
        <v>0</v>
      </c>
      <c r="L94" s="3589">
        <f>SUMIF('New Resources - Individual'!$F$6:$Y$6,L$6,'New Resources - Individual'!$F94:$Y94)</f>
        <v>0</v>
      </c>
      <c r="M94" s="3589">
        <f>SUMIF('New Resources - Individual'!$F$6:$Y$6,M$6,'New Resources - Individual'!$F94:$Y94)</f>
        <v>0</v>
      </c>
      <c r="N94" s="3589">
        <f>SUMIF('New Resources - Individual'!$F$6:$Y$6,N$6,'New Resources - Individual'!$F94:$Y94)</f>
        <v>0</v>
      </c>
      <c r="O94" s="3589">
        <f>SUMIF('New Resources - Individual'!$F$6:$Y$6,O$6,'New Resources - Individual'!$F94:$Y94)</f>
        <v>0</v>
      </c>
      <c r="P94" s="3589">
        <f>SUMIF('New Resources - Individual'!$F$6:$Y$6,P$6,'New Resources - Individual'!$F94:$Y94)</f>
        <v>0</v>
      </c>
      <c r="Q94" s="3589">
        <f>SUMIF('New Resources - Individual'!$F$6:$Y$6,Q$6,'New Resources - Individual'!$F94:$Y94)</f>
        <v>0</v>
      </c>
      <c r="R94" s="3589">
        <f>SUMIF('New Resources - Individual'!$F$6:$Y$6,R$6,'New Resources - Individual'!$F94:$Y94)</f>
        <v>0</v>
      </c>
      <c r="S94" s="3589">
        <f>SUMIF('New Resources - Individual'!$F$6:$Y$6,S$6,'New Resources - Individual'!$F94:$Y94)</f>
        <v>0</v>
      </c>
      <c r="T94" s="3589">
        <f>SUMIF('New Resources - Individual'!$F$6:$Y$6,T$6,'New Resources - Individual'!$F94:$Y94)</f>
        <v>0</v>
      </c>
      <c r="U94" s="3589">
        <f>SUMIF('New Resources - Individual'!$F$6:$Y$6,U$6,'New Resources - Individual'!$F94:$Y94)</f>
        <v>0</v>
      </c>
      <c r="V94" s="3589">
        <f>SUMIF('New Resources - Individual'!$F$6:$Y$6,V$6,'New Resources - Individual'!$F94:$Y94)</f>
        <v>0</v>
      </c>
      <c r="W94" s="3589">
        <f>SUMIF('New Resources - Individual'!$F$6:$Y$6,W$6,'New Resources - Individual'!$F94:$Y94)</f>
        <v>0</v>
      </c>
      <c r="X94" s="3589">
        <f>SUMIF('New Resources - Individual'!$F$6:$Y$6,X$6,'New Resources - Individual'!$F94:$Y94)</f>
        <v>0</v>
      </c>
      <c r="Y94" s="3590">
        <f>SUMIF('New Resources - Individual'!$F$6:$Y$6,Y$6,'New Resources - Individual'!$F94:$Y94)</f>
        <v>0</v>
      </c>
      <c r="AG94" s="3564"/>
      <c r="AH94" s="3564"/>
    </row>
    <row r="95" spans="1:34" hidden="1">
      <c r="A95" s="3175">
        <v>960</v>
      </c>
      <c r="B95" s="3179"/>
      <c r="C95" s="3177"/>
      <c r="D95" s="3177"/>
      <c r="E95" s="3178"/>
      <c r="F95" s="3586"/>
      <c r="G95" s="3589"/>
      <c r="H95" s="3589"/>
      <c r="I95" s="3586"/>
      <c r="J95" s="3589"/>
      <c r="K95" s="3589"/>
      <c r="L95" s="3589"/>
      <c r="M95" s="3589"/>
      <c r="N95" s="3589"/>
      <c r="O95" s="3589"/>
      <c r="P95" s="3589"/>
      <c r="Q95" s="3589"/>
      <c r="R95" s="3589"/>
      <c r="S95" s="3589"/>
      <c r="T95" s="3589"/>
      <c r="U95" s="3589"/>
      <c r="V95" s="3589"/>
      <c r="W95" s="3589"/>
      <c r="X95" s="3589"/>
      <c r="Y95" s="3590"/>
      <c r="AG95" s="3564"/>
      <c r="AH95" s="3564"/>
    </row>
    <row r="96" spans="1:34" hidden="1">
      <c r="A96" s="3175">
        <v>970</v>
      </c>
      <c r="B96" s="3176"/>
      <c r="C96" s="3180"/>
      <c r="D96" s="3180"/>
      <c r="E96" s="3178"/>
      <c r="F96" s="3586"/>
      <c r="G96" s="3589"/>
      <c r="H96" s="3589"/>
      <c r="I96" s="3586"/>
      <c r="J96" s="3589"/>
      <c r="K96" s="3589"/>
      <c r="L96" s="3589"/>
      <c r="M96" s="3589"/>
      <c r="N96" s="3589"/>
      <c r="O96" s="3589"/>
      <c r="P96" s="3589"/>
      <c r="Q96" s="3589"/>
      <c r="R96" s="3589"/>
      <c r="S96" s="3589"/>
      <c r="T96" s="3589"/>
      <c r="U96" s="3589"/>
      <c r="V96" s="3589"/>
      <c r="W96" s="3589"/>
      <c r="X96" s="3589"/>
      <c r="Y96" s="3590"/>
      <c r="AG96" s="3564"/>
      <c r="AH96" s="3564"/>
    </row>
    <row r="97" spans="1:34" hidden="1">
      <c r="A97" s="3175">
        <v>980</v>
      </c>
      <c r="B97" s="3181"/>
      <c r="C97" s="3177"/>
      <c r="D97" s="3177"/>
      <c r="E97" s="3178"/>
      <c r="F97" s="3586"/>
      <c r="G97" s="3589"/>
      <c r="H97" s="3589"/>
      <c r="I97" s="3586"/>
      <c r="J97" s="3589"/>
      <c r="K97" s="3589"/>
      <c r="L97" s="3589"/>
      <c r="M97" s="3589"/>
      <c r="N97" s="3589"/>
      <c r="O97" s="3589"/>
      <c r="P97" s="3589"/>
      <c r="Q97" s="3589"/>
      <c r="R97" s="3589"/>
      <c r="S97" s="3589"/>
      <c r="T97" s="3589"/>
      <c r="U97" s="3589"/>
      <c r="V97" s="3589"/>
      <c r="W97" s="3589"/>
      <c r="X97" s="3589"/>
      <c r="Y97" s="3590"/>
      <c r="AG97" s="3564"/>
      <c r="AH97" s="3564"/>
    </row>
    <row r="98" spans="1:34" hidden="1">
      <c r="A98" s="3175">
        <v>990</v>
      </c>
      <c r="B98" s="3176"/>
      <c r="C98" s="3180"/>
      <c r="D98" s="3180"/>
      <c r="E98" s="3178"/>
      <c r="F98" s="3586"/>
      <c r="G98" s="3589"/>
      <c r="H98" s="3589"/>
      <c r="I98" s="3586"/>
      <c r="J98" s="3589"/>
      <c r="K98" s="3589"/>
      <c r="L98" s="3589"/>
      <c r="M98" s="3589"/>
      <c r="N98" s="3589"/>
      <c r="O98" s="3589"/>
      <c r="P98" s="3589"/>
      <c r="Q98" s="3589"/>
      <c r="R98" s="3589"/>
      <c r="S98" s="3589"/>
      <c r="T98" s="3589"/>
      <c r="U98" s="3589"/>
      <c r="V98" s="3589"/>
      <c r="W98" s="3589"/>
      <c r="X98" s="3589"/>
      <c r="Y98" s="3590"/>
      <c r="AG98" s="3564"/>
      <c r="AH98" s="3564"/>
    </row>
    <row r="99" spans="1:34" hidden="1">
      <c r="A99" s="3175">
        <v>1000</v>
      </c>
      <c r="B99" s="3179"/>
      <c r="C99" s="3177"/>
      <c r="D99" s="3177"/>
      <c r="E99" s="3178"/>
      <c r="F99" s="3586"/>
      <c r="G99" s="3589"/>
      <c r="H99" s="3589"/>
      <c r="I99" s="3586"/>
      <c r="J99" s="3589"/>
      <c r="K99" s="3589"/>
      <c r="L99" s="3589"/>
      <c r="M99" s="3589"/>
      <c r="N99" s="3589"/>
      <c r="O99" s="3589"/>
      <c r="P99" s="3589"/>
      <c r="Q99" s="3589"/>
      <c r="R99" s="3589"/>
      <c r="S99" s="3589"/>
      <c r="T99" s="3589"/>
      <c r="U99" s="3589"/>
      <c r="V99" s="3589"/>
      <c r="W99" s="3589"/>
      <c r="X99" s="3589"/>
      <c r="Y99" s="3590"/>
      <c r="AG99" s="3564"/>
      <c r="AH99" s="3564"/>
    </row>
    <row r="100" spans="1:34" hidden="1">
      <c r="A100" s="3175">
        <v>1010</v>
      </c>
      <c r="B100" s="3176"/>
      <c r="C100" s="3180"/>
      <c r="D100" s="3180"/>
      <c r="E100" s="3178"/>
      <c r="F100" s="3586"/>
      <c r="G100" s="3589"/>
      <c r="H100" s="3589"/>
      <c r="I100" s="3586"/>
      <c r="J100" s="3589"/>
      <c r="K100" s="3589"/>
      <c r="L100" s="3589"/>
      <c r="M100" s="3589"/>
      <c r="N100" s="3589"/>
      <c r="O100" s="3589"/>
      <c r="P100" s="3589"/>
      <c r="Q100" s="3589"/>
      <c r="R100" s="3589"/>
      <c r="S100" s="3589"/>
      <c r="T100" s="3589"/>
      <c r="U100" s="3589"/>
      <c r="V100" s="3589"/>
      <c r="W100" s="3589"/>
      <c r="X100" s="3589"/>
      <c r="Y100" s="3590"/>
      <c r="AG100" s="3564"/>
      <c r="AH100" s="3564"/>
    </row>
    <row r="101" spans="1:34" hidden="1">
      <c r="A101" s="3175">
        <v>1020</v>
      </c>
      <c r="B101" s="3179"/>
      <c r="C101" s="3177"/>
      <c r="D101" s="3177"/>
      <c r="E101" s="3178"/>
      <c r="F101" s="3586"/>
      <c r="G101" s="3589"/>
      <c r="H101" s="3589"/>
      <c r="I101" s="3586"/>
      <c r="J101" s="3589"/>
      <c r="K101" s="3589"/>
      <c r="L101" s="3589"/>
      <c r="M101" s="3589"/>
      <c r="N101" s="3589"/>
      <c r="O101" s="3589"/>
      <c r="P101" s="3589"/>
      <c r="Q101" s="3589"/>
      <c r="R101" s="3589"/>
      <c r="S101" s="3589"/>
      <c r="T101" s="3589"/>
      <c r="U101" s="3589"/>
      <c r="V101" s="3589"/>
      <c r="W101" s="3589"/>
      <c r="X101" s="3589"/>
      <c r="Y101" s="3590"/>
      <c r="AG101" s="3564"/>
      <c r="AH101" s="3564"/>
    </row>
    <row r="102" spans="1:34" hidden="1">
      <c r="A102" s="3175">
        <v>1030</v>
      </c>
      <c r="B102" s="3176"/>
      <c r="C102" s="3180"/>
      <c r="D102" s="3180"/>
      <c r="E102" s="3178"/>
      <c r="F102" s="3586"/>
      <c r="G102" s="3589"/>
      <c r="H102" s="3589"/>
      <c r="I102" s="3586"/>
      <c r="J102" s="3589"/>
      <c r="K102" s="3589"/>
      <c r="L102" s="3589"/>
      <c r="M102" s="3589"/>
      <c r="N102" s="3589"/>
      <c r="O102" s="3589"/>
      <c r="P102" s="3589"/>
      <c r="Q102" s="3589"/>
      <c r="R102" s="3589"/>
      <c r="S102" s="3589"/>
      <c r="T102" s="3589"/>
      <c r="U102" s="3589"/>
      <c r="V102" s="3589"/>
      <c r="W102" s="3589"/>
      <c r="X102" s="3589"/>
      <c r="Y102" s="3590"/>
      <c r="AG102" s="3564"/>
      <c r="AH102" s="3564"/>
    </row>
    <row r="103" spans="1:34" hidden="1">
      <c r="A103" s="3175">
        <v>1040</v>
      </c>
      <c r="B103" s="3179"/>
      <c r="C103" s="3177"/>
      <c r="D103" s="3177"/>
      <c r="E103" s="3178"/>
      <c r="F103" s="3586"/>
      <c r="G103" s="3589"/>
      <c r="H103" s="3589"/>
      <c r="I103" s="3586"/>
      <c r="J103" s="3589"/>
      <c r="K103" s="3589"/>
      <c r="L103" s="3589"/>
      <c r="M103" s="3589"/>
      <c r="N103" s="3589"/>
      <c r="O103" s="3589"/>
      <c r="P103" s="3589"/>
      <c r="Q103" s="3589"/>
      <c r="R103" s="3589"/>
      <c r="S103" s="3589"/>
      <c r="T103" s="3589"/>
      <c r="U103" s="3589"/>
      <c r="V103" s="3589"/>
      <c r="W103" s="3589"/>
      <c r="X103" s="3589"/>
      <c r="Y103" s="3590"/>
      <c r="AG103" s="3564"/>
      <c r="AH103" s="3564"/>
    </row>
    <row r="104" spans="1:34" hidden="1">
      <c r="A104" s="3175">
        <v>1050</v>
      </c>
      <c r="B104" s="3179"/>
      <c r="C104" s="3177"/>
      <c r="D104" s="3177"/>
      <c r="E104" s="3178"/>
      <c r="F104" s="3586"/>
      <c r="G104" s="3589"/>
      <c r="H104" s="3589"/>
      <c r="I104" s="3586"/>
      <c r="J104" s="3589"/>
      <c r="K104" s="3589"/>
      <c r="L104" s="3589"/>
      <c r="M104" s="3589"/>
      <c r="N104" s="3589"/>
      <c r="O104" s="3589"/>
      <c r="P104" s="3589"/>
      <c r="Q104" s="3589"/>
      <c r="R104" s="3589"/>
      <c r="S104" s="3589"/>
      <c r="T104" s="3589"/>
      <c r="U104" s="3589"/>
      <c r="V104" s="3589"/>
      <c r="W104" s="3589"/>
      <c r="X104" s="3589"/>
      <c r="Y104" s="3590"/>
      <c r="AG104" s="3564"/>
      <c r="AH104" s="3564"/>
    </row>
    <row r="105" spans="1:34" hidden="1">
      <c r="A105" s="3175">
        <v>1060</v>
      </c>
      <c r="B105" s="3176"/>
      <c r="C105" s="3180"/>
      <c r="D105" s="3180"/>
      <c r="E105" s="3178"/>
      <c r="F105" s="3586"/>
      <c r="G105" s="3589"/>
      <c r="H105" s="3589"/>
      <c r="I105" s="3586"/>
      <c r="J105" s="3589"/>
      <c r="K105" s="3589"/>
      <c r="L105" s="3589"/>
      <c r="M105" s="3589"/>
      <c r="N105" s="3589"/>
      <c r="O105" s="3589"/>
      <c r="P105" s="3589"/>
      <c r="Q105" s="3589"/>
      <c r="R105" s="3589"/>
      <c r="S105" s="3589"/>
      <c r="T105" s="3589"/>
      <c r="U105" s="3589"/>
      <c r="V105" s="3589"/>
      <c r="W105" s="3589"/>
      <c r="X105" s="3589"/>
      <c r="Y105" s="3590"/>
      <c r="AG105" s="3564"/>
      <c r="AH105" s="3564"/>
    </row>
    <row r="106" spans="1:34">
      <c r="A106" s="3175">
        <v>1070</v>
      </c>
      <c r="B106" s="3190"/>
      <c r="C106" s="3191"/>
      <c r="D106" s="3191"/>
      <c r="E106" s="3192"/>
      <c r="F106" s="3598"/>
      <c r="G106" s="3599"/>
      <c r="H106" s="3599"/>
      <c r="I106" s="3598"/>
      <c r="J106" s="3599"/>
      <c r="K106" s="3599"/>
      <c r="L106" s="3599"/>
      <c r="M106" s="3599"/>
      <c r="N106" s="3599"/>
      <c r="O106" s="3599"/>
      <c r="P106" s="3599"/>
      <c r="Q106" s="3599"/>
      <c r="R106" s="3599"/>
      <c r="S106" s="3599"/>
      <c r="T106" s="3599"/>
      <c r="U106" s="3599"/>
      <c r="V106" s="3599"/>
      <c r="W106" s="3599"/>
      <c r="X106" s="3599"/>
      <c r="Y106" s="3600"/>
      <c r="AG106" s="3564"/>
      <c r="AH106" s="3564"/>
    </row>
    <row r="107" spans="1:34">
      <c r="A107" s="3175">
        <v>1080</v>
      </c>
      <c r="B107" s="3181" t="s">
        <v>304</v>
      </c>
      <c r="C107" s="3182"/>
      <c r="D107" s="3182"/>
      <c r="E107" s="3174"/>
      <c r="F107" s="3591"/>
      <c r="G107" s="3591"/>
      <c r="H107" s="3591"/>
      <c r="I107" s="3591"/>
      <c r="J107" s="3591"/>
      <c r="K107" s="3591"/>
      <c r="L107" s="3591"/>
      <c r="M107" s="3591"/>
      <c r="N107" s="3591"/>
      <c r="O107" s="3591"/>
      <c r="P107" s="3591"/>
      <c r="Q107" s="3591"/>
      <c r="R107" s="3591"/>
      <c r="S107" s="3591"/>
      <c r="T107" s="3591"/>
      <c r="U107" s="3591"/>
      <c r="V107" s="3591"/>
      <c r="W107" s="3591"/>
      <c r="X107" s="3591"/>
      <c r="Y107" s="3592"/>
      <c r="AG107" s="3564"/>
      <c r="AH107" s="3564"/>
    </row>
    <row r="108" spans="1:34">
      <c r="A108" s="3193">
        <v>91000</v>
      </c>
      <c r="B108" s="3176" t="s">
        <v>305</v>
      </c>
      <c r="C108" s="3180"/>
      <c r="D108" s="3180"/>
      <c r="E108" s="3178"/>
      <c r="F108" s="3601">
        <f t="shared" ref="F108:Y108" si="2">SUM(F9,F49)</f>
        <v>0</v>
      </c>
      <c r="G108" s="3601">
        <f t="shared" si="2"/>
        <v>0</v>
      </c>
      <c r="H108" s="3601">
        <f>SUM(H9,H49)</f>
        <v>0</v>
      </c>
      <c r="I108" s="3601">
        <f t="shared" si="2"/>
        <v>0</v>
      </c>
      <c r="J108" s="3601">
        <f t="shared" si="2"/>
        <v>0</v>
      </c>
      <c r="K108" s="3601">
        <f t="shared" si="2"/>
        <v>0</v>
      </c>
      <c r="L108" s="3601">
        <f t="shared" si="2"/>
        <v>0</v>
      </c>
      <c r="M108" s="3601">
        <f t="shared" si="2"/>
        <v>0</v>
      </c>
      <c r="N108" s="3601">
        <f t="shared" si="2"/>
        <v>0</v>
      </c>
      <c r="O108" s="3601">
        <f t="shared" si="2"/>
        <v>0</v>
      </c>
      <c r="P108" s="3601">
        <f t="shared" si="2"/>
        <v>0</v>
      </c>
      <c r="Q108" s="3601">
        <f t="shared" si="2"/>
        <v>0</v>
      </c>
      <c r="R108" s="3601">
        <f t="shared" si="2"/>
        <v>0</v>
      </c>
      <c r="S108" s="3601">
        <f t="shared" si="2"/>
        <v>0</v>
      </c>
      <c r="T108" s="3601">
        <f t="shared" si="2"/>
        <v>0</v>
      </c>
      <c r="U108" s="3601">
        <f t="shared" si="2"/>
        <v>0</v>
      </c>
      <c r="V108" s="3601">
        <f t="shared" si="2"/>
        <v>0</v>
      </c>
      <c r="W108" s="3601">
        <f t="shared" si="2"/>
        <v>0</v>
      </c>
      <c r="X108" s="3601">
        <f t="shared" si="2"/>
        <v>0</v>
      </c>
      <c r="Y108" s="3597">
        <f t="shared" si="2"/>
        <v>0</v>
      </c>
    </row>
    <row r="109" spans="1:34">
      <c r="A109" s="3193">
        <v>92000</v>
      </c>
      <c r="B109" s="3179" t="s">
        <v>306</v>
      </c>
      <c r="C109" s="3177"/>
      <c r="D109" s="3177"/>
      <c r="E109" s="3178"/>
      <c r="F109" s="3601">
        <f>SUM(F10,F24,F36,F50,F84)</f>
        <v>0</v>
      </c>
      <c r="G109" s="3601">
        <f>SUM(G10,G24,G36,G50,G84)</f>
        <v>0</v>
      </c>
      <c r="H109" s="3601">
        <f>SUM(H10,H24,H36,H50,H84)</f>
        <v>0</v>
      </c>
      <c r="I109" s="3601">
        <f t="shared" ref="I109:Y109" si="3">SUM(I10,I24,I36,I50,I84)</f>
        <v>0</v>
      </c>
      <c r="J109" s="3601">
        <f t="shared" si="3"/>
        <v>0</v>
      </c>
      <c r="K109" s="3601">
        <f t="shared" si="3"/>
        <v>0</v>
      </c>
      <c r="L109" s="3601">
        <f t="shared" si="3"/>
        <v>0</v>
      </c>
      <c r="M109" s="3601">
        <f t="shared" si="3"/>
        <v>0</v>
      </c>
      <c r="N109" s="3601">
        <f t="shared" si="3"/>
        <v>0</v>
      </c>
      <c r="O109" s="3601">
        <f t="shared" si="3"/>
        <v>0</v>
      </c>
      <c r="P109" s="3601">
        <f t="shared" si="3"/>
        <v>0</v>
      </c>
      <c r="Q109" s="3601">
        <f t="shared" si="3"/>
        <v>0</v>
      </c>
      <c r="R109" s="3601">
        <f t="shared" si="3"/>
        <v>0</v>
      </c>
      <c r="S109" s="3601">
        <f t="shared" si="3"/>
        <v>0</v>
      </c>
      <c r="T109" s="3601">
        <f t="shared" si="3"/>
        <v>0</v>
      </c>
      <c r="U109" s="3601">
        <f t="shared" si="3"/>
        <v>0</v>
      </c>
      <c r="V109" s="3601">
        <f t="shared" si="3"/>
        <v>0</v>
      </c>
      <c r="W109" s="3601">
        <f t="shared" si="3"/>
        <v>0</v>
      </c>
      <c r="X109" s="3601">
        <f t="shared" si="3"/>
        <v>0</v>
      </c>
      <c r="Y109" s="3597">
        <f t="shared" si="3"/>
        <v>0</v>
      </c>
    </row>
    <row r="110" spans="1:34">
      <c r="A110" s="3193">
        <v>93000</v>
      </c>
      <c r="B110" s="3176" t="s">
        <v>307</v>
      </c>
      <c r="C110" s="3180"/>
      <c r="D110" s="3180"/>
      <c r="E110" s="3178"/>
      <c r="F110" s="3601">
        <f>SUM(F11,F51)</f>
        <v>0</v>
      </c>
      <c r="G110" s="3601">
        <f t="shared" ref="G110:Y110" si="4">SUM(G11,G51)</f>
        <v>0</v>
      </c>
      <c r="H110" s="3601">
        <f>SUM(H11,H51)</f>
        <v>0</v>
      </c>
      <c r="I110" s="3601">
        <f t="shared" si="4"/>
        <v>0</v>
      </c>
      <c r="J110" s="3601">
        <f t="shared" si="4"/>
        <v>0</v>
      </c>
      <c r="K110" s="3601">
        <f t="shared" si="4"/>
        <v>0</v>
      </c>
      <c r="L110" s="3601">
        <f t="shared" si="4"/>
        <v>0</v>
      </c>
      <c r="M110" s="3601">
        <f t="shared" si="4"/>
        <v>0</v>
      </c>
      <c r="N110" s="3601">
        <f t="shared" si="4"/>
        <v>0</v>
      </c>
      <c r="O110" s="3601">
        <f t="shared" si="4"/>
        <v>0</v>
      </c>
      <c r="P110" s="3601">
        <f t="shared" si="4"/>
        <v>0</v>
      </c>
      <c r="Q110" s="3601">
        <f t="shared" si="4"/>
        <v>0</v>
      </c>
      <c r="R110" s="3601">
        <f t="shared" si="4"/>
        <v>0</v>
      </c>
      <c r="S110" s="3601">
        <f t="shared" si="4"/>
        <v>0</v>
      </c>
      <c r="T110" s="3601">
        <f t="shared" si="4"/>
        <v>0</v>
      </c>
      <c r="U110" s="3601">
        <f t="shared" si="4"/>
        <v>0</v>
      </c>
      <c r="V110" s="3601">
        <f t="shared" si="4"/>
        <v>0</v>
      </c>
      <c r="W110" s="3601">
        <f t="shared" si="4"/>
        <v>0</v>
      </c>
      <c r="X110" s="3601">
        <f t="shared" si="4"/>
        <v>0</v>
      </c>
      <c r="Y110" s="3597">
        <f t="shared" si="4"/>
        <v>0</v>
      </c>
    </row>
    <row r="111" spans="1:34">
      <c r="A111" s="3193">
        <v>94000</v>
      </c>
      <c r="B111" s="3179" t="s">
        <v>308</v>
      </c>
      <c r="C111" s="3177"/>
      <c r="D111" s="3177"/>
      <c r="E111" s="3178"/>
      <c r="F111" s="3601">
        <f>SUM(F16,F29,F40,F56,F89)</f>
        <v>0</v>
      </c>
      <c r="G111" s="3601">
        <f>SUM(G16,G29,G40,G56,G89)</f>
        <v>0</v>
      </c>
      <c r="H111" s="3601">
        <f>SUM(H16,H29,H40,H56,H89)</f>
        <v>0</v>
      </c>
      <c r="I111" s="3601">
        <f t="shared" ref="I111:Y111" si="5">SUM(I16,I29,I40,I56,I89)</f>
        <v>0</v>
      </c>
      <c r="J111" s="3601">
        <f t="shared" si="5"/>
        <v>0</v>
      </c>
      <c r="K111" s="3601">
        <f t="shared" si="5"/>
        <v>0</v>
      </c>
      <c r="L111" s="3601">
        <f t="shared" si="5"/>
        <v>0</v>
      </c>
      <c r="M111" s="3601">
        <f t="shared" si="5"/>
        <v>0</v>
      </c>
      <c r="N111" s="3601">
        <f t="shared" si="5"/>
        <v>0</v>
      </c>
      <c r="O111" s="3601">
        <f t="shared" si="5"/>
        <v>0</v>
      </c>
      <c r="P111" s="3601">
        <f t="shared" si="5"/>
        <v>0</v>
      </c>
      <c r="Q111" s="3601">
        <f t="shared" si="5"/>
        <v>0</v>
      </c>
      <c r="R111" s="3601">
        <f t="shared" si="5"/>
        <v>0</v>
      </c>
      <c r="S111" s="3601">
        <f t="shared" si="5"/>
        <v>0</v>
      </c>
      <c r="T111" s="3601">
        <f t="shared" si="5"/>
        <v>0</v>
      </c>
      <c r="U111" s="3601">
        <f t="shared" si="5"/>
        <v>0</v>
      </c>
      <c r="V111" s="3601">
        <f t="shared" si="5"/>
        <v>0</v>
      </c>
      <c r="W111" s="3601">
        <f t="shared" si="5"/>
        <v>0</v>
      </c>
      <c r="X111" s="3601">
        <f t="shared" si="5"/>
        <v>0</v>
      </c>
      <c r="Y111" s="3597">
        <f t="shared" si="5"/>
        <v>0</v>
      </c>
    </row>
    <row r="112" spans="1:34">
      <c r="A112" s="3193">
        <v>95000</v>
      </c>
      <c r="B112" s="3176"/>
      <c r="C112" s="3180"/>
      <c r="D112" s="3180"/>
      <c r="E112" s="3178"/>
      <c r="F112" s="3601"/>
      <c r="G112" s="3601"/>
      <c r="H112" s="3601"/>
      <c r="I112" s="3601"/>
      <c r="J112" s="3601"/>
      <c r="K112" s="3601"/>
      <c r="L112" s="3601"/>
      <c r="M112" s="3601"/>
      <c r="N112" s="3601"/>
      <c r="O112" s="3601"/>
      <c r="P112" s="3601"/>
      <c r="Q112" s="3601"/>
      <c r="R112" s="3601"/>
      <c r="S112" s="3601"/>
      <c r="T112" s="3601"/>
      <c r="U112" s="3601"/>
      <c r="V112" s="3601"/>
      <c r="W112" s="3601"/>
      <c r="X112" s="3601"/>
      <c r="Y112" s="3597"/>
    </row>
    <row r="113" spans="1:25">
      <c r="A113" s="3193">
        <v>96000</v>
      </c>
      <c r="B113" s="3179" t="s">
        <v>309</v>
      </c>
      <c r="C113" s="3177"/>
      <c r="D113" s="3177"/>
      <c r="E113" s="3178"/>
      <c r="F113" s="3601">
        <f>SUM(F62,F94)</f>
        <v>0</v>
      </c>
      <c r="G113" s="3601">
        <f>SUM(G62,G94)</f>
        <v>0</v>
      </c>
      <c r="H113" s="3601">
        <f>SUM(H62,H94)</f>
        <v>0</v>
      </c>
      <c r="I113" s="3601">
        <f t="shared" ref="I113:Y113" si="6">SUM(I62,I94)</f>
        <v>0</v>
      </c>
      <c r="J113" s="3601">
        <f t="shared" si="6"/>
        <v>0</v>
      </c>
      <c r="K113" s="3601">
        <f t="shared" si="6"/>
        <v>0</v>
      </c>
      <c r="L113" s="3601">
        <f t="shared" si="6"/>
        <v>0</v>
      </c>
      <c r="M113" s="3601">
        <f t="shared" si="6"/>
        <v>0</v>
      </c>
      <c r="N113" s="3601">
        <f t="shared" si="6"/>
        <v>0</v>
      </c>
      <c r="O113" s="3601">
        <f t="shared" si="6"/>
        <v>0</v>
      </c>
      <c r="P113" s="3601">
        <f t="shared" si="6"/>
        <v>0</v>
      </c>
      <c r="Q113" s="3601">
        <f t="shared" si="6"/>
        <v>0</v>
      </c>
      <c r="R113" s="3601">
        <f t="shared" si="6"/>
        <v>0</v>
      </c>
      <c r="S113" s="3601">
        <f t="shared" si="6"/>
        <v>0</v>
      </c>
      <c r="T113" s="3601">
        <f t="shared" si="6"/>
        <v>0</v>
      </c>
      <c r="U113" s="3601">
        <f t="shared" si="6"/>
        <v>0</v>
      </c>
      <c r="V113" s="3601">
        <f t="shared" si="6"/>
        <v>0</v>
      </c>
      <c r="W113" s="3601">
        <f t="shared" si="6"/>
        <v>0</v>
      </c>
      <c r="X113" s="3601">
        <f t="shared" si="6"/>
        <v>0</v>
      </c>
      <c r="Y113" s="3597">
        <f t="shared" si="6"/>
        <v>0</v>
      </c>
    </row>
    <row r="114" spans="1:25">
      <c r="A114" s="3193">
        <v>97000</v>
      </c>
      <c r="B114" s="3176"/>
      <c r="C114" s="3180"/>
      <c r="D114" s="3180"/>
      <c r="E114" s="3178"/>
      <c r="F114" s="3601"/>
      <c r="G114" s="3601"/>
      <c r="H114" s="3601"/>
      <c r="I114" s="3601"/>
      <c r="J114" s="3601"/>
      <c r="K114" s="3601"/>
      <c r="L114" s="3601"/>
      <c r="M114" s="3601"/>
      <c r="N114" s="3601"/>
      <c r="O114" s="3601"/>
      <c r="P114" s="3601"/>
      <c r="Q114" s="3601"/>
      <c r="R114" s="3601"/>
      <c r="S114" s="3601"/>
      <c r="T114" s="3601"/>
      <c r="U114" s="3601"/>
      <c r="V114" s="3601"/>
      <c r="W114" s="3601"/>
      <c r="X114" s="3601"/>
      <c r="Y114" s="3597"/>
    </row>
    <row r="115" spans="1:25">
      <c r="A115" s="3193">
        <v>98000</v>
      </c>
      <c r="B115" s="3179" t="s">
        <v>310</v>
      </c>
      <c r="C115" s="3177"/>
      <c r="D115" s="3177"/>
      <c r="E115" s="3178"/>
      <c r="F115" s="3601">
        <f>F14+F15</f>
        <v>0</v>
      </c>
      <c r="G115" s="3601">
        <f>G14+G15</f>
        <v>0</v>
      </c>
      <c r="H115" s="3601">
        <f>H14+H15</f>
        <v>0</v>
      </c>
      <c r="I115" s="3601">
        <f t="shared" ref="I115:R115" si="7">I14+I15</f>
        <v>0</v>
      </c>
      <c r="J115" s="3601">
        <f t="shared" si="7"/>
        <v>0</v>
      </c>
      <c r="K115" s="3601">
        <f t="shared" si="7"/>
        <v>0</v>
      </c>
      <c r="L115" s="3601">
        <f t="shared" si="7"/>
        <v>0</v>
      </c>
      <c r="M115" s="3601">
        <f t="shared" si="7"/>
        <v>0</v>
      </c>
      <c r="N115" s="3601">
        <f t="shared" si="7"/>
        <v>0</v>
      </c>
      <c r="O115" s="3601">
        <f t="shared" si="7"/>
        <v>0</v>
      </c>
      <c r="P115" s="3601">
        <f t="shared" si="7"/>
        <v>0</v>
      </c>
      <c r="Q115" s="3601">
        <f t="shared" si="7"/>
        <v>0</v>
      </c>
      <c r="R115" s="3601">
        <f t="shared" si="7"/>
        <v>0</v>
      </c>
      <c r="S115" s="3601">
        <f>S14+S15</f>
        <v>0</v>
      </c>
      <c r="T115" s="3601">
        <f t="shared" ref="T115:Y115" si="8">T14+T15</f>
        <v>0</v>
      </c>
      <c r="U115" s="3601">
        <f t="shared" si="8"/>
        <v>0</v>
      </c>
      <c r="V115" s="3601">
        <f t="shared" si="8"/>
        <v>0</v>
      </c>
      <c r="W115" s="3601">
        <f t="shared" si="8"/>
        <v>0</v>
      </c>
      <c r="X115" s="3601">
        <f t="shared" si="8"/>
        <v>0</v>
      </c>
      <c r="Y115" s="3597">
        <f t="shared" si="8"/>
        <v>0</v>
      </c>
    </row>
    <row r="116" spans="1:25">
      <c r="A116" s="3193">
        <v>99000</v>
      </c>
      <c r="B116" s="3176" t="s">
        <v>311</v>
      </c>
      <c r="C116" s="3180"/>
      <c r="D116" s="3180"/>
      <c r="E116" s="3178"/>
      <c r="F116" s="3601">
        <f>F38+F39</f>
        <v>0</v>
      </c>
      <c r="G116" s="3601">
        <f>G38+G39</f>
        <v>0</v>
      </c>
      <c r="H116" s="3601">
        <f>H38+H39</f>
        <v>0</v>
      </c>
      <c r="I116" s="3601">
        <f t="shared" ref="I116:R116" si="9">I38+I39</f>
        <v>0</v>
      </c>
      <c r="J116" s="3601">
        <f t="shared" si="9"/>
        <v>0</v>
      </c>
      <c r="K116" s="3601">
        <f t="shared" si="9"/>
        <v>0</v>
      </c>
      <c r="L116" s="3601">
        <f t="shared" si="9"/>
        <v>0</v>
      </c>
      <c r="M116" s="3601">
        <f t="shared" si="9"/>
        <v>0</v>
      </c>
      <c r="N116" s="3601">
        <f t="shared" si="9"/>
        <v>0</v>
      </c>
      <c r="O116" s="3601">
        <f t="shared" si="9"/>
        <v>0</v>
      </c>
      <c r="P116" s="3601">
        <f t="shared" si="9"/>
        <v>0</v>
      </c>
      <c r="Q116" s="3601">
        <f t="shared" si="9"/>
        <v>0</v>
      </c>
      <c r="R116" s="3601">
        <f t="shared" si="9"/>
        <v>0</v>
      </c>
      <c r="S116" s="3601">
        <f>S38+S39</f>
        <v>0</v>
      </c>
      <c r="T116" s="3601">
        <f t="shared" ref="T116:Y116" si="10">T38+T39</f>
        <v>0</v>
      </c>
      <c r="U116" s="3601">
        <f t="shared" si="10"/>
        <v>0</v>
      </c>
      <c r="V116" s="3601">
        <f t="shared" si="10"/>
        <v>0</v>
      </c>
      <c r="W116" s="3601">
        <f t="shared" si="10"/>
        <v>0</v>
      </c>
      <c r="X116" s="3601">
        <f t="shared" si="10"/>
        <v>0</v>
      </c>
      <c r="Y116" s="3597">
        <f t="shared" si="10"/>
        <v>0</v>
      </c>
    </row>
    <row r="117" spans="1:25">
      <c r="A117" s="3193">
        <v>100000</v>
      </c>
      <c r="B117" s="3179" t="s">
        <v>312</v>
      </c>
      <c r="C117" s="3177"/>
      <c r="D117" s="3177"/>
      <c r="E117" s="3178"/>
      <c r="F117" s="3601">
        <f>F54+F55</f>
        <v>0</v>
      </c>
      <c r="G117" s="3601">
        <f>G54+G55</f>
        <v>0</v>
      </c>
      <c r="H117" s="3601">
        <f>H54+H55</f>
        <v>0</v>
      </c>
      <c r="I117" s="3601">
        <f t="shared" ref="I117:Q117" si="11">I54+I55</f>
        <v>0</v>
      </c>
      <c r="J117" s="3601">
        <f t="shared" si="11"/>
        <v>0</v>
      </c>
      <c r="K117" s="3601">
        <f t="shared" si="11"/>
        <v>0</v>
      </c>
      <c r="L117" s="3601">
        <f t="shared" si="11"/>
        <v>0</v>
      </c>
      <c r="M117" s="3601">
        <f t="shared" si="11"/>
        <v>0</v>
      </c>
      <c r="N117" s="3601">
        <f t="shared" si="11"/>
        <v>0</v>
      </c>
      <c r="O117" s="3601">
        <f t="shared" si="11"/>
        <v>0</v>
      </c>
      <c r="P117" s="3601">
        <f t="shared" si="11"/>
        <v>0</v>
      </c>
      <c r="Q117" s="3601">
        <f t="shared" si="11"/>
        <v>0</v>
      </c>
      <c r="R117" s="3601">
        <f>R54+R55</f>
        <v>0</v>
      </c>
      <c r="S117" s="3601">
        <f>S54+S55</f>
        <v>0</v>
      </c>
      <c r="T117" s="3601">
        <f t="shared" ref="T117:Y117" si="12">T54+T55</f>
        <v>0</v>
      </c>
      <c r="U117" s="3601">
        <f t="shared" si="12"/>
        <v>0</v>
      </c>
      <c r="V117" s="3601">
        <f t="shared" si="12"/>
        <v>0</v>
      </c>
      <c r="W117" s="3601">
        <f t="shared" si="12"/>
        <v>0</v>
      </c>
      <c r="X117" s="3601">
        <f t="shared" si="12"/>
        <v>0</v>
      </c>
      <c r="Y117" s="3597">
        <f t="shared" si="12"/>
        <v>0</v>
      </c>
    </row>
    <row r="118" spans="1:25">
      <c r="A118" s="3193">
        <v>101000</v>
      </c>
      <c r="B118" s="3176"/>
      <c r="C118" s="3180"/>
      <c r="D118" s="3180"/>
      <c r="E118" s="3178"/>
      <c r="F118" s="3601"/>
      <c r="G118" s="3601"/>
      <c r="H118" s="3601"/>
      <c r="I118" s="3601"/>
      <c r="J118" s="3601"/>
      <c r="K118" s="3601"/>
      <c r="L118" s="3601"/>
      <c r="M118" s="3601"/>
      <c r="N118" s="3601"/>
      <c r="O118" s="3601"/>
      <c r="P118" s="3601"/>
      <c r="Q118" s="3601"/>
      <c r="R118" s="3601"/>
      <c r="S118" s="3601"/>
      <c r="T118" s="3601"/>
      <c r="U118" s="3601"/>
      <c r="V118" s="3601"/>
      <c r="W118" s="3601"/>
      <c r="X118" s="3601"/>
      <c r="Y118" s="3597"/>
    </row>
    <row r="119" spans="1:25">
      <c r="A119" s="3193">
        <v>102000</v>
      </c>
      <c r="B119" s="3179"/>
      <c r="C119" s="3177"/>
      <c r="D119" s="3177"/>
      <c r="E119" s="3178"/>
      <c r="F119" s="3601"/>
      <c r="G119" s="3601"/>
      <c r="H119" s="3601"/>
      <c r="I119" s="3601"/>
      <c r="J119" s="3601"/>
      <c r="K119" s="3601"/>
      <c r="L119" s="3601"/>
      <c r="M119" s="3601"/>
      <c r="N119" s="3601"/>
      <c r="O119" s="3601"/>
      <c r="P119" s="3601"/>
      <c r="Q119" s="3601"/>
      <c r="R119" s="3601"/>
      <c r="S119" s="3601"/>
      <c r="T119" s="3601"/>
      <c r="U119" s="3601"/>
      <c r="V119" s="3601"/>
      <c r="W119" s="3601"/>
      <c r="X119" s="3601"/>
      <c r="Y119" s="3597"/>
    </row>
    <row r="120" spans="1:25">
      <c r="A120" s="3193">
        <v>103000</v>
      </c>
      <c r="B120" s="3176" t="s">
        <v>674</v>
      </c>
      <c r="C120" s="3180"/>
      <c r="D120" s="3180"/>
      <c r="E120" s="3178"/>
      <c r="F120" s="3601">
        <f>SUM(F18,F31,F41,F58)</f>
        <v>0</v>
      </c>
      <c r="G120" s="3601">
        <f t="shared" ref="G120:Y120" si="13">SUM(G18,G31,G41,G58)</f>
        <v>0</v>
      </c>
      <c r="H120" s="3601">
        <f t="shared" si="13"/>
        <v>0</v>
      </c>
      <c r="I120" s="3601">
        <f t="shared" si="13"/>
        <v>0</v>
      </c>
      <c r="J120" s="3601">
        <f t="shared" si="13"/>
        <v>0</v>
      </c>
      <c r="K120" s="3601">
        <f t="shared" si="13"/>
        <v>0</v>
      </c>
      <c r="L120" s="3601">
        <f t="shared" si="13"/>
        <v>0</v>
      </c>
      <c r="M120" s="3601">
        <f t="shared" si="13"/>
        <v>0</v>
      </c>
      <c r="N120" s="3601">
        <f t="shared" si="13"/>
        <v>0</v>
      </c>
      <c r="O120" s="3601">
        <f t="shared" si="13"/>
        <v>0</v>
      </c>
      <c r="P120" s="3601">
        <f t="shared" si="13"/>
        <v>0</v>
      </c>
      <c r="Q120" s="3601">
        <f t="shared" si="13"/>
        <v>0</v>
      </c>
      <c r="R120" s="3601">
        <f t="shared" si="13"/>
        <v>0</v>
      </c>
      <c r="S120" s="3601">
        <f t="shared" si="13"/>
        <v>0</v>
      </c>
      <c r="T120" s="3601">
        <f t="shared" si="13"/>
        <v>0</v>
      </c>
      <c r="U120" s="3601">
        <f t="shared" si="13"/>
        <v>0</v>
      </c>
      <c r="V120" s="3601">
        <f t="shared" si="13"/>
        <v>0</v>
      </c>
      <c r="W120" s="3601">
        <f t="shared" si="13"/>
        <v>0</v>
      </c>
      <c r="X120" s="3601">
        <f t="shared" si="13"/>
        <v>0</v>
      </c>
      <c r="Y120" s="3597">
        <f t="shared" si="13"/>
        <v>0</v>
      </c>
    </row>
    <row r="121" spans="1:25">
      <c r="A121" s="3193">
        <v>104000</v>
      </c>
      <c r="B121" s="3179" t="s">
        <v>675</v>
      </c>
      <c r="C121" s="3177"/>
      <c r="D121" s="3177"/>
      <c r="E121" s="3178"/>
      <c r="F121" s="3601">
        <f>SUM(F19,F32,F42,F59)</f>
        <v>0</v>
      </c>
      <c r="G121" s="3601">
        <f t="shared" ref="G121:Y121" si="14">SUM(G19,G32,G42,G59)</f>
        <v>0</v>
      </c>
      <c r="H121" s="3601">
        <f t="shared" si="14"/>
        <v>0</v>
      </c>
      <c r="I121" s="3601">
        <f t="shared" si="14"/>
        <v>0</v>
      </c>
      <c r="J121" s="3601">
        <f t="shared" si="14"/>
        <v>0</v>
      </c>
      <c r="K121" s="3601">
        <f t="shared" si="14"/>
        <v>0</v>
      </c>
      <c r="L121" s="3601">
        <f t="shared" si="14"/>
        <v>0</v>
      </c>
      <c r="M121" s="3601">
        <f t="shared" si="14"/>
        <v>0</v>
      </c>
      <c r="N121" s="3601">
        <f t="shared" si="14"/>
        <v>0</v>
      </c>
      <c r="O121" s="3601">
        <f t="shared" si="14"/>
        <v>0</v>
      </c>
      <c r="P121" s="3601">
        <f t="shared" si="14"/>
        <v>0</v>
      </c>
      <c r="Q121" s="3601">
        <f t="shared" si="14"/>
        <v>0</v>
      </c>
      <c r="R121" s="3601">
        <f t="shared" si="14"/>
        <v>0</v>
      </c>
      <c r="S121" s="3601">
        <f t="shared" si="14"/>
        <v>0</v>
      </c>
      <c r="T121" s="3601">
        <f t="shared" si="14"/>
        <v>0</v>
      </c>
      <c r="U121" s="3601">
        <f t="shared" si="14"/>
        <v>0</v>
      </c>
      <c r="V121" s="3601">
        <f t="shared" si="14"/>
        <v>0</v>
      </c>
      <c r="W121" s="3601">
        <f t="shared" si="14"/>
        <v>0</v>
      </c>
      <c r="X121" s="3601">
        <f t="shared" si="14"/>
        <v>0</v>
      </c>
      <c r="Y121" s="3597">
        <f t="shared" si="14"/>
        <v>0</v>
      </c>
    </row>
    <row r="122" spans="1:25">
      <c r="A122" s="3193">
        <v>105000</v>
      </c>
      <c r="B122" s="3176" t="s">
        <v>676</v>
      </c>
      <c r="C122" s="3180"/>
      <c r="D122" s="3180"/>
      <c r="E122" s="3178"/>
      <c r="F122" s="3601">
        <f>F76+F78+F64+F66+F68+F70+F72</f>
        <v>0</v>
      </c>
      <c r="G122" s="3601">
        <f t="shared" ref="G122:Y122" si="15">G76+G78+G64+G66+G68+G70+G72</f>
        <v>0</v>
      </c>
      <c r="H122" s="3601">
        <f t="shared" si="15"/>
        <v>0</v>
      </c>
      <c r="I122" s="3601">
        <f t="shared" si="15"/>
        <v>0</v>
      </c>
      <c r="J122" s="3601">
        <f t="shared" si="15"/>
        <v>0</v>
      </c>
      <c r="K122" s="3601">
        <f t="shared" si="15"/>
        <v>0</v>
      </c>
      <c r="L122" s="3601">
        <f t="shared" si="15"/>
        <v>0</v>
      </c>
      <c r="M122" s="3601">
        <f t="shared" si="15"/>
        <v>0</v>
      </c>
      <c r="N122" s="3601">
        <f t="shared" si="15"/>
        <v>0</v>
      </c>
      <c r="O122" s="3601">
        <f t="shared" si="15"/>
        <v>0</v>
      </c>
      <c r="P122" s="3601">
        <f t="shared" si="15"/>
        <v>0</v>
      </c>
      <c r="Q122" s="3601">
        <f t="shared" si="15"/>
        <v>0</v>
      </c>
      <c r="R122" s="3601">
        <f t="shared" si="15"/>
        <v>0</v>
      </c>
      <c r="S122" s="3601">
        <f t="shared" si="15"/>
        <v>0</v>
      </c>
      <c r="T122" s="3601">
        <f t="shared" si="15"/>
        <v>0</v>
      </c>
      <c r="U122" s="3601">
        <f t="shared" si="15"/>
        <v>0</v>
      </c>
      <c r="V122" s="3601">
        <f t="shared" si="15"/>
        <v>0</v>
      </c>
      <c r="W122" s="3601">
        <f t="shared" si="15"/>
        <v>0</v>
      </c>
      <c r="X122" s="3601">
        <f t="shared" si="15"/>
        <v>0</v>
      </c>
      <c r="Y122" s="3597">
        <f t="shared" si="15"/>
        <v>0</v>
      </c>
    </row>
    <row r="123" spans="1:25">
      <c r="A123" s="3193">
        <v>106000</v>
      </c>
      <c r="B123" s="3179" t="s">
        <v>677</v>
      </c>
      <c r="C123" s="3177"/>
      <c r="D123" s="3177"/>
      <c r="E123" s="3178"/>
      <c r="F123" s="3601">
        <f>F79+F77+F65+F67+F69+F71+F73</f>
        <v>0</v>
      </c>
      <c r="G123" s="3601">
        <f t="shared" ref="G123:Y123" si="16">G79+G77+G65+G67+G69+G71+G73</f>
        <v>0</v>
      </c>
      <c r="H123" s="3601">
        <f t="shared" si="16"/>
        <v>0</v>
      </c>
      <c r="I123" s="3601">
        <f t="shared" si="16"/>
        <v>0</v>
      </c>
      <c r="J123" s="3601">
        <f t="shared" si="16"/>
        <v>0</v>
      </c>
      <c r="K123" s="3601">
        <f t="shared" si="16"/>
        <v>0</v>
      </c>
      <c r="L123" s="3601">
        <f t="shared" si="16"/>
        <v>0</v>
      </c>
      <c r="M123" s="3601">
        <f t="shared" si="16"/>
        <v>0</v>
      </c>
      <c r="N123" s="3601">
        <f t="shared" si="16"/>
        <v>0</v>
      </c>
      <c r="O123" s="3601">
        <f t="shared" si="16"/>
        <v>0</v>
      </c>
      <c r="P123" s="3601">
        <f t="shared" si="16"/>
        <v>0</v>
      </c>
      <c r="Q123" s="3601">
        <f t="shared" si="16"/>
        <v>0</v>
      </c>
      <c r="R123" s="3601">
        <f t="shared" si="16"/>
        <v>0</v>
      </c>
      <c r="S123" s="3601">
        <f t="shared" si="16"/>
        <v>0</v>
      </c>
      <c r="T123" s="3601">
        <f t="shared" si="16"/>
        <v>0</v>
      </c>
      <c r="U123" s="3601">
        <f t="shared" si="16"/>
        <v>0</v>
      </c>
      <c r="V123" s="3601">
        <f t="shared" si="16"/>
        <v>0</v>
      </c>
      <c r="W123" s="3601">
        <f t="shared" si="16"/>
        <v>0</v>
      </c>
      <c r="X123" s="3601">
        <f t="shared" si="16"/>
        <v>0</v>
      </c>
      <c r="Y123" s="3597">
        <f t="shared" si="16"/>
        <v>0</v>
      </c>
    </row>
    <row r="124" spans="1:25">
      <c r="A124" s="3193">
        <v>107000</v>
      </c>
      <c r="B124" s="3176" t="s">
        <v>678</v>
      </c>
      <c r="C124" s="3180"/>
      <c r="D124" s="3180"/>
      <c r="E124" s="3178"/>
      <c r="F124" s="3601">
        <f>SUM(F20,F33,F43,F60)</f>
        <v>0</v>
      </c>
      <c r="G124" s="3601">
        <f t="shared" ref="G124:Y124" si="17">SUM(G20,G33,G43,G60)</f>
        <v>0</v>
      </c>
      <c r="H124" s="3601">
        <f t="shared" si="17"/>
        <v>0</v>
      </c>
      <c r="I124" s="3601">
        <f t="shared" si="17"/>
        <v>0</v>
      </c>
      <c r="J124" s="3601">
        <f t="shared" si="17"/>
        <v>0</v>
      </c>
      <c r="K124" s="3601">
        <f t="shared" si="17"/>
        <v>0</v>
      </c>
      <c r="L124" s="3601">
        <f t="shared" si="17"/>
        <v>0</v>
      </c>
      <c r="M124" s="3601">
        <f t="shared" si="17"/>
        <v>0</v>
      </c>
      <c r="N124" s="3601">
        <f t="shared" si="17"/>
        <v>0</v>
      </c>
      <c r="O124" s="3601">
        <f t="shared" si="17"/>
        <v>0</v>
      </c>
      <c r="P124" s="3601">
        <f t="shared" si="17"/>
        <v>0</v>
      </c>
      <c r="Q124" s="3601">
        <f t="shared" si="17"/>
        <v>0</v>
      </c>
      <c r="R124" s="3601">
        <f t="shared" si="17"/>
        <v>0</v>
      </c>
      <c r="S124" s="3601">
        <f t="shared" si="17"/>
        <v>0</v>
      </c>
      <c r="T124" s="3601">
        <f t="shared" si="17"/>
        <v>0</v>
      </c>
      <c r="U124" s="3601">
        <f t="shared" si="17"/>
        <v>0</v>
      </c>
      <c r="V124" s="3601">
        <f t="shared" si="17"/>
        <v>0</v>
      </c>
      <c r="W124" s="3601">
        <f t="shared" si="17"/>
        <v>0</v>
      </c>
      <c r="X124" s="3601">
        <f t="shared" si="17"/>
        <v>0</v>
      </c>
      <c r="Y124" s="3597">
        <f t="shared" si="17"/>
        <v>0</v>
      </c>
    </row>
    <row r="125" spans="1:25">
      <c r="A125" s="3193">
        <v>108000</v>
      </c>
      <c r="B125" s="3179" t="s">
        <v>313</v>
      </c>
      <c r="C125" s="3177"/>
      <c r="D125" s="3177"/>
      <c r="E125" s="3178"/>
      <c r="F125" s="3601">
        <f>SUM(F20,F33,F43,F60,F65,F67,F69,F71,F73,F77,F79)</f>
        <v>0</v>
      </c>
      <c r="G125" s="3601">
        <f t="shared" ref="G125:Y125" si="18">SUM(G20,G33,G43,G60,G65,G67,G69,G71,G73,G77,G79)</f>
        <v>0</v>
      </c>
      <c r="H125" s="3601">
        <f>SUM(H20,H33,H43,H60,H65,H67,H69,H71,H73,H77,H79)</f>
        <v>0</v>
      </c>
      <c r="I125" s="3601">
        <f t="shared" si="18"/>
        <v>0</v>
      </c>
      <c r="J125" s="3601">
        <f t="shared" si="18"/>
        <v>0</v>
      </c>
      <c r="K125" s="3601">
        <f t="shared" si="18"/>
        <v>0</v>
      </c>
      <c r="L125" s="3601">
        <f t="shared" si="18"/>
        <v>0</v>
      </c>
      <c r="M125" s="3601">
        <f t="shared" si="18"/>
        <v>0</v>
      </c>
      <c r="N125" s="3601">
        <f t="shared" si="18"/>
        <v>0</v>
      </c>
      <c r="O125" s="3601">
        <f t="shared" si="18"/>
        <v>0</v>
      </c>
      <c r="P125" s="3601">
        <f t="shared" si="18"/>
        <v>0</v>
      </c>
      <c r="Q125" s="3601">
        <f t="shared" si="18"/>
        <v>0</v>
      </c>
      <c r="R125" s="3601">
        <f t="shared" si="18"/>
        <v>0</v>
      </c>
      <c r="S125" s="3601">
        <f t="shared" si="18"/>
        <v>0</v>
      </c>
      <c r="T125" s="3601">
        <f t="shared" si="18"/>
        <v>0</v>
      </c>
      <c r="U125" s="3601">
        <f t="shared" si="18"/>
        <v>0</v>
      </c>
      <c r="V125" s="3601">
        <f t="shared" si="18"/>
        <v>0</v>
      </c>
      <c r="W125" s="3601">
        <f t="shared" si="18"/>
        <v>0</v>
      </c>
      <c r="X125" s="3601">
        <f t="shared" si="18"/>
        <v>0</v>
      </c>
      <c r="Y125" s="3597">
        <f t="shared" si="18"/>
        <v>0</v>
      </c>
    </row>
    <row r="126" spans="1:25">
      <c r="A126" s="3193">
        <v>109000</v>
      </c>
      <c r="B126" s="3179" t="s">
        <v>314</v>
      </c>
      <c r="C126" s="3177"/>
      <c r="D126" s="3177"/>
      <c r="E126" s="3178"/>
      <c r="F126" s="3601">
        <f>SUM(F19,F32,F42,F59)</f>
        <v>0</v>
      </c>
      <c r="G126" s="3601">
        <f t="shared" ref="G126:Y126" si="19">SUM(G19,G32,G42,G59)</f>
        <v>0</v>
      </c>
      <c r="H126" s="3601">
        <f>SUM(H19,H32,H42,H59)</f>
        <v>0</v>
      </c>
      <c r="I126" s="3601">
        <f t="shared" si="19"/>
        <v>0</v>
      </c>
      <c r="J126" s="3601">
        <f t="shared" si="19"/>
        <v>0</v>
      </c>
      <c r="K126" s="3601">
        <f t="shared" si="19"/>
        <v>0</v>
      </c>
      <c r="L126" s="3601">
        <f t="shared" si="19"/>
        <v>0</v>
      </c>
      <c r="M126" s="3601">
        <f t="shared" si="19"/>
        <v>0</v>
      </c>
      <c r="N126" s="3601">
        <f t="shared" si="19"/>
        <v>0</v>
      </c>
      <c r="O126" s="3601">
        <f t="shared" si="19"/>
        <v>0</v>
      </c>
      <c r="P126" s="3601">
        <f t="shared" si="19"/>
        <v>0</v>
      </c>
      <c r="Q126" s="3601">
        <f t="shared" si="19"/>
        <v>0</v>
      </c>
      <c r="R126" s="3601">
        <f t="shared" si="19"/>
        <v>0</v>
      </c>
      <c r="S126" s="3601">
        <f t="shared" si="19"/>
        <v>0</v>
      </c>
      <c r="T126" s="3601">
        <f t="shared" si="19"/>
        <v>0</v>
      </c>
      <c r="U126" s="3601">
        <f t="shared" si="19"/>
        <v>0</v>
      </c>
      <c r="V126" s="3601">
        <f t="shared" si="19"/>
        <v>0</v>
      </c>
      <c r="W126" s="3601">
        <f t="shared" si="19"/>
        <v>0</v>
      </c>
      <c r="X126" s="3601">
        <f t="shared" si="19"/>
        <v>0</v>
      </c>
      <c r="Y126" s="3597">
        <f t="shared" si="19"/>
        <v>0</v>
      </c>
    </row>
    <row r="127" spans="1:25">
      <c r="A127" s="3193">
        <v>110000</v>
      </c>
      <c r="B127" s="3176" t="s">
        <v>315</v>
      </c>
      <c r="C127" s="3180"/>
      <c r="D127" s="3180"/>
      <c r="E127" s="3178"/>
      <c r="F127" s="3601">
        <f>SUM(F18,F31,F41,F58)</f>
        <v>0</v>
      </c>
      <c r="G127" s="3601">
        <f t="shared" ref="G127:Y127" si="20">SUM(G18,G31,G41,G58)</f>
        <v>0</v>
      </c>
      <c r="H127" s="3601">
        <f>SUM(H18,H31,H41,H58)</f>
        <v>0</v>
      </c>
      <c r="I127" s="3601">
        <f t="shared" si="20"/>
        <v>0</v>
      </c>
      <c r="J127" s="3601">
        <f t="shared" si="20"/>
        <v>0</v>
      </c>
      <c r="K127" s="3601">
        <f t="shared" si="20"/>
        <v>0</v>
      </c>
      <c r="L127" s="3601">
        <f t="shared" si="20"/>
        <v>0</v>
      </c>
      <c r="M127" s="3601">
        <f t="shared" si="20"/>
        <v>0</v>
      </c>
      <c r="N127" s="3601">
        <f t="shared" si="20"/>
        <v>0</v>
      </c>
      <c r="O127" s="3601">
        <f t="shared" si="20"/>
        <v>0</v>
      </c>
      <c r="P127" s="3601">
        <f t="shared" si="20"/>
        <v>0</v>
      </c>
      <c r="Q127" s="3601">
        <f t="shared" si="20"/>
        <v>0</v>
      </c>
      <c r="R127" s="3601">
        <f t="shared" si="20"/>
        <v>0</v>
      </c>
      <c r="S127" s="3601">
        <f t="shared" si="20"/>
        <v>0</v>
      </c>
      <c r="T127" s="3601">
        <f t="shared" si="20"/>
        <v>0</v>
      </c>
      <c r="U127" s="3601">
        <f t="shared" si="20"/>
        <v>0</v>
      </c>
      <c r="V127" s="3601">
        <f t="shared" si="20"/>
        <v>0</v>
      </c>
      <c r="W127" s="3601">
        <f t="shared" si="20"/>
        <v>0</v>
      </c>
      <c r="X127" s="3601">
        <f t="shared" si="20"/>
        <v>0</v>
      </c>
      <c r="Y127" s="3597">
        <f t="shared" si="20"/>
        <v>0</v>
      </c>
    </row>
    <row r="128" spans="1:25">
      <c r="A128" s="3193">
        <v>111000</v>
      </c>
      <c r="B128" s="3179" t="s">
        <v>316</v>
      </c>
      <c r="C128" s="3177"/>
      <c r="D128" s="3177"/>
      <c r="E128" s="3178"/>
      <c r="F128" s="3601">
        <f>F45+F46</f>
        <v>0</v>
      </c>
      <c r="G128" s="3602">
        <f>G45+G46</f>
        <v>0</v>
      </c>
      <c r="H128" s="3602">
        <f>H45+H46</f>
        <v>0</v>
      </c>
      <c r="I128" s="3601">
        <f t="shared" ref="I128:Y128" si="21">I45+I46</f>
        <v>0</v>
      </c>
      <c r="J128" s="3602">
        <f t="shared" si="21"/>
        <v>0</v>
      </c>
      <c r="K128" s="3602">
        <f t="shared" si="21"/>
        <v>0</v>
      </c>
      <c r="L128" s="3602">
        <f t="shared" si="21"/>
        <v>0</v>
      </c>
      <c r="M128" s="3602">
        <f t="shared" si="21"/>
        <v>0</v>
      </c>
      <c r="N128" s="3602">
        <f t="shared" si="21"/>
        <v>0</v>
      </c>
      <c r="O128" s="3602">
        <f t="shared" si="21"/>
        <v>0</v>
      </c>
      <c r="P128" s="3602">
        <f t="shared" si="21"/>
        <v>0</v>
      </c>
      <c r="Q128" s="3602">
        <f t="shared" si="21"/>
        <v>0</v>
      </c>
      <c r="R128" s="3602">
        <f t="shared" si="21"/>
        <v>0</v>
      </c>
      <c r="S128" s="3602">
        <f t="shared" si="21"/>
        <v>0</v>
      </c>
      <c r="T128" s="3602">
        <f t="shared" si="21"/>
        <v>0</v>
      </c>
      <c r="U128" s="3602">
        <f t="shared" si="21"/>
        <v>0</v>
      </c>
      <c r="V128" s="3602">
        <f t="shared" si="21"/>
        <v>0</v>
      </c>
      <c r="W128" s="3602">
        <f t="shared" si="21"/>
        <v>0</v>
      </c>
      <c r="X128" s="3602">
        <f t="shared" si="21"/>
        <v>0</v>
      </c>
      <c r="Y128" s="3603">
        <f t="shared" si="21"/>
        <v>0</v>
      </c>
    </row>
    <row r="129" spans="1:25">
      <c r="A129" s="3193">
        <v>112000</v>
      </c>
      <c r="B129" s="3179"/>
      <c r="C129" s="3177"/>
      <c r="D129" s="3177"/>
      <c r="E129" s="3178"/>
      <c r="F129" s="3601"/>
      <c r="G129" s="3602"/>
      <c r="H129" s="3602"/>
      <c r="I129" s="3601"/>
      <c r="J129" s="3602"/>
      <c r="K129" s="3602"/>
      <c r="L129" s="3602"/>
      <c r="M129" s="3602"/>
      <c r="N129" s="3602"/>
      <c r="O129" s="3602"/>
      <c r="P129" s="3602"/>
      <c r="Q129" s="3602"/>
      <c r="R129" s="3602"/>
      <c r="S129" s="3602"/>
      <c r="T129" s="3602"/>
      <c r="U129" s="3602"/>
      <c r="V129" s="3602"/>
      <c r="W129" s="3602"/>
      <c r="X129" s="3602"/>
      <c r="Y129" s="3603"/>
    </row>
    <row r="130" spans="1:25">
      <c r="A130" s="3193">
        <v>113000</v>
      </c>
      <c r="B130" s="3176"/>
      <c r="C130" s="3180"/>
      <c r="D130" s="3180"/>
      <c r="E130" s="3178"/>
      <c r="F130" s="3601"/>
      <c r="G130" s="3602"/>
      <c r="H130" s="3602"/>
      <c r="I130" s="3601"/>
      <c r="J130" s="3602"/>
      <c r="K130" s="3602"/>
      <c r="L130" s="3602"/>
      <c r="M130" s="3602"/>
      <c r="N130" s="3602"/>
      <c r="O130" s="3602"/>
      <c r="P130" s="3602"/>
      <c r="Q130" s="3602"/>
      <c r="R130" s="3602"/>
      <c r="S130" s="3602"/>
      <c r="T130" s="3602"/>
      <c r="U130" s="3602"/>
      <c r="V130" s="3602"/>
      <c r="W130" s="3602"/>
      <c r="X130" s="3602"/>
      <c r="Y130" s="3603"/>
    </row>
    <row r="131" spans="1:25" ht="12" thickBot="1">
      <c r="A131" s="3193">
        <v>114000</v>
      </c>
      <c r="B131" s="3194"/>
      <c r="C131" s="3195"/>
      <c r="D131" s="3195"/>
      <c r="E131" s="3196"/>
      <c r="F131" s="3604"/>
      <c r="G131" s="3605"/>
      <c r="H131" s="3605"/>
      <c r="I131" s="3606"/>
      <c r="J131" s="3605"/>
      <c r="K131" s="3605"/>
      <c r="L131" s="3605"/>
      <c r="M131" s="3605"/>
      <c r="N131" s="3605"/>
      <c r="O131" s="3605"/>
      <c r="P131" s="3605"/>
      <c r="Q131" s="3605"/>
      <c r="R131" s="3605"/>
      <c r="S131" s="3605"/>
      <c r="T131" s="3605"/>
      <c r="U131" s="3605"/>
      <c r="V131" s="3605"/>
      <c r="W131" s="3605"/>
      <c r="X131" s="3605"/>
      <c r="Y131" s="3607"/>
    </row>
    <row r="132" spans="1:25" ht="12" thickTop="1"/>
    <row r="142" spans="1:25">
      <c r="R142" s="3608"/>
    </row>
    <row r="147" spans="18:18">
      <c r="R147" s="3609"/>
    </row>
    <row r="148" spans="18:18">
      <c r="R148" s="3610"/>
    </row>
    <row r="149" spans="18:18">
      <c r="R149" s="3610"/>
    </row>
    <row r="156" spans="18:18">
      <c r="R156" s="3609"/>
    </row>
    <row r="157" spans="18:18">
      <c r="R157" s="3611"/>
    </row>
  </sheetData>
  <phoneticPr fontId="0" type="noConversion"/>
  <conditionalFormatting sqref="B7:Y131">
    <cfRule type="expression" dxfId="10" priority="1" stopIfTrue="1">
      <formula>MOD(ROW(),2)=1</formula>
    </cfRule>
  </conditionalFormatting>
  <conditionalFormatting sqref="E2:Y4">
    <cfRule type="expression" dxfId="9" priority="2" stopIfTrue="1">
      <formula>MOD(ROW(),2)=1</formula>
    </cfRule>
  </conditionalFormatting>
  <hyperlinks>
    <hyperlink ref="A2" location="TOC!A1" display="TOC" xr:uid="{00000000-0004-0000-1000-000000000000}"/>
    <hyperlink ref="A3" location="'New Resources - Group'!A7" display="é" xr:uid="{00000000-0004-0000-1000-000001000000}"/>
    <hyperlink ref="A6" location="'New Resources - Group'!F1" display="é" xr:uid="{00000000-0004-0000-1000-000002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1" manualBreakCount="1">
    <brk id="81" min="1" max="7" man="1"/>
  </rowBreaks>
  <customProperties>
    <customPr name="_pios_id" r:id="rId2"/>
  </customPropertie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
    <tabColor indexed="48"/>
  </sheetPr>
  <dimension ref="A1:FO496"/>
  <sheetViews>
    <sheetView topLeftCell="A102" workbookViewId="0">
      <selection activeCell="A102" sqref="A1:XFD1048576"/>
    </sheetView>
  </sheetViews>
  <sheetFormatPr defaultColWidth="9" defaultRowHeight="11.25"/>
  <cols>
    <col min="1" max="1" width="8.625" style="493" customWidth="1"/>
    <col min="2" max="2" width="50.625" style="493" customWidth="1"/>
    <col min="3" max="3" width="22.875" style="493" customWidth="1"/>
    <col min="4" max="4" width="16.5" style="493" customWidth="1"/>
    <col min="5" max="6" width="12.625" style="493" customWidth="1"/>
    <col min="7" max="10" width="16.625" style="493" customWidth="1"/>
    <col min="11" max="11" width="2.625" style="493" customWidth="1"/>
    <col min="12" max="18" width="15.625" style="493" customWidth="1"/>
    <col min="19" max="19" width="2.625" style="493" customWidth="1"/>
    <col min="20" max="20" width="15" style="493" customWidth="1"/>
    <col min="21" max="21" width="14.25" style="493" customWidth="1"/>
    <col min="22" max="26" width="15.625" style="493" customWidth="1"/>
    <col min="27" max="27" width="2.625" style="493" customWidth="1"/>
    <col min="28" max="28" width="15.25" style="493" customWidth="1"/>
    <col min="29" max="29" width="13.75" style="493" customWidth="1"/>
    <col min="30" max="34" width="15.625" style="493" customWidth="1"/>
    <col min="35" max="35" width="2.625" style="493" customWidth="1"/>
    <col min="36" max="36" width="15.5" style="493" customWidth="1"/>
    <col min="37" max="37" width="14.5" style="493" customWidth="1"/>
    <col min="38" max="42" width="15.625" style="493" customWidth="1"/>
    <col min="43" max="43" width="2.625" style="493" customWidth="1"/>
    <col min="44" max="44" width="15.625" style="493" customWidth="1"/>
    <col min="45" max="45" width="14.125" style="493" customWidth="1"/>
    <col min="46" max="50" width="15.625" style="493" customWidth="1"/>
    <col min="51" max="51" width="2.625" style="493" customWidth="1"/>
    <col min="52" max="52" width="15.75" style="493" customWidth="1"/>
    <col min="53" max="53" width="13.75" style="493" customWidth="1"/>
    <col min="54" max="58" width="15.625" style="493" customWidth="1"/>
    <col min="59" max="59" width="2.625" style="493" customWidth="1"/>
    <col min="60" max="60" width="14.75" style="493" customWidth="1"/>
    <col min="61" max="61" width="13.75" style="493" customWidth="1"/>
    <col min="62" max="66" width="15.625" style="493" customWidth="1"/>
    <col min="67" max="67" width="2.625" style="493" customWidth="1"/>
    <col min="68" max="68" width="14.75" style="493" customWidth="1"/>
    <col min="69" max="69" width="14" style="493" customWidth="1"/>
    <col min="70" max="74" width="15.625" style="493" customWidth="1"/>
    <col min="75" max="75" width="2.625" style="493" customWidth="1"/>
    <col min="76" max="76" width="15.125" style="493" customWidth="1"/>
    <col min="77" max="77" width="13.5" style="493" customWidth="1"/>
    <col min="78" max="82" width="15.625" style="493" customWidth="1"/>
    <col min="83" max="83" width="2.625" style="493" customWidth="1"/>
    <col min="84" max="84" width="15" style="493" customWidth="1"/>
    <col min="85" max="85" width="14.25" style="493" customWidth="1"/>
    <col min="86" max="90" width="15.625" style="493" customWidth="1"/>
    <col min="91" max="91" width="2.625" style="493" customWidth="1"/>
    <col min="92" max="92" width="15" style="493" customWidth="1"/>
    <col min="93" max="93" width="14.25" style="493" customWidth="1"/>
    <col min="94" max="98" width="15.625" style="493" customWidth="1"/>
    <col min="99" max="99" width="2.625" style="493" customWidth="1"/>
    <col min="100" max="100" width="15" style="493" customWidth="1"/>
    <col min="101" max="101" width="13.75" style="493" customWidth="1"/>
    <col min="102" max="106" width="15.625" style="493" customWidth="1"/>
    <col min="107" max="107" width="2.625" style="493" customWidth="1"/>
    <col min="108" max="108" width="15.25" style="493" customWidth="1"/>
    <col min="109" max="109" width="13.75" style="493" customWidth="1"/>
    <col min="110" max="114" width="15.625" style="493" customWidth="1"/>
    <col min="115" max="115" width="2.625" style="493" customWidth="1"/>
    <col min="116" max="116" width="15.125" style="493" customWidth="1"/>
    <col min="117" max="117" width="13.5" style="493" customWidth="1"/>
    <col min="118" max="122" width="15.625" style="493" customWidth="1"/>
    <col min="123" max="123" width="2.625" style="493" customWidth="1"/>
    <col min="124" max="124" width="15.125" style="493" customWidth="1"/>
    <col min="125" max="125" width="14" style="493" customWidth="1"/>
    <col min="126" max="130" width="15.625" style="493" customWidth="1"/>
    <col min="131" max="131" width="2.625" style="493" customWidth="1"/>
    <col min="132" max="132" width="15.25" style="493" customWidth="1"/>
    <col min="133" max="133" width="14.5" style="493" customWidth="1"/>
    <col min="134" max="138" width="15.625" style="493" customWidth="1"/>
    <col min="139" max="139" width="2.625" style="493" customWidth="1"/>
    <col min="140" max="140" width="15.125" style="493" customWidth="1"/>
    <col min="141" max="141" width="13.875" style="493" customWidth="1"/>
    <col min="142" max="146" width="15.625" style="493" customWidth="1"/>
    <col min="147" max="147" width="2.625" style="493" customWidth="1"/>
    <col min="148" max="148" width="15.5" style="493" customWidth="1"/>
    <col min="149" max="149" width="14" style="493" customWidth="1"/>
    <col min="150" max="154" width="15.625" style="493" customWidth="1"/>
    <col min="155" max="155" width="2.625" style="493" customWidth="1"/>
    <col min="156" max="156" width="15.125" style="493" customWidth="1"/>
    <col min="157" max="157" width="14.25" style="493" customWidth="1"/>
    <col min="158" max="162" width="15.625" style="493" customWidth="1"/>
    <col min="163" max="163" width="2.625" style="493" customWidth="1"/>
    <col min="164" max="164" width="14.75" style="493" customWidth="1"/>
    <col min="165" max="165" width="14.5" style="493" customWidth="1"/>
    <col min="166" max="170" width="15.625" style="493" customWidth="1"/>
    <col min="171" max="171" width="2.625" style="493" customWidth="1"/>
    <col min="172" max="16384" width="9" style="493"/>
  </cols>
  <sheetData>
    <row r="1" spans="1:171" ht="12" thickTop="1">
      <c r="A1" s="3446"/>
      <c r="B1" s="3447"/>
      <c r="C1" s="3447"/>
      <c r="D1" s="3447"/>
      <c r="E1" s="3447"/>
      <c r="F1" s="3448" t="s">
        <v>605</v>
      </c>
      <c r="G1" s="3447"/>
      <c r="H1" s="3447"/>
      <c r="I1" s="3447"/>
      <c r="J1" s="3449"/>
      <c r="K1" s="3205"/>
      <c r="M1" s="3206" t="s">
        <v>654</v>
      </c>
      <c r="N1" s="3207">
        <v>1</v>
      </c>
      <c r="S1" s="3205"/>
      <c r="U1" s="3206" t="s">
        <v>654</v>
      </c>
      <c r="V1" s="3207">
        <v>1</v>
      </c>
      <c r="AA1" s="3205"/>
      <c r="AC1" s="3206" t="s">
        <v>654</v>
      </c>
      <c r="AD1" s="3207">
        <v>1</v>
      </c>
      <c r="AI1" s="3205"/>
      <c r="AK1" s="3206" t="s">
        <v>654</v>
      </c>
      <c r="AL1" s="3207">
        <v>1</v>
      </c>
      <c r="AQ1" s="3205"/>
      <c r="AS1" s="3206" t="s">
        <v>654</v>
      </c>
      <c r="AT1" s="3207">
        <v>1</v>
      </c>
      <c r="AY1" s="3205"/>
      <c r="BA1" s="3206" t="s">
        <v>654</v>
      </c>
      <c r="BB1" s="3207">
        <v>1</v>
      </c>
      <c r="BG1" s="3205"/>
      <c r="BI1" s="3206" t="s">
        <v>654</v>
      </c>
      <c r="BJ1" s="3207">
        <v>1</v>
      </c>
      <c r="BO1" s="3205"/>
      <c r="BQ1" s="3206" t="s">
        <v>654</v>
      </c>
      <c r="BR1" s="3207">
        <v>1</v>
      </c>
      <c r="BW1" s="3205"/>
      <c r="BY1" s="3206" t="s">
        <v>654</v>
      </c>
      <c r="BZ1" s="3207">
        <v>1</v>
      </c>
      <c r="CE1" s="3205"/>
      <c r="CG1" s="3206" t="s">
        <v>654</v>
      </c>
      <c r="CH1" s="3207">
        <v>1</v>
      </c>
      <c r="CM1" s="3205"/>
      <c r="CO1" s="3206" t="s">
        <v>654</v>
      </c>
      <c r="CP1" s="3207">
        <v>1</v>
      </c>
      <c r="CU1" s="3205"/>
      <c r="CW1" s="3206" t="s">
        <v>654</v>
      </c>
      <c r="CX1" s="3207">
        <v>1</v>
      </c>
      <c r="DC1" s="3205"/>
      <c r="DE1" s="3206" t="s">
        <v>654</v>
      </c>
      <c r="DF1" s="3207">
        <v>1</v>
      </c>
      <c r="DK1" s="3205"/>
      <c r="DM1" s="3206" t="s">
        <v>654</v>
      </c>
      <c r="DN1" s="3207">
        <v>1</v>
      </c>
      <c r="DS1" s="3205"/>
      <c r="DU1" s="3206" t="s">
        <v>654</v>
      </c>
      <c r="DV1" s="3207">
        <v>1</v>
      </c>
      <c r="EA1" s="3205"/>
      <c r="EC1" s="3206" t="s">
        <v>654</v>
      </c>
      <c r="ED1" s="3207">
        <v>1</v>
      </c>
      <c r="EI1" s="3205"/>
      <c r="EK1" s="3206" t="s">
        <v>654</v>
      </c>
      <c r="EL1" s="3207">
        <v>1</v>
      </c>
      <c r="EQ1" s="3205"/>
      <c r="ES1" s="3206" t="s">
        <v>654</v>
      </c>
      <c r="ET1" s="3207">
        <v>1</v>
      </c>
      <c r="EY1" s="3205"/>
      <c r="FA1" s="3206" t="s">
        <v>654</v>
      </c>
      <c r="FB1" s="3207">
        <v>1</v>
      </c>
      <c r="FG1" s="3205"/>
      <c r="FI1" s="3206" t="s">
        <v>654</v>
      </c>
      <c r="FJ1" s="3207">
        <v>1</v>
      </c>
      <c r="FO1" s="3205"/>
    </row>
    <row r="2" spans="1:171">
      <c r="A2" s="3450"/>
      <c r="B2" s="589"/>
      <c r="C2" s="589"/>
      <c r="D2" s="589"/>
      <c r="E2" s="589"/>
      <c r="F2" s="3204" t="s">
        <v>606</v>
      </c>
      <c r="G2" s="589"/>
      <c r="H2" s="589"/>
      <c r="I2" s="589"/>
      <c r="J2" s="3451"/>
      <c r="K2" s="3205"/>
      <c r="M2" s="3204" t="s">
        <v>655</v>
      </c>
      <c r="N2" s="3208">
        <v>6</v>
      </c>
      <c r="S2" s="3209"/>
      <c r="U2" s="3204" t="s">
        <v>655</v>
      </c>
      <c r="V2" s="3208">
        <v>7</v>
      </c>
      <c r="AA2" s="3209"/>
      <c r="AC2" s="3204" t="s">
        <v>655</v>
      </c>
      <c r="AD2" s="3208">
        <v>8</v>
      </c>
      <c r="AI2" s="3209"/>
      <c r="AK2" s="3204" t="s">
        <v>655</v>
      </c>
      <c r="AL2" s="3208">
        <v>9</v>
      </c>
      <c r="AQ2" s="3209"/>
      <c r="AS2" s="3204" t="s">
        <v>655</v>
      </c>
      <c r="AT2" s="3208">
        <v>10</v>
      </c>
      <c r="AY2" s="3209"/>
      <c r="BA2" s="3204" t="s">
        <v>655</v>
      </c>
      <c r="BB2" s="3208">
        <v>11</v>
      </c>
      <c r="BG2" s="3209"/>
      <c r="BI2" s="3204" t="s">
        <v>655</v>
      </c>
      <c r="BJ2" s="3208">
        <v>12</v>
      </c>
      <c r="BO2" s="3209"/>
      <c r="BQ2" s="3204" t="s">
        <v>655</v>
      </c>
      <c r="BR2" s="3208">
        <v>13</v>
      </c>
      <c r="BW2" s="3209"/>
      <c r="BY2" s="3204" t="s">
        <v>655</v>
      </c>
      <c r="BZ2" s="3208">
        <v>14</v>
      </c>
      <c r="CE2" s="3209"/>
      <c r="CG2" s="3204" t="s">
        <v>655</v>
      </c>
      <c r="CH2" s="3208">
        <v>15</v>
      </c>
      <c r="CM2" s="3209"/>
      <c r="CO2" s="3204" t="s">
        <v>655</v>
      </c>
      <c r="CP2" s="3208">
        <v>16</v>
      </c>
      <c r="CU2" s="3209"/>
      <c r="CW2" s="3204" t="s">
        <v>655</v>
      </c>
      <c r="CX2" s="3208">
        <v>17</v>
      </c>
      <c r="DC2" s="3209"/>
      <c r="DE2" s="3204" t="s">
        <v>655</v>
      </c>
      <c r="DF2" s="3208">
        <v>18</v>
      </c>
      <c r="DK2" s="3209"/>
      <c r="DM2" s="3204" t="s">
        <v>655</v>
      </c>
      <c r="DN2" s="3208">
        <v>19</v>
      </c>
      <c r="DS2" s="3209"/>
      <c r="DU2" s="3204" t="s">
        <v>655</v>
      </c>
      <c r="DV2" s="3208">
        <v>20</v>
      </c>
      <c r="EA2" s="3209"/>
      <c r="EC2" s="3204" t="s">
        <v>655</v>
      </c>
      <c r="ED2" s="3208">
        <v>21</v>
      </c>
      <c r="EI2" s="3209"/>
      <c r="EK2" s="3204" t="s">
        <v>655</v>
      </c>
      <c r="EL2" s="3208">
        <v>22</v>
      </c>
      <c r="EQ2" s="3209"/>
      <c r="ES2" s="3204" t="s">
        <v>655</v>
      </c>
      <c r="ET2" s="3208">
        <v>23</v>
      </c>
      <c r="EY2" s="3209"/>
      <c r="FA2" s="3204" t="s">
        <v>655</v>
      </c>
      <c r="FB2" s="3208">
        <v>24</v>
      </c>
      <c r="FG2" s="3209"/>
      <c r="FI2" s="3204" t="s">
        <v>655</v>
      </c>
      <c r="FJ2" s="3208">
        <v>25</v>
      </c>
      <c r="FO2" s="3209"/>
    </row>
    <row r="3" spans="1:171">
      <c r="A3" s="3452"/>
      <c r="F3" s="589" t="s">
        <v>607</v>
      </c>
      <c r="J3" s="3453"/>
      <c r="K3" s="3205"/>
      <c r="L3" s="504"/>
      <c r="O3" s="3210" t="str">
        <f ca="1">IF(OFFSET('New Resources - Group'!$A$1,1,N2-1)&lt;&gt;"",OFFSET('New Resources - Group'!$A$1,3,N2-1),"")</f>
        <v/>
      </c>
      <c r="S3" s="3205"/>
      <c r="T3" s="504"/>
      <c r="W3" s="3210" t="str">
        <f ca="1">IF(OFFSET('New Resources - Group'!$A$1,1,V2-1)&lt;&gt;"",OFFSET('New Resources - Group'!$A$1,3,V2-1),"")</f>
        <v/>
      </c>
      <c r="AA3" s="3205"/>
      <c r="AB3" s="504"/>
      <c r="AE3" s="3210" t="str">
        <f ca="1">IF(OFFSET('New Resources - Group'!$A$1,1,AD2-1)&lt;&gt;"",OFFSET('New Resources - Group'!$A$1,3,AD2-1),"")</f>
        <v/>
      </c>
      <c r="AI3" s="3205"/>
      <c r="AJ3" s="504"/>
      <c r="AM3" s="3210" t="str">
        <f ca="1">IF(OFFSET('New Resources - Group'!$A$1,1,AL2-1)&lt;&gt;"",OFFSET('New Resources - Group'!$A$1,3,AL2-1),"")</f>
        <v/>
      </c>
      <c r="AQ3" s="3205"/>
      <c r="AR3" s="504"/>
      <c r="AU3" s="3210" t="str">
        <f ca="1">IF(OFFSET('New Resources - Group'!$A$1,1,AT2-1)&lt;&gt;"",OFFSET('New Resources - Group'!$A$1,3,AT2-1),"")</f>
        <v/>
      </c>
      <c r="AY3" s="3205"/>
      <c r="AZ3" s="504"/>
      <c r="BC3" s="3210" t="str">
        <f ca="1">IF(OFFSET('New Resources - Group'!$A$1,1,BB2-1)&lt;&gt;"",OFFSET('New Resources - Group'!$A$1,3,BB2-1),"")</f>
        <v/>
      </c>
      <c r="BG3" s="3205"/>
      <c r="BH3" s="504"/>
      <c r="BK3" s="3210" t="str">
        <f ca="1">IF(OFFSET('New Resources - Group'!$A$1,1,BJ2-1)&lt;&gt;"",OFFSET('New Resources - Group'!$A$1,3,BJ2-1),"")</f>
        <v/>
      </c>
      <c r="BO3" s="3205"/>
      <c r="BP3" s="504"/>
      <c r="BS3" s="3210" t="str">
        <f ca="1">IF(OFFSET('New Resources - Group'!$A$1,1,BR2-1)&lt;&gt;"",OFFSET('New Resources - Group'!$A$1,3,BR2-1),"")</f>
        <v/>
      </c>
      <c r="BW3" s="3205"/>
      <c r="BX3" s="504"/>
      <c r="CA3" s="3210" t="str">
        <f ca="1">IF(OFFSET('New Resources - Group'!$A$1,1,BZ2-1)&lt;&gt;"",OFFSET('New Resources - Group'!$A$1,3,BZ2-1),"")</f>
        <v/>
      </c>
      <c r="CE3" s="3205"/>
      <c r="CF3" s="504"/>
      <c r="CI3" s="3210" t="str">
        <f ca="1">IF(OFFSET('New Resources - Group'!$A$1,1,CH2-1)&lt;&gt;"",OFFSET('New Resources - Group'!$A$1,3,CH2-1),"")</f>
        <v/>
      </c>
      <c r="CM3" s="3205"/>
      <c r="CN3" s="504"/>
      <c r="CQ3" s="3210" t="str">
        <f ca="1">IF(OFFSET('New Resources - Group'!$A$1,1,CP2-1)&lt;&gt;"",OFFSET('New Resources - Group'!$A$1,3,CP2-1),"")</f>
        <v/>
      </c>
      <c r="CU3" s="3205"/>
      <c r="CV3" s="504"/>
      <c r="CY3" s="3210" t="str">
        <f ca="1">IF(OFFSET('New Resources - Group'!$A$1,1,CX2-1)&lt;&gt;"",OFFSET('New Resources - Group'!$A$1,3,CX2-1),"")</f>
        <v/>
      </c>
      <c r="DC3" s="3205"/>
      <c r="DD3" s="504"/>
      <c r="DG3" s="3210" t="str">
        <f ca="1">IF(OFFSET('New Resources - Group'!$A$1,1,DF2-1)&lt;&gt;"",OFFSET('New Resources - Group'!$A$1,3,DF2-1),"")</f>
        <v/>
      </c>
      <c r="DK3" s="3205"/>
      <c r="DL3" s="504"/>
      <c r="DO3" s="3210" t="str">
        <f ca="1">IF(OFFSET('New Resources - Group'!$A$1,1,DN2-1)&lt;&gt;"",OFFSET('New Resources - Group'!$A$1,3,DN2-1),"")</f>
        <v/>
      </c>
      <c r="DS3" s="3205"/>
      <c r="DT3" s="504"/>
      <c r="DW3" s="3210" t="str">
        <f ca="1">IF(OFFSET('New Resources - Group'!$A$1,1,DV2-1)&lt;&gt;"",OFFSET('New Resources - Group'!$A$1,3,DV2-1),"")</f>
        <v/>
      </c>
      <c r="EA3" s="3205"/>
      <c r="EB3" s="504"/>
      <c r="EE3" s="3210" t="str">
        <f ca="1">IF(OFFSET('New Resources - Group'!$A$1,1,ED2-1)&lt;&gt;"",OFFSET('New Resources - Group'!$A$1,3,ED2-1),"")</f>
        <v/>
      </c>
      <c r="EI3" s="3205"/>
      <c r="EJ3" s="504"/>
      <c r="EM3" s="3210" t="str">
        <f ca="1">IF(OFFSET('New Resources - Group'!$A$1,1,EL2-1)&lt;&gt;"",OFFSET('New Resources - Group'!$A$1,3,EL2-1),"")</f>
        <v/>
      </c>
      <c r="EQ3" s="3205"/>
      <c r="ER3" s="504"/>
      <c r="EU3" s="3210" t="str">
        <f ca="1">IF(OFFSET('New Resources - Group'!$A$1,1,ET2-1)&lt;&gt;"",OFFSET('New Resources - Group'!$A$1,3,ET2-1),"")</f>
        <v/>
      </c>
      <c r="EY3" s="3205"/>
      <c r="EZ3" s="504"/>
      <c r="FC3" s="3210" t="str">
        <f ca="1">IF(OFFSET('New Resources - Group'!$A$1,1,FB2-1)&lt;&gt;"",OFFSET('New Resources - Group'!$A$1,3,FB2-1),"")</f>
        <v/>
      </c>
      <c r="FG3" s="3205"/>
      <c r="FH3" s="504"/>
      <c r="FK3" s="3210" t="str">
        <f ca="1">IF(OFFSET('New Resources - Group'!$A$1,1,FJ2-1)&lt;&gt;"",OFFSET('New Resources - Group'!$A$1,3,FJ2-1),"")</f>
        <v/>
      </c>
      <c r="FO3" s="3205"/>
    </row>
    <row r="4" spans="1:171" ht="12" thickBot="1">
      <c r="A4" s="2138"/>
      <c r="B4" s="2449"/>
      <c r="C4" s="2292"/>
      <c r="D4" s="2292"/>
      <c r="E4" s="2689"/>
      <c r="J4" s="3453"/>
      <c r="K4" s="3205"/>
      <c r="M4" s="504"/>
      <c r="N4" s="504" t="s">
        <v>656</v>
      </c>
      <c r="O4" s="504" t="s">
        <v>104</v>
      </c>
      <c r="P4" s="504" t="s">
        <v>105</v>
      </c>
      <c r="Q4" s="504" t="s">
        <v>106</v>
      </c>
      <c r="R4" s="504" t="s">
        <v>511</v>
      </c>
      <c r="S4" s="3205"/>
      <c r="U4" s="504"/>
      <c r="V4" s="504" t="s">
        <v>656</v>
      </c>
      <c r="W4" s="504" t="s">
        <v>104</v>
      </c>
      <c r="X4" s="504" t="s">
        <v>105</v>
      </c>
      <c r="Y4" s="504" t="s">
        <v>106</v>
      </c>
      <c r="Z4" s="504" t="s">
        <v>511</v>
      </c>
      <c r="AA4" s="3205"/>
      <c r="AC4" s="504"/>
      <c r="AD4" s="504" t="s">
        <v>656</v>
      </c>
      <c r="AE4" s="504" t="s">
        <v>104</v>
      </c>
      <c r="AF4" s="504" t="s">
        <v>105</v>
      </c>
      <c r="AG4" s="504" t="s">
        <v>106</v>
      </c>
      <c r="AH4" s="504" t="s">
        <v>511</v>
      </c>
      <c r="AI4" s="3205"/>
      <c r="AK4" s="504"/>
      <c r="AL4" s="504" t="s">
        <v>656</v>
      </c>
      <c r="AM4" s="504" t="s">
        <v>104</v>
      </c>
      <c r="AN4" s="504" t="s">
        <v>105</v>
      </c>
      <c r="AO4" s="504" t="s">
        <v>106</v>
      </c>
      <c r="AP4" s="504" t="s">
        <v>511</v>
      </c>
      <c r="AQ4" s="3205"/>
      <c r="AS4" s="504"/>
      <c r="AT4" s="504" t="s">
        <v>656</v>
      </c>
      <c r="AU4" s="504" t="s">
        <v>104</v>
      </c>
      <c r="AV4" s="504" t="s">
        <v>105</v>
      </c>
      <c r="AW4" s="504" t="s">
        <v>106</v>
      </c>
      <c r="AX4" s="504" t="s">
        <v>511</v>
      </c>
      <c r="AY4" s="3205"/>
      <c r="BA4" s="504"/>
      <c r="BB4" s="504" t="s">
        <v>656</v>
      </c>
      <c r="BC4" s="504" t="s">
        <v>104</v>
      </c>
      <c r="BD4" s="504" t="s">
        <v>105</v>
      </c>
      <c r="BE4" s="504" t="s">
        <v>106</v>
      </c>
      <c r="BF4" s="504" t="s">
        <v>511</v>
      </c>
      <c r="BG4" s="3205"/>
      <c r="BI4" s="504"/>
      <c r="BJ4" s="504" t="s">
        <v>656</v>
      </c>
      <c r="BK4" s="504" t="s">
        <v>104</v>
      </c>
      <c r="BL4" s="504" t="s">
        <v>105</v>
      </c>
      <c r="BM4" s="504" t="s">
        <v>106</v>
      </c>
      <c r="BN4" s="504" t="s">
        <v>511</v>
      </c>
      <c r="BO4" s="3205"/>
      <c r="BQ4" s="504"/>
      <c r="BR4" s="504" t="s">
        <v>656</v>
      </c>
      <c r="BS4" s="504" t="s">
        <v>104</v>
      </c>
      <c r="BT4" s="504" t="s">
        <v>105</v>
      </c>
      <c r="BU4" s="504" t="s">
        <v>106</v>
      </c>
      <c r="BV4" s="504" t="s">
        <v>511</v>
      </c>
      <c r="BW4" s="3205"/>
      <c r="BY4" s="504"/>
      <c r="BZ4" s="504" t="s">
        <v>656</v>
      </c>
      <c r="CA4" s="504" t="s">
        <v>104</v>
      </c>
      <c r="CB4" s="504" t="s">
        <v>105</v>
      </c>
      <c r="CC4" s="504" t="s">
        <v>106</v>
      </c>
      <c r="CD4" s="504" t="s">
        <v>511</v>
      </c>
      <c r="CE4" s="3205"/>
      <c r="CG4" s="504"/>
      <c r="CH4" s="504" t="s">
        <v>656</v>
      </c>
      <c r="CI4" s="504" t="s">
        <v>104</v>
      </c>
      <c r="CJ4" s="504" t="s">
        <v>105</v>
      </c>
      <c r="CK4" s="504" t="s">
        <v>106</v>
      </c>
      <c r="CL4" s="504" t="s">
        <v>511</v>
      </c>
      <c r="CM4" s="3205"/>
      <c r="CO4" s="504"/>
      <c r="CP4" s="504" t="s">
        <v>656</v>
      </c>
      <c r="CQ4" s="504" t="s">
        <v>104</v>
      </c>
      <c r="CR4" s="504" t="s">
        <v>105</v>
      </c>
      <c r="CS4" s="504" t="s">
        <v>106</v>
      </c>
      <c r="CT4" s="504" t="s">
        <v>511</v>
      </c>
      <c r="CU4" s="3205"/>
      <c r="CW4" s="504"/>
      <c r="CX4" s="504" t="s">
        <v>656</v>
      </c>
      <c r="CY4" s="504" t="s">
        <v>104</v>
      </c>
      <c r="CZ4" s="504" t="s">
        <v>105</v>
      </c>
      <c r="DA4" s="504" t="s">
        <v>106</v>
      </c>
      <c r="DB4" s="504" t="s">
        <v>511</v>
      </c>
      <c r="DC4" s="3205"/>
      <c r="DE4" s="504"/>
      <c r="DF4" s="504" t="s">
        <v>656</v>
      </c>
      <c r="DG4" s="504" t="s">
        <v>104</v>
      </c>
      <c r="DH4" s="504" t="s">
        <v>105</v>
      </c>
      <c r="DI4" s="504" t="s">
        <v>106</v>
      </c>
      <c r="DJ4" s="504" t="s">
        <v>511</v>
      </c>
      <c r="DK4" s="3205"/>
      <c r="DM4" s="504"/>
      <c r="DN4" s="504" t="s">
        <v>656</v>
      </c>
      <c r="DO4" s="504" t="s">
        <v>104</v>
      </c>
      <c r="DP4" s="504" t="s">
        <v>105</v>
      </c>
      <c r="DQ4" s="504" t="s">
        <v>106</v>
      </c>
      <c r="DR4" s="504" t="s">
        <v>511</v>
      </c>
      <c r="DS4" s="3205"/>
      <c r="DU4" s="504"/>
      <c r="DV4" s="504" t="s">
        <v>656</v>
      </c>
      <c r="DW4" s="504" t="s">
        <v>104</v>
      </c>
      <c r="DX4" s="504" t="s">
        <v>105</v>
      </c>
      <c r="DY4" s="504" t="s">
        <v>106</v>
      </c>
      <c r="DZ4" s="504" t="s">
        <v>511</v>
      </c>
      <c r="EA4" s="3205"/>
      <c r="EC4" s="504"/>
      <c r="ED4" s="504" t="s">
        <v>656</v>
      </c>
      <c r="EE4" s="504" t="s">
        <v>104</v>
      </c>
      <c r="EF4" s="504" t="s">
        <v>105</v>
      </c>
      <c r="EG4" s="504" t="s">
        <v>106</v>
      </c>
      <c r="EH4" s="504" t="s">
        <v>511</v>
      </c>
      <c r="EI4" s="3205"/>
      <c r="EK4" s="504"/>
      <c r="EL4" s="504" t="s">
        <v>656</v>
      </c>
      <c r="EM4" s="504" t="s">
        <v>104</v>
      </c>
      <c r="EN4" s="504" t="s">
        <v>105</v>
      </c>
      <c r="EO4" s="504" t="s">
        <v>106</v>
      </c>
      <c r="EP4" s="504" t="s">
        <v>511</v>
      </c>
      <c r="EQ4" s="3205"/>
      <c r="ES4" s="504"/>
      <c r="ET4" s="504" t="s">
        <v>656</v>
      </c>
      <c r="EU4" s="504" t="s">
        <v>104</v>
      </c>
      <c r="EV4" s="504" t="s">
        <v>105</v>
      </c>
      <c r="EW4" s="504" t="s">
        <v>106</v>
      </c>
      <c r="EX4" s="504" t="s">
        <v>511</v>
      </c>
      <c r="EY4" s="3205"/>
      <c r="FA4" s="504"/>
      <c r="FB4" s="504" t="s">
        <v>656</v>
      </c>
      <c r="FC4" s="504" t="s">
        <v>104</v>
      </c>
      <c r="FD4" s="504" t="s">
        <v>105</v>
      </c>
      <c r="FE4" s="504" t="s">
        <v>106</v>
      </c>
      <c r="FF4" s="504" t="s">
        <v>511</v>
      </c>
      <c r="FG4" s="3205"/>
      <c r="FI4" s="504"/>
      <c r="FJ4" s="504" t="s">
        <v>656</v>
      </c>
      <c r="FK4" s="504" t="s">
        <v>104</v>
      </c>
      <c r="FL4" s="504" t="s">
        <v>105</v>
      </c>
      <c r="FM4" s="504" t="s">
        <v>106</v>
      </c>
      <c r="FN4" s="504" t="s">
        <v>511</v>
      </c>
      <c r="FO4" s="3205"/>
    </row>
    <row r="5" spans="1:171">
      <c r="A5" s="3075" t="s">
        <v>685</v>
      </c>
      <c r="B5" s="2297" t="s">
        <v>571</v>
      </c>
      <c r="C5" s="3777" t="str">
        <f>'Sch 1- Rate Base '!E5</f>
        <v>PUGET SOUND ENERGY</v>
      </c>
      <c r="D5" s="3778"/>
      <c r="E5" s="3798"/>
      <c r="G5" s="3214"/>
      <c r="H5" s="3214"/>
      <c r="I5" s="3214"/>
      <c r="J5" s="3454"/>
      <c r="K5" s="3205"/>
      <c r="S5" s="3205"/>
      <c r="AA5" s="3205"/>
      <c r="AI5" s="3205"/>
      <c r="AQ5" s="3205"/>
      <c r="AY5" s="3205"/>
      <c r="BG5" s="3205"/>
      <c r="BO5" s="3205"/>
      <c r="BW5" s="3205"/>
      <c r="CE5" s="3205"/>
      <c r="CM5" s="3205"/>
      <c r="CU5" s="3205"/>
      <c r="DC5" s="3205"/>
      <c r="DK5" s="3205"/>
      <c r="DS5" s="3205"/>
      <c r="EA5" s="3205"/>
      <c r="EI5" s="3205"/>
      <c r="EQ5" s="3205"/>
      <c r="EY5" s="3205"/>
      <c r="FG5" s="3205"/>
      <c r="FO5" s="3205"/>
    </row>
    <row r="6" spans="1:171">
      <c r="A6" s="3076" t="s">
        <v>686</v>
      </c>
      <c r="B6" s="2297" t="s">
        <v>572</v>
      </c>
      <c r="C6" s="3779">
        <f>'Sch 1- Rate Base '!E6</f>
        <v>2023</v>
      </c>
      <c r="D6" s="3780"/>
      <c r="E6" s="3799"/>
      <c r="G6" s="3214"/>
      <c r="H6" s="3214"/>
      <c r="I6" s="3214"/>
      <c r="J6" s="3454"/>
      <c r="K6" s="3205"/>
      <c r="S6" s="3205"/>
      <c r="AA6" s="3205"/>
      <c r="AI6" s="3205"/>
      <c r="AQ6" s="3205"/>
      <c r="AY6" s="3205"/>
      <c r="BG6" s="3205"/>
      <c r="BO6" s="3205"/>
      <c r="BW6" s="3205"/>
      <c r="CE6" s="3205"/>
      <c r="CM6" s="3205"/>
      <c r="CU6" s="3205"/>
      <c r="DC6" s="3205"/>
      <c r="DK6" s="3205"/>
      <c r="DS6" s="3205"/>
      <c r="EA6" s="3205"/>
      <c r="EI6" s="3205"/>
      <c r="EQ6" s="3205"/>
      <c r="EY6" s="3205"/>
      <c r="FG6" s="3205"/>
      <c r="FO6" s="3205"/>
    </row>
    <row r="7" spans="1:171" ht="12" thickBot="1">
      <c r="A7" s="3452"/>
      <c r="B7" s="2297" t="s">
        <v>573</v>
      </c>
      <c r="C7" s="3781">
        <f>'Sch 1- Rate Base '!E7</f>
        <v>45474</v>
      </c>
      <c r="D7" s="3791"/>
      <c r="E7" s="3792"/>
      <c r="G7" s="3214"/>
      <c r="H7" s="3214"/>
      <c r="I7" s="3214"/>
      <c r="J7" s="3454"/>
      <c r="K7" s="3205"/>
      <c r="S7" s="3205"/>
      <c r="AA7" s="3205"/>
      <c r="AI7" s="3205"/>
      <c r="AQ7" s="3205"/>
      <c r="AY7" s="3205"/>
      <c r="BG7" s="3205"/>
      <c r="BO7" s="3205"/>
      <c r="BW7" s="3205"/>
      <c r="CE7" s="3205"/>
      <c r="CM7" s="3205"/>
      <c r="CU7" s="3205"/>
      <c r="DC7" s="3205"/>
      <c r="DK7" s="3205"/>
      <c r="DS7" s="3205"/>
      <c r="EA7" s="3205"/>
      <c r="EI7" s="3205"/>
      <c r="EQ7" s="3205"/>
      <c r="EY7" s="3205"/>
      <c r="FG7" s="3205"/>
      <c r="FO7" s="3205"/>
    </row>
    <row r="8" spans="1:171">
      <c r="A8" s="3452"/>
      <c r="B8" s="2449"/>
      <c r="C8" s="2292"/>
      <c r="D8" s="2292"/>
      <c r="E8" s="2689"/>
      <c r="G8" s="3214"/>
      <c r="H8" s="3214"/>
      <c r="I8" s="3214"/>
      <c r="J8" s="3454"/>
      <c r="K8" s="3205"/>
      <c r="S8" s="3205"/>
      <c r="AA8" s="3205"/>
      <c r="AI8" s="3205"/>
      <c r="AQ8" s="3205"/>
      <c r="AY8" s="3205"/>
      <c r="BG8" s="3205"/>
      <c r="BO8" s="3205"/>
      <c r="BW8" s="3205"/>
      <c r="CE8" s="3205"/>
      <c r="CM8" s="3205"/>
      <c r="CU8" s="3205"/>
      <c r="DC8" s="3205"/>
      <c r="DK8" s="3205"/>
      <c r="DS8" s="3205"/>
      <c r="EA8" s="3205"/>
      <c r="EI8" s="3205"/>
      <c r="EQ8" s="3205"/>
      <c r="EY8" s="3205"/>
      <c r="FG8" s="3205"/>
      <c r="FO8" s="3205"/>
    </row>
    <row r="9" spans="1:171">
      <c r="A9" s="3452">
        <v>1</v>
      </c>
      <c r="B9" s="493">
        <v>2</v>
      </c>
      <c r="C9" s="493">
        <v>3</v>
      </c>
      <c r="D9" s="493">
        <v>4</v>
      </c>
      <c r="E9" s="493">
        <v>5</v>
      </c>
      <c r="F9" s="493">
        <v>6</v>
      </c>
      <c r="G9" s="3214"/>
      <c r="H9" s="3214"/>
      <c r="I9" s="3214"/>
      <c r="J9" s="3454"/>
      <c r="K9" s="3205"/>
      <c r="S9" s="3205"/>
      <c r="AA9" s="3205"/>
      <c r="AI9" s="3205"/>
      <c r="AQ9" s="3205"/>
      <c r="AY9" s="3205"/>
      <c r="BG9" s="3205"/>
      <c r="BO9" s="3205"/>
      <c r="BW9" s="3205"/>
      <c r="CE9" s="3205"/>
      <c r="CM9" s="3205"/>
      <c r="CU9" s="3205"/>
      <c r="DC9" s="3205"/>
      <c r="DK9" s="3205"/>
      <c r="DS9" s="3205"/>
      <c r="EA9" s="3205"/>
      <c r="EI9" s="3205"/>
      <c r="EQ9" s="3205"/>
      <c r="EY9" s="3205"/>
      <c r="FG9" s="3205"/>
      <c r="FO9" s="3205"/>
    </row>
    <row r="10" spans="1:171">
      <c r="A10" s="3452"/>
      <c r="G10" s="3214"/>
      <c r="H10" s="3214"/>
      <c r="I10" s="3214"/>
      <c r="J10" s="3454"/>
      <c r="K10" s="3205"/>
      <c r="S10" s="3205"/>
      <c r="AA10" s="3205"/>
      <c r="AI10" s="3205"/>
      <c r="AQ10" s="3205"/>
      <c r="AY10" s="3205"/>
      <c r="BG10" s="3205"/>
      <c r="BO10" s="3205"/>
      <c r="BW10" s="3205"/>
      <c r="CE10" s="3205"/>
      <c r="CM10" s="3205"/>
      <c r="CU10" s="3205"/>
      <c r="DC10" s="3205"/>
      <c r="DK10" s="3205"/>
      <c r="DS10" s="3205"/>
      <c r="EA10" s="3205"/>
      <c r="EI10" s="3205"/>
      <c r="EQ10" s="3205"/>
      <c r="EY10" s="3205"/>
      <c r="FG10" s="3205"/>
      <c r="FO10" s="3205"/>
    </row>
    <row r="11" spans="1:171" ht="12" thickBot="1">
      <c r="A11" s="3455" t="s">
        <v>323</v>
      </c>
      <c r="B11" s="3223"/>
      <c r="C11" s="3223"/>
      <c r="D11" s="3223"/>
      <c r="E11" s="3224"/>
      <c r="F11" s="3224"/>
      <c r="G11" s="3225"/>
      <c r="H11" s="3225"/>
      <c r="I11" s="3225"/>
      <c r="J11" s="3456"/>
      <c r="K11" s="3205"/>
      <c r="S11" s="3205"/>
      <c r="AA11" s="3205"/>
      <c r="AI11" s="3205"/>
      <c r="AQ11" s="3205"/>
      <c r="AY11" s="3205"/>
      <c r="BG11" s="3205"/>
      <c r="BO11" s="3205"/>
      <c r="BW11" s="3205"/>
      <c r="CE11" s="3205"/>
      <c r="CM11" s="3205"/>
      <c r="CU11" s="3205"/>
      <c r="DC11" s="3205"/>
      <c r="DK11" s="3205"/>
      <c r="DS11" s="3205"/>
      <c r="EA11" s="3205"/>
      <c r="EI11" s="3205"/>
      <c r="EQ11" s="3205"/>
      <c r="EY11" s="3205"/>
      <c r="FG11" s="3205"/>
      <c r="FO11" s="3205"/>
    </row>
    <row r="12" spans="1:171" ht="12" thickBot="1">
      <c r="A12" s="3457"/>
      <c r="B12" s="3911" t="s">
        <v>100</v>
      </c>
      <c r="C12" s="2161" t="s">
        <v>274</v>
      </c>
      <c r="D12" s="2079"/>
      <c r="E12" s="3914" t="s">
        <v>608</v>
      </c>
      <c r="F12" s="3908"/>
      <c r="G12" s="3901" t="s">
        <v>104</v>
      </c>
      <c r="H12" s="3903" t="s">
        <v>105</v>
      </c>
      <c r="I12" s="3882" t="s">
        <v>106</v>
      </c>
      <c r="J12" s="3458"/>
      <c r="K12" s="3205"/>
      <c r="S12" s="3205"/>
      <c r="AA12" s="3205"/>
      <c r="AI12" s="3205"/>
      <c r="AQ12" s="3205"/>
      <c r="AY12" s="3205"/>
      <c r="BG12" s="3205"/>
      <c r="BO12" s="3205"/>
      <c r="BW12" s="3205"/>
      <c r="CE12" s="3205"/>
      <c r="CM12" s="3205"/>
      <c r="CU12" s="3205"/>
      <c r="DC12" s="3205"/>
      <c r="DK12" s="3205"/>
      <c r="DS12" s="3205"/>
      <c r="EA12" s="3205"/>
      <c r="EI12" s="3205"/>
      <c r="EQ12" s="3205"/>
      <c r="EY12" s="3205"/>
      <c r="FG12" s="3205"/>
      <c r="FO12" s="3205"/>
    </row>
    <row r="13" spans="1:171" ht="12" thickBot="1">
      <c r="A13" s="3459"/>
      <c r="B13" s="3912"/>
      <c r="C13" s="2164" t="s">
        <v>270</v>
      </c>
      <c r="D13" s="2164" t="s">
        <v>96</v>
      </c>
      <c r="E13" s="3894"/>
      <c r="F13" s="3895"/>
      <c r="G13" s="3897"/>
      <c r="H13" s="3886"/>
      <c r="I13" s="3883"/>
      <c r="J13" s="3460" t="s">
        <v>98</v>
      </c>
      <c r="K13" s="3205"/>
      <c r="S13" s="3205"/>
      <c r="AA13" s="3205"/>
      <c r="AI13" s="3205"/>
      <c r="AQ13" s="3205"/>
      <c r="AY13" s="3205"/>
      <c r="BG13" s="3205"/>
      <c r="BO13" s="3205"/>
      <c r="BW13" s="3205"/>
      <c r="CE13" s="3205"/>
      <c r="CM13" s="3205"/>
      <c r="CU13" s="3205"/>
      <c r="DC13" s="3205"/>
      <c r="DK13" s="3205"/>
      <c r="DS13" s="3205"/>
      <c r="EA13" s="3205"/>
      <c r="EI13" s="3205"/>
      <c r="EQ13" s="3205"/>
      <c r="EY13" s="3205"/>
      <c r="FG13" s="3205"/>
      <c r="FO13" s="3205"/>
    </row>
    <row r="14" spans="1:171" ht="12" thickBot="1">
      <c r="A14" s="3461"/>
      <c r="B14" s="3913"/>
      <c r="C14" s="2646" t="s">
        <v>271</v>
      </c>
      <c r="D14" s="2646" t="s">
        <v>250</v>
      </c>
      <c r="E14" s="2646" t="s">
        <v>449</v>
      </c>
      <c r="F14" s="2646" t="s">
        <v>609</v>
      </c>
      <c r="G14" s="3902"/>
      <c r="H14" s="3904"/>
      <c r="I14" s="3884"/>
      <c r="J14" s="3462" t="s">
        <v>107</v>
      </c>
      <c r="K14" s="3205"/>
      <c r="S14" s="3205"/>
      <c r="AA14" s="3205"/>
      <c r="AI14" s="3205"/>
      <c r="AQ14" s="3205"/>
      <c r="AY14" s="3205"/>
      <c r="BG14" s="3205"/>
      <c r="BO14" s="3205"/>
      <c r="BW14" s="3205"/>
      <c r="CE14" s="3205"/>
      <c r="CM14" s="3205"/>
      <c r="CU14" s="3205"/>
      <c r="DC14" s="3205"/>
      <c r="DK14" s="3205"/>
      <c r="DS14" s="3205"/>
      <c r="EA14" s="3205"/>
      <c r="EI14" s="3205"/>
      <c r="EQ14" s="3205"/>
      <c r="EY14" s="3205"/>
      <c r="FG14" s="3205"/>
      <c r="FO14" s="3205"/>
    </row>
    <row r="15" spans="1:171">
      <c r="A15" s="2102" t="s">
        <v>472</v>
      </c>
      <c r="B15" s="2184"/>
      <c r="C15" s="2116"/>
      <c r="D15" s="2116"/>
      <c r="J15" s="3453"/>
      <c r="K15" s="3205"/>
      <c r="S15" s="3205"/>
      <c r="AA15" s="3205"/>
      <c r="AI15" s="3205"/>
      <c r="AQ15" s="3205"/>
      <c r="AY15" s="3205"/>
      <c r="BG15" s="3205"/>
      <c r="BO15" s="3205"/>
      <c r="BW15" s="3205"/>
      <c r="CE15" s="3205"/>
      <c r="CM15" s="3205"/>
      <c r="CU15" s="3205"/>
      <c r="DC15" s="3205"/>
      <c r="DK15" s="3205"/>
      <c r="DS15" s="3205"/>
      <c r="EA15" s="3205"/>
      <c r="EI15" s="3205"/>
      <c r="EQ15" s="3205"/>
      <c r="EY15" s="3205"/>
      <c r="FG15" s="3205"/>
      <c r="FO15" s="3205"/>
    </row>
    <row r="16" spans="1:171">
      <c r="A16" s="3463"/>
      <c r="B16" s="2103" t="s">
        <v>145</v>
      </c>
      <c r="C16" s="3233" t="s">
        <v>70</v>
      </c>
      <c r="D16" s="2464">
        <v>301</v>
      </c>
      <c r="E16" s="3464" t="str">
        <f>'Sch 1- Rate Base '!E16</f>
        <v>DIST</v>
      </c>
      <c r="F16" s="2171"/>
      <c r="G16" s="2424">
        <f>'Sch 1- Rate Base '!G16</f>
        <v>114202</v>
      </c>
      <c r="H16" s="2424">
        <f>'Sch 1- Rate Base '!H16</f>
        <v>0</v>
      </c>
      <c r="I16" s="2424">
        <f>'Sch 1- Rate Base '!I16</f>
        <v>0</v>
      </c>
      <c r="J16" s="3465">
        <f>'Sch 1- Rate Base '!J16</f>
        <v>114202</v>
      </c>
      <c r="K16" s="3205">
        <f>IF($E16="DIRECT",0,1)</f>
        <v>1</v>
      </c>
      <c r="O16" s="3235">
        <f>$G16</f>
        <v>114202</v>
      </c>
      <c r="P16" s="3236">
        <f>VLOOKUP($E16,O$442:R$453,2,FALSE)*O16*($K16)+IF($G16&gt;0,($H16/$G16)*O16,0)*(1-$K16)</f>
        <v>0</v>
      </c>
      <c r="Q16" s="3236">
        <f>VLOOKUP($E16,O$442:R$453,3,FALSE)*O16*($K16)+IF($G16&gt;0,($I16/$G16)*O16,0)*(1-$K16)</f>
        <v>0</v>
      </c>
      <c r="R16" s="3236">
        <f>VLOOKUP($E16,O$442:R$453,4,FALSE)*O16*($K16)+(O16-P16-Q16)*(1-$K16)</f>
        <v>114202</v>
      </c>
      <c r="S16" s="3237"/>
      <c r="W16" s="3235">
        <f>$G16</f>
        <v>114202</v>
      </c>
      <c r="X16" s="3236">
        <f>VLOOKUP($E16,W$442:Z$453,2,FALSE)*W16*($K16)+IF($G16&gt;0,($H16/$G16)*W16,0)*(1-$K16)</f>
        <v>0</v>
      </c>
      <c r="Y16" s="3236">
        <f>VLOOKUP($E16,W$442:Z$453,3,FALSE)*W16*($K16)+IF($G16&gt;0,($I16/$G16)*W16,0)*(1-$K16)</f>
        <v>0</v>
      </c>
      <c r="Z16" s="3236">
        <f>VLOOKUP($E16,W$442:Z$453,4,FALSE)*W16*($K16)+(W16-X16-Y16)*(1-$K16)</f>
        <v>114202</v>
      </c>
      <c r="AA16" s="3237"/>
      <c r="AE16" s="3235">
        <f>$G16</f>
        <v>114202</v>
      </c>
      <c r="AF16" s="3236">
        <f>VLOOKUP($E16,AE$442:AH$453,2,FALSE)*AE16*($K16)+IF($G16&gt;0,($H16/$G16)*AE16,0)*(1-$K16)</f>
        <v>0</v>
      </c>
      <c r="AG16" s="3236">
        <f>VLOOKUP($E16,AE$442:AH$453,3,FALSE)*AE16*($K16)+IF($G16&gt;0,($I16/$G16)*AE16,0)*(1-$K16)</f>
        <v>0</v>
      </c>
      <c r="AH16" s="3236">
        <f>VLOOKUP($E16,AE$442:AH$453,4,FALSE)*AE16*($K16)+(AE16-AF16-AG16)*(1-$K16)</f>
        <v>114202</v>
      </c>
      <c r="AI16" s="3237"/>
      <c r="AM16" s="3235">
        <f>$G16</f>
        <v>114202</v>
      </c>
      <c r="AN16" s="3236">
        <f>VLOOKUP($E16,AM$442:AP$453,2,FALSE)*AM16*($K16)+IF($G16&gt;0,($H16/$G16)*AM16,0)*(1-$K16)</f>
        <v>0</v>
      </c>
      <c r="AO16" s="3236">
        <f>VLOOKUP($E16,AM$442:AP$453,3,FALSE)*AM16*($K16)+IF($G16&gt;0,($I16/$G16)*AM16,0)*(1-$K16)</f>
        <v>0</v>
      </c>
      <c r="AP16" s="3236">
        <f>VLOOKUP($E16,AM$442:AP$453,4,FALSE)*AM16*($K16)+(AM16-AN16-AO16)*(1-$K16)</f>
        <v>114202</v>
      </c>
      <c r="AQ16" s="3237"/>
      <c r="AU16" s="3235">
        <f>$G16</f>
        <v>114202</v>
      </c>
      <c r="AV16" s="3236">
        <f>VLOOKUP($E16,AU$442:AX$453,2,FALSE)*AU16*($K16)+IF($G16&gt;0,($H16/$G16)*AU16,0)*(1-$K16)</f>
        <v>0</v>
      </c>
      <c r="AW16" s="3236">
        <f>VLOOKUP($E16,AU$442:AX$453,3,FALSE)*AU16*($K16)+IF($G16&gt;0,($I16/$G16)*AU16,0)*(1-$K16)</f>
        <v>0</v>
      </c>
      <c r="AX16" s="3236">
        <f>VLOOKUP($E16,AU$442:AX$453,4,FALSE)*AU16*($K16)+(AU16-AV16-AW16)*(1-$K16)</f>
        <v>114202</v>
      </c>
      <c r="AY16" s="3237"/>
      <c r="BC16" s="3235">
        <f>$G16</f>
        <v>114202</v>
      </c>
      <c r="BD16" s="3236">
        <f>VLOOKUP($E16,BC$442:BF$453,2,FALSE)*BC16*($K16)+IF($G16&gt;0,($H16/$G16)*BC16,0)*(1-$K16)</f>
        <v>0</v>
      </c>
      <c r="BE16" s="3236">
        <f>VLOOKUP($E16,BC$442:BF$453,3,FALSE)*BC16*($K16)+IF($G16&gt;0,($I16/$G16)*BC16,0)*(1-$K16)</f>
        <v>0</v>
      </c>
      <c r="BF16" s="3236">
        <f>VLOOKUP($E16,BC$442:BF$453,4,FALSE)*BC16*($K16)+(BC16-BD16-BE16)*(1-$K16)</f>
        <v>114202</v>
      </c>
      <c r="BG16" s="3237"/>
      <c r="BK16" s="3235">
        <f>$G16</f>
        <v>114202</v>
      </c>
      <c r="BL16" s="3236">
        <f>VLOOKUP($E16,BK$442:BN$453,2,FALSE)*BK16*($K16)+IF($G16&gt;0,($H16/$G16)*BK16,0)*(1-$K16)</f>
        <v>0</v>
      </c>
      <c r="BM16" s="3236">
        <f>VLOOKUP($E16,BK$442:BN$453,3,FALSE)*BK16*($K16)+IF($G16&gt;0,($I16/$G16)*BK16,0)*(1-$K16)</f>
        <v>0</v>
      </c>
      <c r="BN16" s="3236">
        <f>VLOOKUP($E16,BK$442:BN$453,4,FALSE)*BK16*($K16)+(BK16-BL16-BM16)*(1-$K16)</f>
        <v>114202</v>
      </c>
      <c r="BO16" s="3237"/>
      <c r="BS16" s="3235">
        <f>$G16</f>
        <v>114202</v>
      </c>
      <c r="BT16" s="3236">
        <f>VLOOKUP($E16,BS$442:BV$453,2,FALSE)*BS16*($K16)+IF($G16&gt;0,($H16/$G16)*BS16,0)*(1-$K16)</f>
        <v>0</v>
      </c>
      <c r="BU16" s="3236">
        <f>VLOOKUP($E16,BS$442:BV$453,3,FALSE)*BS16*($K16)+IF($G16&gt;0,($I16/$G16)*BS16,0)*(1-$K16)</f>
        <v>0</v>
      </c>
      <c r="BV16" s="3236">
        <f>VLOOKUP($E16,BS$442:BV$453,4,FALSE)*BS16*($K16)+(BS16-BT16-BU16)*(1-$K16)</f>
        <v>114202</v>
      </c>
      <c r="BW16" s="3237"/>
      <c r="CA16" s="3235">
        <f>$G16</f>
        <v>114202</v>
      </c>
      <c r="CB16" s="3236">
        <f>VLOOKUP($E16,CA$442:CD$453,2,FALSE)*CA16*($K16)+IF($G16&gt;0,($H16/$G16)*CA16,0)*(1-$K16)</f>
        <v>0</v>
      </c>
      <c r="CC16" s="3236">
        <f>VLOOKUP($E16,CA$442:CD$453,3,FALSE)*CA16*($K16)+IF($G16&gt;0,($I16/$G16)*CA16,0)*(1-$K16)</f>
        <v>0</v>
      </c>
      <c r="CD16" s="3236">
        <f>VLOOKUP($E16,CA$442:CD$453,4,FALSE)*CA16*($K16)+(CA16-CB16-CC16)*(1-$K16)</f>
        <v>114202</v>
      </c>
      <c r="CE16" s="3237"/>
      <c r="CI16" s="3235">
        <f>$G16</f>
        <v>114202</v>
      </c>
      <c r="CJ16" s="3236">
        <f>VLOOKUP($E16,CI$442:CL$453,2,FALSE)*CI16*($K16)+IF($G16&gt;0,($H16/$G16)*CI16,0)*(1-$K16)</f>
        <v>0</v>
      </c>
      <c r="CK16" s="3236">
        <f>VLOOKUP($E16,CI$442:CL$453,3,FALSE)*CI16*($K16)+IF($G16&gt;0,($I16/$G16)*CI16,0)*(1-$K16)</f>
        <v>0</v>
      </c>
      <c r="CL16" s="3236">
        <f>VLOOKUP($E16,CI$442:CL$453,4,FALSE)*CI16*($K16)+(CI16-CJ16-CK16)*(1-$K16)</f>
        <v>114202</v>
      </c>
      <c r="CM16" s="3237"/>
      <c r="CQ16" s="3235">
        <f>$G16</f>
        <v>114202</v>
      </c>
      <c r="CR16" s="3236">
        <f>VLOOKUP($E16,CQ$442:CT$453,2,FALSE)*CQ16*($K16)+IF($G16&gt;0,($H16/$G16)*CQ16,0)*(1-$K16)</f>
        <v>0</v>
      </c>
      <c r="CS16" s="3236">
        <f>VLOOKUP($E16,CQ$442:CT$453,3,FALSE)*CQ16*($K16)+IF($G16&gt;0,($I16/$G16)*CQ16,0)*(1-$K16)</f>
        <v>0</v>
      </c>
      <c r="CT16" s="3236">
        <f>VLOOKUP($E16,CQ$442:CT$453,4,FALSE)*CQ16*($K16)+(CQ16-CR16-CS16)*(1-$K16)</f>
        <v>114202</v>
      </c>
      <c r="CU16" s="3237"/>
      <c r="CY16" s="3235">
        <f>$G16</f>
        <v>114202</v>
      </c>
      <c r="CZ16" s="3236">
        <f>VLOOKUP($E16,CY$442:DB$453,2,FALSE)*CY16*($K16)+IF($G16&gt;0,($H16/$G16)*CY16,0)*(1-$K16)</f>
        <v>0</v>
      </c>
      <c r="DA16" s="3236">
        <f>VLOOKUP($E16,CY$442:DB$453,3,FALSE)*CY16*($K16)+IF($G16&gt;0,($I16/$G16)*CY16,0)*(1-$K16)</f>
        <v>0</v>
      </c>
      <c r="DB16" s="3236">
        <f>VLOOKUP($E16,CY$442:DB$453,4,FALSE)*CY16*($K16)+(CY16-CZ16-DA16)*(1-$K16)</f>
        <v>114202</v>
      </c>
      <c r="DC16" s="3237"/>
      <c r="DG16" s="3235">
        <f>$G16</f>
        <v>114202</v>
      </c>
      <c r="DH16" s="3236">
        <f>VLOOKUP($E16,DG$442:DJ$453,2,FALSE)*DG16*($K16)+IF($G16&gt;0,($H16/$G16)*DG16,0)*(1-$K16)</f>
        <v>0</v>
      </c>
      <c r="DI16" s="3236">
        <f>VLOOKUP($E16,DG$442:DJ$453,3,FALSE)*DG16*($K16)+IF($G16&gt;0,($I16/$G16)*DG16,0)*(1-$K16)</f>
        <v>0</v>
      </c>
      <c r="DJ16" s="3236">
        <f>VLOOKUP($E16,DG$442:DJ$453,4,FALSE)*DG16*($K16)+(DG16-DH16-DI16)*(1-$K16)</f>
        <v>114202</v>
      </c>
      <c r="DK16" s="3237"/>
      <c r="DO16" s="3235">
        <f>$G16</f>
        <v>114202</v>
      </c>
      <c r="DP16" s="3236">
        <f>VLOOKUP($E16,DO$442:DR$453,2,FALSE)*DO16*($K16)+IF($G16&gt;0,($H16/$G16)*DO16,0)*(1-$K16)</f>
        <v>0</v>
      </c>
      <c r="DQ16" s="3236">
        <f>VLOOKUP($E16,DO$442:DR$453,3,FALSE)*DO16*($K16)+IF($G16&gt;0,($I16/$G16)*DO16,0)*(1-$K16)</f>
        <v>0</v>
      </c>
      <c r="DR16" s="3236">
        <f>VLOOKUP($E16,DO$442:DR$453,4,FALSE)*DO16*($K16)+(DO16-DP16-DQ16)*(1-$K16)</f>
        <v>114202</v>
      </c>
      <c r="DS16" s="3237"/>
      <c r="DW16" s="3235">
        <f>$G16</f>
        <v>114202</v>
      </c>
      <c r="DX16" s="3236">
        <f>VLOOKUP($E16,DW$442:DZ$453,2,FALSE)*DW16*($K16)+IF($G16&gt;0,($H16/$G16)*DW16,0)*(1-$K16)</f>
        <v>0</v>
      </c>
      <c r="DY16" s="3236">
        <f>VLOOKUP($E16,DW$442:DZ$453,3,FALSE)*DW16*($K16)+IF($G16&gt;0,($I16/$G16)*DW16,0)*(1-$K16)</f>
        <v>0</v>
      </c>
      <c r="DZ16" s="3236">
        <f>VLOOKUP($E16,DW$442:DZ$453,4,FALSE)*DW16*($K16)+(DW16-DX16-DY16)*(1-$K16)</f>
        <v>114202</v>
      </c>
      <c r="EA16" s="3237"/>
      <c r="EE16" s="3235">
        <f>$G16</f>
        <v>114202</v>
      </c>
      <c r="EF16" s="3236">
        <f>VLOOKUP($E16,EE$442:EH$453,2,FALSE)*EE16*($K16)+IF($G16&gt;0,($H16/$G16)*EE16,0)*(1-$K16)</f>
        <v>0</v>
      </c>
      <c r="EG16" s="3236">
        <f>VLOOKUP($E16,EE$442:EH$453,3,FALSE)*EE16*($K16)+IF($G16&gt;0,($I16/$G16)*EE16,0)*(1-$K16)</f>
        <v>0</v>
      </c>
      <c r="EH16" s="3236">
        <f>VLOOKUP($E16,EE$442:EH$453,4,FALSE)*EE16*($K16)+(EE16-EF16-EG16)*(1-$K16)</f>
        <v>114202</v>
      </c>
      <c r="EI16" s="3237"/>
      <c r="EM16" s="3235">
        <f>$G16</f>
        <v>114202</v>
      </c>
      <c r="EN16" s="3236">
        <f>VLOOKUP($E16,EM$442:EP$453,2,FALSE)*EM16*($K16)+IF($G16&gt;0,($H16/$G16)*EM16,0)*(1-$K16)</f>
        <v>0</v>
      </c>
      <c r="EO16" s="3236">
        <f>VLOOKUP($E16,EM$442:EP$453,3,FALSE)*EM16*($K16)+IF($G16&gt;0,($I16/$G16)*EM16,0)*(1-$K16)</f>
        <v>0</v>
      </c>
      <c r="EP16" s="3236">
        <f>VLOOKUP($E16,EM$442:EP$453,4,FALSE)*EM16*($K16)+(EM16-EN16-EO16)*(1-$K16)</f>
        <v>114202</v>
      </c>
      <c r="EQ16" s="3237"/>
      <c r="EU16" s="3235">
        <f>$G16</f>
        <v>114202</v>
      </c>
      <c r="EV16" s="3236">
        <f>VLOOKUP($E16,EU$442:EX$453,2,FALSE)*EU16*($K16)+IF($G16&gt;0,($H16/$G16)*EU16,0)*(1-$K16)</f>
        <v>0</v>
      </c>
      <c r="EW16" s="3236">
        <f>VLOOKUP($E16,EU$442:EX$453,3,FALSE)*EU16*($K16)+IF($G16&gt;0,($I16/$G16)*EU16,0)*(1-$K16)</f>
        <v>0</v>
      </c>
      <c r="EX16" s="3236">
        <f>VLOOKUP($E16,EU$442:EX$453,4,FALSE)*EU16*($K16)+(EU16-EV16-EW16)*(1-$K16)</f>
        <v>114202</v>
      </c>
      <c r="EY16" s="3237"/>
      <c r="FC16" s="3235">
        <f>$G16</f>
        <v>114202</v>
      </c>
      <c r="FD16" s="3236">
        <f>VLOOKUP($E16,FC$442:FF$453,2,FALSE)*FC16*($K16)+IF($G16&gt;0,($H16/$G16)*FC16,0)*(1-$K16)</f>
        <v>0</v>
      </c>
      <c r="FE16" s="3236">
        <f>VLOOKUP($E16,FC$442:FF$453,3,FALSE)*FC16*($K16)+IF($G16&gt;0,($I16/$G16)*FC16,0)*(1-$K16)</f>
        <v>0</v>
      </c>
      <c r="FF16" s="3236">
        <f>VLOOKUP($E16,FC$442:FF$453,4,FALSE)*FC16*($K16)+(FC16-FD16-FE16)*(1-$K16)</f>
        <v>114202</v>
      </c>
      <c r="FG16" s="3237"/>
      <c r="FK16" s="3235">
        <f>$G16</f>
        <v>114202</v>
      </c>
      <c r="FL16" s="3236">
        <f>VLOOKUP($E16,FK$442:FN$453,2,FALSE)*FK16*($K16)+IF($G16&gt;0,($H16/$G16)*FK16,0)*(1-$K16)</f>
        <v>0</v>
      </c>
      <c r="FM16" s="3236">
        <f>VLOOKUP($E16,FK$442:FN$453,3,FALSE)*FK16*($K16)+IF($G16&gt;0,($I16/$G16)*FK16,0)*(1-$K16)</f>
        <v>0</v>
      </c>
      <c r="FN16" s="3236">
        <f>VLOOKUP($E16,FK$442:FN$453,4,FALSE)*FK16*($K16)+(FK16-FL16-FM16)*(1-$K16)</f>
        <v>114202</v>
      </c>
      <c r="FO16" s="3237"/>
    </row>
    <row r="17" spans="1:171">
      <c r="A17" s="3463"/>
      <c r="B17" s="2103" t="s">
        <v>146</v>
      </c>
      <c r="C17" s="3233" t="s">
        <v>70</v>
      </c>
      <c r="D17" s="2464">
        <v>302</v>
      </c>
      <c r="E17" s="3464" t="str">
        <f>'Sch 1- Rate Base '!E17</f>
        <v>DIRECT</v>
      </c>
      <c r="F17" s="2171"/>
      <c r="G17" s="2424">
        <f>'Sch 1- Rate Base '!G17</f>
        <v>80196650</v>
      </c>
      <c r="H17" s="2424">
        <f>'Sch 1- Rate Base '!H17</f>
        <v>55817303.479669861</v>
      </c>
      <c r="I17" s="2424">
        <f>'Sch 1- Rate Base '!I17</f>
        <v>0</v>
      </c>
      <c r="J17" s="3465">
        <f>'Sch 1- Rate Base '!J17</f>
        <v>24379345.720330127</v>
      </c>
      <c r="K17" s="3205">
        <f>IF($E17="DIRECT",0,1)</f>
        <v>0</v>
      </c>
      <c r="O17" s="3235">
        <f>$G17</f>
        <v>80196650</v>
      </c>
      <c r="P17" s="3236">
        <f>VLOOKUP($E17,O$442:R$453,2,FALSE)*O17*($K17)+IF($G17&gt;0,($H17/$G17)*O17,0)*(1-$K17)</f>
        <v>55817303.479669861</v>
      </c>
      <c r="Q17" s="3236">
        <f>VLOOKUP($E17,O$442:R$453,3,FALSE)*O17*($K17)+IF($G17&gt;0,($I17/$G17)*O17,0)*(1-$K17)</f>
        <v>0</v>
      </c>
      <c r="R17" s="3236">
        <f>VLOOKUP($E17,O$442:R$453,4,FALSE)*O17*($K17)+(O17-P17-Q17)*(1-$K17)</f>
        <v>24379346.520330139</v>
      </c>
      <c r="S17" s="3237"/>
      <c r="W17" s="3235">
        <f>$G17</f>
        <v>80196650</v>
      </c>
      <c r="X17" s="3236">
        <f>VLOOKUP($E17,W$442:Z$453,2,FALSE)*W17*($K17)+IF($G17&gt;0,($H17/$G17)*W17,0)*(1-$K17)</f>
        <v>55817303.479669861</v>
      </c>
      <c r="Y17" s="3236">
        <f>VLOOKUP($E17,W$442:Z$453,3,FALSE)*W17*($K17)+IF($G17&gt;0,($I17/$G17)*W17,0)*(1-$K17)</f>
        <v>0</v>
      </c>
      <c r="Z17" s="3236">
        <f>VLOOKUP($E17,W$442:Z$453,4,FALSE)*W17*($K17)+(W17-X17-Y17)*(1-$K17)</f>
        <v>24379346.520330139</v>
      </c>
      <c r="AA17" s="3237"/>
      <c r="AE17" s="3235">
        <f>$G17</f>
        <v>80196650</v>
      </c>
      <c r="AF17" s="3236">
        <f>VLOOKUP($E17,AE$442:AH$453,2,FALSE)*AE17*($K17)+IF($G17&gt;0,($H17/$G17)*AE17,0)*(1-$K17)</f>
        <v>55817303.479669861</v>
      </c>
      <c r="AG17" s="3236">
        <f>VLOOKUP($E17,AE$442:AH$453,3,FALSE)*AE17*($K17)+IF($G17&gt;0,($I17/$G17)*AE17,0)*(1-$K17)</f>
        <v>0</v>
      </c>
      <c r="AH17" s="3236">
        <f>VLOOKUP($E17,AE$442:AH$453,4,FALSE)*AE17*($K17)+(AE17-AF17-AG17)*(1-$K17)</f>
        <v>24379346.520330139</v>
      </c>
      <c r="AI17" s="3237"/>
      <c r="AM17" s="3235">
        <f>$G17</f>
        <v>80196650</v>
      </c>
      <c r="AN17" s="3236">
        <f>VLOOKUP($E17,AM$442:AP$453,2,FALSE)*AM17*($K17)+IF($G17&gt;0,($H17/$G17)*AM17,0)*(1-$K17)</f>
        <v>55817303.479669861</v>
      </c>
      <c r="AO17" s="3236">
        <f>VLOOKUP($E17,AM$442:AP$453,3,FALSE)*AM17*($K17)+IF($G17&gt;0,($I17/$G17)*AM17,0)*(1-$K17)</f>
        <v>0</v>
      </c>
      <c r="AP17" s="3236">
        <f>VLOOKUP($E17,AM$442:AP$453,4,FALSE)*AM17*($K17)+(AM17-AN17-AO17)*(1-$K17)</f>
        <v>24379346.520330139</v>
      </c>
      <c r="AQ17" s="3237"/>
      <c r="AU17" s="3235">
        <f>$G17</f>
        <v>80196650</v>
      </c>
      <c r="AV17" s="3236">
        <f>VLOOKUP($E17,AU$442:AX$453,2,FALSE)*AU17*($K17)+IF($G17&gt;0,($H17/$G17)*AU17,0)*(1-$K17)</f>
        <v>55817303.479669861</v>
      </c>
      <c r="AW17" s="3236">
        <f>VLOOKUP($E17,AU$442:AX$453,3,FALSE)*AU17*($K17)+IF($G17&gt;0,($I17/$G17)*AU17,0)*(1-$K17)</f>
        <v>0</v>
      </c>
      <c r="AX17" s="3236">
        <f>VLOOKUP($E17,AU$442:AX$453,4,FALSE)*AU17*($K17)+(AU17-AV17-AW17)*(1-$K17)</f>
        <v>24379346.520330139</v>
      </c>
      <c r="AY17" s="3237"/>
      <c r="BC17" s="3235">
        <f>$G17</f>
        <v>80196650</v>
      </c>
      <c r="BD17" s="3236">
        <f>VLOOKUP($E17,BC$442:BF$453,2,FALSE)*BC17*($K17)+IF($G17&gt;0,($H17/$G17)*BC17,0)*(1-$K17)</f>
        <v>55817303.479669861</v>
      </c>
      <c r="BE17" s="3236">
        <f>VLOOKUP($E17,BC$442:BF$453,3,FALSE)*BC17*($K17)+IF($G17&gt;0,($I17/$G17)*BC17,0)*(1-$K17)</f>
        <v>0</v>
      </c>
      <c r="BF17" s="3236">
        <f>VLOOKUP($E17,BC$442:BF$453,4,FALSE)*BC17*($K17)+(BC17-BD17-BE17)*(1-$K17)</f>
        <v>24379346.520330139</v>
      </c>
      <c r="BG17" s="3237"/>
      <c r="BK17" s="3235">
        <f>$G17</f>
        <v>80196650</v>
      </c>
      <c r="BL17" s="3236">
        <f>VLOOKUP($E17,BK$442:BN$453,2,FALSE)*BK17*($K17)+IF($G17&gt;0,($H17/$G17)*BK17,0)*(1-$K17)</f>
        <v>55817303.479669861</v>
      </c>
      <c r="BM17" s="3236">
        <f>VLOOKUP($E17,BK$442:BN$453,3,FALSE)*BK17*($K17)+IF($G17&gt;0,($I17/$G17)*BK17,0)*(1-$K17)</f>
        <v>0</v>
      </c>
      <c r="BN17" s="3236">
        <f>VLOOKUP($E17,BK$442:BN$453,4,FALSE)*BK17*($K17)+(BK17-BL17-BM17)*(1-$K17)</f>
        <v>24379346.520330139</v>
      </c>
      <c r="BO17" s="3237"/>
      <c r="BS17" s="3235">
        <f>$G17</f>
        <v>80196650</v>
      </c>
      <c r="BT17" s="3236">
        <f>VLOOKUP($E17,BS$442:BV$453,2,FALSE)*BS17*($K17)+IF($G17&gt;0,($H17/$G17)*BS17,0)*(1-$K17)</f>
        <v>55817303.479669861</v>
      </c>
      <c r="BU17" s="3236">
        <f>VLOOKUP($E17,BS$442:BV$453,3,FALSE)*BS17*($K17)+IF($G17&gt;0,($I17/$G17)*BS17,0)*(1-$K17)</f>
        <v>0</v>
      </c>
      <c r="BV17" s="3236">
        <f>VLOOKUP($E17,BS$442:BV$453,4,FALSE)*BS17*($K17)+(BS17-BT17-BU17)*(1-$K17)</f>
        <v>24379346.520330139</v>
      </c>
      <c r="BW17" s="3237"/>
      <c r="CA17" s="3235">
        <f>$G17</f>
        <v>80196650</v>
      </c>
      <c r="CB17" s="3236">
        <f>VLOOKUP($E17,CA$442:CD$453,2,FALSE)*CA17*($K17)+IF($G17&gt;0,($H17/$G17)*CA17,0)*(1-$K17)</f>
        <v>55817303.479669861</v>
      </c>
      <c r="CC17" s="3236">
        <f>VLOOKUP($E17,CA$442:CD$453,3,FALSE)*CA17*($K17)+IF($G17&gt;0,($I17/$G17)*CA17,0)*(1-$K17)</f>
        <v>0</v>
      </c>
      <c r="CD17" s="3236">
        <f>VLOOKUP($E17,CA$442:CD$453,4,FALSE)*CA17*($K17)+(CA17-CB17-CC17)*(1-$K17)</f>
        <v>24379346.520330139</v>
      </c>
      <c r="CE17" s="3237"/>
      <c r="CI17" s="3235">
        <f>$G17</f>
        <v>80196650</v>
      </c>
      <c r="CJ17" s="3236">
        <f>VLOOKUP($E17,CI$442:CL$453,2,FALSE)*CI17*($K17)+IF($G17&gt;0,($H17/$G17)*CI17,0)*(1-$K17)</f>
        <v>55817303.479669861</v>
      </c>
      <c r="CK17" s="3236">
        <f>VLOOKUP($E17,CI$442:CL$453,3,FALSE)*CI17*($K17)+IF($G17&gt;0,($I17/$G17)*CI17,0)*(1-$K17)</f>
        <v>0</v>
      </c>
      <c r="CL17" s="3236">
        <f>VLOOKUP($E17,CI$442:CL$453,4,FALSE)*CI17*($K17)+(CI17-CJ17-CK17)*(1-$K17)</f>
        <v>24379346.520330139</v>
      </c>
      <c r="CM17" s="3237"/>
      <c r="CQ17" s="3235">
        <f>$G17</f>
        <v>80196650</v>
      </c>
      <c r="CR17" s="3236">
        <f>VLOOKUP($E17,CQ$442:CT$453,2,FALSE)*CQ17*($K17)+IF($G17&gt;0,($H17/$G17)*CQ17,0)*(1-$K17)</f>
        <v>55817303.479669861</v>
      </c>
      <c r="CS17" s="3236">
        <f>VLOOKUP($E17,CQ$442:CT$453,3,FALSE)*CQ17*($K17)+IF($G17&gt;0,($I17/$G17)*CQ17,0)*(1-$K17)</f>
        <v>0</v>
      </c>
      <c r="CT17" s="3236">
        <f>VLOOKUP($E17,CQ$442:CT$453,4,FALSE)*CQ17*($K17)+(CQ17-CR17-CS17)*(1-$K17)</f>
        <v>24379346.520330139</v>
      </c>
      <c r="CU17" s="3237"/>
      <c r="CY17" s="3235">
        <f>$G17</f>
        <v>80196650</v>
      </c>
      <c r="CZ17" s="3236">
        <f>VLOOKUP($E17,CY$442:DB$453,2,FALSE)*CY17*($K17)+IF($G17&gt;0,($H17/$G17)*CY17,0)*(1-$K17)</f>
        <v>55817303.479669861</v>
      </c>
      <c r="DA17" s="3236">
        <f>VLOOKUP($E17,CY$442:DB$453,3,FALSE)*CY17*($K17)+IF($G17&gt;0,($I17/$G17)*CY17,0)*(1-$K17)</f>
        <v>0</v>
      </c>
      <c r="DB17" s="3236">
        <f>VLOOKUP($E17,CY$442:DB$453,4,FALSE)*CY17*($K17)+(CY17-CZ17-DA17)*(1-$K17)</f>
        <v>24379346.520330139</v>
      </c>
      <c r="DC17" s="3237"/>
      <c r="DG17" s="3235">
        <f>$G17</f>
        <v>80196650</v>
      </c>
      <c r="DH17" s="3236">
        <f>VLOOKUP($E17,DG$442:DJ$453,2,FALSE)*DG17*($K17)+IF($G17&gt;0,($H17/$G17)*DG17,0)*(1-$K17)</f>
        <v>55817303.479669861</v>
      </c>
      <c r="DI17" s="3236">
        <f>VLOOKUP($E17,DG$442:DJ$453,3,FALSE)*DG17*($K17)+IF($G17&gt;0,($I17/$G17)*DG17,0)*(1-$K17)</f>
        <v>0</v>
      </c>
      <c r="DJ17" s="3236">
        <f>VLOOKUP($E17,DG$442:DJ$453,4,FALSE)*DG17*($K17)+(DG17-DH17-DI17)*(1-$K17)</f>
        <v>24379346.520330139</v>
      </c>
      <c r="DK17" s="3237"/>
      <c r="DO17" s="3235">
        <f>$G17</f>
        <v>80196650</v>
      </c>
      <c r="DP17" s="3236">
        <f>VLOOKUP($E17,DO$442:DR$453,2,FALSE)*DO17*($K17)+IF($G17&gt;0,($H17/$G17)*DO17,0)*(1-$K17)</f>
        <v>55817303.479669861</v>
      </c>
      <c r="DQ17" s="3236">
        <f>VLOOKUP($E17,DO$442:DR$453,3,FALSE)*DO17*($K17)+IF($G17&gt;0,($I17/$G17)*DO17,0)*(1-$K17)</f>
        <v>0</v>
      </c>
      <c r="DR17" s="3236">
        <f>VLOOKUP($E17,DO$442:DR$453,4,FALSE)*DO17*($K17)+(DO17-DP17-DQ17)*(1-$K17)</f>
        <v>24379346.520330139</v>
      </c>
      <c r="DS17" s="3237"/>
      <c r="DW17" s="3235">
        <f>$G17</f>
        <v>80196650</v>
      </c>
      <c r="DX17" s="3236">
        <f>VLOOKUP($E17,DW$442:DZ$453,2,FALSE)*DW17*($K17)+IF($G17&gt;0,($H17/$G17)*DW17,0)*(1-$K17)</f>
        <v>55817303.479669861</v>
      </c>
      <c r="DY17" s="3236">
        <f>VLOOKUP($E17,DW$442:DZ$453,3,FALSE)*DW17*($K17)+IF($G17&gt;0,($I17/$G17)*DW17,0)*(1-$K17)</f>
        <v>0</v>
      </c>
      <c r="DZ17" s="3236">
        <f>VLOOKUP($E17,DW$442:DZ$453,4,FALSE)*DW17*($K17)+(DW17-DX17-DY17)*(1-$K17)</f>
        <v>24379346.520330139</v>
      </c>
      <c r="EA17" s="3237"/>
      <c r="EE17" s="3235">
        <f>$G17</f>
        <v>80196650</v>
      </c>
      <c r="EF17" s="3236">
        <f>VLOOKUP($E17,EE$442:EH$453,2,FALSE)*EE17*($K17)+IF($G17&gt;0,($H17/$G17)*EE17,0)*(1-$K17)</f>
        <v>55817303.479669861</v>
      </c>
      <c r="EG17" s="3236">
        <f>VLOOKUP($E17,EE$442:EH$453,3,FALSE)*EE17*($K17)+IF($G17&gt;0,($I17/$G17)*EE17,0)*(1-$K17)</f>
        <v>0</v>
      </c>
      <c r="EH17" s="3236">
        <f>VLOOKUP($E17,EE$442:EH$453,4,FALSE)*EE17*($K17)+(EE17-EF17-EG17)*(1-$K17)</f>
        <v>24379346.520330139</v>
      </c>
      <c r="EI17" s="3237"/>
      <c r="EM17" s="3235">
        <f>$G17</f>
        <v>80196650</v>
      </c>
      <c r="EN17" s="3236">
        <f>VLOOKUP($E17,EM$442:EP$453,2,FALSE)*EM17*($K17)+IF($G17&gt;0,($H17/$G17)*EM17,0)*(1-$K17)</f>
        <v>55817303.479669861</v>
      </c>
      <c r="EO17" s="3236">
        <f>VLOOKUP($E17,EM$442:EP$453,3,FALSE)*EM17*($K17)+IF($G17&gt;0,($I17/$G17)*EM17,0)*(1-$K17)</f>
        <v>0</v>
      </c>
      <c r="EP17" s="3236">
        <f>VLOOKUP($E17,EM$442:EP$453,4,FALSE)*EM17*($K17)+(EM17-EN17-EO17)*(1-$K17)</f>
        <v>24379346.520330139</v>
      </c>
      <c r="EQ17" s="3237"/>
      <c r="EU17" s="3235">
        <f>$G17</f>
        <v>80196650</v>
      </c>
      <c r="EV17" s="3236">
        <f>VLOOKUP($E17,EU$442:EX$453,2,FALSE)*EU17*($K17)+IF($G17&gt;0,($H17/$G17)*EU17,0)*(1-$K17)</f>
        <v>55817303.479669861</v>
      </c>
      <c r="EW17" s="3236">
        <f>VLOOKUP($E17,EU$442:EX$453,3,FALSE)*EU17*($K17)+IF($G17&gt;0,($I17/$G17)*EU17,0)*(1-$K17)</f>
        <v>0</v>
      </c>
      <c r="EX17" s="3236">
        <f>VLOOKUP($E17,EU$442:EX$453,4,FALSE)*EU17*($K17)+(EU17-EV17-EW17)*(1-$K17)</f>
        <v>24379346.520330139</v>
      </c>
      <c r="EY17" s="3237"/>
      <c r="FC17" s="3235">
        <f>$G17</f>
        <v>80196650</v>
      </c>
      <c r="FD17" s="3236">
        <f>VLOOKUP($E17,FC$442:FF$453,2,FALSE)*FC17*($K17)+IF($G17&gt;0,($H17/$G17)*FC17,0)*(1-$K17)</f>
        <v>55817303.479669861</v>
      </c>
      <c r="FE17" s="3236">
        <f>VLOOKUP($E17,FC$442:FF$453,3,FALSE)*FC17*($K17)+IF($G17&gt;0,($I17/$G17)*FC17,0)*(1-$K17)</f>
        <v>0</v>
      </c>
      <c r="FF17" s="3236">
        <f>VLOOKUP($E17,FC$442:FF$453,4,FALSE)*FC17*($K17)+(FC17-FD17-FE17)*(1-$K17)</f>
        <v>24379346.520330139</v>
      </c>
      <c r="FG17" s="3237"/>
      <c r="FK17" s="3235">
        <f>$G17</f>
        <v>80196650</v>
      </c>
      <c r="FL17" s="3236">
        <f>VLOOKUP($E17,FK$442:FN$453,2,FALSE)*FK17*($K17)+IF($G17&gt;0,($H17/$G17)*FK17,0)*(1-$K17)</f>
        <v>55817303.479669861</v>
      </c>
      <c r="FM17" s="3236">
        <f>VLOOKUP($E17,FK$442:FN$453,3,FALSE)*FK17*($K17)+IF($G17&gt;0,($I17/$G17)*FK17,0)*(1-$K17)</f>
        <v>0</v>
      </c>
      <c r="FN17" s="3236">
        <f>VLOOKUP($E17,FK$442:FN$453,4,FALSE)*FK17*($K17)+(FK17-FL17-FM17)*(1-$K17)</f>
        <v>24379346.520330139</v>
      </c>
      <c r="FO17" s="3237"/>
    </row>
    <row r="18" spans="1:171">
      <c r="A18" s="3463"/>
      <c r="B18" s="2103" t="s">
        <v>147</v>
      </c>
      <c r="C18" s="3238" t="s">
        <v>70</v>
      </c>
      <c r="D18" s="3239">
        <v>303</v>
      </c>
      <c r="E18" s="3464" t="str">
        <f>'Sch 1- Rate Base '!E18</f>
        <v>DIRECT</v>
      </c>
      <c r="F18" s="3240"/>
      <c r="G18" s="2424">
        <f>'Sch 1- Rate Base '!G18</f>
        <v>75530269</v>
      </c>
      <c r="H18" s="2424">
        <f>'Sch 1- Rate Base '!H18</f>
        <v>10321488.568474432</v>
      </c>
      <c r="I18" s="2424">
        <f>'Sch 1- Rate Base '!I18</f>
        <v>0</v>
      </c>
      <c r="J18" s="3465">
        <f>'Sch 1- Rate Base '!J18</f>
        <v>65208779.001525573</v>
      </c>
      <c r="K18" s="3205">
        <f>IF($E18="DIRECT",0,1)</f>
        <v>0</v>
      </c>
      <c r="O18" s="3235">
        <f>$G18</f>
        <v>75530269</v>
      </c>
      <c r="P18" s="3236">
        <f>VLOOKUP($E18,O$442:R$453,2,FALSE)*O18*($K18)+IF($G18&gt;0,($H18/$G18)*O18,0)*(1-$K18)</f>
        <v>10321488.568474432</v>
      </c>
      <c r="Q18" s="3236">
        <f>VLOOKUP($E18,O$442:R$453,3,FALSE)*O18*($K18)+IF($G18&gt;0,($I18/$G18)*O18,0)*(1-$K18)</f>
        <v>0</v>
      </c>
      <c r="R18" s="3236">
        <f>VLOOKUP($E18,O$442:R$453,4,FALSE)*O18*($K18)+(O18-P18-Q18)*(1-$K18)</f>
        <v>65208780.431525566</v>
      </c>
      <c r="S18" s="3237"/>
      <c r="W18" s="3235">
        <f>$G18</f>
        <v>75530269</v>
      </c>
      <c r="X18" s="3236">
        <f>VLOOKUP($E18,W$442:Z$453,2,FALSE)*W18*($K18)+IF($G18&gt;0,($H18/$G18)*W18,0)*(1-$K18)</f>
        <v>10321488.568474432</v>
      </c>
      <c r="Y18" s="3236">
        <f>VLOOKUP($E18,W$442:Z$453,3,FALSE)*W18*($K18)+IF($G18&gt;0,($I18/$G18)*W18,0)*(1-$K18)</f>
        <v>0</v>
      </c>
      <c r="Z18" s="3236">
        <f>VLOOKUP($E18,W$442:Z$453,4,FALSE)*W18*($K18)+(W18-X18-Y18)*(1-$K18)</f>
        <v>65208780.431525566</v>
      </c>
      <c r="AA18" s="3237"/>
      <c r="AE18" s="3235">
        <f>$G18</f>
        <v>75530269</v>
      </c>
      <c r="AF18" s="3236">
        <f>VLOOKUP($E18,AE$442:AH$453,2,FALSE)*AE18*($K18)+IF($G18&gt;0,($H18/$G18)*AE18,0)*(1-$K18)</f>
        <v>10321488.568474432</v>
      </c>
      <c r="AG18" s="3236">
        <f>VLOOKUP($E18,AE$442:AH$453,3,FALSE)*AE18*($K18)+IF($G18&gt;0,($I18/$G18)*AE18,0)*(1-$K18)</f>
        <v>0</v>
      </c>
      <c r="AH18" s="3236">
        <f>VLOOKUP($E18,AE$442:AH$453,4,FALSE)*AE18*($K18)+(AE18-AF18-AG18)*(1-$K18)</f>
        <v>65208780.431525566</v>
      </c>
      <c r="AI18" s="3237"/>
      <c r="AM18" s="3235">
        <f>$G18</f>
        <v>75530269</v>
      </c>
      <c r="AN18" s="3236">
        <f>VLOOKUP($E18,AM$442:AP$453,2,FALSE)*AM18*($K18)+IF($G18&gt;0,($H18/$G18)*AM18,0)*(1-$K18)</f>
        <v>10321488.568474432</v>
      </c>
      <c r="AO18" s="3236">
        <f>VLOOKUP($E18,AM$442:AP$453,3,FALSE)*AM18*($K18)+IF($G18&gt;0,($I18/$G18)*AM18,0)*(1-$K18)</f>
        <v>0</v>
      </c>
      <c r="AP18" s="3236">
        <f>VLOOKUP($E18,AM$442:AP$453,4,FALSE)*AM18*($K18)+(AM18-AN18-AO18)*(1-$K18)</f>
        <v>65208780.431525566</v>
      </c>
      <c r="AQ18" s="3237"/>
      <c r="AU18" s="3235">
        <f>$G18</f>
        <v>75530269</v>
      </c>
      <c r="AV18" s="3236">
        <f>VLOOKUP($E18,AU$442:AX$453,2,FALSE)*AU18*($K18)+IF($G18&gt;0,($H18/$G18)*AU18,0)*(1-$K18)</f>
        <v>10321488.568474432</v>
      </c>
      <c r="AW18" s="3236">
        <f>VLOOKUP($E18,AU$442:AX$453,3,FALSE)*AU18*($K18)+IF($G18&gt;0,($I18/$G18)*AU18,0)*(1-$K18)</f>
        <v>0</v>
      </c>
      <c r="AX18" s="3236">
        <f>VLOOKUP($E18,AU$442:AX$453,4,FALSE)*AU18*($K18)+(AU18-AV18-AW18)*(1-$K18)</f>
        <v>65208780.431525566</v>
      </c>
      <c r="AY18" s="3237"/>
      <c r="BC18" s="3235">
        <f>$G18</f>
        <v>75530269</v>
      </c>
      <c r="BD18" s="3236">
        <f>VLOOKUP($E18,BC$442:BF$453,2,FALSE)*BC18*($K18)+IF($G18&gt;0,($H18/$G18)*BC18,0)*(1-$K18)</f>
        <v>10321488.568474432</v>
      </c>
      <c r="BE18" s="3236">
        <f>VLOOKUP($E18,BC$442:BF$453,3,FALSE)*BC18*($K18)+IF($G18&gt;0,($I18/$G18)*BC18,0)*(1-$K18)</f>
        <v>0</v>
      </c>
      <c r="BF18" s="3236">
        <f>VLOOKUP($E18,BC$442:BF$453,4,FALSE)*BC18*($K18)+(BC18-BD18-BE18)*(1-$K18)</f>
        <v>65208780.431525566</v>
      </c>
      <c r="BG18" s="3237"/>
      <c r="BK18" s="3235">
        <f>$G18</f>
        <v>75530269</v>
      </c>
      <c r="BL18" s="3236">
        <f>VLOOKUP($E18,BK$442:BN$453,2,FALSE)*BK18*($K18)+IF($G18&gt;0,($H18/$G18)*BK18,0)*(1-$K18)</f>
        <v>10321488.568474432</v>
      </c>
      <c r="BM18" s="3236">
        <f>VLOOKUP($E18,BK$442:BN$453,3,FALSE)*BK18*($K18)+IF($G18&gt;0,($I18/$G18)*BK18,0)*(1-$K18)</f>
        <v>0</v>
      </c>
      <c r="BN18" s="3236">
        <f>VLOOKUP($E18,BK$442:BN$453,4,FALSE)*BK18*($K18)+(BK18-BL18-BM18)*(1-$K18)</f>
        <v>65208780.431525566</v>
      </c>
      <c r="BO18" s="3237"/>
      <c r="BS18" s="3235">
        <f>$G18</f>
        <v>75530269</v>
      </c>
      <c r="BT18" s="3236">
        <f>VLOOKUP($E18,BS$442:BV$453,2,FALSE)*BS18*($K18)+IF($G18&gt;0,($H18/$G18)*BS18,0)*(1-$K18)</f>
        <v>10321488.568474432</v>
      </c>
      <c r="BU18" s="3236">
        <f>VLOOKUP($E18,BS$442:BV$453,3,FALSE)*BS18*($K18)+IF($G18&gt;0,($I18/$G18)*BS18,0)*(1-$K18)</f>
        <v>0</v>
      </c>
      <c r="BV18" s="3236">
        <f>VLOOKUP($E18,BS$442:BV$453,4,FALSE)*BS18*($K18)+(BS18-BT18-BU18)*(1-$K18)</f>
        <v>65208780.431525566</v>
      </c>
      <c r="BW18" s="3237"/>
      <c r="CA18" s="3235">
        <f>$G18</f>
        <v>75530269</v>
      </c>
      <c r="CB18" s="3236">
        <f>VLOOKUP($E18,CA$442:CD$453,2,FALSE)*CA18*($K18)+IF($G18&gt;0,($H18/$G18)*CA18,0)*(1-$K18)</f>
        <v>10321488.568474432</v>
      </c>
      <c r="CC18" s="3236">
        <f>VLOOKUP($E18,CA$442:CD$453,3,FALSE)*CA18*($K18)+IF($G18&gt;0,($I18/$G18)*CA18,0)*(1-$K18)</f>
        <v>0</v>
      </c>
      <c r="CD18" s="3236">
        <f>VLOOKUP($E18,CA$442:CD$453,4,FALSE)*CA18*($K18)+(CA18-CB18-CC18)*(1-$K18)</f>
        <v>65208780.431525566</v>
      </c>
      <c r="CE18" s="3237"/>
      <c r="CI18" s="3235">
        <f>$G18</f>
        <v>75530269</v>
      </c>
      <c r="CJ18" s="3236">
        <f>VLOOKUP($E18,CI$442:CL$453,2,FALSE)*CI18*($K18)+IF($G18&gt;0,($H18/$G18)*CI18,0)*(1-$K18)</f>
        <v>10321488.568474432</v>
      </c>
      <c r="CK18" s="3236">
        <f>VLOOKUP($E18,CI$442:CL$453,3,FALSE)*CI18*($K18)+IF($G18&gt;0,($I18/$G18)*CI18,0)*(1-$K18)</f>
        <v>0</v>
      </c>
      <c r="CL18" s="3236">
        <f>VLOOKUP($E18,CI$442:CL$453,4,FALSE)*CI18*($K18)+(CI18-CJ18-CK18)*(1-$K18)</f>
        <v>65208780.431525566</v>
      </c>
      <c r="CM18" s="3237"/>
      <c r="CQ18" s="3235">
        <f>$G18</f>
        <v>75530269</v>
      </c>
      <c r="CR18" s="3236">
        <f>VLOOKUP($E18,CQ$442:CT$453,2,FALSE)*CQ18*($K18)+IF($G18&gt;0,($H18/$G18)*CQ18,0)*(1-$K18)</f>
        <v>10321488.568474432</v>
      </c>
      <c r="CS18" s="3236">
        <f>VLOOKUP($E18,CQ$442:CT$453,3,FALSE)*CQ18*($K18)+IF($G18&gt;0,($I18/$G18)*CQ18,0)*(1-$K18)</f>
        <v>0</v>
      </c>
      <c r="CT18" s="3236">
        <f>VLOOKUP($E18,CQ$442:CT$453,4,FALSE)*CQ18*($K18)+(CQ18-CR18-CS18)*(1-$K18)</f>
        <v>65208780.431525566</v>
      </c>
      <c r="CU18" s="3237"/>
      <c r="CY18" s="3235">
        <f>$G18</f>
        <v>75530269</v>
      </c>
      <c r="CZ18" s="3236">
        <f>VLOOKUP($E18,CY$442:DB$453,2,FALSE)*CY18*($K18)+IF($G18&gt;0,($H18/$G18)*CY18,0)*(1-$K18)</f>
        <v>10321488.568474432</v>
      </c>
      <c r="DA18" s="3236">
        <f>VLOOKUP($E18,CY$442:DB$453,3,FALSE)*CY18*($K18)+IF($G18&gt;0,($I18/$G18)*CY18,0)*(1-$K18)</f>
        <v>0</v>
      </c>
      <c r="DB18" s="3236">
        <f>VLOOKUP($E18,CY$442:DB$453,4,FALSE)*CY18*($K18)+(CY18-CZ18-DA18)*(1-$K18)</f>
        <v>65208780.431525566</v>
      </c>
      <c r="DC18" s="3237"/>
      <c r="DG18" s="3235">
        <f>$G18</f>
        <v>75530269</v>
      </c>
      <c r="DH18" s="3236">
        <f>VLOOKUP($E18,DG$442:DJ$453,2,FALSE)*DG18*($K18)+IF($G18&gt;0,($H18/$G18)*DG18,0)*(1-$K18)</f>
        <v>10321488.568474432</v>
      </c>
      <c r="DI18" s="3236">
        <f>VLOOKUP($E18,DG$442:DJ$453,3,FALSE)*DG18*($K18)+IF($G18&gt;0,($I18/$G18)*DG18,0)*(1-$K18)</f>
        <v>0</v>
      </c>
      <c r="DJ18" s="3236">
        <f>VLOOKUP($E18,DG$442:DJ$453,4,FALSE)*DG18*($K18)+(DG18-DH18-DI18)*(1-$K18)</f>
        <v>65208780.431525566</v>
      </c>
      <c r="DK18" s="3237"/>
      <c r="DO18" s="3235">
        <f>$G18</f>
        <v>75530269</v>
      </c>
      <c r="DP18" s="3236">
        <f>VLOOKUP($E18,DO$442:DR$453,2,FALSE)*DO18*($K18)+IF($G18&gt;0,($H18/$G18)*DO18,0)*(1-$K18)</f>
        <v>10321488.568474432</v>
      </c>
      <c r="DQ18" s="3236">
        <f>VLOOKUP($E18,DO$442:DR$453,3,FALSE)*DO18*($K18)+IF($G18&gt;0,($I18/$G18)*DO18,0)*(1-$K18)</f>
        <v>0</v>
      </c>
      <c r="DR18" s="3236">
        <f>VLOOKUP($E18,DO$442:DR$453,4,FALSE)*DO18*($K18)+(DO18-DP18-DQ18)*(1-$K18)</f>
        <v>65208780.431525566</v>
      </c>
      <c r="DS18" s="3237"/>
      <c r="DW18" s="3235">
        <f>$G18</f>
        <v>75530269</v>
      </c>
      <c r="DX18" s="3236">
        <f>VLOOKUP($E18,DW$442:DZ$453,2,FALSE)*DW18*($K18)+IF($G18&gt;0,($H18/$G18)*DW18,0)*(1-$K18)</f>
        <v>10321488.568474432</v>
      </c>
      <c r="DY18" s="3236">
        <f>VLOOKUP($E18,DW$442:DZ$453,3,FALSE)*DW18*($K18)+IF($G18&gt;0,($I18/$G18)*DW18,0)*(1-$K18)</f>
        <v>0</v>
      </c>
      <c r="DZ18" s="3236">
        <f>VLOOKUP($E18,DW$442:DZ$453,4,FALSE)*DW18*($K18)+(DW18-DX18-DY18)*(1-$K18)</f>
        <v>65208780.431525566</v>
      </c>
      <c r="EA18" s="3237"/>
      <c r="EE18" s="3235">
        <f>$G18</f>
        <v>75530269</v>
      </c>
      <c r="EF18" s="3236">
        <f>VLOOKUP($E18,EE$442:EH$453,2,FALSE)*EE18*($K18)+IF($G18&gt;0,($H18/$G18)*EE18,0)*(1-$K18)</f>
        <v>10321488.568474432</v>
      </c>
      <c r="EG18" s="3236">
        <f>VLOOKUP($E18,EE$442:EH$453,3,FALSE)*EE18*($K18)+IF($G18&gt;0,($I18/$G18)*EE18,0)*(1-$K18)</f>
        <v>0</v>
      </c>
      <c r="EH18" s="3236">
        <f>VLOOKUP($E18,EE$442:EH$453,4,FALSE)*EE18*($K18)+(EE18-EF18-EG18)*(1-$K18)</f>
        <v>65208780.431525566</v>
      </c>
      <c r="EI18" s="3237"/>
      <c r="EM18" s="3235">
        <f>$G18</f>
        <v>75530269</v>
      </c>
      <c r="EN18" s="3236">
        <f>VLOOKUP($E18,EM$442:EP$453,2,FALSE)*EM18*($K18)+IF($G18&gt;0,($H18/$G18)*EM18,0)*(1-$K18)</f>
        <v>10321488.568474432</v>
      </c>
      <c r="EO18" s="3236">
        <f>VLOOKUP($E18,EM$442:EP$453,3,FALSE)*EM18*($K18)+IF($G18&gt;0,($I18/$G18)*EM18,0)*(1-$K18)</f>
        <v>0</v>
      </c>
      <c r="EP18" s="3236">
        <f>VLOOKUP($E18,EM$442:EP$453,4,FALSE)*EM18*($K18)+(EM18-EN18-EO18)*(1-$K18)</f>
        <v>65208780.431525566</v>
      </c>
      <c r="EQ18" s="3237"/>
      <c r="EU18" s="3235">
        <f>$G18</f>
        <v>75530269</v>
      </c>
      <c r="EV18" s="3236">
        <f>VLOOKUP($E18,EU$442:EX$453,2,FALSE)*EU18*($K18)+IF($G18&gt;0,($H18/$G18)*EU18,0)*(1-$K18)</f>
        <v>10321488.568474432</v>
      </c>
      <c r="EW18" s="3236">
        <f>VLOOKUP($E18,EU$442:EX$453,3,FALSE)*EU18*($K18)+IF($G18&gt;0,($I18/$G18)*EU18,0)*(1-$K18)</f>
        <v>0</v>
      </c>
      <c r="EX18" s="3236">
        <f>VLOOKUP($E18,EU$442:EX$453,4,FALSE)*EU18*($K18)+(EU18-EV18-EW18)*(1-$K18)</f>
        <v>65208780.431525566</v>
      </c>
      <c r="EY18" s="3237"/>
      <c r="FC18" s="3235">
        <f>$G18</f>
        <v>75530269</v>
      </c>
      <c r="FD18" s="3236">
        <f>VLOOKUP($E18,FC$442:FF$453,2,FALSE)*FC18*($K18)+IF($G18&gt;0,($H18/$G18)*FC18,0)*(1-$K18)</f>
        <v>10321488.568474432</v>
      </c>
      <c r="FE18" s="3236">
        <f>VLOOKUP($E18,FC$442:FF$453,3,FALSE)*FC18*($K18)+IF($G18&gt;0,($I18/$G18)*FC18,0)*(1-$K18)</f>
        <v>0</v>
      </c>
      <c r="FF18" s="3236">
        <f>VLOOKUP($E18,FC$442:FF$453,4,FALSE)*FC18*($K18)+(FC18-FD18-FE18)*(1-$K18)</f>
        <v>65208780.431525566</v>
      </c>
      <c r="FG18" s="3237"/>
      <c r="FK18" s="3235">
        <f>$G18</f>
        <v>75530269</v>
      </c>
      <c r="FL18" s="3236">
        <f>VLOOKUP($E18,FK$442:FN$453,2,FALSE)*FK18*($K18)+IF($G18&gt;0,($H18/$G18)*FK18,0)*(1-$K18)</f>
        <v>10321488.568474432</v>
      </c>
      <c r="FM18" s="3236">
        <f>VLOOKUP($E18,FK$442:FN$453,3,FALSE)*FK18*($K18)+IF($G18&gt;0,($I18/$G18)*FK18,0)*(1-$K18)</f>
        <v>0</v>
      </c>
      <c r="FN18" s="3236">
        <f>VLOOKUP($E18,FK$442:FN$453,4,FALSE)*FK18*($K18)+(FK18-FL18-FM18)*(1-$K18)</f>
        <v>65208780.431525566</v>
      </c>
      <c r="FO18" s="3237"/>
    </row>
    <row r="19" spans="1:171">
      <c r="A19" s="2091" t="s">
        <v>438</v>
      </c>
      <c r="B19" s="2100"/>
      <c r="C19" s="3241"/>
      <c r="D19" s="3242"/>
      <c r="E19" s="3466"/>
      <c r="F19" s="3243"/>
      <c r="G19" s="3244">
        <f>SUM(G16:G18)</f>
        <v>155841121</v>
      </c>
      <c r="H19" s="3244">
        <f>SUM(H16:H18)</f>
        <v>66138792.048144296</v>
      </c>
      <c r="I19" s="3244">
        <f>SUM(I16:I18)</f>
        <v>0</v>
      </c>
      <c r="J19" s="3467">
        <f>SUM(J16:J18)</f>
        <v>89702326.7218557</v>
      </c>
      <c r="K19" s="3205"/>
      <c r="L19" s="3246"/>
      <c r="O19" s="3247">
        <f>SUM(O16:O18)</f>
        <v>155841121</v>
      </c>
      <c r="P19" s="3247">
        <f>SUM(P16:P18)</f>
        <v>66138792.048144296</v>
      </c>
      <c r="Q19" s="3247">
        <f>SUM(Q16:Q18)</f>
        <v>0</v>
      </c>
      <c r="R19" s="3247">
        <f>SUM(R16:R18)</f>
        <v>89702328.951855704</v>
      </c>
      <c r="S19" s="3237"/>
      <c r="T19" s="3246"/>
      <c r="W19" s="3247">
        <f>SUM(W16:W18)</f>
        <v>155841121</v>
      </c>
      <c r="X19" s="3247">
        <f>SUM(X16:X18)</f>
        <v>66138792.048144296</v>
      </c>
      <c r="Y19" s="3247">
        <f>SUM(Y16:Y18)</f>
        <v>0</v>
      </c>
      <c r="Z19" s="3247">
        <f>SUM(Z16:Z18)</f>
        <v>89702328.951855704</v>
      </c>
      <c r="AA19" s="3237"/>
      <c r="AB19" s="3246"/>
      <c r="AE19" s="3247">
        <f>SUM(AE16:AE18)</f>
        <v>155841121</v>
      </c>
      <c r="AF19" s="3247">
        <f>SUM(AF16:AF18)</f>
        <v>66138792.048144296</v>
      </c>
      <c r="AG19" s="3247">
        <f>SUM(AG16:AG18)</f>
        <v>0</v>
      </c>
      <c r="AH19" s="3247">
        <f>SUM(AH16:AH18)</f>
        <v>89702328.951855704</v>
      </c>
      <c r="AI19" s="3237"/>
      <c r="AJ19" s="3246"/>
      <c r="AM19" s="3247">
        <f>SUM(AM16:AM18)</f>
        <v>155841121</v>
      </c>
      <c r="AN19" s="3247">
        <f>SUM(AN16:AN18)</f>
        <v>66138792.048144296</v>
      </c>
      <c r="AO19" s="3247">
        <f>SUM(AO16:AO18)</f>
        <v>0</v>
      </c>
      <c r="AP19" s="3247">
        <f>SUM(AP16:AP18)</f>
        <v>89702328.951855704</v>
      </c>
      <c r="AQ19" s="3237"/>
      <c r="AR19" s="3246"/>
      <c r="AU19" s="3247">
        <f>SUM(AU16:AU18)</f>
        <v>155841121</v>
      </c>
      <c r="AV19" s="3247">
        <f>SUM(AV16:AV18)</f>
        <v>66138792.048144296</v>
      </c>
      <c r="AW19" s="3247">
        <f>SUM(AW16:AW18)</f>
        <v>0</v>
      </c>
      <c r="AX19" s="3247">
        <f>SUM(AX16:AX18)</f>
        <v>89702328.951855704</v>
      </c>
      <c r="AY19" s="3237"/>
      <c r="AZ19" s="3246"/>
      <c r="BC19" s="3247">
        <f>SUM(BC16:BC18)</f>
        <v>155841121</v>
      </c>
      <c r="BD19" s="3247">
        <f>SUM(BD16:BD18)</f>
        <v>66138792.048144296</v>
      </c>
      <c r="BE19" s="3247">
        <f>SUM(BE16:BE18)</f>
        <v>0</v>
      </c>
      <c r="BF19" s="3247">
        <f>SUM(BF16:BF18)</f>
        <v>89702328.951855704</v>
      </c>
      <c r="BG19" s="3237"/>
      <c r="BH19" s="3246"/>
      <c r="BK19" s="3247">
        <f>SUM(BK16:BK18)</f>
        <v>155841121</v>
      </c>
      <c r="BL19" s="3247">
        <f>SUM(BL16:BL18)</f>
        <v>66138792.048144296</v>
      </c>
      <c r="BM19" s="3247">
        <f>SUM(BM16:BM18)</f>
        <v>0</v>
      </c>
      <c r="BN19" s="3247">
        <f>SUM(BN16:BN18)</f>
        <v>89702328.951855704</v>
      </c>
      <c r="BO19" s="3237"/>
      <c r="BP19" s="3246"/>
      <c r="BS19" s="3247">
        <f>SUM(BS16:BS18)</f>
        <v>155841121</v>
      </c>
      <c r="BT19" s="3247">
        <f>SUM(BT16:BT18)</f>
        <v>66138792.048144296</v>
      </c>
      <c r="BU19" s="3247">
        <f>SUM(BU16:BU18)</f>
        <v>0</v>
      </c>
      <c r="BV19" s="3247">
        <f>SUM(BV16:BV18)</f>
        <v>89702328.951855704</v>
      </c>
      <c r="BW19" s="3237"/>
      <c r="BX19" s="3246"/>
      <c r="CA19" s="3247">
        <f>SUM(CA16:CA18)</f>
        <v>155841121</v>
      </c>
      <c r="CB19" s="3247">
        <f>SUM(CB16:CB18)</f>
        <v>66138792.048144296</v>
      </c>
      <c r="CC19" s="3247">
        <f>SUM(CC16:CC18)</f>
        <v>0</v>
      </c>
      <c r="CD19" s="3247">
        <f>SUM(CD16:CD18)</f>
        <v>89702328.951855704</v>
      </c>
      <c r="CE19" s="3237"/>
      <c r="CF19" s="3246"/>
      <c r="CI19" s="3247">
        <f>SUM(CI16:CI18)</f>
        <v>155841121</v>
      </c>
      <c r="CJ19" s="3247">
        <f>SUM(CJ16:CJ18)</f>
        <v>66138792.048144296</v>
      </c>
      <c r="CK19" s="3247">
        <f>SUM(CK16:CK18)</f>
        <v>0</v>
      </c>
      <c r="CL19" s="3247">
        <f>SUM(CL16:CL18)</f>
        <v>89702328.951855704</v>
      </c>
      <c r="CM19" s="3237"/>
      <c r="CN19" s="3246"/>
      <c r="CQ19" s="3247">
        <f>SUM(CQ16:CQ18)</f>
        <v>155841121</v>
      </c>
      <c r="CR19" s="3247">
        <f>SUM(CR16:CR18)</f>
        <v>66138792.048144296</v>
      </c>
      <c r="CS19" s="3247">
        <f>SUM(CS16:CS18)</f>
        <v>0</v>
      </c>
      <c r="CT19" s="3247">
        <f>SUM(CT16:CT18)</f>
        <v>89702328.951855704</v>
      </c>
      <c r="CU19" s="3237"/>
      <c r="CV19" s="3246"/>
      <c r="CY19" s="3247">
        <f>SUM(CY16:CY18)</f>
        <v>155841121</v>
      </c>
      <c r="CZ19" s="3247">
        <f>SUM(CZ16:CZ18)</f>
        <v>66138792.048144296</v>
      </c>
      <c r="DA19" s="3247">
        <f>SUM(DA16:DA18)</f>
        <v>0</v>
      </c>
      <c r="DB19" s="3247">
        <f>SUM(DB16:DB18)</f>
        <v>89702328.951855704</v>
      </c>
      <c r="DC19" s="3237"/>
      <c r="DD19" s="3246"/>
      <c r="DG19" s="3247">
        <f>SUM(DG16:DG18)</f>
        <v>155841121</v>
      </c>
      <c r="DH19" s="3247">
        <f>SUM(DH16:DH18)</f>
        <v>66138792.048144296</v>
      </c>
      <c r="DI19" s="3247">
        <f>SUM(DI16:DI18)</f>
        <v>0</v>
      </c>
      <c r="DJ19" s="3247">
        <f>SUM(DJ16:DJ18)</f>
        <v>89702328.951855704</v>
      </c>
      <c r="DK19" s="3237"/>
      <c r="DL19" s="3246"/>
      <c r="DO19" s="3247">
        <f>SUM(DO16:DO18)</f>
        <v>155841121</v>
      </c>
      <c r="DP19" s="3247">
        <f>SUM(DP16:DP18)</f>
        <v>66138792.048144296</v>
      </c>
      <c r="DQ19" s="3247">
        <f>SUM(DQ16:DQ18)</f>
        <v>0</v>
      </c>
      <c r="DR19" s="3247">
        <f>SUM(DR16:DR18)</f>
        <v>89702328.951855704</v>
      </c>
      <c r="DS19" s="3237"/>
      <c r="DT19" s="3246"/>
      <c r="DW19" s="3247">
        <f>SUM(DW16:DW18)</f>
        <v>155841121</v>
      </c>
      <c r="DX19" s="3247">
        <f>SUM(DX16:DX18)</f>
        <v>66138792.048144296</v>
      </c>
      <c r="DY19" s="3247">
        <f>SUM(DY16:DY18)</f>
        <v>0</v>
      </c>
      <c r="DZ19" s="3247">
        <f>SUM(DZ16:DZ18)</f>
        <v>89702328.951855704</v>
      </c>
      <c r="EA19" s="3237"/>
      <c r="EB19" s="3246"/>
      <c r="EE19" s="3247">
        <f>SUM(EE16:EE18)</f>
        <v>155841121</v>
      </c>
      <c r="EF19" s="3247">
        <f>SUM(EF16:EF18)</f>
        <v>66138792.048144296</v>
      </c>
      <c r="EG19" s="3247">
        <f>SUM(EG16:EG18)</f>
        <v>0</v>
      </c>
      <c r="EH19" s="3247">
        <f>SUM(EH16:EH18)</f>
        <v>89702328.951855704</v>
      </c>
      <c r="EI19" s="3237"/>
      <c r="EJ19" s="3246"/>
      <c r="EM19" s="3247">
        <f>SUM(EM16:EM18)</f>
        <v>155841121</v>
      </c>
      <c r="EN19" s="3247">
        <f>SUM(EN16:EN18)</f>
        <v>66138792.048144296</v>
      </c>
      <c r="EO19" s="3247">
        <f>SUM(EO16:EO18)</f>
        <v>0</v>
      </c>
      <c r="EP19" s="3247">
        <f>SUM(EP16:EP18)</f>
        <v>89702328.951855704</v>
      </c>
      <c r="EQ19" s="3237"/>
      <c r="ER19" s="3246"/>
      <c r="EU19" s="3247">
        <f>SUM(EU16:EU18)</f>
        <v>155841121</v>
      </c>
      <c r="EV19" s="3247">
        <f>SUM(EV16:EV18)</f>
        <v>66138792.048144296</v>
      </c>
      <c r="EW19" s="3247">
        <f>SUM(EW16:EW18)</f>
        <v>0</v>
      </c>
      <c r="EX19" s="3247">
        <f>SUM(EX16:EX18)</f>
        <v>89702328.951855704</v>
      </c>
      <c r="EY19" s="3237"/>
      <c r="EZ19" s="3246"/>
      <c r="FC19" s="3247">
        <f>SUM(FC16:FC18)</f>
        <v>155841121</v>
      </c>
      <c r="FD19" s="3247">
        <f>SUM(FD16:FD18)</f>
        <v>66138792.048144296</v>
      </c>
      <c r="FE19" s="3247">
        <f>SUM(FE16:FE18)</f>
        <v>0</v>
      </c>
      <c r="FF19" s="3247">
        <f>SUM(FF16:FF18)</f>
        <v>89702328.951855704</v>
      </c>
      <c r="FG19" s="3237"/>
      <c r="FH19" s="3246"/>
      <c r="FK19" s="3247">
        <f>SUM(FK16:FK18)</f>
        <v>155841121</v>
      </c>
      <c r="FL19" s="3247">
        <f>SUM(FL16:FL18)</f>
        <v>66138792.048144296</v>
      </c>
      <c r="FM19" s="3247">
        <f>SUM(FM16:FM18)</f>
        <v>0</v>
      </c>
      <c r="FN19" s="3247">
        <f>SUM(FN16:FN18)</f>
        <v>89702328.951855704</v>
      </c>
      <c r="FO19" s="3237"/>
    </row>
    <row r="20" spans="1:171">
      <c r="A20" s="3468"/>
      <c r="B20" s="2078"/>
      <c r="C20" s="2686"/>
      <c r="D20" s="2686"/>
      <c r="E20" s="975"/>
      <c r="F20" s="3249"/>
      <c r="G20" s="3250"/>
      <c r="H20" s="3250"/>
      <c r="I20" s="3250"/>
      <c r="J20" s="3469"/>
      <c r="K20" s="3205"/>
      <c r="L20" s="3246"/>
      <c r="M20" s="2747"/>
      <c r="N20" s="2747"/>
      <c r="O20" s="3235"/>
      <c r="P20" s="3235"/>
      <c r="Q20" s="3235"/>
      <c r="R20" s="3235"/>
      <c r="S20" s="3237"/>
      <c r="T20" s="3246"/>
      <c r="U20" s="2747"/>
      <c r="V20" s="2747"/>
      <c r="W20" s="3235"/>
      <c r="X20" s="3235"/>
      <c r="Y20" s="3235"/>
      <c r="Z20" s="3235"/>
      <c r="AA20" s="3237"/>
      <c r="AB20" s="3246"/>
      <c r="AC20" s="2747"/>
      <c r="AD20" s="2747"/>
      <c r="AE20" s="3235"/>
      <c r="AF20" s="3235"/>
      <c r="AG20" s="3235"/>
      <c r="AH20" s="3235"/>
      <c r="AI20" s="3237"/>
      <c r="AJ20" s="3246"/>
      <c r="AK20" s="2747"/>
      <c r="AL20" s="2747"/>
      <c r="AM20" s="3235"/>
      <c r="AN20" s="3235"/>
      <c r="AO20" s="3235"/>
      <c r="AP20" s="3235"/>
      <c r="AQ20" s="3237"/>
      <c r="AR20" s="3246"/>
      <c r="AS20" s="2747"/>
      <c r="AT20" s="2747"/>
      <c r="AU20" s="3235"/>
      <c r="AV20" s="3235"/>
      <c r="AW20" s="3235"/>
      <c r="AX20" s="3235"/>
      <c r="AY20" s="3237"/>
      <c r="AZ20" s="3246"/>
      <c r="BA20" s="2747"/>
      <c r="BB20" s="2747"/>
      <c r="BC20" s="3235"/>
      <c r="BD20" s="3235"/>
      <c r="BE20" s="3235"/>
      <c r="BF20" s="3235"/>
      <c r="BG20" s="3237"/>
      <c r="BH20" s="3246"/>
      <c r="BI20" s="2747"/>
      <c r="BJ20" s="2747"/>
      <c r="BK20" s="3235"/>
      <c r="BL20" s="3235"/>
      <c r="BM20" s="3235"/>
      <c r="BN20" s="3235"/>
      <c r="BO20" s="3237"/>
      <c r="BP20" s="3246"/>
      <c r="BQ20" s="2747"/>
      <c r="BR20" s="2747"/>
      <c r="BS20" s="3235"/>
      <c r="BT20" s="3235"/>
      <c r="BU20" s="3235"/>
      <c r="BV20" s="3235"/>
      <c r="BW20" s="3237"/>
      <c r="BX20" s="3246"/>
      <c r="BY20" s="2747"/>
      <c r="BZ20" s="2747"/>
      <c r="CA20" s="3235"/>
      <c r="CB20" s="3235"/>
      <c r="CC20" s="3235"/>
      <c r="CD20" s="3235"/>
      <c r="CE20" s="3237"/>
      <c r="CF20" s="3246"/>
      <c r="CG20" s="2747"/>
      <c r="CH20" s="2747"/>
      <c r="CI20" s="3235"/>
      <c r="CJ20" s="3235"/>
      <c r="CK20" s="3235"/>
      <c r="CL20" s="3235"/>
      <c r="CM20" s="3237"/>
      <c r="CN20" s="3246"/>
      <c r="CO20" s="2747"/>
      <c r="CP20" s="2747"/>
      <c r="CQ20" s="3235"/>
      <c r="CR20" s="3235"/>
      <c r="CS20" s="3235"/>
      <c r="CT20" s="3235"/>
      <c r="CU20" s="3237"/>
      <c r="CV20" s="3246"/>
      <c r="CW20" s="2747"/>
      <c r="CX20" s="2747"/>
      <c r="CY20" s="3235"/>
      <c r="CZ20" s="3235"/>
      <c r="DA20" s="3235"/>
      <c r="DB20" s="3235"/>
      <c r="DC20" s="3237"/>
      <c r="DD20" s="3246"/>
      <c r="DE20" s="2747"/>
      <c r="DF20" s="2747"/>
      <c r="DG20" s="3235"/>
      <c r="DH20" s="3235"/>
      <c r="DI20" s="3235"/>
      <c r="DJ20" s="3235"/>
      <c r="DK20" s="3237"/>
      <c r="DL20" s="3246"/>
      <c r="DM20" s="2747"/>
      <c r="DN20" s="2747"/>
      <c r="DO20" s="3235"/>
      <c r="DP20" s="3235"/>
      <c r="DQ20" s="3235"/>
      <c r="DR20" s="3235"/>
      <c r="DS20" s="3237"/>
      <c r="DT20" s="3246"/>
      <c r="DU20" s="2747"/>
      <c r="DV20" s="2747"/>
      <c r="DW20" s="3235"/>
      <c r="DX20" s="3235"/>
      <c r="DY20" s="3235"/>
      <c r="DZ20" s="3235"/>
      <c r="EA20" s="3237"/>
      <c r="EB20" s="3246"/>
      <c r="EC20" s="2747"/>
      <c r="ED20" s="2747"/>
      <c r="EE20" s="3235"/>
      <c r="EF20" s="3235"/>
      <c r="EG20" s="3235"/>
      <c r="EH20" s="3235"/>
      <c r="EI20" s="3237"/>
      <c r="EJ20" s="3246"/>
      <c r="EK20" s="2747"/>
      <c r="EL20" s="2747"/>
      <c r="EM20" s="3235"/>
      <c r="EN20" s="3235"/>
      <c r="EO20" s="3235"/>
      <c r="EP20" s="3235"/>
      <c r="EQ20" s="3237"/>
      <c r="ER20" s="3246"/>
      <c r="ES20" s="2747"/>
      <c r="ET20" s="2747"/>
      <c r="EU20" s="3235"/>
      <c r="EV20" s="3235"/>
      <c r="EW20" s="3235"/>
      <c r="EX20" s="3235"/>
      <c r="EY20" s="3237"/>
      <c r="EZ20" s="3246"/>
      <c r="FA20" s="2747"/>
      <c r="FB20" s="2747"/>
      <c r="FC20" s="3235"/>
      <c r="FD20" s="3235"/>
      <c r="FE20" s="3235"/>
      <c r="FF20" s="3235"/>
      <c r="FG20" s="3237"/>
      <c r="FH20" s="3246"/>
      <c r="FI20" s="2747"/>
      <c r="FJ20" s="2747"/>
      <c r="FK20" s="3235"/>
      <c r="FL20" s="3235"/>
      <c r="FM20" s="3235"/>
      <c r="FN20" s="3235"/>
      <c r="FO20" s="3237"/>
    </row>
    <row r="21" spans="1:171">
      <c r="A21" s="2102" t="s">
        <v>110</v>
      </c>
      <c r="B21" s="3252"/>
      <c r="C21" s="2686"/>
      <c r="D21" s="2686"/>
      <c r="E21" s="975"/>
      <c r="F21" s="3249"/>
      <c r="G21" s="2118"/>
      <c r="H21" s="2118"/>
      <c r="I21" s="2118"/>
      <c r="J21" s="3470"/>
      <c r="K21" s="3205"/>
      <c r="L21" s="3253"/>
      <c r="M21" s="2747"/>
      <c r="N21" s="2747"/>
      <c r="O21" s="2747"/>
      <c r="P21" s="3250"/>
      <c r="Q21" s="3250"/>
      <c r="R21" s="3250"/>
      <c r="S21" s="3237"/>
      <c r="T21" s="3253"/>
      <c r="U21" s="2747"/>
      <c r="V21" s="2747"/>
      <c r="W21" s="2747"/>
      <c r="X21" s="3250"/>
      <c r="Y21" s="3250"/>
      <c r="Z21" s="3250"/>
      <c r="AA21" s="3237"/>
      <c r="AB21" s="3253"/>
      <c r="AC21" s="2747"/>
      <c r="AD21" s="2747"/>
      <c r="AE21" s="2747"/>
      <c r="AF21" s="3250"/>
      <c r="AG21" s="3250"/>
      <c r="AH21" s="3250"/>
      <c r="AI21" s="3237"/>
      <c r="AJ21" s="3253"/>
      <c r="AK21" s="2747"/>
      <c r="AL21" s="2747"/>
      <c r="AM21" s="2747"/>
      <c r="AN21" s="3250"/>
      <c r="AO21" s="3250"/>
      <c r="AP21" s="3250"/>
      <c r="AQ21" s="3237"/>
      <c r="AR21" s="3253"/>
      <c r="AS21" s="2747"/>
      <c r="AT21" s="2747"/>
      <c r="AU21" s="2747"/>
      <c r="AV21" s="3250"/>
      <c r="AW21" s="3250"/>
      <c r="AX21" s="3250"/>
      <c r="AY21" s="3237"/>
      <c r="AZ21" s="3253"/>
      <c r="BA21" s="2747"/>
      <c r="BB21" s="2747"/>
      <c r="BC21" s="2747"/>
      <c r="BD21" s="3250"/>
      <c r="BE21" s="3250"/>
      <c r="BF21" s="3250"/>
      <c r="BG21" s="3237"/>
      <c r="BH21" s="3253"/>
      <c r="BI21" s="2747"/>
      <c r="BJ21" s="2747"/>
      <c r="BK21" s="2747"/>
      <c r="BL21" s="3250"/>
      <c r="BM21" s="3250"/>
      <c r="BN21" s="3250"/>
      <c r="BO21" s="3237"/>
      <c r="BP21" s="3253"/>
      <c r="BQ21" s="2747"/>
      <c r="BR21" s="2747"/>
      <c r="BS21" s="2747"/>
      <c r="BT21" s="3250"/>
      <c r="BU21" s="3250"/>
      <c r="BV21" s="3250"/>
      <c r="BW21" s="3237"/>
      <c r="BX21" s="3253"/>
      <c r="BY21" s="2747"/>
      <c r="BZ21" s="2747"/>
      <c r="CA21" s="2747"/>
      <c r="CB21" s="3250"/>
      <c r="CC21" s="3250"/>
      <c r="CD21" s="3250"/>
      <c r="CE21" s="3237"/>
      <c r="CF21" s="3253"/>
      <c r="CG21" s="2747"/>
      <c r="CH21" s="2747"/>
      <c r="CI21" s="2747"/>
      <c r="CJ21" s="3250"/>
      <c r="CK21" s="3250"/>
      <c r="CL21" s="3250"/>
      <c r="CM21" s="3237"/>
      <c r="CN21" s="3253"/>
      <c r="CO21" s="2747"/>
      <c r="CP21" s="2747"/>
      <c r="CQ21" s="2747"/>
      <c r="CR21" s="3250"/>
      <c r="CS21" s="3250"/>
      <c r="CT21" s="3250"/>
      <c r="CU21" s="3237"/>
      <c r="CV21" s="3253"/>
      <c r="CW21" s="2747"/>
      <c r="CX21" s="2747"/>
      <c r="CY21" s="2747"/>
      <c r="CZ21" s="3250"/>
      <c r="DA21" s="3250"/>
      <c r="DB21" s="3250"/>
      <c r="DC21" s="3237"/>
      <c r="DD21" s="3253"/>
      <c r="DE21" s="2747"/>
      <c r="DF21" s="2747"/>
      <c r="DG21" s="2747"/>
      <c r="DH21" s="3250"/>
      <c r="DI21" s="3250"/>
      <c r="DJ21" s="3250"/>
      <c r="DK21" s="3237"/>
      <c r="DL21" s="3253"/>
      <c r="DM21" s="2747"/>
      <c r="DN21" s="2747"/>
      <c r="DO21" s="2747"/>
      <c r="DP21" s="3250"/>
      <c r="DQ21" s="3250"/>
      <c r="DR21" s="3250"/>
      <c r="DS21" s="3237"/>
      <c r="DT21" s="3253"/>
      <c r="DU21" s="2747"/>
      <c r="DV21" s="2747"/>
      <c r="DW21" s="2747"/>
      <c r="DX21" s="3250"/>
      <c r="DY21" s="3250"/>
      <c r="DZ21" s="3250"/>
      <c r="EA21" s="3237"/>
      <c r="EB21" s="3253"/>
      <c r="EC21" s="2747"/>
      <c r="ED21" s="2747"/>
      <c r="EE21" s="2747"/>
      <c r="EF21" s="3250"/>
      <c r="EG21" s="3250"/>
      <c r="EH21" s="3250"/>
      <c r="EI21" s="3237"/>
      <c r="EJ21" s="3253"/>
      <c r="EK21" s="2747"/>
      <c r="EL21" s="2747"/>
      <c r="EM21" s="2747"/>
      <c r="EN21" s="3250"/>
      <c r="EO21" s="3250"/>
      <c r="EP21" s="3250"/>
      <c r="EQ21" s="3237"/>
      <c r="ER21" s="3253"/>
      <c r="ES21" s="2747"/>
      <c r="ET21" s="2747"/>
      <c r="EU21" s="2747"/>
      <c r="EV21" s="3250"/>
      <c r="EW21" s="3250"/>
      <c r="EX21" s="3250"/>
      <c r="EY21" s="3237"/>
      <c r="EZ21" s="3253"/>
      <c r="FA21" s="2747"/>
      <c r="FB21" s="2747"/>
      <c r="FC21" s="2747"/>
      <c r="FD21" s="3250"/>
      <c r="FE21" s="3250"/>
      <c r="FF21" s="3250"/>
      <c r="FG21" s="3237"/>
      <c r="FH21" s="3253"/>
      <c r="FI21" s="2747"/>
      <c r="FJ21" s="2747"/>
      <c r="FK21" s="2747"/>
      <c r="FL21" s="3250"/>
      <c r="FM21" s="3250"/>
      <c r="FN21" s="3250"/>
      <c r="FO21" s="3237"/>
    </row>
    <row r="22" spans="1:171">
      <c r="A22" s="3471">
        <v>110</v>
      </c>
      <c r="B22" s="2103" t="s">
        <v>111</v>
      </c>
      <c r="C22" s="3233" t="s">
        <v>70</v>
      </c>
      <c r="D22" s="2464" t="s">
        <v>112</v>
      </c>
      <c r="E22" s="3464" t="str">
        <f>'Sch 1- Rate Base '!E22</f>
        <v>PROD</v>
      </c>
      <c r="F22" s="2171"/>
      <c r="G22" s="2424">
        <f>'Sch 1- Rate Base '!G22</f>
        <v>1034308926</v>
      </c>
      <c r="H22" s="2424">
        <f>'Sch 1- Rate Base '!H22</f>
        <v>1034308926</v>
      </c>
      <c r="I22" s="2424">
        <f>'Sch 1- Rate Base '!I22</f>
        <v>0</v>
      </c>
      <c r="J22" s="3465">
        <f>'Sch 1- Rate Base '!J22</f>
        <v>0</v>
      </c>
      <c r="K22" s="3205">
        <f>IF($E22="DIRECT",0,1)</f>
        <v>1</v>
      </c>
      <c r="N22" s="3255">
        <f>VLOOKUP($A22,'New Resources - Group'!$A$4:$Y$133,N$2,FALSE)*N$1</f>
        <v>0</v>
      </c>
      <c r="O22" s="3235">
        <f>$G22+N22</f>
        <v>1034308926</v>
      </c>
      <c r="P22" s="3236">
        <f>VLOOKUP($E22,O$442:R$453,2,FALSE)*O22*($K22)+IF($G22&gt;0,($H22/$G22)*O22,0)*(1-$K22)</f>
        <v>1034308926</v>
      </c>
      <c r="Q22" s="3236">
        <f>VLOOKUP($E22,O$442:R$453,3,FALSE)*O22*($K22)+IF($G22&gt;0,($I22/$G22)*O22,0)*(1-$K22)</f>
        <v>0</v>
      </c>
      <c r="R22" s="3236">
        <f>VLOOKUP($E22,O$442:R$453,4,FALSE)*O22*($K22)+(O22-P22-Q22)*(1-$K22)</f>
        <v>0</v>
      </c>
      <c r="S22" s="3237"/>
      <c r="V22" s="3255">
        <f>VLOOKUP($A22,'New Resources - Group'!$A$4:$Y$133,V$2,FALSE)*V$1</f>
        <v>0</v>
      </c>
      <c r="W22" s="3235">
        <f>$G22+V22</f>
        <v>1034308926</v>
      </c>
      <c r="X22" s="3236">
        <f>VLOOKUP($E22,W$442:Z$453,2,FALSE)*W22*($K22)+IF($G22&gt;0,($H22/$G22)*W22,0)*(1-$K22)</f>
        <v>1034308926</v>
      </c>
      <c r="Y22" s="3236">
        <f>VLOOKUP($E22,W$442:Z$453,3,FALSE)*W22*($K22)+IF($G22&gt;0,($I22/$G22)*W22,0)*(1-$K22)</f>
        <v>0</v>
      </c>
      <c r="Z22" s="3236">
        <f>VLOOKUP($E22,W$442:Z$453,4,FALSE)*W22*($K22)+(W22-X22-Y22)*(1-$K22)</f>
        <v>0</v>
      </c>
      <c r="AA22" s="3237"/>
      <c r="AD22" s="3255">
        <f>VLOOKUP($A22,'New Resources - Group'!$A$4:$Y$133,AD$2,FALSE)*AD$1</f>
        <v>0</v>
      </c>
      <c r="AE22" s="3235">
        <f>$G22+AD22</f>
        <v>1034308926</v>
      </c>
      <c r="AF22" s="3236">
        <f>VLOOKUP($E22,AE$442:AH$453,2,FALSE)*AE22*($K22)+IF($G22&gt;0,($H22/$G22)*AE22,0)*(1-$K22)</f>
        <v>1034308926</v>
      </c>
      <c r="AG22" s="3236">
        <f>VLOOKUP($E22,AE$442:AH$453,3,FALSE)*AE22*($K22)+IF($G22&gt;0,($I22/$G22)*AE22,0)*(1-$K22)</f>
        <v>0</v>
      </c>
      <c r="AH22" s="3236">
        <f>VLOOKUP($E22,AE$442:AH$453,4,FALSE)*AE22*($K22)+(AE22-AF22-AG22)*(1-$K22)</f>
        <v>0</v>
      </c>
      <c r="AI22" s="3237"/>
      <c r="AL22" s="3255">
        <f>VLOOKUP($A22,'New Resources - Group'!$A$4:$Y$133,AL$2,FALSE)*AL$1</f>
        <v>0</v>
      </c>
      <c r="AM22" s="3235">
        <f>$G22+AL22</f>
        <v>1034308926</v>
      </c>
      <c r="AN22" s="3236">
        <f>VLOOKUP($E22,AM$442:AP$453,2,FALSE)*AM22*($K22)+IF($G22&gt;0,($H22/$G22)*AM22,0)*(1-$K22)</f>
        <v>1034308926</v>
      </c>
      <c r="AO22" s="3236">
        <f>VLOOKUP($E22,AM$442:AP$453,3,FALSE)*AM22*($K22)+IF($G22&gt;0,($I22/$G22)*AM22,0)*(1-$K22)</f>
        <v>0</v>
      </c>
      <c r="AP22" s="3236">
        <f>VLOOKUP($E22,AM$442:AP$453,4,FALSE)*AM22*($K22)+(AM22-AN22-AO22)*(1-$K22)</f>
        <v>0</v>
      </c>
      <c r="AQ22" s="3237"/>
      <c r="AT22" s="3255">
        <f>VLOOKUP($A22,'New Resources - Group'!$A$4:$Y$133,AT$2,FALSE)*AT$1</f>
        <v>0</v>
      </c>
      <c r="AU22" s="3235">
        <f>$G22+AT22</f>
        <v>1034308926</v>
      </c>
      <c r="AV22" s="3236">
        <f>VLOOKUP($E22,AU$442:AX$453,2,FALSE)*AU22*($K22)+IF($G22&gt;0,($H22/$G22)*AU22,0)*(1-$K22)</f>
        <v>1034308926</v>
      </c>
      <c r="AW22" s="3236">
        <f>VLOOKUP($E22,AU$442:AX$453,3,FALSE)*AU22*($K22)+IF($G22&gt;0,($I22/$G22)*AU22,0)*(1-$K22)</f>
        <v>0</v>
      </c>
      <c r="AX22" s="3236">
        <f>VLOOKUP($E22,AU$442:AX$453,4,FALSE)*AU22*($K22)+(AU22-AV22-AW22)*(1-$K22)</f>
        <v>0</v>
      </c>
      <c r="AY22" s="3237"/>
      <c r="BB22" s="3255">
        <f>VLOOKUP($A22,'New Resources - Group'!$A$4:$Y$133,BB$2,FALSE)*BB$1</f>
        <v>0</v>
      </c>
      <c r="BC22" s="3235">
        <f>$G22+BB22</f>
        <v>1034308926</v>
      </c>
      <c r="BD22" s="3236">
        <f>VLOOKUP($E22,BC$442:BF$453,2,FALSE)*BC22*($K22)+IF($G22&gt;0,($H22/$G22)*BC22,0)*(1-$K22)</f>
        <v>1034308926</v>
      </c>
      <c r="BE22" s="3236">
        <f>VLOOKUP($E22,BC$442:BF$453,3,FALSE)*BC22*($K22)+IF($G22&gt;0,($I22/$G22)*BC22,0)*(1-$K22)</f>
        <v>0</v>
      </c>
      <c r="BF22" s="3236">
        <f>VLOOKUP($E22,BC$442:BF$453,4,FALSE)*BC22*($K22)+(BC22-BD22-BE22)*(1-$K22)</f>
        <v>0</v>
      </c>
      <c r="BG22" s="3237"/>
      <c r="BJ22" s="3255">
        <f>VLOOKUP($A22,'New Resources - Group'!$A$4:$Y$133,BJ$2,FALSE)*BJ$1</f>
        <v>0</v>
      </c>
      <c r="BK22" s="3235">
        <f>$G22+BJ22</f>
        <v>1034308926</v>
      </c>
      <c r="BL22" s="3236">
        <f>VLOOKUP($E22,BK$442:BN$453,2,FALSE)*BK22*($K22)+IF($G22&gt;0,($H22/$G22)*BK22,0)*(1-$K22)</f>
        <v>1034308926</v>
      </c>
      <c r="BM22" s="3236">
        <f>VLOOKUP($E22,BK$442:BN$453,3,FALSE)*BK22*($K22)+IF($G22&gt;0,($I22/$G22)*BK22,0)*(1-$K22)</f>
        <v>0</v>
      </c>
      <c r="BN22" s="3236">
        <f>VLOOKUP($E22,BK$442:BN$453,4,FALSE)*BK22*($K22)+(BK22-BL22-BM22)*(1-$K22)</f>
        <v>0</v>
      </c>
      <c r="BO22" s="3237"/>
      <c r="BR22" s="3255">
        <f>VLOOKUP($A22,'New Resources - Group'!$A$4:$Y$133,BR$2,FALSE)*BR$1</f>
        <v>0</v>
      </c>
      <c r="BS22" s="3235">
        <f>$G22+BR22</f>
        <v>1034308926</v>
      </c>
      <c r="BT22" s="3236">
        <f>VLOOKUP($E22,BS$442:BV$453,2,FALSE)*BS22*($K22)+IF($G22&gt;0,($H22/$G22)*BS22,0)*(1-$K22)</f>
        <v>1034308926</v>
      </c>
      <c r="BU22" s="3236">
        <f>VLOOKUP($E22,BS$442:BV$453,3,FALSE)*BS22*($K22)+IF($G22&gt;0,($I22/$G22)*BS22,0)*(1-$K22)</f>
        <v>0</v>
      </c>
      <c r="BV22" s="3236">
        <f>VLOOKUP($E22,BS$442:BV$453,4,FALSE)*BS22*($K22)+(BS22-BT22-BU22)*(1-$K22)</f>
        <v>0</v>
      </c>
      <c r="BW22" s="3237"/>
      <c r="BZ22" s="3255">
        <f>VLOOKUP($A22,'New Resources - Group'!$A$4:$Y$133,BZ$2,FALSE)*BZ$1</f>
        <v>0</v>
      </c>
      <c r="CA22" s="3235">
        <f>$G22+BZ22</f>
        <v>1034308926</v>
      </c>
      <c r="CB22" s="3236">
        <f>VLOOKUP($E22,CA$442:CD$453,2,FALSE)*CA22*($K22)+IF($G22&gt;0,($H22/$G22)*CA22,0)*(1-$K22)</f>
        <v>1034308926</v>
      </c>
      <c r="CC22" s="3236">
        <f>VLOOKUP($E22,CA$442:CD$453,3,FALSE)*CA22*($K22)+IF($G22&gt;0,($I22/$G22)*CA22,0)*(1-$K22)</f>
        <v>0</v>
      </c>
      <c r="CD22" s="3236">
        <f>VLOOKUP($E22,CA$442:CD$453,4,FALSE)*CA22*($K22)+(CA22-CB22-CC22)*(1-$K22)</f>
        <v>0</v>
      </c>
      <c r="CE22" s="3237"/>
      <c r="CH22" s="3255">
        <f>VLOOKUP($A22,'New Resources - Group'!$A$4:$Y$133,CH$2,FALSE)*CH$1</f>
        <v>0</v>
      </c>
      <c r="CI22" s="3235">
        <f>$G22+CH22</f>
        <v>1034308926</v>
      </c>
      <c r="CJ22" s="3236">
        <f>VLOOKUP($E22,CI$442:CL$453,2,FALSE)*CI22*($K22)+IF($G22&gt;0,($H22/$G22)*CI22,0)*(1-$K22)</f>
        <v>1034308926</v>
      </c>
      <c r="CK22" s="3236">
        <f>VLOOKUP($E22,CI$442:CL$453,3,FALSE)*CI22*($K22)+IF($G22&gt;0,($I22/$G22)*CI22,0)*(1-$K22)</f>
        <v>0</v>
      </c>
      <c r="CL22" s="3236">
        <f>VLOOKUP($E22,CI$442:CL$453,4,FALSE)*CI22*($K22)+(CI22-CJ22-CK22)*(1-$K22)</f>
        <v>0</v>
      </c>
      <c r="CM22" s="3237"/>
      <c r="CP22" s="3255">
        <f>VLOOKUP($A22,'New Resources - Group'!$A$4:$Y$133,CP$2,FALSE)*CP$1</f>
        <v>0</v>
      </c>
      <c r="CQ22" s="3235">
        <f>$G22+CP22</f>
        <v>1034308926</v>
      </c>
      <c r="CR22" s="3236">
        <f>VLOOKUP($E22,CQ$442:CT$453,2,FALSE)*CQ22*($K22)+IF($G22&gt;0,($H22/$G22)*CQ22,0)*(1-$K22)</f>
        <v>1034308926</v>
      </c>
      <c r="CS22" s="3236">
        <f>VLOOKUP($E22,CQ$442:CT$453,3,FALSE)*CQ22*($K22)+IF($G22&gt;0,($I22/$G22)*CQ22,0)*(1-$K22)</f>
        <v>0</v>
      </c>
      <c r="CT22" s="3236">
        <f>VLOOKUP($E22,CQ$442:CT$453,4,FALSE)*CQ22*($K22)+(CQ22-CR22-CS22)*(1-$K22)</f>
        <v>0</v>
      </c>
      <c r="CU22" s="3237"/>
      <c r="CX22" s="3255">
        <f>VLOOKUP($A22,'New Resources - Group'!$A$4:$Y$133,CX$2,FALSE)*CX$1</f>
        <v>0</v>
      </c>
      <c r="CY22" s="3235">
        <f>$G22+CX22</f>
        <v>1034308926</v>
      </c>
      <c r="CZ22" s="3236">
        <f>VLOOKUP($E22,CY$442:DB$453,2,FALSE)*CY22*($K22)+IF($G22&gt;0,($H22/$G22)*CY22,0)*(1-$K22)</f>
        <v>1034308926</v>
      </c>
      <c r="DA22" s="3236">
        <f>VLOOKUP($E22,CY$442:DB$453,3,FALSE)*CY22*($K22)+IF($G22&gt;0,($I22/$G22)*CY22,0)*(1-$K22)</f>
        <v>0</v>
      </c>
      <c r="DB22" s="3236">
        <f>VLOOKUP($E22,CY$442:DB$453,4,FALSE)*CY22*($K22)+(CY22-CZ22-DA22)*(1-$K22)</f>
        <v>0</v>
      </c>
      <c r="DC22" s="3237"/>
      <c r="DF22" s="3255">
        <f>VLOOKUP($A22,'New Resources - Group'!$A$4:$Y$133,DF$2,FALSE)*DF$1</f>
        <v>0</v>
      </c>
      <c r="DG22" s="3235">
        <f>$G22+DF22</f>
        <v>1034308926</v>
      </c>
      <c r="DH22" s="3236">
        <f>VLOOKUP($E22,DG$442:DJ$453,2,FALSE)*DG22*($K22)+IF($G22&gt;0,($H22/$G22)*DG22,0)*(1-$K22)</f>
        <v>1034308926</v>
      </c>
      <c r="DI22" s="3236">
        <f>VLOOKUP($E22,DG$442:DJ$453,3,FALSE)*DG22*($K22)+IF($G22&gt;0,($I22/$G22)*DG22,0)*(1-$K22)</f>
        <v>0</v>
      </c>
      <c r="DJ22" s="3236">
        <f>VLOOKUP($E22,DG$442:DJ$453,4,FALSE)*DG22*($K22)+(DG22-DH22-DI22)*(1-$K22)</f>
        <v>0</v>
      </c>
      <c r="DK22" s="3237"/>
      <c r="DN22" s="3255">
        <f>VLOOKUP($A22,'New Resources - Group'!$A$4:$Y$133,DN$2,FALSE)*DN$1</f>
        <v>0</v>
      </c>
      <c r="DO22" s="3235">
        <f>$G22+DN22</f>
        <v>1034308926</v>
      </c>
      <c r="DP22" s="3236">
        <f>VLOOKUP($E22,DO$442:DR$453,2,FALSE)*DO22*($K22)+IF($G22&gt;0,($H22/$G22)*DO22,0)*(1-$K22)</f>
        <v>1034308926</v>
      </c>
      <c r="DQ22" s="3236">
        <f>VLOOKUP($E22,DO$442:DR$453,3,FALSE)*DO22*($K22)+IF($G22&gt;0,($I22/$G22)*DO22,0)*(1-$K22)</f>
        <v>0</v>
      </c>
      <c r="DR22" s="3236">
        <f>VLOOKUP($E22,DO$442:DR$453,4,FALSE)*DO22*($K22)+(DO22-DP22-DQ22)*(1-$K22)</f>
        <v>0</v>
      </c>
      <c r="DS22" s="3237"/>
      <c r="DV22" s="3255">
        <f>VLOOKUP($A22,'New Resources - Group'!$A$4:$Y$133,DV$2,FALSE)*DV$1</f>
        <v>0</v>
      </c>
      <c r="DW22" s="3235">
        <f>$G22+DV22</f>
        <v>1034308926</v>
      </c>
      <c r="DX22" s="3236">
        <f>VLOOKUP($E22,DW$442:DZ$453,2,FALSE)*DW22*($K22)+IF($G22&gt;0,($H22/$G22)*DW22,0)*(1-$K22)</f>
        <v>1034308926</v>
      </c>
      <c r="DY22" s="3236">
        <f>VLOOKUP($E22,DW$442:DZ$453,3,FALSE)*DW22*($K22)+IF($G22&gt;0,($I22/$G22)*DW22,0)*(1-$K22)</f>
        <v>0</v>
      </c>
      <c r="DZ22" s="3236">
        <f>VLOOKUP($E22,DW$442:DZ$453,4,FALSE)*DW22*($K22)+(DW22-DX22-DY22)*(1-$K22)</f>
        <v>0</v>
      </c>
      <c r="EA22" s="3237"/>
      <c r="ED22" s="3255">
        <f>VLOOKUP($A22,'New Resources - Group'!$A$4:$Y$133,ED$2,FALSE)*ED$1</f>
        <v>0</v>
      </c>
      <c r="EE22" s="3235">
        <f>$G22+ED22</f>
        <v>1034308926</v>
      </c>
      <c r="EF22" s="3236">
        <f>VLOOKUP($E22,EE$442:EH$453,2,FALSE)*EE22*($K22)+IF($G22&gt;0,($H22/$G22)*EE22,0)*(1-$K22)</f>
        <v>1034308926</v>
      </c>
      <c r="EG22" s="3236">
        <f>VLOOKUP($E22,EE$442:EH$453,3,FALSE)*EE22*($K22)+IF($G22&gt;0,($I22/$G22)*EE22,0)*(1-$K22)</f>
        <v>0</v>
      </c>
      <c r="EH22" s="3236">
        <f>VLOOKUP($E22,EE$442:EH$453,4,FALSE)*EE22*($K22)+(EE22-EF22-EG22)*(1-$K22)</f>
        <v>0</v>
      </c>
      <c r="EI22" s="3237"/>
      <c r="EL22" s="3255">
        <f>VLOOKUP($A22,'New Resources - Group'!$A$4:$Y$133,EL$2,FALSE)*EL$1</f>
        <v>0</v>
      </c>
      <c r="EM22" s="3235">
        <f>$G22+EL22</f>
        <v>1034308926</v>
      </c>
      <c r="EN22" s="3236">
        <f>VLOOKUP($E22,EM$442:EP$453,2,FALSE)*EM22*($K22)+IF($G22&gt;0,($H22/$G22)*EM22,0)*(1-$K22)</f>
        <v>1034308926</v>
      </c>
      <c r="EO22" s="3236">
        <f>VLOOKUP($E22,EM$442:EP$453,3,FALSE)*EM22*($K22)+IF($G22&gt;0,($I22/$G22)*EM22,0)*(1-$K22)</f>
        <v>0</v>
      </c>
      <c r="EP22" s="3236">
        <f>VLOOKUP($E22,EM$442:EP$453,4,FALSE)*EM22*($K22)+(EM22-EN22-EO22)*(1-$K22)</f>
        <v>0</v>
      </c>
      <c r="EQ22" s="3237"/>
      <c r="ET22" s="3255">
        <f>VLOOKUP($A22,'New Resources - Group'!$A$4:$Y$133,ET$2,FALSE)*ET$1</f>
        <v>0</v>
      </c>
      <c r="EU22" s="3235">
        <f>$G22+ET22</f>
        <v>1034308926</v>
      </c>
      <c r="EV22" s="3236">
        <f>VLOOKUP($E22,EU$442:EX$453,2,FALSE)*EU22*($K22)+IF($G22&gt;0,($H22/$G22)*EU22,0)*(1-$K22)</f>
        <v>1034308926</v>
      </c>
      <c r="EW22" s="3236">
        <f>VLOOKUP($E22,EU$442:EX$453,3,FALSE)*EU22*($K22)+IF($G22&gt;0,($I22/$G22)*EU22,0)*(1-$K22)</f>
        <v>0</v>
      </c>
      <c r="EX22" s="3236">
        <f>VLOOKUP($E22,EU$442:EX$453,4,FALSE)*EU22*($K22)+(EU22-EV22-EW22)*(1-$K22)</f>
        <v>0</v>
      </c>
      <c r="EY22" s="3237"/>
      <c r="FB22" s="3255">
        <f>VLOOKUP($A22,'New Resources - Group'!$A$4:$Y$133,FB$2,FALSE)*FB$1</f>
        <v>0</v>
      </c>
      <c r="FC22" s="3235">
        <f>$G22+FB22</f>
        <v>1034308926</v>
      </c>
      <c r="FD22" s="3236">
        <f>VLOOKUP($E22,FC$442:FF$453,2,FALSE)*FC22*($K22)+IF($G22&gt;0,($H22/$G22)*FC22,0)*(1-$K22)</f>
        <v>1034308926</v>
      </c>
      <c r="FE22" s="3236">
        <f>VLOOKUP($E22,FC$442:FF$453,3,FALSE)*FC22*($K22)+IF($G22&gt;0,($I22/$G22)*FC22,0)*(1-$K22)</f>
        <v>0</v>
      </c>
      <c r="FF22" s="3236">
        <f>VLOOKUP($E22,FC$442:FF$453,4,FALSE)*FC22*($K22)+(FC22-FD22-FE22)*(1-$K22)</f>
        <v>0</v>
      </c>
      <c r="FG22" s="3237"/>
      <c r="FJ22" s="3255">
        <f>VLOOKUP($A22,'New Resources - Group'!$A$4:$Y$133,FJ$2,FALSE)*FJ$1</f>
        <v>0</v>
      </c>
      <c r="FK22" s="3235">
        <f>$G22+FJ22</f>
        <v>1034308926</v>
      </c>
      <c r="FL22" s="3236">
        <f>VLOOKUP($E22,FK$442:FN$453,2,FALSE)*FK22*($K22)+IF($G22&gt;0,($H22/$G22)*FK22,0)*(1-$K22)</f>
        <v>1034308926</v>
      </c>
      <c r="FM22" s="3236">
        <f>VLOOKUP($E22,FK$442:FN$453,3,FALSE)*FK22*($K22)+IF($G22&gt;0,($I22/$G22)*FK22,0)*(1-$K22)</f>
        <v>0</v>
      </c>
      <c r="FN22" s="3236">
        <f>VLOOKUP($E22,FK$442:FN$453,4,FALSE)*FK22*($K22)+(FK22-FL22-FM22)*(1-$K22)</f>
        <v>0</v>
      </c>
      <c r="FO22" s="3237"/>
    </row>
    <row r="23" spans="1:171">
      <c r="A23" s="3471">
        <v>250</v>
      </c>
      <c r="B23" s="2103" t="s">
        <v>113</v>
      </c>
      <c r="C23" s="3233" t="s">
        <v>70</v>
      </c>
      <c r="D23" s="2464" t="s">
        <v>114</v>
      </c>
      <c r="E23" s="3464" t="str">
        <f>'Sch 1- Rate Base '!E23</f>
        <v>PROD</v>
      </c>
      <c r="F23" s="2171"/>
      <c r="G23" s="2424">
        <f>'Sch 1- Rate Base '!G23</f>
        <v>0</v>
      </c>
      <c r="H23" s="2424">
        <f>'Sch 1- Rate Base '!H23</f>
        <v>0</v>
      </c>
      <c r="I23" s="2424">
        <f>'Sch 1- Rate Base '!I23</f>
        <v>0</v>
      </c>
      <c r="J23" s="3465">
        <f>'Sch 1- Rate Base '!J23</f>
        <v>0</v>
      </c>
      <c r="K23" s="3205">
        <f>IF($E23="DIRECT",0,1)</f>
        <v>1</v>
      </c>
      <c r="N23" s="3255">
        <f>VLOOKUP($A23,'New Resources - Group'!$A$4:$Y$133,N$2,FALSE)*N$1</f>
        <v>0</v>
      </c>
      <c r="O23" s="3235">
        <f>$G23+N23</f>
        <v>0</v>
      </c>
      <c r="P23" s="3236">
        <f>VLOOKUP($E23,O$442:R$453,2,FALSE)*O23*($K23)+IF($G23&gt;0,($H23/$G23)*O23,0)*(1-$K23)</f>
        <v>0</v>
      </c>
      <c r="Q23" s="3236">
        <f>VLOOKUP($E23,O$442:R$453,3,FALSE)*O23*($K23)+IF($G23&gt;0,($I23/$G23)*O23,0)*(1-$K23)</f>
        <v>0</v>
      </c>
      <c r="R23" s="3236">
        <f>VLOOKUP($E23,O$442:R$453,4,FALSE)*O23*($K23)+(O23-P23-Q23)*(1-$K23)</f>
        <v>0</v>
      </c>
      <c r="S23" s="3237"/>
      <c r="V23" s="3255">
        <f>VLOOKUP($A23,'New Resources - Group'!$A$4:$Y$133,V$2,FALSE)*V$1</f>
        <v>0</v>
      </c>
      <c r="W23" s="3235">
        <f>$G23+V23</f>
        <v>0</v>
      </c>
      <c r="X23" s="3236">
        <f>VLOOKUP($E23,W$442:Z$453,2,FALSE)*W23*($K23)+IF($G23&gt;0,($H23/$G23)*W23,0)*(1-$K23)</f>
        <v>0</v>
      </c>
      <c r="Y23" s="3236">
        <f>VLOOKUP($E23,W$442:Z$453,3,FALSE)*W23*($K23)+IF($G23&gt;0,($I23/$G23)*W23,0)*(1-$K23)</f>
        <v>0</v>
      </c>
      <c r="Z23" s="3236">
        <f>VLOOKUP($E23,W$442:Z$453,4,FALSE)*W23*($K23)+(W23-X23-Y23)*(1-$K23)</f>
        <v>0</v>
      </c>
      <c r="AA23" s="3237"/>
      <c r="AD23" s="3255">
        <f>VLOOKUP($A23,'New Resources - Group'!$A$4:$Y$133,AD$2,FALSE)*AD$1</f>
        <v>0</v>
      </c>
      <c r="AE23" s="3235">
        <f>$G23+AD23</f>
        <v>0</v>
      </c>
      <c r="AF23" s="3236">
        <f>VLOOKUP($E23,AE$442:AH$453,2,FALSE)*AE23*($K23)+IF($G23&gt;0,($H23/$G23)*AE23,0)*(1-$K23)</f>
        <v>0</v>
      </c>
      <c r="AG23" s="3236">
        <f>VLOOKUP($E23,AE$442:AH$453,3,FALSE)*AE23*($K23)+IF($G23&gt;0,($I23/$G23)*AE23,0)*(1-$K23)</f>
        <v>0</v>
      </c>
      <c r="AH23" s="3236">
        <f>VLOOKUP($E23,AE$442:AH$453,4,FALSE)*AE23*($K23)+(AE23-AF23-AG23)*(1-$K23)</f>
        <v>0</v>
      </c>
      <c r="AI23" s="3237"/>
      <c r="AL23" s="3255">
        <f>VLOOKUP($A23,'New Resources - Group'!$A$4:$Y$133,AL$2,FALSE)*AL$1</f>
        <v>0</v>
      </c>
      <c r="AM23" s="3235">
        <f>$G23+AL23</f>
        <v>0</v>
      </c>
      <c r="AN23" s="3236">
        <f>VLOOKUP($E23,AM$442:AP$453,2,FALSE)*AM23*($K23)+IF($G23&gt;0,($H23/$G23)*AM23,0)*(1-$K23)</f>
        <v>0</v>
      </c>
      <c r="AO23" s="3236">
        <f>VLOOKUP($E23,AM$442:AP$453,3,FALSE)*AM23*($K23)+IF($G23&gt;0,($I23/$G23)*AM23,0)*(1-$K23)</f>
        <v>0</v>
      </c>
      <c r="AP23" s="3236">
        <f>VLOOKUP($E23,AM$442:AP$453,4,FALSE)*AM23*($K23)+(AM23-AN23-AO23)*(1-$K23)</f>
        <v>0</v>
      </c>
      <c r="AQ23" s="3237"/>
      <c r="AT23" s="3255">
        <f>VLOOKUP($A23,'New Resources - Group'!$A$4:$Y$133,AT$2,FALSE)*AT$1</f>
        <v>0</v>
      </c>
      <c r="AU23" s="3235">
        <f>$G23+AT23</f>
        <v>0</v>
      </c>
      <c r="AV23" s="3236">
        <f>VLOOKUP($E23,AU$442:AX$453,2,FALSE)*AU23*($K23)+IF($G23&gt;0,($H23/$G23)*AU23,0)*(1-$K23)</f>
        <v>0</v>
      </c>
      <c r="AW23" s="3236">
        <f>VLOOKUP($E23,AU$442:AX$453,3,FALSE)*AU23*($K23)+IF($G23&gt;0,($I23/$G23)*AU23,0)*(1-$K23)</f>
        <v>0</v>
      </c>
      <c r="AX23" s="3236">
        <f>VLOOKUP($E23,AU$442:AX$453,4,FALSE)*AU23*($K23)+(AU23-AV23-AW23)*(1-$K23)</f>
        <v>0</v>
      </c>
      <c r="AY23" s="3237"/>
      <c r="BB23" s="3255">
        <f>VLOOKUP($A23,'New Resources - Group'!$A$4:$Y$133,BB$2,FALSE)*BB$1</f>
        <v>0</v>
      </c>
      <c r="BC23" s="3235">
        <f>$G23+BB23</f>
        <v>0</v>
      </c>
      <c r="BD23" s="3236">
        <f>VLOOKUP($E23,BC$442:BF$453,2,FALSE)*BC23*($K23)+IF($G23&gt;0,($H23/$G23)*BC23,0)*(1-$K23)</f>
        <v>0</v>
      </c>
      <c r="BE23" s="3236">
        <f>VLOOKUP($E23,BC$442:BF$453,3,FALSE)*BC23*($K23)+IF($G23&gt;0,($I23/$G23)*BC23,0)*(1-$K23)</f>
        <v>0</v>
      </c>
      <c r="BF23" s="3236">
        <f>VLOOKUP($E23,BC$442:BF$453,4,FALSE)*BC23*($K23)+(BC23-BD23-BE23)*(1-$K23)</f>
        <v>0</v>
      </c>
      <c r="BG23" s="3237"/>
      <c r="BJ23" s="3255">
        <f>VLOOKUP($A23,'New Resources - Group'!$A$4:$Y$133,BJ$2,FALSE)*BJ$1</f>
        <v>0</v>
      </c>
      <c r="BK23" s="3235">
        <f>$G23+BJ23</f>
        <v>0</v>
      </c>
      <c r="BL23" s="3236">
        <f>VLOOKUP($E23,BK$442:BN$453,2,FALSE)*BK23*($K23)+IF($G23&gt;0,($H23/$G23)*BK23,0)*(1-$K23)</f>
        <v>0</v>
      </c>
      <c r="BM23" s="3236">
        <f>VLOOKUP($E23,BK$442:BN$453,3,FALSE)*BK23*($K23)+IF($G23&gt;0,($I23/$G23)*BK23,0)*(1-$K23)</f>
        <v>0</v>
      </c>
      <c r="BN23" s="3236">
        <f>VLOOKUP($E23,BK$442:BN$453,4,FALSE)*BK23*($K23)+(BK23-BL23-BM23)*(1-$K23)</f>
        <v>0</v>
      </c>
      <c r="BO23" s="3237"/>
      <c r="BR23" s="3255">
        <f>VLOOKUP($A23,'New Resources - Group'!$A$4:$Y$133,BR$2,FALSE)*BR$1</f>
        <v>0</v>
      </c>
      <c r="BS23" s="3235">
        <f>$G23+BR23</f>
        <v>0</v>
      </c>
      <c r="BT23" s="3236">
        <f>VLOOKUP($E23,BS$442:BV$453,2,FALSE)*BS23*($K23)+IF($G23&gt;0,($H23/$G23)*BS23,0)*(1-$K23)</f>
        <v>0</v>
      </c>
      <c r="BU23" s="3236">
        <f>VLOOKUP($E23,BS$442:BV$453,3,FALSE)*BS23*($K23)+IF($G23&gt;0,($I23/$G23)*BS23,0)*(1-$K23)</f>
        <v>0</v>
      </c>
      <c r="BV23" s="3236">
        <f>VLOOKUP($E23,BS$442:BV$453,4,FALSE)*BS23*($K23)+(BS23-BT23-BU23)*(1-$K23)</f>
        <v>0</v>
      </c>
      <c r="BW23" s="3237"/>
      <c r="BZ23" s="3255">
        <f>VLOOKUP($A23,'New Resources - Group'!$A$4:$Y$133,BZ$2,FALSE)*BZ$1</f>
        <v>0</v>
      </c>
      <c r="CA23" s="3235">
        <f>$G23+BZ23</f>
        <v>0</v>
      </c>
      <c r="CB23" s="3236">
        <f>VLOOKUP($E23,CA$442:CD$453,2,FALSE)*CA23*($K23)+IF($G23&gt;0,($H23/$G23)*CA23,0)*(1-$K23)</f>
        <v>0</v>
      </c>
      <c r="CC23" s="3236">
        <f>VLOOKUP($E23,CA$442:CD$453,3,FALSE)*CA23*($K23)+IF($G23&gt;0,($I23/$G23)*CA23,0)*(1-$K23)</f>
        <v>0</v>
      </c>
      <c r="CD23" s="3236">
        <f>VLOOKUP($E23,CA$442:CD$453,4,FALSE)*CA23*($K23)+(CA23-CB23-CC23)*(1-$K23)</f>
        <v>0</v>
      </c>
      <c r="CE23" s="3237"/>
      <c r="CH23" s="3255">
        <f>VLOOKUP($A23,'New Resources - Group'!$A$4:$Y$133,CH$2,FALSE)*CH$1</f>
        <v>0</v>
      </c>
      <c r="CI23" s="3235">
        <f>$G23+CH23</f>
        <v>0</v>
      </c>
      <c r="CJ23" s="3236">
        <f>VLOOKUP($E23,CI$442:CL$453,2,FALSE)*CI23*($K23)+IF($G23&gt;0,($H23/$G23)*CI23,0)*(1-$K23)</f>
        <v>0</v>
      </c>
      <c r="CK23" s="3236">
        <f>VLOOKUP($E23,CI$442:CL$453,3,FALSE)*CI23*($K23)+IF($G23&gt;0,($I23/$G23)*CI23,0)*(1-$K23)</f>
        <v>0</v>
      </c>
      <c r="CL23" s="3236">
        <f>VLOOKUP($E23,CI$442:CL$453,4,FALSE)*CI23*($K23)+(CI23-CJ23-CK23)*(1-$K23)</f>
        <v>0</v>
      </c>
      <c r="CM23" s="3237"/>
      <c r="CP23" s="3255">
        <f>VLOOKUP($A23,'New Resources - Group'!$A$4:$Y$133,CP$2,FALSE)*CP$1</f>
        <v>0</v>
      </c>
      <c r="CQ23" s="3235">
        <f>$G23+CP23</f>
        <v>0</v>
      </c>
      <c r="CR23" s="3236">
        <f>VLOOKUP($E23,CQ$442:CT$453,2,FALSE)*CQ23*($K23)+IF($G23&gt;0,($H23/$G23)*CQ23,0)*(1-$K23)</f>
        <v>0</v>
      </c>
      <c r="CS23" s="3236">
        <f>VLOOKUP($E23,CQ$442:CT$453,3,FALSE)*CQ23*($K23)+IF($G23&gt;0,($I23/$G23)*CQ23,0)*(1-$K23)</f>
        <v>0</v>
      </c>
      <c r="CT23" s="3236">
        <f>VLOOKUP($E23,CQ$442:CT$453,4,FALSE)*CQ23*($K23)+(CQ23-CR23-CS23)*(1-$K23)</f>
        <v>0</v>
      </c>
      <c r="CU23" s="3237"/>
      <c r="CX23" s="3255">
        <f>VLOOKUP($A23,'New Resources - Group'!$A$4:$Y$133,CX$2,FALSE)*CX$1</f>
        <v>0</v>
      </c>
      <c r="CY23" s="3235">
        <f>$G23+CX23</f>
        <v>0</v>
      </c>
      <c r="CZ23" s="3236">
        <f>VLOOKUP($E23,CY$442:DB$453,2,FALSE)*CY23*($K23)+IF($G23&gt;0,($H23/$G23)*CY23,0)*(1-$K23)</f>
        <v>0</v>
      </c>
      <c r="DA23" s="3236">
        <f>VLOOKUP($E23,CY$442:DB$453,3,FALSE)*CY23*($K23)+IF($G23&gt;0,($I23/$G23)*CY23,0)*(1-$K23)</f>
        <v>0</v>
      </c>
      <c r="DB23" s="3236">
        <f>VLOOKUP($E23,CY$442:DB$453,4,FALSE)*CY23*($K23)+(CY23-CZ23-DA23)*(1-$K23)</f>
        <v>0</v>
      </c>
      <c r="DC23" s="3237"/>
      <c r="DF23" s="3255">
        <f>VLOOKUP($A23,'New Resources - Group'!$A$4:$Y$133,DF$2,FALSE)*DF$1</f>
        <v>0</v>
      </c>
      <c r="DG23" s="3235">
        <f>$G23+DF23</f>
        <v>0</v>
      </c>
      <c r="DH23" s="3236">
        <f>VLOOKUP($E23,DG$442:DJ$453,2,FALSE)*DG23*($K23)+IF($G23&gt;0,($H23/$G23)*DG23,0)*(1-$K23)</f>
        <v>0</v>
      </c>
      <c r="DI23" s="3236">
        <f>VLOOKUP($E23,DG$442:DJ$453,3,FALSE)*DG23*($K23)+IF($G23&gt;0,($I23/$G23)*DG23,0)*(1-$K23)</f>
        <v>0</v>
      </c>
      <c r="DJ23" s="3236">
        <f>VLOOKUP($E23,DG$442:DJ$453,4,FALSE)*DG23*($K23)+(DG23-DH23-DI23)*(1-$K23)</f>
        <v>0</v>
      </c>
      <c r="DK23" s="3237"/>
      <c r="DN23" s="3255">
        <f>VLOOKUP($A23,'New Resources - Group'!$A$4:$Y$133,DN$2,FALSE)*DN$1</f>
        <v>0</v>
      </c>
      <c r="DO23" s="3235">
        <f>$G23+DN23</f>
        <v>0</v>
      </c>
      <c r="DP23" s="3236">
        <f>VLOOKUP($E23,DO$442:DR$453,2,FALSE)*DO23*($K23)+IF($G23&gt;0,($H23/$G23)*DO23,0)*(1-$K23)</f>
        <v>0</v>
      </c>
      <c r="DQ23" s="3236">
        <f>VLOOKUP($E23,DO$442:DR$453,3,FALSE)*DO23*($K23)+IF($G23&gt;0,($I23/$G23)*DO23,0)*(1-$K23)</f>
        <v>0</v>
      </c>
      <c r="DR23" s="3236">
        <f>VLOOKUP($E23,DO$442:DR$453,4,FALSE)*DO23*($K23)+(DO23-DP23-DQ23)*(1-$K23)</f>
        <v>0</v>
      </c>
      <c r="DS23" s="3237"/>
      <c r="DV23" s="3255">
        <f>VLOOKUP($A23,'New Resources - Group'!$A$4:$Y$133,DV$2,FALSE)*DV$1</f>
        <v>0</v>
      </c>
      <c r="DW23" s="3235">
        <f>$G23+DV23</f>
        <v>0</v>
      </c>
      <c r="DX23" s="3236">
        <f>VLOOKUP($E23,DW$442:DZ$453,2,FALSE)*DW23*($K23)+IF($G23&gt;0,($H23/$G23)*DW23,0)*(1-$K23)</f>
        <v>0</v>
      </c>
      <c r="DY23" s="3236">
        <f>VLOOKUP($E23,DW$442:DZ$453,3,FALSE)*DW23*($K23)+IF($G23&gt;0,($I23/$G23)*DW23,0)*(1-$K23)</f>
        <v>0</v>
      </c>
      <c r="DZ23" s="3236">
        <f>VLOOKUP($E23,DW$442:DZ$453,4,FALSE)*DW23*($K23)+(DW23-DX23-DY23)*(1-$K23)</f>
        <v>0</v>
      </c>
      <c r="EA23" s="3237"/>
      <c r="ED23" s="3255">
        <f>VLOOKUP($A23,'New Resources - Group'!$A$4:$Y$133,ED$2,FALSE)*ED$1</f>
        <v>0</v>
      </c>
      <c r="EE23" s="3235">
        <f>$G23+ED23</f>
        <v>0</v>
      </c>
      <c r="EF23" s="3236">
        <f>VLOOKUP($E23,EE$442:EH$453,2,FALSE)*EE23*($K23)+IF($G23&gt;0,($H23/$G23)*EE23,0)*(1-$K23)</f>
        <v>0</v>
      </c>
      <c r="EG23" s="3236">
        <f>VLOOKUP($E23,EE$442:EH$453,3,FALSE)*EE23*($K23)+IF($G23&gt;0,($I23/$G23)*EE23,0)*(1-$K23)</f>
        <v>0</v>
      </c>
      <c r="EH23" s="3236">
        <f>VLOOKUP($E23,EE$442:EH$453,4,FALSE)*EE23*($K23)+(EE23-EF23-EG23)*(1-$K23)</f>
        <v>0</v>
      </c>
      <c r="EI23" s="3237"/>
      <c r="EL23" s="3255">
        <f>VLOOKUP($A23,'New Resources - Group'!$A$4:$Y$133,EL$2,FALSE)*EL$1</f>
        <v>0</v>
      </c>
      <c r="EM23" s="3235">
        <f>$G23+EL23</f>
        <v>0</v>
      </c>
      <c r="EN23" s="3236">
        <f>VLOOKUP($E23,EM$442:EP$453,2,FALSE)*EM23*($K23)+IF($G23&gt;0,($H23/$G23)*EM23,0)*(1-$K23)</f>
        <v>0</v>
      </c>
      <c r="EO23" s="3236">
        <f>VLOOKUP($E23,EM$442:EP$453,3,FALSE)*EM23*($K23)+IF($G23&gt;0,($I23/$G23)*EM23,0)*(1-$K23)</f>
        <v>0</v>
      </c>
      <c r="EP23" s="3236">
        <f>VLOOKUP($E23,EM$442:EP$453,4,FALSE)*EM23*($K23)+(EM23-EN23-EO23)*(1-$K23)</f>
        <v>0</v>
      </c>
      <c r="EQ23" s="3237"/>
      <c r="ET23" s="3255">
        <f>VLOOKUP($A23,'New Resources - Group'!$A$4:$Y$133,ET$2,FALSE)*ET$1</f>
        <v>0</v>
      </c>
      <c r="EU23" s="3235">
        <f>$G23+ET23</f>
        <v>0</v>
      </c>
      <c r="EV23" s="3236">
        <f>VLOOKUP($E23,EU$442:EX$453,2,FALSE)*EU23*($K23)+IF($G23&gt;0,($H23/$G23)*EU23,0)*(1-$K23)</f>
        <v>0</v>
      </c>
      <c r="EW23" s="3236">
        <f>VLOOKUP($E23,EU$442:EX$453,3,FALSE)*EU23*($K23)+IF($G23&gt;0,($I23/$G23)*EU23,0)*(1-$K23)</f>
        <v>0</v>
      </c>
      <c r="EX23" s="3236">
        <f>VLOOKUP($E23,EU$442:EX$453,4,FALSE)*EU23*($K23)+(EU23-EV23-EW23)*(1-$K23)</f>
        <v>0</v>
      </c>
      <c r="EY23" s="3237"/>
      <c r="FB23" s="3255">
        <f>VLOOKUP($A23,'New Resources - Group'!$A$4:$Y$133,FB$2,FALSE)*FB$1</f>
        <v>0</v>
      </c>
      <c r="FC23" s="3235">
        <f>$G23+FB23</f>
        <v>0</v>
      </c>
      <c r="FD23" s="3236">
        <f>VLOOKUP($E23,FC$442:FF$453,2,FALSE)*FC23*($K23)+IF($G23&gt;0,($H23/$G23)*FC23,0)*(1-$K23)</f>
        <v>0</v>
      </c>
      <c r="FE23" s="3236">
        <f>VLOOKUP($E23,FC$442:FF$453,3,FALSE)*FC23*($K23)+IF($G23&gt;0,($I23/$G23)*FC23,0)*(1-$K23)</f>
        <v>0</v>
      </c>
      <c r="FF23" s="3236">
        <f>VLOOKUP($E23,FC$442:FF$453,4,FALSE)*FC23*($K23)+(FC23-FD23-FE23)*(1-$K23)</f>
        <v>0</v>
      </c>
      <c r="FG23" s="3237"/>
      <c r="FJ23" s="3255">
        <f>VLOOKUP($A23,'New Resources - Group'!$A$4:$Y$133,FJ$2,FALSE)*FJ$1</f>
        <v>0</v>
      </c>
      <c r="FK23" s="3235">
        <f>$G23+FJ23</f>
        <v>0</v>
      </c>
      <c r="FL23" s="3236">
        <f>VLOOKUP($E23,FK$442:FN$453,2,FALSE)*FK23*($K23)+IF($G23&gt;0,($H23/$G23)*FK23,0)*(1-$K23)</f>
        <v>0</v>
      </c>
      <c r="FM23" s="3236">
        <f>VLOOKUP($E23,FK$442:FN$453,3,FALSE)*FK23*($K23)+IF($G23&gt;0,($I23/$G23)*FK23,0)*(1-$K23)</f>
        <v>0</v>
      </c>
      <c r="FN23" s="3236">
        <f>VLOOKUP($E23,FK$442:FN$453,4,FALSE)*FK23*($K23)+(FK23-FL23-FM23)*(1-$K23)</f>
        <v>0</v>
      </c>
      <c r="FO23" s="3237"/>
    </row>
    <row r="24" spans="1:171">
      <c r="A24" s="3471">
        <v>380</v>
      </c>
      <c r="B24" s="2103" t="s">
        <v>115</v>
      </c>
      <c r="C24" s="3233" t="s">
        <v>70</v>
      </c>
      <c r="D24" s="2464" t="s">
        <v>116</v>
      </c>
      <c r="E24" s="3464" t="str">
        <f>'Sch 1- Rate Base '!E24</f>
        <v>PROD</v>
      </c>
      <c r="F24" s="2171"/>
      <c r="G24" s="2424">
        <f>'Sch 1- Rate Base '!G24</f>
        <v>788941762</v>
      </c>
      <c r="H24" s="2424">
        <f>'Sch 1- Rate Base '!H24</f>
        <v>788941762</v>
      </c>
      <c r="I24" s="2424">
        <f>'Sch 1- Rate Base '!I24</f>
        <v>0</v>
      </c>
      <c r="J24" s="3465">
        <f>'Sch 1- Rate Base '!J24</f>
        <v>0</v>
      </c>
      <c r="K24" s="3205">
        <f>IF($E24="DIRECT",0,1)</f>
        <v>1</v>
      </c>
      <c r="N24" s="3255">
        <f>VLOOKUP($A24,'New Resources - Group'!$A$4:$Y$133,N$2,FALSE)*N$1</f>
        <v>0</v>
      </c>
      <c r="O24" s="3235">
        <f>$G24+N24</f>
        <v>788941762</v>
      </c>
      <c r="P24" s="3236">
        <f>VLOOKUP($E24,O$442:R$453,2,FALSE)*O24*($K24)+IF($G24&gt;0,($H24/$G24)*O24,0)*(1-$K24)</f>
        <v>788941762</v>
      </c>
      <c r="Q24" s="3236">
        <f>VLOOKUP($E24,O$442:R$453,3,FALSE)*O24*($K24)+IF($G24&gt;0,($I24/$G24)*O24,0)*(1-$K24)</f>
        <v>0</v>
      </c>
      <c r="R24" s="3236">
        <f>VLOOKUP($E24,O$442:R$453,4,FALSE)*O24*($K24)+(O24-P24-Q24)*(1-$K24)</f>
        <v>0</v>
      </c>
      <c r="S24" s="3237"/>
      <c r="V24" s="3255">
        <f>VLOOKUP($A24,'New Resources - Group'!$A$4:$Y$133,V$2,FALSE)*V$1</f>
        <v>0</v>
      </c>
      <c r="W24" s="3235">
        <f>$G24+V24</f>
        <v>788941762</v>
      </c>
      <c r="X24" s="3236">
        <f>VLOOKUP($E24,W$442:Z$453,2,FALSE)*W24*($K24)+IF($G24&gt;0,($H24/$G24)*W24,0)*(1-$K24)</f>
        <v>788941762</v>
      </c>
      <c r="Y24" s="3236">
        <f>VLOOKUP($E24,W$442:Z$453,3,FALSE)*W24*($K24)+IF($G24&gt;0,($I24/$G24)*W24,0)*(1-$K24)</f>
        <v>0</v>
      </c>
      <c r="Z24" s="3236">
        <f>VLOOKUP($E24,W$442:Z$453,4,FALSE)*W24*($K24)+(W24-X24-Y24)*(1-$K24)</f>
        <v>0</v>
      </c>
      <c r="AA24" s="3237"/>
      <c r="AD24" s="3255">
        <f>VLOOKUP($A24,'New Resources - Group'!$A$4:$Y$133,AD$2,FALSE)*AD$1</f>
        <v>0</v>
      </c>
      <c r="AE24" s="3235">
        <f>$G24+AD24</f>
        <v>788941762</v>
      </c>
      <c r="AF24" s="3236">
        <f>VLOOKUP($E24,AE$442:AH$453,2,FALSE)*AE24*($K24)+IF($G24&gt;0,($H24/$G24)*AE24,0)*(1-$K24)</f>
        <v>788941762</v>
      </c>
      <c r="AG24" s="3236">
        <f>VLOOKUP($E24,AE$442:AH$453,3,FALSE)*AE24*($K24)+IF($G24&gt;0,($I24/$G24)*AE24,0)*(1-$K24)</f>
        <v>0</v>
      </c>
      <c r="AH24" s="3236">
        <f>VLOOKUP($E24,AE$442:AH$453,4,FALSE)*AE24*($K24)+(AE24-AF24-AG24)*(1-$K24)</f>
        <v>0</v>
      </c>
      <c r="AI24" s="3237"/>
      <c r="AL24" s="3255">
        <f>VLOOKUP($A24,'New Resources - Group'!$A$4:$Y$133,AL$2,FALSE)*AL$1</f>
        <v>0</v>
      </c>
      <c r="AM24" s="3235">
        <f>$G24+AL24</f>
        <v>788941762</v>
      </c>
      <c r="AN24" s="3236">
        <f>VLOOKUP($E24,AM$442:AP$453,2,FALSE)*AM24*($K24)+IF($G24&gt;0,($H24/$G24)*AM24,0)*(1-$K24)</f>
        <v>788941762</v>
      </c>
      <c r="AO24" s="3236">
        <f>VLOOKUP($E24,AM$442:AP$453,3,FALSE)*AM24*($K24)+IF($G24&gt;0,($I24/$G24)*AM24,0)*(1-$K24)</f>
        <v>0</v>
      </c>
      <c r="AP24" s="3236">
        <f>VLOOKUP($E24,AM$442:AP$453,4,FALSE)*AM24*($K24)+(AM24-AN24-AO24)*(1-$K24)</f>
        <v>0</v>
      </c>
      <c r="AQ24" s="3237"/>
      <c r="AT24" s="3255">
        <f>VLOOKUP($A24,'New Resources - Group'!$A$4:$Y$133,AT$2,FALSE)*AT$1</f>
        <v>0</v>
      </c>
      <c r="AU24" s="3235">
        <f>$G24+AT24</f>
        <v>788941762</v>
      </c>
      <c r="AV24" s="3236">
        <f>VLOOKUP($E24,AU$442:AX$453,2,FALSE)*AU24*($K24)+IF($G24&gt;0,($H24/$G24)*AU24,0)*(1-$K24)</f>
        <v>788941762</v>
      </c>
      <c r="AW24" s="3236">
        <f>VLOOKUP($E24,AU$442:AX$453,3,FALSE)*AU24*($K24)+IF($G24&gt;0,($I24/$G24)*AU24,0)*(1-$K24)</f>
        <v>0</v>
      </c>
      <c r="AX24" s="3236">
        <f>VLOOKUP($E24,AU$442:AX$453,4,FALSE)*AU24*($K24)+(AU24-AV24-AW24)*(1-$K24)</f>
        <v>0</v>
      </c>
      <c r="AY24" s="3237"/>
      <c r="BB24" s="3255">
        <f>VLOOKUP($A24,'New Resources - Group'!$A$4:$Y$133,BB$2,FALSE)*BB$1</f>
        <v>0</v>
      </c>
      <c r="BC24" s="3235">
        <f>$G24+BB24</f>
        <v>788941762</v>
      </c>
      <c r="BD24" s="3236">
        <f>VLOOKUP($E24,BC$442:BF$453,2,FALSE)*BC24*($K24)+IF($G24&gt;0,($H24/$G24)*BC24,0)*(1-$K24)</f>
        <v>788941762</v>
      </c>
      <c r="BE24" s="3236">
        <f>VLOOKUP($E24,BC$442:BF$453,3,FALSE)*BC24*($K24)+IF($G24&gt;0,($I24/$G24)*BC24,0)*(1-$K24)</f>
        <v>0</v>
      </c>
      <c r="BF24" s="3236">
        <f>VLOOKUP($E24,BC$442:BF$453,4,FALSE)*BC24*($K24)+(BC24-BD24-BE24)*(1-$K24)</f>
        <v>0</v>
      </c>
      <c r="BG24" s="3237"/>
      <c r="BJ24" s="3255">
        <f>VLOOKUP($A24,'New Resources - Group'!$A$4:$Y$133,BJ$2,FALSE)*BJ$1</f>
        <v>0</v>
      </c>
      <c r="BK24" s="3235">
        <f>$G24+BJ24</f>
        <v>788941762</v>
      </c>
      <c r="BL24" s="3236">
        <f>VLOOKUP($E24,BK$442:BN$453,2,FALSE)*BK24*($K24)+IF($G24&gt;0,($H24/$G24)*BK24,0)*(1-$K24)</f>
        <v>788941762</v>
      </c>
      <c r="BM24" s="3236">
        <f>VLOOKUP($E24,BK$442:BN$453,3,FALSE)*BK24*($K24)+IF($G24&gt;0,($I24/$G24)*BK24,0)*(1-$K24)</f>
        <v>0</v>
      </c>
      <c r="BN24" s="3236">
        <f>VLOOKUP($E24,BK$442:BN$453,4,FALSE)*BK24*($K24)+(BK24-BL24-BM24)*(1-$K24)</f>
        <v>0</v>
      </c>
      <c r="BO24" s="3237"/>
      <c r="BR24" s="3255">
        <f>VLOOKUP($A24,'New Resources - Group'!$A$4:$Y$133,BR$2,FALSE)*BR$1</f>
        <v>0</v>
      </c>
      <c r="BS24" s="3235">
        <f>$G24+BR24</f>
        <v>788941762</v>
      </c>
      <c r="BT24" s="3236">
        <f>VLOOKUP($E24,BS$442:BV$453,2,FALSE)*BS24*($K24)+IF($G24&gt;0,($H24/$G24)*BS24,0)*(1-$K24)</f>
        <v>788941762</v>
      </c>
      <c r="BU24" s="3236">
        <f>VLOOKUP($E24,BS$442:BV$453,3,FALSE)*BS24*($K24)+IF($G24&gt;0,($I24/$G24)*BS24,0)*(1-$K24)</f>
        <v>0</v>
      </c>
      <c r="BV24" s="3236">
        <f>VLOOKUP($E24,BS$442:BV$453,4,FALSE)*BS24*($K24)+(BS24-BT24-BU24)*(1-$K24)</f>
        <v>0</v>
      </c>
      <c r="BW24" s="3237"/>
      <c r="BZ24" s="3255">
        <f>VLOOKUP($A24,'New Resources - Group'!$A$4:$Y$133,BZ$2,FALSE)*BZ$1</f>
        <v>0</v>
      </c>
      <c r="CA24" s="3235">
        <f>$G24+BZ24</f>
        <v>788941762</v>
      </c>
      <c r="CB24" s="3236">
        <f>VLOOKUP($E24,CA$442:CD$453,2,FALSE)*CA24*($K24)+IF($G24&gt;0,($H24/$G24)*CA24,0)*(1-$K24)</f>
        <v>788941762</v>
      </c>
      <c r="CC24" s="3236">
        <f>VLOOKUP($E24,CA$442:CD$453,3,FALSE)*CA24*($K24)+IF($G24&gt;0,($I24/$G24)*CA24,0)*(1-$K24)</f>
        <v>0</v>
      </c>
      <c r="CD24" s="3236">
        <f>VLOOKUP($E24,CA$442:CD$453,4,FALSE)*CA24*($K24)+(CA24-CB24-CC24)*(1-$K24)</f>
        <v>0</v>
      </c>
      <c r="CE24" s="3237"/>
      <c r="CH24" s="3255">
        <f>VLOOKUP($A24,'New Resources - Group'!$A$4:$Y$133,CH$2,FALSE)*CH$1</f>
        <v>0</v>
      </c>
      <c r="CI24" s="3235">
        <f>$G24+CH24</f>
        <v>788941762</v>
      </c>
      <c r="CJ24" s="3236">
        <f>VLOOKUP($E24,CI$442:CL$453,2,FALSE)*CI24*($K24)+IF($G24&gt;0,($H24/$G24)*CI24,0)*(1-$K24)</f>
        <v>788941762</v>
      </c>
      <c r="CK24" s="3236">
        <f>VLOOKUP($E24,CI$442:CL$453,3,FALSE)*CI24*($K24)+IF($G24&gt;0,($I24/$G24)*CI24,0)*(1-$K24)</f>
        <v>0</v>
      </c>
      <c r="CL24" s="3236">
        <f>VLOOKUP($E24,CI$442:CL$453,4,FALSE)*CI24*($K24)+(CI24-CJ24-CK24)*(1-$K24)</f>
        <v>0</v>
      </c>
      <c r="CM24" s="3237"/>
      <c r="CP24" s="3255">
        <f>VLOOKUP($A24,'New Resources - Group'!$A$4:$Y$133,CP$2,FALSE)*CP$1</f>
        <v>0</v>
      </c>
      <c r="CQ24" s="3235">
        <f>$G24+CP24</f>
        <v>788941762</v>
      </c>
      <c r="CR24" s="3236">
        <f>VLOOKUP($E24,CQ$442:CT$453,2,FALSE)*CQ24*($K24)+IF($G24&gt;0,($H24/$G24)*CQ24,0)*(1-$K24)</f>
        <v>788941762</v>
      </c>
      <c r="CS24" s="3236">
        <f>VLOOKUP($E24,CQ$442:CT$453,3,FALSE)*CQ24*($K24)+IF($G24&gt;0,($I24/$G24)*CQ24,0)*(1-$K24)</f>
        <v>0</v>
      </c>
      <c r="CT24" s="3236">
        <f>VLOOKUP($E24,CQ$442:CT$453,4,FALSE)*CQ24*($K24)+(CQ24-CR24-CS24)*(1-$K24)</f>
        <v>0</v>
      </c>
      <c r="CU24" s="3237"/>
      <c r="CX24" s="3255">
        <f>VLOOKUP($A24,'New Resources - Group'!$A$4:$Y$133,CX$2,FALSE)*CX$1</f>
        <v>0</v>
      </c>
      <c r="CY24" s="3235">
        <f>$G24+CX24</f>
        <v>788941762</v>
      </c>
      <c r="CZ24" s="3236">
        <f>VLOOKUP($E24,CY$442:DB$453,2,FALSE)*CY24*($K24)+IF($G24&gt;0,($H24/$G24)*CY24,0)*(1-$K24)</f>
        <v>788941762</v>
      </c>
      <c r="DA24" s="3236">
        <f>VLOOKUP($E24,CY$442:DB$453,3,FALSE)*CY24*($K24)+IF($G24&gt;0,($I24/$G24)*CY24,0)*(1-$K24)</f>
        <v>0</v>
      </c>
      <c r="DB24" s="3236">
        <f>VLOOKUP($E24,CY$442:DB$453,4,FALSE)*CY24*($K24)+(CY24-CZ24-DA24)*(1-$K24)</f>
        <v>0</v>
      </c>
      <c r="DC24" s="3237"/>
      <c r="DF24" s="3255">
        <f>VLOOKUP($A24,'New Resources - Group'!$A$4:$Y$133,DF$2,FALSE)*DF$1</f>
        <v>0</v>
      </c>
      <c r="DG24" s="3235">
        <f>$G24+DF24</f>
        <v>788941762</v>
      </c>
      <c r="DH24" s="3236">
        <f>VLOOKUP($E24,DG$442:DJ$453,2,FALSE)*DG24*($K24)+IF($G24&gt;0,($H24/$G24)*DG24,0)*(1-$K24)</f>
        <v>788941762</v>
      </c>
      <c r="DI24" s="3236">
        <f>VLOOKUP($E24,DG$442:DJ$453,3,FALSE)*DG24*($K24)+IF($G24&gt;0,($I24/$G24)*DG24,0)*(1-$K24)</f>
        <v>0</v>
      </c>
      <c r="DJ24" s="3236">
        <f>VLOOKUP($E24,DG$442:DJ$453,4,FALSE)*DG24*($K24)+(DG24-DH24-DI24)*(1-$K24)</f>
        <v>0</v>
      </c>
      <c r="DK24" s="3237"/>
      <c r="DN24" s="3255">
        <f>VLOOKUP($A24,'New Resources - Group'!$A$4:$Y$133,DN$2,FALSE)*DN$1</f>
        <v>0</v>
      </c>
      <c r="DO24" s="3235">
        <f>$G24+DN24</f>
        <v>788941762</v>
      </c>
      <c r="DP24" s="3236">
        <f>VLOOKUP($E24,DO$442:DR$453,2,FALSE)*DO24*($K24)+IF($G24&gt;0,($H24/$G24)*DO24,0)*(1-$K24)</f>
        <v>788941762</v>
      </c>
      <c r="DQ24" s="3236">
        <f>VLOOKUP($E24,DO$442:DR$453,3,FALSE)*DO24*($K24)+IF($G24&gt;0,($I24/$G24)*DO24,0)*(1-$K24)</f>
        <v>0</v>
      </c>
      <c r="DR24" s="3236">
        <f>VLOOKUP($E24,DO$442:DR$453,4,FALSE)*DO24*($K24)+(DO24-DP24-DQ24)*(1-$K24)</f>
        <v>0</v>
      </c>
      <c r="DS24" s="3237"/>
      <c r="DV24" s="3255">
        <f>VLOOKUP($A24,'New Resources - Group'!$A$4:$Y$133,DV$2,FALSE)*DV$1</f>
        <v>0</v>
      </c>
      <c r="DW24" s="3235">
        <f>$G24+DV24</f>
        <v>788941762</v>
      </c>
      <c r="DX24" s="3236">
        <f>VLOOKUP($E24,DW$442:DZ$453,2,FALSE)*DW24*($K24)+IF($G24&gt;0,($H24/$G24)*DW24,0)*(1-$K24)</f>
        <v>788941762</v>
      </c>
      <c r="DY24" s="3236">
        <f>VLOOKUP($E24,DW$442:DZ$453,3,FALSE)*DW24*($K24)+IF($G24&gt;0,($I24/$G24)*DW24,0)*(1-$K24)</f>
        <v>0</v>
      </c>
      <c r="DZ24" s="3236">
        <f>VLOOKUP($E24,DW$442:DZ$453,4,FALSE)*DW24*($K24)+(DW24-DX24-DY24)*(1-$K24)</f>
        <v>0</v>
      </c>
      <c r="EA24" s="3237"/>
      <c r="ED24" s="3255">
        <f>VLOOKUP($A24,'New Resources - Group'!$A$4:$Y$133,ED$2,FALSE)*ED$1</f>
        <v>0</v>
      </c>
      <c r="EE24" s="3235">
        <f>$G24+ED24</f>
        <v>788941762</v>
      </c>
      <c r="EF24" s="3236">
        <f>VLOOKUP($E24,EE$442:EH$453,2,FALSE)*EE24*($K24)+IF($G24&gt;0,($H24/$G24)*EE24,0)*(1-$K24)</f>
        <v>788941762</v>
      </c>
      <c r="EG24" s="3236">
        <f>VLOOKUP($E24,EE$442:EH$453,3,FALSE)*EE24*($K24)+IF($G24&gt;0,($I24/$G24)*EE24,0)*(1-$K24)</f>
        <v>0</v>
      </c>
      <c r="EH24" s="3236">
        <f>VLOOKUP($E24,EE$442:EH$453,4,FALSE)*EE24*($K24)+(EE24-EF24-EG24)*(1-$K24)</f>
        <v>0</v>
      </c>
      <c r="EI24" s="3237"/>
      <c r="EL24" s="3255">
        <f>VLOOKUP($A24,'New Resources - Group'!$A$4:$Y$133,EL$2,FALSE)*EL$1</f>
        <v>0</v>
      </c>
      <c r="EM24" s="3235">
        <f>$G24+EL24</f>
        <v>788941762</v>
      </c>
      <c r="EN24" s="3236">
        <f>VLOOKUP($E24,EM$442:EP$453,2,FALSE)*EM24*($K24)+IF($G24&gt;0,($H24/$G24)*EM24,0)*(1-$K24)</f>
        <v>788941762</v>
      </c>
      <c r="EO24" s="3236">
        <f>VLOOKUP($E24,EM$442:EP$453,3,FALSE)*EM24*($K24)+IF($G24&gt;0,($I24/$G24)*EM24,0)*(1-$K24)</f>
        <v>0</v>
      </c>
      <c r="EP24" s="3236">
        <f>VLOOKUP($E24,EM$442:EP$453,4,FALSE)*EM24*($K24)+(EM24-EN24-EO24)*(1-$K24)</f>
        <v>0</v>
      </c>
      <c r="EQ24" s="3237"/>
      <c r="ET24" s="3255">
        <f>VLOOKUP($A24,'New Resources - Group'!$A$4:$Y$133,ET$2,FALSE)*ET$1</f>
        <v>0</v>
      </c>
      <c r="EU24" s="3235">
        <f>$G24+ET24</f>
        <v>788941762</v>
      </c>
      <c r="EV24" s="3236">
        <f>VLOOKUP($E24,EU$442:EX$453,2,FALSE)*EU24*($K24)+IF($G24&gt;0,($H24/$G24)*EU24,0)*(1-$K24)</f>
        <v>788941762</v>
      </c>
      <c r="EW24" s="3236">
        <f>VLOOKUP($E24,EU$442:EX$453,3,FALSE)*EU24*($K24)+IF($G24&gt;0,($I24/$G24)*EU24,0)*(1-$K24)</f>
        <v>0</v>
      </c>
      <c r="EX24" s="3236">
        <f>VLOOKUP($E24,EU$442:EX$453,4,FALSE)*EU24*($K24)+(EU24-EV24-EW24)*(1-$K24)</f>
        <v>0</v>
      </c>
      <c r="EY24" s="3237"/>
      <c r="FB24" s="3255">
        <f>VLOOKUP($A24,'New Resources - Group'!$A$4:$Y$133,FB$2,FALSE)*FB$1</f>
        <v>0</v>
      </c>
      <c r="FC24" s="3235">
        <f>$G24+FB24</f>
        <v>788941762</v>
      </c>
      <c r="FD24" s="3236">
        <f>VLOOKUP($E24,FC$442:FF$453,2,FALSE)*FC24*($K24)+IF($G24&gt;0,($H24/$G24)*FC24,0)*(1-$K24)</f>
        <v>788941762</v>
      </c>
      <c r="FE24" s="3236">
        <f>VLOOKUP($E24,FC$442:FF$453,3,FALSE)*FC24*($K24)+IF($G24&gt;0,($I24/$G24)*FC24,0)*(1-$K24)</f>
        <v>0</v>
      </c>
      <c r="FF24" s="3236">
        <f>VLOOKUP($E24,FC$442:FF$453,4,FALSE)*FC24*($K24)+(FC24-FD24-FE24)*(1-$K24)</f>
        <v>0</v>
      </c>
      <c r="FG24" s="3237"/>
      <c r="FJ24" s="3255">
        <f>VLOOKUP($A24,'New Resources - Group'!$A$4:$Y$133,FJ$2,FALSE)*FJ$1</f>
        <v>0</v>
      </c>
      <c r="FK24" s="3235">
        <f>$G24+FJ24</f>
        <v>788941762</v>
      </c>
      <c r="FL24" s="3236">
        <f>VLOOKUP($E24,FK$442:FN$453,2,FALSE)*FK24*($K24)+IF($G24&gt;0,($H24/$G24)*FK24,0)*(1-$K24)</f>
        <v>788941762</v>
      </c>
      <c r="FM24" s="3236">
        <f>VLOOKUP($E24,FK$442:FN$453,3,FALSE)*FK24*($K24)+IF($G24&gt;0,($I24/$G24)*FK24,0)*(1-$K24)</f>
        <v>0</v>
      </c>
      <c r="FN24" s="3236">
        <f>VLOOKUP($E24,FK$442:FN$453,4,FALSE)*FK24*($K24)+(FK24-FL24-FM24)*(1-$K24)</f>
        <v>0</v>
      </c>
      <c r="FO24" s="3237"/>
    </row>
    <row r="25" spans="1:171">
      <c r="A25" s="3471">
        <v>480</v>
      </c>
      <c r="B25" s="2103" t="s">
        <v>117</v>
      </c>
      <c r="C25" s="3233" t="s">
        <v>70</v>
      </c>
      <c r="D25" s="2464" t="s">
        <v>118</v>
      </c>
      <c r="E25" s="3464" t="str">
        <f>'Sch 1- Rate Base '!E25</f>
        <v>PROD</v>
      </c>
      <c r="F25" s="2171"/>
      <c r="G25" s="2424">
        <f>'Sch 1- Rate Base '!G25</f>
        <v>2079134143</v>
      </c>
      <c r="H25" s="2424">
        <f>'Sch 1- Rate Base '!H25</f>
        <v>2079134143</v>
      </c>
      <c r="I25" s="2424">
        <f>'Sch 1- Rate Base '!I25</f>
        <v>0</v>
      </c>
      <c r="J25" s="3465">
        <f>'Sch 1- Rate Base '!J25</f>
        <v>0</v>
      </c>
      <c r="K25" s="3205">
        <f>IF($E25="DIRECT",0,1)</f>
        <v>1</v>
      </c>
      <c r="N25" s="3255">
        <f>VLOOKUP($A25,'New Resources - Group'!$A$4:$Y$133,N$2,FALSE)*N$1</f>
        <v>0</v>
      </c>
      <c r="O25" s="3235">
        <f>$G25+N25</f>
        <v>2079134143</v>
      </c>
      <c r="P25" s="3236">
        <f>VLOOKUP($E25,O$442:R$453,2,FALSE)*O25*($K25)+IF($G25&gt;0,($H25/$G25)*O25,0)*(1-$K25)</f>
        <v>2079134143</v>
      </c>
      <c r="Q25" s="3236">
        <f>VLOOKUP($E25,O$442:R$453,3,FALSE)*O25*($K25)+IF($G25&gt;0,($I25/$G25)*O25,0)*(1-$K25)</f>
        <v>0</v>
      </c>
      <c r="R25" s="3236">
        <f>VLOOKUP($E25,O$442:R$453,4,FALSE)*O25*($K25)+(O25-P25-Q25)*(1-$K25)</f>
        <v>0</v>
      </c>
      <c r="S25" s="3237"/>
      <c r="V25" s="3255">
        <f>VLOOKUP($A25,'New Resources - Group'!$A$4:$Y$133,V$2,FALSE)*V$1</f>
        <v>0</v>
      </c>
      <c r="W25" s="3235">
        <f>$G25+V25</f>
        <v>2079134143</v>
      </c>
      <c r="X25" s="3236">
        <f>VLOOKUP($E25,W$442:Z$453,2,FALSE)*W25*($K25)+IF($G25&gt;0,($H25/$G25)*W25,0)*(1-$K25)</f>
        <v>2079134143</v>
      </c>
      <c r="Y25" s="3236">
        <f>VLOOKUP($E25,W$442:Z$453,3,FALSE)*W25*($K25)+IF($G25&gt;0,($I25/$G25)*W25,0)*(1-$K25)</f>
        <v>0</v>
      </c>
      <c r="Z25" s="3236">
        <f>VLOOKUP($E25,W$442:Z$453,4,FALSE)*W25*($K25)+(W25-X25-Y25)*(1-$K25)</f>
        <v>0</v>
      </c>
      <c r="AA25" s="3237"/>
      <c r="AD25" s="3255">
        <f>VLOOKUP($A25,'New Resources - Group'!$A$4:$Y$133,AD$2,FALSE)*AD$1</f>
        <v>0</v>
      </c>
      <c r="AE25" s="3235">
        <f>$G25+AD25</f>
        <v>2079134143</v>
      </c>
      <c r="AF25" s="3236">
        <f>VLOOKUP($E25,AE$442:AH$453,2,FALSE)*AE25*($K25)+IF($G25&gt;0,($H25/$G25)*AE25,0)*(1-$K25)</f>
        <v>2079134143</v>
      </c>
      <c r="AG25" s="3236">
        <f>VLOOKUP($E25,AE$442:AH$453,3,FALSE)*AE25*($K25)+IF($G25&gt;0,($I25/$G25)*AE25,0)*(1-$K25)</f>
        <v>0</v>
      </c>
      <c r="AH25" s="3236">
        <f>VLOOKUP($E25,AE$442:AH$453,4,FALSE)*AE25*($K25)+(AE25-AF25-AG25)*(1-$K25)</f>
        <v>0</v>
      </c>
      <c r="AI25" s="3237"/>
      <c r="AL25" s="3255">
        <f>VLOOKUP($A25,'New Resources - Group'!$A$4:$Y$133,AL$2,FALSE)*AL$1</f>
        <v>0</v>
      </c>
      <c r="AM25" s="3235">
        <f>$G25+AL25</f>
        <v>2079134143</v>
      </c>
      <c r="AN25" s="3236">
        <f>VLOOKUP($E25,AM$442:AP$453,2,FALSE)*AM25*($K25)+IF($G25&gt;0,($H25/$G25)*AM25,0)*(1-$K25)</f>
        <v>2079134143</v>
      </c>
      <c r="AO25" s="3236">
        <f>VLOOKUP($E25,AM$442:AP$453,3,FALSE)*AM25*($K25)+IF($G25&gt;0,($I25/$G25)*AM25,0)*(1-$K25)</f>
        <v>0</v>
      </c>
      <c r="AP25" s="3236">
        <f>VLOOKUP($E25,AM$442:AP$453,4,FALSE)*AM25*($K25)+(AM25-AN25-AO25)*(1-$K25)</f>
        <v>0</v>
      </c>
      <c r="AQ25" s="3237"/>
      <c r="AT25" s="3255">
        <f>VLOOKUP($A25,'New Resources - Group'!$A$4:$Y$133,AT$2,FALSE)*AT$1</f>
        <v>0</v>
      </c>
      <c r="AU25" s="3235">
        <f>$G25+AT25</f>
        <v>2079134143</v>
      </c>
      <c r="AV25" s="3236">
        <f>VLOOKUP($E25,AU$442:AX$453,2,FALSE)*AU25*($K25)+IF($G25&gt;0,($H25/$G25)*AU25,0)*(1-$K25)</f>
        <v>2079134143</v>
      </c>
      <c r="AW25" s="3236">
        <f>VLOOKUP($E25,AU$442:AX$453,3,FALSE)*AU25*($K25)+IF($G25&gt;0,($I25/$G25)*AU25,0)*(1-$K25)</f>
        <v>0</v>
      </c>
      <c r="AX25" s="3236">
        <f>VLOOKUP($E25,AU$442:AX$453,4,FALSE)*AU25*($K25)+(AU25-AV25-AW25)*(1-$K25)</f>
        <v>0</v>
      </c>
      <c r="AY25" s="3237"/>
      <c r="BB25" s="3255">
        <f>VLOOKUP($A25,'New Resources - Group'!$A$4:$Y$133,BB$2,FALSE)*BB$1</f>
        <v>0</v>
      </c>
      <c r="BC25" s="3235">
        <f>$G25+BB25</f>
        <v>2079134143</v>
      </c>
      <c r="BD25" s="3236">
        <f>VLOOKUP($E25,BC$442:BF$453,2,FALSE)*BC25*($K25)+IF($G25&gt;0,($H25/$G25)*BC25,0)*(1-$K25)</f>
        <v>2079134143</v>
      </c>
      <c r="BE25" s="3236">
        <f>VLOOKUP($E25,BC$442:BF$453,3,FALSE)*BC25*($K25)+IF($G25&gt;0,($I25/$G25)*BC25,0)*(1-$K25)</f>
        <v>0</v>
      </c>
      <c r="BF25" s="3236">
        <f>VLOOKUP($E25,BC$442:BF$453,4,FALSE)*BC25*($K25)+(BC25-BD25-BE25)*(1-$K25)</f>
        <v>0</v>
      </c>
      <c r="BG25" s="3237"/>
      <c r="BJ25" s="3255">
        <f>VLOOKUP($A25,'New Resources - Group'!$A$4:$Y$133,BJ$2,FALSE)*BJ$1</f>
        <v>0</v>
      </c>
      <c r="BK25" s="3235">
        <f>$G25+BJ25</f>
        <v>2079134143</v>
      </c>
      <c r="BL25" s="3236">
        <f>VLOOKUP($E25,BK$442:BN$453,2,FALSE)*BK25*($K25)+IF($G25&gt;0,($H25/$G25)*BK25,0)*(1-$K25)</f>
        <v>2079134143</v>
      </c>
      <c r="BM25" s="3236">
        <f>VLOOKUP($E25,BK$442:BN$453,3,FALSE)*BK25*($K25)+IF($G25&gt;0,($I25/$G25)*BK25,0)*(1-$K25)</f>
        <v>0</v>
      </c>
      <c r="BN25" s="3236">
        <f>VLOOKUP($E25,BK$442:BN$453,4,FALSE)*BK25*($K25)+(BK25-BL25-BM25)*(1-$K25)</f>
        <v>0</v>
      </c>
      <c r="BO25" s="3237"/>
      <c r="BR25" s="3255">
        <f>VLOOKUP($A25,'New Resources - Group'!$A$4:$Y$133,BR$2,FALSE)*BR$1</f>
        <v>0</v>
      </c>
      <c r="BS25" s="3235">
        <f>$G25+BR25</f>
        <v>2079134143</v>
      </c>
      <c r="BT25" s="3236">
        <f>VLOOKUP($E25,BS$442:BV$453,2,FALSE)*BS25*($K25)+IF($G25&gt;0,($H25/$G25)*BS25,0)*(1-$K25)</f>
        <v>2079134143</v>
      </c>
      <c r="BU25" s="3236">
        <f>VLOOKUP($E25,BS$442:BV$453,3,FALSE)*BS25*($K25)+IF($G25&gt;0,($I25/$G25)*BS25,0)*(1-$K25)</f>
        <v>0</v>
      </c>
      <c r="BV25" s="3236">
        <f>VLOOKUP($E25,BS$442:BV$453,4,FALSE)*BS25*($K25)+(BS25-BT25-BU25)*(1-$K25)</f>
        <v>0</v>
      </c>
      <c r="BW25" s="3237"/>
      <c r="BZ25" s="3255">
        <f>VLOOKUP($A25,'New Resources - Group'!$A$4:$Y$133,BZ$2,FALSE)*BZ$1</f>
        <v>0</v>
      </c>
      <c r="CA25" s="3235">
        <f>$G25+BZ25</f>
        <v>2079134143</v>
      </c>
      <c r="CB25" s="3236">
        <f>VLOOKUP($E25,CA$442:CD$453,2,FALSE)*CA25*($K25)+IF($G25&gt;0,($H25/$G25)*CA25,0)*(1-$K25)</f>
        <v>2079134143</v>
      </c>
      <c r="CC25" s="3236">
        <f>VLOOKUP($E25,CA$442:CD$453,3,FALSE)*CA25*($K25)+IF($G25&gt;0,($I25/$G25)*CA25,0)*(1-$K25)</f>
        <v>0</v>
      </c>
      <c r="CD25" s="3236">
        <f>VLOOKUP($E25,CA$442:CD$453,4,FALSE)*CA25*($K25)+(CA25-CB25-CC25)*(1-$K25)</f>
        <v>0</v>
      </c>
      <c r="CE25" s="3237"/>
      <c r="CH25" s="3255">
        <f>VLOOKUP($A25,'New Resources - Group'!$A$4:$Y$133,CH$2,FALSE)*CH$1</f>
        <v>0</v>
      </c>
      <c r="CI25" s="3235">
        <f>$G25+CH25</f>
        <v>2079134143</v>
      </c>
      <c r="CJ25" s="3236">
        <f>VLOOKUP($E25,CI$442:CL$453,2,FALSE)*CI25*($K25)+IF($G25&gt;0,($H25/$G25)*CI25,0)*(1-$K25)</f>
        <v>2079134143</v>
      </c>
      <c r="CK25" s="3236">
        <f>VLOOKUP($E25,CI$442:CL$453,3,FALSE)*CI25*($K25)+IF($G25&gt;0,($I25/$G25)*CI25,0)*(1-$K25)</f>
        <v>0</v>
      </c>
      <c r="CL25" s="3236">
        <f>VLOOKUP($E25,CI$442:CL$453,4,FALSE)*CI25*($K25)+(CI25-CJ25-CK25)*(1-$K25)</f>
        <v>0</v>
      </c>
      <c r="CM25" s="3237"/>
      <c r="CP25" s="3255">
        <f>VLOOKUP($A25,'New Resources - Group'!$A$4:$Y$133,CP$2,FALSE)*CP$1</f>
        <v>0</v>
      </c>
      <c r="CQ25" s="3235">
        <f>$G25+CP25</f>
        <v>2079134143</v>
      </c>
      <c r="CR25" s="3236">
        <f>VLOOKUP($E25,CQ$442:CT$453,2,FALSE)*CQ25*($K25)+IF($G25&gt;0,($H25/$G25)*CQ25,0)*(1-$K25)</f>
        <v>2079134143</v>
      </c>
      <c r="CS25" s="3236">
        <f>VLOOKUP($E25,CQ$442:CT$453,3,FALSE)*CQ25*($K25)+IF($G25&gt;0,($I25/$G25)*CQ25,0)*(1-$K25)</f>
        <v>0</v>
      </c>
      <c r="CT25" s="3236">
        <f>VLOOKUP($E25,CQ$442:CT$453,4,FALSE)*CQ25*($K25)+(CQ25-CR25-CS25)*(1-$K25)</f>
        <v>0</v>
      </c>
      <c r="CU25" s="3237"/>
      <c r="CX25" s="3255">
        <f>VLOOKUP($A25,'New Resources - Group'!$A$4:$Y$133,CX$2,FALSE)*CX$1</f>
        <v>0</v>
      </c>
      <c r="CY25" s="3235">
        <f>$G25+CX25</f>
        <v>2079134143</v>
      </c>
      <c r="CZ25" s="3236">
        <f>VLOOKUP($E25,CY$442:DB$453,2,FALSE)*CY25*($K25)+IF($G25&gt;0,($H25/$G25)*CY25,0)*(1-$K25)</f>
        <v>2079134143</v>
      </c>
      <c r="DA25" s="3236">
        <f>VLOOKUP($E25,CY$442:DB$453,3,FALSE)*CY25*($K25)+IF($G25&gt;0,($I25/$G25)*CY25,0)*(1-$K25)</f>
        <v>0</v>
      </c>
      <c r="DB25" s="3236">
        <f>VLOOKUP($E25,CY$442:DB$453,4,FALSE)*CY25*($K25)+(CY25-CZ25-DA25)*(1-$K25)</f>
        <v>0</v>
      </c>
      <c r="DC25" s="3237"/>
      <c r="DF25" s="3255">
        <f>VLOOKUP($A25,'New Resources - Group'!$A$4:$Y$133,DF$2,FALSE)*DF$1</f>
        <v>0</v>
      </c>
      <c r="DG25" s="3235">
        <f>$G25+DF25</f>
        <v>2079134143</v>
      </c>
      <c r="DH25" s="3236">
        <f>VLOOKUP($E25,DG$442:DJ$453,2,FALSE)*DG25*($K25)+IF($G25&gt;0,($H25/$G25)*DG25,0)*(1-$K25)</f>
        <v>2079134143</v>
      </c>
      <c r="DI25" s="3236">
        <f>VLOOKUP($E25,DG$442:DJ$453,3,FALSE)*DG25*($K25)+IF($G25&gt;0,($I25/$G25)*DG25,0)*(1-$K25)</f>
        <v>0</v>
      </c>
      <c r="DJ25" s="3236">
        <f>VLOOKUP($E25,DG$442:DJ$453,4,FALSE)*DG25*($K25)+(DG25-DH25-DI25)*(1-$K25)</f>
        <v>0</v>
      </c>
      <c r="DK25" s="3237"/>
      <c r="DN25" s="3255">
        <f>VLOOKUP($A25,'New Resources - Group'!$A$4:$Y$133,DN$2,FALSE)*DN$1</f>
        <v>0</v>
      </c>
      <c r="DO25" s="3235">
        <f>$G25+DN25</f>
        <v>2079134143</v>
      </c>
      <c r="DP25" s="3236">
        <f>VLOOKUP($E25,DO$442:DR$453,2,FALSE)*DO25*($K25)+IF($G25&gt;0,($H25/$G25)*DO25,0)*(1-$K25)</f>
        <v>2079134143</v>
      </c>
      <c r="DQ25" s="3236">
        <f>VLOOKUP($E25,DO$442:DR$453,3,FALSE)*DO25*($K25)+IF($G25&gt;0,($I25/$G25)*DO25,0)*(1-$K25)</f>
        <v>0</v>
      </c>
      <c r="DR25" s="3236">
        <f>VLOOKUP($E25,DO$442:DR$453,4,FALSE)*DO25*($K25)+(DO25-DP25-DQ25)*(1-$K25)</f>
        <v>0</v>
      </c>
      <c r="DS25" s="3237"/>
      <c r="DV25" s="3255">
        <f>VLOOKUP($A25,'New Resources - Group'!$A$4:$Y$133,DV$2,FALSE)*DV$1</f>
        <v>0</v>
      </c>
      <c r="DW25" s="3235">
        <f>$G25+DV25</f>
        <v>2079134143</v>
      </c>
      <c r="DX25" s="3236">
        <f>VLOOKUP($E25,DW$442:DZ$453,2,FALSE)*DW25*($K25)+IF($G25&gt;0,($H25/$G25)*DW25,0)*(1-$K25)</f>
        <v>2079134143</v>
      </c>
      <c r="DY25" s="3236">
        <f>VLOOKUP($E25,DW$442:DZ$453,3,FALSE)*DW25*($K25)+IF($G25&gt;0,($I25/$G25)*DW25,0)*(1-$K25)</f>
        <v>0</v>
      </c>
      <c r="DZ25" s="3236">
        <f>VLOOKUP($E25,DW$442:DZ$453,4,FALSE)*DW25*($K25)+(DW25-DX25-DY25)*(1-$K25)</f>
        <v>0</v>
      </c>
      <c r="EA25" s="3237"/>
      <c r="ED25" s="3255">
        <f>VLOOKUP($A25,'New Resources - Group'!$A$4:$Y$133,ED$2,FALSE)*ED$1</f>
        <v>0</v>
      </c>
      <c r="EE25" s="3235">
        <f>$G25+ED25</f>
        <v>2079134143</v>
      </c>
      <c r="EF25" s="3236">
        <f>VLOOKUP($E25,EE$442:EH$453,2,FALSE)*EE25*($K25)+IF($G25&gt;0,($H25/$G25)*EE25,0)*(1-$K25)</f>
        <v>2079134143</v>
      </c>
      <c r="EG25" s="3236">
        <f>VLOOKUP($E25,EE$442:EH$453,3,FALSE)*EE25*($K25)+IF($G25&gt;0,($I25/$G25)*EE25,0)*(1-$K25)</f>
        <v>0</v>
      </c>
      <c r="EH25" s="3236">
        <f>VLOOKUP($E25,EE$442:EH$453,4,FALSE)*EE25*($K25)+(EE25-EF25-EG25)*(1-$K25)</f>
        <v>0</v>
      </c>
      <c r="EI25" s="3237"/>
      <c r="EL25" s="3255">
        <f>VLOOKUP($A25,'New Resources - Group'!$A$4:$Y$133,EL$2,FALSE)*EL$1</f>
        <v>0</v>
      </c>
      <c r="EM25" s="3235">
        <f>$G25+EL25</f>
        <v>2079134143</v>
      </c>
      <c r="EN25" s="3236">
        <f>VLOOKUP($E25,EM$442:EP$453,2,FALSE)*EM25*($K25)+IF($G25&gt;0,($H25/$G25)*EM25,0)*(1-$K25)</f>
        <v>2079134143</v>
      </c>
      <c r="EO25" s="3236">
        <f>VLOOKUP($E25,EM$442:EP$453,3,FALSE)*EM25*($K25)+IF($G25&gt;0,($I25/$G25)*EM25,0)*(1-$K25)</f>
        <v>0</v>
      </c>
      <c r="EP25" s="3236">
        <f>VLOOKUP($E25,EM$442:EP$453,4,FALSE)*EM25*($K25)+(EM25-EN25-EO25)*(1-$K25)</f>
        <v>0</v>
      </c>
      <c r="EQ25" s="3237"/>
      <c r="ET25" s="3255">
        <f>VLOOKUP($A25,'New Resources - Group'!$A$4:$Y$133,ET$2,FALSE)*ET$1</f>
        <v>0</v>
      </c>
      <c r="EU25" s="3235">
        <f>$G25+ET25</f>
        <v>2079134143</v>
      </c>
      <c r="EV25" s="3236">
        <f>VLOOKUP($E25,EU$442:EX$453,2,FALSE)*EU25*($K25)+IF($G25&gt;0,($H25/$G25)*EU25,0)*(1-$K25)</f>
        <v>2079134143</v>
      </c>
      <c r="EW25" s="3236">
        <f>VLOOKUP($E25,EU$442:EX$453,3,FALSE)*EU25*($K25)+IF($G25&gt;0,($I25/$G25)*EU25,0)*(1-$K25)</f>
        <v>0</v>
      </c>
      <c r="EX25" s="3236">
        <f>VLOOKUP($E25,EU$442:EX$453,4,FALSE)*EU25*($K25)+(EU25-EV25-EW25)*(1-$K25)</f>
        <v>0</v>
      </c>
      <c r="EY25" s="3237"/>
      <c r="FB25" s="3255">
        <f>VLOOKUP($A25,'New Resources - Group'!$A$4:$Y$133,FB$2,FALSE)*FB$1</f>
        <v>0</v>
      </c>
      <c r="FC25" s="3235">
        <f>$G25+FB25</f>
        <v>2079134143</v>
      </c>
      <c r="FD25" s="3236">
        <f>VLOOKUP($E25,FC$442:FF$453,2,FALSE)*FC25*($K25)+IF($G25&gt;0,($H25/$G25)*FC25,0)*(1-$K25)</f>
        <v>2079134143</v>
      </c>
      <c r="FE25" s="3236">
        <f>VLOOKUP($E25,FC$442:FF$453,3,FALSE)*FC25*($K25)+IF($G25&gt;0,($I25/$G25)*FC25,0)*(1-$K25)</f>
        <v>0</v>
      </c>
      <c r="FF25" s="3236">
        <f>VLOOKUP($E25,FC$442:FF$453,4,FALSE)*FC25*($K25)+(FC25-FD25-FE25)*(1-$K25)</f>
        <v>0</v>
      </c>
      <c r="FG25" s="3237"/>
      <c r="FJ25" s="3255">
        <f>VLOOKUP($A25,'New Resources - Group'!$A$4:$Y$133,FJ$2,FALSE)*FJ$1</f>
        <v>0</v>
      </c>
      <c r="FK25" s="3235">
        <f>$G25+FJ25</f>
        <v>2079134143</v>
      </c>
      <c r="FL25" s="3236">
        <f>VLOOKUP($E25,FK$442:FN$453,2,FALSE)*FK25*($K25)+IF($G25&gt;0,($H25/$G25)*FK25,0)*(1-$K25)</f>
        <v>2079134143</v>
      </c>
      <c r="FM25" s="3236">
        <f>VLOOKUP($E25,FK$442:FN$453,3,FALSE)*FK25*($K25)+IF($G25&gt;0,($I25/$G25)*FK25,0)*(1-$K25)</f>
        <v>0</v>
      </c>
      <c r="FN25" s="3236">
        <f>VLOOKUP($E25,FK$442:FN$453,4,FALSE)*FK25*($K25)+(FK25-FL25-FM25)*(1-$K25)</f>
        <v>0</v>
      </c>
      <c r="FO25" s="3237"/>
    </row>
    <row r="26" spans="1:171">
      <c r="A26" s="3468" t="s">
        <v>119</v>
      </c>
      <c r="B26" s="2078"/>
      <c r="C26" s="3241"/>
      <c r="D26" s="3242"/>
      <c r="E26" s="3466"/>
      <c r="F26" s="3243"/>
      <c r="G26" s="3244">
        <f>SUM(G22:G25)</f>
        <v>3902384831</v>
      </c>
      <c r="H26" s="3244">
        <f>SUM(H22:H25)</f>
        <v>3902384831</v>
      </c>
      <c r="I26" s="3244">
        <f>SUM(I22:I25)</f>
        <v>0</v>
      </c>
      <c r="J26" s="3467">
        <f>SUM(J22:J25)</f>
        <v>0</v>
      </c>
      <c r="K26" s="3205"/>
      <c r="O26" s="3244">
        <f>SUM(O22:O25)</f>
        <v>3902384831</v>
      </c>
      <c r="P26" s="3244">
        <f>SUM(P22:P25)</f>
        <v>3902384831</v>
      </c>
      <c r="Q26" s="3244">
        <f>SUM(Q22:Q25)</f>
        <v>0</v>
      </c>
      <c r="R26" s="3244">
        <f>SUM(R22:R25)</f>
        <v>0</v>
      </c>
      <c r="S26" s="3237"/>
      <c r="W26" s="3244">
        <f>SUM(W22:W25)</f>
        <v>3902384831</v>
      </c>
      <c r="X26" s="3244">
        <f>SUM(X22:X25)</f>
        <v>3902384831</v>
      </c>
      <c r="Y26" s="3244">
        <f>SUM(Y22:Y25)</f>
        <v>0</v>
      </c>
      <c r="Z26" s="3244">
        <f>SUM(Z22:Z25)</f>
        <v>0</v>
      </c>
      <c r="AA26" s="3237"/>
      <c r="AE26" s="3244">
        <f>SUM(AE22:AE25)</f>
        <v>3902384831</v>
      </c>
      <c r="AF26" s="3244">
        <f>SUM(AF22:AF25)</f>
        <v>3902384831</v>
      </c>
      <c r="AG26" s="3244">
        <f>SUM(AG22:AG25)</f>
        <v>0</v>
      </c>
      <c r="AH26" s="3244">
        <f>SUM(AH22:AH25)</f>
        <v>0</v>
      </c>
      <c r="AI26" s="3237"/>
      <c r="AM26" s="3244">
        <f>SUM(AM22:AM25)</f>
        <v>3902384831</v>
      </c>
      <c r="AN26" s="3244">
        <f>SUM(AN22:AN25)</f>
        <v>3902384831</v>
      </c>
      <c r="AO26" s="3244">
        <f>SUM(AO22:AO25)</f>
        <v>0</v>
      </c>
      <c r="AP26" s="3244">
        <f>SUM(AP22:AP25)</f>
        <v>0</v>
      </c>
      <c r="AQ26" s="3237"/>
      <c r="AU26" s="3244">
        <f>SUM(AU22:AU25)</f>
        <v>3902384831</v>
      </c>
      <c r="AV26" s="3244">
        <f>SUM(AV22:AV25)</f>
        <v>3902384831</v>
      </c>
      <c r="AW26" s="3244">
        <f>SUM(AW22:AW25)</f>
        <v>0</v>
      </c>
      <c r="AX26" s="3244">
        <f>SUM(AX22:AX25)</f>
        <v>0</v>
      </c>
      <c r="AY26" s="3237"/>
      <c r="BC26" s="3244">
        <f>SUM(BC22:BC25)</f>
        <v>3902384831</v>
      </c>
      <c r="BD26" s="3244">
        <f>SUM(BD22:BD25)</f>
        <v>3902384831</v>
      </c>
      <c r="BE26" s="3244">
        <f>SUM(BE22:BE25)</f>
        <v>0</v>
      </c>
      <c r="BF26" s="3244">
        <f>SUM(BF22:BF25)</f>
        <v>0</v>
      </c>
      <c r="BG26" s="3237"/>
      <c r="BK26" s="3244">
        <f>SUM(BK22:BK25)</f>
        <v>3902384831</v>
      </c>
      <c r="BL26" s="3244">
        <f>SUM(BL22:BL25)</f>
        <v>3902384831</v>
      </c>
      <c r="BM26" s="3244">
        <f>SUM(BM22:BM25)</f>
        <v>0</v>
      </c>
      <c r="BN26" s="3244">
        <f>SUM(BN22:BN25)</f>
        <v>0</v>
      </c>
      <c r="BO26" s="3237"/>
      <c r="BS26" s="3244">
        <f>SUM(BS22:BS25)</f>
        <v>3902384831</v>
      </c>
      <c r="BT26" s="3244">
        <f>SUM(BT22:BT25)</f>
        <v>3902384831</v>
      </c>
      <c r="BU26" s="3244">
        <f>SUM(BU22:BU25)</f>
        <v>0</v>
      </c>
      <c r="BV26" s="3244">
        <f>SUM(BV22:BV25)</f>
        <v>0</v>
      </c>
      <c r="BW26" s="3237"/>
      <c r="CA26" s="3244">
        <f>SUM(CA22:CA25)</f>
        <v>3902384831</v>
      </c>
      <c r="CB26" s="3244">
        <f>SUM(CB22:CB25)</f>
        <v>3902384831</v>
      </c>
      <c r="CC26" s="3244">
        <f>SUM(CC22:CC25)</f>
        <v>0</v>
      </c>
      <c r="CD26" s="3244">
        <f>SUM(CD22:CD25)</f>
        <v>0</v>
      </c>
      <c r="CE26" s="3237"/>
      <c r="CI26" s="3244">
        <f>SUM(CI22:CI25)</f>
        <v>3902384831</v>
      </c>
      <c r="CJ26" s="3244">
        <f>SUM(CJ22:CJ25)</f>
        <v>3902384831</v>
      </c>
      <c r="CK26" s="3244">
        <f>SUM(CK22:CK25)</f>
        <v>0</v>
      </c>
      <c r="CL26" s="3244">
        <f>SUM(CL22:CL25)</f>
        <v>0</v>
      </c>
      <c r="CM26" s="3237"/>
      <c r="CQ26" s="3244">
        <f>SUM(CQ22:CQ25)</f>
        <v>3902384831</v>
      </c>
      <c r="CR26" s="3244">
        <f>SUM(CR22:CR25)</f>
        <v>3902384831</v>
      </c>
      <c r="CS26" s="3244">
        <f>SUM(CS22:CS25)</f>
        <v>0</v>
      </c>
      <c r="CT26" s="3244">
        <f>SUM(CT22:CT25)</f>
        <v>0</v>
      </c>
      <c r="CU26" s="3237"/>
      <c r="CY26" s="3244">
        <f>SUM(CY22:CY25)</f>
        <v>3902384831</v>
      </c>
      <c r="CZ26" s="3244">
        <f>SUM(CZ22:CZ25)</f>
        <v>3902384831</v>
      </c>
      <c r="DA26" s="3244">
        <f>SUM(DA22:DA25)</f>
        <v>0</v>
      </c>
      <c r="DB26" s="3244">
        <f>SUM(DB22:DB25)</f>
        <v>0</v>
      </c>
      <c r="DC26" s="3237"/>
      <c r="DG26" s="3244">
        <f>SUM(DG22:DG25)</f>
        <v>3902384831</v>
      </c>
      <c r="DH26" s="3244">
        <f>SUM(DH22:DH25)</f>
        <v>3902384831</v>
      </c>
      <c r="DI26" s="3244">
        <f>SUM(DI22:DI25)</f>
        <v>0</v>
      </c>
      <c r="DJ26" s="3244">
        <f>SUM(DJ22:DJ25)</f>
        <v>0</v>
      </c>
      <c r="DK26" s="3237"/>
      <c r="DO26" s="3244">
        <f>SUM(DO22:DO25)</f>
        <v>3902384831</v>
      </c>
      <c r="DP26" s="3244">
        <f>SUM(DP22:DP25)</f>
        <v>3902384831</v>
      </c>
      <c r="DQ26" s="3244">
        <f>SUM(DQ22:DQ25)</f>
        <v>0</v>
      </c>
      <c r="DR26" s="3244">
        <f>SUM(DR22:DR25)</f>
        <v>0</v>
      </c>
      <c r="DS26" s="3237"/>
      <c r="DW26" s="3244">
        <f>SUM(DW22:DW25)</f>
        <v>3902384831</v>
      </c>
      <c r="DX26" s="3244">
        <f>SUM(DX22:DX25)</f>
        <v>3902384831</v>
      </c>
      <c r="DY26" s="3244">
        <f>SUM(DY22:DY25)</f>
        <v>0</v>
      </c>
      <c r="DZ26" s="3244">
        <f>SUM(DZ22:DZ25)</f>
        <v>0</v>
      </c>
      <c r="EA26" s="3237"/>
      <c r="EE26" s="3244">
        <f>SUM(EE22:EE25)</f>
        <v>3902384831</v>
      </c>
      <c r="EF26" s="3244">
        <f>SUM(EF22:EF25)</f>
        <v>3902384831</v>
      </c>
      <c r="EG26" s="3244">
        <f>SUM(EG22:EG25)</f>
        <v>0</v>
      </c>
      <c r="EH26" s="3244">
        <f>SUM(EH22:EH25)</f>
        <v>0</v>
      </c>
      <c r="EI26" s="3237"/>
      <c r="EM26" s="3244">
        <f>SUM(EM22:EM25)</f>
        <v>3902384831</v>
      </c>
      <c r="EN26" s="3244">
        <f>SUM(EN22:EN25)</f>
        <v>3902384831</v>
      </c>
      <c r="EO26" s="3244">
        <f>SUM(EO22:EO25)</f>
        <v>0</v>
      </c>
      <c r="EP26" s="3244">
        <f>SUM(EP22:EP25)</f>
        <v>0</v>
      </c>
      <c r="EQ26" s="3237"/>
      <c r="EU26" s="3244">
        <f>SUM(EU22:EU25)</f>
        <v>3902384831</v>
      </c>
      <c r="EV26" s="3244">
        <f>SUM(EV22:EV25)</f>
        <v>3902384831</v>
      </c>
      <c r="EW26" s="3244">
        <f>SUM(EW22:EW25)</f>
        <v>0</v>
      </c>
      <c r="EX26" s="3244">
        <f>SUM(EX22:EX25)</f>
        <v>0</v>
      </c>
      <c r="EY26" s="3237"/>
      <c r="FC26" s="3244">
        <f>SUM(FC22:FC25)</f>
        <v>3902384831</v>
      </c>
      <c r="FD26" s="3244">
        <f>SUM(FD22:FD25)</f>
        <v>3902384831</v>
      </c>
      <c r="FE26" s="3244">
        <f>SUM(FE22:FE25)</f>
        <v>0</v>
      </c>
      <c r="FF26" s="3244">
        <f>SUM(FF22:FF25)</f>
        <v>0</v>
      </c>
      <c r="FG26" s="3237"/>
      <c r="FK26" s="3244">
        <f>SUM(FK22:FK25)</f>
        <v>3902384831</v>
      </c>
      <c r="FL26" s="3244">
        <f>SUM(FL22:FL25)</f>
        <v>3902384831</v>
      </c>
      <c r="FM26" s="3244">
        <f>SUM(FM22:FM25)</f>
        <v>0</v>
      </c>
      <c r="FN26" s="3244">
        <f>SUM(FN22:FN25)</f>
        <v>0</v>
      </c>
      <c r="FO26" s="3237"/>
    </row>
    <row r="27" spans="1:171">
      <c r="A27" s="3468"/>
      <c r="B27" s="2078"/>
      <c r="C27" s="2686"/>
      <c r="D27" s="2686"/>
      <c r="E27" s="525"/>
      <c r="F27" s="3249"/>
      <c r="J27" s="3453"/>
      <c r="K27" s="3205"/>
      <c r="S27" s="3237"/>
      <c r="AA27" s="3237"/>
      <c r="AI27" s="3237"/>
      <c r="AQ27" s="3237"/>
      <c r="AY27" s="3237"/>
      <c r="BG27" s="3237"/>
      <c r="BO27" s="3237"/>
      <c r="BW27" s="3237"/>
      <c r="CE27" s="3237"/>
      <c r="CM27" s="3237"/>
      <c r="CU27" s="3237"/>
      <c r="DC27" s="3237"/>
      <c r="DK27" s="3237"/>
      <c r="DS27" s="3237"/>
      <c r="EA27" s="3237"/>
      <c r="EI27" s="3237"/>
      <c r="EQ27" s="3237"/>
      <c r="EY27" s="3237"/>
      <c r="FG27" s="3237"/>
      <c r="FO27" s="3237"/>
    </row>
    <row r="28" spans="1:171">
      <c r="A28" s="2102" t="s">
        <v>142</v>
      </c>
      <c r="B28" s="2103"/>
      <c r="C28" s="2116"/>
      <c r="D28" s="2116"/>
      <c r="E28" s="525"/>
      <c r="F28" s="2139"/>
      <c r="J28" s="3453"/>
      <c r="K28" s="3205"/>
      <c r="S28" s="3237"/>
      <c r="AA28" s="3237"/>
      <c r="AI28" s="3237"/>
      <c r="AQ28" s="3237"/>
      <c r="AY28" s="3237"/>
      <c r="BG28" s="3237"/>
      <c r="BO28" s="3237"/>
      <c r="BW28" s="3237"/>
      <c r="CE28" s="3237"/>
      <c r="CM28" s="3237"/>
      <c r="CU28" s="3237"/>
      <c r="DC28" s="3237"/>
      <c r="DK28" s="3237"/>
      <c r="DS28" s="3237"/>
      <c r="EA28" s="3237"/>
      <c r="EI28" s="3237"/>
      <c r="EQ28" s="3237"/>
      <c r="EY28" s="3237"/>
      <c r="FG28" s="3237"/>
      <c r="FO28" s="3237"/>
    </row>
    <row r="29" spans="1:171">
      <c r="A29" s="3471">
        <v>840</v>
      </c>
      <c r="B29" s="2103" t="s">
        <v>525</v>
      </c>
      <c r="C29" s="3233" t="s">
        <v>70</v>
      </c>
      <c r="D29" s="2464" t="s">
        <v>120</v>
      </c>
      <c r="E29" s="3464" t="str">
        <f>'Sch 1- Rate Base '!E29</f>
        <v>TRANS</v>
      </c>
      <c r="F29" s="2171"/>
      <c r="G29" s="2424">
        <f>'Sch 1- Rate Base '!G29</f>
        <v>1992381238</v>
      </c>
      <c r="H29" s="2424">
        <f>'Sch 1- Rate Base '!H29</f>
        <v>0</v>
      </c>
      <c r="I29" s="2424">
        <f>'Sch 1- Rate Base '!I29</f>
        <v>0</v>
      </c>
      <c r="J29" s="3465">
        <f>'Sch 1- Rate Base '!J29</f>
        <v>1992381238</v>
      </c>
      <c r="K29" s="3205">
        <f>IF($E29="DIRECT",0,1)</f>
        <v>1</v>
      </c>
      <c r="N29" s="3255">
        <f>VLOOKUP($A29,'New Resources - Group'!$A$4:$Y$133,N$2,FALSE)*N$1</f>
        <v>0</v>
      </c>
      <c r="O29" s="3235">
        <f>$G29+N29</f>
        <v>1992381238</v>
      </c>
      <c r="P29" s="3236">
        <f>VLOOKUP($E29,O$442:R$453,2,FALSE)*O29*($K29)+IF($G29&gt;0,($H29/$G29)*O29,0)*(1-$K29)</f>
        <v>0</v>
      </c>
      <c r="Q29" s="3236">
        <f>VLOOKUP($E29,O$442:R$453,3,FALSE)*O29*($K29)+IF($G29&gt;0,($I29/$G29)*O29,0)*(1-$K29)</f>
        <v>1992381238</v>
      </c>
      <c r="R29" s="3236">
        <f>VLOOKUP($E29,O$442:R$453,4,FALSE)*O29*($K29)+(O29-P29-Q29)*(1-$K29)</f>
        <v>0</v>
      </c>
      <c r="S29" s="3237"/>
      <c r="V29" s="3255">
        <f>VLOOKUP($A29,'New Resources - Group'!$A$4:$Y$133,V$2,FALSE)*V$1</f>
        <v>0</v>
      </c>
      <c r="W29" s="3235">
        <f>$G29+V29</f>
        <v>1992381238</v>
      </c>
      <c r="X29" s="3236">
        <f>VLOOKUP($E29,W$442:Z$453,2,FALSE)*W29*($K29)+IF($G29&gt;0,($H29/$G29)*W29,0)*(1-$K29)</f>
        <v>0</v>
      </c>
      <c r="Y29" s="3236">
        <f>VLOOKUP($E29,W$442:Z$453,3,FALSE)*W29*($K29)+IF($G29&gt;0,($I29/$G29)*W29,0)*(1-$K29)</f>
        <v>1992381238</v>
      </c>
      <c r="Z29" s="3236">
        <f>VLOOKUP($E29,W$442:Z$453,4,FALSE)*W29*($K29)+(W29-X29-Y29)*(1-$K29)</f>
        <v>0</v>
      </c>
      <c r="AA29" s="3237"/>
      <c r="AD29" s="3255">
        <f>VLOOKUP($A29,'New Resources - Group'!$A$4:$Y$133,AD$2,FALSE)*AD$1</f>
        <v>0</v>
      </c>
      <c r="AE29" s="3235">
        <f>$G29+AD29</f>
        <v>1992381238</v>
      </c>
      <c r="AF29" s="3236">
        <f>VLOOKUP($E29,AE$442:AH$453,2,FALSE)*AE29*($K29)+IF($G29&gt;0,($H29/$G29)*AE29,0)*(1-$K29)</f>
        <v>0</v>
      </c>
      <c r="AG29" s="3236">
        <f>VLOOKUP($E29,AE$442:AH$453,3,FALSE)*AE29*($K29)+IF($G29&gt;0,($I29/$G29)*AE29,0)*(1-$K29)</f>
        <v>1992381238</v>
      </c>
      <c r="AH29" s="3236">
        <f>VLOOKUP($E29,AE$442:AH$453,4,FALSE)*AE29*($K29)+(AE29-AF29-AG29)*(1-$K29)</f>
        <v>0</v>
      </c>
      <c r="AI29" s="3237"/>
      <c r="AL29" s="3255">
        <f>VLOOKUP($A29,'New Resources - Group'!$A$4:$Y$133,AL$2,FALSE)*AL$1</f>
        <v>0</v>
      </c>
      <c r="AM29" s="3235">
        <f>$G29+AL29</f>
        <v>1992381238</v>
      </c>
      <c r="AN29" s="3236">
        <f>VLOOKUP($E29,AM$442:AP$453,2,FALSE)*AM29*($K29)+IF($G29&gt;0,($H29/$G29)*AM29,0)*(1-$K29)</f>
        <v>0</v>
      </c>
      <c r="AO29" s="3236">
        <f>VLOOKUP($E29,AM$442:AP$453,3,FALSE)*AM29*($K29)+IF($G29&gt;0,($I29/$G29)*AM29,0)*(1-$K29)</f>
        <v>1992381238</v>
      </c>
      <c r="AP29" s="3236">
        <f>VLOOKUP($E29,AM$442:AP$453,4,FALSE)*AM29*($K29)+(AM29-AN29-AO29)*(1-$K29)</f>
        <v>0</v>
      </c>
      <c r="AQ29" s="3237"/>
      <c r="AT29" s="3255">
        <f>VLOOKUP($A29,'New Resources - Group'!$A$4:$Y$133,AT$2,FALSE)*AT$1</f>
        <v>0</v>
      </c>
      <c r="AU29" s="3235">
        <f>$G29+AT29</f>
        <v>1992381238</v>
      </c>
      <c r="AV29" s="3236">
        <f>VLOOKUP($E29,AU$442:AX$453,2,FALSE)*AU29*($K29)+IF($G29&gt;0,($H29/$G29)*AU29,0)*(1-$K29)</f>
        <v>0</v>
      </c>
      <c r="AW29" s="3236">
        <f>VLOOKUP($E29,AU$442:AX$453,3,FALSE)*AU29*($K29)+IF($G29&gt;0,($I29/$G29)*AU29,0)*(1-$K29)</f>
        <v>1992381238</v>
      </c>
      <c r="AX29" s="3236">
        <f>VLOOKUP($E29,AU$442:AX$453,4,FALSE)*AU29*($K29)+(AU29-AV29-AW29)*(1-$K29)</f>
        <v>0</v>
      </c>
      <c r="AY29" s="3237"/>
      <c r="BB29" s="3255">
        <f>VLOOKUP($A29,'New Resources - Group'!$A$4:$Y$133,BB$2,FALSE)*BB$1</f>
        <v>0</v>
      </c>
      <c r="BC29" s="3235">
        <f>$G29+BB29</f>
        <v>1992381238</v>
      </c>
      <c r="BD29" s="3236">
        <f>VLOOKUP($E29,BC$442:BF$453,2,FALSE)*BC29*($K29)+IF($G29&gt;0,($H29/$G29)*BC29,0)*(1-$K29)</f>
        <v>0</v>
      </c>
      <c r="BE29" s="3236">
        <f>VLOOKUP($E29,BC$442:BF$453,3,FALSE)*BC29*($K29)+IF($G29&gt;0,($I29/$G29)*BC29,0)*(1-$K29)</f>
        <v>1992381238</v>
      </c>
      <c r="BF29" s="3236">
        <f>VLOOKUP($E29,BC$442:BF$453,4,FALSE)*BC29*($K29)+(BC29-BD29-BE29)*(1-$K29)</f>
        <v>0</v>
      </c>
      <c r="BG29" s="3237"/>
      <c r="BJ29" s="3255">
        <f>VLOOKUP($A29,'New Resources - Group'!$A$4:$Y$133,BJ$2,FALSE)*BJ$1</f>
        <v>0</v>
      </c>
      <c r="BK29" s="3235">
        <f>$G29+BJ29</f>
        <v>1992381238</v>
      </c>
      <c r="BL29" s="3236">
        <f>VLOOKUP($E29,BK$442:BN$453,2,FALSE)*BK29*($K29)+IF($G29&gt;0,($H29/$G29)*BK29,0)*(1-$K29)</f>
        <v>0</v>
      </c>
      <c r="BM29" s="3236">
        <f>VLOOKUP($E29,BK$442:BN$453,3,FALSE)*BK29*($K29)+IF($G29&gt;0,($I29/$G29)*BK29,0)*(1-$K29)</f>
        <v>1992381238</v>
      </c>
      <c r="BN29" s="3236">
        <f>VLOOKUP($E29,BK$442:BN$453,4,FALSE)*BK29*($K29)+(BK29-BL29-BM29)*(1-$K29)</f>
        <v>0</v>
      </c>
      <c r="BO29" s="3237"/>
      <c r="BR29" s="3255">
        <f>VLOOKUP($A29,'New Resources - Group'!$A$4:$Y$133,BR$2,FALSE)*BR$1</f>
        <v>0</v>
      </c>
      <c r="BS29" s="3235">
        <f>$G29+BR29</f>
        <v>1992381238</v>
      </c>
      <c r="BT29" s="3236">
        <f>VLOOKUP($E29,BS$442:BV$453,2,FALSE)*BS29*($K29)+IF($G29&gt;0,($H29/$G29)*BS29,0)*(1-$K29)</f>
        <v>0</v>
      </c>
      <c r="BU29" s="3236">
        <f>VLOOKUP($E29,BS$442:BV$453,3,FALSE)*BS29*($K29)+IF($G29&gt;0,($I29/$G29)*BS29,0)*(1-$K29)</f>
        <v>1992381238</v>
      </c>
      <c r="BV29" s="3236">
        <f>VLOOKUP($E29,BS$442:BV$453,4,FALSE)*BS29*($K29)+(BS29-BT29-BU29)*(1-$K29)</f>
        <v>0</v>
      </c>
      <c r="BW29" s="3237"/>
      <c r="BZ29" s="3255">
        <f>VLOOKUP($A29,'New Resources - Group'!$A$4:$Y$133,BZ$2,FALSE)*BZ$1</f>
        <v>0</v>
      </c>
      <c r="CA29" s="3235">
        <f>$G29+BZ29</f>
        <v>1992381238</v>
      </c>
      <c r="CB29" s="3236">
        <f>VLOOKUP($E29,CA$442:CD$453,2,FALSE)*CA29*($K29)+IF($G29&gt;0,($H29/$G29)*CA29,0)*(1-$K29)</f>
        <v>0</v>
      </c>
      <c r="CC29" s="3236">
        <f>VLOOKUP($E29,CA$442:CD$453,3,FALSE)*CA29*($K29)+IF($G29&gt;0,($I29/$G29)*CA29,0)*(1-$K29)</f>
        <v>1992381238</v>
      </c>
      <c r="CD29" s="3236">
        <f>VLOOKUP($E29,CA$442:CD$453,4,FALSE)*CA29*($K29)+(CA29-CB29-CC29)*(1-$K29)</f>
        <v>0</v>
      </c>
      <c r="CE29" s="3237"/>
      <c r="CH29" s="3255">
        <f>VLOOKUP($A29,'New Resources - Group'!$A$4:$Y$133,CH$2,FALSE)*CH$1</f>
        <v>0</v>
      </c>
      <c r="CI29" s="3235">
        <f>$G29+CH29</f>
        <v>1992381238</v>
      </c>
      <c r="CJ29" s="3236">
        <f>VLOOKUP($E29,CI$442:CL$453,2,FALSE)*CI29*($K29)+IF($G29&gt;0,($H29/$G29)*CI29,0)*(1-$K29)</f>
        <v>0</v>
      </c>
      <c r="CK29" s="3236">
        <f>VLOOKUP($E29,CI$442:CL$453,3,FALSE)*CI29*($K29)+IF($G29&gt;0,($I29/$G29)*CI29,0)*(1-$K29)</f>
        <v>1992381238</v>
      </c>
      <c r="CL29" s="3236">
        <f>VLOOKUP($E29,CI$442:CL$453,4,FALSE)*CI29*($K29)+(CI29-CJ29-CK29)*(1-$K29)</f>
        <v>0</v>
      </c>
      <c r="CM29" s="3237"/>
      <c r="CP29" s="3255">
        <f>VLOOKUP($A29,'New Resources - Group'!$A$4:$Y$133,CP$2,FALSE)*CP$1</f>
        <v>0</v>
      </c>
      <c r="CQ29" s="3235">
        <f>$G29+CP29</f>
        <v>1992381238</v>
      </c>
      <c r="CR29" s="3236">
        <f>VLOOKUP($E29,CQ$442:CT$453,2,FALSE)*CQ29*($K29)+IF($G29&gt;0,($H29/$G29)*CQ29,0)*(1-$K29)</f>
        <v>0</v>
      </c>
      <c r="CS29" s="3236">
        <f>VLOOKUP($E29,CQ$442:CT$453,3,FALSE)*CQ29*($K29)+IF($G29&gt;0,($I29/$G29)*CQ29,0)*(1-$K29)</f>
        <v>1992381238</v>
      </c>
      <c r="CT29" s="3236">
        <f>VLOOKUP($E29,CQ$442:CT$453,4,FALSE)*CQ29*($K29)+(CQ29-CR29-CS29)*(1-$K29)</f>
        <v>0</v>
      </c>
      <c r="CU29" s="3237"/>
      <c r="CX29" s="3255">
        <f>VLOOKUP($A29,'New Resources - Group'!$A$4:$Y$133,CX$2,FALSE)*CX$1</f>
        <v>0</v>
      </c>
      <c r="CY29" s="3235">
        <f>$G29+CX29</f>
        <v>1992381238</v>
      </c>
      <c r="CZ29" s="3236">
        <f>VLOOKUP($E29,CY$442:DB$453,2,FALSE)*CY29*($K29)+IF($G29&gt;0,($H29/$G29)*CY29,0)*(1-$K29)</f>
        <v>0</v>
      </c>
      <c r="DA29" s="3236">
        <f>VLOOKUP($E29,CY$442:DB$453,3,FALSE)*CY29*($K29)+IF($G29&gt;0,($I29/$G29)*CY29,0)*(1-$K29)</f>
        <v>1992381238</v>
      </c>
      <c r="DB29" s="3236">
        <f>VLOOKUP($E29,CY$442:DB$453,4,FALSE)*CY29*($K29)+(CY29-CZ29-DA29)*(1-$K29)</f>
        <v>0</v>
      </c>
      <c r="DC29" s="3237"/>
      <c r="DF29" s="3255">
        <f>VLOOKUP($A29,'New Resources - Group'!$A$4:$Y$133,DF$2,FALSE)*DF$1</f>
        <v>0</v>
      </c>
      <c r="DG29" s="3235">
        <f>$G29+DF29</f>
        <v>1992381238</v>
      </c>
      <c r="DH29" s="3236">
        <f>VLOOKUP($E29,DG$442:DJ$453,2,FALSE)*DG29*($K29)+IF($G29&gt;0,($H29/$G29)*DG29,0)*(1-$K29)</f>
        <v>0</v>
      </c>
      <c r="DI29" s="3236">
        <f>VLOOKUP($E29,DG$442:DJ$453,3,FALSE)*DG29*($K29)+IF($G29&gt;0,($I29/$G29)*DG29,0)*(1-$K29)</f>
        <v>1992381238</v>
      </c>
      <c r="DJ29" s="3236">
        <f>VLOOKUP($E29,DG$442:DJ$453,4,FALSE)*DG29*($K29)+(DG29-DH29-DI29)*(1-$K29)</f>
        <v>0</v>
      </c>
      <c r="DK29" s="3237"/>
      <c r="DN29" s="3255">
        <f>VLOOKUP($A29,'New Resources - Group'!$A$4:$Y$133,DN$2,FALSE)*DN$1</f>
        <v>0</v>
      </c>
      <c r="DO29" s="3235">
        <f>$G29+DN29</f>
        <v>1992381238</v>
      </c>
      <c r="DP29" s="3236">
        <f>VLOOKUP($E29,DO$442:DR$453,2,FALSE)*DO29*($K29)+IF($G29&gt;0,($H29/$G29)*DO29,0)*(1-$K29)</f>
        <v>0</v>
      </c>
      <c r="DQ29" s="3236">
        <f>VLOOKUP($E29,DO$442:DR$453,3,FALSE)*DO29*($K29)+IF($G29&gt;0,($I29/$G29)*DO29,0)*(1-$K29)</f>
        <v>1992381238</v>
      </c>
      <c r="DR29" s="3236">
        <f>VLOOKUP($E29,DO$442:DR$453,4,FALSE)*DO29*($K29)+(DO29-DP29-DQ29)*(1-$K29)</f>
        <v>0</v>
      </c>
      <c r="DS29" s="3237"/>
      <c r="DV29" s="3255">
        <f>VLOOKUP($A29,'New Resources - Group'!$A$4:$Y$133,DV$2,FALSE)*DV$1</f>
        <v>0</v>
      </c>
      <c r="DW29" s="3235">
        <f>$G29+DV29</f>
        <v>1992381238</v>
      </c>
      <c r="DX29" s="3236">
        <f>VLOOKUP($E29,DW$442:DZ$453,2,FALSE)*DW29*($K29)+IF($G29&gt;0,($H29/$G29)*DW29,0)*(1-$K29)</f>
        <v>0</v>
      </c>
      <c r="DY29" s="3236">
        <f>VLOOKUP($E29,DW$442:DZ$453,3,FALSE)*DW29*($K29)+IF($G29&gt;0,($I29/$G29)*DW29,0)*(1-$K29)</f>
        <v>1992381238</v>
      </c>
      <c r="DZ29" s="3236">
        <f>VLOOKUP($E29,DW$442:DZ$453,4,FALSE)*DW29*($K29)+(DW29-DX29-DY29)*(1-$K29)</f>
        <v>0</v>
      </c>
      <c r="EA29" s="3237"/>
      <c r="ED29" s="3255">
        <f>VLOOKUP($A29,'New Resources - Group'!$A$4:$Y$133,ED$2,FALSE)*ED$1</f>
        <v>0</v>
      </c>
      <c r="EE29" s="3235">
        <f>$G29+ED29</f>
        <v>1992381238</v>
      </c>
      <c r="EF29" s="3236">
        <f>VLOOKUP($E29,EE$442:EH$453,2,FALSE)*EE29*($K29)+IF($G29&gt;0,($H29/$G29)*EE29,0)*(1-$K29)</f>
        <v>0</v>
      </c>
      <c r="EG29" s="3236">
        <f>VLOOKUP($E29,EE$442:EH$453,3,FALSE)*EE29*($K29)+IF($G29&gt;0,($I29/$G29)*EE29,0)*(1-$K29)</f>
        <v>1992381238</v>
      </c>
      <c r="EH29" s="3236">
        <f>VLOOKUP($E29,EE$442:EH$453,4,FALSE)*EE29*($K29)+(EE29-EF29-EG29)*(1-$K29)</f>
        <v>0</v>
      </c>
      <c r="EI29" s="3237"/>
      <c r="EL29" s="3255">
        <f>VLOOKUP($A29,'New Resources - Group'!$A$4:$Y$133,EL$2,FALSE)*EL$1</f>
        <v>0</v>
      </c>
      <c r="EM29" s="3235">
        <f>$G29+EL29</f>
        <v>1992381238</v>
      </c>
      <c r="EN29" s="3236">
        <f>VLOOKUP($E29,EM$442:EP$453,2,FALSE)*EM29*($K29)+IF($G29&gt;0,($H29/$G29)*EM29,0)*(1-$K29)</f>
        <v>0</v>
      </c>
      <c r="EO29" s="3236">
        <f>VLOOKUP($E29,EM$442:EP$453,3,FALSE)*EM29*($K29)+IF($G29&gt;0,($I29/$G29)*EM29,0)*(1-$K29)</f>
        <v>1992381238</v>
      </c>
      <c r="EP29" s="3236">
        <f>VLOOKUP($E29,EM$442:EP$453,4,FALSE)*EM29*($K29)+(EM29-EN29-EO29)*(1-$K29)</f>
        <v>0</v>
      </c>
      <c r="EQ29" s="3237"/>
      <c r="ET29" s="3255">
        <f>VLOOKUP($A29,'New Resources - Group'!$A$4:$Y$133,ET$2,FALSE)*ET$1</f>
        <v>0</v>
      </c>
      <c r="EU29" s="3235">
        <f>$G29+ET29</f>
        <v>1992381238</v>
      </c>
      <c r="EV29" s="3236">
        <f>VLOOKUP($E29,EU$442:EX$453,2,FALSE)*EU29*($K29)+IF($G29&gt;0,($H29/$G29)*EU29,0)*(1-$K29)</f>
        <v>0</v>
      </c>
      <c r="EW29" s="3236">
        <f>VLOOKUP($E29,EU$442:EX$453,3,FALSE)*EU29*($K29)+IF($G29&gt;0,($I29/$G29)*EU29,0)*(1-$K29)</f>
        <v>1992381238</v>
      </c>
      <c r="EX29" s="3236">
        <f>VLOOKUP($E29,EU$442:EX$453,4,FALSE)*EU29*($K29)+(EU29-EV29-EW29)*(1-$K29)</f>
        <v>0</v>
      </c>
      <c r="EY29" s="3237"/>
      <c r="FB29" s="3255">
        <f>VLOOKUP($A29,'New Resources - Group'!$A$4:$Y$133,FB$2,FALSE)*FB$1</f>
        <v>0</v>
      </c>
      <c r="FC29" s="3235">
        <f>$G29+FB29</f>
        <v>1992381238</v>
      </c>
      <c r="FD29" s="3236">
        <f>VLOOKUP($E29,FC$442:FF$453,2,FALSE)*FC29*($K29)+IF($G29&gt;0,($H29/$G29)*FC29,0)*(1-$K29)</f>
        <v>0</v>
      </c>
      <c r="FE29" s="3236">
        <f>VLOOKUP($E29,FC$442:FF$453,3,FALSE)*FC29*($K29)+IF($G29&gt;0,($I29/$G29)*FC29,0)*(1-$K29)</f>
        <v>1992381238</v>
      </c>
      <c r="FF29" s="3236">
        <f>VLOOKUP($E29,FC$442:FF$453,4,FALSE)*FC29*($K29)+(FC29-FD29-FE29)*(1-$K29)</f>
        <v>0</v>
      </c>
      <c r="FG29" s="3237"/>
      <c r="FJ29" s="3255">
        <f>VLOOKUP($A29,'New Resources - Group'!$A$4:$Y$133,FJ$2,FALSE)*FJ$1</f>
        <v>0</v>
      </c>
      <c r="FK29" s="3235">
        <f>$G29+FJ29</f>
        <v>1992381238</v>
      </c>
      <c r="FL29" s="3236">
        <f>VLOOKUP($E29,FK$442:FN$453,2,FALSE)*FK29*($K29)+IF($G29&gt;0,($H29/$G29)*FK29,0)*(1-$K29)</f>
        <v>0</v>
      </c>
      <c r="FM29" s="3236">
        <f>VLOOKUP($E29,FK$442:FN$453,3,FALSE)*FK29*($K29)+IF($G29&gt;0,($I29/$G29)*FK29,0)*(1-$K29)</f>
        <v>1992381238</v>
      </c>
      <c r="FN29" s="3236">
        <f>VLOOKUP($E29,FK$442:FN$453,4,FALSE)*FK29*($K29)+(FK29-FL29-FM29)*(1-$K29)</f>
        <v>0</v>
      </c>
      <c r="FO29" s="3237"/>
    </row>
    <row r="30" spans="1:171">
      <c r="A30" s="2091" t="s">
        <v>121</v>
      </c>
      <c r="B30" s="2100"/>
      <c r="C30" s="3256"/>
      <c r="D30" s="3257"/>
      <c r="E30" s="3257"/>
      <c r="F30" s="3258"/>
      <c r="G30" s="3244">
        <f>SUM(G29)</f>
        <v>1992381238</v>
      </c>
      <c r="H30" s="3244">
        <f>SUM(H29)</f>
        <v>0</v>
      </c>
      <c r="I30" s="3244">
        <f>SUM(I29)</f>
        <v>0</v>
      </c>
      <c r="J30" s="3467">
        <f>SUM(J29)</f>
        <v>1992381238</v>
      </c>
      <c r="K30" s="3205"/>
      <c r="O30" s="3244">
        <f>SUM(O29)</f>
        <v>1992381238</v>
      </c>
      <c r="P30" s="3244">
        <f>SUM(P29)</f>
        <v>0</v>
      </c>
      <c r="Q30" s="3244">
        <f>SUM(Q29)</f>
        <v>1992381238</v>
      </c>
      <c r="R30" s="3244">
        <f>SUM(R29)</f>
        <v>0</v>
      </c>
      <c r="S30" s="3237"/>
      <c r="W30" s="3244">
        <f>SUM(W29)</f>
        <v>1992381238</v>
      </c>
      <c r="X30" s="3244">
        <f>SUM(X29)</f>
        <v>0</v>
      </c>
      <c r="Y30" s="3244">
        <f>SUM(Y29)</f>
        <v>1992381238</v>
      </c>
      <c r="Z30" s="3244">
        <f>SUM(Z29)</f>
        <v>0</v>
      </c>
      <c r="AA30" s="3237"/>
      <c r="AE30" s="3244">
        <f>SUM(AE29)</f>
        <v>1992381238</v>
      </c>
      <c r="AF30" s="3244">
        <f>SUM(AF29)</f>
        <v>0</v>
      </c>
      <c r="AG30" s="3244">
        <f>SUM(AG29)</f>
        <v>1992381238</v>
      </c>
      <c r="AH30" s="3244">
        <f>SUM(AH29)</f>
        <v>0</v>
      </c>
      <c r="AI30" s="3237"/>
      <c r="AM30" s="3244">
        <f>SUM(AM29)</f>
        <v>1992381238</v>
      </c>
      <c r="AN30" s="3244">
        <f>SUM(AN29)</f>
        <v>0</v>
      </c>
      <c r="AO30" s="3244">
        <f>SUM(AO29)</f>
        <v>1992381238</v>
      </c>
      <c r="AP30" s="3244">
        <f>SUM(AP29)</f>
        <v>0</v>
      </c>
      <c r="AQ30" s="3237"/>
      <c r="AU30" s="3244">
        <f>SUM(AU29)</f>
        <v>1992381238</v>
      </c>
      <c r="AV30" s="3244">
        <f>SUM(AV29)</f>
        <v>0</v>
      </c>
      <c r="AW30" s="3244">
        <f>SUM(AW29)</f>
        <v>1992381238</v>
      </c>
      <c r="AX30" s="3244">
        <f>SUM(AX29)</f>
        <v>0</v>
      </c>
      <c r="AY30" s="3237"/>
      <c r="BC30" s="3244">
        <f>SUM(BC29)</f>
        <v>1992381238</v>
      </c>
      <c r="BD30" s="3244">
        <f>SUM(BD29)</f>
        <v>0</v>
      </c>
      <c r="BE30" s="3244">
        <f>SUM(BE29)</f>
        <v>1992381238</v>
      </c>
      <c r="BF30" s="3244">
        <f>SUM(BF29)</f>
        <v>0</v>
      </c>
      <c r="BG30" s="3237"/>
      <c r="BK30" s="3244">
        <f>SUM(BK29)</f>
        <v>1992381238</v>
      </c>
      <c r="BL30" s="3244">
        <f>SUM(BL29)</f>
        <v>0</v>
      </c>
      <c r="BM30" s="3244">
        <f>SUM(BM29)</f>
        <v>1992381238</v>
      </c>
      <c r="BN30" s="3244">
        <f>SUM(BN29)</f>
        <v>0</v>
      </c>
      <c r="BO30" s="3237"/>
      <c r="BS30" s="3244">
        <f>SUM(BS29)</f>
        <v>1992381238</v>
      </c>
      <c r="BT30" s="3244">
        <f>SUM(BT29)</f>
        <v>0</v>
      </c>
      <c r="BU30" s="3244">
        <f>SUM(BU29)</f>
        <v>1992381238</v>
      </c>
      <c r="BV30" s="3244">
        <f>SUM(BV29)</f>
        <v>0</v>
      </c>
      <c r="BW30" s="3237"/>
      <c r="CA30" s="3244">
        <f>SUM(CA29)</f>
        <v>1992381238</v>
      </c>
      <c r="CB30" s="3244">
        <f>SUM(CB29)</f>
        <v>0</v>
      </c>
      <c r="CC30" s="3244">
        <f>SUM(CC29)</f>
        <v>1992381238</v>
      </c>
      <c r="CD30" s="3244">
        <f>SUM(CD29)</f>
        <v>0</v>
      </c>
      <c r="CE30" s="3237"/>
      <c r="CI30" s="3244">
        <f>SUM(CI29)</f>
        <v>1992381238</v>
      </c>
      <c r="CJ30" s="3244">
        <f>SUM(CJ29)</f>
        <v>0</v>
      </c>
      <c r="CK30" s="3244">
        <f>SUM(CK29)</f>
        <v>1992381238</v>
      </c>
      <c r="CL30" s="3244">
        <f>SUM(CL29)</f>
        <v>0</v>
      </c>
      <c r="CM30" s="3237"/>
      <c r="CQ30" s="3244">
        <f>SUM(CQ29)</f>
        <v>1992381238</v>
      </c>
      <c r="CR30" s="3244">
        <f>SUM(CR29)</f>
        <v>0</v>
      </c>
      <c r="CS30" s="3244">
        <f>SUM(CS29)</f>
        <v>1992381238</v>
      </c>
      <c r="CT30" s="3244">
        <f>SUM(CT29)</f>
        <v>0</v>
      </c>
      <c r="CU30" s="3237"/>
      <c r="CY30" s="3244">
        <f>SUM(CY29)</f>
        <v>1992381238</v>
      </c>
      <c r="CZ30" s="3244">
        <f>SUM(CZ29)</f>
        <v>0</v>
      </c>
      <c r="DA30" s="3244">
        <f>SUM(DA29)</f>
        <v>1992381238</v>
      </c>
      <c r="DB30" s="3244">
        <f>SUM(DB29)</f>
        <v>0</v>
      </c>
      <c r="DC30" s="3237"/>
      <c r="DG30" s="3244">
        <f>SUM(DG29)</f>
        <v>1992381238</v>
      </c>
      <c r="DH30" s="3244">
        <f>SUM(DH29)</f>
        <v>0</v>
      </c>
      <c r="DI30" s="3244">
        <f>SUM(DI29)</f>
        <v>1992381238</v>
      </c>
      <c r="DJ30" s="3244">
        <f>SUM(DJ29)</f>
        <v>0</v>
      </c>
      <c r="DK30" s="3237"/>
      <c r="DO30" s="3244">
        <f>SUM(DO29)</f>
        <v>1992381238</v>
      </c>
      <c r="DP30" s="3244">
        <f>SUM(DP29)</f>
        <v>0</v>
      </c>
      <c r="DQ30" s="3244">
        <f>SUM(DQ29)</f>
        <v>1992381238</v>
      </c>
      <c r="DR30" s="3244">
        <f>SUM(DR29)</f>
        <v>0</v>
      </c>
      <c r="DS30" s="3237"/>
      <c r="DW30" s="3244">
        <f>SUM(DW29)</f>
        <v>1992381238</v>
      </c>
      <c r="DX30" s="3244">
        <f>SUM(DX29)</f>
        <v>0</v>
      </c>
      <c r="DY30" s="3244">
        <f>SUM(DY29)</f>
        <v>1992381238</v>
      </c>
      <c r="DZ30" s="3244">
        <f>SUM(DZ29)</f>
        <v>0</v>
      </c>
      <c r="EA30" s="3237"/>
      <c r="EE30" s="3244">
        <f>SUM(EE29)</f>
        <v>1992381238</v>
      </c>
      <c r="EF30" s="3244">
        <f>SUM(EF29)</f>
        <v>0</v>
      </c>
      <c r="EG30" s="3244">
        <f>SUM(EG29)</f>
        <v>1992381238</v>
      </c>
      <c r="EH30" s="3244">
        <f>SUM(EH29)</f>
        <v>0</v>
      </c>
      <c r="EI30" s="3237"/>
      <c r="EM30" s="3244">
        <f>SUM(EM29)</f>
        <v>1992381238</v>
      </c>
      <c r="EN30" s="3244">
        <f>SUM(EN29)</f>
        <v>0</v>
      </c>
      <c r="EO30" s="3244">
        <f>SUM(EO29)</f>
        <v>1992381238</v>
      </c>
      <c r="EP30" s="3244">
        <f>SUM(EP29)</f>
        <v>0</v>
      </c>
      <c r="EQ30" s="3237"/>
      <c r="EU30" s="3244">
        <f>SUM(EU29)</f>
        <v>1992381238</v>
      </c>
      <c r="EV30" s="3244">
        <f>SUM(EV29)</f>
        <v>0</v>
      </c>
      <c r="EW30" s="3244">
        <f>SUM(EW29)</f>
        <v>1992381238</v>
      </c>
      <c r="EX30" s="3244">
        <f>SUM(EX29)</f>
        <v>0</v>
      </c>
      <c r="EY30" s="3237"/>
      <c r="FC30" s="3244">
        <f>SUM(FC29)</f>
        <v>1992381238</v>
      </c>
      <c r="FD30" s="3244">
        <f>SUM(FD29)</f>
        <v>0</v>
      </c>
      <c r="FE30" s="3244">
        <f>SUM(FE29)</f>
        <v>1992381238</v>
      </c>
      <c r="FF30" s="3244">
        <f>SUM(FF29)</f>
        <v>0</v>
      </c>
      <c r="FG30" s="3237"/>
      <c r="FK30" s="3244">
        <f>SUM(FK29)</f>
        <v>1992381238</v>
      </c>
      <c r="FL30" s="3244">
        <f>SUM(FL29)</f>
        <v>0</v>
      </c>
      <c r="FM30" s="3244">
        <f>SUM(FM29)</f>
        <v>1992381238</v>
      </c>
      <c r="FN30" s="3244">
        <f>SUM(FN29)</f>
        <v>0</v>
      </c>
      <c r="FO30" s="3237"/>
    </row>
    <row r="31" spans="1:171">
      <c r="A31" s="2091"/>
      <c r="B31" s="2100"/>
      <c r="C31" s="2116"/>
      <c r="D31" s="2116"/>
      <c r="E31" s="2116"/>
      <c r="F31" s="2116"/>
      <c r="G31" s="2117"/>
      <c r="H31" s="2117"/>
      <c r="I31" s="2117"/>
      <c r="J31" s="3472"/>
      <c r="K31" s="3205"/>
      <c r="S31" s="3237"/>
      <c r="AA31" s="3237"/>
      <c r="AI31" s="3237"/>
      <c r="AQ31" s="3237"/>
      <c r="AY31" s="3237"/>
      <c r="BG31" s="3237"/>
      <c r="BO31" s="3237"/>
      <c r="BW31" s="3237"/>
      <c r="CE31" s="3237"/>
      <c r="CM31" s="3237"/>
      <c r="CU31" s="3237"/>
      <c r="DC31" s="3237"/>
      <c r="DK31" s="3237"/>
      <c r="DS31" s="3237"/>
      <c r="EA31" s="3237"/>
      <c r="EI31" s="3237"/>
      <c r="EQ31" s="3237"/>
      <c r="EY31" s="3237"/>
      <c r="FG31" s="3237"/>
      <c r="FO31" s="3237"/>
    </row>
    <row r="32" spans="1:171">
      <c r="A32" s="2102" t="s">
        <v>471</v>
      </c>
      <c r="B32" s="2103"/>
      <c r="C32" s="2116"/>
      <c r="D32" s="2116"/>
      <c r="E32" s="2100"/>
      <c r="F32" s="2100"/>
      <c r="G32" s="2182"/>
      <c r="H32" s="2182"/>
      <c r="I32" s="2182"/>
      <c r="J32" s="2183"/>
      <c r="K32" s="3205"/>
      <c r="S32" s="3237"/>
      <c r="AA32" s="3237"/>
      <c r="AI32" s="3237"/>
      <c r="AQ32" s="3237"/>
      <c r="AY32" s="3237"/>
      <c r="BG32" s="3237"/>
      <c r="BO32" s="3237"/>
      <c r="BW32" s="3237"/>
      <c r="CE32" s="3237"/>
      <c r="CM32" s="3237"/>
      <c r="CU32" s="3237"/>
      <c r="DC32" s="3237"/>
      <c r="DK32" s="3237"/>
      <c r="DS32" s="3237"/>
      <c r="EA32" s="3237"/>
      <c r="EI32" s="3237"/>
      <c r="EQ32" s="3237"/>
      <c r="EY32" s="3237"/>
      <c r="FG32" s="3237"/>
      <c r="FO32" s="3237"/>
    </row>
    <row r="33" spans="1:171">
      <c r="A33" s="2092"/>
      <c r="B33" s="2185" t="s">
        <v>140</v>
      </c>
      <c r="C33" s="3233" t="s">
        <v>70</v>
      </c>
      <c r="D33" s="2464" t="s">
        <v>123</v>
      </c>
      <c r="E33" s="2424" t="str">
        <f>'Sch 1- Rate Base '!E33</f>
        <v>DIST</v>
      </c>
      <c r="F33" s="2171"/>
      <c r="G33" s="2424">
        <f>'Sch 1- Rate Base '!G33</f>
        <v>5283922742</v>
      </c>
      <c r="H33" s="2424">
        <f>'Sch 1- Rate Base '!H33</f>
        <v>0</v>
      </c>
      <c r="I33" s="2424">
        <f>'Sch 1- Rate Base '!I33</f>
        <v>0</v>
      </c>
      <c r="J33" s="3465">
        <f>'Sch 1- Rate Base '!J33</f>
        <v>5283922742</v>
      </c>
      <c r="K33" s="3205">
        <f>IF($E33="DIRECT",0,1)</f>
        <v>1</v>
      </c>
      <c r="O33" s="3235">
        <f>$G33</f>
        <v>5283922742</v>
      </c>
      <c r="P33" s="3236">
        <f>VLOOKUP($E33,O$442:R$453,2,FALSE)*O33*($K33)+IF($G33&gt;0,($H33/$G33)*O33,0)*(1-$K33)</f>
        <v>0</v>
      </c>
      <c r="Q33" s="3236">
        <f>VLOOKUP($E33,O$442:R$453,3,FALSE)*O33*($K33)+IF($G33&gt;0,($I33/$G33)*O33,0)*(1-$K33)</f>
        <v>0</v>
      </c>
      <c r="R33" s="3236">
        <f>VLOOKUP($E33,O$442:R$453,4,FALSE)*O33*($K33)+(O33-P33-Q33)*(1-$K33)</f>
        <v>5283922742</v>
      </c>
      <c r="S33" s="3237"/>
      <c r="W33" s="3235">
        <f>$G33</f>
        <v>5283922742</v>
      </c>
      <c r="X33" s="3236">
        <f>VLOOKUP($E33,W$442:Z$453,2,FALSE)*W33*($K33)+IF($G33&gt;0,($H33/$G33)*W33,0)*(1-$K33)</f>
        <v>0</v>
      </c>
      <c r="Y33" s="3236">
        <f>VLOOKUP($E33,W$442:Z$453,3,FALSE)*W33*($K33)+IF($G33&gt;0,($I33/$G33)*W33,0)*(1-$K33)</f>
        <v>0</v>
      </c>
      <c r="Z33" s="3236">
        <f>VLOOKUP($E33,W$442:Z$453,4,FALSE)*W33*($K33)+(W33-X33-Y33)*(1-$K33)</f>
        <v>5283922742</v>
      </c>
      <c r="AA33" s="3237"/>
      <c r="AE33" s="3235">
        <f>$G33</f>
        <v>5283922742</v>
      </c>
      <c r="AF33" s="3236">
        <f>VLOOKUP($E33,AE$442:AH$453,2,FALSE)*AE33*($K33)+IF($G33&gt;0,($H33/$G33)*AE33,0)*(1-$K33)</f>
        <v>0</v>
      </c>
      <c r="AG33" s="3236">
        <f>VLOOKUP($E33,AE$442:AH$453,3,FALSE)*AE33*($K33)+IF($G33&gt;0,($I33/$G33)*AE33,0)*(1-$K33)</f>
        <v>0</v>
      </c>
      <c r="AH33" s="3236">
        <f>VLOOKUP($E33,AE$442:AH$453,4,FALSE)*AE33*($K33)+(AE33-AF33-AG33)*(1-$K33)</f>
        <v>5283922742</v>
      </c>
      <c r="AI33" s="3237"/>
      <c r="AM33" s="3235">
        <f>$G33</f>
        <v>5283922742</v>
      </c>
      <c r="AN33" s="3236">
        <f>VLOOKUP($E33,AM$442:AP$453,2,FALSE)*AM33*($K33)+IF($G33&gt;0,($H33/$G33)*AM33,0)*(1-$K33)</f>
        <v>0</v>
      </c>
      <c r="AO33" s="3236">
        <f>VLOOKUP($E33,AM$442:AP$453,3,FALSE)*AM33*($K33)+IF($G33&gt;0,($I33/$G33)*AM33,0)*(1-$K33)</f>
        <v>0</v>
      </c>
      <c r="AP33" s="3236">
        <f>VLOOKUP($E33,AM$442:AP$453,4,FALSE)*AM33*($K33)+(AM33-AN33-AO33)*(1-$K33)</f>
        <v>5283922742</v>
      </c>
      <c r="AQ33" s="3237"/>
      <c r="AU33" s="3235">
        <f>$G33</f>
        <v>5283922742</v>
      </c>
      <c r="AV33" s="3236">
        <f>VLOOKUP($E33,AU$442:AX$453,2,FALSE)*AU33*($K33)+IF($G33&gt;0,($H33/$G33)*AU33,0)*(1-$K33)</f>
        <v>0</v>
      </c>
      <c r="AW33" s="3236">
        <f>VLOOKUP($E33,AU$442:AX$453,3,FALSE)*AU33*($K33)+IF($G33&gt;0,($I33/$G33)*AU33,0)*(1-$K33)</f>
        <v>0</v>
      </c>
      <c r="AX33" s="3236">
        <f>VLOOKUP($E33,AU$442:AX$453,4,FALSE)*AU33*($K33)+(AU33-AV33-AW33)*(1-$K33)</f>
        <v>5283922742</v>
      </c>
      <c r="AY33" s="3237"/>
      <c r="BC33" s="3235">
        <f>$G33</f>
        <v>5283922742</v>
      </c>
      <c r="BD33" s="3236">
        <f>VLOOKUP($E33,BC$442:BF$453,2,FALSE)*BC33*($K33)+IF($G33&gt;0,($H33/$G33)*BC33,0)*(1-$K33)</f>
        <v>0</v>
      </c>
      <c r="BE33" s="3236">
        <f>VLOOKUP($E33,BC$442:BF$453,3,FALSE)*BC33*($K33)+IF($G33&gt;0,($I33/$G33)*BC33,0)*(1-$K33)</f>
        <v>0</v>
      </c>
      <c r="BF33" s="3236">
        <f>VLOOKUP($E33,BC$442:BF$453,4,FALSE)*BC33*($K33)+(BC33-BD33-BE33)*(1-$K33)</f>
        <v>5283922742</v>
      </c>
      <c r="BG33" s="3237"/>
      <c r="BK33" s="3235">
        <f>$G33</f>
        <v>5283922742</v>
      </c>
      <c r="BL33" s="3236">
        <f>VLOOKUP($E33,BK$442:BN$453,2,FALSE)*BK33*($K33)+IF($G33&gt;0,($H33/$G33)*BK33,0)*(1-$K33)</f>
        <v>0</v>
      </c>
      <c r="BM33" s="3236">
        <f>VLOOKUP($E33,BK$442:BN$453,3,FALSE)*BK33*($K33)+IF($G33&gt;0,($I33/$G33)*BK33,0)*(1-$K33)</f>
        <v>0</v>
      </c>
      <c r="BN33" s="3236">
        <f>VLOOKUP($E33,BK$442:BN$453,4,FALSE)*BK33*($K33)+(BK33-BL33-BM33)*(1-$K33)</f>
        <v>5283922742</v>
      </c>
      <c r="BO33" s="3237"/>
      <c r="BS33" s="3235">
        <f>$G33</f>
        <v>5283922742</v>
      </c>
      <c r="BT33" s="3236">
        <f>VLOOKUP($E33,BS$442:BV$453,2,FALSE)*BS33*($K33)+IF($G33&gt;0,($H33/$G33)*BS33,0)*(1-$K33)</f>
        <v>0</v>
      </c>
      <c r="BU33" s="3236">
        <f>VLOOKUP($E33,BS$442:BV$453,3,FALSE)*BS33*($K33)+IF($G33&gt;0,($I33/$G33)*BS33,0)*(1-$K33)</f>
        <v>0</v>
      </c>
      <c r="BV33" s="3236">
        <f>VLOOKUP($E33,BS$442:BV$453,4,FALSE)*BS33*($K33)+(BS33-BT33-BU33)*(1-$K33)</f>
        <v>5283922742</v>
      </c>
      <c r="BW33" s="3237"/>
      <c r="CA33" s="3235">
        <f>$G33</f>
        <v>5283922742</v>
      </c>
      <c r="CB33" s="3236">
        <f>VLOOKUP($E33,CA$442:CD$453,2,FALSE)*CA33*($K33)+IF($G33&gt;0,($H33/$G33)*CA33,0)*(1-$K33)</f>
        <v>0</v>
      </c>
      <c r="CC33" s="3236">
        <f>VLOOKUP($E33,CA$442:CD$453,3,FALSE)*CA33*($K33)+IF($G33&gt;0,($I33/$G33)*CA33,0)*(1-$K33)</f>
        <v>0</v>
      </c>
      <c r="CD33" s="3236">
        <f>VLOOKUP($E33,CA$442:CD$453,4,FALSE)*CA33*($K33)+(CA33-CB33-CC33)*(1-$K33)</f>
        <v>5283922742</v>
      </c>
      <c r="CE33" s="3237"/>
      <c r="CI33" s="3235">
        <f>$G33</f>
        <v>5283922742</v>
      </c>
      <c r="CJ33" s="3236">
        <f>VLOOKUP($E33,CI$442:CL$453,2,FALSE)*CI33*($K33)+IF($G33&gt;0,($H33/$G33)*CI33,0)*(1-$K33)</f>
        <v>0</v>
      </c>
      <c r="CK33" s="3236">
        <f>VLOOKUP($E33,CI$442:CL$453,3,FALSE)*CI33*($K33)+IF($G33&gt;0,($I33/$G33)*CI33,0)*(1-$K33)</f>
        <v>0</v>
      </c>
      <c r="CL33" s="3236">
        <f>VLOOKUP($E33,CI$442:CL$453,4,FALSE)*CI33*($K33)+(CI33-CJ33-CK33)*(1-$K33)</f>
        <v>5283922742</v>
      </c>
      <c r="CM33" s="3237"/>
      <c r="CQ33" s="3235">
        <f>$G33</f>
        <v>5283922742</v>
      </c>
      <c r="CR33" s="3236">
        <f>VLOOKUP($E33,CQ$442:CT$453,2,FALSE)*CQ33*($K33)+IF($G33&gt;0,($H33/$G33)*CQ33,0)*(1-$K33)</f>
        <v>0</v>
      </c>
      <c r="CS33" s="3236">
        <f>VLOOKUP($E33,CQ$442:CT$453,3,FALSE)*CQ33*($K33)+IF($G33&gt;0,($I33/$G33)*CQ33,0)*(1-$K33)</f>
        <v>0</v>
      </c>
      <c r="CT33" s="3236">
        <f>VLOOKUP($E33,CQ$442:CT$453,4,FALSE)*CQ33*($K33)+(CQ33-CR33-CS33)*(1-$K33)</f>
        <v>5283922742</v>
      </c>
      <c r="CU33" s="3237"/>
      <c r="CY33" s="3235">
        <f>$G33</f>
        <v>5283922742</v>
      </c>
      <c r="CZ33" s="3236">
        <f>VLOOKUP($E33,CY$442:DB$453,2,FALSE)*CY33*($K33)+IF($G33&gt;0,($H33/$G33)*CY33,0)*(1-$K33)</f>
        <v>0</v>
      </c>
      <c r="DA33" s="3236">
        <f>VLOOKUP($E33,CY$442:DB$453,3,FALSE)*CY33*($K33)+IF($G33&gt;0,($I33/$G33)*CY33,0)*(1-$K33)</f>
        <v>0</v>
      </c>
      <c r="DB33" s="3236">
        <f>VLOOKUP($E33,CY$442:DB$453,4,FALSE)*CY33*($K33)+(CY33-CZ33-DA33)*(1-$K33)</f>
        <v>5283922742</v>
      </c>
      <c r="DC33" s="3237"/>
      <c r="DG33" s="3235">
        <f>$G33</f>
        <v>5283922742</v>
      </c>
      <c r="DH33" s="3236">
        <f>VLOOKUP($E33,DG$442:DJ$453,2,FALSE)*DG33*($K33)+IF($G33&gt;0,($H33/$G33)*DG33,0)*(1-$K33)</f>
        <v>0</v>
      </c>
      <c r="DI33" s="3236">
        <f>VLOOKUP($E33,DG$442:DJ$453,3,FALSE)*DG33*($K33)+IF($G33&gt;0,($I33/$G33)*DG33,0)*(1-$K33)</f>
        <v>0</v>
      </c>
      <c r="DJ33" s="3236">
        <f>VLOOKUP($E33,DG$442:DJ$453,4,FALSE)*DG33*($K33)+(DG33-DH33-DI33)*(1-$K33)</f>
        <v>5283922742</v>
      </c>
      <c r="DK33" s="3237"/>
      <c r="DO33" s="3235">
        <f>$G33</f>
        <v>5283922742</v>
      </c>
      <c r="DP33" s="3236">
        <f>VLOOKUP($E33,DO$442:DR$453,2,FALSE)*DO33*($K33)+IF($G33&gt;0,($H33/$G33)*DO33,0)*(1-$K33)</f>
        <v>0</v>
      </c>
      <c r="DQ33" s="3236">
        <f>VLOOKUP($E33,DO$442:DR$453,3,FALSE)*DO33*($K33)+IF($G33&gt;0,($I33/$G33)*DO33,0)*(1-$K33)</f>
        <v>0</v>
      </c>
      <c r="DR33" s="3236">
        <f>VLOOKUP($E33,DO$442:DR$453,4,FALSE)*DO33*($K33)+(DO33-DP33-DQ33)*(1-$K33)</f>
        <v>5283922742</v>
      </c>
      <c r="DS33" s="3237"/>
      <c r="DW33" s="3235">
        <f>$G33</f>
        <v>5283922742</v>
      </c>
      <c r="DX33" s="3236">
        <f>VLOOKUP($E33,DW$442:DZ$453,2,FALSE)*DW33*($K33)+IF($G33&gt;0,($H33/$G33)*DW33,0)*(1-$K33)</f>
        <v>0</v>
      </c>
      <c r="DY33" s="3236">
        <f>VLOOKUP($E33,DW$442:DZ$453,3,FALSE)*DW33*($K33)+IF($G33&gt;0,($I33/$G33)*DW33,0)*(1-$K33)</f>
        <v>0</v>
      </c>
      <c r="DZ33" s="3236">
        <f>VLOOKUP($E33,DW$442:DZ$453,4,FALSE)*DW33*($K33)+(DW33-DX33-DY33)*(1-$K33)</f>
        <v>5283922742</v>
      </c>
      <c r="EA33" s="3237"/>
      <c r="EE33" s="3235">
        <f>$G33</f>
        <v>5283922742</v>
      </c>
      <c r="EF33" s="3236">
        <f>VLOOKUP($E33,EE$442:EH$453,2,FALSE)*EE33*($K33)+IF($G33&gt;0,($H33/$G33)*EE33,0)*(1-$K33)</f>
        <v>0</v>
      </c>
      <c r="EG33" s="3236">
        <f>VLOOKUP($E33,EE$442:EH$453,3,FALSE)*EE33*($K33)+IF($G33&gt;0,($I33/$G33)*EE33,0)*(1-$K33)</f>
        <v>0</v>
      </c>
      <c r="EH33" s="3236">
        <f>VLOOKUP($E33,EE$442:EH$453,4,FALSE)*EE33*($K33)+(EE33-EF33-EG33)*(1-$K33)</f>
        <v>5283922742</v>
      </c>
      <c r="EI33" s="3237"/>
      <c r="EM33" s="3235">
        <f>$G33</f>
        <v>5283922742</v>
      </c>
      <c r="EN33" s="3236">
        <f>VLOOKUP($E33,EM$442:EP$453,2,FALSE)*EM33*($K33)+IF($G33&gt;0,($H33/$G33)*EM33,0)*(1-$K33)</f>
        <v>0</v>
      </c>
      <c r="EO33" s="3236">
        <f>VLOOKUP($E33,EM$442:EP$453,3,FALSE)*EM33*($K33)+IF($G33&gt;0,($I33/$G33)*EM33,0)*(1-$K33)</f>
        <v>0</v>
      </c>
      <c r="EP33" s="3236">
        <f>VLOOKUP($E33,EM$442:EP$453,4,FALSE)*EM33*($K33)+(EM33-EN33-EO33)*(1-$K33)</f>
        <v>5283922742</v>
      </c>
      <c r="EQ33" s="3237"/>
      <c r="EU33" s="3235">
        <f>$G33</f>
        <v>5283922742</v>
      </c>
      <c r="EV33" s="3236">
        <f>VLOOKUP($E33,EU$442:EX$453,2,FALSE)*EU33*($K33)+IF($G33&gt;0,($H33/$G33)*EU33,0)*(1-$K33)</f>
        <v>0</v>
      </c>
      <c r="EW33" s="3236">
        <f>VLOOKUP($E33,EU$442:EX$453,3,FALSE)*EU33*($K33)+IF($G33&gt;0,($I33/$G33)*EU33,0)*(1-$K33)</f>
        <v>0</v>
      </c>
      <c r="EX33" s="3236">
        <f>VLOOKUP($E33,EU$442:EX$453,4,FALSE)*EU33*($K33)+(EU33-EV33-EW33)*(1-$K33)</f>
        <v>5283922742</v>
      </c>
      <c r="EY33" s="3237"/>
      <c r="FC33" s="3235">
        <f>$G33</f>
        <v>5283922742</v>
      </c>
      <c r="FD33" s="3236">
        <f>VLOOKUP($E33,FC$442:FF$453,2,FALSE)*FC33*($K33)+IF($G33&gt;0,($H33/$G33)*FC33,0)*(1-$K33)</f>
        <v>0</v>
      </c>
      <c r="FE33" s="3236">
        <f>VLOOKUP($E33,FC$442:FF$453,3,FALSE)*FC33*($K33)+IF($G33&gt;0,($I33/$G33)*FC33,0)*(1-$K33)</f>
        <v>0</v>
      </c>
      <c r="FF33" s="3236">
        <f>VLOOKUP($E33,FC$442:FF$453,4,FALSE)*FC33*($K33)+(FC33-FD33-FE33)*(1-$K33)</f>
        <v>5283922742</v>
      </c>
      <c r="FG33" s="3237"/>
      <c r="FK33" s="3235">
        <f>$G33</f>
        <v>5283922742</v>
      </c>
      <c r="FL33" s="3236">
        <f>VLOOKUP($E33,FK$442:FN$453,2,FALSE)*FK33*($K33)+IF($G33&gt;0,($H33/$G33)*FK33,0)*(1-$K33)</f>
        <v>0</v>
      </c>
      <c r="FM33" s="3236">
        <f>VLOOKUP($E33,FK$442:FN$453,3,FALSE)*FK33*($K33)+IF($G33&gt;0,($I33/$G33)*FK33,0)*(1-$K33)</f>
        <v>0</v>
      </c>
      <c r="FN33" s="3236">
        <f>VLOOKUP($E33,FK$442:FN$453,4,FALSE)*FK33*($K33)+(FK33-FL33-FM33)*(1-$K33)</f>
        <v>5283922742</v>
      </c>
      <c r="FO33" s="3237"/>
    </row>
    <row r="34" spans="1:171">
      <c r="A34" s="2196" t="s">
        <v>122</v>
      </c>
      <c r="B34" s="2103"/>
      <c r="C34" s="3256"/>
      <c r="D34" s="3257"/>
      <c r="E34" s="3257"/>
      <c r="F34" s="3258"/>
      <c r="G34" s="3244">
        <f>SUM(G33)</f>
        <v>5283922742</v>
      </c>
      <c r="H34" s="3244">
        <f>SUM(H33)</f>
        <v>0</v>
      </c>
      <c r="I34" s="3244">
        <f>SUM(I33)</f>
        <v>0</v>
      </c>
      <c r="J34" s="3467">
        <f>SUM(J33)</f>
        <v>5283922742</v>
      </c>
      <c r="K34" s="3205"/>
      <c r="O34" s="3244">
        <f>SUM(O33)</f>
        <v>5283922742</v>
      </c>
      <c r="P34" s="3244">
        <f>SUM(P33)</f>
        <v>0</v>
      </c>
      <c r="Q34" s="3244">
        <f>SUM(Q33)</f>
        <v>0</v>
      </c>
      <c r="R34" s="3244">
        <f>SUM(R33)</f>
        <v>5283922742</v>
      </c>
      <c r="S34" s="3237"/>
      <c r="W34" s="3244">
        <f>SUM(W33)</f>
        <v>5283922742</v>
      </c>
      <c r="X34" s="3244">
        <f>SUM(X33)</f>
        <v>0</v>
      </c>
      <c r="Y34" s="3244">
        <f>SUM(Y33)</f>
        <v>0</v>
      </c>
      <c r="Z34" s="3244">
        <f>SUM(Z33)</f>
        <v>5283922742</v>
      </c>
      <c r="AA34" s="3237"/>
      <c r="AE34" s="3244">
        <f>SUM(AE33)</f>
        <v>5283922742</v>
      </c>
      <c r="AF34" s="3244">
        <f>SUM(AF33)</f>
        <v>0</v>
      </c>
      <c r="AG34" s="3244">
        <f>SUM(AG33)</f>
        <v>0</v>
      </c>
      <c r="AH34" s="3244">
        <f>SUM(AH33)</f>
        <v>5283922742</v>
      </c>
      <c r="AI34" s="3237"/>
      <c r="AM34" s="3244">
        <f>SUM(AM33)</f>
        <v>5283922742</v>
      </c>
      <c r="AN34" s="3244">
        <f>SUM(AN33)</f>
        <v>0</v>
      </c>
      <c r="AO34" s="3244">
        <f>SUM(AO33)</f>
        <v>0</v>
      </c>
      <c r="AP34" s="3244">
        <f>SUM(AP33)</f>
        <v>5283922742</v>
      </c>
      <c r="AQ34" s="3237"/>
      <c r="AU34" s="3244">
        <f>SUM(AU33)</f>
        <v>5283922742</v>
      </c>
      <c r="AV34" s="3244">
        <f>SUM(AV33)</f>
        <v>0</v>
      </c>
      <c r="AW34" s="3244">
        <f>SUM(AW33)</f>
        <v>0</v>
      </c>
      <c r="AX34" s="3244">
        <f>SUM(AX33)</f>
        <v>5283922742</v>
      </c>
      <c r="AY34" s="3237"/>
      <c r="BC34" s="3244">
        <f>SUM(BC33)</f>
        <v>5283922742</v>
      </c>
      <c r="BD34" s="3244">
        <f>SUM(BD33)</f>
        <v>0</v>
      </c>
      <c r="BE34" s="3244">
        <f>SUM(BE33)</f>
        <v>0</v>
      </c>
      <c r="BF34" s="3244">
        <f>SUM(BF33)</f>
        <v>5283922742</v>
      </c>
      <c r="BG34" s="3237"/>
      <c r="BK34" s="3244">
        <f>SUM(BK33)</f>
        <v>5283922742</v>
      </c>
      <c r="BL34" s="3244">
        <f>SUM(BL33)</f>
        <v>0</v>
      </c>
      <c r="BM34" s="3244">
        <f>SUM(BM33)</f>
        <v>0</v>
      </c>
      <c r="BN34" s="3244">
        <f>SUM(BN33)</f>
        <v>5283922742</v>
      </c>
      <c r="BO34" s="3237"/>
      <c r="BS34" s="3244">
        <f>SUM(BS33)</f>
        <v>5283922742</v>
      </c>
      <c r="BT34" s="3244">
        <f>SUM(BT33)</f>
        <v>0</v>
      </c>
      <c r="BU34" s="3244">
        <f>SUM(BU33)</f>
        <v>0</v>
      </c>
      <c r="BV34" s="3244">
        <f>SUM(BV33)</f>
        <v>5283922742</v>
      </c>
      <c r="BW34" s="3237"/>
      <c r="CA34" s="3244">
        <f>SUM(CA33)</f>
        <v>5283922742</v>
      </c>
      <c r="CB34" s="3244">
        <f>SUM(CB33)</f>
        <v>0</v>
      </c>
      <c r="CC34" s="3244">
        <f>SUM(CC33)</f>
        <v>0</v>
      </c>
      <c r="CD34" s="3244">
        <f>SUM(CD33)</f>
        <v>5283922742</v>
      </c>
      <c r="CE34" s="3237"/>
      <c r="CI34" s="3244">
        <f>SUM(CI33)</f>
        <v>5283922742</v>
      </c>
      <c r="CJ34" s="3244">
        <f>SUM(CJ33)</f>
        <v>0</v>
      </c>
      <c r="CK34" s="3244">
        <f>SUM(CK33)</f>
        <v>0</v>
      </c>
      <c r="CL34" s="3244">
        <f>SUM(CL33)</f>
        <v>5283922742</v>
      </c>
      <c r="CM34" s="3237"/>
      <c r="CQ34" s="3244">
        <f>SUM(CQ33)</f>
        <v>5283922742</v>
      </c>
      <c r="CR34" s="3244">
        <f>SUM(CR33)</f>
        <v>0</v>
      </c>
      <c r="CS34" s="3244">
        <f>SUM(CS33)</f>
        <v>0</v>
      </c>
      <c r="CT34" s="3244">
        <f>SUM(CT33)</f>
        <v>5283922742</v>
      </c>
      <c r="CU34" s="3237"/>
      <c r="CY34" s="3244">
        <f>SUM(CY33)</f>
        <v>5283922742</v>
      </c>
      <c r="CZ34" s="3244">
        <f>SUM(CZ33)</f>
        <v>0</v>
      </c>
      <c r="DA34" s="3244">
        <f>SUM(DA33)</f>
        <v>0</v>
      </c>
      <c r="DB34" s="3244">
        <f>SUM(DB33)</f>
        <v>5283922742</v>
      </c>
      <c r="DC34" s="3237"/>
      <c r="DG34" s="3244">
        <f>SUM(DG33)</f>
        <v>5283922742</v>
      </c>
      <c r="DH34" s="3244">
        <f>SUM(DH33)</f>
        <v>0</v>
      </c>
      <c r="DI34" s="3244">
        <f>SUM(DI33)</f>
        <v>0</v>
      </c>
      <c r="DJ34" s="3244">
        <f>SUM(DJ33)</f>
        <v>5283922742</v>
      </c>
      <c r="DK34" s="3237"/>
      <c r="DO34" s="3244">
        <f>SUM(DO33)</f>
        <v>5283922742</v>
      </c>
      <c r="DP34" s="3244">
        <f>SUM(DP33)</f>
        <v>0</v>
      </c>
      <c r="DQ34" s="3244">
        <f>SUM(DQ33)</f>
        <v>0</v>
      </c>
      <c r="DR34" s="3244">
        <f>SUM(DR33)</f>
        <v>5283922742</v>
      </c>
      <c r="DS34" s="3237"/>
      <c r="DW34" s="3244">
        <f>SUM(DW33)</f>
        <v>5283922742</v>
      </c>
      <c r="DX34" s="3244">
        <f>SUM(DX33)</f>
        <v>0</v>
      </c>
      <c r="DY34" s="3244">
        <f>SUM(DY33)</f>
        <v>0</v>
      </c>
      <c r="DZ34" s="3244">
        <f>SUM(DZ33)</f>
        <v>5283922742</v>
      </c>
      <c r="EA34" s="3237"/>
      <c r="EE34" s="3244">
        <f>SUM(EE33)</f>
        <v>5283922742</v>
      </c>
      <c r="EF34" s="3244">
        <f>SUM(EF33)</f>
        <v>0</v>
      </c>
      <c r="EG34" s="3244">
        <f>SUM(EG33)</f>
        <v>0</v>
      </c>
      <c r="EH34" s="3244">
        <f>SUM(EH33)</f>
        <v>5283922742</v>
      </c>
      <c r="EI34" s="3237"/>
      <c r="EM34" s="3244">
        <f>SUM(EM33)</f>
        <v>5283922742</v>
      </c>
      <c r="EN34" s="3244">
        <f>SUM(EN33)</f>
        <v>0</v>
      </c>
      <c r="EO34" s="3244">
        <f>SUM(EO33)</f>
        <v>0</v>
      </c>
      <c r="EP34" s="3244">
        <f>SUM(EP33)</f>
        <v>5283922742</v>
      </c>
      <c r="EQ34" s="3237"/>
      <c r="EU34" s="3244">
        <f>SUM(EU33)</f>
        <v>5283922742</v>
      </c>
      <c r="EV34" s="3244">
        <f>SUM(EV33)</f>
        <v>0</v>
      </c>
      <c r="EW34" s="3244">
        <f>SUM(EW33)</f>
        <v>0</v>
      </c>
      <c r="EX34" s="3244">
        <f>SUM(EX33)</f>
        <v>5283922742</v>
      </c>
      <c r="EY34" s="3237"/>
      <c r="FC34" s="3244">
        <f>SUM(FC33)</f>
        <v>5283922742</v>
      </c>
      <c r="FD34" s="3244">
        <f>SUM(FD33)</f>
        <v>0</v>
      </c>
      <c r="FE34" s="3244">
        <f>SUM(FE33)</f>
        <v>0</v>
      </c>
      <c r="FF34" s="3244">
        <f>SUM(FF33)</f>
        <v>5283922742</v>
      </c>
      <c r="FG34" s="3237"/>
      <c r="FK34" s="3244">
        <f>SUM(FK33)</f>
        <v>5283922742</v>
      </c>
      <c r="FL34" s="3244">
        <f>SUM(FL33)</f>
        <v>0</v>
      </c>
      <c r="FM34" s="3244">
        <f>SUM(FM33)</f>
        <v>0</v>
      </c>
      <c r="FN34" s="3244">
        <f>SUM(FN33)</f>
        <v>5283922742</v>
      </c>
      <c r="FO34" s="3237"/>
    </row>
    <row r="35" spans="1:171">
      <c r="A35" s="2196"/>
      <c r="B35" s="2103"/>
      <c r="C35" s="2116"/>
      <c r="D35" s="2116"/>
      <c r="E35" s="2116"/>
      <c r="F35" s="2116"/>
      <c r="G35" s="2197"/>
      <c r="H35" s="2197"/>
      <c r="I35" s="2197"/>
      <c r="J35" s="3473"/>
      <c r="K35" s="3205"/>
      <c r="S35" s="3237"/>
      <c r="AA35" s="3237"/>
      <c r="AI35" s="3237"/>
      <c r="AQ35" s="3237"/>
      <c r="AY35" s="3237"/>
      <c r="BG35" s="3237"/>
      <c r="BO35" s="3237"/>
      <c r="BW35" s="3237"/>
      <c r="CE35" s="3237"/>
      <c r="CM35" s="3237"/>
      <c r="CU35" s="3237"/>
      <c r="DC35" s="3237"/>
      <c r="DK35" s="3237"/>
      <c r="DS35" s="3237"/>
      <c r="EA35" s="3237"/>
      <c r="EI35" s="3237"/>
      <c r="EQ35" s="3237"/>
      <c r="EY35" s="3237"/>
      <c r="FG35" s="3237"/>
      <c r="FO35" s="3237"/>
    </row>
    <row r="36" spans="1:171">
      <c r="A36" s="2102" t="s">
        <v>124</v>
      </c>
      <c r="B36" s="2100"/>
      <c r="C36" s="2116"/>
      <c r="D36" s="2098"/>
      <c r="E36" s="2098"/>
      <c r="F36" s="2098"/>
      <c r="G36" s="2181"/>
      <c r="H36" s="2181"/>
      <c r="I36" s="2181"/>
      <c r="J36" s="2200"/>
      <c r="K36" s="3205"/>
      <c r="S36" s="3237"/>
      <c r="AA36" s="3237"/>
      <c r="AI36" s="3237"/>
      <c r="AQ36" s="3237"/>
      <c r="AY36" s="3237"/>
      <c r="BG36" s="3237"/>
      <c r="BO36" s="3237"/>
      <c r="BW36" s="3237"/>
      <c r="CE36" s="3237"/>
      <c r="CM36" s="3237"/>
      <c r="CU36" s="3237"/>
      <c r="DC36" s="3237"/>
      <c r="DK36" s="3237"/>
      <c r="DS36" s="3237"/>
      <c r="EA36" s="3237"/>
      <c r="EI36" s="3237"/>
      <c r="EQ36" s="3237"/>
      <c r="EY36" s="3237"/>
      <c r="FG36" s="3237"/>
      <c r="FO36" s="3237"/>
    </row>
    <row r="37" spans="1:171">
      <c r="A37" s="2092"/>
      <c r="B37" s="2097" t="s">
        <v>125</v>
      </c>
      <c r="C37" s="3233" t="s">
        <v>70</v>
      </c>
      <c r="D37" s="2464">
        <v>389</v>
      </c>
      <c r="E37" s="2424" t="str">
        <f>'Sch 1- Rate Base '!E37</f>
        <v>PTD</v>
      </c>
      <c r="F37" s="2171"/>
      <c r="G37" s="2424">
        <f>'Sch 1- Rate Base '!G37</f>
        <v>5100521</v>
      </c>
      <c r="H37" s="2424">
        <f>'Sch 1- Rate Base '!H37</f>
        <v>1780548.3377452032</v>
      </c>
      <c r="I37" s="2424">
        <f>'Sch 1- Rate Base '!I37</f>
        <v>0</v>
      </c>
      <c r="J37" s="3465">
        <f>'Sch 1- Rate Base '!J37</f>
        <v>3319972.6622547973</v>
      </c>
      <c r="K37" s="3205">
        <f t="shared" ref="K37:K48" si="0">IF($E37="DIRECT",0,1)</f>
        <v>1</v>
      </c>
      <c r="L37" s="3261">
        <f t="shared" ref="L37:L48" si="1">$G37/($G$26+$G$30+$G$34)</f>
        <v>4.5627184782002426E-4</v>
      </c>
      <c r="O37" s="3235">
        <f>(O$26+O$30+O$34)*$L37</f>
        <v>5100521</v>
      </c>
      <c r="P37" s="3236">
        <f>VLOOKUP($E37,O$442:R$453,2,FALSE)*O37*($K37)+IF($G37&gt;0,($H37/$G37)*O37,0)*(1-$K37)</f>
        <v>1780548.3377452032</v>
      </c>
      <c r="Q37" s="3236">
        <f>VLOOKUP($E37,O$442:R$453,3,FALSE)*O37*($K37)+IF($G37&gt;0,($I37/$G37)*O37,0)*(1-$K37)</f>
        <v>909067.46902420756</v>
      </c>
      <c r="R37" s="3236">
        <f>VLOOKUP($E37,O$442:R$453,4,FALSE)*O37*($K37)+(O37-P37-Q37)*(1-$K37)</f>
        <v>2410905.1932305894</v>
      </c>
      <c r="S37" s="3237"/>
      <c r="W37" s="3235">
        <f>(W$26+W$30+W$34)*$L37</f>
        <v>5100521</v>
      </c>
      <c r="X37" s="3236">
        <f>VLOOKUP($E37,W$442:Z$453,2,FALSE)*W37*($K37)+IF($G37&gt;0,($H37/$G37)*W37,0)*(1-$K37)</f>
        <v>1780548.3377452032</v>
      </c>
      <c r="Y37" s="3236">
        <f>VLOOKUP($E37,W$442:Z$453,3,FALSE)*W37*($K37)+IF($G37&gt;0,($I37/$G37)*W37,0)*(1-$K37)</f>
        <v>909067.46902420756</v>
      </c>
      <c r="Z37" s="3236">
        <f>VLOOKUP($E37,W$442:Z$453,4,FALSE)*W37*($K37)+(W37-X37-Y37)*(1-$K37)</f>
        <v>2410905.1932305894</v>
      </c>
      <c r="AA37" s="3237"/>
      <c r="AE37" s="3235">
        <f>(AE$26+AE$30+AE$34)*$L37</f>
        <v>5100521</v>
      </c>
      <c r="AF37" s="3236">
        <f>VLOOKUP($E37,AE$442:AH$453,2,FALSE)*AE37*($K37)+IF($G37&gt;0,($H37/$G37)*AE37,0)*(1-$K37)</f>
        <v>1780548.3377452032</v>
      </c>
      <c r="AG37" s="3236">
        <f>VLOOKUP($E37,AE$442:AH$453,3,FALSE)*AE37*($K37)+IF($G37&gt;0,($I37/$G37)*AE37,0)*(1-$K37)</f>
        <v>909067.46902420756</v>
      </c>
      <c r="AH37" s="3236">
        <f>VLOOKUP($E37,AE$442:AH$453,4,FALSE)*AE37*($K37)+(AE37-AF37-AG37)*(1-$K37)</f>
        <v>2410905.1932305894</v>
      </c>
      <c r="AI37" s="3237"/>
      <c r="AM37" s="3235">
        <f>(AM$26+AM$30+AM$34)*$L37</f>
        <v>5100521</v>
      </c>
      <c r="AN37" s="3236">
        <f>VLOOKUP($E37,AM$442:AP$453,2,FALSE)*AM37*($K37)+IF($G37&gt;0,($H37/$G37)*AM37,0)*(1-$K37)</f>
        <v>1780548.3377452032</v>
      </c>
      <c r="AO37" s="3236">
        <f>VLOOKUP($E37,AM$442:AP$453,3,FALSE)*AM37*($K37)+IF($G37&gt;0,($I37/$G37)*AM37,0)*(1-$K37)</f>
        <v>909067.46902420756</v>
      </c>
      <c r="AP37" s="3236">
        <f>VLOOKUP($E37,AM$442:AP$453,4,FALSE)*AM37*($K37)+(AM37-AN37-AO37)*(1-$K37)</f>
        <v>2410905.1932305894</v>
      </c>
      <c r="AQ37" s="3237"/>
      <c r="AU37" s="3235">
        <f>(AU$26+AU$30+AU$34)*$L37</f>
        <v>5100521</v>
      </c>
      <c r="AV37" s="3236">
        <f>VLOOKUP($E37,AU$442:AX$453,2,FALSE)*AU37*($K37)+IF($G37&gt;0,($H37/$G37)*AU37,0)*(1-$K37)</f>
        <v>1780548.3377452032</v>
      </c>
      <c r="AW37" s="3236">
        <f>VLOOKUP($E37,AU$442:AX$453,3,FALSE)*AU37*($K37)+IF($G37&gt;0,($I37/$G37)*AU37,0)*(1-$K37)</f>
        <v>909067.46902420756</v>
      </c>
      <c r="AX37" s="3236">
        <f>VLOOKUP($E37,AU$442:AX$453,4,FALSE)*AU37*($K37)+(AU37-AV37-AW37)*(1-$K37)</f>
        <v>2410905.1932305894</v>
      </c>
      <c r="AY37" s="3237"/>
      <c r="BC37" s="3235">
        <f>(BC$26+BC$30+BC$34)*$L37</f>
        <v>5100521</v>
      </c>
      <c r="BD37" s="3236">
        <f>VLOOKUP($E37,BC$442:BF$453,2,FALSE)*BC37*($K37)+IF($G37&gt;0,($H37/$G37)*BC37,0)*(1-$K37)</f>
        <v>1780548.3377452032</v>
      </c>
      <c r="BE37" s="3236">
        <f>VLOOKUP($E37,BC$442:BF$453,3,FALSE)*BC37*($K37)+IF($G37&gt;0,($I37/$G37)*BC37,0)*(1-$K37)</f>
        <v>909067.46902420756</v>
      </c>
      <c r="BF37" s="3236">
        <f>VLOOKUP($E37,BC$442:BF$453,4,FALSE)*BC37*($K37)+(BC37-BD37-BE37)*(1-$K37)</f>
        <v>2410905.1932305894</v>
      </c>
      <c r="BG37" s="3237"/>
      <c r="BK37" s="3235">
        <f>(BK$26+BK$30+BK$34)*$L37</f>
        <v>5100521</v>
      </c>
      <c r="BL37" s="3236">
        <f>VLOOKUP($E37,BK$442:BN$453,2,FALSE)*BK37*($K37)+IF($G37&gt;0,($H37/$G37)*BK37,0)*(1-$K37)</f>
        <v>1780548.3377452032</v>
      </c>
      <c r="BM37" s="3236">
        <f>VLOOKUP($E37,BK$442:BN$453,3,FALSE)*BK37*($K37)+IF($G37&gt;0,($I37/$G37)*BK37,0)*(1-$K37)</f>
        <v>909067.46902420756</v>
      </c>
      <c r="BN37" s="3236">
        <f>VLOOKUP($E37,BK$442:BN$453,4,FALSE)*BK37*($K37)+(BK37-BL37-BM37)*(1-$K37)</f>
        <v>2410905.1932305894</v>
      </c>
      <c r="BO37" s="3237"/>
      <c r="BS37" s="3235">
        <f>(BS$26+BS$30+BS$34)*$L37</f>
        <v>5100521</v>
      </c>
      <c r="BT37" s="3236">
        <f>VLOOKUP($E37,BS$442:BV$453,2,FALSE)*BS37*($K37)+IF($G37&gt;0,($H37/$G37)*BS37,0)*(1-$K37)</f>
        <v>1780548.3377452032</v>
      </c>
      <c r="BU37" s="3236">
        <f>VLOOKUP($E37,BS$442:BV$453,3,FALSE)*BS37*($K37)+IF($G37&gt;0,($I37/$G37)*BS37,0)*(1-$K37)</f>
        <v>909067.46902420756</v>
      </c>
      <c r="BV37" s="3236">
        <f>VLOOKUP($E37,BS$442:BV$453,4,FALSE)*BS37*($K37)+(BS37-BT37-BU37)*(1-$K37)</f>
        <v>2410905.1932305894</v>
      </c>
      <c r="BW37" s="3237"/>
      <c r="CA37" s="3235">
        <f>(CA$26+CA$30+CA$34)*$L37</f>
        <v>5100521</v>
      </c>
      <c r="CB37" s="3236">
        <f>VLOOKUP($E37,CA$442:CD$453,2,FALSE)*CA37*($K37)+IF($G37&gt;0,($H37/$G37)*CA37,0)*(1-$K37)</f>
        <v>1780548.3377452032</v>
      </c>
      <c r="CC37" s="3236">
        <f>VLOOKUP($E37,CA$442:CD$453,3,FALSE)*CA37*($K37)+IF($G37&gt;0,($I37/$G37)*CA37,0)*(1-$K37)</f>
        <v>909067.46902420756</v>
      </c>
      <c r="CD37" s="3236">
        <f>VLOOKUP($E37,CA$442:CD$453,4,FALSE)*CA37*($K37)+(CA37-CB37-CC37)*(1-$K37)</f>
        <v>2410905.1932305894</v>
      </c>
      <c r="CE37" s="3237"/>
      <c r="CI37" s="3235">
        <f>(CI$26+CI$30+CI$34)*$L37</f>
        <v>5100521</v>
      </c>
      <c r="CJ37" s="3236">
        <f>VLOOKUP($E37,CI$442:CL$453,2,FALSE)*CI37*($K37)+IF($G37&gt;0,($H37/$G37)*CI37,0)*(1-$K37)</f>
        <v>1780548.3377452032</v>
      </c>
      <c r="CK37" s="3236">
        <f>VLOOKUP($E37,CI$442:CL$453,3,FALSE)*CI37*($K37)+IF($G37&gt;0,($I37/$G37)*CI37,0)*(1-$K37)</f>
        <v>909067.46902420756</v>
      </c>
      <c r="CL37" s="3236">
        <f>VLOOKUP($E37,CI$442:CL$453,4,FALSE)*CI37*($K37)+(CI37-CJ37-CK37)*(1-$K37)</f>
        <v>2410905.1932305894</v>
      </c>
      <c r="CM37" s="3237"/>
      <c r="CQ37" s="3235">
        <f>(CQ$26+CQ$30+CQ$34)*$L37</f>
        <v>5100521</v>
      </c>
      <c r="CR37" s="3236">
        <f>VLOOKUP($E37,CQ$442:CT$453,2,FALSE)*CQ37*($K37)+IF($G37&gt;0,($H37/$G37)*CQ37,0)*(1-$K37)</f>
        <v>1780548.3377452032</v>
      </c>
      <c r="CS37" s="3236">
        <f>VLOOKUP($E37,CQ$442:CT$453,3,FALSE)*CQ37*($K37)+IF($G37&gt;0,($I37/$G37)*CQ37,0)*(1-$K37)</f>
        <v>909067.46902420756</v>
      </c>
      <c r="CT37" s="3236">
        <f>VLOOKUP($E37,CQ$442:CT$453,4,FALSE)*CQ37*($K37)+(CQ37-CR37-CS37)*(1-$K37)</f>
        <v>2410905.1932305894</v>
      </c>
      <c r="CU37" s="3237"/>
      <c r="CY37" s="3235">
        <f>(CY$26+CY$30+CY$34)*$L37</f>
        <v>5100521</v>
      </c>
      <c r="CZ37" s="3236">
        <f>VLOOKUP($E37,CY$442:DB$453,2,FALSE)*CY37*($K37)+IF($G37&gt;0,($H37/$G37)*CY37,0)*(1-$K37)</f>
        <v>1780548.3377452032</v>
      </c>
      <c r="DA37" s="3236">
        <f>VLOOKUP($E37,CY$442:DB$453,3,FALSE)*CY37*($K37)+IF($G37&gt;0,($I37/$G37)*CY37,0)*(1-$K37)</f>
        <v>909067.46902420756</v>
      </c>
      <c r="DB37" s="3236">
        <f>VLOOKUP($E37,CY$442:DB$453,4,FALSE)*CY37*($K37)+(CY37-CZ37-DA37)*(1-$K37)</f>
        <v>2410905.1932305894</v>
      </c>
      <c r="DC37" s="3237"/>
      <c r="DG37" s="3235">
        <f>(DG$26+DG$30+DG$34)*$L37</f>
        <v>5100521</v>
      </c>
      <c r="DH37" s="3236">
        <f>VLOOKUP($E37,DG$442:DJ$453,2,FALSE)*DG37*($K37)+IF($G37&gt;0,($H37/$G37)*DG37,0)*(1-$K37)</f>
        <v>1780548.3377452032</v>
      </c>
      <c r="DI37" s="3236">
        <f>VLOOKUP($E37,DG$442:DJ$453,3,FALSE)*DG37*($K37)+IF($G37&gt;0,($I37/$G37)*DG37,0)*(1-$K37)</f>
        <v>909067.46902420756</v>
      </c>
      <c r="DJ37" s="3236">
        <f>VLOOKUP($E37,DG$442:DJ$453,4,FALSE)*DG37*($K37)+(DG37-DH37-DI37)*(1-$K37)</f>
        <v>2410905.1932305894</v>
      </c>
      <c r="DK37" s="3237"/>
      <c r="DO37" s="3235">
        <f>(DO$26+DO$30+DO$34)*$L37</f>
        <v>5100521</v>
      </c>
      <c r="DP37" s="3236">
        <f>VLOOKUP($E37,DO$442:DR$453,2,FALSE)*DO37*($K37)+IF($G37&gt;0,($H37/$G37)*DO37,0)*(1-$K37)</f>
        <v>1780548.3377452032</v>
      </c>
      <c r="DQ37" s="3236">
        <f>VLOOKUP($E37,DO$442:DR$453,3,FALSE)*DO37*($K37)+IF($G37&gt;0,($I37/$G37)*DO37,0)*(1-$K37)</f>
        <v>909067.46902420756</v>
      </c>
      <c r="DR37" s="3236">
        <f>VLOOKUP($E37,DO$442:DR$453,4,FALSE)*DO37*($K37)+(DO37-DP37-DQ37)*(1-$K37)</f>
        <v>2410905.1932305894</v>
      </c>
      <c r="DS37" s="3237"/>
      <c r="DW37" s="3235">
        <f>(DW$26+DW$30+DW$34)*$L37</f>
        <v>5100521</v>
      </c>
      <c r="DX37" s="3236">
        <f>VLOOKUP($E37,DW$442:DZ$453,2,FALSE)*DW37*($K37)+IF($G37&gt;0,($H37/$G37)*DW37,0)*(1-$K37)</f>
        <v>1780548.3377452032</v>
      </c>
      <c r="DY37" s="3236">
        <f>VLOOKUP($E37,DW$442:DZ$453,3,FALSE)*DW37*($K37)+IF($G37&gt;0,($I37/$G37)*DW37,0)*(1-$K37)</f>
        <v>909067.46902420756</v>
      </c>
      <c r="DZ37" s="3236">
        <f>VLOOKUP($E37,DW$442:DZ$453,4,FALSE)*DW37*($K37)+(DW37-DX37-DY37)*(1-$K37)</f>
        <v>2410905.1932305894</v>
      </c>
      <c r="EA37" s="3237"/>
      <c r="EE37" s="3235">
        <f>(EE$26+EE$30+EE$34)*$L37</f>
        <v>5100521</v>
      </c>
      <c r="EF37" s="3236">
        <f>VLOOKUP($E37,EE$442:EH$453,2,FALSE)*EE37*($K37)+IF($G37&gt;0,($H37/$G37)*EE37,0)*(1-$K37)</f>
        <v>1780548.3377452032</v>
      </c>
      <c r="EG37" s="3236">
        <f>VLOOKUP($E37,EE$442:EH$453,3,FALSE)*EE37*($K37)+IF($G37&gt;0,($I37/$G37)*EE37,0)*(1-$K37)</f>
        <v>909067.46902420756</v>
      </c>
      <c r="EH37" s="3236">
        <f>VLOOKUP($E37,EE$442:EH$453,4,FALSE)*EE37*($K37)+(EE37-EF37-EG37)*(1-$K37)</f>
        <v>2410905.1932305894</v>
      </c>
      <c r="EI37" s="3237"/>
      <c r="EM37" s="3235">
        <f>(EM$26+EM$30+EM$34)*$L37</f>
        <v>5100521</v>
      </c>
      <c r="EN37" s="3236">
        <f>VLOOKUP($E37,EM$442:EP$453,2,FALSE)*EM37*($K37)+IF($G37&gt;0,($H37/$G37)*EM37,0)*(1-$K37)</f>
        <v>1780548.3377452032</v>
      </c>
      <c r="EO37" s="3236">
        <f>VLOOKUP($E37,EM$442:EP$453,3,FALSE)*EM37*($K37)+IF($G37&gt;0,($I37/$G37)*EM37,0)*(1-$K37)</f>
        <v>909067.46902420756</v>
      </c>
      <c r="EP37" s="3236">
        <f>VLOOKUP($E37,EM$442:EP$453,4,FALSE)*EM37*($K37)+(EM37-EN37-EO37)*(1-$K37)</f>
        <v>2410905.1932305894</v>
      </c>
      <c r="EQ37" s="3237"/>
      <c r="EU37" s="3235">
        <f>(EU$26+EU$30+EU$34)*$L37</f>
        <v>5100521</v>
      </c>
      <c r="EV37" s="3236">
        <f>VLOOKUP($E37,EU$442:EX$453,2,FALSE)*EU37*($K37)+IF($G37&gt;0,($H37/$G37)*EU37,0)*(1-$K37)</f>
        <v>1780548.3377452032</v>
      </c>
      <c r="EW37" s="3236">
        <f>VLOOKUP($E37,EU$442:EX$453,3,FALSE)*EU37*($K37)+IF($G37&gt;0,($I37/$G37)*EU37,0)*(1-$K37)</f>
        <v>909067.46902420756</v>
      </c>
      <c r="EX37" s="3236">
        <f>VLOOKUP($E37,EU$442:EX$453,4,FALSE)*EU37*($K37)+(EU37-EV37-EW37)*(1-$K37)</f>
        <v>2410905.1932305894</v>
      </c>
      <c r="EY37" s="3237"/>
      <c r="FC37" s="3235">
        <f>(FC$26+FC$30+FC$34)*$L37</f>
        <v>5100521</v>
      </c>
      <c r="FD37" s="3236">
        <f>VLOOKUP($E37,FC$442:FF$453,2,FALSE)*FC37*($K37)+IF($G37&gt;0,($H37/$G37)*FC37,0)*(1-$K37)</f>
        <v>1780548.3377452032</v>
      </c>
      <c r="FE37" s="3236">
        <f>VLOOKUP($E37,FC$442:FF$453,3,FALSE)*FC37*($K37)+IF($G37&gt;0,($I37/$G37)*FC37,0)*(1-$K37)</f>
        <v>909067.46902420756</v>
      </c>
      <c r="FF37" s="3236">
        <f>VLOOKUP($E37,FC$442:FF$453,4,FALSE)*FC37*($K37)+(FC37-FD37-FE37)*(1-$K37)</f>
        <v>2410905.1932305894</v>
      </c>
      <c r="FG37" s="3237"/>
      <c r="FK37" s="3235">
        <f>(FK$26+FK$30+FK$34)*$L37</f>
        <v>5100521</v>
      </c>
      <c r="FL37" s="3236">
        <f>VLOOKUP($E37,FK$442:FN$453,2,FALSE)*FK37*($K37)+IF($G37&gt;0,($H37/$G37)*FK37,0)*(1-$K37)</f>
        <v>1780548.3377452032</v>
      </c>
      <c r="FM37" s="3236">
        <f>VLOOKUP($E37,FK$442:FN$453,3,FALSE)*FK37*($K37)+IF($G37&gt;0,($I37/$G37)*FK37,0)*(1-$K37)</f>
        <v>909067.46902420756</v>
      </c>
      <c r="FN37" s="3236">
        <f>VLOOKUP($E37,FK$442:FN$453,4,FALSE)*FK37*($K37)+(FK37-FL37-FM37)*(1-$K37)</f>
        <v>2410905.1932305894</v>
      </c>
      <c r="FO37" s="3237"/>
    </row>
    <row r="38" spans="1:171">
      <c r="A38" s="2092"/>
      <c r="B38" s="2097" t="s">
        <v>126</v>
      </c>
      <c r="C38" s="3233" t="s">
        <v>70</v>
      </c>
      <c r="D38" s="2464">
        <v>390</v>
      </c>
      <c r="E38" s="2424" t="str">
        <f>'Sch 1- Rate Base '!E38</f>
        <v>PTD</v>
      </c>
      <c r="F38" s="2171"/>
      <c r="G38" s="2424">
        <f>'Sch 1- Rate Base '!G38</f>
        <v>126721170</v>
      </c>
      <c r="H38" s="2424">
        <f>'Sch 1- Rate Base '!H38</f>
        <v>44237278.623228356</v>
      </c>
      <c r="I38" s="2424">
        <f>'Sch 1- Rate Base '!I38</f>
        <v>0</v>
      </c>
      <c r="J38" s="3465">
        <f>'Sch 1- Rate Base '!J38</f>
        <v>82483891.376771659</v>
      </c>
      <c r="K38" s="3205">
        <f t="shared" si="0"/>
        <v>1</v>
      </c>
      <c r="L38" s="3261">
        <f t="shared" si="1"/>
        <v>1.1335960070317409E-2</v>
      </c>
      <c r="O38" s="3235">
        <f t="shared" ref="O38:O48" si="2">(O$26+O$30+O$34)*$L38</f>
        <v>126721170</v>
      </c>
      <c r="P38" s="3236">
        <f t="shared" ref="P38:P48" si="3">VLOOKUP($E38,O$442:R$453,2,FALSE)*O38*($K38)+IF($G38&gt;0,($H38/$G38)*O38,0)*(1-$K38)</f>
        <v>44237278.623228356</v>
      </c>
      <c r="Q38" s="3236">
        <f t="shared" ref="Q38:Q48" si="4">VLOOKUP($E38,O$442:R$453,3,FALSE)*O38*($K38)+IF($G38&gt;0,($I38/$G38)*O38,0)*(1-$K38)</f>
        <v>22585554.158817567</v>
      </c>
      <c r="R38" s="3236">
        <f t="shared" ref="R38:R48" si="5">VLOOKUP($E38,O$442:R$453,4,FALSE)*O38*($K38)+(O38-P38-Q38)*(1-$K38)</f>
        <v>59898337.217954084</v>
      </c>
      <c r="S38" s="3237"/>
      <c r="W38" s="3235">
        <f t="shared" ref="W38:W48" si="6">(W$26+W$30+W$34)*$L38</f>
        <v>126721170</v>
      </c>
      <c r="X38" s="3236">
        <f t="shared" ref="X38:X48" si="7">VLOOKUP($E38,W$442:Z$453,2,FALSE)*W38*($K38)+IF($G38&gt;0,($H38/$G38)*W38,0)*(1-$K38)</f>
        <v>44237278.623228356</v>
      </c>
      <c r="Y38" s="3236">
        <f t="shared" ref="Y38:Y48" si="8">VLOOKUP($E38,W$442:Z$453,3,FALSE)*W38*($K38)+IF($G38&gt;0,($I38/$G38)*W38,0)*(1-$K38)</f>
        <v>22585554.158817567</v>
      </c>
      <c r="Z38" s="3236">
        <f t="shared" ref="Z38:Z48" si="9">VLOOKUP($E38,W$442:Z$453,4,FALSE)*W38*($K38)+(W38-X38-Y38)*(1-$K38)</f>
        <v>59898337.217954084</v>
      </c>
      <c r="AA38" s="3237"/>
      <c r="AE38" s="3235">
        <f t="shared" ref="AE38:AE48" si="10">(AE$26+AE$30+AE$34)*$L38</f>
        <v>126721170</v>
      </c>
      <c r="AF38" s="3236">
        <f t="shared" ref="AF38:AF48" si="11">VLOOKUP($E38,AE$442:AH$453,2,FALSE)*AE38*($K38)+IF($G38&gt;0,($H38/$G38)*AE38,0)*(1-$K38)</f>
        <v>44237278.623228356</v>
      </c>
      <c r="AG38" s="3236">
        <f t="shared" ref="AG38:AG48" si="12">VLOOKUP($E38,AE$442:AH$453,3,FALSE)*AE38*($K38)+IF($G38&gt;0,($I38/$G38)*AE38,0)*(1-$K38)</f>
        <v>22585554.158817567</v>
      </c>
      <c r="AH38" s="3236">
        <f t="shared" ref="AH38:AH48" si="13">VLOOKUP($E38,AE$442:AH$453,4,FALSE)*AE38*($K38)+(AE38-AF38-AG38)*(1-$K38)</f>
        <v>59898337.217954084</v>
      </c>
      <c r="AI38" s="3237"/>
      <c r="AM38" s="3235">
        <f t="shared" ref="AM38:AM48" si="14">(AM$26+AM$30+AM$34)*$L38</f>
        <v>126721170</v>
      </c>
      <c r="AN38" s="3236">
        <f t="shared" ref="AN38:AN48" si="15">VLOOKUP($E38,AM$442:AP$453,2,FALSE)*AM38*($K38)+IF($G38&gt;0,($H38/$G38)*AM38,0)*(1-$K38)</f>
        <v>44237278.623228356</v>
      </c>
      <c r="AO38" s="3236">
        <f t="shared" ref="AO38:AO48" si="16">VLOOKUP($E38,AM$442:AP$453,3,FALSE)*AM38*($K38)+IF($G38&gt;0,($I38/$G38)*AM38,0)*(1-$K38)</f>
        <v>22585554.158817567</v>
      </c>
      <c r="AP38" s="3236">
        <f t="shared" ref="AP38:AP48" si="17">VLOOKUP($E38,AM$442:AP$453,4,FALSE)*AM38*($K38)+(AM38-AN38-AO38)*(1-$K38)</f>
        <v>59898337.217954084</v>
      </c>
      <c r="AQ38" s="3237"/>
      <c r="AU38" s="3235">
        <f t="shared" ref="AU38:AU48" si="18">(AU$26+AU$30+AU$34)*$L38</f>
        <v>126721170</v>
      </c>
      <c r="AV38" s="3236">
        <f t="shared" ref="AV38:AV48" si="19">VLOOKUP($E38,AU$442:AX$453,2,FALSE)*AU38*($K38)+IF($G38&gt;0,($H38/$G38)*AU38,0)*(1-$K38)</f>
        <v>44237278.623228356</v>
      </c>
      <c r="AW38" s="3236">
        <f t="shared" ref="AW38:AW48" si="20">VLOOKUP($E38,AU$442:AX$453,3,FALSE)*AU38*($K38)+IF($G38&gt;0,($I38/$G38)*AU38,0)*(1-$K38)</f>
        <v>22585554.158817567</v>
      </c>
      <c r="AX38" s="3236">
        <f t="shared" ref="AX38:AX48" si="21">VLOOKUP($E38,AU$442:AX$453,4,FALSE)*AU38*($K38)+(AU38-AV38-AW38)*(1-$K38)</f>
        <v>59898337.217954084</v>
      </c>
      <c r="AY38" s="3237"/>
      <c r="BC38" s="3235">
        <f t="shared" ref="BC38:BC48" si="22">(BC$26+BC$30+BC$34)*$L38</f>
        <v>126721170</v>
      </c>
      <c r="BD38" s="3236">
        <f t="shared" ref="BD38:BD48" si="23">VLOOKUP($E38,BC$442:BF$453,2,FALSE)*BC38*($K38)+IF($G38&gt;0,($H38/$G38)*BC38,0)*(1-$K38)</f>
        <v>44237278.623228356</v>
      </c>
      <c r="BE38" s="3236">
        <f t="shared" ref="BE38:BE48" si="24">VLOOKUP($E38,BC$442:BF$453,3,FALSE)*BC38*($K38)+IF($G38&gt;0,($I38/$G38)*BC38,0)*(1-$K38)</f>
        <v>22585554.158817567</v>
      </c>
      <c r="BF38" s="3236">
        <f t="shared" ref="BF38:BF48" si="25">VLOOKUP($E38,BC$442:BF$453,4,FALSE)*BC38*($K38)+(BC38-BD38-BE38)*(1-$K38)</f>
        <v>59898337.217954084</v>
      </c>
      <c r="BG38" s="3237"/>
      <c r="BK38" s="3235">
        <f t="shared" ref="BK38:BK48" si="26">(BK$26+BK$30+BK$34)*$L38</f>
        <v>126721170</v>
      </c>
      <c r="BL38" s="3236">
        <f t="shared" ref="BL38:BL48" si="27">VLOOKUP($E38,BK$442:BN$453,2,FALSE)*BK38*($K38)+IF($G38&gt;0,($H38/$G38)*BK38,0)*(1-$K38)</f>
        <v>44237278.623228356</v>
      </c>
      <c r="BM38" s="3236">
        <f t="shared" ref="BM38:BM48" si="28">VLOOKUP($E38,BK$442:BN$453,3,FALSE)*BK38*($K38)+IF($G38&gt;0,($I38/$G38)*BK38,0)*(1-$K38)</f>
        <v>22585554.158817567</v>
      </c>
      <c r="BN38" s="3236">
        <f t="shared" ref="BN38:BN48" si="29">VLOOKUP($E38,BK$442:BN$453,4,FALSE)*BK38*($K38)+(BK38-BL38-BM38)*(1-$K38)</f>
        <v>59898337.217954084</v>
      </c>
      <c r="BO38" s="3237"/>
      <c r="BS38" s="3235">
        <f t="shared" ref="BS38:BS48" si="30">(BS$26+BS$30+BS$34)*$L38</f>
        <v>126721170</v>
      </c>
      <c r="BT38" s="3236">
        <f t="shared" ref="BT38:BT48" si="31">VLOOKUP($E38,BS$442:BV$453,2,FALSE)*BS38*($K38)+IF($G38&gt;0,($H38/$G38)*BS38,0)*(1-$K38)</f>
        <v>44237278.623228356</v>
      </c>
      <c r="BU38" s="3236">
        <f t="shared" ref="BU38:BU48" si="32">VLOOKUP($E38,BS$442:BV$453,3,FALSE)*BS38*($K38)+IF($G38&gt;0,($I38/$G38)*BS38,0)*(1-$K38)</f>
        <v>22585554.158817567</v>
      </c>
      <c r="BV38" s="3236">
        <f t="shared" ref="BV38:BV48" si="33">VLOOKUP($E38,BS$442:BV$453,4,FALSE)*BS38*($K38)+(BS38-BT38-BU38)*(1-$K38)</f>
        <v>59898337.217954084</v>
      </c>
      <c r="BW38" s="3237"/>
      <c r="CA38" s="3235">
        <f t="shared" ref="CA38:CA48" si="34">(CA$26+CA$30+CA$34)*$L38</f>
        <v>126721170</v>
      </c>
      <c r="CB38" s="3236">
        <f t="shared" ref="CB38:CB48" si="35">VLOOKUP($E38,CA$442:CD$453,2,FALSE)*CA38*($K38)+IF($G38&gt;0,($H38/$G38)*CA38,0)*(1-$K38)</f>
        <v>44237278.623228356</v>
      </c>
      <c r="CC38" s="3236">
        <f t="shared" ref="CC38:CC48" si="36">VLOOKUP($E38,CA$442:CD$453,3,FALSE)*CA38*($K38)+IF($G38&gt;0,($I38/$G38)*CA38,0)*(1-$K38)</f>
        <v>22585554.158817567</v>
      </c>
      <c r="CD38" s="3236">
        <f t="shared" ref="CD38:CD48" si="37">VLOOKUP($E38,CA$442:CD$453,4,FALSE)*CA38*($K38)+(CA38-CB38-CC38)*(1-$K38)</f>
        <v>59898337.217954084</v>
      </c>
      <c r="CE38" s="3237"/>
      <c r="CI38" s="3235">
        <f t="shared" ref="CI38:CI48" si="38">(CI$26+CI$30+CI$34)*$L38</f>
        <v>126721170</v>
      </c>
      <c r="CJ38" s="3236">
        <f t="shared" ref="CJ38:CJ48" si="39">VLOOKUP($E38,CI$442:CL$453,2,FALSE)*CI38*($K38)+IF($G38&gt;0,($H38/$G38)*CI38,0)*(1-$K38)</f>
        <v>44237278.623228356</v>
      </c>
      <c r="CK38" s="3236">
        <f t="shared" ref="CK38:CK48" si="40">VLOOKUP($E38,CI$442:CL$453,3,FALSE)*CI38*($K38)+IF($G38&gt;0,($I38/$G38)*CI38,0)*(1-$K38)</f>
        <v>22585554.158817567</v>
      </c>
      <c r="CL38" s="3236">
        <f t="shared" ref="CL38:CL48" si="41">VLOOKUP($E38,CI$442:CL$453,4,FALSE)*CI38*($K38)+(CI38-CJ38-CK38)*(1-$K38)</f>
        <v>59898337.217954084</v>
      </c>
      <c r="CM38" s="3237"/>
      <c r="CQ38" s="3235">
        <f t="shared" ref="CQ38:CQ48" si="42">(CQ$26+CQ$30+CQ$34)*$L38</f>
        <v>126721170</v>
      </c>
      <c r="CR38" s="3236">
        <f t="shared" ref="CR38:CR48" si="43">VLOOKUP($E38,CQ$442:CT$453,2,FALSE)*CQ38*($K38)+IF($G38&gt;0,($H38/$G38)*CQ38,0)*(1-$K38)</f>
        <v>44237278.623228356</v>
      </c>
      <c r="CS38" s="3236">
        <f t="shared" ref="CS38:CS48" si="44">VLOOKUP($E38,CQ$442:CT$453,3,FALSE)*CQ38*($K38)+IF($G38&gt;0,($I38/$G38)*CQ38,0)*(1-$K38)</f>
        <v>22585554.158817567</v>
      </c>
      <c r="CT38" s="3236">
        <f t="shared" ref="CT38:CT48" si="45">VLOOKUP($E38,CQ$442:CT$453,4,FALSE)*CQ38*($K38)+(CQ38-CR38-CS38)*(1-$K38)</f>
        <v>59898337.217954084</v>
      </c>
      <c r="CU38" s="3237"/>
      <c r="CY38" s="3235">
        <f t="shared" ref="CY38:CY48" si="46">(CY$26+CY$30+CY$34)*$L38</f>
        <v>126721170</v>
      </c>
      <c r="CZ38" s="3236">
        <f t="shared" ref="CZ38:CZ48" si="47">VLOOKUP($E38,CY$442:DB$453,2,FALSE)*CY38*($K38)+IF($G38&gt;0,($H38/$G38)*CY38,0)*(1-$K38)</f>
        <v>44237278.623228356</v>
      </c>
      <c r="DA38" s="3236">
        <f t="shared" ref="DA38:DA48" si="48">VLOOKUP($E38,CY$442:DB$453,3,FALSE)*CY38*($K38)+IF($G38&gt;0,($I38/$G38)*CY38,0)*(1-$K38)</f>
        <v>22585554.158817567</v>
      </c>
      <c r="DB38" s="3236">
        <f t="shared" ref="DB38:DB48" si="49">VLOOKUP($E38,CY$442:DB$453,4,FALSE)*CY38*($K38)+(CY38-CZ38-DA38)*(1-$K38)</f>
        <v>59898337.217954084</v>
      </c>
      <c r="DC38" s="3237"/>
      <c r="DG38" s="3235">
        <f t="shared" ref="DG38:DG48" si="50">(DG$26+DG$30+DG$34)*$L38</f>
        <v>126721170</v>
      </c>
      <c r="DH38" s="3236">
        <f t="shared" ref="DH38:DH48" si="51">VLOOKUP($E38,DG$442:DJ$453,2,FALSE)*DG38*($K38)+IF($G38&gt;0,($H38/$G38)*DG38,0)*(1-$K38)</f>
        <v>44237278.623228356</v>
      </c>
      <c r="DI38" s="3236">
        <f t="shared" ref="DI38:DI48" si="52">VLOOKUP($E38,DG$442:DJ$453,3,FALSE)*DG38*($K38)+IF($G38&gt;0,($I38/$G38)*DG38,0)*(1-$K38)</f>
        <v>22585554.158817567</v>
      </c>
      <c r="DJ38" s="3236">
        <f t="shared" ref="DJ38:DJ48" si="53">VLOOKUP($E38,DG$442:DJ$453,4,FALSE)*DG38*($K38)+(DG38-DH38-DI38)*(1-$K38)</f>
        <v>59898337.217954084</v>
      </c>
      <c r="DK38" s="3237"/>
      <c r="DO38" s="3235">
        <f t="shared" ref="DO38:DO48" si="54">(DO$26+DO$30+DO$34)*$L38</f>
        <v>126721170</v>
      </c>
      <c r="DP38" s="3236">
        <f t="shared" ref="DP38:DP48" si="55">VLOOKUP($E38,DO$442:DR$453,2,FALSE)*DO38*($K38)+IF($G38&gt;0,($H38/$G38)*DO38,0)*(1-$K38)</f>
        <v>44237278.623228356</v>
      </c>
      <c r="DQ38" s="3236">
        <f t="shared" ref="DQ38:DQ48" si="56">VLOOKUP($E38,DO$442:DR$453,3,FALSE)*DO38*($K38)+IF($G38&gt;0,($I38/$G38)*DO38,0)*(1-$K38)</f>
        <v>22585554.158817567</v>
      </c>
      <c r="DR38" s="3236">
        <f t="shared" ref="DR38:DR48" si="57">VLOOKUP($E38,DO$442:DR$453,4,FALSE)*DO38*($K38)+(DO38-DP38-DQ38)*(1-$K38)</f>
        <v>59898337.217954084</v>
      </c>
      <c r="DS38" s="3237"/>
      <c r="DW38" s="3235">
        <f t="shared" ref="DW38:DW48" si="58">(DW$26+DW$30+DW$34)*$L38</f>
        <v>126721170</v>
      </c>
      <c r="DX38" s="3236">
        <f t="shared" ref="DX38:DX48" si="59">VLOOKUP($E38,DW$442:DZ$453,2,FALSE)*DW38*($K38)+IF($G38&gt;0,($H38/$G38)*DW38,0)*(1-$K38)</f>
        <v>44237278.623228356</v>
      </c>
      <c r="DY38" s="3236">
        <f t="shared" ref="DY38:DY48" si="60">VLOOKUP($E38,DW$442:DZ$453,3,FALSE)*DW38*($K38)+IF($G38&gt;0,($I38/$G38)*DW38,0)*(1-$K38)</f>
        <v>22585554.158817567</v>
      </c>
      <c r="DZ38" s="3236">
        <f t="shared" ref="DZ38:DZ48" si="61">VLOOKUP($E38,DW$442:DZ$453,4,FALSE)*DW38*($K38)+(DW38-DX38-DY38)*(1-$K38)</f>
        <v>59898337.217954084</v>
      </c>
      <c r="EA38" s="3237"/>
      <c r="EE38" s="3235">
        <f t="shared" ref="EE38:EE48" si="62">(EE$26+EE$30+EE$34)*$L38</f>
        <v>126721170</v>
      </c>
      <c r="EF38" s="3236">
        <f t="shared" ref="EF38:EF48" si="63">VLOOKUP($E38,EE$442:EH$453,2,FALSE)*EE38*($K38)+IF($G38&gt;0,($H38/$G38)*EE38,0)*(1-$K38)</f>
        <v>44237278.623228356</v>
      </c>
      <c r="EG38" s="3236">
        <f t="shared" ref="EG38:EG48" si="64">VLOOKUP($E38,EE$442:EH$453,3,FALSE)*EE38*($K38)+IF($G38&gt;0,($I38/$G38)*EE38,0)*(1-$K38)</f>
        <v>22585554.158817567</v>
      </c>
      <c r="EH38" s="3236">
        <f t="shared" ref="EH38:EH48" si="65">VLOOKUP($E38,EE$442:EH$453,4,FALSE)*EE38*($K38)+(EE38-EF38-EG38)*(1-$K38)</f>
        <v>59898337.217954084</v>
      </c>
      <c r="EI38" s="3237"/>
      <c r="EM38" s="3235">
        <f t="shared" ref="EM38:EM48" si="66">(EM$26+EM$30+EM$34)*$L38</f>
        <v>126721170</v>
      </c>
      <c r="EN38" s="3236">
        <f t="shared" ref="EN38:EN48" si="67">VLOOKUP($E38,EM$442:EP$453,2,FALSE)*EM38*($K38)+IF($G38&gt;0,($H38/$G38)*EM38,0)*(1-$K38)</f>
        <v>44237278.623228356</v>
      </c>
      <c r="EO38" s="3236">
        <f t="shared" ref="EO38:EO48" si="68">VLOOKUP($E38,EM$442:EP$453,3,FALSE)*EM38*($K38)+IF($G38&gt;0,($I38/$G38)*EM38,0)*(1-$K38)</f>
        <v>22585554.158817567</v>
      </c>
      <c r="EP38" s="3236">
        <f t="shared" ref="EP38:EP48" si="69">VLOOKUP($E38,EM$442:EP$453,4,FALSE)*EM38*($K38)+(EM38-EN38-EO38)*(1-$K38)</f>
        <v>59898337.217954084</v>
      </c>
      <c r="EQ38" s="3237"/>
      <c r="EU38" s="3235">
        <f t="shared" ref="EU38:EU48" si="70">(EU$26+EU$30+EU$34)*$L38</f>
        <v>126721170</v>
      </c>
      <c r="EV38" s="3236">
        <f t="shared" ref="EV38:EV48" si="71">VLOOKUP($E38,EU$442:EX$453,2,FALSE)*EU38*($K38)+IF($G38&gt;0,($H38/$G38)*EU38,0)*(1-$K38)</f>
        <v>44237278.623228356</v>
      </c>
      <c r="EW38" s="3236">
        <f t="shared" ref="EW38:EW48" si="72">VLOOKUP($E38,EU$442:EX$453,3,FALSE)*EU38*($K38)+IF($G38&gt;0,($I38/$G38)*EU38,0)*(1-$K38)</f>
        <v>22585554.158817567</v>
      </c>
      <c r="EX38" s="3236">
        <f t="shared" ref="EX38:EX48" si="73">VLOOKUP($E38,EU$442:EX$453,4,FALSE)*EU38*($K38)+(EU38-EV38-EW38)*(1-$K38)</f>
        <v>59898337.217954084</v>
      </c>
      <c r="EY38" s="3237"/>
      <c r="FC38" s="3235">
        <f t="shared" ref="FC38:FC48" si="74">(FC$26+FC$30+FC$34)*$L38</f>
        <v>126721170</v>
      </c>
      <c r="FD38" s="3236">
        <f t="shared" ref="FD38:FD48" si="75">VLOOKUP($E38,FC$442:FF$453,2,FALSE)*FC38*($K38)+IF($G38&gt;0,($H38/$G38)*FC38,0)*(1-$K38)</f>
        <v>44237278.623228356</v>
      </c>
      <c r="FE38" s="3236">
        <f t="shared" ref="FE38:FE48" si="76">VLOOKUP($E38,FC$442:FF$453,3,FALSE)*FC38*($K38)+IF($G38&gt;0,($I38/$G38)*FC38,0)*(1-$K38)</f>
        <v>22585554.158817567</v>
      </c>
      <c r="FF38" s="3236">
        <f t="shared" ref="FF38:FF48" si="77">VLOOKUP($E38,FC$442:FF$453,4,FALSE)*FC38*($K38)+(FC38-FD38-FE38)*(1-$K38)</f>
        <v>59898337.217954084</v>
      </c>
      <c r="FG38" s="3237"/>
      <c r="FK38" s="3235">
        <f t="shared" ref="FK38:FK48" si="78">(FK$26+FK$30+FK$34)*$L38</f>
        <v>126721170</v>
      </c>
      <c r="FL38" s="3236">
        <f t="shared" ref="FL38:FL48" si="79">VLOOKUP($E38,FK$442:FN$453,2,FALSE)*FK38*($K38)+IF($G38&gt;0,($H38/$G38)*FK38,0)*(1-$K38)</f>
        <v>44237278.623228356</v>
      </c>
      <c r="FM38" s="3236">
        <f t="shared" ref="FM38:FM48" si="80">VLOOKUP($E38,FK$442:FN$453,3,FALSE)*FK38*($K38)+IF($G38&gt;0,($I38/$G38)*FK38,0)*(1-$K38)</f>
        <v>22585554.158817567</v>
      </c>
      <c r="FN38" s="3236">
        <f t="shared" ref="FN38:FN48" si="81">VLOOKUP($E38,FK$442:FN$453,4,FALSE)*FK38*($K38)+(FK38-FL38-FM38)*(1-$K38)</f>
        <v>59898337.217954084</v>
      </c>
      <c r="FO38" s="3237"/>
    </row>
    <row r="39" spans="1:171">
      <c r="A39" s="2092"/>
      <c r="B39" s="2097" t="s">
        <v>127</v>
      </c>
      <c r="C39" s="3233" t="s">
        <v>70</v>
      </c>
      <c r="D39" s="2464">
        <v>391</v>
      </c>
      <c r="E39" s="2424" t="str">
        <f>'Sch 1- Rate Base '!E39</f>
        <v>LABOR</v>
      </c>
      <c r="F39" s="2171"/>
      <c r="G39" s="2424">
        <f>'Sch 1- Rate Base '!G39</f>
        <v>31597697</v>
      </c>
      <c r="H39" s="2424">
        <f>'Sch 1- Rate Base '!H39</f>
        <v>10737849.558694087</v>
      </c>
      <c r="I39" s="2424">
        <f>'Sch 1- Rate Base '!I39</f>
        <v>0</v>
      </c>
      <c r="J39" s="3465">
        <f>'Sch 1- Rate Base '!J39</f>
        <v>20859847.441305913</v>
      </c>
      <c r="K39" s="3205">
        <f t="shared" si="0"/>
        <v>1</v>
      </c>
      <c r="L39" s="3261">
        <f t="shared" si="1"/>
        <v>2.8266013603408823E-3</v>
      </c>
      <c r="O39" s="3235">
        <f t="shared" si="2"/>
        <v>31597697</v>
      </c>
      <c r="P39" s="3236">
        <f t="shared" si="3"/>
        <v>10737849.558694087</v>
      </c>
      <c r="Q39" s="3236">
        <f t="shared" si="4"/>
        <v>1714681.2771933991</v>
      </c>
      <c r="R39" s="3236">
        <f t="shared" si="5"/>
        <v>19145166.164112516</v>
      </c>
      <c r="S39" s="3237"/>
      <c r="W39" s="3235">
        <f t="shared" si="6"/>
        <v>31597697</v>
      </c>
      <c r="X39" s="3236">
        <f t="shared" si="7"/>
        <v>10737849.558694087</v>
      </c>
      <c r="Y39" s="3236">
        <f t="shared" si="8"/>
        <v>1714681.2771933991</v>
      </c>
      <c r="Z39" s="3236">
        <f t="shared" si="9"/>
        <v>19145166.164112516</v>
      </c>
      <c r="AA39" s="3237"/>
      <c r="AE39" s="3235">
        <f t="shared" si="10"/>
        <v>31597697</v>
      </c>
      <c r="AF39" s="3236">
        <f t="shared" si="11"/>
        <v>10737849.558694087</v>
      </c>
      <c r="AG39" s="3236">
        <f t="shared" si="12"/>
        <v>1714681.2771933991</v>
      </c>
      <c r="AH39" s="3236">
        <f t="shared" si="13"/>
        <v>19145166.164112516</v>
      </c>
      <c r="AI39" s="3237"/>
      <c r="AM39" s="3235">
        <f t="shared" si="14"/>
        <v>31597697</v>
      </c>
      <c r="AN39" s="3236">
        <f t="shared" si="15"/>
        <v>10737849.558694087</v>
      </c>
      <c r="AO39" s="3236">
        <f t="shared" si="16"/>
        <v>1714681.2771933991</v>
      </c>
      <c r="AP39" s="3236">
        <f t="shared" si="17"/>
        <v>19145166.164112516</v>
      </c>
      <c r="AQ39" s="3237"/>
      <c r="AU39" s="3235">
        <f t="shared" si="18"/>
        <v>31597697</v>
      </c>
      <c r="AV39" s="3236">
        <f t="shared" si="19"/>
        <v>10737849.558694087</v>
      </c>
      <c r="AW39" s="3236">
        <f t="shared" si="20"/>
        <v>1714681.2771933991</v>
      </c>
      <c r="AX39" s="3236">
        <f t="shared" si="21"/>
        <v>19145166.164112516</v>
      </c>
      <c r="AY39" s="3237"/>
      <c r="BC39" s="3235">
        <f t="shared" si="22"/>
        <v>31597697</v>
      </c>
      <c r="BD39" s="3236">
        <f t="shared" si="23"/>
        <v>10737849.558694087</v>
      </c>
      <c r="BE39" s="3236">
        <f t="shared" si="24"/>
        <v>1714681.2771933991</v>
      </c>
      <c r="BF39" s="3236">
        <f t="shared" si="25"/>
        <v>19145166.164112516</v>
      </c>
      <c r="BG39" s="3237"/>
      <c r="BK39" s="3235">
        <f t="shared" si="26"/>
        <v>31597697</v>
      </c>
      <c r="BL39" s="3236">
        <f t="shared" si="27"/>
        <v>10737849.558694087</v>
      </c>
      <c r="BM39" s="3236">
        <f t="shared" si="28"/>
        <v>1714681.2771933991</v>
      </c>
      <c r="BN39" s="3236">
        <f t="shared" si="29"/>
        <v>19145166.164112516</v>
      </c>
      <c r="BO39" s="3237"/>
      <c r="BS39" s="3235">
        <f t="shared" si="30"/>
        <v>31597697</v>
      </c>
      <c r="BT39" s="3236">
        <f t="shared" si="31"/>
        <v>10737849.558694087</v>
      </c>
      <c r="BU39" s="3236">
        <f t="shared" si="32"/>
        <v>1714681.2771933991</v>
      </c>
      <c r="BV39" s="3236">
        <f t="shared" si="33"/>
        <v>19145166.164112516</v>
      </c>
      <c r="BW39" s="3237"/>
      <c r="CA39" s="3235">
        <f t="shared" si="34"/>
        <v>31597697</v>
      </c>
      <c r="CB39" s="3236">
        <f t="shared" si="35"/>
        <v>10737849.558694087</v>
      </c>
      <c r="CC39" s="3236">
        <f t="shared" si="36"/>
        <v>1714681.2771933991</v>
      </c>
      <c r="CD39" s="3236">
        <f t="shared" si="37"/>
        <v>19145166.164112516</v>
      </c>
      <c r="CE39" s="3237"/>
      <c r="CI39" s="3235">
        <f t="shared" si="38"/>
        <v>31597697</v>
      </c>
      <c r="CJ39" s="3236">
        <f t="shared" si="39"/>
        <v>10737849.558694087</v>
      </c>
      <c r="CK39" s="3236">
        <f t="shared" si="40"/>
        <v>1714681.2771933991</v>
      </c>
      <c r="CL39" s="3236">
        <f t="shared" si="41"/>
        <v>19145166.164112516</v>
      </c>
      <c r="CM39" s="3237"/>
      <c r="CQ39" s="3235">
        <f t="shared" si="42"/>
        <v>31597697</v>
      </c>
      <c r="CR39" s="3236">
        <f t="shared" si="43"/>
        <v>10737849.558694087</v>
      </c>
      <c r="CS39" s="3236">
        <f t="shared" si="44"/>
        <v>1714681.2771933991</v>
      </c>
      <c r="CT39" s="3236">
        <f t="shared" si="45"/>
        <v>19145166.164112516</v>
      </c>
      <c r="CU39" s="3237"/>
      <c r="CY39" s="3235">
        <f t="shared" si="46"/>
        <v>31597697</v>
      </c>
      <c r="CZ39" s="3236">
        <f t="shared" si="47"/>
        <v>10737849.558694087</v>
      </c>
      <c r="DA39" s="3236">
        <f t="shared" si="48"/>
        <v>1714681.2771933991</v>
      </c>
      <c r="DB39" s="3236">
        <f t="shared" si="49"/>
        <v>19145166.164112516</v>
      </c>
      <c r="DC39" s="3237"/>
      <c r="DG39" s="3235">
        <f t="shared" si="50"/>
        <v>31597697</v>
      </c>
      <c r="DH39" s="3236">
        <f t="shared" si="51"/>
        <v>10737849.558694087</v>
      </c>
      <c r="DI39" s="3236">
        <f t="shared" si="52"/>
        <v>1714681.2771933991</v>
      </c>
      <c r="DJ39" s="3236">
        <f t="shared" si="53"/>
        <v>19145166.164112516</v>
      </c>
      <c r="DK39" s="3237"/>
      <c r="DO39" s="3235">
        <f t="shared" si="54"/>
        <v>31597697</v>
      </c>
      <c r="DP39" s="3236">
        <f t="shared" si="55"/>
        <v>10737849.558694087</v>
      </c>
      <c r="DQ39" s="3236">
        <f t="shared" si="56"/>
        <v>1714681.2771933991</v>
      </c>
      <c r="DR39" s="3236">
        <f t="shared" si="57"/>
        <v>19145166.164112516</v>
      </c>
      <c r="DS39" s="3237"/>
      <c r="DW39" s="3235">
        <f t="shared" si="58"/>
        <v>31597697</v>
      </c>
      <c r="DX39" s="3236">
        <f t="shared" si="59"/>
        <v>10737849.558694087</v>
      </c>
      <c r="DY39" s="3236">
        <f t="shared" si="60"/>
        <v>1714681.2771933991</v>
      </c>
      <c r="DZ39" s="3236">
        <f t="shared" si="61"/>
        <v>19145166.164112516</v>
      </c>
      <c r="EA39" s="3237"/>
      <c r="EE39" s="3235">
        <f t="shared" si="62"/>
        <v>31597697</v>
      </c>
      <c r="EF39" s="3236">
        <f t="shared" si="63"/>
        <v>10737849.558694087</v>
      </c>
      <c r="EG39" s="3236">
        <f t="shared" si="64"/>
        <v>1714681.2771933991</v>
      </c>
      <c r="EH39" s="3236">
        <f t="shared" si="65"/>
        <v>19145166.164112516</v>
      </c>
      <c r="EI39" s="3237"/>
      <c r="EM39" s="3235">
        <f t="shared" si="66"/>
        <v>31597697</v>
      </c>
      <c r="EN39" s="3236">
        <f t="shared" si="67"/>
        <v>10737849.558694087</v>
      </c>
      <c r="EO39" s="3236">
        <f t="shared" si="68"/>
        <v>1714681.2771933991</v>
      </c>
      <c r="EP39" s="3236">
        <f t="shared" si="69"/>
        <v>19145166.164112516</v>
      </c>
      <c r="EQ39" s="3237"/>
      <c r="EU39" s="3235">
        <f t="shared" si="70"/>
        <v>31597697</v>
      </c>
      <c r="EV39" s="3236">
        <f t="shared" si="71"/>
        <v>10737849.558694087</v>
      </c>
      <c r="EW39" s="3236">
        <f t="shared" si="72"/>
        <v>1714681.2771933991</v>
      </c>
      <c r="EX39" s="3236">
        <f t="shared" si="73"/>
        <v>19145166.164112516</v>
      </c>
      <c r="EY39" s="3237"/>
      <c r="FC39" s="3235">
        <f t="shared" si="74"/>
        <v>31597697</v>
      </c>
      <c r="FD39" s="3236">
        <f t="shared" si="75"/>
        <v>10737849.558694087</v>
      </c>
      <c r="FE39" s="3236">
        <f t="shared" si="76"/>
        <v>1714681.2771933991</v>
      </c>
      <c r="FF39" s="3236">
        <f t="shared" si="77"/>
        <v>19145166.164112516</v>
      </c>
      <c r="FG39" s="3237"/>
      <c r="FK39" s="3235">
        <f t="shared" si="78"/>
        <v>31597697</v>
      </c>
      <c r="FL39" s="3236">
        <f t="shared" si="79"/>
        <v>10737849.558694087</v>
      </c>
      <c r="FM39" s="3236">
        <f t="shared" si="80"/>
        <v>1714681.2771933991</v>
      </c>
      <c r="FN39" s="3236">
        <f t="shared" si="81"/>
        <v>19145166.164112516</v>
      </c>
      <c r="FO39" s="3237"/>
    </row>
    <row r="40" spans="1:171">
      <c r="A40" s="2092"/>
      <c r="B40" s="2097" t="s">
        <v>128</v>
      </c>
      <c r="C40" s="3233" t="s">
        <v>70</v>
      </c>
      <c r="D40" s="2464">
        <v>392</v>
      </c>
      <c r="E40" s="2424" t="str">
        <f>'Sch 1- Rate Base '!E40</f>
        <v>TD</v>
      </c>
      <c r="F40" s="2171"/>
      <c r="G40" s="2424">
        <f>'Sch 1- Rate Base '!G40</f>
        <v>3994065</v>
      </c>
      <c r="H40" s="2424">
        <f>'Sch 1- Rate Base '!H40</f>
        <v>0</v>
      </c>
      <c r="I40" s="2424">
        <f>'Sch 1- Rate Base '!I40</f>
        <v>0</v>
      </c>
      <c r="J40" s="3465">
        <f>'Sch 1- Rate Base '!J40</f>
        <v>3994065</v>
      </c>
      <c r="K40" s="3205">
        <f t="shared" si="0"/>
        <v>1</v>
      </c>
      <c r="L40" s="3261">
        <f t="shared" si="1"/>
        <v>3.5729279770895666E-4</v>
      </c>
      <c r="O40" s="3235">
        <f t="shared" si="2"/>
        <v>3994065.0000000005</v>
      </c>
      <c r="P40" s="3236">
        <f t="shared" si="3"/>
        <v>0</v>
      </c>
      <c r="Q40" s="3236">
        <f t="shared" si="4"/>
        <v>1093645.9212294305</v>
      </c>
      <c r="R40" s="3236">
        <f t="shared" si="5"/>
        <v>2900419.07877057</v>
      </c>
      <c r="S40" s="3237"/>
      <c r="W40" s="3235">
        <f t="shared" si="6"/>
        <v>3994065.0000000005</v>
      </c>
      <c r="X40" s="3236">
        <f t="shared" si="7"/>
        <v>0</v>
      </c>
      <c r="Y40" s="3236">
        <f t="shared" si="8"/>
        <v>1093645.9212294305</v>
      </c>
      <c r="Z40" s="3236">
        <f t="shared" si="9"/>
        <v>2900419.07877057</v>
      </c>
      <c r="AA40" s="3237"/>
      <c r="AE40" s="3235">
        <f t="shared" si="10"/>
        <v>3994065.0000000005</v>
      </c>
      <c r="AF40" s="3236">
        <f t="shared" si="11"/>
        <v>0</v>
      </c>
      <c r="AG40" s="3236">
        <f t="shared" si="12"/>
        <v>1093645.9212294305</v>
      </c>
      <c r="AH40" s="3236">
        <f t="shared" si="13"/>
        <v>2900419.07877057</v>
      </c>
      <c r="AI40" s="3237"/>
      <c r="AM40" s="3235">
        <f t="shared" si="14"/>
        <v>3994065.0000000005</v>
      </c>
      <c r="AN40" s="3236">
        <f t="shared" si="15"/>
        <v>0</v>
      </c>
      <c r="AO40" s="3236">
        <f t="shared" si="16"/>
        <v>1093645.9212294305</v>
      </c>
      <c r="AP40" s="3236">
        <f t="shared" si="17"/>
        <v>2900419.07877057</v>
      </c>
      <c r="AQ40" s="3237"/>
      <c r="AU40" s="3235">
        <f t="shared" si="18"/>
        <v>3994065.0000000005</v>
      </c>
      <c r="AV40" s="3236">
        <f t="shared" si="19"/>
        <v>0</v>
      </c>
      <c r="AW40" s="3236">
        <f t="shared" si="20"/>
        <v>1093645.9212294305</v>
      </c>
      <c r="AX40" s="3236">
        <f t="shared" si="21"/>
        <v>2900419.07877057</v>
      </c>
      <c r="AY40" s="3237"/>
      <c r="BC40" s="3235">
        <f t="shared" si="22"/>
        <v>3994065.0000000005</v>
      </c>
      <c r="BD40" s="3236">
        <f t="shared" si="23"/>
        <v>0</v>
      </c>
      <c r="BE40" s="3236">
        <f t="shared" si="24"/>
        <v>1093645.9212294305</v>
      </c>
      <c r="BF40" s="3236">
        <f t="shared" si="25"/>
        <v>2900419.07877057</v>
      </c>
      <c r="BG40" s="3237"/>
      <c r="BK40" s="3235">
        <f t="shared" si="26"/>
        <v>3994065.0000000005</v>
      </c>
      <c r="BL40" s="3236">
        <f t="shared" si="27"/>
        <v>0</v>
      </c>
      <c r="BM40" s="3236">
        <f t="shared" si="28"/>
        <v>1093645.9212294305</v>
      </c>
      <c r="BN40" s="3236">
        <f t="shared" si="29"/>
        <v>2900419.07877057</v>
      </c>
      <c r="BO40" s="3237"/>
      <c r="BS40" s="3235">
        <f t="shared" si="30"/>
        <v>3994065.0000000005</v>
      </c>
      <c r="BT40" s="3236">
        <f t="shared" si="31"/>
        <v>0</v>
      </c>
      <c r="BU40" s="3236">
        <f t="shared" si="32"/>
        <v>1093645.9212294305</v>
      </c>
      <c r="BV40" s="3236">
        <f t="shared" si="33"/>
        <v>2900419.07877057</v>
      </c>
      <c r="BW40" s="3237"/>
      <c r="CA40" s="3235">
        <f t="shared" si="34"/>
        <v>3994065.0000000005</v>
      </c>
      <c r="CB40" s="3236">
        <f t="shared" si="35"/>
        <v>0</v>
      </c>
      <c r="CC40" s="3236">
        <f t="shared" si="36"/>
        <v>1093645.9212294305</v>
      </c>
      <c r="CD40" s="3236">
        <f t="shared" si="37"/>
        <v>2900419.07877057</v>
      </c>
      <c r="CE40" s="3237"/>
      <c r="CI40" s="3235">
        <f t="shared" si="38"/>
        <v>3994065.0000000005</v>
      </c>
      <c r="CJ40" s="3236">
        <f t="shared" si="39"/>
        <v>0</v>
      </c>
      <c r="CK40" s="3236">
        <f t="shared" si="40"/>
        <v>1093645.9212294305</v>
      </c>
      <c r="CL40" s="3236">
        <f t="shared" si="41"/>
        <v>2900419.07877057</v>
      </c>
      <c r="CM40" s="3237"/>
      <c r="CQ40" s="3235">
        <f t="shared" si="42"/>
        <v>3994065.0000000005</v>
      </c>
      <c r="CR40" s="3236">
        <f t="shared" si="43"/>
        <v>0</v>
      </c>
      <c r="CS40" s="3236">
        <f t="shared" si="44"/>
        <v>1093645.9212294305</v>
      </c>
      <c r="CT40" s="3236">
        <f t="shared" si="45"/>
        <v>2900419.07877057</v>
      </c>
      <c r="CU40" s="3237"/>
      <c r="CY40" s="3235">
        <f t="shared" si="46"/>
        <v>3994065.0000000005</v>
      </c>
      <c r="CZ40" s="3236">
        <f t="shared" si="47"/>
        <v>0</v>
      </c>
      <c r="DA40" s="3236">
        <f t="shared" si="48"/>
        <v>1093645.9212294305</v>
      </c>
      <c r="DB40" s="3236">
        <f t="shared" si="49"/>
        <v>2900419.07877057</v>
      </c>
      <c r="DC40" s="3237"/>
      <c r="DG40" s="3235">
        <f t="shared" si="50"/>
        <v>3994065.0000000005</v>
      </c>
      <c r="DH40" s="3236">
        <f t="shared" si="51"/>
        <v>0</v>
      </c>
      <c r="DI40" s="3236">
        <f t="shared" si="52"/>
        <v>1093645.9212294305</v>
      </c>
      <c r="DJ40" s="3236">
        <f t="shared" si="53"/>
        <v>2900419.07877057</v>
      </c>
      <c r="DK40" s="3237"/>
      <c r="DO40" s="3235">
        <f t="shared" si="54"/>
        <v>3994065.0000000005</v>
      </c>
      <c r="DP40" s="3236">
        <f t="shared" si="55"/>
        <v>0</v>
      </c>
      <c r="DQ40" s="3236">
        <f t="shared" si="56"/>
        <v>1093645.9212294305</v>
      </c>
      <c r="DR40" s="3236">
        <f t="shared" si="57"/>
        <v>2900419.07877057</v>
      </c>
      <c r="DS40" s="3237"/>
      <c r="DW40" s="3235">
        <f t="shared" si="58"/>
        <v>3994065.0000000005</v>
      </c>
      <c r="DX40" s="3236">
        <f t="shared" si="59"/>
        <v>0</v>
      </c>
      <c r="DY40" s="3236">
        <f t="shared" si="60"/>
        <v>1093645.9212294305</v>
      </c>
      <c r="DZ40" s="3236">
        <f t="shared" si="61"/>
        <v>2900419.07877057</v>
      </c>
      <c r="EA40" s="3237"/>
      <c r="EE40" s="3235">
        <f t="shared" si="62"/>
        <v>3994065.0000000005</v>
      </c>
      <c r="EF40" s="3236">
        <f t="shared" si="63"/>
        <v>0</v>
      </c>
      <c r="EG40" s="3236">
        <f t="shared" si="64"/>
        <v>1093645.9212294305</v>
      </c>
      <c r="EH40" s="3236">
        <f t="shared" si="65"/>
        <v>2900419.07877057</v>
      </c>
      <c r="EI40" s="3237"/>
      <c r="EM40" s="3235">
        <f t="shared" si="66"/>
        <v>3994065.0000000005</v>
      </c>
      <c r="EN40" s="3236">
        <f t="shared" si="67"/>
        <v>0</v>
      </c>
      <c r="EO40" s="3236">
        <f t="shared" si="68"/>
        <v>1093645.9212294305</v>
      </c>
      <c r="EP40" s="3236">
        <f t="shared" si="69"/>
        <v>2900419.07877057</v>
      </c>
      <c r="EQ40" s="3237"/>
      <c r="EU40" s="3235">
        <f t="shared" si="70"/>
        <v>3994065.0000000005</v>
      </c>
      <c r="EV40" s="3236">
        <f t="shared" si="71"/>
        <v>0</v>
      </c>
      <c r="EW40" s="3236">
        <f t="shared" si="72"/>
        <v>1093645.9212294305</v>
      </c>
      <c r="EX40" s="3236">
        <f t="shared" si="73"/>
        <v>2900419.07877057</v>
      </c>
      <c r="EY40" s="3237"/>
      <c r="FC40" s="3235">
        <f t="shared" si="74"/>
        <v>3994065.0000000005</v>
      </c>
      <c r="FD40" s="3236">
        <f t="shared" si="75"/>
        <v>0</v>
      </c>
      <c r="FE40" s="3236">
        <f t="shared" si="76"/>
        <v>1093645.9212294305</v>
      </c>
      <c r="FF40" s="3236">
        <f t="shared" si="77"/>
        <v>2900419.07877057</v>
      </c>
      <c r="FG40" s="3237"/>
      <c r="FK40" s="3235">
        <f t="shared" si="78"/>
        <v>3994065.0000000005</v>
      </c>
      <c r="FL40" s="3236">
        <f t="shared" si="79"/>
        <v>0</v>
      </c>
      <c r="FM40" s="3236">
        <f t="shared" si="80"/>
        <v>1093645.9212294305</v>
      </c>
      <c r="FN40" s="3236">
        <f t="shared" si="81"/>
        <v>2900419.07877057</v>
      </c>
      <c r="FO40" s="3237"/>
    </row>
    <row r="41" spans="1:171">
      <c r="A41" s="2092"/>
      <c r="B41" s="2097" t="s">
        <v>129</v>
      </c>
      <c r="C41" s="3233" t="s">
        <v>70</v>
      </c>
      <c r="D41" s="2464">
        <v>393</v>
      </c>
      <c r="E41" s="2424" t="str">
        <f>'Sch 1- Rate Base '!E41</f>
        <v>PTD</v>
      </c>
      <c r="F41" s="2171"/>
      <c r="G41" s="2424">
        <f>'Sch 1- Rate Base '!G41</f>
        <v>1969191</v>
      </c>
      <c r="H41" s="2424">
        <f>'Sch 1- Rate Base '!H41</f>
        <v>687427.76703650749</v>
      </c>
      <c r="I41" s="2424">
        <f>'Sch 1- Rate Base '!I41</f>
        <v>0</v>
      </c>
      <c r="J41" s="3465">
        <f>'Sch 1- Rate Base '!J41</f>
        <v>1281763.2329634926</v>
      </c>
      <c r="K41" s="3205">
        <f t="shared" si="0"/>
        <v>1</v>
      </c>
      <c r="L41" s="3261">
        <f t="shared" si="1"/>
        <v>1.7615581158876936E-4</v>
      </c>
      <c r="O41" s="3235">
        <f t="shared" si="2"/>
        <v>1969191.0000000002</v>
      </c>
      <c r="P41" s="3236">
        <f t="shared" si="3"/>
        <v>687427.7670365076</v>
      </c>
      <c r="Q41" s="3236">
        <f t="shared" si="4"/>
        <v>350969.53397412703</v>
      </c>
      <c r="R41" s="3236">
        <f t="shared" si="5"/>
        <v>930793.6989893656</v>
      </c>
      <c r="S41" s="3237"/>
      <c r="W41" s="3235">
        <f t="shared" si="6"/>
        <v>1969191.0000000002</v>
      </c>
      <c r="X41" s="3236">
        <f t="shared" si="7"/>
        <v>687427.7670365076</v>
      </c>
      <c r="Y41" s="3236">
        <f t="shared" si="8"/>
        <v>350969.53397412703</v>
      </c>
      <c r="Z41" s="3236">
        <f t="shared" si="9"/>
        <v>930793.6989893656</v>
      </c>
      <c r="AA41" s="3237"/>
      <c r="AE41" s="3235">
        <f t="shared" si="10"/>
        <v>1969191.0000000002</v>
      </c>
      <c r="AF41" s="3236">
        <f t="shared" si="11"/>
        <v>687427.7670365076</v>
      </c>
      <c r="AG41" s="3236">
        <f t="shared" si="12"/>
        <v>350969.53397412703</v>
      </c>
      <c r="AH41" s="3236">
        <f t="shared" si="13"/>
        <v>930793.6989893656</v>
      </c>
      <c r="AI41" s="3237"/>
      <c r="AM41" s="3235">
        <f t="shared" si="14"/>
        <v>1969191.0000000002</v>
      </c>
      <c r="AN41" s="3236">
        <f t="shared" si="15"/>
        <v>687427.7670365076</v>
      </c>
      <c r="AO41" s="3236">
        <f t="shared" si="16"/>
        <v>350969.53397412703</v>
      </c>
      <c r="AP41" s="3236">
        <f t="shared" si="17"/>
        <v>930793.6989893656</v>
      </c>
      <c r="AQ41" s="3237"/>
      <c r="AU41" s="3235">
        <f t="shared" si="18"/>
        <v>1969191.0000000002</v>
      </c>
      <c r="AV41" s="3236">
        <f t="shared" si="19"/>
        <v>687427.7670365076</v>
      </c>
      <c r="AW41" s="3236">
        <f t="shared" si="20"/>
        <v>350969.53397412703</v>
      </c>
      <c r="AX41" s="3236">
        <f t="shared" si="21"/>
        <v>930793.6989893656</v>
      </c>
      <c r="AY41" s="3237"/>
      <c r="BC41" s="3235">
        <f t="shared" si="22"/>
        <v>1969191.0000000002</v>
      </c>
      <c r="BD41" s="3236">
        <f t="shared" si="23"/>
        <v>687427.7670365076</v>
      </c>
      <c r="BE41" s="3236">
        <f t="shared" si="24"/>
        <v>350969.53397412703</v>
      </c>
      <c r="BF41" s="3236">
        <f t="shared" si="25"/>
        <v>930793.6989893656</v>
      </c>
      <c r="BG41" s="3237"/>
      <c r="BK41" s="3235">
        <f t="shared" si="26"/>
        <v>1969191.0000000002</v>
      </c>
      <c r="BL41" s="3236">
        <f t="shared" si="27"/>
        <v>687427.7670365076</v>
      </c>
      <c r="BM41" s="3236">
        <f t="shared" si="28"/>
        <v>350969.53397412703</v>
      </c>
      <c r="BN41" s="3236">
        <f t="shared" si="29"/>
        <v>930793.6989893656</v>
      </c>
      <c r="BO41" s="3237"/>
      <c r="BS41" s="3235">
        <f t="shared" si="30"/>
        <v>1969191.0000000002</v>
      </c>
      <c r="BT41" s="3236">
        <f t="shared" si="31"/>
        <v>687427.7670365076</v>
      </c>
      <c r="BU41" s="3236">
        <f t="shared" si="32"/>
        <v>350969.53397412703</v>
      </c>
      <c r="BV41" s="3236">
        <f t="shared" si="33"/>
        <v>930793.6989893656</v>
      </c>
      <c r="BW41" s="3237"/>
      <c r="CA41" s="3235">
        <f t="shared" si="34"/>
        <v>1969191.0000000002</v>
      </c>
      <c r="CB41" s="3236">
        <f t="shared" si="35"/>
        <v>687427.7670365076</v>
      </c>
      <c r="CC41" s="3236">
        <f t="shared" si="36"/>
        <v>350969.53397412703</v>
      </c>
      <c r="CD41" s="3236">
        <f t="shared" si="37"/>
        <v>930793.6989893656</v>
      </c>
      <c r="CE41" s="3237"/>
      <c r="CI41" s="3235">
        <f t="shared" si="38"/>
        <v>1969191.0000000002</v>
      </c>
      <c r="CJ41" s="3236">
        <f t="shared" si="39"/>
        <v>687427.7670365076</v>
      </c>
      <c r="CK41" s="3236">
        <f t="shared" si="40"/>
        <v>350969.53397412703</v>
      </c>
      <c r="CL41" s="3236">
        <f t="shared" si="41"/>
        <v>930793.6989893656</v>
      </c>
      <c r="CM41" s="3237"/>
      <c r="CQ41" s="3235">
        <f t="shared" si="42"/>
        <v>1969191.0000000002</v>
      </c>
      <c r="CR41" s="3236">
        <f t="shared" si="43"/>
        <v>687427.7670365076</v>
      </c>
      <c r="CS41" s="3236">
        <f t="shared" si="44"/>
        <v>350969.53397412703</v>
      </c>
      <c r="CT41" s="3236">
        <f t="shared" si="45"/>
        <v>930793.6989893656</v>
      </c>
      <c r="CU41" s="3237"/>
      <c r="CY41" s="3235">
        <f t="shared" si="46"/>
        <v>1969191.0000000002</v>
      </c>
      <c r="CZ41" s="3236">
        <f t="shared" si="47"/>
        <v>687427.7670365076</v>
      </c>
      <c r="DA41" s="3236">
        <f t="shared" si="48"/>
        <v>350969.53397412703</v>
      </c>
      <c r="DB41" s="3236">
        <f t="shared" si="49"/>
        <v>930793.6989893656</v>
      </c>
      <c r="DC41" s="3237"/>
      <c r="DG41" s="3235">
        <f t="shared" si="50"/>
        <v>1969191.0000000002</v>
      </c>
      <c r="DH41" s="3236">
        <f t="shared" si="51"/>
        <v>687427.7670365076</v>
      </c>
      <c r="DI41" s="3236">
        <f t="shared" si="52"/>
        <v>350969.53397412703</v>
      </c>
      <c r="DJ41" s="3236">
        <f t="shared" si="53"/>
        <v>930793.6989893656</v>
      </c>
      <c r="DK41" s="3237"/>
      <c r="DO41" s="3235">
        <f t="shared" si="54"/>
        <v>1969191.0000000002</v>
      </c>
      <c r="DP41" s="3236">
        <f t="shared" si="55"/>
        <v>687427.7670365076</v>
      </c>
      <c r="DQ41" s="3236">
        <f t="shared" si="56"/>
        <v>350969.53397412703</v>
      </c>
      <c r="DR41" s="3236">
        <f t="shared" si="57"/>
        <v>930793.6989893656</v>
      </c>
      <c r="DS41" s="3237"/>
      <c r="DW41" s="3235">
        <f t="shared" si="58"/>
        <v>1969191.0000000002</v>
      </c>
      <c r="DX41" s="3236">
        <f t="shared" si="59"/>
        <v>687427.7670365076</v>
      </c>
      <c r="DY41" s="3236">
        <f t="shared" si="60"/>
        <v>350969.53397412703</v>
      </c>
      <c r="DZ41" s="3236">
        <f t="shared" si="61"/>
        <v>930793.6989893656</v>
      </c>
      <c r="EA41" s="3237"/>
      <c r="EE41" s="3235">
        <f t="shared" si="62"/>
        <v>1969191.0000000002</v>
      </c>
      <c r="EF41" s="3236">
        <f t="shared" si="63"/>
        <v>687427.7670365076</v>
      </c>
      <c r="EG41" s="3236">
        <f t="shared" si="64"/>
        <v>350969.53397412703</v>
      </c>
      <c r="EH41" s="3236">
        <f t="shared" si="65"/>
        <v>930793.6989893656</v>
      </c>
      <c r="EI41" s="3237"/>
      <c r="EM41" s="3235">
        <f t="shared" si="66"/>
        <v>1969191.0000000002</v>
      </c>
      <c r="EN41" s="3236">
        <f t="shared" si="67"/>
        <v>687427.7670365076</v>
      </c>
      <c r="EO41" s="3236">
        <f t="shared" si="68"/>
        <v>350969.53397412703</v>
      </c>
      <c r="EP41" s="3236">
        <f t="shared" si="69"/>
        <v>930793.6989893656</v>
      </c>
      <c r="EQ41" s="3237"/>
      <c r="EU41" s="3235">
        <f t="shared" si="70"/>
        <v>1969191.0000000002</v>
      </c>
      <c r="EV41" s="3236">
        <f t="shared" si="71"/>
        <v>687427.7670365076</v>
      </c>
      <c r="EW41" s="3236">
        <f t="shared" si="72"/>
        <v>350969.53397412703</v>
      </c>
      <c r="EX41" s="3236">
        <f t="shared" si="73"/>
        <v>930793.6989893656</v>
      </c>
      <c r="EY41" s="3237"/>
      <c r="FC41" s="3235">
        <f t="shared" si="74"/>
        <v>1969191.0000000002</v>
      </c>
      <c r="FD41" s="3236">
        <f t="shared" si="75"/>
        <v>687427.7670365076</v>
      </c>
      <c r="FE41" s="3236">
        <f t="shared" si="76"/>
        <v>350969.53397412703</v>
      </c>
      <c r="FF41" s="3236">
        <f t="shared" si="77"/>
        <v>930793.6989893656</v>
      </c>
      <c r="FG41" s="3237"/>
      <c r="FK41" s="3235">
        <f t="shared" si="78"/>
        <v>1969191.0000000002</v>
      </c>
      <c r="FL41" s="3236">
        <f t="shared" si="79"/>
        <v>687427.7670365076</v>
      </c>
      <c r="FM41" s="3236">
        <f t="shared" si="80"/>
        <v>350969.53397412703</v>
      </c>
      <c r="FN41" s="3236">
        <f t="shared" si="81"/>
        <v>930793.6989893656</v>
      </c>
      <c r="FO41" s="3237"/>
    </row>
    <row r="42" spans="1:171">
      <c r="A42" s="2092"/>
      <c r="B42" s="2097" t="s">
        <v>130</v>
      </c>
      <c r="C42" s="3233" t="s">
        <v>70</v>
      </c>
      <c r="D42" s="2464">
        <v>394</v>
      </c>
      <c r="E42" s="2424" t="str">
        <f>'Sch 1- Rate Base '!E42</f>
        <v>PTD</v>
      </c>
      <c r="F42" s="2171"/>
      <c r="G42" s="2424">
        <f>'Sch 1- Rate Base '!G42</f>
        <v>32372182</v>
      </c>
      <c r="H42" s="2424">
        <f>'Sch 1- Rate Base '!H42</f>
        <v>11300852.373568345</v>
      </c>
      <c r="I42" s="2424">
        <f>'Sch 1- Rate Base '!I42</f>
        <v>0</v>
      </c>
      <c r="J42" s="3465">
        <f>'Sch 1- Rate Base '!J42</f>
        <v>21071329.626431659</v>
      </c>
      <c r="K42" s="3205">
        <f t="shared" si="0"/>
        <v>1</v>
      </c>
      <c r="L42" s="3261">
        <f t="shared" si="1"/>
        <v>2.895883636025835E-3</v>
      </c>
      <c r="O42" s="3235">
        <f t="shared" si="2"/>
        <v>32372182</v>
      </c>
      <c r="P42" s="3236">
        <f t="shared" si="3"/>
        <v>11300852.373568345</v>
      </c>
      <c r="Q42" s="3236">
        <f t="shared" si="4"/>
        <v>5769704.2238490945</v>
      </c>
      <c r="R42" s="3236">
        <f t="shared" si="5"/>
        <v>15301625.402582562</v>
      </c>
      <c r="S42" s="3237"/>
      <c r="W42" s="3235">
        <f t="shared" si="6"/>
        <v>32372182</v>
      </c>
      <c r="X42" s="3236">
        <f t="shared" si="7"/>
        <v>11300852.373568345</v>
      </c>
      <c r="Y42" s="3236">
        <f t="shared" si="8"/>
        <v>5769704.2238490945</v>
      </c>
      <c r="Z42" s="3236">
        <f t="shared" si="9"/>
        <v>15301625.402582562</v>
      </c>
      <c r="AA42" s="3237"/>
      <c r="AE42" s="3235">
        <f t="shared" si="10"/>
        <v>32372182</v>
      </c>
      <c r="AF42" s="3236">
        <f t="shared" si="11"/>
        <v>11300852.373568345</v>
      </c>
      <c r="AG42" s="3236">
        <f t="shared" si="12"/>
        <v>5769704.2238490945</v>
      </c>
      <c r="AH42" s="3236">
        <f t="shared" si="13"/>
        <v>15301625.402582562</v>
      </c>
      <c r="AI42" s="3237"/>
      <c r="AM42" s="3235">
        <f t="shared" si="14"/>
        <v>32372182</v>
      </c>
      <c r="AN42" s="3236">
        <f t="shared" si="15"/>
        <v>11300852.373568345</v>
      </c>
      <c r="AO42" s="3236">
        <f t="shared" si="16"/>
        <v>5769704.2238490945</v>
      </c>
      <c r="AP42" s="3236">
        <f t="shared" si="17"/>
        <v>15301625.402582562</v>
      </c>
      <c r="AQ42" s="3237"/>
      <c r="AU42" s="3235">
        <f t="shared" si="18"/>
        <v>32372182</v>
      </c>
      <c r="AV42" s="3236">
        <f t="shared" si="19"/>
        <v>11300852.373568345</v>
      </c>
      <c r="AW42" s="3236">
        <f t="shared" si="20"/>
        <v>5769704.2238490945</v>
      </c>
      <c r="AX42" s="3236">
        <f t="shared" si="21"/>
        <v>15301625.402582562</v>
      </c>
      <c r="AY42" s="3237"/>
      <c r="BC42" s="3235">
        <f t="shared" si="22"/>
        <v>32372182</v>
      </c>
      <c r="BD42" s="3236">
        <f t="shared" si="23"/>
        <v>11300852.373568345</v>
      </c>
      <c r="BE42" s="3236">
        <f t="shared" si="24"/>
        <v>5769704.2238490945</v>
      </c>
      <c r="BF42" s="3236">
        <f t="shared" si="25"/>
        <v>15301625.402582562</v>
      </c>
      <c r="BG42" s="3237"/>
      <c r="BK42" s="3235">
        <f t="shared" si="26"/>
        <v>32372182</v>
      </c>
      <c r="BL42" s="3236">
        <f t="shared" si="27"/>
        <v>11300852.373568345</v>
      </c>
      <c r="BM42" s="3236">
        <f t="shared" si="28"/>
        <v>5769704.2238490945</v>
      </c>
      <c r="BN42" s="3236">
        <f t="shared" si="29"/>
        <v>15301625.402582562</v>
      </c>
      <c r="BO42" s="3237"/>
      <c r="BS42" s="3235">
        <f t="shared" si="30"/>
        <v>32372182</v>
      </c>
      <c r="BT42" s="3236">
        <f t="shared" si="31"/>
        <v>11300852.373568345</v>
      </c>
      <c r="BU42" s="3236">
        <f t="shared" si="32"/>
        <v>5769704.2238490945</v>
      </c>
      <c r="BV42" s="3236">
        <f t="shared" si="33"/>
        <v>15301625.402582562</v>
      </c>
      <c r="BW42" s="3237"/>
      <c r="CA42" s="3235">
        <f t="shared" si="34"/>
        <v>32372182</v>
      </c>
      <c r="CB42" s="3236">
        <f t="shared" si="35"/>
        <v>11300852.373568345</v>
      </c>
      <c r="CC42" s="3236">
        <f t="shared" si="36"/>
        <v>5769704.2238490945</v>
      </c>
      <c r="CD42" s="3236">
        <f t="shared" si="37"/>
        <v>15301625.402582562</v>
      </c>
      <c r="CE42" s="3237"/>
      <c r="CI42" s="3235">
        <f t="shared" si="38"/>
        <v>32372182</v>
      </c>
      <c r="CJ42" s="3236">
        <f t="shared" si="39"/>
        <v>11300852.373568345</v>
      </c>
      <c r="CK42" s="3236">
        <f t="shared" si="40"/>
        <v>5769704.2238490945</v>
      </c>
      <c r="CL42" s="3236">
        <f t="shared" si="41"/>
        <v>15301625.402582562</v>
      </c>
      <c r="CM42" s="3237"/>
      <c r="CQ42" s="3235">
        <f t="shared" si="42"/>
        <v>32372182</v>
      </c>
      <c r="CR42" s="3236">
        <f t="shared" si="43"/>
        <v>11300852.373568345</v>
      </c>
      <c r="CS42" s="3236">
        <f t="shared" si="44"/>
        <v>5769704.2238490945</v>
      </c>
      <c r="CT42" s="3236">
        <f t="shared" si="45"/>
        <v>15301625.402582562</v>
      </c>
      <c r="CU42" s="3237"/>
      <c r="CY42" s="3235">
        <f t="shared" si="46"/>
        <v>32372182</v>
      </c>
      <c r="CZ42" s="3236">
        <f t="shared" si="47"/>
        <v>11300852.373568345</v>
      </c>
      <c r="DA42" s="3236">
        <f t="shared" si="48"/>
        <v>5769704.2238490945</v>
      </c>
      <c r="DB42" s="3236">
        <f t="shared" si="49"/>
        <v>15301625.402582562</v>
      </c>
      <c r="DC42" s="3237"/>
      <c r="DG42" s="3235">
        <f t="shared" si="50"/>
        <v>32372182</v>
      </c>
      <c r="DH42" s="3236">
        <f t="shared" si="51"/>
        <v>11300852.373568345</v>
      </c>
      <c r="DI42" s="3236">
        <f t="shared" si="52"/>
        <v>5769704.2238490945</v>
      </c>
      <c r="DJ42" s="3236">
        <f t="shared" si="53"/>
        <v>15301625.402582562</v>
      </c>
      <c r="DK42" s="3237"/>
      <c r="DO42" s="3235">
        <f t="shared" si="54"/>
        <v>32372182</v>
      </c>
      <c r="DP42" s="3236">
        <f t="shared" si="55"/>
        <v>11300852.373568345</v>
      </c>
      <c r="DQ42" s="3236">
        <f t="shared" si="56"/>
        <v>5769704.2238490945</v>
      </c>
      <c r="DR42" s="3236">
        <f t="shared" si="57"/>
        <v>15301625.402582562</v>
      </c>
      <c r="DS42" s="3237"/>
      <c r="DW42" s="3235">
        <f t="shared" si="58"/>
        <v>32372182</v>
      </c>
      <c r="DX42" s="3236">
        <f t="shared" si="59"/>
        <v>11300852.373568345</v>
      </c>
      <c r="DY42" s="3236">
        <f t="shared" si="60"/>
        <v>5769704.2238490945</v>
      </c>
      <c r="DZ42" s="3236">
        <f t="shared" si="61"/>
        <v>15301625.402582562</v>
      </c>
      <c r="EA42" s="3237"/>
      <c r="EE42" s="3235">
        <f t="shared" si="62"/>
        <v>32372182</v>
      </c>
      <c r="EF42" s="3236">
        <f t="shared" si="63"/>
        <v>11300852.373568345</v>
      </c>
      <c r="EG42" s="3236">
        <f t="shared" si="64"/>
        <v>5769704.2238490945</v>
      </c>
      <c r="EH42" s="3236">
        <f t="shared" si="65"/>
        <v>15301625.402582562</v>
      </c>
      <c r="EI42" s="3237"/>
      <c r="EM42" s="3235">
        <f t="shared" si="66"/>
        <v>32372182</v>
      </c>
      <c r="EN42" s="3236">
        <f t="shared" si="67"/>
        <v>11300852.373568345</v>
      </c>
      <c r="EO42" s="3236">
        <f t="shared" si="68"/>
        <v>5769704.2238490945</v>
      </c>
      <c r="EP42" s="3236">
        <f t="shared" si="69"/>
        <v>15301625.402582562</v>
      </c>
      <c r="EQ42" s="3237"/>
      <c r="EU42" s="3235">
        <f t="shared" si="70"/>
        <v>32372182</v>
      </c>
      <c r="EV42" s="3236">
        <f t="shared" si="71"/>
        <v>11300852.373568345</v>
      </c>
      <c r="EW42" s="3236">
        <f t="shared" si="72"/>
        <v>5769704.2238490945</v>
      </c>
      <c r="EX42" s="3236">
        <f t="shared" si="73"/>
        <v>15301625.402582562</v>
      </c>
      <c r="EY42" s="3237"/>
      <c r="FC42" s="3235">
        <f t="shared" si="74"/>
        <v>32372182</v>
      </c>
      <c r="FD42" s="3236">
        <f t="shared" si="75"/>
        <v>11300852.373568345</v>
      </c>
      <c r="FE42" s="3236">
        <f t="shared" si="76"/>
        <v>5769704.2238490945</v>
      </c>
      <c r="FF42" s="3236">
        <f t="shared" si="77"/>
        <v>15301625.402582562</v>
      </c>
      <c r="FG42" s="3237"/>
      <c r="FK42" s="3235">
        <f t="shared" si="78"/>
        <v>32372182</v>
      </c>
      <c r="FL42" s="3236">
        <f t="shared" si="79"/>
        <v>11300852.373568345</v>
      </c>
      <c r="FM42" s="3236">
        <f t="shared" si="80"/>
        <v>5769704.2238490945</v>
      </c>
      <c r="FN42" s="3236">
        <f t="shared" si="81"/>
        <v>15301625.402582562</v>
      </c>
      <c r="FO42" s="3237"/>
    </row>
    <row r="43" spans="1:171">
      <c r="A43" s="2092"/>
      <c r="B43" s="2097" t="s">
        <v>131</v>
      </c>
      <c r="C43" s="3233" t="s">
        <v>70</v>
      </c>
      <c r="D43" s="2464">
        <v>395</v>
      </c>
      <c r="E43" s="2424" t="str">
        <f>'Sch 1- Rate Base '!E43</f>
        <v>PTD</v>
      </c>
      <c r="F43" s="2171"/>
      <c r="G43" s="2424">
        <f>'Sch 1- Rate Base '!G43</f>
        <v>5973622</v>
      </c>
      <c r="H43" s="2424">
        <f>'Sch 1- Rate Base '!H43</f>
        <v>2085340.4431465287</v>
      </c>
      <c r="I43" s="2424">
        <f>'Sch 1- Rate Base '!I43</f>
        <v>0</v>
      </c>
      <c r="J43" s="3465">
        <f>'Sch 1- Rate Base '!J43</f>
        <v>3888281.5568534718</v>
      </c>
      <c r="K43" s="3205">
        <f t="shared" si="0"/>
        <v>1</v>
      </c>
      <c r="L43" s="3261">
        <f t="shared" si="1"/>
        <v>5.3437590946461139E-4</v>
      </c>
      <c r="O43" s="3235">
        <f t="shared" si="2"/>
        <v>5973622</v>
      </c>
      <c r="P43" s="3236">
        <f t="shared" si="3"/>
        <v>2085340.4431465287</v>
      </c>
      <c r="Q43" s="3236">
        <f t="shared" si="4"/>
        <v>1064680.5360564783</v>
      </c>
      <c r="R43" s="3236">
        <f t="shared" si="5"/>
        <v>2823601.0207969933</v>
      </c>
      <c r="S43" s="3237"/>
      <c r="W43" s="3235">
        <f t="shared" si="6"/>
        <v>5973622</v>
      </c>
      <c r="X43" s="3236">
        <f t="shared" si="7"/>
        <v>2085340.4431465287</v>
      </c>
      <c r="Y43" s="3236">
        <f t="shared" si="8"/>
        <v>1064680.5360564783</v>
      </c>
      <c r="Z43" s="3236">
        <f t="shared" si="9"/>
        <v>2823601.0207969933</v>
      </c>
      <c r="AA43" s="3237"/>
      <c r="AE43" s="3235">
        <f t="shared" si="10"/>
        <v>5973622</v>
      </c>
      <c r="AF43" s="3236">
        <f t="shared" si="11"/>
        <v>2085340.4431465287</v>
      </c>
      <c r="AG43" s="3236">
        <f t="shared" si="12"/>
        <v>1064680.5360564783</v>
      </c>
      <c r="AH43" s="3236">
        <f t="shared" si="13"/>
        <v>2823601.0207969933</v>
      </c>
      <c r="AI43" s="3237"/>
      <c r="AM43" s="3235">
        <f t="shared" si="14"/>
        <v>5973622</v>
      </c>
      <c r="AN43" s="3236">
        <f t="shared" si="15"/>
        <v>2085340.4431465287</v>
      </c>
      <c r="AO43" s="3236">
        <f t="shared" si="16"/>
        <v>1064680.5360564783</v>
      </c>
      <c r="AP43" s="3236">
        <f t="shared" si="17"/>
        <v>2823601.0207969933</v>
      </c>
      <c r="AQ43" s="3237"/>
      <c r="AU43" s="3235">
        <f t="shared" si="18"/>
        <v>5973622</v>
      </c>
      <c r="AV43" s="3236">
        <f t="shared" si="19"/>
        <v>2085340.4431465287</v>
      </c>
      <c r="AW43" s="3236">
        <f t="shared" si="20"/>
        <v>1064680.5360564783</v>
      </c>
      <c r="AX43" s="3236">
        <f t="shared" si="21"/>
        <v>2823601.0207969933</v>
      </c>
      <c r="AY43" s="3237"/>
      <c r="BC43" s="3235">
        <f t="shared" si="22"/>
        <v>5973622</v>
      </c>
      <c r="BD43" s="3236">
        <f t="shared" si="23"/>
        <v>2085340.4431465287</v>
      </c>
      <c r="BE43" s="3236">
        <f t="shared" si="24"/>
        <v>1064680.5360564783</v>
      </c>
      <c r="BF43" s="3236">
        <f t="shared" si="25"/>
        <v>2823601.0207969933</v>
      </c>
      <c r="BG43" s="3237"/>
      <c r="BK43" s="3235">
        <f t="shared" si="26"/>
        <v>5973622</v>
      </c>
      <c r="BL43" s="3236">
        <f t="shared" si="27"/>
        <v>2085340.4431465287</v>
      </c>
      <c r="BM43" s="3236">
        <f t="shared" si="28"/>
        <v>1064680.5360564783</v>
      </c>
      <c r="BN43" s="3236">
        <f t="shared" si="29"/>
        <v>2823601.0207969933</v>
      </c>
      <c r="BO43" s="3237"/>
      <c r="BS43" s="3235">
        <f t="shared" si="30"/>
        <v>5973622</v>
      </c>
      <c r="BT43" s="3236">
        <f t="shared" si="31"/>
        <v>2085340.4431465287</v>
      </c>
      <c r="BU43" s="3236">
        <f t="shared" si="32"/>
        <v>1064680.5360564783</v>
      </c>
      <c r="BV43" s="3236">
        <f t="shared" si="33"/>
        <v>2823601.0207969933</v>
      </c>
      <c r="BW43" s="3237"/>
      <c r="CA43" s="3235">
        <f t="shared" si="34"/>
        <v>5973622</v>
      </c>
      <c r="CB43" s="3236">
        <f t="shared" si="35"/>
        <v>2085340.4431465287</v>
      </c>
      <c r="CC43" s="3236">
        <f t="shared" si="36"/>
        <v>1064680.5360564783</v>
      </c>
      <c r="CD43" s="3236">
        <f t="shared" si="37"/>
        <v>2823601.0207969933</v>
      </c>
      <c r="CE43" s="3237"/>
      <c r="CI43" s="3235">
        <f t="shared" si="38"/>
        <v>5973622</v>
      </c>
      <c r="CJ43" s="3236">
        <f t="shared" si="39"/>
        <v>2085340.4431465287</v>
      </c>
      <c r="CK43" s="3236">
        <f t="shared" si="40"/>
        <v>1064680.5360564783</v>
      </c>
      <c r="CL43" s="3236">
        <f t="shared" si="41"/>
        <v>2823601.0207969933</v>
      </c>
      <c r="CM43" s="3237"/>
      <c r="CQ43" s="3235">
        <f t="shared" si="42"/>
        <v>5973622</v>
      </c>
      <c r="CR43" s="3236">
        <f t="shared" si="43"/>
        <v>2085340.4431465287</v>
      </c>
      <c r="CS43" s="3236">
        <f t="shared" si="44"/>
        <v>1064680.5360564783</v>
      </c>
      <c r="CT43" s="3236">
        <f t="shared" si="45"/>
        <v>2823601.0207969933</v>
      </c>
      <c r="CU43" s="3237"/>
      <c r="CY43" s="3235">
        <f t="shared" si="46"/>
        <v>5973622</v>
      </c>
      <c r="CZ43" s="3236">
        <f t="shared" si="47"/>
        <v>2085340.4431465287</v>
      </c>
      <c r="DA43" s="3236">
        <f t="shared" si="48"/>
        <v>1064680.5360564783</v>
      </c>
      <c r="DB43" s="3236">
        <f t="shared" si="49"/>
        <v>2823601.0207969933</v>
      </c>
      <c r="DC43" s="3237"/>
      <c r="DG43" s="3235">
        <f t="shared" si="50"/>
        <v>5973622</v>
      </c>
      <c r="DH43" s="3236">
        <f t="shared" si="51"/>
        <v>2085340.4431465287</v>
      </c>
      <c r="DI43" s="3236">
        <f t="shared" si="52"/>
        <v>1064680.5360564783</v>
      </c>
      <c r="DJ43" s="3236">
        <f t="shared" si="53"/>
        <v>2823601.0207969933</v>
      </c>
      <c r="DK43" s="3237"/>
      <c r="DO43" s="3235">
        <f t="shared" si="54"/>
        <v>5973622</v>
      </c>
      <c r="DP43" s="3236">
        <f t="shared" si="55"/>
        <v>2085340.4431465287</v>
      </c>
      <c r="DQ43" s="3236">
        <f t="shared" si="56"/>
        <v>1064680.5360564783</v>
      </c>
      <c r="DR43" s="3236">
        <f t="shared" si="57"/>
        <v>2823601.0207969933</v>
      </c>
      <c r="DS43" s="3237"/>
      <c r="DW43" s="3235">
        <f t="shared" si="58"/>
        <v>5973622</v>
      </c>
      <c r="DX43" s="3236">
        <f t="shared" si="59"/>
        <v>2085340.4431465287</v>
      </c>
      <c r="DY43" s="3236">
        <f t="shared" si="60"/>
        <v>1064680.5360564783</v>
      </c>
      <c r="DZ43" s="3236">
        <f t="shared" si="61"/>
        <v>2823601.0207969933</v>
      </c>
      <c r="EA43" s="3237"/>
      <c r="EE43" s="3235">
        <f t="shared" si="62"/>
        <v>5973622</v>
      </c>
      <c r="EF43" s="3236">
        <f t="shared" si="63"/>
        <v>2085340.4431465287</v>
      </c>
      <c r="EG43" s="3236">
        <f t="shared" si="64"/>
        <v>1064680.5360564783</v>
      </c>
      <c r="EH43" s="3236">
        <f t="shared" si="65"/>
        <v>2823601.0207969933</v>
      </c>
      <c r="EI43" s="3237"/>
      <c r="EM43" s="3235">
        <f t="shared" si="66"/>
        <v>5973622</v>
      </c>
      <c r="EN43" s="3236">
        <f t="shared" si="67"/>
        <v>2085340.4431465287</v>
      </c>
      <c r="EO43" s="3236">
        <f t="shared" si="68"/>
        <v>1064680.5360564783</v>
      </c>
      <c r="EP43" s="3236">
        <f t="shared" si="69"/>
        <v>2823601.0207969933</v>
      </c>
      <c r="EQ43" s="3237"/>
      <c r="EU43" s="3235">
        <f t="shared" si="70"/>
        <v>5973622</v>
      </c>
      <c r="EV43" s="3236">
        <f t="shared" si="71"/>
        <v>2085340.4431465287</v>
      </c>
      <c r="EW43" s="3236">
        <f t="shared" si="72"/>
        <v>1064680.5360564783</v>
      </c>
      <c r="EX43" s="3236">
        <f t="shared" si="73"/>
        <v>2823601.0207969933</v>
      </c>
      <c r="EY43" s="3237"/>
      <c r="FC43" s="3235">
        <f t="shared" si="74"/>
        <v>5973622</v>
      </c>
      <c r="FD43" s="3236">
        <f t="shared" si="75"/>
        <v>2085340.4431465287</v>
      </c>
      <c r="FE43" s="3236">
        <f t="shared" si="76"/>
        <v>1064680.5360564783</v>
      </c>
      <c r="FF43" s="3236">
        <f t="shared" si="77"/>
        <v>2823601.0207969933</v>
      </c>
      <c r="FG43" s="3237"/>
      <c r="FK43" s="3235">
        <f t="shared" si="78"/>
        <v>5973622</v>
      </c>
      <c r="FL43" s="3236">
        <f t="shared" si="79"/>
        <v>2085340.4431465287</v>
      </c>
      <c r="FM43" s="3236">
        <f t="shared" si="80"/>
        <v>1064680.5360564783</v>
      </c>
      <c r="FN43" s="3236">
        <f t="shared" si="81"/>
        <v>2823601.0207969933</v>
      </c>
      <c r="FO43" s="3237"/>
    </row>
    <row r="44" spans="1:171">
      <c r="A44" s="2092"/>
      <c r="B44" s="2097" t="s">
        <v>132</v>
      </c>
      <c r="C44" s="3233" t="s">
        <v>70</v>
      </c>
      <c r="D44" s="2464">
        <v>396</v>
      </c>
      <c r="E44" s="2424" t="str">
        <f>'Sch 1- Rate Base '!E44</f>
        <v>TD</v>
      </c>
      <c r="F44" s="2171"/>
      <c r="G44" s="2424">
        <f>'Sch 1- Rate Base '!G44</f>
        <v>2715513</v>
      </c>
      <c r="H44" s="2424">
        <f>'Sch 1- Rate Base '!H44</f>
        <v>0</v>
      </c>
      <c r="I44" s="2424">
        <f>'Sch 1- Rate Base '!I44</f>
        <v>0</v>
      </c>
      <c r="J44" s="3465">
        <f>'Sch 1- Rate Base '!J44</f>
        <v>2715513</v>
      </c>
      <c r="K44" s="3205">
        <f t="shared" si="0"/>
        <v>1</v>
      </c>
      <c r="L44" s="3261">
        <f t="shared" si="1"/>
        <v>2.4291873992662662E-4</v>
      </c>
      <c r="O44" s="3235">
        <f t="shared" si="2"/>
        <v>2715513</v>
      </c>
      <c r="P44" s="3236">
        <f t="shared" si="3"/>
        <v>0</v>
      </c>
      <c r="Q44" s="3236">
        <f t="shared" si="4"/>
        <v>743555.67986387154</v>
      </c>
      <c r="R44" s="3236">
        <f t="shared" si="5"/>
        <v>1971957.3201361285</v>
      </c>
      <c r="S44" s="3237"/>
      <c r="W44" s="3235">
        <f t="shared" si="6"/>
        <v>2715513</v>
      </c>
      <c r="X44" s="3236">
        <f t="shared" si="7"/>
        <v>0</v>
      </c>
      <c r="Y44" s="3236">
        <f t="shared" si="8"/>
        <v>743555.67986387154</v>
      </c>
      <c r="Z44" s="3236">
        <f t="shared" si="9"/>
        <v>1971957.3201361285</v>
      </c>
      <c r="AA44" s="3237"/>
      <c r="AE44" s="3235">
        <f t="shared" si="10"/>
        <v>2715513</v>
      </c>
      <c r="AF44" s="3236">
        <f t="shared" si="11"/>
        <v>0</v>
      </c>
      <c r="AG44" s="3236">
        <f t="shared" si="12"/>
        <v>743555.67986387154</v>
      </c>
      <c r="AH44" s="3236">
        <f t="shared" si="13"/>
        <v>1971957.3201361285</v>
      </c>
      <c r="AI44" s="3237"/>
      <c r="AM44" s="3235">
        <f t="shared" si="14"/>
        <v>2715513</v>
      </c>
      <c r="AN44" s="3236">
        <f t="shared" si="15"/>
        <v>0</v>
      </c>
      <c r="AO44" s="3236">
        <f t="shared" si="16"/>
        <v>743555.67986387154</v>
      </c>
      <c r="AP44" s="3236">
        <f t="shared" si="17"/>
        <v>1971957.3201361285</v>
      </c>
      <c r="AQ44" s="3237"/>
      <c r="AU44" s="3235">
        <f t="shared" si="18"/>
        <v>2715513</v>
      </c>
      <c r="AV44" s="3236">
        <f t="shared" si="19"/>
        <v>0</v>
      </c>
      <c r="AW44" s="3236">
        <f t="shared" si="20"/>
        <v>743555.67986387154</v>
      </c>
      <c r="AX44" s="3236">
        <f t="shared" si="21"/>
        <v>1971957.3201361285</v>
      </c>
      <c r="AY44" s="3237"/>
      <c r="BC44" s="3235">
        <f t="shared" si="22"/>
        <v>2715513</v>
      </c>
      <c r="BD44" s="3236">
        <f t="shared" si="23"/>
        <v>0</v>
      </c>
      <c r="BE44" s="3236">
        <f t="shared" si="24"/>
        <v>743555.67986387154</v>
      </c>
      <c r="BF44" s="3236">
        <f t="shared" si="25"/>
        <v>1971957.3201361285</v>
      </c>
      <c r="BG44" s="3237"/>
      <c r="BK44" s="3235">
        <f t="shared" si="26"/>
        <v>2715513</v>
      </c>
      <c r="BL44" s="3236">
        <f t="shared" si="27"/>
        <v>0</v>
      </c>
      <c r="BM44" s="3236">
        <f t="shared" si="28"/>
        <v>743555.67986387154</v>
      </c>
      <c r="BN44" s="3236">
        <f t="shared" si="29"/>
        <v>1971957.3201361285</v>
      </c>
      <c r="BO44" s="3237"/>
      <c r="BS44" s="3235">
        <f t="shared" si="30"/>
        <v>2715513</v>
      </c>
      <c r="BT44" s="3236">
        <f t="shared" si="31"/>
        <v>0</v>
      </c>
      <c r="BU44" s="3236">
        <f t="shared" si="32"/>
        <v>743555.67986387154</v>
      </c>
      <c r="BV44" s="3236">
        <f t="shared" si="33"/>
        <v>1971957.3201361285</v>
      </c>
      <c r="BW44" s="3237"/>
      <c r="CA44" s="3235">
        <f t="shared" si="34"/>
        <v>2715513</v>
      </c>
      <c r="CB44" s="3236">
        <f t="shared" si="35"/>
        <v>0</v>
      </c>
      <c r="CC44" s="3236">
        <f t="shared" si="36"/>
        <v>743555.67986387154</v>
      </c>
      <c r="CD44" s="3236">
        <f t="shared" si="37"/>
        <v>1971957.3201361285</v>
      </c>
      <c r="CE44" s="3237"/>
      <c r="CI44" s="3235">
        <f t="shared" si="38"/>
        <v>2715513</v>
      </c>
      <c r="CJ44" s="3236">
        <f t="shared" si="39"/>
        <v>0</v>
      </c>
      <c r="CK44" s="3236">
        <f t="shared" si="40"/>
        <v>743555.67986387154</v>
      </c>
      <c r="CL44" s="3236">
        <f t="shared" si="41"/>
        <v>1971957.3201361285</v>
      </c>
      <c r="CM44" s="3237"/>
      <c r="CQ44" s="3235">
        <f t="shared" si="42"/>
        <v>2715513</v>
      </c>
      <c r="CR44" s="3236">
        <f t="shared" si="43"/>
        <v>0</v>
      </c>
      <c r="CS44" s="3236">
        <f t="shared" si="44"/>
        <v>743555.67986387154</v>
      </c>
      <c r="CT44" s="3236">
        <f t="shared" si="45"/>
        <v>1971957.3201361285</v>
      </c>
      <c r="CU44" s="3237"/>
      <c r="CY44" s="3235">
        <f t="shared" si="46"/>
        <v>2715513</v>
      </c>
      <c r="CZ44" s="3236">
        <f t="shared" si="47"/>
        <v>0</v>
      </c>
      <c r="DA44" s="3236">
        <f t="shared" si="48"/>
        <v>743555.67986387154</v>
      </c>
      <c r="DB44" s="3236">
        <f t="shared" si="49"/>
        <v>1971957.3201361285</v>
      </c>
      <c r="DC44" s="3237"/>
      <c r="DG44" s="3235">
        <f t="shared" si="50"/>
        <v>2715513</v>
      </c>
      <c r="DH44" s="3236">
        <f t="shared" si="51"/>
        <v>0</v>
      </c>
      <c r="DI44" s="3236">
        <f t="shared" si="52"/>
        <v>743555.67986387154</v>
      </c>
      <c r="DJ44" s="3236">
        <f t="shared" si="53"/>
        <v>1971957.3201361285</v>
      </c>
      <c r="DK44" s="3237"/>
      <c r="DO44" s="3235">
        <f t="shared" si="54"/>
        <v>2715513</v>
      </c>
      <c r="DP44" s="3236">
        <f t="shared" si="55"/>
        <v>0</v>
      </c>
      <c r="DQ44" s="3236">
        <f t="shared" si="56"/>
        <v>743555.67986387154</v>
      </c>
      <c r="DR44" s="3236">
        <f t="shared" si="57"/>
        <v>1971957.3201361285</v>
      </c>
      <c r="DS44" s="3237"/>
      <c r="DW44" s="3235">
        <f t="shared" si="58"/>
        <v>2715513</v>
      </c>
      <c r="DX44" s="3236">
        <f t="shared" si="59"/>
        <v>0</v>
      </c>
      <c r="DY44" s="3236">
        <f t="shared" si="60"/>
        <v>743555.67986387154</v>
      </c>
      <c r="DZ44" s="3236">
        <f t="shared" si="61"/>
        <v>1971957.3201361285</v>
      </c>
      <c r="EA44" s="3237"/>
      <c r="EE44" s="3235">
        <f t="shared" si="62"/>
        <v>2715513</v>
      </c>
      <c r="EF44" s="3236">
        <f t="shared" si="63"/>
        <v>0</v>
      </c>
      <c r="EG44" s="3236">
        <f t="shared" si="64"/>
        <v>743555.67986387154</v>
      </c>
      <c r="EH44" s="3236">
        <f t="shared" si="65"/>
        <v>1971957.3201361285</v>
      </c>
      <c r="EI44" s="3237"/>
      <c r="EM44" s="3235">
        <f t="shared" si="66"/>
        <v>2715513</v>
      </c>
      <c r="EN44" s="3236">
        <f t="shared" si="67"/>
        <v>0</v>
      </c>
      <c r="EO44" s="3236">
        <f t="shared" si="68"/>
        <v>743555.67986387154</v>
      </c>
      <c r="EP44" s="3236">
        <f t="shared" si="69"/>
        <v>1971957.3201361285</v>
      </c>
      <c r="EQ44" s="3237"/>
      <c r="EU44" s="3235">
        <f t="shared" si="70"/>
        <v>2715513</v>
      </c>
      <c r="EV44" s="3236">
        <f t="shared" si="71"/>
        <v>0</v>
      </c>
      <c r="EW44" s="3236">
        <f t="shared" si="72"/>
        <v>743555.67986387154</v>
      </c>
      <c r="EX44" s="3236">
        <f t="shared" si="73"/>
        <v>1971957.3201361285</v>
      </c>
      <c r="EY44" s="3237"/>
      <c r="FC44" s="3235">
        <f t="shared" si="74"/>
        <v>2715513</v>
      </c>
      <c r="FD44" s="3236">
        <f t="shared" si="75"/>
        <v>0</v>
      </c>
      <c r="FE44" s="3236">
        <f t="shared" si="76"/>
        <v>743555.67986387154</v>
      </c>
      <c r="FF44" s="3236">
        <f t="shared" si="77"/>
        <v>1971957.3201361285</v>
      </c>
      <c r="FG44" s="3237"/>
      <c r="FK44" s="3235">
        <f t="shared" si="78"/>
        <v>2715513</v>
      </c>
      <c r="FL44" s="3236">
        <f t="shared" si="79"/>
        <v>0</v>
      </c>
      <c r="FM44" s="3236">
        <f t="shared" si="80"/>
        <v>743555.67986387154</v>
      </c>
      <c r="FN44" s="3236">
        <f t="shared" si="81"/>
        <v>1971957.3201361285</v>
      </c>
      <c r="FO44" s="3237"/>
    </row>
    <row r="45" spans="1:171">
      <c r="A45" s="2092"/>
      <c r="B45" s="2097" t="s">
        <v>133</v>
      </c>
      <c r="C45" s="3233" t="s">
        <v>70</v>
      </c>
      <c r="D45" s="2464">
        <v>397</v>
      </c>
      <c r="E45" s="2424" t="str">
        <f>'Sch 1- Rate Base '!E45</f>
        <v>PTD</v>
      </c>
      <c r="F45" s="2171"/>
      <c r="G45" s="2424">
        <f>'Sch 1- Rate Base '!G45</f>
        <v>105832047</v>
      </c>
      <c r="H45" s="2424">
        <f>'Sch 1- Rate Base '!H45</f>
        <v>36945064.11521925</v>
      </c>
      <c r="I45" s="2424">
        <f>'Sch 1- Rate Base '!I45</f>
        <v>0</v>
      </c>
      <c r="J45" s="3465">
        <f>'Sch 1- Rate Base '!J45</f>
        <v>68886982.88478075</v>
      </c>
      <c r="K45" s="3205">
        <f t="shared" si="0"/>
        <v>1</v>
      </c>
      <c r="L45" s="3261">
        <f t="shared" si="1"/>
        <v>9.4673041525102346E-3</v>
      </c>
      <c r="O45" s="3235">
        <f t="shared" si="2"/>
        <v>105832047</v>
      </c>
      <c r="P45" s="3236">
        <f t="shared" si="3"/>
        <v>36945064.11521925</v>
      </c>
      <c r="Q45" s="3236">
        <f t="shared" si="4"/>
        <v>18862479.167900883</v>
      </c>
      <c r="R45" s="3236">
        <f t="shared" si="5"/>
        <v>50024503.716879867</v>
      </c>
      <c r="S45" s="3237"/>
      <c r="W45" s="3235">
        <f t="shared" si="6"/>
        <v>105832047</v>
      </c>
      <c r="X45" s="3236">
        <f t="shared" si="7"/>
        <v>36945064.11521925</v>
      </c>
      <c r="Y45" s="3236">
        <f t="shared" si="8"/>
        <v>18862479.167900883</v>
      </c>
      <c r="Z45" s="3236">
        <f t="shared" si="9"/>
        <v>50024503.716879867</v>
      </c>
      <c r="AA45" s="3237"/>
      <c r="AE45" s="3235">
        <f t="shared" si="10"/>
        <v>105832047</v>
      </c>
      <c r="AF45" s="3236">
        <f t="shared" si="11"/>
        <v>36945064.11521925</v>
      </c>
      <c r="AG45" s="3236">
        <f t="shared" si="12"/>
        <v>18862479.167900883</v>
      </c>
      <c r="AH45" s="3236">
        <f t="shared" si="13"/>
        <v>50024503.716879867</v>
      </c>
      <c r="AI45" s="3237"/>
      <c r="AM45" s="3235">
        <f t="shared" si="14"/>
        <v>105832047</v>
      </c>
      <c r="AN45" s="3236">
        <f t="shared" si="15"/>
        <v>36945064.11521925</v>
      </c>
      <c r="AO45" s="3236">
        <f t="shared" si="16"/>
        <v>18862479.167900883</v>
      </c>
      <c r="AP45" s="3236">
        <f t="shared" si="17"/>
        <v>50024503.716879867</v>
      </c>
      <c r="AQ45" s="3237"/>
      <c r="AU45" s="3235">
        <f t="shared" si="18"/>
        <v>105832047</v>
      </c>
      <c r="AV45" s="3236">
        <f t="shared" si="19"/>
        <v>36945064.11521925</v>
      </c>
      <c r="AW45" s="3236">
        <f t="shared" si="20"/>
        <v>18862479.167900883</v>
      </c>
      <c r="AX45" s="3236">
        <f t="shared" si="21"/>
        <v>50024503.716879867</v>
      </c>
      <c r="AY45" s="3237"/>
      <c r="BC45" s="3235">
        <f t="shared" si="22"/>
        <v>105832047</v>
      </c>
      <c r="BD45" s="3236">
        <f t="shared" si="23"/>
        <v>36945064.11521925</v>
      </c>
      <c r="BE45" s="3236">
        <f t="shared" si="24"/>
        <v>18862479.167900883</v>
      </c>
      <c r="BF45" s="3236">
        <f t="shared" si="25"/>
        <v>50024503.716879867</v>
      </c>
      <c r="BG45" s="3237"/>
      <c r="BK45" s="3235">
        <f t="shared" si="26"/>
        <v>105832047</v>
      </c>
      <c r="BL45" s="3236">
        <f t="shared" si="27"/>
        <v>36945064.11521925</v>
      </c>
      <c r="BM45" s="3236">
        <f t="shared" si="28"/>
        <v>18862479.167900883</v>
      </c>
      <c r="BN45" s="3236">
        <f t="shared" si="29"/>
        <v>50024503.716879867</v>
      </c>
      <c r="BO45" s="3237"/>
      <c r="BS45" s="3235">
        <f t="shared" si="30"/>
        <v>105832047</v>
      </c>
      <c r="BT45" s="3236">
        <f t="shared" si="31"/>
        <v>36945064.11521925</v>
      </c>
      <c r="BU45" s="3236">
        <f t="shared" si="32"/>
        <v>18862479.167900883</v>
      </c>
      <c r="BV45" s="3236">
        <f t="shared" si="33"/>
        <v>50024503.716879867</v>
      </c>
      <c r="BW45" s="3237"/>
      <c r="CA45" s="3235">
        <f t="shared" si="34"/>
        <v>105832047</v>
      </c>
      <c r="CB45" s="3236">
        <f t="shared" si="35"/>
        <v>36945064.11521925</v>
      </c>
      <c r="CC45" s="3236">
        <f t="shared" si="36"/>
        <v>18862479.167900883</v>
      </c>
      <c r="CD45" s="3236">
        <f t="shared" si="37"/>
        <v>50024503.716879867</v>
      </c>
      <c r="CE45" s="3237"/>
      <c r="CI45" s="3235">
        <f t="shared" si="38"/>
        <v>105832047</v>
      </c>
      <c r="CJ45" s="3236">
        <f t="shared" si="39"/>
        <v>36945064.11521925</v>
      </c>
      <c r="CK45" s="3236">
        <f t="shared" si="40"/>
        <v>18862479.167900883</v>
      </c>
      <c r="CL45" s="3236">
        <f t="shared" si="41"/>
        <v>50024503.716879867</v>
      </c>
      <c r="CM45" s="3237"/>
      <c r="CQ45" s="3235">
        <f t="shared" si="42"/>
        <v>105832047</v>
      </c>
      <c r="CR45" s="3236">
        <f t="shared" si="43"/>
        <v>36945064.11521925</v>
      </c>
      <c r="CS45" s="3236">
        <f t="shared" si="44"/>
        <v>18862479.167900883</v>
      </c>
      <c r="CT45" s="3236">
        <f t="shared" si="45"/>
        <v>50024503.716879867</v>
      </c>
      <c r="CU45" s="3237"/>
      <c r="CY45" s="3235">
        <f t="shared" si="46"/>
        <v>105832047</v>
      </c>
      <c r="CZ45" s="3236">
        <f t="shared" si="47"/>
        <v>36945064.11521925</v>
      </c>
      <c r="DA45" s="3236">
        <f t="shared" si="48"/>
        <v>18862479.167900883</v>
      </c>
      <c r="DB45" s="3236">
        <f t="shared" si="49"/>
        <v>50024503.716879867</v>
      </c>
      <c r="DC45" s="3237"/>
      <c r="DG45" s="3235">
        <f t="shared" si="50"/>
        <v>105832047</v>
      </c>
      <c r="DH45" s="3236">
        <f t="shared" si="51"/>
        <v>36945064.11521925</v>
      </c>
      <c r="DI45" s="3236">
        <f t="shared" si="52"/>
        <v>18862479.167900883</v>
      </c>
      <c r="DJ45" s="3236">
        <f t="shared" si="53"/>
        <v>50024503.716879867</v>
      </c>
      <c r="DK45" s="3237"/>
      <c r="DO45" s="3235">
        <f t="shared" si="54"/>
        <v>105832047</v>
      </c>
      <c r="DP45" s="3236">
        <f t="shared" si="55"/>
        <v>36945064.11521925</v>
      </c>
      <c r="DQ45" s="3236">
        <f t="shared" si="56"/>
        <v>18862479.167900883</v>
      </c>
      <c r="DR45" s="3236">
        <f t="shared" si="57"/>
        <v>50024503.716879867</v>
      </c>
      <c r="DS45" s="3237"/>
      <c r="DW45" s="3235">
        <f t="shared" si="58"/>
        <v>105832047</v>
      </c>
      <c r="DX45" s="3236">
        <f t="shared" si="59"/>
        <v>36945064.11521925</v>
      </c>
      <c r="DY45" s="3236">
        <f t="shared" si="60"/>
        <v>18862479.167900883</v>
      </c>
      <c r="DZ45" s="3236">
        <f t="shared" si="61"/>
        <v>50024503.716879867</v>
      </c>
      <c r="EA45" s="3237"/>
      <c r="EE45" s="3235">
        <f t="shared" si="62"/>
        <v>105832047</v>
      </c>
      <c r="EF45" s="3236">
        <f t="shared" si="63"/>
        <v>36945064.11521925</v>
      </c>
      <c r="EG45" s="3236">
        <f t="shared" si="64"/>
        <v>18862479.167900883</v>
      </c>
      <c r="EH45" s="3236">
        <f t="shared" si="65"/>
        <v>50024503.716879867</v>
      </c>
      <c r="EI45" s="3237"/>
      <c r="EM45" s="3235">
        <f t="shared" si="66"/>
        <v>105832047</v>
      </c>
      <c r="EN45" s="3236">
        <f t="shared" si="67"/>
        <v>36945064.11521925</v>
      </c>
      <c r="EO45" s="3236">
        <f t="shared" si="68"/>
        <v>18862479.167900883</v>
      </c>
      <c r="EP45" s="3236">
        <f t="shared" si="69"/>
        <v>50024503.716879867</v>
      </c>
      <c r="EQ45" s="3237"/>
      <c r="EU45" s="3235">
        <f t="shared" si="70"/>
        <v>105832047</v>
      </c>
      <c r="EV45" s="3236">
        <f t="shared" si="71"/>
        <v>36945064.11521925</v>
      </c>
      <c r="EW45" s="3236">
        <f t="shared" si="72"/>
        <v>18862479.167900883</v>
      </c>
      <c r="EX45" s="3236">
        <f t="shared" si="73"/>
        <v>50024503.716879867</v>
      </c>
      <c r="EY45" s="3237"/>
      <c r="FC45" s="3235">
        <f t="shared" si="74"/>
        <v>105832047</v>
      </c>
      <c r="FD45" s="3236">
        <f t="shared" si="75"/>
        <v>36945064.11521925</v>
      </c>
      <c r="FE45" s="3236">
        <f t="shared" si="76"/>
        <v>18862479.167900883</v>
      </c>
      <c r="FF45" s="3236">
        <f t="shared" si="77"/>
        <v>50024503.716879867</v>
      </c>
      <c r="FG45" s="3237"/>
      <c r="FK45" s="3235">
        <f t="shared" si="78"/>
        <v>105832047</v>
      </c>
      <c r="FL45" s="3236">
        <f t="shared" si="79"/>
        <v>36945064.11521925</v>
      </c>
      <c r="FM45" s="3236">
        <f t="shared" si="80"/>
        <v>18862479.167900883</v>
      </c>
      <c r="FN45" s="3236">
        <f t="shared" si="81"/>
        <v>50024503.716879867</v>
      </c>
      <c r="FO45" s="3237"/>
    </row>
    <row r="46" spans="1:171">
      <c r="A46" s="2092"/>
      <c r="B46" s="2097" t="s">
        <v>134</v>
      </c>
      <c r="C46" s="3233" t="s">
        <v>70</v>
      </c>
      <c r="D46" s="2464">
        <v>398</v>
      </c>
      <c r="E46" s="2424" t="str">
        <f>'Sch 1- Rate Base '!E46</f>
        <v>PTD</v>
      </c>
      <c r="F46" s="2171"/>
      <c r="G46" s="2424">
        <f>'Sch 1- Rate Base '!G46</f>
        <v>381575</v>
      </c>
      <c r="H46" s="2424">
        <f>'Sch 1- Rate Base '!H46</f>
        <v>133204.57497873763</v>
      </c>
      <c r="I46" s="2424">
        <f>'Sch 1- Rate Base '!I46</f>
        <v>0</v>
      </c>
      <c r="J46" s="3465">
        <f>'Sch 1- Rate Base '!J46</f>
        <v>248370.42502126237</v>
      </c>
      <c r="K46" s="3205">
        <f t="shared" si="0"/>
        <v>1</v>
      </c>
      <c r="L46" s="3261">
        <f t="shared" si="1"/>
        <v>3.4134146361112082E-5</v>
      </c>
      <c r="O46" s="3235">
        <f t="shared" si="2"/>
        <v>381575</v>
      </c>
      <c r="P46" s="3236">
        <f t="shared" si="3"/>
        <v>133204.57497873763</v>
      </c>
      <c r="Q46" s="3236">
        <f t="shared" si="4"/>
        <v>68008.232785025684</v>
      </c>
      <c r="R46" s="3236">
        <f t="shared" si="5"/>
        <v>180362.19223623667</v>
      </c>
      <c r="S46" s="3237"/>
      <c r="W46" s="3235">
        <f t="shared" si="6"/>
        <v>381575</v>
      </c>
      <c r="X46" s="3236">
        <f t="shared" si="7"/>
        <v>133204.57497873763</v>
      </c>
      <c r="Y46" s="3236">
        <f t="shared" si="8"/>
        <v>68008.232785025684</v>
      </c>
      <c r="Z46" s="3236">
        <f t="shared" si="9"/>
        <v>180362.19223623667</v>
      </c>
      <c r="AA46" s="3237"/>
      <c r="AE46" s="3235">
        <f t="shared" si="10"/>
        <v>381575</v>
      </c>
      <c r="AF46" s="3236">
        <f t="shared" si="11"/>
        <v>133204.57497873763</v>
      </c>
      <c r="AG46" s="3236">
        <f t="shared" si="12"/>
        <v>68008.232785025684</v>
      </c>
      <c r="AH46" s="3236">
        <f t="shared" si="13"/>
        <v>180362.19223623667</v>
      </c>
      <c r="AI46" s="3237"/>
      <c r="AM46" s="3235">
        <f t="shared" si="14"/>
        <v>381575</v>
      </c>
      <c r="AN46" s="3236">
        <f t="shared" si="15"/>
        <v>133204.57497873763</v>
      </c>
      <c r="AO46" s="3236">
        <f t="shared" si="16"/>
        <v>68008.232785025684</v>
      </c>
      <c r="AP46" s="3236">
        <f t="shared" si="17"/>
        <v>180362.19223623667</v>
      </c>
      <c r="AQ46" s="3237"/>
      <c r="AU46" s="3235">
        <f t="shared" si="18"/>
        <v>381575</v>
      </c>
      <c r="AV46" s="3236">
        <f t="shared" si="19"/>
        <v>133204.57497873763</v>
      </c>
      <c r="AW46" s="3236">
        <f t="shared" si="20"/>
        <v>68008.232785025684</v>
      </c>
      <c r="AX46" s="3236">
        <f t="shared" si="21"/>
        <v>180362.19223623667</v>
      </c>
      <c r="AY46" s="3237"/>
      <c r="BC46" s="3235">
        <f t="shared" si="22"/>
        <v>381575</v>
      </c>
      <c r="BD46" s="3236">
        <f t="shared" si="23"/>
        <v>133204.57497873763</v>
      </c>
      <c r="BE46" s="3236">
        <f t="shared" si="24"/>
        <v>68008.232785025684</v>
      </c>
      <c r="BF46" s="3236">
        <f t="shared" si="25"/>
        <v>180362.19223623667</v>
      </c>
      <c r="BG46" s="3237"/>
      <c r="BK46" s="3235">
        <f t="shared" si="26"/>
        <v>381575</v>
      </c>
      <c r="BL46" s="3236">
        <f t="shared" si="27"/>
        <v>133204.57497873763</v>
      </c>
      <c r="BM46" s="3236">
        <f t="shared" si="28"/>
        <v>68008.232785025684</v>
      </c>
      <c r="BN46" s="3236">
        <f t="shared" si="29"/>
        <v>180362.19223623667</v>
      </c>
      <c r="BO46" s="3237"/>
      <c r="BS46" s="3235">
        <f t="shared" si="30"/>
        <v>381575</v>
      </c>
      <c r="BT46" s="3236">
        <f t="shared" si="31"/>
        <v>133204.57497873763</v>
      </c>
      <c r="BU46" s="3236">
        <f t="shared" si="32"/>
        <v>68008.232785025684</v>
      </c>
      <c r="BV46" s="3236">
        <f t="shared" si="33"/>
        <v>180362.19223623667</v>
      </c>
      <c r="BW46" s="3237"/>
      <c r="CA46" s="3235">
        <f t="shared" si="34"/>
        <v>381575</v>
      </c>
      <c r="CB46" s="3236">
        <f t="shared" si="35"/>
        <v>133204.57497873763</v>
      </c>
      <c r="CC46" s="3236">
        <f t="shared" si="36"/>
        <v>68008.232785025684</v>
      </c>
      <c r="CD46" s="3236">
        <f t="shared" si="37"/>
        <v>180362.19223623667</v>
      </c>
      <c r="CE46" s="3237"/>
      <c r="CI46" s="3235">
        <f t="shared" si="38"/>
        <v>381575</v>
      </c>
      <c r="CJ46" s="3236">
        <f t="shared" si="39"/>
        <v>133204.57497873763</v>
      </c>
      <c r="CK46" s="3236">
        <f t="shared" si="40"/>
        <v>68008.232785025684</v>
      </c>
      <c r="CL46" s="3236">
        <f t="shared" si="41"/>
        <v>180362.19223623667</v>
      </c>
      <c r="CM46" s="3237"/>
      <c r="CQ46" s="3235">
        <f t="shared" si="42"/>
        <v>381575</v>
      </c>
      <c r="CR46" s="3236">
        <f t="shared" si="43"/>
        <v>133204.57497873763</v>
      </c>
      <c r="CS46" s="3236">
        <f t="shared" si="44"/>
        <v>68008.232785025684</v>
      </c>
      <c r="CT46" s="3236">
        <f t="shared" si="45"/>
        <v>180362.19223623667</v>
      </c>
      <c r="CU46" s="3237"/>
      <c r="CY46" s="3235">
        <f t="shared" si="46"/>
        <v>381575</v>
      </c>
      <c r="CZ46" s="3236">
        <f t="shared" si="47"/>
        <v>133204.57497873763</v>
      </c>
      <c r="DA46" s="3236">
        <f t="shared" si="48"/>
        <v>68008.232785025684</v>
      </c>
      <c r="DB46" s="3236">
        <f t="shared" si="49"/>
        <v>180362.19223623667</v>
      </c>
      <c r="DC46" s="3237"/>
      <c r="DG46" s="3235">
        <f t="shared" si="50"/>
        <v>381575</v>
      </c>
      <c r="DH46" s="3236">
        <f t="shared" si="51"/>
        <v>133204.57497873763</v>
      </c>
      <c r="DI46" s="3236">
        <f t="shared" si="52"/>
        <v>68008.232785025684</v>
      </c>
      <c r="DJ46" s="3236">
        <f t="shared" si="53"/>
        <v>180362.19223623667</v>
      </c>
      <c r="DK46" s="3237"/>
      <c r="DO46" s="3235">
        <f t="shared" si="54"/>
        <v>381575</v>
      </c>
      <c r="DP46" s="3236">
        <f t="shared" si="55"/>
        <v>133204.57497873763</v>
      </c>
      <c r="DQ46" s="3236">
        <f t="shared" si="56"/>
        <v>68008.232785025684</v>
      </c>
      <c r="DR46" s="3236">
        <f t="shared" si="57"/>
        <v>180362.19223623667</v>
      </c>
      <c r="DS46" s="3237"/>
      <c r="DW46" s="3235">
        <f t="shared" si="58"/>
        <v>381575</v>
      </c>
      <c r="DX46" s="3236">
        <f t="shared" si="59"/>
        <v>133204.57497873763</v>
      </c>
      <c r="DY46" s="3236">
        <f t="shared" si="60"/>
        <v>68008.232785025684</v>
      </c>
      <c r="DZ46" s="3236">
        <f t="shared" si="61"/>
        <v>180362.19223623667</v>
      </c>
      <c r="EA46" s="3237"/>
      <c r="EE46" s="3235">
        <f t="shared" si="62"/>
        <v>381575</v>
      </c>
      <c r="EF46" s="3236">
        <f t="shared" si="63"/>
        <v>133204.57497873763</v>
      </c>
      <c r="EG46" s="3236">
        <f t="shared" si="64"/>
        <v>68008.232785025684</v>
      </c>
      <c r="EH46" s="3236">
        <f t="shared" si="65"/>
        <v>180362.19223623667</v>
      </c>
      <c r="EI46" s="3237"/>
      <c r="EM46" s="3235">
        <f t="shared" si="66"/>
        <v>381575</v>
      </c>
      <c r="EN46" s="3236">
        <f t="shared" si="67"/>
        <v>133204.57497873763</v>
      </c>
      <c r="EO46" s="3236">
        <f t="shared" si="68"/>
        <v>68008.232785025684</v>
      </c>
      <c r="EP46" s="3236">
        <f t="shared" si="69"/>
        <v>180362.19223623667</v>
      </c>
      <c r="EQ46" s="3237"/>
      <c r="EU46" s="3235">
        <f t="shared" si="70"/>
        <v>381575</v>
      </c>
      <c r="EV46" s="3236">
        <f t="shared" si="71"/>
        <v>133204.57497873763</v>
      </c>
      <c r="EW46" s="3236">
        <f t="shared" si="72"/>
        <v>68008.232785025684</v>
      </c>
      <c r="EX46" s="3236">
        <f t="shared" si="73"/>
        <v>180362.19223623667</v>
      </c>
      <c r="EY46" s="3237"/>
      <c r="FC46" s="3235">
        <f t="shared" si="74"/>
        <v>381575</v>
      </c>
      <c r="FD46" s="3236">
        <f t="shared" si="75"/>
        <v>133204.57497873763</v>
      </c>
      <c r="FE46" s="3236">
        <f t="shared" si="76"/>
        <v>68008.232785025684</v>
      </c>
      <c r="FF46" s="3236">
        <f t="shared" si="77"/>
        <v>180362.19223623667</v>
      </c>
      <c r="FG46" s="3237"/>
      <c r="FK46" s="3235">
        <f t="shared" si="78"/>
        <v>381575</v>
      </c>
      <c r="FL46" s="3236">
        <f t="shared" si="79"/>
        <v>133204.57497873763</v>
      </c>
      <c r="FM46" s="3236">
        <f t="shared" si="80"/>
        <v>68008.232785025684</v>
      </c>
      <c r="FN46" s="3236">
        <f t="shared" si="81"/>
        <v>180362.19223623667</v>
      </c>
      <c r="FO46" s="3237"/>
    </row>
    <row r="47" spans="1:171">
      <c r="A47" s="2092"/>
      <c r="B47" s="2097" t="s">
        <v>254</v>
      </c>
      <c r="C47" s="3233" t="s">
        <v>70</v>
      </c>
      <c r="D47" s="2464">
        <v>399</v>
      </c>
      <c r="E47" s="2424" t="str">
        <f>'Sch 1- Rate Base '!E47</f>
        <v>DIRECT</v>
      </c>
      <c r="F47" s="2171"/>
      <c r="G47" s="2424">
        <f>'Sch 1- Rate Base '!G47</f>
        <v>0</v>
      </c>
      <c r="H47" s="2424">
        <f>'Sch 1- Rate Base '!H47</f>
        <v>0</v>
      </c>
      <c r="I47" s="2424">
        <f>'Sch 1- Rate Base '!I47</f>
        <v>0</v>
      </c>
      <c r="J47" s="3465">
        <f>'Sch 1- Rate Base '!J47</f>
        <v>0</v>
      </c>
      <c r="K47" s="3205">
        <f t="shared" si="0"/>
        <v>0</v>
      </c>
      <c r="L47" s="3261">
        <f t="shared" si="1"/>
        <v>0</v>
      </c>
      <c r="O47" s="3235">
        <f t="shared" si="2"/>
        <v>0</v>
      </c>
      <c r="P47" s="3236">
        <f t="shared" si="3"/>
        <v>0</v>
      </c>
      <c r="Q47" s="3236">
        <f t="shared" si="4"/>
        <v>0</v>
      </c>
      <c r="R47" s="3236">
        <f t="shared" si="5"/>
        <v>0</v>
      </c>
      <c r="S47" s="3237"/>
      <c r="W47" s="3235">
        <f t="shared" si="6"/>
        <v>0</v>
      </c>
      <c r="X47" s="3236">
        <f t="shared" si="7"/>
        <v>0</v>
      </c>
      <c r="Y47" s="3236">
        <f t="shared" si="8"/>
        <v>0</v>
      </c>
      <c r="Z47" s="3236">
        <f t="shared" si="9"/>
        <v>0</v>
      </c>
      <c r="AA47" s="3237"/>
      <c r="AE47" s="3235">
        <f t="shared" si="10"/>
        <v>0</v>
      </c>
      <c r="AF47" s="3236">
        <f t="shared" si="11"/>
        <v>0</v>
      </c>
      <c r="AG47" s="3236">
        <f t="shared" si="12"/>
        <v>0</v>
      </c>
      <c r="AH47" s="3236">
        <f t="shared" si="13"/>
        <v>0</v>
      </c>
      <c r="AI47" s="3237"/>
      <c r="AM47" s="3235">
        <f t="shared" si="14"/>
        <v>0</v>
      </c>
      <c r="AN47" s="3236">
        <f t="shared" si="15"/>
        <v>0</v>
      </c>
      <c r="AO47" s="3236">
        <f t="shared" si="16"/>
        <v>0</v>
      </c>
      <c r="AP47" s="3236">
        <f t="shared" si="17"/>
        <v>0</v>
      </c>
      <c r="AQ47" s="3237"/>
      <c r="AU47" s="3235">
        <f t="shared" si="18"/>
        <v>0</v>
      </c>
      <c r="AV47" s="3236">
        <f t="shared" si="19"/>
        <v>0</v>
      </c>
      <c r="AW47" s="3236">
        <f t="shared" si="20"/>
        <v>0</v>
      </c>
      <c r="AX47" s="3236">
        <f t="shared" si="21"/>
        <v>0</v>
      </c>
      <c r="AY47" s="3237"/>
      <c r="BC47" s="3235">
        <f t="shared" si="22"/>
        <v>0</v>
      </c>
      <c r="BD47" s="3236">
        <f t="shared" si="23"/>
        <v>0</v>
      </c>
      <c r="BE47" s="3236">
        <f t="shared" si="24"/>
        <v>0</v>
      </c>
      <c r="BF47" s="3236">
        <f t="shared" si="25"/>
        <v>0</v>
      </c>
      <c r="BG47" s="3237"/>
      <c r="BK47" s="3235">
        <f t="shared" si="26"/>
        <v>0</v>
      </c>
      <c r="BL47" s="3236">
        <f t="shared" si="27"/>
        <v>0</v>
      </c>
      <c r="BM47" s="3236">
        <f t="shared" si="28"/>
        <v>0</v>
      </c>
      <c r="BN47" s="3236">
        <f t="shared" si="29"/>
        <v>0</v>
      </c>
      <c r="BO47" s="3237"/>
      <c r="BS47" s="3235">
        <f t="shared" si="30"/>
        <v>0</v>
      </c>
      <c r="BT47" s="3236">
        <f t="shared" si="31"/>
        <v>0</v>
      </c>
      <c r="BU47" s="3236">
        <f t="shared" si="32"/>
        <v>0</v>
      </c>
      <c r="BV47" s="3236">
        <f t="shared" si="33"/>
        <v>0</v>
      </c>
      <c r="BW47" s="3237"/>
      <c r="CA47" s="3235">
        <f t="shared" si="34"/>
        <v>0</v>
      </c>
      <c r="CB47" s="3236">
        <f t="shared" si="35"/>
        <v>0</v>
      </c>
      <c r="CC47" s="3236">
        <f t="shared" si="36"/>
        <v>0</v>
      </c>
      <c r="CD47" s="3236">
        <f t="shared" si="37"/>
        <v>0</v>
      </c>
      <c r="CE47" s="3237"/>
      <c r="CI47" s="3235">
        <f t="shared" si="38"/>
        <v>0</v>
      </c>
      <c r="CJ47" s="3236">
        <f t="shared" si="39"/>
        <v>0</v>
      </c>
      <c r="CK47" s="3236">
        <f t="shared" si="40"/>
        <v>0</v>
      </c>
      <c r="CL47" s="3236">
        <f t="shared" si="41"/>
        <v>0</v>
      </c>
      <c r="CM47" s="3237"/>
      <c r="CQ47" s="3235">
        <f t="shared" si="42"/>
        <v>0</v>
      </c>
      <c r="CR47" s="3236">
        <f t="shared" si="43"/>
        <v>0</v>
      </c>
      <c r="CS47" s="3236">
        <f t="shared" si="44"/>
        <v>0</v>
      </c>
      <c r="CT47" s="3236">
        <f t="shared" si="45"/>
        <v>0</v>
      </c>
      <c r="CU47" s="3237"/>
      <c r="CY47" s="3235">
        <f t="shared" si="46"/>
        <v>0</v>
      </c>
      <c r="CZ47" s="3236">
        <f t="shared" si="47"/>
        <v>0</v>
      </c>
      <c r="DA47" s="3236">
        <f t="shared" si="48"/>
        <v>0</v>
      </c>
      <c r="DB47" s="3236">
        <f t="shared" si="49"/>
        <v>0</v>
      </c>
      <c r="DC47" s="3237"/>
      <c r="DG47" s="3235">
        <f t="shared" si="50"/>
        <v>0</v>
      </c>
      <c r="DH47" s="3236">
        <f t="shared" si="51"/>
        <v>0</v>
      </c>
      <c r="DI47" s="3236">
        <f t="shared" si="52"/>
        <v>0</v>
      </c>
      <c r="DJ47" s="3236">
        <f t="shared" si="53"/>
        <v>0</v>
      </c>
      <c r="DK47" s="3237"/>
      <c r="DO47" s="3235">
        <f t="shared" si="54"/>
        <v>0</v>
      </c>
      <c r="DP47" s="3236">
        <f t="shared" si="55"/>
        <v>0</v>
      </c>
      <c r="DQ47" s="3236">
        <f t="shared" si="56"/>
        <v>0</v>
      </c>
      <c r="DR47" s="3236">
        <f t="shared" si="57"/>
        <v>0</v>
      </c>
      <c r="DS47" s="3237"/>
      <c r="DW47" s="3235">
        <f t="shared" si="58"/>
        <v>0</v>
      </c>
      <c r="DX47" s="3236">
        <f t="shared" si="59"/>
        <v>0</v>
      </c>
      <c r="DY47" s="3236">
        <f t="shared" si="60"/>
        <v>0</v>
      </c>
      <c r="DZ47" s="3236">
        <f t="shared" si="61"/>
        <v>0</v>
      </c>
      <c r="EA47" s="3237"/>
      <c r="EE47" s="3235">
        <f t="shared" si="62"/>
        <v>0</v>
      </c>
      <c r="EF47" s="3236">
        <f t="shared" si="63"/>
        <v>0</v>
      </c>
      <c r="EG47" s="3236">
        <f t="shared" si="64"/>
        <v>0</v>
      </c>
      <c r="EH47" s="3236">
        <f t="shared" si="65"/>
        <v>0</v>
      </c>
      <c r="EI47" s="3237"/>
      <c r="EM47" s="3235">
        <f t="shared" si="66"/>
        <v>0</v>
      </c>
      <c r="EN47" s="3236">
        <f t="shared" si="67"/>
        <v>0</v>
      </c>
      <c r="EO47" s="3236">
        <f t="shared" si="68"/>
        <v>0</v>
      </c>
      <c r="EP47" s="3236">
        <f t="shared" si="69"/>
        <v>0</v>
      </c>
      <c r="EQ47" s="3237"/>
      <c r="EU47" s="3235">
        <f t="shared" si="70"/>
        <v>0</v>
      </c>
      <c r="EV47" s="3236">
        <f t="shared" si="71"/>
        <v>0</v>
      </c>
      <c r="EW47" s="3236">
        <f t="shared" si="72"/>
        <v>0</v>
      </c>
      <c r="EX47" s="3236">
        <f t="shared" si="73"/>
        <v>0</v>
      </c>
      <c r="EY47" s="3237"/>
      <c r="FC47" s="3235">
        <f t="shared" si="74"/>
        <v>0</v>
      </c>
      <c r="FD47" s="3236">
        <f t="shared" si="75"/>
        <v>0</v>
      </c>
      <c r="FE47" s="3236">
        <f t="shared" si="76"/>
        <v>0</v>
      </c>
      <c r="FF47" s="3236">
        <f t="shared" si="77"/>
        <v>0</v>
      </c>
      <c r="FG47" s="3237"/>
      <c r="FK47" s="3235">
        <f t="shared" si="78"/>
        <v>0</v>
      </c>
      <c r="FL47" s="3236">
        <f t="shared" si="79"/>
        <v>0</v>
      </c>
      <c r="FM47" s="3236">
        <f t="shared" si="80"/>
        <v>0</v>
      </c>
      <c r="FN47" s="3236">
        <f t="shared" si="81"/>
        <v>0</v>
      </c>
      <c r="FO47" s="3237"/>
    </row>
    <row r="48" spans="1:171">
      <c r="A48" s="2092"/>
      <c r="B48" s="2097" t="s">
        <v>441</v>
      </c>
      <c r="C48" s="3233" t="s">
        <v>442</v>
      </c>
      <c r="D48" s="2464">
        <v>399.1</v>
      </c>
      <c r="E48" s="2424" t="str">
        <f>'Sch 1- Rate Base '!E48</f>
        <v>PTD</v>
      </c>
      <c r="F48" s="2171"/>
      <c r="G48" s="2424">
        <f>'Sch 1- Rate Base '!G48</f>
        <v>0</v>
      </c>
      <c r="H48" s="2424">
        <f>'Sch 1- Rate Base '!H48</f>
        <v>0</v>
      </c>
      <c r="I48" s="2424">
        <f>'Sch 1- Rate Base '!I48</f>
        <v>0</v>
      </c>
      <c r="J48" s="3465">
        <f>'Sch 1- Rate Base '!J48</f>
        <v>0</v>
      </c>
      <c r="K48" s="3205">
        <f t="shared" si="0"/>
        <v>1</v>
      </c>
      <c r="L48" s="3261">
        <f t="shared" si="1"/>
        <v>0</v>
      </c>
      <c r="M48" s="3262">
        <f>SUM(L37:L48)</f>
        <v>2.8326898472064457E-2</v>
      </c>
      <c r="O48" s="3235">
        <f t="shared" si="2"/>
        <v>0</v>
      </c>
      <c r="P48" s="3236">
        <f t="shared" si="3"/>
        <v>0</v>
      </c>
      <c r="Q48" s="3236">
        <f t="shared" si="4"/>
        <v>0</v>
      </c>
      <c r="R48" s="3236">
        <f t="shared" si="5"/>
        <v>0</v>
      </c>
      <c r="S48" s="3237"/>
      <c r="W48" s="3235">
        <f t="shared" si="6"/>
        <v>0</v>
      </c>
      <c r="X48" s="3236">
        <f t="shared" si="7"/>
        <v>0</v>
      </c>
      <c r="Y48" s="3236">
        <f t="shared" si="8"/>
        <v>0</v>
      </c>
      <c r="Z48" s="3236">
        <f t="shared" si="9"/>
        <v>0</v>
      </c>
      <c r="AA48" s="3237"/>
      <c r="AE48" s="3235">
        <f t="shared" si="10"/>
        <v>0</v>
      </c>
      <c r="AF48" s="3236">
        <f t="shared" si="11"/>
        <v>0</v>
      </c>
      <c r="AG48" s="3236">
        <f t="shared" si="12"/>
        <v>0</v>
      </c>
      <c r="AH48" s="3236">
        <f t="shared" si="13"/>
        <v>0</v>
      </c>
      <c r="AI48" s="3237"/>
      <c r="AM48" s="3235">
        <f t="shared" si="14"/>
        <v>0</v>
      </c>
      <c r="AN48" s="3236">
        <f t="shared" si="15"/>
        <v>0</v>
      </c>
      <c r="AO48" s="3236">
        <f t="shared" si="16"/>
        <v>0</v>
      </c>
      <c r="AP48" s="3236">
        <f t="shared" si="17"/>
        <v>0</v>
      </c>
      <c r="AQ48" s="3237"/>
      <c r="AU48" s="3235">
        <f t="shared" si="18"/>
        <v>0</v>
      </c>
      <c r="AV48" s="3236">
        <f t="shared" si="19"/>
        <v>0</v>
      </c>
      <c r="AW48" s="3236">
        <f t="shared" si="20"/>
        <v>0</v>
      </c>
      <c r="AX48" s="3236">
        <f t="shared" si="21"/>
        <v>0</v>
      </c>
      <c r="AY48" s="3237"/>
      <c r="BC48" s="3235">
        <f t="shared" si="22"/>
        <v>0</v>
      </c>
      <c r="BD48" s="3236">
        <f t="shared" si="23"/>
        <v>0</v>
      </c>
      <c r="BE48" s="3236">
        <f t="shared" si="24"/>
        <v>0</v>
      </c>
      <c r="BF48" s="3236">
        <f t="shared" si="25"/>
        <v>0</v>
      </c>
      <c r="BG48" s="3237"/>
      <c r="BK48" s="3235">
        <f t="shared" si="26"/>
        <v>0</v>
      </c>
      <c r="BL48" s="3236">
        <f t="shared" si="27"/>
        <v>0</v>
      </c>
      <c r="BM48" s="3236">
        <f t="shared" si="28"/>
        <v>0</v>
      </c>
      <c r="BN48" s="3236">
        <f t="shared" si="29"/>
        <v>0</v>
      </c>
      <c r="BO48" s="3237"/>
      <c r="BS48" s="3235">
        <f t="shared" si="30"/>
        <v>0</v>
      </c>
      <c r="BT48" s="3236">
        <f t="shared" si="31"/>
        <v>0</v>
      </c>
      <c r="BU48" s="3236">
        <f t="shared" si="32"/>
        <v>0</v>
      </c>
      <c r="BV48" s="3236">
        <f t="shared" si="33"/>
        <v>0</v>
      </c>
      <c r="BW48" s="3237"/>
      <c r="CA48" s="3235">
        <f t="shared" si="34"/>
        <v>0</v>
      </c>
      <c r="CB48" s="3236">
        <f t="shared" si="35"/>
        <v>0</v>
      </c>
      <c r="CC48" s="3236">
        <f t="shared" si="36"/>
        <v>0</v>
      </c>
      <c r="CD48" s="3236">
        <f t="shared" si="37"/>
        <v>0</v>
      </c>
      <c r="CE48" s="3237"/>
      <c r="CI48" s="3235">
        <f t="shared" si="38"/>
        <v>0</v>
      </c>
      <c r="CJ48" s="3236">
        <f t="shared" si="39"/>
        <v>0</v>
      </c>
      <c r="CK48" s="3236">
        <f t="shared" si="40"/>
        <v>0</v>
      </c>
      <c r="CL48" s="3236">
        <f t="shared" si="41"/>
        <v>0</v>
      </c>
      <c r="CM48" s="3237"/>
      <c r="CQ48" s="3235">
        <f t="shared" si="42"/>
        <v>0</v>
      </c>
      <c r="CR48" s="3236">
        <f t="shared" si="43"/>
        <v>0</v>
      </c>
      <c r="CS48" s="3236">
        <f t="shared" si="44"/>
        <v>0</v>
      </c>
      <c r="CT48" s="3236">
        <f t="shared" si="45"/>
        <v>0</v>
      </c>
      <c r="CU48" s="3237"/>
      <c r="CY48" s="3235">
        <f t="shared" si="46"/>
        <v>0</v>
      </c>
      <c r="CZ48" s="3236">
        <f t="shared" si="47"/>
        <v>0</v>
      </c>
      <c r="DA48" s="3236">
        <f t="shared" si="48"/>
        <v>0</v>
      </c>
      <c r="DB48" s="3236">
        <f t="shared" si="49"/>
        <v>0</v>
      </c>
      <c r="DC48" s="3237"/>
      <c r="DG48" s="3235">
        <f t="shared" si="50"/>
        <v>0</v>
      </c>
      <c r="DH48" s="3236">
        <f t="shared" si="51"/>
        <v>0</v>
      </c>
      <c r="DI48" s="3236">
        <f t="shared" si="52"/>
        <v>0</v>
      </c>
      <c r="DJ48" s="3236">
        <f t="shared" si="53"/>
        <v>0</v>
      </c>
      <c r="DK48" s="3237"/>
      <c r="DO48" s="3235">
        <f t="shared" si="54"/>
        <v>0</v>
      </c>
      <c r="DP48" s="3236">
        <f t="shared" si="55"/>
        <v>0</v>
      </c>
      <c r="DQ48" s="3236">
        <f t="shared" si="56"/>
        <v>0</v>
      </c>
      <c r="DR48" s="3236">
        <f t="shared" si="57"/>
        <v>0</v>
      </c>
      <c r="DS48" s="3237"/>
      <c r="DW48" s="3235">
        <f t="shared" si="58"/>
        <v>0</v>
      </c>
      <c r="DX48" s="3236">
        <f t="shared" si="59"/>
        <v>0</v>
      </c>
      <c r="DY48" s="3236">
        <f t="shared" si="60"/>
        <v>0</v>
      </c>
      <c r="DZ48" s="3236">
        <f t="shared" si="61"/>
        <v>0</v>
      </c>
      <c r="EA48" s="3237"/>
      <c r="EE48" s="3235">
        <f t="shared" si="62"/>
        <v>0</v>
      </c>
      <c r="EF48" s="3236">
        <f t="shared" si="63"/>
        <v>0</v>
      </c>
      <c r="EG48" s="3236">
        <f t="shared" si="64"/>
        <v>0</v>
      </c>
      <c r="EH48" s="3236">
        <f t="shared" si="65"/>
        <v>0</v>
      </c>
      <c r="EI48" s="3237"/>
      <c r="EM48" s="3235">
        <f t="shared" si="66"/>
        <v>0</v>
      </c>
      <c r="EN48" s="3236">
        <f t="shared" si="67"/>
        <v>0</v>
      </c>
      <c r="EO48" s="3236">
        <f t="shared" si="68"/>
        <v>0</v>
      </c>
      <c r="EP48" s="3236">
        <f t="shared" si="69"/>
        <v>0</v>
      </c>
      <c r="EQ48" s="3237"/>
      <c r="EU48" s="3235">
        <f t="shared" si="70"/>
        <v>0</v>
      </c>
      <c r="EV48" s="3236">
        <f t="shared" si="71"/>
        <v>0</v>
      </c>
      <c r="EW48" s="3236">
        <f t="shared" si="72"/>
        <v>0</v>
      </c>
      <c r="EX48" s="3236">
        <f t="shared" si="73"/>
        <v>0</v>
      </c>
      <c r="EY48" s="3237"/>
      <c r="FC48" s="3235">
        <f t="shared" si="74"/>
        <v>0</v>
      </c>
      <c r="FD48" s="3236">
        <f t="shared" si="75"/>
        <v>0</v>
      </c>
      <c r="FE48" s="3236">
        <f t="shared" si="76"/>
        <v>0</v>
      </c>
      <c r="FF48" s="3236">
        <f t="shared" si="77"/>
        <v>0</v>
      </c>
      <c r="FG48" s="3237"/>
      <c r="FK48" s="3235">
        <f t="shared" si="78"/>
        <v>0</v>
      </c>
      <c r="FL48" s="3236">
        <f t="shared" si="79"/>
        <v>0</v>
      </c>
      <c r="FM48" s="3236">
        <f t="shared" si="80"/>
        <v>0</v>
      </c>
      <c r="FN48" s="3236">
        <f t="shared" si="81"/>
        <v>0</v>
      </c>
      <c r="FO48" s="3237"/>
    </row>
    <row r="49" spans="1:171">
      <c r="A49" s="2096"/>
      <c r="B49" s="2097"/>
      <c r="C49" s="2116"/>
      <c r="D49" s="2098"/>
      <c r="E49" s="2098"/>
      <c r="F49" s="2098"/>
      <c r="G49" s="3164"/>
      <c r="H49" s="2671"/>
      <c r="I49" s="2671"/>
      <c r="J49" s="3165"/>
      <c r="K49" s="3205"/>
      <c r="S49" s="3237"/>
      <c r="AA49" s="3237"/>
      <c r="AI49" s="3237"/>
      <c r="AQ49" s="3237"/>
      <c r="AY49" s="3237"/>
      <c r="BG49" s="3237"/>
      <c r="BO49" s="3237"/>
      <c r="BW49" s="3237"/>
      <c r="CE49" s="3237"/>
      <c r="CM49" s="3237"/>
      <c r="CU49" s="3237"/>
      <c r="DC49" s="3237"/>
      <c r="DK49" s="3237"/>
      <c r="DS49" s="3237"/>
      <c r="EA49" s="3237"/>
      <c r="EI49" s="3237"/>
      <c r="EQ49" s="3237"/>
      <c r="EY49" s="3237"/>
      <c r="FG49" s="3237"/>
      <c r="FO49" s="3237"/>
    </row>
    <row r="50" spans="1:171">
      <c r="A50" s="2196" t="s">
        <v>135</v>
      </c>
      <c r="B50" s="2100"/>
      <c r="C50" s="3256"/>
      <c r="D50" s="3257"/>
      <c r="E50" s="3257"/>
      <c r="F50" s="3258"/>
      <c r="G50" s="3244">
        <f>SUM(G37:G49)</f>
        <v>316657583</v>
      </c>
      <c r="H50" s="3244">
        <f>SUM(H37:H49)</f>
        <v>107907565.79361701</v>
      </c>
      <c r="I50" s="3244">
        <f>SUM(I37:I49)</f>
        <v>0</v>
      </c>
      <c r="J50" s="3467">
        <f>SUM(J37:J49)</f>
        <v>208750017.20638302</v>
      </c>
      <c r="K50" s="3205"/>
      <c r="O50" s="3263">
        <f>SUM(O37:O49)</f>
        <v>316657583</v>
      </c>
      <c r="P50" s="3263">
        <f>SUM(P37:P49)</f>
        <v>107907565.79361701</v>
      </c>
      <c r="Q50" s="3263">
        <f>SUM(Q37:Q49)</f>
        <v>53162346.200694084</v>
      </c>
      <c r="R50" s="3263">
        <f>SUM(R37:R49)</f>
        <v>155587671.00568891</v>
      </c>
      <c r="S50" s="3264"/>
      <c r="W50" s="3263">
        <f>SUM(W37:W49)</f>
        <v>316657583</v>
      </c>
      <c r="X50" s="3263">
        <f>SUM(X37:X49)</f>
        <v>107907565.79361701</v>
      </c>
      <c r="Y50" s="3263">
        <f>SUM(Y37:Y49)</f>
        <v>53162346.200694084</v>
      </c>
      <c r="Z50" s="3263">
        <f>SUM(Z37:Z49)</f>
        <v>155587671.00568891</v>
      </c>
      <c r="AA50" s="3264"/>
      <c r="AE50" s="3263">
        <f>SUM(AE37:AE49)</f>
        <v>316657583</v>
      </c>
      <c r="AF50" s="3263">
        <f>SUM(AF37:AF49)</f>
        <v>107907565.79361701</v>
      </c>
      <c r="AG50" s="3263">
        <f>SUM(AG37:AG49)</f>
        <v>53162346.200694084</v>
      </c>
      <c r="AH50" s="3263">
        <f>SUM(AH37:AH49)</f>
        <v>155587671.00568891</v>
      </c>
      <c r="AI50" s="3264"/>
      <c r="AM50" s="3263">
        <f>SUM(AM37:AM49)</f>
        <v>316657583</v>
      </c>
      <c r="AN50" s="3263">
        <f>SUM(AN37:AN49)</f>
        <v>107907565.79361701</v>
      </c>
      <c r="AO50" s="3263">
        <f>SUM(AO37:AO49)</f>
        <v>53162346.200694084</v>
      </c>
      <c r="AP50" s="3263">
        <f>SUM(AP37:AP49)</f>
        <v>155587671.00568891</v>
      </c>
      <c r="AQ50" s="3264"/>
      <c r="AU50" s="3263">
        <f>SUM(AU37:AU49)</f>
        <v>316657583</v>
      </c>
      <c r="AV50" s="3263">
        <f>SUM(AV37:AV49)</f>
        <v>107907565.79361701</v>
      </c>
      <c r="AW50" s="3263">
        <f>SUM(AW37:AW49)</f>
        <v>53162346.200694084</v>
      </c>
      <c r="AX50" s="3263">
        <f>SUM(AX37:AX49)</f>
        <v>155587671.00568891</v>
      </c>
      <c r="AY50" s="3264"/>
      <c r="BC50" s="3263">
        <f>SUM(BC37:BC49)</f>
        <v>316657583</v>
      </c>
      <c r="BD50" s="3263">
        <f>SUM(BD37:BD49)</f>
        <v>107907565.79361701</v>
      </c>
      <c r="BE50" s="3263">
        <f>SUM(BE37:BE49)</f>
        <v>53162346.200694084</v>
      </c>
      <c r="BF50" s="3263">
        <f>SUM(BF37:BF49)</f>
        <v>155587671.00568891</v>
      </c>
      <c r="BG50" s="3264"/>
      <c r="BK50" s="3263">
        <f>SUM(BK37:BK49)</f>
        <v>316657583</v>
      </c>
      <c r="BL50" s="3263">
        <f>SUM(BL37:BL49)</f>
        <v>107907565.79361701</v>
      </c>
      <c r="BM50" s="3263">
        <f>SUM(BM37:BM49)</f>
        <v>53162346.200694084</v>
      </c>
      <c r="BN50" s="3263">
        <f>SUM(BN37:BN49)</f>
        <v>155587671.00568891</v>
      </c>
      <c r="BO50" s="3264"/>
      <c r="BS50" s="3263">
        <f>SUM(BS37:BS49)</f>
        <v>316657583</v>
      </c>
      <c r="BT50" s="3263">
        <f>SUM(BT37:BT49)</f>
        <v>107907565.79361701</v>
      </c>
      <c r="BU50" s="3263">
        <f>SUM(BU37:BU49)</f>
        <v>53162346.200694084</v>
      </c>
      <c r="BV50" s="3263">
        <f>SUM(BV37:BV49)</f>
        <v>155587671.00568891</v>
      </c>
      <c r="BW50" s="3264"/>
      <c r="CA50" s="3263">
        <f>SUM(CA37:CA49)</f>
        <v>316657583</v>
      </c>
      <c r="CB50" s="3263">
        <f>SUM(CB37:CB49)</f>
        <v>107907565.79361701</v>
      </c>
      <c r="CC50" s="3263">
        <f>SUM(CC37:CC49)</f>
        <v>53162346.200694084</v>
      </c>
      <c r="CD50" s="3263">
        <f>SUM(CD37:CD49)</f>
        <v>155587671.00568891</v>
      </c>
      <c r="CE50" s="3264"/>
      <c r="CI50" s="3263">
        <f>SUM(CI37:CI49)</f>
        <v>316657583</v>
      </c>
      <c r="CJ50" s="3263">
        <f>SUM(CJ37:CJ49)</f>
        <v>107907565.79361701</v>
      </c>
      <c r="CK50" s="3263">
        <f>SUM(CK37:CK49)</f>
        <v>53162346.200694084</v>
      </c>
      <c r="CL50" s="3263">
        <f>SUM(CL37:CL49)</f>
        <v>155587671.00568891</v>
      </c>
      <c r="CM50" s="3264"/>
      <c r="CQ50" s="3263">
        <f>SUM(CQ37:CQ49)</f>
        <v>316657583</v>
      </c>
      <c r="CR50" s="3263">
        <f>SUM(CR37:CR49)</f>
        <v>107907565.79361701</v>
      </c>
      <c r="CS50" s="3263">
        <f>SUM(CS37:CS49)</f>
        <v>53162346.200694084</v>
      </c>
      <c r="CT50" s="3263">
        <f>SUM(CT37:CT49)</f>
        <v>155587671.00568891</v>
      </c>
      <c r="CU50" s="3264"/>
      <c r="CY50" s="3263">
        <f>SUM(CY37:CY49)</f>
        <v>316657583</v>
      </c>
      <c r="CZ50" s="3263">
        <f>SUM(CZ37:CZ49)</f>
        <v>107907565.79361701</v>
      </c>
      <c r="DA50" s="3263">
        <f>SUM(DA37:DA49)</f>
        <v>53162346.200694084</v>
      </c>
      <c r="DB50" s="3263">
        <f>SUM(DB37:DB49)</f>
        <v>155587671.00568891</v>
      </c>
      <c r="DC50" s="3264"/>
      <c r="DG50" s="3263">
        <f>SUM(DG37:DG49)</f>
        <v>316657583</v>
      </c>
      <c r="DH50" s="3263">
        <f>SUM(DH37:DH49)</f>
        <v>107907565.79361701</v>
      </c>
      <c r="DI50" s="3263">
        <f>SUM(DI37:DI49)</f>
        <v>53162346.200694084</v>
      </c>
      <c r="DJ50" s="3263">
        <f>SUM(DJ37:DJ49)</f>
        <v>155587671.00568891</v>
      </c>
      <c r="DK50" s="3264"/>
      <c r="DO50" s="3263">
        <f>SUM(DO37:DO49)</f>
        <v>316657583</v>
      </c>
      <c r="DP50" s="3263">
        <f>SUM(DP37:DP49)</f>
        <v>107907565.79361701</v>
      </c>
      <c r="DQ50" s="3263">
        <f>SUM(DQ37:DQ49)</f>
        <v>53162346.200694084</v>
      </c>
      <c r="DR50" s="3263">
        <f>SUM(DR37:DR49)</f>
        <v>155587671.00568891</v>
      </c>
      <c r="DS50" s="3264"/>
      <c r="DW50" s="3263">
        <f>SUM(DW37:DW49)</f>
        <v>316657583</v>
      </c>
      <c r="DX50" s="3263">
        <f>SUM(DX37:DX49)</f>
        <v>107907565.79361701</v>
      </c>
      <c r="DY50" s="3263">
        <f>SUM(DY37:DY49)</f>
        <v>53162346.200694084</v>
      </c>
      <c r="DZ50" s="3263">
        <f>SUM(DZ37:DZ49)</f>
        <v>155587671.00568891</v>
      </c>
      <c r="EA50" s="3264"/>
      <c r="EE50" s="3263">
        <f>SUM(EE37:EE49)</f>
        <v>316657583</v>
      </c>
      <c r="EF50" s="3263">
        <f>SUM(EF37:EF49)</f>
        <v>107907565.79361701</v>
      </c>
      <c r="EG50" s="3263">
        <f>SUM(EG37:EG49)</f>
        <v>53162346.200694084</v>
      </c>
      <c r="EH50" s="3263">
        <f>SUM(EH37:EH49)</f>
        <v>155587671.00568891</v>
      </c>
      <c r="EI50" s="3264"/>
      <c r="EM50" s="3263">
        <f>SUM(EM37:EM49)</f>
        <v>316657583</v>
      </c>
      <c r="EN50" s="3263">
        <f>SUM(EN37:EN49)</f>
        <v>107907565.79361701</v>
      </c>
      <c r="EO50" s="3263">
        <f>SUM(EO37:EO49)</f>
        <v>53162346.200694084</v>
      </c>
      <c r="EP50" s="3263">
        <f>SUM(EP37:EP49)</f>
        <v>155587671.00568891</v>
      </c>
      <c r="EQ50" s="3264"/>
      <c r="EU50" s="3263">
        <f>SUM(EU37:EU49)</f>
        <v>316657583</v>
      </c>
      <c r="EV50" s="3263">
        <f>SUM(EV37:EV49)</f>
        <v>107907565.79361701</v>
      </c>
      <c r="EW50" s="3263">
        <f>SUM(EW37:EW49)</f>
        <v>53162346.200694084</v>
      </c>
      <c r="EX50" s="3263">
        <f>SUM(EX37:EX49)</f>
        <v>155587671.00568891</v>
      </c>
      <c r="EY50" s="3264"/>
      <c r="FC50" s="3263">
        <f>SUM(FC37:FC49)</f>
        <v>316657583</v>
      </c>
      <c r="FD50" s="3263">
        <f>SUM(FD37:FD49)</f>
        <v>107907565.79361701</v>
      </c>
      <c r="FE50" s="3263">
        <f>SUM(FE37:FE49)</f>
        <v>53162346.200694084</v>
      </c>
      <c r="FF50" s="3263">
        <f>SUM(FF37:FF49)</f>
        <v>155587671.00568891</v>
      </c>
      <c r="FG50" s="3264"/>
      <c r="FK50" s="3263">
        <f>SUM(FK37:FK49)</f>
        <v>316657583</v>
      </c>
      <c r="FL50" s="3263">
        <f>SUM(FL37:FL49)</f>
        <v>107907565.79361701</v>
      </c>
      <c r="FM50" s="3263">
        <f>SUM(FM37:FM49)</f>
        <v>53162346.200694084</v>
      </c>
      <c r="FN50" s="3263">
        <f>SUM(FN37:FN49)</f>
        <v>155587671.00568891</v>
      </c>
      <c r="FO50" s="3264"/>
    </row>
    <row r="51" spans="1:171">
      <c r="A51" s="2214"/>
      <c r="B51" s="2100"/>
      <c r="C51" s="2116"/>
      <c r="D51" s="2116"/>
      <c r="E51" s="2100"/>
      <c r="F51" s="2100"/>
      <c r="G51" s="2181"/>
      <c r="H51" s="2181"/>
      <c r="I51" s="2181"/>
      <c r="J51" s="2200"/>
      <c r="K51" s="3205"/>
      <c r="O51" s="2747"/>
      <c r="P51" s="2747"/>
      <c r="Q51" s="2747"/>
      <c r="R51" s="2747"/>
      <c r="S51" s="3264"/>
      <c r="W51" s="2747"/>
      <c r="X51" s="2747"/>
      <c r="Y51" s="2747"/>
      <c r="Z51" s="2747"/>
      <c r="AA51" s="3264"/>
      <c r="AE51" s="2747"/>
      <c r="AF51" s="2747"/>
      <c r="AG51" s="2747"/>
      <c r="AH51" s="2747"/>
      <c r="AI51" s="3264"/>
      <c r="AM51" s="2747"/>
      <c r="AN51" s="2747"/>
      <c r="AO51" s="2747"/>
      <c r="AP51" s="2747"/>
      <c r="AQ51" s="3264"/>
      <c r="AU51" s="2747"/>
      <c r="AV51" s="2747"/>
      <c r="AW51" s="2747"/>
      <c r="AX51" s="2747"/>
      <c r="AY51" s="3264"/>
      <c r="BC51" s="2747"/>
      <c r="BD51" s="2747"/>
      <c r="BE51" s="2747"/>
      <c r="BF51" s="2747"/>
      <c r="BG51" s="3264"/>
      <c r="BK51" s="2747"/>
      <c r="BL51" s="2747"/>
      <c r="BM51" s="2747"/>
      <c r="BN51" s="2747"/>
      <c r="BO51" s="3264"/>
      <c r="BS51" s="2747"/>
      <c r="BT51" s="2747"/>
      <c r="BU51" s="2747"/>
      <c r="BV51" s="2747"/>
      <c r="BW51" s="3264"/>
      <c r="CA51" s="2747"/>
      <c r="CB51" s="2747"/>
      <c r="CC51" s="2747"/>
      <c r="CD51" s="2747"/>
      <c r="CE51" s="3264"/>
      <c r="CI51" s="2747"/>
      <c r="CJ51" s="2747"/>
      <c r="CK51" s="2747"/>
      <c r="CL51" s="2747"/>
      <c r="CM51" s="3264"/>
      <c r="CQ51" s="2747"/>
      <c r="CR51" s="2747"/>
      <c r="CS51" s="2747"/>
      <c r="CT51" s="2747"/>
      <c r="CU51" s="3264"/>
      <c r="CY51" s="2747"/>
      <c r="CZ51" s="2747"/>
      <c r="DA51" s="2747"/>
      <c r="DB51" s="2747"/>
      <c r="DC51" s="3264"/>
      <c r="DG51" s="2747"/>
      <c r="DH51" s="2747"/>
      <c r="DI51" s="2747"/>
      <c r="DJ51" s="2747"/>
      <c r="DK51" s="3264"/>
      <c r="DO51" s="2747"/>
      <c r="DP51" s="2747"/>
      <c r="DQ51" s="2747"/>
      <c r="DR51" s="2747"/>
      <c r="DS51" s="3264"/>
      <c r="DW51" s="2747"/>
      <c r="DX51" s="2747"/>
      <c r="DY51" s="2747"/>
      <c r="DZ51" s="2747"/>
      <c r="EA51" s="3264"/>
      <c r="EE51" s="2747"/>
      <c r="EF51" s="2747"/>
      <c r="EG51" s="2747"/>
      <c r="EH51" s="2747"/>
      <c r="EI51" s="3264"/>
      <c r="EM51" s="2747"/>
      <c r="EN51" s="2747"/>
      <c r="EO51" s="2747"/>
      <c r="EP51" s="2747"/>
      <c r="EQ51" s="3264"/>
      <c r="EU51" s="2747"/>
      <c r="EV51" s="2747"/>
      <c r="EW51" s="2747"/>
      <c r="EX51" s="2747"/>
      <c r="EY51" s="3264"/>
      <c r="FC51" s="2747"/>
      <c r="FD51" s="2747"/>
      <c r="FE51" s="2747"/>
      <c r="FF51" s="2747"/>
      <c r="FG51" s="3264"/>
      <c r="FK51" s="2747"/>
      <c r="FL51" s="2747"/>
      <c r="FM51" s="2747"/>
      <c r="FN51" s="2747"/>
      <c r="FO51" s="3264"/>
    </row>
    <row r="52" spans="1:171">
      <c r="A52" s="2196" t="s">
        <v>136</v>
      </c>
      <c r="B52" s="2100"/>
      <c r="C52" s="3256"/>
      <c r="D52" s="3257"/>
      <c r="E52" s="3257"/>
      <c r="F52" s="3258"/>
      <c r="G52" s="3265">
        <f>G19+G26+G30+G34+G50</f>
        <v>11651187515</v>
      </c>
      <c r="H52" s="3265">
        <f>H19+H26+H30+H34+H50</f>
        <v>4076431188.8417616</v>
      </c>
      <c r="I52" s="3265">
        <f>I19+I26+I30+I34+I50</f>
        <v>0</v>
      </c>
      <c r="J52" s="3474">
        <f>J19+J26+J30+J34+J50</f>
        <v>7574756323.9282379</v>
      </c>
      <c r="K52" s="3205"/>
      <c r="O52" s="3263">
        <f>O19+O26+O30+O34+O50</f>
        <v>11651187515</v>
      </c>
      <c r="P52" s="3263">
        <f>P19+P26+P30+P34+P50</f>
        <v>4076431188.8417616</v>
      </c>
      <c r="Q52" s="3263">
        <f>Q19+Q26+Q30+Q34+Q50</f>
        <v>2045543584.2006941</v>
      </c>
      <c r="R52" s="3263">
        <f>R19+R26+R30+R34+R50</f>
        <v>5529212741.9575443</v>
      </c>
      <c r="S52" s="3264"/>
      <c r="W52" s="3263">
        <f>W19+W26+W30+W34+W50</f>
        <v>11651187515</v>
      </c>
      <c r="X52" s="3263">
        <f>X19+X26+X30+X34+X50</f>
        <v>4076431188.8417616</v>
      </c>
      <c r="Y52" s="3263">
        <f>Y19+Y26+Y30+Y34+Y50</f>
        <v>2045543584.2006941</v>
      </c>
      <c r="Z52" s="3263">
        <f>Z19+Z26+Z30+Z34+Z50</f>
        <v>5529212741.9575443</v>
      </c>
      <c r="AA52" s="3264"/>
      <c r="AE52" s="3263">
        <f>AE19+AE26+AE30+AE34+AE50</f>
        <v>11651187515</v>
      </c>
      <c r="AF52" s="3263">
        <f>AF19+AF26+AF30+AF34+AF50</f>
        <v>4076431188.8417616</v>
      </c>
      <c r="AG52" s="3263">
        <f>AG19+AG26+AG30+AG34+AG50</f>
        <v>2045543584.2006941</v>
      </c>
      <c r="AH52" s="3263">
        <f>AH19+AH26+AH30+AH34+AH50</f>
        <v>5529212741.9575443</v>
      </c>
      <c r="AI52" s="3264"/>
      <c r="AM52" s="3263">
        <f>AM19+AM26+AM30+AM34+AM50</f>
        <v>11651187515</v>
      </c>
      <c r="AN52" s="3263">
        <f>AN19+AN26+AN30+AN34+AN50</f>
        <v>4076431188.8417616</v>
      </c>
      <c r="AO52" s="3263">
        <f>AO19+AO26+AO30+AO34+AO50</f>
        <v>2045543584.2006941</v>
      </c>
      <c r="AP52" s="3263">
        <f>AP19+AP26+AP30+AP34+AP50</f>
        <v>5529212741.9575443</v>
      </c>
      <c r="AQ52" s="3264"/>
      <c r="AU52" s="3263">
        <f>AU19+AU26+AU30+AU34+AU50</f>
        <v>11651187515</v>
      </c>
      <c r="AV52" s="3263">
        <f>AV19+AV26+AV30+AV34+AV50</f>
        <v>4076431188.8417616</v>
      </c>
      <c r="AW52" s="3263">
        <f>AW19+AW26+AW30+AW34+AW50</f>
        <v>2045543584.2006941</v>
      </c>
      <c r="AX52" s="3263">
        <f>AX19+AX26+AX30+AX34+AX50</f>
        <v>5529212741.9575443</v>
      </c>
      <c r="AY52" s="3264"/>
      <c r="BC52" s="3263">
        <f>BC19+BC26+BC30+BC34+BC50</f>
        <v>11651187515</v>
      </c>
      <c r="BD52" s="3263">
        <f>BD19+BD26+BD30+BD34+BD50</f>
        <v>4076431188.8417616</v>
      </c>
      <c r="BE52" s="3263">
        <f>BE19+BE26+BE30+BE34+BE50</f>
        <v>2045543584.2006941</v>
      </c>
      <c r="BF52" s="3263">
        <f>BF19+BF26+BF30+BF34+BF50</f>
        <v>5529212741.9575443</v>
      </c>
      <c r="BG52" s="3264"/>
      <c r="BK52" s="3263">
        <f>BK19+BK26+BK30+BK34+BK50</f>
        <v>11651187515</v>
      </c>
      <c r="BL52" s="3263">
        <f>BL19+BL26+BL30+BL34+BL50</f>
        <v>4076431188.8417616</v>
      </c>
      <c r="BM52" s="3263">
        <f>BM19+BM26+BM30+BM34+BM50</f>
        <v>2045543584.2006941</v>
      </c>
      <c r="BN52" s="3263">
        <f>BN19+BN26+BN30+BN34+BN50</f>
        <v>5529212741.9575443</v>
      </c>
      <c r="BO52" s="3264"/>
      <c r="BS52" s="3263">
        <f>BS19+BS26+BS30+BS34+BS50</f>
        <v>11651187515</v>
      </c>
      <c r="BT52" s="3263">
        <f>BT19+BT26+BT30+BT34+BT50</f>
        <v>4076431188.8417616</v>
      </c>
      <c r="BU52" s="3263">
        <f>BU19+BU26+BU30+BU34+BU50</f>
        <v>2045543584.2006941</v>
      </c>
      <c r="BV52" s="3263">
        <f>BV19+BV26+BV30+BV34+BV50</f>
        <v>5529212741.9575443</v>
      </c>
      <c r="BW52" s="3264"/>
      <c r="CA52" s="3263">
        <f>CA19+CA26+CA30+CA34+CA50</f>
        <v>11651187515</v>
      </c>
      <c r="CB52" s="3263">
        <f>CB19+CB26+CB30+CB34+CB50</f>
        <v>4076431188.8417616</v>
      </c>
      <c r="CC52" s="3263">
        <f>CC19+CC26+CC30+CC34+CC50</f>
        <v>2045543584.2006941</v>
      </c>
      <c r="CD52" s="3263">
        <f>CD19+CD26+CD30+CD34+CD50</f>
        <v>5529212741.9575443</v>
      </c>
      <c r="CE52" s="3264"/>
      <c r="CI52" s="3263">
        <f>CI19+CI26+CI30+CI34+CI50</f>
        <v>11651187515</v>
      </c>
      <c r="CJ52" s="3263">
        <f>CJ19+CJ26+CJ30+CJ34+CJ50</f>
        <v>4076431188.8417616</v>
      </c>
      <c r="CK52" s="3263">
        <f>CK19+CK26+CK30+CK34+CK50</f>
        <v>2045543584.2006941</v>
      </c>
      <c r="CL52" s="3263">
        <f>CL19+CL26+CL30+CL34+CL50</f>
        <v>5529212741.9575443</v>
      </c>
      <c r="CM52" s="3264"/>
      <c r="CQ52" s="3263">
        <f>CQ19+CQ26+CQ30+CQ34+CQ50</f>
        <v>11651187515</v>
      </c>
      <c r="CR52" s="3263">
        <f>CR19+CR26+CR30+CR34+CR50</f>
        <v>4076431188.8417616</v>
      </c>
      <c r="CS52" s="3263">
        <f>CS19+CS26+CS30+CS34+CS50</f>
        <v>2045543584.2006941</v>
      </c>
      <c r="CT52" s="3263">
        <f>CT19+CT26+CT30+CT34+CT50</f>
        <v>5529212741.9575443</v>
      </c>
      <c r="CU52" s="3264"/>
      <c r="CY52" s="3263">
        <f>CY19+CY26+CY30+CY34+CY50</f>
        <v>11651187515</v>
      </c>
      <c r="CZ52" s="3263">
        <f>CZ19+CZ26+CZ30+CZ34+CZ50</f>
        <v>4076431188.8417616</v>
      </c>
      <c r="DA52" s="3263">
        <f>DA19+DA26+DA30+DA34+DA50</f>
        <v>2045543584.2006941</v>
      </c>
      <c r="DB52" s="3263">
        <f>DB19+DB26+DB30+DB34+DB50</f>
        <v>5529212741.9575443</v>
      </c>
      <c r="DC52" s="3264"/>
      <c r="DG52" s="3263">
        <f>DG19+DG26+DG30+DG34+DG50</f>
        <v>11651187515</v>
      </c>
      <c r="DH52" s="3263">
        <f>DH19+DH26+DH30+DH34+DH50</f>
        <v>4076431188.8417616</v>
      </c>
      <c r="DI52" s="3263">
        <f>DI19+DI26+DI30+DI34+DI50</f>
        <v>2045543584.2006941</v>
      </c>
      <c r="DJ52" s="3263">
        <f>DJ19+DJ26+DJ30+DJ34+DJ50</f>
        <v>5529212741.9575443</v>
      </c>
      <c r="DK52" s="3264"/>
      <c r="DO52" s="3263">
        <f>DO19+DO26+DO30+DO34+DO50</f>
        <v>11651187515</v>
      </c>
      <c r="DP52" s="3263">
        <f>DP19+DP26+DP30+DP34+DP50</f>
        <v>4076431188.8417616</v>
      </c>
      <c r="DQ52" s="3263">
        <f>DQ19+DQ26+DQ30+DQ34+DQ50</f>
        <v>2045543584.2006941</v>
      </c>
      <c r="DR52" s="3263">
        <f>DR19+DR26+DR30+DR34+DR50</f>
        <v>5529212741.9575443</v>
      </c>
      <c r="DS52" s="3264"/>
      <c r="DW52" s="3263">
        <f>DW19+DW26+DW30+DW34+DW50</f>
        <v>11651187515</v>
      </c>
      <c r="DX52" s="3263">
        <f>DX19+DX26+DX30+DX34+DX50</f>
        <v>4076431188.8417616</v>
      </c>
      <c r="DY52" s="3263">
        <f>DY19+DY26+DY30+DY34+DY50</f>
        <v>2045543584.2006941</v>
      </c>
      <c r="DZ52" s="3263">
        <f>DZ19+DZ26+DZ30+DZ34+DZ50</f>
        <v>5529212741.9575443</v>
      </c>
      <c r="EA52" s="3264"/>
      <c r="EE52" s="3263">
        <f>EE19+EE26+EE30+EE34+EE50</f>
        <v>11651187515</v>
      </c>
      <c r="EF52" s="3263">
        <f>EF19+EF26+EF30+EF34+EF50</f>
        <v>4076431188.8417616</v>
      </c>
      <c r="EG52" s="3263">
        <f>EG19+EG26+EG30+EG34+EG50</f>
        <v>2045543584.2006941</v>
      </c>
      <c r="EH52" s="3263">
        <f>EH19+EH26+EH30+EH34+EH50</f>
        <v>5529212741.9575443</v>
      </c>
      <c r="EI52" s="3264"/>
      <c r="EM52" s="3263">
        <f>EM19+EM26+EM30+EM34+EM50</f>
        <v>11651187515</v>
      </c>
      <c r="EN52" s="3263">
        <f>EN19+EN26+EN30+EN34+EN50</f>
        <v>4076431188.8417616</v>
      </c>
      <c r="EO52" s="3263">
        <f>EO19+EO26+EO30+EO34+EO50</f>
        <v>2045543584.2006941</v>
      </c>
      <c r="EP52" s="3263">
        <f>EP19+EP26+EP30+EP34+EP50</f>
        <v>5529212741.9575443</v>
      </c>
      <c r="EQ52" s="3264"/>
      <c r="EU52" s="3263">
        <f>EU19+EU26+EU30+EU34+EU50</f>
        <v>11651187515</v>
      </c>
      <c r="EV52" s="3263">
        <f>EV19+EV26+EV30+EV34+EV50</f>
        <v>4076431188.8417616</v>
      </c>
      <c r="EW52" s="3263">
        <f>EW19+EW26+EW30+EW34+EW50</f>
        <v>2045543584.2006941</v>
      </c>
      <c r="EX52" s="3263">
        <f>EX19+EX26+EX30+EX34+EX50</f>
        <v>5529212741.9575443</v>
      </c>
      <c r="EY52" s="3264"/>
      <c r="FC52" s="3263">
        <f>FC19+FC26+FC30+FC34+FC50</f>
        <v>11651187515</v>
      </c>
      <c r="FD52" s="3263">
        <f>FD19+FD26+FD30+FD34+FD50</f>
        <v>4076431188.8417616</v>
      </c>
      <c r="FE52" s="3263">
        <f>FE19+FE26+FE30+FE34+FE50</f>
        <v>2045543584.2006941</v>
      </c>
      <c r="FF52" s="3263">
        <f>FF19+FF26+FF30+FF34+FF50</f>
        <v>5529212741.9575443</v>
      </c>
      <c r="FG52" s="3264"/>
      <c r="FK52" s="3263">
        <f>FK19+FK26+FK30+FK34+FK50</f>
        <v>11651187515</v>
      </c>
      <c r="FL52" s="3263">
        <f>FL19+FL26+FL30+FL34+FL50</f>
        <v>4076431188.8417616</v>
      </c>
      <c r="FM52" s="3263">
        <f>FM19+FM26+FM30+FM34+FM50</f>
        <v>2045543584.2006941</v>
      </c>
      <c r="FN52" s="3263">
        <f>FN19+FN26+FN30+FN34+FN50</f>
        <v>5529212741.9575443</v>
      </c>
      <c r="FO52" s="3264"/>
    </row>
    <row r="53" spans="1:171">
      <c r="A53" s="2214" t="s">
        <v>439</v>
      </c>
      <c r="B53" s="2100"/>
      <c r="C53" s="2116"/>
      <c r="D53" s="2116"/>
      <c r="J53" s="3453"/>
      <c r="K53" s="3205"/>
      <c r="S53" s="3237"/>
      <c r="AA53" s="3237"/>
      <c r="AI53" s="3237"/>
      <c r="AQ53" s="3237"/>
      <c r="AY53" s="3237"/>
      <c r="BG53" s="3237"/>
      <c r="BO53" s="3237"/>
      <c r="BW53" s="3237"/>
      <c r="CE53" s="3237"/>
      <c r="CM53" s="3237"/>
      <c r="CU53" s="3237"/>
      <c r="DC53" s="3237"/>
      <c r="DK53" s="3237"/>
      <c r="DS53" s="3237"/>
      <c r="EA53" s="3237"/>
      <c r="EI53" s="3237"/>
      <c r="EQ53" s="3237"/>
      <c r="EY53" s="3237"/>
      <c r="FG53" s="3237"/>
      <c r="FO53" s="3237"/>
    </row>
    <row r="54" spans="1:171">
      <c r="A54" s="2102"/>
      <c r="B54" s="2103"/>
      <c r="C54" s="2116"/>
      <c r="D54" s="2116"/>
      <c r="J54" s="3453"/>
      <c r="K54" s="3205"/>
      <c r="S54" s="3237"/>
      <c r="AA54" s="3237"/>
      <c r="AI54" s="3237"/>
      <c r="AQ54" s="3237"/>
      <c r="AY54" s="3237"/>
      <c r="BG54" s="3237"/>
      <c r="BO54" s="3237"/>
      <c r="BW54" s="3237"/>
      <c r="CE54" s="3237"/>
      <c r="CM54" s="3237"/>
      <c r="CU54" s="3237"/>
      <c r="DC54" s="3237"/>
      <c r="DK54" s="3237"/>
      <c r="DS54" s="3237"/>
      <c r="EA54" s="3237"/>
      <c r="EI54" s="3237"/>
      <c r="EQ54" s="3237"/>
      <c r="EY54" s="3237"/>
      <c r="FG54" s="3237"/>
      <c r="FO54" s="3237"/>
    </row>
    <row r="55" spans="1:171">
      <c r="A55" s="2102" t="s">
        <v>473</v>
      </c>
      <c r="B55" s="2103"/>
      <c r="C55" s="2116"/>
      <c r="D55" s="2116"/>
      <c r="J55" s="3453"/>
      <c r="K55" s="3205"/>
      <c r="S55" s="3237"/>
      <c r="AA55" s="3237"/>
      <c r="AI55" s="3237"/>
      <c r="AQ55" s="3237"/>
      <c r="AY55" s="3237"/>
      <c r="BG55" s="3237"/>
      <c r="BO55" s="3237"/>
      <c r="BW55" s="3237"/>
      <c r="CE55" s="3237"/>
      <c r="CM55" s="3237"/>
      <c r="CU55" s="3237"/>
      <c r="DC55" s="3237"/>
      <c r="DK55" s="3237"/>
      <c r="DS55" s="3237"/>
      <c r="EA55" s="3237"/>
      <c r="EI55" s="3237"/>
      <c r="EQ55" s="3237"/>
      <c r="EY55" s="3237"/>
      <c r="FG55" s="3237"/>
      <c r="FO55" s="3237"/>
    </row>
    <row r="56" spans="1:171">
      <c r="A56" s="2102" t="s">
        <v>610</v>
      </c>
      <c r="B56" s="2103"/>
      <c r="C56" s="2116"/>
      <c r="D56" s="2116"/>
      <c r="J56" s="3453"/>
      <c r="K56" s="3205"/>
      <c r="S56" s="3237"/>
      <c r="AA56" s="3237"/>
      <c r="AI56" s="3237"/>
      <c r="AQ56" s="3237"/>
      <c r="AY56" s="3237"/>
      <c r="BG56" s="3237"/>
      <c r="BO56" s="3237"/>
      <c r="BW56" s="3237"/>
      <c r="CE56" s="3237"/>
      <c r="CM56" s="3237"/>
      <c r="CU56" s="3237"/>
      <c r="DC56" s="3237"/>
      <c r="DK56" s="3237"/>
      <c r="DS56" s="3237"/>
      <c r="EA56" s="3237"/>
      <c r="EI56" s="3237"/>
      <c r="EQ56" s="3237"/>
      <c r="EY56" s="3237"/>
      <c r="FG56" s="3237"/>
      <c r="FO56" s="3237"/>
    </row>
    <row r="57" spans="1:171">
      <c r="A57" s="2092"/>
      <c r="B57" s="2185" t="s">
        <v>88</v>
      </c>
      <c r="C57" s="2464">
        <v>219</v>
      </c>
      <c r="D57" s="2464">
        <v>108</v>
      </c>
      <c r="E57" s="2424" t="str">
        <f>'Sch 1- Rate Base '!E57</f>
        <v>PROD</v>
      </c>
      <c r="F57" s="2171"/>
      <c r="G57" s="2424">
        <f>'Sch 1- Rate Base '!G57</f>
        <v>953504602</v>
      </c>
      <c r="H57" s="2424">
        <f>'Sch 1- Rate Base '!H57</f>
        <v>953504602</v>
      </c>
      <c r="I57" s="2424">
        <f>'Sch 1- Rate Base '!I57</f>
        <v>0</v>
      </c>
      <c r="J57" s="3465">
        <f>'Sch 1- Rate Base '!J57</f>
        <v>0</v>
      </c>
      <c r="K57" s="3205">
        <f t="shared" ref="K57:K75" si="82">IF($E57="DIRECT",0,1)</f>
        <v>1</v>
      </c>
      <c r="O57" s="3235">
        <f t="shared" ref="O57:O73" si="83">$G57</f>
        <v>953504602</v>
      </c>
      <c r="P57" s="3236">
        <f t="shared" ref="P57:P73" si="84">VLOOKUP($E57,O$442:R$453,2,FALSE)*O57*($K57)+IF($G57&gt;0,($H57/$G57)*O57,0)*(1-$K57)</f>
        <v>953504602</v>
      </c>
      <c r="Q57" s="3236">
        <f t="shared" ref="Q57:Q73" si="85">VLOOKUP($E57,O$442:R$453,3,FALSE)*O57*($K57)+IF($G57&gt;0,($I57/$G57)*O57,0)*(1-$K57)</f>
        <v>0</v>
      </c>
      <c r="R57" s="3236">
        <f t="shared" ref="R57:R73" si="86">VLOOKUP($E57,O$442:R$453,4,FALSE)*O57*($K57)+(O57-P57-Q57)*(1-$K57)</f>
        <v>0</v>
      </c>
      <c r="S57" s="3237"/>
      <c r="W57" s="3235">
        <f t="shared" ref="W57:W73" si="87">$G57</f>
        <v>953504602</v>
      </c>
      <c r="X57" s="3236">
        <f t="shared" ref="X57:X73" si="88">VLOOKUP($E57,W$442:Z$453,2,FALSE)*W57*($K57)+IF($G57&gt;0,($H57/$G57)*W57,0)*(1-$K57)</f>
        <v>953504602</v>
      </c>
      <c r="Y57" s="3236">
        <f t="shared" ref="Y57:Y73" si="89">VLOOKUP($E57,W$442:Z$453,3,FALSE)*W57*($K57)+IF($G57&gt;0,($I57/$G57)*W57,0)*(1-$K57)</f>
        <v>0</v>
      </c>
      <c r="Z57" s="3236">
        <f t="shared" ref="Z57:Z73" si="90">VLOOKUP($E57,W$442:Z$453,4,FALSE)*W57*($K57)+(W57-X57-Y57)*(1-$K57)</f>
        <v>0</v>
      </c>
      <c r="AA57" s="3237"/>
      <c r="AE57" s="3235">
        <f t="shared" ref="AE57:AE73" si="91">$G57</f>
        <v>953504602</v>
      </c>
      <c r="AF57" s="3236">
        <f t="shared" ref="AF57:AF73" si="92">VLOOKUP($E57,AE$442:AH$453,2,FALSE)*AE57*($K57)+IF($G57&gt;0,($H57/$G57)*AE57,0)*(1-$K57)</f>
        <v>953504602</v>
      </c>
      <c r="AG57" s="3236">
        <f t="shared" ref="AG57:AG73" si="93">VLOOKUP($E57,AE$442:AH$453,3,FALSE)*AE57*($K57)+IF($G57&gt;0,($I57/$G57)*AE57,0)*(1-$K57)</f>
        <v>0</v>
      </c>
      <c r="AH57" s="3236">
        <f t="shared" ref="AH57:AH73" si="94">VLOOKUP($E57,AE$442:AH$453,4,FALSE)*AE57*($K57)+(AE57-AF57-AG57)*(1-$K57)</f>
        <v>0</v>
      </c>
      <c r="AI57" s="3237"/>
      <c r="AM57" s="3235">
        <f t="shared" ref="AM57:AM73" si="95">$G57</f>
        <v>953504602</v>
      </c>
      <c r="AN57" s="3236">
        <f t="shared" ref="AN57:AN73" si="96">VLOOKUP($E57,AM$442:AP$453,2,FALSE)*AM57*($K57)+IF($G57&gt;0,($H57/$G57)*AM57,0)*(1-$K57)</f>
        <v>953504602</v>
      </c>
      <c r="AO57" s="3236">
        <f t="shared" ref="AO57:AO73" si="97">VLOOKUP($E57,AM$442:AP$453,3,FALSE)*AM57*($K57)+IF($G57&gt;0,($I57/$G57)*AM57,0)*(1-$K57)</f>
        <v>0</v>
      </c>
      <c r="AP57" s="3236">
        <f t="shared" ref="AP57:AP73" si="98">VLOOKUP($E57,AM$442:AP$453,4,FALSE)*AM57*($K57)+(AM57-AN57-AO57)*(1-$K57)</f>
        <v>0</v>
      </c>
      <c r="AQ57" s="3237"/>
      <c r="AU57" s="3235">
        <f t="shared" ref="AU57:AU73" si="99">$G57</f>
        <v>953504602</v>
      </c>
      <c r="AV57" s="3236">
        <f t="shared" ref="AV57:AV73" si="100">VLOOKUP($E57,AU$442:AX$453,2,FALSE)*AU57*($K57)+IF($G57&gt;0,($H57/$G57)*AU57,0)*(1-$K57)</f>
        <v>953504602</v>
      </c>
      <c r="AW57" s="3236">
        <f t="shared" ref="AW57:AW73" si="101">VLOOKUP($E57,AU$442:AX$453,3,FALSE)*AU57*($K57)+IF($G57&gt;0,($I57/$G57)*AU57,0)*(1-$K57)</f>
        <v>0</v>
      </c>
      <c r="AX57" s="3236">
        <f t="shared" ref="AX57:AX73" si="102">VLOOKUP($E57,AU$442:AX$453,4,FALSE)*AU57*($K57)+(AU57-AV57-AW57)*(1-$K57)</f>
        <v>0</v>
      </c>
      <c r="AY57" s="3237"/>
      <c r="BC57" s="3235">
        <f t="shared" ref="BC57:BC73" si="103">$G57</f>
        <v>953504602</v>
      </c>
      <c r="BD57" s="3236">
        <f t="shared" ref="BD57:BD73" si="104">VLOOKUP($E57,BC$442:BF$453,2,FALSE)*BC57*($K57)+IF($G57&gt;0,($H57/$G57)*BC57,0)*(1-$K57)</f>
        <v>953504602</v>
      </c>
      <c r="BE57" s="3236">
        <f t="shared" ref="BE57:BE73" si="105">VLOOKUP($E57,BC$442:BF$453,3,FALSE)*BC57*($K57)+IF($G57&gt;0,($I57/$G57)*BC57,0)*(1-$K57)</f>
        <v>0</v>
      </c>
      <c r="BF57" s="3236">
        <f t="shared" ref="BF57:BF73" si="106">VLOOKUP($E57,BC$442:BF$453,4,FALSE)*BC57*($K57)+(BC57-BD57-BE57)*(1-$K57)</f>
        <v>0</v>
      </c>
      <c r="BG57" s="3237"/>
      <c r="BK57" s="3235">
        <f t="shared" ref="BK57:BK73" si="107">$G57</f>
        <v>953504602</v>
      </c>
      <c r="BL57" s="3236">
        <f t="shared" ref="BL57:BL73" si="108">VLOOKUP($E57,BK$442:BN$453,2,FALSE)*BK57*($K57)+IF($G57&gt;0,($H57/$G57)*BK57,0)*(1-$K57)</f>
        <v>953504602</v>
      </c>
      <c r="BM57" s="3236">
        <f t="shared" ref="BM57:BM73" si="109">VLOOKUP($E57,BK$442:BN$453,3,FALSE)*BK57*($K57)+IF($G57&gt;0,($I57/$G57)*BK57,0)*(1-$K57)</f>
        <v>0</v>
      </c>
      <c r="BN57" s="3236">
        <f t="shared" ref="BN57:BN73" si="110">VLOOKUP($E57,BK$442:BN$453,4,FALSE)*BK57*($K57)+(BK57-BL57-BM57)*(1-$K57)</f>
        <v>0</v>
      </c>
      <c r="BO57" s="3237"/>
      <c r="BS57" s="3235">
        <f t="shared" ref="BS57:BS73" si="111">$G57</f>
        <v>953504602</v>
      </c>
      <c r="BT57" s="3236">
        <f t="shared" ref="BT57:BT73" si="112">VLOOKUP($E57,BS$442:BV$453,2,FALSE)*BS57*($K57)+IF($G57&gt;0,($H57/$G57)*BS57,0)*(1-$K57)</f>
        <v>953504602</v>
      </c>
      <c r="BU57" s="3236">
        <f t="shared" ref="BU57:BU73" si="113">VLOOKUP($E57,BS$442:BV$453,3,FALSE)*BS57*($K57)+IF($G57&gt;0,($I57/$G57)*BS57,0)*(1-$K57)</f>
        <v>0</v>
      </c>
      <c r="BV57" s="3236">
        <f t="shared" ref="BV57:BV73" si="114">VLOOKUP($E57,BS$442:BV$453,4,FALSE)*BS57*($K57)+(BS57-BT57-BU57)*(1-$K57)</f>
        <v>0</v>
      </c>
      <c r="BW57" s="3237"/>
      <c r="CA57" s="3235">
        <f t="shared" ref="CA57:CA73" si="115">$G57</f>
        <v>953504602</v>
      </c>
      <c r="CB57" s="3236">
        <f t="shared" ref="CB57:CB73" si="116">VLOOKUP($E57,CA$442:CD$453,2,FALSE)*CA57*($K57)+IF($G57&gt;0,($H57/$G57)*CA57,0)*(1-$K57)</f>
        <v>953504602</v>
      </c>
      <c r="CC57" s="3236">
        <f t="shared" ref="CC57:CC73" si="117">VLOOKUP($E57,CA$442:CD$453,3,FALSE)*CA57*($K57)+IF($G57&gt;0,($I57/$G57)*CA57,0)*(1-$K57)</f>
        <v>0</v>
      </c>
      <c r="CD57" s="3236">
        <f t="shared" ref="CD57:CD73" si="118">VLOOKUP($E57,CA$442:CD$453,4,FALSE)*CA57*($K57)+(CA57-CB57-CC57)*(1-$K57)</f>
        <v>0</v>
      </c>
      <c r="CE57" s="3237"/>
      <c r="CI57" s="3235">
        <f t="shared" ref="CI57:CI73" si="119">$G57</f>
        <v>953504602</v>
      </c>
      <c r="CJ57" s="3236">
        <f t="shared" ref="CJ57:CJ73" si="120">VLOOKUP($E57,CI$442:CL$453,2,FALSE)*CI57*($K57)+IF($G57&gt;0,($H57/$G57)*CI57,0)*(1-$K57)</f>
        <v>953504602</v>
      </c>
      <c r="CK57" s="3236">
        <f t="shared" ref="CK57:CK73" si="121">VLOOKUP($E57,CI$442:CL$453,3,FALSE)*CI57*($K57)+IF($G57&gt;0,($I57/$G57)*CI57,0)*(1-$K57)</f>
        <v>0</v>
      </c>
      <c r="CL57" s="3236">
        <f t="shared" ref="CL57:CL73" si="122">VLOOKUP($E57,CI$442:CL$453,4,FALSE)*CI57*($K57)+(CI57-CJ57-CK57)*(1-$K57)</f>
        <v>0</v>
      </c>
      <c r="CM57" s="3237"/>
      <c r="CQ57" s="3235">
        <f t="shared" ref="CQ57:CQ73" si="123">$G57</f>
        <v>953504602</v>
      </c>
      <c r="CR57" s="3236">
        <f t="shared" ref="CR57:CR73" si="124">VLOOKUP($E57,CQ$442:CT$453,2,FALSE)*CQ57*($K57)+IF($G57&gt;0,($H57/$G57)*CQ57,0)*(1-$K57)</f>
        <v>953504602</v>
      </c>
      <c r="CS57" s="3236">
        <f t="shared" ref="CS57:CS73" si="125">VLOOKUP($E57,CQ$442:CT$453,3,FALSE)*CQ57*($K57)+IF($G57&gt;0,($I57/$G57)*CQ57,0)*(1-$K57)</f>
        <v>0</v>
      </c>
      <c r="CT57" s="3236">
        <f t="shared" ref="CT57:CT73" si="126">VLOOKUP($E57,CQ$442:CT$453,4,FALSE)*CQ57*($K57)+(CQ57-CR57-CS57)*(1-$K57)</f>
        <v>0</v>
      </c>
      <c r="CU57" s="3237"/>
      <c r="CY57" s="3235">
        <f t="shared" ref="CY57:CY73" si="127">$G57</f>
        <v>953504602</v>
      </c>
      <c r="CZ57" s="3236">
        <f t="shared" ref="CZ57:CZ73" si="128">VLOOKUP($E57,CY$442:DB$453,2,FALSE)*CY57*($K57)+IF($G57&gt;0,($H57/$G57)*CY57,0)*(1-$K57)</f>
        <v>953504602</v>
      </c>
      <c r="DA57" s="3236">
        <f t="shared" ref="DA57:DA73" si="129">VLOOKUP($E57,CY$442:DB$453,3,FALSE)*CY57*($K57)+IF($G57&gt;0,($I57/$G57)*CY57,0)*(1-$K57)</f>
        <v>0</v>
      </c>
      <c r="DB57" s="3236">
        <f t="shared" ref="DB57:DB73" si="130">VLOOKUP($E57,CY$442:DB$453,4,FALSE)*CY57*($K57)+(CY57-CZ57-DA57)*(1-$K57)</f>
        <v>0</v>
      </c>
      <c r="DC57" s="3237"/>
      <c r="DG57" s="3235">
        <f t="shared" ref="DG57:DG73" si="131">$G57</f>
        <v>953504602</v>
      </c>
      <c r="DH57" s="3236">
        <f t="shared" ref="DH57:DH73" si="132">VLOOKUP($E57,DG$442:DJ$453,2,FALSE)*DG57*($K57)+IF($G57&gt;0,($H57/$G57)*DG57,0)*(1-$K57)</f>
        <v>953504602</v>
      </c>
      <c r="DI57" s="3236">
        <f t="shared" ref="DI57:DI73" si="133">VLOOKUP($E57,DG$442:DJ$453,3,FALSE)*DG57*($K57)+IF($G57&gt;0,($I57/$G57)*DG57,0)*(1-$K57)</f>
        <v>0</v>
      </c>
      <c r="DJ57" s="3236">
        <f t="shared" ref="DJ57:DJ73" si="134">VLOOKUP($E57,DG$442:DJ$453,4,FALSE)*DG57*($K57)+(DG57-DH57-DI57)*(1-$K57)</f>
        <v>0</v>
      </c>
      <c r="DK57" s="3237"/>
      <c r="DO57" s="3235">
        <f t="shared" ref="DO57:DO73" si="135">$G57</f>
        <v>953504602</v>
      </c>
      <c r="DP57" s="3236">
        <f t="shared" ref="DP57:DP73" si="136">VLOOKUP($E57,DO$442:DR$453,2,FALSE)*DO57*($K57)+IF($G57&gt;0,($H57/$G57)*DO57,0)*(1-$K57)</f>
        <v>953504602</v>
      </c>
      <c r="DQ57" s="3236">
        <f t="shared" ref="DQ57:DQ73" si="137">VLOOKUP($E57,DO$442:DR$453,3,FALSE)*DO57*($K57)+IF($G57&gt;0,($I57/$G57)*DO57,0)*(1-$K57)</f>
        <v>0</v>
      </c>
      <c r="DR57" s="3236">
        <f t="shared" ref="DR57:DR73" si="138">VLOOKUP($E57,DO$442:DR$453,4,FALSE)*DO57*($K57)+(DO57-DP57-DQ57)*(1-$K57)</f>
        <v>0</v>
      </c>
      <c r="DS57" s="3237"/>
      <c r="DW57" s="3235">
        <f t="shared" ref="DW57:DW73" si="139">$G57</f>
        <v>953504602</v>
      </c>
      <c r="DX57" s="3236">
        <f t="shared" ref="DX57:DX73" si="140">VLOOKUP($E57,DW$442:DZ$453,2,FALSE)*DW57*($K57)+IF($G57&gt;0,($H57/$G57)*DW57,0)*(1-$K57)</f>
        <v>953504602</v>
      </c>
      <c r="DY57" s="3236">
        <f t="shared" ref="DY57:DY73" si="141">VLOOKUP($E57,DW$442:DZ$453,3,FALSE)*DW57*($K57)+IF($G57&gt;0,($I57/$G57)*DW57,0)*(1-$K57)</f>
        <v>0</v>
      </c>
      <c r="DZ57" s="3236">
        <f t="shared" ref="DZ57:DZ73" si="142">VLOOKUP($E57,DW$442:DZ$453,4,FALSE)*DW57*($K57)+(DW57-DX57-DY57)*(1-$K57)</f>
        <v>0</v>
      </c>
      <c r="EA57" s="3237"/>
      <c r="EE57" s="3235">
        <f t="shared" ref="EE57:EE73" si="143">$G57</f>
        <v>953504602</v>
      </c>
      <c r="EF57" s="3236">
        <f t="shared" ref="EF57:EF73" si="144">VLOOKUP($E57,EE$442:EH$453,2,FALSE)*EE57*($K57)+IF($G57&gt;0,($H57/$G57)*EE57,0)*(1-$K57)</f>
        <v>953504602</v>
      </c>
      <c r="EG57" s="3236">
        <f t="shared" ref="EG57:EG73" si="145">VLOOKUP($E57,EE$442:EH$453,3,FALSE)*EE57*($K57)+IF($G57&gt;0,($I57/$G57)*EE57,0)*(1-$K57)</f>
        <v>0</v>
      </c>
      <c r="EH57" s="3236">
        <f t="shared" ref="EH57:EH73" si="146">VLOOKUP($E57,EE$442:EH$453,4,FALSE)*EE57*($K57)+(EE57-EF57-EG57)*(1-$K57)</f>
        <v>0</v>
      </c>
      <c r="EI57" s="3237"/>
      <c r="EM57" s="3235">
        <f t="shared" ref="EM57:EM73" si="147">$G57</f>
        <v>953504602</v>
      </c>
      <c r="EN57" s="3236">
        <f t="shared" ref="EN57:EN73" si="148">VLOOKUP($E57,EM$442:EP$453,2,FALSE)*EM57*($K57)+IF($G57&gt;0,($H57/$G57)*EM57,0)*(1-$K57)</f>
        <v>953504602</v>
      </c>
      <c r="EO57" s="3236">
        <f t="shared" ref="EO57:EO73" si="149">VLOOKUP($E57,EM$442:EP$453,3,FALSE)*EM57*($K57)+IF($G57&gt;0,($I57/$G57)*EM57,0)*(1-$K57)</f>
        <v>0</v>
      </c>
      <c r="EP57" s="3236">
        <f t="shared" ref="EP57:EP73" si="150">VLOOKUP($E57,EM$442:EP$453,4,FALSE)*EM57*($K57)+(EM57-EN57-EO57)*(1-$K57)</f>
        <v>0</v>
      </c>
      <c r="EQ57" s="3237"/>
      <c r="EU57" s="3235">
        <f t="shared" ref="EU57:EU73" si="151">$G57</f>
        <v>953504602</v>
      </c>
      <c r="EV57" s="3236">
        <f t="shared" ref="EV57:EV73" si="152">VLOOKUP($E57,EU$442:EX$453,2,FALSE)*EU57*($K57)+IF($G57&gt;0,($H57/$G57)*EU57,0)*(1-$K57)</f>
        <v>953504602</v>
      </c>
      <c r="EW57" s="3236">
        <f t="shared" ref="EW57:EW73" si="153">VLOOKUP($E57,EU$442:EX$453,3,FALSE)*EU57*($K57)+IF($G57&gt;0,($I57/$G57)*EU57,0)*(1-$K57)</f>
        <v>0</v>
      </c>
      <c r="EX57" s="3236">
        <f t="shared" ref="EX57:EX73" si="154">VLOOKUP($E57,EU$442:EX$453,4,FALSE)*EU57*($K57)+(EU57-EV57-EW57)*(1-$K57)</f>
        <v>0</v>
      </c>
      <c r="EY57" s="3237"/>
      <c r="FC57" s="3235">
        <f t="shared" ref="FC57:FC73" si="155">$G57</f>
        <v>953504602</v>
      </c>
      <c r="FD57" s="3236">
        <f t="shared" ref="FD57:FD73" si="156">VLOOKUP($E57,FC$442:FF$453,2,FALSE)*FC57*($K57)+IF($G57&gt;0,($H57/$G57)*FC57,0)*(1-$K57)</f>
        <v>953504602</v>
      </c>
      <c r="FE57" s="3236">
        <f t="shared" ref="FE57:FE73" si="157">VLOOKUP($E57,FC$442:FF$453,3,FALSE)*FC57*($K57)+IF($G57&gt;0,($I57/$G57)*FC57,0)*(1-$K57)</f>
        <v>0</v>
      </c>
      <c r="FF57" s="3236">
        <f t="shared" ref="FF57:FF73" si="158">VLOOKUP($E57,FC$442:FF$453,4,FALSE)*FC57*($K57)+(FC57-FD57-FE57)*(1-$K57)</f>
        <v>0</v>
      </c>
      <c r="FG57" s="3237"/>
      <c r="FK57" s="3235">
        <f t="shared" ref="FK57:FK73" si="159">$G57</f>
        <v>953504602</v>
      </c>
      <c r="FL57" s="3236">
        <f t="shared" ref="FL57:FL73" si="160">VLOOKUP($E57,FK$442:FN$453,2,FALSE)*FK57*($K57)+IF($G57&gt;0,($H57/$G57)*FK57,0)*(1-$K57)</f>
        <v>953504602</v>
      </c>
      <c r="FM57" s="3236">
        <f t="shared" ref="FM57:FM73" si="161">VLOOKUP($E57,FK$442:FN$453,3,FALSE)*FK57*($K57)+IF($G57&gt;0,($I57/$G57)*FK57,0)*(1-$K57)</f>
        <v>0</v>
      </c>
      <c r="FN57" s="3236">
        <f t="shared" ref="FN57:FN73" si="162">VLOOKUP($E57,FK$442:FN$453,4,FALSE)*FK57*($K57)+(FK57-FL57-FM57)*(1-$K57)</f>
        <v>0</v>
      </c>
      <c r="FO57" s="3237"/>
    </row>
    <row r="58" spans="1:171">
      <c r="A58" s="2092"/>
      <c r="B58" s="2185" t="s">
        <v>89</v>
      </c>
      <c r="C58" s="2464">
        <v>219</v>
      </c>
      <c r="D58" s="2464">
        <v>108</v>
      </c>
      <c r="E58" s="2424" t="str">
        <f>'Sch 1- Rate Base '!E58</f>
        <v>PROD</v>
      </c>
      <c r="F58" s="2171"/>
      <c r="G58" s="2424">
        <f>'Sch 1- Rate Base '!G58</f>
        <v>0</v>
      </c>
      <c r="H58" s="2424">
        <f>'Sch 1- Rate Base '!H58</f>
        <v>0</v>
      </c>
      <c r="I58" s="2424">
        <f>'Sch 1- Rate Base '!I58</f>
        <v>0</v>
      </c>
      <c r="J58" s="3465">
        <f>'Sch 1- Rate Base '!J58</f>
        <v>0</v>
      </c>
      <c r="K58" s="3205">
        <f t="shared" si="82"/>
        <v>1</v>
      </c>
      <c r="O58" s="3235">
        <f t="shared" si="83"/>
        <v>0</v>
      </c>
      <c r="P58" s="3236">
        <f t="shared" si="84"/>
        <v>0</v>
      </c>
      <c r="Q58" s="3236">
        <f t="shared" si="85"/>
        <v>0</v>
      </c>
      <c r="R58" s="3236">
        <f t="shared" si="86"/>
        <v>0</v>
      </c>
      <c r="S58" s="3237"/>
      <c r="W58" s="3235">
        <f t="shared" si="87"/>
        <v>0</v>
      </c>
      <c r="X58" s="3236">
        <f t="shared" si="88"/>
        <v>0</v>
      </c>
      <c r="Y58" s="3236">
        <f t="shared" si="89"/>
        <v>0</v>
      </c>
      <c r="Z58" s="3236">
        <f t="shared" si="90"/>
        <v>0</v>
      </c>
      <c r="AA58" s="3237"/>
      <c r="AE58" s="3235">
        <f t="shared" si="91"/>
        <v>0</v>
      </c>
      <c r="AF58" s="3236">
        <f t="shared" si="92"/>
        <v>0</v>
      </c>
      <c r="AG58" s="3236">
        <f t="shared" si="93"/>
        <v>0</v>
      </c>
      <c r="AH58" s="3236">
        <f t="shared" si="94"/>
        <v>0</v>
      </c>
      <c r="AI58" s="3237"/>
      <c r="AM58" s="3235">
        <f t="shared" si="95"/>
        <v>0</v>
      </c>
      <c r="AN58" s="3236">
        <f t="shared" si="96"/>
        <v>0</v>
      </c>
      <c r="AO58" s="3236">
        <f t="shared" si="97"/>
        <v>0</v>
      </c>
      <c r="AP58" s="3236">
        <f t="shared" si="98"/>
        <v>0</v>
      </c>
      <c r="AQ58" s="3237"/>
      <c r="AU58" s="3235">
        <f t="shared" si="99"/>
        <v>0</v>
      </c>
      <c r="AV58" s="3236">
        <f t="shared" si="100"/>
        <v>0</v>
      </c>
      <c r="AW58" s="3236">
        <f t="shared" si="101"/>
        <v>0</v>
      </c>
      <c r="AX58" s="3236">
        <f t="shared" si="102"/>
        <v>0</v>
      </c>
      <c r="AY58" s="3237"/>
      <c r="BC58" s="3235">
        <f t="shared" si="103"/>
        <v>0</v>
      </c>
      <c r="BD58" s="3236">
        <f t="shared" si="104"/>
        <v>0</v>
      </c>
      <c r="BE58" s="3236">
        <f t="shared" si="105"/>
        <v>0</v>
      </c>
      <c r="BF58" s="3236">
        <f t="shared" si="106"/>
        <v>0</v>
      </c>
      <c r="BG58" s="3237"/>
      <c r="BK58" s="3235">
        <f t="shared" si="107"/>
        <v>0</v>
      </c>
      <c r="BL58" s="3236">
        <f t="shared" si="108"/>
        <v>0</v>
      </c>
      <c r="BM58" s="3236">
        <f t="shared" si="109"/>
        <v>0</v>
      </c>
      <c r="BN58" s="3236">
        <f t="shared" si="110"/>
        <v>0</v>
      </c>
      <c r="BO58" s="3237"/>
      <c r="BS58" s="3235">
        <f t="shared" si="111"/>
        <v>0</v>
      </c>
      <c r="BT58" s="3236">
        <f t="shared" si="112"/>
        <v>0</v>
      </c>
      <c r="BU58" s="3236">
        <f t="shared" si="113"/>
        <v>0</v>
      </c>
      <c r="BV58" s="3236">
        <f t="shared" si="114"/>
        <v>0</v>
      </c>
      <c r="BW58" s="3237"/>
      <c r="CA58" s="3235">
        <f t="shared" si="115"/>
        <v>0</v>
      </c>
      <c r="CB58" s="3236">
        <f t="shared" si="116"/>
        <v>0</v>
      </c>
      <c r="CC58" s="3236">
        <f t="shared" si="117"/>
        <v>0</v>
      </c>
      <c r="CD58" s="3236">
        <f t="shared" si="118"/>
        <v>0</v>
      </c>
      <c r="CE58" s="3237"/>
      <c r="CI58" s="3235">
        <f t="shared" si="119"/>
        <v>0</v>
      </c>
      <c r="CJ58" s="3236">
        <f t="shared" si="120"/>
        <v>0</v>
      </c>
      <c r="CK58" s="3236">
        <f t="shared" si="121"/>
        <v>0</v>
      </c>
      <c r="CL58" s="3236">
        <f t="shared" si="122"/>
        <v>0</v>
      </c>
      <c r="CM58" s="3237"/>
      <c r="CQ58" s="3235">
        <f t="shared" si="123"/>
        <v>0</v>
      </c>
      <c r="CR58" s="3236">
        <f t="shared" si="124"/>
        <v>0</v>
      </c>
      <c r="CS58" s="3236">
        <f t="shared" si="125"/>
        <v>0</v>
      </c>
      <c r="CT58" s="3236">
        <f t="shared" si="126"/>
        <v>0</v>
      </c>
      <c r="CU58" s="3237"/>
      <c r="CY58" s="3235">
        <f t="shared" si="127"/>
        <v>0</v>
      </c>
      <c r="CZ58" s="3236">
        <f t="shared" si="128"/>
        <v>0</v>
      </c>
      <c r="DA58" s="3236">
        <f t="shared" si="129"/>
        <v>0</v>
      </c>
      <c r="DB58" s="3236">
        <f t="shared" si="130"/>
        <v>0</v>
      </c>
      <c r="DC58" s="3237"/>
      <c r="DG58" s="3235">
        <f t="shared" si="131"/>
        <v>0</v>
      </c>
      <c r="DH58" s="3236">
        <f t="shared" si="132"/>
        <v>0</v>
      </c>
      <c r="DI58" s="3236">
        <f t="shared" si="133"/>
        <v>0</v>
      </c>
      <c r="DJ58" s="3236">
        <f t="shared" si="134"/>
        <v>0</v>
      </c>
      <c r="DK58" s="3237"/>
      <c r="DO58" s="3235">
        <f t="shared" si="135"/>
        <v>0</v>
      </c>
      <c r="DP58" s="3236">
        <f t="shared" si="136"/>
        <v>0</v>
      </c>
      <c r="DQ58" s="3236">
        <f t="shared" si="137"/>
        <v>0</v>
      </c>
      <c r="DR58" s="3236">
        <f t="shared" si="138"/>
        <v>0</v>
      </c>
      <c r="DS58" s="3237"/>
      <c r="DW58" s="3235">
        <f t="shared" si="139"/>
        <v>0</v>
      </c>
      <c r="DX58" s="3236">
        <f t="shared" si="140"/>
        <v>0</v>
      </c>
      <c r="DY58" s="3236">
        <f t="shared" si="141"/>
        <v>0</v>
      </c>
      <c r="DZ58" s="3236">
        <f t="shared" si="142"/>
        <v>0</v>
      </c>
      <c r="EA58" s="3237"/>
      <c r="EE58" s="3235">
        <f t="shared" si="143"/>
        <v>0</v>
      </c>
      <c r="EF58" s="3236">
        <f t="shared" si="144"/>
        <v>0</v>
      </c>
      <c r="EG58" s="3236">
        <f t="shared" si="145"/>
        <v>0</v>
      </c>
      <c r="EH58" s="3236">
        <f t="shared" si="146"/>
        <v>0</v>
      </c>
      <c r="EI58" s="3237"/>
      <c r="EM58" s="3235">
        <f t="shared" si="147"/>
        <v>0</v>
      </c>
      <c r="EN58" s="3236">
        <f t="shared" si="148"/>
        <v>0</v>
      </c>
      <c r="EO58" s="3236">
        <f t="shared" si="149"/>
        <v>0</v>
      </c>
      <c r="EP58" s="3236">
        <f t="shared" si="150"/>
        <v>0</v>
      </c>
      <c r="EQ58" s="3237"/>
      <c r="EU58" s="3235">
        <f t="shared" si="151"/>
        <v>0</v>
      </c>
      <c r="EV58" s="3236">
        <f t="shared" si="152"/>
        <v>0</v>
      </c>
      <c r="EW58" s="3236">
        <f t="shared" si="153"/>
        <v>0</v>
      </c>
      <c r="EX58" s="3236">
        <f t="shared" si="154"/>
        <v>0</v>
      </c>
      <c r="EY58" s="3237"/>
      <c r="FC58" s="3235">
        <f t="shared" si="155"/>
        <v>0</v>
      </c>
      <c r="FD58" s="3236">
        <f t="shared" si="156"/>
        <v>0</v>
      </c>
      <c r="FE58" s="3236">
        <f t="shared" si="157"/>
        <v>0</v>
      </c>
      <c r="FF58" s="3236">
        <f t="shared" si="158"/>
        <v>0</v>
      </c>
      <c r="FG58" s="3237"/>
      <c r="FK58" s="3235">
        <f t="shared" si="159"/>
        <v>0</v>
      </c>
      <c r="FL58" s="3236">
        <f t="shared" si="160"/>
        <v>0</v>
      </c>
      <c r="FM58" s="3236">
        <f t="shared" si="161"/>
        <v>0</v>
      </c>
      <c r="FN58" s="3236">
        <f t="shared" si="162"/>
        <v>0</v>
      </c>
      <c r="FO58" s="3237"/>
    </row>
    <row r="59" spans="1:171">
      <c r="A59" s="2092"/>
      <c r="B59" s="2185" t="s">
        <v>324</v>
      </c>
      <c r="C59" s="2464">
        <v>219</v>
      </c>
      <c r="D59" s="2464">
        <v>108</v>
      </c>
      <c r="E59" s="2424" t="str">
        <f>'Sch 1- Rate Base '!E59</f>
        <v>PROD</v>
      </c>
      <c r="F59" s="2171"/>
      <c r="G59" s="2424">
        <f>'Sch 1- Rate Base '!G59</f>
        <v>270525277</v>
      </c>
      <c r="H59" s="2424">
        <f>'Sch 1- Rate Base '!H59</f>
        <v>270525277</v>
      </c>
      <c r="I59" s="2424">
        <f>'Sch 1- Rate Base '!I59</f>
        <v>0</v>
      </c>
      <c r="J59" s="3465">
        <f>'Sch 1- Rate Base '!J59</f>
        <v>0</v>
      </c>
      <c r="K59" s="3205">
        <f t="shared" si="82"/>
        <v>1</v>
      </c>
      <c r="O59" s="3235">
        <f t="shared" si="83"/>
        <v>270525277</v>
      </c>
      <c r="P59" s="3236">
        <f t="shared" si="84"/>
        <v>270525277</v>
      </c>
      <c r="Q59" s="3236">
        <f t="shared" si="85"/>
        <v>0</v>
      </c>
      <c r="R59" s="3236">
        <f t="shared" si="86"/>
        <v>0</v>
      </c>
      <c r="S59" s="3237"/>
      <c r="W59" s="3235">
        <f t="shared" si="87"/>
        <v>270525277</v>
      </c>
      <c r="X59" s="3236">
        <f t="shared" si="88"/>
        <v>270525277</v>
      </c>
      <c r="Y59" s="3236">
        <f t="shared" si="89"/>
        <v>0</v>
      </c>
      <c r="Z59" s="3236">
        <f t="shared" si="90"/>
        <v>0</v>
      </c>
      <c r="AA59" s="3237"/>
      <c r="AE59" s="3235">
        <f t="shared" si="91"/>
        <v>270525277</v>
      </c>
      <c r="AF59" s="3236">
        <f t="shared" si="92"/>
        <v>270525277</v>
      </c>
      <c r="AG59" s="3236">
        <f t="shared" si="93"/>
        <v>0</v>
      </c>
      <c r="AH59" s="3236">
        <f t="shared" si="94"/>
        <v>0</v>
      </c>
      <c r="AI59" s="3237"/>
      <c r="AM59" s="3235">
        <f t="shared" si="95"/>
        <v>270525277</v>
      </c>
      <c r="AN59" s="3236">
        <f t="shared" si="96"/>
        <v>270525277</v>
      </c>
      <c r="AO59" s="3236">
        <f t="shared" si="97"/>
        <v>0</v>
      </c>
      <c r="AP59" s="3236">
        <f t="shared" si="98"/>
        <v>0</v>
      </c>
      <c r="AQ59" s="3237"/>
      <c r="AU59" s="3235">
        <f t="shared" si="99"/>
        <v>270525277</v>
      </c>
      <c r="AV59" s="3236">
        <f t="shared" si="100"/>
        <v>270525277</v>
      </c>
      <c r="AW59" s="3236">
        <f t="shared" si="101"/>
        <v>0</v>
      </c>
      <c r="AX59" s="3236">
        <f t="shared" si="102"/>
        <v>0</v>
      </c>
      <c r="AY59" s="3237"/>
      <c r="BC59" s="3235">
        <f t="shared" si="103"/>
        <v>270525277</v>
      </c>
      <c r="BD59" s="3236">
        <f t="shared" si="104"/>
        <v>270525277</v>
      </c>
      <c r="BE59" s="3236">
        <f t="shared" si="105"/>
        <v>0</v>
      </c>
      <c r="BF59" s="3236">
        <f t="shared" si="106"/>
        <v>0</v>
      </c>
      <c r="BG59" s="3237"/>
      <c r="BK59" s="3235">
        <f t="shared" si="107"/>
        <v>270525277</v>
      </c>
      <c r="BL59" s="3236">
        <f t="shared" si="108"/>
        <v>270525277</v>
      </c>
      <c r="BM59" s="3236">
        <f t="shared" si="109"/>
        <v>0</v>
      </c>
      <c r="BN59" s="3236">
        <f t="shared" si="110"/>
        <v>0</v>
      </c>
      <c r="BO59" s="3237"/>
      <c r="BS59" s="3235">
        <f t="shared" si="111"/>
        <v>270525277</v>
      </c>
      <c r="BT59" s="3236">
        <f t="shared" si="112"/>
        <v>270525277</v>
      </c>
      <c r="BU59" s="3236">
        <f t="shared" si="113"/>
        <v>0</v>
      </c>
      <c r="BV59" s="3236">
        <f t="shared" si="114"/>
        <v>0</v>
      </c>
      <c r="BW59" s="3237"/>
      <c r="CA59" s="3235">
        <f t="shared" si="115"/>
        <v>270525277</v>
      </c>
      <c r="CB59" s="3236">
        <f t="shared" si="116"/>
        <v>270525277</v>
      </c>
      <c r="CC59" s="3236">
        <f t="shared" si="117"/>
        <v>0</v>
      </c>
      <c r="CD59" s="3236">
        <f t="shared" si="118"/>
        <v>0</v>
      </c>
      <c r="CE59" s="3237"/>
      <c r="CI59" s="3235">
        <f t="shared" si="119"/>
        <v>270525277</v>
      </c>
      <c r="CJ59" s="3236">
        <f t="shared" si="120"/>
        <v>270525277</v>
      </c>
      <c r="CK59" s="3236">
        <f t="shared" si="121"/>
        <v>0</v>
      </c>
      <c r="CL59" s="3236">
        <f t="shared" si="122"/>
        <v>0</v>
      </c>
      <c r="CM59" s="3237"/>
      <c r="CQ59" s="3235">
        <f t="shared" si="123"/>
        <v>270525277</v>
      </c>
      <c r="CR59" s="3236">
        <f t="shared" si="124"/>
        <v>270525277</v>
      </c>
      <c r="CS59" s="3236">
        <f t="shared" si="125"/>
        <v>0</v>
      </c>
      <c r="CT59" s="3236">
        <f t="shared" si="126"/>
        <v>0</v>
      </c>
      <c r="CU59" s="3237"/>
      <c r="CY59" s="3235">
        <f t="shared" si="127"/>
        <v>270525277</v>
      </c>
      <c r="CZ59" s="3236">
        <f t="shared" si="128"/>
        <v>270525277</v>
      </c>
      <c r="DA59" s="3236">
        <f t="shared" si="129"/>
        <v>0</v>
      </c>
      <c r="DB59" s="3236">
        <f t="shared" si="130"/>
        <v>0</v>
      </c>
      <c r="DC59" s="3237"/>
      <c r="DG59" s="3235">
        <f t="shared" si="131"/>
        <v>270525277</v>
      </c>
      <c r="DH59" s="3236">
        <f t="shared" si="132"/>
        <v>270525277</v>
      </c>
      <c r="DI59" s="3236">
        <f t="shared" si="133"/>
        <v>0</v>
      </c>
      <c r="DJ59" s="3236">
        <f t="shared" si="134"/>
        <v>0</v>
      </c>
      <c r="DK59" s="3237"/>
      <c r="DO59" s="3235">
        <f t="shared" si="135"/>
        <v>270525277</v>
      </c>
      <c r="DP59" s="3236">
        <f t="shared" si="136"/>
        <v>270525277</v>
      </c>
      <c r="DQ59" s="3236">
        <f t="shared" si="137"/>
        <v>0</v>
      </c>
      <c r="DR59" s="3236">
        <f t="shared" si="138"/>
        <v>0</v>
      </c>
      <c r="DS59" s="3237"/>
      <c r="DW59" s="3235">
        <f t="shared" si="139"/>
        <v>270525277</v>
      </c>
      <c r="DX59" s="3236">
        <f t="shared" si="140"/>
        <v>270525277</v>
      </c>
      <c r="DY59" s="3236">
        <f t="shared" si="141"/>
        <v>0</v>
      </c>
      <c r="DZ59" s="3236">
        <f t="shared" si="142"/>
        <v>0</v>
      </c>
      <c r="EA59" s="3237"/>
      <c r="EE59" s="3235">
        <f t="shared" si="143"/>
        <v>270525277</v>
      </c>
      <c r="EF59" s="3236">
        <f t="shared" si="144"/>
        <v>270525277</v>
      </c>
      <c r="EG59" s="3236">
        <f t="shared" si="145"/>
        <v>0</v>
      </c>
      <c r="EH59" s="3236">
        <f t="shared" si="146"/>
        <v>0</v>
      </c>
      <c r="EI59" s="3237"/>
      <c r="EM59" s="3235">
        <f t="shared" si="147"/>
        <v>270525277</v>
      </c>
      <c r="EN59" s="3236">
        <f t="shared" si="148"/>
        <v>270525277</v>
      </c>
      <c r="EO59" s="3236">
        <f t="shared" si="149"/>
        <v>0</v>
      </c>
      <c r="EP59" s="3236">
        <f t="shared" si="150"/>
        <v>0</v>
      </c>
      <c r="EQ59" s="3237"/>
      <c r="EU59" s="3235">
        <f t="shared" si="151"/>
        <v>270525277</v>
      </c>
      <c r="EV59" s="3236">
        <f t="shared" si="152"/>
        <v>270525277</v>
      </c>
      <c r="EW59" s="3236">
        <f t="shared" si="153"/>
        <v>0</v>
      </c>
      <c r="EX59" s="3236">
        <f t="shared" si="154"/>
        <v>0</v>
      </c>
      <c r="EY59" s="3237"/>
      <c r="FC59" s="3235">
        <f t="shared" si="155"/>
        <v>270525277</v>
      </c>
      <c r="FD59" s="3236">
        <f t="shared" si="156"/>
        <v>270525277</v>
      </c>
      <c r="FE59" s="3236">
        <f t="shared" si="157"/>
        <v>0</v>
      </c>
      <c r="FF59" s="3236">
        <f t="shared" si="158"/>
        <v>0</v>
      </c>
      <c r="FG59" s="3237"/>
      <c r="FK59" s="3235">
        <f t="shared" si="159"/>
        <v>270525277</v>
      </c>
      <c r="FL59" s="3236">
        <f t="shared" si="160"/>
        <v>270525277</v>
      </c>
      <c r="FM59" s="3236">
        <f t="shared" si="161"/>
        <v>0</v>
      </c>
      <c r="FN59" s="3236">
        <f t="shared" si="162"/>
        <v>0</v>
      </c>
      <c r="FO59" s="3237"/>
    </row>
    <row r="60" spans="1:171">
      <c r="A60" s="2092"/>
      <c r="B60" s="2185" t="s">
        <v>137</v>
      </c>
      <c r="C60" s="2464">
        <v>219</v>
      </c>
      <c r="D60" s="2464">
        <v>108</v>
      </c>
      <c r="E60" s="2424" t="str">
        <f>'Sch 1- Rate Base '!E60</f>
        <v>PROD</v>
      </c>
      <c r="F60" s="2171"/>
      <c r="G60" s="2424">
        <f>'Sch 1- Rate Base '!G60</f>
        <v>1084449271</v>
      </c>
      <c r="H60" s="2424">
        <f>'Sch 1- Rate Base '!H60</f>
        <v>1084449271</v>
      </c>
      <c r="I60" s="2424">
        <f>'Sch 1- Rate Base '!I60</f>
        <v>0</v>
      </c>
      <c r="J60" s="3465">
        <f>'Sch 1- Rate Base '!J60</f>
        <v>0</v>
      </c>
      <c r="K60" s="3205">
        <f t="shared" si="82"/>
        <v>1</v>
      </c>
      <c r="O60" s="3235">
        <f t="shared" si="83"/>
        <v>1084449271</v>
      </c>
      <c r="P60" s="3236">
        <f t="shared" si="84"/>
        <v>1084449271</v>
      </c>
      <c r="Q60" s="3236">
        <f t="shared" si="85"/>
        <v>0</v>
      </c>
      <c r="R60" s="3236">
        <f t="shared" si="86"/>
        <v>0</v>
      </c>
      <c r="S60" s="3237"/>
      <c r="W60" s="3235">
        <f t="shared" si="87"/>
        <v>1084449271</v>
      </c>
      <c r="X60" s="3236">
        <f t="shared" si="88"/>
        <v>1084449271</v>
      </c>
      <c r="Y60" s="3236">
        <f t="shared" si="89"/>
        <v>0</v>
      </c>
      <c r="Z60" s="3236">
        <f t="shared" si="90"/>
        <v>0</v>
      </c>
      <c r="AA60" s="3237"/>
      <c r="AE60" s="3235">
        <f t="shared" si="91"/>
        <v>1084449271</v>
      </c>
      <c r="AF60" s="3236">
        <f t="shared" si="92"/>
        <v>1084449271</v>
      </c>
      <c r="AG60" s="3236">
        <f t="shared" si="93"/>
        <v>0</v>
      </c>
      <c r="AH60" s="3236">
        <f t="shared" si="94"/>
        <v>0</v>
      </c>
      <c r="AI60" s="3237"/>
      <c r="AM60" s="3235">
        <f t="shared" si="95"/>
        <v>1084449271</v>
      </c>
      <c r="AN60" s="3236">
        <f t="shared" si="96"/>
        <v>1084449271</v>
      </c>
      <c r="AO60" s="3236">
        <f t="shared" si="97"/>
        <v>0</v>
      </c>
      <c r="AP60" s="3236">
        <f t="shared" si="98"/>
        <v>0</v>
      </c>
      <c r="AQ60" s="3237"/>
      <c r="AU60" s="3235">
        <f t="shared" si="99"/>
        <v>1084449271</v>
      </c>
      <c r="AV60" s="3236">
        <f t="shared" si="100"/>
        <v>1084449271</v>
      </c>
      <c r="AW60" s="3236">
        <f t="shared" si="101"/>
        <v>0</v>
      </c>
      <c r="AX60" s="3236">
        <f t="shared" si="102"/>
        <v>0</v>
      </c>
      <c r="AY60" s="3237"/>
      <c r="BC60" s="3235">
        <f t="shared" si="103"/>
        <v>1084449271</v>
      </c>
      <c r="BD60" s="3236">
        <f t="shared" si="104"/>
        <v>1084449271</v>
      </c>
      <c r="BE60" s="3236">
        <f t="shared" si="105"/>
        <v>0</v>
      </c>
      <c r="BF60" s="3236">
        <f t="shared" si="106"/>
        <v>0</v>
      </c>
      <c r="BG60" s="3237"/>
      <c r="BK60" s="3235">
        <f t="shared" si="107"/>
        <v>1084449271</v>
      </c>
      <c r="BL60" s="3236">
        <f t="shared" si="108"/>
        <v>1084449271</v>
      </c>
      <c r="BM60" s="3236">
        <f t="shared" si="109"/>
        <v>0</v>
      </c>
      <c r="BN60" s="3236">
        <f t="shared" si="110"/>
        <v>0</v>
      </c>
      <c r="BO60" s="3237"/>
      <c r="BS60" s="3235">
        <f t="shared" si="111"/>
        <v>1084449271</v>
      </c>
      <c r="BT60" s="3236">
        <f t="shared" si="112"/>
        <v>1084449271</v>
      </c>
      <c r="BU60" s="3236">
        <f t="shared" si="113"/>
        <v>0</v>
      </c>
      <c r="BV60" s="3236">
        <f t="shared" si="114"/>
        <v>0</v>
      </c>
      <c r="BW60" s="3237"/>
      <c r="CA60" s="3235">
        <f t="shared" si="115"/>
        <v>1084449271</v>
      </c>
      <c r="CB60" s="3236">
        <f t="shared" si="116"/>
        <v>1084449271</v>
      </c>
      <c r="CC60" s="3236">
        <f t="shared" si="117"/>
        <v>0</v>
      </c>
      <c r="CD60" s="3236">
        <f t="shared" si="118"/>
        <v>0</v>
      </c>
      <c r="CE60" s="3237"/>
      <c r="CI60" s="3235">
        <f t="shared" si="119"/>
        <v>1084449271</v>
      </c>
      <c r="CJ60" s="3236">
        <f t="shared" si="120"/>
        <v>1084449271</v>
      </c>
      <c r="CK60" s="3236">
        <f t="shared" si="121"/>
        <v>0</v>
      </c>
      <c r="CL60" s="3236">
        <f t="shared" si="122"/>
        <v>0</v>
      </c>
      <c r="CM60" s="3237"/>
      <c r="CQ60" s="3235">
        <f t="shared" si="123"/>
        <v>1084449271</v>
      </c>
      <c r="CR60" s="3236">
        <f t="shared" si="124"/>
        <v>1084449271</v>
      </c>
      <c r="CS60" s="3236">
        <f t="shared" si="125"/>
        <v>0</v>
      </c>
      <c r="CT60" s="3236">
        <f t="shared" si="126"/>
        <v>0</v>
      </c>
      <c r="CU60" s="3237"/>
      <c r="CY60" s="3235">
        <f t="shared" si="127"/>
        <v>1084449271</v>
      </c>
      <c r="CZ60" s="3236">
        <f t="shared" si="128"/>
        <v>1084449271</v>
      </c>
      <c r="DA60" s="3236">
        <f t="shared" si="129"/>
        <v>0</v>
      </c>
      <c r="DB60" s="3236">
        <f t="shared" si="130"/>
        <v>0</v>
      </c>
      <c r="DC60" s="3237"/>
      <c r="DG60" s="3235">
        <f t="shared" si="131"/>
        <v>1084449271</v>
      </c>
      <c r="DH60" s="3236">
        <f t="shared" si="132"/>
        <v>1084449271</v>
      </c>
      <c r="DI60" s="3236">
        <f t="shared" si="133"/>
        <v>0</v>
      </c>
      <c r="DJ60" s="3236">
        <f t="shared" si="134"/>
        <v>0</v>
      </c>
      <c r="DK60" s="3237"/>
      <c r="DO60" s="3235">
        <f t="shared" si="135"/>
        <v>1084449271</v>
      </c>
      <c r="DP60" s="3236">
        <f t="shared" si="136"/>
        <v>1084449271</v>
      </c>
      <c r="DQ60" s="3236">
        <f t="shared" si="137"/>
        <v>0</v>
      </c>
      <c r="DR60" s="3236">
        <f t="shared" si="138"/>
        <v>0</v>
      </c>
      <c r="DS60" s="3237"/>
      <c r="DW60" s="3235">
        <f t="shared" si="139"/>
        <v>1084449271</v>
      </c>
      <c r="DX60" s="3236">
        <f t="shared" si="140"/>
        <v>1084449271</v>
      </c>
      <c r="DY60" s="3236">
        <f t="shared" si="141"/>
        <v>0</v>
      </c>
      <c r="DZ60" s="3236">
        <f t="shared" si="142"/>
        <v>0</v>
      </c>
      <c r="EA60" s="3237"/>
      <c r="EE60" s="3235">
        <f t="shared" si="143"/>
        <v>1084449271</v>
      </c>
      <c r="EF60" s="3236">
        <f t="shared" si="144"/>
        <v>1084449271</v>
      </c>
      <c r="EG60" s="3236">
        <f t="shared" si="145"/>
        <v>0</v>
      </c>
      <c r="EH60" s="3236">
        <f t="shared" si="146"/>
        <v>0</v>
      </c>
      <c r="EI60" s="3237"/>
      <c r="EM60" s="3235">
        <f t="shared" si="147"/>
        <v>1084449271</v>
      </c>
      <c r="EN60" s="3236">
        <f t="shared" si="148"/>
        <v>1084449271</v>
      </c>
      <c r="EO60" s="3236">
        <f t="shared" si="149"/>
        <v>0</v>
      </c>
      <c r="EP60" s="3236">
        <f t="shared" si="150"/>
        <v>0</v>
      </c>
      <c r="EQ60" s="3237"/>
      <c r="EU60" s="3235">
        <f t="shared" si="151"/>
        <v>1084449271</v>
      </c>
      <c r="EV60" s="3236">
        <f t="shared" si="152"/>
        <v>1084449271</v>
      </c>
      <c r="EW60" s="3236">
        <f t="shared" si="153"/>
        <v>0</v>
      </c>
      <c r="EX60" s="3236">
        <f t="shared" si="154"/>
        <v>0</v>
      </c>
      <c r="EY60" s="3237"/>
      <c r="FC60" s="3235">
        <f t="shared" si="155"/>
        <v>1084449271</v>
      </c>
      <c r="FD60" s="3236">
        <f t="shared" si="156"/>
        <v>1084449271</v>
      </c>
      <c r="FE60" s="3236">
        <f t="shared" si="157"/>
        <v>0</v>
      </c>
      <c r="FF60" s="3236">
        <f t="shared" si="158"/>
        <v>0</v>
      </c>
      <c r="FG60" s="3237"/>
      <c r="FK60" s="3235">
        <f t="shared" si="159"/>
        <v>1084449271</v>
      </c>
      <c r="FL60" s="3236">
        <f t="shared" si="160"/>
        <v>1084449271</v>
      </c>
      <c r="FM60" s="3236">
        <f t="shared" si="161"/>
        <v>0</v>
      </c>
      <c r="FN60" s="3236">
        <f t="shared" si="162"/>
        <v>0</v>
      </c>
      <c r="FO60" s="3237"/>
    </row>
    <row r="61" spans="1:171">
      <c r="A61" s="2092"/>
      <c r="B61" s="2185" t="s">
        <v>143</v>
      </c>
      <c r="C61" s="2464">
        <v>219</v>
      </c>
      <c r="D61" s="2464">
        <v>108</v>
      </c>
      <c r="E61" s="2424" t="str">
        <f>'Sch 1- Rate Base '!E61</f>
        <v>TRANS</v>
      </c>
      <c r="F61" s="2171"/>
      <c r="G61" s="2424">
        <f>'Sch 1- Rate Base '!G61</f>
        <v>663408032</v>
      </c>
      <c r="H61" s="2424">
        <f>'Sch 1- Rate Base '!H61</f>
        <v>0</v>
      </c>
      <c r="I61" s="2424">
        <f>'Sch 1- Rate Base '!I61</f>
        <v>0</v>
      </c>
      <c r="J61" s="3465">
        <f>'Sch 1- Rate Base '!J61</f>
        <v>663408032</v>
      </c>
      <c r="K61" s="3205">
        <f t="shared" si="82"/>
        <v>1</v>
      </c>
      <c r="O61" s="3235">
        <f t="shared" si="83"/>
        <v>663408032</v>
      </c>
      <c r="P61" s="3236">
        <f t="shared" si="84"/>
        <v>0</v>
      </c>
      <c r="Q61" s="3236">
        <f t="shared" si="85"/>
        <v>663408032</v>
      </c>
      <c r="R61" s="3236">
        <f t="shared" si="86"/>
        <v>0</v>
      </c>
      <c r="S61" s="3237"/>
      <c r="W61" s="3235">
        <f t="shared" si="87"/>
        <v>663408032</v>
      </c>
      <c r="X61" s="3236">
        <f t="shared" si="88"/>
        <v>0</v>
      </c>
      <c r="Y61" s="3236">
        <f t="shared" si="89"/>
        <v>663408032</v>
      </c>
      <c r="Z61" s="3236">
        <f t="shared" si="90"/>
        <v>0</v>
      </c>
      <c r="AA61" s="3237"/>
      <c r="AE61" s="3235">
        <f t="shared" si="91"/>
        <v>663408032</v>
      </c>
      <c r="AF61" s="3236">
        <f t="shared" si="92"/>
        <v>0</v>
      </c>
      <c r="AG61" s="3236">
        <f t="shared" si="93"/>
        <v>663408032</v>
      </c>
      <c r="AH61" s="3236">
        <f t="shared" si="94"/>
        <v>0</v>
      </c>
      <c r="AI61" s="3237"/>
      <c r="AM61" s="3235">
        <f t="shared" si="95"/>
        <v>663408032</v>
      </c>
      <c r="AN61" s="3236">
        <f t="shared" si="96"/>
        <v>0</v>
      </c>
      <c r="AO61" s="3236">
        <f t="shared" si="97"/>
        <v>663408032</v>
      </c>
      <c r="AP61" s="3236">
        <f t="shared" si="98"/>
        <v>0</v>
      </c>
      <c r="AQ61" s="3237"/>
      <c r="AU61" s="3235">
        <f t="shared" si="99"/>
        <v>663408032</v>
      </c>
      <c r="AV61" s="3236">
        <f t="shared" si="100"/>
        <v>0</v>
      </c>
      <c r="AW61" s="3236">
        <f t="shared" si="101"/>
        <v>663408032</v>
      </c>
      <c r="AX61" s="3236">
        <f t="shared" si="102"/>
        <v>0</v>
      </c>
      <c r="AY61" s="3237"/>
      <c r="BC61" s="3235">
        <f t="shared" si="103"/>
        <v>663408032</v>
      </c>
      <c r="BD61" s="3236">
        <f t="shared" si="104"/>
        <v>0</v>
      </c>
      <c r="BE61" s="3236">
        <f t="shared" si="105"/>
        <v>663408032</v>
      </c>
      <c r="BF61" s="3236">
        <f t="shared" si="106"/>
        <v>0</v>
      </c>
      <c r="BG61" s="3237"/>
      <c r="BK61" s="3235">
        <f t="shared" si="107"/>
        <v>663408032</v>
      </c>
      <c r="BL61" s="3236">
        <f t="shared" si="108"/>
        <v>0</v>
      </c>
      <c r="BM61" s="3236">
        <f t="shared" si="109"/>
        <v>663408032</v>
      </c>
      <c r="BN61" s="3236">
        <f t="shared" si="110"/>
        <v>0</v>
      </c>
      <c r="BO61" s="3237"/>
      <c r="BS61" s="3235">
        <f t="shared" si="111"/>
        <v>663408032</v>
      </c>
      <c r="BT61" s="3236">
        <f t="shared" si="112"/>
        <v>0</v>
      </c>
      <c r="BU61" s="3236">
        <f t="shared" si="113"/>
        <v>663408032</v>
      </c>
      <c r="BV61" s="3236">
        <f t="shared" si="114"/>
        <v>0</v>
      </c>
      <c r="BW61" s="3237"/>
      <c r="CA61" s="3235">
        <f t="shared" si="115"/>
        <v>663408032</v>
      </c>
      <c r="CB61" s="3236">
        <f t="shared" si="116"/>
        <v>0</v>
      </c>
      <c r="CC61" s="3236">
        <f t="shared" si="117"/>
        <v>663408032</v>
      </c>
      <c r="CD61" s="3236">
        <f t="shared" si="118"/>
        <v>0</v>
      </c>
      <c r="CE61" s="3237"/>
      <c r="CI61" s="3235">
        <f t="shared" si="119"/>
        <v>663408032</v>
      </c>
      <c r="CJ61" s="3236">
        <f t="shared" si="120"/>
        <v>0</v>
      </c>
      <c r="CK61" s="3236">
        <f t="shared" si="121"/>
        <v>663408032</v>
      </c>
      <c r="CL61" s="3236">
        <f t="shared" si="122"/>
        <v>0</v>
      </c>
      <c r="CM61" s="3237"/>
      <c r="CQ61" s="3235">
        <f t="shared" si="123"/>
        <v>663408032</v>
      </c>
      <c r="CR61" s="3236">
        <f t="shared" si="124"/>
        <v>0</v>
      </c>
      <c r="CS61" s="3236">
        <f t="shared" si="125"/>
        <v>663408032</v>
      </c>
      <c r="CT61" s="3236">
        <f t="shared" si="126"/>
        <v>0</v>
      </c>
      <c r="CU61" s="3237"/>
      <c r="CY61" s="3235">
        <f t="shared" si="127"/>
        <v>663408032</v>
      </c>
      <c r="CZ61" s="3236">
        <f t="shared" si="128"/>
        <v>0</v>
      </c>
      <c r="DA61" s="3236">
        <f t="shared" si="129"/>
        <v>663408032</v>
      </c>
      <c r="DB61" s="3236">
        <f t="shared" si="130"/>
        <v>0</v>
      </c>
      <c r="DC61" s="3237"/>
      <c r="DG61" s="3235">
        <f t="shared" si="131"/>
        <v>663408032</v>
      </c>
      <c r="DH61" s="3236">
        <f t="shared" si="132"/>
        <v>0</v>
      </c>
      <c r="DI61" s="3236">
        <f t="shared" si="133"/>
        <v>663408032</v>
      </c>
      <c r="DJ61" s="3236">
        <f t="shared" si="134"/>
        <v>0</v>
      </c>
      <c r="DK61" s="3237"/>
      <c r="DO61" s="3235">
        <f t="shared" si="135"/>
        <v>663408032</v>
      </c>
      <c r="DP61" s="3236">
        <f t="shared" si="136"/>
        <v>0</v>
      </c>
      <c r="DQ61" s="3236">
        <f t="shared" si="137"/>
        <v>663408032</v>
      </c>
      <c r="DR61" s="3236">
        <f t="shared" si="138"/>
        <v>0</v>
      </c>
      <c r="DS61" s="3237"/>
      <c r="DW61" s="3235">
        <f t="shared" si="139"/>
        <v>663408032</v>
      </c>
      <c r="DX61" s="3236">
        <f t="shared" si="140"/>
        <v>0</v>
      </c>
      <c r="DY61" s="3236">
        <f t="shared" si="141"/>
        <v>663408032</v>
      </c>
      <c r="DZ61" s="3236">
        <f t="shared" si="142"/>
        <v>0</v>
      </c>
      <c r="EA61" s="3237"/>
      <c r="EE61" s="3235">
        <f t="shared" si="143"/>
        <v>663408032</v>
      </c>
      <c r="EF61" s="3236">
        <f t="shared" si="144"/>
        <v>0</v>
      </c>
      <c r="EG61" s="3236">
        <f t="shared" si="145"/>
        <v>663408032</v>
      </c>
      <c r="EH61" s="3236">
        <f t="shared" si="146"/>
        <v>0</v>
      </c>
      <c r="EI61" s="3237"/>
      <c r="EM61" s="3235">
        <f t="shared" si="147"/>
        <v>663408032</v>
      </c>
      <c r="EN61" s="3236">
        <f t="shared" si="148"/>
        <v>0</v>
      </c>
      <c r="EO61" s="3236">
        <f t="shared" si="149"/>
        <v>663408032</v>
      </c>
      <c r="EP61" s="3236">
        <f t="shared" si="150"/>
        <v>0</v>
      </c>
      <c r="EQ61" s="3237"/>
      <c r="EU61" s="3235">
        <f t="shared" si="151"/>
        <v>663408032</v>
      </c>
      <c r="EV61" s="3236">
        <f t="shared" si="152"/>
        <v>0</v>
      </c>
      <c r="EW61" s="3236">
        <f t="shared" si="153"/>
        <v>663408032</v>
      </c>
      <c r="EX61" s="3236">
        <f t="shared" si="154"/>
        <v>0</v>
      </c>
      <c r="EY61" s="3237"/>
      <c r="FC61" s="3235">
        <f t="shared" si="155"/>
        <v>663408032</v>
      </c>
      <c r="FD61" s="3236">
        <f t="shared" si="156"/>
        <v>0</v>
      </c>
      <c r="FE61" s="3236">
        <f t="shared" si="157"/>
        <v>663408032</v>
      </c>
      <c r="FF61" s="3236">
        <f t="shared" si="158"/>
        <v>0</v>
      </c>
      <c r="FG61" s="3237"/>
      <c r="FK61" s="3235">
        <f t="shared" si="159"/>
        <v>663408032</v>
      </c>
      <c r="FL61" s="3236">
        <f t="shared" si="160"/>
        <v>0</v>
      </c>
      <c r="FM61" s="3236">
        <f t="shared" si="161"/>
        <v>663408032</v>
      </c>
      <c r="FN61" s="3236">
        <f t="shared" si="162"/>
        <v>0</v>
      </c>
      <c r="FO61" s="3237"/>
    </row>
    <row r="62" spans="1:171">
      <c r="A62" s="2092"/>
      <c r="B62" s="2185" t="s">
        <v>469</v>
      </c>
      <c r="C62" s="2464">
        <v>219</v>
      </c>
      <c r="D62" s="2464">
        <v>108</v>
      </c>
      <c r="E62" s="2424" t="str">
        <f>'Sch 1- Rate Base '!E62</f>
        <v>DIST</v>
      </c>
      <c r="F62" s="2171"/>
      <c r="G62" s="2424">
        <f>'Sch 1- Rate Base '!G62</f>
        <v>2008273620</v>
      </c>
      <c r="H62" s="2424">
        <f>'Sch 1- Rate Base '!H62</f>
        <v>0</v>
      </c>
      <c r="I62" s="2424">
        <f>'Sch 1- Rate Base '!I62</f>
        <v>0</v>
      </c>
      <c r="J62" s="3465">
        <f>'Sch 1- Rate Base '!J62</f>
        <v>2008273620</v>
      </c>
      <c r="K62" s="3205">
        <f t="shared" si="82"/>
        <v>1</v>
      </c>
      <c r="O62" s="3235">
        <f t="shared" si="83"/>
        <v>2008273620</v>
      </c>
      <c r="P62" s="3236">
        <f t="shared" si="84"/>
        <v>0</v>
      </c>
      <c r="Q62" s="3236">
        <f t="shared" si="85"/>
        <v>0</v>
      </c>
      <c r="R62" s="3236">
        <f t="shared" si="86"/>
        <v>2008273620</v>
      </c>
      <c r="S62" s="3237"/>
      <c r="W62" s="3235">
        <f t="shared" si="87"/>
        <v>2008273620</v>
      </c>
      <c r="X62" s="3236">
        <f t="shared" si="88"/>
        <v>0</v>
      </c>
      <c r="Y62" s="3236">
        <f t="shared" si="89"/>
        <v>0</v>
      </c>
      <c r="Z62" s="3236">
        <f t="shared" si="90"/>
        <v>2008273620</v>
      </c>
      <c r="AA62" s="3237"/>
      <c r="AE62" s="3235">
        <f t="shared" si="91"/>
        <v>2008273620</v>
      </c>
      <c r="AF62" s="3236">
        <f t="shared" si="92"/>
        <v>0</v>
      </c>
      <c r="AG62" s="3236">
        <f t="shared" si="93"/>
        <v>0</v>
      </c>
      <c r="AH62" s="3236">
        <f t="shared" si="94"/>
        <v>2008273620</v>
      </c>
      <c r="AI62" s="3237"/>
      <c r="AM62" s="3235">
        <f t="shared" si="95"/>
        <v>2008273620</v>
      </c>
      <c r="AN62" s="3236">
        <f t="shared" si="96"/>
        <v>0</v>
      </c>
      <c r="AO62" s="3236">
        <f t="shared" si="97"/>
        <v>0</v>
      </c>
      <c r="AP62" s="3236">
        <f t="shared" si="98"/>
        <v>2008273620</v>
      </c>
      <c r="AQ62" s="3237"/>
      <c r="AU62" s="3235">
        <f t="shared" si="99"/>
        <v>2008273620</v>
      </c>
      <c r="AV62" s="3236">
        <f t="shared" si="100"/>
        <v>0</v>
      </c>
      <c r="AW62" s="3236">
        <f t="shared" si="101"/>
        <v>0</v>
      </c>
      <c r="AX62" s="3236">
        <f t="shared" si="102"/>
        <v>2008273620</v>
      </c>
      <c r="AY62" s="3237"/>
      <c r="BC62" s="3235">
        <f t="shared" si="103"/>
        <v>2008273620</v>
      </c>
      <c r="BD62" s="3236">
        <f t="shared" si="104"/>
        <v>0</v>
      </c>
      <c r="BE62" s="3236">
        <f t="shared" si="105"/>
        <v>0</v>
      </c>
      <c r="BF62" s="3236">
        <f t="shared" si="106"/>
        <v>2008273620</v>
      </c>
      <c r="BG62" s="3237"/>
      <c r="BK62" s="3235">
        <f t="shared" si="107"/>
        <v>2008273620</v>
      </c>
      <c r="BL62" s="3236">
        <f t="shared" si="108"/>
        <v>0</v>
      </c>
      <c r="BM62" s="3236">
        <f t="shared" si="109"/>
        <v>0</v>
      </c>
      <c r="BN62" s="3236">
        <f t="shared" si="110"/>
        <v>2008273620</v>
      </c>
      <c r="BO62" s="3237"/>
      <c r="BS62" s="3235">
        <f t="shared" si="111"/>
        <v>2008273620</v>
      </c>
      <c r="BT62" s="3236">
        <f t="shared" si="112"/>
        <v>0</v>
      </c>
      <c r="BU62" s="3236">
        <f t="shared" si="113"/>
        <v>0</v>
      </c>
      <c r="BV62" s="3236">
        <f t="shared" si="114"/>
        <v>2008273620</v>
      </c>
      <c r="BW62" s="3237"/>
      <c r="CA62" s="3235">
        <f t="shared" si="115"/>
        <v>2008273620</v>
      </c>
      <c r="CB62" s="3236">
        <f t="shared" si="116"/>
        <v>0</v>
      </c>
      <c r="CC62" s="3236">
        <f t="shared" si="117"/>
        <v>0</v>
      </c>
      <c r="CD62" s="3236">
        <f t="shared" si="118"/>
        <v>2008273620</v>
      </c>
      <c r="CE62" s="3237"/>
      <c r="CI62" s="3235">
        <f t="shared" si="119"/>
        <v>2008273620</v>
      </c>
      <c r="CJ62" s="3236">
        <f t="shared" si="120"/>
        <v>0</v>
      </c>
      <c r="CK62" s="3236">
        <f t="shared" si="121"/>
        <v>0</v>
      </c>
      <c r="CL62" s="3236">
        <f t="shared" si="122"/>
        <v>2008273620</v>
      </c>
      <c r="CM62" s="3237"/>
      <c r="CQ62" s="3235">
        <f t="shared" si="123"/>
        <v>2008273620</v>
      </c>
      <c r="CR62" s="3236">
        <f t="shared" si="124"/>
        <v>0</v>
      </c>
      <c r="CS62" s="3236">
        <f t="shared" si="125"/>
        <v>0</v>
      </c>
      <c r="CT62" s="3236">
        <f t="shared" si="126"/>
        <v>2008273620</v>
      </c>
      <c r="CU62" s="3237"/>
      <c r="CY62" s="3235">
        <f t="shared" si="127"/>
        <v>2008273620</v>
      </c>
      <c r="CZ62" s="3236">
        <f t="shared" si="128"/>
        <v>0</v>
      </c>
      <c r="DA62" s="3236">
        <f t="shared" si="129"/>
        <v>0</v>
      </c>
      <c r="DB62" s="3236">
        <f t="shared" si="130"/>
        <v>2008273620</v>
      </c>
      <c r="DC62" s="3237"/>
      <c r="DG62" s="3235">
        <f t="shared" si="131"/>
        <v>2008273620</v>
      </c>
      <c r="DH62" s="3236">
        <f t="shared" si="132"/>
        <v>0</v>
      </c>
      <c r="DI62" s="3236">
        <f t="shared" si="133"/>
        <v>0</v>
      </c>
      <c r="DJ62" s="3236">
        <f t="shared" si="134"/>
        <v>2008273620</v>
      </c>
      <c r="DK62" s="3237"/>
      <c r="DO62" s="3235">
        <f t="shared" si="135"/>
        <v>2008273620</v>
      </c>
      <c r="DP62" s="3236">
        <f t="shared" si="136"/>
        <v>0</v>
      </c>
      <c r="DQ62" s="3236">
        <f t="shared" si="137"/>
        <v>0</v>
      </c>
      <c r="DR62" s="3236">
        <f t="shared" si="138"/>
        <v>2008273620</v>
      </c>
      <c r="DS62" s="3237"/>
      <c r="DW62" s="3235">
        <f t="shared" si="139"/>
        <v>2008273620</v>
      </c>
      <c r="DX62" s="3236">
        <f t="shared" si="140"/>
        <v>0</v>
      </c>
      <c r="DY62" s="3236">
        <f t="shared" si="141"/>
        <v>0</v>
      </c>
      <c r="DZ62" s="3236">
        <f t="shared" si="142"/>
        <v>2008273620</v>
      </c>
      <c r="EA62" s="3237"/>
      <c r="EE62" s="3235">
        <f t="shared" si="143"/>
        <v>2008273620</v>
      </c>
      <c r="EF62" s="3236">
        <f t="shared" si="144"/>
        <v>0</v>
      </c>
      <c r="EG62" s="3236">
        <f t="shared" si="145"/>
        <v>0</v>
      </c>
      <c r="EH62" s="3236">
        <f t="shared" si="146"/>
        <v>2008273620</v>
      </c>
      <c r="EI62" s="3237"/>
      <c r="EM62" s="3235">
        <f t="shared" si="147"/>
        <v>2008273620</v>
      </c>
      <c r="EN62" s="3236">
        <f t="shared" si="148"/>
        <v>0</v>
      </c>
      <c r="EO62" s="3236">
        <f t="shared" si="149"/>
        <v>0</v>
      </c>
      <c r="EP62" s="3236">
        <f t="shared" si="150"/>
        <v>2008273620</v>
      </c>
      <c r="EQ62" s="3237"/>
      <c r="EU62" s="3235">
        <f t="shared" si="151"/>
        <v>2008273620</v>
      </c>
      <c r="EV62" s="3236">
        <f t="shared" si="152"/>
        <v>0</v>
      </c>
      <c r="EW62" s="3236">
        <f t="shared" si="153"/>
        <v>0</v>
      </c>
      <c r="EX62" s="3236">
        <f t="shared" si="154"/>
        <v>2008273620</v>
      </c>
      <c r="EY62" s="3237"/>
      <c r="FC62" s="3235">
        <f t="shared" si="155"/>
        <v>2008273620</v>
      </c>
      <c r="FD62" s="3236">
        <f t="shared" si="156"/>
        <v>0</v>
      </c>
      <c r="FE62" s="3236">
        <f t="shared" si="157"/>
        <v>0</v>
      </c>
      <c r="FF62" s="3236">
        <f t="shared" si="158"/>
        <v>2008273620</v>
      </c>
      <c r="FG62" s="3237"/>
      <c r="FK62" s="3235">
        <f t="shared" si="159"/>
        <v>2008273620</v>
      </c>
      <c r="FL62" s="3236">
        <f t="shared" si="160"/>
        <v>0</v>
      </c>
      <c r="FM62" s="3236">
        <f t="shared" si="161"/>
        <v>0</v>
      </c>
      <c r="FN62" s="3236">
        <f t="shared" si="162"/>
        <v>2008273620</v>
      </c>
      <c r="FO62" s="3237"/>
    </row>
    <row r="63" spans="1:171">
      <c r="A63" s="2092"/>
      <c r="B63" s="2185" t="s">
        <v>92</v>
      </c>
      <c r="C63" s="2464">
        <v>219</v>
      </c>
      <c r="D63" s="2464">
        <v>108</v>
      </c>
      <c r="E63" s="2424" t="str">
        <f>'Sch 1- Rate Base '!E63</f>
        <v>GP</v>
      </c>
      <c r="F63" s="2171"/>
      <c r="G63" s="2424">
        <f>'Sch 1- Rate Base '!G63</f>
        <v>199145541</v>
      </c>
      <c r="H63" s="2424">
        <f>'Sch 1- Rate Base '!H63</f>
        <v>67862927.406866983</v>
      </c>
      <c r="I63" s="2424">
        <f>'Sch 1- Rate Base '!I63</f>
        <v>0</v>
      </c>
      <c r="J63" s="3465">
        <f>'Sch 1- Rate Base '!J63</f>
        <v>131282613.59313303</v>
      </c>
      <c r="K63" s="3205">
        <f t="shared" si="82"/>
        <v>1</v>
      </c>
      <c r="O63" s="3235">
        <f t="shared" si="83"/>
        <v>199145541</v>
      </c>
      <c r="P63" s="3236">
        <f t="shared" si="84"/>
        <v>67862927.406866983</v>
      </c>
      <c r="Q63" s="3236">
        <f t="shared" si="85"/>
        <v>33433730.197348591</v>
      </c>
      <c r="R63" s="3236">
        <f t="shared" si="86"/>
        <v>97848883.395784438</v>
      </c>
      <c r="S63" s="3237"/>
      <c r="W63" s="3235">
        <f t="shared" si="87"/>
        <v>199145541</v>
      </c>
      <c r="X63" s="3236">
        <f t="shared" si="88"/>
        <v>67862927.406866983</v>
      </c>
      <c r="Y63" s="3236">
        <f t="shared" si="89"/>
        <v>33433730.197348591</v>
      </c>
      <c r="Z63" s="3236">
        <f t="shared" si="90"/>
        <v>97848883.395784438</v>
      </c>
      <c r="AA63" s="3237"/>
      <c r="AE63" s="3235">
        <f t="shared" si="91"/>
        <v>199145541</v>
      </c>
      <c r="AF63" s="3236">
        <f t="shared" si="92"/>
        <v>67862927.406866983</v>
      </c>
      <c r="AG63" s="3236">
        <f t="shared" si="93"/>
        <v>33433730.197348591</v>
      </c>
      <c r="AH63" s="3236">
        <f t="shared" si="94"/>
        <v>97848883.395784438</v>
      </c>
      <c r="AI63" s="3237"/>
      <c r="AM63" s="3235">
        <f t="shared" si="95"/>
        <v>199145541</v>
      </c>
      <c r="AN63" s="3236">
        <f t="shared" si="96"/>
        <v>67862927.406866983</v>
      </c>
      <c r="AO63" s="3236">
        <f t="shared" si="97"/>
        <v>33433730.197348591</v>
      </c>
      <c r="AP63" s="3236">
        <f t="shared" si="98"/>
        <v>97848883.395784438</v>
      </c>
      <c r="AQ63" s="3237"/>
      <c r="AU63" s="3235">
        <f t="shared" si="99"/>
        <v>199145541</v>
      </c>
      <c r="AV63" s="3236">
        <f t="shared" si="100"/>
        <v>67862927.406866983</v>
      </c>
      <c r="AW63" s="3236">
        <f t="shared" si="101"/>
        <v>33433730.197348591</v>
      </c>
      <c r="AX63" s="3236">
        <f t="shared" si="102"/>
        <v>97848883.395784438</v>
      </c>
      <c r="AY63" s="3237"/>
      <c r="BC63" s="3235">
        <f t="shared" si="103"/>
        <v>199145541</v>
      </c>
      <c r="BD63" s="3236">
        <f t="shared" si="104"/>
        <v>67862927.406866983</v>
      </c>
      <c r="BE63" s="3236">
        <f t="shared" si="105"/>
        <v>33433730.197348591</v>
      </c>
      <c r="BF63" s="3236">
        <f t="shared" si="106"/>
        <v>97848883.395784438</v>
      </c>
      <c r="BG63" s="3237"/>
      <c r="BK63" s="3235">
        <f t="shared" si="107"/>
        <v>199145541</v>
      </c>
      <c r="BL63" s="3236">
        <f t="shared" si="108"/>
        <v>67862927.406866983</v>
      </c>
      <c r="BM63" s="3236">
        <f t="shared" si="109"/>
        <v>33433730.197348591</v>
      </c>
      <c r="BN63" s="3236">
        <f t="shared" si="110"/>
        <v>97848883.395784438</v>
      </c>
      <c r="BO63" s="3237"/>
      <c r="BS63" s="3235">
        <f t="shared" si="111"/>
        <v>199145541</v>
      </c>
      <c r="BT63" s="3236">
        <f t="shared" si="112"/>
        <v>67862927.406866983</v>
      </c>
      <c r="BU63" s="3236">
        <f t="shared" si="113"/>
        <v>33433730.197348591</v>
      </c>
      <c r="BV63" s="3236">
        <f t="shared" si="114"/>
        <v>97848883.395784438</v>
      </c>
      <c r="BW63" s="3237"/>
      <c r="CA63" s="3235">
        <f t="shared" si="115"/>
        <v>199145541</v>
      </c>
      <c r="CB63" s="3236">
        <f t="shared" si="116"/>
        <v>67862927.406866983</v>
      </c>
      <c r="CC63" s="3236">
        <f t="shared" si="117"/>
        <v>33433730.197348591</v>
      </c>
      <c r="CD63" s="3236">
        <f t="shared" si="118"/>
        <v>97848883.395784438</v>
      </c>
      <c r="CE63" s="3237"/>
      <c r="CI63" s="3235">
        <f t="shared" si="119"/>
        <v>199145541</v>
      </c>
      <c r="CJ63" s="3236">
        <f t="shared" si="120"/>
        <v>67862927.406866983</v>
      </c>
      <c r="CK63" s="3236">
        <f t="shared" si="121"/>
        <v>33433730.197348591</v>
      </c>
      <c r="CL63" s="3236">
        <f t="shared" si="122"/>
        <v>97848883.395784438</v>
      </c>
      <c r="CM63" s="3237"/>
      <c r="CQ63" s="3235">
        <f t="shared" si="123"/>
        <v>199145541</v>
      </c>
      <c r="CR63" s="3236">
        <f t="shared" si="124"/>
        <v>67862927.406866983</v>
      </c>
      <c r="CS63" s="3236">
        <f t="shared" si="125"/>
        <v>33433730.197348591</v>
      </c>
      <c r="CT63" s="3236">
        <f t="shared" si="126"/>
        <v>97848883.395784438</v>
      </c>
      <c r="CU63" s="3237"/>
      <c r="CY63" s="3235">
        <f t="shared" si="127"/>
        <v>199145541</v>
      </c>
      <c r="CZ63" s="3236">
        <f t="shared" si="128"/>
        <v>67862927.406866983</v>
      </c>
      <c r="DA63" s="3236">
        <f t="shared" si="129"/>
        <v>33433730.197348591</v>
      </c>
      <c r="DB63" s="3236">
        <f t="shared" si="130"/>
        <v>97848883.395784438</v>
      </c>
      <c r="DC63" s="3237"/>
      <c r="DG63" s="3235">
        <f t="shared" si="131"/>
        <v>199145541</v>
      </c>
      <c r="DH63" s="3236">
        <f t="shared" si="132"/>
        <v>67862927.406866983</v>
      </c>
      <c r="DI63" s="3236">
        <f t="shared" si="133"/>
        <v>33433730.197348591</v>
      </c>
      <c r="DJ63" s="3236">
        <f t="shared" si="134"/>
        <v>97848883.395784438</v>
      </c>
      <c r="DK63" s="3237"/>
      <c r="DO63" s="3235">
        <f t="shared" si="135"/>
        <v>199145541</v>
      </c>
      <c r="DP63" s="3236">
        <f t="shared" si="136"/>
        <v>67862927.406866983</v>
      </c>
      <c r="DQ63" s="3236">
        <f t="shared" si="137"/>
        <v>33433730.197348591</v>
      </c>
      <c r="DR63" s="3236">
        <f t="shared" si="138"/>
        <v>97848883.395784438</v>
      </c>
      <c r="DS63" s="3237"/>
      <c r="DW63" s="3235">
        <f t="shared" si="139"/>
        <v>199145541</v>
      </c>
      <c r="DX63" s="3236">
        <f t="shared" si="140"/>
        <v>67862927.406866983</v>
      </c>
      <c r="DY63" s="3236">
        <f t="shared" si="141"/>
        <v>33433730.197348591</v>
      </c>
      <c r="DZ63" s="3236">
        <f t="shared" si="142"/>
        <v>97848883.395784438</v>
      </c>
      <c r="EA63" s="3237"/>
      <c r="EE63" s="3235">
        <f t="shared" si="143"/>
        <v>199145541</v>
      </c>
      <c r="EF63" s="3236">
        <f t="shared" si="144"/>
        <v>67862927.406866983</v>
      </c>
      <c r="EG63" s="3236">
        <f t="shared" si="145"/>
        <v>33433730.197348591</v>
      </c>
      <c r="EH63" s="3236">
        <f t="shared" si="146"/>
        <v>97848883.395784438</v>
      </c>
      <c r="EI63" s="3237"/>
      <c r="EM63" s="3235">
        <f t="shared" si="147"/>
        <v>199145541</v>
      </c>
      <c r="EN63" s="3236">
        <f t="shared" si="148"/>
        <v>67862927.406866983</v>
      </c>
      <c r="EO63" s="3236">
        <f t="shared" si="149"/>
        <v>33433730.197348591</v>
      </c>
      <c r="EP63" s="3236">
        <f t="shared" si="150"/>
        <v>97848883.395784438</v>
      </c>
      <c r="EQ63" s="3237"/>
      <c r="EU63" s="3235">
        <f t="shared" si="151"/>
        <v>199145541</v>
      </c>
      <c r="EV63" s="3236">
        <f t="shared" si="152"/>
        <v>67862927.406866983</v>
      </c>
      <c r="EW63" s="3236">
        <f t="shared" si="153"/>
        <v>33433730.197348591</v>
      </c>
      <c r="EX63" s="3236">
        <f t="shared" si="154"/>
        <v>97848883.395784438</v>
      </c>
      <c r="EY63" s="3237"/>
      <c r="FC63" s="3235">
        <f t="shared" si="155"/>
        <v>199145541</v>
      </c>
      <c r="FD63" s="3236">
        <f t="shared" si="156"/>
        <v>67862927.406866983</v>
      </c>
      <c r="FE63" s="3236">
        <f t="shared" si="157"/>
        <v>33433730.197348591</v>
      </c>
      <c r="FF63" s="3236">
        <f t="shared" si="158"/>
        <v>97848883.395784438</v>
      </c>
      <c r="FG63" s="3237"/>
      <c r="FK63" s="3235">
        <f t="shared" si="159"/>
        <v>199145541</v>
      </c>
      <c r="FL63" s="3236">
        <f t="shared" si="160"/>
        <v>67862927.406866983</v>
      </c>
      <c r="FM63" s="3236">
        <f t="shared" si="161"/>
        <v>33433730.197348591</v>
      </c>
      <c r="FN63" s="3236">
        <f t="shared" si="162"/>
        <v>97848883.395784438</v>
      </c>
      <c r="FO63" s="3237"/>
    </row>
    <row r="64" spans="1:171">
      <c r="A64" s="2092"/>
      <c r="B64" s="2185" t="s">
        <v>368</v>
      </c>
      <c r="C64" s="2464">
        <v>219</v>
      </c>
      <c r="D64" s="2464">
        <v>108</v>
      </c>
      <c r="E64" s="2424" t="str">
        <f>'Sch 1- Rate Base '!E64</f>
        <v>DIST</v>
      </c>
      <c r="F64" s="2171"/>
      <c r="G64" s="2424">
        <f>'Sch 1- Rate Base '!G64</f>
        <v>0</v>
      </c>
      <c r="H64" s="2424">
        <f>'Sch 1- Rate Base '!H64</f>
        <v>0</v>
      </c>
      <c r="I64" s="2424">
        <f>'Sch 1- Rate Base '!I64</f>
        <v>0</v>
      </c>
      <c r="J64" s="3465">
        <f>'Sch 1- Rate Base '!J64</f>
        <v>0</v>
      </c>
      <c r="K64" s="3205">
        <f t="shared" si="82"/>
        <v>1</v>
      </c>
      <c r="O64" s="3235">
        <f t="shared" si="83"/>
        <v>0</v>
      </c>
      <c r="P64" s="3236">
        <f t="shared" si="84"/>
        <v>0</v>
      </c>
      <c r="Q64" s="3236">
        <f t="shared" si="85"/>
        <v>0</v>
      </c>
      <c r="R64" s="3236">
        <f t="shared" si="86"/>
        <v>0</v>
      </c>
      <c r="S64" s="3237"/>
      <c r="W64" s="3235">
        <f t="shared" si="87"/>
        <v>0</v>
      </c>
      <c r="X64" s="3236">
        <f t="shared" si="88"/>
        <v>0</v>
      </c>
      <c r="Y64" s="3236">
        <f t="shared" si="89"/>
        <v>0</v>
      </c>
      <c r="Z64" s="3236">
        <f t="shared" si="90"/>
        <v>0</v>
      </c>
      <c r="AA64" s="3237"/>
      <c r="AE64" s="3235">
        <f t="shared" si="91"/>
        <v>0</v>
      </c>
      <c r="AF64" s="3236">
        <f t="shared" si="92"/>
        <v>0</v>
      </c>
      <c r="AG64" s="3236">
        <f t="shared" si="93"/>
        <v>0</v>
      </c>
      <c r="AH64" s="3236">
        <f t="shared" si="94"/>
        <v>0</v>
      </c>
      <c r="AI64" s="3237"/>
      <c r="AM64" s="3235">
        <f t="shared" si="95"/>
        <v>0</v>
      </c>
      <c r="AN64" s="3236">
        <f t="shared" si="96"/>
        <v>0</v>
      </c>
      <c r="AO64" s="3236">
        <f t="shared" si="97"/>
        <v>0</v>
      </c>
      <c r="AP64" s="3236">
        <f t="shared" si="98"/>
        <v>0</v>
      </c>
      <c r="AQ64" s="3237"/>
      <c r="AU64" s="3235">
        <f t="shared" si="99"/>
        <v>0</v>
      </c>
      <c r="AV64" s="3236">
        <f t="shared" si="100"/>
        <v>0</v>
      </c>
      <c r="AW64" s="3236">
        <f t="shared" si="101"/>
        <v>0</v>
      </c>
      <c r="AX64" s="3236">
        <f t="shared" si="102"/>
        <v>0</v>
      </c>
      <c r="AY64" s="3237"/>
      <c r="BC64" s="3235">
        <f t="shared" si="103"/>
        <v>0</v>
      </c>
      <c r="BD64" s="3236">
        <f t="shared" si="104"/>
        <v>0</v>
      </c>
      <c r="BE64" s="3236">
        <f t="shared" si="105"/>
        <v>0</v>
      </c>
      <c r="BF64" s="3236">
        <f t="shared" si="106"/>
        <v>0</v>
      </c>
      <c r="BG64" s="3237"/>
      <c r="BK64" s="3235">
        <f t="shared" si="107"/>
        <v>0</v>
      </c>
      <c r="BL64" s="3236">
        <f t="shared" si="108"/>
        <v>0</v>
      </c>
      <c r="BM64" s="3236">
        <f t="shared" si="109"/>
        <v>0</v>
      </c>
      <c r="BN64" s="3236">
        <f t="shared" si="110"/>
        <v>0</v>
      </c>
      <c r="BO64" s="3237"/>
      <c r="BS64" s="3235">
        <f t="shared" si="111"/>
        <v>0</v>
      </c>
      <c r="BT64" s="3236">
        <f t="shared" si="112"/>
        <v>0</v>
      </c>
      <c r="BU64" s="3236">
        <f t="shared" si="113"/>
        <v>0</v>
      </c>
      <c r="BV64" s="3236">
        <f t="shared" si="114"/>
        <v>0</v>
      </c>
      <c r="BW64" s="3237"/>
      <c r="CA64" s="3235">
        <f t="shared" si="115"/>
        <v>0</v>
      </c>
      <c r="CB64" s="3236">
        <f t="shared" si="116"/>
        <v>0</v>
      </c>
      <c r="CC64" s="3236">
        <f t="shared" si="117"/>
        <v>0</v>
      </c>
      <c r="CD64" s="3236">
        <f t="shared" si="118"/>
        <v>0</v>
      </c>
      <c r="CE64" s="3237"/>
      <c r="CI64" s="3235">
        <f t="shared" si="119"/>
        <v>0</v>
      </c>
      <c r="CJ64" s="3236">
        <f t="shared" si="120"/>
        <v>0</v>
      </c>
      <c r="CK64" s="3236">
        <f t="shared" si="121"/>
        <v>0</v>
      </c>
      <c r="CL64" s="3236">
        <f t="shared" si="122"/>
        <v>0</v>
      </c>
      <c r="CM64" s="3237"/>
      <c r="CQ64" s="3235">
        <f t="shared" si="123"/>
        <v>0</v>
      </c>
      <c r="CR64" s="3236">
        <f t="shared" si="124"/>
        <v>0</v>
      </c>
      <c r="CS64" s="3236">
        <f t="shared" si="125"/>
        <v>0</v>
      </c>
      <c r="CT64" s="3236">
        <f t="shared" si="126"/>
        <v>0</v>
      </c>
      <c r="CU64" s="3237"/>
      <c r="CY64" s="3235">
        <f t="shared" si="127"/>
        <v>0</v>
      </c>
      <c r="CZ64" s="3236">
        <f t="shared" si="128"/>
        <v>0</v>
      </c>
      <c r="DA64" s="3236">
        <f t="shared" si="129"/>
        <v>0</v>
      </c>
      <c r="DB64" s="3236">
        <f t="shared" si="130"/>
        <v>0</v>
      </c>
      <c r="DC64" s="3237"/>
      <c r="DG64" s="3235">
        <f t="shared" si="131"/>
        <v>0</v>
      </c>
      <c r="DH64" s="3236">
        <f t="shared" si="132"/>
        <v>0</v>
      </c>
      <c r="DI64" s="3236">
        <f t="shared" si="133"/>
        <v>0</v>
      </c>
      <c r="DJ64" s="3236">
        <f t="shared" si="134"/>
        <v>0</v>
      </c>
      <c r="DK64" s="3237"/>
      <c r="DO64" s="3235">
        <f t="shared" si="135"/>
        <v>0</v>
      </c>
      <c r="DP64" s="3236">
        <f t="shared" si="136"/>
        <v>0</v>
      </c>
      <c r="DQ64" s="3236">
        <f t="shared" si="137"/>
        <v>0</v>
      </c>
      <c r="DR64" s="3236">
        <f t="shared" si="138"/>
        <v>0</v>
      </c>
      <c r="DS64" s="3237"/>
      <c r="DW64" s="3235">
        <f t="shared" si="139"/>
        <v>0</v>
      </c>
      <c r="DX64" s="3236">
        <f t="shared" si="140"/>
        <v>0</v>
      </c>
      <c r="DY64" s="3236">
        <f t="shared" si="141"/>
        <v>0</v>
      </c>
      <c r="DZ64" s="3236">
        <f t="shared" si="142"/>
        <v>0</v>
      </c>
      <c r="EA64" s="3237"/>
      <c r="EE64" s="3235">
        <f t="shared" si="143"/>
        <v>0</v>
      </c>
      <c r="EF64" s="3236">
        <f t="shared" si="144"/>
        <v>0</v>
      </c>
      <c r="EG64" s="3236">
        <f t="shared" si="145"/>
        <v>0</v>
      </c>
      <c r="EH64" s="3236">
        <f t="shared" si="146"/>
        <v>0</v>
      </c>
      <c r="EI64" s="3237"/>
      <c r="EM64" s="3235">
        <f t="shared" si="147"/>
        <v>0</v>
      </c>
      <c r="EN64" s="3236">
        <f t="shared" si="148"/>
        <v>0</v>
      </c>
      <c r="EO64" s="3236">
        <f t="shared" si="149"/>
        <v>0</v>
      </c>
      <c r="EP64" s="3236">
        <f t="shared" si="150"/>
        <v>0</v>
      </c>
      <c r="EQ64" s="3237"/>
      <c r="EU64" s="3235">
        <f t="shared" si="151"/>
        <v>0</v>
      </c>
      <c r="EV64" s="3236">
        <f t="shared" si="152"/>
        <v>0</v>
      </c>
      <c r="EW64" s="3236">
        <f t="shared" si="153"/>
        <v>0</v>
      </c>
      <c r="EX64" s="3236">
        <f t="shared" si="154"/>
        <v>0</v>
      </c>
      <c r="EY64" s="3237"/>
      <c r="FC64" s="3235">
        <f t="shared" si="155"/>
        <v>0</v>
      </c>
      <c r="FD64" s="3236">
        <f t="shared" si="156"/>
        <v>0</v>
      </c>
      <c r="FE64" s="3236">
        <f t="shared" si="157"/>
        <v>0</v>
      </c>
      <c r="FF64" s="3236">
        <f t="shared" si="158"/>
        <v>0</v>
      </c>
      <c r="FG64" s="3237"/>
      <c r="FK64" s="3235">
        <f t="shared" si="159"/>
        <v>0</v>
      </c>
      <c r="FL64" s="3236">
        <f t="shared" si="160"/>
        <v>0</v>
      </c>
      <c r="FM64" s="3236">
        <f t="shared" si="161"/>
        <v>0</v>
      </c>
      <c r="FN64" s="3236">
        <f t="shared" si="162"/>
        <v>0</v>
      </c>
      <c r="FO64" s="3237"/>
    </row>
    <row r="65" spans="1:171">
      <c r="A65" s="2092"/>
      <c r="B65" s="2185" t="s">
        <v>369</v>
      </c>
      <c r="C65" s="2464">
        <v>219</v>
      </c>
      <c r="D65" s="2464">
        <v>108</v>
      </c>
      <c r="E65" s="2424" t="str">
        <f>'Sch 1- Rate Base '!E65</f>
        <v>DIRECT</v>
      </c>
      <c r="F65" s="2171"/>
      <c r="G65" s="2424">
        <f>'Sch 1- Rate Base '!G65</f>
        <v>30864423.829999998</v>
      </c>
      <c r="H65" s="2424">
        <f>'Sch 1- Rate Base '!H65</f>
        <v>19280613.831983685</v>
      </c>
      <c r="I65" s="2424">
        <f>'Sch 1- Rate Base '!I65</f>
        <v>0</v>
      </c>
      <c r="J65" s="3465">
        <f>'Sch 1- Rate Base '!J65</f>
        <v>11583809.998016311</v>
      </c>
      <c r="K65" s="3205">
        <f t="shared" si="82"/>
        <v>0</v>
      </c>
      <c r="O65" s="3235">
        <f t="shared" si="83"/>
        <v>30864423.829999998</v>
      </c>
      <c r="P65" s="3236">
        <f t="shared" si="84"/>
        <v>19280613.831983685</v>
      </c>
      <c r="Q65" s="3236">
        <f t="shared" si="85"/>
        <v>0</v>
      </c>
      <c r="R65" s="3236">
        <f t="shared" si="86"/>
        <v>11583809.998016313</v>
      </c>
      <c r="S65" s="3237"/>
      <c r="W65" s="3235">
        <f t="shared" si="87"/>
        <v>30864423.829999998</v>
      </c>
      <c r="X65" s="3236">
        <f t="shared" si="88"/>
        <v>19280613.831983685</v>
      </c>
      <c r="Y65" s="3236">
        <f t="shared" si="89"/>
        <v>0</v>
      </c>
      <c r="Z65" s="3236">
        <f t="shared" si="90"/>
        <v>11583809.998016313</v>
      </c>
      <c r="AA65" s="3237"/>
      <c r="AE65" s="3235">
        <f t="shared" si="91"/>
        <v>30864423.829999998</v>
      </c>
      <c r="AF65" s="3236">
        <f t="shared" si="92"/>
        <v>19280613.831983685</v>
      </c>
      <c r="AG65" s="3236">
        <f t="shared" si="93"/>
        <v>0</v>
      </c>
      <c r="AH65" s="3236">
        <f t="shared" si="94"/>
        <v>11583809.998016313</v>
      </c>
      <c r="AI65" s="3237"/>
      <c r="AM65" s="3235">
        <f t="shared" si="95"/>
        <v>30864423.829999998</v>
      </c>
      <c r="AN65" s="3236">
        <f t="shared" si="96"/>
        <v>19280613.831983685</v>
      </c>
      <c r="AO65" s="3236">
        <f t="shared" si="97"/>
        <v>0</v>
      </c>
      <c r="AP65" s="3236">
        <f t="shared" si="98"/>
        <v>11583809.998016313</v>
      </c>
      <c r="AQ65" s="3237"/>
      <c r="AU65" s="3235">
        <f t="shared" si="99"/>
        <v>30864423.829999998</v>
      </c>
      <c r="AV65" s="3236">
        <f t="shared" si="100"/>
        <v>19280613.831983685</v>
      </c>
      <c r="AW65" s="3236">
        <f t="shared" si="101"/>
        <v>0</v>
      </c>
      <c r="AX65" s="3236">
        <f t="shared" si="102"/>
        <v>11583809.998016313</v>
      </c>
      <c r="AY65" s="3237"/>
      <c r="BC65" s="3235">
        <f t="shared" si="103"/>
        <v>30864423.829999998</v>
      </c>
      <c r="BD65" s="3236">
        <f t="shared" si="104"/>
        <v>19280613.831983685</v>
      </c>
      <c r="BE65" s="3236">
        <f t="shared" si="105"/>
        <v>0</v>
      </c>
      <c r="BF65" s="3236">
        <f t="shared" si="106"/>
        <v>11583809.998016313</v>
      </c>
      <c r="BG65" s="3237"/>
      <c r="BK65" s="3235">
        <f t="shared" si="107"/>
        <v>30864423.829999998</v>
      </c>
      <c r="BL65" s="3236">
        <f t="shared" si="108"/>
        <v>19280613.831983685</v>
      </c>
      <c r="BM65" s="3236">
        <f t="shared" si="109"/>
        <v>0</v>
      </c>
      <c r="BN65" s="3236">
        <f t="shared" si="110"/>
        <v>11583809.998016313</v>
      </c>
      <c r="BO65" s="3237"/>
      <c r="BS65" s="3235">
        <f t="shared" si="111"/>
        <v>30864423.829999998</v>
      </c>
      <c r="BT65" s="3236">
        <f t="shared" si="112"/>
        <v>19280613.831983685</v>
      </c>
      <c r="BU65" s="3236">
        <f t="shared" si="113"/>
        <v>0</v>
      </c>
      <c r="BV65" s="3236">
        <f t="shared" si="114"/>
        <v>11583809.998016313</v>
      </c>
      <c r="BW65" s="3237"/>
      <c r="CA65" s="3235">
        <f t="shared" si="115"/>
        <v>30864423.829999998</v>
      </c>
      <c r="CB65" s="3236">
        <f t="shared" si="116"/>
        <v>19280613.831983685</v>
      </c>
      <c r="CC65" s="3236">
        <f t="shared" si="117"/>
        <v>0</v>
      </c>
      <c r="CD65" s="3236">
        <f t="shared" si="118"/>
        <v>11583809.998016313</v>
      </c>
      <c r="CE65" s="3237"/>
      <c r="CI65" s="3235">
        <f t="shared" si="119"/>
        <v>30864423.829999998</v>
      </c>
      <c r="CJ65" s="3236">
        <f t="shared" si="120"/>
        <v>19280613.831983685</v>
      </c>
      <c r="CK65" s="3236">
        <f t="shared" si="121"/>
        <v>0</v>
      </c>
      <c r="CL65" s="3236">
        <f t="shared" si="122"/>
        <v>11583809.998016313</v>
      </c>
      <c r="CM65" s="3237"/>
      <c r="CQ65" s="3235">
        <f t="shared" si="123"/>
        <v>30864423.829999998</v>
      </c>
      <c r="CR65" s="3236">
        <f t="shared" si="124"/>
        <v>19280613.831983685</v>
      </c>
      <c r="CS65" s="3236">
        <f t="shared" si="125"/>
        <v>0</v>
      </c>
      <c r="CT65" s="3236">
        <f t="shared" si="126"/>
        <v>11583809.998016313</v>
      </c>
      <c r="CU65" s="3237"/>
      <c r="CY65" s="3235">
        <f t="shared" si="127"/>
        <v>30864423.829999998</v>
      </c>
      <c r="CZ65" s="3236">
        <f t="shared" si="128"/>
        <v>19280613.831983685</v>
      </c>
      <c r="DA65" s="3236">
        <f t="shared" si="129"/>
        <v>0</v>
      </c>
      <c r="DB65" s="3236">
        <f t="shared" si="130"/>
        <v>11583809.998016313</v>
      </c>
      <c r="DC65" s="3237"/>
      <c r="DG65" s="3235">
        <f t="shared" si="131"/>
        <v>30864423.829999998</v>
      </c>
      <c r="DH65" s="3236">
        <f t="shared" si="132"/>
        <v>19280613.831983685</v>
      </c>
      <c r="DI65" s="3236">
        <f t="shared" si="133"/>
        <v>0</v>
      </c>
      <c r="DJ65" s="3236">
        <f t="shared" si="134"/>
        <v>11583809.998016313</v>
      </c>
      <c r="DK65" s="3237"/>
      <c r="DO65" s="3235">
        <f t="shared" si="135"/>
        <v>30864423.829999998</v>
      </c>
      <c r="DP65" s="3236">
        <f t="shared" si="136"/>
        <v>19280613.831983685</v>
      </c>
      <c r="DQ65" s="3236">
        <f t="shared" si="137"/>
        <v>0</v>
      </c>
      <c r="DR65" s="3236">
        <f t="shared" si="138"/>
        <v>11583809.998016313</v>
      </c>
      <c r="DS65" s="3237"/>
      <c r="DW65" s="3235">
        <f t="shared" si="139"/>
        <v>30864423.829999998</v>
      </c>
      <c r="DX65" s="3236">
        <f t="shared" si="140"/>
        <v>19280613.831983685</v>
      </c>
      <c r="DY65" s="3236">
        <f t="shared" si="141"/>
        <v>0</v>
      </c>
      <c r="DZ65" s="3236">
        <f t="shared" si="142"/>
        <v>11583809.998016313</v>
      </c>
      <c r="EA65" s="3237"/>
      <c r="EE65" s="3235">
        <f t="shared" si="143"/>
        <v>30864423.829999998</v>
      </c>
      <c r="EF65" s="3236">
        <f t="shared" si="144"/>
        <v>19280613.831983685</v>
      </c>
      <c r="EG65" s="3236">
        <f t="shared" si="145"/>
        <v>0</v>
      </c>
      <c r="EH65" s="3236">
        <f t="shared" si="146"/>
        <v>11583809.998016313</v>
      </c>
      <c r="EI65" s="3237"/>
      <c r="EM65" s="3235">
        <f t="shared" si="147"/>
        <v>30864423.829999998</v>
      </c>
      <c r="EN65" s="3236">
        <f t="shared" si="148"/>
        <v>19280613.831983685</v>
      </c>
      <c r="EO65" s="3236">
        <f t="shared" si="149"/>
        <v>0</v>
      </c>
      <c r="EP65" s="3236">
        <f t="shared" si="150"/>
        <v>11583809.998016313</v>
      </c>
      <c r="EQ65" s="3237"/>
      <c r="EU65" s="3235">
        <f t="shared" si="151"/>
        <v>30864423.829999998</v>
      </c>
      <c r="EV65" s="3236">
        <f t="shared" si="152"/>
        <v>19280613.831983685</v>
      </c>
      <c r="EW65" s="3236">
        <f t="shared" si="153"/>
        <v>0</v>
      </c>
      <c r="EX65" s="3236">
        <f t="shared" si="154"/>
        <v>11583809.998016313</v>
      </c>
      <c r="EY65" s="3237"/>
      <c r="FC65" s="3235">
        <f t="shared" si="155"/>
        <v>30864423.829999998</v>
      </c>
      <c r="FD65" s="3236">
        <f t="shared" si="156"/>
        <v>19280613.831983685</v>
      </c>
      <c r="FE65" s="3236">
        <f t="shared" si="157"/>
        <v>0</v>
      </c>
      <c r="FF65" s="3236">
        <f t="shared" si="158"/>
        <v>11583809.998016313</v>
      </c>
      <c r="FG65" s="3237"/>
      <c r="FK65" s="3235">
        <f t="shared" si="159"/>
        <v>30864423.829999998</v>
      </c>
      <c r="FL65" s="3236">
        <f t="shared" si="160"/>
        <v>19280613.831983685</v>
      </c>
      <c r="FM65" s="3236">
        <f t="shared" si="161"/>
        <v>0</v>
      </c>
      <c r="FN65" s="3236">
        <f t="shared" si="162"/>
        <v>11583809.998016313</v>
      </c>
      <c r="FO65" s="3237"/>
    </row>
    <row r="66" spans="1:171">
      <c r="A66" s="2092"/>
      <c r="B66" s="2185" t="s">
        <v>398</v>
      </c>
      <c r="C66" s="2464">
        <v>219</v>
      </c>
      <c r="D66" s="2464">
        <v>108</v>
      </c>
      <c r="E66" s="2424" t="str">
        <f>'Sch 1- Rate Base '!E66</f>
        <v>DIRECT</v>
      </c>
      <c r="F66" s="2171"/>
      <c r="G66" s="2424">
        <f>'Sch 1- Rate Base '!G66</f>
        <v>18084328.429999996</v>
      </c>
      <c r="H66" s="2424">
        <f>'Sch 1- Rate Base '!H66</f>
        <v>3441408.3183936053</v>
      </c>
      <c r="I66" s="2424">
        <f>'Sch 1- Rate Base '!I66</f>
        <v>0</v>
      </c>
      <c r="J66" s="3465">
        <f>'Sch 1- Rate Base '!J66</f>
        <v>14642920.111606393</v>
      </c>
      <c r="K66" s="3205">
        <f t="shared" si="82"/>
        <v>0</v>
      </c>
      <c r="O66" s="3235">
        <f t="shared" si="83"/>
        <v>18084328.429999996</v>
      </c>
      <c r="P66" s="3236">
        <f t="shared" si="84"/>
        <v>3441408.3183936053</v>
      </c>
      <c r="Q66" s="3236">
        <f t="shared" si="85"/>
        <v>0</v>
      </c>
      <c r="R66" s="3236">
        <f t="shared" si="86"/>
        <v>14642920.111606391</v>
      </c>
      <c r="S66" s="3237"/>
      <c r="W66" s="3235">
        <f t="shared" si="87"/>
        <v>18084328.429999996</v>
      </c>
      <c r="X66" s="3236">
        <f t="shared" si="88"/>
        <v>3441408.3183936053</v>
      </c>
      <c r="Y66" s="3236">
        <f t="shared" si="89"/>
        <v>0</v>
      </c>
      <c r="Z66" s="3236">
        <f t="shared" si="90"/>
        <v>14642920.111606391</v>
      </c>
      <c r="AA66" s="3237"/>
      <c r="AE66" s="3235">
        <f t="shared" si="91"/>
        <v>18084328.429999996</v>
      </c>
      <c r="AF66" s="3236">
        <f t="shared" si="92"/>
        <v>3441408.3183936053</v>
      </c>
      <c r="AG66" s="3236">
        <f t="shared" si="93"/>
        <v>0</v>
      </c>
      <c r="AH66" s="3236">
        <f t="shared" si="94"/>
        <v>14642920.111606391</v>
      </c>
      <c r="AI66" s="3237"/>
      <c r="AM66" s="3235">
        <f t="shared" si="95"/>
        <v>18084328.429999996</v>
      </c>
      <c r="AN66" s="3236">
        <f t="shared" si="96"/>
        <v>3441408.3183936053</v>
      </c>
      <c r="AO66" s="3236">
        <f t="shared" si="97"/>
        <v>0</v>
      </c>
      <c r="AP66" s="3236">
        <f t="shared" si="98"/>
        <v>14642920.111606391</v>
      </c>
      <c r="AQ66" s="3237"/>
      <c r="AU66" s="3235">
        <f t="shared" si="99"/>
        <v>18084328.429999996</v>
      </c>
      <c r="AV66" s="3236">
        <f t="shared" si="100"/>
        <v>3441408.3183936053</v>
      </c>
      <c r="AW66" s="3236">
        <f t="shared" si="101"/>
        <v>0</v>
      </c>
      <c r="AX66" s="3236">
        <f t="shared" si="102"/>
        <v>14642920.111606391</v>
      </c>
      <c r="AY66" s="3237"/>
      <c r="BC66" s="3235">
        <f t="shared" si="103"/>
        <v>18084328.429999996</v>
      </c>
      <c r="BD66" s="3236">
        <f t="shared" si="104"/>
        <v>3441408.3183936053</v>
      </c>
      <c r="BE66" s="3236">
        <f t="shared" si="105"/>
        <v>0</v>
      </c>
      <c r="BF66" s="3236">
        <f t="shared" si="106"/>
        <v>14642920.111606391</v>
      </c>
      <c r="BG66" s="3237"/>
      <c r="BK66" s="3235">
        <f t="shared" si="107"/>
        <v>18084328.429999996</v>
      </c>
      <c r="BL66" s="3236">
        <f t="shared" si="108"/>
        <v>3441408.3183936053</v>
      </c>
      <c r="BM66" s="3236">
        <f t="shared" si="109"/>
        <v>0</v>
      </c>
      <c r="BN66" s="3236">
        <f t="shared" si="110"/>
        <v>14642920.111606391</v>
      </c>
      <c r="BO66" s="3237"/>
      <c r="BS66" s="3235">
        <f t="shared" si="111"/>
        <v>18084328.429999996</v>
      </c>
      <c r="BT66" s="3236">
        <f t="shared" si="112"/>
        <v>3441408.3183936053</v>
      </c>
      <c r="BU66" s="3236">
        <f t="shared" si="113"/>
        <v>0</v>
      </c>
      <c r="BV66" s="3236">
        <f t="shared" si="114"/>
        <v>14642920.111606391</v>
      </c>
      <c r="BW66" s="3237"/>
      <c r="CA66" s="3235">
        <f t="shared" si="115"/>
        <v>18084328.429999996</v>
      </c>
      <c r="CB66" s="3236">
        <f t="shared" si="116"/>
        <v>3441408.3183936053</v>
      </c>
      <c r="CC66" s="3236">
        <f t="shared" si="117"/>
        <v>0</v>
      </c>
      <c r="CD66" s="3236">
        <f t="shared" si="118"/>
        <v>14642920.111606391</v>
      </c>
      <c r="CE66" s="3237"/>
      <c r="CI66" s="3235">
        <f t="shared" si="119"/>
        <v>18084328.429999996</v>
      </c>
      <c r="CJ66" s="3236">
        <f t="shared" si="120"/>
        <v>3441408.3183936053</v>
      </c>
      <c r="CK66" s="3236">
        <f t="shared" si="121"/>
        <v>0</v>
      </c>
      <c r="CL66" s="3236">
        <f t="shared" si="122"/>
        <v>14642920.111606391</v>
      </c>
      <c r="CM66" s="3237"/>
      <c r="CQ66" s="3235">
        <f t="shared" si="123"/>
        <v>18084328.429999996</v>
      </c>
      <c r="CR66" s="3236">
        <f t="shared" si="124"/>
        <v>3441408.3183936053</v>
      </c>
      <c r="CS66" s="3236">
        <f t="shared" si="125"/>
        <v>0</v>
      </c>
      <c r="CT66" s="3236">
        <f t="shared" si="126"/>
        <v>14642920.111606391</v>
      </c>
      <c r="CU66" s="3237"/>
      <c r="CY66" s="3235">
        <f t="shared" si="127"/>
        <v>18084328.429999996</v>
      </c>
      <c r="CZ66" s="3236">
        <f t="shared" si="128"/>
        <v>3441408.3183936053</v>
      </c>
      <c r="DA66" s="3236">
        <f t="shared" si="129"/>
        <v>0</v>
      </c>
      <c r="DB66" s="3236">
        <f t="shared" si="130"/>
        <v>14642920.111606391</v>
      </c>
      <c r="DC66" s="3237"/>
      <c r="DG66" s="3235">
        <f t="shared" si="131"/>
        <v>18084328.429999996</v>
      </c>
      <c r="DH66" s="3236">
        <f t="shared" si="132"/>
        <v>3441408.3183936053</v>
      </c>
      <c r="DI66" s="3236">
        <f t="shared" si="133"/>
        <v>0</v>
      </c>
      <c r="DJ66" s="3236">
        <f t="shared" si="134"/>
        <v>14642920.111606391</v>
      </c>
      <c r="DK66" s="3237"/>
      <c r="DO66" s="3235">
        <f t="shared" si="135"/>
        <v>18084328.429999996</v>
      </c>
      <c r="DP66" s="3236">
        <f t="shared" si="136"/>
        <v>3441408.3183936053</v>
      </c>
      <c r="DQ66" s="3236">
        <f t="shared" si="137"/>
        <v>0</v>
      </c>
      <c r="DR66" s="3236">
        <f t="shared" si="138"/>
        <v>14642920.111606391</v>
      </c>
      <c r="DS66" s="3237"/>
      <c r="DW66" s="3235">
        <f t="shared" si="139"/>
        <v>18084328.429999996</v>
      </c>
      <c r="DX66" s="3236">
        <f t="shared" si="140"/>
        <v>3441408.3183936053</v>
      </c>
      <c r="DY66" s="3236">
        <f t="shared" si="141"/>
        <v>0</v>
      </c>
      <c r="DZ66" s="3236">
        <f t="shared" si="142"/>
        <v>14642920.111606391</v>
      </c>
      <c r="EA66" s="3237"/>
      <c r="EE66" s="3235">
        <f t="shared" si="143"/>
        <v>18084328.429999996</v>
      </c>
      <c r="EF66" s="3236">
        <f t="shared" si="144"/>
        <v>3441408.3183936053</v>
      </c>
      <c r="EG66" s="3236">
        <f t="shared" si="145"/>
        <v>0</v>
      </c>
      <c r="EH66" s="3236">
        <f t="shared" si="146"/>
        <v>14642920.111606391</v>
      </c>
      <c r="EI66" s="3237"/>
      <c r="EM66" s="3235">
        <f t="shared" si="147"/>
        <v>18084328.429999996</v>
      </c>
      <c r="EN66" s="3236">
        <f t="shared" si="148"/>
        <v>3441408.3183936053</v>
      </c>
      <c r="EO66" s="3236">
        <f t="shared" si="149"/>
        <v>0</v>
      </c>
      <c r="EP66" s="3236">
        <f t="shared" si="150"/>
        <v>14642920.111606391</v>
      </c>
      <c r="EQ66" s="3237"/>
      <c r="EU66" s="3235">
        <f t="shared" si="151"/>
        <v>18084328.429999996</v>
      </c>
      <c r="EV66" s="3236">
        <f t="shared" si="152"/>
        <v>3441408.3183936053</v>
      </c>
      <c r="EW66" s="3236">
        <f t="shared" si="153"/>
        <v>0</v>
      </c>
      <c r="EX66" s="3236">
        <f t="shared" si="154"/>
        <v>14642920.111606391</v>
      </c>
      <c r="EY66" s="3237"/>
      <c r="FC66" s="3235">
        <f t="shared" si="155"/>
        <v>18084328.429999996</v>
      </c>
      <c r="FD66" s="3236">
        <f t="shared" si="156"/>
        <v>3441408.3183936053</v>
      </c>
      <c r="FE66" s="3236">
        <f t="shared" si="157"/>
        <v>0</v>
      </c>
      <c r="FF66" s="3236">
        <f t="shared" si="158"/>
        <v>14642920.111606391</v>
      </c>
      <c r="FG66" s="3237"/>
      <c r="FK66" s="3235">
        <f t="shared" si="159"/>
        <v>18084328.429999996</v>
      </c>
      <c r="FL66" s="3236">
        <f t="shared" si="160"/>
        <v>3441408.3183936053</v>
      </c>
      <c r="FM66" s="3236">
        <f t="shared" si="161"/>
        <v>0</v>
      </c>
      <c r="FN66" s="3236">
        <f t="shared" si="162"/>
        <v>14642920.111606391</v>
      </c>
      <c r="FO66" s="3237"/>
    </row>
    <row r="67" spans="1:171">
      <c r="A67" s="2092"/>
      <c r="B67" s="2185" t="s">
        <v>251</v>
      </c>
      <c r="C67" s="2464">
        <v>219</v>
      </c>
      <c r="D67" s="2464">
        <v>108</v>
      </c>
      <c r="E67" s="2424" t="str">
        <f>'Sch 1- Rate Base '!E67</f>
        <v>PROD</v>
      </c>
      <c r="F67" s="2171"/>
      <c r="G67" s="2424">
        <f>'Sch 1- Rate Base '!G67</f>
        <v>0</v>
      </c>
      <c r="H67" s="2424">
        <f>'Sch 1- Rate Base '!H67</f>
        <v>0</v>
      </c>
      <c r="I67" s="2424">
        <f>'Sch 1- Rate Base '!I67</f>
        <v>0</v>
      </c>
      <c r="J67" s="3465">
        <f>'Sch 1- Rate Base '!J67</f>
        <v>0</v>
      </c>
      <c r="K67" s="3205">
        <f t="shared" si="82"/>
        <v>1</v>
      </c>
      <c r="O67" s="3235">
        <f t="shared" si="83"/>
        <v>0</v>
      </c>
      <c r="P67" s="3236">
        <f t="shared" si="84"/>
        <v>0</v>
      </c>
      <c r="Q67" s="3236">
        <f t="shared" si="85"/>
        <v>0</v>
      </c>
      <c r="R67" s="3236">
        <f t="shared" si="86"/>
        <v>0</v>
      </c>
      <c r="S67" s="3237"/>
      <c r="W67" s="3235">
        <f t="shared" si="87"/>
        <v>0</v>
      </c>
      <c r="X67" s="3236">
        <f t="shared" si="88"/>
        <v>0</v>
      </c>
      <c r="Y67" s="3236">
        <f t="shared" si="89"/>
        <v>0</v>
      </c>
      <c r="Z67" s="3236">
        <f t="shared" si="90"/>
        <v>0</v>
      </c>
      <c r="AA67" s="3237"/>
      <c r="AE67" s="3235">
        <f t="shared" si="91"/>
        <v>0</v>
      </c>
      <c r="AF67" s="3236">
        <f t="shared" si="92"/>
        <v>0</v>
      </c>
      <c r="AG67" s="3236">
        <f t="shared" si="93"/>
        <v>0</v>
      </c>
      <c r="AH67" s="3236">
        <f t="shared" si="94"/>
        <v>0</v>
      </c>
      <c r="AI67" s="3237"/>
      <c r="AM67" s="3235">
        <f t="shared" si="95"/>
        <v>0</v>
      </c>
      <c r="AN67" s="3236">
        <f t="shared" si="96"/>
        <v>0</v>
      </c>
      <c r="AO67" s="3236">
        <f t="shared" si="97"/>
        <v>0</v>
      </c>
      <c r="AP67" s="3236">
        <f t="shared" si="98"/>
        <v>0</v>
      </c>
      <c r="AQ67" s="3237"/>
      <c r="AU67" s="3235">
        <f t="shared" si="99"/>
        <v>0</v>
      </c>
      <c r="AV67" s="3236">
        <f t="shared" si="100"/>
        <v>0</v>
      </c>
      <c r="AW67" s="3236">
        <f t="shared" si="101"/>
        <v>0</v>
      </c>
      <c r="AX67" s="3236">
        <f t="shared" si="102"/>
        <v>0</v>
      </c>
      <c r="AY67" s="3237"/>
      <c r="BC67" s="3235">
        <f t="shared" si="103"/>
        <v>0</v>
      </c>
      <c r="BD67" s="3236">
        <f t="shared" si="104"/>
        <v>0</v>
      </c>
      <c r="BE67" s="3236">
        <f t="shared" si="105"/>
        <v>0</v>
      </c>
      <c r="BF67" s="3236">
        <f t="shared" si="106"/>
        <v>0</v>
      </c>
      <c r="BG67" s="3237"/>
      <c r="BK67" s="3235">
        <f t="shared" si="107"/>
        <v>0</v>
      </c>
      <c r="BL67" s="3236">
        <f t="shared" si="108"/>
        <v>0</v>
      </c>
      <c r="BM67" s="3236">
        <f t="shared" si="109"/>
        <v>0</v>
      </c>
      <c r="BN67" s="3236">
        <f t="shared" si="110"/>
        <v>0</v>
      </c>
      <c r="BO67" s="3237"/>
      <c r="BS67" s="3235">
        <f t="shared" si="111"/>
        <v>0</v>
      </c>
      <c r="BT67" s="3236">
        <f t="shared" si="112"/>
        <v>0</v>
      </c>
      <c r="BU67" s="3236">
        <f t="shared" si="113"/>
        <v>0</v>
      </c>
      <c r="BV67" s="3236">
        <f t="shared" si="114"/>
        <v>0</v>
      </c>
      <c r="BW67" s="3237"/>
      <c r="CA67" s="3235">
        <f t="shared" si="115"/>
        <v>0</v>
      </c>
      <c r="CB67" s="3236">
        <f t="shared" si="116"/>
        <v>0</v>
      </c>
      <c r="CC67" s="3236">
        <f t="shared" si="117"/>
        <v>0</v>
      </c>
      <c r="CD67" s="3236">
        <f t="shared" si="118"/>
        <v>0</v>
      </c>
      <c r="CE67" s="3237"/>
      <c r="CI67" s="3235">
        <f t="shared" si="119"/>
        <v>0</v>
      </c>
      <c r="CJ67" s="3236">
        <f t="shared" si="120"/>
        <v>0</v>
      </c>
      <c r="CK67" s="3236">
        <f t="shared" si="121"/>
        <v>0</v>
      </c>
      <c r="CL67" s="3236">
        <f t="shared" si="122"/>
        <v>0</v>
      </c>
      <c r="CM67" s="3237"/>
      <c r="CQ67" s="3235">
        <f t="shared" si="123"/>
        <v>0</v>
      </c>
      <c r="CR67" s="3236">
        <f t="shared" si="124"/>
        <v>0</v>
      </c>
      <c r="CS67" s="3236">
        <f t="shared" si="125"/>
        <v>0</v>
      </c>
      <c r="CT67" s="3236">
        <f t="shared" si="126"/>
        <v>0</v>
      </c>
      <c r="CU67" s="3237"/>
      <c r="CY67" s="3235">
        <f t="shared" si="127"/>
        <v>0</v>
      </c>
      <c r="CZ67" s="3236">
        <f t="shared" si="128"/>
        <v>0</v>
      </c>
      <c r="DA67" s="3236">
        <f t="shared" si="129"/>
        <v>0</v>
      </c>
      <c r="DB67" s="3236">
        <f t="shared" si="130"/>
        <v>0</v>
      </c>
      <c r="DC67" s="3237"/>
      <c r="DG67" s="3235">
        <f t="shared" si="131"/>
        <v>0</v>
      </c>
      <c r="DH67" s="3236">
        <f t="shared" si="132"/>
        <v>0</v>
      </c>
      <c r="DI67" s="3236">
        <f t="shared" si="133"/>
        <v>0</v>
      </c>
      <c r="DJ67" s="3236">
        <f t="shared" si="134"/>
        <v>0</v>
      </c>
      <c r="DK67" s="3237"/>
      <c r="DO67" s="3235">
        <f t="shared" si="135"/>
        <v>0</v>
      </c>
      <c r="DP67" s="3236">
        <f t="shared" si="136"/>
        <v>0</v>
      </c>
      <c r="DQ67" s="3236">
        <f t="shared" si="137"/>
        <v>0</v>
      </c>
      <c r="DR67" s="3236">
        <f t="shared" si="138"/>
        <v>0</v>
      </c>
      <c r="DS67" s="3237"/>
      <c r="DW67" s="3235">
        <f t="shared" si="139"/>
        <v>0</v>
      </c>
      <c r="DX67" s="3236">
        <f t="shared" si="140"/>
        <v>0</v>
      </c>
      <c r="DY67" s="3236">
        <f t="shared" si="141"/>
        <v>0</v>
      </c>
      <c r="DZ67" s="3236">
        <f t="shared" si="142"/>
        <v>0</v>
      </c>
      <c r="EA67" s="3237"/>
      <c r="EE67" s="3235">
        <f t="shared" si="143"/>
        <v>0</v>
      </c>
      <c r="EF67" s="3236">
        <f t="shared" si="144"/>
        <v>0</v>
      </c>
      <c r="EG67" s="3236">
        <f t="shared" si="145"/>
        <v>0</v>
      </c>
      <c r="EH67" s="3236">
        <f t="shared" si="146"/>
        <v>0</v>
      </c>
      <c r="EI67" s="3237"/>
      <c r="EM67" s="3235">
        <f t="shared" si="147"/>
        <v>0</v>
      </c>
      <c r="EN67" s="3236">
        <f t="shared" si="148"/>
        <v>0</v>
      </c>
      <c r="EO67" s="3236">
        <f t="shared" si="149"/>
        <v>0</v>
      </c>
      <c r="EP67" s="3236">
        <f t="shared" si="150"/>
        <v>0</v>
      </c>
      <c r="EQ67" s="3237"/>
      <c r="EU67" s="3235">
        <f t="shared" si="151"/>
        <v>0</v>
      </c>
      <c r="EV67" s="3236">
        <f t="shared" si="152"/>
        <v>0</v>
      </c>
      <c r="EW67" s="3236">
        <f t="shared" si="153"/>
        <v>0</v>
      </c>
      <c r="EX67" s="3236">
        <f t="shared" si="154"/>
        <v>0</v>
      </c>
      <c r="EY67" s="3237"/>
      <c r="FC67" s="3235">
        <f t="shared" si="155"/>
        <v>0</v>
      </c>
      <c r="FD67" s="3236">
        <f t="shared" si="156"/>
        <v>0</v>
      </c>
      <c r="FE67" s="3236">
        <f t="shared" si="157"/>
        <v>0</v>
      </c>
      <c r="FF67" s="3236">
        <f t="shared" si="158"/>
        <v>0</v>
      </c>
      <c r="FG67" s="3237"/>
      <c r="FK67" s="3235">
        <f t="shared" si="159"/>
        <v>0</v>
      </c>
      <c r="FL67" s="3236">
        <f t="shared" si="160"/>
        <v>0</v>
      </c>
      <c r="FM67" s="3236">
        <f t="shared" si="161"/>
        <v>0</v>
      </c>
      <c r="FN67" s="3236">
        <f t="shared" si="162"/>
        <v>0</v>
      </c>
      <c r="FO67" s="3237"/>
    </row>
    <row r="68" spans="1:171">
      <c r="A68" s="2092"/>
      <c r="B68" s="2185" t="s">
        <v>28</v>
      </c>
      <c r="C68" s="2464">
        <v>219</v>
      </c>
      <c r="D68" s="2464">
        <v>108</v>
      </c>
      <c r="E68" s="2424" t="str">
        <f>'Sch 1- Rate Base '!E68</f>
        <v>TRANS</v>
      </c>
      <c r="F68" s="2171"/>
      <c r="G68" s="2424">
        <f>'Sch 1- Rate Base '!G68</f>
        <v>162425</v>
      </c>
      <c r="H68" s="2424">
        <f>'Sch 1- Rate Base '!H68</f>
        <v>0</v>
      </c>
      <c r="I68" s="2424">
        <f>'Sch 1- Rate Base '!I68</f>
        <v>0</v>
      </c>
      <c r="J68" s="3465">
        <f>'Sch 1- Rate Base '!J68</f>
        <v>162425</v>
      </c>
      <c r="K68" s="3205">
        <f t="shared" si="82"/>
        <v>1</v>
      </c>
      <c r="O68" s="3235">
        <f t="shared" si="83"/>
        <v>162425</v>
      </c>
      <c r="P68" s="3236">
        <f t="shared" si="84"/>
        <v>0</v>
      </c>
      <c r="Q68" s="3236">
        <f t="shared" si="85"/>
        <v>162425</v>
      </c>
      <c r="R68" s="3236">
        <f t="shared" si="86"/>
        <v>0</v>
      </c>
      <c r="S68" s="3237"/>
      <c r="W68" s="3235">
        <f t="shared" si="87"/>
        <v>162425</v>
      </c>
      <c r="X68" s="3236">
        <f t="shared" si="88"/>
        <v>0</v>
      </c>
      <c r="Y68" s="3236">
        <f t="shared" si="89"/>
        <v>162425</v>
      </c>
      <c r="Z68" s="3236">
        <f t="shared" si="90"/>
        <v>0</v>
      </c>
      <c r="AA68" s="3237"/>
      <c r="AE68" s="3235">
        <f t="shared" si="91"/>
        <v>162425</v>
      </c>
      <c r="AF68" s="3236">
        <f t="shared" si="92"/>
        <v>0</v>
      </c>
      <c r="AG68" s="3236">
        <f t="shared" si="93"/>
        <v>162425</v>
      </c>
      <c r="AH68" s="3236">
        <f t="shared" si="94"/>
        <v>0</v>
      </c>
      <c r="AI68" s="3237"/>
      <c r="AM68" s="3235">
        <f t="shared" si="95"/>
        <v>162425</v>
      </c>
      <c r="AN68" s="3236">
        <f t="shared" si="96"/>
        <v>0</v>
      </c>
      <c r="AO68" s="3236">
        <f t="shared" si="97"/>
        <v>162425</v>
      </c>
      <c r="AP68" s="3236">
        <f t="shared" si="98"/>
        <v>0</v>
      </c>
      <c r="AQ68" s="3237"/>
      <c r="AU68" s="3235">
        <f t="shared" si="99"/>
        <v>162425</v>
      </c>
      <c r="AV68" s="3236">
        <f t="shared" si="100"/>
        <v>0</v>
      </c>
      <c r="AW68" s="3236">
        <f t="shared" si="101"/>
        <v>162425</v>
      </c>
      <c r="AX68" s="3236">
        <f t="shared" si="102"/>
        <v>0</v>
      </c>
      <c r="AY68" s="3237"/>
      <c r="BC68" s="3235">
        <f t="shared" si="103"/>
        <v>162425</v>
      </c>
      <c r="BD68" s="3236">
        <f t="shared" si="104"/>
        <v>0</v>
      </c>
      <c r="BE68" s="3236">
        <f t="shared" si="105"/>
        <v>162425</v>
      </c>
      <c r="BF68" s="3236">
        <f t="shared" si="106"/>
        <v>0</v>
      </c>
      <c r="BG68" s="3237"/>
      <c r="BK68" s="3235">
        <f t="shared" si="107"/>
        <v>162425</v>
      </c>
      <c r="BL68" s="3236">
        <f t="shared" si="108"/>
        <v>0</v>
      </c>
      <c r="BM68" s="3236">
        <f t="shared" si="109"/>
        <v>162425</v>
      </c>
      <c r="BN68" s="3236">
        <f t="shared" si="110"/>
        <v>0</v>
      </c>
      <c r="BO68" s="3237"/>
      <c r="BS68" s="3235">
        <f t="shared" si="111"/>
        <v>162425</v>
      </c>
      <c r="BT68" s="3236">
        <f t="shared" si="112"/>
        <v>0</v>
      </c>
      <c r="BU68" s="3236">
        <f t="shared" si="113"/>
        <v>162425</v>
      </c>
      <c r="BV68" s="3236">
        <f t="shared" si="114"/>
        <v>0</v>
      </c>
      <c r="BW68" s="3237"/>
      <c r="CA68" s="3235">
        <f t="shared" si="115"/>
        <v>162425</v>
      </c>
      <c r="CB68" s="3236">
        <f t="shared" si="116"/>
        <v>0</v>
      </c>
      <c r="CC68" s="3236">
        <f t="shared" si="117"/>
        <v>162425</v>
      </c>
      <c r="CD68" s="3236">
        <f t="shared" si="118"/>
        <v>0</v>
      </c>
      <c r="CE68" s="3237"/>
      <c r="CI68" s="3235">
        <f t="shared" si="119"/>
        <v>162425</v>
      </c>
      <c r="CJ68" s="3236">
        <f t="shared" si="120"/>
        <v>0</v>
      </c>
      <c r="CK68" s="3236">
        <f t="shared" si="121"/>
        <v>162425</v>
      </c>
      <c r="CL68" s="3236">
        <f t="shared" si="122"/>
        <v>0</v>
      </c>
      <c r="CM68" s="3237"/>
      <c r="CQ68" s="3235">
        <f t="shared" si="123"/>
        <v>162425</v>
      </c>
      <c r="CR68" s="3236">
        <f t="shared" si="124"/>
        <v>0</v>
      </c>
      <c r="CS68" s="3236">
        <f t="shared" si="125"/>
        <v>162425</v>
      </c>
      <c r="CT68" s="3236">
        <f t="shared" si="126"/>
        <v>0</v>
      </c>
      <c r="CU68" s="3237"/>
      <c r="CY68" s="3235">
        <f t="shared" si="127"/>
        <v>162425</v>
      </c>
      <c r="CZ68" s="3236">
        <f t="shared" si="128"/>
        <v>0</v>
      </c>
      <c r="DA68" s="3236">
        <f t="shared" si="129"/>
        <v>162425</v>
      </c>
      <c r="DB68" s="3236">
        <f t="shared" si="130"/>
        <v>0</v>
      </c>
      <c r="DC68" s="3237"/>
      <c r="DG68" s="3235">
        <f t="shared" si="131"/>
        <v>162425</v>
      </c>
      <c r="DH68" s="3236">
        <f t="shared" si="132"/>
        <v>0</v>
      </c>
      <c r="DI68" s="3236">
        <f t="shared" si="133"/>
        <v>162425</v>
      </c>
      <c r="DJ68" s="3236">
        <f t="shared" si="134"/>
        <v>0</v>
      </c>
      <c r="DK68" s="3237"/>
      <c r="DO68" s="3235">
        <f t="shared" si="135"/>
        <v>162425</v>
      </c>
      <c r="DP68" s="3236">
        <f t="shared" si="136"/>
        <v>0</v>
      </c>
      <c r="DQ68" s="3236">
        <f t="shared" si="137"/>
        <v>162425</v>
      </c>
      <c r="DR68" s="3236">
        <f t="shared" si="138"/>
        <v>0</v>
      </c>
      <c r="DS68" s="3237"/>
      <c r="DW68" s="3235">
        <f t="shared" si="139"/>
        <v>162425</v>
      </c>
      <c r="DX68" s="3236">
        <f t="shared" si="140"/>
        <v>0</v>
      </c>
      <c r="DY68" s="3236">
        <f t="shared" si="141"/>
        <v>162425</v>
      </c>
      <c r="DZ68" s="3236">
        <f t="shared" si="142"/>
        <v>0</v>
      </c>
      <c r="EA68" s="3237"/>
      <c r="EE68" s="3235">
        <f t="shared" si="143"/>
        <v>162425</v>
      </c>
      <c r="EF68" s="3236">
        <f t="shared" si="144"/>
        <v>0</v>
      </c>
      <c r="EG68" s="3236">
        <f t="shared" si="145"/>
        <v>162425</v>
      </c>
      <c r="EH68" s="3236">
        <f t="shared" si="146"/>
        <v>0</v>
      </c>
      <c r="EI68" s="3237"/>
      <c r="EM68" s="3235">
        <f t="shared" si="147"/>
        <v>162425</v>
      </c>
      <c r="EN68" s="3236">
        <f t="shared" si="148"/>
        <v>0</v>
      </c>
      <c r="EO68" s="3236">
        <f t="shared" si="149"/>
        <v>162425</v>
      </c>
      <c r="EP68" s="3236">
        <f t="shared" si="150"/>
        <v>0</v>
      </c>
      <c r="EQ68" s="3237"/>
      <c r="EU68" s="3235">
        <f t="shared" si="151"/>
        <v>162425</v>
      </c>
      <c r="EV68" s="3236">
        <f t="shared" si="152"/>
        <v>0</v>
      </c>
      <c r="EW68" s="3236">
        <f t="shared" si="153"/>
        <v>162425</v>
      </c>
      <c r="EX68" s="3236">
        <f t="shared" si="154"/>
        <v>0</v>
      </c>
      <c r="EY68" s="3237"/>
      <c r="FC68" s="3235">
        <f t="shared" si="155"/>
        <v>162425</v>
      </c>
      <c r="FD68" s="3236">
        <f t="shared" si="156"/>
        <v>0</v>
      </c>
      <c r="FE68" s="3236">
        <f t="shared" si="157"/>
        <v>162425</v>
      </c>
      <c r="FF68" s="3236">
        <f t="shared" si="158"/>
        <v>0</v>
      </c>
      <c r="FG68" s="3237"/>
      <c r="FK68" s="3235">
        <f t="shared" si="159"/>
        <v>162425</v>
      </c>
      <c r="FL68" s="3236">
        <f t="shared" si="160"/>
        <v>0</v>
      </c>
      <c r="FM68" s="3236">
        <f t="shared" si="161"/>
        <v>162425</v>
      </c>
      <c r="FN68" s="3236">
        <f t="shared" si="162"/>
        <v>0</v>
      </c>
      <c r="FO68" s="3237"/>
    </row>
    <row r="69" spans="1:171">
      <c r="A69" s="2092"/>
      <c r="B69" s="2185" t="s">
        <v>29</v>
      </c>
      <c r="C69" s="2464">
        <v>219</v>
      </c>
      <c r="D69" s="2464">
        <v>108</v>
      </c>
      <c r="E69" s="2424" t="str">
        <f>'Sch 1- Rate Base '!E69</f>
        <v>DIRECT</v>
      </c>
      <c r="F69" s="2171"/>
      <c r="G69" s="2424">
        <f>'Sch 1- Rate Base '!G69</f>
        <v>0</v>
      </c>
      <c r="H69" s="2424">
        <f>'Sch 1- Rate Base '!H69</f>
        <v>0</v>
      </c>
      <c r="I69" s="2424">
        <f>'Sch 1- Rate Base '!I69</f>
        <v>0</v>
      </c>
      <c r="J69" s="3465">
        <f>'Sch 1- Rate Base '!J69</f>
        <v>0</v>
      </c>
      <c r="K69" s="3205">
        <f t="shared" si="82"/>
        <v>0</v>
      </c>
      <c r="O69" s="3235">
        <f t="shared" si="83"/>
        <v>0</v>
      </c>
      <c r="P69" s="3236">
        <f t="shared" si="84"/>
        <v>0</v>
      </c>
      <c r="Q69" s="3236">
        <f t="shared" si="85"/>
        <v>0</v>
      </c>
      <c r="R69" s="3236">
        <f t="shared" si="86"/>
        <v>0</v>
      </c>
      <c r="S69" s="3237"/>
      <c r="W69" s="3235">
        <f t="shared" si="87"/>
        <v>0</v>
      </c>
      <c r="X69" s="3236">
        <f t="shared" si="88"/>
        <v>0</v>
      </c>
      <c r="Y69" s="3236">
        <f t="shared" si="89"/>
        <v>0</v>
      </c>
      <c r="Z69" s="3236">
        <f t="shared" si="90"/>
        <v>0</v>
      </c>
      <c r="AA69" s="3237"/>
      <c r="AE69" s="3235">
        <f t="shared" si="91"/>
        <v>0</v>
      </c>
      <c r="AF69" s="3236">
        <f t="shared" si="92"/>
        <v>0</v>
      </c>
      <c r="AG69" s="3236">
        <f t="shared" si="93"/>
        <v>0</v>
      </c>
      <c r="AH69" s="3236">
        <f t="shared" si="94"/>
        <v>0</v>
      </c>
      <c r="AI69" s="3237"/>
      <c r="AM69" s="3235">
        <f t="shared" si="95"/>
        <v>0</v>
      </c>
      <c r="AN69" s="3236">
        <f t="shared" si="96"/>
        <v>0</v>
      </c>
      <c r="AO69" s="3236">
        <f t="shared" si="97"/>
        <v>0</v>
      </c>
      <c r="AP69" s="3236">
        <f t="shared" si="98"/>
        <v>0</v>
      </c>
      <c r="AQ69" s="3237"/>
      <c r="AU69" s="3235">
        <f t="shared" si="99"/>
        <v>0</v>
      </c>
      <c r="AV69" s="3236">
        <f t="shared" si="100"/>
        <v>0</v>
      </c>
      <c r="AW69" s="3236">
        <f t="shared" si="101"/>
        <v>0</v>
      </c>
      <c r="AX69" s="3236">
        <f t="shared" si="102"/>
        <v>0</v>
      </c>
      <c r="AY69" s="3237"/>
      <c r="BC69" s="3235">
        <f t="shared" si="103"/>
        <v>0</v>
      </c>
      <c r="BD69" s="3236">
        <f t="shared" si="104"/>
        <v>0</v>
      </c>
      <c r="BE69" s="3236">
        <f t="shared" si="105"/>
        <v>0</v>
      </c>
      <c r="BF69" s="3236">
        <f t="shared" si="106"/>
        <v>0</v>
      </c>
      <c r="BG69" s="3237"/>
      <c r="BK69" s="3235">
        <f t="shared" si="107"/>
        <v>0</v>
      </c>
      <c r="BL69" s="3236">
        <f t="shared" si="108"/>
        <v>0</v>
      </c>
      <c r="BM69" s="3236">
        <f t="shared" si="109"/>
        <v>0</v>
      </c>
      <c r="BN69" s="3236">
        <f t="shared" si="110"/>
        <v>0</v>
      </c>
      <c r="BO69" s="3237"/>
      <c r="BS69" s="3235">
        <f t="shared" si="111"/>
        <v>0</v>
      </c>
      <c r="BT69" s="3236">
        <f t="shared" si="112"/>
        <v>0</v>
      </c>
      <c r="BU69" s="3236">
        <f t="shared" si="113"/>
        <v>0</v>
      </c>
      <c r="BV69" s="3236">
        <f t="shared" si="114"/>
        <v>0</v>
      </c>
      <c r="BW69" s="3237"/>
      <c r="CA69" s="3235">
        <f t="shared" si="115"/>
        <v>0</v>
      </c>
      <c r="CB69" s="3236">
        <f t="shared" si="116"/>
        <v>0</v>
      </c>
      <c r="CC69" s="3236">
        <f t="shared" si="117"/>
        <v>0</v>
      </c>
      <c r="CD69" s="3236">
        <f t="shared" si="118"/>
        <v>0</v>
      </c>
      <c r="CE69" s="3237"/>
      <c r="CI69" s="3235">
        <f t="shared" si="119"/>
        <v>0</v>
      </c>
      <c r="CJ69" s="3236">
        <f t="shared" si="120"/>
        <v>0</v>
      </c>
      <c r="CK69" s="3236">
        <f t="shared" si="121"/>
        <v>0</v>
      </c>
      <c r="CL69" s="3236">
        <f t="shared" si="122"/>
        <v>0</v>
      </c>
      <c r="CM69" s="3237"/>
      <c r="CQ69" s="3235">
        <f t="shared" si="123"/>
        <v>0</v>
      </c>
      <c r="CR69" s="3236">
        <f t="shared" si="124"/>
        <v>0</v>
      </c>
      <c r="CS69" s="3236">
        <f t="shared" si="125"/>
        <v>0</v>
      </c>
      <c r="CT69" s="3236">
        <f t="shared" si="126"/>
        <v>0</v>
      </c>
      <c r="CU69" s="3237"/>
      <c r="CY69" s="3235">
        <f t="shared" si="127"/>
        <v>0</v>
      </c>
      <c r="CZ69" s="3236">
        <f t="shared" si="128"/>
        <v>0</v>
      </c>
      <c r="DA69" s="3236">
        <f t="shared" si="129"/>
        <v>0</v>
      </c>
      <c r="DB69" s="3236">
        <f t="shared" si="130"/>
        <v>0</v>
      </c>
      <c r="DC69" s="3237"/>
      <c r="DG69" s="3235">
        <f t="shared" si="131"/>
        <v>0</v>
      </c>
      <c r="DH69" s="3236">
        <f t="shared" si="132"/>
        <v>0</v>
      </c>
      <c r="DI69" s="3236">
        <f t="shared" si="133"/>
        <v>0</v>
      </c>
      <c r="DJ69" s="3236">
        <f t="shared" si="134"/>
        <v>0</v>
      </c>
      <c r="DK69" s="3237"/>
      <c r="DO69" s="3235">
        <f t="shared" si="135"/>
        <v>0</v>
      </c>
      <c r="DP69" s="3236">
        <f t="shared" si="136"/>
        <v>0</v>
      </c>
      <c r="DQ69" s="3236">
        <f t="shared" si="137"/>
        <v>0</v>
      </c>
      <c r="DR69" s="3236">
        <f t="shared" si="138"/>
        <v>0</v>
      </c>
      <c r="DS69" s="3237"/>
      <c r="DW69" s="3235">
        <f t="shared" si="139"/>
        <v>0</v>
      </c>
      <c r="DX69" s="3236">
        <f t="shared" si="140"/>
        <v>0</v>
      </c>
      <c r="DY69" s="3236">
        <f t="shared" si="141"/>
        <v>0</v>
      </c>
      <c r="DZ69" s="3236">
        <f t="shared" si="142"/>
        <v>0</v>
      </c>
      <c r="EA69" s="3237"/>
      <c r="EE69" s="3235">
        <f t="shared" si="143"/>
        <v>0</v>
      </c>
      <c r="EF69" s="3236">
        <f t="shared" si="144"/>
        <v>0</v>
      </c>
      <c r="EG69" s="3236">
        <f t="shared" si="145"/>
        <v>0</v>
      </c>
      <c r="EH69" s="3236">
        <f t="shared" si="146"/>
        <v>0</v>
      </c>
      <c r="EI69" s="3237"/>
      <c r="EM69" s="3235">
        <f t="shared" si="147"/>
        <v>0</v>
      </c>
      <c r="EN69" s="3236">
        <f t="shared" si="148"/>
        <v>0</v>
      </c>
      <c r="EO69" s="3236">
        <f t="shared" si="149"/>
        <v>0</v>
      </c>
      <c r="EP69" s="3236">
        <f t="shared" si="150"/>
        <v>0</v>
      </c>
      <c r="EQ69" s="3237"/>
      <c r="EU69" s="3235">
        <f t="shared" si="151"/>
        <v>0</v>
      </c>
      <c r="EV69" s="3236">
        <f t="shared" si="152"/>
        <v>0</v>
      </c>
      <c r="EW69" s="3236">
        <f t="shared" si="153"/>
        <v>0</v>
      </c>
      <c r="EX69" s="3236">
        <f t="shared" si="154"/>
        <v>0</v>
      </c>
      <c r="EY69" s="3237"/>
      <c r="FC69" s="3235">
        <f t="shared" si="155"/>
        <v>0</v>
      </c>
      <c r="FD69" s="3236">
        <f t="shared" si="156"/>
        <v>0</v>
      </c>
      <c r="FE69" s="3236">
        <f t="shared" si="157"/>
        <v>0</v>
      </c>
      <c r="FF69" s="3236">
        <f t="shared" si="158"/>
        <v>0</v>
      </c>
      <c r="FG69" s="3237"/>
      <c r="FK69" s="3235">
        <f t="shared" si="159"/>
        <v>0</v>
      </c>
      <c r="FL69" s="3236">
        <f t="shared" si="160"/>
        <v>0</v>
      </c>
      <c r="FM69" s="3236">
        <f t="shared" si="161"/>
        <v>0</v>
      </c>
      <c r="FN69" s="3236">
        <f t="shared" si="162"/>
        <v>0</v>
      </c>
      <c r="FO69" s="3237"/>
    </row>
    <row r="70" spans="1:171">
      <c r="A70" s="2092"/>
      <c r="B70" s="2185" t="s">
        <v>162</v>
      </c>
      <c r="C70" s="2464" t="s">
        <v>69</v>
      </c>
      <c r="D70" s="2464">
        <v>108</v>
      </c>
      <c r="E70" s="2424" t="str">
        <f>'Sch 1- Rate Base '!E70</f>
        <v>DIRECT</v>
      </c>
      <c r="F70" s="2171"/>
      <c r="G70" s="2424">
        <f>'Sch 1- Rate Base '!G70</f>
        <v>0</v>
      </c>
      <c r="H70" s="2424">
        <f>'Sch 1- Rate Base '!H70</f>
        <v>0</v>
      </c>
      <c r="I70" s="2424">
        <f>'Sch 1- Rate Base '!I70</f>
        <v>0</v>
      </c>
      <c r="J70" s="3465">
        <f>'Sch 1- Rate Base '!J70</f>
        <v>0</v>
      </c>
      <c r="K70" s="3205">
        <f t="shared" si="82"/>
        <v>0</v>
      </c>
      <c r="O70" s="3235">
        <f t="shared" si="83"/>
        <v>0</v>
      </c>
      <c r="P70" s="3236">
        <f t="shared" si="84"/>
        <v>0</v>
      </c>
      <c r="Q70" s="3236">
        <f t="shared" si="85"/>
        <v>0</v>
      </c>
      <c r="R70" s="3236">
        <f t="shared" si="86"/>
        <v>0</v>
      </c>
      <c r="S70" s="3237"/>
      <c r="W70" s="3235">
        <f t="shared" si="87"/>
        <v>0</v>
      </c>
      <c r="X70" s="3236">
        <f t="shared" si="88"/>
        <v>0</v>
      </c>
      <c r="Y70" s="3236">
        <f t="shared" si="89"/>
        <v>0</v>
      </c>
      <c r="Z70" s="3236">
        <f t="shared" si="90"/>
        <v>0</v>
      </c>
      <c r="AA70" s="3237"/>
      <c r="AE70" s="3235">
        <f t="shared" si="91"/>
        <v>0</v>
      </c>
      <c r="AF70" s="3236">
        <f t="shared" si="92"/>
        <v>0</v>
      </c>
      <c r="AG70" s="3236">
        <f t="shared" si="93"/>
        <v>0</v>
      </c>
      <c r="AH70" s="3236">
        <f t="shared" si="94"/>
        <v>0</v>
      </c>
      <c r="AI70" s="3237"/>
      <c r="AM70" s="3235">
        <f t="shared" si="95"/>
        <v>0</v>
      </c>
      <c r="AN70" s="3236">
        <f t="shared" si="96"/>
        <v>0</v>
      </c>
      <c r="AO70" s="3236">
        <f t="shared" si="97"/>
        <v>0</v>
      </c>
      <c r="AP70" s="3236">
        <f t="shared" si="98"/>
        <v>0</v>
      </c>
      <c r="AQ70" s="3237"/>
      <c r="AU70" s="3235">
        <f t="shared" si="99"/>
        <v>0</v>
      </c>
      <c r="AV70" s="3236">
        <f t="shared" si="100"/>
        <v>0</v>
      </c>
      <c r="AW70" s="3236">
        <f t="shared" si="101"/>
        <v>0</v>
      </c>
      <c r="AX70" s="3236">
        <f t="shared" si="102"/>
        <v>0</v>
      </c>
      <c r="AY70" s="3237"/>
      <c r="BC70" s="3235">
        <f t="shared" si="103"/>
        <v>0</v>
      </c>
      <c r="BD70" s="3236">
        <f t="shared" si="104"/>
        <v>0</v>
      </c>
      <c r="BE70" s="3236">
        <f t="shared" si="105"/>
        <v>0</v>
      </c>
      <c r="BF70" s="3236">
        <f t="shared" si="106"/>
        <v>0</v>
      </c>
      <c r="BG70" s="3237"/>
      <c r="BK70" s="3235">
        <f t="shared" si="107"/>
        <v>0</v>
      </c>
      <c r="BL70" s="3236">
        <f t="shared" si="108"/>
        <v>0</v>
      </c>
      <c r="BM70" s="3236">
        <f t="shared" si="109"/>
        <v>0</v>
      </c>
      <c r="BN70" s="3236">
        <f t="shared" si="110"/>
        <v>0</v>
      </c>
      <c r="BO70" s="3237"/>
      <c r="BS70" s="3235">
        <f t="shared" si="111"/>
        <v>0</v>
      </c>
      <c r="BT70" s="3236">
        <f t="shared" si="112"/>
        <v>0</v>
      </c>
      <c r="BU70" s="3236">
        <f t="shared" si="113"/>
        <v>0</v>
      </c>
      <c r="BV70" s="3236">
        <f t="shared" si="114"/>
        <v>0</v>
      </c>
      <c r="BW70" s="3237"/>
      <c r="CA70" s="3235">
        <f t="shared" si="115"/>
        <v>0</v>
      </c>
      <c r="CB70" s="3236">
        <f t="shared" si="116"/>
        <v>0</v>
      </c>
      <c r="CC70" s="3236">
        <f t="shared" si="117"/>
        <v>0</v>
      </c>
      <c r="CD70" s="3236">
        <f t="shared" si="118"/>
        <v>0</v>
      </c>
      <c r="CE70" s="3237"/>
      <c r="CI70" s="3235">
        <f t="shared" si="119"/>
        <v>0</v>
      </c>
      <c r="CJ70" s="3236">
        <f t="shared" si="120"/>
        <v>0</v>
      </c>
      <c r="CK70" s="3236">
        <f t="shared" si="121"/>
        <v>0</v>
      </c>
      <c r="CL70" s="3236">
        <f t="shared" si="122"/>
        <v>0</v>
      </c>
      <c r="CM70" s="3237"/>
      <c r="CQ70" s="3235">
        <f t="shared" si="123"/>
        <v>0</v>
      </c>
      <c r="CR70" s="3236">
        <f t="shared" si="124"/>
        <v>0</v>
      </c>
      <c r="CS70" s="3236">
        <f t="shared" si="125"/>
        <v>0</v>
      </c>
      <c r="CT70" s="3236">
        <f t="shared" si="126"/>
        <v>0</v>
      </c>
      <c r="CU70" s="3237"/>
      <c r="CY70" s="3235">
        <f t="shared" si="127"/>
        <v>0</v>
      </c>
      <c r="CZ70" s="3236">
        <f t="shared" si="128"/>
        <v>0</v>
      </c>
      <c r="DA70" s="3236">
        <f t="shared" si="129"/>
        <v>0</v>
      </c>
      <c r="DB70" s="3236">
        <f t="shared" si="130"/>
        <v>0</v>
      </c>
      <c r="DC70" s="3237"/>
      <c r="DG70" s="3235">
        <f t="shared" si="131"/>
        <v>0</v>
      </c>
      <c r="DH70" s="3236">
        <f t="shared" si="132"/>
        <v>0</v>
      </c>
      <c r="DI70" s="3236">
        <f t="shared" si="133"/>
        <v>0</v>
      </c>
      <c r="DJ70" s="3236">
        <f t="shared" si="134"/>
        <v>0</v>
      </c>
      <c r="DK70" s="3237"/>
      <c r="DO70" s="3235">
        <f t="shared" si="135"/>
        <v>0</v>
      </c>
      <c r="DP70" s="3236">
        <f t="shared" si="136"/>
        <v>0</v>
      </c>
      <c r="DQ70" s="3236">
        <f t="shared" si="137"/>
        <v>0</v>
      </c>
      <c r="DR70" s="3236">
        <f t="shared" si="138"/>
        <v>0</v>
      </c>
      <c r="DS70" s="3237"/>
      <c r="DW70" s="3235">
        <f t="shared" si="139"/>
        <v>0</v>
      </c>
      <c r="DX70" s="3236">
        <f t="shared" si="140"/>
        <v>0</v>
      </c>
      <c r="DY70" s="3236">
        <f t="shared" si="141"/>
        <v>0</v>
      </c>
      <c r="DZ70" s="3236">
        <f t="shared" si="142"/>
        <v>0</v>
      </c>
      <c r="EA70" s="3237"/>
      <c r="EE70" s="3235">
        <f t="shared" si="143"/>
        <v>0</v>
      </c>
      <c r="EF70" s="3236">
        <f t="shared" si="144"/>
        <v>0</v>
      </c>
      <c r="EG70" s="3236">
        <f t="shared" si="145"/>
        <v>0</v>
      </c>
      <c r="EH70" s="3236">
        <f t="shared" si="146"/>
        <v>0</v>
      </c>
      <c r="EI70" s="3237"/>
      <c r="EM70" s="3235">
        <f t="shared" si="147"/>
        <v>0</v>
      </c>
      <c r="EN70" s="3236">
        <f t="shared" si="148"/>
        <v>0</v>
      </c>
      <c r="EO70" s="3236">
        <f t="shared" si="149"/>
        <v>0</v>
      </c>
      <c r="EP70" s="3236">
        <f t="shared" si="150"/>
        <v>0</v>
      </c>
      <c r="EQ70" s="3237"/>
      <c r="EU70" s="3235">
        <f t="shared" si="151"/>
        <v>0</v>
      </c>
      <c r="EV70" s="3236">
        <f t="shared" si="152"/>
        <v>0</v>
      </c>
      <c r="EW70" s="3236">
        <f t="shared" si="153"/>
        <v>0</v>
      </c>
      <c r="EX70" s="3236">
        <f t="shared" si="154"/>
        <v>0</v>
      </c>
      <c r="EY70" s="3237"/>
      <c r="FC70" s="3235">
        <f t="shared" si="155"/>
        <v>0</v>
      </c>
      <c r="FD70" s="3236">
        <f t="shared" si="156"/>
        <v>0</v>
      </c>
      <c r="FE70" s="3236">
        <f t="shared" si="157"/>
        <v>0</v>
      </c>
      <c r="FF70" s="3236">
        <f t="shared" si="158"/>
        <v>0</v>
      </c>
      <c r="FG70" s="3237"/>
      <c r="FK70" s="3235">
        <f t="shared" si="159"/>
        <v>0</v>
      </c>
      <c r="FL70" s="3236">
        <f t="shared" si="160"/>
        <v>0</v>
      </c>
      <c r="FM70" s="3236">
        <f t="shared" si="161"/>
        <v>0</v>
      </c>
      <c r="FN70" s="3236">
        <f t="shared" si="162"/>
        <v>0</v>
      </c>
      <c r="FO70" s="3237"/>
    </row>
    <row r="71" spans="1:171">
      <c r="A71" s="2092"/>
      <c r="B71" s="2185" t="s">
        <v>399</v>
      </c>
      <c r="C71" s="2464" t="s">
        <v>69</v>
      </c>
      <c r="D71" s="2464">
        <v>108</v>
      </c>
      <c r="E71" s="2424" t="str">
        <f>'Sch 1- Rate Base '!E71</f>
        <v>DIRECT</v>
      </c>
      <c r="F71" s="2171"/>
      <c r="G71" s="2424">
        <f>'Sch 1- Rate Base '!G71</f>
        <v>86358710.079808488</v>
      </c>
      <c r="H71" s="2424">
        <f>'Sch 1- Rate Base '!H71</f>
        <v>23510847.890424702</v>
      </c>
      <c r="I71" s="2424">
        <f>'Sch 1- Rate Base '!I71</f>
        <v>0</v>
      </c>
      <c r="J71" s="3465">
        <f>'Sch 1- Rate Base '!J71</f>
        <v>62847862.189383827</v>
      </c>
      <c r="K71" s="3205">
        <f t="shared" si="82"/>
        <v>0</v>
      </c>
      <c r="O71" s="3235">
        <f t="shared" si="83"/>
        <v>86358710.079808488</v>
      </c>
      <c r="P71" s="3236">
        <f t="shared" si="84"/>
        <v>23510847.890424702</v>
      </c>
      <c r="Q71" s="3236">
        <f t="shared" si="85"/>
        <v>0</v>
      </c>
      <c r="R71" s="3236">
        <f t="shared" si="86"/>
        <v>62847862.18938379</v>
      </c>
      <c r="S71" s="3237"/>
      <c r="W71" s="3235">
        <f t="shared" si="87"/>
        <v>86358710.079808488</v>
      </c>
      <c r="X71" s="3236">
        <f t="shared" si="88"/>
        <v>23510847.890424702</v>
      </c>
      <c r="Y71" s="3236">
        <f t="shared" si="89"/>
        <v>0</v>
      </c>
      <c r="Z71" s="3236">
        <f t="shared" si="90"/>
        <v>62847862.18938379</v>
      </c>
      <c r="AA71" s="3237"/>
      <c r="AE71" s="3235">
        <f t="shared" si="91"/>
        <v>86358710.079808488</v>
      </c>
      <c r="AF71" s="3236">
        <f t="shared" si="92"/>
        <v>23510847.890424702</v>
      </c>
      <c r="AG71" s="3236">
        <f t="shared" si="93"/>
        <v>0</v>
      </c>
      <c r="AH71" s="3236">
        <f t="shared" si="94"/>
        <v>62847862.18938379</v>
      </c>
      <c r="AI71" s="3237"/>
      <c r="AM71" s="3235">
        <f t="shared" si="95"/>
        <v>86358710.079808488</v>
      </c>
      <c r="AN71" s="3236">
        <f t="shared" si="96"/>
        <v>23510847.890424702</v>
      </c>
      <c r="AO71" s="3236">
        <f t="shared" si="97"/>
        <v>0</v>
      </c>
      <c r="AP71" s="3236">
        <f t="shared" si="98"/>
        <v>62847862.18938379</v>
      </c>
      <c r="AQ71" s="3237"/>
      <c r="AU71" s="3235">
        <f t="shared" si="99"/>
        <v>86358710.079808488</v>
      </c>
      <c r="AV71" s="3236">
        <f t="shared" si="100"/>
        <v>23510847.890424702</v>
      </c>
      <c r="AW71" s="3236">
        <f t="shared" si="101"/>
        <v>0</v>
      </c>
      <c r="AX71" s="3236">
        <f t="shared" si="102"/>
        <v>62847862.18938379</v>
      </c>
      <c r="AY71" s="3237"/>
      <c r="BC71" s="3235">
        <f t="shared" si="103"/>
        <v>86358710.079808488</v>
      </c>
      <c r="BD71" s="3236">
        <f t="shared" si="104"/>
        <v>23510847.890424702</v>
      </c>
      <c r="BE71" s="3236">
        <f t="shared" si="105"/>
        <v>0</v>
      </c>
      <c r="BF71" s="3236">
        <f t="shared" si="106"/>
        <v>62847862.18938379</v>
      </c>
      <c r="BG71" s="3237"/>
      <c r="BK71" s="3235">
        <f t="shared" si="107"/>
        <v>86358710.079808488</v>
      </c>
      <c r="BL71" s="3236">
        <f t="shared" si="108"/>
        <v>23510847.890424702</v>
      </c>
      <c r="BM71" s="3236">
        <f t="shared" si="109"/>
        <v>0</v>
      </c>
      <c r="BN71" s="3236">
        <f t="shared" si="110"/>
        <v>62847862.18938379</v>
      </c>
      <c r="BO71" s="3237"/>
      <c r="BS71" s="3235">
        <f t="shared" si="111"/>
        <v>86358710.079808488</v>
      </c>
      <c r="BT71" s="3236">
        <f t="shared" si="112"/>
        <v>23510847.890424702</v>
      </c>
      <c r="BU71" s="3236">
        <f t="shared" si="113"/>
        <v>0</v>
      </c>
      <c r="BV71" s="3236">
        <f t="shared" si="114"/>
        <v>62847862.18938379</v>
      </c>
      <c r="BW71" s="3237"/>
      <c r="CA71" s="3235">
        <f t="shared" si="115"/>
        <v>86358710.079808488</v>
      </c>
      <c r="CB71" s="3236">
        <f t="shared" si="116"/>
        <v>23510847.890424702</v>
      </c>
      <c r="CC71" s="3236">
        <f t="shared" si="117"/>
        <v>0</v>
      </c>
      <c r="CD71" s="3236">
        <f t="shared" si="118"/>
        <v>62847862.18938379</v>
      </c>
      <c r="CE71" s="3237"/>
      <c r="CI71" s="3235">
        <f t="shared" si="119"/>
        <v>86358710.079808488</v>
      </c>
      <c r="CJ71" s="3236">
        <f t="shared" si="120"/>
        <v>23510847.890424702</v>
      </c>
      <c r="CK71" s="3236">
        <f t="shared" si="121"/>
        <v>0</v>
      </c>
      <c r="CL71" s="3236">
        <f t="shared" si="122"/>
        <v>62847862.18938379</v>
      </c>
      <c r="CM71" s="3237"/>
      <c r="CQ71" s="3235">
        <f t="shared" si="123"/>
        <v>86358710.079808488</v>
      </c>
      <c r="CR71" s="3236">
        <f t="shared" si="124"/>
        <v>23510847.890424702</v>
      </c>
      <c r="CS71" s="3236">
        <f t="shared" si="125"/>
        <v>0</v>
      </c>
      <c r="CT71" s="3236">
        <f t="shared" si="126"/>
        <v>62847862.18938379</v>
      </c>
      <c r="CU71" s="3237"/>
      <c r="CY71" s="3235">
        <f t="shared" si="127"/>
        <v>86358710.079808488</v>
      </c>
      <c r="CZ71" s="3236">
        <f t="shared" si="128"/>
        <v>23510847.890424702</v>
      </c>
      <c r="DA71" s="3236">
        <f t="shared" si="129"/>
        <v>0</v>
      </c>
      <c r="DB71" s="3236">
        <f t="shared" si="130"/>
        <v>62847862.18938379</v>
      </c>
      <c r="DC71" s="3237"/>
      <c r="DG71" s="3235">
        <f t="shared" si="131"/>
        <v>86358710.079808488</v>
      </c>
      <c r="DH71" s="3236">
        <f t="shared" si="132"/>
        <v>23510847.890424702</v>
      </c>
      <c r="DI71" s="3236">
        <f t="shared" si="133"/>
        <v>0</v>
      </c>
      <c r="DJ71" s="3236">
        <f t="shared" si="134"/>
        <v>62847862.18938379</v>
      </c>
      <c r="DK71" s="3237"/>
      <c r="DO71" s="3235">
        <f t="shared" si="135"/>
        <v>86358710.079808488</v>
      </c>
      <c r="DP71" s="3236">
        <f t="shared" si="136"/>
        <v>23510847.890424702</v>
      </c>
      <c r="DQ71" s="3236">
        <f t="shared" si="137"/>
        <v>0</v>
      </c>
      <c r="DR71" s="3236">
        <f t="shared" si="138"/>
        <v>62847862.18938379</v>
      </c>
      <c r="DS71" s="3237"/>
      <c r="DW71" s="3235">
        <f t="shared" si="139"/>
        <v>86358710.079808488</v>
      </c>
      <c r="DX71" s="3236">
        <f t="shared" si="140"/>
        <v>23510847.890424702</v>
      </c>
      <c r="DY71" s="3236">
        <f t="shared" si="141"/>
        <v>0</v>
      </c>
      <c r="DZ71" s="3236">
        <f t="shared" si="142"/>
        <v>62847862.18938379</v>
      </c>
      <c r="EA71" s="3237"/>
      <c r="EE71" s="3235">
        <f t="shared" si="143"/>
        <v>86358710.079808488</v>
      </c>
      <c r="EF71" s="3236">
        <f t="shared" si="144"/>
        <v>23510847.890424702</v>
      </c>
      <c r="EG71" s="3236">
        <f t="shared" si="145"/>
        <v>0</v>
      </c>
      <c r="EH71" s="3236">
        <f t="shared" si="146"/>
        <v>62847862.18938379</v>
      </c>
      <c r="EI71" s="3237"/>
      <c r="EM71" s="3235">
        <f t="shared" si="147"/>
        <v>86358710.079808488</v>
      </c>
      <c r="EN71" s="3236">
        <f t="shared" si="148"/>
        <v>23510847.890424702</v>
      </c>
      <c r="EO71" s="3236">
        <f t="shared" si="149"/>
        <v>0</v>
      </c>
      <c r="EP71" s="3236">
        <f t="shared" si="150"/>
        <v>62847862.18938379</v>
      </c>
      <c r="EQ71" s="3237"/>
      <c r="EU71" s="3235">
        <f t="shared" si="151"/>
        <v>86358710.079808488</v>
      </c>
      <c r="EV71" s="3236">
        <f t="shared" si="152"/>
        <v>23510847.890424702</v>
      </c>
      <c r="EW71" s="3236">
        <f t="shared" si="153"/>
        <v>0</v>
      </c>
      <c r="EX71" s="3236">
        <f t="shared" si="154"/>
        <v>62847862.18938379</v>
      </c>
      <c r="EY71" s="3237"/>
      <c r="FC71" s="3235">
        <f t="shared" si="155"/>
        <v>86358710.079808488</v>
      </c>
      <c r="FD71" s="3236">
        <f t="shared" si="156"/>
        <v>23510847.890424702</v>
      </c>
      <c r="FE71" s="3236">
        <f t="shared" si="157"/>
        <v>0</v>
      </c>
      <c r="FF71" s="3236">
        <f t="shared" si="158"/>
        <v>62847862.18938379</v>
      </c>
      <c r="FG71" s="3237"/>
      <c r="FK71" s="3235">
        <f t="shared" si="159"/>
        <v>86358710.079808488</v>
      </c>
      <c r="FL71" s="3236">
        <f t="shared" si="160"/>
        <v>23510847.890424702</v>
      </c>
      <c r="FM71" s="3236">
        <f t="shared" si="161"/>
        <v>0</v>
      </c>
      <c r="FN71" s="3236">
        <f t="shared" si="162"/>
        <v>62847862.18938379</v>
      </c>
      <c r="FO71" s="3237"/>
    </row>
    <row r="72" spans="1:171">
      <c r="A72" s="2092"/>
      <c r="B72" s="2185" t="s">
        <v>400</v>
      </c>
      <c r="C72" s="2464" t="s">
        <v>69</v>
      </c>
      <c r="D72" s="2464">
        <v>108</v>
      </c>
      <c r="E72" s="2424" t="str">
        <f>'Sch 1- Rate Base '!E72</f>
        <v>DIRECT</v>
      </c>
      <c r="F72" s="2171"/>
      <c r="G72" s="2424">
        <f>'Sch 1- Rate Base '!G72</f>
        <v>90080742.531604186</v>
      </c>
      <c r="H72" s="2424">
        <f>'Sch 1- Rate Base '!H72</f>
        <v>28133789.970597092</v>
      </c>
      <c r="I72" s="2424">
        <f>'Sch 1- Rate Base '!I72</f>
        <v>0</v>
      </c>
      <c r="J72" s="3465">
        <f>'Sch 1- Rate Base '!J72</f>
        <v>61946952.232538618</v>
      </c>
      <c r="K72" s="3205">
        <f t="shared" si="82"/>
        <v>0</v>
      </c>
      <c r="O72" s="3235">
        <f t="shared" si="83"/>
        <v>90080742.531604186</v>
      </c>
      <c r="P72" s="3236">
        <f t="shared" si="84"/>
        <v>28133789.970597092</v>
      </c>
      <c r="Q72" s="3236">
        <f t="shared" si="85"/>
        <v>0</v>
      </c>
      <c r="R72" s="3236">
        <f t="shared" si="86"/>
        <v>61946952.561007097</v>
      </c>
      <c r="S72" s="3237"/>
      <c r="W72" s="3235">
        <f t="shared" si="87"/>
        <v>90080742.531604186</v>
      </c>
      <c r="X72" s="3236">
        <f t="shared" si="88"/>
        <v>28133789.970597092</v>
      </c>
      <c r="Y72" s="3236">
        <f t="shared" si="89"/>
        <v>0</v>
      </c>
      <c r="Z72" s="3236">
        <f t="shared" si="90"/>
        <v>61946952.561007097</v>
      </c>
      <c r="AA72" s="3237"/>
      <c r="AE72" s="3235">
        <f t="shared" si="91"/>
        <v>90080742.531604186</v>
      </c>
      <c r="AF72" s="3236">
        <f t="shared" si="92"/>
        <v>28133789.970597092</v>
      </c>
      <c r="AG72" s="3236">
        <f t="shared" si="93"/>
        <v>0</v>
      </c>
      <c r="AH72" s="3236">
        <f t="shared" si="94"/>
        <v>61946952.561007097</v>
      </c>
      <c r="AI72" s="3237"/>
      <c r="AM72" s="3235">
        <f t="shared" si="95"/>
        <v>90080742.531604186</v>
      </c>
      <c r="AN72" s="3236">
        <f t="shared" si="96"/>
        <v>28133789.970597092</v>
      </c>
      <c r="AO72" s="3236">
        <f t="shared" si="97"/>
        <v>0</v>
      </c>
      <c r="AP72" s="3236">
        <f t="shared" si="98"/>
        <v>61946952.561007097</v>
      </c>
      <c r="AQ72" s="3237"/>
      <c r="AU72" s="3235">
        <f t="shared" si="99"/>
        <v>90080742.531604186</v>
      </c>
      <c r="AV72" s="3236">
        <f t="shared" si="100"/>
        <v>28133789.970597092</v>
      </c>
      <c r="AW72" s="3236">
        <f t="shared" si="101"/>
        <v>0</v>
      </c>
      <c r="AX72" s="3236">
        <f t="shared" si="102"/>
        <v>61946952.561007097</v>
      </c>
      <c r="AY72" s="3237"/>
      <c r="BC72" s="3235">
        <f t="shared" si="103"/>
        <v>90080742.531604186</v>
      </c>
      <c r="BD72" s="3236">
        <f t="shared" si="104"/>
        <v>28133789.970597092</v>
      </c>
      <c r="BE72" s="3236">
        <f t="shared" si="105"/>
        <v>0</v>
      </c>
      <c r="BF72" s="3236">
        <f t="shared" si="106"/>
        <v>61946952.561007097</v>
      </c>
      <c r="BG72" s="3237"/>
      <c r="BK72" s="3235">
        <f t="shared" si="107"/>
        <v>90080742.531604186</v>
      </c>
      <c r="BL72" s="3236">
        <f t="shared" si="108"/>
        <v>28133789.970597092</v>
      </c>
      <c r="BM72" s="3236">
        <f t="shared" si="109"/>
        <v>0</v>
      </c>
      <c r="BN72" s="3236">
        <f t="shared" si="110"/>
        <v>61946952.561007097</v>
      </c>
      <c r="BO72" s="3237"/>
      <c r="BS72" s="3235">
        <f t="shared" si="111"/>
        <v>90080742.531604186</v>
      </c>
      <c r="BT72" s="3236">
        <f t="shared" si="112"/>
        <v>28133789.970597092</v>
      </c>
      <c r="BU72" s="3236">
        <f t="shared" si="113"/>
        <v>0</v>
      </c>
      <c r="BV72" s="3236">
        <f t="shared" si="114"/>
        <v>61946952.561007097</v>
      </c>
      <c r="BW72" s="3237"/>
      <c r="CA72" s="3235">
        <f t="shared" si="115"/>
        <v>90080742.531604186</v>
      </c>
      <c r="CB72" s="3236">
        <f t="shared" si="116"/>
        <v>28133789.970597092</v>
      </c>
      <c r="CC72" s="3236">
        <f t="shared" si="117"/>
        <v>0</v>
      </c>
      <c r="CD72" s="3236">
        <f t="shared" si="118"/>
        <v>61946952.561007097</v>
      </c>
      <c r="CE72" s="3237"/>
      <c r="CI72" s="3235">
        <f t="shared" si="119"/>
        <v>90080742.531604186</v>
      </c>
      <c r="CJ72" s="3236">
        <f t="shared" si="120"/>
        <v>28133789.970597092</v>
      </c>
      <c r="CK72" s="3236">
        <f t="shared" si="121"/>
        <v>0</v>
      </c>
      <c r="CL72" s="3236">
        <f t="shared" si="122"/>
        <v>61946952.561007097</v>
      </c>
      <c r="CM72" s="3237"/>
      <c r="CQ72" s="3235">
        <f t="shared" si="123"/>
        <v>90080742.531604186</v>
      </c>
      <c r="CR72" s="3236">
        <f t="shared" si="124"/>
        <v>28133789.970597092</v>
      </c>
      <c r="CS72" s="3236">
        <f t="shared" si="125"/>
        <v>0</v>
      </c>
      <c r="CT72" s="3236">
        <f t="shared" si="126"/>
        <v>61946952.561007097</v>
      </c>
      <c r="CU72" s="3237"/>
      <c r="CY72" s="3235">
        <f t="shared" si="127"/>
        <v>90080742.531604186</v>
      </c>
      <c r="CZ72" s="3236">
        <f t="shared" si="128"/>
        <v>28133789.970597092</v>
      </c>
      <c r="DA72" s="3236">
        <f t="shared" si="129"/>
        <v>0</v>
      </c>
      <c r="DB72" s="3236">
        <f t="shared" si="130"/>
        <v>61946952.561007097</v>
      </c>
      <c r="DC72" s="3237"/>
      <c r="DG72" s="3235">
        <f t="shared" si="131"/>
        <v>90080742.531604186</v>
      </c>
      <c r="DH72" s="3236">
        <f t="shared" si="132"/>
        <v>28133789.970597092</v>
      </c>
      <c r="DI72" s="3236">
        <f t="shared" si="133"/>
        <v>0</v>
      </c>
      <c r="DJ72" s="3236">
        <f t="shared" si="134"/>
        <v>61946952.561007097</v>
      </c>
      <c r="DK72" s="3237"/>
      <c r="DO72" s="3235">
        <f t="shared" si="135"/>
        <v>90080742.531604186</v>
      </c>
      <c r="DP72" s="3236">
        <f t="shared" si="136"/>
        <v>28133789.970597092</v>
      </c>
      <c r="DQ72" s="3236">
        <f t="shared" si="137"/>
        <v>0</v>
      </c>
      <c r="DR72" s="3236">
        <f t="shared" si="138"/>
        <v>61946952.561007097</v>
      </c>
      <c r="DS72" s="3237"/>
      <c r="DW72" s="3235">
        <f t="shared" si="139"/>
        <v>90080742.531604186</v>
      </c>
      <c r="DX72" s="3236">
        <f t="shared" si="140"/>
        <v>28133789.970597092</v>
      </c>
      <c r="DY72" s="3236">
        <f t="shared" si="141"/>
        <v>0</v>
      </c>
      <c r="DZ72" s="3236">
        <f t="shared" si="142"/>
        <v>61946952.561007097</v>
      </c>
      <c r="EA72" s="3237"/>
      <c r="EE72" s="3235">
        <f t="shared" si="143"/>
        <v>90080742.531604186</v>
      </c>
      <c r="EF72" s="3236">
        <f t="shared" si="144"/>
        <v>28133789.970597092</v>
      </c>
      <c r="EG72" s="3236">
        <f t="shared" si="145"/>
        <v>0</v>
      </c>
      <c r="EH72" s="3236">
        <f t="shared" si="146"/>
        <v>61946952.561007097</v>
      </c>
      <c r="EI72" s="3237"/>
      <c r="EM72" s="3235">
        <f t="shared" si="147"/>
        <v>90080742.531604186</v>
      </c>
      <c r="EN72" s="3236">
        <f t="shared" si="148"/>
        <v>28133789.970597092</v>
      </c>
      <c r="EO72" s="3236">
        <f t="shared" si="149"/>
        <v>0</v>
      </c>
      <c r="EP72" s="3236">
        <f t="shared" si="150"/>
        <v>61946952.561007097</v>
      </c>
      <c r="EQ72" s="3237"/>
      <c r="EU72" s="3235">
        <f t="shared" si="151"/>
        <v>90080742.531604186</v>
      </c>
      <c r="EV72" s="3236">
        <f t="shared" si="152"/>
        <v>28133789.970597092</v>
      </c>
      <c r="EW72" s="3236">
        <f t="shared" si="153"/>
        <v>0</v>
      </c>
      <c r="EX72" s="3236">
        <f t="shared" si="154"/>
        <v>61946952.561007097</v>
      </c>
      <c r="EY72" s="3237"/>
      <c r="FC72" s="3235">
        <f t="shared" si="155"/>
        <v>90080742.531604186</v>
      </c>
      <c r="FD72" s="3236">
        <f t="shared" si="156"/>
        <v>28133789.970597092</v>
      </c>
      <c r="FE72" s="3236">
        <f t="shared" si="157"/>
        <v>0</v>
      </c>
      <c r="FF72" s="3236">
        <f t="shared" si="158"/>
        <v>61946952.561007097</v>
      </c>
      <c r="FG72" s="3237"/>
      <c r="FK72" s="3235">
        <f t="shared" si="159"/>
        <v>90080742.531604186</v>
      </c>
      <c r="FL72" s="3236">
        <f t="shared" si="160"/>
        <v>28133789.970597092</v>
      </c>
      <c r="FM72" s="3236">
        <f t="shared" si="161"/>
        <v>0</v>
      </c>
      <c r="FN72" s="3236">
        <f t="shared" si="162"/>
        <v>61946952.561007097</v>
      </c>
      <c r="FO72" s="3237"/>
    </row>
    <row r="73" spans="1:171">
      <c r="A73" s="2092"/>
      <c r="B73" s="2185" t="s">
        <v>546</v>
      </c>
      <c r="C73" s="2464" t="s">
        <v>69</v>
      </c>
      <c r="D73" s="2464">
        <v>115</v>
      </c>
      <c r="E73" s="2424" t="str">
        <f>'Sch 1- Rate Base '!E73</f>
        <v>DIRECT</v>
      </c>
      <c r="F73" s="2171"/>
      <c r="G73" s="2424">
        <f>'Sch 1- Rate Base '!G73</f>
        <v>177057826</v>
      </c>
      <c r="H73" s="2424">
        <f>'Sch 1- Rate Base '!H73</f>
        <v>175809295.39000002</v>
      </c>
      <c r="I73" s="2424">
        <f>'Sch 1- Rate Base '!I73</f>
        <v>0</v>
      </c>
      <c r="J73" s="3465">
        <f>'Sch 1- Rate Base '!J73</f>
        <v>1248530.26</v>
      </c>
      <c r="K73" s="3205">
        <f t="shared" si="82"/>
        <v>0</v>
      </c>
      <c r="O73" s="3235">
        <f t="shared" si="83"/>
        <v>177057826</v>
      </c>
      <c r="P73" s="3236">
        <f t="shared" si="84"/>
        <v>175809295.39000002</v>
      </c>
      <c r="Q73" s="3236">
        <f t="shared" si="85"/>
        <v>0</v>
      </c>
      <c r="R73" s="3236">
        <f t="shared" si="86"/>
        <v>1248530.6099999845</v>
      </c>
      <c r="S73" s="3237"/>
      <c r="W73" s="3235">
        <f t="shared" si="87"/>
        <v>177057826</v>
      </c>
      <c r="X73" s="3236">
        <f t="shared" si="88"/>
        <v>175809295.39000002</v>
      </c>
      <c r="Y73" s="3236">
        <f t="shared" si="89"/>
        <v>0</v>
      </c>
      <c r="Z73" s="3236">
        <f t="shared" si="90"/>
        <v>1248530.6099999845</v>
      </c>
      <c r="AA73" s="3237"/>
      <c r="AE73" s="3235">
        <f t="shared" si="91"/>
        <v>177057826</v>
      </c>
      <c r="AF73" s="3236">
        <f t="shared" si="92"/>
        <v>175809295.39000002</v>
      </c>
      <c r="AG73" s="3236">
        <f t="shared" si="93"/>
        <v>0</v>
      </c>
      <c r="AH73" s="3236">
        <f t="shared" si="94"/>
        <v>1248530.6099999845</v>
      </c>
      <c r="AI73" s="3237"/>
      <c r="AM73" s="3235">
        <f t="shared" si="95"/>
        <v>177057826</v>
      </c>
      <c r="AN73" s="3236">
        <f t="shared" si="96"/>
        <v>175809295.39000002</v>
      </c>
      <c r="AO73" s="3236">
        <f t="shared" si="97"/>
        <v>0</v>
      </c>
      <c r="AP73" s="3236">
        <f t="shared" si="98"/>
        <v>1248530.6099999845</v>
      </c>
      <c r="AQ73" s="3237"/>
      <c r="AU73" s="3235">
        <f t="shared" si="99"/>
        <v>177057826</v>
      </c>
      <c r="AV73" s="3236">
        <f t="shared" si="100"/>
        <v>175809295.39000002</v>
      </c>
      <c r="AW73" s="3236">
        <f t="shared" si="101"/>
        <v>0</v>
      </c>
      <c r="AX73" s="3236">
        <f t="shared" si="102"/>
        <v>1248530.6099999845</v>
      </c>
      <c r="AY73" s="3237"/>
      <c r="BC73" s="3235">
        <f t="shared" si="103"/>
        <v>177057826</v>
      </c>
      <c r="BD73" s="3236">
        <f t="shared" si="104"/>
        <v>175809295.39000002</v>
      </c>
      <c r="BE73" s="3236">
        <f t="shared" si="105"/>
        <v>0</v>
      </c>
      <c r="BF73" s="3236">
        <f t="shared" si="106"/>
        <v>1248530.6099999845</v>
      </c>
      <c r="BG73" s="3237"/>
      <c r="BK73" s="3235">
        <f t="shared" si="107"/>
        <v>177057826</v>
      </c>
      <c r="BL73" s="3236">
        <f t="shared" si="108"/>
        <v>175809295.39000002</v>
      </c>
      <c r="BM73" s="3236">
        <f t="shared" si="109"/>
        <v>0</v>
      </c>
      <c r="BN73" s="3236">
        <f t="shared" si="110"/>
        <v>1248530.6099999845</v>
      </c>
      <c r="BO73" s="3237"/>
      <c r="BS73" s="3235">
        <f t="shared" si="111"/>
        <v>177057826</v>
      </c>
      <c r="BT73" s="3236">
        <f t="shared" si="112"/>
        <v>175809295.39000002</v>
      </c>
      <c r="BU73" s="3236">
        <f t="shared" si="113"/>
        <v>0</v>
      </c>
      <c r="BV73" s="3236">
        <f t="shared" si="114"/>
        <v>1248530.6099999845</v>
      </c>
      <c r="BW73" s="3237"/>
      <c r="CA73" s="3235">
        <f t="shared" si="115"/>
        <v>177057826</v>
      </c>
      <c r="CB73" s="3236">
        <f t="shared" si="116"/>
        <v>175809295.39000002</v>
      </c>
      <c r="CC73" s="3236">
        <f t="shared" si="117"/>
        <v>0</v>
      </c>
      <c r="CD73" s="3236">
        <f t="shared" si="118"/>
        <v>1248530.6099999845</v>
      </c>
      <c r="CE73" s="3237"/>
      <c r="CI73" s="3235">
        <f t="shared" si="119"/>
        <v>177057826</v>
      </c>
      <c r="CJ73" s="3236">
        <f t="shared" si="120"/>
        <v>175809295.39000002</v>
      </c>
      <c r="CK73" s="3236">
        <f t="shared" si="121"/>
        <v>0</v>
      </c>
      <c r="CL73" s="3236">
        <f t="shared" si="122"/>
        <v>1248530.6099999845</v>
      </c>
      <c r="CM73" s="3237"/>
      <c r="CQ73" s="3235">
        <f t="shared" si="123"/>
        <v>177057826</v>
      </c>
      <c r="CR73" s="3236">
        <f t="shared" si="124"/>
        <v>175809295.39000002</v>
      </c>
      <c r="CS73" s="3236">
        <f t="shared" si="125"/>
        <v>0</v>
      </c>
      <c r="CT73" s="3236">
        <f t="shared" si="126"/>
        <v>1248530.6099999845</v>
      </c>
      <c r="CU73" s="3237"/>
      <c r="CY73" s="3235">
        <f t="shared" si="127"/>
        <v>177057826</v>
      </c>
      <c r="CZ73" s="3236">
        <f t="shared" si="128"/>
        <v>175809295.39000002</v>
      </c>
      <c r="DA73" s="3236">
        <f t="shared" si="129"/>
        <v>0</v>
      </c>
      <c r="DB73" s="3236">
        <f t="shared" si="130"/>
        <v>1248530.6099999845</v>
      </c>
      <c r="DC73" s="3237"/>
      <c r="DG73" s="3235">
        <f t="shared" si="131"/>
        <v>177057826</v>
      </c>
      <c r="DH73" s="3236">
        <f t="shared" si="132"/>
        <v>175809295.39000002</v>
      </c>
      <c r="DI73" s="3236">
        <f t="shared" si="133"/>
        <v>0</v>
      </c>
      <c r="DJ73" s="3236">
        <f t="shared" si="134"/>
        <v>1248530.6099999845</v>
      </c>
      <c r="DK73" s="3237"/>
      <c r="DO73" s="3235">
        <f t="shared" si="135"/>
        <v>177057826</v>
      </c>
      <c r="DP73" s="3236">
        <f t="shared" si="136"/>
        <v>175809295.39000002</v>
      </c>
      <c r="DQ73" s="3236">
        <f t="shared" si="137"/>
        <v>0</v>
      </c>
      <c r="DR73" s="3236">
        <f t="shared" si="138"/>
        <v>1248530.6099999845</v>
      </c>
      <c r="DS73" s="3237"/>
      <c r="DW73" s="3235">
        <f t="shared" si="139"/>
        <v>177057826</v>
      </c>
      <c r="DX73" s="3236">
        <f t="shared" si="140"/>
        <v>175809295.39000002</v>
      </c>
      <c r="DY73" s="3236">
        <f t="shared" si="141"/>
        <v>0</v>
      </c>
      <c r="DZ73" s="3236">
        <f t="shared" si="142"/>
        <v>1248530.6099999845</v>
      </c>
      <c r="EA73" s="3237"/>
      <c r="EE73" s="3235">
        <f t="shared" si="143"/>
        <v>177057826</v>
      </c>
      <c r="EF73" s="3236">
        <f t="shared" si="144"/>
        <v>175809295.39000002</v>
      </c>
      <c r="EG73" s="3236">
        <f t="shared" si="145"/>
        <v>0</v>
      </c>
      <c r="EH73" s="3236">
        <f t="shared" si="146"/>
        <v>1248530.6099999845</v>
      </c>
      <c r="EI73" s="3237"/>
      <c r="EM73" s="3235">
        <f t="shared" si="147"/>
        <v>177057826</v>
      </c>
      <c r="EN73" s="3236">
        <f t="shared" si="148"/>
        <v>175809295.39000002</v>
      </c>
      <c r="EO73" s="3236">
        <f t="shared" si="149"/>
        <v>0</v>
      </c>
      <c r="EP73" s="3236">
        <f t="shared" si="150"/>
        <v>1248530.6099999845</v>
      </c>
      <c r="EQ73" s="3237"/>
      <c r="EU73" s="3235">
        <f t="shared" si="151"/>
        <v>177057826</v>
      </c>
      <c r="EV73" s="3236">
        <f t="shared" si="152"/>
        <v>175809295.39000002</v>
      </c>
      <c r="EW73" s="3236">
        <f t="shared" si="153"/>
        <v>0</v>
      </c>
      <c r="EX73" s="3236">
        <f t="shared" si="154"/>
        <v>1248530.6099999845</v>
      </c>
      <c r="EY73" s="3237"/>
      <c r="FC73" s="3235">
        <f t="shared" si="155"/>
        <v>177057826</v>
      </c>
      <c r="FD73" s="3236">
        <f t="shared" si="156"/>
        <v>175809295.39000002</v>
      </c>
      <c r="FE73" s="3236">
        <f t="shared" si="157"/>
        <v>0</v>
      </c>
      <c r="FF73" s="3236">
        <f t="shared" si="158"/>
        <v>1248530.6099999845</v>
      </c>
      <c r="FG73" s="3237"/>
      <c r="FK73" s="3235">
        <f t="shared" si="159"/>
        <v>177057826</v>
      </c>
      <c r="FL73" s="3236">
        <f t="shared" si="160"/>
        <v>175809295.39000002</v>
      </c>
      <c r="FM73" s="3236">
        <f t="shared" si="161"/>
        <v>0</v>
      </c>
      <c r="FN73" s="3236">
        <f t="shared" si="162"/>
        <v>1248530.6099999845</v>
      </c>
      <c r="FO73" s="3237"/>
    </row>
    <row r="74" spans="1:171">
      <c r="A74" s="2092"/>
      <c r="B74" s="2185"/>
      <c r="C74" s="2116"/>
      <c r="D74" s="2098"/>
      <c r="E74" s="2098"/>
      <c r="F74" s="2098"/>
      <c r="G74" s="2201"/>
      <c r="H74" s="2671"/>
      <c r="I74" s="2671"/>
      <c r="J74" s="3165"/>
      <c r="K74" s="3205"/>
      <c r="S74" s="3237"/>
      <c r="AA74" s="3237"/>
      <c r="AI74" s="3237"/>
      <c r="AQ74" s="3237"/>
      <c r="AY74" s="3237"/>
      <c r="BG74" s="3237"/>
      <c r="BO74" s="3237"/>
      <c r="BW74" s="3237"/>
      <c r="CE74" s="3237"/>
      <c r="CM74" s="3237"/>
      <c r="CU74" s="3237"/>
      <c r="DC74" s="3237"/>
      <c r="DK74" s="3237"/>
      <c r="DS74" s="3237"/>
      <c r="EA74" s="3237"/>
      <c r="EI74" s="3237"/>
      <c r="EQ74" s="3237"/>
      <c r="EY74" s="3237"/>
      <c r="FG74" s="3237"/>
      <c r="FO74" s="3237"/>
    </row>
    <row r="75" spans="1:171">
      <c r="A75" s="2102" t="s">
        <v>209</v>
      </c>
      <c r="B75" s="2185"/>
      <c r="C75" s="2464"/>
      <c r="D75" s="2464"/>
      <c r="E75" s="2424" t="str">
        <f>'Sch 1- Rate Base '!E75</f>
        <v>DIRECT</v>
      </c>
      <c r="F75" s="2171"/>
      <c r="G75" s="2424">
        <f>'Sch 1- Rate Base '!G75</f>
        <v>0</v>
      </c>
      <c r="H75" s="2424">
        <f>'Sch 1- Rate Base '!H75</f>
        <v>0</v>
      </c>
      <c r="I75" s="2424">
        <f>'Sch 1- Rate Base '!I75</f>
        <v>0</v>
      </c>
      <c r="J75" s="3465">
        <f>'Sch 1- Rate Base '!J75</f>
        <v>0</v>
      </c>
      <c r="K75" s="3205">
        <f t="shared" si="82"/>
        <v>0</v>
      </c>
      <c r="S75" s="3237"/>
      <c r="AA75" s="3237"/>
      <c r="AI75" s="3237"/>
      <c r="AQ75" s="3237"/>
      <c r="AY75" s="3237"/>
      <c r="BG75" s="3237"/>
      <c r="BO75" s="3237"/>
      <c r="BW75" s="3237"/>
      <c r="CE75" s="3237"/>
      <c r="CM75" s="3237"/>
      <c r="CU75" s="3237"/>
      <c r="DC75" s="3237"/>
      <c r="DK75" s="3237"/>
      <c r="DS75" s="3237"/>
      <c r="EA75" s="3237"/>
      <c r="EI75" s="3237"/>
      <c r="EQ75" s="3237"/>
      <c r="EY75" s="3237"/>
      <c r="FG75" s="3237"/>
      <c r="FO75" s="3237"/>
    </row>
    <row r="76" spans="1:171">
      <c r="A76" s="2104"/>
      <c r="B76" s="2185"/>
      <c r="C76" s="2116"/>
      <c r="D76" s="2098"/>
      <c r="E76" s="2098"/>
      <c r="F76" s="2098"/>
      <c r="G76" s="2117"/>
      <c r="H76" s="2671"/>
      <c r="I76" s="2671"/>
      <c r="J76" s="3165"/>
      <c r="K76" s="3205"/>
      <c r="S76" s="3237"/>
      <c r="AA76" s="3237"/>
      <c r="AI76" s="3237"/>
      <c r="AQ76" s="3237"/>
      <c r="AY76" s="3237"/>
      <c r="BG76" s="3237"/>
      <c r="BO76" s="3237"/>
      <c r="BW76" s="3237"/>
      <c r="CE76" s="3237"/>
      <c r="CM76" s="3237"/>
      <c r="CU76" s="3237"/>
      <c r="DC76" s="3237"/>
      <c r="DK76" s="3237"/>
      <c r="DS76" s="3237"/>
      <c r="EA76" s="3237"/>
      <c r="EI76" s="3237"/>
      <c r="EQ76" s="3237"/>
      <c r="EY76" s="3237"/>
      <c r="FG76" s="3237"/>
      <c r="FO76" s="3237"/>
    </row>
    <row r="77" spans="1:171">
      <c r="A77" s="2196" t="s">
        <v>221</v>
      </c>
      <c r="B77" s="2100"/>
      <c r="C77" s="3256"/>
      <c r="D77" s="3257"/>
      <c r="E77" s="3257"/>
      <c r="F77" s="3258"/>
      <c r="G77" s="3265">
        <f>SUM(G57:G75)</f>
        <v>5581914798.8714123</v>
      </c>
      <c r="H77" s="3265">
        <f>SUM(H57:H75)</f>
        <v>2626518032.8082662</v>
      </c>
      <c r="I77" s="3265">
        <f>SUM(I57:I75)</f>
        <v>0</v>
      </c>
      <c r="J77" s="3474">
        <f>SUM(J57:J75)</f>
        <v>2955396765.3846788</v>
      </c>
      <c r="K77" s="3205"/>
      <c r="O77" s="3247">
        <f>SUM(O57:O75)</f>
        <v>5581914798.8714123</v>
      </c>
      <c r="P77" s="3247">
        <f>SUM(P57:P75)</f>
        <v>2626518032.8082662</v>
      </c>
      <c r="Q77" s="3247">
        <f>SUM(Q57:Q75)</f>
        <v>697004187.19734859</v>
      </c>
      <c r="R77" s="3247">
        <f>SUM(R57:R75)</f>
        <v>2258392578.865798</v>
      </c>
      <c r="S77" s="3237"/>
      <c r="W77" s="3247">
        <f>SUM(W57:W75)</f>
        <v>5581914798.8714123</v>
      </c>
      <c r="X77" s="3247">
        <f>SUM(X57:X75)</f>
        <v>2626518032.8082662</v>
      </c>
      <c r="Y77" s="3247">
        <f>SUM(Y57:Y75)</f>
        <v>697004187.19734859</v>
      </c>
      <c r="Z77" s="3247">
        <f>SUM(Z57:Z75)</f>
        <v>2258392578.865798</v>
      </c>
      <c r="AA77" s="3237"/>
      <c r="AE77" s="3247">
        <f>SUM(AE57:AE75)</f>
        <v>5581914798.8714123</v>
      </c>
      <c r="AF77" s="3247">
        <f>SUM(AF57:AF75)</f>
        <v>2626518032.8082662</v>
      </c>
      <c r="AG77" s="3247">
        <f>SUM(AG57:AG75)</f>
        <v>697004187.19734859</v>
      </c>
      <c r="AH77" s="3247">
        <f>SUM(AH57:AH75)</f>
        <v>2258392578.865798</v>
      </c>
      <c r="AI77" s="3237"/>
      <c r="AM77" s="3247">
        <f>SUM(AM57:AM75)</f>
        <v>5581914798.8714123</v>
      </c>
      <c r="AN77" s="3247">
        <f>SUM(AN57:AN75)</f>
        <v>2626518032.8082662</v>
      </c>
      <c r="AO77" s="3247">
        <f>SUM(AO57:AO75)</f>
        <v>697004187.19734859</v>
      </c>
      <c r="AP77" s="3247">
        <f>SUM(AP57:AP75)</f>
        <v>2258392578.865798</v>
      </c>
      <c r="AQ77" s="3237"/>
      <c r="AU77" s="3247">
        <f>SUM(AU57:AU75)</f>
        <v>5581914798.8714123</v>
      </c>
      <c r="AV77" s="3247">
        <f>SUM(AV57:AV75)</f>
        <v>2626518032.8082662</v>
      </c>
      <c r="AW77" s="3247">
        <f>SUM(AW57:AW75)</f>
        <v>697004187.19734859</v>
      </c>
      <c r="AX77" s="3247">
        <f>SUM(AX57:AX75)</f>
        <v>2258392578.865798</v>
      </c>
      <c r="AY77" s="3237"/>
      <c r="BC77" s="3247">
        <f>SUM(BC57:BC75)</f>
        <v>5581914798.8714123</v>
      </c>
      <c r="BD77" s="3247">
        <f>SUM(BD57:BD75)</f>
        <v>2626518032.8082662</v>
      </c>
      <c r="BE77" s="3247">
        <f>SUM(BE57:BE75)</f>
        <v>697004187.19734859</v>
      </c>
      <c r="BF77" s="3247">
        <f>SUM(BF57:BF75)</f>
        <v>2258392578.865798</v>
      </c>
      <c r="BG77" s="3237"/>
      <c r="BK77" s="3247">
        <f>SUM(BK57:BK75)</f>
        <v>5581914798.8714123</v>
      </c>
      <c r="BL77" s="3247">
        <f>SUM(BL57:BL75)</f>
        <v>2626518032.8082662</v>
      </c>
      <c r="BM77" s="3247">
        <f>SUM(BM57:BM75)</f>
        <v>697004187.19734859</v>
      </c>
      <c r="BN77" s="3247">
        <f>SUM(BN57:BN75)</f>
        <v>2258392578.865798</v>
      </c>
      <c r="BO77" s="3237"/>
      <c r="BS77" s="3247">
        <f>SUM(BS57:BS75)</f>
        <v>5581914798.8714123</v>
      </c>
      <c r="BT77" s="3247">
        <f>SUM(BT57:BT75)</f>
        <v>2626518032.8082662</v>
      </c>
      <c r="BU77" s="3247">
        <f>SUM(BU57:BU75)</f>
        <v>697004187.19734859</v>
      </c>
      <c r="BV77" s="3247">
        <f>SUM(BV57:BV75)</f>
        <v>2258392578.865798</v>
      </c>
      <c r="BW77" s="3237"/>
      <c r="CA77" s="3247">
        <f>SUM(CA57:CA75)</f>
        <v>5581914798.8714123</v>
      </c>
      <c r="CB77" s="3247">
        <f>SUM(CB57:CB75)</f>
        <v>2626518032.8082662</v>
      </c>
      <c r="CC77" s="3247">
        <f>SUM(CC57:CC75)</f>
        <v>697004187.19734859</v>
      </c>
      <c r="CD77" s="3247">
        <f>SUM(CD57:CD75)</f>
        <v>2258392578.865798</v>
      </c>
      <c r="CE77" s="3237"/>
      <c r="CI77" s="3247">
        <f>SUM(CI57:CI75)</f>
        <v>5581914798.8714123</v>
      </c>
      <c r="CJ77" s="3247">
        <f>SUM(CJ57:CJ75)</f>
        <v>2626518032.8082662</v>
      </c>
      <c r="CK77" s="3247">
        <f>SUM(CK57:CK75)</f>
        <v>697004187.19734859</v>
      </c>
      <c r="CL77" s="3247">
        <f>SUM(CL57:CL75)</f>
        <v>2258392578.865798</v>
      </c>
      <c r="CM77" s="3237"/>
      <c r="CQ77" s="3247">
        <f>SUM(CQ57:CQ75)</f>
        <v>5581914798.8714123</v>
      </c>
      <c r="CR77" s="3247">
        <f>SUM(CR57:CR75)</f>
        <v>2626518032.8082662</v>
      </c>
      <c r="CS77" s="3247">
        <f>SUM(CS57:CS75)</f>
        <v>697004187.19734859</v>
      </c>
      <c r="CT77" s="3247">
        <f>SUM(CT57:CT75)</f>
        <v>2258392578.865798</v>
      </c>
      <c r="CU77" s="3237"/>
      <c r="CY77" s="3247">
        <f>SUM(CY57:CY75)</f>
        <v>5581914798.8714123</v>
      </c>
      <c r="CZ77" s="3247">
        <f>SUM(CZ57:CZ75)</f>
        <v>2626518032.8082662</v>
      </c>
      <c r="DA77" s="3247">
        <f>SUM(DA57:DA75)</f>
        <v>697004187.19734859</v>
      </c>
      <c r="DB77" s="3247">
        <f>SUM(DB57:DB75)</f>
        <v>2258392578.865798</v>
      </c>
      <c r="DC77" s="3237"/>
      <c r="DG77" s="3247">
        <f>SUM(DG57:DG75)</f>
        <v>5581914798.8714123</v>
      </c>
      <c r="DH77" s="3247">
        <f>SUM(DH57:DH75)</f>
        <v>2626518032.8082662</v>
      </c>
      <c r="DI77" s="3247">
        <f>SUM(DI57:DI75)</f>
        <v>697004187.19734859</v>
      </c>
      <c r="DJ77" s="3247">
        <f>SUM(DJ57:DJ75)</f>
        <v>2258392578.865798</v>
      </c>
      <c r="DK77" s="3237"/>
      <c r="DO77" s="3247">
        <f>SUM(DO57:DO75)</f>
        <v>5581914798.8714123</v>
      </c>
      <c r="DP77" s="3247">
        <f>SUM(DP57:DP75)</f>
        <v>2626518032.8082662</v>
      </c>
      <c r="DQ77" s="3247">
        <f>SUM(DQ57:DQ75)</f>
        <v>697004187.19734859</v>
      </c>
      <c r="DR77" s="3247">
        <f>SUM(DR57:DR75)</f>
        <v>2258392578.865798</v>
      </c>
      <c r="DS77" s="3237"/>
      <c r="DW77" s="3247">
        <f>SUM(DW57:DW75)</f>
        <v>5581914798.8714123</v>
      </c>
      <c r="DX77" s="3247">
        <f>SUM(DX57:DX75)</f>
        <v>2626518032.8082662</v>
      </c>
      <c r="DY77" s="3247">
        <f>SUM(DY57:DY75)</f>
        <v>697004187.19734859</v>
      </c>
      <c r="DZ77" s="3247">
        <f>SUM(DZ57:DZ75)</f>
        <v>2258392578.865798</v>
      </c>
      <c r="EA77" s="3237"/>
      <c r="EE77" s="3247">
        <f>SUM(EE57:EE75)</f>
        <v>5581914798.8714123</v>
      </c>
      <c r="EF77" s="3247">
        <f>SUM(EF57:EF75)</f>
        <v>2626518032.8082662</v>
      </c>
      <c r="EG77" s="3247">
        <f>SUM(EG57:EG75)</f>
        <v>697004187.19734859</v>
      </c>
      <c r="EH77" s="3247">
        <f>SUM(EH57:EH75)</f>
        <v>2258392578.865798</v>
      </c>
      <c r="EI77" s="3237"/>
      <c r="EM77" s="3247">
        <f>SUM(EM57:EM75)</f>
        <v>5581914798.8714123</v>
      </c>
      <c r="EN77" s="3247">
        <f>SUM(EN57:EN75)</f>
        <v>2626518032.8082662</v>
      </c>
      <c r="EO77" s="3247">
        <f>SUM(EO57:EO75)</f>
        <v>697004187.19734859</v>
      </c>
      <c r="EP77" s="3247">
        <f>SUM(EP57:EP75)</f>
        <v>2258392578.865798</v>
      </c>
      <c r="EQ77" s="3237"/>
      <c r="EU77" s="3247">
        <f>SUM(EU57:EU75)</f>
        <v>5581914798.8714123</v>
      </c>
      <c r="EV77" s="3247">
        <f>SUM(EV57:EV75)</f>
        <v>2626518032.8082662</v>
      </c>
      <c r="EW77" s="3247">
        <f>SUM(EW57:EW75)</f>
        <v>697004187.19734859</v>
      </c>
      <c r="EX77" s="3247">
        <f>SUM(EX57:EX75)</f>
        <v>2258392578.865798</v>
      </c>
      <c r="EY77" s="3237"/>
      <c r="FC77" s="3247">
        <f>SUM(FC57:FC75)</f>
        <v>5581914798.8714123</v>
      </c>
      <c r="FD77" s="3247">
        <f>SUM(FD57:FD75)</f>
        <v>2626518032.8082662</v>
      </c>
      <c r="FE77" s="3247">
        <f>SUM(FE57:FE75)</f>
        <v>697004187.19734859</v>
      </c>
      <c r="FF77" s="3247">
        <f>SUM(FF57:FF75)</f>
        <v>2258392578.865798</v>
      </c>
      <c r="FG77" s="3237"/>
      <c r="FK77" s="3247">
        <f>SUM(FK57:FK75)</f>
        <v>5581914798.8714123</v>
      </c>
      <c r="FL77" s="3247">
        <f>SUM(FL57:FL75)</f>
        <v>2626518032.8082662</v>
      </c>
      <c r="FM77" s="3247">
        <f>SUM(FM57:FM75)</f>
        <v>697004187.19734859</v>
      </c>
      <c r="FN77" s="3247">
        <f>SUM(FN57:FN75)</f>
        <v>2258392578.865798</v>
      </c>
      <c r="FO77" s="3237"/>
    </row>
    <row r="78" spans="1:171">
      <c r="A78" s="2104"/>
      <c r="B78" s="2217"/>
      <c r="C78" s="2116"/>
      <c r="D78" s="2098"/>
      <c r="E78" s="2098"/>
      <c r="F78" s="2098"/>
      <c r="G78" s="2232"/>
      <c r="H78" s="2232"/>
      <c r="I78" s="2232"/>
      <c r="J78" s="3475"/>
      <c r="K78" s="3205"/>
      <c r="O78" s="2747"/>
      <c r="P78" s="2747"/>
      <c r="Q78" s="2747"/>
      <c r="R78" s="2747"/>
      <c r="S78" s="3264"/>
      <c r="W78" s="2747"/>
      <c r="X78" s="2747"/>
      <c r="Y78" s="2747"/>
      <c r="Z78" s="2747"/>
      <c r="AA78" s="3264"/>
      <c r="AE78" s="2747"/>
      <c r="AF78" s="2747"/>
      <c r="AG78" s="2747"/>
      <c r="AH78" s="2747"/>
      <c r="AI78" s="3264"/>
      <c r="AM78" s="2747"/>
      <c r="AN78" s="2747"/>
      <c r="AO78" s="2747"/>
      <c r="AP78" s="2747"/>
      <c r="AQ78" s="3264"/>
      <c r="AU78" s="2747"/>
      <c r="AV78" s="2747"/>
      <c r="AW78" s="2747"/>
      <c r="AX78" s="2747"/>
      <c r="AY78" s="3264"/>
      <c r="BC78" s="2747"/>
      <c r="BD78" s="2747"/>
      <c r="BE78" s="2747"/>
      <c r="BF78" s="2747"/>
      <c r="BG78" s="3264"/>
      <c r="BK78" s="2747"/>
      <c r="BL78" s="2747"/>
      <c r="BM78" s="2747"/>
      <c r="BN78" s="2747"/>
      <c r="BO78" s="3264"/>
      <c r="BS78" s="2747"/>
      <c r="BT78" s="2747"/>
      <c r="BU78" s="2747"/>
      <c r="BV78" s="2747"/>
      <c r="BW78" s="3264"/>
      <c r="CA78" s="2747"/>
      <c r="CB78" s="2747"/>
      <c r="CC78" s="2747"/>
      <c r="CD78" s="2747"/>
      <c r="CE78" s="3264"/>
      <c r="CI78" s="2747"/>
      <c r="CJ78" s="2747"/>
      <c r="CK78" s="2747"/>
      <c r="CL78" s="2747"/>
      <c r="CM78" s="3264"/>
      <c r="CQ78" s="2747"/>
      <c r="CR78" s="2747"/>
      <c r="CS78" s="2747"/>
      <c r="CT78" s="2747"/>
      <c r="CU78" s="3264"/>
      <c r="CY78" s="2747"/>
      <c r="CZ78" s="2747"/>
      <c r="DA78" s="2747"/>
      <c r="DB78" s="2747"/>
      <c r="DC78" s="3264"/>
      <c r="DG78" s="2747"/>
      <c r="DH78" s="2747"/>
      <c r="DI78" s="2747"/>
      <c r="DJ78" s="2747"/>
      <c r="DK78" s="3264"/>
      <c r="DO78" s="2747"/>
      <c r="DP78" s="2747"/>
      <c r="DQ78" s="2747"/>
      <c r="DR78" s="2747"/>
      <c r="DS78" s="3264"/>
      <c r="DW78" s="2747"/>
      <c r="DX78" s="2747"/>
      <c r="DY78" s="2747"/>
      <c r="DZ78" s="2747"/>
      <c r="EA78" s="3264"/>
      <c r="EE78" s="2747"/>
      <c r="EF78" s="2747"/>
      <c r="EG78" s="2747"/>
      <c r="EH78" s="2747"/>
      <c r="EI78" s="3264"/>
      <c r="EM78" s="2747"/>
      <c r="EN78" s="2747"/>
      <c r="EO78" s="2747"/>
      <c r="EP78" s="2747"/>
      <c r="EQ78" s="3264"/>
      <c r="EU78" s="2747"/>
      <c r="EV78" s="2747"/>
      <c r="EW78" s="2747"/>
      <c r="EX78" s="2747"/>
      <c r="EY78" s="3264"/>
      <c r="FC78" s="2747"/>
      <c r="FD78" s="2747"/>
      <c r="FE78" s="2747"/>
      <c r="FF78" s="2747"/>
      <c r="FG78" s="3264"/>
      <c r="FK78" s="2747"/>
      <c r="FL78" s="2747"/>
      <c r="FM78" s="2747"/>
      <c r="FN78" s="2747"/>
      <c r="FO78" s="3264"/>
    </row>
    <row r="79" spans="1:171">
      <c r="A79" s="2196" t="s">
        <v>474</v>
      </c>
      <c r="B79" s="2100"/>
      <c r="C79" s="3256"/>
      <c r="D79" s="3257"/>
      <c r="E79" s="3257"/>
      <c r="F79" s="3258"/>
      <c r="G79" s="3265">
        <f>G52-G77</f>
        <v>6069272716.1285877</v>
      </c>
      <c r="H79" s="3265">
        <f>H52-H77</f>
        <v>1449913156.0334954</v>
      </c>
      <c r="I79" s="3265">
        <f>I52-I77</f>
        <v>0</v>
      </c>
      <c r="J79" s="3474">
        <f>J52-J77</f>
        <v>4619359558.5435591</v>
      </c>
      <c r="K79" s="3205"/>
      <c r="O79" s="3268">
        <f>O52-O77</f>
        <v>6069272716.1285877</v>
      </c>
      <c r="P79" s="3268">
        <f>P52-P77</f>
        <v>1449913156.0334954</v>
      </c>
      <c r="Q79" s="3268">
        <f>Q52-Q77</f>
        <v>1348539397.0033455</v>
      </c>
      <c r="R79" s="3268">
        <f>R52-R77</f>
        <v>3270820163.0917463</v>
      </c>
      <c r="S79" s="3264"/>
      <c r="W79" s="3268">
        <f>W52-W77</f>
        <v>6069272716.1285877</v>
      </c>
      <c r="X79" s="3268">
        <f>X52-X77</f>
        <v>1449913156.0334954</v>
      </c>
      <c r="Y79" s="3268">
        <f>Y52-Y77</f>
        <v>1348539397.0033455</v>
      </c>
      <c r="Z79" s="3268">
        <f>Z52-Z77</f>
        <v>3270820163.0917463</v>
      </c>
      <c r="AA79" s="3264"/>
      <c r="AE79" s="3268">
        <f>AE52-AE77</f>
        <v>6069272716.1285877</v>
      </c>
      <c r="AF79" s="3268">
        <f>AF52-AF77</f>
        <v>1449913156.0334954</v>
      </c>
      <c r="AG79" s="3268">
        <f>AG52-AG77</f>
        <v>1348539397.0033455</v>
      </c>
      <c r="AH79" s="3268">
        <f>AH52-AH77</f>
        <v>3270820163.0917463</v>
      </c>
      <c r="AI79" s="3264"/>
      <c r="AM79" s="3268">
        <f>AM52-AM77</f>
        <v>6069272716.1285877</v>
      </c>
      <c r="AN79" s="3268">
        <f>AN52-AN77</f>
        <v>1449913156.0334954</v>
      </c>
      <c r="AO79" s="3268">
        <f>AO52-AO77</f>
        <v>1348539397.0033455</v>
      </c>
      <c r="AP79" s="3268">
        <f>AP52-AP77</f>
        <v>3270820163.0917463</v>
      </c>
      <c r="AQ79" s="3264"/>
      <c r="AU79" s="3268">
        <f>AU52-AU77</f>
        <v>6069272716.1285877</v>
      </c>
      <c r="AV79" s="3268">
        <f>AV52-AV77</f>
        <v>1449913156.0334954</v>
      </c>
      <c r="AW79" s="3268">
        <f>AW52-AW77</f>
        <v>1348539397.0033455</v>
      </c>
      <c r="AX79" s="3268">
        <f>AX52-AX77</f>
        <v>3270820163.0917463</v>
      </c>
      <c r="AY79" s="3264"/>
      <c r="BC79" s="3268">
        <f>BC52-BC77</f>
        <v>6069272716.1285877</v>
      </c>
      <c r="BD79" s="3268">
        <f>BD52-BD77</f>
        <v>1449913156.0334954</v>
      </c>
      <c r="BE79" s="3268">
        <f>BE52-BE77</f>
        <v>1348539397.0033455</v>
      </c>
      <c r="BF79" s="3268">
        <f>BF52-BF77</f>
        <v>3270820163.0917463</v>
      </c>
      <c r="BG79" s="3264"/>
      <c r="BK79" s="3268">
        <f>BK52-BK77</f>
        <v>6069272716.1285877</v>
      </c>
      <c r="BL79" s="3268">
        <f>BL52-BL77</f>
        <v>1449913156.0334954</v>
      </c>
      <c r="BM79" s="3268">
        <f>BM52-BM77</f>
        <v>1348539397.0033455</v>
      </c>
      <c r="BN79" s="3268">
        <f>BN52-BN77</f>
        <v>3270820163.0917463</v>
      </c>
      <c r="BO79" s="3264"/>
      <c r="BS79" s="3268">
        <f>BS52-BS77</f>
        <v>6069272716.1285877</v>
      </c>
      <c r="BT79" s="3268">
        <f>BT52-BT77</f>
        <v>1449913156.0334954</v>
      </c>
      <c r="BU79" s="3268">
        <f>BU52-BU77</f>
        <v>1348539397.0033455</v>
      </c>
      <c r="BV79" s="3268">
        <f>BV52-BV77</f>
        <v>3270820163.0917463</v>
      </c>
      <c r="BW79" s="3264"/>
      <c r="CA79" s="3268">
        <f>CA52-CA77</f>
        <v>6069272716.1285877</v>
      </c>
      <c r="CB79" s="3268">
        <f>CB52-CB77</f>
        <v>1449913156.0334954</v>
      </c>
      <c r="CC79" s="3268">
        <f>CC52-CC77</f>
        <v>1348539397.0033455</v>
      </c>
      <c r="CD79" s="3268">
        <f>CD52-CD77</f>
        <v>3270820163.0917463</v>
      </c>
      <c r="CE79" s="3264"/>
      <c r="CI79" s="3268">
        <f>CI52-CI77</f>
        <v>6069272716.1285877</v>
      </c>
      <c r="CJ79" s="3268">
        <f>CJ52-CJ77</f>
        <v>1449913156.0334954</v>
      </c>
      <c r="CK79" s="3268">
        <f>CK52-CK77</f>
        <v>1348539397.0033455</v>
      </c>
      <c r="CL79" s="3268">
        <f>CL52-CL77</f>
        <v>3270820163.0917463</v>
      </c>
      <c r="CM79" s="3264"/>
      <c r="CQ79" s="3268">
        <f>CQ52-CQ77</f>
        <v>6069272716.1285877</v>
      </c>
      <c r="CR79" s="3268">
        <f>CR52-CR77</f>
        <v>1449913156.0334954</v>
      </c>
      <c r="CS79" s="3268">
        <f>CS52-CS77</f>
        <v>1348539397.0033455</v>
      </c>
      <c r="CT79" s="3268">
        <f>CT52-CT77</f>
        <v>3270820163.0917463</v>
      </c>
      <c r="CU79" s="3264"/>
      <c r="CY79" s="3268">
        <f>CY52-CY77</f>
        <v>6069272716.1285877</v>
      </c>
      <c r="CZ79" s="3268">
        <f>CZ52-CZ77</f>
        <v>1449913156.0334954</v>
      </c>
      <c r="DA79" s="3268">
        <f>DA52-DA77</f>
        <v>1348539397.0033455</v>
      </c>
      <c r="DB79" s="3268">
        <f>DB52-DB77</f>
        <v>3270820163.0917463</v>
      </c>
      <c r="DC79" s="3264"/>
      <c r="DG79" s="3268">
        <f>DG52-DG77</f>
        <v>6069272716.1285877</v>
      </c>
      <c r="DH79" s="3268">
        <f>DH52-DH77</f>
        <v>1449913156.0334954</v>
      </c>
      <c r="DI79" s="3268">
        <f>DI52-DI77</f>
        <v>1348539397.0033455</v>
      </c>
      <c r="DJ79" s="3268">
        <f>DJ52-DJ77</f>
        <v>3270820163.0917463</v>
      </c>
      <c r="DK79" s="3264"/>
      <c r="DO79" s="3268">
        <f>DO52-DO77</f>
        <v>6069272716.1285877</v>
      </c>
      <c r="DP79" s="3268">
        <f>DP52-DP77</f>
        <v>1449913156.0334954</v>
      </c>
      <c r="DQ79" s="3268">
        <f>DQ52-DQ77</f>
        <v>1348539397.0033455</v>
      </c>
      <c r="DR79" s="3268">
        <f>DR52-DR77</f>
        <v>3270820163.0917463</v>
      </c>
      <c r="DS79" s="3264"/>
      <c r="DW79" s="3268">
        <f>DW52-DW77</f>
        <v>6069272716.1285877</v>
      </c>
      <c r="DX79" s="3268">
        <f>DX52-DX77</f>
        <v>1449913156.0334954</v>
      </c>
      <c r="DY79" s="3268">
        <f>DY52-DY77</f>
        <v>1348539397.0033455</v>
      </c>
      <c r="DZ79" s="3268">
        <f>DZ52-DZ77</f>
        <v>3270820163.0917463</v>
      </c>
      <c r="EA79" s="3264"/>
      <c r="EE79" s="3268">
        <f>EE52-EE77</f>
        <v>6069272716.1285877</v>
      </c>
      <c r="EF79" s="3268">
        <f>EF52-EF77</f>
        <v>1449913156.0334954</v>
      </c>
      <c r="EG79" s="3268">
        <f>EG52-EG77</f>
        <v>1348539397.0033455</v>
      </c>
      <c r="EH79" s="3268">
        <f>EH52-EH77</f>
        <v>3270820163.0917463</v>
      </c>
      <c r="EI79" s="3264"/>
      <c r="EM79" s="3268">
        <f>EM52-EM77</f>
        <v>6069272716.1285877</v>
      </c>
      <c r="EN79" s="3268">
        <f>EN52-EN77</f>
        <v>1449913156.0334954</v>
      </c>
      <c r="EO79" s="3268">
        <f>EO52-EO77</f>
        <v>1348539397.0033455</v>
      </c>
      <c r="EP79" s="3268">
        <f>EP52-EP77</f>
        <v>3270820163.0917463</v>
      </c>
      <c r="EQ79" s="3264"/>
      <c r="EU79" s="3268">
        <f>EU52-EU77</f>
        <v>6069272716.1285877</v>
      </c>
      <c r="EV79" s="3268">
        <f>EV52-EV77</f>
        <v>1449913156.0334954</v>
      </c>
      <c r="EW79" s="3268">
        <f>EW52-EW77</f>
        <v>1348539397.0033455</v>
      </c>
      <c r="EX79" s="3268">
        <f>EX52-EX77</f>
        <v>3270820163.0917463</v>
      </c>
      <c r="EY79" s="3264"/>
      <c r="FC79" s="3268">
        <f>FC52-FC77</f>
        <v>6069272716.1285877</v>
      </c>
      <c r="FD79" s="3268">
        <f>FD52-FD77</f>
        <v>1449913156.0334954</v>
      </c>
      <c r="FE79" s="3268">
        <f>FE52-FE77</f>
        <v>1348539397.0033455</v>
      </c>
      <c r="FF79" s="3268">
        <f>FF52-FF77</f>
        <v>3270820163.0917463</v>
      </c>
      <c r="FG79" s="3264"/>
      <c r="FK79" s="3268">
        <f>FK52-FK77</f>
        <v>6069272716.1285877</v>
      </c>
      <c r="FL79" s="3268">
        <f>FL52-FL77</f>
        <v>1449913156.0334954</v>
      </c>
      <c r="FM79" s="3268">
        <f>FM52-FM77</f>
        <v>1348539397.0033455</v>
      </c>
      <c r="FN79" s="3268">
        <f>FN52-FN77</f>
        <v>3270820163.0917463</v>
      </c>
      <c r="FO79" s="3264"/>
    </row>
    <row r="80" spans="1:171">
      <c r="A80" s="2214" t="s">
        <v>84</v>
      </c>
      <c r="B80" s="2100"/>
      <c r="C80" s="2116"/>
      <c r="D80" s="2116"/>
      <c r="J80" s="3453"/>
      <c r="K80" s="3205"/>
      <c r="O80" s="2747"/>
      <c r="P80" s="2747"/>
      <c r="Q80" s="2747"/>
      <c r="R80" s="2747"/>
      <c r="S80" s="3264"/>
      <c r="W80" s="2747"/>
      <c r="X80" s="2747"/>
      <c r="Y80" s="2747"/>
      <c r="Z80" s="2747"/>
      <c r="AA80" s="3264"/>
      <c r="AE80" s="2747"/>
      <c r="AF80" s="2747"/>
      <c r="AG80" s="2747"/>
      <c r="AH80" s="2747"/>
      <c r="AI80" s="3264"/>
      <c r="AM80" s="2747"/>
      <c r="AN80" s="2747"/>
      <c r="AO80" s="2747"/>
      <c r="AP80" s="2747"/>
      <c r="AQ80" s="3264"/>
      <c r="AU80" s="2747"/>
      <c r="AV80" s="2747"/>
      <c r="AW80" s="2747"/>
      <c r="AX80" s="2747"/>
      <c r="AY80" s="3264"/>
      <c r="BC80" s="2747"/>
      <c r="BD80" s="2747"/>
      <c r="BE80" s="2747"/>
      <c r="BF80" s="2747"/>
      <c r="BG80" s="3264"/>
      <c r="BK80" s="2747"/>
      <c r="BL80" s="2747"/>
      <c r="BM80" s="2747"/>
      <c r="BN80" s="2747"/>
      <c r="BO80" s="3264"/>
      <c r="BS80" s="2747"/>
      <c r="BT80" s="2747"/>
      <c r="BU80" s="2747"/>
      <c r="BV80" s="2747"/>
      <c r="BW80" s="3264"/>
      <c r="CA80" s="2747"/>
      <c r="CB80" s="2747"/>
      <c r="CC80" s="2747"/>
      <c r="CD80" s="2747"/>
      <c r="CE80" s="3264"/>
      <c r="CI80" s="2747"/>
      <c r="CJ80" s="2747"/>
      <c r="CK80" s="2747"/>
      <c r="CL80" s="2747"/>
      <c r="CM80" s="3264"/>
      <c r="CQ80" s="2747"/>
      <c r="CR80" s="2747"/>
      <c r="CS80" s="2747"/>
      <c r="CT80" s="2747"/>
      <c r="CU80" s="3264"/>
      <c r="CY80" s="2747"/>
      <c r="CZ80" s="2747"/>
      <c r="DA80" s="2747"/>
      <c r="DB80" s="2747"/>
      <c r="DC80" s="3264"/>
      <c r="DG80" s="2747"/>
      <c r="DH80" s="2747"/>
      <c r="DI80" s="2747"/>
      <c r="DJ80" s="2747"/>
      <c r="DK80" s="3264"/>
      <c r="DO80" s="2747"/>
      <c r="DP80" s="2747"/>
      <c r="DQ80" s="2747"/>
      <c r="DR80" s="2747"/>
      <c r="DS80" s="3264"/>
      <c r="DW80" s="2747"/>
      <c r="DX80" s="2747"/>
      <c r="DY80" s="2747"/>
      <c r="DZ80" s="2747"/>
      <c r="EA80" s="3264"/>
      <c r="EE80" s="2747"/>
      <c r="EF80" s="2747"/>
      <c r="EG80" s="2747"/>
      <c r="EH80" s="2747"/>
      <c r="EI80" s="3264"/>
      <c r="EM80" s="2747"/>
      <c r="EN80" s="2747"/>
      <c r="EO80" s="2747"/>
      <c r="EP80" s="2747"/>
      <c r="EQ80" s="3264"/>
      <c r="EU80" s="2747"/>
      <c r="EV80" s="2747"/>
      <c r="EW80" s="2747"/>
      <c r="EX80" s="2747"/>
      <c r="EY80" s="3264"/>
      <c r="FC80" s="2747"/>
      <c r="FD80" s="2747"/>
      <c r="FE80" s="2747"/>
      <c r="FF80" s="2747"/>
      <c r="FG80" s="3264"/>
      <c r="FK80" s="2747"/>
      <c r="FL80" s="2747"/>
      <c r="FM80" s="2747"/>
      <c r="FN80" s="2747"/>
      <c r="FO80" s="3264"/>
    </row>
    <row r="81" spans="1:171" ht="12" thickBot="1">
      <c r="A81" s="2219"/>
      <c r="B81" s="2099"/>
      <c r="C81" s="2120"/>
      <c r="D81" s="2120"/>
      <c r="E81" s="3270"/>
      <c r="F81" s="3270"/>
      <c r="G81" s="2220"/>
      <c r="H81" s="2220"/>
      <c r="I81" s="2220"/>
      <c r="J81" s="2221"/>
      <c r="K81" s="3205"/>
      <c r="O81" s="2747"/>
      <c r="P81" s="2747"/>
      <c r="Q81" s="2747"/>
      <c r="R81" s="2747"/>
      <c r="S81" s="3264"/>
      <c r="W81" s="2747"/>
      <c r="X81" s="2747"/>
      <c r="Y81" s="2747"/>
      <c r="Z81" s="2747"/>
      <c r="AA81" s="3264"/>
      <c r="AE81" s="2747"/>
      <c r="AF81" s="2747"/>
      <c r="AG81" s="2747"/>
      <c r="AH81" s="2747"/>
      <c r="AI81" s="3264"/>
      <c r="AM81" s="2747"/>
      <c r="AN81" s="2747"/>
      <c r="AO81" s="2747"/>
      <c r="AP81" s="2747"/>
      <c r="AQ81" s="3264"/>
      <c r="AU81" s="2747"/>
      <c r="AV81" s="2747"/>
      <c r="AW81" s="2747"/>
      <c r="AX81" s="2747"/>
      <c r="AY81" s="3264"/>
      <c r="BC81" s="2747"/>
      <c r="BD81" s="2747"/>
      <c r="BE81" s="2747"/>
      <c r="BF81" s="2747"/>
      <c r="BG81" s="3264"/>
      <c r="BK81" s="2747"/>
      <c r="BL81" s="2747"/>
      <c r="BM81" s="2747"/>
      <c r="BN81" s="2747"/>
      <c r="BO81" s="3264"/>
      <c r="BS81" s="2747"/>
      <c r="BT81" s="2747"/>
      <c r="BU81" s="2747"/>
      <c r="BV81" s="2747"/>
      <c r="BW81" s="3264"/>
      <c r="CA81" s="2747"/>
      <c r="CB81" s="2747"/>
      <c r="CC81" s="2747"/>
      <c r="CD81" s="2747"/>
      <c r="CE81" s="3264"/>
      <c r="CI81" s="2747"/>
      <c r="CJ81" s="2747"/>
      <c r="CK81" s="2747"/>
      <c r="CL81" s="2747"/>
      <c r="CM81" s="3264"/>
      <c r="CQ81" s="2747"/>
      <c r="CR81" s="2747"/>
      <c r="CS81" s="2747"/>
      <c r="CT81" s="2747"/>
      <c r="CU81" s="3264"/>
      <c r="CY81" s="2747"/>
      <c r="CZ81" s="2747"/>
      <c r="DA81" s="2747"/>
      <c r="DB81" s="2747"/>
      <c r="DC81" s="3264"/>
      <c r="DG81" s="2747"/>
      <c r="DH81" s="2747"/>
      <c r="DI81" s="2747"/>
      <c r="DJ81" s="2747"/>
      <c r="DK81" s="3264"/>
      <c r="DO81" s="2747"/>
      <c r="DP81" s="2747"/>
      <c r="DQ81" s="2747"/>
      <c r="DR81" s="2747"/>
      <c r="DS81" s="3264"/>
      <c r="DW81" s="2747"/>
      <c r="DX81" s="2747"/>
      <c r="DY81" s="2747"/>
      <c r="DZ81" s="2747"/>
      <c r="EA81" s="3264"/>
      <c r="EE81" s="2747"/>
      <c r="EF81" s="2747"/>
      <c r="EG81" s="2747"/>
      <c r="EH81" s="2747"/>
      <c r="EI81" s="3264"/>
      <c r="EM81" s="2747"/>
      <c r="EN81" s="2747"/>
      <c r="EO81" s="2747"/>
      <c r="EP81" s="2747"/>
      <c r="EQ81" s="3264"/>
      <c r="EU81" s="2747"/>
      <c r="EV81" s="2747"/>
      <c r="EW81" s="2747"/>
      <c r="EX81" s="2747"/>
      <c r="EY81" s="3264"/>
      <c r="FC81" s="2747"/>
      <c r="FD81" s="2747"/>
      <c r="FE81" s="2747"/>
      <c r="FF81" s="2747"/>
      <c r="FG81" s="3264"/>
      <c r="FK81" s="2747"/>
      <c r="FL81" s="2747"/>
      <c r="FM81" s="2747"/>
      <c r="FN81" s="2747"/>
      <c r="FO81" s="3264"/>
    </row>
    <row r="82" spans="1:171" ht="12" thickTop="1">
      <c r="A82" s="2096" t="s">
        <v>76</v>
      </c>
      <c r="B82" s="2100"/>
      <c r="C82" s="2116"/>
      <c r="D82" s="2116"/>
      <c r="E82" s="3269"/>
      <c r="F82" s="3269"/>
      <c r="G82" s="2182"/>
      <c r="H82" s="2182"/>
      <c r="I82" s="2182"/>
      <c r="J82" s="2200"/>
      <c r="K82" s="3205"/>
      <c r="O82" s="2747"/>
      <c r="P82" s="2747"/>
      <c r="Q82" s="2747"/>
      <c r="R82" s="2747"/>
      <c r="S82" s="3264"/>
      <c r="W82" s="2747"/>
      <c r="X82" s="2747"/>
      <c r="Y82" s="2747"/>
      <c r="Z82" s="2747"/>
      <c r="AA82" s="3264"/>
      <c r="AE82" s="2747"/>
      <c r="AF82" s="2747"/>
      <c r="AG82" s="2747"/>
      <c r="AH82" s="2747"/>
      <c r="AI82" s="3264"/>
      <c r="AM82" s="2747"/>
      <c r="AN82" s="2747"/>
      <c r="AO82" s="2747"/>
      <c r="AP82" s="2747"/>
      <c r="AQ82" s="3264"/>
      <c r="AU82" s="2747"/>
      <c r="AV82" s="2747"/>
      <c r="AW82" s="2747"/>
      <c r="AX82" s="2747"/>
      <c r="AY82" s="3264"/>
      <c r="BC82" s="2747"/>
      <c r="BD82" s="2747"/>
      <c r="BE82" s="2747"/>
      <c r="BF82" s="2747"/>
      <c r="BG82" s="3264"/>
      <c r="BK82" s="2747"/>
      <c r="BL82" s="2747"/>
      <c r="BM82" s="2747"/>
      <c r="BN82" s="2747"/>
      <c r="BO82" s="3264"/>
      <c r="BS82" s="2747"/>
      <c r="BT82" s="2747"/>
      <c r="BU82" s="2747"/>
      <c r="BV82" s="2747"/>
      <c r="BW82" s="3264"/>
      <c r="CA82" s="2747"/>
      <c r="CB82" s="2747"/>
      <c r="CC82" s="2747"/>
      <c r="CD82" s="2747"/>
      <c r="CE82" s="3264"/>
      <c r="CI82" s="2747"/>
      <c r="CJ82" s="2747"/>
      <c r="CK82" s="2747"/>
      <c r="CL82" s="2747"/>
      <c r="CM82" s="3264"/>
      <c r="CQ82" s="2747"/>
      <c r="CR82" s="2747"/>
      <c r="CS82" s="2747"/>
      <c r="CT82" s="2747"/>
      <c r="CU82" s="3264"/>
      <c r="CY82" s="2747"/>
      <c r="CZ82" s="2747"/>
      <c r="DA82" s="2747"/>
      <c r="DB82" s="2747"/>
      <c r="DC82" s="3264"/>
      <c r="DG82" s="2747"/>
      <c r="DH82" s="2747"/>
      <c r="DI82" s="2747"/>
      <c r="DJ82" s="2747"/>
      <c r="DK82" s="3264"/>
      <c r="DO82" s="2747"/>
      <c r="DP82" s="2747"/>
      <c r="DQ82" s="2747"/>
      <c r="DR82" s="2747"/>
      <c r="DS82" s="3264"/>
      <c r="DW82" s="2747"/>
      <c r="DX82" s="2747"/>
      <c r="DY82" s="2747"/>
      <c r="DZ82" s="2747"/>
      <c r="EA82" s="3264"/>
      <c r="EE82" s="2747"/>
      <c r="EF82" s="2747"/>
      <c r="EG82" s="2747"/>
      <c r="EH82" s="2747"/>
      <c r="EI82" s="3264"/>
      <c r="EM82" s="2747"/>
      <c r="EN82" s="2747"/>
      <c r="EO82" s="2747"/>
      <c r="EP82" s="2747"/>
      <c r="EQ82" s="3264"/>
      <c r="EU82" s="2747"/>
      <c r="EV82" s="2747"/>
      <c r="EW82" s="2747"/>
      <c r="EX82" s="2747"/>
      <c r="EY82" s="3264"/>
      <c r="FC82" s="2747"/>
      <c r="FD82" s="2747"/>
      <c r="FE82" s="2747"/>
      <c r="FF82" s="2747"/>
      <c r="FG82" s="3264"/>
      <c r="FK82" s="2747"/>
      <c r="FL82" s="2747"/>
      <c r="FM82" s="2747"/>
      <c r="FN82" s="2747"/>
      <c r="FO82" s="3264"/>
    </row>
    <row r="83" spans="1:171">
      <c r="A83" s="2096"/>
      <c r="B83" s="2100"/>
      <c r="C83" s="2116"/>
      <c r="D83" s="2116"/>
      <c r="E83" s="3269"/>
      <c r="F83" s="3269"/>
      <c r="G83" s="2118"/>
      <c r="H83" s="2118"/>
      <c r="I83" s="2118"/>
      <c r="J83" s="3470"/>
      <c r="K83" s="3205"/>
      <c r="O83" s="2747"/>
      <c r="P83" s="2747"/>
      <c r="Q83" s="2747"/>
      <c r="R83" s="2747"/>
      <c r="S83" s="3264"/>
      <c r="W83" s="2747"/>
      <c r="X83" s="2747"/>
      <c r="Y83" s="2747"/>
      <c r="Z83" s="2747"/>
      <c r="AA83" s="3264"/>
      <c r="AE83" s="2747"/>
      <c r="AF83" s="2747"/>
      <c r="AG83" s="2747"/>
      <c r="AH83" s="2747"/>
      <c r="AI83" s="3264"/>
      <c r="AM83" s="2747"/>
      <c r="AN83" s="2747"/>
      <c r="AO83" s="2747"/>
      <c r="AP83" s="2747"/>
      <c r="AQ83" s="3264"/>
      <c r="AU83" s="2747"/>
      <c r="AV83" s="2747"/>
      <c r="AW83" s="2747"/>
      <c r="AX83" s="2747"/>
      <c r="AY83" s="3264"/>
      <c r="BC83" s="2747"/>
      <c r="BD83" s="2747"/>
      <c r="BE83" s="2747"/>
      <c r="BF83" s="2747"/>
      <c r="BG83" s="3264"/>
      <c r="BK83" s="2747"/>
      <c r="BL83" s="2747"/>
      <c r="BM83" s="2747"/>
      <c r="BN83" s="2747"/>
      <c r="BO83" s="3264"/>
      <c r="BS83" s="2747"/>
      <c r="BT83" s="2747"/>
      <c r="BU83" s="2747"/>
      <c r="BV83" s="2747"/>
      <c r="BW83" s="3264"/>
      <c r="CA83" s="2747"/>
      <c r="CB83" s="2747"/>
      <c r="CC83" s="2747"/>
      <c r="CD83" s="2747"/>
      <c r="CE83" s="3264"/>
      <c r="CI83" s="2747"/>
      <c r="CJ83" s="2747"/>
      <c r="CK83" s="2747"/>
      <c r="CL83" s="2747"/>
      <c r="CM83" s="3264"/>
      <c r="CQ83" s="2747"/>
      <c r="CR83" s="2747"/>
      <c r="CS83" s="2747"/>
      <c r="CT83" s="2747"/>
      <c r="CU83" s="3264"/>
      <c r="CY83" s="2747"/>
      <c r="CZ83" s="2747"/>
      <c r="DA83" s="2747"/>
      <c r="DB83" s="2747"/>
      <c r="DC83" s="3264"/>
      <c r="DG83" s="2747"/>
      <c r="DH83" s="2747"/>
      <c r="DI83" s="2747"/>
      <c r="DJ83" s="2747"/>
      <c r="DK83" s="3264"/>
      <c r="DO83" s="2747"/>
      <c r="DP83" s="2747"/>
      <c r="DQ83" s="2747"/>
      <c r="DR83" s="2747"/>
      <c r="DS83" s="3264"/>
      <c r="DW83" s="2747"/>
      <c r="DX83" s="2747"/>
      <c r="DY83" s="2747"/>
      <c r="DZ83" s="2747"/>
      <c r="EA83" s="3264"/>
      <c r="EE83" s="2747"/>
      <c r="EF83" s="2747"/>
      <c r="EG83" s="2747"/>
      <c r="EH83" s="2747"/>
      <c r="EI83" s="3264"/>
      <c r="EM83" s="2747"/>
      <c r="EN83" s="2747"/>
      <c r="EO83" s="2747"/>
      <c r="EP83" s="2747"/>
      <c r="EQ83" s="3264"/>
      <c r="EU83" s="2747"/>
      <c r="EV83" s="2747"/>
      <c r="EW83" s="2747"/>
      <c r="EX83" s="2747"/>
      <c r="EY83" s="3264"/>
      <c r="FC83" s="2747"/>
      <c r="FD83" s="2747"/>
      <c r="FE83" s="2747"/>
      <c r="FF83" s="2747"/>
      <c r="FG83" s="3264"/>
      <c r="FK83" s="2747"/>
      <c r="FL83" s="2747"/>
      <c r="FM83" s="2747"/>
      <c r="FN83" s="2747"/>
      <c r="FO83" s="3264"/>
    </row>
    <row r="84" spans="1:171">
      <c r="A84" s="2222" t="s">
        <v>144</v>
      </c>
      <c r="B84" s="2111"/>
      <c r="C84" s="2464" t="s">
        <v>611</v>
      </c>
      <c r="D84" s="2464"/>
      <c r="E84" s="2424">
        <f>'Sch 1- Rate Base '!E84</f>
        <v>0</v>
      </c>
      <c r="F84" s="2171"/>
      <c r="G84" s="2424">
        <f>'Sch 1- Rate Base '!G84</f>
        <v>108180025.5</v>
      </c>
      <c r="H84" s="2424">
        <f>'Sch 1- Rate Base '!H84</f>
        <v>61843517.356707066</v>
      </c>
      <c r="I84" s="2424">
        <f>'Sch 1- Rate Base '!I84</f>
        <v>0</v>
      </c>
      <c r="J84" s="3465">
        <f>'Sch 1- Rate Base '!J84</f>
        <v>46336508.190641761</v>
      </c>
      <c r="K84" s="3205"/>
      <c r="O84" s="3272">
        <f>(O196+O202+O207+O215+O235-(O176+O180+O187+O191+O194+O195+$G$85))/8</f>
        <v>108180025.5</v>
      </c>
      <c r="P84" s="3272">
        <f>(P196+P202+P207+P215+P235-(P176+P180+P187+P191+P194+P195+$H$85))/8</f>
        <v>61843517.356707066</v>
      </c>
      <c r="Q84" s="3272">
        <f>(Q196+Q202+Q207+Q215+Q235-(Q176+Q180+Q187+Q191+Q194+Q195))/8</f>
        <v>4549868.3595637064</v>
      </c>
      <c r="R84" s="3272">
        <f>(R196+R202+R207+R215+R235-(R176+R180+R187+R191+R194+R195))/8</f>
        <v>41786639.78372921</v>
      </c>
      <c r="S84" s="3264"/>
      <c r="W84" s="3272">
        <f>(W196+W202+W207+W215+W235-(W176+W180+W187+W191+W194+W195+$G$85))/8</f>
        <v>108180025.5</v>
      </c>
      <c r="X84" s="3272">
        <f>(X196+X202+X207+X215+X235-(X176+X180+X187+X191+X194+X195+$H$85))/8</f>
        <v>61843517.356707066</v>
      </c>
      <c r="Y84" s="3272">
        <f>(Y196+Y202+Y207+Y215+Y235-(Y176+Y180+Y187+Y191+Y194+Y195))/8</f>
        <v>4549868.3595637064</v>
      </c>
      <c r="Z84" s="3272">
        <f>(Z196+Z202+Z207+Z215+Z235-(Z176+Z180+Z187+Z191+Z194+Z195))/8</f>
        <v>41786639.78372921</v>
      </c>
      <c r="AA84" s="3264"/>
      <c r="AE84" s="3272">
        <f>(AE196+AE202+AE207+AE215+AE235-(AE176+AE180+AE187+AE191+AE194+AE195+$G$85))/8</f>
        <v>108180025.5</v>
      </c>
      <c r="AF84" s="3272">
        <f>(AF196+AF202+AF207+AF215+AF235-(AF176+AF180+AF187+AF191+AF194+AF195+$H$85))/8</f>
        <v>61843517.356707066</v>
      </c>
      <c r="AG84" s="3272">
        <f>(AG196+AG202+AG207+AG215+AG235-(AG176+AG180+AG187+AG191+AG194+AG195))/8</f>
        <v>4549868.3595637064</v>
      </c>
      <c r="AH84" s="3272">
        <f>(AH196+AH202+AH207+AH215+AH235-(AH176+AH180+AH187+AH191+AH194+AH195))/8</f>
        <v>41786639.78372921</v>
      </c>
      <c r="AI84" s="3264"/>
      <c r="AM84" s="3272">
        <f>(AM196+AM202+AM207+AM215+AM235-(AM176+AM180+AM187+AM191+AM194+AM195+$G$85))/8</f>
        <v>108180025.5</v>
      </c>
      <c r="AN84" s="3272">
        <f>(AN196+AN202+AN207+AN215+AN235-(AN176+AN180+AN187+AN191+AN194+AN195+$H$85))/8</f>
        <v>61843517.356707066</v>
      </c>
      <c r="AO84" s="3272">
        <f>(AO196+AO202+AO207+AO215+AO235-(AO176+AO180+AO187+AO191+AO194+AO195))/8</f>
        <v>4549868.3595637064</v>
      </c>
      <c r="AP84" s="3272">
        <f>(AP196+AP202+AP207+AP215+AP235-(AP176+AP180+AP187+AP191+AP194+AP195))/8</f>
        <v>41786639.78372921</v>
      </c>
      <c r="AQ84" s="3264"/>
      <c r="AU84" s="3272">
        <f>(AU196+AU202+AU207+AU215+AU235-(AU176+AU180+AU187+AU191+AU194+AU195+$G$85))/8</f>
        <v>108180025.5</v>
      </c>
      <c r="AV84" s="3272">
        <f>(AV196+AV202+AV207+AV215+AV235-(AV176+AV180+AV187+AV191+AV194+AV195+$H$85))/8</f>
        <v>61843517.356707066</v>
      </c>
      <c r="AW84" s="3272">
        <f>(AW196+AW202+AW207+AW215+AW235-(AW176+AW180+AW187+AW191+AW194+AW195))/8</f>
        <v>4549868.3595637064</v>
      </c>
      <c r="AX84" s="3272">
        <f>(AX196+AX202+AX207+AX215+AX235-(AX176+AX180+AX187+AX191+AX194+AX195))/8</f>
        <v>41786639.78372921</v>
      </c>
      <c r="AY84" s="3264"/>
      <c r="BC84" s="3272">
        <f>(BC196+BC202+BC207+BC215+BC235-(BC176+BC180+BC187+BC191+BC194+BC195+$G$85))/8</f>
        <v>108180025.5</v>
      </c>
      <c r="BD84" s="3272">
        <f>(BD196+BD202+BD207+BD215+BD235-(BD176+BD180+BD187+BD191+BD194+BD195+$H$85))/8</f>
        <v>61843517.356707066</v>
      </c>
      <c r="BE84" s="3272">
        <f>(BE196+BE202+BE207+BE215+BE235-(BE176+BE180+BE187+BE191+BE194+BE195))/8</f>
        <v>4549868.3595637064</v>
      </c>
      <c r="BF84" s="3272">
        <f>(BF196+BF202+BF207+BF215+BF235-(BF176+BF180+BF187+BF191+BF194+BF195))/8</f>
        <v>41786639.78372921</v>
      </c>
      <c r="BG84" s="3264"/>
      <c r="BK84" s="3272">
        <f>(BK196+BK202+BK207+BK215+BK235-(BK176+BK180+BK187+BK191+BK194+BK195+$G$85))/8</f>
        <v>108180025.5</v>
      </c>
      <c r="BL84" s="3272">
        <f>(BL196+BL202+BL207+BL215+BL235-(BL176+BL180+BL187+BL191+BL194+BL195+$H$85))/8</f>
        <v>61843517.356707066</v>
      </c>
      <c r="BM84" s="3272">
        <f>(BM196+BM202+BM207+BM215+BM235-(BM176+BM180+BM187+BM191+BM194+BM195))/8</f>
        <v>4549868.3595637064</v>
      </c>
      <c r="BN84" s="3272">
        <f>(BN196+BN202+BN207+BN215+BN235-(BN176+BN180+BN187+BN191+BN194+BN195))/8</f>
        <v>41786639.78372921</v>
      </c>
      <c r="BO84" s="3264"/>
      <c r="BS84" s="3272">
        <f>(BS196+BS202+BS207+BS215+BS235-(BS176+BS180+BS187+BS191+BS194+BS195+$G$85))/8</f>
        <v>108180025.5</v>
      </c>
      <c r="BT84" s="3272">
        <f>(BT196+BT202+BT207+BT215+BT235-(BT176+BT180+BT187+BT191+BT194+BT195+$H$85))/8</f>
        <v>61843517.356707066</v>
      </c>
      <c r="BU84" s="3272">
        <f>(BU196+BU202+BU207+BU215+BU235-(BU176+BU180+BU187+BU191+BU194+BU195))/8</f>
        <v>4549868.3595637064</v>
      </c>
      <c r="BV84" s="3272">
        <f>(BV196+BV202+BV207+BV215+BV235-(BV176+BV180+BV187+BV191+BV194+BV195))/8</f>
        <v>41786639.78372921</v>
      </c>
      <c r="BW84" s="3264"/>
      <c r="CA84" s="3272">
        <f>(CA196+CA202+CA207+CA215+CA235-(CA176+CA180+CA187+CA191+CA194+CA195+$G$85))/8</f>
        <v>108180025.5</v>
      </c>
      <c r="CB84" s="3272">
        <f>(CB196+CB202+CB207+CB215+CB235-(CB176+CB180+CB187+CB191+CB194+CB195+$H$85))/8</f>
        <v>61843517.356707066</v>
      </c>
      <c r="CC84" s="3272">
        <f>(CC196+CC202+CC207+CC215+CC235-(CC176+CC180+CC187+CC191+CC194+CC195))/8</f>
        <v>4549868.3595637064</v>
      </c>
      <c r="CD84" s="3272">
        <f>(CD196+CD202+CD207+CD215+CD235-(CD176+CD180+CD187+CD191+CD194+CD195))/8</f>
        <v>41786639.78372921</v>
      </c>
      <c r="CE84" s="3264"/>
      <c r="CI84" s="3272">
        <f>(CI196+CI202+CI207+CI215+CI235-(CI176+CI180+CI187+CI191+CI194+CI195+$G$85))/8</f>
        <v>108180025.5</v>
      </c>
      <c r="CJ84" s="3272">
        <f>(CJ196+CJ202+CJ207+CJ215+CJ235-(CJ176+CJ180+CJ187+CJ191+CJ194+CJ195+$H$85))/8</f>
        <v>61843517.356707066</v>
      </c>
      <c r="CK84" s="3272">
        <f>(CK196+CK202+CK207+CK215+CK235-(CK176+CK180+CK187+CK191+CK194+CK195))/8</f>
        <v>4549868.3595637064</v>
      </c>
      <c r="CL84" s="3272">
        <f>(CL196+CL202+CL207+CL215+CL235-(CL176+CL180+CL187+CL191+CL194+CL195))/8</f>
        <v>41786639.78372921</v>
      </c>
      <c r="CM84" s="3264"/>
      <c r="CQ84" s="3272">
        <f>(CQ196+CQ202+CQ207+CQ215+CQ235-(CQ176+CQ180+CQ187+CQ191+CQ194+CQ195+$G$85))/8</f>
        <v>108180025.5</v>
      </c>
      <c r="CR84" s="3272">
        <f>(CR196+CR202+CR207+CR215+CR235-(CR176+CR180+CR187+CR191+CR194+CR195+$H$85))/8</f>
        <v>61843517.356707066</v>
      </c>
      <c r="CS84" s="3272">
        <f>(CS196+CS202+CS207+CS215+CS235-(CS176+CS180+CS187+CS191+CS194+CS195))/8</f>
        <v>4549868.3595637064</v>
      </c>
      <c r="CT84" s="3272">
        <f>(CT196+CT202+CT207+CT215+CT235-(CT176+CT180+CT187+CT191+CT194+CT195))/8</f>
        <v>41786639.78372921</v>
      </c>
      <c r="CU84" s="3264"/>
      <c r="CY84" s="3272">
        <f>(CY196+CY202+CY207+CY215+CY235-(CY176+CY180+CY187+CY191+CY194+CY195+$G$85))/8</f>
        <v>108180025.5</v>
      </c>
      <c r="CZ84" s="3272">
        <f>(CZ196+CZ202+CZ207+CZ215+CZ235-(CZ176+CZ180+CZ187+CZ191+CZ194+CZ195+$H$85))/8</f>
        <v>61843517.356707066</v>
      </c>
      <c r="DA84" s="3272">
        <f>(DA196+DA202+DA207+DA215+DA235-(DA176+DA180+DA187+DA191+DA194+DA195))/8</f>
        <v>4549868.3595637064</v>
      </c>
      <c r="DB84" s="3272">
        <f>(DB196+DB202+DB207+DB215+DB235-(DB176+DB180+DB187+DB191+DB194+DB195))/8</f>
        <v>41786639.78372921</v>
      </c>
      <c r="DC84" s="3264"/>
      <c r="DG84" s="3272">
        <f>(DG196+DG202+DG207+DG215+DG235-(DG176+DG180+DG187+DG191+DG194+DG195+$G$85))/8</f>
        <v>108180025.5</v>
      </c>
      <c r="DH84" s="3272">
        <f>(DH196+DH202+DH207+DH215+DH235-(DH176+DH180+DH187+DH191+DH194+DH195+$H$85))/8</f>
        <v>61843517.356707066</v>
      </c>
      <c r="DI84" s="3272">
        <f>(DI196+DI202+DI207+DI215+DI235-(DI176+DI180+DI187+DI191+DI194+DI195))/8</f>
        <v>4549868.3595637064</v>
      </c>
      <c r="DJ84" s="3272">
        <f>(DJ196+DJ202+DJ207+DJ215+DJ235-(DJ176+DJ180+DJ187+DJ191+DJ194+DJ195))/8</f>
        <v>41786639.78372921</v>
      </c>
      <c r="DK84" s="3264"/>
      <c r="DO84" s="3272">
        <f>(DO196+DO202+DO207+DO215+DO235-(DO176+DO180+DO187+DO191+DO194+DO195+$G$85))/8</f>
        <v>108180025.5</v>
      </c>
      <c r="DP84" s="3272">
        <f>(DP196+DP202+DP207+DP215+DP235-(DP176+DP180+DP187+DP191+DP194+DP195+$H$85))/8</f>
        <v>61843517.356707066</v>
      </c>
      <c r="DQ84" s="3272">
        <f>(DQ196+DQ202+DQ207+DQ215+DQ235-(DQ176+DQ180+DQ187+DQ191+DQ194+DQ195))/8</f>
        <v>4549868.3595637064</v>
      </c>
      <c r="DR84" s="3272">
        <f>(DR196+DR202+DR207+DR215+DR235-(DR176+DR180+DR187+DR191+DR194+DR195))/8</f>
        <v>41786639.78372921</v>
      </c>
      <c r="DS84" s="3264"/>
      <c r="DW84" s="3272">
        <f>(DW196+DW202+DW207+DW215+DW235-(DW176+DW180+DW187+DW191+DW194+DW195+$G$85))/8</f>
        <v>108180025.5</v>
      </c>
      <c r="DX84" s="3272">
        <f>(DX196+DX202+DX207+DX215+DX235-(DX176+DX180+DX187+DX191+DX194+DX195+$H$85))/8</f>
        <v>61843517.356707066</v>
      </c>
      <c r="DY84" s="3272">
        <f>(DY196+DY202+DY207+DY215+DY235-(DY176+DY180+DY187+DY191+DY194+DY195))/8</f>
        <v>4549868.3595637064</v>
      </c>
      <c r="DZ84" s="3272">
        <f>(DZ196+DZ202+DZ207+DZ215+DZ235-(DZ176+DZ180+DZ187+DZ191+DZ194+DZ195))/8</f>
        <v>41786639.78372921</v>
      </c>
      <c r="EA84" s="3264"/>
      <c r="EE84" s="3272">
        <f>(EE196+EE202+EE207+EE215+EE235-(EE176+EE180+EE187+EE191+EE194+EE195+$G$85))/8</f>
        <v>108180025.5</v>
      </c>
      <c r="EF84" s="3272">
        <f>(EF196+EF202+EF207+EF215+EF235-(EF176+EF180+EF187+EF191+EF194+EF195+$H$85))/8</f>
        <v>61843517.356707066</v>
      </c>
      <c r="EG84" s="3272">
        <f>(EG196+EG202+EG207+EG215+EG235-(EG176+EG180+EG187+EG191+EG194+EG195))/8</f>
        <v>4549868.3595637064</v>
      </c>
      <c r="EH84" s="3272">
        <f>(EH196+EH202+EH207+EH215+EH235-(EH176+EH180+EH187+EH191+EH194+EH195))/8</f>
        <v>41786639.78372921</v>
      </c>
      <c r="EI84" s="3264"/>
      <c r="EM84" s="3272">
        <f>(EM196+EM202+EM207+EM215+EM235-(EM176+EM180+EM187+EM191+EM194+EM195+$G$85))/8</f>
        <v>108180025.5</v>
      </c>
      <c r="EN84" s="3272">
        <f>(EN196+EN202+EN207+EN215+EN235-(EN176+EN180+EN187+EN191+EN194+EN195+$H$85))/8</f>
        <v>61843517.356707066</v>
      </c>
      <c r="EO84" s="3272">
        <f>(EO196+EO202+EO207+EO215+EO235-(EO176+EO180+EO187+EO191+EO194+EO195))/8</f>
        <v>4549868.3595637064</v>
      </c>
      <c r="EP84" s="3272">
        <f>(EP196+EP202+EP207+EP215+EP235-(EP176+EP180+EP187+EP191+EP194+EP195))/8</f>
        <v>41786639.78372921</v>
      </c>
      <c r="EQ84" s="3264"/>
      <c r="EU84" s="3272">
        <f>(EU196+EU202+EU207+EU215+EU235-(EU176+EU180+EU187+EU191+EU194+EU195+$G$85))/8</f>
        <v>108180025.5</v>
      </c>
      <c r="EV84" s="3272">
        <f>(EV196+EV202+EV207+EV215+EV235-(EV176+EV180+EV187+EV191+EV194+EV195+$H$85))/8</f>
        <v>61843517.356707066</v>
      </c>
      <c r="EW84" s="3272">
        <f>(EW196+EW202+EW207+EW215+EW235-(EW176+EW180+EW187+EW191+EW194+EW195))/8</f>
        <v>4549868.3595637064</v>
      </c>
      <c r="EX84" s="3272">
        <f>(EX196+EX202+EX207+EX215+EX235-(EX176+EX180+EX187+EX191+EX194+EX195))/8</f>
        <v>41786639.78372921</v>
      </c>
      <c r="EY84" s="3264"/>
      <c r="FC84" s="3272">
        <f>(FC196+FC202+FC207+FC215+FC235-(FC176+FC180+FC187+FC191+FC194+FC195+$G$85))/8</f>
        <v>108180025.5</v>
      </c>
      <c r="FD84" s="3272">
        <f>(FD196+FD202+FD207+FD215+FD235-(FD176+FD180+FD187+FD191+FD194+FD195+$H$85))/8</f>
        <v>61843517.356707066</v>
      </c>
      <c r="FE84" s="3272">
        <f>(FE196+FE202+FE207+FE215+FE235-(FE176+FE180+FE187+FE191+FE194+FE195))/8</f>
        <v>4549868.3595637064</v>
      </c>
      <c r="FF84" s="3272">
        <f>(FF196+FF202+FF207+FF215+FF235-(FF176+FF180+FF187+FF191+FF194+FF195))/8</f>
        <v>41786639.78372921</v>
      </c>
      <c r="FG84" s="3264"/>
      <c r="FK84" s="3272">
        <f>(FK196+FK202+FK207+FK215+FK235-(FK176+FK180+FK187+FK191+FK194+FK195+$G$85))/8</f>
        <v>108180025.5</v>
      </c>
      <c r="FL84" s="3272">
        <f>(FL196+FL202+FL207+FL215+FL235-(FL176+FL180+FL187+FL191+FL194+FL195+$H$85))/8</f>
        <v>61843517.356707066</v>
      </c>
      <c r="FM84" s="3272">
        <f>(FM196+FM202+FM207+FM215+FM235-(FM176+FM180+FM187+FM191+FM194+FM195))/8</f>
        <v>4549868.3595637064</v>
      </c>
      <c r="FN84" s="3272">
        <f>(FN196+FN202+FN207+FN215+FN235-(FN176+FN180+FN187+FN191+FN194+FN195))/8</f>
        <v>41786639.78372921</v>
      </c>
      <c r="FO84" s="3264"/>
    </row>
    <row r="85" spans="1:171">
      <c r="A85" s="2092"/>
      <c r="B85" s="2097"/>
      <c r="C85" s="2116"/>
      <c r="D85" s="2319" t="s">
        <v>741</v>
      </c>
      <c r="E85" s="3273"/>
      <c r="F85" s="2098"/>
      <c r="G85" s="3274">
        <f>'Sch 1A - Cash Working Capital'!$G$30</f>
        <v>24948345</v>
      </c>
      <c r="H85" s="3274">
        <f>'Sch 1A - Cash Working Capital'!$H$30</f>
        <v>24948345</v>
      </c>
      <c r="I85" s="3087"/>
      <c r="J85" s="3088"/>
      <c r="K85" s="3205"/>
      <c r="S85" s="3264"/>
      <c r="AA85" s="3264"/>
      <c r="AI85" s="3264"/>
      <c r="AQ85" s="3264"/>
      <c r="AY85" s="3264"/>
      <c r="BG85" s="3264"/>
      <c r="BO85" s="3264"/>
      <c r="BW85" s="3264"/>
      <c r="CE85" s="3264"/>
      <c r="CM85" s="3264"/>
      <c r="CU85" s="3264"/>
      <c r="DC85" s="3264"/>
      <c r="DK85" s="3264"/>
      <c r="DS85" s="3264"/>
      <c r="EA85" s="3264"/>
      <c r="EI85" s="3264"/>
      <c r="EQ85" s="3264"/>
      <c r="EY85" s="3264"/>
      <c r="FG85" s="3264"/>
      <c r="FO85" s="3264"/>
    </row>
    <row r="86" spans="1:171">
      <c r="A86" s="3476" t="s">
        <v>272</v>
      </c>
      <c r="B86" s="2290"/>
      <c r="C86" s="2112"/>
      <c r="D86" s="2098"/>
      <c r="E86" s="2098"/>
      <c r="F86" s="2098"/>
      <c r="G86" s="3164"/>
      <c r="H86" s="2671"/>
      <c r="I86" s="2671"/>
      <c r="J86" s="3165"/>
      <c r="K86" s="3205"/>
      <c r="S86" s="3264"/>
      <c r="AA86" s="3264"/>
      <c r="AI86" s="3264"/>
      <c r="AQ86" s="3264"/>
      <c r="AY86" s="3264"/>
      <c r="BG86" s="3264"/>
      <c r="BO86" s="3264"/>
      <c r="BW86" s="3264"/>
      <c r="CE86" s="3264"/>
      <c r="CM86" s="3264"/>
      <c r="CU86" s="3264"/>
      <c r="DC86" s="3264"/>
      <c r="DK86" s="3264"/>
      <c r="DS86" s="3264"/>
      <c r="EA86" s="3264"/>
      <c r="EI86" s="3264"/>
      <c r="EQ86" s="3264"/>
      <c r="EY86" s="3264"/>
      <c r="FG86" s="3264"/>
      <c r="FO86" s="3264"/>
    </row>
    <row r="87" spans="1:171">
      <c r="A87" s="3477"/>
      <c r="B87" s="2097" t="s">
        <v>432</v>
      </c>
      <c r="C87" s="2464" t="s">
        <v>69</v>
      </c>
      <c r="D87" s="2464">
        <v>105</v>
      </c>
      <c r="E87" s="2424" t="str">
        <f>'Sch 1- Rate Base '!E87</f>
        <v>DIST</v>
      </c>
      <c r="F87" s="2171"/>
      <c r="G87" s="2424">
        <f>'Sch 1- Rate Base '!G87</f>
        <v>49315001</v>
      </c>
      <c r="H87" s="2424">
        <f>'Sch 1- Rate Base '!H87</f>
        <v>0</v>
      </c>
      <c r="I87" s="2424">
        <f>'Sch 1- Rate Base '!I87</f>
        <v>0</v>
      </c>
      <c r="J87" s="3465">
        <f>'Sch 1- Rate Base '!J87</f>
        <v>49315001</v>
      </c>
      <c r="K87" s="3205">
        <f t="shared" ref="K87:K92" si="163">IF($E87="DIRECT",0,1)</f>
        <v>1</v>
      </c>
      <c r="O87" s="3235">
        <f t="shared" ref="O87:O92" si="164">$G87</f>
        <v>49315001</v>
      </c>
      <c r="P87" s="3236">
        <f t="shared" ref="P87:P92" si="165">VLOOKUP($E87,O$442:R$453,2,FALSE)*O87*($K87)+IF($G87&gt;0,($H87/$G87)*O87,0)*(1-$K87)</f>
        <v>0</v>
      </c>
      <c r="Q87" s="3236">
        <f t="shared" ref="Q87:Q92" si="166">VLOOKUP($E87,O$442:R$453,3,FALSE)*O87*($K87)+IF($G87&gt;0,($I87/$G87)*O87,0)*(1-$K87)</f>
        <v>0</v>
      </c>
      <c r="R87" s="3236">
        <f t="shared" ref="R87:R92" si="167">VLOOKUP($E87,O$442:R$453,4,FALSE)*O87*($K87)+(O87-P87-Q87)*(1-$K87)</f>
        <v>49315001</v>
      </c>
      <c r="S87" s="3237"/>
      <c r="W87" s="3235">
        <f t="shared" ref="W87:W92" si="168">$G87</f>
        <v>49315001</v>
      </c>
      <c r="X87" s="3236">
        <f t="shared" ref="X87:X92" si="169">VLOOKUP($E87,W$442:Z$453,2,FALSE)*W87*($K87)+IF($G87&gt;0,($H87/$G87)*W87,0)*(1-$K87)</f>
        <v>0</v>
      </c>
      <c r="Y87" s="3236">
        <f t="shared" ref="Y87:Y92" si="170">VLOOKUP($E87,W$442:Z$453,3,FALSE)*W87*($K87)+IF($G87&gt;0,($I87/$G87)*W87,0)*(1-$K87)</f>
        <v>0</v>
      </c>
      <c r="Z87" s="3236">
        <f t="shared" ref="Z87:Z92" si="171">VLOOKUP($E87,W$442:Z$453,4,FALSE)*W87*($K87)+(W87-X87-Y87)*(1-$K87)</f>
        <v>49315001</v>
      </c>
      <c r="AA87" s="3237"/>
      <c r="AE87" s="3235">
        <f t="shared" ref="AE87:AE92" si="172">$G87</f>
        <v>49315001</v>
      </c>
      <c r="AF87" s="3236">
        <f t="shared" ref="AF87:AF92" si="173">VLOOKUP($E87,AE$442:AH$453,2,FALSE)*AE87*($K87)+IF($G87&gt;0,($H87/$G87)*AE87,0)*(1-$K87)</f>
        <v>0</v>
      </c>
      <c r="AG87" s="3236">
        <f t="shared" ref="AG87:AG92" si="174">VLOOKUP($E87,AE$442:AH$453,3,FALSE)*AE87*($K87)+IF($G87&gt;0,($I87/$G87)*AE87,0)*(1-$K87)</f>
        <v>0</v>
      </c>
      <c r="AH87" s="3236">
        <f t="shared" ref="AH87:AH92" si="175">VLOOKUP($E87,AE$442:AH$453,4,FALSE)*AE87*($K87)+(AE87-AF87-AG87)*(1-$K87)</f>
        <v>49315001</v>
      </c>
      <c r="AI87" s="3237"/>
      <c r="AM87" s="3235">
        <f t="shared" ref="AM87:AM92" si="176">$G87</f>
        <v>49315001</v>
      </c>
      <c r="AN87" s="3236">
        <f t="shared" ref="AN87:AN92" si="177">VLOOKUP($E87,AM$442:AP$453,2,FALSE)*AM87*($K87)+IF($G87&gt;0,($H87/$G87)*AM87,0)*(1-$K87)</f>
        <v>0</v>
      </c>
      <c r="AO87" s="3236">
        <f t="shared" ref="AO87:AO92" si="178">VLOOKUP($E87,AM$442:AP$453,3,FALSE)*AM87*($K87)+IF($G87&gt;0,($I87/$G87)*AM87,0)*(1-$K87)</f>
        <v>0</v>
      </c>
      <c r="AP87" s="3236">
        <f t="shared" ref="AP87:AP92" si="179">VLOOKUP($E87,AM$442:AP$453,4,FALSE)*AM87*($K87)+(AM87-AN87-AO87)*(1-$K87)</f>
        <v>49315001</v>
      </c>
      <c r="AQ87" s="3237"/>
      <c r="AU87" s="3235">
        <f t="shared" ref="AU87:AU92" si="180">$G87</f>
        <v>49315001</v>
      </c>
      <c r="AV87" s="3236">
        <f t="shared" ref="AV87:AV92" si="181">VLOOKUP($E87,AU$442:AX$453,2,FALSE)*AU87*($K87)+IF($G87&gt;0,($H87/$G87)*AU87,0)*(1-$K87)</f>
        <v>0</v>
      </c>
      <c r="AW87" s="3236">
        <f t="shared" ref="AW87:AW92" si="182">VLOOKUP($E87,AU$442:AX$453,3,FALSE)*AU87*($K87)+IF($G87&gt;0,($I87/$G87)*AU87,0)*(1-$K87)</f>
        <v>0</v>
      </c>
      <c r="AX87" s="3236">
        <f t="shared" ref="AX87:AX92" si="183">VLOOKUP($E87,AU$442:AX$453,4,FALSE)*AU87*($K87)+(AU87-AV87-AW87)*(1-$K87)</f>
        <v>49315001</v>
      </c>
      <c r="AY87" s="3237"/>
      <c r="BC87" s="3235">
        <f t="shared" ref="BC87:BC92" si="184">$G87</f>
        <v>49315001</v>
      </c>
      <c r="BD87" s="3236">
        <f t="shared" ref="BD87:BD92" si="185">VLOOKUP($E87,BC$442:BF$453,2,FALSE)*BC87*($K87)+IF($G87&gt;0,($H87/$G87)*BC87,0)*(1-$K87)</f>
        <v>0</v>
      </c>
      <c r="BE87" s="3236">
        <f t="shared" ref="BE87:BE92" si="186">VLOOKUP($E87,BC$442:BF$453,3,FALSE)*BC87*($K87)+IF($G87&gt;0,($I87/$G87)*BC87,0)*(1-$K87)</f>
        <v>0</v>
      </c>
      <c r="BF87" s="3236">
        <f t="shared" ref="BF87:BF92" si="187">VLOOKUP($E87,BC$442:BF$453,4,FALSE)*BC87*($K87)+(BC87-BD87-BE87)*(1-$K87)</f>
        <v>49315001</v>
      </c>
      <c r="BG87" s="3237"/>
      <c r="BK87" s="3235">
        <f t="shared" ref="BK87:BK92" si="188">$G87</f>
        <v>49315001</v>
      </c>
      <c r="BL87" s="3236">
        <f t="shared" ref="BL87:BL92" si="189">VLOOKUP($E87,BK$442:BN$453,2,FALSE)*BK87*($K87)+IF($G87&gt;0,($H87/$G87)*BK87,0)*(1-$K87)</f>
        <v>0</v>
      </c>
      <c r="BM87" s="3236">
        <f t="shared" ref="BM87:BM92" si="190">VLOOKUP($E87,BK$442:BN$453,3,FALSE)*BK87*($K87)+IF($G87&gt;0,($I87/$G87)*BK87,0)*(1-$K87)</f>
        <v>0</v>
      </c>
      <c r="BN87" s="3236">
        <f t="shared" ref="BN87:BN92" si="191">VLOOKUP($E87,BK$442:BN$453,4,FALSE)*BK87*($K87)+(BK87-BL87-BM87)*(1-$K87)</f>
        <v>49315001</v>
      </c>
      <c r="BO87" s="3237"/>
      <c r="BS87" s="3235">
        <f t="shared" ref="BS87:BS92" si="192">$G87</f>
        <v>49315001</v>
      </c>
      <c r="BT87" s="3236">
        <f t="shared" ref="BT87:BT92" si="193">VLOOKUP($E87,BS$442:BV$453,2,FALSE)*BS87*($K87)+IF($G87&gt;0,($H87/$G87)*BS87,0)*(1-$K87)</f>
        <v>0</v>
      </c>
      <c r="BU87" s="3236">
        <f t="shared" ref="BU87:BU92" si="194">VLOOKUP($E87,BS$442:BV$453,3,FALSE)*BS87*($K87)+IF($G87&gt;0,($I87/$G87)*BS87,0)*(1-$K87)</f>
        <v>0</v>
      </c>
      <c r="BV87" s="3236">
        <f t="shared" ref="BV87:BV92" si="195">VLOOKUP($E87,BS$442:BV$453,4,FALSE)*BS87*($K87)+(BS87-BT87-BU87)*(1-$K87)</f>
        <v>49315001</v>
      </c>
      <c r="BW87" s="3237"/>
      <c r="CA87" s="3235">
        <f t="shared" ref="CA87:CA92" si="196">$G87</f>
        <v>49315001</v>
      </c>
      <c r="CB87" s="3236">
        <f t="shared" ref="CB87:CB92" si="197">VLOOKUP($E87,CA$442:CD$453,2,FALSE)*CA87*($K87)+IF($G87&gt;0,($H87/$G87)*CA87,0)*(1-$K87)</f>
        <v>0</v>
      </c>
      <c r="CC87" s="3236">
        <f t="shared" ref="CC87:CC92" si="198">VLOOKUP($E87,CA$442:CD$453,3,FALSE)*CA87*($K87)+IF($G87&gt;0,($I87/$G87)*CA87,0)*(1-$K87)</f>
        <v>0</v>
      </c>
      <c r="CD87" s="3236">
        <f t="shared" ref="CD87:CD92" si="199">VLOOKUP($E87,CA$442:CD$453,4,FALSE)*CA87*($K87)+(CA87-CB87-CC87)*(1-$K87)</f>
        <v>49315001</v>
      </c>
      <c r="CE87" s="3237"/>
      <c r="CI87" s="3235">
        <f t="shared" ref="CI87:CI92" si="200">$G87</f>
        <v>49315001</v>
      </c>
      <c r="CJ87" s="3236">
        <f t="shared" ref="CJ87:CJ92" si="201">VLOOKUP($E87,CI$442:CL$453,2,FALSE)*CI87*($K87)+IF($G87&gt;0,($H87/$G87)*CI87,0)*(1-$K87)</f>
        <v>0</v>
      </c>
      <c r="CK87" s="3236">
        <f t="shared" ref="CK87:CK92" si="202">VLOOKUP($E87,CI$442:CL$453,3,FALSE)*CI87*($K87)+IF($G87&gt;0,($I87/$G87)*CI87,0)*(1-$K87)</f>
        <v>0</v>
      </c>
      <c r="CL87" s="3236">
        <f t="shared" ref="CL87:CL92" si="203">VLOOKUP($E87,CI$442:CL$453,4,FALSE)*CI87*($K87)+(CI87-CJ87-CK87)*(1-$K87)</f>
        <v>49315001</v>
      </c>
      <c r="CM87" s="3237"/>
      <c r="CQ87" s="3235">
        <f t="shared" ref="CQ87:CQ92" si="204">$G87</f>
        <v>49315001</v>
      </c>
      <c r="CR87" s="3236">
        <f t="shared" ref="CR87:CR92" si="205">VLOOKUP($E87,CQ$442:CT$453,2,FALSE)*CQ87*($K87)+IF($G87&gt;0,($H87/$G87)*CQ87,0)*(1-$K87)</f>
        <v>0</v>
      </c>
      <c r="CS87" s="3236">
        <f t="shared" ref="CS87:CS92" si="206">VLOOKUP($E87,CQ$442:CT$453,3,FALSE)*CQ87*($K87)+IF($G87&gt;0,($I87/$G87)*CQ87,0)*(1-$K87)</f>
        <v>0</v>
      </c>
      <c r="CT87" s="3236">
        <f t="shared" ref="CT87:CT92" si="207">VLOOKUP($E87,CQ$442:CT$453,4,FALSE)*CQ87*($K87)+(CQ87-CR87-CS87)*(1-$K87)</f>
        <v>49315001</v>
      </c>
      <c r="CU87" s="3237"/>
      <c r="CY87" s="3235">
        <f t="shared" ref="CY87:CY92" si="208">$G87</f>
        <v>49315001</v>
      </c>
      <c r="CZ87" s="3236">
        <f t="shared" ref="CZ87:CZ92" si="209">VLOOKUP($E87,CY$442:DB$453,2,FALSE)*CY87*($K87)+IF($G87&gt;0,($H87/$G87)*CY87,0)*(1-$K87)</f>
        <v>0</v>
      </c>
      <c r="DA87" s="3236">
        <f t="shared" ref="DA87:DA92" si="210">VLOOKUP($E87,CY$442:DB$453,3,FALSE)*CY87*($K87)+IF($G87&gt;0,($I87/$G87)*CY87,0)*(1-$K87)</f>
        <v>0</v>
      </c>
      <c r="DB87" s="3236">
        <f t="shared" ref="DB87:DB92" si="211">VLOOKUP($E87,CY$442:DB$453,4,FALSE)*CY87*($K87)+(CY87-CZ87-DA87)*(1-$K87)</f>
        <v>49315001</v>
      </c>
      <c r="DC87" s="3237"/>
      <c r="DG87" s="3235">
        <f t="shared" ref="DG87:DG92" si="212">$G87</f>
        <v>49315001</v>
      </c>
      <c r="DH87" s="3236">
        <f t="shared" ref="DH87:DH92" si="213">VLOOKUP($E87,DG$442:DJ$453,2,FALSE)*DG87*($K87)+IF($G87&gt;0,($H87/$G87)*DG87,0)*(1-$K87)</f>
        <v>0</v>
      </c>
      <c r="DI87" s="3236">
        <f t="shared" ref="DI87:DI92" si="214">VLOOKUP($E87,DG$442:DJ$453,3,FALSE)*DG87*($K87)+IF($G87&gt;0,($I87/$G87)*DG87,0)*(1-$K87)</f>
        <v>0</v>
      </c>
      <c r="DJ87" s="3236">
        <f t="shared" ref="DJ87:DJ92" si="215">VLOOKUP($E87,DG$442:DJ$453,4,FALSE)*DG87*($K87)+(DG87-DH87-DI87)*(1-$K87)</f>
        <v>49315001</v>
      </c>
      <c r="DK87" s="3237"/>
      <c r="DO87" s="3235">
        <f t="shared" ref="DO87:DO92" si="216">$G87</f>
        <v>49315001</v>
      </c>
      <c r="DP87" s="3236">
        <f t="shared" ref="DP87:DP92" si="217">VLOOKUP($E87,DO$442:DR$453,2,FALSE)*DO87*($K87)+IF($G87&gt;0,($H87/$G87)*DO87,0)*(1-$K87)</f>
        <v>0</v>
      </c>
      <c r="DQ87" s="3236">
        <f t="shared" ref="DQ87:DQ92" si="218">VLOOKUP($E87,DO$442:DR$453,3,FALSE)*DO87*($K87)+IF($G87&gt;0,($I87/$G87)*DO87,0)*(1-$K87)</f>
        <v>0</v>
      </c>
      <c r="DR87" s="3236">
        <f t="shared" ref="DR87:DR92" si="219">VLOOKUP($E87,DO$442:DR$453,4,FALSE)*DO87*($K87)+(DO87-DP87-DQ87)*(1-$K87)</f>
        <v>49315001</v>
      </c>
      <c r="DS87" s="3237"/>
      <c r="DW87" s="3235">
        <f t="shared" ref="DW87:DW92" si="220">$G87</f>
        <v>49315001</v>
      </c>
      <c r="DX87" s="3236">
        <f t="shared" ref="DX87:DX92" si="221">VLOOKUP($E87,DW$442:DZ$453,2,FALSE)*DW87*($K87)+IF($G87&gt;0,($H87/$G87)*DW87,0)*(1-$K87)</f>
        <v>0</v>
      </c>
      <c r="DY87" s="3236">
        <f t="shared" ref="DY87:DY92" si="222">VLOOKUP($E87,DW$442:DZ$453,3,FALSE)*DW87*($K87)+IF($G87&gt;0,($I87/$G87)*DW87,0)*(1-$K87)</f>
        <v>0</v>
      </c>
      <c r="DZ87" s="3236">
        <f t="shared" ref="DZ87:DZ92" si="223">VLOOKUP($E87,DW$442:DZ$453,4,FALSE)*DW87*($K87)+(DW87-DX87-DY87)*(1-$K87)</f>
        <v>49315001</v>
      </c>
      <c r="EA87" s="3237"/>
      <c r="EE87" s="3235">
        <f t="shared" ref="EE87:EE92" si="224">$G87</f>
        <v>49315001</v>
      </c>
      <c r="EF87" s="3236">
        <f t="shared" ref="EF87:EF92" si="225">VLOOKUP($E87,EE$442:EH$453,2,FALSE)*EE87*($K87)+IF($G87&gt;0,($H87/$G87)*EE87,0)*(1-$K87)</f>
        <v>0</v>
      </c>
      <c r="EG87" s="3236">
        <f t="shared" ref="EG87:EG92" si="226">VLOOKUP($E87,EE$442:EH$453,3,FALSE)*EE87*($K87)+IF($G87&gt;0,($I87/$G87)*EE87,0)*(1-$K87)</f>
        <v>0</v>
      </c>
      <c r="EH87" s="3236">
        <f t="shared" ref="EH87:EH92" si="227">VLOOKUP($E87,EE$442:EH$453,4,FALSE)*EE87*($K87)+(EE87-EF87-EG87)*(1-$K87)</f>
        <v>49315001</v>
      </c>
      <c r="EI87" s="3237"/>
      <c r="EM87" s="3235">
        <f t="shared" ref="EM87:EM92" si="228">$G87</f>
        <v>49315001</v>
      </c>
      <c r="EN87" s="3236">
        <f t="shared" ref="EN87:EN92" si="229">VLOOKUP($E87,EM$442:EP$453,2,FALSE)*EM87*($K87)+IF($G87&gt;0,($H87/$G87)*EM87,0)*(1-$K87)</f>
        <v>0</v>
      </c>
      <c r="EO87" s="3236">
        <f t="shared" ref="EO87:EO92" si="230">VLOOKUP($E87,EM$442:EP$453,3,FALSE)*EM87*($K87)+IF($G87&gt;0,($I87/$G87)*EM87,0)*(1-$K87)</f>
        <v>0</v>
      </c>
      <c r="EP87" s="3236">
        <f t="shared" ref="EP87:EP92" si="231">VLOOKUP($E87,EM$442:EP$453,4,FALSE)*EM87*($K87)+(EM87-EN87-EO87)*(1-$K87)</f>
        <v>49315001</v>
      </c>
      <c r="EQ87" s="3237"/>
      <c r="EU87" s="3235">
        <f t="shared" ref="EU87:EU92" si="232">$G87</f>
        <v>49315001</v>
      </c>
      <c r="EV87" s="3236">
        <f t="shared" ref="EV87:EV92" si="233">VLOOKUP($E87,EU$442:EX$453,2,FALSE)*EU87*($K87)+IF($G87&gt;0,($H87/$G87)*EU87,0)*(1-$K87)</f>
        <v>0</v>
      </c>
      <c r="EW87" s="3236">
        <f t="shared" ref="EW87:EW92" si="234">VLOOKUP($E87,EU$442:EX$453,3,FALSE)*EU87*($K87)+IF($G87&gt;0,($I87/$G87)*EU87,0)*(1-$K87)</f>
        <v>0</v>
      </c>
      <c r="EX87" s="3236">
        <f t="shared" ref="EX87:EX92" si="235">VLOOKUP($E87,EU$442:EX$453,4,FALSE)*EU87*($K87)+(EU87-EV87-EW87)*(1-$K87)</f>
        <v>49315001</v>
      </c>
      <c r="EY87" s="3237"/>
      <c r="FC87" s="3235">
        <f t="shared" ref="FC87:FC92" si="236">$G87</f>
        <v>49315001</v>
      </c>
      <c r="FD87" s="3236">
        <f t="shared" ref="FD87:FD92" si="237">VLOOKUP($E87,FC$442:FF$453,2,FALSE)*FC87*($K87)+IF($G87&gt;0,($H87/$G87)*FC87,0)*(1-$K87)</f>
        <v>0</v>
      </c>
      <c r="FE87" s="3236">
        <f t="shared" ref="FE87:FE92" si="238">VLOOKUP($E87,FC$442:FF$453,3,FALSE)*FC87*($K87)+IF($G87&gt;0,($I87/$G87)*FC87,0)*(1-$K87)</f>
        <v>0</v>
      </c>
      <c r="FF87" s="3236">
        <f t="shared" ref="FF87:FF92" si="239">VLOOKUP($E87,FC$442:FF$453,4,FALSE)*FC87*($K87)+(FC87-FD87-FE87)*(1-$K87)</f>
        <v>49315001</v>
      </c>
      <c r="FG87" s="3237"/>
      <c r="FK87" s="3235">
        <f t="shared" ref="FK87:FK92" si="240">$G87</f>
        <v>49315001</v>
      </c>
      <c r="FL87" s="3236">
        <f t="shared" ref="FL87:FL92" si="241">VLOOKUP($E87,FK$442:FN$453,2,FALSE)*FK87*($K87)+IF($G87&gt;0,($H87/$G87)*FK87,0)*(1-$K87)</f>
        <v>0</v>
      </c>
      <c r="FM87" s="3236">
        <f t="shared" ref="FM87:FM92" si="242">VLOOKUP($E87,FK$442:FN$453,3,FALSE)*FK87*($K87)+IF($G87&gt;0,($I87/$G87)*FK87,0)*(1-$K87)</f>
        <v>0</v>
      </c>
      <c r="FN87" s="3236">
        <f t="shared" ref="FN87:FN92" si="243">VLOOKUP($E87,FK$442:FN$453,4,FALSE)*FK87*($K87)+(FK87-FL87-FM87)*(1-$K87)</f>
        <v>49315001</v>
      </c>
      <c r="FO87" s="3237"/>
    </row>
    <row r="88" spans="1:171">
      <c r="A88" s="3477"/>
      <c r="B88" s="2097" t="s">
        <v>77</v>
      </c>
      <c r="C88" s="2464" t="s">
        <v>69</v>
      </c>
      <c r="D88" s="2464">
        <v>106</v>
      </c>
      <c r="E88" s="2424" t="str">
        <f>'Sch 1- Rate Base '!E88</f>
        <v>PTD</v>
      </c>
      <c r="F88" s="2171"/>
      <c r="G88" s="2424">
        <f>'Sch 1- Rate Base '!G88</f>
        <v>0</v>
      </c>
      <c r="H88" s="2424">
        <f>'Sch 1- Rate Base '!H88</f>
        <v>0</v>
      </c>
      <c r="I88" s="2424">
        <f>'Sch 1- Rate Base '!I88</f>
        <v>0</v>
      </c>
      <c r="J88" s="3465">
        <f>'Sch 1- Rate Base '!J88</f>
        <v>0</v>
      </c>
      <c r="K88" s="3205">
        <f t="shared" si="163"/>
        <v>1</v>
      </c>
      <c r="O88" s="3235">
        <f t="shared" si="164"/>
        <v>0</v>
      </c>
      <c r="P88" s="3236">
        <f t="shared" si="165"/>
        <v>0</v>
      </c>
      <c r="Q88" s="3236">
        <f t="shared" si="166"/>
        <v>0</v>
      </c>
      <c r="R88" s="3236">
        <f t="shared" si="167"/>
        <v>0</v>
      </c>
      <c r="S88" s="3237"/>
      <c r="W88" s="3235">
        <f t="shared" si="168"/>
        <v>0</v>
      </c>
      <c r="X88" s="3236">
        <f t="shared" si="169"/>
        <v>0</v>
      </c>
      <c r="Y88" s="3236">
        <f t="shared" si="170"/>
        <v>0</v>
      </c>
      <c r="Z88" s="3236">
        <f t="shared" si="171"/>
        <v>0</v>
      </c>
      <c r="AA88" s="3237"/>
      <c r="AE88" s="3235">
        <f t="shared" si="172"/>
        <v>0</v>
      </c>
      <c r="AF88" s="3236">
        <f t="shared" si="173"/>
        <v>0</v>
      </c>
      <c r="AG88" s="3236">
        <f t="shared" si="174"/>
        <v>0</v>
      </c>
      <c r="AH88" s="3236">
        <f t="shared" si="175"/>
        <v>0</v>
      </c>
      <c r="AI88" s="3237"/>
      <c r="AM88" s="3235">
        <f t="shared" si="176"/>
        <v>0</v>
      </c>
      <c r="AN88" s="3236">
        <f t="shared" si="177"/>
        <v>0</v>
      </c>
      <c r="AO88" s="3236">
        <f t="shared" si="178"/>
        <v>0</v>
      </c>
      <c r="AP88" s="3236">
        <f t="shared" si="179"/>
        <v>0</v>
      </c>
      <c r="AQ88" s="3237"/>
      <c r="AU88" s="3235">
        <f t="shared" si="180"/>
        <v>0</v>
      </c>
      <c r="AV88" s="3236">
        <f t="shared" si="181"/>
        <v>0</v>
      </c>
      <c r="AW88" s="3236">
        <f t="shared" si="182"/>
        <v>0</v>
      </c>
      <c r="AX88" s="3236">
        <f t="shared" si="183"/>
        <v>0</v>
      </c>
      <c r="AY88" s="3237"/>
      <c r="BC88" s="3235">
        <f t="shared" si="184"/>
        <v>0</v>
      </c>
      <c r="BD88" s="3236">
        <f t="shared" si="185"/>
        <v>0</v>
      </c>
      <c r="BE88" s="3236">
        <f t="shared" si="186"/>
        <v>0</v>
      </c>
      <c r="BF88" s="3236">
        <f t="shared" si="187"/>
        <v>0</v>
      </c>
      <c r="BG88" s="3237"/>
      <c r="BK88" s="3235">
        <f t="shared" si="188"/>
        <v>0</v>
      </c>
      <c r="BL88" s="3236">
        <f t="shared" si="189"/>
        <v>0</v>
      </c>
      <c r="BM88" s="3236">
        <f t="shared" si="190"/>
        <v>0</v>
      </c>
      <c r="BN88" s="3236">
        <f t="shared" si="191"/>
        <v>0</v>
      </c>
      <c r="BO88" s="3237"/>
      <c r="BS88" s="3235">
        <f t="shared" si="192"/>
        <v>0</v>
      </c>
      <c r="BT88" s="3236">
        <f t="shared" si="193"/>
        <v>0</v>
      </c>
      <c r="BU88" s="3236">
        <f t="shared" si="194"/>
        <v>0</v>
      </c>
      <c r="BV88" s="3236">
        <f t="shared" si="195"/>
        <v>0</v>
      </c>
      <c r="BW88" s="3237"/>
      <c r="CA88" s="3235">
        <f t="shared" si="196"/>
        <v>0</v>
      </c>
      <c r="CB88" s="3236">
        <f t="shared" si="197"/>
        <v>0</v>
      </c>
      <c r="CC88" s="3236">
        <f t="shared" si="198"/>
        <v>0</v>
      </c>
      <c r="CD88" s="3236">
        <f t="shared" si="199"/>
        <v>0</v>
      </c>
      <c r="CE88" s="3237"/>
      <c r="CI88" s="3235">
        <f t="shared" si="200"/>
        <v>0</v>
      </c>
      <c r="CJ88" s="3236">
        <f t="shared" si="201"/>
        <v>0</v>
      </c>
      <c r="CK88" s="3236">
        <f t="shared" si="202"/>
        <v>0</v>
      </c>
      <c r="CL88" s="3236">
        <f t="shared" si="203"/>
        <v>0</v>
      </c>
      <c r="CM88" s="3237"/>
      <c r="CQ88" s="3235">
        <f t="shared" si="204"/>
        <v>0</v>
      </c>
      <c r="CR88" s="3236">
        <f t="shared" si="205"/>
        <v>0</v>
      </c>
      <c r="CS88" s="3236">
        <f t="shared" si="206"/>
        <v>0</v>
      </c>
      <c r="CT88" s="3236">
        <f t="shared" si="207"/>
        <v>0</v>
      </c>
      <c r="CU88" s="3237"/>
      <c r="CY88" s="3235">
        <f t="shared" si="208"/>
        <v>0</v>
      </c>
      <c r="CZ88" s="3236">
        <f t="shared" si="209"/>
        <v>0</v>
      </c>
      <c r="DA88" s="3236">
        <f t="shared" si="210"/>
        <v>0</v>
      </c>
      <c r="DB88" s="3236">
        <f t="shared" si="211"/>
        <v>0</v>
      </c>
      <c r="DC88" s="3237"/>
      <c r="DG88" s="3235">
        <f t="shared" si="212"/>
        <v>0</v>
      </c>
      <c r="DH88" s="3236">
        <f t="shared" si="213"/>
        <v>0</v>
      </c>
      <c r="DI88" s="3236">
        <f t="shared" si="214"/>
        <v>0</v>
      </c>
      <c r="DJ88" s="3236">
        <f t="shared" si="215"/>
        <v>0</v>
      </c>
      <c r="DK88" s="3237"/>
      <c r="DO88" s="3235">
        <f t="shared" si="216"/>
        <v>0</v>
      </c>
      <c r="DP88" s="3236">
        <f t="shared" si="217"/>
        <v>0</v>
      </c>
      <c r="DQ88" s="3236">
        <f t="shared" si="218"/>
        <v>0</v>
      </c>
      <c r="DR88" s="3236">
        <f t="shared" si="219"/>
        <v>0</v>
      </c>
      <c r="DS88" s="3237"/>
      <c r="DW88" s="3235">
        <f t="shared" si="220"/>
        <v>0</v>
      </c>
      <c r="DX88" s="3236">
        <f t="shared" si="221"/>
        <v>0</v>
      </c>
      <c r="DY88" s="3236">
        <f t="shared" si="222"/>
        <v>0</v>
      </c>
      <c r="DZ88" s="3236">
        <f t="shared" si="223"/>
        <v>0</v>
      </c>
      <c r="EA88" s="3237"/>
      <c r="EE88" s="3235">
        <f t="shared" si="224"/>
        <v>0</v>
      </c>
      <c r="EF88" s="3236">
        <f t="shared" si="225"/>
        <v>0</v>
      </c>
      <c r="EG88" s="3236">
        <f t="shared" si="226"/>
        <v>0</v>
      </c>
      <c r="EH88" s="3236">
        <f t="shared" si="227"/>
        <v>0</v>
      </c>
      <c r="EI88" s="3237"/>
      <c r="EM88" s="3235">
        <f t="shared" si="228"/>
        <v>0</v>
      </c>
      <c r="EN88" s="3236">
        <f t="shared" si="229"/>
        <v>0</v>
      </c>
      <c r="EO88" s="3236">
        <f t="shared" si="230"/>
        <v>0</v>
      </c>
      <c r="EP88" s="3236">
        <f t="shared" si="231"/>
        <v>0</v>
      </c>
      <c r="EQ88" s="3237"/>
      <c r="EU88" s="3235">
        <f t="shared" si="232"/>
        <v>0</v>
      </c>
      <c r="EV88" s="3236">
        <f t="shared" si="233"/>
        <v>0</v>
      </c>
      <c r="EW88" s="3236">
        <f t="shared" si="234"/>
        <v>0</v>
      </c>
      <c r="EX88" s="3236">
        <f t="shared" si="235"/>
        <v>0</v>
      </c>
      <c r="EY88" s="3237"/>
      <c r="FC88" s="3235">
        <f t="shared" si="236"/>
        <v>0</v>
      </c>
      <c r="FD88" s="3236">
        <f t="shared" si="237"/>
        <v>0</v>
      </c>
      <c r="FE88" s="3236">
        <f t="shared" si="238"/>
        <v>0</v>
      </c>
      <c r="FF88" s="3236">
        <f t="shared" si="239"/>
        <v>0</v>
      </c>
      <c r="FG88" s="3237"/>
      <c r="FK88" s="3235">
        <f t="shared" si="240"/>
        <v>0</v>
      </c>
      <c r="FL88" s="3236">
        <f t="shared" si="241"/>
        <v>0</v>
      </c>
      <c r="FM88" s="3236">
        <f t="shared" si="242"/>
        <v>0</v>
      </c>
      <c r="FN88" s="3236">
        <f t="shared" si="243"/>
        <v>0</v>
      </c>
      <c r="FO88" s="3237"/>
    </row>
    <row r="89" spans="1:171">
      <c r="A89" s="3477"/>
      <c r="B89" s="2100" t="s">
        <v>475</v>
      </c>
      <c r="C89" s="2464"/>
      <c r="D89" s="2464" t="s">
        <v>255</v>
      </c>
      <c r="E89" s="2424" t="str">
        <f>'Sch 1- Rate Base '!E89</f>
        <v>PROD</v>
      </c>
      <c r="F89" s="2171"/>
      <c r="G89" s="2424">
        <f>'Sch 1- Rate Base '!G89</f>
        <v>0</v>
      </c>
      <c r="H89" s="2424">
        <f>'Sch 1- Rate Base '!H89</f>
        <v>0</v>
      </c>
      <c r="I89" s="2424">
        <f>'Sch 1- Rate Base '!I89</f>
        <v>0</v>
      </c>
      <c r="J89" s="3465">
        <f>'Sch 1- Rate Base '!J89</f>
        <v>0</v>
      </c>
      <c r="K89" s="3205">
        <f t="shared" si="163"/>
        <v>1</v>
      </c>
      <c r="O89" s="3235">
        <f t="shared" si="164"/>
        <v>0</v>
      </c>
      <c r="P89" s="3236">
        <f t="shared" si="165"/>
        <v>0</v>
      </c>
      <c r="Q89" s="3236">
        <f t="shared" si="166"/>
        <v>0</v>
      </c>
      <c r="R89" s="3236">
        <f t="shared" si="167"/>
        <v>0</v>
      </c>
      <c r="S89" s="3237"/>
      <c r="W89" s="3235">
        <f t="shared" si="168"/>
        <v>0</v>
      </c>
      <c r="X89" s="3236">
        <f t="shared" si="169"/>
        <v>0</v>
      </c>
      <c r="Y89" s="3236">
        <f t="shared" si="170"/>
        <v>0</v>
      </c>
      <c r="Z89" s="3236">
        <f t="shared" si="171"/>
        <v>0</v>
      </c>
      <c r="AA89" s="3237"/>
      <c r="AE89" s="3235">
        <f t="shared" si="172"/>
        <v>0</v>
      </c>
      <c r="AF89" s="3236">
        <f t="shared" si="173"/>
        <v>0</v>
      </c>
      <c r="AG89" s="3236">
        <f t="shared" si="174"/>
        <v>0</v>
      </c>
      <c r="AH89" s="3236">
        <f t="shared" si="175"/>
        <v>0</v>
      </c>
      <c r="AI89" s="3237"/>
      <c r="AM89" s="3235">
        <f t="shared" si="176"/>
        <v>0</v>
      </c>
      <c r="AN89" s="3236">
        <f t="shared" si="177"/>
        <v>0</v>
      </c>
      <c r="AO89" s="3236">
        <f t="shared" si="178"/>
        <v>0</v>
      </c>
      <c r="AP89" s="3236">
        <f t="shared" si="179"/>
        <v>0</v>
      </c>
      <c r="AQ89" s="3237"/>
      <c r="AU89" s="3235">
        <f t="shared" si="180"/>
        <v>0</v>
      </c>
      <c r="AV89" s="3236">
        <f t="shared" si="181"/>
        <v>0</v>
      </c>
      <c r="AW89" s="3236">
        <f t="shared" si="182"/>
        <v>0</v>
      </c>
      <c r="AX89" s="3236">
        <f t="shared" si="183"/>
        <v>0</v>
      </c>
      <c r="AY89" s="3237"/>
      <c r="BC89" s="3235">
        <f t="shared" si="184"/>
        <v>0</v>
      </c>
      <c r="BD89" s="3236">
        <f t="shared" si="185"/>
        <v>0</v>
      </c>
      <c r="BE89" s="3236">
        <f t="shared" si="186"/>
        <v>0</v>
      </c>
      <c r="BF89" s="3236">
        <f t="shared" si="187"/>
        <v>0</v>
      </c>
      <c r="BG89" s="3237"/>
      <c r="BK89" s="3235">
        <f t="shared" si="188"/>
        <v>0</v>
      </c>
      <c r="BL89" s="3236">
        <f t="shared" si="189"/>
        <v>0</v>
      </c>
      <c r="BM89" s="3236">
        <f t="shared" si="190"/>
        <v>0</v>
      </c>
      <c r="BN89" s="3236">
        <f t="shared" si="191"/>
        <v>0</v>
      </c>
      <c r="BO89" s="3237"/>
      <c r="BS89" s="3235">
        <f t="shared" si="192"/>
        <v>0</v>
      </c>
      <c r="BT89" s="3236">
        <f t="shared" si="193"/>
        <v>0</v>
      </c>
      <c r="BU89" s="3236">
        <f t="shared" si="194"/>
        <v>0</v>
      </c>
      <c r="BV89" s="3236">
        <f t="shared" si="195"/>
        <v>0</v>
      </c>
      <c r="BW89" s="3237"/>
      <c r="CA89" s="3235">
        <f t="shared" si="196"/>
        <v>0</v>
      </c>
      <c r="CB89" s="3236">
        <f t="shared" si="197"/>
        <v>0</v>
      </c>
      <c r="CC89" s="3236">
        <f t="shared" si="198"/>
        <v>0</v>
      </c>
      <c r="CD89" s="3236">
        <f t="shared" si="199"/>
        <v>0</v>
      </c>
      <c r="CE89" s="3237"/>
      <c r="CI89" s="3235">
        <f t="shared" si="200"/>
        <v>0</v>
      </c>
      <c r="CJ89" s="3236">
        <f t="shared" si="201"/>
        <v>0</v>
      </c>
      <c r="CK89" s="3236">
        <f t="shared" si="202"/>
        <v>0</v>
      </c>
      <c r="CL89" s="3236">
        <f t="shared" si="203"/>
        <v>0</v>
      </c>
      <c r="CM89" s="3237"/>
      <c r="CQ89" s="3235">
        <f t="shared" si="204"/>
        <v>0</v>
      </c>
      <c r="CR89" s="3236">
        <f t="shared" si="205"/>
        <v>0</v>
      </c>
      <c r="CS89" s="3236">
        <f t="shared" si="206"/>
        <v>0</v>
      </c>
      <c r="CT89" s="3236">
        <f t="shared" si="207"/>
        <v>0</v>
      </c>
      <c r="CU89" s="3237"/>
      <c r="CY89" s="3235">
        <f t="shared" si="208"/>
        <v>0</v>
      </c>
      <c r="CZ89" s="3236">
        <f t="shared" si="209"/>
        <v>0</v>
      </c>
      <c r="DA89" s="3236">
        <f t="shared" si="210"/>
        <v>0</v>
      </c>
      <c r="DB89" s="3236">
        <f t="shared" si="211"/>
        <v>0</v>
      </c>
      <c r="DC89" s="3237"/>
      <c r="DG89" s="3235">
        <f t="shared" si="212"/>
        <v>0</v>
      </c>
      <c r="DH89" s="3236">
        <f t="shared" si="213"/>
        <v>0</v>
      </c>
      <c r="DI89" s="3236">
        <f t="shared" si="214"/>
        <v>0</v>
      </c>
      <c r="DJ89" s="3236">
        <f t="shared" si="215"/>
        <v>0</v>
      </c>
      <c r="DK89" s="3237"/>
      <c r="DO89" s="3235">
        <f t="shared" si="216"/>
        <v>0</v>
      </c>
      <c r="DP89" s="3236">
        <f t="shared" si="217"/>
        <v>0</v>
      </c>
      <c r="DQ89" s="3236">
        <f t="shared" si="218"/>
        <v>0</v>
      </c>
      <c r="DR89" s="3236">
        <f t="shared" si="219"/>
        <v>0</v>
      </c>
      <c r="DS89" s="3237"/>
      <c r="DW89" s="3235">
        <f t="shared" si="220"/>
        <v>0</v>
      </c>
      <c r="DX89" s="3236">
        <f t="shared" si="221"/>
        <v>0</v>
      </c>
      <c r="DY89" s="3236">
        <f t="shared" si="222"/>
        <v>0</v>
      </c>
      <c r="DZ89" s="3236">
        <f t="shared" si="223"/>
        <v>0</v>
      </c>
      <c r="EA89" s="3237"/>
      <c r="EE89" s="3235">
        <f t="shared" si="224"/>
        <v>0</v>
      </c>
      <c r="EF89" s="3236">
        <f t="shared" si="225"/>
        <v>0</v>
      </c>
      <c r="EG89" s="3236">
        <f t="shared" si="226"/>
        <v>0</v>
      </c>
      <c r="EH89" s="3236">
        <f t="shared" si="227"/>
        <v>0</v>
      </c>
      <c r="EI89" s="3237"/>
      <c r="EM89" s="3235">
        <f t="shared" si="228"/>
        <v>0</v>
      </c>
      <c r="EN89" s="3236">
        <f t="shared" si="229"/>
        <v>0</v>
      </c>
      <c r="EO89" s="3236">
        <f t="shared" si="230"/>
        <v>0</v>
      </c>
      <c r="EP89" s="3236">
        <f t="shared" si="231"/>
        <v>0</v>
      </c>
      <c r="EQ89" s="3237"/>
      <c r="EU89" s="3235">
        <f t="shared" si="232"/>
        <v>0</v>
      </c>
      <c r="EV89" s="3236">
        <f t="shared" si="233"/>
        <v>0</v>
      </c>
      <c r="EW89" s="3236">
        <f t="shared" si="234"/>
        <v>0</v>
      </c>
      <c r="EX89" s="3236">
        <f t="shared" si="235"/>
        <v>0</v>
      </c>
      <c r="EY89" s="3237"/>
      <c r="FC89" s="3235">
        <f t="shared" si="236"/>
        <v>0</v>
      </c>
      <c r="FD89" s="3236">
        <f t="shared" si="237"/>
        <v>0</v>
      </c>
      <c r="FE89" s="3236">
        <f t="shared" si="238"/>
        <v>0</v>
      </c>
      <c r="FF89" s="3236">
        <f t="shared" si="239"/>
        <v>0</v>
      </c>
      <c r="FG89" s="3237"/>
      <c r="FK89" s="3235">
        <f t="shared" si="240"/>
        <v>0</v>
      </c>
      <c r="FL89" s="3236">
        <f t="shared" si="241"/>
        <v>0</v>
      </c>
      <c r="FM89" s="3236">
        <f t="shared" si="242"/>
        <v>0</v>
      </c>
      <c r="FN89" s="3236">
        <f t="shared" si="243"/>
        <v>0</v>
      </c>
      <c r="FO89" s="3237"/>
    </row>
    <row r="90" spans="1:171">
      <c r="A90" s="3477"/>
      <c r="B90" s="2097" t="s">
        <v>80</v>
      </c>
      <c r="C90" s="2464" t="s">
        <v>69</v>
      </c>
      <c r="D90" s="2464" t="s">
        <v>256</v>
      </c>
      <c r="E90" s="2424" t="str">
        <f>'Sch 1- Rate Base '!E90</f>
        <v>DIST</v>
      </c>
      <c r="F90" s="2171"/>
      <c r="G90" s="2424">
        <f>'Sch 1- Rate Base '!G90</f>
        <v>1060266765</v>
      </c>
      <c r="H90" s="2424">
        <f>'Sch 1- Rate Base '!H90</f>
        <v>0</v>
      </c>
      <c r="I90" s="2424">
        <f>'Sch 1- Rate Base '!I90</f>
        <v>0</v>
      </c>
      <c r="J90" s="3465">
        <f>'Sch 1- Rate Base '!J90</f>
        <v>1060266765</v>
      </c>
      <c r="K90" s="3205">
        <f t="shared" si="163"/>
        <v>1</v>
      </c>
      <c r="O90" s="3235">
        <f t="shared" si="164"/>
        <v>1060266765</v>
      </c>
      <c r="P90" s="3236">
        <f t="shared" si="165"/>
        <v>0</v>
      </c>
      <c r="Q90" s="3236">
        <f t="shared" si="166"/>
        <v>0</v>
      </c>
      <c r="R90" s="3236">
        <f t="shared" si="167"/>
        <v>1060266765</v>
      </c>
      <c r="S90" s="3237"/>
      <c r="W90" s="3235">
        <f t="shared" si="168"/>
        <v>1060266765</v>
      </c>
      <c r="X90" s="3236">
        <f t="shared" si="169"/>
        <v>0</v>
      </c>
      <c r="Y90" s="3236">
        <f t="shared" si="170"/>
        <v>0</v>
      </c>
      <c r="Z90" s="3236">
        <f t="shared" si="171"/>
        <v>1060266765</v>
      </c>
      <c r="AA90" s="3237"/>
      <c r="AE90" s="3235">
        <f t="shared" si="172"/>
        <v>1060266765</v>
      </c>
      <c r="AF90" s="3236">
        <f t="shared" si="173"/>
        <v>0</v>
      </c>
      <c r="AG90" s="3236">
        <f t="shared" si="174"/>
        <v>0</v>
      </c>
      <c r="AH90" s="3236">
        <f t="shared" si="175"/>
        <v>1060266765</v>
      </c>
      <c r="AI90" s="3237"/>
      <c r="AM90" s="3235">
        <f t="shared" si="176"/>
        <v>1060266765</v>
      </c>
      <c r="AN90" s="3236">
        <f t="shared" si="177"/>
        <v>0</v>
      </c>
      <c r="AO90" s="3236">
        <f t="shared" si="178"/>
        <v>0</v>
      </c>
      <c r="AP90" s="3236">
        <f t="shared" si="179"/>
        <v>1060266765</v>
      </c>
      <c r="AQ90" s="3237"/>
      <c r="AU90" s="3235">
        <f t="shared" si="180"/>
        <v>1060266765</v>
      </c>
      <c r="AV90" s="3236">
        <f t="shared" si="181"/>
        <v>0</v>
      </c>
      <c r="AW90" s="3236">
        <f t="shared" si="182"/>
        <v>0</v>
      </c>
      <c r="AX90" s="3236">
        <f t="shared" si="183"/>
        <v>1060266765</v>
      </c>
      <c r="AY90" s="3237"/>
      <c r="BC90" s="3235">
        <f t="shared" si="184"/>
        <v>1060266765</v>
      </c>
      <c r="BD90" s="3236">
        <f t="shared" si="185"/>
        <v>0</v>
      </c>
      <c r="BE90" s="3236">
        <f t="shared" si="186"/>
        <v>0</v>
      </c>
      <c r="BF90" s="3236">
        <f t="shared" si="187"/>
        <v>1060266765</v>
      </c>
      <c r="BG90" s="3237"/>
      <c r="BK90" s="3235">
        <f t="shared" si="188"/>
        <v>1060266765</v>
      </c>
      <c r="BL90" s="3236">
        <f t="shared" si="189"/>
        <v>0</v>
      </c>
      <c r="BM90" s="3236">
        <f t="shared" si="190"/>
        <v>0</v>
      </c>
      <c r="BN90" s="3236">
        <f t="shared" si="191"/>
        <v>1060266765</v>
      </c>
      <c r="BO90" s="3237"/>
      <c r="BS90" s="3235">
        <f t="shared" si="192"/>
        <v>1060266765</v>
      </c>
      <c r="BT90" s="3236">
        <f t="shared" si="193"/>
        <v>0</v>
      </c>
      <c r="BU90" s="3236">
        <f t="shared" si="194"/>
        <v>0</v>
      </c>
      <c r="BV90" s="3236">
        <f t="shared" si="195"/>
        <v>1060266765</v>
      </c>
      <c r="BW90" s="3237"/>
      <c r="CA90" s="3235">
        <f t="shared" si="196"/>
        <v>1060266765</v>
      </c>
      <c r="CB90" s="3236">
        <f t="shared" si="197"/>
        <v>0</v>
      </c>
      <c r="CC90" s="3236">
        <f t="shared" si="198"/>
        <v>0</v>
      </c>
      <c r="CD90" s="3236">
        <f t="shared" si="199"/>
        <v>1060266765</v>
      </c>
      <c r="CE90" s="3237"/>
      <c r="CI90" s="3235">
        <f t="shared" si="200"/>
        <v>1060266765</v>
      </c>
      <c r="CJ90" s="3236">
        <f t="shared" si="201"/>
        <v>0</v>
      </c>
      <c r="CK90" s="3236">
        <f t="shared" si="202"/>
        <v>0</v>
      </c>
      <c r="CL90" s="3236">
        <f t="shared" si="203"/>
        <v>1060266765</v>
      </c>
      <c r="CM90" s="3237"/>
      <c r="CQ90" s="3235">
        <f t="shared" si="204"/>
        <v>1060266765</v>
      </c>
      <c r="CR90" s="3236">
        <f t="shared" si="205"/>
        <v>0</v>
      </c>
      <c r="CS90" s="3236">
        <f t="shared" si="206"/>
        <v>0</v>
      </c>
      <c r="CT90" s="3236">
        <f t="shared" si="207"/>
        <v>1060266765</v>
      </c>
      <c r="CU90" s="3237"/>
      <c r="CY90" s="3235">
        <f t="shared" si="208"/>
        <v>1060266765</v>
      </c>
      <c r="CZ90" s="3236">
        <f t="shared" si="209"/>
        <v>0</v>
      </c>
      <c r="DA90" s="3236">
        <f t="shared" si="210"/>
        <v>0</v>
      </c>
      <c r="DB90" s="3236">
        <f t="shared" si="211"/>
        <v>1060266765</v>
      </c>
      <c r="DC90" s="3237"/>
      <c r="DG90" s="3235">
        <f t="shared" si="212"/>
        <v>1060266765</v>
      </c>
      <c r="DH90" s="3236">
        <f t="shared" si="213"/>
        <v>0</v>
      </c>
      <c r="DI90" s="3236">
        <f t="shared" si="214"/>
        <v>0</v>
      </c>
      <c r="DJ90" s="3236">
        <f t="shared" si="215"/>
        <v>1060266765</v>
      </c>
      <c r="DK90" s="3237"/>
      <c r="DO90" s="3235">
        <f t="shared" si="216"/>
        <v>1060266765</v>
      </c>
      <c r="DP90" s="3236">
        <f t="shared" si="217"/>
        <v>0</v>
      </c>
      <c r="DQ90" s="3236">
        <f t="shared" si="218"/>
        <v>0</v>
      </c>
      <c r="DR90" s="3236">
        <f t="shared" si="219"/>
        <v>1060266765</v>
      </c>
      <c r="DS90" s="3237"/>
      <c r="DW90" s="3235">
        <f t="shared" si="220"/>
        <v>1060266765</v>
      </c>
      <c r="DX90" s="3236">
        <f t="shared" si="221"/>
        <v>0</v>
      </c>
      <c r="DY90" s="3236">
        <f t="shared" si="222"/>
        <v>0</v>
      </c>
      <c r="DZ90" s="3236">
        <f t="shared" si="223"/>
        <v>1060266765</v>
      </c>
      <c r="EA90" s="3237"/>
      <c r="EE90" s="3235">
        <f t="shared" si="224"/>
        <v>1060266765</v>
      </c>
      <c r="EF90" s="3236">
        <f t="shared" si="225"/>
        <v>0</v>
      </c>
      <c r="EG90" s="3236">
        <f t="shared" si="226"/>
        <v>0</v>
      </c>
      <c r="EH90" s="3236">
        <f t="shared" si="227"/>
        <v>1060266765</v>
      </c>
      <c r="EI90" s="3237"/>
      <c r="EM90" s="3235">
        <f t="shared" si="228"/>
        <v>1060266765</v>
      </c>
      <c r="EN90" s="3236">
        <f t="shared" si="229"/>
        <v>0</v>
      </c>
      <c r="EO90" s="3236">
        <f t="shared" si="230"/>
        <v>0</v>
      </c>
      <c r="EP90" s="3236">
        <f t="shared" si="231"/>
        <v>1060266765</v>
      </c>
      <c r="EQ90" s="3237"/>
      <c r="EU90" s="3235">
        <f t="shared" si="232"/>
        <v>1060266765</v>
      </c>
      <c r="EV90" s="3236">
        <f t="shared" si="233"/>
        <v>0</v>
      </c>
      <c r="EW90" s="3236">
        <f t="shared" si="234"/>
        <v>0</v>
      </c>
      <c r="EX90" s="3236">
        <f t="shared" si="235"/>
        <v>1060266765</v>
      </c>
      <c r="EY90" s="3237"/>
      <c r="FC90" s="3235">
        <f t="shared" si="236"/>
        <v>1060266765</v>
      </c>
      <c r="FD90" s="3236">
        <f t="shared" si="237"/>
        <v>0</v>
      </c>
      <c r="FE90" s="3236">
        <f t="shared" si="238"/>
        <v>0</v>
      </c>
      <c r="FF90" s="3236">
        <f t="shared" si="239"/>
        <v>1060266765</v>
      </c>
      <c r="FG90" s="3237"/>
      <c r="FK90" s="3235">
        <f t="shared" si="240"/>
        <v>1060266765</v>
      </c>
      <c r="FL90" s="3236">
        <f t="shared" si="241"/>
        <v>0</v>
      </c>
      <c r="FM90" s="3236">
        <f t="shared" si="242"/>
        <v>0</v>
      </c>
      <c r="FN90" s="3236">
        <f t="shared" si="243"/>
        <v>1060266765</v>
      </c>
      <c r="FO90" s="3237"/>
    </row>
    <row r="91" spans="1:171">
      <c r="A91" s="3477"/>
      <c r="B91" s="2097" t="s">
        <v>222</v>
      </c>
      <c r="C91" s="2464" t="s">
        <v>223</v>
      </c>
      <c r="D91" s="2464"/>
      <c r="E91" s="2424" t="str">
        <f>'Sch 1- Rate Base '!E91</f>
        <v>DIRECT</v>
      </c>
      <c r="F91" s="2171"/>
      <c r="G91" s="2424">
        <f>'Sch 1- Rate Base '!G91</f>
        <v>800158907.49414837</v>
      </c>
      <c r="H91" s="2424">
        <f>'Sch 1- Rate Base '!H91</f>
        <v>263365769.24809498</v>
      </c>
      <c r="I91" s="2424">
        <f>'Sch 1- Rate Base '!I91</f>
        <v>0</v>
      </c>
      <c r="J91" s="3465">
        <f>'Sch 1- Rate Base '!J91</f>
        <v>536793138.24605334</v>
      </c>
      <c r="K91" s="3205">
        <f t="shared" si="163"/>
        <v>0</v>
      </c>
      <c r="O91" s="3235">
        <f t="shared" si="164"/>
        <v>800158907.49414837</v>
      </c>
      <c r="P91" s="3236">
        <f t="shared" si="165"/>
        <v>263365769.24809498</v>
      </c>
      <c r="Q91" s="3236">
        <f t="shared" si="166"/>
        <v>0</v>
      </c>
      <c r="R91" s="3236">
        <f t="shared" si="167"/>
        <v>536793138.2460534</v>
      </c>
      <c r="S91" s="3237"/>
      <c r="W91" s="3235">
        <f t="shared" si="168"/>
        <v>800158907.49414837</v>
      </c>
      <c r="X91" s="3236">
        <f t="shared" si="169"/>
        <v>263365769.24809498</v>
      </c>
      <c r="Y91" s="3236">
        <f t="shared" si="170"/>
        <v>0</v>
      </c>
      <c r="Z91" s="3236">
        <f t="shared" si="171"/>
        <v>536793138.2460534</v>
      </c>
      <c r="AA91" s="3237"/>
      <c r="AE91" s="3235">
        <f t="shared" si="172"/>
        <v>800158907.49414837</v>
      </c>
      <c r="AF91" s="3236">
        <f t="shared" si="173"/>
        <v>263365769.24809498</v>
      </c>
      <c r="AG91" s="3236">
        <f t="shared" si="174"/>
        <v>0</v>
      </c>
      <c r="AH91" s="3236">
        <f t="shared" si="175"/>
        <v>536793138.2460534</v>
      </c>
      <c r="AI91" s="3237"/>
      <c r="AM91" s="3235">
        <f t="shared" si="176"/>
        <v>800158907.49414837</v>
      </c>
      <c r="AN91" s="3236">
        <f t="shared" si="177"/>
        <v>263365769.24809498</v>
      </c>
      <c r="AO91" s="3236">
        <f t="shared" si="178"/>
        <v>0</v>
      </c>
      <c r="AP91" s="3236">
        <f t="shared" si="179"/>
        <v>536793138.2460534</v>
      </c>
      <c r="AQ91" s="3237"/>
      <c r="AU91" s="3235">
        <f t="shared" si="180"/>
        <v>800158907.49414837</v>
      </c>
      <c r="AV91" s="3236">
        <f t="shared" si="181"/>
        <v>263365769.24809498</v>
      </c>
      <c r="AW91" s="3236">
        <f t="shared" si="182"/>
        <v>0</v>
      </c>
      <c r="AX91" s="3236">
        <f t="shared" si="183"/>
        <v>536793138.2460534</v>
      </c>
      <c r="AY91" s="3237"/>
      <c r="BC91" s="3235">
        <f t="shared" si="184"/>
        <v>800158907.49414837</v>
      </c>
      <c r="BD91" s="3236">
        <f t="shared" si="185"/>
        <v>263365769.24809498</v>
      </c>
      <c r="BE91" s="3236">
        <f t="shared" si="186"/>
        <v>0</v>
      </c>
      <c r="BF91" s="3236">
        <f t="shared" si="187"/>
        <v>536793138.2460534</v>
      </c>
      <c r="BG91" s="3237"/>
      <c r="BK91" s="3235">
        <f t="shared" si="188"/>
        <v>800158907.49414837</v>
      </c>
      <c r="BL91" s="3236">
        <f t="shared" si="189"/>
        <v>263365769.24809498</v>
      </c>
      <c r="BM91" s="3236">
        <f t="shared" si="190"/>
        <v>0</v>
      </c>
      <c r="BN91" s="3236">
        <f t="shared" si="191"/>
        <v>536793138.2460534</v>
      </c>
      <c r="BO91" s="3237"/>
      <c r="BS91" s="3235">
        <f t="shared" si="192"/>
        <v>800158907.49414837</v>
      </c>
      <c r="BT91" s="3236">
        <f t="shared" si="193"/>
        <v>263365769.24809498</v>
      </c>
      <c r="BU91" s="3236">
        <f t="shared" si="194"/>
        <v>0</v>
      </c>
      <c r="BV91" s="3236">
        <f t="shared" si="195"/>
        <v>536793138.2460534</v>
      </c>
      <c r="BW91" s="3237"/>
      <c r="CA91" s="3235">
        <f t="shared" si="196"/>
        <v>800158907.49414837</v>
      </c>
      <c r="CB91" s="3236">
        <f t="shared" si="197"/>
        <v>263365769.24809498</v>
      </c>
      <c r="CC91" s="3236">
        <f t="shared" si="198"/>
        <v>0</v>
      </c>
      <c r="CD91" s="3236">
        <f t="shared" si="199"/>
        <v>536793138.2460534</v>
      </c>
      <c r="CE91" s="3237"/>
      <c r="CI91" s="3235">
        <f t="shared" si="200"/>
        <v>800158907.49414837</v>
      </c>
      <c r="CJ91" s="3236">
        <f t="shared" si="201"/>
        <v>263365769.24809498</v>
      </c>
      <c r="CK91" s="3236">
        <f t="shared" si="202"/>
        <v>0</v>
      </c>
      <c r="CL91" s="3236">
        <f t="shared" si="203"/>
        <v>536793138.2460534</v>
      </c>
      <c r="CM91" s="3237"/>
      <c r="CQ91" s="3235">
        <f t="shared" si="204"/>
        <v>800158907.49414837</v>
      </c>
      <c r="CR91" s="3236">
        <f t="shared" si="205"/>
        <v>263365769.24809498</v>
      </c>
      <c r="CS91" s="3236">
        <f t="shared" si="206"/>
        <v>0</v>
      </c>
      <c r="CT91" s="3236">
        <f t="shared" si="207"/>
        <v>536793138.2460534</v>
      </c>
      <c r="CU91" s="3237"/>
      <c r="CY91" s="3235">
        <f t="shared" si="208"/>
        <v>800158907.49414837</v>
      </c>
      <c r="CZ91" s="3236">
        <f t="shared" si="209"/>
        <v>263365769.24809498</v>
      </c>
      <c r="DA91" s="3236">
        <f t="shared" si="210"/>
        <v>0</v>
      </c>
      <c r="DB91" s="3236">
        <f t="shared" si="211"/>
        <v>536793138.2460534</v>
      </c>
      <c r="DC91" s="3237"/>
      <c r="DG91" s="3235">
        <f t="shared" si="212"/>
        <v>800158907.49414837</v>
      </c>
      <c r="DH91" s="3236">
        <f t="shared" si="213"/>
        <v>263365769.24809498</v>
      </c>
      <c r="DI91" s="3236">
        <f t="shared" si="214"/>
        <v>0</v>
      </c>
      <c r="DJ91" s="3236">
        <f t="shared" si="215"/>
        <v>536793138.2460534</v>
      </c>
      <c r="DK91" s="3237"/>
      <c r="DO91" s="3235">
        <f t="shared" si="216"/>
        <v>800158907.49414837</v>
      </c>
      <c r="DP91" s="3236">
        <f t="shared" si="217"/>
        <v>263365769.24809498</v>
      </c>
      <c r="DQ91" s="3236">
        <f t="shared" si="218"/>
        <v>0</v>
      </c>
      <c r="DR91" s="3236">
        <f t="shared" si="219"/>
        <v>536793138.2460534</v>
      </c>
      <c r="DS91" s="3237"/>
      <c r="DW91" s="3235">
        <f t="shared" si="220"/>
        <v>800158907.49414837</v>
      </c>
      <c r="DX91" s="3236">
        <f t="shared" si="221"/>
        <v>263365769.24809498</v>
      </c>
      <c r="DY91" s="3236">
        <f t="shared" si="222"/>
        <v>0</v>
      </c>
      <c r="DZ91" s="3236">
        <f t="shared" si="223"/>
        <v>536793138.2460534</v>
      </c>
      <c r="EA91" s="3237"/>
      <c r="EE91" s="3235">
        <f t="shared" si="224"/>
        <v>800158907.49414837</v>
      </c>
      <c r="EF91" s="3236">
        <f t="shared" si="225"/>
        <v>263365769.24809498</v>
      </c>
      <c r="EG91" s="3236">
        <f t="shared" si="226"/>
        <v>0</v>
      </c>
      <c r="EH91" s="3236">
        <f t="shared" si="227"/>
        <v>536793138.2460534</v>
      </c>
      <c r="EI91" s="3237"/>
      <c r="EM91" s="3235">
        <f t="shared" si="228"/>
        <v>800158907.49414837</v>
      </c>
      <c r="EN91" s="3236">
        <f t="shared" si="229"/>
        <v>263365769.24809498</v>
      </c>
      <c r="EO91" s="3236">
        <f t="shared" si="230"/>
        <v>0</v>
      </c>
      <c r="EP91" s="3236">
        <f t="shared" si="231"/>
        <v>536793138.2460534</v>
      </c>
      <c r="EQ91" s="3237"/>
      <c r="EU91" s="3235">
        <f t="shared" si="232"/>
        <v>800158907.49414837</v>
      </c>
      <c r="EV91" s="3236">
        <f t="shared" si="233"/>
        <v>263365769.24809498</v>
      </c>
      <c r="EW91" s="3236">
        <f t="shared" si="234"/>
        <v>0</v>
      </c>
      <c r="EX91" s="3236">
        <f t="shared" si="235"/>
        <v>536793138.2460534</v>
      </c>
      <c r="EY91" s="3237"/>
      <c r="FC91" s="3235">
        <f t="shared" si="236"/>
        <v>800158907.49414837</v>
      </c>
      <c r="FD91" s="3236">
        <f t="shared" si="237"/>
        <v>263365769.24809498</v>
      </c>
      <c r="FE91" s="3236">
        <f t="shared" si="238"/>
        <v>0</v>
      </c>
      <c r="FF91" s="3236">
        <f t="shared" si="239"/>
        <v>536793138.2460534</v>
      </c>
      <c r="FG91" s="3237"/>
      <c r="FK91" s="3235">
        <f t="shared" si="240"/>
        <v>800158907.49414837</v>
      </c>
      <c r="FL91" s="3236">
        <f t="shared" si="241"/>
        <v>263365769.24809498</v>
      </c>
      <c r="FM91" s="3236">
        <f t="shared" si="242"/>
        <v>0</v>
      </c>
      <c r="FN91" s="3236">
        <f t="shared" si="243"/>
        <v>536793138.2460534</v>
      </c>
      <c r="FO91" s="3237"/>
    </row>
    <row r="92" spans="1:171">
      <c r="A92" s="3477"/>
      <c r="B92" s="2097" t="s">
        <v>71</v>
      </c>
      <c r="C92" s="2464" t="s">
        <v>69</v>
      </c>
      <c r="D92" s="2464">
        <v>114</v>
      </c>
      <c r="E92" s="2424" t="str">
        <f>'Sch 1- Rate Base '!E92</f>
        <v>DIRECT</v>
      </c>
      <c r="F92" s="2171"/>
      <c r="G92" s="2424">
        <f>'Sch 1- Rate Base '!G92</f>
        <v>282791675</v>
      </c>
      <c r="H92" s="2424">
        <f>'Sch 1- Rate Base '!H92</f>
        <v>281543144.61000001</v>
      </c>
      <c r="I92" s="2424">
        <f>'Sch 1- Rate Base '!I92</f>
        <v>0</v>
      </c>
      <c r="J92" s="3465">
        <f>'Sch 1- Rate Base '!J92</f>
        <v>1248530.26</v>
      </c>
      <c r="K92" s="3205">
        <f t="shared" si="163"/>
        <v>0</v>
      </c>
      <c r="O92" s="3235">
        <f t="shared" si="164"/>
        <v>282791675</v>
      </c>
      <c r="P92" s="3236">
        <f t="shared" si="165"/>
        <v>281543144.61000001</v>
      </c>
      <c r="Q92" s="3236">
        <f t="shared" si="166"/>
        <v>0</v>
      </c>
      <c r="R92" s="3236">
        <f t="shared" si="167"/>
        <v>1248530.3899999857</v>
      </c>
      <c r="S92" s="3237"/>
      <c r="W92" s="3235">
        <f t="shared" si="168"/>
        <v>282791675</v>
      </c>
      <c r="X92" s="3236">
        <f t="shared" si="169"/>
        <v>281543144.61000001</v>
      </c>
      <c r="Y92" s="3236">
        <f t="shared" si="170"/>
        <v>0</v>
      </c>
      <c r="Z92" s="3236">
        <f t="shared" si="171"/>
        <v>1248530.3899999857</v>
      </c>
      <c r="AA92" s="3237"/>
      <c r="AE92" s="3235">
        <f t="shared" si="172"/>
        <v>282791675</v>
      </c>
      <c r="AF92" s="3236">
        <f t="shared" si="173"/>
        <v>281543144.61000001</v>
      </c>
      <c r="AG92" s="3236">
        <f t="shared" si="174"/>
        <v>0</v>
      </c>
      <c r="AH92" s="3236">
        <f t="shared" si="175"/>
        <v>1248530.3899999857</v>
      </c>
      <c r="AI92" s="3237"/>
      <c r="AM92" s="3235">
        <f t="shared" si="176"/>
        <v>282791675</v>
      </c>
      <c r="AN92" s="3236">
        <f t="shared" si="177"/>
        <v>281543144.61000001</v>
      </c>
      <c r="AO92" s="3236">
        <f t="shared" si="178"/>
        <v>0</v>
      </c>
      <c r="AP92" s="3236">
        <f t="shared" si="179"/>
        <v>1248530.3899999857</v>
      </c>
      <c r="AQ92" s="3237"/>
      <c r="AU92" s="3235">
        <f t="shared" si="180"/>
        <v>282791675</v>
      </c>
      <c r="AV92" s="3236">
        <f t="shared" si="181"/>
        <v>281543144.61000001</v>
      </c>
      <c r="AW92" s="3236">
        <f t="shared" si="182"/>
        <v>0</v>
      </c>
      <c r="AX92" s="3236">
        <f t="shared" si="183"/>
        <v>1248530.3899999857</v>
      </c>
      <c r="AY92" s="3237"/>
      <c r="BC92" s="3235">
        <f t="shared" si="184"/>
        <v>282791675</v>
      </c>
      <c r="BD92" s="3236">
        <f t="shared" si="185"/>
        <v>281543144.61000001</v>
      </c>
      <c r="BE92" s="3236">
        <f t="shared" si="186"/>
        <v>0</v>
      </c>
      <c r="BF92" s="3236">
        <f t="shared" si="187"/>
        <v>1248530.3899999857</v>
      </c>
      <c r="BG92" s="3237"/>
      <c r="BK92" s="3235">
        <f t="shared" si="188"/>
        <v>282791675</v>
      </c>
      <c r="BL92" s="3236">
        <f t="shared" si="189"/>
        <v>281543144.61000001</v>
      </c>
      <c r="BM92" s="3236">
        <f t="shared" si="190"/>
        <v>0</v>
      </c>
      <c r="BN92" s="3236">
        <f t="shared" si="191"/>
        <v>1248530.3899999857</v>
      </c>
      <c r="BO92" s="3237"/>
      <c r="BS92" s="3235">
        <f t="shared" si="192"/>
        <v>282791675</v>
      </c>
      <c r="BT92" s="3236">
        <f t="shared" si="193"/>
        <v>281543144.61000001</v>
      </c>
      <c r="BU92" s="3236">
        <f t="shared" si="194"/>
        <v>0</v>
      </c>
      <c r="BV92" s="3236">
        <f t="shared" si="195"/>
        <v>1248530.3899999857</v>
      </c>
      <c r="BW92" s="3237"/>
      <c r="CA92" s="3235">
        <f t="shared" si="196"/>
        <v>282791675</v>
      </c>
      <c r="CB92" s="3236">
        <f t="shared" si="197"/>
        <v>281543144.61000001</v>
      </c>
      <c r="CC92" s="3236">
        <f t="shared" si="198"/>
        <v>0</v>
      </c>
      <c r="CD92" s="3236">
        <f t="shared" si="199"/>
        <v>1248530.3899999857</v>
      </c>
      <c r="CE92" s="3237"/>
      <c r="CI92" s="3235">
        <f t="shared" si="200"/>
        <v>282791675</v>
      </c>
      <c r="CJ92" s="3236">
        <f t="shared" si="201"/>
        <v>281543144.61000001</v>
      </c>
      <c r="CK92" s="3236">
        <f t="shared" si="202"/>
        <v>0</v>
      </c>
      <c r="CL92" s="3236">
        <f t="shared" si="203"/>
        <v>1248530.3899999857</v>
      </c>
      <c r="CM92" s="3237"/>
      <c r="CQ92" s="3235">
        <f t="shared" si="204"/>
        <v>282791675</v>
      </c>
      <c r="CR92" s="3236">
        <f t="shared" si="205"/>
        <v>281543144.61000001</v>
      </c>
      <c r="CS92" s="3236">
        <f t="shared" si="206"/>
        <v>0</v>
      </c>
      <c r="CT92" s="3236">
        <f t="shared" si="207"/>
        <v>1248530.3899999857</v>
      </c>
      <c r="CU92" s="3237"/>
      <c r="CY92" s="3235">
        <f t="shared" si="208"/>
        <v>282791675</v>
      </c>
      <c r="CZ92" s="3236">
        <f t="shared" si="209"/>
        <v>281543144.61000001</v>
      </c>
      <c r="DA92" s="3236">
        <f t="shared" si="210"/>
        <v>0</v>
      </c>
      <c r="DB92" s="3236">
        <f t="shared" si="211"/>
        <v>1248530.3899999857</v>
      </c>
      <c r="DC92" s="3237"/>
      <c r="DG92" s="3235">
        <f t="shared" si="212"/>
        <v>282791675</v>
      </c>
      <c r="DH92" s="3236">
        <f t="shared" si="213"/>
        <v>281543144.61000001</v>
      </c>
      <c r="DI92" s="3236">
        <f t="shared" si="214"/>
        <v>0</v>
      </c>
      <c r="DJ92" s="3236">
        <f t="shared" si="215"/>
        <v>1248530.3899999857</v>
      </c>
      <c r="DK92" s="3237"/>
      <c r="DO92" s="3235">
        <f t="shared" si="216"/>
        <v>282791675</v>
      </c>
      <c r="DP92" s="3236">
        <f t="shared" si="217"/>
        <v>281543144.61000001</v>
      </c>
      <c r="DQ92" s="3236">
        <f t="shared" si="218"/>
        <v>0</v>
      </c>
      <c r="DR92" s="3236">
        <f t="shared" si="219"/>
        <v>1248530.3899999857</v>
      </c>
      <c r="DS92" s="3237"/>
      <c r="DW92" s="3235">
        <f t="shared" si="220"/>
        <v>282791675</v>
      </c>
      <c r="DX92" s="3236">
        <f t="shared" si="221"/>
        <v>281543144.61000001</v>
      </c>
      <c r="DY92" s="3236">
        <f t="shared" si="222"/>
        <v>0</v>
      </c>
      <c r="DZ92" s="3236">
        <f t="shared" si="223"/>
        <v>1248530.3899999857</v>
      </c>
      <c r="EA92" s="3237"/>
      <c r="EE92" s="3235">
        <f t="shared" si="224"/>
        <v>282791675</v>
      </c>
      <c r="EF92" s="3236">
        <f t="shared" si="225"/>
        <v>281543144.61000001</v>
      </c>
      <c r="EG92" s="3236">
        <f t="shared" si="226"/>
        <v>0</v>
      </c>
      <c r="EH92" s="3236">
        <f t="shared" si="227"/>
        <v>1248530.3899999857</v>
      </c>
      <c r="EI92" s="3237"/>
      <c r="EM92" s="3235">
        <f t="shared" si="228"/>
        <v>282791675</v>
      </c>
      <c r="EN92" s="3236">
        <f t="shared" si="229"/>
        <v>281543144.61000001</v>
      </c>
      <c r="EO92" s="3236">
        <f t="shared" si="230"/>
        <v>0</v>
      </c>
      <c r="EP92" s="3236">
        <f t="shared" si="231"/>
        <v>1248530.3899999857</v>
      </c>
      <c r="EQ92" s="3237"/>
      <c r="EU92" s="3235">
        <f t="shared" si="232"/>
        <v>282791675</v>
      </c>
      <c r="EV92" s="3236">
        <f t="shared" si="233"/>
        <v>281543144.61000001</v>
      </c>
      <c r="EW92" s="3236">
        <f t="shared" si="234"/>
        <v>0</v>
      </c>
      <c r="EX92" s="3236">
        <f t="shared" si="235"/>
        <v>1248530.3899999857</v>
      </c>
      <c r="EY92" s="3237"/>
      <c r="FC92" s="3235">
        <f t="shared" si="236"/>
        <v>282791675</v>
      </c>
      <c r="FD92" s="3236">
        <f t="shared" si="237"/>
        <v>281543144.61000001</v>
      </c>
      <c r="FE92" s="3236">
        <f t="shared" si="238"/>
        <v>0</v>
      </c>
      <c r="FF92" s="3236">
        <f t="shared" si="239"/>
        <v>1248530.3899999857</v>
      </c>
      <c r="FG92" s="3237"/>
      <c r="FK92" s="3235">
        <f t="shared" si="240"/>
        <v>282791675</v>
      </c>
      <c r="FL92" s="3236">
        <f t="shared" si="241"/>
        <v>281543144.61000001</v>
      </c>
      <c r="FM92" s="3236">
        <f t="shared" si="242"/>
        <v>0</v>
      </c>
      <c r="FN92" s="3236">
        <f t="shared" si="243"/>
        <v>1248530.3899999857</v>
      </c>
      <c r="FO92" s="3237"/>
    </row>
    <row r="93" spans="1:171">
      <c r="A93" s="3477"/>
      <c r="B93" s="3206" t="s">
        <v>104</v>
      </c>
      <c r="C93" s="3256"/>
      <c r="D93" s="3257"/>
      <c r="E93" s="3257"/>
      <c r="F93" s="3258"/>
      <c r="G93" s="3265">
        <f>SUM(G87:G92)</f>
        <v>2192532348.4941483</v>
      </c>
      <c r="H93" s="3265">
        <f>SUM(H87:H92)</f>
        <v>544908913.85809493</v>
      </c>
      <c r="I93" s="3265">
        <f>SUM(I87:I92)</f>
        <v>0</v>
      </c>
      <c r="J93" s="3474">
        <f>SUM(J87:J92)</f>
        <v>1647623434.5060532</v>
      </c>
      <c r="K93" s="3205"/>
      <c r="O93" s="3272">
        <f>SUM(O87:O92)</f>
        <v>2192532348.4941483</v>
      </c>
      <c r="P93" s="3272">
        <f>SUM(P87:P92)</f>
        <v>544908913.85809493</v>
      </c>
      <c r="Q93" s="3272">
        <f>SUM(Q87:Q92)</f>
        <v>0</v>
      </c>
      <c r="R93" s="3272">
        <f>SUM(R87:R92)</f>
        <v>1647623434.6360536</v>
      </c>
      <c r="S93" s="3237"/>
      <c r="W93" s="3272">
        <f>SUM(W87:W92)</f>
        <v>2192532348.4941483</v>
      </c>
      <c r="X93" s="3272">
        <f>SUM(X87:X92)</f>
        <v>544908913.85809493</v>
      </c>
      <c r="Y93" s="3272">
        <f>SUM(Y87:Y92)</f>
        <v>0</v>
      </c>
      <c r="Z93" s="3272">
        <f>SUM(Z87:Z92)</f>
        <v>1647623434.6360536</v>
      </c>
      <c r="AA93" s="3237"/>
      <c r="AE93" s="3272">
        <f>SUM(AE87:AE92)</f>
        <v>2192532348.4941483</v>
      </c>
      <c r="AF93" s="3272">
        <f>SUM(AF87:AF92)</f>
        <v>544908913.85809493</v>
      </c>
      <c r="AG93" s="3272">
        <f>SUM(AG87:AG92)</f>
        <v>0</v>
      </c>
      <c r="AH93" s="3272">
        <f>SUM(AH87:AH92)</f>
        <v>1647623434.6360536</v>
      </c>
      <c r="AI93" s="3237"/>
      <c r="AM93" s="3272">
        <f>SUM(AM87:AM92)</f>
        <v>2192532348.4941483</v>
      </c>
      <c r="AN93" s="3272">
        <f>SUM(AN87:AN92)</f>
        <v>544908913.85809493</v>
      </c>
      <c r="AO93" s="3272">
        <f>SUM(AO87:AO92)</f>
        <v>0</v>
      </c>
      <c r="AP93" s="3272">
        <f>SUM(AP87:AP92)</f>
        <v>1647623434.6360536</v>
      </c>
      <c r="AQ93" s="3237"/>
      <c r="AU93" s="3272">
        <f>SUM(AU87:AU92)</f>
        <v>2192532348.4941483</v>
      </c>
      <c r="AV93" s="3272">
        <f>SUM(AV87:AV92)</f>
        <v>544908913.85809493</v>
      </c>
      <c r="AW93" s="3272">
        <f>SUM(AW87:AW92)</f>
        <v>0</v>
      </c>
      <c r="AX93" s="3272">
        <f>SUM(AX87:AX92)</f>
        <v>1647623434.6360536</v>
      </c>
      <c r="AY93" s="3237"/>
      <c r="BC93" s="3272">
        <f>SUM(BC87:BC92)</f>
        <v>2192532348.4941483</v>
      </c>
      <c r="BD93" s="3272">
        <f>SUM(BD87:BD92)</f>
        <v>544908913.85809493</v>
      </c>
      <c r="BE93" s="3272">
        <f>SUM(BE87:BE92)</f>
        <v>0</v>
      </c>
      <c r="BF93" s="3272">
        <f>SUM(BF87:BF92)</f>
        <v>1647623434.6360536</v>
      </c>
      <c r="BG93" s="3237"/>
      <c r="BK93" s="3272">
        <f>SUM(BK87:BK92)</f>
        <v>2192532348.4941483</v>
      </c>
      <c r="BL93" s="3272">
        <f>SUM(BL87:BL92)</f>
        <v>544908913.85809493</v>
      </c>
      <c r="BM93" s="3272">
        <f>SUM(BM87:BM92)</f>
        <v>0</v>
      </c>
      <c r="BN93" s="3272">
        <f>SUM(BN87:BN92)</f>
        <v>1647623434.6360536</v>
      </c>
      <c r="BO93" s="3237"/>
      <c r="BS93" s="3272">
        <f>SUM(BS87:BS92)</f>
        <v>2192532348.4941483</v>
      </c>
      <c r="BT93" s="3272">
        <f>SUM(BT87:BT92)</f>
        <v>544908913.85809493</v>
      </c>
      <c r="BU93" s="3272">
        <f>SUM(BU87:BU92)</f>
        <v>0</v>
      </c>
      <c r="BV93" s="3272">
        <f>SUM(BV87:BV92)</f>
        <v>1647623434.6360536</v>
      </c>
      <c r="BW93" s="3237"/>
      <c r="CA93" s="3272">
        <f>SUM(CA87:CA92)</f>
        <v>2192532348.4941483</v>
      </c>
      <c r="CB93" s="3272">
        <f>SUM(CB87:CB92)</f>
        <v>544908913.85809493</v>
      </c>
      <c r="CC93" s="3272">
        <f>SUM(CC87:CC92)</f>
        <v>0</v>
      </c>
      <c r="CD93" s="3272">
        <f>SUM(CD87:CD92)</f>
        <v>1647623434.6360536</v>
      </c>
      <c r="CE93" s="3237"/>
      <c r="CI93" s="3272">
        <f>SUM(CI87:CI92)</f>
        <v>2192532348.4941483</v>
      </c>
      <c r="CJ93" s="3272">
        <f>SUM(CJ87:CJ92)</f>
        <v>544908913.85809493</v>
      </c>
      <c r="CK93" s="3272">
        <f>SUM(CK87:CK92)</f>
        <v>0</v>
      </c>
      <c r="CL93" s="3272">
        <f>SUM(CL87:CL92)</f>
        <v>1647623434.6360536</v>
      </c>
      <c r="CM93" s="3237"/>
      <c r="CQ93" s="3272">
        <f>SUM(CQ87:CQ92)</f>
        <v>2192532348.4941483</v>
      </c>
      <c r="CR93" s="3272">
        <f>SUM(CR87:CR92)</f>
        <v>544908913.85809493</v>
      </c>
      <c r="CS93" s="3272">
        <f>SUM(CS87:CS92)</f>
        <v>0</v>
      </c>
      <c r="CT93" s="3272">
        <f>SUM(CT87:CT92)</f>
        <v>1647623434.6360536</v>
      </c>
      <c r="CU93" s="3237"/>
      <c r="CY93" s="3272">
        <f>SUM(CY87:CY92)</f>
        <v>2192532348.4941483</v>
      </c>
      <c r="CZ93" s="3272">
        <f>SUM(CZ87:CZ92)</f>
        <v>544908913.85809493</v>
      </c>
      <c r="DA93" s="3272">
        <f>SUM(DA87:DA92)</f>
        <v>0</v>
      </c>
      <c r="DB93" s="3272">
        <f>SUM(DB87:DB92)</f>
        <v>1647623434.6360536</v>
      </c>
      <c r="DC93" s="3237"/>
      <c r="DG93" s="3272">
        <f>SUM(DG87:DG92)</f>
        <v>2192532348.4941483</v>
      </c>
      <c r="DH93" s="3272">
        <f>SUM(DH87:DH92)</f>
        <v>544908913.85809493</v>
      </c>
      <c r="DI93" s="3272">
        <f>SUM(DI87:DI92)</f>
        <v>0</v>
      </c>
      <c r="DJ93" s="3272">
        <f>SUM(DJ87:DJ92)</f>
        <v>1647623434.6360536</v>
      </c>
      <c r="DK93" s="3237"/>
      <c r="DO93" s="3272">
        <f>SUM(DO87:DO92)</f>
        <v>2192532348.4941483</v>
      </c>
      <c r="DP93" s="3272">
        <f>SUM(DP87:DP92)</f>
        <v>544908913.85809493</v>
      </c>
      <c r="DQ93" s="3272">
        <f>SUM(DQ87:DQ92)</f>
        <v>0</v>
      </c>
      <c r="DR93" s="3272">
        <f>SUM(DR87:DR92)</f>
        <v>1647623434.6360536</v>
      </c>
      <c r="DS93" s="3237"/>
      <c r="DW93" s="3272">
        <f>SUM(DW87:DW92)</f>
        <v>2192532348.4941483</v>
      </c>
      <c r="DX93" s="3272">
        <f>SUM(DX87:DX92)</f>
        <v>544908913.85809493</v>
      </c>
      <c r="DY93" s="3272">
        <f>SUM(DY87:DY92)</f>
        <v>0</v>
      </c>
      <c r="DZ93" s="3272">
        <f>SUM(DZ87:DZ92)</f>
        <v>1647623434.6360536</v>
      </c>
      <c r="EA93" s="3237"/>
      <c r="EE93" s="3272">
        <f>SUM(EE87:EE92)</f>
        <v>2192532348.4941483</v>
      </c>
      <c r="EF93" s="3272">
        <f>SUM(EF87:EF92)</f>
        <v>544908913.85809493</v>
      </c>
      <c r="EG93" s="3272">
        <f>SUM(EG87:EG92)</f>
        <v>0</v>
      </c>
      <c r="EH93" s="3272">
        <f>SUM(EH87:EH92)</f>
        <v>1647623434.6360536</v>
      </c>
      <c r="EI93" s="3237"/>
      <c r="EM93" s="3272">
        <f>SUM(EM87:EM92)</f>
        <v>2192532348.4941483</v>
      </c>
      <c r="EN93" s="3272">
        <f>SUM(EN87:EN92)</f>
        <v>544908913.85809493</v>
      </c>
      <c r="EO93" s="3272">
        <f>SUM(EO87:EO92)</f>
        <v>0</v>
      </c>
      <c r="EP93" s="3272">
        <f>SUM(EP87:EP92)</f>
        <v>1647623434.6360536</v>
      </c>
      <c r="EQ93" s="3237"/>
      <c r="EU93" s="3272">
        <f>SUM(EU87:EU92)</f>
        <v>2192532348.4941483</v>
      </c>
      <c r="EV93" s="3272">
        <f>SUM(EV87:EV92)</f>
        <v>544908913.85809493</v>
      </c>
      <c r="EW93" s="3272">
        <f>SUM(EW87:EW92)</f>
        <v>0</v>
      </c>
      <c r="EX93" s="3272">
        <f>SUM(EX87:EX92)</f>
        <v>1647623434.6360536</v>
      </c>
      <c r="EY93" s="3237"/>
      <c r="FC93" s="3272">
        <f>SUM(FC87:FC92)</f>
        <v>2192532348.4941483</v>
      </c>
      <c r="FD93" s="3272">
        <f>SUM(FD87:FD92)</f>
        <v>544908913.85809493</v>
      </c>
      <c r="FE93" s="3272">
        <f>SUM(FE87:FE92)</f>
        <v>0</v>
      </c>
      <c r="FF93" s="3272">
        <f>SUM(FF87:FF92)</f>
        <v>1647623434.6360536</v>
      </c>
      <c r="FG93" s="3237"/>
      <c r="FK93" s="3272">
        <f>SUM(FK87:FK92)</f>
        <v>2192532348.4941483</v>
      </c>
      <c r="FL93" s="3272">
        <f>SUM(FL87:FL92)</f>
        <v>544908913.85809493</v>
      </c>
      <c r="FM93" s="3272">
        <f>SUM(FM87:FM92)</f>
        <v>0</v>
      </c>
      <c r="FN93" s="3272">
        <f>SUM(FN87:FN92)</f>
        <v>1647623434.6360536</v>
      </c>
      <c r="FO93" s="3237"/>
    </row>
    <row r="94" spans="1:171">
      <c r="A94" s="3477"/>
      <c r="B94" s="3206"/>
      <c r="C94" s="3278"/>
      <c r="D94" s="2687"/>
      <c r="E94" s="2098"/>
      <c r="F94" s="2098"/>
      <c r="J94" s="3453"/>
      <c r="K94" s="3205"/>
      <c r="S94" s="3237"/>
      <c r="AA94" s="3237"/>
      <c r="AI94" s="3237"/>
      <c r="AQ94" s="3237"/>
      <c r="AY94" s="3237"/>
      <c r="BG94" s="3237"/>
      <c r="BO94" s="3237"/>
      <c r="BW94" s="3237"/>
      <c r="CE94" s="3237"/>
      <c r="CM94" s="3237"/>
      <c r="CU94" s="3237"/>
      <c r="DC94" s="3237"/>
      <c r="DK94" s="3237"/>
      <c r="DS94" s="3237"/>
      <c r="EA94" s="3237"/>
      <c r="EI94" s="3237"/>
      <c r="EQ94" s="3237"/>
      <c r="EY94" s="3237"/>
      <c r="FG94" s="3237"/>
      <c r="FO94" s="3237"/>
    </row>
    <row r="95" spans="1:171">
      <c r="A95" s="2235" t="s">
        <v>273</v>
      </c>
      <c r="B95" s="2290"/>
      <c r="C95" s="2112"/>
      <c r="D95" s="2098"/>
      <c r="E95" s="2098"/>
      <c r="F95" s="2098"/>
      <c r="G95" s="2236"/>
      <c r="H95" s="2236"/>
      <c r="I95" s="2236"/>
      <c r="J95" s="3478"/>
      <c r="K95" s="3205"/>
      <c r="O95" s="2747"/>
      <c r="S95" s="3237"/>
      <c r="W95" s="2747"/>
      <c r="AA95" s="3237"/>
      <c r="AE95" s="2747"/>
      <c r="AI95" s="3237"/>
      <c r="AM95" s="2747"/>
      <c r="AQ95" s="3237"/>
      <c r="AU95" s="2747"/>
      <c r="AY95" s="3237"/>
      <c r="BC95" s="2747"/>
      <c r="BG95" s="3237"/>
      <c r="BK95" s="2747"/>
      <c r="BO95" s="3237"/>
      <c r="BS95" s="2747"/>
      <c r="BW95" s="3237"/>
      <c r="CA95" s="2747"/>
      <c r="CE95" s="3237"/>
      <c r="CI95" s="2747"/>
      <c r="CM95" s="3237"/>
      <c r="CQ95" s="2747"/>
      <c r="CU95" s="3237"/>
      <c r="CY95" s="2747"/>
      <c r="DC95" s="3237"/>
      <c r="DG95" s="2747"/>
      <c r="DK95" s="3237"/>
      <c r="DO95" s="2747"/>
      <c r="DS95" s="3237"/>
      <c r="DW95" s="2747"/>
      <c r="EA95" s="3237"/>
      <c r="EE95" s="2747"/>
      <c r="EI95" s="3237"/>
      <c r="EM95" s="2747"/>
      <c r="EQ95" s="3237"/>
      <c r="EU95" s="2747"/>
      <c r="EY95" s="3237"/>
      <c r="FC95" s="2747"/>
      <c r="FG95" s="3237"/>
      <c r="FK95" s="2747"/>
      <c r="FO95" s="3237"/>
    </row>
    <row r="96" spans="1:171">
      <c r="A96" s="2092"/>
      <c r="B96" s="2185" t="s">
        <v>443</v>
      </c>
      <c r="C96" s="2464" t="s">
        <v>78</v>
      </c>
      <c r="D96" s="2464">
        <v>123</v>
      </c>
      <c r="E96" s="2424" t="str">
        <f>'Sch 1- Rate Base '!E96</f>
        <v>DIRECT</v>
      </c>
      <c r="F96" s="2171"/>
      <c r="G96" s="2424">
        <f>'Sch 1- Rate Base '!G96</f>
        <v>0</v>
      </c>
      <c r="H96" s="2424">
        <f>'Sch 1- Rate Base '!H96</f>
        <v>0</v>
      </c>
      <c r="I96" s="2424">
        <f>'Sch 1- Rate Base '!I96</f>
        <v>0</v>
      </c>
      <c r="J96" s="3465">
        <f>'Sch 1- Rate Base '!J96</f>
        <v>0</v>
      </c>
      <c r="K96" s="3205">
        <f>IF($E96="DIRECT",0,1)</f>
        <v>0</v>
      </c>
      <c r="O96" s="3235">
        <f>$G96</f>
        <v>0</v>
      </c>
      <c r="P96" s="3236">
        <f>VLOOKUP($E96,O$442:R$453,2,FALSE)*O96*($K96)+IF($G96&gt;0,($H96/$G96)*O96,0)*(1-$K96)</f>
        <v>0</v>
      </c>
      <c r="Q96" s="3236">
        <f>VLOOKUP($E96,O$442:R$453,3,FALSE)*O96*($K96)+IF($G96&gt;0,($I96/$G96)*O96,0)*(1-$K96)</f>
        <v>0</v>
      </c>
      <c r="R96" s="3236">
        <f>VLOOKUP($E96,O$442:R$453,4,FALSE)*O96*($K96)+(O96-P96-Q96)*(1-$K96)</f>
        <v>0</v>
      </c>
      <c r="S96" s="3237"/>
      <c r="W96" s="3235">
        <f>$G96</f>
        <v>0</v>
      </c>
      <c r="X96" s="3236">
        <f>VLOOKUP($E96,W$442:Z$453,2,FALSE)*W96*($K96)+IF($G96&gt;0,($H96/$G96)*W96,0)*(1-$K96)</f>
        <v>0</v>
      </c>
      <c r="Y96" s="3236">
        <f>VLOOKUP($E96,W$442:Z$453,3,FALSE)*W96*($K96)+IF($G96&gt;0,($I96/$G96)*W96,0)*(1-$K96)</f>
        <v>0</v>
      </c>
      <c r="Z96" s="3236">
        <f>VLOOKUP($E96,W$442:Z$453,4,FALSE)*W96*($K96)+(W96-X96-Y96)*(1-$K96)</f>
        <v>0</v>
      </c>
      <c r="AA96" s="3237"/>
      <c r="AE96" s="3235">
        <f>$G96</f>
        <v>0</v>
      </c>
      <c r="AF96" s="3236">
        <f>VLOOKUP($E96,AE$442:AH$453,2,FALSE)*AE96*($K96)+IF($G96&gt;0,($H96/$G96)*AE96,0)*(1-$K96)</f>
        <v>0</v>
      </c>
      <c r="AG96" s="3236">
        <f>VLOOKUP($E96,AE$442:AH$453,3,FALSE)*AE96*($K96)+IF($G96&gt;0,($I96/$G96)*AE96,0)*(1-$K96)</f>
        <v>0</v>
      </c>
      <c r="AH96" s="3236">
        <f>VLOOKUP($E96,AE$442:AH$453,4,FALSE)*AE96*($K96)+(AE96-AF96-AG96)*(1-$K96)</f>
        <v>0</v>
      </c>
      <c r="AI96" s="3237"/>
      <c r="AM96" s="3235">
        <f>$G96</f>
        <v>0</v>
      </c>
      <c r="AN96" s="3236">
        <f>VLOOKUP($E96,AM$442:AP$453,2,FALSE)*AM96*($K96)+IF($G96&gt;0,($H96/$G96)*AM96,0)*(1-$K96)</f>
        <v>0</v>
      </c>
      <c r="AO96" s="3236">
        <f>VLOOKUP($E96,AM$442:AP$453,3,FALSE)*AM96*($K96)+IF($G96&gt;0,($I96/$G96)*AM96,0)*(1-$K96)</f>
        <v>0</v>
      </c>
      <c r="AP96" s="3236">
        <f>VLOOKUP($E96,AM$442:AP$453,4,FALSE)*AM96*($K96)+(AM96-AN96-AO96)*(1-$K96)</f>
        <v>0</v>
      </c>
      <c r="AQ96" s="3237"/>
      <c r="AU96" s="3235">
        <f>$G96</f>
        <v>0</v>
      </c>
      <c r="AV96" s="3236">
        <f>VLOOKUP($E96,AU$442:AX$453,2,FALSE)*AU96*($K96)+IF($G96&gt;0,($H96/$G96)*AU96,0)*(1-$K96)</f>
        <v>0</v>
      </c>
      <c r="AW96" s="3236">
        <f>VLOOKUP($E96,AU$442:AX$453,3,FALSE)*AU96*($K96)+IF($G96&gt;0,($I96/$G96)*AU96,0)*(1-$K96)</f>
        <v>0</v>
      </c>
      <c r="AX96" s="3236">
        <f>VLOOKUP($E96,AU$442:AX$453,4,FALSE)*AU96*($K96)+(AU96-AV96-AW96)*(1-$K96)</f>
        <v>0</v>
      </c>
      <c r="AY96" s="3237"/>
      <c r="BC96" s="3235">
        <f>$G96</f>
        <v>0</v>
      </c>
      <c r="BD96" s="3236">
        <f>VLOOKUP($E96,BC$442:BF$453,2,FALSE)*BC96*($K96)+IF($G96&gt;0,($H96/$G96)*BC96,0)*(1-$K96)</f>
        <v>0</v>
      </c>
      <c r="BE96" s="3236">
        <f>VLOOKUP($E96,BC$442:BF$453,3,FALSE)*BC96*($K96)+IF($G96&gt;0,($I96/$G96)*BC96,0)*(1-$K96)</f>
        <v>0</v>
      </c>
      <c r="BF96" s="3236">
        <f>VLOOKUP($E96,BC$442:BF$453,4,FALSE)*BC96*($K96)+(BC96-BD96-BE96)*(1-$K96)</f>
        <v>0</v>
      </c>
      <c r="BG96" s="3237"/>
      <c r="BK96" s="3235">
        <f>$G96</f>
        <v>0</v>
      </c>
      <c r="BL96" s="3236">
        <f>VLOOKUP($E96,BK$442:BN$453,2,FALSE)*BK96*($K96)+IF($G96&gt;0,($H96/$G96)*BK96,0)*(1-$K96)</f>
        <v>0</v>
      </c>
      <c r="BM96" s="3236">
        <f>VLOOKUP($E96,BK$442:BN$453,3,FALSE)*BK96*($K96)+IF($G96&gt;0,($I96/$G96)*BK96,0)*(1-$K96)</f>
        <v>0</v>
      </c>
      <c r="BN96" s="3236">
        <f>VLOOKUP($E96,BK$442:BN$453,4,FALSE)*BK96*($K96)+(BK96-BL96-BM96)*(1-$K96)</f>
        <v>0</v>
      </c>
      <c r="BO96" s="3237"/>
      <c r="BS96" s="3235">
        <f>$G96</f>
        <v>0</v>
      </c>
      <c r="BT96" s="3236">
        <f>VLOOKUP($E96,BS$442:BV$453,2,FALSE)*BS96*($K96)+IF($G96&gt;0,($H96/$G96)*BS96,0)*(1-$K96)</f>
        <v>0</v>
      </c>
      <c r="BU96" s="3236">
        <f>VLOOKUP($E96,BS$442:BV$453,3,FALSE)*BS96*($K96)+IF($G96&gt;0,($I96/$G96)*BS96,0)*(1-$K96)</f>
        <v>0</v>
      </c>
      <c r="BV96" s="3236">
        <f>VLOOKUP($E96,BS$442:BV$453,4,FALSE)*BS96*($K96)+(BS96-BT96-BU96)*(1-$K96)</f>
        <v>0</v>
      </c>
      <c r="BW96" s="3237"/>
      <c r="CA96" s="3235">
        <f>$G96</f>
        <v>0</v>
      </c>
      <c r="CB96" s="3236">
        <f>VLOOKUP($E96,CA$442:CD$453,2,FALSE)*CA96*($K96)+IF($G96&gt;0,($H96/$G96)*CA96,0)*(1-$K96)</f>
        <v>0</v>
      </c>
      <c r="CC96" s="3236">
        <f>VLOOKUP($E96,CA$442:CD$453,3,FALSE)*CA96*($K96)+IF($G96&gt;0,($I96/$G96)*CA96,0)*(1-$K96)</f>
        <v>0</v>
      </c>
      <c r="CD96" s="3236">
        <f>VLOOKUP($E96,CA$442:CD$453,4,FALSE)*CA96*($K96)+(CA96-CB96-CC96)*(1-$K96)</f>
        <v>0</v>
      </c>
      <c r="CE96" s="3237"/>
      <c r="CI96" s="3235">
        <f>$G96</f>
        <v>0</v>
      </c>
      <c r="CJ96" s="3236">
        <f>VLOOKUP($E96,CI$442:CL$453,2,FALSE)*CI96*($K96)+IF($G96&gt;0,($H96/$G96)*CI96,0)*(1-$K96)</f>
        <v>0</v>
      </c>
      <c r="CK96" s="3236">
        <f>VLOOKUP($E96,CI$442:CL$453,3,FALSE)*CI96*($K96)+IF($G96&gt;0,($I96/$G96)*CI96,0)*(1-$K96)</f>
        <v>0</v>
      </c>
      <c r="CL96" s="3236">
        <f>VLOOKUP($E96,CI$442:CL$453,4,FALSE)*CI96*($K96)+(CI96-CJ96-CK96)*(1-$K96)</f>
        <v>0</v>
      </c>
      <c r="CM96" s="3237"/>
      <c r="CQ96" s="3235">
        <f>$G96</f>
        <v>0</v>
      </c>
      <c r="CR96" s="3236">
        <f>VLOOKUP($E96,CQ$442:CT$453,2,FALSE)*CQ96*($K96)+IF($G96&gt;0,($H96/$G96)*CQ96,0)*(1-$K96)</f>
        <v>0</v>
      </c>
      <c r="CS96" s="3236">
        <f>VLOOKUP($E96,CQ$442:CT$453,3,FALSE)*CQ96*($K96)+IF($G96&gt;0,($I96/$G96)*CQ96,0)*(1-$K96)</f>
        <v>0</v>
      </c>
      <c r="CT96" s="3236">
        <f>VLOOKUP($E96,CQ$442:CT$453,4,FALSE)*CQ96*($K96)+(CQ96-CR96-CS96)*(1-$K96)</f>
        <v>0</v>
      </c>
      <c r="CU96" s="3237"/>
      <c r="CY96" s="3235">
        <f>$G96</f>
        <v>0</v>
      </c>
      <c r="CZ96" s="3236">
        <f>VLOOKUP($E96,CY$442:DB$453,2,FALSE)*CY96*($K96)+IF($G96&gt;0,($H96/$G96)*CY96,0)*(1-$K96)</f>
        <v>0</v>
      </c>
      <c r="DA96" s="3236">
        <f>VLOOKUP($E96,CY$442:DB$453,3,FALSE)*CY96*($K96)+IF($G96&gt;0,($I96/$G96)*CY96,0)*(1-$K96)</f>
        <v>0</v>
      </c>
      <c r="DB96" s="3236">
        <f>VLOOKUP($E96,CY$442:DB$453,4,FALSE)*CY96*($K96)+(CY96-CZ96-DA96)*(1-$K96)</f>
        <v>0</v>
      </c>
      <c r="DC96" s="3237"/>
      <c r="DG96" s="3235">
        <f>$G96</f>
        <v>0</v>
      </c>
      <c r="DH96" s="3236">
        <f>VLOOKUP($E96,DG$442:DJ$453,2,FALSE)*DG96*($K96)+IF($G96&gt;0,($H96/$G96)*DG96,0)*(1-$K96)</f>
        <v>0</v>
      </c>
      <c r="DI96" s="3236">
        <f>VLOOKUP($E96,DG$442:DJ$453,3,FALSE)*DG96*($K96)+IF($G96&gt;0,($I96/$G96)*DG96,0)*(1-$K96)</f>
        <v>0</v>
      </c>
      <c r="DJ96" s="3236">
        <f>VLOOKUP($E96,DG$442:DJ$453,4,FALSE)*DG96*($K96)+(DG96-DH96-DI96)*(1-$K96)</f>
        <v>0</v>
      </c>
      <c r="DK96" s="3237"/>
      <c r="DO96" s="3235">
        <f>$G96</f>
        <v>0</v>
      </c>
      <c r="DP96" s="3236">
        <f>VLOOKUP($E96,DO$442:DR$453,2,FALSE)*DO96*($K96)+IF($G96&gt;0,($H96/$G96)*DO96,0)*(1-$K96)</f>
        <v>0</v>
      </c>
      <c r="DQ96" s="3236">
        <f>VLOOKUP($E96,DO$442:DR$453,3,FALSE)*DO96*($K96)+IF($G96&gt;0,($I96/$G96)*DO96,0)*(1-$K96)</f>
        <v>0</v>
      </c>
      <c r="DR96" s="3236">
        <f>VLOOKUP($E96,DO$442:DR$453,4,FALSE)*DO96*($K96)+(DO96-DP96-DQ96)*(1-$K96)</f>
        <v>0</v>
      </c>
      <c r="DS96" s="3237"/>
      <c r="DW96" s="3235">
        <f>$G96</f>
        <v>0</v>
      </c>
      <c r="DX96" s="3236">
        <f>VLOOKUP($E96,DW$442:DZ$453,2,FALSE)*DW96*($K96)+IF($G96&gt;0,($H96/$G96)*DW96,0)*(1-$K96)</f>
        <v>0</v>
      </c>
      <c r="DY96" s="3236">
        <f>VLOOKUP($E96,DW$442:DZ$453,3,FALSE)*DW96*($K96)+IF($G96&gt;0,($I96/$G96)*DW96,0)*(1-$K96)</f>
        <v>0</v>
      </c>
      <c r="DZ96" s="3236">
        <f>VLOOKUP($E96,DW$442:DZ$453,4,FALSE)*DW96*($K96)+(DW96-DX96-DY96)*(1-$K96)</f>
        <v>0</v>
      </c>
      <c r="EA96" s="3237"/>
      <c r="EE96" s="3235">
        <f>$G96</f>
        <v>0</v>
      </c>
      <c r="EF96" s="3236">
        <f>VLOOKUP($E96,EE$442:EH$453,2,FALSE)*EE96*($K96)+IF($G96&gt;0,($H96/$G96)*EE96,0)*(1-$K96)</f>
        <v>0</v>
      </c>
      <c r="EG96" s="3236">
        <f>VLOOKUP($E96,EE$442:EH$453,3,FALSE)*EE96*($K96)+IF($G96&gt;0,($I96/$G96)*EE96,0)*(1-$K96)</f>
        <v>0</v>
      </c>
      <c r="EH96" s="3236">
        <f>VLOOKUP($E96,EE$442:EH$453,4,FALSE)*EE96*($K96)+(EE96-EF96-EG96)*(1-$K96)</f>
        <v>0</v>
      </c>
      <c r="EI96" s="3237"/>
      <c r="EM96" s="3235">
        <f>$G96</f>
        <v>0</v>
      </c>
      <c r="EN96" s="3236">
        <f>VLOOKUP($E96,EM$442:EP$453,2,FALSE)*EM96*($K96)+IF($G96&gt;0,($H96/$G96)*EM96,0)*(1-$K96)</f>
        <v>0</v>
      </c>
      <c r="EO96" s="3236">
        <f>VLOOKUP($E96,EM$442:EP$453,3,FALSE)*EM96*($K96)+IF($G96&gt;0,($I96/$G96)*EM96,0)*(1-$K96)</f>
        <v>0</v>
      </c>
      <c r="EP96" s="3236">
        <f>VLOOKUP($E96,EM$442:EP$453,4,FALSE)*EM96*($K96)+(EM96-EN96-EO96)*(1-$K96)</f>
        <v>0</v>
      </c>
      <c r="EQ96" s="3237"/>
      <c r="EU96" s="3235">
        <f>$G96</f>
        <v>0</v>
      </c>
      <c r="EV96" s="3236">
        <f>VLOOKUP($E96,EU$442:EX$453,2,FALSE)*EU96*($K96)+IF($G96&gt;0,($H96/$G96)*EU96,0)*(1-$K96)</f>
        <v>0</v>
      </c>
      <c r="EW96" s="3236">
        <f>VLOOKUP($E96,EU$442:EX$453,3,FALSE)*EU96*($K96)+IF($G96&gt;0,($I96/$G96)*EU96,0)*(1-$K96)</f>
        <v>0</v>
      </c>
      <c r="EX96" s="3236">
        <f>VLOOKUP($E96,EU$442:EX$453,4,FALSE)*EU96*($K96)+(EU96-EV96-EW96)*(1-$K96)</f>
        <v>0</v>
      </c>
      <c r="EY96" s="3237"/>
      <c r="FC96" s="3235">
        <f>$G96</f>
        <v>0</v>
      </c>
      <c r="FD96" s="3236">
        <f>VLOOKUP($E96,FC$442:FF$453,2,FALSE)*FC96*($K96)+IF($G96&gt;0,($H96/$G96)*FC96,0)*(1-$K96)</f>
        <v>0</v>
      </c>
      <c r="FE96" s="3236">
        <f>VLOOKUP($E96,FC$442:FF$453,3,FALSE)*FC96*($K96)+IF($G96&gt;0,($I96/$G96)*FC96,0)*(1-$K96)</f>
        <v>0</v>
      </c>
      <c r="FF96" s="3236">
        <f>VLOOKUP($E96,FC$442:FF$453,4,FALSE)*FC96*($K96)+(FC96-FD96-FE96)*(1-$K96)</f>
        <v>0</v>
      </c>
      <c r="FG96" s="3237"/>
      <c r="FK96" s="3235">
        <f>$G96</f>
        <v>0</v>
      </c>
      <c r="FL96" s="3236">
        <f>VLOOKUP($E96,FK$442:FN$453,2,FALSE)*FK96*($K96)+IF($G96&gt;0,($H96/$G96)*FK96,0)*(1-$K96)</f>
        <v>0</v>
      </c>
      <c r="FM96" s="3236">
        <f>VLOOKUP($E96,FK$442:FN$453,3,FALSE)*FK96*($K96)+IF($G96&gt;0,($I96/$G96)*FK96,0)*(1-$K96)</f>
        <v>0</v>
      </c>
      <c r="FN96" s="3236">
        <f>VLOOKUP($E96,FK$442:FN$453,4,FALSE)*FK96*($K96)+(FK96-FL96-FM96)*(1-$K96)</f>
        <v>0</v>
      </c>
      <c r="FO96" s="3237"/>
    </row>
    <row r="97" spans="1:171">
      <c r="A97" s="2092"/>
      <c r="B97" s="2097" t="s">
        <v>476</v>
      </c>
      <c r="C97" s="2464" t="s">
        <v>78</v>
      </c>
      <c r="D97" s="2464">
        <v>124</v>
      </c>
      <c r="E97" s="2424" t="str">
        <f>'Sch 1- Rate Base '!E97</f>
        <v>DIST</v>
      </c>
      <c r="F97" s="2171"/>
      <c r="G97" s="2424">
        <f>'Sch 1- Rate Base '!G97</f>
        <v>29310581.839956224</v>
      </c>
      <c r="H97" s="2424">
        <f>'Sch 1- Rate Base '!H97</f>
        <v>0</v>
      </c>
      <c r="I97" s="2424">
        <f>'Sch 1- Rate Base '!I97</f>
        <v>0</v>
      </c>
      <c r="J97" s="3465">
        <f>'Sch 1- Rate Base '!J97</f>
        <v>29310581.839956224</v>
      </c>
      <c r="K97" s="3205">
        <f>IF($E97="DIRECT",0,1)</f>
        <v>1</v>
      </c>
      <c r="O97" s="3235">
        <f>$G97</f>
        <v>29310581.839956224</v>
      </c>
      <c r="P97" s="3236">
        <f>VLOOKUP($E97,O$442:R$453,2,FALSE)*O97*($K97)+IF($G97&gt;0,($H97/$G97)*O97,0)*(1-$K97)</f>
        <v>0</v>
      </c>
      <c r="Q97" s="3236">
        <f>VLOOKUP($E97,O$442:R$453,3,FALSE)*O97*($K97)+IF($G97&gt;0,($I97/$G97)*O97,0)*(1-$K97)</f>
        <v>0</v>
      </c>
      <c r="R97" s="3236">
        <f>VLOOKUP($E97,O$442:R$453,4,FALSE)*O97*($K97)+(O97-P97-Q97)*(1-$K97)</f>
        <v>29310581.839956224</v>
      </c>
      <c r="S97" s="3237"/>
      <c r="W97" s="3235">
        <f>$G97</f>
        <v>29310581.839956224</v>
      </c>
      <c r="X97" s="3236">
        <f>VLOOKUP($E97,W$442:Z$453,2,FALSE)*W97*($K97)+IF($G97&gt;0,($H97/$G97)*W97,0)*(1-$K97)</f>
        <v>0</v>
      </c>
      <c r="Y97" s="3236">
        <f>VLOOKUP($E97,W$442:Z$453,3,FALSE)*W97*($K97)+IF($G97&gt;0,($I97/$G97)*W97,0)*(1-$K97)</f>
        <v>0</v>
      </c>
      <c r="Z97" s="3236">
        <f>VLOOKUP($E97,W$442:Z$453,4,FALSE)*W97*($K97)+(W97-X97-Y97)*(1-$K97)</f>
        <v>29310581.839956224</v>
      </c>
      <c r="AA97" s="3237"/>
      <c r="AE97" s="3235">
        <f>$G97</f>
        <v>29310581.839956224</v>
      </c>
      <c r="AF97" s="3236">
        <f>VLOOKUP($E97,AE$442:AH$453,2,FALSE)*AE97*($K97)+IF($G97&gt;0,($H97/$G97)*AE97,0)*(1-$K97)</f>
        <v>0</v>
      </c>
      <c r="AG97" s="3236">
        <f>VLOOKUP($E97,AE$442:AH$453,3,FALSE)*AE97*($K97)+IF($G97&gt;0,($I97/$G97)*AE97,0)*(1-$K97)</f>
        <v>0</v>
      </c>
      <c r="AH97" s="3236">
        <f>VLOOKUP($E97,AE$442:AH$453,4,FALSE)*AE97*($K97)+(AE97-AF97-AG97)*(1-$K97)</f>
        <v>29310581.839956224</v>
      </c>
      <c r="AI97" s="3237"/>
      <c r="AM97" s="3235">
        <f>$G97</f>
        <v>29310581.839956224</v>
      </c>
      <c r="AN97" s="3236">
        <f>VLOOKUP($E97,AM$442:AP$453,2,FALSE)*AM97*($K97)+IF($G97&gt;0,($H97/$G97)*AM97,0)*(1-$K97)</f>
        <v>0</v>
      </c>
      <c r="AO97" s="3236">
        <f>VLOOKUP($E97,AM$442:AP$453,3,FALSE)*AM97*($K97)+IF($G97&gt;0,($I97/$G97)*AM97,0)*(1-$K97)</f>
        <v>0</v>
      </c>
      <c r="AP97" s="3236">
        <f>VLOOKUP($E97,AM$442:AP$453,4,FALSE)*AM97*($K97)+(AM97-AN97-AO97)*(1-$K97)</f>
        <v>29310581.839956224</v>
      </c>
      <c r="AQ97" s="3237"/>
      <c r="AU97" s="3235">
        <f>$G97</f>
        <v>29310581.839956224</v>
      </c>
      <c r="AV97" s="3236">
        <f>VLOOKUP($E97,AU$442:AX$453,2,FALSE)*AU97*($K97)+IF($G97&gt;0,($H97/$G97)*AU97,0)*(1-$K97)</f>
        <v>0</v>
      </c>
      <c r="AW97" s="3236">
        <f>VLOOKUP($E97,AU$442:AX$453,3,FALSE)*AU97*($K97)+IF($G97&gt;0,($I97/$G97)*AU97,0)*(1-$K97)</f>
        <v>0</v>
      </c>
      <c r="AX97" s="3236">
        <f>VLOOKUP($E97,AU$442:AX$453,4,FALSE)*AU97*($K97)+(AU97-AV97-AW97)*(1-$K97)</f>
        <v>29310581.839956224</v>
      </c>
      <c r="AY97" s="3237"/>
      <c r="BC97" s="3235">
        <f>$G97</f>
        <v>29310581.839956224</v>
      </c>
      <c r="BD97" s="3236">
        <f>VLOOKUP($E97,BC$442:BF$453,2,FALSE)*BC97*($K97)+IF($G97&gt;0,($H97/$G97)*BC97,0)*(1-$K97)</f>
        <v>0</v>
      </c>
      <c r="BE97" s="3236">
        <f>VLOOKUP($E97,BC$442:BF$453,3,FALSE)*BC97*($K97)+IF($G97&gt;0,($I97/$G97)*BC97,0)*(1-$K97)</f>
        <v>0</v>
      </c>
      <c r="BF97" s="3236">
        <f>VLOOKUP($E97,BC$442:BF$453,4,FALSE)*BC97*($K97)+(BC97-BD97-BE97)*(1-$K97)</f>
        <v>29310581.839956224</v>
      </c>
      <c r="BG97" s="3237"/>
      <c r="BK97" s="3235">
        <f>$G97</f>
        <v>29310581.839956224</v>
      </c>
      <c r="BL97" s="3236">
        <f>VLOOKUP($E97,BK$442:BN$453,2,FALSE)*BK97*($K97)+IF($G97&gt;0,($H97/$G97)*BK97,0)*(1-$K97)</f>
        <v>0</v>
      </c>
      <c r="BM97" s="3236">
        <f>VLOOKUP($E97,BK$442:BN$453,3,FALSE)*BK97*($K97)+IF($G97&gt;0,($I97/$G97)*BK97,0)*(1-$K97)</f>
        <v>0</v>
      </c>
      <c r="BN97" s="3236">
        <f>VLOOKUP($E97,BK$442:BN$453,4,FALSE)*BK97*($K97)+(BK97-BL97-BM97)*(1-$K97)</f>
        <v>29310581.839956224</v>
      </c>
      <c r="BO97" s="3237"/>
      <c r="BS97" s="3235">
        <f>$G97</f>
        <v>29310581.839956224</v>
      </c>
      <c r="BT97" s="3236">
        <f>VLOOKUP($E97,BS$442:BV$453,2,FALSE)*BS97*($K97)+IF($G97&gt;0,($H97/$G97)*BS97,0)*(1-$K97)</f>
        <v>0</v>
      </c>
      <c r="BU97" s="3236">
        <f>VLOOKUP($E97,BS$442:BV$453,3,FALSE)*BS97*($K97)+IF($G97&gt;0,($I97/$G97)*BS97,0)*(1-$K97)</f>
        <v>0</v>
      </c>
      <c r="BV97" s="3236">
        <f>VLOOKUP($E97,BS$442:BV$453,4,FALSE)*BS97*($K97)+(BS97-BT97-BU97)*(1-$K97)</f>
        <v>29310581.839956224</v>
      </c>
      <c r="BW97" s="3237"/>
      <c r="CA97" s="3235">
        <f>$G97</f>
        <v>29310581.839956224</v>
      </c>
      <c r="CB97" s="3236">
        <f>VLOOKUP($E97,CA$442:CD$453,2,FALSE)*CA97*($K97)+IF($G97&gt;0,($H97/$G97)*CA97,0)*(1-$K97)</f>
        <v>0</v>
      </c>
      <c r="CC97" s="3236">
        <f>VLOOKUP($E97,CA$442:CD$453,3,FALSE)*CA97*($K97)+IF($G97&gt;0,($I97/$G97)*CA97,0)*(1-$K97)</f>
        <v>0</v>
      </c>
      <c r="CD97" s="3236">
        <f>VLOOKUP($E97,CA$442:CD$453,4,FALSE)*CA97*($K97)+(CA97-CB97-CC97)*(1-$K97)</f>
        <v>29310581.839956224</v>
      </c>
      <c r="CE97" s="3237"/>
      <c r="CI97" s="3235">
        <f>$G97</f>
        <v>29310581.839956224</v>
      </c>
      <c r="CJ97" s="3236">
        <f>VLOOKUP($E97,CI$442:CL$453,2,FALSE)*CI97*($K97)+IF($G97&gt;0,($H97/$G97)*CI97,0)*(1-$K97)</f>
        <v>0</v>
      </c>
      <c r="CK97" s="3236">
        <f>VLOOKUP($E97,CI$442:CL$453,3,FALSE)*CI97*($K97)+IF($G97&gt;0,($I97/$G97)*CI97,0)*(1-$K97)</f>
        <v>0</v>
      </c>
      <c r="CL97" s="3236">
        <f>VLOOKUP($E97,CI$442:CL$453,4,FALSE)*CI97*($K97)+(CI97-CJ97-CK97)*(1-$K97)</f>
        <v>29310581.839956224</v>
      </c>
      <c r="CM97" s="3237"/>
      <c r="CQ97" s="3235">
        <f>$G97</f>
        <v>29310581.839956224</v>
      </c>
      <c r="CR97" s="3236">
        <f>VLOOKUP($E97,CQ$442:CT$453,2,FALSE)*CQ97*($K97)+IF($G97&gt;0,($H97/$G97)*CQ97,0)*(1-$K97)</f>
        <v>0</v>
      </c>
      <c r="CS97" s="3236">
        <f>VLOOKUP($E97,CQ$442:CT$453,3,FALSE)*CQ97*($K97)+IF($G97&gt;0,($I97/$G97)*CQ97,0)*(1-$K97)</f>
        <v>0</v>
      </c>
      <c r="CT97" s="3236">
        <f>VLOOKUP($E97,CQ$442:CT$453,4,FALSE)*CQ97*($K97)+(CQ97-CR97-CS97)*(1-$K97)</f>
        <v>29310581.839956224</v>
      </c>
      <c r="CU97" s="3237"/>
      <c r="CY97" s="3235">
        <f>$G97</f>
        <v>29310581.839956224</v>
      </c>
      <c r="CZ97" s="3236">
        <f>VLOOKUP($E97,CY$442:DB$453,2,FALSE)*CY97*($K97)+IF($G97&gt;0,($H97/$G97)*CY97,0)*(1-$K97)</f>
        <v>0</v>
      </c>
      <c r="DA97" s="3236">
        <f>VLOOKUP($E97,CY$442:DB$453,3,FALSE)*CY97*($K97)+IF($G97&gt;0,($I97/$G97)*CY97,0)*(1-$K97)</f>
        <v>0</v>
      </c>
      <c r="DB97" s="3236">
        <f>VLOOKUP($E97,CY$442:DB$453,4,FALSE)*CY97*($K97)+(CY97-CZ97-DA97)*(1-$K97)</f>
        <v>29310581.839956224</v>
      </c>
      <c r="DC97" s="3237"/>
      <c r="DG97" s="3235">
        <f>$G97</f>
        <v>29310581.839956224</v>
      </c>
      <c r="DH97" s="3236">
        <f>VLOOKUP($E97,DG$442:DJ$453,2,FALSE)*DG97*($K97)+IF($G97&gt;0,($H97/$G97)*DG97,0)*(1-$K97)</f>
        <v>0</v>
      </c>
      <c r="DI97" s="3236">
        <f>VLOOKUP($E97,DG$442:DJ$453,3,FALSE)*DG97*($K97)+IF($G97&gt;0,($I97/$G97)*DG97,0)*(1-$K97)</f>
        <v>0</v>
      </c>
      <c r="DJ97" s="3236">
        <f>VLOOKUP($E97,DG$442:DJ$453,4,FALSE)*DG97*($K97)+(DG97-DH97-DI97)*(1-$K97)</f>
        <v>29310581.839956224</v>
      </c>
      <c r="DK97" s="3237"/>
      <c r="DO97" s="3235">
        <f>$G97</f>
        <v>29310581.839956224</v>
      </c>
      <c r="DP97" s="3236">
        <f>VLOOKUP($E97,DO$442:DR$453,2,FALSE)*DO97*($K97)+IF($G97&gt;0,($H97/$G97)*DO97,0)*(1-$K97)</f>
        <v>0</v>
      </c>
      <c r="DQ97" s="3236">
        <f>VLOOKUP($E97,DO$442:DR$453,3,FALSE)*DO97*($K97)+IF($G97&gt;0,($I97/$G97)*DO97,0)*(1-$K97)</f>
        <v>0</v>
      </c>
      <c r="DR97" s="3236">
        <f>VLOOKUP($E97,DO$442:DR$453,4,FALSE)*DO97*($K97)+(DO97-DP97-DQ97)*(1-$K97)</f>
        <v>29310581.839956224</v>
      </c>
      <c r="DS97" s="3237"/>
      <c r="DW97" s="3235">
        <f>$G97</f>
        <v>29310581.839956224</v>
      </c>
      <c r="DX97" s="3236">
        <f>VLOOKUP($E97,DW$442:DZ$453,2,FALSE)*DW97*($K97)+IF($G97&gt;0,($H97/$G97)*DW97,0)*(1-$K97)</f>
        <v>0</v>
      </c>
      <c r="DY97" s="3236">
        <f>VLOOKUP($E97,DW$442:DZ$453,3,FALSE)*DW97*($K97)+IF($G97&gt;0,($I97/$G97)*DW97,0)*(1-$K97)</f>
        <v>0</v>
      </c>
      <c r="DZ97" s="3236">
        <f>VLOOKUP($E97,DW$442:DZ$453,4,FALSE)*DW97*($K97)+(DW97-DX97-DY97)*(1-$K97)</f>
        <v>29310581.839956224</v>
      </c>
      <c r="EA97" s="3237"/>
      <c r="EE97" s="3235">
        <f>$G97</f>
        <v>29310581.839956224</v>
      </c>
      <c r="EF97" s="3236">
        <f>VLOOKUP($E97,EE$442:EH$453,2,FALSE)*EE97*($K97)+IF($G97&gt;0,($H97/$G97)*EE97,0)*(1-$K97)</f>
        <v>0</v>
      </c>
      <c r="EG97" s="3236">
        <f>VLOOKUP($E97,EE$442:EH$453,3,FALSE)*EE97*($K97)+IF($G97&gt;0,($I97/$G97)*EE97,0)*(1-$K97)</f>
        <v>0</v>
      </c>
      <c r="EH97" s="3236">
        <f>VLOOKUP($E97,EE$442:EH$453,4,FALSE)*EE97*($K97)+(EE97-EF97-EG97)*(1-$K97)</f>
        <v>29310581.839956224</v>
      </c>
      <c r="EI97" s="3237"/>
      <c r="EM97" s="3235">
        <f>$G97</f>
        <v>29310581.839956224</v>
      </c>
      <c r="EN97" s="3236">
        <f>VLOOKUP($E97,EM$442:EP$453,2,FALSE)*EM97*($K97)+IF($G97&gt;0,($H97/$G97)*EM97,0)*(1-$K97)</f>
        <v>0</v>
      </c>
      <c r="EO97" s="3236">
        <f>VLOOKUP($E97,EM$442:EP$453,3,FALSE)*EM97*($K97)+IF($G97&gt;0,($I97/$G97)*EM97,0)*(1-$K97)</f>
        <v>0</v>
      </c>
      <c r="EP97" s="3236">
        <f>VLOOKUP($E97,EM$442:EP$453,4,FALSE)*EM97*($K97)+(EM97-EN97-EO97)*(1-$K97)</f>
        <v>29310581.839956224</v>
      </c>
      <c r="EQ97" s="3237"/>
      <c r="EU97" s="3235">
        <f>$G97</f>
        <v>29310581.839956224</v>
      </c>
      <c r="EV97" s="3236">
        <f>VLOOKUP($E97,EU$442:EX$453,2,FALSE)*EU97*($K97)+IF($G97&gt;0,($H97/$G97)*EU97,0)*(1-$K97)</f>
        <v>0</v>
      </c>
      <c r="EW97" s="3236">
        <f>VLOOKUP($E97,EU$442:EX$453,3,FALSE)*EU97*($K97)+IF($G97&gt;0,($I97/$G97)*EU97,0)*(1-$K97)</f>
        <v>0</v>
      </c>
      <c r="EX97" s="3236">
        <f>VLOOKUP($E97,EU$442:EX$453,4,FALSE)*EU97*($K97)+(EU97-EV97-EW97)*(1-$K97)</f>
        <v>29310581.839956224</v>
      </c>
      <c r="EY97" s="3237"/>
      <c r="FC97" s="3235">
        <f>$G97</f>
        <v>29310581.839956224</v>
      </c>
      <c r="FD97" s="3236">
        <f>VLOOKUP($E97,FC$442:FF$453,2,FALSE)*FC97*($K97)+IF($G97&gt;0,($H97/$G97)*FC97,0)*(1-$K97)</f>
        <v>0</v>
      </c>
      <c r="FE97" s="3236">
        <f>VLOOKUP($E97,FC$442:FF$453,3,FALSE)*FC97*($K97)+IF($G97&gt;0,($I97/$G97)*FC97,0)*(1-$K97)</f>
        <v>0</v>
      </c>
      <c r="FF97" s="3236">
        <f>VLOOKUP($E97,FC$442:FF$453,4,FALSE)*FC97*($K97)+(FC97-FD97-FE97)*(1-$K97)</f>
        <v>29310581.839956224</v>
      </c>
      <c r="FG97" s="3237"/>
      <c r="FK97" s="3235">
        <f>$G97</f>
        <v>29310581.839956224</v>
      </c>
      <c r="FL97" s="3236">
        <f>VLOOKUP($E97,FK$442:FN$453,2,FALSE)*FK97*($K97)+IF($G97&gt;0,($H97/$G97)*FK97,0)*(1-$K97)</f>
        <v>0</v>
      </c>
      <c r="FM97" s="3236">
        <f>VLOOKUP($E97,FK$442:FN$453,3,FALSE)*FK97*($K97)+IF($G97&gt;0,($I97/$G97)*FK97,0)*(1-$K97)</f>
        <v>0</v>
      </c>
      <c r="FN97" s="3236">
        <f>VLOOKUP($E97,FK$442:FN$453,4,FALSE)*FK97*($K97)+(FK97-FL97-FM97)*(1-$K97)</f>
        <v>29310581.839956224</v>
      </c>
      <c r="FO97" s="3237"/>
    </row>
    <row r="98" spans="1:171">
      <c r="A98" s="2092"/>
      <c r="B98" s="2290" t="s">
        <v>6</v>
      </c>
      <c r="C98" s="2464" t="s">
        <v>78</v>
      </c>
      <c r="D98" s="2464">
        <v>175</v>
      </c>
      <c r="E98" s="2424" t="str">
        <f>'Sch 1- Rate Base '!E98</f>
        <v>DIST</v>
      </c>
      <c r="F98" s="2171"/>
      <c r="G98" s="2424">
        <f>'Sch 1- Rate Base '!G98</f>
        <v>30098821.84</v>
      </c>
      <c r="H98" s="2424">
        <f>'Sch 1- Rate Base '!H98</f>
        <v>0</v>
      </c>
      <c r="I98" s="2424">
        <f>'Sch 1- Rate Base '!I98</f>
        <v>0</v>
      </c>
      <c r="J98" s="3465">
        <f>'Sch 1- Rate Base '!J98</f>
        <v>30098821.84</v>
      </c>
      <c r="K98" s="3205">
        <f>IF($E98="DIRECT",0,1)</f>
        <v>1</v>
      </c>
      <c r="O98" s="3235">
        <f>$G98</f>
        <v>30098821.84</v>
      </c>
      <c r="P98" s="3236">
        <f>VLOOKUP($E98,O$442:R$453,2,FALSE)*O98*($K98)+IF($G98&gt;0,($H98/$G98)*O98,0)*(1-$K98)</f>
        <v>0</v>
      </c>
      <c r="Q98" s="3236">
        <f>VLOOKUP($E98,O$442:R$453,3,FALSE)*O98*($K98)+IF($G98&gt;0,($I98/$G98)*O98,0)*(1-$K98)</f>
        <v>0</v>
      </c>
      <c r="R98" s="3236">
        <f>VLOOKUP($E98,O$442:R$453,4,FALSE)*O98*($K98)+(O98-P98-Q98)*(1-$K98)</f>
        <v>30098821.84</v>
      </c>
      <c r="S98" s="3237"/>
      <c r="W98" s="3235">
        <f>$G98</f>
        <v>30098821.84</v>
      </c>
      <c r="X98" s="3236">
        <f>VLOOKUP($E98,W$442:Z$453,2,FALSE)*W98*($K98)+IF($G98&gt;0,($H98/$G98)*W98,0)*(1-$K98)</f>
        <v>0</v>
      </c>
      <c r="Y98" s="3236">
        <f>VLOOKUP($E98,W$442:Z$453,3,FALSE)*W98*($K98)+IF($G98&gt;0,($I98/$G98)*W98,0)*(1-$K98)</f>
        <v>0</v>
      </c>
      <c r="Z98" s="3236">
        <f>VLOOKUP($E98,W$442:Z$453,4,FALSE)*W98*($K98)+(W98-X98-Y98)*(1-$K98)</f>
        <v>30098821.84</v>
      </c>
      <c r="AA98" s="3237"/>
      <c r="AE98" s="3235">
        <f>$G98</f>
        <v>30098821.84</v>
      </c>
      <c r="AF98" s="3236">
        <f>VLOOKUP($E98,AE$442:AH$453,2,FALSE)*AE98*($K98)+IF($G98&gt;0,($H98/$G98)*AE98,0)*(1-$K98)</f>
        <v>0</v>
      </c>
      <c r="AG98" s="3236">
        <f>VLOOKUP($E98,AE$442:AH$453,3,FALSE)*AE98*($K98)+IF($G98&gt;0,($I98/$G98)*AE98,0)*(1-$K98)</f>
        <v>0</v>
      </c>
      <c r="AH98" s="3236">
        <f>VLOOKUP($E98,AE$442:AH$453,4,FALSE)*AE98*($K98)+(AE98-AF98-AG98)*(1-$K98)</f>
        <v>30098821.84</v>
      </c>
      <c r="AI98" s="3237"/>
      <c r="AM98" s="3235">
        <f>$G98</f>
        <v>30098821.84</v>
      </c>
      <c r="AN98" s="3236">
        <f>VLOOKUP($E98,AM$442:AP$453,2,FALSE)*AM98*($K98)+IF($G98&gt;0,($H98/$G98)*AM98,0)*(1-$K98)</f>
        <v>0</v>
      </c>
      <c r="AO98" s="3236">
        <f>VLOOKUP($E98,AM$442:AP$453,3,FALSE)*AM98*($K98)+IF($G98&gt;0,($I98/$G98)*AM98,0)*(1-$K98)</f>
        <v>0</v>
      </c>
      <c r="AP98" s="3236">
        <f>VLOOKUP($E98,AM$442:AP$453,4,FALSE)*AM98*($K98)+(AM98-AN98-AO98)*(1-$K98)</f>
        <v>30098821.84</v>
      </c>
      <c r="AQ98" s="3237"/>
      <c r="AU98" s="3235">
        <f>$G98</f>
        <v>30098821.84</v>
      </c>
      <c r="AV98" s="3236">
        <f>VLOOKUP($E98,AU$442:AX$453,2,FALSE)*AU98*($K98)+IF($G98&gt;0,($H98/$G98)*AU98,0)*(1-$K98)</f>
        <v>0</v>
      </c>
      <c r="AW98" s="3236">
        <f>VLOOKUP($E98,AU$442:AX$453,3,FALSE)*AU98*($K98)+IF($G98&gt;0,($I98/$G98)*AU98,0)*(1-$K98)</f>
        <v>0</v>
      </c>
      <c r="AX98" s="3236">
        <f>VLOOKUP($E98,AU$442:AX$453,4,FALSE)*AU98*($K98)+(AU98-AV98-AW98)*(1-$K98)</f>
        <v>30098821.84</v>
      </c>
      <c r="AY98" s="3237"/>
      <c r="BC98" s="3235">
        <f>$G98</f>
        <v>30098821.84</v>
      </c>
      <c r="BD98" s="3236">
        <f>VLOOKUP($E98,BC$442:BF$453,2,FALSE)*BC98*($K98)+IF($G98&gt;0,($H98/$G98)*BC98,0)*(1-$K98)</f>
        <v>0</v>
      </c>
      <c r="BE98" s="3236">
        <f>VLOOKUP($E98,BC$442:BF$453,3,FALSE)*BC98*($K98)+IF($G98&gt;0,($I98/$G98)*BC98,0)*(1-$K98)</f>
        <v>0</v>
      </c>
      <c r="BF98" s="3236">
        <f>VLOOKUP($E98,BC$442:BF$453,4,FALSE)*BC98*($K98)+(BC98-BD98-BE98)*(1-$K98)</f>
        <v>30098821.84</v>
      </c>
      <c r="BG98" s="3237"/>
      <c r="BK98" s="3235">
        <f>$G98</f>
        <v>30098821.84</v>
      </c>
      <c r="BL98" s="3236">
        <f>VLOOKUP($E98,BK$442:BN$453,2,FALSE)*BK98*($K98)+IF($G98&gt;0,($H98/$G98)*BK98,0)*(1-$K98)</f>
        <v>0</v>
      </c>
      <c r="BM98" s="3236">
        <f>VLOOKUP($E98,BK$442:BN$453,3,FALSE)*BK98*($K98)+IF($G98&gt;0,($I98/$G98)*BK98,0)*(1-$K98)</f>
        <v>0</v>
      </c>
      <c r="BN98" s="3236">
        <f>VLOOKUP($E98,BK$442:BN$453,4,FALSE)*BK98*($K98)+(BK98-BL98-BM98)*(1-$K98)</f>
        <v>30098821.84</v>
      </c>
      <c r="BO98" s="3237"/>
      <c r="BS98" s="3235">
        <f>$G98</f>
        <v>30098821.84</v>
      </c>
      <c r="BT98" s="3236">
        <f>VLOOKUP($E98,BS$442:BV$453,2,FALSE)*BS98*($K98)+IF($G98&gt;0,($H98/$G98)*BS98,0)*(1-$K98)</f>
        <v>0</v>
      </c>
      <c r="BU98" s="3236">
        <f>VLOOKUP($E98,BS$442:BV$453,3,FALSE)*BS98*($K98)+IF($G98&gt;0,($I98/$G98)*BS98,0)*(1-$K98)</f>
        <v>0</v>
      </c>
      <c r="BV98" s="3236">
        <f>VLOOKUP($E98,BS$442:BV$453,4,FALSE)*BS98*($K98)+(BS98-BT98-BU98)*(1-$K98)</f>
        <v>30098821.84</v>
      </c>
      <c r="BW98" s="3237"/>
      <c r="CA98" s="3235">
        <f>$G98</f>
        <v>30098821.84</v>
      </c>
      <c r="CB98" s="3236">
        <f>VLOOKUP($E98,CA$442:CD$453,2,FALSE)*CA98*($K98)+IF($G98&gt;0,($H98/$G98)*CA98,0)*(1-$K98)</f>
        <v>0</v>
      </c>
      <c r="CC98" s="3236">
        <f>VLOOKUP($E98,CA$442:CD$453,3,FALSE)*CA98*($K98)+IF($G98&gt;0,($I98/$G98)*CA98,0)*(1-$K98)</f>
        <v>0</v>
      </c>
      <c r="CD98" s="3236">
        <f>VLOOKUP($E98,CA$442:CD$453,4,FALSE)*CA98*($K98)+(CA98-CB98-CC98)*(1-$K98)</f>
        <v>30098821.84</v>
      </c>
      <c r="CE98" s="3237"/>
      <c r="CI98" s="3235">
        <f>$G98</f>
        <v>30098821.84</v>
      </c>
      <c r="CJ98" s="3236">
        <f>VLOOKUP($E98,CI$442:CL$453,2,FALSE)*CI98*($K98)+IF($G98&gt;0,($H98/$G98)*CI98,0)*(1-$K98)</f>
        <v>0</v>
      </c>
      <c r="CK98" s="3236">
        <f>VLOOKUP($E98,CI$442:CL$453,3,FALSE)*CI98*($K98)+IF($G98&gt;0,($I98/$G98)*CI98,0)*(1-$K98)</f>
        <v>0</v>
      </c>
      <c r="CL98" s="3236">
        <f>VLOOKUP($E98,CI$442:CL$453,4,FALSE)*CI98*($K98)+(CI98-CJ98-CK98)*(1-$K98)</f>
        <v>30098821.84</v>
      </c>
      <c r="CM98" s="3237"/>
      <c r="CQ98" s="3235">
        <f>$G98</f>
        <v>30098821.84</v>
      </c>
      <c r="CR98" s="3236">
        <f>VLOOKUP($E98,CQ$442:CT$453,2,FALSE)*CQ98*($K98)+IF($G98&gt;0,($H98/$G98)*CQ98,0)*(1-$K98)</f>
        <v>0</v>
      </c>
      <c r="CS98" s="3236">
        <f>VLOOKUP($E98,CQ$442:CT$453,3,FALSE)*CQ98*($K98)+IF($G98&gt;0,($I98/$G98)*CQ98,0)*(1-$K98)</f>
        <v>0</v>
      </c>
      <c r="CT98" s="3236">
        <f>VLOOKUP($E98,CQ$442:CT$453,4,FALSE)*CQ98*($K98)+(CQ98-CR98-CS98)*(1-$K98)</f>
        <v>30098821.84</v>
      </c>
      <c r="CU98" s="3237"/>
      <c r="CY98" s="3235">
        <f>$G98</f>
        <v>30098821.84</v>
      </c>
      <c r="CZ98" s="3236">
        <f>VLOOKUP($E98,CY$442:DB$453,2,FALSE)*CY98*($K98)+IF($G98&gt;0,($H98/$G98)*CY98,0)*(1-$K98)</f>
        <v>0</v>
      </c>
      <c r="DA98" s="3236">
        <f>VLOOKUP($E98,CY$442:DB$453,3,FALSE)*CY98*($K98)+IF($G98&gt;0,($I98/$G98)*CY98,0)*(1-$K98)</f>
        <v>0</v>
      </c>
      <c r="DB98" s="3236">
        <f>VLOOKUP($E98,CY$442:DB$453,4,FALSE)*CY98*($K98)+(CY98-CZ98-DA98)*(1-$K98)</f>
        <v>30098821.84</v>
      </c>
      <c r="DC98" s="3237"/>
      <c r="DG98" s="3235">
        <f>$G98</f>
        <v>30098821.84</v>
      </c>
      <c r="DH98" s="3236">
        <f>VLOOKUP($E98,DG$442:DJ$453,2,FALSE)*DG98*($K98)+IF($G98&gt;0,($H98/$G98)*DG98,0)*(1-$K98)</f>
        <v>0</v>
      </c>
      <c r="DI98" s="3236">
        <f>VLOOKUP($E98,DG$442:DJ$453,3,FALSE)*DG98*($K98)+IF($G98&gt;0,($I98/$G98)*DG98,0)*(1-$K98)</f>
        <v>0</v>
      </c>
      <c r="DJ98" s="3236">
        <f>VLOOKUP($E98,DG$442:DJ$453,4,FALSE)*DG98*($K98)+(DG98-DH98-DI98)*(1-$K98)</f>
        <v>30098821.84</v>
      </c>
      <c r="DK98" s="3237"/>
      <c r="DO98" s="3235">
        <f>$G98</f>
        <v>30098821.84</v>
      </c>
      <c r="DP98" s="3236">
        <f>VLOOKUP($E98,DO$442:DR$453,2,FALSE)*DO98*($K98)+IF($G98&gt;0,($H98/$G98)*DO98,0)*(1-$K98)</f>
        <v>0</v>
      </c>
      <c r="DQ98" s="3236">
        <f>VLOOKUP($E98,DO$442:DR$453,3,FALSE)*DO98*($K98)+IF($G98&gt;0,($I98/$G98)*DO98,0)*(1-$K98)</f>
        <v>0</v>
      </c>
      <c r="DR98" s="3236">
        <f>VLOOKUP($E98,DO$442:DR$453,4,FALSE)*DO98*($K98)+(DO98-DP98-DQ98)*(1-$K98)</f>
        <v>30098821.84</v>
      </c>
      <c r="DS98" s="3237"/>
      <c r="DW98" s="3235">
        <f>$G98</f>
        <v>30098821.84</v>
      </c>
      <c r="DX98" s="3236">
        <f>VLOOKUP($E98,DW$442:DZ$453,2,FALSE)*DW98*($K98)+IF($G98&gt;0,($H98/$G98)*DW98,0)*(1-$K98)</f>
        <v>0</v>
      </c>
      <c r="DY98" s="3236">
        <f>VLOOKUP($E98,DW$442:DZ$453,3,FALSE)*DW98*($K98)+IF($G98&gt;0,($I98/$G98)*DW98,0)*(1-$K98)</f>
        <v>0</v>
      </c>
      <c r="DZ98" s="3236">
        <f>VLOOKUP($E98,DW$442:DZ$453,4,FALSE)*DW98*($K98)+(DW98-DX98-DY98)*(1-$K98)</f>
        <v>30098821.84</v>
      </c>
      <c r="EA98" s="3237"/>
      <c r="EE98" s="3235">
        <f>$G98</f>
        <v>30098821.84</v>
      </c>
      <c r="EF98" s="3236">
        <f>VLOOKUP($E98,EE$442:EH$453,2,FALSE)*EE98*($K98)+IF($G98&gt;0,($H98/$G98)*EE98,0)*(1-$K98)</f>
        <v>0</v>
      </c>
      <c r="EG98" s="3236">
        <f>VLOOKUP($E98,EE$442:EH$453,3,FALSE)*EE98*($K98)+IF($G98&gt;0,($I98/$G98)*EE98,0)*(1-$K98)</f>
        <v>0</v>
      </c>
      <c r="EH98" s="3236">
        <f>VLOOKUP($E98,EE$442:EH$453,4,FALSE)*EE98*($K98)+(EE98-EF98-EG98)*(1-$K98)</f>
        <v>30098821.84</v>
      </c>
      <c r="EI98" s="3237"/>
      <c r="EM98" s="3235">
        <f>$G98</f>
        <v>30098821.84</v>
      </c>
      <c r="EN98" s="3236">
        <f>VLOOKUP($E98,EM$442:EP$453,2,FALSE)*EM98*($K98)+IF($G98&gt;0,($H98/$G98)*EM98,0)*(1-$K98)</f>
        <v>0</v>
      </c>
      <c r="EO98" s="3236">
        <f>VLOOKUP($E98,EM$442:EP$453,3,FALSE)*EM98*($K98)+IF($G98&gt;0,($I98/$G98)*EM98,0)*(1-$K98)</f>
        <v>0</v>
      </c>
      <c r="EP98" s="3236">
        <f>VLOOKUP($E98,EM$442:EP$453,4,FALSE)*EM98*($K98)+(EM98-EN98-EO98)*(1-$K98)</f>
        <v>30098821.84</v>
      </c>
      <c r="EQ98" s="3237"/>
      <c r="EU98" s="3235">
        <f>$G98</f>
        <v>30098821.84</v>
      </c>
      <c r="EV98" s="3236">
        <f>VLOOKUP($E98,EU$442:EX$453,2,FALSE)*EU98*($K98)+IF($G98&gt;0,($H98/$G98)*EU98,0)*(1-$K98)</f>
        <v>0</v>
      </c>
      <c r="EW98" s="3236">
        <f>VLOOKUP($E98,EU$442:EX$453,3,FALSE)*EU98*($K98)+IF($G98&gt;0,($I98/$G98)*EU98,0)*(1-$K98)</f>
        <v>0</v>
      </c>
      <c r="EX98" s="3236">
        <f>VLOOKUP($E98,EU$442:EX$453,4,FALSE)*EU98*($K98)+(EU98-EV98-EW98)*(1-$K98)</f>
        <v>30098821.84</v>
      </c>
      <c r="EY98" s="3237"/>
      <c r="FC98" s="3235">
        <f>$G98</f>
        <v>30098821.84</v>
      </c>
      <c r="FD98" s="3236">
        <f>VLOOKUP($E98,FC$442:FF$453,2,FALSE)*FC98*($K98)+IF($G98&gt;0,($H98/$G98)*FC98,0)*(1-$K98)</f>
        <v>0</v>
      </c>
      <c r="FE98" s="3236">
        <f>VLOOKUP($E98,FC$442:FF$453,3,FALSE)*FC98*($K98)+IF($G98&gt;0,($I98/$G98)*FC98,0)*(1-$K98)</f>
        <v>0</v>
      </c>
      <c r="FF98" s="3236">
        <f>VLOOKUP($E98,FC$442:FF$453,4,FALSE)*FC98*($K98)+(FC98-FD98-FE98)*(1-$K98)</f>
        <v>30098821.84</v>
      </c>
      <c r="FG98" s="3237"/>
      <c r="FK98" s="3235">
        <f>$G98</f>
        <v>30098821.84</v>
      </c>
      <c r="FL98" s="3236">
        <f>VLOOKUP($E98,FK$442:FN$453,2,FALSE)*FK98*($K98)+IF($G98&gt;0,($H98/$G98)*FK98,0)*(1-$K98)</f>
        <v>0</v>
      </c>
      <c r="FM98" s="3236">
        <f>VLOOKUP($E98,FK$442:FN$453,3,FALSE)*FK98*($K98)+IF($G98&gt;0,($I98/$G98)*FK98,0)*(1-$K98)</f>
        <v>0</v>
      </c>
      <c r="FN98" s="3236">
        <f>VLOOKUP($E98,FK$442:FN$453,4,FALSE)*FK98*($K98)+(FK98-FL98-FM98)*(1-$K98)</f>
        <v>30098821.84</v>
      </c>
      <c r="FO98" s="3237"/>
    </row>
    <row r="99" spans="1:171">
      <c r="A99" s="2092"/>
      <c r="B99" s="2290" t="s">
        <v>370</v>
      </c>
      <c r="C99" s="2464" t="s">
        <v>78</v>
      </c>
      <c r="D99" s="2464">
        <v>176</v>
      </c>
      <c r="E99" s="2424" t="str">
        <f>'Sch 1- Rate Base '!E99</f>
        <v>DIST</v>
      </c>
      <c r="F99" s="2171"/>
      <c r="G99" s="2424">
        <f>'Sch 1- Rate Base '!G99</f>
        <v>0</v>
      </c>
      <c r="H99" s="2424">
        <f>'Sch 1- Rate Base '!H99</f>
        <v>0</v>
      </c>
      <c r="I99" s="2424">
        <f>'Sch 1- Rate Base '!I99</f>
        <v>0</v>
      </c>
      <c r="J99" s="3465">
        <f>'Sch 1- Rate Base '!J99</f>
        <v>0</v>
      </c>
      <c r="K99" s="3205">
        <f>IF($E99="DIRECT",0,1)</f>
        <v>1</v>
      </c>
      <c r="O99" s="3235">
        <f>$G99</f>
        <v>0</v>
      </c>
      <c r="P99" s="3236">
        <f>VLOOKUP($E99,O$442:R$453,2,FALSE)*O99*($K99)+IF($G99&gt;0,($H99/$G99)*O99,0)*(1-$K99)</f>
        <v>0</v>
      </c>
      <c r="Q99" s="3236">
        <f>VLOOKUP($E99,O$442:R$453,3,FALSE)*O99*($K99)+IF($G99&gt;0,($I99/$G99)*O99,0)*(1-$K99)</f>
        <v>0</v>
      </c>
      <c r="R99" s="3236">
        <f>VLOOKUP($E99,O$442:R$453,4,FALSE)*O99*($K99)+(O99-P99-Q99)*(1-$K99)</f>
        <v>0</v>
      </c>
      <c r="S99" s="3237"/>
      <c r="W99" s="3235">
        <f>$G99</f>
        <v>0</v>
      </c>
      <c r="X99" s="3236">
        <f>VLOOKUP($E99,W$442:Z$453,2,FALSE)*W99*($K99)+IF($G99&gt;0,($H99/$G99)*W99,0)*(1-$K99)</f>
        <v>0</v>
      </c>
      <c r="Y99" s="3236">
        <f>VLOOKUP($E99,W$442:Z$453,3,FALSE)*W99*($K99)+IF($G99&gt;0,($I99/$G99)*W99,0)*(1-$K99)</f>
        <v>0</v>
      </c>
      <c r="Z99" s="3236">
        <f>VLOOKUP($E99,W$442:Z$453,4,FALSE)*W99*($K99)+(W99-X99-Y99)*(1-$K99)</f>
        <v>0</v>
      </c>
      <c r="AA99" s="3237"/>
      <c r="AE99" s="3235">
        <f>$G99</f>
        <v>0</v>
      </c>
      <c r="AF99" s="3236">
        <f>VLOOKUP($E99,AE$442:AH$453,2,FALSE)*AE99*($K99)+IF($G99&gt;0,($H99/$G99)*AE99,0)*(1-$K99)</f>
        <v>0</v>
      </c>
      <c r="AG99" s="3236">
        <f>VLOOKUP($E99,AE$442:AH$453,3,FALSE)*AE99*($K99)+IF($G99&gt;0,($I99/$G99)*AE99,0)*(1-$K99)</f>
        <v>0</v>
      </c>
      <c r="AH99" s="3236">
        <f>VLOOKUP($E99,AE$442:AH$453,4,FALSE)*AE99*($K99)+(AE99-AF99-AG99)*(1-$K99)</f>
        <v>0</v>
      </c>
      <c r="AI99" s="3237"/>
      <c r="AM99" s="3235">
        <f>$G99</f>
        <v>0</v>
      </c>
      <c r="AN99" s="3236">
        <f>VLOOKUP($E99,AM$442:AP$453,2,FALSE)*AM99*($K99)+IF($G99&gt;0,($H99/$G99)*AM99,0)*(1-$K99)</f>
        <v>0</v>
      </c>
      <c r="AO99" s="3236">
        <f>VLOOKUP($E99,AM$442:AP$453,3,FALSE)*AM99*($K99)+IF($G99&gt;0,($I99/$G99)*AM99,0)*(1-$K99)</f>
        <v>0</v>
      </c>
      <c r="AP99" s="3236">
        <f>VLOOKUP($E99,AM$442:AP$453,4,FALSE)*AM99*($K99)+(AM99-AN99-AO99)*(1-$K99)</f>
        <v>0</v>
      </c>
      <c r="AQ99" s="3237"/>
      <c r="AU99" s="3235">
        <f>$G99</f>
        <v>0</v>
      </c>
      <c r="AV99" s="3236">
        <f>VLOOKUP($E99,AU$442:AX$453,2,FALSE)*AU99*($K99)+IF($G99&gt;0,($H99/$G99)*AU99,0)*(1-$K99)</f>
        <v>0</v>
      </c>
      <c r="AW99" s="3236">
        <f>VLOOKUP($E99,AU$442:AX$453,3,FALSE)*AU99*($K99)+IF($G99&gt;0,($I99/$G99)*AU99,0)*(1-$K99)</f>
        <v>0</v>
      </c>
      <c r="AX99" s="3236">
        <f>VLOOKUP($E99,AU$442:AX$453,4,FALSE)*AU99*($K99)+(AU99-AV99-AW99)*(1-$K99)</f>
        <v>0</v>
      </c>
      <c r="AY99" s="3237"/>
      <c r="BC99" s="3235">
        <f>$G99</f>
        <v>0</v>
      </c>
      <c r="BD99" s="3236">
        <f>VLOOKUP($E99,BC$442:BF$453,2,FALSE)*BC99*($K99)+IF($G99&gt;0,($H99/$G99)*BC99,0)*(1-$K99)</f>
        <v>0</v>
      </c>
      <c r="BE99" s="3236">
        <f>VLOOKUP($E99,BC$442:BF$453,3,FALSE)*BC99*($K99)+IF($G99&gt;0,($I99/$G99)*BC99,0)*(1-$K99)</f>
        <v>0</v>
      </c>
      <c r="BF99" s="3236">
        <f>VLOOKUP($E99,BC$442:BF$453,4,FALSE)*BC99*($K99)+(BC99-BD99-BE99)*(1-$K99)</f>
        <v>0</v>
      </c>
      <c r="BG99" s="3237"/>
      <c r="BK99" s="3235">
        <f>$G99</f>
        <v>0</v>
      </c>
      <c r="BL99" s="3236">
        <f>VLOOKUP($E99,BK$442:BN$453,2,FALSE)*BK99*($K99)+IF($G99&gt;0,($H99/$G99)*BK99,0)*(1-$K99)</f>
        <v>0</v>
      </c>
      <c r="BM99" s="3236">
        <f>VLOOKUP($E99,BK$442:BN$453,3,FALSE)*BK99*($K99)+IF($G99&gt;0,($I99/$G99)*BK99,0)*(1-$K99)</f>
        <v>0</v>
      </c>
      <c r="BN99" s="3236">
        <f>VLOOKUP($E99,BK$442:BN$453,4,FALSE)*BK99*($K99)+(BK99-BL99-BM99)*(1-$K99)</f>
        <v>0</v>
      </c>
      <c r="BO99" s="3237"/>
      <c r="BS99" s="3235">
        <f>$G99</f>
        <v>0</v>
      </c>
      <c r="BT99" s="3236">
        <f>VLOOKUP($E99,BS$442:BV$453,2,FALSE)*BS99*($K99)+IF($G99&gt;0,($H99/$G99)*BS99,0)*(1-$K99)</f>
        <v>0</v>
      </c>
      <c r="BU99" s="3236">
        <f>VLOOKUP($E99,BS$442:BV$453,3,FALSE)*BS99*($K99)+IF($G99&gt;0,($I99/$G99)*BS99,0)*(1-$K99)</f>
        <v>0</v>
      </c>
      <c r="BV99" s="3236">
        <f>VLOOKUP($E99,BS$442:BV$453,4,FALSE)*BS99*($K99)+(BS99-BT99-BU99)*(1-$K99)</f>
        <v>0</v>
      </c>
      <c r="BW99" s="3237"/>
      <c r="CA99" s="3235">
        <f>$G99</f>
        <v>0</v>
      </c>
      <c r="CB99" s="3236">
        <f>VLOOKUP($E99,CA$442:CD$453,2,FALSE)*CA99*($K99)+IF($G99&gt;0,($H99/$G99)*CA99,0)*(1-$K99)</f>
        <v>0</v>
      </c>
      <c r="CC99" s="3236">
        <f>VLOOKUP($E99,CA$442:CD$453,3,FALSE)*CA99*($K99)+IF($G99&gt;0,($I99/$G99)*CA99,0)*(1-$K99)</f>
        <v>0</v>
      </c>
      <c r="CD99" s="3236">
        <f>VLOOKUP($E99,CA$442:CD$453,4,FALSE)*CA99*($K99)+(CA99-CB99-CC99)*(1-$K99)</f>
        <v>0</v>
      </c>
      <c r="CE99" s="3237"/>
      <c r="CI99" s="3235">
        <f>$G99</f>
        <v>0</v>
      </c>
      <c r="CJ99" s="3236">
        <f>VLOOKUP($E99,CI$442:CL$453,2,FALSE)*CI99*($K99)+IF($G99&gt;0,($H99/$G99)*CI99,0)*(1-$K99)</f>
        <v>0</v>
      </c>
      <c r="CK99" s="3236">
        <f>VLOOKUP($E99,CI$442:CL$453,3,FALSE)*CI99*($K99)+IF($G99&gt;0,($I99/$G99)*CI99,0)*(1-$K99)</f>
        <v>0</v>
      </c>
      <c r="CL99" s="3236">
        <f>VLOOKUP($E99,CI$442:CL$453,4,FALSE)*CI99*($K99)+(CI99-CJ99-CK99)*(1-$K99)</f>
        <v>0</v>
      </c>
      <c r="CM99" s="3237"/>
      <c r="CQ99" s="3235">
        <f>$G99</f>
        <v>0</v>
      </c>
      <c r="CR99" s="3236">
        <f>VLOOKUP($E99,CQ$442:CT$453,2,FALSE)*CQ99*($K99)+IF($G99&gt;0,($H99/$G99)*CQ99,0)*(1-$K99)</f>
        <v>0</v>
      </c>
      <c r="CS99" s="3236">
        <f>VLOOKUP($E99,CQ$442:CT$453,3,FALSE)*CQ99*($K99)+IF($G99&gt;0,($I99/$G99)*CQ99,0)*(1-$K99)</f>
        <v>0</v>
      </c>
      <c r="CT99" s="3236">
        <f>VLOOKUP($E99,CQ$442:CT$453,4,FALSE)*CQ99*($K99)+(CQ99-CR99-CS99)*(1-$K99)</f>
        <v>0</v>
      </c>
      <c r="CU99" s="3237"/>
      <c r="CY99" s="3235">
        <f>$G99</f>
        <v>0</v>
      </c>
      <c r="CZ99" s="3236">
        <f>VLOOKUP($E99,CY$442:DB$453,2,FALSE)*CY99*($K99)+IF($G99&gt;0,($H99/$G99)*CY99,0)*(1-$K99)</f>
        <v>0</v>
      </c>
      <c r="DA99" s="3236">
        <f>VLOOKUP($E99,CY$442:DB$453,3,FALSE)*CY99*($K99)+IF($G99&gt;0,($I99/$G99)*CY99,0)*(1-$K99)</f>
        <v>0</v>
      </c>
      <c r="DB99" s="3236">
        <f>VLOOKUP($E99,CY$442:DB$453,4,FALSE)*CY99*($K99)+(CY99-CZ99-DA99)*(1-$K99)</f>
        <v>0</v>
      </c>
      <c r="DC99" s="3237"/>
      <c r="DG99" s="3235">
        <f>$G99</f>
        <v>0</v>
      </c>
      <c r="DH99" s="3236">
        <f>VLOOKUP($E99,DG$442:DJ$453,2,FALSE)*DG99*($K99)+IF($G99&gt;0,($H99/$G99)*DG99,0)*(1-$K99)</f>
        <v>0</v>
      </c>
      <c r="DI99" s="3236">
        <f>VLOOKUP($E99,DG$442:DJ$453,3,FALSE)*DG99*($K99)+IF($G99&gt;0,($I99/$G99)*DG99,0)*(1-$K99)</f>
        <v>0</v>
      </c>
      <c r="DJ99" s="3236">
        <f>VLOOKUP($E99,DG$442:DJ$453,4,FALSE)*DG99*($K99)+(DG99-DH99-DI99)*(1-$K99)</f>
        <v>0</v>
      </c>
      <c r="DK99" s="3237"/>
      <c r="DO99" s="3235">
        <f>$G99</f>
        <v>0</v>
      </c>
      <c r="DP99" s="3236">
        <f>VLOOKUP($E99,DO$442:DR$453,2,FALSE)*DO99*($K99)+IF($G99&gt;0,($H99/$G99)*DO99,0)*(1-$K99)</f>
        <v>0</v>
      </c>
      <c r="DQ99" s="3236">
        <f>VLOOKUP($E99,DO$442:DR$453,3,FALSE)*DO99*($K99)+IF($G99&gt;0,($I99/$G99)*DO99,0)*(1-$K99)</f>
        <v>0</v>
      </c>
      <c r="DR99" s="3236">
        <f>VLOOKUP($E99,DO$442:DR$453,4,FALSE)*DO99*($K99)+(DO99-DP99-DQ99)*(1-$K99)</f>
        <v>0</v>
      </c>
      <c r="DS99" s="3237"/>
      <c r="DW99" s="3235">
        <f>$G99</f>
        <v>0</v>
      </c>
      <c r="DX99" s="3236">
        <f>VLOOKUP($E99,DW$442:DZ$453,2,FALSE)*DW99*($K99)+IF($G99&gt;0,($H99/$G99)*DW99,0)*(1-$K99)</f>
        <v>0</v>
      </c>
      <c r="DY99" s="3236">
        <f>VLOOKUP($E99,DW$442:DZ$453,3,FALSE)*DW99*($K99)+IF($G99&gt;0,($I99/$G99)*DW99,0)*(1-$K99)</f>
        <v>0</v>
      </c>
      <c r="DZ99" s="3236">
        <f>VLOOKUP($E99,DW$442:DZ$453,4,FALSE)*DW99*($K99)+(DW99-DX99-DY99)*(1-$K99)</f>
        <v>0</v>
      </c>
      <c r="EA99" s="3237"/>
      <c r="EE99" s="3235">
        <f>$G99</f>
        <v>0</v>
      </c>
      <c r="EF99" s="3236">
        <f>VLOOKUP($E99,EE$442:EH$453,2,FALSE)*EE99*($K99)+IF($G99&gt;0,($H99/$G99)*EE99,0)*(1-$K99)</f>
        <v>0</v>
      </c>
      <c r="EG99" s="3236">
        <f>VLOOKUP($E99,EE$442:EH$453,3,FALSE)*EE99*($K99)+IF($G99&gt;0,($I99/$G99)*EE99,0)*(1-$K99)</f>
        <v>0</v>
      </c>
      <c r="EH99" s="3236">
        <f>VLOOKUP($E99,EE$442:EH$453,4,FALSE)*EE99*($K99)+(EE99-EF99-EG99)*(1-$K99)</f>
        <v>0</v>
      </c>
      <c r="EI99" s="3237"/>
      <c r="EM99" s="3235">
        <f>$G99</f>
        <v>0</v>
      </c>
      <c r="EN99" s="3236">
        <f>VLOOKUP($E99,EM$442:EP$453,2,FALSE)*EM99*($K99)+IF($G99&gt;0,($H99/$G99)*EM99,0)*(1-$K99)</f>
        <v>0</v>
      </c>
      <c r="EO99" s="3236">
        <f>VLOOKUP($E99,EM$442:EP$453,3,FALSE)*EM99*($K99)+IF($G99&gt;0,($I99/$G99)*EM99,0)*(1-$K99)</f>
        <v>0</v>
      </c>
      <c r="EP99" s="3236">
        <f>VLOOKUP($E99,EM$442:EP$453,4,FALSE)*EM99*($K99)+(EM99-EN99-EO99)*(1-$K99)</f>
        <v>0</v>
      </c>
      <c r="EQ99" s="3237"/>
      <c r="EU99" s="3235">
        <f>$G99</f>
        <v>0</v>
      </c>
      <c r="EV99" s="3236">
        <f>VLOOKUP($E99,EU$442:EX$453,2,FALSE)*EU99*($K99)+IF($G99&gt;0,($H99/$G99)*EU99,0)*(1-$K99)</f>
        <v>0</v>
      </c>
      <c r="EW99" s="3236">
        <f>VLOOKUP($E99,EU$442:EX$453,3,FALSE)*EU99*($K99)+IF($G99&gt;0,($I99/$G99)*EU99,0)*(1-$K99)</f>
        <v>0</v>
      </c>
      <c r="EX99" s="3236">
        <f>VLOOKUP($E99,EU$442:EX$453,4,FALSE)*EU99*($K99)+(EU99-EV99-EW99)*(1-$K99)</f>
        <v>0</v>
      </c>
      <c r="EY99" s="3237"/>
      <c r="FC99" s="3235">
        <f>$G99</f>
        <v>0</v>
      </c>
      <c r="FD99" s="3236">
        <f>VLOOKUP($E99,FC$442:FF$453,2,FALSE)*FC99*($K99)+IF($G99&gt;0,($H99/$G99)*FC99,0)*(1-$K99)</f>
        <v>0</v>
      </c>
      <c r="FE99" s="3236">
        <f>VLOOKUP($E99,FC$442:FF$453,3,FALSE)*FC99*($K99)+IF($G99&gt;0,($I99/$G99)*FC99,0)*(1-$K99)</f>
        <v>0</v>
      </c>
      <c r="FF99" s="3236">
        <f>VLOOKUP($E99,FC$442:FF$453,4,FALSE)*FC99*($K99)+(FC99-FD99-FE99)*(1-$K99)</f>
        <v>0</v>
      </c>
      <c r="FG99" s="3237"/>
      <c r="FK99" s="3235">
        <f>$G99</f>
        <v>0</v>
      </c>
      <c r="FL99" s="3236">
        <f>VLOOKUP($E99,FK$442:FN$453,2,FALSE)*FK99*($K99)+IF($G99&gt;0,($H99/$G99)*FK99,0)*(1-$K99)</f>
        <v>0</v>
      </c>
      <c r="FM99" s="3236">
        <f>VLOOKUP($E99,FK$442:FN$453,3,FALSE)*FK99*($K99)+IF($G99&gt;0,($I99/$G99)*FK99,0)*(1-$K99)</f>
        <v>0</v>
      </c>
      <c r="FN99" s="3236">
        <f>VLOOKUP($E99,FK$442:FN$453,4,FALSE)*FK99*($K99)+(FK99-FL99-FM99)*(1-$K99)</f>
        <v>0</v>
      </c>
      <c r="FO99" s="3237"/>
    </row>
    <row r="100" spans="1:171">
      <c r="A100" s="2092"/>
      <c r="B100" s="3206" t="s">
        <v>104</v>
      </c>
      <c r="C100" s="3256"/>
      <c r="D100" s="3257"/>
      <c r="E100" s="3257"/>
      <c r="F100" s="3258"/>
      <c r="G100" s="3265">
        <f>SUM(G96:G99)</f>
        <v>59409403.679956228</v>
      </c>
      <c r="H100" s="3265">
        <f>SUM(H96:H99)</f>
        <v>0</v>
      </c>
      <c r="I100" s="3265">
        <f>SUM(I96:I99)</f>
        <v>0</v>
      </c>
      <c r="J100" s="3474">
        <f>SUM(J96:J99)</f>
        <v>59409403.679956228</v>
      </c>
      <c r="K100" s="3205"/>
      <c r="O100" s="3281">
        <f>SUM(O96:O99)</f>
        <v>59409403.679956228</v>
      </c>
      <c r="P100" s="3281">
        <f>SUM(P96:P99)</f>
        <v>0</v>
      </c>
      <c r="Q100" s="3281">
        <f>SUM(Q96:Q99)</f>
        <v>0</v>
      </c>
      <c r="R100" s="3281">
        <f>SUM(R96:R99)</f>
        <v>59409403.679956228</v>
      </c>
      <c r="S100" s="3237"/>
      <c r="W100" s="3281">
        <f>SUM(W96:W99)</f>
        <v>59409403.679956228</v>
      </c>
      <c r="X100" s="3281">
        <f>SUM(X96:X99)</f>
        <v>0</v>
      </c>
      <c r="Y100" s="3281">
        <f>SUM(Y96:Y99)</f>
        <v>0</v>
      </c>
      <c r="Z100" s="3281">
        <f>SUM(Z96:Z99)</f>
        <v>59409403.679956228</v>
      </c>
      <c r="AA100" s="3237"/>
      <c r="AE100" s="3281">
        <f>SUM(AE96:AE99)</f>
        <v>59409403.679956228</v>
      </c>
      <c r="AF100" s="3281">
        <f>SUM(AF96:AF99)</f>
        <v>0</v>
      </c>
      <c r="AG100" s="3281">
        <f>SUM(AG96:AG99)</f>
        <v>0</v>
      </c>
      <c r="AH100" s="3281">
        <f>SUM(AH96:AH99)</f>
        <v>59409403.679956228</v>
      </c>
      <c r="AI100" s="3237"/>
      <c r="AM100" s="3281">
        <f>SUM(AM96:AM99)</f>
        <v>59409403.679956228</v>
      </c>
      <c r="AN100" s="3281">
        <f>SUM(AN96:AN99)</f>
        <v>0</v>
      </c>
      <c r="AO100" s="3281">
        <f>SUM(AO96:AO99)</f>
        <v>0</v>
      </c>
      <c r="AP100" s="3281">
        <f>SUM(AP96:AP99)</f>
        <v>59409403.679956228</v>
      </c>
      <c r="AQ100" s="3237"/>
      <c r="AU100" s="3281">
        <f>SUM(AU96:AU99)</f>
        <v>59409403.679956228</v>
      </c>
      <c r="AV100" s="3281">
        <f>SUM(AV96:AV99)</f>
        <v>0</v>
      </c>
      <c r="AW100" s="3281">
        <f>SUM(AW96:AW99)</f>
        <v>0</v>
      </c>
      <c r="AX100" s="3281">
        <f>SUM(AX96:AX99)</f>
        <v>59409403.679956228</v>
      </c>
      <c r="AY100" s="3237"/>
      <c r="BC100" s="3281">
        <f>SUM(BC96:BC99)</f>
        <v>59409403.679956228</v>
      </c>
      <c r="BD100" s="3281">
        <f>SUM(BD96:BD99)</f>
        <v>0</v>
      </c>
      <c r="BE100" s="3281">
        <f>SUM(BE96:BE99)</f>
        <v>0</v>
      </c>
      <c r="BF100" s="3281">
        <f>SUM(BF96:BF99)</f>
        <v>59409403.679956228</v>
      </c>
      <c r="BG100" s="3237"/>
      <c r="BK100" s="3281">
        <f>SUM(BK96:BK99)</f>
        <v>59409403.679956228</v>
      </c>
      <c r="BL100" s="3281">
        <f>SUM(BL96:BL99)</f>
        <v>0</v>
      </c>
      <c r="BM100" s="3281">
        <f>SUM(BM96:BM99)</f>
        <v>0</v>
      </c>
      <c r="BN100" s="3281">
        <f>SUM(BN96:BN99)</f>
        <v>59409403.679956228</v>
      </c>
      <c r="BO100" s="3237"/>
      <c r="BS100" s="3281">
        <f>SUM(BS96:BS99)</f>
        <v>59409403.679956228</v>
      </c>
      <c r="BT100" s="3281">
        <f>SUM(BT96:BT99)</f>
        <v>0</v>
      </c>
      <c r="BU100" s="3281">
        <f>SUM(BU96:BU99)</f>
        <v>0</v>
      </c>
      <c r="BV100" s="3281">
        <f>SUM(BV96:BV99)</f>
        <v>59409403.679956228</v>
      </c>
      <c r="BW100" s="3237"/>
      <c r="CA100" s="3281">
        <f>SUM(CA96:CA99)</f>
        <v>59409403.679956228</v>
      </c>
      <c r="CB100" s="3281">
        <f>SUM(CB96:CB99)</f>
        <v>0</v>
      </c>
      <c r="CC100" s="3281">
        <f>SUM(CC96:CC99)</f>
        <v>0</v>
      </c>
      <c r="CD100" s="3281">
        <f>SUM(CD96:CD99)</f>
        <v>59409403.679956228</v>
      </c>
      <c r="CE100" s="3237"/>
      <c r="CI100" s="3281">
        <f>SUM(CI96:CI99)</f>
        <v>59409403.679956228</v>
      </c>
      <c r="CJ100" s="3281">
        <f>SUM(CJ96:CJ99)</f>
        <v>0</v>
      </c>
      <c r="CK100" s="3281">
        <f>SUM(CK96:CK99)</f>
        <v>0</v>
      </c>
      <c r="CL100" s="3281">
        <f>SUM(CL96:CL99)</f>
        <v>59409403.679956228</v>
      </c>
      <c r="CM100" s="3237"/>
      <c r="CQ100" s="3281">
        <f>SUM(CQ96:CQ99)</f>
        <v>59409403.679956228</v>
      </c>
      <c r="CR100" s="3281">
        <f>SUM(CR96:CR99)</f>
        <v>0</v>
      </c>
      <c r="CS100" s="3281">
        <f>SUM(CS96:CS99)</f>
        <v>0</v>
      </c>
      <c r="CT100" s="3281">
        <f>SUM(CT96:CT99)</f>
        <v>59409403.679956228</v>
      </c>
      <c r="CU100" s="3237"/>
      <c r="CY100" s="3281">
        <f>SUM(CY96:CY99)</f>
        <v>59409403.679956228</v>
      </c>
      <c r="CZ100" s="3281">
        <f>SUM(CZ96:CZ99)</f>
        <v>0</v>
      </c>
      <c r="DA100" s="3281">
        <f>SUM(DA96:DA99)</f>
        <v>0</v>
      </c>
      <c r="DB100" s="3281">
        <f>SUM(DB96:DB99)</f>
        <v>59409403.679956228</v>
      </c>
      <c r="DC100" s="3237"/>
      <c r="DG100" s="3281">
        <f>SUM(DG96:DG99)</f>
        <v>59409403.679956228</v>
      </c>
      <c r="DH100" s="3281">
        <f>SUM(DH96:DH99)</f>
        <v>0</v>
      </c>
      <c r="DI100" s="3281">
        <f>SUM(DI96:DI99)</f>
        <v>0</v>
      </c>
      <c r="DJ100" s="3281">
        <f>SUM(DJ96:DJ99)</f>
        <v>59409403.679956228</v>
      </c>
      <c r="DK100" s="3237"/>
      <c r="DO100" s="3281">
        <f>SUM(DO96:DO99)</f>
        <v>59409403.679956228</v>
      </c>
      <c r="DP100" s="3281">
        <f>SUM(DP96:DP99)</f>
        <v>0</v>
      </c>
      <c r="DQ100" s="3281">
        <f>SUM(DQ96:DQ99)</f>
        <v>0</v>
      </c>
      <c r="DR100" s="3281">
        <f>SUM(DR96:DR99)</f>
        <v>59409403.679956228</v>
      </c>
      <c r="DS100" s="3237"/>
      <c r="DW100" s="3281">
        <f>SUM(DW96:DW99)</f>
        <v>59409403.679956228</v>
      </c>
      <c r="DX100" s="3281">
        <f>SUM(DX96:DX99)</f>
        <v>0</v>
      </c>
      <c r="DY100" s="3281">
        <f>SUM(DY96:DY99)</f>
        <v>0</v>
      </c>
      <c r="DZ100" s="3281">
        <f>SUM(DZ96:DZ99)</f>
        <v>59409403.679956228</v>
      </c>
      <c r="EA100" s="3237"/>
      <c r="EE100" s="3281">
        <f>SUM(EE96:EE99)</f>
        <v>59409403.679956228</v>
      </c>
      <c r="EF100" s="3281">
        <f>SUM(EF96:EF99)</f>
        <v>0</v>
      </c>
      <c r="EG100" s="3281">
        <f>SUM(EG96:EG99)</f>
        <v>0</v>
      </c>
      <c r="EH100" s="3281">
        <f>SUM(EH96:EH99)</f>
        <v>59409403.679956228</v>
      </c>
      <c r="EI100" s="3237"/>
      <c r="EM100" s="3281">
        <f>SUM(EM96:EM99)</f>
        <v>59409403.679956228</v>
      </c>
      <c r="EN100" s="3281">
        <f>SUM(EN96:EN99)</f>
        <v>0</v>
      </c>
      <c r="EO100" s="3281">
        <f>SUM(EO96:EO99)</f>
        <v>0</v>
      </c>
      <c r="EP100" s="3281">
        <f>SUM(EP96:EP99)</f>
        <v>59409403.679956228</v>
      </c>
      <c r="EQ100" s="3237"/>
      <c r="EU100" s="3281">
        <f>SUM(EU96:EU99)</f>
        <v>59409403.679956228</v>
      </c>
      <c r="EV100" s="3281">
        <f>SUM(EV96:EV99)</f>
        <v>0</v>
      </c>
      <c r="EW100" s="3281">
        <f>SUM(EW96:EW99)</f>
        <v>0</v>
      </c>
      <c r="EX100" s="3281">
        <f>SUM(EX96:EX99)</f>
        <v>59409403.679956228</v>
      </c>
      <c r="EY100" s="3237"/>
      <c r="FC100" s="3281">
        <f>SUM(FC96:FC99)</f>
        <v>59409403.679956228</v>
      </c>
      <c r="FD100" s="3281">
        <f>SUM(FD96:FD99)</f>
        <v>0</v>
      </c>
      <c r="FE100" s="3281">
        <f>SUM(FE96:FE99)</f>
        <v>0</v>
      </c>
      <c r="FF100" s="3281">
        <f>SUM(FF96:FF99)</f>
        <v>59409403.679956228</v>
      </c>
      <c r="FG100" s="3237"/>
      <c r="FK100" s="3281">
        <f>SUM(FK96:FK99)</f>
        <v>59409403.679956228</v>
      </c>
      <c r="FL100" s="3281">
        <f>SUM(FL96:FL99)</f>
        <v>0</v>
      </c>
      <c r="FM100" s="3281">
        <f>SUM(FM96:FM99)</f>
        <v>0</v>
      </c>
      <c r="FN100" s="3281">
        <f>SUM(FN96:FN99)</f>
        <v>59409403.679956228</v>
      </c>
      <c r="FO100" s="3237"/>
    </row>
    <row r="101" spans="1:171">
      <c r="A101" s="3452"/>
      <c r="J101" s="3453"/>
      <c r="K101" s="3205"/>
      <c r="S101" s="3237"/>
      <c r="AA101" s="3237"/>
      <c r="AI101" s="3237"/>
      <c r="AQ101" s="3237"/>
      <c r="AY101" s="3237"/>
      <c r="BG101" s="3237"/>
      <c r="BO101" s="3237"/>
      <c r="BW101" s="3237"/>
      <c r="CE101" s="3237"/>
      <c r="CM101" s="3237"/>
      <c r="CU101" s="3237"/>
      <c r="DC101" s="3237"/>
      <c r="DK101" s="3237"/>
      <c r="DS101" s="3237"/>
      <c r="EA101" s="3237"/>
      <c r="EI101" s="3237"/>
      <c r="EQ101" s="3237"/>
      <c r="EY101" s="3237"/>
      <c r="FG101" s="3237"/>
      <c r="FO101" s="3237"/>
    </row>
    <row r="102" spans="1:171">
      <c r="A102" s="3476" t="s">
        <v>177</v>
      </c>
      <c r="B102" s="2290"/>
      <c r="C102" s="2112"/>
      <c r="D102" s="2098"/>
      <c r="E102" s="2098"/>
      <c r="F102" s="2098"/>
      <c r="G102" s="3282"/>
      <c r="H102" s="3282"/>
      <c r="I102" s="3282"/>
      <c r="J102" s="3479"/>
      <c r="K102" s="3205"/>
      <c r="S102" s="3237"/>
      <c r="AA102" s="3237"/>
      <c r="AI102" s="3237"/>
      <c r="AQ102" s="3237"/>
      <c r="AY102" s="3237"/>
      <c r="BG102" s="3237"/>
      <c r="BO102" s="3237"/>
      <c r="BW102" s="3237"/>
      <c r="CE102" s="3237"/>
      <c r="CM102" s="3237"/>
      <c r="CU102" s="3237"/>
      <c r="DC102" s="3237"/>
      <c r="DK102" s="3237"/>
      <c r="DS102" s="3237"/>
      <c r="EA102" s="3237"/>
      <c r="EI102" s="3237"/>
      <c r="EQ102" s="3237"/>
      <c r="EY102" s="3237"/>
      <c r="FG102" s="3237"/>
      <c r="FO102" s="3237"/>
    </row>
    <row r="103" spans="1:171">
      <c r="A103" s="3480">
        <v>91000</v>
      </c>
      <c r="B103" s="2097" t="s">
        <v>435</v>
      </c>
      <c r="C103" s="2464" t="s">
        <v>78</v>
      </c>
      <c r="D103" s="2464">
        <v>151</v>
      </c>
      <c r="E103" s="2424" t="str">
        <f>'Sch 1- Rate Base '!E103</f>
        <v>PROD</v>
      </c>
      <c r="F103" s="2171"/>
      <c r="G103" s="2424">
        <f>'Sch 1- Rate Base '!G103</f>
        <v>32051446.329999998</v>
      </c>
      <c r="H103" s="2424">
        <f>'Sch 1- Rate Base '!H103</f>
        <v>32051446.329999998</v>
      </c>
      <c r="I103" s="2424">
        <f>'Sch 1- Rate Base '!I103</f>
        <v>0</v>
      </c>
      <c r="J103" s="3465">
        <f>'Sch 1- Rate Base '!J103</f>
        <v>0</v>
      </c>
      <c r="K103" s="3205">
        <f t="shared" ref="K103:K115" si="244">IF($E103="DIRECT",0,1)</f>
        <v>1</v>
      </c>
      <c r="N103" s="3255">
        <f>VLOOKUP($A103,'New Resources - Group'!$A$4:$Y$133,N$2,FALSE)*N$1</f>
        <v>0</v>
      </c>
      <c r="O103" s="3235">
        <f t="shared" ref="O103:O108" si="245">$G103+N103</f>
        <v>32051446.329999998</v>
      </c>
      <c r="P103" s="3236">
        <f t="shared" ref="P103:P109" si="246">VLOOKUP($E103,O$442:R$453,2,FALSE)*O103*($K103)+IF($G103&gt;0,($H103/$G103)*O103,0)*(1-$K103)</f>
        <v>32051446.329999998</v>
      </c>
      <c r="Q103" s="3236">
        <f t="shared" ref="Q103:Q109" si="247">VLOOKUP($E103,O$442:R$453,3,FALSE)*O103*($K103)+IF($G103&gt;0,($I103/$G103)*O103,0)*(1-$K103)</f>
        <v>0</v>
      </c>
      <c r="R103" s="3236">
        <f t="shared" ref="R103:R110" si="248">VLOOKUP($E103,O$442:R$453,4,FALSE)*O103*($K103)+(O103-P103-Q103)*(1-$K103)</f>
        <v>0</v>
      </c>
      <c r="S103" s="3237"/>
      <c r="V103" s="3255">
        <f>VLOOKUP($A103,'New Resources - Group'!$A$4:$Y$133,V$2,FALSE)*V$1</f>
        <v>0</v>
      </c>
      <c r="W103" s="3235">
        <f t="shared" ref="W103:W108" si="249">$G103+V103</f>
        <v>32051446.329999998</v>
      </c>
      <c r="X103" s="3236">
        <f t="shared" ref="X103:X109" si="250">VLOOKUP($E103,W$442:Z$453,2,FALSE)*W103*($K103)+IF($G103&gt;0,($H103/$G103)*W103,0)*(1-$K103)</f>
        <v>32051446.329999998</v>
      </c>
      <c r="Y103" s="3236">
        <f t="shared" ref="Y103:Y109" si="251">VLOOKUP($E103,W$442:Z$453,3,FALSE)*W103*($K103)+IF($G103&gt;0,($I103/$G103)*W103,0)*(1-$K103)</f>
        <v>0</v>
      </c>
      <c r="Z103" s="3236">
        <f t="shared" ref="Z103:Z110" si="252">VLOOKUP($E103,W$442:Z$453,4,FALSE)*W103*($K103)+(W103-X103-Y103)*(1-$K103)</f>
        <v>0</v>
      </c>
      <c r="AA103" s="3237"/>
      <c r="AD103" s="3255">
        <f>VLOOKUP($A103,'New Resources - Group'!$A$4:$Y$133,AD$2,FALSE)*AD$1</f>
        <v>0</v>
      </c>
      <c r="AE103" s="3235">
        <f t="shared" ref="AE103:AE108" si="253">$G103+AD103</f>
        <v>32051446.329999998</v>
      </c>
      <c r="AF103" s="3236">
        <f t="shared" ref="AF103:AF109" si="254">VLOOKUP($E103,AE$442:AH$453,2,FALSE)*AE103*($K103)+IF($G103&gt;0,($H103/$G103)*AE103,0)*(1-$K103)</f>
        <v>32051446.329999998</v>
      </c>
      <c r="AG103" s="3236">
        <f t="shared" ref="AG103:AG109" si="255">VLOOKUP($E103,AE$442:AH$453,3,FALSE)*AE103*($K103)+IF($G103&gt;0,($I103/$G103)*AE103,0)*(1-$K103)</f>
        <v>0</v>
      </c>
      <c r="AH103" s="3236">
        <f t="shared" ref="AH103:AH110" si="256">VLOOKUP($E103,AE$442:AH$453,4,FALSE)*AE103*($K103)+(AE103-AF103-AG103)*(1-$K103)</f>
        <v>0</v>
      </c>
      <c r="AI103" s="3237"/>
      <c r="AL103" s="3255">
        <f>VLOOKUP($A103,'New Resources - Group'!$A$4:$Y$133,AL$2,FALSE)*AL$1</f>
        <v>0</v>
      </c>
      <c r="AM103" s="3235">
        <f t="shared" ref="AM103:AM108" si="257">$G103+AL103</f>
        <v>32051446.329999998</v>
      </c>
      <c r="AN103" s="3236">
        <f t="shared" ref="AN103:AN109" si="258">VLOOKUP($E103,AM$442:AP$453,2,FALSE)*AM103*($K103)+IF($G103&gt;0,($H103/$G103)*AM103,0)*(1-$K103)</f>
        <v>32051446.329999998</v>
      </c>
      <c r="AO103" s="3236">
        <f t="shared" ref="AO103:AO109" si="259">VLOOKUP($E103,AM$442:AP$453,3,FALSE)*AM103*($K103)+IF($G103&gt;0,($I103/$G103)*AM103,0)*(1-$K103)</f>
        <v>0</v>
      </c>
      <c r="AP103" s="3236">
        <f t="shared" ref="AP103:AP110" si="260">VLOOKUP($E103,AM$442:AP$453,4,FALSE)*AM103*($K103)+(AM103-AN103-AO103)*(1-$K103)</f>
        <v>0</v>
      </c>
      <c r="AQ103" s="3237"/>
      <c r="AT103" s="3255">
        <f>VLOOKUP($A103,'New Resources - Group'!$A$4:$Y$133,AT$2,FALSE)*AT$1</f>
        <v>0</v>
      </c>
      <c r="AU103" s="3235">
        <f t="shared" ref="AU103:AU108" si="261">$G103+AT103</f>
        <v>32051446.329999998</v>
      </c>
      <c r="AV103" s="3236">
        <f t="shared" ref="AV103:AV109" si="262">VLOOKUP($E103,AU$442:AX$453,2,FALSE)*AU103*($K103)+IF($G103&gt;0,($H103/$G103)*AU103,0)*(1-$K103)</f>
        <v>32051446.329999998</v>
      </c>
      <c r="AW103" s="3236">
        <f t="shared" ref="AW103:AW109" si="263">VLOOKUP($E103,AU$442:AX$453,3,FALSE)*AU103*($K103)+IF($G103&gt;0,($I103/$G103)*AU103,0)*(1-$K103)</f>
        <v>0</v>
      </c>
      <c r="AX103" s="3236">
        <f t="shared" ref="AX103:AX110" si="264">VLOOKUP($E103,AU$442:AX$453,4,FALSE)*AU103*($K103)+(AU103-AV103-AW103)*(1-$K103)</f>
        <v>0</v>
      </c>
      <c r="AY103" s="3237"/>
      <c r="BB103" s="3255">
        <f>VLOOKUP($A103,'New Resources - Group'!$A$4:$Y$133,BB$2,FALSE)*BB$1</f>
        <v>0</v>
      </c>
      <c r="BC103" s="3235">
        <f t="shared" ref="BC103:BC108" si="265">$G103+BB103</f>
        <v>32051446.329999998</v>
      </c>
      <c r="BD103" s="3236">
        <f t="shared" ref="BD103:BD109" si="266">VLOOKUP($E103,BC$442:BF$453,2,FALSE)*BC103*($K103)+IF($G103&gt;0,($H103/$G103)*BC103,0)*(1-$K103)</f>
        <v>32051446.329999998</v>
      </c>
      <c r="BE103" s="3236">
        <f t="shared" ref="BE103:BE109" si="267">VLOOKUP($E103,BC$442:BF$453,3,FALSE)*BC103*($K103)+IF($G103&gt;0,($I103/$G103)*BC103,0)*(1-$K103)</f>
        <v>0</v>
      </c>
      <c r="BF103" s="3236">
        <f t="shared" ref="BF103:BF110" si="268">VLOOKUP($E103,BC$442:BF$453,4,FALSE)*BC103*($K103)+(BC103-BD103-BE103)*(1-$K103)</f>
        <v>0</v>
      </c>
      <c r="BG103" s="3237"/>
      <c r="BJ103" s="3255">
        <f>VLOOKUP($A103,'New Resources - Group'!$A$4:$Y$133,BJ$2,FALSE)*BJ$1</f>
        <v>0</v>
      </c>
      <c r="BK103" s="3235">
        <f t="shared" ref="BK103:BK108" si="269">$G103+BJ103</f>
        <v>32051446.329999998</v>
      </c>
      <c r="BL103" s="3236">
        <f t="shared" ref="BL103:BL109" si="270">VLOOKUP($E103,BK$442:BN$453,2,FALSE)*BK103*($K103)+IF($G103&gt;0,($H103/$G103)*BK103,0)*(1-$K103)</f>
        <v>32051446.329999998</v>
      </c>
      <c r="BM103" s="3236">
        <f t="shared" ref="BM103:BM109" si="271">VLOOKUP($E103,BK$442:BN$453,3,FALSE)*BK103*($K103)+IF($G103&gt;0,($I103/$G103)*BK103,0)*(1-$K103)</f>
        <v>0</v>
      </c>
      <c r="BN103" s="3236">
        <f t="shared" ref="BN103:BN110" si="272">VLOOKUP($E103,BK$442:BN$453,4,FALSE)*BK103*($K103)+(BK103-BL103-BM103)*(1-$K103)</f>
        <v>0</v>
      </c>
      <c r="BO103" s="3237"/>
      <c r="BR103" s="3255">
        <f>VLOOKUP($A103,'New Resources - Group'!$A$4:$Y$133,BR$2,FALSE)*BR$1</f>
        <v>0</v>
      </c>
      <c r="BS103" s="3235">
        <f t="shared" ref="BS103:BS108" si="273">$G103+BR103</f>
        <v>32051446.329999998</v>
      </c>
      <c r="BT103" s="3236">
        <f t="shared" ref="BT103:BT109" si="274">VLOOKUP($E103,BS$442:BV$453,2,FALSE)*BS103*($K103)+IF($G103&gt;0,($H103/$G103)*BS103,0)*(1-$K103)</f>
        <v>32051446.329999998</v>
      </c>
      <c r="BU103" s="3236">
        <f t="shared" ref="BU103:BU109" si="275">VLOOKUP($E103,BS$442:BV$453,3,FALSE)*BS103*($K103)+IF($G103&gt;0,($I103/$G103)*BS103,0)*(1-$K103)</f>
        <v>0</v>
      </c>
      <c r="BV103" s="3236">
        <f t="shared" ref="BV103:BV110" si="276">VLOOKUP($E103,BS$442:BV$453,4,FALSE)*BS103*($K103)+(BS103-BT103-BU103)*(1-$K103)</f>
        <v>0</v>
      </c>
      <c r="BW103" s="3237"/>
      <c r="BZ103" s="3255">
        <f>VLOOKUP($A103,'New Resources - Group'!$A$4:$Y$133,BZ$2,FALSE)*BZ$1</f>
        <v>0</v>
      </c>
      <c r="CA103" s="3235">
        <f t="shared" ref="CA103:CA108" si="277">$G103+BZ103</f>
        <v>32051446.329999998</v>
      </c>
      <c r="CB103" s="3236">
        <f t="shared" ref="CB103:CB109" si="278">VLOOKUP($E103,CA$442:CD$453,2,FALSE)*CA103*($K103)+IF($G103&gt;0,($H103/$G103)*CA103,0)*(1-$K103)</f>
        <v>32051446.329999998</v>
      </c>
      <c r="CC103" s="3236">
        <f t="shared" ref="CC103:CC109" si="279">VLOOKUP($E103,CA$442:CD$453,3,FALSE)*CA103*($K103)+IF($G103&gt;0,($I103/$G103)*CA103,0)*(1-$K103)</f>
        <v>0</v>
      </c>
      <c r="CD103" s="3236">
        <f t="shared" ref="CD103:CD110" si="280">VLOOKUP($E103,CA$442:CD$453,4,FALSE)*CA103*($K103)+(CA103-CB103-CC103)*(1-$K103)</f>
        <v>0</v>
      </c>
      <c r="CE103" s="3237"/>
      <c r="CH103" s="3255">
        <f>VLOOKUP($A103,'New Resources - Group'!$A$4:$Y$133,CH$2,FALSE)*CH$1</f>
        <v>0</v>
      </c>
      <c r="CI103" s="3235">
        <f t="shared" ref="CI103:CI108" si="281">$G103+CH103</f>
        <v>32051446.329999998</v>
      </c>
      <c r="CJ103" s="3236">
        <f t="shared" ref="CJ103:CJ109" si="282">VLOOKUP($E103,CI$442:CL$453,2,FALSE)*CI103*($K103)+IF($G103&gt;0,($H103/$G103)*CI103,0)*(1-$K103)</f>
        <v>32051446.329999998</v>
      </c>
      <c r="CK103" s="3236">
        <f t="shared" ref="CK103:CK109" si="283">VLOOKUP($E103,CI$442:CL$453,3,FALSE)*CI103*($K103)+IF($G103&gt;0,($I103/$G103)*CI103,0)*(1-$K103)</f>
        <v>0</v>
      </c>
      <c r="CL103" s="3236">
        <f t="shared" ref="CL103:CL110" si="284">VLOOKUP($E103,CI$442:CL$453,4,FALSE)*CI103*($K103)+(CI103-CJ103-CK103)*(1-$K103)</f>
        <v>0</v>
      </c>
      <c r="CM103" s="3237"/>
      <c r="CP103" s="3255">
        <f>VLOOKUP($A103,'New Resources - Group'!$A$4:$Y$133,CP$2,FALSE)*CP$1</f>
        <v>0</v>
      </c>
      <c r="CQ103" s="3235">
        <f t="shared" ref="CQ103:CQ108" si="285">$G103+CP103</f>
        <v>32051446.329999998</v>
      </c>
      <c r="CR103" s="3236">
        <f t="shared" ref="CR103:CR109" si="286">VLOOKUP($E103,CQ$442:CT$453,2,FALSE)*CQ103*($K103)+IF($G103&gt;0,($H103/$G103)*CQ103,0)*(1-$K103)</f>
        <v>32051446.329999998</v>
      </c>
      <c r="CS103" s="3236">
        <f t="shared" ref="CS103:CS109" si="287">VLOOKUP($E103,CQ$442:CT$453,3,FALSE)*CQ103*($K103)+IF($G103&gt;0,($I103/$G103)*CQ103,0)*(1-$K103)</f>
        <v>0</v>
      </c>
      <c r="CT103" s="3236">
        <f t="shared" ref="CT103:CT110" si="288">VLOOKUP($E103,CQ$442:CT$453,4,FALSE)*CQ103*($K103)+(CQ103-CR103-CS103)*(1-$K103)</f>
        <v>0</v>
      </c>
      <c r="CU103" s="3237"/>
      <c r="CX103" s="3255">
        <f>VLOOKUP($A103,'New Resources - Group'!$A$4:$Y$133,CX$2,FALSE)*CX$1</f>
        <v>0</v>
      </c>
      <c r="CY103" s="3235">
        <f t="shared" ref="CY103:CY108" si="289">$G103+CX103</f>
        <v>32051446.329999998</v>
      </c>
      <c r="CZ103" s="3236">
        <f t="shared" ref="CZ103:CZ109" si="290">VLOOKUP($E103,CY$442:DB$453,2,FALSE)*CY103*($K103)+IF($G103&gt;0,($H103/$G103)*CY103,0)*(1-$K103)</f>
        <v>32051446.329999998</v>
      </c>
      <c r="DA103" s="3236">
        <f t="shared" ref="DA103:DA109" si="291">VLOOKUP($E103,CY$442:DB$453,3,FALSE)*CY103*($K103)+IF($G103&gt;0,($I103/$G103)*CY103,0)*(1-$K103)</f>
        <v>0</v>
      </c>
      <c r="DB103" s="3236">
        <f t="shared" ref="DB103:DB110" si="292">VLOOKUP($E103,CY$442:DB$453,4,FALSE)*CY103*($K103)+(CY103-CZ103-DA103)*(1-$K103)</f>
        <v>0</v>
      </c>
      <c r="DC103" s="3237"/>
      <c r="DF103" s="3255">
        <f>VLOOKUP($A103,'New Resources - Group'!$A$4:$Y$133,DF$2,FALSE)*DF$1</f>
        <v>0</v>
      </c>
      <c r="DG103" s="3235">
        <f t="shared" ref="DG103:DG108" si="293">$G103+DF103</f>
        <v>32051446.329999998</v>
      </c>
      <c r="DH103" s="3236">
        <f t="shared" ref="DH103:DH109" si="294">VLOOKUP($E103,DG$442:DJ$453,2,FALSE)*DG103*($K103)+IF($G103&gt;0,($H103/$G103)*DG103,0)*(1-$K103)</f>
        <v>32051446.329999998</v>
      </c>
      <c r="DI103" s="3236">
        <f t="shared" ref="DI103:DI109" si="295">VLOOKUP($E103,DG$442:DJ$453,3,FALSE)*DG103*($K103)+IF($G103&gt;0,($I103/$G103)*DG103,0)*(1-$K103)</f>
        <v>0</v>
      </c>
      <c r="DJ103" s="3236">
        <f t="shared" ref="DJ103:DJ110" si="296">VLOOKUP($E103,DG$442:DJ$453,4,FALSE)*DG103*($K103)+(DG103-DH103-DI103)*(1-$K103)</f>
        <v>0</v>
      </c>
      <c r="DK103" s="3237"/>
      <c r="DN103" s="3255">
        <f>VLOOKUP($A103,'New Resources - Group'!$A$4:$Y$133,DN$2,FALSE)*DN$1</f>
        <v>0</v>
      </c>
      <c r="DO103" s="3235">
        <f t="shared" ref="DO103:DO108" si="297">$G103+DN103</f>
        <v>32051446.329999998</v>
      </c>
      <c r="DP103" s="3236">
        <f t="shared" ref="DP103:DP109" si="298">VLOOKUP($E103,DO$442:DR$453,2,FALSE)*DO103*($K103)+IF($G103&gt;0,($H103/$G103)*DO103,0)*(1-$K103)</f>
        <v>32051446.329999998</v>
      </c>
      <c r="DQ103" s="3236">
        <f t="shared" ref="DQ103:DQ109" si="299">VLOOKUP($E103,DO$442:DR$453,3,FALSE)*DO103*($K103)+IF($G103&gt;0,($I103/$G103)*DO103,0)*(1-$K103)</f>
        <v>0</v>
      </c>
      <c r="DR103" s="3236">
        <f t="shared" ref="DR103:DR110" si="300">VLOOKUP($E103,DO$442:DR$453,4,FALSE)*DO103*($K103)+(DO103-DP103-DQ103)*(1-$K103)</f>
        <v>0</v>
      </c>
      <c r="DS103" s="3237"/>
      <c r="DV103" s="3255">
        <f>VLOOKUP($A103,'New Resources - Group'!$A$4:$Y$133,DV$2,FALSE)*DV$1</f>
        <v>0</v>
      </c>
      <c r="DW103" s="3235">
        <f t="shared" ref="DW103:DW108" si="301">$G103+DV103</f>
        <v>32051446.329999998</v>
      </c>
      <c r="DX103" s="3236">
        <f t="shared" ref="DX103:DX109" si="302">VLOOKUP($E103,DW$442:DZ$453,2,FALSE)*DW103*($K103)+IF($G103&gt;0,($H103/$G103)*DW103,0)*(1-$K103)</f>
        <v>32051446.329999998</v>
      </c>
      <c r="DY103" s="3236">
        <f t="shared" ref="DY103:DY109" si="303">VLOOKUP($E103,DW$442:DZ$453,3,FALSE)*DW103*($K103)+IF($G103&gt;0,($I103/$G103)*DW103,0)*(1-$K103)</f>
        <v>0</v>
      </c>
      <c r="DZ103" s="3236">
        <f t="shared" ref="DZ103:DZ110" si="304">VLOOKUP($E103,DW$442:DZ$453,4,FALSE)*DW103*($K103)+(DW103-DX103-DY103)*(1-$K103)</f>
        <v>0</v>
      </c>
      <c r="EA103" s="3237"/>
      <c r="ED103" s="3255">
        <f>VLOOKUP($A103,'New Resources - Group'!$A$4:$Y$133,ED$2,FALSE)*ED$1</f>
        <v>0</v>
      </c>
      <c r="EE103" s="3235">
        <f t="shared" ref="EE103:EE108" si="305">$G103+ED103</f>
        <v>32051446.329999998</v>
      </c>
      <c r="EF103" s="3236">
        <f t="shared" ref="EF103:EF109" si="306">VLOOKUP($E103,EE$442:EH$453,2,FALSE)*EE103*($K103)+IF($G103&gt;0,($H103/$G103)*EE103,0)*(1-$K103)</f>
        <v>32051446.329999998</v>
      </c>
      <c r="EG103" s="3236">
        <f t="shared" ref="EG103:EG109" si="307">VLOOKUP($E103,EE$442:EH$453,3,FALSE)*EE103*($K103)+IF($G103&gt;0,($I103/$G103)*EE103,0)*(1-$K103)</f>
        <v>0</v>
      </c>
      <c r="EH103" s="3236">
        <f t="shared" ref="EH103:EH110" si="308">VLOOKUP($E103,EE$442:EH$453,4,FALSE)*EE103*($K103)+(EE103-EF103-EG103)*(1-$K103)</f>
        <v>0</v>
      </c>
      <c r="EI103" s="3237"/>
      <c r="EL103" s="3255">
        <f>VLOOKUP($A103,'New Resources - Group'!$A$4:$Y$133,EL$2,FALSE)*EL$1</f>
        <v>0</v>
      </c>
      <c r="EM103" s="3235">
        <f t="shared" ref="EM103:EM108" si="309">$G103+EL103</f>
        <v>32051446.329999998</v>
      </c>
      <c r="EN103" s="3236">
        <f t="shared" ref="EN103:EN109" si="310">VLOOKUP($E103,EM$442:EP$453,2,FALSE)*EM103*($K103)+IF($G103&gt;0,($H103/$G103)*EM103,0)*(1-$K103)</f>
        <v>32051446.329999998</v>
      </c>
      <c r="EO103" s="3236">
        <f t="shared" ref="EO103:EO109" si="311">VLOOKUP($E103,EM$442:EP$453,3,FALSE)*EM103*($K103)+IF($G103&gt;0,($I103/$G103)*EM103,0)*(1-$K103)</f>
        <v>0</v>
      </c>
      <c r="EP103" s="3236">
        <f t="shared" ref="EP103:EP110" si="312">VLOOKUP($E103,EM$442:EP$453,4,FALSE)*EM103*($K103)+(EM103-EN103-EO103)*(1-$K103)</f>
        <v>0</v>
      </c>
      <c r="EQ103" s="3237"/>
      <c r="ET103" s="3255">
        <f>VLOOKUP($A103,'New Resources - Group'!$A$4:$Y$133,ET$2,FALSE)*ET$1</f>
        <v>0</v>
      </c>
      <c r="EU103" s="3235">
        <f t="shared" ref="EU103:EU108" si="313">$G103+ET103</f>
        <v>32051446.329999998</v>
      </c>
      <c r="EV103" s="3236">
        <f t="shared" ref="EV103:EV109" si="314">VLOOKUP($E103,EU$442:EX$453,2,FALSE)*EU103*($K103)+IF($G103&gt;0,($H103/$G103)*EU103,0)*(1-$K103)</f>
        <v>32051446.329999998</v>
      </c>
      <c r="EW103" s="3236">
        <f t="shared" ref="EW103:EW109" si="315">VLOOKUP($E103,EU$442:EX$453,3,FALSE)*EU103*($K103)+IF($G103&gt;0,($I103/$G103)*EU103,0)*(1-$K103)</f>
        <v>0</v>
      </c>
      <c r="EX103" s="3236">
        <f t="shared" ref="EX103:EX110" si="316">VLOOKUP($E103,EU$442:EX$453,4,FALSE)*EU103*($K103)+(EU103-EV103-EW103)*(1-$K103)</f>
        <v>0</v>
      </c>
      <c r="EY103" s="3237"/>
      <c r="FB103" s="3255">
        <f>VLOOKUP($A103,'New Resources - Group'!$A$4:$Y$133,FB$2,FALSE)*FB$1</f>
        <v>0</v>
      </c>
      <c r="FC103" s="3235">
        <f t="shared" ref="FC103:FC108" si="317">$G103+FB103</f>
        <v>32051446.329999998</v>
      </c>
      <c r="FD103" s="3236">
        <f t="shared" ref="FD103:FD109" si="318">VLOOKUP($E103,FC$442:FF$453,2,FALSE)*FC103*($K103)+IF($G103&gt;0,($H103/$G103)*FC103,0)*(1-$K103)</f>
        <v>32051446.329999998</v>
      </c>
      <c r="FE103" s="3236">
        <f t="shared" ref="FE103:FE109" si="319">VLOOKUP($E103,FC$442:FF$453,3,FALSE)*FC103*($K103)+IF($G103&gt;0,($I103/$G103)*FC103,0)*(1-$K103)</f>
        <v>0</v>
      </c>
      <c r="FF103" s="3236">
        <f t="shared" ref="FF103:FF110" si="320">VLOOKUP($E103,FC$442:FF$453,4,FALSE)*FC103*($K103)+(FC103-FD103-FE103)*(1-$K103)</f>
        <v>0</v>
      </c>
      <c r="FG103" s="3237"/>
      <c r="FJ103" s="3255">
        <f>VLOOKUP($A103,'New Resources - Group'!$A$4:$Y$133,FJ$2,FALSE)*FJ$1</f>
        <v>0</v>
      </c>
      <c r="FK103" s="3235">
        <f t="shared" ref="FK103:FK108" si="321">$G103+FJ103</f>
        <v>32051446.329999998</v>
      </c>
      <c r="FL103" s="3236">
        <f t="shared" ref="FL103:FL109" si="322">VLOOKUP($E103,FK$442:FN$453,2,FALSE)*FK103*($K103)+IF($G103&gt;0,($H103/$G103)*FK103,0)*(1-$K103)</f>
        <v>32051446.329999998</v>
      </c>
      <c r="FM103" s="3236">
        <f t="shared" ref="FM103:FM109" si="323">VLOOKUP($E103,FK$442:FN$453,3,FALSE)*FK103*($K103)+IF($G103&gt;0,($I103/$G103)*FK103,0)*(1-$K103)</f>
        <v>0</v>
      </c>
      <c r="FN103" s="3236">
        <f t="shared" ref="FN103:FN110" si="324">VLOOKUP($E103,FK$442:FN$453,4,FALSE)*FK103*($K103)+(FK103-FL103-FM103)*(1-$K103)</f>
        <v>0</v>
      </c>
      <c r="FO103" s="3237"/>
    </row>
    <row r="104" spans="1:171">
      <c r="A104" s="3477"/>
      <c r="B104" s="2290" t="s">
        <v>7</v>
      </c>
      <c r="C104" s="2464" t="s">
        <v>78</v>
      </c>
      <c r="D104" s="2464">
        <v>152</v>
      </c>
      <c r="E104" s="2424" t="str">
        <f>'Sch 1- Rate Base '!E104</f>
        <v>PROD</v>
      </c>
      <c r="F104" s="2171"/>
      <c r="G104" s="2424">
        <f>'Sch 1- Rate Base '!G104</f>
        <v>0</v>
      </c>
      <c r="H104" s="2424">
        <f>'Sch 1- Rate Base '!H104</f>
        <v>0</v>
      </c>
      <c r="I104" s="2424">
        <f>'Sch 1- Rate Base '!I104</f>
        <v>0</v>
      </c>
      <c r="J104" s="3465">
        <f>'Sch 1- Rate Base '!J104</f>
        <v>0</v>
      </c>
      <c r="K104" s="3205">
        <f t="shared" si="244"/>
        <v>1</v>
      </c>
      <c r="N104" s="3235"/>
      <c r="O104" s="3235">
        <f t="shared" si="245"/>
        <v>0</v>
      </c>
      <c r="P104" s="3236">
        <f t="shared" si="246"/>
        <v>0</v>
      </c>
      <c r="Q104" s="3236">
        <f t="shared" si="247"/>
        <v>0</v>
      </c>
      <c r="R104" s="3236">
        <f t="shared" si="248"/>
        <v>0</v>
      </c>
      <c r="S104" s="3237"/>
      <c r="V104" s="3235"/>
      <c r="W104" s="3235">
        <f t="shared" si="249"/>
        <v>0</v>
      </c>
      <c r="X104" s="3236">
        <f t="shared" si="250"/>
        <v>0</v>
      </c>
      <c r="Y104" s="3236">
        <f t="shared" si="251"/>
        <v>0</v>
      </c>
      <c r="Z104" s="3236">
        <f t="shared" si="252"/>
        <v>0</v>
      </c>
      <c r="AA104" s="3237"/>
      <c r="AD104" s="3235"/>
      <c r="AE104" s="3235">
        <f t="shared" si="253"/>
        <v>0</v>
      </c>
      <c r="AF104" s="3236">
        <f t="shared" si="254"/>
        <v>0</v>
      </c>
      <c r="AG104" s="3236">
        <f t="shared" si="255"/>
        <v>0</v>
      </c>
      <c r="AH104" s="3236">
        <f t="shared" si="256"/>
        <v>0</v>
      </c>
      <c r="AI104" s="3237"/>
      <c r="AL104" s="3235"/>
      <c r="AM104" s="3235">
        <f t="shared" si="257"/>
        <v>0</v>
      </c>
      <c r="AN104" s="3236">
        <f t="shared" si="258"/>
        <v>0</v>
      </c>
      <c r="AO104" s="3236">
        <f t="shared" si="259"/>
        <v>0</v>
      </c>
      <c r="AP104" s="3236">
        <f t="shared" si="260"/>
        <v>0</v>
      </c>
      <c r="AQ104" s="3237"/>
      <c r="AT104" s="3235"/>
      <c r="AU104" s="3235">
        <f t="shared" si="261"/>
        <v>0</v>
      </c>
      <c r="AV104" s="3236">
        <f t="shared" si="262"/>
        <v>0</v>
      </c>
      <c r="AW104" s="3236">
        <f t="shared" si="263"/>
        <v>0</v>
      </c>
      <c r="AX104" s="3236">
        <f t="shared" si="264"/>
        <v>0</v>
      </c>
      <c r="AY104" s="3237"/>
      <c r="BB104" s="3235"/>
      <c r="BC104" s="3235">
        <f t="shared" si="265"/>
        <v>0</v>
      </c>
      <c r="BD104" s="3236">
        <f t="shared" si="266"/>
        <v>0</v>
      </c>
      <c r="BE104" s="3236">
        <f t="shared" si="267"/>
        <v>0</v>
      </c>
      <c r="BF104" s="3236">
        <f t="shared" si="268"/>
        <v>0</v>
      </c>
      <c r="BG104" s="3237"/>
      <c r="BJ104" s="3235"/>
      <c r="BK104" s="3235">
        <f t="shared" si="269"/>
        <v>0</v>
      </c>
      <c r="BL104" s="3236">
        <f t="shared" si="270"/>
        <v>0</v>
      </c>
      <c r="BM104" s="3236">
        <f t="shared" si="271"/>
        <v>0</v>
      </c>
      <c r="BN104" s="3236">
        <f t="shared" si="272"/>
        <v>0</v>
      </c>
      <c r="BO104" s="3237"/>
      <c r="BR104" s="3235"/>
      <c r="BS104" s="3235">
        <f t="shared" si="273"/>
        <v>0</v>
      </c>
      <c r="BT104" s="3236">
        <f t="shared" si="274"/>
        <v>0</v>
      </c>
      <c r="BU104" s="3236">
        <f t="shared" si="275"/>
        <v>0</v>
      </c>
      <c r="BV104" s="3236">
        <f t="shared" si="276"/>
        <v>0</v>
      </c>
      <c r="BW104" s="3237"/>
      <c r="BZ104" s="3235"/>
      <c r="CA104" s="3235">
        <f t="shared" si="277"/>
        <v>0</v>
      </c>
      <c r="CB104" s="3236">
        <f t="shared" si="278"/>
        <v>0</v>
      </c>
      <c r="CC104" s="3236">
        <f t="shared" si="279"/>
        <v>0</v>
      </c>
      <c r="CD104" s="3236">
        <f t="shared" si="280"/>
        <v>0</v>
      </c>
      <c r="CE104" s="3237"/>
      <c r="CH104" s="3235"/>
      <c r="CI104" s="3235">
        <f t="shared" si="281"/>
        <v>0</v>
      </c>
      <c r="CJ104" s="3236">
        <f t="shared" si="282"/>
        <v>0</v>
      </c>
      <c r="CK104" s="3236">
        <f t="shared" si="283"/>
        <v>0</v>
      </c>
      <c r="CL104" s="3236">
        <f t="shared" si="284"/>
        <v>0</v>
      </c>
      <c r="CM104" s="3237"/>
      <c r="CP104" s="3235"/>
      <c r="CQ104" s="3235">
        <f t="shared" si="285"/>
        <v>0</v>
      </c>
      <c r="CR104" s="3236">
        <f t="shared" si="286"/>
        <v>0</v>
      </c>
      <c r="CS104" s="3236">
        <f t="shared" si="287"/>
        <v>0</v>
      </c>
      <c r="CT104" s="3236">
        <f t="shared" si="288"/>
        <v>0</v>
      </c>
      <c r="CU104" s="3237"/>
      <c r="CX104" s="3235"/>
      <c r="CY104" s="3235">
        <f t="shared" si="289"/>
        <v>0</v>
      </c>
      <c r="CZ104" s="3236">
        <f t="shared" si="290"/>
        <v>0</v>
      </c>
      <c r="DA104" s="3236">
        <f t="shared" si="291"/>
        <v>0</v>
      </c>
      <c r="DB104" s="3236">
        <f t="shared" si="292"/>
        <v>0</v>
      </c>
      <c r="DC104" s="3237"/>
      <c r="DF104" s="3235"/>
      <c r="DG104" s="3235">
        <f t="shared" si="293"/>
        <v>0</v>
      </c>
      <c r="DH104" s="3236">
        <f t="shared" si="294"/>
        <v>0</v>
      </c>
      <c r="DI104" s="3236">
        <f t="shared" si="295"/>
        <v>0</v>
      </c>
      <c r="DJ104" s="3236">
        <f t="shared" si="296"/>
        <v>0</v>
      </c>
      <c r="DK104" s="3237"/>
      <c r="DN104" s="3235"/>
      <c r="DO104" s="3235">
        <f t="shared" si="297"/>
        <v>0</v>
      </c>
      <c r="DP104" s="3236">
        <f t="shared" si="298"/>
        <v>0</v>
      </c>
      <c r="DQ104" s="3236">
        <f t="shared" si="299"/>
        <v>0</v>
      </c>
      <c r="DR104" s="3236">
        <f t="shared" si="300"/>
        <v>0</v>
      </c>
      <c r="DS104" s="3237"/>
      <c r="DV104" s="3235"/>
      <c r="DW104" s="3235">
        <f t="shared" si="301"/>
        <v>0</v>
      </c>
      <c r="DX104" s="3236">
        <f t="shared" si="302"/>
        <v>0</v>
      </c>
      <c r="DY104" s="3236">
        <f t="shared" si="303"/>
        <v>0</v>
      </c>
      <c r="DZ104" s="3236">
        <f t="shared" si="304"/>
        <v>0</v>
      </c>
      <c r="EA104" s="3237"/>
      <c r="ED104" s="3235"/>
      <c r="EE104" s="3235">
        <f t="shared" si="305"/>
        <v>0</v>
      </c>
      <c r="EF104" s="3236">
        <f t="shared" si="306"/>
        <v>0</v>
      </c>
      <c r="EG104" s="3236">
        <f t="shared" si="307"/>
        <v>0</v>
      </c>
      <c r="EH104" s="3236">
        <f t="shared" si="308"/>
        <v>0</v>
      </c>
      <c r="EI104" s="3237"/>
      <c r="EL104" s="3235"/>
      <c r="EM104" s="3235">
        <f t="shared" si="309"/>
        <v>0</v>
      </c>
      <c r="EN104" s="3236">
        <f t="shared" si="310"/>
        <v>0</v>
      </c>
      <c r="EO104" s="3236">
        <f t="shared" si="311"/>
        <v>0</v>
      </c>
      <c r="EP104" s="3236">
        <f t="shared" si="312"/>
        <v>0</v>
      </c>
      <c r="EQ104" s="3237"/>
      <c r="ET104" s="3235"/>
      <c r="EU104" s="3235">
        <f t="shared" si="313"/>
        <v>0</v>
      </c>
      <c r="EV104" s="3236">
        <f t="shared" si="314"/>
        <v>0</v>
      </c>
      <c r="EW104" s="3236">
        <f t="shared" si="315"/>
        <v>0</v>
      </c>
      <c r="EX104" s="3236">
        <f t="shared" si="316"/>
        <v>0</v>
      </c>
      <c r="EY104" s="3237"/>
      <c r="FB104" s="3235"/>
      <c r="FC104" s="3235">
        <f t="shared" si="317"/>
        <v>0</v>
      </c>
      <c r="FD104" s="3236">
        <f t="shared" si="318"/>
        <v>0</v>
      </c>
      <c r="FE104" s="3236">
        <f t="shared" si="319"/>
        <v>0</v>
      </c>
      <c r="FF104" s="3236">
        <f t="shared" si="320"/>
        <v>0</v>
      </c>
      <c r="FG104" s="3237"/>
      <c r="FJ104" s="3235"/>
      <c r="FK104" s="3235">
        <f t="shared" si="321"/>
        <v>0</v>
      </c>
      <c r="FL104" s="3236">
        <f t="shared" si="322"/>
        <v>0</v>
      </c>
      <c r="FM104" s="3236">
        <f t="shared" si="323"/>
        <v>0</v>
      </c>
      <c r="FN104" s="3236">
        <f t="shared" si="324"/>
        <v>0</v>
      </c>
      <c r="FO104" s="3237"/>
    </row>
    <row r="105" spans="1:171">
      <c r="A105" s="3480">
        <v>92000</v>
      </c>
      <c r="B105" s="2097" t="s">
        <v>79</v>
      </c>
      <c r="C105" s="2464" t="s">
        <v>78</v>
      </c>
      <c r="D105" s="2464">
        <v>154</v>
      </c>
      <c r="E105" s="2424" t="str">
        <f>'Sch 1- Rate Base '!E105</f>
        <v>PTD</v>
      </c>
      <c r="F105" s="2171"/>
      <c r="G105" s="2424">
        <f>'Sch 1- Rate Base '!G105</f>
        <v>147763213.27615592</v>
      </c>
      <c r="H105" s="2424">
        <f>'Sch 1- Rate Base '!H105</f>
        <v>51582876.294156879</v>
      </c>
      <c r="I105" s="2424">
        <f>'Sch 1- Rate Base '!I105</f>
        <v>0</v>
      </c>
      <c r="J105" s="3465">
        <f>'Sch 1- Rate Base '!J105</f>
        <v>96180336.98199904</v>
      </c>
      <c r="K105" s="3205">
        <f t="shared" si="244"/>
        <v>1</v>
      </c>
      <c r="N105" s="3255">
        <f>VLOOKUP($A105,'New Resources - Group'!$A$4:$Y$133,N$2,FALSE)*N$1</f>
        <v>0</v>
      </c>
      <c r="O105" s="3235">
        <f t="shared" si="245"/>
        <v>147763213.27615592</v>
      </c>
      <c r="P105" s="3236">
        <f t="shared" si="246"/>
        <v>51582876.294156879</v>
      </c>
      <c r="Q105" s="3236">
        <f t="shared" si="247"/>
        <v>26335884.178859226</v>
      </c>
      <c r="R105" s="3236">
        <f t="shared" si="248"/>
        <v>69844452.803139821</v>
      </c>
      <c r="S105" s="3237"/>
      <c r="V105" s="3255">
        <f>VLOOKUP($A105,'New Resources - Group'!$A$4:$Y$133,V$2,FALSE)*V$1</f>
        <v>0</v>
      </c>
      <c r="W105" s="3235">
        <f t="shared" si="249"/>
        <v>147763213.27615592</v>
      </c>
      <c r="X105" s="3236">
        <f t="shared" si="250"/>
        <v>51582876.294156879</v>
      </c>
      <c r="Y105" s="3236">
        <f t="shared" si="251"/>
        <v>26335884.178859226</v>
      </c>
      <c r="Z105" s="3236">
        <f t="shared" si="252"/>
        <v>69844452.803139821</v>
      </c>
      <c r="AA105" s="3237"/>
      <c r="AD105" s="3255">
        <f>VLOOKUP($A105,'New Resources - Group'!$A$4:$Y$133,AD$2,FALSE)*AD$1</f>
        <v>0</v>
      </c>
      <c r="AE105" s="3235">
        <f t="shared" si="253"/>
        <v>147763213.27615592</v>
      </c>
      <c r="AF105" s="3236">
        <f t="shared" si="254"/>
        <v>51582876.294156879</v>
      </c>
      <c r="AG105" s="3236">
        <f t="shared" si="255"/>
        <v>26335884.178859226</v>
      </c>
      <c r="AH105" s="3236">
        <f t="shared" si="256"/>
        <v>69844452.803139821</v>
      </c>
      <c r="AI105" s="3237"/>
      <c r="AL105" s="3255">
        <f>VLOOKUP($A105,'New Resources - Group'!$A$4:$Y$133,AL$2,FALSE)*AL$1</f>
        <v>0</v>
      </c>
      <c r="AM105" s="3235">
        <f t="shared" si="257"/>
        <v>147763213.27615592</v>
      </c>
      <c r="AN105" s="3236">
        <f t="shared" si="258"/>
        <v>51582876.294156879</v>
      </c>
      <c r="AO105" s="3236">
        <f t="shared" si="259"/>
        <v>26335884.178859226</v>
      </c>
      <c r="AP105" s="3236">
        <f t="shared" si="260"/>
        <v>69844452.803139821</v>
      </c>
      <c r="AQ105" s="3237"/>
      <c r="AT105" s="3255">
        <f>VLOOKUP($A105,'New Resources - Group'!$A$4:$Y$133,AT$2,FALSE)*AT$1</f>
        <v>0</v>
      </c>
      <c r="AU105" s="3235">
        <f t="shared" si="261"/>
        <v>147763213.27615592</v>
      </c>
      <c r="AV105" s="3236">
        <f t="shared" si="262"/>
        <v>51582876.294156879</v>
      </c>
      <c r="AW105" s="3236">
        <f t="shared" si="263"/>
        <v>26335884.178859226</v>
      </c>
      <c r="AX105" s="3236">
        <f t="shared" si="264"/>
        <v>69844452.803139821</v>
      </c>
      <c r="AY105" s="3237"/>
      <c r="BB105" s="3255">
        <f>VLOOKUP($A105,'New Resources - Group'!$A$4:$Y$133,BB$2,FALSE)*BB$1</f>
        <v>0</v>
      </c>
      <c r="BC105" s="3235">
        <f t="shared" si="265"/>
        <v>147763213.27615592</v>
      </c>
      <c r="BD105" s="3236">
        <f t="shared" si="266"/>
        <v>51582876.294156879</v>
      </c>
      <c r="BE105" s="3236">
        <f t="shared" si="267"/>
        <v>26335884.178859226</v>
      </c>
      <c r="BF105" s="3236">
        <f t="shared" si="268"/>
        <v>69844452.803139821</v>
      </c>
      <c r="BG105" s="3237"/>
      <c r="BJ105" s="3255">
        <f>VLOOKUP($A105,'New Resources - Group'!$A$4:$Y$133,BJ$2,FALSE)*BJ$1</f>
        <v>0</v>
      </c>
      <c r="BK105" s="3235">
        <f t="shared" si="269"/>
        <v>147763213.27615592</v>
      </c>
      <c r="BL105" s="3236">
        <f t="shared" si="270"/>
        <v>51582876.294156879</v>
      </c>
      <c r="BM105" s="3236">
        <f t="shared" si="271"/>
        <v>26335884.178859226</v>
      </c>
      <c r="BN105" s="3236">
        <f t="shared" si="272"/>
        <v>69844452.803139821</v>
      </c>
      <c r="BO105" s="3237"/>
      <c r="BR105" s="3255">
        <f>VLOOKUP($A105,'New Resources - Group'!$A$4:$Y$133,BR$2,FALSE)*BR$1</f>
        <v>0</v>
      </c>
      <c r="BS105" s="3235">
        <f t="shared" si="273"/>
        <v>147763213.27615592</v>
      </c>
      <c r="BT105" s="3236">
        <f t="shared" si="274"/>
        <v>51582876.294156879</v>
      </c>
      <c r="BU105" s="3236">
        <f t="shared" si="275"/>
        <v>26335884.178859226</v>
      </c>
      <c r="BV105" s="3236">
        <f t="shared" si="276"/>
        <v>69844452.803139821</v>
      </c>
      <c r="BW105" s="3237"/>
      <c r="BZ105" s="3255">
        <f>VLOOKUP($A105,'New Resources - Group'!$A$4:$Y$133,BZ$2,FALSE)*BZ$1</f>
        <v>0</v>
      </c>
      <c r="CA105" s="3235">
        <f t="shared" si="277"/>
        <v>147763213.27615592</v>
      </c>
      <c r="CB105" s="3236">
        <f t="shared" si="278"/>
        <v>51582876.294156879</v>
      </c>
      <c r="CC105" s="3236">
        <f t="shared" si="279"/>
        <v>26335884.178859226</v>
      </c>
      <c r="CD105" s="3236">
        <f t="shared" si="280"/>
        <v>69844452.803139821</v>
      </c>
      <c r="CE105" s="3237"/>
      <c r="CH105" s="3255">
        <f>VLOOKUP($A105,'New Resources - Group'!$A$4:$Y$133,CH$2,FALSE)*CH$1</f>
        <v>0</v>
      </c>
      <c r="CI105" s="3235">
        <f t="shared" si="281"/>
        <v>147763213.27615592</v>
      </c>
      <c r="CJ105" s="3236">
        <f t="shared" si="282"/>
        <v>51582876.294156879</v>
      </c>
      <c r="CK105" s="3236">
        <f t="shared" si="283"/>
        <v>26335884.178859226</v>
      </c>
      <c r="CL105" s="3236">
        <f t="shared" si="284"/>
        <v>69844452.803139821</v>
      </c>
      <c r="CM105" s="3237"/>
      <c r="CP105" s="3255">
        <f>VLOOKUP($A105,'New Resources - Group'!$A$4:$Y$133,CP$2,FALSE)*CP$1</f>
        <v>0</v>
      </c>
      <c r="CQ105" s="3235">
        <f t="shared" si="285"/>
        <v>147763213.27615592</v>
      </c>
      <c r="CR105" s="3236">
        <f t="shared" si="286"/>
        <v>51582876.294156879</v>
      </c>
      <c r="CS105" s="3236">
        <f t="shared" si="287"/>
        <v>26335884.178859226</v>
      </c>
      <c r="CT105" s="3236">
        <f t="shared" si="288"/>
        <v>69844452.803139821</v>
      </c>
      <c r="CU105" s="3237"/>
      <c r="CX105" s="3255">
        <f>VLOOKUP($A105,'New Resources - Group'!$A$4:$Y$133,CX$2,FALSE)*CX$1</f>
        <v>0</v>
      </c>
      <c r="CY105" s="3235">
        <f t="shared" si="289"/>
        <v>147763213.27615592</v>
      </c>
      <c r="CZ105" s="3236">
        <f t="shared" si="290"/>
        <v>51582876.294156879</v>
      </c>
      <c r="DA105" s="3236">
        <f t="shared" si="291"/>
        <v>26335884.178859226</v>
      </c>
      <c r="DB105" s="3236">
        <f t="shared" si="292"/>
        <v>69844452.803139821</v>
      </c>
      <c r="DC105" s="3237"/>
      <c r="DF105" s="3255">
        <f>VLOOKUP($A105,'New Resources - Group'!$A$4:$Y$133,DF$2,FALSE)*DF$1</f>
        <v>0</v>
      </c>
      <c r="DG105" s="3235">
        <f t="shared" si="293"/>
        <v>147763213.27615592</v>
      </c>
      <c r="DH105" s="3236">
        <f t="shared" si="294"/>
        <v>51582876.294156879</v>
      </c>
      <c r="DI105" s="3236">
        <f t="shared" si="295"/>
        <v>26335884.178859226</v>
      </c>
      <c r="DJ105" s="3236">
        <f t="shared" si="296"/>
        <v>69844452.803139821</v>
      </c>
      <c r="DK105" s="3237"/>
      <c r="DN105" s="3255">
        <f>VLOOKUP($A105,'New Resources - Group'!$A$4:$Y$133,DN$2,FALSE)*DN$1</f>
        <v>0</v>
      </c>
      <c r="DO105" s="3235">
        <f t="shared" si="297"/>
        <v>147763213.27615592</v>
      </c>
      <c r="DP105" s="3236">
        <f t="shared" si="298"/>
        <v>51582876.294156879</v>
      </c>
      <c r="DQ105" s="3236">
        <f t="shared" si="299"/>
        <v>26335884.178859226</v>
      </c>
      <c r="DR105" s="3236">
        <f t="shared" si="300"/>
        <v>69844452.803139821</v>
      </c>
      <c r="DS105" s="3237"/>
      <c r="DV105" s="3255">
        <f>VLOOKUP($A105,'New Resources - Group'!$A$4:$Y$133,DV$2,FALSE)*DV$1</f>
        <v>0</v>
      </c>
      <c r="DW105" s="3235">
        <f t="shared" si="301"/>
        <v>147763213.27615592</v>
      </c>
      <c r="DX105" s="3236">
        <f t="shared" si="302"/>
        <v>51582876.294156879</v>
      </c>
      <c r="DY105" s="3236">
        <f t="shared" si="303"/>
        <v>26335884.178859226</v>
      </c>
      <c r="DZ105" s="3236">
        <f t="shared" si="304"/>
        <v>69844452.803139821</v>
      </c>
      <c r="EA105" s="3237"/>
      <c r="ED105" s="3255">
        <f>VLOOKUP($A105,'New Resources - Group'!$A$4:$Y$133,ED$2,FALSE)*ED$1</f>
        <v>0</v>
      </c>
      <c r="EE105" s="3235">
        <f t="shared" si="305"/>
        <v>147763213.27615592</v>
      </c>
      <c r="EF105" s="3236">
        <f t="shared" si="306"/>
        <v>51582876.294156879</v>
      </c>
      <c r="EG105" s="3236">
        <f t="shared" si="307"/>
        <v>26335884.178859226</v>
      </c>
      <c r="EH105" s="3236">
        <f t="shared" si="308"/>
        <v>69844452.803139821</v>
      </c>
      <c r="EI105" s="3237"/>
      <c r="EL105" s="3255">
        <f>VLOOKUP($A105,'New Resources - Group'!$A$4:$Y$133,EL$2,FALSE)*EL$1</f>
        <v>0</v>
      </c>
      <c r="EM105" s="3235">
        <f t="shared" si="309"/>
        <v>147763213.27615592</v>
      </c>
      <c r="EN105" s="3236">
        <f t="shared" si="310"/>
        <v>51582876.294156879</v>
      </c>
      <c r="EO105" s="3236">
        <f t="shared" si="311"/>
        <v>26335884.178859226</v>
      </c>
      <c r="EP105" s="3236">
        <f t="shared" si="312"/>
        <v>69844452.803139821</v>
      </c>
      <c r="EQ105" s="3237"/>
      <c r="ET105" s="3255">
        <f>VLOOKUP($A105,'New Resources - Group'!$A$4:$Y$133,ET$2,FALSE)*ET$1</f>
        <v>0</v>
      </c>
      <c r="EU105" s="3235">
        <f t="shared" si="313"/>
        <v>147763213.27615592</v>
      </c>
      <c r="EV105" s="3236">
        <f t="shared" si="314"/>
        <v>51582876.294156879</v>
      </c>
      <c r="EW105" s="3236">
        <f t="shared" si="315"/>
        <v>26335884.178859226</v>
      </c>
      <c r="EX105" s="3236">
        <f t="shared" si="316"/>
        <v>69844452.803139821</v>
      </c>
      <c r="EY105" s="3237"/>
      <c r="FB105" s="3255">
        <f>VLOOKUP($A105,'New Resources - Group'!$A$4:$Y$133,FB$2,FALSE)*FB$1</f>
        <v>0</v>
      </c>
      <c r="FC105" s="3235">
        <f t="shared" si="317"/>
        <v>147763213.27615592</v>
      </c>
      <c r="FD105" s="3236">
        <f t="shared" si="318"/>
        <v>51582876.294156879</v>
      </c>
      <c r="FE105" s="3236">
        <f t="shared" si="319"/>
        <v>26335884.178859226</v>
      </c>
      <c r="FF105" s="3236">
        <f t="shared" si="320"/>
        <v>69844452.803139821</v>
      </c>
      <c r="FG105" s="3237"/>
      <c r="FJ105" s="3255">
        <f>VLOOKUP($A105,'New Resources - Group'!$A$4:$Y$133,FJ$2,FALSE)*FJ$1</f>
        <v>0</v>
      </c>
      <c r="FK105" s="3235">
        <f t="shared" si="321"/>
        <v>147763213.27615592</v>
      </c>
      <c r="FL105" s="3236">
        <f t="shared" si="322"/>
        <v>51582876.294156879</v>
      </c>
      <c r="FM105" s="3236">
        <f t="shared" si="323"/>
        <v>26335884.178859226</v>
      </c>
      <c r="FN105" s="3236">
        <f t="shared" si="324"/>
        <v>69844452.803139821</v>
      </c>
      <c r="FO105" s="3237"/>
    </row>
    <row r="106" spans="1:171">
      <c r="A106" s="3477"/>
      <c r="B106" s="2097" t="s">
        <v>351</v>
      </c>
      <c r="C106" s="2464" t="s">
        <v>253</v>
      </c>
      <c r="D106" s="2464">
        <v>155</v>
      </c>
      <c r="E106" s="2424" t="str">
        <f>'Sch 1- Rate Base '!E106</f>
        <v>DIST</v>
      </c>
      <c r="F106" s="2171"/>
      <c r="G106" s="2424">
        <f>'Sch 1- Rate Base '!G106</f>
        <v>0</v>
      </c>
      <c r="H106" s="2424">
        <f>'Sch 1- Rate Base '!H106</f>
        <v>0</v>
      </c>
      <c r="I106" s="2424">
        <f>'Sch 1- Rate Base '!I106</f>
        <v>0</v>
      </c>
      <c r="J106" s="3465">
        <f>'Sch 1- Rate Base '!J106</f>
        <v>0</v>
      </c>
      <c r="K106" s="3205">
        <f t="shared" si="244"/>
        <v>1</v>
      </c>
      <c r="N106" s="3235"/>
      <c r="O106" s="3235">
        <f t="shared" si="245"/>
        <v>0</v>
      </c>
      <c r="P106" s="3236">
        <f t="shared" si="246"/>
        <v>0</v>
      </c>
      <c r="Q106" s="3236">
        <f t="shared" si="247"/>
        <v>0</v>
      </c>
      <c r="R106" s="3236">
        <f t="shared" si="248"/>
        <v>0</v>
      </c>
      <c r="S106" s="3237"/>
      <c r="V106" s="3235"/>
      <c r="W106" s="3235">
        <f t="shared" si="249"/>
        <v>0</v>
      </c>
      <c r="X106" s="3236">
        <f t="shared" si="250"/>
        <v>0</v>
      </c>
      <c r="Y106" s="3236">
        <f t="shared" si="251"/>
        <v>0</v>
      </c>
      <c r="Z106" s="3236">
        <f t="shared" si="252"/>
        <v>0</v>
      </c>
      <c r="AA106" s="3237"/>
      <c r="AD106" s="3235"/>
      <c r="AE106" s="3235">
        <f t="shared" si="253"/>
        <v>0</v>
      </c>
      <c r="AF106" s="3236">
        <f t="shared" si="254"/>
        <v>0</v>
      </c>
      <c r="AG106" s="3236">
        <f t="shared" si="255"/>
        <v>0</v>
      </c>
      <c r="AH106" s="3236">
        <f t="shared" si="256"/>
        <v>0</v>
      </c>
      <c r="AI106" s="3237"/>
      <c r="AL106" s="3235"/>
      <c r="AM106" s="3235">
        <f t="shared" si="257"/>
        <v>0</v>
      </c>
      <c r="AN106" s="3236">
        <f t="shared" si="258"/>
        <v>0</v>
      </c>
      <c r="AO106" s="3236">
        <f t="shared" si="259"/>
        <v>0</v>
      </c>
      <c r="AP106" s="3236">
        <f t="shared" si="260"/>
        <v>0</v>
      </c>
      <c r="AQ106" s="3237"/>
      <c r="AT106" s="3235"/>
      <c r="AU106" s="3235">
        <f t="shared" si="261"/>
        <v>0</v>
      </c>
      <c r="AV106" s="3236">
        <f t="shared" si="262"/>
        <v>0</v>
      </c>
      <c r="AW106" s="3236">
        <f t="shared" si="263"/>
        <v>0</v>
      </c>
      <c r="AX106" s="3236">
        <f t="shared" si="264"/>
        <v>0</v>
      </c>
      <c r="AY106" s="3237"/>
      <c r="BB106" s="3235"/>
      <c r="BC106" s="3235">
        <f t="shared" si="265"/>
        <v>0</v>
      </c>
      <c r="BD106" s="3236">
        <f t="shared" si="266"/>
        <v>0</v>
      </c>
      <c r="BE106" s="3236">
        <f t="shared" si="267"/>
        <v>0</v>
      </c>
      <c r="BF106" s="3236">
        <f t="shared" si="268"/>
        <v>0</v>
      </c>
      <c r="BG106" s="3237"/>
      <c r="BJ106" s="3235"/>
      <c r="BK106" s="3235">
        <f t="shared" si="269"/>
        <v>0</v>
      </c>
      <c r="BL106" s="3236">
        <f t="shared" si="270"/>
        <v>0</v>
      </c>
      <c r="BM106" s="3236">
        <f t="shared" si="271"/>
        <v>0</v>
      </c>
      <c r="BN106" s="3236">
        <f t="shared" si="272"/>
        <v>0</v>
      </c>
      <c r="BO106" s="3237"/>
      <c r="BR106" s="3235"/>
      <c r="BS106" s="3235">
        <f t="shared" si="273"/>
        <v>0</v>
      </c>
      <c r="BT106" s="3236">
        <f t="shared" si="274"/>
        <v>0</v>
      </c>
      <c r="BU106" s="3236">
        <f t="shared" si="275"/>
        <v>0</v>
      </c>
      <c r="BV106" s="3236">
        <f t="shared" si="276"/>
        <v>0</v>
      </c>
      <c r="BW106" s="3237"/>
      <c r="BZ106" s="3235"/>
      <c r="CA106" s="3235">
        <f t="shared" si="277"/>
        <v>0</v>
      </c>
      <c r="CB106" s="3236">
        <f t="shared" si="278"/>
        <v>0</v>
      </c>
      <c r="CC106" s="3236">
        <f t="shared" si="279"/>
        <v>0</v>
      </c>
      <c r="CD106" s="3236">
        <f t="shared" si="280"/>
        <v>0</v>
      </c>
      <c r="CE106" s="3237"/>
      <c r="CH106" s="3235"/>
      <c r="CI106" s="3235">
        <f t="shared" si="281"/>
        <v>0</v>
      </c>
      <c r="CJ106" s="3236">
        <f t="shared" si="282"/>
        <v>0</v>
      </c>
      <c r="CK106" s="3236">
        <f t="shared" si="283"/>
        <v>0</v>
      </c>
      <c r="CL106" s="3236">
        <f t="shared" si="284"/>
        <v>0</v>
      </c>
      <c r="CM106" s="3237"/>
      <c r="CP106" s="3235"/>
      <c r="CQ106" s="3235">
        <f t="shared" si="285"/>
        <v>0</v>
      </c>
      <c r="CR106" s="3236">
        <f t="shared" si="286"/>
        <v>0</v>
      </c>
      <c r="CS106" s="3236">
        <f t="shared" si="287"/>
        <v>0</v>
      </c>
      <c r="CT106" s="3236">
        <f t="shared" si="288"/>
        <v>0</v>
      </c>
      <c r="CU106" s="3237"/>
      <c r="CX106" s="3235"/>
      <c r="CY106" s="3235">
        <f t="shared" si="289"/>
        <v>0</v>
      </c>
      <c r="CZ106" s="3236">
        <f t="shared" si="290"/>
        <v>0</v>
      </c>
      <c r="DA106" s="3236">
        <f t="shared" si="291"/>
        <v>0</v>
      </c>
      <c r="DB106" s="3236">
        <f t="shared" si="292"/>
        <v>0</v>
      </c>
      <c r="DC106" s="3237"/>
      <c r="DF106" s="3235"/>
      <c r="DG106" s="3235">
        <f t="shared" si="293"/>
        <v>0</v>
      </c>
      <c r="DH106" s="3236">
        <f t="shared" si="294"/>
        <v>0</v>
      </c>
      <c r="DI106" s="3236">
        <f t="shared" si="295"/>
        <v>0</v>
      </c>
      <c r="DJ106" s="3236">
        <f t="shared" si="296"/>
        <v>0</v>
      </c>
      <c r="DK106" s="3237"/>
      <c r="DN106" s="3235"/>
      <c r="DO106" s="3235">
        <f t="shared" si="297"/>
        <v>0</v>
      </c>
      <c r="DP106" s="3236">
        <f t="shared" si="298"/>
        <v>0</v>
      </c>
      <c r="DQ106" s="3236">
        <f t="shared" si="299"/>
        <v>0</v>
      </c>
      <c r="DR106" s="3236">
        <f t="shared" si="300"/>
        <v>0</v>
      </c>
      <c r="DS106" s="3237"/>
      <c r="DV106" s="3235"/>
      <c r="DW106" s="3235">
        <f t="shared" si="301"/>
        <v>0</v>
      </c>
      <c r="DX106" s="3236">
        <f t="shared" si="302"/>
        <v>0</v>
      </c>
      <c r="DY106" s="3236">
        <f t="shared" si="303"/>
        <v>0</v>
      </c>
      <c r="DZ106" s="3236">
        <f t="shared" si="304"/>
        <v>0</v>
      </c>
      <c r="EA106" s="3237"/>
      <c r="ED106" s="3235"/>
      <c r="EE106" s="3235">
        <f t="shared" si="305"/>
        <v>0</v>
      </c>
      <c r="EF106" s="3236">
        <f t="shared" si="306"/>
        <v>0</v>
      </c>
      <c r="EG106" s="3236">
        <f t="shared" si="307"/>
        <v>0</v>
      </c>
      <c r="EH106" s="3236">
        <f t="shared" si="308"/>
        <v>0</v>
      </c>
      <c r="EI106" s="3237"/>
      <c r="EL106" s="3235"/>
      <c r="EM106" s="3235">
        <f t="shared" si="309"/>
        <v>0</v>
      </c>
      <c r="EN106" s="3236">
        <f t="shared" si="310"/>
        <v>0</v>
      </c>
      <c r="EO106" s="3236">
        <f t="shared" si="311"/>
        <v>0</v>
      </c>
      <c r="EP106" s="3236">
        <f t="shared" si="312"/>
        <v>0</v>
      </c>
      <c r="EQ106" s="3237"/>
      <c r="ET106" s="3235"/>
      <c r="EU106" s="3235">
        <f t="shared" si="313"/>
        <v>0</v>
      </c>
      <c r="EV106" s="3236">
        <f t="shared" si="314"/>
        <v>0</v>
      </c>
      <c r="EW106" s="3236">
        <f t="shared" si="315"/>
        <v>0</v>
      </c>
      <c r="EX106" s="3236">
        <f t="shared" si="316"/>
        <v>0</v>
      </c>
      <c r="EY106" s="3237"/>
      <c r="FB106" s="3235"/>
      <c r="FC106" s="3235">
        <f t="shared" si="317"/>
        <v>0</v>
      </c>
      <c r="FD106" s="3236">
        <f t="shared" si="318"/>
        <v>0</v>
      </c>
      <c r="FE106" s="3236">
        <f t="shared" si="319"/>
        <v>0</v>
      </c>
      <c r="FF106" s="3236">
        <f t="shared" si="320"/>
        <v>0</v>
      </c>
      <c r="FG106" s="3237"/>
      <c r="FJ106" s="3235"/>
      <c r="FK106" s="3235">
        <f t="shared" si="321"/>
        <v>0</v>
      </c>
      <c r="FL106" s="3236">
        <f t="shared" si="322"/>
        <v>0</v>
      </c>
      <c r="FM106" s="3236">
        <f t="shared" si="323"/>
        <v>0</v>
      </c>
      <c r="FN106" s="3236">
        <f t="shared" si="324"/>
        <v>0</v>
      </c>
      <c r="FO106" s="3237"/>
    </row>
    <row r="107" spans="1:171">
      <c r="A107" s="3477"/>
      <c r="B107" s="2097" t="s">
        <v>352</v>
      </c>
      <c r="C107" s="2464" t="s">
        <v>78</v>
      </c>
      <c r="D107" s="2464">
        <v>156</v>
      </c>
      <c r="E107" s="2424" t="str">
        <f>'Sch 1- Rate Base '!E107</f>
        <v>DIST</v>
      </c>
      <c r="F107" s="2171"/>
      <c r="G107" s="2424">
        <f>'Sch 1- Rate Base '!G107</f>
        <v>0</v>
      </c>
      <c r="H107" s="2424">
        <f>'Sch 1- Rate Base '!H107</f>
        <v>0</v>
      </c>
      <c r="I107" s="2424">
        <f>'Sch 1- Rate Base '!I107</f>
        <v>0</v>
      </c>
      <c r="J107" s="3465">
        <f>'Sch 1- Rate Base '!J107</f>
        <v>0</v>
      </c>
      <c r="K107" s="3205">
        <f t="shared" si="244"/>
        <v>1</v>
      </c>
      <c r="N107" s="3235"/>
      <c r="O107" s="3235">
        <f t="shared" si="245"/>
        <v>0</v>
      </c>
      <c r="P107" s="3236">
        <f t="shared" si="246"/>
        <v>0</v>
      </c>
      <c r="Q107" s="3236">
        <f t="shared" si="247"/>
        <v>0</v>
      </c>
      <c r="R107" s="3236">
        <f t="shared" si="248"/>
        <v>0</v>
      </c>
      <c r="S107" s="3237"/>
      <c r="V107" s="3235"/>
      <c r="W107" s="3235">
        <f t="shared" si="249"/>
        <v>0</v>
      </c>
      <c r="X107" s="3236">
        <f t="shared" si="250"/>
        <v>0</v>
      </c>
      <c r="Y107" s="3236">
        <f t="shared" si="251"/>
        <v>0</v>
      </c>
      <c r="Z107" s="3236">
        <f t="shared" si="252"/>
        <v>0</v>
      </c>
      <c r="AA107" s="3237"/>
      <c r="AD107" s="3235"/>
      <c r="AE107" s="3235">
        <f t="shared" si="253"/>
        <v>0</v>
      </c>
      <c r="AF107" s="3236">
        <f t="shared" si="254"/>
        <v>0</v>
      </c>
      <c r="AG107" s="3236">
        <f t="shared" si="255"/>
        <v>0</v>
      </c>
      <c r="AH107" s="3236">
        <f t="shared" si="256"/>
        <v>0</v>
      </c>
      <c r="AI107" s="3237"/>
      <c r="AL107" s="3235"/>
      <c r="AM107" s="3235">
        <f t="shared" si="257"/>
        <v>0</v>
      </c>
      <c r="AN107" s="3236">
        <f t="shared" si="258"/>
        <v>0</v>
      </c>
      <c r="AO107" s="3236">
        <f t="shared" si="259"/>
        <v>0</v>
      </c>
      <c r="AP107" s="3236">
        <f t="shared" si="260"/>
        <v>0</v>
      </c>
      <c r="AQ107" s="3237"/>
      <c r="AT107" s="3235"/>
      <c r="AU107" s="3235">
        <f t="shared" si="261"/>
        <v>0</v>
      </c>
      <c r="AV107" s="3236">
        <f t="shared" si="262"/>
        <v>0</v>
      </c>
      <c r="AW107" s="3236">
        <f t="shared" si="263"/>
        <v>0</v>
      </c>
      <c r="AX107" s="3236">
        <f t="shared" si="264"/>
        <v>0</v>
      </c>
      <c r="AY107" s="3237"/>
      <c r="BB107" s="3235"/>
      <c r="BC107" s="3235">
        <f t="shared" si="265"/>
        <v>0</v>
      </c>
      <c r="BD107" s="3236">
        <f t="shared" si="266"/>
        <v>0</v>
      </c>
      <c r="BE107" s="3236">
        <f t="shared" si="267"/>
        <v>0</v>
      </c>
      <c r="BF107" s="3236">
        <f t="shared" si="268"/>
        <v>0</v>
      </c>
      <c r="BG107" s="3237"/>
      <c r="BJ107" s="3235"/>
      <c r="BK107" s="3235">
        <f t="shared" si="269"/>
        <v>0</v>
      </c>
      <c r="BL107" s="3236">
        <f t="shared" si="270"/>
        <v>0</v>
      </c>
      <c r="BM107" s="3236">
        <f t="shared" si="271"/>
        <v>0</v>
      </c>
      <c r="BN107" s="3236">
        <f t="shared" si="272"/>
        <v>0</v>
      </c>
      <c r="BO107" s="3237"/>
      <c r="BR107" s="3235"/>
      <c r="BS107" s="3235">
        <f t="shared" si="273"/>
        <v>0</v>
      </c>
      <c r="BT107" s="3236">
        <f t="shared" si="274"/>
        <v>0</v>
      </c>
      <c r="BU107" s="3236">
        <f t="shared" si="275"/>
        <v>0</v>
      </c>
      <c r="BV107" s="3236">
        <f t="shared" si="276"/>
        <v>0</v>
      </c>
      <c r="BW107" s="3237"/>
      <c r="BZ107" s="3235"/>
      <c r="CA107" s="3235">
        <f t="shared" si="277"/>
        <v>0</v>
      </c>
      <c r="CB107" s="3236">
        <f t="shared" si="278"/>
        <v>0</v>
      </c>
      <c r="CC107" s="3236">
        <f t="shared" si="279"/>
        <v>0</v>
      </c>
      <c r="CD107" s="3236">
        <f t="shared" si="280"/>
        <v>0</v>
      </c>
      <c r="CE107" s="3237"/>
      <c r="CH107" s="3235"/>
      <c r="CI107" s="3235">
        <f t="shared" si="281"/>
        <v>0</v>
      </c>
      <c r="CJ107" s="3236">
        <f t="shared" si="282"/>
        <v>0</v>
      </c>
      <c r="CK107" s="3236">
        <f t="shared" si="283"/>
        <v>0</v>
      </c>
      <c r="CL107" s="3236">
        <f t="shared" si="284"/>
        <v>0</v>
      </c>
      <c r="CM107" s="3237"/>
      <c r="CP107" s="3235"/>
      <c r="CQ107" s="3235">
        <f t="shared" si="285"/>
        <v>0</v>
      </c>
      <c r="CR107" s="3236">
        <f t="shared" si="286"/>
        <v>0</v>
      </c>
      <c r="CS107" s="3236">
        <f t="shared" si="287"/>
        <v>0</v>
      </c>
      <c r="CT107" s="3236">
        <f t="shared" si="288"/>
        <v>0</v>
      </c>
      <c r="CU107" s="3237"/>
      <c r="CX107" s="3235"/>
      <c r="CY107" s="3235">
        <f t="shared" si="289"/>
        <v>0</v>
      </c>
      <c r="CZ107" s="3236">
        <f t="shared" si="290"/>
        <v>0</v>
      </c>
      <c r="DA107" s="3236">
        <f t="shared" si="291"/>
        <v>0</v>
      </c>
      <c r="DB107" s="3236">
        <f t="shared" si="292"/>
        <v>0</v>
      </c>
      <c r="DC107" s="3237"/>
      <c r="DF107" s="3235"/>
      <c r="DG107" s="3235">
        <f t="shared" si="293"/>
        <v>0</v>
      </c>
      <c r="DH107" s="3236">
        <f t="shared" si="294"/>
        <v>0</v>
      </c>
      <c r="DI107" s="3236">
        <f t="shared" si="295"/>
        <v>0</v>
      </c>
      <c r="DJ107" s="3236">
        <f t="shared" si="296"/>
        <v>0</v>
      </c>
      <c r="DK107" s="3237"/>
      <c r="DN107" s="3235"/>
      <c r="DO107" s="3235">
        <f t="shared" si="297"/>
        <v>0</v>
      </c>
      <c r="DP107" s="3236">
        <f t="shared" si="298"/>
        <v>0</v>
      </c>
      <c r="DQ107" s="3236">
        <f t="shared" si="299"/>
        <v>0</v>
      </c>
      <c r="DR107" s="3236">
        <f t="shared" si="300"/>
        <v>0</v>
      </c>
      <c r="DS107" s="3237"/>
      <c r="DV107" s="3235"/>
      <c r="DW107" s="3235">
        <f t="shared" si="301"/>
        <v>0</v>
      </c>
      <c r="DX107" s="3236">
        <f t="shared" si="302"/>
        <v>0</v>
      </c>
      <c r="DY107" s="3236">
        <f t="shared" si="303"/>
        <v>0</v>
      </c>
      <c r="DZ107" s="3236">
        <f t="shared" si="304"/>
        <v>0</v>
      </c>
      <c r="EA107" s="3237"/>
      <c r="ED107" s="3235"/>
      <c r="EE107" s="3235">
        <f t="shared" si="305"/>
        <v>0</v>
      </c>
      <c r="EF107" s="3236">
        <f t="shared" si="306"/>
        <v>0</v>
      </c>
      <c r="EG107" s="3236">
        <f t="shared" si="307"/>
        <v>0</v>
      </c>
      <c r="EH107" s="3236">
        <f t="shared" si="308"/>
        <v>0</v>
      </c>
      <c r="EI107" s="3237"/>
      <c r="EL107" s="3235"/>
      <c r="EM107" s="3235">
        <f t="shared" si="309"/>
        <v>0</v>
      </c>
      <c r="EN107" s="3236">
        <f t="shared" si="310"/>
        <v>0</v>
      </c>
      <c r="EO107" s="3236">
        <f t="shared" si="311"/>
        <v>0</v>
      </c>
      <c r="EP107" s="3236">
        <f t="shared" si="312"/>
        <v>0</v>
      </c>
      <c r="EQ107" s="3237"/>
      <c r="ET107" s="3235"/>
      <c r="EU107" s="3235">
        <f t="shared" si="313"/>
        <v>0</v>
      </c>
      <c r="EV107" s="3236">
        <f t="shared" si="314"/>
        <v>0</v>
      </c>
      <c r="EW107" s="3236">
        <f t="shared" si="315"/>
        <v>0</v>
      </c>
      <c r="EX107" s="3236">
        <f t="shared" si="316"/>
        <v>0</v>
      </c>
      <c r="EY107" s="3237"/>
      <c r="FB107" s="3235"/>
      <c r="FC107" s="3235">
        <f t="shared" si="317"/>
        <v>0</v>
      </c>
      <c r="FD107" s="3236">
        <f t="shared" si="318"/>
        <v>0</v>
      </c>
      <c r="FE107" s="3236">
        <f t="shared" si="319"/>
        <v>0</v>
      </c>
      <c r="FF107" s="3236">
        <f t="shared" si="320"/>
        <v>0</v>
      </c>
      <c r="FG107" s="3237"/>
      <c r="FJ107" s="3235"/>
      <c r="FK107" s="3235">
        <f t="shared" si="321"/>
        <v>0</v>
      </c>
      <c r="FL107" s="3236">
        <f t="shared" si="322"/>
        <v>0</v>
      </c>
      <c r="FM107" s="3236">
        <f t="shared" si="323"/>
        <v>0</v>
      </c>
      <c r="FN107" s="3236">
        <f t="shared" si="324"/>
        <v>0</v>
      </c>
      <c r="FO107" s="3237"/>
    </row>
    <row r="108" spans="1:171">
      <c r="A108" s="3480">
        <v>93000</v>
      </c>
      <c r="B108" s="2097" t="s">
        <v>353</v>
      </c>
      <c r="C108" s="2464" t="s">
        <v>253</v>
      </c>
      <c r="D108" s="2464">
        <v>158.1</v>
      </c>
      <c r="E108" s="2424" t="str">
        <f>'Sch 1- Rate Base '!E108</f>
        <v>PROD</v>
      </c>
      <c r="F108" s="2171"/>
      <c r="G108" s="2424">
        <f>'Sch 1- Rate Base '!G108</f>
        <v>-93977950.769999996</v>
      </c>
      <c r="H108" s="2424">
        <f>'Sch 1- Rate Base '!H108</f>
        <v>-93977950.769999996</v>
      </c>
      <c r="I108" s="2424">
        <f>'Sch 1- Rate Base '!I108</f>
        <v>0</v>
      </c>
      <c r="J108" s="3465">
        <f>'Sch 1- Rate Base '!J108</f>
        <v>0</v>
      </c>
      <c r="K108" s="3205">
        <f t="shared" si="244"/>
        <v>1</v>
      </c>
      <c r="N108" s="3255">
        <f>VLOOKUP($A108,'New Resources - Group'!$A$4:$Y$133,N$2,FALSE)*N$1</f>
        <v>0</v>
      </c>
      <c r="O108" s="3235">
        <f t="shared" si="245"/>
        <v>-93977950.769999996</v>
      </c>
      <c r="P108" s="3236">
        <f t="shared" si="246"/>
        <v>-93977950.769999996</v>
      </c>
      <c r="Q108" s="3236">
        <f t="shared" si="247"/>
        <v>0</v>
      </c>
      <c r="R108" s="3236">
        <f t="shared" si="248"/>
        <v>0</v>
      </c>
      <c r="S108" s="3237"/>
      <c r="V108" s="3255">
        <f>VLOOKUP($A108,'New Resources - Group'!$A$4:$Y$133,V$2,FALSE)*V$1</f>
        <v>0</v>
      </c>
      <c r="W108" s="3235">
        <f t="shared" si="249"/>
        <v>-93977950.769999996</v>
      </c>
      <c r="X108" s="3236">
        <f t="shared" si="250"/>
        <v>-93977950.769999996</v>
      </c>
      <c r="Y108" s="3236">
        <f t="shared" si="251"/>
        <v>0</v>
      </c>
      <c r="Z108" s="3236">
        <f t="shared" si="252"/>
        <v>0</v>
      </c>
      <c r="AA108" s="3237"/>
      <c r="AD108" s="3255">
        <f>VLOOKUP($A108,'New Resources - Group'!$A$4:$Y$133,AD$2,FALSE)*AD$1</f>
        <v>0</v>
      </c>
      <c r="AE108" s="3235">
        <f t="shared" si="253"/>
        <v>-93977950.769999996</v>
      </c>
      <c r="AF108" s="3236">
        <f t="shared" si="254"/>
        <v>-93977950.769999996</v>
      </c>
      <c r="AG108" s="3236">
        <f t="shared" si="255"/>
        <v>0</v>
      </c>
      <c r="AH108" s="3236">
        <f t="shared" si="256"/>
        <v>0</v>
      </c>
      <c r="AI108" s="3237"/>
      <c r="AL108" s="3255">
        <f>VLOOKUP($A108,'New Resources - Group'!$A$4:$Y$133,AL$2,FALSE)*AL$1</f>
        <v>0</v>
      </c>
      <c r="AM108" s="3235">
        <f t="shared" si="257"/>
        <v>-93977950.769999996</v>
      </c>
      <c r="AN108" s="3236">
        <f t="shared" si="258"/>
        <v>-93977950.769999996</v>
      </c>
      <c r="AO108" s="3236">
        <f t="shared" si="259"/>
        <v>0</v>
      </c>
      <c r="AP108" s="3236">
        <f t="shared" si="260"/>
        <v>0</v>
      </c>
      <c r="AQ108" s="3237"/>
      <c r="AT108" s="3255">
        <f>VLOOKUP($A108,'New Resources - Group'!$A$4:$Y$133,AT$2,FALSE)*AT$1</f>
        <v>0</v>
      </c>
      <c r="AU108" s="3235">
        <f t="shared" si="261"/>
        <v>-93977950.769999996</v>
      </c>
      <c r="AV108" s="3236">
        <f t="shared" si="262"/>
        <v>-93977950.769999996</v>
      </c>
      <c r="AW108" s="3236">
        <f t="shared" si="263"/>
        <v>0</v>
      </c>
      <c r="AX108" s="3236">
        <f t="shared" si="264"/>
        <v>0</v>
      </c>
      <c r="AY108" s="3237"/>
      <c r="BB108" s="3255">
        <f>VLOOKUP($A108,'New Resources - Group'!$A$4:$Y$133,BB$2,FALSE)*BB$1</f>
        <v>0</v>
      </c>
      <c r="BC108" s="3235">
        <f t="shared" si="265"/>
        <v>-93977950.769999996</v>
      </c>
      <c r="BD108" s="3236">
        <f t="shared" si="266"/>
        <v>-93977950.769999996</v>
      </c>
      <c r="BE108" s="3236">
        <f t="shared" si="267"/>
        <v>0</v>
      </c>
      <c r="BF108" s="3236">
        <f t="shared" si="268"/>
        <v>0</v>
      </c>
      <c r="BG108" s="3237"/>
      <c r="BJ108" s="3255">
        <f>VLOOKUP($A108,'New Resources - Group'!$A$4:$Y$133,BJ$2,FALSE)*BJ$1</f>
        <v>0</v>
      </c>
      <c r="BK108" s="3235">
        <f t="shared" si="269"/>
        <v>-93977950.769999996</v>
      </c>
      <c r="BL108" s="3236">
        <f t="shared" si="270"/>
        <v>-93977950.769999996</v>
      </c>
      <c r="BM108" s="3236">
        <f t="shared" si="271"/>
        <v>0</v>
      </c>
      <c r="BN108" s="3236">
        <f t="shared" si="272"/>
        <v>0</v>
      </c>
      <c r="BO108" s="3237"/>
      <c r="BR108" s="3255">
        <f>VLOOKUP($A108,'New Resources - Group'!$A$4:$Y$133,BR$2,FALSE)*BR$1</f>
        <v>0</v>
      </c>
      <c r="BS108" s="3235">
        <f t="shared" si="273"/>
        <v>-93977950.769999996</v>
      </c>
      <c r="BT108" s="3236">
        <f t="shared" si="274"/>
        <v>-93977950.769999996</v>
      </c>
      <c r="BU108" s="3236">
        <f t="shared" si="275"/>
        <v>0</v>
      </c>
      <c r="BV108" s="3236">
        <f t="shared" si="276"/>
        <v>0</v>
      </c>
      <c r="BW108" s="3237"/>
      <c r="BZ108" s="3255">
        <f>VLOOKUP($A108,'New Resources - Group'!$A$4:$Y$133,BZ$2,FALSE)*BZ$1</f>
        <v>0</v>
      </c>
      <c r="CA108" s="3235">
        <f t="shared" si="277"/>
        <v>-93977950.769999996</v>
      </c>
      <c r="CB108" s="3236">
        <f t="shared" si="278"/>
        <v>-93977950.769999996</v>
      </c>
      <c r="CC108" s="3236">
        <f t="shared" si="279"/>
        <v>0</v>
      </c>
      <c r="CD108" s="3236">
        <f t="shared" si="280"/>
        <v>0</v>
      </c>
      <c r="CE108" s="3237"/>
      <c r="CH108" s="3255">
        <f>VLOOKUP($A108,'New Resources - Group'!$A$4:$Y$133,CH$2,FALSE)*CH$1</f>
        <v>0</v>
      </c>
      <c r="CI108" s="3235">
        <f t="shared" si="281"/>
        <v>-93977950.769999996</v>
      </c>
      <c r="CJ108" s="3236">
        <f t="shared" si="282"/>
        <v>-93977950.769999996</v>
      </c>
      <c r="CK108" s="3236">
        <f t="shared" si="283"/>
        <v>0</v>
      </c>
      <c r="CL108" s="3236">
        <f t="shared" si="284"/>
        <v>0</v>
      </c>
      <c r="CM108" s="3237"/>
      <c r="CP108" s="3255">
        <f>VLOOKUP($A108,'New Resources - Group'!$A$4:$Y$133,CP$2,FALSE)*CP$1</f>
        <v>0</v>
      </c>
      <c r="CQ108" s="3235">
        <f t="shared" si="285"/>
        <v>-93977950.769999996</v>
      </c>
      <c r="CR108" s="3236">
        <f t="shared" si="286"/>
        <v>-93977950.769999996</v>
      </c>
      <c r="CS108" s="3236">
        <f t="shared" si="287"/>
        <v>0</v>
      </c>
      <c r="CT108" s="3236">
        <f t="shared" si="288"/>
        <v>0</v>
      </c>
      <c r="CU108" s="3237"/>
      <c r="CX108" s="3255">
        <f>VLOOKUP($A108,'New Resources - Group'!$A$4:$Y$133,CX$2,FALSE)*CX$1</f>
        <v>0</v>
      </c>
      <c r="CY108" s="3235">
        <f t="shared" si="289"/>
        <v>-93977950.769999996</v>
      </c>
      <c r="CZ108" s="3236">
        <f t="shared" si="290"/>
        <v>-93977950.769999996</v>
      </c>
      <c r="DA108" s="3236">
        <f t="shared" si="291"/>
        <v>0</v>
      </c>
      <c r="DB108" s="3236">
        <f t="shared" si="292"/>
        <v>0</v>
      </c>
      <c r="DC108" s="3237"/>
      <c r="DF108" s="3255">
        <f>VLOOKUP($A108,'New Resources - Group'!$A$4:$Y$133,DF$2,FALSE)*DF$1</f>
        <v>0</v>
      </c>
      <c r="DG108" s="3235">
        <f t="shared" si="293"/>
        <v>-93977950.769999996</v>
      </c>
      <c r="DH108" s="3236">
        <f t="shared" si="294"/>
        <v>-93977950.769999996</v>
      </c>
      <c r="DI108" s="3236">
        <f t="shared" si="295"/>
        <v>0</v>
      </c>
      <c r="DJ108" s="3236">
        <f t="shared" si="296"/>
        <v>0</v>
      </c>
      <c r="DK108" s="3237"/>
      <c r="DN108" s="3255">
        <f>VLOOKUP($A108,'New Resources - Group'!$A$4:$Y$133,DN$2,FALSE)*DN$1</f>
        <v>0</v>
      </c>
      <c r="DO108" s="3235">
        <f t="shared" si="297"/>
        <v>-93977950.769999996</v>
      </c>
      <c r="DP108" s="3236">
        <f t="shared" si="298"/>
        <v>-93977950.769999996</v>
      </c>
      <c r="DQ108" s="3236">
        <f t="shared" si="299"/>
        <v>0</v>
      </c>
      <c r="DR108" s="3236">
        <f t="shared" si="300"/>
        <v>0</v>
      </c>
      <c r="DS108" s="3237"/>
      <c r="DV108" s="3255">
        <f>VLOOKUP($A108,'New Resources - Group'!$A$4:$Y$133,DV$2,FALSE)*DV$1</f>
        <v>0</v>
      </c>
      <c r="DW108" s="3235">
        <f t="shared" si="301"/>
        <v>-93977950.769999996</v>
      </c>
      <c r="DX108" s="3236">
        <f t="shared" si="302"/>
        <v>-93977950.769999996</v>
      </c>
      <c r="DY108" s="3236">
        <f t="shared" si="303"/>
        <v>0</v>
      </c>
      <c r="DZ108" s="3236">
        <f t="shared" si="304"/>
        <v>0</v>
      </c>
      <c r="EA108" s="3237"/>
      <c r="ED108" s="3255">
        <f>VLOOKUP($A108,'New Resources - Group'!$A$4:$Y$133,ED$2,FALSE)*ED$1</f>
        <v>0</v>
      </c>
      <c r="EE108" s="3235">
        <f t="shared" si="305"/>
        <v>-93977950.769999996</v>
      </c>
      <c r="EF108" s="3236">
        <f t="shared" si="306"/>
        <v>-93977950.769999996</v>
      </c>
      <c r="EG108" s="3236">
        <f t="shared" si="307"/>
        <v>0</v>
      </c>
      <c r="EH108" s="3236">
        <f t="shared" si="308"/>
        <v>0</v>
      </c>
      <c r="EI108" s="3237"/>
      <c r="EL108" s="3255">
        <f>VLOOKUP($A108,'New Resources - Group'!$A$4:$Y$133,EL$2,FALSE)*EL$1</f>
        <v>0</v>
      </c>
      <c r="EM108" s="3235">
        <f t="shared" si="309"/>
        <v>-93977950.769999996</v>
      </c>
      <c r="EN108" s="3236">
        <f t="shared" si="310"/>
        <v>-93977950.769999996</v>
      </c>
      <c r="EO108" s="3236">
        <f t="shared" si="311"/>
        <v>0</v>
      </c>
      <c r="EP108" s="3236">
        <f t="shared" si="312"/>
        <v>0</v>
      </c>
      <c r="EQ108" s="3237"/>
      <c r="ET108" s="3255">
        <f>VLOOKUP($A108,'New Resources - Group'!$A$4:$Y$133,ET$2,FALSE)*ET$1</f>
        <v>0</v>
      </c>
      <c r="EU108" s="3235">
        <f t="shared" si="313"/>
        <v>-93977950.769999996</v>
      </c>
      <c r="EV108" s="3236">
        <f t="shared" si="314"/>
        <v>-93977950.769999996</v>
      </c>
      <c r="EW108" s="3236">
        <f t="shared" si="315"/>
        <v>0</v>
      </c>
      <c r="EX108" s="3236">
        <f t="shared" si="316"/>
        <v>0</v>
      </c>
      <c r="EY108" s="3237"/>
      <c r="FB108" s="3255">
        <f>VLOOKUP($A108,'New Resources - Group'!$A$4:$Y$133,FB$2,FALSE)*FB$1</f>
        <v>0</v>
      </c>
      <c r="FC108" s="3235">
        <f t="shared" si="317"/>
        <v>-93977950.769999996</v>
      </c>
      <c r="FD108" s="3236">
        <f t="shared" si="318"/>
        <v>-93977950.769999996</v>
      </c>
      <c r="FE108" s="3236">
        <f t="shared" si="319"/>
        <v>0</v>
      </c>
      <c r="FF108" s="3236">
        <f t="shared" si="320"/>
        <v>0</v>
      </c>
      <c r="FG108" s="3237"/>
      <c r="FJ108" s="3255">
        <f>VLOOKUP($A108,'New Resources - Group'!$A$4:$Y$133,FJ$2,FALSE)*FJ$1</f>
        <v>0</v>
      </c>
      <c r="FK108" s="3235">
        <f t="shared" si="321"/>
        <v>-93977950.769999996</v>
      </c>
      <c r="FL108" s="3236">
        <f t="shared" si="322"/>
        <v>-93977950.769999996</v>
      </c>
      <c r="FM108" s="3236">
        <f t="shared" si="323"/>
        <v>0</v>
      </c>
      <c r="FN108" s="3236">
        <f t="shared" si="324"/>
        <v>0</v>
      </c>
      <c r="FO108" s="3237"/>
    </row>
    <row r="109" spans="1:171">
      <c r="A109" s="2092"/>
      <c r="B109" s="2097" t="s">
        <v>178</v>
      </c>
      <c r="C109" s="2464" t="s">
        <v>253</v>
      </c>
      <c r="D109" s="2464">
        <v>158.19999999999999</v>
      </c>
      <c r="E109" s="2424" t="str">
        <f>'Sch 1- Rate Base '!E109</f>
        <v>PROD</v>
      </c>
      <c r="F109" s="2171"/>
      <c r="G109" s="2424">
        <f>'Sch 1- Rate Base '!G109</f>
        <v>-0.23000000417232513</v>
      </c>
      <c r="H109" s="2424">
        <f>'Sch 1- Rate Base '!H109</f>
        <v>-0.23000000417232513</v>
      </c>
      <c r="I109" s="2424">
        <f>'Sch 1- Rate Base '!I109</f>
        <v>0</v>
      </c>
      <c r="J109" s="3465">
        <f>'Sch 1- Rate Base '!J109</f>
        <v>0</v>
      </c>
      <c r="K109" s="3205">
        <f t="shared" si="244"/>
        <v>1</v>
      </c>
      <c r="O109" s="3235">
        <f t="shared" ref="O109:O115" si="325">$G109</f>
        <v>-0.23000000417232513</v>
      </c>
      <c r="P109" s="3236">
        <f t="shared" si="246"/>
        <v>-0.23000000417232513</v>
      </c>
      <c r="Q109" s="3236">
        <f t="shared" si="247"/>
        <v>0</v>
      </c>
      <c r="R109" s="3236">
        <f t="shared" si="248"/>
        <v>0</v>
      </c>
      <c r="S109" s="3237"/>
      <c r="W109" s="3235">
        <f t="shared" ref="W109:W115" si="326">$G109</f>
        <v>-0.23000000417232513</v>
      </c>
      <c r="X109" s="3236">
        <f t="shared" si="250"/>
        <v>-0.23000000417232513</v>
      </c>
      <c r="Y109" s="3236">
        <f t="shared" si="251"/>
        <v>0</v>
      </c>
      <c r="Z109" s="3236">
        <f t="shared" si="252"/>
        <v>0</v>
      </c>
      <c r="AA109" s="3237"/>
      <c r="AE109" s="3235">
        <f t="shared" ref="AE109:AE115" si="327">$G109</f>
        <v>-0.23000000417232513</v>
      </c>
      <c r="AF109" s="3236">
        <f t="shared" si="254"/>
        <v>-0.23000000417232513</v>
      </c>
      <c r="AG109" s="3236">
        <f t="shared" si="255"/>
        <v>0</v>
      </c>
      <c r="AH109" s="3236">
        <f t="shared" si="256"/>
        <v>0</v>
      </c>
      <c r="AI109" s="3237"/>
      <c r="AM109" s="3235">
        <f t="shared" ref="AM109:AM115" si="328">$G109</f>
        <v>-0.23000000417232513</v>
      </c>
      <c r="AN109" s="3236">
        <f t="shared" si="258"/>
        <v>-0.23000000417232513</v>
      </c>
      <c r="AO109" s="3236">
        <f t="shared" si="259"/>
        <v>0</v>
      </c>
      <c r="AP109" s="3236">
        <f t="shared" si="260"/>
        <v>0</v>
      </c>
      <c r="AQ109" s="3237"/>
      <c r="AU109" s="3235">
        <f t="shared" ref="AU109:AU115" si="329">$G109</f>
        <v>-0.23000000417232513</v>
      </c>
      <c r="AV109" s="3236">
        <f t="shared" si="262"/>
        <v>-0.23000000417232513</v>
      </c>
      <c r="AW109" s="3236">
        <f t="shared" si="263"/>
        <v>0</v>
      </c>
      <c r="AX109" s="3236">
        <f t="shared" si="264"/>
        <v>0</v>
      </c>
      <c r="AY109" s="3237"/>
      <c r="BC109" s="3235">
        <f t="shared" ref="BC109:BC115" si="330">$G109</f>
        <v>-0.23000000417232513</v>
      </c>
      <c r="BD109" s="3236">
        <f t="shared" si="266"/>
        <v>-0.23000000417232513</v>
      </c>
      <c r="BE109" s="3236">
        <f t="shared" si="267"/>
        <v>0</v>
      </c>
      <c r="BF109" s="3236">
        <f t="shared" si="268"/>
        <v>0</v>
      </c>
      <c r="BG109" s="3237"/>
      <c r="BK109" s="3235">
        <f t="shared" ref="BK109:BK115" si="331">$G109</f>
        <v>-0.23000000417232513</v>
      </c>
      <c r="BL109" s="3236">
        <f t="shared" si="270"/>
        <v>-0.23000000417232513</v>
      </c>
      <c r="BM109" s="3236">
        <f t="shared" si="271"/>
        <v>0</v>
      </c>
      <c r="BN109" s="3236">
        <f t="shared" si="272"/>
        <v>0</v>
      </c>
      <c r="BO109" s="3237"/>
      <c r="BS109" s="3235">
        <f t="shared" ref="BS109:BS115" si="332">$G109</f>
        <v>-0.23000000417232513</v>
      </c>
      <c r="BT109" s="3236">
        <f t="shared" si="274"/>
        <v>-0.23000000417232513</v>
      </c>
      <c r="BU109" s="3236">
        <f t="shared" si="275"/>
        <v>0</v>
      </c>
      <c r="BV109" s="3236">
        <f t="shared" si="276"/>
        <v>0</v>
      </c>
      <c r="BW109" s="3237"/>
      <c r="CA109" s="3235">
        <f t="shared" ref="CA109:CA115" si="333">$G109</f>
        <v>-0.23000000417232513</v>
      </c>
      <c r="CB109" s="3236">
        <f t="shared" si="278"/>
        <v>-0.23000000417232513</v>
      </c>
      <c r="CC109" s="3236">
        <f t="shared" si="279"/>
        <v>0</v>
      </c>
      <c r="CD109" s="3236">
        <f t="shared" si="280"/>
        <v>0</v>
      </c>
      <c r="CE109" s="3237"/>
      <c r="CI109" s="3235">
        <f t="shared" ref="CI109:CI115" si="334">$G109</f>
        <v>-0.23000000417232513</v>
      </c>
      <c r="CJ109" s="3236">
        <f t="shared" si="282"/>
        <v>-0.23000000417232513</v>
      </c>
      <c r="CK109" s="3236">
        <f t="shared" si="283"/>
        <v>0</v>
      </c>
      <c r="CL109" s="3236">
        <f t="shared" si="284"/>
        <v>0</v>
      </c>
      <c r="CM109" s="3237"/>
      <c r="CQ109" s="3235">
        <f t="shared" ref="CQ109:CQ115" si="335">$G109</f>
        <v>-0.23000000417232513</v>
      </c>
      <c r="CR109" s="3236">
        <f t="shared" si="286"/>
        <v>-0.23000000417232513</v>
      </c>
      <c r="CS109" s="3236">
        <f t="shared" si="287"/>
        <v>0</v>
      </c>
      <c r="CT109" s="3236">
        <f t="shared" si="288"/>
        <v>0</v>
      </c>
      <c r="CU109" s="3237"/>
      <c r="CY109" s="3235">
        <f t="shared" ref="CY109:CY115" si="336">$G109</f>
        <v>-0.23000000417232513</v>
      </c>
      <c r="CZ109" s="3236">
        <f t="shared" si="290"/>
        <v>-0.23000000417232513</v>
      </c>
      <c r="DA109" s="3236">
        <f t="shared" si="291"/>
        <v>0</v>
      </c>
      <c r="DB109" s="3236">
        <f t="shared" si="292"/>
        <v>0</v>
      </c>
      <c r="DC109" s="3237"/>
      <c r="DG109" s="3235">
        <f t="shared" ref="DG109:DG115" si="337">$G109</f>
        <v>-0.23000000417232513</v>
      </c>
      <c r="DH109" s="3236">
        <f t="shared" si="294"/>
        <v>-0.23000000417232513</v>
      </c>
      <c r="DI109" s="3236">
        <f t="shared" si="295"/>
        <v>0</v>
      </c>
      <c r="DJ109" s="3236">
        <f t="shared" si="296"/>
        <v>0</v>
      </c>
      <c r="DK109" s="3237"/>
      <c r="DO109" s="3235">
        <f t="shared" ref="DO109:DO115" si="338">$G109</f>
        <v>-0.23000000417232513</v>
      </c>
      <c r="DP109" s="3236">
        <f t="shared" si="298"/>
        <v>-0.23000000417232513</v>
      </c>
      <c r="DQ109" s="3236">
        <f t="shared" si="299"/>
        <v>0</v>
      </c>
      <c r="DR109" s="3236">
        <f t="shared" si="300"/>
        <v>0</v>
      </c>
      <c r="DS109" s="3237"/>
      <c r="DW109" s="3235">
        <f t="shared" ref="DW109:DW115" si="339">$G109</f>
        <v>-0.23000000417232513</v>
      </c>
      <c r="DX109" s="3236">
        <f t="shared" si="302"/>
        <v>-0.23000000417232513</v>
      </c>
      <c r="DY109" s="3236">
        <f t="shared" si="303"/>
        <v>0</v>
      </c>
      <c r="DZ109" s="3236">
        <f t="shared" si="304"/>
        <v>0</v>
      </c>
      <c r="EA109" s="3237"/>
      <c r="EE109" s="3235">
        <f t="shared" ref="EE109:EE115" si="340">$G109</f>
        <v>-0.23000000417232513</v>
      </c>
      <c r="EF109" s="3236">
        <f t="shared" si="306"/>
        <v>-0.23000000417232513</v>
      </c>
      <c r="EG109" s="3236">
        <f t="shared" si="307"/>
        <v>0</v>
      </c>
      <c r="EH109" s="3236">
        <f t="shared" si="308"/>
        <v>0</v>
      </c>
      <c r="EI109" s="3237"/>
      <c r="EM109" s="3235">
        <f t="shared" ref="EM109:EM115" si="341">$G109</f>
        <v>-0.23000000417232513</v>
      </c>
      <c r="EN109" s="3236">
        <f t="shared" si="310"/>
        <v>-0.23000000417232513</v>
      </c>
      <c r="EO109" s="3236">
        <f t="shared" si="311"/>
        <v>0</v>
      </c>
      <c r="EP109" s="3236">
        <f t="shared" si="312"/>
        <v>0</v>
      </c>
      <c r="EQ109" s="3237"/>
      <c r="EU109" s="3235">
        <f t="shared" ref="EU109:EU115" si="342">$G109</f>
        <v>-0.23000000417232513</v>
      </c>
      <c r="EV109" s="3236">
        <f t="shared" si="314"/>
        <v>-0.23000000417232513</v>
      </c>
      <c r="EW109" s="3236">
        <f t="shared" si="315"/>
        <v>0</v>
      </c>
      <c r="EX109" s="3236">
        <f t="shared" si="316"/>
        <v>0</v>
      </c>
      <c r="EY109" s="3237"/>
      <c r="FC109" s="3235">
        <f t="shared" ref="FC109:FC115" si="343">$G109</f>
        <v>-0.23000000417232513</v>
      </c>
      <c r="FD109" s="3236">
        <f t="shared" si="318"/>
        <v>-0.23000000417232513</v>
      </c>
      <c r="FE109" s="3236">
        <f t="shared" si="319"/>
        <v>0</v>
      </c>
      <c r="FF109" s="3236">
        <f t="shared" si="320"/>
        <v>0</v>
      </c>
      <c r="FG109" s="3237"/>
      <c r="FK109" s="3235">
        <f t="shared" ref="FK109:FK115" si="344">$G109</f>
        <v>-0.23000000417232513</v>
      </c>
      <c r="FL109" s="3236">
        <f t="shared" si="322"/>
        <v>-0.23000000417232513</v>
      </c>
      <c r="FM109" s="3236">
        <f t="shared" si="323"/>
        <v>0</v>
      </c>
      <c r="FN109" s="3236">
        <f t="shared" si="324"/>
        <v>0</v>
      </c>
      <c r="FO109" s="3237"/>
    </row>
    <row r="110" spans="1:171">
      <c r="A110" s="2092"/>
      <c r="B110" s="2097" t="s">
        <v>55</v>
      </c>
      <c r="C110" s="2464" t="s">
        <v>78</v>
      </c>
      <c r="D110" s="2464">
        <v>163</v>
      </c>
      <c r="E110" s="2424" t="str">
        <f>'Sch 1- Rate Base '!E110</f>
        <v>PTD</v>
      </c>
      <c r="F110" s="2171"/>
      <c r="G110" s="2424">
        <f>'Sch 1- Rate Base '!G110</f>
        <v>-861822.14029058116</v>
      </c>
      <c r="H110" s="2424">
        <f>'Sch 1- Rate Base '!H110</f>
        <v>-300854.75176485057</v>
      </c>
      <c r="I110" s="2424">
        <f>'Sch 1- Rate Base '!I110</f>
        <v>0</v>
      </c>
      <c r="J110" s="3465">
        <f>'Sch 1- Rate Base '!J110</f>
        <v>-560967.38852573058</v>
      </c>
      <c r="K110" s="3205">
        <f t="shared" si="244"/>
        <v>1</v>
      </c>
      <c r="O110" s="3235">
        <f t="shared" si="325"/>
        <v>-861822.14029058116</v>
      </c>
      <c r="P110" s="3236">
        <f t="shared" ref="P110:P115" si="345">VLOOKUP($E110,O$442:R$453,2,FALSE)*O110*($K110)+IF($G110&lt;&gt;0,($H110/$G110)*O110,0)*(1-$K110)</f>
        <v>-300854.75176485057</v>
      </c>
      <c r="Q110" s="3236">
        <f t="shared" ref="Q110:Q115" si="346">VLOOKUP($E110,O$442:R$453,3,FALSE)*O110*($K110)+IF($G110&lt;&gt;0,($I110/$G110)*O110,0)*(1-$K110)</f>
        <v>-153602.83230340277</v>
      </c>
      <c r="R110" s="3236">
        <f t="shared" si="248"/>
        <v>-407364.55622232781</v>
      </c>
      <c r="S110" s="3237"/>
      <c r="W110" s="3235">
        <f t="shared" si="326"/>
        <v>-861822.14029058116</v>
      </c>
      <c r="X110" s="3236">
        <f t="shared" ref="X110:X115" si="347">VLOOKUP($E110,W$442:Z$453,2,FALSE)*W110*($K110)+IF($G110&lt;&gt;0,($H110/$G110)*W110,0)*(1-$K110)</f>
        <v>-300854.75176485057</v>
      </c>
      <c r="Y110" s="3236">
        <f t="shared" ref="Y110:Y115" si="348">VLOOKUP($E110,W$442:Z$453,3,FALSE)*W110*($K110)+IF($G110&lt;&gt;0,($I110/$G110)*W110,0)*(1-$K110)</f>
        <v>-153602.83230340277</v>
      </c>
      <c r="Z110" s="3236">
        <f t="shared" si="252"/>
        <v>-407364.55622232781</v>
      </c>
      <c r="AA110" s="3237"/>
      <c r="AE110" s="3235">
        <f t="shared" si="327"/>
        <v>-861822.14029058116</v>
      </c>
      <c r="AF110" s="3236">
        <f t="shared" ref="AF110:AF115" si="349">VLOOKUP($E110,AE$442:AH$453,2,FALSE)*AE110*($K110)+IF($G110&lt;&gt;0,($H110/$G110)*AE110,0)*(1-$K110)</f>
        <v>-300854.75176485057</v>
      </c>
      <c r="AG110" s="3236">
        <f t="shared" ref="AG110:AG115" si="350">VLOOKUP($E110,AE$442:AH$453,3,FALSE)*AE110*($K110)+IF($G110&lt;&gt;0,($I110/$G110)*AE110,0)*(1-$K110)</f>
        <v>-153602.83230340277</v>
      </c>
      <c r="AH110" s="3236">
        <f t="shared" si="256"/>
        <v>-407364.55622232781</v>
      </c>
      <c r="AI110" s="3237"/>
      <c r="AM110" s="3235">
        <f t="shared" si="328"/>
        <v>-861822.14029058116</v>
      </c>
      <c r="AN110" s="3236">
        <f t="shared" ref="AN110:AN115" si="351">VLOOKUP($E110,AM$442:AP$453,2,FALSE)*AM110*($K110)+IF($G110&lt;&gt;0,($H110/$G110)*AM110,0)*(1-$K110)</f>
        <v>-300854.75176485057</v>
      </c>
      <c r="AO110" s="3236">
        <f t="shared" ref="AO110:AO115" si="352">VLOOKUP($E110,AM$442:AP$453,3,FALSE)*AM110*($K110)+IF($G110&lt;&gt;0,($I110/$G110)*AM110,0)*(1-$K110)</f>
        <v>-153602.83230340277</v>
      </c>
      <c r="AP110" s="3236">
        <f t="shared" si="260"/>
        <v>-407364.55622232781</v>
      </c>
      <c r="AQ110" s="3237"/>
      <c r="AU110" s="3235">
        <f t="shared" si="329"/>
        <v>-861822.14029058116</v>
      </c>
      <c r="AV110" s="3236">
        <f t="shared" ref="AV110:AV115" si="353">VLOOKUP($E110,AU$442:AX$453,2,FALSE)*AU110*($K110)+IF($G110&lt;&gt;0,($H110/$G110)*AU110,0)*(1-$K110)</f>
        <v>-300854.75176485057</v>
      </c>
      <c r="AW110" s="3236">
        <f t="shared" ref="AW110:AW115" si="354">VLOOKUP($E110,AU$442:AX$453,3,FALSE)*AU110*($K110)+IF($G110&lt;&gt;0,($I110/$G110)*AU110,0)*(1-$K110)</f>
        <v>-153602.83230340277</v>
      </c>
      <c r="AX110" s="3236">
        <f t="shared" si="264"/>
        <v>-407364.55622232781</v>
      </c>
      <c r="AY110" s="3237"/>
      <c r="BC110" s="3235">
        <f t="shared" si="330"/>
        <v>-861822.14029058116</v>
      </c>
      <c r="BD110" s="3236">
        <f t="shared" ref="BD110:BD115" si="355">VLOOKUP($E110,BC$442:BF$453,2,FALSE)*BC110*($K110)+IF($G110&lt;&gt;0,($H110/$G110)*BC110,0)*(1-$K110)</f>
        <v>-300854.75176485057</v>
      </c>
      <c r="BE110" s="3236">
        <f t="shared" ref="BE110:BE115" si="356">VLOOKUP($E110,BC$442:BF$453,3,FALSE)*BC110*($K110)+IF($G110&lt;&gt;0,($I110/$G110)*BC110,0)*(1-$K110)</f>
        <v>-153602.83230340277</v>
      </c>
      <c r="BF110" s="3236">
        <f t="shared" si="268"/>
        <v>-407364.55622232781</v>
      </c>
      <c r="BG110" s="3237"/>
      <c r="BK110" s="3235">
        <f t="shared" si="331"/>
        <v>-861822.14029058116</v>
      </c>
      <c r="BL110" s="3236">
        <f t="shared" ref="BL110:BL115" si="357">VLOOKUP($E110,BK$442:BN$453,2,FALSE)*BK110*($K110)+IF($G110&lt;&gt;0,($H110/$G110)*BK110,0)*(1-$K110)</f>
        <v>-300854.75176485057</v>
      </c>
      <c r="BM110" s="3236">
        <f t="shared" ref="BM110:BM115" si="358">VLOOKUP($E110,BK$442:BN$453,3,FALSE)*BK110*($K110)+IF($G110&lt;&gt;0,($I110/$G110)*BK110,0)*(1-$K110)</f>
        <v>-153602.83230340277</v>
      </c>
      <c r="BN110" s="3236">
        <f t="shared" si="272"/>
        <v>-407364.55622232781</v>
      </c>
      <c r="BO110" s="3237"/>
      <c r="BS110" s="3235">
        <f t="shared" si="332"/>
        <v>-861822.14029058116</v>
      </c>
      <c r="BT110" s="3236">
        <f t="shared" ref="BT110:BT115" si="359">VLOOKUP($E110,BS$442:BV$453,2,FALSE)*BS110*($K110)+IF($G110&lt;&gt;0,($H110/$G110)*BS110,0)*(1-$K110)</f>
        <v>-300854.75176485057</v>
      </c>
      <c r="BU110" s="3236">
        <f t="shared" ref="BU110:BU115" si="360">VLOOKUP($E110,BS$442:BV$453,3,FALSE)*BS110*($K110)+IF($G110&lt;&gt;0,($I110/$G110)*BS110,0)*(1-$K110)</f>
        <v>-153602.83230340277</v>
      </c>
      <c r="BV110" s="3236">
        <f t="shared" si="276"/>
        <v>-407364.55622232781</v>
      </c>
      <c r="BW110" s="3237"/>
      <c r="CA110" s="3235">
        <f t="shared" si="333"/>
        <v>-861822.14029058116</v>
      </c>
      <c r="CB110" s="3236">
        <f t="shared" ref="CB110:CB115" si="361">VLOOKUP($E110,CA$442:CD$453,2,FALSE)*CA110*($K110)+IF($G110&lt;&gt;0,($H110/$G110)*CA110,0)*(1-$K110)</f>
        <v>-300854.75176485057</v>
      </c>
      <c r="CC110" s="3236">
        <f t="shared" ref="CC110:CC115" si="362">VLOOKUP($E110,CA$442:CD$453,3,FALSE)*CA110*($K110)+IF($G110&lt;&gt;0,($I110/$G110)*CA110,0)*(1-$K110)</f>
        <v>-153602.83230340277</v>
      </c>
      <c r="CD110" s="3236">
        <f t="shared" si="280"/>
        <v>-407364.55622232781</v>
      </c>
      <c r="CE110" s="3237"/>
      <c r="CI110" s="3235">
        <f t="shared" si="334"/>
        <v>-861822.14029058116</v>
      </c>
      <c r="CJ110" s="3236">
        <f t="shared" ref="CJ110:CJ115" si="363">VLOOKUP($E110,CI$442:CL$453,2,FALSE)*CI110*($K110)+IF($G110&lt;&gt;0,($H110/$G110)*CI110,0)*(1-$K110)</f>
        <v>-300854.75176485057</v>
      </c>
      <c r="CK110" s="3236">
        <f t="shared" ref="CK110:CK115" si="364">VLOOKUP($E110,CI$442:CL$453,3,FALSE)*CI110*($K110)+IF($G110&lt;&gt;0,($I110/$G110)*CI110,0)*(1-$K110)</f>
        <v>-153602.83230340277</v>
      </c>
      <c r="CL110" s="3236">
        <f t="shared" si="284"/>
        <v>-407364.55622232781</v>
      </c>
      <c r="CM110" s="3237"/>
      <c r="CQ110" s="3235">
        <f t="shared" si="335"/>
        <v>-861822.14029058116</v>
      </c>
      <c r="CR110" s="3236">
        <f t="shared" ref="CR110:CR115" si="365">VLOOKUP($E110,CQ$442:CT$453,2,FALSE)*CQ110*($K110)+IF($G110&lt;&gt;0,($H110/$G110)*CQ110,0)*(1-$K110)</f>
        <v>-300854.75176485057</v>
      </c>
      <c r="CS110" s="3236">
        <f t="shared" ref="CS110:CS115" si="366">VLOOKUP($E110,CQ$442:CT$453,3,FALSE)*CQ110*($K110)+IF($G110&lt;&gt;0,($I110/$G110)*CQ110,0)*(1-$K110)</f>
        <v>-153602.83230340277</v>
      </c>
      <c r="CT110" s="3236">
        <f t="shared" si="288"/>
        <v>-407364.55622232781</v>
      </c>
      <c r="CU110" s="3237"/>
      <c r="CY110" s="3235">
        <f t="shared" si="336"/>
        <v>-861822.14029058116</v>
      </c>
      <c r="CZ110" s="3236">
        <f t="shared" ref="CZ110:CZ115" si="367">VLOOKUP($E110,CY$442:DB$453,2,FALSE)*CY110*($K110)+IF($G110&lt;&gt;0,($H110/$G110)*CY110,0)*(1-$K110)</f>
        <v>-300854.75176485057</v>
      </c>
      <c r="DA110" s="3236">
        <f t="shared" ref="DA110:DA115" si="368">VLOOKUP($E110,CY$442:DB$453,3,FALSE)*CY110*($K110)+IF($G110&lt;&gt;0,($I110/$G110)*CY110,0)*(1-$K110)</f>
        <v>-153602.83230340277</v>
      </c>
      <c r="DB110" s="3236">
        <f t="shared" si="292"/>
        <v>-407364.55622232781</v>
      </c>
      <c r="DC110" s="3237"/>
      <c r="DG110" s="3235">
        <f t="shared" si="337"/>
        <v>-861822.14029058116</v>
      </c>
      <c r="DH110" s="3236">
        <f t="shared" ref="DH110:DH115" si="369">VLOOKUP($E110,DG$442:DJ$453,2,FALSE)*DG110*($K110)+IF($G110&lt;&gt;0,($H110/$G110)*DG110,0)*(1-$K110)</f>
        <v>-300854.75176485057</v>
      </c>
      <c r="DI110" s="3236">
        <f t="shared" ref="DI110:DI115" si="370">VLOOKUP($E110,DG$442:DJ$453,3,FALSE)*DG110*($K110)+IF($G110&lt;&gt;0,($I110/$G110)*DG110,0)*(1-$K110)</f>
        <v>-153602.83230340277</v>
      </c>
      <c r="DJ110" s="3236">
        <f t="shared" si="296"/>
        <v>-407364.55622232781</v>
      </c>
      <c r="DK110" s="3237"/>
      <c r="DO110" s="3235">
        <f t="shared" si="338"/>
        <v>-861822.14029058116</v>
      </c>
      <c r="DP110" s="3236">
        <f t="shared" ref="DP110:DP115" si="371">VLOOKUP($E110,DO$442:DR$453,2,FALSE)*DO110*($K110)+IF($G110&lt;&gt;0,($H110/$G110)*DO110,0)*(1-$K110)</f>
        <v>-300854.75176485057</v>
      </c>
      <c r="DQ110" s="3236">
        <f t="shared" ref="DQ110:DQ115" si="372">VLOOKUP($E110,DO$442:DR$453,3,FALSE)*DO110*($K110)+IF($G110&lt;&gt;0,($I110/$G110)*DO110,0)*(1-$K110)</f>
        <v>-153602.83230340277</v>
      </c>
      <c r="DR110" s="3236">
        <f t="shared" si="300"/>
        <v>-407364.55622232781</v>
      </c>
      <c r="DS110" s="3237"/>
      <c r="DW110" s="3235">
        <f t="shared" si="339"/>
        <v>-861822.14029058116</v>
      </c>
      <c r="DX110" s="3236">
        <f t="shared" ref="DX110:DX115" si="373">VLOOKUP($E110,DW$442:DZ$453,2,FALSE)*DW110*($K110)+IF($G110&lt;&gt;0,($H110/$G110)*DW110,0)*(1-$K110)</f>
        <v>-300854.75176485057</v>
      </c>
      <c r="DY110" s="3236">
        <f t="shared" ref="DY110:DY115" si="374">VLOOKUP($E110,DW$442:DZ$453,3,FALSE)*DW110*($K110)+IF($G110&lt;&gt;0,($I110/$G110)*DW110,0)*(1-$K110)</f>
        <v>-153602.83230340277</v>
      </c>
      <c r="DZ110" s="3236">
        <f t="shared" si="304"/>
        <v>-407364.55622232781</v>
      </c>
      <c r="EA110" s="3237"/>
      <c r="EE110" s="3235">
        <f t="shared" si="340"/>
        <v>-861822.14029058116</v>
      </c>
      <c r="EF110" s="3236">
        <f t="shared" ref="EF110:EF115" si="375">VLOOKUP($E110,EE$442:EH$453,2,FALSE)*EE110*($K110)+IF($G110&lt;&gt;0,($H110/$G110)*EE110,0)*(1-$K110)</f>
        <v>-300854.75176485057</v>
      </c>
      <c r="EG110" s="3236">
        <f t="shared" ref="EG110:EG115" si="376">VLOOKUP($E110,EE$442:EH$453,3,FALSE)*EE110*($K110)+IF($G110&lt;&gt;0,($I110/$G110)*EE110,0)*(1-$K110)</f>
        <v>-153602.83230340277</v>
      </c>
      <c r="EH110" s="3236">
        <f t="shared" si="308"/>
        <v>-407364.55622232781</v>
      </c>
      <c r="EI110" s="3237"/>
      <c r="EM110" s="3235">
        <f t="shared" si="341"/>
        <v>-861822.14029058116</v>
      </c>
      <c r="EN110" s="3236">
        <f t="shared" ref="EN110:EN115" si="377">VLOOKUP($E110,EM$442:EP$453,2,FALSE)*EM110*($K110)+IF($G110&lt;&gt;0,($H110/$G110)*EM110,0)*(1-$K110)</f>
        <v>-300854.75176485057</v>
      </c>
      <c r="EO110" s="3236">
        <f t="shared" ref="EO110:EO115" si="378">VLOOKUP($E110,EM$442:EP$453,3,FALSE)*EM110*($K110)+IF($G110&lt;&gt;0,($I110/$G110)*EM110,0)*(1-$K110)</f>
        <v>-153602.83230340277</v>
      </c>
      <c r="EP110" s="3236">
        <f t="shared" si="312"/>
        <v>-407364.55622232781</v>
      </c>
      <c r="EQ110" s="3237"/>
      <c r="EU110" s="3235">
        <f t="shared" si="342"/>
        <v>-861822.14029058116</v>
      </c>
      <c r="EV110" s="3236">
        <f t="shared" ref="EV110:EV115" si="379">VLOOKUP($E110,EU$442:EX$453,2,FALSE)*EU110*($K110)+IF($G110&lt;&gt;0,($H110/$G110)*EU110,0)*(1-$K110)</f>
        <v>-300854.75176485057</v>
      </c>
      <c r="EW110" s="3236">
        <f t="shared" ref="EW110:EW115" si="380">VLOOKUP($E110,EU$442:EX$453,3,FALSE)*EU110*($K110)+IF($G110&lt;&gt;0,($I110/$G110)*EU110,0)*(1-$K110)</f>
        <v>-153602.83230340277</v>
      </c>
      <c r="EX110" s="3236">
        <f t="shared" si="316"/>
        <v>-407364.55622232781</v>
      </c>
      <c r="EY110" s="3237"/>
      <c r="FC110" s="3235">
        <f t="shared" si="343"/>
        <v>-861822.14029058116</v>
      </c>
      <c r="FD110" s="3236">
        <f t="shared" ref="FD110:FD115" si="381">VLOOKUP($E110,FC$442:FF$453,2,FALSE)*FC110*($K110)+IF($G110&lt;&gt;0,($H110/$G110)*FC110,0)*(1-$K110)</f>
        <v>-300854.75176485057</v>
      </c>
      <c r="FE110" s="3236">
        <f t="shared" ref="FE110:FE115" si="382">VLOOKUP($E110,FC$442:FF$453,3,FALSE)*FC110*($K110)+IF($G110&lt;&gt;0,($I110/$G110)*FC110,0)*(1-$K110)</f>
        <v>-153602.83230340277</v>
      </c>
      <c r="FF110" s="3236">
        <f t="shared" si="320"/>
        <v>-407364.55622232781</v>
      </c>
      <c r="FG110" s="3237"/>
      <c r="FK110" s="3235">
        <f t="shared" si="344"/>
        <v>-861822.14029058116</v>
      </c>
      <c r="FL110" s="3236">
        <f t="shared" ref="FL110:FL115" si="383">VLOOKUP($E110,FK$442:FN$453,2,FALSE)*FK110*($K110)+IF($G110&lt;&gt;0,($H110/$G110)*FK110,0)*(1-$K110)</f>
        <v>-300854.75176485057</v>
      </c>
      <c r="FM110" s="3236">
        <f t="shared" ref="FM110:FM115" si="384">VLOOKUP($E110,FK$442:FN$453,3,FALSE)*FK110*($K110)+IF($G110&lt;&gt;0,($I110/$G110)*FK110,0)*(1-$K110)</f>
        <v>-153602.83230340277</v>
      </c>
      <c r="FN110" s="3236">
        <f t="shared" si="324"/>
        <v>-407364.55622232781</v>
      </c>
      <c r="FO110" s="3237"/>
    </row>
    <row r="111" spans="1:171">
      <c r="A111" s="2092"/>
      <c r="B111" s="2097" t="s">
        <v>8</v>
      </c>
      <c r="C111" s="2464" t="s">
        <v>78</v>
      </c>
      <c r="D111" s="2464">
        <v>165</v>
      </c>
      <c r="E111" s="2424" t="str">
        <f>'Sch 1- Rate Base '!E111</f>
        <v>PTD</v>
      </c>
      <c r="F111" s="2171"/>
      <c r="G111" s="2424">
        <f>'Sch 1- Rate Base '!G111</f>
        <v>57629356.754719973</v>
      </c>
      <c r="H111" s="2424">
        <f>'Sch 1- Rate Base '!H111</f>
        <v>20117916.458915066</v>
      </c>
      <c r="I111" s="2424">
        <f>'Sch 1- Rate Base '!I111</f>
        <v>0</v>
      </c>
      <c r="J111" s="3465">
        <f>'Sch 1- Rate Base '!J111</f>
        <v>37511440.29580491</v>
      </c>
      <c r="K111" s="3205">
        <f t="shared" si="244"/>
        <v>1</v>
      </c>
      <c r="O111" s="3235">
        <f t="shared" si="325"/>
        <v>57629356.754719973</v>
      </c>
      <c r="P111" s="3236">
        <f t="shared" si="345"/>
        <v>20117916.458915066</v>
      </c>
      <c r="Q111" s="3236">
        <f t="shared" si="346"/>
        <v>10271298.458825365</v>
      </c>
      <c r="R111" s="3236">
        <f>VLOOKUP($E111,O$442:R$453,4,FALSE)*O111*($K111)+(O111-P111-Q111)*(1-$K111)</f>
        <v>27240141.836979542</v>
      </c>
      <c r="S111" s="3237"/>
      <c r="W111" s="3235">
        <f t="shared" si="326"/>
        <v>57629356.754719973</v>
      </c>
      <c r="X111" s="3236">
        <f t="shared" si="347"/>
        <v>20117916.458915066</v>
      </c>
      <c r="Y111" s="3236">
        <f t="shared" si="348"/>
        <v>10271298.458825365</v>
      </c>
      <c r="Z111" s="3236">
        <f>VLOOKUP($E111,W$442:Z$453,4,FALSE)*W111*($K111)+(W111-X111-Y111)*(1-$K111)</f>
        <v>27240141.836979542</v>
      </c>
      <c r="AA111" s="3237"/>
      <c r="AE111" s="3235">
        <f t="shared" si="327"/>
        <v>57629356.754719973</v>
      </c>
      <c r="AF111" s="3236">
        <f t="shared" si="349"/>
        <v>20117916.458915066</v>
      </c>
      <c r="AG111" s="3236">
        <f t="shared" si="350"/>
        <v>10271298.458825365</v>
      </c>
      <c r="AH111" s="3236">
        <f>VLOOKUP($E111,AE$442:AH$453,4,FALSE)*AE111*($K111)+(AE111-AF111-AG111)*(1-$K111)</f>
        <v>27240141.836979542</v>
      </c>
      <c r="AI111" s="3237"/>
      <c r="AM111" s="3235">
        <f t="shared" si="328"/>
        <v>57629356.754719973</v>
      </c>
      <c r="AN111" s="3236">
        <f t="shared" si="351"/>
        <v>20117916.458915066</v>
      </c>
      <c r="AO111" s="3236">
        <f t="shared" si="352"/>
        <v>10271298.458825365</v>
      </c>
      <c r="AP111" s="3236">
        <f>VLOOKUP($E111,AM$442:AP$453,4,FALSE)*AM111*($K111)+(AM111-AN111-AO111)*(1-$K111)</f>
        <v>27240141.836979542</v>
      </c>
      <c r="AQ111" s="3237"/>
      <c r="AU111" s="3235">
        <f t="shared" si="329"/>
        <v>57629356.754719973</v>
      </c>
      <c r="AV111" s="3236">
        <f t="shared" si="353"/>
        <v>20117916.458915066</v>
      </c>
      <c r="AW111" s="3236">
        <f t="shared" si="354"/>
        <v>10271298.458825365</v>
      </c>
      <c r="AX111" s="3236">
        <f>VLOOKUP($E111,AU$442:AX$453,4,FALSE)*AU111*($K111)+(AU111-AV111-AW111)*(1-$K111)</f>
        <v>27240141.836979542</v>
      </c>
      <c r="AY111" s="3237"/>
      <c r="BC111" s="3235">
        <f t="shared" si="330"/>
        <v>57629356.754719973</v>
      </c>
      <c r="BD111" s="3236">
        <f t="shared" si="355"/>
        <v>20117916.458915066</v>
      </c>
      <c r="BE111" s="3236">
        <f t="shared" si="356"/>
        <v>10271298.458825365</v>
      </c>
      <c r="BF111" s="3236">
        <f>VLOOKUP($E111,BC$442:BF$453,4,FALSE)*BC111*($K111)+(BC111-BD111-BE111)*(1-$K111)</f>
        <v>27240141.836979542</v>
      </c>
      <c r="BG111" s="3237"/>
      <c r="BK111" s="3235">
        <f t="shared" si="331"/>
        <v>57629356.754719973</v>
      </c>
      <c r="BL111" s="3236">
        <f t="shared" si="357"/>
        <v>20117916.458915066</v>
      </c>
      <c r="BM111" s="3236">
        <f t="shared" si="358"/>
        <v>10271298.458825365</v>
      </c>
      <c r="BN111" s="3236">
        <f>VLOOKUP($E111,BK$442:BN$453,4,FALSE)*BK111*($K111)+(BK111-BL111-BM111)*(1-$K111)</f>
        <v>27240141.836979542</v>
      </c>
      <c r="BO111" s="3237"/>
      <c r="BS111" s="3235">
        <f t="shared" si="332"/>
        <v>57629356.754719973</v>
      </c>
      <c r="BT111" s="3236">
        <f t="shared" si="359"/>
        <v>20117916.458915066</v>
      </c>
      <c r="BU111" s="3236">
        <f t="shared" si="360"/>
        <v>10271298.458825365</v>
      </c>
      <c r="BV111" s="3236">
        <f>VLOOKUP($E111,BS$442:BV$453,4,FALSE)*BS111*($K111)+(BS111-BT111-BU111)*(1-$K111)</f>
        <v>27240141.836979542</v>
      </c>
      <c r="BW111" s="3237"/>
      <c r="CA111" s="3235">
        <f t="shared" si="333"/>
        <v>57629356.754719973</v>
      </c>
      <c r="CB111" s="3236">
        <f t="shared" si="361"/>
        <v>20117916.458915066</v>
      </c>
      <c r="CC111" s="3236">
        <f t="shared" si="362"/>
        <v>10271298.458825365</v>
      </c>
      <c r="CD111" s="3236">
        <f>VLOOKUP($E111,CA$442:CD$453,4,FALSE)*CA111*($K111)+(CA111-CB111-CC111)*(1-$K111)</f>
        <v>27240141.836979542</v>
      </c>
      <c r="CE111" s="3237"/>
      <c r="CI111" s="3235">
        <f t="shared" si="334"/>
        <v>57629356.754719973</v>
      </c>
      <c r="CJ111" s="3236">
        <f t="shared" si="363"/>
        <v>20117916.458915066</v>
      </c>
      <c r="CK111" s="3236">
        <f t="shared" si="364"/>
        <v>10271298.458825365</v>
      </c>
      <c r="CL111" s="3236">
        <f>VLOOKUP($E111,CI$442:CL$453,4,FALSE)*CI111*($K111)+(CI111-CJ111-CK111)*(1-$K111)</f>
        <v>27240141.836979542</v>
      </c>
      <c r="CM111" s="3237"/>
      <c r="CQ111" s="3235">
        <f t="shared" si="335"/>
        <v>57629356.754719973</v>
      </c>
      <c r="CR111" s="3236">
        <f t="shared" si="365"/>
        <v>20117916.458915066</v>
      </c>
      <c r="CS111" s="3236">
        <f t="shared" si="366"/>
        <v>10271298.458825365</v>
      </c>
      <c r="CT111" s="3236">
        <f>VLOOKUP($E111,CQ$442:CT$453,4,FALSE)*CQ111*($K111)+(CQ111-CR111-CS111)*(1-$K111)</f>
        <v>27240141.836979542</v>
      </c>
      <c r="CU111" s="3237"/>
      <c r="CY111" s="3235">
        <f t="shared" si="336"/>
        <v>57629356.754719973</v>
      </c>
      <c r="CZ111" s="3236">
        <f t="shared" si="367"/>
        <v>20117916.458915066</v>
      </c>
      <c r="DA111" s="3236">
        <f t="shared" si="368"/>
        <v>10271298.458825365</v>
      </c>
      <c r="DB111" s="3236">
        <f>VLOOKUP($E111,CY$442:DB$453,4,FALSE)*CY111*($K111)+(CY111-CZ111-DA111)*(1-$K111)</f>
        <v>27240141.836979542</v>
      </c>
      <c r="DC111" s="3237"/>
      <c r="DG111" s="3235">
        <f t="shared" si="337"/>
        <v>57629356.754719973</v>
      </c>
      <c r="DH111" s="3236">
        <f t="shared" si="369"/>
        <v>20117916.458915066</v>
      </c>
      <c r="DI111" s="3236">
        <f t="shared" si="370"/>
        <v>10271298.458825365</v>
      </c>
      <c r="DJ111" s="3236">
        <f>VLOOKUP($E111,DG$442:DJ$453,4,FALSE)*DG111*($K111)+(DG111-DH111-DI111)*(1-$K111)</f>
        <v>27240141.836979542</v>
      </c>
      <c r="DK111" s="3237"/>
      <c r="DO111" s="3235">
        <f t="shared" si="338"/>
        <v>57629356.754719973</v>
      </c>
      <c r="DP111" s="3236">
        <f t="shared" si="371"/>
        <v>20117916.458915066</v>
      </c>
      <c r="DQ111" s="3236">
        <f t="shared" si="372"/>
        <v>10271298.458825365</v>
      </c>
      <c r="DR111" s="3236">
        <f>VLOOKUP($E111,DO$442:DR$453,4,FALSE)*DO111*($K111)+(DO111-DP111-DQ111)*(1-$K111)</f>
        <v>27240141.836979542</v>
      </c>
      <c r="DS111" s="3237"/>
      <c r="DW111" s="3235">
        <f t="shared" si="339"/>
        <v>57629356.754719973</v>
      </c>
      <c r="DX111" s="3236">
        <f t="shared" si="373"/>
        <v>20117916.458915066</v>
      </c>
      <c r="DY111" s="3236">
        <f t="shared" si="374"/>
        <v>10271298.458825365</v>
      </c>
      <c r="DZ111" s="3236">
        <f>VLOOKUP($E111,DW$442:DZ$453,4,FALSE)*DW111*($K111)+(DW111-DX111-DY111)*(1-$K111)</f>
        <v>27240141.836979542</v>
      </c>
      <c r="EA111" s="3237"/>
      <c r="EE111" s="3235">
        <f t="shared" si="340"/>
        <v>57629356.754719973</v>
      </c>
      <c r="EF111" s="3236">
        <f t="shared" si="375"/>
        <v>20117916.458915066</v>
      </c>
      <c r="EG111" s="3236">
        <f t="shared" si="376"/>
        <v>10271298.458825365</v>
      </c>
      <c r="EH111" s="3236">
        <f>VLOOKUP($E111,EE$442:EH$453,4,FALSE)*EE111*($K111)+(EE111-EF111-EG111)*(1-$K111)</f>
        <v>27240141.836979542</v>
      </c>
      <c r="EI111" s="3237"/>
      <c r="EM111" s="3235">
        <f t="shared" si="341"/>
        <v>57629356.754719973</v>
      </c>
      <c r="EN111" s="3236">
        <f t="shared" si="377"/>
        <v>20117916.458915066</v>
      </c>
      <c r="EO111" s="3236">
        <f t="shared" si="378"/>
        <v>10271298.458825365</v>
      </c>
      <c r="EP111" s="3236">
        <f>VLOOKUP($E111,EM$442:EP$453,4,FALSE)*EM111*($K111)+(EM111-EN111-EO111)*(1-$K111)</f>
        <v>27240141.836979542</v>
      </c>
      <c r="EQ111" s="3237"/>
      <c r="EU111" s="3235">
        <f t="shared" si="342"/>
        <v>57629356.754719973</v>
      </c>
      <c r="EV111" s="3236">
        <f t="shared" si="379"/>
        <v>20117916.458915066</v>
      </c>
      <c r="EW111" s="3236">
        <f t="shared" si="380"/>
        <v>10271298.458825365</v>
      </c>
      <c r="EX111" s="3236">
        <f>VLOOKUP($E111,EU$442:EX$453,4,FALSE)*EU111*($K111)+(EU111-EV111-EW111)*(1-$K111)</f>
        <v>27240141.836979542</v>
      </c>
      <c r="EY111" s="3237"/>
      <c r="FC111" s="3235">
        <f t="shared" si="343"/>
        <v>57629356.754719973</v>
      </c>
      <c r="FD111" s="3236">
        <f t="shared" si="381"/>
        <v>20117916.458915066</v>
      </c>
      <c r="FE111" s="3236">
        <f t="shared" si="382"/>
        <v>10271298.458825365</v>
      </c>
      <c r="FF111" s="3236">
        <f>VLOOKUP($E111,FC$442:FF$453,4,FALSE)*FC111*($K111)+(FC111-FD111-FE111)*(1-$K111)</f>
        <v>27240141.836979542</v>
      </c>
      <c r="FG111" s="3237"/>
      <c r="FK111" s="3235">
        <f t="shared" si="344"/>
        <v>57629356.754719973</v>
      </c>
      <c r="FL111" s="3236">
        <f t="shared" si="383"/>
        <v>20117916.458915066</v>
      </c>
      <c r="FM111" s="3236">
        <f t="shared" si="384"/>
        <v>10271298.458825365</v>
      </c>
      <c r="FN111" s="3236">
        <f>VLOOKUP($E111,FK$442:FN$453,4,FALSE)*FK111*($K111)+(FK111-FL111-FM111)*(1-$K111)</f>
        <v>27240141.836979542</v>
      </c>
      <c r="FO111" s="3237"/>
    </row>
    <row r="112" spans="1:171">
      <c r="A112" s="2092"/>
      <c r="B112" s="2290" t="s">
        <v>9</v>
      </c>
      <c r="C112" s="2464" t="s">
        <v>78</v>
      </c>
      <c r="D112" s="2464">
        <v>175</v>
      </c>
      <c r="E112" s="2424" t="str">
        <f>'Sch 1- Rate Base '!E112</f>
        <v>DIST</v>
      </c>
      <c r="F112" s="2171"/>
      <c r="G112" s="2424">
        <f>'Sch 1- Rate Base '!G112</f>
        <v>3021644.13</v>
      </c>
      <c r="H112" s="2424">
        <f>'Sch 1- Rate Base '!H112</f>
        <v>0</v>
      </c>
      <c r="I112" s="2424">
        <f>'Sch 1- Rate Base '!I112</f>
        <v>0</v>
      </c>
      <c r="J112" s="3465">
        <f>'Sch 1- Rate Base '!J112</f>
        <v>3021644.13</v>
      </c>
      <c r="K112" s="3205">
        <f t="shared" si="244"/>
        <v>1</v>
      </c>
      <c r="O112" s="3235">
        <f t="shared" si="325"/>
        <v>3021644.13</v>
      </c>
      <c r="P112" s="3236">
        <f t="shared" si="345"/>
        <v>0</v>
      </c>
      <c r="Q112" s="3236">
        <f t="shared" si="346"/>
        <v>0</v>
      </c>
      <c r="R112" s="3236">
        <f>VLOOKUP($E112,O$442:R$453,4,FALSE)*O112*($K112)+(O112-P112-Q112)*(1-$K112)</f>
        <v>3021644.13</v>
      </c>
      <c r="S112" s="3237"/>
      <c r="W112" s="3235">
        <f t="shared" si="326"/>
        <v>3021644.13</v>
      </c>
      <c r="X112" s="3236">
        <f t="shared" si="347"/>
        <v>0</v>
      </c>
      <c r="Y112" s="3236">
        <f t="shared" si="348"/>
        <v>0</v>
      </c>
      <c r="Z112" s="3236">
        <f>VLOOKUP($E112,W$442:Z$453,4,FALSE)*W112*($K112)+(W112-X112-Y112)*(1-$K112)</f>
        <v>3021644.13</v>
      </c>
      <c r="AA112" s="3237"/>
      <c r="AE112" s="3235">
        <f t="shared" si="327"/>
        <v>3021644.13</v>
      </c>
      <c r="AF112" s="3236">
        <f t="shared" si="349"/>
        <v>0</v>
      </c>
      <c r="AG112" s="3236">
        <f t="shared" si="350"/>
        <v>0</v>
      </c>
      <c r="AH112" s="3236">
        <f>VLOOKUP($E112,AE$442:AH$453,4,FALSE)*AE112*($K112)+(AE112-AF112-AG112)*(1-$K112)</f>
        <v>3021644.13</v>
      </c>
      <c r="AI112" s="3237"/>
      <c r="AM112" s="3235">
        <f t="shared" si="328"/>
        <v>3021644.13</v>
      </c>
      <c r="AN112" s="3236">
        <f t="shared" si="351"/>
        <v>0</v>
      </c>
      <c r="AO112" s="3236">
        <f t="shared" si="352"/>
        <v>0</v>
      </c>
      <c r="AP112" s="3236">
        <f>VLOOKUP($E112,AM$442:AP$453,4,FALSE)*AM112*($K112)+(AM112-AN112-AO112)*(1-$K112)</f>
        <v>3021644.13</v>
      </c>
      <c r="AQ112" s="3237"/>
      <c r="AU112" s="3235">
        <f t="shared" si="329"/>
        <v>3021644.13</v>
      </c>
      <c r="AV112" s="3236">
        <f t="shared" si="353"/>
        <v>0</v>
      </c>
      <c r="AW112" s="3236">
        <f t="shared" si="354"/>
        <v>0</v>
      </c>
      <c r="AX112" s="3236">
        <f>VLOOKUP($E112,AU$442:AX$453,4,FALSE)*AU112*($K112)+(AU112-AV112-AW112)*(1-$K112)</f>
        <v>3021644.13</v>
      </c>
      <c r="AY112" s="3237"/>
      <c r="BC112" s="3235">
        <f t="shared" si="330"/>
        <v>3021644.13</v>
      </c>
      <c r="BD112" s="3236">
        <f t="shared" si="355"/>
        <v>0</v>
      </c>
      <c r="BE112" s="3236">
        <f t="shared" si="356"/>
        <v>0</v>
      </c>
      <c r="BF112" s="3236">
        <f>VLOOKUP($E112,BC$442:BF$453,4,FALSE)*BC112*($K112)+(BC112-BD112-BE112)*(1-$K112)</f>
        <v>3021644.13</v>
      </c>
      <c r="BG112" s="3237"/>
      <c r="BK112" s="3235">
        <f t="shared" si="331"/>
        <v>3021644.13</v>
      </c>
      <c r="BL112" s="3236">
        <f t="shared" si="357"/>
        <v>0</v>
      </c>
      <c r="BM112" s="3236">
        <f t="shared" si="358"/>
        <v>0</v>
      </c>
      <c r="BN112" s="3236">
        <f>VLOOKUP($E112,BK$442:BN$453,4,FALSE)*BK112*($K112)+(BK112-BL112-BM112)*(1-$K112)</f>
        <v>3021644.13</v>
      </c>
      <c r="BO112" s="3237"/>
      <c r="BS112" s="3235">
        <f t="shared" si="332"/>
        <v>3021644.13</v>
      </c>
      <c r="BT112" s="3236">
        <f t="shared" si="359"/>
        <v>0</v>
      </c>
      <c r="BU112" s="3236">
        <f t="shared" si="360"/>
        <v>0</v>
      </c>
      <c r="BV112" s="3236">
        <f>VLOOKUP($E112,BS$442:BV$453,4,FALSE)*BS112*($K112)+(BS112-BT112-BU112)*(1-$K112)</f>
        <v>3021644.13</v>
      </c>
      <c r="BW112" s="3237"/>
      <c r="CA112" s="3235">
        <f t="shared" si="333"/>
        <v>3021644.13</v>
      </c>
      <c r="CB112" s="3236">
        <f t="shared" si="361"/>
        <v>0</v>
      </c>
      <c r="CC112" s="3236">
        <f t="shared" si="362"/>
        <v>0</v>
      </c>
      <c r="CD112" s="3236">
        <f>VLOOKUP($E112,CA$442:CD$453,4,FALSE)*CA112*($K112)+(CA112-CB112-CC112)*(1-$K112)</f>
        <v>3021644.13</v>
      </c>
      <c r="CE112" s="3237"/>
      <c r="CI112" s="3235">
        <f t="shared" si="334"/>
        <v>3021644.13</v>
      </c>
      <c r="CJ112" s="3236">
        <f t="shared" si="363"/>
        <v>0</v>
      </c>
      <c r="CK112" s="3236">
        <f t="shared" si="364"/>
        <v>0</v>
      </c>
      <c r="CL112" s="3236">
        <f>VLOOKUP($E112,CI$442:CL$453,4,FALSE)*CI112*($K112)+(CI112-CJ112-CK112)*(1-$K112)</f>
        <v>3021644.13</v>
      </c>
      <c r="CM112" s="3237"/>
      <c r="CQ112" s="3235">
        <f t="shared" si="335"/>
        <v>3021644.13</v>
      </c>
      <c r="CR112" s="3236">
        <f t="shared" si="365"/>
        <v>0</v>
      </c>
      <c r="CS112" s="3236">
        <f t="shared" si="366"/>
        <v>0</v>
      </c>
      <c r="CT112" s="3236">
        <f>VLOOKUP($E112,CQ$442:CT$453,4,FALSE)*CQ112*($K112)+(CQ112-CR112-CS112)*(1-$K112)</f>
        <v>3021644.13</v>
      </c>
      <c r="CU112" s="3237"/>
      <c r="CY112" s="3235">
        <f t="shared" si="336"/>
        <v>3021644.13</v>
      </c>
      <c r="CZ112" s="3236">
        <f t="shared" si="367"/>
        <v>0</v>
      </c>
      <c r="DA112" s="3236">
        <f t="shared" si="368"/>
        <v>0</v>
      </c>
      <c r="DB112" s="3236">
        <f>VLOOKUP($E112,CY$442:DB$453,4,FALSE)*CY112*($K112)+(CY112-CZ112-DA112)*(1-$K112)</f>
        <v>3021644.13</v>
      </c>
      <c r="DC112" s="3237"/>
      <c r="DG112" s="3235">
        <f t="shared" si="337"/>
        <v>3021644.13</v>
      </c>
      <c r="DH112" s="3236">
        <f t="shared" si="369"/>
        <v>0</v>
      </c>
      <c r="DI112" s="3236">
        <f t="shared" si="370"/>
        <v>0</v>
      </c>
      <c r="DJ112" s="3236">
        <f>VLOOKUP($E112,DG$442:DJ$453,4,FALSE)*DG112*($K112)+(DG112-DH112-DI112)*(1-$K112)</f>
        <v>3021644.13</v>
      </c>
      <c r="DK112" s="3237"/>
      <c r="DO112" s="3235">
        <f t="shared" si="338"/>
        <v>3021644.13</v>
      </c>
      <c r="DP112" s="3236">
        <f t="shared" si="371"/>
        <v>0</v>
      </c>
      <c r="DQ112" s="3236">
        <f t="shared" si="372"/>
        <v>0</v>
      </c>
      <c r="DR112" s="3236">
        <f>VLOOKUP($E112,DO$442:DR$453,4,FALSE)*DO112*($K112)+(DO112-DP112-DQ112)*(1-$K112)</f>
        <v>3021644.13</v>
      </c>
      <c r="DS112" s="3237"/>
      <c r="DW112" s="3235">
        <f t="shared" si="339"/>
        <v>3021644.13</v>
      </c>
      <c r="DX112" s="3236">
        <f t="shared" si="373"/>
        <v>0</v>
      </c>
      <c r="DY112" s="3236">
        <f t="shared" si="374"/>
        <v>0</v>
      </c>
      <c r="DZ112" s="3236">
        <f>VLOOKUP($E112,DW$442:DZ$453,4,FALSE)*DW112*($K112)+(DW112-DX112-DY112)*(1-$K112)</f>
        <v>3021644.13</v>
      </c>
      <c r="EA112" s="3237"/>
      <c r="EE112" s="3235">
        <f t="shared" si="340"/>
        <v>3021644.13</v>
      </c>
      <c r="EF112" s="3236">
        <f t="shared" si="375"/>
        <v>0</v>
      </c>
      <c r="EG112" s="3236">
        <f t="shared" si="376"/>
        <v>0</v>
      </c>
      <c r="EH112" s="3236">
        <f>VLOOKUP($E112,EE$442:EH$453,4,FALSE)*EE112*($K112)+(EE112-EF112-EG112)*(1-$K112)</f>
        <v>3021644.13</v>
      </c>
      <c r="EI112" s="3237"/>
      <c r="EM112" s="3235">
        <f t="shared" si="341"/>
        <v>3021644.13</v>
      </c>
      <c r="EN112" s="3236">
        <f t="shared" si="377"/>
        <v>0</v>
      </c>
      <c r="EO112" s="3236">
        <f t="shared" si="378"/>
        <v>0</v>
      </c>
      <c r="EP112" s="3236">
        <f>VLOOKUP($E112,EM$442:EP$453,4,FALSE)*EM112*($K112)+(EM112-EN112-EO112)*(1-$K112)</f>
        <v>3021644.13</v>
      </c>
      <c r="EQ112" s="3237"/>
      <c r="EU112" s="3235">
        <f t="shared" si="342"/>
        <v>3021644.13</v>
      </c>
      <c r="EV112" s="3236">
        <f t="shared" si="379"/>
        <v>0</v>
      </c>
      <c r="EW112" s="3236">
        <f t="shared" si="380"/>
        <v>0</v>
      </c>
      <c r="EX112" s="3236">
        <f>VLOOKUP($E112,EU$442:EX$453,4,FALSE)*EU112*($K112)+(EU112-EV112-EW112)*(1-$K112)</f>
        <v>3021644.13</v>
      </c>
      <c r="EY112" s="3237"/>
      <c r="FC112" s="3235">
        <f t="shared" si="343"/>
        <v>3021644.13</v>
      </c>
      <c r="FD112" s="3236">
        <f t="shared" si="381"/>
        <v>0</v>
      </c>
      <c r="FE112" s="3236">
        <f t="shared" si="382"/>
        <v>0</v>
      </c>
      <c r="FF112" s="3236">
        <f>VLOOKUP($E112,FC$442:FF$453,4,FALSE)*FC112*($K112)+(FC112-FD112-FE112)*(1-$K112)</f>
        <v>3021644.13</v>
      </c>
      <c r="FG112" s="3237"/>
      <c r="FK112" s="3235">
        <f t="shared" si="344"/>
        <v>3021644.13</v>
      </c>
      <c r="FL112" s="3236">
        <f t="shared" si="383"/>
        <v>0</v>
      </c>
      <c r="FM112" s="3236">
        <f t="shared" si="384"/>
        <v>0</v>
      </c>
      <c r="FN112" s="3236">
        <f>VLOOKUP($E112,FK$442:FN$453,4,FALSE)*FK112*($K112)+(FK112-FL112-FM112)*(1-$K112)</f>
        <v>3021644.13</v>
      </c>
      <c r="FO112" s="3237"/>
    </row>
    <row r="113" spans="1:171">
      <c r="A113" s="2092"/>
      <c r="B113" s="2290" t="s">
        <v>612</v>
      </c>
      <c r="C113" s="2464" t="s">
        <v>253</v>
      </c>
      <c r="D113" s="2464">
        <v>175</v>
      </c>
      <c r="E113" s="2424" t="str">
        <f>'Sch 1- Rate Base '!E113</f>
        <v>DIST</v>
      </c>
      <c r="F113" s="2171"/>
      <c r="G113" s="2424">
        <f>'Sch 1- Rate Base '!G113</f>
        <v>30098821.84</v>
      </c>
      <c r="H113" s="2424">
        <f>'Sch 1- Rate Base '!H113</f>
        <v>0</v>
      </c>
      <c r="I113" s="2424">
        <f>'Sch 1- Rate Base '!I113</f>
        <v>0</v>
      </c>
      <c r="J113" s="3465">
        <f>'Sch 1- Rate Base '!J113</f>
        <v>30098821.84</v>
      </c>
      <c r="K113" s="3205">
        <f t="shared" si="244"/>
        <v>1</v>
      </c>
      <c r="O113" s="3235">
        <f t="shared" si="325"/>
        <v>30098821.84</v>
      </c>
      <c r="P113" s="3236">
        <f t="shared" si="345"/>
        <v>0</v>
      </c>
      <c r="Q113" s="3236">
        <f t="shared" si="346"/>
        <v>0</v>
      </c>
      <c r="R113" s="3236">
        <f>VLOOKUP($E113,O$442:R$453,4,FALSE)*O113*($K113)+(O113-P113-Q113)*(1-$K113)</f>
        <v>30098821.84</v>
      </c>
      <c r="S113" s="3237"/>
      <c r="W113" s="3235">
        <f t="shared" si="326"/>
        <v>30098821.84</v>
      </c>
      <c r="X113" s="3236">
        <f t="shared" si="347"/>
        <v>0</v>
      </c>
      <c r="Y113" s="3236">
        <f t="shared" si="348"/>
        <v>0</v>
      </c>
      <c r="Z113" s="3236">
        <f>VLOOKUP($E113,W$442:Z$453,4,FALSE)*W113*($K113)+(W113-X113-Y113)*(1-$K113)</f>
        <v>30098821.84</v>
      </c>
      <c r="AA113" s="3237"/>
      <c r="AE113" s="3235">
        <f t="shared" si="327"/>
        <v>30098821.84</v>
      </c>
      <c r="AF113" s="3236">
        <f t="shared" si="349"/>
        <v>0</v>
      </c>
      <c r="AG113" s="3236">
        <f t="shared" si="350"/>
        <v>0</v>
      </c>
      <c r="AH113" s="3236">
        <f>VLOOKUP($E113,AE$442:AH$453,4,FALSE)*AE113*($K113)+(AE113-AF113-AG113)*(1-$K113)</f>
        <v>30098821.84</v>
      </c>
      <c r="AI113" s="3237"/>
      <c r="AM113" s="3235">
        <f t="shared" si="328"/>
        <v>30098821.84</v>
      </c>
      <c r="AN113" s="3236">
        <f t="shared" si="351"/>
        <v>0</v>
      </c>
      <c r="AO113" s="3236">
        <f t="shared" si="352"/>
        <v>0</v>
      </c>
      <c r="AP113" s="3236">
        <f>VLOOKUP($E113,AM$442:AP$453,4,FALSE)*AM113*($K113)+(AM113-AN113-AO113)*(1-$K113)</f>
        <v>30098821.84</v>
      </c>
      <c r="AQ113" s="3237"/>
      <c r="AU113" s="3235">
        <f t="shared" si="329"/>
        <v>30098821.84</v>
      </c>
      <c r="AV113" s="3236">
        <f t="shared" si="353"/>
        <v>0</v>
      </c>
      <c r="AW113" s="3236">
        <f t="shared" si="354"/>
        <v>0</v>
      </c>
      <c r="AX113" s="3236">
        <f>VLOOKUP($E113,AU$442:AX$453,4,FALSE)*AU113*($K113)+(AU113-AV113-AW113)*(1-$K113)</f>
        <v>30098821.84</v>
      </c>
      <c r="AY113" s="3237"/>
      <c r="BC113" s="3235">
        <f t="shared" si="330"/>
        <v>30098821.84</v>
      </c>
      <c r="BD113" s="3236">
        <f t="shared" si="355"/>
        <v>0</v>
      </c>
      <c r="BE113" s="3236">
        <f t="shared" si="356"/>
        <v>0</v>
      </c>
      <c r="BF113" s="3236">
        <f>VLOOKUP($E113,BC$442:BF$453,4,FALSE)*BC113*($K113)+(BC113-BD113-BE113)*(1-$K113)</f>
        <v>30098821.84</v>
      </c>
      <c r="BG113" s="3237"/>
      <c r="BK113" s="3235">
        <f t="shared" si="331"/>
        <v>30098821.84</v>
      </c>
      <c r="BL113" s="3236">
        <f t="shared" si="357"/>
        <v>0</v>
      </c>
      <c r="BM113" s="3236">
        <f t="shared" si="358"/>
        <v>0</v>
      </c>
      <c r="BN113" s="3236">
        <f>VLOOKUP($E113,BK$442:BN$453,4,FALSE)*BK113*($K113)+(BK113-BL113-BM113)*(1-$K113)</f>
        <v>30098821.84</v>
      </c>
      <c r="BO113" s="3237"/>
      <c r="BS113" s="3235">
        <f t="shared" si="332"/>
        <v>30098821.84</v>
      </c>
      <c r="BT113" s="3236">
        <f t="shared" si="359"/>
        <v>0</v>
      </c>
      <c r="BU113" s="3236">
        <f t="shared" si="360"/>
        <v>0</v>
      </c>
      <c r="BV113" s="3236">
        <f>VLOOKUP($E113,BS$442:BV$453,4,FALSE)*BS113*($K113)+(BS113-BT113-BU113)*(1-$K113)</f>
        <v>30098821.84</v>
      </c>
      <c r="BW113" s="3237"/>
      <c r="CA113" s="3235">
        <f t="shared" si="333"/>
        <v>30098821.84</v>
      </c>
      <c r="CB113" s="3236">
        <f t="shared" si="361"/>
        <v>0</v>
      </c>
      <c r="CC113" s="3236">
        <f t="shared" si="362"/>
        <v>0</v>
      </c>
      <c r="CD113" s="3236">
        <f>VLOOKUP($E113,CA$442:CD$453,4,FALSE)*CA113*($K113)+(CA113-CB113-CC113)*(1-$K113)</f>
        <v>30098821.84</v>
      </c>
      <c r="CE113" s="3237"/>
      <c r="CI113" s="3235">
        <f t="shared" si="334"/>
        <v>30098821.84</v>
      </c>
      <c r="CJ113" s="3236">
        <f t="shared" si="363"/>
        <v>0</v>
      </c>
      <c r="CK113" s="3236">
        <f t="shared" si="364"/>
        <v>0</v>
      </c>
      <c r="CL113" s="3236">
        <f>VLOOKUP($E113,CI$442:CL$453,4,FALSE)*CI113*($K113)+(CI113-CJ113-CK113)*(1-$K113)</f>
        <v>30098821.84</v>
      </c>
      <c r="CM113" s="3237"/>
      <c r="CQ113" s="3235">
        <f t="shared" si="335"/>
        <v>30098821.84</v>
      </c>
      <c r="CR113" s="3236">
        <f t="shared" si="365"/>
        <v>0</v>
      </c>
      <c r="CS113" s="3236">
        <f t="shared" si="366"/>
        <v>0</v>
      </c>
      <c r="CT113" s="3236">
        <f>VLOOKUP($E113,CQ$442:CT$453,4,FALSE)*CQ113*($K113)+(CQ113-CR113-CS113)*(1-$K113)</f>
        <v>30098821.84</v>
      </c>
      <c r="CU113" s="3237"/>
      <c r="CY113" s="3235">
        <f t="shared" si="336"/>
        <v>30098821.84</v>
      </c>
      <c r="CZ113" s="3236">
        <f t="shared" si="367"/>
        <v>0</v>
      </c>
      <c r="DA113" s="3236">
        <f t="shared" si="368"/>
        <v>0</v>
      </c>
      <c r="DB113" s="3236">
        <f>VLOOKUP($E113,CY$442:DB$453,4,FALSE)*CY113*($K113)+(CY113-CZ113-DA113)*(1-$K113)</f>
        <v>30098821.84</v>
      </c>
      <c r="DC113" s="3237"/>
      <c r="DG113" s="3235">
        <f t="shared" si="337"/>
        <v>30098821.84</v>
      </c>
      <c r="DH113" s="3236">
        <f t="shared" si="369"/>
        <v>0</v>
      </c>
      <c r="DI113" s="3236">
        <f t="shared" si="370"/>
        <v>0</v>
      </c>
      <c r="DJ113" s="3236">
        <f>VLOOKUP($E113,DG$442:DJ$453,4,FALSE)*DG113*($K113)+(DG113-DH113-DI113)*(1-$K113)</f>
        <v>30098821.84</v>
      </c>
      <c r="DK113" s="3237"/>
      <c r="DO113" s="3235">
        <f t="shared" si="338"/>
        <v>30098821.84</v>
      </c>
      <c r="DP113" s="3236">
        <f t="shared" si="371"/>
        <v>0</v>
      </c>
      <c r="DQ113" s="3236">
        <f t="shared" si="372"/>
        <v>0</v>
      </c>
      <c r="DR113" s="3236">
        <f>VLOOKUP($E113,DO$442:DR$453,4,FALSE)*DO113*($K113)+(DO113-DP113-DQ113)*(1-$K113)</f>
        <v>30098821.84</v>
      </c>
      <c r="DS113" s="3237"/>
      <c r="DW113" s="3235">
        <f t="shared" si="339"/>
        <v>30098821.84</v>
      </c>
      <c r="DX113" s="3236">
        <f t="shared" si="373"/>
        <v>0</v>
      </c>
      <c r="DY113" s="3236">
        <f t="shared" si="374"/>
        <v>0</v>
      </c>
      <c r="DZ113" s="3236">
        <f>VLOOKUP($E113,DW$442:DZ$453,4,FALSE)*DW113*($K113)+(DW113-DX113-DY113)*(1-$K113)</f>
        <v>30098821.84</v>
      </c>
      <c r="EA113" s="3237"/>
      <c r="EE113" s="3235">
        <f t="shared" si="340"/>
        <v>30098821.84</v>
      </c>
      <c r="EF113" s="3236">
        <f t="shared" si="375"/>
        <v>0</v>
      </c>
      <c r="EG113" s="3236">
        <f t="shared" si="376"/>
        <v>0</v>
      </c>
      <c r="EH113" s="3236">
        <f>VLOOKUP($E113,EE$442:EH$453,4,FALSE)*EE113*($K113)+(EE113-EF113-EG113)*(1-$K113)</f>
        <v>30098821.84</v>
      </c>
      <c r="EI113" s="3237"/>
      <c r="EM113" s="3235">
        <f t="shared" si="341"/>
        <v>30098821.84</v>
      </c>
      <c r="EN113" s="3236">
        <f t="shared" si="377"/>
        <v>0</v>
      </c>
      <c r="EO113" s="3236">
        <f t="shared" si="378"/>
        <v>0</v>
      </c>
      <c r="EP113" s="3236">
        <f>VLOOKUP($E113,EM$442:EP$453,4,FALSE)*EM113*($K113)+(EM113-EN113-EO113)*(1-$K113)</f>
        <v>30098821.84</v>
      </c>
      <c r="EQ113" s="3237"/>
      <c r="EU113" s="3235">
        <f t="shared" si="342"/>
        <v>30098821.84</v>
      </c>
      <c r="EV113" s="3236">
        <f t="shared" si="379"/>
        <v>0</v>
      </c>
      <c r="EW113" s="3236">
        <f t="shared" si="380"/>
        <v>0</v>
      </c>
      <c r="EX113" s="3236">
        <f>VLOOKUP($E113,EU$442:EX$453,4,FALSE)*EU113*($K113)+(EU113-EV113-EW113)*(1-$K113)</f>
        <v>30098821.84</v>
      </c>
      <c r="EY113" s="3237"/>
      <c r="FC113" s="3235">
        <f t="shared" si="343"/>
        <v>30098821.84</v>
      </c>
      <c r="FD113" s="3236">
        <f t="shared" si="381"/>
        <v>0</v>
      </c>
      <c r="FE113" s="3236">
        <f t="shared" si="382"/>
        <v>0</v>
      </c>
      <c r="FF113" s="3236">
        <f>VLOOKUP($E113,FC$442:FF$453,4,FALSE)*FC113*($K113)+(FC113-FD113-FE113)*(1-$K113)</f>
        <v>30098821.84</v>
      </c>
      <c r="FG113" s="3237"/>
      <c r="FK113" s="3235">
        <f t="shared" si="344"/>
        <v>30098821.84</v>
      </c>
      <c r="FL113" s="3236">
        <f t="shared" si="383"/>
        <v>0</v>
      </c>
      <c r="FM113" s="3236">
        <f t="shared" si="384"/>
        <v>0</v>
      </c>
      <c r="FN113" s="3236">
        <f>VLOOKUP($E113,FK$442:FN$453,4,FALSE)*FK113*($K113)+(FK113-FL113-FM113)*(1-$K113)</f>
        <v>30098821.84</v>
      </c>
      <c r="FO113" s="3237"/>
    </row>
    <row r="114" spans="1:171">
      <c r="A114" s="2092"/>
      <c r="B114" s="2290" t="s">
        <v>332</v>
      </c>
      <c r="C114" s="3285" t="s">
        <v>78</v>
      </c>
      <c r="D114" s="3285">
        <v>176</v>
      </c>
      <c r="E114" s="2424" t="str">
        <f>'Sch 1- Rate Base '!E114</f>
        <v>DIST</v>
      </c>
      <c r="F114" s="2171"/>
      <c r="G114" s="2424">
        <f>'Sch 1- Rate Base '!G114</f>
        <v>0</v>
      </c>
      <c r="H114" s="2424">
        <f>'Sch 1- Rate Base '!H114</f>
        <v>0</v>
      </c>
      <c r="I114" s="2424">
        <f>'Sch 1- Rate Base '!I114</f>
        <v>0</v>
      </c>
      <c r="J114" s="3465">
        <f>'Sch 1- Rate Base '!J114</f>
        <v>0</v>
      </c>
      <c r="K114" s="3205">
        <f t="shared" si="244"/>
        <v>1</v>
      </c>
      <c r="O114" s="3235">
        <f t="shared" si="325"/>
        <v>0</v>
      </c>
      <c r="P114" s="3236">
        <f t="shared" si="345"/>
        <v>0</v>
      </c>
      <c r="Q114" s="3236">
        <f t="shared" si="346"/>
        <v>0</v>
      </c>
      <c r="R114" s="3236">
        <f>VLOOKUP($E114,O$442:R$453,4,FALSE)*O114*($K114)+(O114-P114-Q114)*(1-$K114)</f>
        <v>0</v>
      </c>
      <c r="S114" s="3237"/>
      <c r="W114" s="3235">
        <f t="shared" si="326"/>
        <v>0</v>
      </c>
      <c r="X114" s="3236">
        <f t="shared" si="347"/>
        <v>0</v>
      </c>
      <c r="Y114" s="3236">
        <f t="shared" si="348"/>
        <v>0</v>
      </c>
      <c r="Z114" s="3236">
        <f>VLOOKUP($E114,W$442:Z$453,4,FALSE)*W114*($K114)+(W114-X114-Y114)*(1-$K114)</f>
        <v>0</v>
      </c>
      <c r="AA114" s="3237"/>
      <c r="AE114" s="3235">
        <f t="shared" si="327"/>
        <v>0</v>
      </c>
      <c r="AF114" s="3236">
        <f t="shared" si="349"/>
        <v>0</v>
      </c>
      <c r="AG114" s="3236">
        <f t="shared" si="350"/>
        <v>0</v>
      </c>
      <c r="AH114" s="3236">
        <f>VLOOKUP($E114,AE$442:AH$453,4,FALSE)*AE114*($K114)+(AE114-AF114-AG114)*(1-$K114)</f>
        <v>0</v>
      </c>
      <c r="AI114" s="3237"/>
      <c r="AM114" s="3235">
        <f t="shared" si="328"/>
        <v>0</v>
      </c>
      <c r="AN114" s="3236">
        <f t="shared" si="351"/>
        <v>0</v>
      </c>
      <c r="AO114" s="3236">
        <f t="shared" si="352"/>
        <v>0</v>
      </c>
      <c r="AP114" s="3236">
        <f>VLOOKUP($E114,AM$442:AP$453,4,FALSE)*AM114*($K114)+(AM114-AN114-AO114)*(1-$K114)</f>
        <v>0</v>
      </c>
      <c r="AQ114" s="3237"/>
      <c r="AU114" s="3235">
        <f t="shared" si="329"/>
        <v>0</v>
      </c>
      <c r="AV114" s="3236">
        <f t="shared" si="353"/>
        <v>0</v>
      </c>
      <c r="AW114" s="3236">
        <f t="shared" si="354"/>
        <v>0</v>
      </c>
      <c r="AX114" s="3236">
        <f>VLOOKUP($E114,AU$442:AX$453,4,FALSE)*AU114*($K114)+(AU114-AV114-AW114)*(1-$K114)</f>
        <v>0</v>
      </c>
      <c r="AY114" s="3237"/>
      <c r="BC114" s="3235">
        <f t="shared" si="330"/>
        <v>0</v>
      </c>
      <c r="BD114" s="3236">
        <f t="shared" si="355"/>
        <v>0</v>
      </c>
      <c r="BE114" s="3236">
        <f t="shared" si="356"/>
        <v>0</v>
      </c>
      <c r="BF114" s="3236">
        <f>VLOOKUP($E114,BC$442:BF$453,4,FALSE)*BC114*($K114)+(BC114-BD114-BE114)*(1-$K114)</f>
        <v>0</v>
      </c>
      <c r="BG114" s="3237"/>
      <c r="BK114" s="3235">
        <f t="shared" si="331"/>
        <v>0</v>
      </c>
      <c r="BL114" s="3236">
        <f t="shared" si="357"/>
        <v>0</v>
      </c>
      <c r="BM114" s="3236">
        <f t="shared" si="358"/>
        <v>0</v>
      </c>
      <c r="BN114" s="3236">
        <f>VLOOKUP($E114,BK$442:BN$453,4,FALSE)*BK114*($K114)+(BK114-BL114-BM114)*(1-$K114)</f>
        <v>0</v>
      </c>
      <c r="BO114" s="3237"/>
      <c r="BS114" s="3235">
        <f t="shared" si="332"/>
        <v>0</v>
      </c>
      <c r="BT114" s="3236">
        <f t="shared" si="359"/>
        <v>0</v>
      </c>
      <c r="BU114" s="3236">
        <f t="shared" si="360"/>
        <v>0</v>
      </c>
      <c r="BV114" s="3236">
        <f>VLOOKUP($E114,BS$442:BV$453,4,FALSE)*BS114*($K114)+(BS114-BT114-BU114)*(1-$K114)</f>
        <v>0</v>
      </c>
      <c r="BW114" s="3237"/>
      <c r="CA114" s="3235">
        <f t="shared" si="333"/>
        <v>0</v>
      </c>
      <c r="CB114" s="3236">
        <f t="shared" si="361"/>
        <v>0</v>
      </c>
      <c r="CC114" s="3236">
        <f t="shared" si="362"/>
        <v>0</v>
      </c>
      <c r="CD114" s="3236">
        <f>VLOOKUP($E114,CA$442:CD$453,4,FALSE)*CA114*($K114)+(CA114-CB114-CC114)*(1-$K114)</f>
        <v>0</v>
      </c>
      <c r="CE114" s="3237"/>
      <c r="CI114" s="3235">
        <f t="shared" si="334"/>
        <v>0</v>
      </c>
      <c r="CJ114" s="3236">
        <f t="shared" si="363"/>
        <v>0</v>
      </c>
      <c r="CK114" s="3236">
        <f t="shared" si="364"/>
        <v>0</v>
      </c>
      <c r="CL114" s="3236">
        <f>VLOOKUP($E114,CI$442:CL$453,4,FALSE)*CI114*($K114)+(CI114-CJ114-CK114)*(1-$K114)</f>
        <v>0</v>
      </c>
      <c r="CM114" s="3237"/>
      <c r="CQ114" s="3235">
        <f t="shared" si="335"/>
        <v>0</v>
      </c>
      <c r="CR114" s="3236">
        <f t="shared" si="365"/>
        <v>0</v>
      </c>
      <c r="CS114" s="3236">
        <f t="shared" si="366"/>
        <v>0</v>
      </c>
      <c r="CT114" s="3236">
        <f>VLOOKUP($E114,CQ$442:CT$453,4,FALSE)*CQ114*($K114)+(CQ114-CR114-CS114)*(1-$K114)</f>
        <v>0</v>
      </c>
      <c r="CU114" s="3237"/>
      <c r="CY114" s="3235">
        <f t="shared" si="336"/>
        <v>0</v>
      </c>
      <c r="CZ114" s="3236">
        <f t="shared" si="367"/>
        <v>0</v>
      </c>
      <c r="DA114" s="3236">
        <f t="shared" si="368"/>
        <v>0</v>
      </c>
      <c r="DB114" s="3236">
        <f>VLOOKUP($E114,CY$442:DB$453,4,FALSE)*CY114*($K114)+(CY114-CZ114-DA114)*(1-$K114)</f>
        <v>0</v>
      </c>
      <c r="DC114" s="3237"/>
      <c r="DG114" s="3235">
        <f t="shared" si="337"/>
        <v>0</v>
      </c>
      <c r="DH114" s="3236">
        <f t="shared" si="369"/>
        <v>0</v>
      </c>
      <c r="DI114" s="3236">
        <f t="shared" si="370"/>
        <v>0</v>
      </c>
      <c r="DJ114" s="3236">
        <f>VLOOKUP($E114,DG$442:DJ$453,4,FALSE)*DG114*($K114)+(DG114-DH114-DI114)*(1-$K114)</f>
        <v>0</v>
      </c>
      <c r="DK114" s="3237"/>
      <c r="DO114" s="3235">
        <f t="shared" si="338"/>
        <v>0</v>
      </c>
      <c r="DP114" s="3236">
        <f t="shared" si="371"/>
        <v>0</v>
      </c>
      <c r="DQ114" s="3236">
        <f t="shared" si="372"/>
        <v>0</v>
      </c>
      <c r="DR114" s="3236">
        <f>VLOOKUP($E114,DO$442:DR$453,4,FALSE)*DO114*($K114)+(DO114-DP114-DQ114)*(1-$K114)</f>
        <v>0</v>
      </c>
      <c r="DS114" s="3237"/>
      <c r="DW114" s="3235">
        <f t="shared" si="339"/>
        <v>0</v>
      </c>
      <c r="DX114" s="3236">
        <f t="shared" si="373"/>
        <v>0</v>
      </c>
      <c r="DY114" s="3236">
        <f t="shared" si="374"/>
        <v>0</v>
      </c>
      <c r="DZ114" s="3236">
        <f>VLOOKUP($E114,DW$442:DZ$453,4,FALSE)*DW114*($K114)+(DW114-DX114-DY114)*(1-$K114)</f>
        <v>0</v>
      </c>
      <c r="EA114" s="3237"/>
      <c r="EE114" s="3235">
        <f t="shared" si="340"/>
        <v>0</v>
      </c>
      <c r="EF114" s="3236">
        <f t="shared" si="375"/>
        <v>0</v>
      </c>
      <c r="EG114" s="3236">
        <f t="shared" si="376"/>
        <v>0</v>
      </c>
      <c r="EH114" s="3236">
        <f>VLOOKUP($E114,EE$442:EH$453,4,FALSE)*EE114*($K114)+(EE114-EF114-EG114)*(1-$K114)</f>
        <v>0</v>
      </c>
      <c r="EI114" s="3237"/>
      <c r="EM114" s="3235">
        <f t="shared" si="341"/>
        <v>0</v>
      </c>
      <c r="EN114" s="3236">
        <f t="shared" si="377"/>
        <v>0</v>
      </c>
      <c r="EO114" s="3236">
        <f t="shared" si="378"/>
        <v>0</v>
      </c>
      <c r="EP114" s="3236">
        <f>VLOOKUP($E114,EM$442:EP$453,4,FALSE)*EM114*($K114)+(EM114-EN114-EO114)*(1-$K114)</f>
        <v>0</v>
      </c>
      <c r="EQ114" s="3237"/>
      <c r="EU114" s="3235">
        <f t="shared" si="342"/>
        <v>0</v>
      </c>
      <c r="EV114" s="3236">
        <f t="shared" si="379"/>
        <v>0</v>
      </c>
      <c r="EW114" s="3236">
        <f t="shared" si="380"/>
        <v>0</v>
      </c>
      <c r="EX114" s="3236">
        <f>VLOOKUP($E114,EU$442:EX$453,4,FALSE)*EU114*($K114)+(EU114-EV114-EW114)*(1-$K114)</f>
        <v>0</v>
      </c>
      <c r="EY114" s="3237"/>
      <c r="FC114" s="3235">
        <f t="shared" si="343"/>
        <v>0</v>
      </c>
      <c r="FD114" s="3236">
        <f t="shared" si="381"/>
        <v>0</v>
      </c>
      <c r="FE114" s="3236">
        <f t="shared" si="382"/>
        <v>0</v>
      </c>
      <c r="FF114" s="3236">
        <f>VLOOKUP($E114,FC$442:FF$453,4,FALSE)*FC114*($K114)+(FC114-FD114-FE114)*(1-$K114)</f>
        <v>0</v>
      </c>
      <c r="FG114" s="3237"/>
      <c r="FK114" s="3235">
        <f t="shared" si="344"/>
        <v>0</v>
      </c>
      <c r="FL114" s="3236">
        <f t="shared" si="383"/>
        <v>0</v>
      </c>
      <c r="FM114" s="3236">
        <f t="shared" si="384"/>
        <v>0</v>
      </c>
      <c r="FN114" s="3236">
        <f>VLOOKUP($E114,FK$442:FN$453,4,FALSE)*FK114*($K114)+(FK114-FL114-FM114)*(1-$K114)</f>
        <v>0</v>
      </c>
      <c r="FO114" s="3237"/>
    </row>
    <row r="115" spans="1:171">
      <c r="A115" s="2092"/>
      <c r="B115" s="2290" t="s">
        <v>613</v>
      </c>
      <c r="C115" s="3285" t="s">
        <v>253</v>
      </c>
      <c r="D115" s="3285">
        <v>176</v>
      </c>
      <c r="E115" s="2424" t="str">
        <f>'Sch 1- Rate Base '!E115</f>
        <v>DIST</v>
      </c>
      <c r="F115" s="2171"/>
      <c r="G115" s="2424">
        <f>'Sch 1- Rate Base '!G115</f>
        <v>0</v>
      </c>
      <c r="H115" s="2424">
        <f>'Sch 1- Rate Base '!H115</f>
        <v>0</v>
      </c>
      <c r="I115" s="2424">
        <f>'Sch 1- Rate Base '!I115</f>
        <v>0</v>
      </c>
      <c r="J115" s="3465">
        <f>'Sch 1- Rate Base '!J115</f>
        <v>0</v>
      </c>
      <c r="K115" s="3205">
        <f t="shared" si="244"/>
        <v>1</v>
      </c>
      <c r="O115" s="3235">
        <f t="shared" si="325"/>
        <v>0</v>
      </c>
      <c r="P115" s="3236">
        <f t="shared" si="345"/>
        <v>0</v>
      </c>
      <c r="Q115" s="3236">
        <f t="shared" si="346"/>
        <v>0</v>
      </c>
      <c r="R115" s="3236">
        <f>VLOOKUP($E115,O$442:R$453,4,FALSE)*O115*($K115)+(O115-P115-Q115)*(1-$K115)</f>
        <v>0</v>
      </c>
      <c r="S115" s="3237"/>
      <c r="W115" s="3235">
        <f t="shared" si="326"/>
        <v>0</v>
      </c>
      <c r="X115" s="3236">
        <f t="shared" si="347"/>
        <v>0</v>
      </c>
      <c r="Y115" s="3236">
        <f t="shared" si="348"/>
        <v>0</v>
      </c>
      <c r="Z115" s="3236">
        <f>VLOOKUP($E115,W$442:Z$453,4,FALSE)*W115*($K115)+(W115-X115-Y115)*(1-$K115)</f>
        <v>0</v>
      </c>
      <c r="AA115" s="3237"/>
      <c r="AE115" s="3235">
        <f t="shared" si="327"/>
        <v>0</v>
      </c>
      <c r="AF115" s="3236">
        <f t="shared" si="349"/>
        <v>0</v>
      </c>
      <c r="AG115" s="3236">
        <f t="shared" si="350"/>
        <v>0</v>
      </c>
      <c r="AH115" s="3236">
        <f>VLOOKUP($E115,AE$442:AH$453,4,FALSE)*AE115*($K115)+(AE115-AF115-AG115)*(1-$K115)</f>
        <v>0</v>
      </c>
      <c r="AI115" s="3237"/>
      <c r="AM115" s="3235">
        <f t="shared" si="328"/>
        <v>0</v>
      </c>
      <c r="AN115" s="3236">
        <f t="shared" si="351"/>
        <v>0</v>
      </c>
      <c r="AO115" s="3236">
        <f t="shared" si="352"/>
        <v>0</v>
      </c>
      <c r="AP115" s="3236">
        <f>VLOOKUP($E115,AM$442:AP$453,4,FALSE)*AM115*($K115)+(AM115-AN115-AO115)*(1-$K115)</f>
        <v>0</v>
      </c>
      <c r="AQ115" s="3237"/>
      <c r="AU115" s="3235">
        <f t="shared" si="329"/>
        <v>0</v>
      </c>
      <c r="AV115" s="3236">
        <f t="shared" si="353"/>
        <v>0</v>
      </c>
      <c r="AW115" s="3236">
        <f t="shared" si="354"/>
        <v>0</v>
      </c>
      <c r="AX115" s="3236">
        <f>VLOOKUP($E115,AU$442:AX$453,4,FALSE)*AU115*($K115)+(AU115-AV115-AW115)*(1-$K115)</f>
        <v>0</v>
      </c>
      <c r="AY115" s="3237"/>
      <c r="BC115" s="3235">
        <f t="shared" si="330"/>
        <v>0</v>
      </c>
      <c r="BD115" s="3236">
        <f t="shared" si="355"/>
        <v>0</v>
      </c>
      <c r="BE115" s="3236">
        <f t="shared" si="356"/>
        <v>0</v>
      </c>
      <c r="BF115" s="3236">
        <f>VLOOKUP($E115,BC$442:BF$453,4,FALSE)*BC115*($K115)+(BC115-BD115-BE115)*(1-$K115)</f>
        <v>0</v>
      </c>
      <c r="BG115" s="3237"/>
      <c r="BK115" s="3235">
        <f t="shared" si="331"/>
        <v>0</v>
      </c>
      <c r="BL115" s="3236">
        <f t="shared" si="357"/>
        <v>0</v>
      </c>
      <c r="BM115" s="3236">
        <f t="shared" si="358"/>
        <v>0</v>
      </c>
      <c r="BN115" s="3236">
        <f>VLOOKUP($E115,BK$442:BN$453,4,FALSE)*BK115*($K115)+(BK115-BL115-BM115)*(1-$K115)</f>
        <v>0</v>
      </c>
      <c r="BO115" s="3237"/>
      <c r="BS115" s="3235">
        <f t="shared" si="332"/>
        <v>0</v>
      </c>
      <c r="BT115" s="3236">
        <f t="shared" si="359"/>
        <v>0</v>
      </c>
      <c r="BU115" s="3236">
        <f t="shared" si="360"/>
        <v>0</v>
      </c>
      <c r="BV115" s="3236">
        <f>VLOOKUP($E115,BS$442:BV$453,4,FALSE)*BS115*($K115)+(BS115-BT115-BU115)*(1-$K115)</f>
        <v>0</v>
      </c>
      <c r="BW115" s="3237"/>
      <c r="CA115" s="3235">
        <f t="shared" si="333"/>
        <v>0</v>
      </c>
      <c r="CB115" s="3236">
        <f t="shared" si="361"/>
        <v>0</v>
      </c>
      <c r="CC115" s="3236">
        <f t="shared" si="362"/>
        <v>0</v>
      </c>
      <c r="CD115" s="3236">
        <f>VLOOKUP($E115,CA$442:CD$453,4,FALSE)*CA115*($K115)+(CA115-CB115-CC115)*(1-$K115)</f>
        <v>0</v>
      </c>
      <c r="CE115" s="3237"/>
      <c r="CI115" s="3235">
        <f t="shared" si="334"/>
        <v>0</v>
      </c>
      <c r="CJ115" s="3236">
        <f t="shared" si="363"/>
        <v>0</v>
      </c>
      <c r="CK115" s="3236">
        <f t="shared" si="364"/>
        <v>0</v>
      </c>
      <c r="CL115" s="3236">
        <f>VLOOKUP($E115,CI$442:CL$453,4,FALSE)*CI115*($K115)+(CI115-CJ115-CK115)*(1-$K115)</f>
        <v>0</v>
      </c>
      <c r="CM115" s="3237"/>
      <c r="CQ115" s="3235">
        <f t="shared" si="335"/>
        <v>0</v>
      </c>
      <c r="CR115" s="3236">
        <f t="shared" si="365"/>
        <v>0</v>
      </c>
      <c r="CS115" s="3236">
        <f t="shared" si="366"/>
        <v>0</v>
      </c>
      <c r="CT115" s="3236">
        <f>VLOOKUP($E115,CQ$442:CT$453,4,FALSE)*CQ115*($K115)+(CQ115-CR115-CS115)*(1-$K115)</f>
        <v>0</v>
      </c>
      <c r="CU115" s="3237"/>
      <c r="CY115" s="3235">
        <f t="shared" si="336"/>
        <v>0</v>
      </c>
      <c r="CZ115" s="3236">
        <f t="shared" si="367"/>
        <v>0</v>
      </c>
      <c r="DA115" s="3236">
        <f t="shared" si="368"/>
        <v>0</v>
      </c>
      <c r="DB115" s="3236">
        <f>VLOOKUP($E115,CY$442:DB$453,4,FALSE)*CY115*($K115)+(CY115-CZ115-DA115)*(1-$K115)</f>
        <v>0</v>
      </c>
      <c r="DC115" s="3237"/>
      <c r="DG115" s="3235">
        <f t="shared" si="337"/>
        <v>0</v>
      </c>
      <c r="DH115" s="3236">
        <f t="shared" si="369"/>
        <v>0</v>
      </c>
      <c r="DI115" s="3236">
        <f t="shared" si="370"/>
        <v>0</v>
      </c>
      <c r="DJ115" s="3236">
        <f>VLOOKUP($E115,DG$442:DJ$453,4,FALSE)*DG115*($K115)+(DG115-DH115-DI115)*(1-$K115)</f>
        <v>0</v>
      </c>
      <c r="DK115" s="3237"/>
      <c r="DO115" s="3235">
        <f t="shared" si="338"/>
        <v>0</v>
      </c>
      <c r="DP115" s="3236">
        <f t="shared" si="371"/>
        <v>0</v>
      </c>
      <c r="DQ115" s="3236">
        <f t="shared" si="372"/>
        <v>0</v>
      </c>
      <c r="DR115" s="3236">
        <f>VLOOKUP($E115,DO$442:DR$453,4,FALSE)*DO115*($K115)+(DO115-DP115-DQ115)*(1-$K115)</f>
        <v>0</v>
      </c>
      <c r="DS115" s="3237"/>
      <c r="DW115" s="3235">
        <f t="shared" si="339"/>
        <v>0</v>
      </c>
      <c r="DX115" s="3236">
        <f t="shared" si="373"/>
        <v>0</v>
      </c>
      <c r="DY115" s="3236">
        <f t="shared" si="374"/>
        <v>0</v>
      </c>
      <c r="DZ115" s="3236">
        <f>VLOOKUP($E115,DW$442:DZ$453,4,FALSE)*DW115*($K115)+(DW115-DX115-DY115)*(1-$K115)</f>
        <v>0</v>
      </c>
      <c r="EA115" s="3237"/>
      <c r="EE115" s="3235">
        <f t="shared" si="340"/>
        <v>0</v>
      </c>
      <c r="EF115" s="3236">
        <f t="shared" si="375"/>
        <v>0</v>
      </c>
      <c r="EG115" s="3236">
        <f t="shared" si="376"/>
        <v>0</v>
      </c>
      <c r="EH115" s="3236">
        <f>VLOOKUP($E115,EE$442:EH$453,4,FALSE)*EE115*($K115)+(EE115-EF115-EG115)*(1-$K115)</f>
        <v>0</v>
      </c>
      <c r="EI115" s="3237"/>
      <c r="EM115" s="3235">
        <f t="shared" si="341"/>
        <v>0</v>
      </c>
      <c r="EN115" s="3236">
        <f t="shared" si="377"/>
        <v>0</v>
      </c>
      <c r="EO115" s="3236">
        <f t="shared" si="378"/>
        <v>0</v>
      </c>
      <c r="EP115" s="3236">
        <f>VLOOKUP($E115,EM$442:EP$453,4,FALSE)*EM115*($K115)+(EM115-EN115-EO115)*(1-$K115)</f>
        <v>0</v>
      </c>
      <c r="EQ115" s="3237"/>
      <c r="EU115" s="3235">
        <f t="shared" si="342"/>
        <v>0</v>
      </c>
      <c r="EV115" s="3236">
        <f t="shared" si="379"/>
        <v>0</v>
      </c>
      <c r="EW115" s="3236">
        <f t="shared" si="380"/>
        <v>0</v>
      </c>
      <c r="EX115" s="3236">
        <f>VLOOKUP($E115,EU$442:EX$453,4,FALSE)*EU115*($K115)+(EU115-EV115-EW115)*(1-$K115)</f>
        <v>0</v>
      </c>
      <c r="EY115" s="3237"/>
      <c r="FC115" s="3235">
        <f t="shared" si="343"/>
        <v>0</v>
      </c>
      <c r="FD115" s="3236">
        <f t="shared" si="381"/>
        <v>0</v>
      </c>
      <c r="FE115" s="3236">
        <f t="shared" si="382"/>
        <v>0</v>
      </c>
      <c r="FF115" s="3236">
        <f>VLOOKUP($E115,FC$442:FF$453,4,FALSE)*FC115*($K115)+(FC115-FD115-FE115)*(1-$K115)</f>
        <v>0</v>
      </c>
      <c r="FG115" s="3237"/>
      <c r="FK115" s="3235">
        <f t="shared" si="344"/>
        <v>0</v>
      </c>
      <c r="FL115" s="3236">
        <f t="shared" si="383"/>
        <v>0</v>
      </c>
      <c r="FM115" s="3236">
        <f t="shared" si="384"/>
        <v>0</v>
      </c>
      <c r="FN115" s="3236">
        <f>VLOOKUP($E115,FK$442:FN$453,4,FALSE)*FK115*($K115)+(FK115-FL115-FM115)*(1-$K115)</f>
        <v>0</v>
      </c>
      <c r="FO115" s="3237"/>
    </row>
    <row r="116" spans="1:171">
      <c r="A116" s="2092"/>
      <c r="B116" s="3206" t="s">
        <v>104</v>
      </c>
      <c r="C116" s="3256"/>
      <c r="D116" s="3257"/>
      <c r="E116" s="3257"/>
      <c r="F116" s="3258"/>
      <c r="G116" s="3265">
        <f>SUM(G103:G112,G114)-G113-G115</f>
        <v>115527065.51058531</v>
      </c>
      <c r="H116" s="3265">
        <f>SUM(H103:H112,H114)-H113-H115</f>
        <v>9473433.3313070927</v>
      </c>
      <c r="I116" s="3265">
        <f>SUM(I103:I112,I114)-I113-I115</f>
        <v>0</v>
      </c>
      <c r="J116" s="3474">
        <f>SUM(J103:J112,J114)-J113-J115</f>
        <v>106053632.17927822</v>
      </c>
      <c r="K116" s="3205"/>
      <c r="O116" s="3281">
        <f>SUM(O103:O112,O114)-O113-O115</f>
        <v>115527065.51058531</v>
      </c>
      <c r="P116" s="3281">
        <f>SUM(P103:P112,P114)-P113-P115</f>
        <v>9473433.3313070927</v>
      </c>
      <c r="Q116" s="3281">
        <f>SUM(Q103:Q112,Q114)-Q113-Q115</f>
        <v>36453579.805381194</v>
      </c>
      <c r="R116" s="3281">
        <f>SUM(R103:R112,R114)-R113-R115</f>
        <v>69600052.373897016</v>
      </c>
      <c r="S116" s="3237"/>
      <c r="W116" s="3281">
        <f>SUM(W103:W112,W114)-W113-W115</f>
        <v>115527065.51058531</v>
      </c>
      <c r="X116" s="3281">
        <f>SUM(X103:X112,X114)-X113-X115</f>
        <v>9473433.3313070927</v>
      </c>
      <c r="Y116" s="3281">
        <f>SUM(Y103:Y112,Y114)-Y113-Y115</f>
        <v>36453579.805381194</v>
      </c>
      <c r="Z116" s="3281">
        <f>SUM(Z103:Z112,Z114)-Z113-Z115</f>
        <v>69600052.373897016</v>
      </c>
      <c r="AA116" s="3237"/>
      <c r="AE116" s="3281">
        <f>SUM(AE103:AE112,AE114)-AE113-AE115</f>
        <v>115527065.51058531</v>
      </c>
      <c r="AF116" s="3281">
        <f>SUM(AF103:AF112,AF114)-AF113-AF115</f>
        <v>9473433.3313070927</v>
      </c>
      <c r="AG116" s="3281">
        <f>SUM(AG103:AG112,AG114)-AG113-AG115</f>
        <v>36453579.805381194</v>
      </c>
      <c r="AH116" s="3281">
        <f>SUM(AH103:AH112,AH114)-AH113-AH115</f>
        <v>69600052.373897016</v>
      </c>
      <c r="AI116" s="3237"/>
      <c r="AM116" s="3281">
        <f>SUM(AM103:AM112,AM114)-AM113-AM115</f>
        <v>115527065.51058531</v>
      </c>
      <c r="AN116" s="3281">
        <f>SUM(AN103:AN112,AN114)-AN113-AN115</f>
        <v>9473433.3313070927</v>
      </c>
      <c r="AO116" s="3281">
        <f>SUM(AO103:AO112,AO114)-AO113-AO115</f>
        <v>36453579.805381194</v>
      </c>
      <c r="AP116" s="3281">
        <f>SUM(AP103:AP112,AP114)-AP113-AP115</f>
        <v>69600052.373897016</v>
      </c>
      <c r="AQ116" s="3237"/>
      <c r="AU116" s="3281">
        <f>SUM(AU103:AU112,AU114)-AU113-AU115</f>
        <v>115527065.51058531</v>
      </c>
      <c r="AV116" s="3281">
        <f>SUM(AV103:AV112,AV114)-AV113-AV115</f>
        <v>9473433.3313070927</v>
      </c>
      <c r="AW116" s="3281">
        <f>SUM(AW103:AW112,AW114)-AW113-AW115</f>
        <v>36453579.805381194</v>
      </c>
      <c r="AX116" s="3281">
        <f>SUM(AX103:AX112,AX114)-AX113-AX115</f>
        <v>69600052.373897016</v>
      </c>
      <c r="AY116" s="3237"/>
      <c r="BC116" s="3281">
        <f>SUM(BC103:BC112,BC114)-BC113-BC115</f>
        <v>115527065.51058531</v>
      </c>
      <c r="BD116" s="3281">
        <f>SUM(BD103:BD112,BD114)-BD113-BD115</f>
        <v>9473433.3313070927</v>
      </c>
      <c r="BE116" s="3281">
        <f>SUM(BE103:BE112,BE114)-BE113-BE115</f>
        <v>36453579.805381194</v>
      </c>
      <c r="BF116" s="3281">
        <f>SUM(BF103:BF112,BF114)-BF113-BF115</f>
        <v>69600052.373897016</v>
      </c>
      <c r="BG116" s="3237"/>
      <c r="BK116" s="3281">
        <f>SUM(BK103:BK112,BK114)-BK113-BK115</f>
        <v>115527065.51058531</v>
      </c>
      <c r="BL116" s="3281">
        <f>SUM(BL103:BL112,BL114)-BL113-BL115</f>
        <v>9473433.3313070927</v>
      </c>
      <c r="BM116" s="3281">
        <f>SUM(BM103:BM112,BM114)-BM113-BM115</f>
        <v>36453579.805381194</v>
      </c>
      <c r="BN116" s="3281">
        <f>SUM(BN103:BN112,BN114)-BN113-BN115</f>
        <v>69600052.373897016</v>
      </c>
      <c r="BO116" s="3237"/>
      <c r="BS116" s="3281">
        <f>SUM(BS103:BS112,BS114)-BS113-BS115</f>
        <v>115527065.51058531</v>
      </c>
      <c r="BT116" s="3281">
        <f>SUM(BT103:BT112,BT114)-BT113-BT115</f>
        <v>9473433.3313070927</v>
      </c>
      <c r="BU116" s="3281">
        <f>SUM(BU103:BU112,BU114)-BU113-BU115</f>
        <v>36453579.805381194</v>
      </c>
      <c r="BV116" s="3281">
        <f>SUM(BV103:BV112,BV114)-BV113-BV115</f>
        <v>69600052.373897016</v>
      </c>
      <c r="BW116" s="3237"/>
      <c r="CA116" s="3281">
        <f>SUM(CA103:CA112,CA114)-CA113-CA115</f>
        <v>115527065.51058531</v>
      </c>
      <c r="CB116" s="3281">
        <f>SUM(CB103:CB112,CB114)-CB113-CB115</f>
        <v>9473433.3313070927</v>
      </c>
      <c r="CC116" s="3281">
        <f>SUM(CC103:CC112,CC114)-CC113-CC115</f>
        <v>36453579.805381194</v>
      </c>
      <c r="CD116" s="3281">
        <f>SUM(CD103:CD112,CD114)-CD113-CD115</f>
        <v>69600052.373897016</v>
      </c>
      <c r="CE116" s="3237"/>
      <c r="CI116" s="3281">
        <f>SUM(CI103:CI112,CI114)-CI113-CI115</f>
        <v>115527065.51058531</v>
      </c>
      <c r="CJ116" s="3281">
        <f>SUM(CJ103:CJ112,CJ114)-CJ113-CJ115</f>
        <v>9473433.3313070927</v>
      </c>
      <c r="CK116" s="3281">
        <f>SUM(CK103:CK112,CK114)-CK113-CK115</f>
        <v>36453579.805381194</v>
      </c>
      <c r="CL116" s="3281">
        <f>SUM(CL103:CL112,CL114)-CL113-CL115</f>
        <v>69600052.373897016</v>
      </c>
      <c r="CM116" s="3237"/>
      <c r="CQ116" s="3281">
        <f>SUM(CQ103:CQ112,CQ114)-CQ113-CQ115</f>
        <v>115527065.51058531</v>
      </c>
      <c r="CR116" s="3281">
        <f>SUM(CR103:CR112,CR114)-CR113-CR115</f>
        <v>9473433.3313070927</v>
      </c>
      <c r="CS116" s="3281">
        <f>SUM(CS103:CS112,CS114)-CS113-CS115</f>
        <v>36453579.805381194</v>
      </c>
      <c r="CT116" s="3281">
        <f>SUM(CT103:CT112,CT114)-CT113-CT115</f>
        <v>69600052.373897016</v>
      </c>
      <c r="CU116" s="3237"/>
      <c r="CY116" s="3281">
        <f>SUM(CY103:CY112,CY114)-CY113-CY115</f>
        <v>115527065.51058531</v>
      </c>
      <c r="CZ116" s="3281">
        <f>SUM(CZ103:CZ112,CZ114)-CZ113-CZ115</f>
        <v>9473433.3313070927</v>
      </c>
      <c r="DA116" s="3281">
        <f>SUM(DA103:DA112,DA114)-DA113-DA115</f>
        <v>36453579.805381194</v>
      </c>
      <c r="DB116" s="3281">
        <f>SUM(DB103:DB112,DB114)-DB113-DB115</f>
        <v>69600052.373897016</v>
      </c>
      <c r="DC116" s="3237"/>
      <c r="DG116" s="3281">
        <f>SUM(DG103:DG112,DG114)-DG113-DG115</f>
        <v>115527065.51058531</v>
      </c>
      <c r="DH116" s="3281">
        <f>SUM(DH103:DH112,DH114)-DH113-DH115</f>
        <v>9473433.3313070927</v>
      </c>
      <c r="DI116" s="3281">
        <f>SUM(DI103:DI112,DI114)-DI113-DI115</f>
        <v>36453579.805381194</v>
      </c>
      <c r="DJ116" s="3281">
        <f>SUM(DJ103:DJ112,DJ114)-DJ113-DJ115</f>
        <v>69600052.373897016</v>
      </c>
      <c r="DK116" s="3237"/>
      <c r="DO116" s="3281">
        <f>SUM(DO103:DO112,DO114)-DO113-DO115</f>
        <v>115527065.51058531</v>
      </c>
      <c r="DP116" s="3281">
        <f>SUM(DP103:DP112,DP114)-DP113-DP115</f>
        <v>9473433.3313070927</v>
      </c>
      <c r="DQ116" s="3281">
        <f>SUM(DQ103:DQ112,DQ114)-DQ113-DQ115</f>
        <v>36453579.805381194</v>
      </c>
      <c r="DR116" s="3281">
        <f>SUM(DR103:DR112,DR114)-DR113-DR115</f>
        <v>69600052.373897016</v>
      </c>
      <c r="DS116" s="3237"/>
      <c r="DW116" s="3281">
        <f>SUM(DW103:DW112,DW114)-DW113-DW115</f>
        <v>115527065.51058531</v>
      </c>
      <c r="DX116" s="3281">
        <f>SUM(DX103:DX112,DX114)-DX113-DX115</f>
        <v>9473433.3313070927</v>
      </c>
      <c r="DY116" s="3281">
        <f>SUM(DY103:DY112,DY114)-DY113-DY115</f>
        <v>36453579.805381194</v>
      </c>
      <c r="DZ116" s="3281">
        <f>SUM(DZ103:DZ112,DZ114)-DZ113-DZ115</f>
        <v>69600052.373897016</v>
      </c>
      <c r="EA116" s="3237"/>
      <c r="EE116" s="3281">
        <f>SUM(EE103:EE112,EE114)-EE113-EE115</f>
        <v>115527065.51058531</v>
      </c>
      <c r="EF116" s="3281">
        <f>SUM(EF103:EF112,EF114)-EF113-EF115</f>
        <v>9473433.3313070927</v>
      </c>
      <c r="EG116" s="3281">
        <f>SUM(EG103:EG112,EG114)-EG113-EG115</f>
        <v>36453579.805381194</v>
      </c>
      <c r="EH116" s="3281">
        <f>SUM(EH103:EH112,EH114)-EH113-EH115</f>
        <v>69600052.373897016</v>
      </c>
      <c r="EI116" s="3237"/>
      <c r="EM116" s="3281">
        <f>SUM(EM103:EM112,EM114)-EM113-EM115</f>
        <v>115527065.51058531</v>
      </c>
      <c r="EN116" s="3281">
        <f>SUM(EN103:EN112,EN114)-EN113-EN115</f>
        <v>9473433.3313070927</v>
      </c>
      <c r="EO116" s="3281">
        <f>SUM(EO103:EO112,EO114)-EO113-EO115</f>
        <v>36453579.805381194</v>
      </c>
      <c r="EP116" s="3281">
        <f>SUM(EP103:EP112,EP114)-EP113-EP115</f>
        <v>69600052.373897016</v>
      </c>
      <c r="EQ116" s="3237"/>
      <c r="EU116" s="3281">
        <f>SUM(EU103:EU112,EU114)-EU113-EU115</f>
        <v>115527065.51058531</v>
      </c>
      <c r="EV116" s="3281">
        <f>SUM(EV103:EV112,EV114)-EV113-EV115</f>
        <v>9473433.3313070927</v>
      </c>
      <c r="EW116" s="3281">
        <f>SUM(EW103:EW112,EW114)-EW113-EW115</f>
        <v>36453579.805381194</v>
      </c>
      <c r="EX116" s="3281">
        <f>SUM(EX103:EX112,EX114)-EX113-EX115</f>
        <v>69600052.373897016</v>
      </c>
      <c r="EY116" s="3237"/>
      <c r="FC116" s="3281">
        <f>SUM(FC103:FC112,FC114)-FC113-FC115</f>
        <v>115527065.51058531</v>
      </c>
      <c r="FD116" s="3281">
        <f>SUM(FD103:FD112,FD114)-FD113-FD115</f>
        <v>9473433.3313070927</v>
      </c>
      <c r="FE116" s="3281">
        <f>SUM(FE103:FE112,FE114)-FE113-FE115</f>
        <v>36453579.805381194</v>
      </c>
      <c r="FF116" s="3281">
        <f>SUM(FF103:FF112,FF114)-FF113-FF115</f>
        <v>69600052.373897016</v>
      </c>
      <c r="FG116" s="3237"/>
      <c r="FK116" s="3281">
        <f>SUM(FK103:FK112,FK114)-FK113-FK115</f>
        <v>115527065.51058531</v>
      </c>
      <c r="FL116" s="3281">
        <f>SUM(FL103:FL112,FL114)-FL113-FL115</f>
        <v>9473433.3313070927</v>
      </c>
      <c r="FM116" s="3281">
        <f>SUM(FM103:FM112,FM114)-FM113-FM115</f>
        <v>36453579.805381194</v>
      </c>
      <c r="FN116" s="3281">
        <f>SUM(FN103:FN112,FN114)-FN113-FN115</f>
        <v>69600052.373897016</v>
      </c>
      <c r="FO116" s="3237"/>
    </row>
    <row r="117" spans="1:171" ht="12" thickBot="1">
      <c r="A117" s="3481"/>
      <c r="B117" s="3287"/>
      <c r="C117" s="3288"/>
      <c r="D117" s="3288"/>
      <c r="E117" s="3288"/>
      <c r="F117" s="3288"/>
      <c r="G117" s="3289"/>
      <c r="H117" s="3289"/>
      <c r="I117" s="3289"/>
      <c r="J117" s="3482"/>
      <c r="K117" s="3205"/>
      <c r="S117" s="3237"/>
      <c r="AA117" s="3237"/>
      <c r="AI117" s="3237"/>
      <c r="AQ117" s="3237"/>
      <c r="AY117" s="3237"/>
      <c r="BG117" s="3237"/>
      <c r="BO117" s="3237"/>
      <c r="BW117" s="3237"/>
      <c r="CE117" s="3237"/>
      <c r="CM117" s="3237"/>
      <c r="CU117" s="3237"/>
      <c r="DC117" s="3237"/>
      <c r="DK117" s="3237"/>
      <c r="DS117" s="3237"/>
      <c r="EA117" s="3237"/>
      <c r="EI117" s="3237"/>
      <c r="EQ117" s="3237"/>
      <c r="EY117" s="3237"/>
      <c r="FG117" s="3237"/>
      <c r="FO117" s="3237"/>
    </row>
    <row r="118" spans="1:171" ht="12" thickTop="1">
      <c r="A118" s="3483" t="s">
        <v>179</v>
      </c>
      <c r="B118" s="2290"/>
      <c r="C118" s="2112"/>
      <c r="D118" s="2098"/>
      <c r="E118" s="2098"/>
      <c r="F118" s="2098"/>
      <c r="G118" s="3164"/>
      <c r="H118" s="2671"/>
      <c r="I118" s="2671"/>
      <c r="J118" s="3165"/>
      <c r="K118" s="3205"/>
      <c r="S118" s="3237"/>
      <c r="AA118" s="3237"/>
      <c r="AI118" s="3237"/>
      <c r="AQ118" s="3237"/>
      <c r="AY118" s="3237"/>
      <c r="BG118" s="3237"/>
      <c r="BO118" s="3237"/>
      <c r="BW118" s="3237"/>
      <c r="CE118" s="3237"/>
      <c r="CM118" s="3237"/>
      <c r="CU118" s="3237"/>
      <c r="DC118" s="3237"/>
      <c r="DK118" s="3237"/>
      <c r="DS118" s="3237"/>
      <c r="EA118" s="3237"/>
      <c r="EI118" s="3237"/>
      <c r="EQ118" s="3237"/>
      <c r="EY118" s="3237"/>
      <c r="FG118" s="3237"/>
      <c r="FO118" s="3237"/>
    </row>
    <row r="119" spans="1:171">
      <c r="A119" s="2092"/>
      <c r="B119" s="2290" t="s">
        <v>10</v>
      </c>
      <c r="C119" s="2464" t="s">
        <v>78</v>
      </c>
      <c r="D119" s="2464">
        <v>181</v>
      </c>
      <c r="E119" s="2424" t="str">
        <f>'Sch 1- Rate Base '!E119</f>
        <v>PTDG</v>
      </c>
      <c r="F119" s="2171"/>
      <c r="G119" s="2424">
        <f>'Sch 1- Rate Base '!G119</f>
        <v>15369566.283713212</v>
      </c>
      <c r="H119" s="2424">
        <f>'Sch 1- Rate Base '!H119</f>
        <v>5377390.0108669996</v>
      </c>
      <c r="I119" s="2424">
        <f>'Sch 1- Rate Base '!I119</f>
        <v>0</v>
      </c>
      <c r="J119" s="3465">
        <f>'Sch 1- Rate Base '!J119</f>
        <v>9992176.269904526</v>
      </c>
      <c r="K119" s="3205">
        <f t="shared" ref="K119:K132" si="385">IF($E119="DIRECT",0,1)</f>
        <v>1</v>
      </c>
      <c r="O119" s="3235">
        <f t="shared" ref="O119:O132" si="386">$G119</f>
        <v>15369566.283713212</v>
      </c>
      <c r="P119" s="3236">
        <f>VLOOKUP($E119,O$442:R$453,2,FALSE)*O119*($K119)+IF($G119&lt;&gt;0,($H119/$G119)*O119,0)*(1-$K119)</f>
        <v>5377390.0108669996</v>
      </c>
      <c r="Q119" s="3236">
        <f>VLOOKUP($E119,O$442:R$453,3,FALSE)*O119*($K119)+IF($G119&lt;&gt;0,($I119/$G119)*O119,0)*(1-$K119)</f>
        <v>2698361.6616865396</v>
      </c>
      <c r="R119" s="3236">
        <f>VLOOKUP($E119,O$442:R$453,4,FALSE)*O119*($K119)+(O119-P119-Q119)*(1-$K119)</f>
        <v>7293814.611159673</v>
      </c>
      <c r="S119" s="3237"/>
      <c r="W119" s="3235">
        <f t="shared" ref="W119:W132" si="387">$G119</f>
        <v>15369566.283713212</v>
      </c>
      <c r="X119" s="3236">
        <f>VLOOKUP($E119,W$442:Z$453,2,FALSE)*W119*($K119)+IF($G119&lt;&gt;0,($H119/$G119)*W119,0)*(1-$K119)</f>
        <v>5377390.0108669996</v>
      </c>
      <c r="Y119" s="3236">
        <f>VLOOKUP($E119,W$442:Z$453,3,FALSE)*W119*($K119)+IF($G119&lt;&gt;0,($I119/$G119)*W119,0)*(1-$K119)</f>
        <v>2698361.6616865396</v>
      </c>
      <c r="Z119" s="3236">
        <f>VLOOKUP($E119,W$442:Z$453,4,FALSE)*W119*($K119)+(W119-X119-Y119)*(1-$K119)</f>
        <v>7293814.611159673</v>
      </c>
      <c r="AA119" s="3237"/>
      <c r="AE119" s="3235">
        <f t="shared" ref="AE119:AE132" si="388">$G119</f>
        <v>15369566.283713212</v>
      </c>
      <c r="AF119" s="3236">
        <f>VLOOKUP($E119,AE$442:AH$453,2,FALSE)*AE119*($K119)+IF($G119&lt;&gt;0,($H119/$G119)*AE119,0)*(1-$K119)</f>
        <v>5377390.0108669996</v>
      </c>
      <c r="AG119" s="3236">
        <f>VLOOKUP($E119,AE$442:AH$453,3,FALSE)*AE119*($K119)+IF($G119&lt;&gt;0,($I119/$G119)*AE119,0)*(1-$K119)</f>
        <v>2698361.6616865396</v>
      </c>
      <c r="AH119" s="3236">
        <f>VLOOKUP($E119,AE$442:AH$453,4,FALSE)*AE119*($K119)+(AE119-AF119-AG119)*(1-$K119)</f>
        <v>7293814.611159673</v>
      </c>
      <c r="AI119" s="3237"/>
      <c r="AM119" s="3235">
        <f t="shared" ref="AM119:AM132" si="389">$G119</f>
        <v>15369566.283713212</v>
      </c>
      <c r="AN119" s="3236">
        <f>VLOOKUP($E119,AM$442:AP$453,2,FALSE)*AM119*($K119)+IF($G119&lt;&gt;0,($H119/$G119)*AM119,0)*(1-$K119)</f>
        <v>5377390.0108669996</v>
      </c>
      <c r="AO119" s="3236">
        <f>VLOOKUP($E119,AM$442:AP$453,3,FALSE)*AM119*($K119)+IF($G119&lt;&gt;0,($I119/$G119)*AM119,0)*(1-$K119)</f>
        <v>2698361.6616865396</v>
      </c>
      <c r="AP119" s="3236">
        <f>VLOOKUP($E119,AM$442:AP$453,4,FALSE)*AM119*($K119)+(AM119-AN119-AO119)*(1-$K119)</f>
        <v>7293814.611159673</v>
      </c>
      <c r="AQ119" s="3237"/>
      <c r="AU119" s="3235">
        <f t="shared" ref="AU119:AU132" si="390">$G119</f>
        <v>15369566.283713212</v>
      </c>
      <c r="AV119" s="3236">
        <f>VLOOKUP($E119,AU$442:AX$453,2,FALSE)*AU119*($K119)+IF($G119&lt;&gt;0,($H119/$G119)*AU119,0)*(1-$K119)</f>
        <v>5377390.0108669996</v>
      </c>
      <c r="AW119" s="3236">
        <f>VLOOKUP($E119,AU$442:AX$453,3,FALSE)*AU119*($K119)+IF($G119&lt;&gt;0,($I119/$G119)*AU119,0)*(1-$K119)</f>
        <v>2698361.6616865396</v>
      </c>
      <c r="AX119" s="3236">
        <f>VLOOKUP($E119,AU$442:AX$453,4,FALSE)*AU119*($K119)+(AU119-AV119-AW119)*(1-$K119)</f>
        <v>7293814.611159673</v>
      </c>
      <c r="AY119" s="3237"/>
      <c r="BC119" s="3235">
        <f t="shared" ref="BC119:BC132" si="391">$G119</f>
        <v>15369566.283713212</v>
      </c>
      <c r="BD119" s="3236">
        <f>VLOOKUP($E119,BC$442:BF$453,2,FALSE)*BC119*($K119)+IF($G119&lt;&gt;0,($H119/$G119)*BC119,0)*(1-$K119)</f>
        <v>5377390.0108669996</v>
      </c>
      <c r="BE119" s="3236">
        <f>VLOOKUP($E119,BC$442:BF$453,3,FALSE)*BC119*($K119)+IF($G119&lt;&gt;0,($I119/$G119)*BC119,0)*(1-$K119)</f>
        <v>2698361.6616865396</v>
      </c>
      <c r="BF119" s="3236">
        <f>VLOOKUP($E119,BC$442:BF$453,4,FALSE)*BC119*($K119)+(BC119-BD119-BE119)*(1-$K119)</f>
        <v>7293814.611159673</v>
      </c>
      <c r="BG119" s="3237"/>
      <c r="BK119" s="3235">
        <f t="shared" ref="BK119:BK132" si="392">$G119</f>
        <v>15369566.283713212</v>
      </c>
      <c r="BL119" s="3236">
        <f>VLOOKUP($E119,BK$442:BN$453,2,FALSE)*BK119*($K119)+IF($G119&lt;&gt;0,($H119/$G119)*BK119,0)*(1-$K119)</f>
        <v>5377390.0108669996</v>
      </c>
      <c r="BM119" s="3236">
        <f>VLOOKUP($E119,BK$442:BN$453,3,FALSE)*BK119*($K119)+IF($G119&lt;&gt;0,($I119/$G119)*BK119,0)*(1-$K119)</f>
        <v>2698361.6616865396</v>
      </c>
      <c r="BN119" s="3236">
        <f>VLOOKUP($E119,BK$442:BN$453,4,FALSE)*BK119*($K119)+(BK119-BL119-BM119)*(1-$K119)</f>
        <v>7293814.611159673</v>
      </c>
      <c r="BO119" s="3237"/>
      <c r="BS119" s="3235">
        <f t="shared" ref="BS119:BS132" si="393">$G119</f>
        <v>15369566.283713212</v>
      </c>
      <c r="BT119" s="3236">
        <f>VLOOKUP($E119,BS$442:BV$453,2,FALSE)*BS119*($K119)+IF($G119&lt;&gt;0,($H119/$G119)*BS119,0)*(1-$K119)</f>
        <v>5377390.0108669996</v>
      </c>
      <c r="BU119" s="3236">
        <f>VLOOKUP($E119,BS$442:BV$453,3,FALSE)*BS119*($K119)+IF($G119&lt;&gt;0,($I119/$G119)*BS119,0)*(1-$K119)</f>
        <v>2698361.6616865396</v>
      </c>
      <c r="BV119" s="3236">
        <f>VLOOKUP($E119,BS$442:BV$453,4,FALSE)*BS119*($K119)+(BS119-BT119-BU119)*(1-$K119)</f>
        <v>7293814.611159673</v>
      </c>
      <c r="BW119" s="3237"/>
      <c r="CA119" s="3235">
        <f t="shared" ref="CA119:CA132" si="394">$G119</f>
        <v>15369566.283713212</v>
      </c>
      <c r="CB119" s="3236">
        <f>VLOOKUP($E119,CA$442:CD$453,2,FALSE)*CA119*($K119)+IF($G119&lt;&gt;0,($H119/$G119)*CA119,0)*(1-$K119)</f>
        <v>5377390.0108669996</v>
      </c>
      <c r="CC119" s="3236">
        <f>VLOOKUP($E119,CA$442:CD$453,3,FALSE)*CA119*($K119)+IF($G119&lt;&gt;0,($I119/$G119)*CA119,0)*(1-$K119)</f>
        <v>2698361.6616865396</v>
      </c>
      <c r="CD119" s="3236">
        <f>VLOOKUP($E119,CA$442:CD$453,4,FALSE)*CA119*($K119)+(CA119-CB119-CC119)*(1-$K119)</f>
        <v>7293814.611159673</v>
      </c>
      <c r="CE119" s="3237"/>
      <c r="CI119" s="3235">
        <f t="shared" ref="CI119:CI132" si="395">$G119</f>
        <v>15369566.283713212</v>
      </c>
      <c r="CJ119" s="3236">
        <f>VLOOKUP($E119,CI$442:CL$453,2,FALSE)*CI119*($K119)+IF($G119&lt;&gt;0,($H119/$G119)*CI119,0)*(1-$K119)</f>
        <v>5377390.0108669996</v>
      </c>
      <c r="CK119" s="3236">
        <f>VLOOKUP($E119,CI$442:CL$453,3,FALSE)*CI119*($K119)+IF($G119&lt;&gt;0,($I119/$G119)*CI119,0)*(1-$K119)</f>
        <v>2698361.6616865396</v>
      </c>
      <c r="CL119" s="3236">
        <f>VLOOKUP($E119,CI$442:CL$453,4,FALSE)*CI119*($K119)+(CI119-CJ119-CK119)*(1-$K119)</f>
        <v>7293814.611159673</v>
      </c>
      <c r="CM119" s="3237"/>
      <c r="CQ119" s="3235">
        <f t="shared" ref="CQ119:CQ132" si="396">$G119</f>
        <v>15369566.283713212</v>
      </c>
      <c r="CR119" s="3236">
        <f>VLOOKUP($E119,CQ$442:CT$453,2,FALSE)*CQ119*($K119)+IF($G119&lt;&gt;0,($H119/$G119)*CQ119,0)*(1-$K119)</f>
        <v>5377390.0108669996</v>
      </c>
      <c r="CS119" s="3236">
        <f>VLOOKUP($E119,CQ$442:CT$453,3,FALSE)*CQ119*($K119)+IF($G119&lt;&gt;0,($I119/$G119)*CQ119,0)*(1-$K119)</f>
        <v>2698361.6616865396</v>
      </c>
      <c r="CT119" s="3236">
        <f>VLOOKUP($E119,CQ$442:CT$453,4,FALSE)*CQ119*($K119)+(CQ119-CR119-CS119)*(1-$K119)</f>
        <v>7293814.611159673</v>
      </c>
      <c r="CU119" s="3237"/>
      <c r="CY119" s="3235">
        <f t="shared" ref="CY119:CY132" si="397">$G119</f>
        <v>15369566.283713212</v>
      </c>
      <c r="CZ119" s="3236">
        <f>VLOOKUP($E119,CY$442:DB$453,2,FALSE)*CY119*($K119)+IF($G119&lt;&gt;0,($H119/$G119)*CY119,0)*(1-$K119)</f>
        <v>5377390.0108669996</v>
      </c>
      <c r="DA119" s="3236">
        <f>VLOOKUP($E119,CY$442:DB$453,3,FALSE)*CY119*($K119)+IF($G119&lt;&gt;0,($I119/$G119)*CY119,0)*(1-$K119)</f>
        <v>2698361.6616865396</v>
      </c>
      <c r="DB119" s="3236">
        <f>VLOOKUP($E119,CY$442:DB$453,4,FALSE)*CY119*($K119)+(CY119-CZ119-DA119)*(1-$K119)</f>
        <v>7293814.611159673</v>
      </c>
      <c r="DC119" s="3237"/>
      <c r="DG119" s="3235">
        <f t="shared" ref="DG119:DG132" si="398">$G119</f>
        <v>15369566.283713212</v>
      </c>
      <c r="DH119" s="3236">
        <f>VLOOKUP($E119,DG$442:DJ$453,2,FALSE)*DG119*($K119)+IF($G119&lt;&gt;0,($H119/$G119)*DG119,0)*(1-$K119)</f>
        <v>5377390.0108669996</v>
      </c>
      <c r="DI119" s="3236">
        <f>VLOOKUP($E119,DG$442:DJ$453,3,FALSE)*DG119*($K119)+IF($G119&lt;&gt;0,($I119/$G119)*DG119,0)*(1-$K119)</f>
        <v>2698361.6616865396</v>
      </c>
      <c r="DJ119" s="3236">
        <f>VLOOKUP($E119,DG$442:DJ$453,4,FALSE)*DG119*($K119)+(DG119-DH119-DI119)*(1-$K119)</f>
        <v>7293814.611159673</v>
      </c>
      <c r="DK119" s="3237"/>
      <c r="DO119" s="3235">
        <f t="shared" ref="DO119:DO132" si="399">$G119</f>
        <v>15369566.283713212</v>
      </c>
      <c r="DP119" s="3236">
        <f>VLOOKUP($E119,DO$442:DR$453,2,FALSE)*DO119*($K119)+IF($G119&lt;&gt;0,($H119/$G119)*DO119,0)*(1-$K119)</f>
        <v>5377390.0108669996</v>
      </c>
      <c r="DQ119" s="3236">
        <f>VLOOKUP($E119,DO$442:DR$453,3,FALSE)*DO119*($K119)+IF($G119&lt;&gt;0,($I119/$G119)*DO119,0)*(1-$K119)</f>
        <v>2698361.6616865396</v>
      </c>
      <c r="DR119" s="3236">
        <f>VLOOKUP($E119,DO$442:DR$453,4,FALSE)*DO119*($K119)+(DO119-DP119-DQ119)*(1-$K119)</f>
        <v>7293814.611159673</v>
      </c>
      <c r="DS119" s="3237"/>
      <c r="DW119" s="3235">
        <f t="shared" ref="DW119:DW132" si="400">$G119</f>
        <v>15369566.283713212</v>
      </c>
      <c r="DX119" s="3236">
        <f>VLOOKUP($E119,DW$442:DZ$453,2,FALSE)*DW119*($K119)+IF($G119&lt;&gt;0,($H119/$G119)*DW119,0)*(1-$K119)</f>
        <v>5377390.0108669996</v>
      </c>
      <c r="DY119" s="3236">
        <f>VLOOKUP($E119,DW$442:DZ$453,3,FALSE)*DW119*($K119)+IF($G119&lt;&gt;0,($I119/$G119)*DW119,0)*(1-$K119)</f>
        <v>2698361.6616865396</v>
      </c>
      <c r="DZ119" s="3236">
        <f>VLOOKUP($E119,DW$442:DZ$453,4,FALSE)*DW119*($K119)+(DW119-DX119-DY119)*(1-$K119)</f>
        <v>7293814.611159673</v>
      </c>
      <c r="EA119" s="3237"/>
      <c r="EE119" s="3235">
        <f t="shared" ref="EE119:EE132" si="401">$G119</f>
        <v>15369566.283713212</v>
      </c>
      <c r="EF119" s="3236">
        <f>VLOOKUP($E119,EE$442:EH$453,2,FALSE)*EE119*($K119)+IF($G119&lt;&gt;0,($H119/$G119)*EE119,0)*(1-$K119)</f>
        <v>5377390.0108669996</v>
      </c>
      <c r="EG119" s="3236">
        <f>VLOOKUP($E119,EE$442:EH$453,3,FALSE)*EE119*($K119)+IF($G119&lt;&gt;0,($I119/$G119)*EE119,0)*(1-$K119)</f>
        <v>2698361.6616865396</v>
      </c>
      <c r="EH119" s="3236">
        <f>VLOOKUP($E119,EE$442:EH$453,4,FALSE)*EE119*($K119)+(EE119-EF119-EG119)*(1-$K119)</f>
        <v>7293814.611159673</v>
      </c>
      <c r="EI119" s="3237"/>
      <c r="EM119" s="3235">
        <f t="shared" ref="EM119:EM132" si="402">$G119</f>
        <v>15369566.283713212</v>
      </c>
      <c r="EN119" s="3236">
        <f>VLOOKUP($E119,EM$442:EP$453,2,FALSE)*EM119*($K119)+IF($G119&lt;&gt;0,($H119/$G119)*EM119,0)*(1-$K119)</f>
        <v>5377390.0108669996</v>
      </c>
      <c r="EO119" s="3236">
        <f>VLOOKUP($E119,EM$442:EP$453,3,FALSE)*EM119*($K119)+IF($G119&lt;&gt;0,($I119/$G119)*EM119,0)*(1-$K119)</f>
        <v>2698361.6616865396</v>
      </c>
      <c r="EP119" s="3236">
        <f>VLOOKUP($E119,EM$442:EP$453,4,FALSE)*EM119*($K119)+(EM119-EN119-EO119)*(1-$K119)</f>
        <v>7293814.611159673</v>
      </c>
      <c r="EQ119" s="3237"/>
      <c r="EU119" s="3235">
        <f t="shared" ref="EU119:EU132" si="403">$G119</f>
        <v>15369566.283713212</v>
      </c>
      <c r="EV119" s="3236">
        <f>VLOOKUP($E119,EU$442:EX$453,2,FALSE)*EU119*($K119)+IF($G119&lt;&gt;0,($H119/$G119)*EU119,0)*(1-$K119)</f>
        <v>5377390.0108669996</v>
      </c>
      <c r="EW119" s="3236">
        <f>VLOOKUP($E119,EU$442:EX$453,3,FALSE)*EU119*($K119)+IF($G119&lt;&gt;0,($I119/$G119)*EU119,0)*(1-$K119)</f>
        <v>2698361.6616865396</v>
      </c>
      <c r="EX119" s="3236">
        <f>VLOOKUP($E119,EU$442:EX$453,4,FALSE)*EU119*($K119)+(EU119-EV119-EW119)*(1-$K119)</f>
        <v>7293814.611159673</v>
      </c>
      <c r="EY119" s="3237"/>
      <c r="FC119" s="3235">
        <f t="shared" ref="FC119:FC132" si="404">$G119</f>
        <v>15369566.283713212</v>
      </c>
      <c r="FD119" s="3236">
        <f>VLOOKUP($E119,FC$442:FF$453,2,FALSE)*FC119*($K119)+IF($G119&lt;&gt;0,($H119/$G119)*FC119,0)*(1-$K119)</f>
        <v>5377390.0108669996</v>
      </c>
      <c r="FE119" s="3236">
        <f>VLOOKUP($E119,FC$442:FF$453,3,FALSE)*FC119*($K119)+IF($G119&lt;&gt;0,($I119/$G119)*FC119,0)*(1-$K119)</f>
        <v>2698361.6616865396</v>
      </c>
      <c r="FF119" s="3236">
        <f>VLOOKUP($E119,FC$442:FF$453,4,FALSE)*FC119*($K119)+(FC119-FD119-FE119)*(1-$K119)</f>
        <v>7293814.611159673</v>
      </c>
      <c r="FG119" s="3237"/>
      <c r="FK119" s="3235">
        <f t="shared" ref="FK119:FK132" si="405">$G119</f>
        <v>15369566.283713212</v>
      </c>
      <c r="FL119" s="3236">
        <f>VLOOKUP($E119,FK$442:FN$453,2,FALSE)*FK119*($K119)+IF($G119&lt;&gt;0,($H119/$G119)*FK119,0)*(1-$K119)</f>
        <v>5377390.0108669996</v>
      </c>
      <c r="FM119" s="3236">
        <f>VLOOKUP($E119,FK$442:FN$453,3,FALSE)*FK119*($K119)+IF($G119&lt;&gt;0,($I119/$G119)*FK119,0)*(1-$K119)</f>
        <v>2698361.6616865396</v>
      </c>
      <c r="FN119" s="3236">
        <f>VLOOKUP($E119,FK$442:FN$453,4,FALSE)*FK119*($K119)+(FK119-FL119-FM119)*(1-$K119)</f>
        <v>7293814.611159673</v>
      </c>
      <c r="FO119" s="3237"/>
    </row>
    <row r="120" spans="1:171">
      <c r="A120" s="2092"/>
      <c r="B120" s="2290" t="s">
        <v>11</v>
      </c>
      <c r="C120" s="2464" t="s">
        <v>78</v>
      </c>
      <c r="D120" s="2464">
        <v>182.1</v>
      </c>
      <c r="E120" s="2424" t="str">
        <f>'Sch 1- Rate Base '!E120</f>
        <v>DIRECT</v>
      </c>
      <c r="F120" s="2171"/>
      <c r="G120" s="2424">
        <f>'Sch 1- Rate Base '!G120</f>
        <v>95753809.859999985</v>
      </c>
      <c r="H120" s="2424">
        <f>'Sch 1- Rate Base '!H120</f>
        <v>0</v>
      </c>
      <c r="I120" s="2424">
        <f>'Sch 1- Rate Base '!I120</f>
        <v>0</v>
      </c>
      <c r="J120" s="3465">
        <f>'Sch 1- Rate Base '!J120</f>
        <v>95753809.859999985</v>
      </c>
      <c r="K120" s="3205">
        <f t="shared" si="385"/>
        <v>0</v>
      </c>
      <c r="O120" s="3235">
        <f t="shared" si="386"/>
        <v>95753809.859999985</v>
      </c>
      <c r="P120" s="3236">
        <f t="shared" ref="P120:P132" si="406">VLOOKUP($E120,O$442:R$453,2,FALSE)*O120*($K120)+IF($G120&lt;&gt;0,($H120/$G120)*O120,0)*(1-$K120)</f>
        <v>0</v>
      </c>
      <c r="Q120" s="3236">
        <f t="shared" ref="Q120:Q132" si="407">VLOOKUP($E120,O$442:R$453,3,FALSE)*O120*($K120)+IF($G120&lt;&gt;0,($I120/$G120)*O120,0)*(1-$K120)</f>
        <v>0</v>
      </c>
      <c r="R120" s="3236">
        <f t="shared" ref="R120:R132" si="408">VLOOKUP($E120,O$442:R$453,4,FALSE)*O120*($K120)+(O120-P120-Q120)*(1-$K120)</f>
        <v>95753809.859999985</v>
      </c>
      <c r="S120" s="3237"/>
      <c r="W120" s="3235">
        <f t="shared" si="387"/>
        <v>95753809.859999985</v>
      </c>
      <c r="X120" s="3236">
        <f t="shared" ref="X120:X132" si="409">VLOOKUP($E120,W$442:Z$453,2,FALSE)*W120*($K120)+IF($G120&lt;&gt;0,($H120/$G120)*W120,0)*(1-$K120)</f>
        <v>0</v>
      </c>
      <c r="Y120" s="3236">
        <f t="shared" ref="Y120:Y132" si="410">VLOOKUP($E120,W$442:Z$453,3,FALSE)*W120*($K120)+IF($G120&lt;&gt;0,($I120/$G120)*W120,0)*(1-$K120)</f>
        <v>0</v>
      </c>
      <c r="Z120" s="3236">
        <f t="shared" ref="Z120:Z132" si="411">VLOOKUP($E120,W$442:Z$453,4,FALSE)*W120*($K120)+(W120-X120-Y120)*(1-$K120)</f>
        <v>95753809.859999985</v>
      </c>
      <c r="AA120" s="3237"/>
      <c r="AE120" s="3235">
        <f t="shared" si="388"/>
        <v>95753809.859999985</v>
      </c>
      <c r="AF120" s="3236">
        <f t="shared" ref="AF120:AF132" si="412">VLOOKUP($E120,AE$442:AH$453,2,FALSE)*AE120*($K120)+IF($G120&lt;&gt;0,($H120/$G120)*AE120,0)*(1-$K120)</f>
        <v>0</v>
      </c>
      <c r="AG120" s="3236">
        <f t="shared" ref="AG120:AG132" si="413">VLOOKUP($E120,AE$442:AH$453,3,FALSE)*AE120*($K120)+IF($G120&lt;&gt;0,($I120/$G120)*AE120,0)*(1-$K120)</f>
        <v>0</v>
      </c>
      <c r="AH120" s="3236">
        <f t="shared" ref="AH120:AH132" si="414">VLOOKUP($E120,AE$442:AH$453,4,FALSE)*AE120*($K120)+(AE120-AF120-AG120)*(1-$K120)</f>
        <v>95753809.859999985</v>
      </c>
      <c r="AI120" s="3237"/>
      <c r="AM120" s="3235">
        <f t="shared" si="389"/>
        <v>95753809.859999985</v>
      </c>
      <c r="AN120" s="3236">
        <f t="shared" ref="AN120:AN132" si="415">VLOOKUP($E120,AM$442:AP$453,2,FALSE)*AM120*($K120)+IF($G120&lt;&gt;0,($H120/$G120)*AM120,0)*(1-$K120)</f>
        <v>0</v>
      </c>
      <c r="AO120" s="3236">
        <f t="shared" ref="AO120:AO132" si="416">VLOOKUP($E120,AM$442:AP$453,3,FALSE)*AM120*($K120)+IF($G120&lt;&gt;0,($I120/$G120)*AM120,0)*(1-$K120)</f>
        <v>0</v>
      </c>
      <c r="AP120" s="3236">
        <f t="shared" ref="AP120:AP132" si="417">VLOOKUP($E120,AM$442:AP$453,4,FALSE)*AM120*($K120)+(AM120-AN120-AO120)*(1-$K120)</f>
        <v>95753809.859999985</v>
      </c>
      <c r="AQ120" s="3237"/>
      <c r="AU120" s="3235">
        <f t="shared" si="390"/>
        <v>95753809.859999985</v>
      </c>
      <c r="AV120" s="3236">
        <f t="shared" ref="AV120:AV132" si="418">VLOOKUP($E120,AU$442:AX$453,2,FALSE)*AU120*($K120)+IF($G120&lt;&gt;0,($H120/$G120)*AU120,0)*(1-$K120)</f>
        <v>0</v>
      </c>
      <c r="AW120" s="3236">
        <f t="shared" ref="AW120:AW132" si="419">VLOOKUP($E120,AU$442:AX$453,3,FALSE)*AU120*($K120)+IF($G120&lt;&gt;0,($I120/$G120)*AU120,0)*(1-$K120)</f>
        <v>0</v>
      </c>
      <c r="AX120" s="3236">
        <f t="shared" ref="AX120:AX132" si="420">VLOOKUP($E120,AU$442:AX$453,4,FALSE)*AU120*($K120)+(AU120-AV120-AW120)*(1-$K120)</f>
        <v>95753809.859999985</v>
      </c>
      <c r="AY120" s="3237"/>
      <c r="BC120" s="3235">
        <f t="shared" si="391"/>
        <v>95753809.859999985</v>
      </c>
      <c r="BD120" s="3236">
        <f t="shared" ref="BD120:BD132" si="421">VLOOKUP($E120,BC$442:BF$453,2,FALSE)*BC120*($K120)+IF($G120&lt;&gt;0,($H120/$G120)*BC120,0)*(1-$K120)</f>
        <v>0</v>
      </c>
      <c r="BE120" s="3236">
        <f t="shared" ref="BE120:BE132" si="422">VLOOKUP($E120,BC$442:BF$453,3,FALSE)*BC120*($K120)+IF($G120&lt;&gt;0,($I120/$G120)*BC120,0)*(1-$K120)</f>
        <v>0</v>
      </c>
      <c r="BF120" s="3236">
        <f t="shared" ref="BF120:BF132" si="423">VLOOKUP($E120,BC$442:BF$453,4,FALSE)*BC120*($K120)+(BC120-BD120-BE120)*(1-$K120)</f>
        <v>95753809.859999985</v>
      </c>
      <c r="BG120" s="3237"/>
      <c r="BK120" s="3235">
        <f t="shared" si="392"/>
        <v>95753809.859999985</v>
      </c>
      <c r="BL120" s="3236">
        <f t="shared" ref="BL120:BL132" si="424">VLOOKUP($E120,BK$442:BN$453,2,FALSE)*BK120*($K120)+IF($G120&lt;&gt;0,($H120/$G120)*BK120,0)*(1-$K120)</f>
        <v>0</v>
      </c>
      <c r="BM120" s="3236">
        <f t="shared" ref="BM120:BM132" si="425">VLOOKUP($E120,BK$442:BN$453,3,FALSE)*BK120*($K120)+IF($G120&lt;&gt;0,($I120/$G120)*BK120,0)*(1-$K120)</f>
        <v>0</v>
      </c>
      <c r="BN120" s="3236">
        <f t="shared" ref="BN120:BN132" si="426">VLOOKUP($E120,BK$442:BN$453,4,FALSE)*BK120*($K120)+(BK120-BL120-BM120)*(1-$K120)</f>
        <v>95753809.859999985</v>
      </c>
      <c r="BO120" s="3237"/>
      <c r="BS120" s="3235">
        <f t="shared" si="393"/>
        <v>95753809.859999985</v>
      </c>
      <c r="BT120" s="3236">
        <f t="shared" ref="BT120:BT132" si="427">VLOOKUP($E120,BS$442:BV$453,2,FALSE)*BS120*($K120)+IF($G120&lt;&gt;0,($H120/$G120)*BS120,0)*(1-$K120)</f>
        <v>0</v>
      </c>
      <c r="BU120" s="3236">
        <f t="shared" ref="BU120:BU132" si="428">VLOOKUP($E120,BS$442:BV$453,3,FALSE)*BS120*($K120)+IF($G120&lt;&gt;0,($I120/$G120)*BS120,0)*(1-$K120)</f>
        <v>0</v>
      </c>
      <c r="BV120" s="3236">
        <f t="shared" ref="BV120:BV132" si="429">VLOOKUP($E120,BS$442:BV$453,4,FALSE)*BS120*($K120)+(BS120-BT120-BU120)*(1-$K120)</f>
        <v>95753809.859999985</v>
      </c>
      <c r="BW120" s="3237"/>
      <c r="CA120" s="3235">
        <f t="shared" si="394"/>
        <v>95753809.859999985</v>
      </c>
      <c r="CB120" s="3236">
        <f t="shared" ref="CB120:CB132" si="430">VLOOKUP($E120,CA$442:CD$453,2,FALSE)*CA120*($K120)+IF($G120&lt;&gt;0,($H120/$G120)*CA120,0)*(1-$K120)</f>
        <v>0</v>
      </c>
      <c r="CC120" s="3236">
        <f t="shared" ref="CC120:CC132" si="431">VLOOKUP($E120,CA$442:CD$453,3,FALSE)*CA120*($K120)+IF($G120&lt;&gt;0,($I120/$G120)*CA120,0)*(1-$K120)</f>
        <v>0</v>
      </c>
      <c r="CD120" s="3236">
        <f t="shared" ref="CD120:CD132" si="432">VLOOKUP($E120,CA$442:CD$453,4,FALSE)*CA120*($K120)+(CA120-CB120-CC120)*(1-$K120)</f>
        <v>95753809.859999985</v>
      </c>
      <c r="CE120" s="3237"/>
      <c r="CI120" s="3235">
        <f t="shared" si="395"/>
        <v>95753809.859999985</v>
      </c>
      <c r="CJ120" s="3236">
        <f t="shared" ref="CJ120:CJ132" si="433">VLOOKUP($E120,CI$442:CL$453,2,FALSE)*CI120*($K120)+IF($G120&lt;&gt;0,($H120/$G120)*CI120,0)*(1-$K120)</f>
        <v>0</v>
      </c>
      <c r="CK120" s="3236">
        <f t="shared" ref="CK120:CK132" si="434">VLOOKUP($E120,CI$442:CL$453,3,FALSE)*CI120*($K120)+IF($G120&lt;&gt;0,($I120/$G120)*CI120,0)*(1-$K120)</f>
        <v>0</v>
      </c>
      <c r="CL120" s="3236">
        <f t="shared" ref="CL120:CL132" si="435">VLOOKUP($E120,CI$442:CL$453,4,FALSE)*CI120*($K120)+(CI120-CJ120-CK120)*(1-$K120)</f>
        <v>95753809.859999985</v>
      </c>
      <c r="CM120" s="3237"/>
      <c r="CQ120" s="3235">
        <f t="shared" si="396"/>
        <v>95753809.859999985</v>
      </c>
      <c r="CR120" s="3236">
        <f t="shared" ref="CR120:CR132" si="436">VLOOKUP($E120,CQ$442:CT$453,2,FALSE)*CQ120*($K120)+IF($G120&lt;&gt;0,($H120/$G120)*CQ120,0)*(1-$K120)</f>
        <v>0</v>
      </c>
      <c r="CS120" s="3236">
        <f t="shared" ref="CS120:CS132" si="437">VLOOKUP($E120,CQ$442:CT$453,3,FALSE)*CQ120*($K120)+IF($G120&lt;&gt;0,($I120/$G120)*CQ120,0)*(1-$K120)</f>
        <v>0</v>
      </c>
      <c r="CT120" s="3236">
        <f t="shared" ref="CT120:CT132" si="438">VLOOKUP($E120,CQ$442:CT$453,4,FALSE)*CQ120*($K120)+(CQ120-CR120-CS120)*(1-$K120)</f>
        <v>95753809.859999985</v>
      </c>
      <c r="CU120" s="3237"/>
      <c r="CY120" s="3235">
        <f t="shared" si="397"/>
        <v>95753809.859999985</v>
      </c>
      <c r="CZ120" s="3236">
        <f t="shared" ref="CZ120:CZ132" si="439">VLOOKUP($E120,CY$442:DB$453,2,FALSE)*CY120*($K120)+IF($G120&lt;&gt;0,($H120/$G120)*CY120,0)*(1-$K120)</f>
        <v>0</v>
      </c>
      <c r="DA120" s="3236">
        <f t="shared" ref="DA120:DA132" si="440">VLOOKUP($E120,CY$442:DB$453,3,FALSE)*CY120*($K120)+IF($G120&lt;&gt;0,($I120/$G120)*CY120,0)*(1-$K120)</f>
        <v>0</v>
      </c>
      <c r="DB120" s="3236">
        <f t="shared" ref="DB120:DB132" si="441">VLOOKUP($E120,CY$442:DB$453,4,FALSE)*CY120*($K120)+(CY120-CZ120-DA120)*(1-$K120)</f>
        <v>95753809.859999985</v>
      </c>
      <c r="DC120" s="3237"/>
      <c r="DG120" s="3235">
        <f t="shared" si="398"/>
        <v>95753809.859999985</v>
      </c>
      <c r="DH120" s="3236">
        <f t="shared" ref="DH120:DH132" si="442">VLOOKUP($E120,DG$442:DJ$453,2,FALSE)*DG120*($K120)+IF($G120&lt;&gt;0,($H120/$G120)*DG120,0)*(1-$K120)</f>
        <v>0</v>
      </c>
      <c r="DI120" s="3236">
        <f t="shared" ref="DI120:DI132" si="443">VLOOKUP($E120,DG$442:DJ$453,3,FALSE)*DG120*($K120)+IF($G120&lt;&gt;0,($I120/$G120)*DG120,0)*(1-$K120)</f>
        <v>0</v>
      </c>
      <c r="DJ120" s="3236">
        <f t="shared" ref="DJ120:DJ132" si="444">VLOOKUP($E120,DG$442:DJ$453,4,FALSE)*DG120*($K120)+(DG120-DH120-DI120)*(1-$K120)</f>
        <v>95753809.859999985</v>
      </c>
      <c r="DK120" s="3237"/>
      <c r="DO120" s="3235">
        <f t="shared" si="399"/>
        <v>95753809.859999985</v>
      </c>
      <c r="DP120" s="3236">
        <f t="shared" ref="DP120:DP132" si="445">VLOOKUP($E120,DO$442:DR$453,2,FALSE)*DO120*($K120)+IF($G120&lt;&gt;0,($H120/$G120)*DO120,0)*(1-$K120)</f>
        <v>0</v>
      </c>
      <c r="DQ120" s="3236">
        <f t="shared" ref="DQ120:DQ132" si="446">VLOOKUP($E120,DO$442:DR$453,3,FALSE)*DO120*($K120)+IF($G120&lt;&gt;0,($I120/$G120)*DO120,0)*(1-$K120)</f>
        <v>0</v>
      </c>
      <c r="DR120" s="3236">
        <f t="shared" ref="DR120:DR132" si="447">VLOOKUP($E120,DO$442:DR$453,4,FALSE)*DO120*($K120)+(DO120-DP120-DQ120)*(1-$K120)</f>
        <v>95753809.859999985</v>
      </c>
      <c r="DS120" s="3237"/>
      <c r="DW120" s="3235">
        <f t="shared" si="400"/>
        <v>95753809.859999985</v>
      </c>
      <c r="DX120" s="3236">
        <f t="shared" ref="DX120:DX132" si="448">VLOOKUP($E120,DW$442:DZ$453,2,FALSE)*DW120*($K120)+IF($G120&lt;&gt;0,($H120/$G120)*DW120,0)*(1-$K120)</f>
        <v>0</v>
      </c>
      <c r="DY120" s="3236">
        <f t="shared" ref="DY120:DY132" si="449">VLOOKUP($E120,DW$442:DZ$453,3,FALSE)*DW120*($K120)+IF($G120&lt;&gt;0,($I120/$G120)*DW120,0)*(1-$K120)</f>
        <v>0</v>
      </c>
      <c r="DZ120" s="3236">
        <f t="shared" ref="DZ120:DZ132" si="450">VLOOKUP($E120,DW$442:DZ$453,4,FALSE)*DW120*($K120)+(DW120-DX120-DY120)*(1-$K120)</f>
        <v>95753809.859999985</v>
      </c>
      <c r="EA120" s="3237"/>
      <c r="EE120" s="3235">
        <f t="shared" si="401"/>
        <v>95753809.859999985</v>
      </c>
      <c r="EF120" s="3236">
        <f t="shared" ref="EF120:EF132" si="451">VLOOKUP($E120,EE$442:EH$453,2,FALSE)*EE120*($K120)+IF($G120&lt;&gt;0,($H120/$G120)*EE120,0)*(1-$K120)</f>
        <v>0</v>
      </c>
      <c r="EG120" s="3236">
        <f t="shared" ref="EG120:EG132" si="452">VLOOKUP($E120,EE$442:EH$453,3,FALSE)*EE120*($K120)+IF($G120&lt;&gt;0,($I120/$G120)*EE120,0)*(1-$K120)</f>
        <v>0</v>
      </c>
      <c r="EH120" s="3236">
        <f t="shared" ref="EH120:EH132" si="453">VLOOKUP($E120,EE$442:EH$453,4,FALSE)*EE120*($K120)+(EE120-EF120-EG120)*(1-$K120)</f>
        <v>95753809.859999985</v>
      </c>
      <c r="EI120" s="3237"/>
      <c r="EM120" s="3235">
        <f t="shared" si="402"/>
        <v>95753809.859999985</v>
      </c>
      <c r="EN120" s="3236">
        <f t="shared" ref="EN120:EN132" si="454">VLOOKUP($E120,EM$442:EP$453,2,FALSE)*EM120*($K120)+IF($G120&lt;&gt;0,($H120/$G120)*EM120,0)*(1-$K120)</f>
        <v>0</v>
      </c>
      <c r="EO120" s="3236">
        <f t="shared" ref="EO120:EO132" si="455">VLOOKUP($E120,EM$442:EP$453,3,FALSE)*EM120*($K120)+IF($G120&lt;&gt;0,($I120/$G120)*EM120,0)*(1-$K120)</f>
        <v>0</v>
      </c>
      <c r="EP120" s="3236">
        <f t="shared" ref="EP120:EP132" si="456">VLOOKUP($E120,EM$442:EP$453,4,FALSE)*EM120*($K120)+(EM120-EN120-EO120)*(1-$K120)</f>
        <v>95753809.859999985</v>
      </c>
      <c r="EQ120" s="3237"/>
      <c r="EU120" s="3235">
        <f t="shared" si="403"/>
        <v>95753809.859999985</v>
      </c>
      <c r="EV120" s="3236">
        <f t="shared" ref="EV120:EV132" si="457">VLOOKUP($E120,EU$442:EX$453,2,FALSE)*EU120*($K120)+IF($G120&lt;&gt;0,($H120/$G120)*EU120,0)*(1-$K120)</f>
        <v>0</v>
      </c>
      <c r="EW120" s="3236">
        <f t="shared" ref="EW120:EW132" si="458">VLOOKUP($E120,EU$442:EX$453,3,FALSE)*EU120*($K120)+IF($G120&lt;&gt;0,($I120/$G120)*EU120,0)*(1-$K120)</f>
        <v>0</v>
      </c>
      <c r="EX120" s="3236">
        <f t="shared" ref="EX120:EX132" si="459">VLOOKUP($E120,EU$442:EX$453,4,FALSE)*EU120*($K120)+(EU120-EV120-EW120)*(1-$K120)</f>
        <v>95753809.859999985</v>
      </c>
      <c r="EY120" s="3237"/>
      <c r="FC120" s="3235">
        <f t="shared" si="404"/>
        <v>95753809.859999985</v>
      </c>
      <c r="FD120" s="3236">
        <f t="shared" ref="FD120:FD132" si="460">VLOOKUP($E120,FC$442:FF$453,2,FALSE)*FC120*($K120)+IF($G120&lt;&gt;0,($H120/$G120)*FC120,0)*(1-$K120)</f>
        <v>0</v>
      </c>
      <c r="FE120" s="3236">
        <f t="shared" ref="FE120:FE132" si="461">VLOOKUP($E120,FC$442:FF$453,3,FALSE)*FC120*($K120)+IF($G120&lt;&gt;0,($I120/$G120)*FC120,0)*(1-$K120)</f>
        <v>0</v>
      </c>
      <c r="FF120" s="3236">
        <f t="shared" ref="FF120:FF132" si="462">VLOOKUP($E120,FC$442:FF$453,4,FALSE)*FC120*($K120)+(FC120-FD120-FE120)*(1-$K120)</f>
        <v>95753809.859999985</v>
      </c>
      <c r="FG120" s="3237"/>
      <c r="FK120" s="3235">
        <f t="shared" si="405"/>
        <v>95753809.859999985</v>
      </c>
      <c r="FL120" s="3236">
        <f t="shared" ref="FL120:FL132" si="463">VLOOKUP($E120,FK$442:FN$453,2,FALSE)*FK120*($K120)+IF($G120&lt;&gt;0,($H120/$G120)*FK120,0)*(1-$K120)</f>
        <v>0</v>
      </c>
      <c r="FM120" s="3236">
        <f t="shared" ref="FM120:FM132" si="464">VLOOKUP($E120,FK$442:FN$453,3,FALSE)*FK120*($K120)+IF($G120&lt;&gt;0,($I120/$G120)*FK120,0)*(1-$K120)</f>
        <v>0</v>
      </c>
      <c r="FN120" s="3236">
        <f t="shared" ref="FN120:FN132" si="465">VLOOKUP($E120,FK$442:FN$453,4,FALSE)*FK120*($K120)+(FK120-FL120-FM120)*(1-$K120)</f>
        <v>95753809.859999985</v>
      </c>
      <c r="FO120" s="3237"/>
    </row>
    <row r="121" spans="1:171">
      <c r="A121" s="2092"/>
      <c r="B121" s="2290" t="s">
        <v>12</v>
      </c>
      <c r="C121" s="2464" t="s">
        <v>78</v>
      </c>
      <c r="D121" s="2464">
        <v>182.2</v>
      </c>
      <c r="E121" s="2424" t="str">
        <f>'Sch 1- Rate Base '!E121</f>
        <v>DIRECT</v>
      </c>
      <c r="F121" s="2171"/>
      <c r="G121" s="2424">
        <f>'Sch 1- Rate Base '!G121</f>
        <v>0</v>
      </c>
      <c r="H121" s="2424">
        <f>'Sch 1- Rate Base '!H121</f>
        <v>0</v>
      </c>
      <c r="I121" s="2424">
        <f>'Sch 1- Rate Base '!I121</f>
        <v>0</v>
      </c>
      <c r="J121" s="3465">
        <f>'Sch 1- Rate Base '!J121</f>
        <v>0</v>
      </c>
      <c r="K121" s="3205">
        <f t="shared" si="385"/>
        <v>0</v>
      </c>
      <c r="O121" s="3235">
        <f t="shared" si="386"/>
        <v>0</v>
      </c>
      <c r="P121" s="3236">
        <f t="shared" si="406"/>
        <v>0</v>
      </c>
      <c r="Q121" s="3236">
        <f t="shared" si="407"/>
        <v>0</v>
      </c>
      <c r="R121" s="3236">
        <f t="shared" si="408"/>
        <v>0</v>
      </c>
      <c r="S121" s="3237"/>
      <c r="W121" s="3235">
        <f t="shared" si="387"/>
        <v>0</v>
      </c>
      <c r="X121" s="3236">
        <f t="shared" si="409"/>
        <v>0</v>
      </c>
      <c r="Y121" s="3236">
        <f t="shared" si="410"/>
        <v>0</v>
      </c>
      <c r="Z121" s="3236">
        <f t="shared" si="411"/>
        <v>0</v>
      </c>
      <c r="AA121" s="3237"/>
      <c r="AE121" s="3235">
        <f t="shared" si="388"/>
        <v>0</v>
      </c>
      <c r="AF121" s="3236">
        <f t="shared" si="412"/>
        <v>0</v>
      </c>
      <c r="AG121" s="3236">
        <f t="shared" si="413"/>
        <v>0</v>
      </c>
      <c r="AH121" s="3236">
        <f t="shared" si="414"/>
        <v>0</v>
      </c>
      <c r="AI121" s="3237"/>
      <c r="AM121" s="3235">
        <f t="shared" si="389"/>
        <v>0</v>
      </c>
      <c r="AN121" s="3236">
        <f t="shared" si="415"/>
        <v>0</v>
      </c>
      <c r="AO121" s="3236">
        <f t="shared" si="416"/>
        <v>0</v>
      </c>
      <c r="AP121" s="3236">
        <f t="shared" si="417"/>
        <v>0</v>
      </c>
      <c r="AQ121" s="3237"/>
      <c r="AU121" s="3235">
        <f t="shared" si="390"/>
        <v>0</v>
      </c>
      <c r="AV121" s="3236">
        <f t="shared" si="418"/>
        <v>0</v>
      </c>
      <c r="AW121" s="3236">
        <f t="shared" si="419"/>
        <v>0</v>
      </c>
      <c r="AX121" s="3236">
        <f t="shared" si="420"/>
        <v>0</v>
      </c>
      <c r="AY121" s="3237"/>
      <c r="BC121" s="3235">
        <f t="shared" si="391"/>
        <v>0</v>
      </c>
      <c r="BD121" s="3236">
        <f t="shared" si="421"/>
        <v>0</v>
      </c>
      <c r="BE121" s="3236">
        <f t="shared" si="422"/>
        <v>0</v>
      </c>
      <c r="BF121" s="3236">
        <f t="shared" si="423"/>
        <v>0</v>
      </c>
      <c r="BG121" s="3237"/>
      <c r="BK121" s="3235">
        <f t="shared" si="392"/>
        <v>0</v>
      </c>
      <c r="BL121" s="3236">
        <f t="shared" si="424"/>
        <v>0</v>
      </c>
      <c r="BM121" s="3236">
        <f t="shared" si="425"/>
        <v>0</v>
      </c>
      <c r="BN121" s="3236">
        <f t="shared" si="426"/>
        <v>0</v>
      </c>
      <c r="BO121" s="3237"/>
      <c r="BS121" s="3235">
        <f t="shared" si="393"/>
        <v>0</v>
      </c>
      <c r="BT121" s="3236">
        <f t="shared" si="427"/>
        <v>0</v>
      </c>
      <c r="BU121" s="3236">
        <f t="shared" si="428"/>
        <v>0</v>
      </c>
      <c r="BV121" s="3236">
        <f t="shared" si="429"/>
        <v>0</v>
      </c>
      <c r="BW121" s="3237"/>
      <c r="CA121" s="3235">
        <f t="shared" si="394"/>
        <v>0</v>
      </c>
      <c r="CB121" s="3236">
        <f t="shared" si="430"/>
        <v>0</v>
      </c>
      <c r="CC121" s="3236">
        <f t="shared" si="431"/>
        <v>0</v>
      </c>
      <c r="CD121" s="3236">
        <f t="shared" si="432"/>
        <v>0</v>
      </c>
      <c r="CE121" s="3237"/>
      <c r="CI121" s="3235">
        <f t="shared" si="395"/>
        <v>0</v>
      </c>
      <c r="CJ121" s="3236">
        <f t="shared" si="433"/>
        <v>0</v>
      </c>
      <c r="CK121" s="3236">
        <f t="shared" si="434"/>
        <v>0</v>
      </c>
      <c r="CL121" s="3236">
        <f t="shared" si="435"/>
        <v>0</v>
      </c>
      <c r="CM121" s="3237"/>
      <c r="CQ121" s="3235">
        <f t="shared" si="396"/>
        <v>0</v>
      </c>
      <c r="CR121" s="3236">
        <f t="shared" si="436"/>
        <v>0</v>
      </c>
      <c r="CS121" s="3236">
        <f t="shared" si="437"/>
        <v>0</v>
      </c>
      <c r="CT121" s="3236">
        <f t="shared" si="438"/>
        <v>0</v>
      </c>
      <c r="CU121" s="3237"/>
      <c r="CY121" s="3235">
        <f t="shared" si="397"/>
        <v>0</v>
      </c>
      <c r="CZ121" s="3236">
        <f t="shared" si="439"/>
        <v>0</v>
      </c>
      <c r="DA121" s="3236">
        <f t="shared" si="440"/>
        <v>0</v>
      </c>
      <c r="DB121" s="3236">
        <f t="shared" si="441"/>
        <v>0</v>
      </c>
      <c r="DC121" s="3237"/>
      <c r="DG121" s="3235">
        <f t="shared" si="398"/>
        <v>0</v>
      </c>
      <c r="DH121" s="3236">
        <f t="shared" si="442"/>
        <v>0</v>
      </c>
      <c r="DI121" s="3236">
        <f t="shared" si="443"/>
        <v>0</v>
      </c>
      <c r="DJ121" s="3236">
        <f t="shared" si="444"/>
        <v>0</v>
      </c>
      <c r="DK121" s="3237"/>
      <c r="DO121" s="3235">
        <f t="shared" si="399"/>
        <v>0</v>
      </c>
      <c r="DP121" s="3236">
        <f t="shared" si="445"/>
        <v>0</v>
      </c>
      <c r="DQ121" s="3236">
        <f t="shared" si="446"/>
        <v>0</v>
      </c>
      <c r="DR121" s="3236">
        <f t="shared" si="447"/>
        <v>0</v>
      </c>
      <c r="DS121" s="3237"/>
      <c r="DW121" s="3235">
        <f t="shared" si="400"/>
        <v>0</v>
      </c>
      <c r="DX121" s="3236">
        <f t="shared" si="448"/>
        <v>0</v>
      </c>
      <c r="DY121" s="3236">
        <f t="shared" si="449"/>
        <v>0</v>
      </c>
      <c r="DZ121" s="3236">
        <f t="shared" si="450"/>
        <v>0</v>
      </c>
      <c r="EA121" s="3237"/>
      <c r="EE121" s="3235">
        <f t="shared" si="401"/>
        <v>0</v>
      </c>
      <c r="EF121" s="3236">
        <f t="shared" si="451"/>
        <v>0</v>
      </c>
      <c r="EG121" s="3236">
        <f t="shared" si="452"/>
        <v>0</v>
      </c>
      <c r="EH121" s="3236">
        <f t="shared" si="453"/>
        <v>0</v>
      </c>
      <c r="EI121" s="3237"/>
      <c r="EM121" s="3235">
        <f t="shared" si="402"/>
        <v>0</v>
      </c>
      <c r="EN121" s="3236">
        <f t="shared" si="454"/>
        <v>0</v>
      </c>
      <c r="EO121" s="3236">
        <f t="shared" si="455"/>
        <v>0</v>
      </c>
      <c r="EP121" s="3236">
        <f t="shared" si="456"/>
        <v>0</v>
      </c>
      <c r="EQ121" s="3237"/>
      <c r="EU121" s="3235">
        <f t="shared" si="403"/>
        <v>0</v>
      </c>
      <c r="EV121" s="3236">
        <f t="shared" si="457"/>
        <v>0</v>
      </c>
      <c r="EW121" s="3236">
        <f t="shared" si="458"/>
        <v>0</v>
      </c>
      <c r="EX121" s="3236">
        <f t="shared" si="459"/>
        <v>0</v>
      </c>
      <c r="EY121" s="3237"/>
      <c r="FC121" s="3235">
        <f t="shared" si="404"/>
        <v>0</v>
      </c>
      <c r="FD121" s="3236">
        <f t="shared" si="460"/>
        <v>0</v>
      </c>
      <c r="FE121" s="3236">
        <f t="shared" si="461"/>
        <v>0</v>
      </c>
      <c r="FF121" s="3236">
        <f t="shared" si="462"/>
        <v>0</v>
      </c>
      <c r="FG121" s="3237"/>
      <c r="FK121" s="3235">
        <f t="shared" si="405"/>
        <v>0</v>
      </c>
      <c r="FL121" s="3236">
        <f t="shared" si="463"/>
        <v>0</v>
      </c>
      <c r="FM121" s="3236">
        <f t="shared" si="464"/>
        <v>0</v>
      </c>
      <c r="FN121" s="3236">
        <f t="shared" si="465"/>
        <v>0</v>
      </c>
      <c r="FO121" s="3237"/>
    </row>
    <row r="122" spans="1:171">
      <c r="A122" s="2092"/>
      <c r="B122" s="2290" t="s">
        <v>13</v>
      </c>
      <c r="C122" s="2464" t="s">
        <v>78</v>
      </c>
      <c r="D122" s="2464">
        <v>182.3</v>
      </c>
      <c r="E122" s="2424" t="str">
        <f>'Sch 1- Rate Base '!E122</f>
        <v>DIRECT</v>
      </c>
      <c r="F122" s="2171"/>
      <c r="G122" s="2424">
        <f>'Sch 1- Rate Base '!G122</f>
        <v>591927572.39124942</v>
      </c>
      <c r="H122" s="2424">
        <f>'Sch 1- Rate Base '!H122</f>
        <v>307143997.88341385</v>
      </c>
      <c r="I122" s="2424">
        <f>'Sch 1- Rate Base '!I122</f>
        <v>0</v>
      </c>
      <c r="J122" s="3465">
        <f>'Sch 1- Rate Base '!J122</f>
        <v>284783574.50783557</v>
      </c>
      <c r="K122" s="3205">
        <f t="shared" si="385"/>
        <v>0</v>
      </c>
      <c r="O122" s="3235">
        <f t="shared" si="386"/>
        <v>591927572.39124942</v>
      </c>
      <c r="P122" s="3236">
        <f t="shared" si="406"/>
        <v>307143997.88341391</v>
      </c>
      <c r="Q122" s="3236">
        <f t="shared" si="407"/>
        <v>0</v>
      </c>
      <c r="R122" s="3236">
        <f t="shared" si="408"/>
        <v>284783574.50783551</v>
      </c>
      <c r="S122" s="3237"/>
      <c r="W122" s="3235">
        <f t="shared" si="387"/>
        <v>591927572.39124942</v>
      </c>
      <c r="X122" s="3236">
        <f t="shared" si="409"/>
        <v>307143997.88341391</v>
      </c>
      <c r="Y122" s="3236">
        <f t="shared" si="410"/>
        <v>0</v>
      </c>
      <c r="Z122" s="3236">
        <f t="shared" si="411"/>
        <v>284783574.50783551</v>
      </c>
      <c r="AA122" s="3237"/>
      <c r="AE122" s="3235">
        <f t="shared" si="388"/>
        <v>591927572.39124942</v>
      </c>
      <c r="AF122" s="3236">
        <f t="shared" si="412"/>
        <v>307143997.88341391</v>
      </c>
      <c r="AG122" s="3236">
        <f t="shared" si="413"/>
        <v>0</v>
      </c>
      <c r="AH122" s="3236">
        <f t="shared" si="414"/>
        <v>284783574.50783551</v>
      </c>
      <c r="AI122" s="3237"/>
      <c r="AM122" s="3235">
        <f t="shared" si="389"/>
        <v>591927572.39124942</v>
      </c>
      <c r="AN122" s="3236">
        <f t="shared" si="415"/>
        <v>307143997.88341391</v>
      </c>
      <c r="AO122" s="3236">
        <f t="shared" si="416"/>
        <v>0</v>
      </c>
      <c r="AP122" s="3236">
        <f t="shared" si="417"/>
        <v>284783574.50783551</v>
      </c>
      <c r="AQ122" s="3237"/>
      <c r="AU122" s="3235">
        <f t="shared" si="390"/>
        <v>591927572.39124942</v>
      </c>
      <c r="AV122" s="3236">
        <f t="shared" si="418"/>
        <v>307143997.88341391</v>
      </c>
      <c r="AW122" s="3236">
        <f t="shared" si="419"/>
        <v>0</v>
      </c>
      <c r="AX122" s="3236">
        <f t="shared" si="420"/>
        <v>284783574.50783551</v>
      </c>
      <c r="AY122" s="3237"/>
      <c r="BC122" s="3235">
        <f t="shared" si="391"/>
        <v>591927572.39124942</v>
      </c>
      <c r="BD122" s="3236">
        <f t="shared" si="421"/>
        <v>307143997.88341391</v>
      </c>
      <c r="BE122" s="3236">
        <f t="shared" si="422"/>
        <v>0</v>
      </c>
      <c r="BF122" s="3236">
        <f t="shared" si="423"/>
        <v>284783574.50783551</v>
      </c>
      <c r="BG122" s="3237"/>
      <c r="BK122" s="3235">
        <f t="shared" si="392"/>
        <v>591927572.39124942</v>
      </c>
      <c r="BL122" s="3236">
        <f t="shared" si="424"/>
        <v>307143997.88341391</v>
      </c>
      <c r="BM122" s="3236">
        <f t="shared" si="425"/>
        <v>0</v>
      </c>
      <c r="BN122" s="3236">
        <f t="shared" si="426"/>
        <v>284783574.50783551</v>
      </c>
      <c r="BO122" s="3237"/>
      <c r="BS122" s="3235">
        <f t="shared" si="393"/>
        <v>591927572.39124942</v>
      </c>
      <c r="BT122" s="3236">
        <f t="shared" si="427"/>
        <v>307143997.88341391</v>
      </c>
      <c r="BU122" s="3236">
        <f t="shared" si="428"/>
        <v>0</v>
      </c>
      <c r="BV122" s="3236">
        <f t="shared" si="429"/>
        <v>284783574.50783551</v>
      </c>
      <c r="BW122" s="3237"/>
      <c r="CA122" s="3235">
        <f t="shared" si="394"/>
        <v>591927572.39124942</v>
      </c>
      <c r="CB122" s="3236">
        <f t="shared" si="430"/>
        <v>307143997.88341391</v>
      </c>
      <c r="CC122" s="3236">
        <f t="shared" si="431"/>
        <v>0</v>
      </c>
      <c r="CD122" s="3236">
        <f t="shared" si="432"/>
        <v>284783574.50783551</v>
      </c>
      <c r="CE122" s="3237"/>
      <c r="CI122" s="3235">
        <f t="shared" si="395"/>
        <v>591927572.39124942</v>
      </c>
      <c r="CJ122" s="3236">
        <f t="shared" si="433"/>
        <v>307143997.88341391</v>
      </c>
      <c r="CK122" s="3236">
        <f t="shared" si="434"/>
        <v>0</v>
      </c>
      <c r="CL122" s="3236">
        <f t="shared" si="435"/>
        <v>284783574.50783551</v>
      </c>
      <c r="CM122" s="3237"/>
      <c r="CQ122" s="3235">
        <f t="shared" si="396"/>
        <v>591927572.39124942</v>
      </c>
      <c r="CR122" s="3236">
        <f t="shared" si="436"/>
        <v>307143997.88341391</v>
      </c>
      <c r="CS122" s="3236">
        <f t="shared" si="437"/>
        <v>0</v>
      </c>
      <c r="CT122" s="3236">
        <f t="shared" si="438"/>
        <v>284783574.50783551</v>
      </c>
      <c r="CU122" s="3237"/>
      <c r="CY122" s="3235">
        <f t="shared" si="397"/>
        <v>591927572.39124942</v>
      </c>
      <c r="CZ122" s="3236">
        <f t="shared" si="439"/>
        <v>307143997.88341391</v>
      </c>
      <c r="DA122" s="3236">
        <f t="shared" si="440"/>
        <v>0</v>
      </c>
      <c r="DB122" s="3236">
        <f t="shared" si="441"/>
        <v>284783574.50783551</v>
      </c>
      <c r="DC122" s="3237"/>
      <c r="DG122" s="3235">
        <f t="shared" si="398"/>
        <v>591927572.39124942</v>
      </c>
      <c r="DH122" s="3236">
        <f t="shared" si="442"/>
        <v>307143997.88341391</v>
      </c>
      <c r="DI122" s="3236">
        <f t="shared" si="443"/>
        <v>0</v>
      </c>
      <c r="DJ122" s="3236">
        <f t="shared" si="444"/>
        <v>284783574.50783551</v>
      </c>
      <c r="DK122" s="3237"/>
      <c r="DO122" s="3235">
        <f t="shared" si="399"/>
        <v>591927572.39124942</v>
      </c>
      <c r="DP122" s="3236">
        <f t="shared" si="445"/>
        <v>307143997.88341391</v>
      </c>
      <c r="DQ122" s="3236">
        <f t="shared" si="446"/>
        <v>0</v>
      </c>
      <c r="DR122" s="3236">
        <f t="shared" si="447"/>
        <v>284783574.50783551</v>
      </c>
      <c r="DS122" s="3237"/>
      <c r="DW122" s="3235">
        <f t="shared" si="400"/>
        <v>591927572.39124942</v>
      </c>
      <c r="DX122" s="3236">
        <f t="shared" si="448"/>
        <v>307143997.88341391</v>
      </c>
      <c r="DY122" s="3236">
        <f t="shared" si="449"/>
        <v>0</v>
      </c>
      <c r="DZ122" s="3236">
        <f t="shared" si="450"/>
        <v>284783574.50783551</v>
      </c>
      <c r="EA122" s="3237"/>
      <c r="EE122" s="3235">
        <f t="shared" si="401"/>
        <v>591927572.39124942</v>
      </c>
      <c r="EF122" s="3236">
        <f t="shared" si="451"/>
        <v>307143997.88341391</v>
      </c>
      <c r="EG122" s="3236">
        <f t="shared" si="452"/>
        <v>0</v>
      </c>
      <c r="EH122" s="3236">
        <f t="shared" si="453"/>
        <v>284783574.50783551</v>
      </c>
      <c r="EI122" s="3237"/>
      <c r="EM122" s="3235">
        <f t="shared" si="402"/>
        <v>591927572.39124942</v>
      </c>
      <c r="EN122" s="3236">
        <f t="shared" si="454"/>
        <v>307143997.88341391</v>
      </c>
      <c r="EO122" s="3236">
        <f t="shared" si="455"/>
        <v>0</v>
      </c>
      <c r="EP122" s="3236">
        <f t="shared" si="456"/>
        <v>284783574.50783551</v>
      </c>
      <c r="EQ122" s="3237"/>
      <c r="EU122" s="3235">
        <f t="shared" si="403"/>
        <v>591927572.39124942</v>
      </c>
      <c r="EV122" s="3236">
        <f t="shared" si="457"/>
        <v>307143997.88341391</v>
      </c>
      <c r="EW122" s="3236">
        <f t="shared" si="458"/>
        <v>0</v>
      </c>
      <c r="EX122" s="3236">
        <f t="shared" si="459"/>
        <v>284783574.50783551</v>
      </c>
      <c r="EY122" s="3237"/>
      <c r="FC122" s="3235">
        <f t="shared" si="404"/>
        <v>591927572.39124942</v>
      </c>
      <c r="FD122" s="3236">
        <f t="shared" si="460"/>
        <v>307143997.88341391</v>
      </c>
      <c r="FE122" s="3236">
        <f t="shared" si="461"/>
        <v>0</v>
      </c>
      <c r="FF122" s="3236">
        <f t="shared" si="462"/>
        <v>284783574.50783551</v>
      </c>
      <c r="FG122" s="3237"/>
      <c r="FK122" s="3235">
        <f t="shared" si="405"/>
        <v>591927572.39124942</v>
      </c>
      <c r="FL122" s="3236">
        <f t="shared" si="463"/>
        <v>307143997.88341391</v>
      </c>
      <c r="FM122" s="3236">
        <f t="shared" si="464"/>
        <v>0</v>
      </c>
      <c r="FN122" s="3236">
        <f t="shared" si="465"/>
        <v>284783574.50783551</v>
      </c>
      <c r="FO122" s="3237"/>
    </row>
    <row r="123" spans="1:171">
      <c r="A123" s="2092"/>
      <c r="B123" s="2290" t="s">
        <v>614</v>
      </c>
      <c r="C123" s="2464" t="s">
        <v>78</v>
      </c>
      <c r="D123" s="2464">
        <v>183</v>
      </c>
      <c r="E123" s="2424" t="str">
        <f>'Sch 1- Rate Base '!E123</f>
        <v>DIST</v>
      </c>
      <c r="F123" s="2171"/>
      <c r="G123" s="2424">
        <f>'Sch 1- Rate Base '!G123</f>
        <v>779621.87999999989</v>
      </c>
      <c r="H123" s="2424">
        <f>'Sch 1- Rate Base '!H123</f>
        <v>0</v>
      </c>
      <c r="I123" s="2424">
        <f>'Sch 1- Rate Base '!I123</f>
        <v>0</v>
      </c>
      <c r="J123" s="3465">
        <f>'Sch 1- Rate Base '!J123</f>
        <v>779621.87999999989</v>
      </c>
      <c r="K123" s="3205">
        <f t="shared" si="385"/>
        <v>1</v>
      </c>
      <c r="O123" s="3235">
        <f t="shared" si="386"/>
        <v>779621.87999999989</v>
      </c>
      <c r="P123" s="3236">
        <f t="shared" si="406"/>
        <v>0</v>
      </c>
      <c r="Q123" s="3236">
        <f t="shared" si="407"/>
        <v>0</v>
      </c>
      <c r="R123" s="3236">
        <f t="shared" si="408"/>
        <v>779621.87999999989</v>
      </c>
      <c r="S123" s="3237"/>
      <c r="W123" s="3235">
        <f t="shared" si="387"/>
        <v>779621.87999999989</v>
      </c>
      <c r="X123" s="3236">
        <f t="shared" si="409"/>
        <v>0</v>
      </c>
      <c r="Y123" s="3236">
        <f t="shared" si="410"/>
        <v>0</v>
      </c>
      <c r="Z123" s="3236">
        <f t="shared" si="411"/>
        <v>779621.87999999989</v>
      </c>
      <c r="AA123" s="3237"/>
      <c r="AE123" s="3235">
        <f t="shared" si="388"/>
        <v>779621.87999999989</v>
      </c>
      <c r="AF123" s="3236">
        <f t="shared" si="412"/>
        <v>0</v>
      </c>
      <c r="AG123" s="3236">
        <f t="shared" si="413"/>
        <v>0</v>
      </c>
      <c r="AH123" s="3236">
        <f t="shared" si="414"/>
        <v>779621.87999999989</v>
      </c>
      <c r="AI123" s="3237"/>
      <c r="AM123" s="3235">
        <f t="shared" si="389"/>
        <v>779621.87999999989</v>
      </c>
      <c r="AN123" s="3236">
        <f t="shared" si="415"/>
        <v>0</v>
      </c>
      <c r="AO123" s="3236">
        <f t="shared" si="416"/>
        <v>0</v>
      </c>
      <c r="AP123" s="3236">
        <f t="shared" si="417"/>
        <v>779621.87999999989</v>
      </c>
      <c r="AQ123" s="3237"/>
      <c r="AU123" s="3235">
        <f t="shared" si="390"/>
        <v>779621.87999999989</v>
      </c>
      <c r="AV123" s="3236">
        <f t="shared" si="418"/>
        <v>0</v>
      </c>
      <c r="AW123" s="3236">
        <f t="shared" si="419"/>
        <v>0</v>
      </c>
      <c r="AX123" s="3236">
        <f t="shared" si="420"/>
        <v>779621.87999999989</v>
      </c>
      <c r="AY123" s="3237"/>
      <c r="BC123" s="3235">
        <f t="shared" si="391"/>
        <v>779621.87999999989</v>
      </c>
      <c r="BD123" s="3236">
        <f t="shared" si="421"/>
        <v>0</v>
      </c>
      <c r="BE123" s="3236">
        <f t="shared" si="422"/>
        <v>0</v>
      </c>
      <c r="BF123" s="3236">
        <f t="shared" si="423"/>
        <v>779621.87999999989</v>
      </c>
      <c r="BG123" s="3237"/>
      <c r="BK123" s="3235">
        <f t="shared" si="392"/>
        <v>779621.87999999989</v>
      </c>
      <c r="BL123" s="3236">
        <f t="shared" si="424"/>
        <v>0</v>
      </c>
      <c r="BM123" s="3236">
        <f t="shared" si="425"/>
        <v>0</v>
      </c>
      <c r="BN123" s="3236">
        <f t="shared" si="426"/>
        <v>779621.87999999989</v>
      </c>
      <c r="BO123" s="3237"/>
      <c r="BS123" s="3235">
        <f t="shared" si="393"/>
        <v>779621.87999999989</v>
      </c>
      <c r="BT123" s="3236">
        <f t="shared" si="427"/>
        <v>0</v>
      </c>
      <c r="BU123" s="3236">
        <f t="shared" si="428"/>
        <v>0</v>
      </c>
      <c r="BV123" s="3236">
        <f t="shared" si="429"/>
        <v>779621.87999999989</v>
      </c>
      <c r="BW123" s="3237"/>
      <c r="CA123" s="3235">
        <f t="shared" si="394"/>
        <v>779621.87999999989</v>
      </c>
      <c r="CB123" s="3236">
        <f t="shared" si="430"/>
        <v>0</v>
      </c>
      <c r="CC123" s="3236">
        <f t="shared" si="431"/>
        <v>0</v>
      </c>
      <c r="CD123" s="3236">
        <f t="shared" si="432"/>
        <v>779621.87999999989</v>
      </c>
      <c r="CE123" s="3237"/>
      <c r="CI123" s="3235">
        <f t="shared" si="395"/>
        <v>779621.87999999989</v>
      </c>
      <c r="CJ123" s="3236">
        <f t="shared" si="433"/>
        <v>0</v>
      </c>
      <c r="CK123" s="3236">
        <f t="shared" si="434"/>
        <v>0</v>
      </c>
      <c r="CL123" s="3236">
        <f t="shared" si="435"/>
        <v>779621.87999999989</v>
      </c>
      <c r="CM123" s="3237"/>
      <c r="CQ123" s="3235">
        <f t="shared" si="396"/>
        <v>779621.87999999989</v>
      </c>
      <c r="CR123" s="3236">
        <f t="shared" si="436"/>
        <v>0</v>
      </c>
      <c r="CS123" s="3236">
        <f t="shared" si="437"/>
        <v>0</v>
      </c>
      <c r="CT123" s="3236">
        <f t="shared" si="438"/>
        <v>779621.87999999989</v>
      </c>
      <c r="CU123" s="3237"/>
      <c r="CY123" s="3235">
        <f t="shared" si="397"/>
        <v>779621.87999999989</v>
      </c>
      <c r="CZ123" s="3236">
        <f t="shared" si="439"/>
        <v>0</v>
      </c>
      <c r="DA123" s="3236">
        <f t="shared" si="440"/>
        <v>0</v>
      </c>
      <c r="DB123" s="3236">
        <f t="shared" si="441"/>
        <v>779621.87999999989</v>
      </c>
      <c r="DC123" s="3237"/>
      <c r="DG123" s="3235">
        <f t="shared" si="398"/>
        <v>779621.87999999989</v>
      </c>
      <c r="DH123" s="3236">
        <f t="shared" si="442"/>
        <v>0</v>
      </c>
      <c r="DI123" s="3236">
        <f t="shared" si="443"/>
        <v>0</v>
      </c>
      <c r="DJ123" s="3236">
        <f t="shared" si="444"/>
        <v>779621.87999999989</v>
      </c>
      <c r="DK123" s="3237"/>
      <c r="DO123" s="3235">
        <f t="shared" si="399"/>
        <v>779621.87999999989</v>
      </c>
      <c r="DP123" s="3236">
        <f t="shared" si="445"/>
        <v>0</v>
      </c>
      <c r="DQ123" s="3236">
        <f t="shared" si="446"/>
        <v>0</v>
      </c>
      <c r="DR123" s="3236">
        <f t="shared" si="447"/>
        <v>779621.87999999989</v>
      </c>
      <c r="DS123" s="3237"/>
      <c r="DW123" s="3235">
        <f t="shared" si="400"/>
        <v>779621.87999999989</v>
      </c>
      <c r="DX123" s="3236">
        <f t="shared" si="448"/>
        <v>0</v>
      </c>
      <c r="DY123" s="3236">
        <f t="shared" si="449"/>
        <v>0</v>
      </c>
      <c r="DZ123" s="3236">
        <f t="shared" si="450"/>
        <v>779621.87999999989</v>
      </c>
      <c r="EA123" s="3237"/>
      <c r="EE123" s="3235">
        <f t="shared" si="401"/>
        <v>779621.87999999989</v>
      </c>
      <c r="EF123" s="3236">
        <f t="shared" si="451"/>
        <v>0</v>
      </c>
      <c r="EG123" s="3236">
        <f t="shared" si="452"/>
        <v>0</v>
      </c>
      <c r="EH123" s="3236">
        <f t="shared" si="453"/>
        <v>779621.87999999989</v>
      </c>
      <c r="EI123" s="3237"/>
      <c r="EM123" s="3235">
        <f t="shared" si="402"/>
        <v>779621.87999999989</v>
      </c>
      <c r="EN123" s="3236">
        <f t="shared" si="454"/>
        <v>0</v>
      </c>
      <c r="EO123" s="3236">
        <f t="shared" si="455"/>
        <v>0</v>
      </c>
      <c r="EP123" s="3236">
        <f t="shared" si="456"/>
        <v>779621.87999999989</v>
      </c>
      <c r="EQ123" s="3237"/>
      <c r="EU123" s="3235">
        <f t="shared" si="403"/>
        <v>779621.87999999989</v>
      </c>
      <c r="EV123" s="3236">
        <f t="shared" si="457"/>
        <v>0</v>
      </c>
      <c r="EW123" s="3236">
        <f t="shared" si="458"/>
        <v>0</v>
      </c>
      <c r="EX123" s="3236">
        <f t="shared" si="459"/>
        <v>779621.87999999989</v>
      </c>
      <c r="EY123" s="3237"/>
      <c r="FC123" s="3235">
        <f t="shared" si="404"/>
        <v>779621.87999999989</v>
      </c>
      <c r="FD123" s="3236">
        <f t="shared" si="460"/>
        <v>0</v>
      </c>
      <c r="FE123" s="3236">
        <f t="shared" si="461"/>
        <v>0</v>
      </c>
      <c r="FF123" s="3236">
        <f t="shared" si="462"/>
        <v>779621.87999999989</v>
      </c>
      <c r="FG123" s="3237"/>
      <c r="FK123" s="3235">
        <f t="shared" si="405"/>
        <v>779621.87999999989</v>
      </c>
      <c r="FL123" s="3236">
        <f t="shared" si="463"/>
        <v>0</v>
      </c>
      <c r="FM123" s="3236">
        <f t="shared" si="464"/>
        <v>0</v>
      </c>
      <c r="FN123" s="3236">
        <f t="shared" si="465"/>
        <v>779621.87999999989</v>
      </c>
      <c r="FO123" s="3237"/>
    </row>
    <row r="124" spans="1:171">
      <c r="A124" s="2092"/>
      <c r="B124" s="2290" t="s">
        <v>14</v>
      </c>
      <c r="C124" s="2464" t="s">
        <v>78</v>
      </c>
      <c r="D124" s="2464">
        <v>183.1</v>
      </c>
      <c r="E124" s="2424" t="str">
        <f>'Sch 1- Rate Base '!E124</f>
        <v>DIST</v>
      </c>
      <c r="F124" s="2171"/>
      <c r="G124" s="2424">
        <f>'Sch 1- Rate Base '!G124</f>
        <v>0</v>
      </c>
      <c r="H124" s="2424">
        <f>'Sch 1- Rate Base '!H124</f>
        <v>0</v>
      </c>
      <c r="I124" s="2424">
        <f>'Sch 1- Rate Base '!I124</f>
        <v>0</v>
      </c>
      <c r="J124" s="3465">
        <f>'Sch 1- Rate Base '!J124</f>
        <v>0</v>
      </c>
      <c r="K124" s="3205">
        <f t="shared" si="385"/>
        <v>1</v>
      </c>
      <c r="O124" s="3235">
        <f t="shared" si="386"/>
        <v>0</v>
      </c>
      <c r="P124" s="3236">
        <f t="shared" si="406"/>
        <v>0</v>
      </c>
      <c r="Q124" s="3236">
        <f t="shared" si="407"/>
        <v>0</v>
      </c>
      <c r="R124" s="3236">
        <f t="shared" si="408"/>
        <v>0</v>
      </c>
      <c r="S124" s="3237"/>
      <c r="W124" s="3235">
        <f t="shared" si="387"/>
        <v>0</v>
      </c>
      <c r="X124" s="3236">
        <f t="shared" si="409"/>
        <v>0</v>
      </c>
      <c r="Y124" s="3236">
        <f t="shared" si="410"/>
        <v>0</v>
      </c>
      <c r="Z124" s="3236">
        <f t="shared" si="411"/>
        <v>0</v>
      </c>
      <c r="AA124" s="3237"/>
      <c r="AE124" s="3235">
        <f t="shared" si="388"/>
        <v>0</v>
      </c>
      <c r="AF124" s="3236">
        <f t="shared" si="412"/>
        <v>0</v>
      </c>
      <c r="AG124" s="3236">
        <f t="shared" si="413"/>
        <v>0</v>
      </c>
      <c r="AH124" s="3236">
        <f t="shared" si="414"/>
        <v>0</v>
      </c>
      <c r="AI124" s="3237"/>
      <c r="AM124" s="3235">
        <f t="shared" si="389"/>
        <v>0</v>
      </c>
      <c r="AN124" s="3236">
        <f t="shared" si="415"/>
        <v>0</v>
      </c>
      <c r="AO124" s="3236">
        <f t="shared" si="416"/>
        <v>0</v>
      </c>
      <c r="AP124" s="3236">
        <f t="shared" si="417"/>
        <v>0</v>
      </c>
      <c r="AQ124" s="3237"/>
      <c r="AU124" s="3235">
        <f t="shared" si="390"/>
        <v>0</v>
      </c>
      <c r="AV124" s="3236">
        <f t="shared" si="418"/>
        <v>0</v>
      </c>
      <c r="AW124" s="3236">
        <f t="shared" si="419"/>
        <v>0</v>
      </c>
      <c r="AX124" s="3236">
        <f t="shared" si="420"/>
        <v>0</v>
      </c>
      <c r="AY124" s="3237"/>
      <c r="BC124" s="3235">
        <f t="shared" si="391"/>
        <v>0</v>
      </c>
      <c r="BD124" s="3236">
        <f t="shared" si="421"/>
        <v>0</v>
      </c>
      <c r="BE124" s="3236">
        <f t="shared" si="422"/>
        <v>0</v>
      </c>
      <c r="BF124" s="3236">
        <f t="shared" si="423"/>
        <v>0</v>
      </c>
      <c r="BG124" s="3237"/>
      <c r="BK124" s="3235">
        <f t="shared" si="392"/>
        <v>0</v>
      </c>
      <c r="BL124" s="3236">
        <f t="shared" si="424"/>
        <v>0</v>
      </c>
      <c r="BM124" s="3236">
        <f t="shared" si="425"/>
        <v>0</v>
      </c>
      <c r="BN124" s="3236">
        <f t="shared" si="426"/>
        <v>0</v>
      </c>
      <c r="BO124" s="3237"/>
      <c r="BS124" s="3235">
        <f t="shared" si="393"/>
        <v>0</v>
      </c>
      <c r="BT124" s="3236">
        <f t="shared" si="427"/>
        <v>0</v>
      </c>
      <c r="BU124" s="3236">
        <f t="shared" si="428"/>
        <v>0</v>
      </c>
      <c r="BV124" s="3236">
        <f t="shared" si="429"/>
        <v>0</v>
      </c>
      <c r="BW124" s="3237"/>
      <c r="CA124" s="3235">
        <f t="shared" si="394"/>
        <v>0</v>
      </c>
      <c r="CB124" s="3236">
        <f t="shared" si="430"/>
        <v>0</v>
      </c>
      <c r="CC124" s="3236">
        <f t="shared" si="431"/>
        <v>0</v>
      </c>
      <c r="CD124" s="3236">
        <f t="shared" si="432"/>
        <v>0</v>
      </c>
      <c r="CE124" s="3237"/>
      <c r="CI124" s="3235">
        <f t="shared" si="395"/>
        <v>0</v>
      </c>
      <c r="CJ124" s="3236">
        <f t="shared" si="433"/>
        <v>0</v>
      </c>
      <c r="CK124" s="3236">
        <f t="shared" si="434"/>
        <v>0</v>
      </c>
      <c r="CL124" s="3236">
        <f t="shared" si="435"/>
        <v>0</v>
      </c>
      <c r="CM124" s="3237"/>
      <c r="CQ124" s="3235">
        <f t="shared" si="396"/>
        <v>0</v>
      </c>
      <c r="CR124" s="3236">
        <f t="shared" si="436"/>
        <v>0</v>
      </c>
      <c r="CS124" s="3236">
        <f t="shared" si="437"/>
        <v>0</v>
      </c>
      <c r="CT124" s="3236">
        <f t="shared" si="438"/>
        <v>0</v>
      </c>
      <c r="CU124" s="3237"/>
      <c r="CY124" s="3235">
        <f t="shared" si="397"/>
        <v>0</v>
      </c>
      <c r="CZ124" s="3236">
        <f t="shared" si="439"/>
        <v>0</v>
      </c>
      <c r="DA124" s="3236">
        <f t="shared" si="440"/>
        <v>0</v>
      </c>
      <c r="DB124" s="3236">
        <f t="shared" si="441"/>
        <v>0</v>
      </c>
      <c r="DC124" s="3237"/>
      <c r="DG124" s="3235">
        <f t="shared" si="398"/>
        <v>0</v>
      </c>
      <c r="DH124" s="3236">
        <f t="shared" si="442"/>
        <v>0</v>
      </c>
      <c r="DI124" s="3236">
        <f t="shared" si="443"/>
        <v>0</v>
      </c>
      <c r="DJ124" s="3236">
        <f t="shared" si="444"/>
        <v>0</v>
      </c>
      <c r="DK124" s="3237"/>
      <c r="DO124" s="3235">
        <f t="shared" si="399"/>
        <v>0</v>
      </c>
      <c r="DP124" s="3236">
        <f t="shared" si="445"/>
        <v>0</v>
      </c>
      <c r="DQ124" s="3236">
        <f t="shared" si="446"/>
        <v>0</v>
      </c>
      <c r="DR124" s="3236">
        <f t="shared" si="447"/>
        <v>0</v>
      </c>
      <c r="DS124" s="3237"/>
      <c r="DW124" s="3235">
        <f t="shared" si="400"/>
        <v>0</v>
      </c>
      <c r="DX124" s="3236">
        <f t="shared" si="448"/>
        <v>0</v>
      </c>
      <c r="DY124" s="3236">
        <f t="shared" si="449"/>
        <v>0</v>
      </c>
      <c r="DZ124" s="3236">
        <f t="shared" si="450"/>
        <v>0</v>
      </c>
      <c r="EA124" s="3237"/>
      <c r="EE124" s="3235">
        <f t="shared" si="401"/>
        <v>0</v>
      </c>
      <c r="EF124" s="3236">
        <f t="shared" si="451"/>
        <v>0</v>
      </c>
      <c r="EG124" s="3236">
        <f t="shared" si="452"/>
        <v>0</v>
      </c>
      <c r="EH124" s="3236">
        <f t="shared" si="453"/>
        <v>0</v>
      </c>
      <c r="EI124" s="3237"/>
      <c r="EM124" s="3235">
        <f t="shared" si="402"/>
        <v>0</v>
      </c>
      <c r="EN124" s="3236">
        <f t="shared" si="454"/>
        <v>0</v>
      </c>
      <c r="EO124" s="3236">
        <f t="shared" si="455"/>
        <v>0</v>
      </c>
      <c r="EP124" s="3236">
        <f t="shared" si="456"/>
        <v>0</v>
      </c>
      <c r="EQ124" s="3237"/>
      <c r="EU124" s="3235">
        <f t="shared" si="403"/>
        <v>0</v>
      </c>
      <c r="EV124" s="3236">
        <f t="shared" si="457"/>
        <v>0</v>
      </c>
      <c r="EW124" s="3236">
        <f t="shared" si="458"/>
        <v>0</v>
      </c>
      <c r="EX124" s="3236">
        <f t="shared" si="459"/>
        <v>0</v>
      </c>
      <c r="EY124" s="3237"/>
      <c r="FC124" s="3235">
        <f t="shared" si="404"/>
        <v>0</v>
      </c>
      <c r="FD124" s="3236">
        <f t="shared" si="460"/>
        <v>0</v>
      </c>
      <c r="FE124" s="3236">
        <f t="shared" si="461"/>
        <v>0</v>
      </c>
      <c r="FF124" s="3236">
        <f t="shared" si="462"/>
        <v>0</v>
      </c>
      <c r="FG124" s="3237"/>
      <c r="FK124" s="3235">
        <f t="shared" si="405"/>
        <v>0</v>
      </c>
      <c r="FL124" s="3236">
        <f t="shared" si="463"/>
        <v>0</v>
      </c>
      <c r="FM124" s="3236">
        <f t="shared" si="464"/>
        <v>0</v>
      </c>
      <c r="FN124" s="3236">
        <f t="shared" si="465"/>
        <v>0</v>
      </c>
      <c r="FO124" s="3237"/>
    </row>
    <row r="125" spans="1:171">
      <c r="A125" s="2092"/>
      <c r="B125" s="2290" t="s">
        <v>444</v>
      </c>
      <c r="C125" s="2464" t="s">
        <v>78</v>
      </c>
      <c r="D125" s="2464">
        <v>183.2</v>
      </c>
      <c r="E125" s="2424" t="str">
        <f>'Sch 1- Rate Base '!E125</f>
        <v>DIST</v>
      </c>
      <c r="F125" s="2171"/>
      <c r="G125" s="2424">
        <f>'Sch 1- Rate Base '!G125</f>
        <v>0</v>
      </c>
      <c r="H125" s="2424">
        <f>'Sch 1- Rate Base '!H125</f>
        <v>0</v>
      </c>
      <c r="I125" s="2424">
        <f>'Sch 1- Rate Base '!I125</f>
        <v>0</v>
      </c>
      <c r="J125" s="3465">
        <f>'Sch 1- Rate Base '!J125</f>
        <v>0</v>
      </c>
      <c r="K125" s="3205">
        <f t="shared" si="385"/>
        <v>1</v>
      </c>
      <c r="O125" s="3235">
        <f t="shared" si="386"/>
        <v>0</v>
      </c>
      <c r="P125" s="3236">
        <f t="shared" si="406"/>
        <v>0</v>
      </c>
      <c r="Q125" s="3236">
        <f t="shared" si="407"/>
        <v>0</v>
      </c>
      <c r="R125" s="3236">
        <f t="shared" si="408"/>
        <v>0</v>
      </c>
      <c r="S125" s="3237"/>
      <c r="W125" s="3235">
        <f t="shared" si="387"/>
        <v>0</v>
      </c>
      <c r="X125" s="3236">
        <f t="shared" si="409"/>
        <v>0</v>
      </c>
      <c r="Y125" s="3236">
        <f t="shared" si="410"/>
        <v>0</v>
      </c>
      <c r="Z125" s="3236">
        <f t="shared" si="411"/>
        <v>0</v>
      </c>
      <c r="AA125" s="3237"/>
      <c r="AE125" s="3235">
        <f t="shared" si="388"/>
        <v>0</v>
      </c>
      <c r="AF125" s="3236">
        <f t="shared" si="412"/>
        <v>0</v>
      </c>
      <c r="AG125" s="3236">
        <f t="shared" si="413"/>
        <v>0</v>
      </c>
      <c r="AH125" s="3236">
        <f t="shared" si="414"/>
        <v>0</v>
      </c>
      <c r="AI125" s="3237"/>
      <c r="AM125" s="3235">
        <f t="shared" si="389"/>
        <v>0</v>
      </c>
      <c r="AN125" s="3236">
        <f t="shared" si="415"/>
        <v>0</v>
      </c>
      <c r="AO125" s="3236">
        <f t="shared" si="416"/>
        <v>0</v>
      </c>
      <c r="AP125" s="3236">
        <f t="shared" si="417"/>
        <v>0</v>
      </c>
      <c r="AQ125" s="3237"/>
      <c r="AU125" s="3235">
        <f t="shared" si="390"/>
        <v>0</v>
      </c>
      <c r="AV125" s="3236">
        <f t="shared" si="418"/>
        <v>0</v>
      </c>
      <c r="AW125" s="3236">
        <f t="shared" si="419"/>
        <v>0</v>
      </c>
      <c r="AX125" s="3236">
        <f t="shared" si="420"/>
        <v>0</v>
      </c>
      <c r="AY125" s="3237"/>
      <c r="BC125" s="3235">
        <f t="shared" si="391"/>
        <v>0</v>
      </c>
      <c r="BD125" s="3236">
        <f t="shared" si="421"/>
        <v>0</v>
      </c>
      <c r="BE125" s="3236">
        <f t="shared" si="422"/>
        <v>0</v>
      </c>
      <c r="BF125" s="3236">
        <f t="shared" si="423"/>
        <v>0</v>
      </c>
      <c r="BG125" s="3237"/>
      <c r="BK125" s="3235">
        <f t="shared" si="392"/>
        <v>0</v>
      </c>
      <c r="BL125" s="3236">
        <f t="shared" si="424"/>
        <v>0</v>
      </c>
      <c r="BM125" s="3236">
        <f t="shared" si="425"/>
        <v>0</v>
      </c>
      <c r="BN125" s="3236">
        <f t="shared" si="426"/>
        <v>0</v>
      </c>
      <c r="BO125" s="3237"/>
      <c r="BS125" s="3235">
        <f t="shared" si="393"/>
        <v>0</v>
      </c>
      <c r="BT125" s="3236">
        <f t="shared" si="427"/>
        <v>0</v>
      </c>
      <c r="BU125" s="3236">
        <f t="shared" si="428"/>
        <v>0</v>
      </c>
      <c r="BV125" s="3236">
        <f t="shared" si="429"/>
        <v>0</v>
      </c>
      <c r="BW125" s="3237"/>
      <c r="CA125" s="3235">
        <f t="shared" si="394"/>
        <v>0</v>
      </c>
      <c r="CB125" s="3236">
        <f t="shared" si="430"/>
        <v>0</v>
      </c>
      <c r="CC125" s="3236">
        <f t="shared" si="431"/>
        <v>0</v>
      </c>
      <c r="CD125" s="3236">
        <f t="shared" si="432"/>
        <v>0</v>
      </c>
      <c r="CE125" s="3237"/>
      <c r="CI125" s="3235">
        <f t="shared" si="395"/>
        <v>0</v>
      </c>
      <c r="CJ125" s="3236">
        <f t="shared" si="433"/>
        <v>0</v>
      </c>
      <c r="CK125" s="3236">
        <f t="shared" si="434"/>
        <v>0</v>
      </c>
      <c r="CL125" s="3236">
        <f t="shared" si="435"/>
        <v>0</v>
      </c>
      <c r="CM125" s="3237"/>
      <c r="CQ125" s="3235">
        <f t="shared" si="396"/>
        <v>0</v>
      </c>
      <c r="CR125" s="3236">
        <f t="shared" si="436"/>
        <v>0</v>
      </c>
      <c r="CS125" s="3236">
        <f t="shared" si="437"/>
        <v>0</v>
      </c>
      <c r="CT125" s="3236">
        <f t="shared" si="438"/>
        <v>0</v>
      </c>
      <c r="CU125" s="3237"/>
      <c r="CY125" s="3235">
        <f t="shared" si="397"/>
        <v>0</v>
      </c>
      <c r="CZ125" s="3236">
        <f t="shared" si="439"/>
        <v>0</v>
      </c>
      <c r="DA125" s="3236">
        <f t="shared" si="440"/>
        <v>0</v>
      </c>
      <c r="DB125" s="3236">
        <f t="shared" si="441"/>
        <v>0</v>
      </c>
      <c r="DC125" s="3237"/>
      <c r="DG125" s="3235">
        <f t="shared" si="398"/>
        <v>0</v>
      </c>
      <c r="DH125" s="3236">
        <f t="shared" si="442"/>
        <v>0</v>
      </c>
      <c r="DI125" s="3236">
        <f t="shared" si="443"/>
        <v>0</v>
      </c>
      <c r="DJ125" s="3236">
        <f t="shared" si="444"/>
        <v>0</v>
      </c>
      <c r="DK125" s="3237"/>
      <c r="DO125" s="3235">
        <f t="shared" si="399"/>
        <v>0</v>
      </c>
      <c r="DP125" s="3236">
        <f t="shared" si="445"/>
        <v>0</v>
      </c>
      <c r="DQ125" s="3236">
        <f t="shared" si="446"/>
        <v>0</v>
      </c>
      <c r="DR125" s="3236">
        <f t="shared" si="447"/>
        <v>0</v>
      </c>
      <c r="DS125" s="3237"/>
      <c r="DW125" s="3235">
        <f t="shared" si="400"/>
        <v>0</v>
      </c>
      <c r="DX125" s="3236">
        <f t="shared" si="448"/>
        <v>0</v>
      </c>
      <c r="DY125" s="3236">
        <f t="shared" si="449"/>
        <v>0</v>
      </c>
      <c r="DZ125" s="3236">
        <f t="shared" si="450"/>
        <v>0</v>
      </c>
      <c r="EA125" s="3237"/>
      <c r="EE125" s="3235">
        <f t="shared" si="401"/>
        <v>0</v>
      </c>
      <c r="EF125" s="3236">
        <f t="shared" si="451"/>
        <v>0</v>
      </c>
      <c r="EG125" s="3236">
        <f t="shared" si="452"/>
        <v>0</v>
      </c>
      <c r="EH125" s="3236">
        <f t="shared" si="453"/>
        <v>0</v>
      </c>
      <c r="EI125" s="3237"/>
      <c r="EM125" s="3235">
        <f t="shared" si="402"/>
        <v>0</v>
      </c>
      <c r="EN125" s="3236">
        <f t="shared" si="454"/>
        <v>0</v>
      </c>
      <c r="EO125" s="3236">
        <f t="shared" si="455"/>
        <v>0</v>
      </c>
      <c r="EP125" s="3236">
        <f t="shared" si="456"/>
        <v>0</v>
      </c>
      <c r="EQ125" s="3237"/>
      <c r="EU125" s="3235">
        <f t="shared" si="403"/>
        <v>0</v>
      </c>
      <c r="EV125" s="3236">
        <f t="shared" si="457"/>
        <v>0</v>
      </c>
      <c r="EW125" s="3236">
        <f t="shared" si="458"/>
        <v>0</v>
      </c>
      <c r="EX125" s="3236">
        <f t="shared" si="459"/>
        <v>0</v>
      </c>
      <c r="EY125" s="3237"/>
      <c r="FC125" s="3235">
        <f t="shared" si="404"/>
        <v>0</v>
      </c>
      <c r="FD125" s="3236">
        <f t="shared" si="460"/>
        <v>0</v>
      </c>
      <c r="FE125" s="3236">
        <f t="shared" si="461"/>
        <v>0</v>
      </c>
      <c r="FF125" s="3236">
        <f t="shared" si="462"/>
        <v>0</v>
      </c>
      <c r="FG125" s="3237"/>
      <c r="FK125" s="3235">
        <f t="shared" si="405"/>
        <v>0</v>
      </c>
      <c r="FL125" s="3236">
        <f t="shared" si="463"/>
        <v>0</v>
      </c>
      <c r="FM125" s="3236">
        <f t="shared" si="464"/>
        <v>0</v>
      </c>
      <c r="FN125" s="3236">
        <f t="shared" si="465"/>
        <v>0</v>
      </c>
      <c r="FO125" s="3237"/>
    </row>
    <row r="126" spans="1:171">
      <c r="A126" s="2092"/>
      <c r="B126" s="2290" t="s">
        <v>15</v>
      </c>
      <c r="C126" s="2464" t="s">
        <v>78</v>
      </c>
      <c r="D126" s="2464">
        <v>184</v>
      </c>
      <c r="E126" s="2424" t="str">
        <f>'Sch 1- Rate Base '!E126</f>
        <v>DIST</v>
      </c>
      <c r="F126" s="2171"/>
      <c r="G126" s="2424">
        <f>'Sch 1- Rate Base '!G126</f>
        <v>0</v>
      </c>
      <c r="H126" s="2424">
        <f>'Sch 1- Rate Base '!H126</f>
        <v>0</v>
      </c>
      <c r="I126" s="2424">
        <f>'Sch 1- Rate Base '!I126</f>
        <v>0</v>
      </c>
      <c r="J126" s="3465">
        <f>'Sch 1- Rate Base '!J126</f>
        <v>0</v>
      </c>
      <c r="K126" s="3205">
        <f t="shared" si="385"/>
        <v>1</v>
      </c>
      <c r="O126" s="3235">
        <f t="shared" si="386"/>
        <v>0</v>
      </c>
      <c r="P126" s="3236">
        <f t="shared" si="406"/>
        <v>0</v>
      </c>
      <c r="Q126" s="3236">
        <f t="shared" si="407"/>
        <v>0</v>
      </c>
      <c r="R126" s="3236">
        <f t="shared" si="408"/>
        <v>0</v>
      </c>
      <c r="S126" s="3237"/>
      <c r="W126" s="3235">
        <f t="shared" si="387"/>
        <v>0</v>
      </c>
      <c r="X126" s="3236">
        <f t="shared" si="409"/>
        <v>0</v>
      </c>
      <c r="Y126" s="3236">
        <f t="shared" si="410"/>
        <v>0</v>
      </c>
      <c r="Z126" s="3236">
        <f t="shared" si="411"/>
        <v>0</v>
      </c>
      <c r="AA126" s="3237"/>
      <c r="AE126" s="3235">
        <f t="shared" si="388"/>
        <v>0</v>
      </c>
      <c r="AF126" s="3236">
        <f t="shared" si="412"/>
        <v>0</v>
      </c>
      <c r="AG126" s="3236">
        <f t="shared" si="413"/>
        <v>0</v>
      </c>
      <c r="AH126" s="3236">
        <f t="shared" si="414"/>
        <v>0</v>
      </c>
      <c r="AI126" s="3237"/>
      <c r="AM126" s="3235">
        <f t="shared" si="389"/>
        <v>0</v>
      </c>
      <c r="AN126" s="3236">
        <f t="shared" si="415"/>
        <v>0</v>
      </c>
      <c r="AO126" s="3236">
        <f t="shared" si="416"/>
        <v>0</v>
      </c>
      <c r="AP126" s="3236">
        <f t="shared" si="417"/>
        <v>0</v>
      </c>
      <c r="AQ126" s="3237"/>
      <c r="AU126" s="3235">
        <f t="shared" si="390"/>
        <v>0</v>
      </c>
      <c r="AV126" s="3236">
        <f t="shared" si="418"/>
        <v>0</v>
      </c>
      <c r="AW126" s="3236">
        <f t="shared" si="419"/>
        <v>0</v>
      </c>
      <c r="AX126" s="3236">
        <f t="shared" si="420"/>
        <v>0</v>
      </c>
      <c r="AY126" s="3237"/>
      <c r="BC126" s="3235">
        <f t="shared" si="391"/>
        <v>0</v>
      </c>
      <c r="BD126" s="3236">
        <f t="shared" si="421"/>
        <v>0</v>
      </c>
      <c r="BE126" s="3236">
        <f t="shared" si="422"/>
        <v>0</v>
      </c>
      <c r="BF126" s="3236">
        <f t="shared" si="423"/>
        <v>0</v>
      </c>
      <c r="BG126" s="3237"/>
      <c r="BK126" s="3235">
        <f t="shared" si="392"/>
        <v>0</v>
      </c>
      <c r="BL126" s="3236">
        <f t="shared" si="424"/>
        <v>0</v>
      </c>
      <c r="BM126" s="3236">
        <f t="shared" si="425"/>
        <v>0</v>
      </c>
      <c r="BN126" s="3236">
        <f t="shared" si="426"/>
        <v>0</v>
      </c>
      <c r="BO126" s="3237"/>
      <c r="BS126" s="3235">
        <f t="shared" si="393"/>
        <v>0</v>
      </c>
      <c r="BT126" s="3236">
        <f t="shared" si="427"/>
        <v>0</v>
      </c>
      <c r="BU126" s="3236">
        <f t="shared" si="428"/>
        <v>0</v>
      </c>
      <c r="BV126" s="3236">
        <f t="shared" si="429"/>
        <v>0</v>
      </c>
      <c r="BW126" s="3237"/>
      <c r="CA126" s="3235">
        <f t="shared" si="394"/>
        <v>0</v>
      </c>
      <c r="CB126" s="3236">
        <f t="shared" si="430"/>
        <v>0</v>
      </c>
      <c r="CC126" s="3236">
        <f t="shared" si="431"/>
        <v>0</v>
      </c>
      <c r="CD126" s="3236">
        <f t="shared" si="432"/>
        <v>0</v>
      </c>
      <c r="CE126" s="3237"/>
      <c r="CI126" s="3235">
        <f t="shared" si="395"/>
        <v>0</v>
      </c>
      <c r="CJ126" s="3236">
        <f t="shared" si="433"/>
        <v>0</v>
      </c>
      <c r="CK126" s="3236">
        <f t="shared" si="434"/>
        <v>0</v>
      </c>
      <c r="CL126" s="3236">
        <f t="shared" si="435"/>
        <v>0</v>
      </c>
      <c r="CM126" s="3237"/>
      <c r="CQ126" s="3235">
        <f t="shared" si="396"/>
        <v>0</v>
      </c>
      <c r="CR126" s="3236">
        <f t="shared" si="436"/>
        <v>0</v>
      </c>
      <c r="CS126" s="3236">
        <f t="shared" si="437"/>
        <v>0</v>
      </c>
      <c r="CT126" s="3236">
        <f t="shared" si="438"/>
        <v>0</v>
      </c>
      <c r="CU126" s="3237"/>
      <c r="CY126" s="3235">
        <f t="shared" si="397"/>
        <v>0</v>
      </c>
      <c r="CZ126" s="3236">
        <f t="shared" si="439"/>
        <v>0</v>
      </c>
      <c r="DA126" s="3236">
        <f t="shared" si="440"/>
        <v>0</v>
      </c>
      <c r="DB126" s="3236">
        <f t="shared" si="441"/>
        <v>0</v>
      </c>
      <c r="DC126" s="3237"/>
      <c r="DG126" s="3235">
        <f t="shared" si="398"/>
        <v>0</v>
      </c>
      <c r="DH126" s="3236">
        <f t="shared" si="442"/>
        <v>0</v>
      </c>
      <c r="DI126" s="3236">
        <f t="shared" si="443"/>
        <v>0</v>
      </c>
      <c r="DJ126" s="3236">
        <f t="shared" si="444"/>
        <v>0</v>
      </c>
      <c r="DK126" s="3237"/>
      <c r="DO126" s="3235">
        <f t="shared" si="399"/>
        <v>0</v>
      </c>
      <c r="DP126" s="3236">
        <f t="shared" si="445"/>
        <v>0</v>
      </c>
      <c r="DQ126" s="3236">
        <f t="shared" si="446"/>
        <v>0</v>
      </c>
      <c r="DR126" s="3236">
        <f t="shared" si="447"/>
        <v>0</v>
      </c>
      <c r="DS126" s="3237"/>
      <c r="DW126" s="3235">
        <f t="shared" si="400"/>
        <v>0</v>
      </c>
      <c r="DX126" s="3236">
        <f t="shared" si="448"/>
        <v>0</v>
      </c>
      <c r="DY126" s="3236">
        <f t="shared" si="449"/>
        <v>0</v>
      </c>
      <c r="DZ126" s="3236">
        <f t="shared" si="450"/>
        <v>0</v>
      </c>
      <c r="EA126" s="3237"/>
      <c r="EE126" s="3235">
        <f t="shared" si="401"/>
        <v>0</v>
      </c>
      <c r="EF126" s="3236">
        <f t="shared" si="451"/>
        <v>0</v>
      </c>
      <c r="EG126" s="3236">
        <f t="shared" si="452"/>
        <v>0</v>
      </c>
      <c r="EH126" s="3236">
        <f t="shared" si="453"/>
        <v>0</v>
      </c>
      <c r="EI126" s="3237"/>
      <c r="EM126" s="3235">
        <f t="shared" si="402"/>
        <v>0</v>
      </c>
      <c r="EN126" s="3236">
        <f t="shared" si="454"/>
        <v>0</v>
      </c>
      <c r="EO126" s="3236">
        <f t="shared" si="455"/>
        <v>0</v>
      </c>
      <c r="EP126" s="3236">
        <f t="shared" si="456"/>
        <v>0</v>
      </c>
      <c r="EQ126" s="3237"/>
      <c r="EU126" s="3235">
        <f t="shared" si="403"/>
        <v>0</v>
      </c>
      <c r="EV126" s="3236">
        <f t="shared" si="457"/>
        <v>0</v>
      </c>
      <c r="EW126" s="3236">
        <f t="shared" si="458"/>
        <v>0</v>
      </c>
      <c r="EX126" s="3236">
        <f t="shared" si="459"/>
        <v>0</v>
      </c>
      <c r="EY126" s="3237"/>
      <c r="FC126" s="3235">
        <f t="shared" si="404"/>
        <v>0</v>
      </c>
      <c r="FD126" s="3236">
        <f t="shared" si="460"/>
        <v>0</v>
      </c>
      <c r="FE126" s="3236">
        <f t="shared" si="461"/>
        <v>0</v>
      </c>
      <c r="FF126" s="3236">
        <f t="shared" si="462"/>
        <v>0</v>
      </c>
      <c r="FG126" s="3237"/>
      <c r="FK126" s="3235">
        <f t="shared" si="405"/>
        <v>0</v>
      </c>
      <c r="FL126" s="3236">
        <f t="shared" si="463"/>
        <v>0</v>
      </c>
      <c r="FM126" s="3236">
        <f t="shared" si="464"/>
        <v>0</v>
      </c>
      <c r="FN126" s="3236">
        <f t="shared" si="465"/>
        <v>0</v>
      </c>
      <c r="FO126" s="3237"/>
    </row>
    <row r="127" spans="1:171">
      <c r="A127" s="2092"/>
      <c r="B127" s="2290" t="s">
        <v>16</v>
      </c>
      <c r="C127" s="2464" t="s">
        <v>78</v>
      </c>
      <c r="D127" s="2464">
        <v>185</v>
      </c>
      <c r="E127" s="2424" t="str">
        <f>'Sch 1- Rate Base '!E127</f>
        <v>PTDG</v>
      </c>
      <c r="F127" s="2171"/>
      <c r="G127" s="2424">
        <f>'Sch 1- Rate Base '!G127</f>
        <v>120988.12387947456</v>
      </c>
      <c r="H127" s="2424">
        <f>'Sch 1- Rate Base '!H127</f>
        <v>42330.428638864869</v>
      </c>
      <c r="I127" s="2424">
        <f>'Sch 1- Rate Base '!I127</f>
        <v>0</v>
      </c>
      <c r="J127" s="3465">
        <f>'Sch 1- Rate Base '!J127</f>
        <v>78657.695217452958</v>
      </c>
      <c r="K127" s="3205">
        <f t="shared" si="385"/>
        <v>1</v>
      </c>
      <c r="O127" s="3235">
        <f t="shared" si="386"/>
        <v>120988.12387947456</v>
      </c>
      <c r="P127" s="3236">
        <f t="shared" si="406"/>
        <v>42330.428638864869</v>
      </c>
      <c r="Q127" s="3236">
        <f t="shared" si="407"/>
        <v>21241.309544414962</v>
      </c>
      <c r="R127" s="3236">
        <f t="shared" si="408"/>
        <v>57416.385696194731</v>
      </c>
      <c r="S127" s="3237"/>
      <c r="W127" s="3235">
        <f t="shared" si="387"/>
        <v>120988.12387947456</v>
      </c>
      <c r="X127" s="3236">
        <f t="shared" si="409"/>
        <v>42330.428638864869</v>
      </c>
      <c r="Y127" s="3236">
        <f t="shared" si="410"/>
        <v>21241.309544414962</v>
      </c>
      <c r="Z127" s="3236">
        <f t="shared" si="411"/>
        <v>57416.385696194731</v>
      </c>
      <c r="AA127" s="3237"/>
      <c r="AE127" s="3235">
        <f t="shared" si="388"/>
        <v>120988.12387947456</v>
      </c>
      <c r="AF127" s="3236">
        <f t="shared" si="412"/>
        <v>42330.428638864869</v>
      </c>
      <c r="AG127" s="3236">
        <f t="shared" si="413"/>
        <v>21241.309544414962</v>
      </c>
      <c r="AH127" s="3236">
        <f t="shared" si="414"/>
        <v>57416.385696194731</v>
      </c>
      <c r="AI127" s="3237"/>
      <c r="AM127" s="3235">
        <f t="shared" si="389"/>
        <v>120988.12387947456</v>
      </c>
      <c r="AN127" s="3236">
        <f t="shared" si="415"/>
        <v>42330.428638864869</v>
      </c>
      <c r="AO127" s="3236">
        <f t="shared" si="416"/>
        <v>21241.309544414962</v>
      </c>
      <c r="AP127" s="3236">
        <f t="shared" si="417"/>
        <v>57416.385696194731</v>
      </c>
      <c r="AQ127" s="3237"/>
      <c r="AU127" s="3235">
        <f t="shared" si="390"/>
        <v>120988.12387947456</v>
      </c>
      <c r="AV127" s="3236">
        <f t="shared" si="418"/>
        <v>42330.428638864869</v>
      </c>
      <c r="AW127" s="3236">
        <f t="shared" si="419"/>
        <v>21241.309544414962</v>
      </c>
      <c r="AX127" s="3236">
        <f t="shared" si="420"/>
        <v>57416.385696194731</v>
      </c>
      <c r="AY127" s="3237"/>
      <c r="BC127" s="3235">
        <f t="shared" si="391"/>
        <v>120988.12387947456</v>
      </c>
      <c r="BD127" s="3236">
        <f t="shared" si="421"/>
        <v>42330.428638864869</v>
      </c>
      <c r="BE127" s="3236">
        <f t="shared" si="422"/>
        <v>21241.309544414962</v>
      </c>
      <c r="BF127" s="3236">
        <f t="shared" si="423"/>
        <v>57416.385696194731</v>
      </c>
      <c r="BG127" s="3237"/>
      <c r="BK127" s="3235">
        <f t="shared" si="392"/>
        <v>120988.12387947456</v>
      </c>
      <c r="BL127" s="3236">
        <f t="shared" si="424"/>
        <v>42330.428638864869</v>
      </c>
      <c r="BM127" s="3236">
        <f t="shared" si="425"/>
        <v>21241.309544414962</v>
      </c>
      <c r="BN127" s="3236">
        <f t="shared" si="426"/>
        <v>57416.385696194731</v>
      </c>
      <c r="BO127" s="3237"/>
      <c r="BS127" s="3235">
        <f t="shared" si="393"/>
        <v>120988.12387947456</v>
      </c>
      <c r="BT127" s="3236">
        <f t="shared" si="427"/>
        <v>42330.428638864869</v>
      </c>
      <c r="BU127" s="3236">
        <f t="shared" si="428"/>
        <v>21241.309544414962</v>
      </c>
      <c r="BV127" s="3236">
        <f t="shared" si="429"/>
        <v>57416.385696194731</v>
      </c>
      <c r="BW127" s="3237"/>
      <c r="CA127" s="3235">
        <f t="shared" si="394"/>
        <v>120988.12387947456</v>
      </c>
      <c r="CB127" s="3236">
        <f t="shared" si="430"/>
        <v>42330.428638864869</v>
      </c>
      <c r="CC127" s="3236">
        <f t="shared" si="431"/>
        <v>21241.309544414962</v>
      </c>
      <c r="CD127" s="3236">
        <f t="shared" si="432"/>
        <v>57416.385696194731</v>
      </c>
      <c r="CE127" s="3237"/>
      <c r="CI127" s="3235">
        <f t="shared" si="395"/>
        <v>120988.12387947456</v>
      </c>
      <c r="CJ127" s="3236">
        <f t="shared" si="433"/>
        <v>42330.428638864869</v>
      </c>
      <c r="CK127" s="3236">
        <f t="shared" si="434"/>
        <v>21241.309544414962</v>
      </c>
      <c r="CL127" s="3236">
        <f t="shared" si="435"/>
        <v>57416.385696194731</v>
      </c>
      <c r="CM127" s="3237"/>
      <c r="CQ127" s="3235">
        <f t="shared" si="396"/>
        <v>120988.12387947456</v>
      </c>
      <c r="CR127" s="3236">
        <f t="shared" si="436"/>
        <v>42330.428638864869</v>
      </c>
      <c r="CS127" s="3236">
        <f t="shared" si="437"/>
        <v>21241.309544414962</v>
      </c>
      <c r="CT127" s="3236">
        <f t="shared" si="438"/>
        <v>57416.385696194731</v>
      </c>
      <c r="CU127" s="3237"/>
      <c r="CY127" s="3235">
        <f t="shared" si="397"/>
        <v>120988.12387947456</v>
      </c>
      <c r="CZ127" s="3236">
        <f t="shared" si="439"/>
        <v>42330.428638864869</v>
      </c>
      <c r="DA127" s="3236">
        <f t="shared" si="440"/>
        <v>21241.309544414962</v>
      </c>
      <c r="DB127" s="3236">
        <f t="shared" si="441"/>
        <v>57416.385696194731</v>
      </c>
      <c r="DC127" s="3237"/>
      <c r="DG127" s="3235">
        <f t="shared" si="398"/>
        <v>120988.12387947456</v>
      </c>
      <c r="DH127" s="3236">
        <f t="shared" si="442"/>
        <v>42330.428638864869</v>
      </c>
      <c r="DI127" s="3236">
        <f t="shared" si="443"/>
        <v>21241.309544414962</v>
      </c>
      <c r="DJ127" s="3236">
        <f t="shared" si="444"/>
        <v>57416.385696194731</v>
      </c>
      <c r="DK127" s="3237"/>
      <c r="DO127" s="3235">
        <f t="shared" si="399"/>
        <v>120988.12387947456</v>
      </c>
      <c r="DP127" s="3236">
        <f t="shared" si="445"/>
        <v>42330.428638864869</v>
      </c>
      <c r="DQ127" s="3236">
        <f t="shared" si="446"/>
        <v>21241.309544414962</v>
      </c>
      <c r="DR127" s="3236">
        <f t="shared" si="447"/>
        <v>57416.385696194731</v>
      </c>
      <c r="DS127" s="3237"/>
      <c r="DW127" s="3235">
        <f t="shared" si="400"/>
        <v>120988.12387947456</v>
      </c>
      <c r="DX127" s="3236">
        <f t="shared" si="448"/>
        <v>42330.428638864869</v>
      </c>
      <c r="DY127" s="3236">
        <f t="shared" si="449"/>
        <v>21241.309544414962</v>
      </c>
      <c r="DZ127" s="3236">
        <f t="shared" si="450"/>
        <v>57416.385696194731</v>
      </c>
      <c r="EA127" s="3237"/>
      <c r="EE127" s="3235">
        <f t="shared" si="401"/>
        <v>120988.12387947456</v>
      </c>
      <c r="EF127" s="3236">
        <f t="shared" si="451"/>
        <v>42330.428638864869</v>
      </c>
      <c r="EG127" s="3236">
        <f t="shared" si="452"/>
        <v>21241.309544414962</v>
      </c>
      <c r="EH127" s="3236">
        <f t="shared" si="453"/>
        <v>57416.385696194731</v>
      </c>
      <c r="EI127" s="3237"/>
      <c r="EM127" s="3235">
        <f t="shared" si="402"/>
        <v>120988.12387947456</v>
      </c>
      <c r="EN127" s="3236">
        <f t="shared" si="454"/>
        <v>42330.428638864869</v>
      </c>
      <c r="EO127" s="3236">
        <f t="shared" si="455"/>
        <v>21241.309544414962</v>
      </c>
      <c r="EP127" s="3236">
        <f t="shared" si="456"/>
        <v>57416.385696194731</v>
      </c>
      <c r="EQ127" s="3237"/>
      <c r="EU127" s="3235">
        <f t="shared" si="403"/>
        <v>120988.12387947456</v>
      </c>
      <c r="EV127" s="3236">
        <f t="shared" si="457"/>
        <v>42330.428638864869</v>
      </c>
      <c r="EW127" s="3236">
        <f t="shared" si="458"/>
        <v>21241.309544414962</v>
      </c>
      <c r="EX127" s="3236">
        <f t="shared" si="459"/>
        <v>57416.385696194731</v>
      </c>
      <c r="EY127" s="3237"/>
      <c r="FC127" s="3235">
        <f t="shared" si="404"/>
        <v>120988.12387947456</v>
      </c>
      <c r="FD127" s="3236">
        <f t="shared" si="460"/>
        <v>42330.428638864869</v>
      </c>
      <c r="FE127" s="3236">
        <f t="shared" si="461"/>
        <v>21241.309544414962</v>
      </c>
      <c r="FF127" s="3236">
        <f t="shared" si="462"/>
        <v>57416.385696194731</v>
      </c>
      <c r="FG127" s="3237"/>
      <c r="FK127" s="3235">
        <f t="shared" si="405"/>
        <v>120988.12387947456</v>
      </c>
      <c r="FL127" s="3236">
        <f t="shared" si="463"/>
        <v>42330.428638864869</v>
      </c>
      <c r="FM127" s="3236">
        <f t="shared" si="464"/>
        <v>21241.309544414962</v>
      </c>
      <c r="FN127" s="3236">
        <f t="shared" si="465"/>
        <v>57416.385696194731</v>
      </c>
      <c r="FO127" s="3237"/>
    </row>
    <row r="128" spans="1:171">
      <c r="A128" s="2092"/>
      <c r="B128" s="2290" t="s">
        <v>17</v>
      </c>
      <c r="C128" s="2464" t="s">
        <v>78</v>
      </c>
      <c r="D128" s="2464">
        <v>186</v>
      </c>
      <c r="E128" s="2424" t="str">
        <f>'Sch 1- Rate Base '!E128</f>
        <v>DIRECT</v>
      </c>
      <c r="F128" s="2171"/>
      <c r="G128" s="2424">
        <f>'Sch 1- Rate Base '!G128</f>
        <v>110048026.98478225</v>
      </c>
      <c r="H128" s="2424">
        <f>'Sch 1- Rate Base '!H128</f>
        <v>-94452622.49526912</v>
      </c>
      <c r="I128" s="2424">
        <f>'Sch 1- Rate Base '!I128</f>
        <v>0</v>
      </c>
      <c r="J128" s="3465">
        <f>'Sch 1- Rate Base '!J128</f>
        <v>204500649.48005137</v>
      </c>
      <c r="K128" s="3205">
        <f t="shared" si="385"/>
        <v>0</v>
      </c>
      <c r="O128" s="3235">
        <f t="shared" si="386"/>
        <v>110048026.98478225</v>
      </c>
      <c r="P128" s="3236">
        <f t="shared" si="406"/>
        <v>-94452622.49526912</v>
      </c>
      <c r="Q128" s="3236">
        <f t="shared" si="407"/>
        <v>0</v>
      </c>
      <c r="R128" s="3236">
        <f t="shared" si="408"/>
        <v>204500649.48005137</v>
      </c>
      <c r="S128" s="3237"/>
      <c r="W128" s="3235">
        <f t="shared" si="387"/>
        <v>110048026.98478225</v>
      </c>
      <c r="X128" s="3236">
        <f t="shared" si="409"/>
        <v>-94452622.49526912</v>
      </c>
      <c r="Y128" s="3236">
        <f t="shared" si="410"/>
        <v>0</v>
      </c>
      <c r="Z128" s="3236">
        <f t="shared" si="411"/>
        <v>204500649.48005137</v>
      </c>
      <c r="AA128" s="3237"/>
      <c r="AE128" s="3235">
        <f t="shared" si="388"/>
        <v>110048026.98478225</v>
      </c>
      <c r="AF128" s="3236">
        <f t="shared" si="412"/>
        <v>-94452622.49526912</v>
      </c>
      <c r="AG128" s="3236">
        <f t="shared" si="413"/>
        <v>0</v>
      </c>
      <c r="AH128" s="3236">
        <f t="shared" si="414"/>
        <v>204500649.48005137</v>
      </c>
      <c r="AI128" s="3237"/>
      <c r="AM128" s="3235">
        <f t="shared" si="389"/>
        <v>110048026.98478225</v>
      </c>
      <c r="AN128" s="3236">
        <f t="shared" si="415"/>
        <v>-94452622.49526912</v>
      </c>
      <c r="AO128" s="3236">
        <f t="shared" si="416"/>
        <v>0</v>
      </c>
      <c r="AP128" s="3236">
        <f t="shared" si="417"/>
        <v>204500649.48005137</v>
      </c>
      <c r="AQ128" s="3237"/>
      <c r="AU128" s="3235">
        <f t="shared" si="390"/>
        <v>110048026.98478225</v>
      </c>
      <c r="AV128" s="3236">
        <f t="shared" si="418"/>
        <v>-94452622.49526912</v>
      </c>
      <c r="AW128" s="3236">
        <f t="shared" si="419"/>
        <v>0</v>
      </c>
      <c r="AX128" s="3236">
        <f t="shared" si="420"/>
        <v>204500649.48005137</v>
      </c>
      <c r="AY128" s="3237"/>
      <c r="BC128" s="3235">
        <f t="shared" si="391"/>
        <v>110048026.98478225</v>
      </c>
      <c r="BD128" s="3236">
        <f t="shared" si="421"/>
        <v>-94452622.49526912</v>
      </c>
      <c r="BE128" s="3236">
        <f t="shared" si="422"/>
        <v>0</v>
      </c>
      <c r="BF128" s="3236">
        <f t="shared" si="423"/>
        <v>204500649.48005137</v>
      </c>
      <c r="BG128" s="3237"/>
      <c r="BK128" s="3235">
        <f t="shared" si="392"/>
        <v>110048026.98478225</v>
      </c>
      <c r="BL128" s="3236">
        <f t="shared" si="424"/>
        <v>-94452622.49526912</v>
      </c>
      <c r="BM128" s="3236">
        <f t="shared" si="425"/>
        <v>0</v>
      </c>
      <c r="BN128" s="3236">
        <f t="shared" si="426"/>
        <v>204500649.48005137</v>
      </c>
      <c r="BO128" s="3237"/>
      <c r="BS128" s="3235">
        <f t="shared" si="393"/>
        <v>110048026.98478225</v>
      </c>
      <c r="BT128" s="3236">
        <f t="shared" si="427"/>
        <v>-94452622.49526912</v>
      </c>
      <c r="BU128" s="3236">
        <f t="shared" si="428"/>
        <v>0</v>
      </c>
      <c r="BV128" s="3236">
        <f t="shared" si="429"/>
        <v>204500649.48005137</v>
      </c>
      <c r="BW128" s="3237"/>
      <c r="CA128" s="3235">
        <f t="shared" si="394"/>
        <v>110048026.98478225</v>
      </c>
      <c r="CB128" s="3236">
        <f t="shared" si="430"/>
        <v>-94452622.49526912</v>
      </c>
      <c r="CC128" s="3236">
        <f t="shared" si="431"/>
        <v>0</v>
      </c>
      <c r="CD128" s="3236">
        <f t="shared" si="432"/>
        <v>204500649.48005137</v>
      </c>
      <c r="CE128" s="3237"/>
      <c r="CI128" s="3235">
        <f t="shared" si="395"/>
        <v>110048026.98478225</v>
      </c>
      <c r="CJ128" s="3236">
        <f t="shared" si="433"/>
        <v>-94452622.49526912</v>
      </c>
      <c r="CK128" s="3236">
        <f t="shared" si="434"/>
        <v>0</v>
      </c>
      <c r="CL128" s="3236">
        <f t="shared" si="435"/>
        <v>204500649.48005137</v>
      </c>
      <c r="CM128" s="3237"/>
      <c r="CQ128" s="3235">
        <f t="shared" si="396"/>
        <v>110048026.98478225</v>
      </c>
      <c r="CR128" s="3236">
        <f t="shared" si="436"/>
        <v>-94452622.49526912</v>
      </c>
      <c r="CS128" s="3236">
        <f t="shared" si="437"/>
        <v>0</v>
      </c>
      <c r="CT128" s="3236">
        <f t="shared" si="438"/>
        <v>204500649.48005137</v>
      </c>
      <c r="CU128" s="3237"/>
      <c r="CY128" s="3235">
        <f t="shared" si="397"/>
        <v>110048026.98478225</v>
      </c>
      <c r="CZ128" s="3236">
        <f t="shared" si="439"/>
        <v>-94452622.49526912</v>
      </c>
      <c r="DA128" s="3236">
        <f t="shared" si="440"/>
        <v>0</v>
      </c>
      <c r="DB128" s="3236">
        <f t="shared" si="441"/>
        <v>204500649.48005137</v>
      </c>
      <c r="DC128" s="3237"/>
      <c r="DG128" s="3235">
        <f t="shared" si="398"/>
        <v>110048026.98478225</v>
      </c>
      <c r="DH128" s="3236">
        <f t="shared" si="442"/>
        <v>-94452622.49526912</v>
      </c>
      <c r="DI128" s="3236">
        <f t="shared" si="443"/>
        <v>0</v>
      </c>
      <c r="DJ128" s="3236">
        <f t="shared" si="444"/>
        <v>204500649.48005137</v>
      </c>
      <c r="DK128" s="3237"/>
      <c r="DO128" s="3235">
        <f t="shared" si="399"/>
        <v>110048026.98478225</v>
      </c>
      <c r="DP128" s="3236">
        <f t="shared" si="445"/>
        <v>-94452622.49526912</v>
      </c>
      <c r="DQ128" s="3236">
        <f t="shared" si="446"/>
        <v>0</v>
      </c>
      <c r="DR128" s="3236">
        <f t="shared" si="447"/>
        <v>204500649.48005137</v>
      </c>
      <c r="DS128" s="3237"/>
      <c r="DW128" s="3235">
        <f t="shared" si="400"/>
        <v>110048026.98478225</v>
      </c>
      <c r="DX128" s="3236">
        <f t="shared" si="448"/>
        <v>-94452622.49526912</v>
      </c>
      <c r="DY128" s="3236">
        <f t="shared" si="449"/>
        <v>0</v>
      </c>
      <c r="DZ128" s="3236">
        <f t="shared" si="450"/>
        <v>204500649.48005137</v>
      </c>
      <c r="EA128" s="3237"/>
      <c r="EE128" s="3235">
        <f t="shared" si="401"/>
        <v>110048026.98478225</v>
      </c>
      <c r="EF128" s="3236">
        <f t="shared" si="451"/>
        <v>-94452622.49526912</v>
      </c>
      <c r="EG128" s="3236">
        <f t="shared" si="452"/>
        <v>0</v>
      </c>
      <c r="EH128" s="3236">
        <f t="shared" si="453"/>
        <v>204500649.48005137</v>
      </c>
      <c r="EI128" s="3237"/>
      <c r="EM128" s="3235">
        <f t="shared" si="402"/>
        <v>110048026.98478225</v>
      </c>
      <c r="EN128" s="3236">
        <f t="shared" si="454"/>
        <v>-94452622.49526912</v>
      </c>
      <c r="EO128" s="3236">
        <f t="shared" si="455"/>
        <v>0</v>
      </c>
      <c r="EP128" s="3236">
        <f t="shared" si="456"/>
        <v>204500649.48005137</v>
      </c>
      <c r="EQ128" s="3237"/>
      <c r="EU128" s="3235">
        <f t="shared" si="403"/>
        <v>110048026.98478225</v>
      </c>
      <c r="EV128" s="3236">
        <f t="shared" si="457"/>
        <v>-94452622.49526912</v>
      </c>
      <c r="EW128" s="3236">
        <f t="shared" si="458"/>
        <v>0</v>
      </c>
      <c r="EX128" s="3236">
        <f t="shared" si="459"/>
        <v>204500649.48005137</v>
      </c>
      <c r="EY128" s="3237"/>
      <c r="FC128" s="3235">
        <f t="shared" si="404"/>
        <v>110048026.98478225</v>
      </c>
      <c r="FD128" s="3236">
        <f t="shared" si="460"/>
        <v>-94452622.49526912</v>
      </c>
      <c r="FE128" s="3236">
        <f t="shared" si="461"/>
        <v>0</v>
      </c>
      <c r="FF128" s="3236">
        <f t="shared" si="462"/>
        <v>204500649.48005137</v>
      </c>
      <c r="FG128" s="3237"/>
      <c r="FK128" s="3235">
        <f t="shared" si="405"/>
        <v>110048026.98478225</v>
      </c>
      <c r="FL128" s="3236">
        <f t="shared" si="463"/>
        <v>-94452622.49526912</v>
      </c>
      <c r="FM128" s="3236">
        <f t="shared" si="464"/>
        <v>0</v>
      </c>
      <c r="FN128" s="3236">
        <f t="shared" si="465"/>
        <v>204500649.48005137</v>
      </c>
      <c r="FO128" s="3237"/>
    </row>
    <row r="129" spans="1:171">
      <c r="A129" s="2092"/>
      <c r="B129" s="2290" t="s">
        <v>18</v>
      </c>
      <c r="C129" s="2464" t="s">
        <v>78</v>
      </c>
      <c r="D129" s="2464">
        <v>187</v>
      </c>
      <c r="E129" s="2424" t="str">
        <f>'Sch 1- Rate Base '!E129</f>
        <v>DIRECT</v>
      </c>
      <c r="F129" s="2171"/>
      <c r="G129" s="2424">
        <f>'Sch 1- Rate Base '!G129</f>
        <v>11494.21</v>
      </c>
      <c r="H129" s="2424">
        <f>'Sch 1- Rate Base '!H129</f>
        <v>0</v>
      </c>
      <c r="I129" s="2424">
        <f>'Sch 1- Rate Base '!I129</f>
        <v>0</v>
      </c>
      <c r="J129" s="3465">
        <f>'Sch 1- Rate Base '!J129</f>
        <v>11494.21</v>
      </c>
      <c r="K129" s="3205">
        <f t="shared" si="385"/>
        <v>0</v>
      </c>
      <c r="O129" s="3235">
        <f t="shared" si="386"/>
        <v>11494.21</v>
      </c>
      <c r="P129" s="3236">
        <f t="shared" si="406"/>
        <v>0</v>
      </c>
      <c r="Q129" s="3236">
        <f t="shared" si="407"/>
        <v>0</v>
      </c>
      <c r="R129" s="3236">
        <f t="shared" si="408"/>
        <v>11494.21</v>
      </c>
      <c r="S129" s="3237"/>
      <c r="W129" s="3235">
        <f t="shared" si="387"/>
        <v>11494.21</v>
      </c>
      <c r="X129" s="3236">
        <f t="shared" si="409"/>
        <v>0</v>
      </c>
      <c r="Y129" s="3236">
        <f t="shared" si="410"/>
        <v>0</v>
      </c>
      <c r="Z129" s="3236">
        <f t="shared" si="411"/>
        <v>11494.21</v>
      </c>
      <c r="AA129" s="3237"/>
      <c r="AE129" s="3235">
        <f t="shared" si="388"/>
        <v>11494.21</v>
      </c>
      <c r="AF129" s="3236">
        <f t="shared" si="412"/>
        <v>0</v>
      </c>
      <c r="AG129" s="3236">
        <f t="shared" si="413"/>
        <v>0</v>
      </c>
      <c r="AH129" s="3236">
        <f t="shared" si="414"/>
        <v>11494.21</v>
      </c>
      <c r="AI129" s="3237"/>
      <c r="AM129" s="3235">
        <f t="shared" si="389"/>
        <v>11494.21</v>
      </c>
      <c r="AN129" s="3236">
        <f t="shared" si="415"/>
        <v>0</v>
      </c>
      <c r="AO129" s="3236">
        <f t="shared" si="416"/>
        <v>0</v>
      </c>
      <c r="AP129" s="3236">
        <f t="shared" si="417"/>
        <v>11494.21</v>
      </c>
      <c r="AQ129" s="3237"/>
      <c r="AU129" s="3235">
        <f t="shared" si="390"/>
        <v>11494.21</v>
      </c>
      <c r="AV129" s="3236">
        <f t="shared" si="418"/>
        <v>0</v>
      </c>
      <c r="AW129" s="3236">
        <f t="shared" si="419"/>
        <v>0</v>
      </c>
      <c r="AX129" s="3236">
        <f t="shared" si="420"/>
        <v>11494.21</v>
      </c>
      <c r="AY129" s="3237"/>
      <c r="BC129" s="3235">
        <f t="shared" si="391"/>
        <v>11494.21</v>
      </c>
      <c r="BD129" s="3236">
        <f t="shared" si="421"/>
        <v>0</v>
      </c>
      <c r="BE129" s="3236">
        <f t="shared" si="422"/>
        <v>0</v>
      </c>
      <c r="BF129" s="3236">
        <f t="shared" si="423"/>
        <v>11494.21</v>
      </c>
      <c r="BG129" s="3237"/>
      <c r="BK129" s="3235">
        <f t="shared" si="392"/>
        <v>11494.21</v>
      </c>
      <c r="BL129" s="3236">
        <f t="shared" si="424"/>
        <v>0</v>
      </c>
      <c r="BM129" s="3236">
        <f t="shared" si="425"/>
        <v>0</v>
      </c>
      <c r="BN129" s="3236">
        <f t="shared" si="426"/>
        <v>11494.21</v>
      </c>
      <c r="BO129" s="3237"/>
      <c r="BS129" s="3235">
        <f t="shared" si="393"/>
        <v>11494.21</v>
      </c>
      <c r="BT129" s="3236">
        <f t="shared" si="427"/>
        <v>0</v>
      </c>
      <c r="BU129" s="3236">
        <f t="shared" si="428"/>
        <v>0</v>
      </c>
      <c r="BV129" s="3236">
        <f t="shared" si="429"/>
        <v>11494.21</v>
      </c>
      <c r="BW129" s="3237"/>
      <c r="CA129" s="3235">
        <f t="shared" si="394"/>
        <v>11494.21</v>
      </c>
      <c r="CB129" s="3236">
        <f t="shared" si="430"/>
        <v>0</v>
      </c>
      <c r="CC129" s="3236">
        <f t="shared" si="431"/>
        <v>0</v>
      </c>
      <c r="CD129" s="3236">
        <f t="shared" si="432"/>
        <v>11494.21</v>
      </c>
      <c r="CE129" s="3237"/>
      <c r="CI129" s="3235">
        <f t="shared" si="395"/>
        <v>11494.21</v>
      </c>
      <c r="CJ129" s="3236">
        <f t="shared" si="433"/>
        <v>0</v>
      </c>
      <c r="CK129" s="3236">
        <f t="shared" si="434"/>
        <v>0</v>
      </c>
      <c r="CL129" s="3236">
        <f t="shared" si="435"/>
        <v>11494.21</v>
      </c>
      <c r="CM129" s="3237"/>
      <c r="CQ129" s="3235">
        <f t="shared" si="396"/>
        <v>11494.21</v>
      </c>
      <c r="CR129" s="3236">
        <f t="shared" si="436"/>
        <v>0</v>
      </c>
      <c r="CS129" s="3236">
        <f t="shared" si="437"/>
        <v>0</v>
      </c>
      <c r="CT129" s="3236">
        <f t="shared" si="438"/>
        <v>11494.21</v>
      </c>
      <c r="CU129" s="3237"/>
      <c r="CY129" s="3235">
        <f t="shared" si="397"/>
        <v>11494.21</v>
      </c>
      <c r="CZ129" s="3236">
        <f t="shared" si="439"/>
        <v>0</v>
      </c>
      <c r="DA129" s="3236">
        <f t="shared" si="440"/>
        <v>0</v>
      </c>
      <c r="DB129" s="3236">
        <f t="shared" si="441"/>
        <v>11494.21</v>
      </c>
      <c r="DC129" s="3237"/>
      <c r="DG129" s="3235">
        <f t="shared" si="398"/>
        <v>11494.21</v>
      </c>
      <c r="DH129" s="3236">
        <f t="shared" si="442"/>
        <v>0</v>
      </c>
      <c r="DI129" s="3236">
        <f t="shared" si="443"/>
        <v>0</v>
      </c>
      <c r="DJ129" s="3236">
        <f t="shared" si="444"/>
        <v>11494.21</v>
      </c>
      <c r="DK129" s="3237"/>
      <c r="DO129" s="3235">
        <f t="shared" si="399"/>
        <v>11494.21</v>
      </c>
      <c r="DP129" s="3236">
        <f t="shared" si="445"/>
        <v>0</v>
      </c>
      <c r="DQ129" s="3236">
        <f t="shared" si="446"/>
        <v>0</v>
      </c>
      <c r="DR129" s="3236">
        <f t="shared" si="447"/>
        <v>11494.21</v>
      </c>
      <c r="DS129" s="3237"/>
      <c r="DW129" s="3235">
        <f t="shared" si="400"/>
        <v>11494.21</v>
      </c>
      <c r="DX129" s="3236">
        <f t="shared" si="448"/>
        <v>0</v>
      </c>
      <c r="DY129" s="3236">
        <f t="shared" si="449"/>
        <v>0</v>
      </c>
      <c r="DZ129" s="3236">
        <f t="shared" si="450"/>
        <v>11494.21</v>
      </c>
      <c r="EA129" s="3237"/>
      <c r="EE129" s="3235">
        <f t="shared" si="401"/>
        <v>11494.21</v>
      </c>
      <c r="EF129" s="3236">
        <f t="shared" si="451"/>
        <v>0</v>
      </c>
      <c r="EG129" s="3236">
        <f t="shared" si="452"/>
        <v>0</v>
      </c>
      <c r="EH129" s="3236">
        <f t="shared" si="453"/>
        <v>11494.21</v>
      </c>
      <c r="EI129" s="3237"/>
      <c r="EM129" s="3235">
        <f t="shared" si="402"/>
        <v>11494.21</v>
      </c>
      <c r="EN129" s="3236">
        <f t="shared" si="454"/>
        <v>0</v>
      </c>
      <c r="EO129" s="3236">
        <f t="shared" si="455"/>
        <v>0</v>
      </c>
      <c r="EP129" s="3236">
        <f t="shared" si="456"/>
        <v>11494.21</v>
      </c>
      <c r="EQ129" s="3237"/>
      <c r="EU129" s="3235">
        <f t="shared" si="403"/>
        <v>11494.21</v>
      </c>
      <c r="EV129" s="3236">
        <f t="shared" si="457"/>
        <v>0</v>
      </c>
      <c r="EW129" s="3236">
        <f t="shared" si="458"/>
        <v>0</v>
      </c>
      <c r="EX129" s="3236">
        <f t="shared" si="459"/>
        <v>11494.21</v>
      </c>
      <c r="EY129" s="3237"/>
      <c r="FC129" s="3235">
        <f t="shared" si="404"/>
        <v>11494.21</v>
      </c>
      <c r="FD129" s="3236">
        <f t="shared" si="460"/>
        <v>0</v>
      </c>
      <c r="FE129" s="3236">
        <f t="shared" si="461"/>
        <v>0</v>
      </c>
      <c r="FF129" s="3236">
        <f t="shared" si="462"/>
        <v>11494.21</v>
      </c>
      <c r="FG129" s="3237"/>
      <c r="FK129" s="3235">
        <f t="shared" si="405"/>
        <v>11494.21</v>
      </c>
      <c r="FL129" s="3236">
        <f t="shared" si="463"/>
        <v>0</v>
      </c>
      <c r="FM129" s="3236">
        <f t="shared" si="464"/>
        <v>0</v>
      </c>
      <c r="FN129" s="3236">
        <f t="shared" si="465"/>
        <v>11494.21</v>
      </c>
      <c r="FO129" s="3237"/>
    </row>
    <row r="130" spans="1:171">
      <c r="A130" s="2092"/>
      <c r="B130" s="2290" t="s">
        <v>19</v>
      </c>
      <c r="C130" s="2464" t="s">
        <v>78</v>
      </c>
      <c r="D130" s="2464">
        <v>188</v>
      </c>
      <c r="E130" s="2424" t="str">
        <f>'Sch 1- Rate Base '!E130</f>
        <v>DIST</v>
      </c>
      <c r="F130" s="2171"/>
      <c r="G130" s="2424">
        <f>'Sch 1- Rate Base '!G130</f>
        <v>0</v>
      </c>
      <c r="H130" s="2424">
        <f>'Sch 1- Rate Base '!H130</f>
        <v>0</v>
      </c>
      <c r="I130" s="2424">
        <f>'Sch 1- Rate Base '!I130</f>
        <v>0</v>
      </c>
      <c r="J130" s="3465">
        <f>'Sch 1- Rate Base '!J130</f>
        <v>0</v>
      </c>
      <c r="K130" s="3205">
        <f t="shared" si="385"/>
        <v>1</v>
      </c>
      <c r="O130" s="3235">
        <f t="shared" si="386"/>
        <v>0</v>
      </c>
      <c r="P130" s="3236">
        <f t="shared" si="406"/>
        <v>0</v>
      </c>
      <c r="Q130" s="3236">
        <f t="shared" si="407"/>
        <v>0</v>
      </c>
      <c r="R130" s="3236">
        <f t="shared" si="408"/>
        <v>0</v>
      </c>
      <c r="S130" s="3237"/>
      <c r="W130" s="3235">
        <f t="shared" si="387"/>
        <v>0</v>
      </c>
      <c r="X130" s="3236">
        <f t="shared" si="409"/>
        <v>0</v>
      </c>
      <c r="Y130" s="3236">
        <f t="shared" si="410"/>
        <v>0</v>
      </c>
      <c r="Z130" s="3236">
        <f t="shared" si="411"/>
        <v>0</v>
      </c>
      <c r="AA130" s="3237"/>
      <c r="AE130" s="3235">
        <f t="shared" si="388"/>
        <v>0</v>
      </c>
      <c r="AF130" s="3236">
        <f t="shared" si="412"/>
        <v>0</v>
      </c>
      <c r="AG130" s="3236">
        <f t="shared" si="413"/>
        <v>0</v>
      </c>
      <c r="AH130" s="3236">
        <f t="shared" si="414"/>
        <v>0</v>
      </c>
      <c r="AI130" s="3237"/>
      <c r="AM130" s="3235">
        <f t="shared" si="389"/>
        <v>0</v>
      </c>
      <c r="AN130" s="3236">
        <f t="shared" si="415"/>
        <v>0</v>
      </c>
      <c r="AO130" s="3236">
        <f t="shared" si="416"/>
        <v>0</v>
      </c>
      <c r="AP130" s="3236">
        <f t="shared" si="417"/>
        <v>0</v>
      </c>
      <c r="AQ130" s="3237"/>
      <c r="AU130" s="3235">
        <f t="shared" si="390"/>
        <v>0</v>
      </c>
      <c r="AV130" s="3236">
        <f t="shared" si="418"/>
        <v>0</v>
      </c>
      <c r="AW130" s="3236">
        <f t="shared" si="419"/>
        <v>0</v>
      </c>
      <c r="AX130" s="3236">
        <f t="shared" si="420"/>
        <v>0</v>
      </c>
      <c r="AY130" s="3237"/>
      <c r="BC130" s="3235">
        <f t="shared" si="391"/>
        <v>0</v>
      </c>
      <c r="BD130" s="3236">
        <f t="shared" si="421"/>
        <v>0</v>
      </c>
      <c r="BE130" s="3236">
        <f t="shared" si="422"/>
        <v>0</v>
      </c>
      <c r="BF130" s="3236">
        <f t="shared" si="423"/>
        <v>0</v>
      </c>
      <c r="BG130" s="3237"/>
      <c r="BK130" s="3235">
        <f t="shared" si="392"/>
        <v>0</v>
      </c>
      <c r="BL130" s="3236">
        <f t="shared" si="424"/>
        <v>0</v>
      </c>
      <c r="BM130" s="3236">
        <f t="shared" si="425"/>
        <v>0</v>
      </c>
      <c r="BN130" s="3236">
        <f t="shared" si="426"/>
        <v>0</v>
      </c>
      <c r="BO130" s="3237"/>
      <c r="BS130" s="3235">
        <f t="shared" si="393"/>
        <v>0</v>
      </c>
      <c r="BT130" s="3236">
        <f t="shared" si="427"/>
        <v>0</v>
      </c>
      <c r="BU130" s="3236">
        <f t="shared" si="428"/>
        <v>0</v>
      </c>
      <c r="BV130" s="3236">
        <f t="shared" si="429"/>
        <v>0</v>
      </c>
      <c r="BW130" s="3237"/>
      <c r="CA130" s="3235">
        <f t="shared" si="394"/>
        <v>0</v>
      </c>
      <c r="CB130" s="3236">
        <f t="shared" si="430"/>
        <v>0</v>
      </c>
      <c r="CC130" s="3236">
        <f t="shared" si="431"/>
        <v>0</v>
      </c>
      <c r="CD130" s="3236">
        <f t="shared" si="432"/>
        <v>0</v>
      </c>
      <c r="CE130" s="3237"/>
      <c r="CI130" s="3235">
        <f t="shared" si="395"/>
        <v>0</v>
      </c>
      <c r="CJ130" s="3236">
        <f t="shared" si="433"/>
        <v>0</v>
      </c>
      <c r="CK130" s="3236">
        <f t="shared" si="434"/>
        <v>0</v>
      </c>
      <c r="CL130" s="3236">
        <f t="shared" si="435"/>
        <v>0</v>
      </c>
      <c r="CM130" s="3237"/>
      <c r="CQ130" s="3235">
        <f t="shared" si="396"/>
        <v>0</v>
      </c>
      <c r="CR130" s="3236">
        <f t="shared" si="436"/>
        <v>0</v>
      </c>
      <c r="CS130" s="3236">
        <f t="shared" si="437"/>
        <v>0</v>
      </c>
      <c r="CT130" s="3236">
        <f t="shared" si="438"/>
        <v>0</v>
      </c>
      <c r="CU130" s="3237"/>
      <c r="CY130" s="3235">
        <f t="shared" si="397"/>
        <v>0</v>
      </c>
      <c r="CZ130" s="3236">
        <f t="shared" si="439"/>
        <v>0</v>
      </c>
      <c r="DA130" s="3236">
        <f t="shared" si="440"/>
        <v>0</v>
      </c>
      <c r="DB130" s="3236">
        <f t="shared" si="441"/>
        <v>0</v>
      </c>
      <c r="DC130" s="3237"/>
      <c r="DG130" s="3235">
        <f t="shared" si="398"/>
        <v>0</v>
      </c>
      <c r="DH130" s="3236">
        <f t="shared" si="442"/>
        <v>0</v>
      </c>
      <c r="DI130" s="3236">
        <f t="shared" si="443"/>
        <v>0</v>
      </c>
      <c r="DJ130" s="3236">
        <f t="shared" si="444"/>
        <v>0</v>
      </c>
      <c r="DK130" s="3237"/>
      <c r="DO130" s="3235">
        <f t="shared" si="399"/>
        <v>0</v>
      </c>
      <c r="DP130" s="3236">
        <f t="shared" si="445"/>
        <v>0</v>
      </c>
      <c r="DQ130" s="3236">
        <f t="shared" si="446"/>
        <v>0</v>
      </c>
      <c r="DR130" s="3236">
        <f t="shared" si="447"/>
        <v>0</v>
      </c>
      <c r="DS130" s="3237"/>
      <c r="DW130" s="3235">
        <f t="shared" si="400"/>
        <v>0</v>
      </c>
      <c r="DX130" s="3236">
        <f t="shared" si="448"/>
        <v>0</v>
      </c>
      <c r="DY130" s="3236">
        <f t="shared" si="449"/>
        <v>0</v>
      </c>
      <c r="DZ130" s="3236">
        <f t="shared" si="450"/>
        <v>0</v>
      </c>
      <c r="EA130" s="3237"/>
      <c r="EE130" s="3235">
        <f t="shared" si="401"/>
        <v>0</v>
      </c>
      <c r="EF130" s="3236">
        <f t="shared" si="451"/>
        <v>0</v>
      </c>
      <c r="EG130" s="3236">
        <f t="shared" si="452"/>
        <v>0</v>
      </c>
      <c r="EH130" s="3236">
        <f t="shared" si="453"/>
        <v>0</v>
      </c>
      <c r="EI130" s="3237"/>
      <c r="EM130" s="3235">
        <f t="shared" si="402"/>
        <v>0</v>
      </c>
      <c r="EN130" s="3236">
        <f t="shared" si="454"/>
        <v>0</v>
      </c>
      <c r="EO130" s="3236">
        <f t="shared" si="455"/>
        <v>0</v>
      </c>
      <c r="EP130" s="3236">
        <f t="shared" si="456"/>
        <v>0</v>
      </c>
      <c r="EQ130" s="3237"/>
      <c r="EU130" s="3235">
        <f t="shared" si="403"/>
        <v>0</v>
      </c>
      <c r="EV130" s="3236">
        <f t="shared" si="457"/>
        <v>0</v>
      </c>
      <c r="EW130" s="3236">
        <f t="shared" si="458"/>
        <v>0</v>
      </c>
      <c r="EX130" s="3236">
        <f t="shared" si="459"/>
        <v>0</v>
      </c>
      <c r="EY130" s="3237"/>
      <c r="FC130" s="3235">
        <f t="shared" si="404"/>
        <v>0</v>
      </c>
      <c r="FD130" s="3236">
        <f t="shared" si="460"/>
        <v>0</v>
      </c>
      <c r="FE130" s="3236">
        <f t="shared" si="461"/>
        <v>0</v>
      </c>
      <c r="FF130" s="3236">
        <f t="shared" si="462"/>
        <v>0</v>
      </c>
      <c r="FG130" s="3237"/>
      <c r="FK130" s="3235">
        <f t="shared" si="405"/>
        <v>0</v>
      </c>
      <c r="FL130" s="3236">
        <f t="shared" si="463"/>
        <v>0</v>
      </c>
      <c r="FM130" s="3236">
        <f t="shared" si="464"/>
        <v>0</v>
      </c>
      <c r="FN130" s="3236">
        <f t="shared" si="465"/>
        <v>0</v>
      </c>
      <c r="FO130" s="3237"/>
    </row>
    <row r="131" spans="1:171">
      <c r="A131" s="2092"/>
      <c r="B131" s="2290" t="s">
        <v>20</v>
      </c>
      <c r="C131" s="2464" t="s">
        <v>78</v>
      </c>
      <c r="D131" s="2464">
        <v>189</v>
      </c>
      <c r="E131" s="2424" t="str">
        <f>'Sch 1- Rate Base '!E131</f>
        <v>PTDG</v>
      </c>
      <c r="F131" s="2171"/>
      <c r="G131" s="2424">
        <f>'Sch 1- Rate Base '!G131</f>
        <v>20765305.086143192</v>
      </c>
      <c r="H131" s="2424">
        <f>'Sch 1- Rate Base '!H131</f>
        <v>7265211.1374905258</v>
      </c>
      <c r="I131" s="2424">
        <f>'Sch 1- Rate Base '!I131</f>
        <v>0</v>
      </c>
      <c r="J131" s="3465">
        <f>'Sch 1- Rate Base '!J131</f>
        <v>13500093.944678253</v>
      </c>
      <c r="K131" s="3205">
        <f t="shared" si="385"/>
        <v>1</v>
      </c>
      <c r="O131" s="3235">
        <f t="shared" si="386"/>
        <v>20765305.086143192</v>
      </c>
      <c r="P131" s="3236">
        <f t="shared" si="406"/>
        <v>7265211.1374905258</v>
      </c>
      <c r="Q131" s="3236">
        <f t="shared" si="407"/>
        <v>3645665.8635220882</v>
      </c>
      <c r="R131" s="3236">
        <f t="shared" si="408"/>
        <v>9854428.0851305779</v>
      </c>
      <c r="S131" s="3237"/>
      <c r="W131" s="3235">
        <f t="shared" si="387"/>
        <v>20765305.086143192</v>
      </c>
      <c r="X131" s="3236">
        <f t="shared" si="409"/>
        <v>7265211.1374905258</v>
      </c>
      <c r="Y131" s="3236">
        <f t="shared" si="410"/>
        <v>3645665.8635220882</v>
      </c>
      <c r="Z131" s="3236">
        <f t="shared" si="411"/>
        <v>9854428.0851305779</v>
      </c>
      <c r="AA131" s="3237"/>
      <c r="AE131" s="3235">
        <f t="shared" si="388"/>
        <v>20765305.086143192</v>
      </c>
      <c r="AF131" s="3236">
        <f t="shared" si="412"/>
        <v>7265211.1374905258</v>
      </c>
      <c r="AG131" s="3236">
        <f t="shared" si="413"/>
        <v>3645665.8635220882</v>
      </c>
      <c r="AH131" s="3236">
        <f t="shared" si="414"/>
        <v>9854428.0851305779</v>
      </c>
      <c r="AI131" s="3237"/>
      <c r="AM131" s="3235">
        <f t="shared" si="389"/>
        <v>20765305.086143192</v>
      </c>
      <c r="AN131" s="3236">
        <f t="shared" si="415"/>
        <v>7265211.1374905258</v>
      </c>
      <c r="AO131" s="3236">
        <f t="shared" si="416"/>
        <v>3645665.8635220882</v>
      </c>
      <c r="AP131" s="3236">
        <f t="shared" si="417"/>
        <v>9854428.0851305779</v>
      </c>
      <c r="AQ131" s="3237"/>
      <c r="AU131" s="3235">
        <f t="shared" si="390"/>
        <v>20765305.086143192</v>
      </c>
      <c r="AV131" s="3236">
        <f t="shared" si="418"/>
        <v>7265211.1374905258</v>
      </c>
      <c r="AW131" s="3236">
        <f t="shared" si="419"/>
        <v>3645665.8635220882</v>
      </c>
      <c r="AX131" s="3236">
        <f t="shared" si="420"/>
        <v>9854428.0851305779</v>
      </c>
      <c r="AY131" s="3237"/>
      <c r="BC131" s="3235">
        <f t="shared" si="391"/>
        <v>20765305.086143192</v>
      </c>
      <c r="BD131" s="3236">
        <f t="shared" si="421"/>
        <v>7265211.1374905258</v>
      </c>
      <c r="BE131" s="3236">
        <f t="shared" si="422"/>
        <v>3645665.8635220882</v>
      </c>
      <c r="BF131" s="3236">
        <f t="shared" si="423"/>
        <v>9854428.0851305779</v>
      </c>
      <c r="BG131" s="3237"/>
      <c r="BK131" s="3235">
        <f t="shared" si="392"/>
        <v>20765305.086143192</v>
      </c>
      <c r="BL131" s="3236">
        <f t="shared" si="424"/>
        <v>7265211.1374905258</v>
      </c>
      <c r="BM131" s="3236">
        <f t="shared" si="425"/>
        <v>3645665.8635220882</v>
      </c>
      <c r="BN131" s="3236">
        <f t="shared" si="426"/>
        <v>9854428.0851305779</v>
      </c>
      <c r="BO131" s="3237"/>
      <c r="BS131" s="3235">
        <f t="shared" si="393"/>
        <v>20765305.086143192</v>
      </c>
      <c r="BT131" s="3236">
        <f t="shared" si="427"/>
        <v>7265211.1374905258</v>
      </c>
      <c r="BU131" s="3236">
        <f t="shared" si="428"/>
        <v>3645665.8635220882</v>
      </c>
      <c r="BV131" s="3236">
        <f t="shared" si="429"/>
        <v>9854428.0851305779</v>
      </c>
      <c r="BW131" s="3237"/>
      <c r="CA131" s="3235">
        <f t="shared" si="394"/>
        <v>20765305.086143192</v>
      </c>
      <c r="CB131" s="3236">
        <f t="shared" si="430"/>
        <v>7265211.1374905258</v>
      </c>
      <c r="CC131" s="3236">
        <f t="shared" si="431"/>
        <v>3645665.8635220882</v>
      </c>
      <c r="CD131" s="3236">
        <f t="shared" si="432"/>
        <v>9854428.0851305779</v>
      </c>
      <c r="CE131" s="3237"/>
      <c r="CI131" s="3235">
        <f t="shared" si="395"/>
        <v>20765305.086143192</v>
      </c>
      <c r="CJ131" s="3236">
        <f t="shared" si="433"/>
        <v>7265211.1374905258</v>
      </c>
      <c r="CK131" s="3236">
        <f t="shared" si="434"/>
        <v>3645665.8635220882</v>
      </c>
      <c r="CL131" s="3236">
        <f t="shared" si="435"/>
        <v>9854428.0851305779</v>
      </c>
      <c r="CM131" s="3237"/>
      <c r="CQ131" s="3235">
        <f t="shared" si="396"/>
        <v>20765305.086143192</v>
      </c>
      <c r="CR131" s="3236">
        <f t="shared" si="436"/>
        <v>7265211.1374905258</v>
      </c>
      <c r="CS131" s="3236">
        <f t="shared" si="437"/>
        <v>3645665.8635220882</v>
      </c>
      <c r="CT131" s="3236">
        <f t="shared" si="438"/>
        <v>9854428.0851305779</v>
      </c>
      <c r="CU131" s="3237"/>
      <c r="CY131" s="3235">
        <f t="shared" si="397"/>
        <v>20765305.086143192</v>
      </c>
      <c r="CZ131" s="3236">
        <f t="shared" si="439"/>
        <v>7265211.1374905258</v>
      </c>
      <c r="DA131" s="3236">
        <f t="shared" si="440"/>
        <v>3645665.8635220882</v>
      </c>
      <c r="DB131" s="3236">
        <f t="shared" si="441"/>
        <v>9854428.0851305779</v>
      </c>
      <c r="DC131" s="3237"/>
      <c r="DG131" s="3235">
        <f t="shared" si="398"/>
        <v>20765305.086143192</v>
      </c>
      <c r="DH131" s="3236">
        <f t="shared" si="442"/>
        <v>7265211.1374905258</v>
      </c>
      <c r="DI131" s="3236">
        <f t="shared" si="443"/>
        <v>3645665.8635220882</v>
      </c>
      <c r="DJ131" s="3236">
        <f t="shared" si="444"/>
        <v>9854428.0851305779</v>
      </c>
      <c r="DK131" s="3237"/>
      <c r="DO131" s="3235">
        <f t="shared" si="399"/>
        <v>20765305.086143192</v>
      </c>
      <c r="DP131" s="3236">
        <f t="shared" si="445"/>
        <v>7265211.1374905258</v>
      </c>
      <c r="DQ131" s="3236">
        <f t="shared" si="446"/>
        <v>3645665.8635220882</v>
      </c>
      <c r="DR131" s="3236">
        <f t="shared" si="447"/>
        <v>9854428.0851305779</v>
      </c>
      <c r="DS131" s="3237"/>
      <c r="DW131" s="3235">
        <f t="shared" si="400"/>
        <v>20765305.086143192</v>
      </c>
      <c r="DX131" s="3236">
        <f t="shared" si="448"/>
        <v>7265211.1374905258</v>
      </c>
      <c r="DY131" s="3236">
        <f t="shared" si="449"/>
        <v>3645665.8635220882</v>
      </c>
      <c r="DZ131" s="3236">
        <f t="shared" si="450"/>
        <v>9854428.0851305779</v>
      </c>
      <c r="EA131" s="3237"/>
      <c r="EE131" s="3235">
        <f t="shared" si="401"/>
        <v>20765305.086143192</v>
      </c>
      <c r="EF131" s="3236">
        <f t="shared" si="451"/>
        <v>7265211.1374905258</v>
      </c>
      <c r="EG131" s="3236">
        <f t="shared" si="452"/>
        <v>3645665.8635220882</v>
      </c>
      <c r="EH131" s="3236">
        <f t="shared" si="453"/>
        <v>9854428.0851305779</v>
      </c>
      <c r="EI131" s="3237"/>
      <c r="EM131" s="3235">
        <f t="shared" si="402"/>
        <v>20765305.086143192</v>
      </c>
      <c r="EN131" s="3236">
        <f t="shared" si="454"/>
        <v>7265211.1374905258</v>
      </c>
      <c r="EO131" s="3236">
        <f t="shared" si="455"/>
        <v>3645665.8635220882</v>
      </c>
      <c r="EP131" s="3236">
        <f t="shared" si="456"/>
        <v>9854428.0851305779</v>
      </c>
      <c r="EQ131" s="3237"/>
      <c r="EU131" s="3235">
        <f t="shared" si="403"/>
        <v>20765305.086143192</v>
      </c>
      <c r="EV131" s="3236">
        <f t="shared" si="457"/>
        <v>7265211.1374905258</v>
      </c>
      <c r="EW131" s="3236">
        <f t="shared" si="458"/>
        <v>3645665.8635220882</v>
      </c>
      <c r="EX131" s="3236">
        <f t="shared" si="459"/>
        <v>9854428.0851305779</v>
      </c>
      <c r="EY131" s="3237"/>
      <c r="FC131" s="3235">
        <f t="shared" si="404"/>
        <v>20765305.086143192</v>
      </c>
      <c r="FD131" s="3236">
        <f t="shared" si="460"/>
        <v>7265211.1374905258</v>
      </c>
      <c r="FE131" s="3236">
        <f t="shared" si="461"/>
        <v>3645665.8635220882</v>
      </c>
      <c r="FF131" s="3236">
        <f t="shared" si="462"/>
        <v>9854428.0851305779</v>
      </c>
      <c r="FG131" s="3237"/>
      <c r="FK131" s="3235">
        <f t="shared" si="405"/>
        <v>20765305.086143192</v>
      </c>
      <c r="FL131" s="3236">
        <f t="shared" si="463"/>
        <v>7265211.1374905258</v>
      </c>
      <c r="FM131" s="3236">
        <f t="shared" si="464"/>
        <v>3645665.8635220882</v>
      </c>
      <c r="FN131" s="3236">
        <f t="shared" si="465"/>
        <v>9854428.0851305779</v>
      </c>
      <c r="FO131" s="3237"/>
    </row>
    <row r="132" spans="1:171">
      <c r="A132" s="2092"/>
      <c r="B132" s="2290" t="s">
        <v>21</v>
      </c>
      <c r="C132" s="2464" t="s">
        <v>78</v>
      </c>
      <c r="D132" s="2464">
        <v>190</v>
      </c>
      <c r="E132" s="2424" t="str">
        <f>'Sch 1- Rate Base '!E132</f>
        <v>DIST</v>
      </c>
      <c r="F132" s="2171"/>
      <c r="G132" s="2424">
        <f>'Sch 1- Rate Base '!G132</f>
        <v>232865758.83263156</v>
      </c>
      <c r="H132" s="2424">
        <f>'Sch 1- Rate Base '!H132</f>
        <v>0</v>
      </c>
      <c r="I132" s="2424">
        <f>'Sch 1- Rate Base '!I132</f>
        <v>0</v>
      </c>
      <c r="J132" s="3465">
        <f>'Sch 1- Rate Base '!J132</f>
        <v>232865758.83263156</v>
      </c>
      <c r="K132" s="3205">
        <f t="shared" si="385"/>
        <v>1</v>
      </c>
      <c r="O132" s="3235">
        <f t="shared" si="386"/>
        <v>232865758.83263156</v>
      </c>
      <c r="P132" s="3236">
        <f t="shared" si="406"/>
        <v>0</v>
      </c>
      <c r="Q132" s="3236">
        <f t="shared" si="407"/>
        <v>0</v>
      </c>
      <c r="R132" s="3236">
        <f t="shared" si="408"/>
        <v>232865758.83263156</v>
      </c>
      <c r="S132" s="3237"/>
      <c r="W132" s="3235">
        <f t="shared" si="387"/>
        <v>232865758.83263156</v>
      </c>
      <c r="X132" s="3236">
        <f t="shared" si="409"/>
        <v>0</v>
      </c>
      <c r="Y132" s="3236">
        <f t="shared" si="410"/>
        <v>0</v>
      </c>
      <c r="Z132" s="3236">
        <f t="shared" si="411"/>
        <v>232865758.83263156</v>
      </c>
      <c r="AA132" s="3237"/>
      <c r="AE132" s="3235">
        <f t="shared" si="388"/>
        <v>232865758.83263156</v>
      </c>
      <c r="AF132" s="3236">
        <f t="shared" si="412"/>
        <v>0</v>
      </c>
      <c r="AG132" s="3236">
        <f t="shared" si="413"/>
        <v>0</v>
      </c>
      <c r="AH132" s="3236">
        <f t="shared" si="414"/>
        <v>232865758.83263156</v>
      </c>
      <c r="AI132" s="3237"/>
      <c r="AM132" s="3235">
        <f t="shared" si="389"/>
        <v>232865758.83263156</v>
      </c>
      <c r="AN132" s="3236">
        <f t="shared" si="415"/>
        <v>0</v>
      </c>
      <c r="AO132" s="3236">
        <f t="shared" si="416"/>
        <v>0</v>
      </c>
      <c r="AP132" s="3236">
        <f t="shared" si="417"/>
        <v>232865758.83263156</v>
      </c>
      <c r="AQ132" s="3237"/>
      <c r="AU132" s="3235">
        <f t="shared" si="390"/>
        <v>232865758.83263156</v>
      </c>
      <c r="AV132" s="3236">
        <f t="shared" si="418"/>
        <v>0</v>
      </c>
      <c r="AW132" s="3236">
        <f t="shared" si="419"/>
        <v>0</v>
      </c>
      <c r="AX132" s="3236">
        <f t="shared" si="420"/>
        <v>232865758.83263156</v>
      </c>
      <c r="AY132" s="3237"/>
      <c r="BC132" s="3235">
        <f t="shared" si="391"/>
        <v>232865758.83263156</v>
      </c>
      <c r="BD132" s="3236">
        <f t="shared" si="421"/>
        <v>0</v>
      </c>
      <c r="BE132" s="3236">
        <f t="shared" si="422"/>
        <v>0</v>
      </c>
      <c r="BF132" s="3236">
        <f t="shared" si="423"/>
        <v>232865758.83263156</v>
      </c>
      <c r="BG132" s="3237"/>
      <c r="BK132" s="3235">
        <f t="shared" si="392"/>
        <v>232865758.83263156</v>
      </c>
      <c r="BL132" s="3236">
        <f t="shared" si="424"/>
        <v>0</v>
      </c>
      <c r="BM132" s="3236">
        <f t="shared" si="425"/>
        <v>0</v>
      </c>
      <c r="BN132" s="3236">
        <f t="shared" si="426"/>
        <v>232865758.83263156</v>
      </c>
      <c r="BO132" s="3237"/>
      <c r="BS132" s="3235">
        <f t="shared" si="393"/>
        <v>232865758.83263156</v>
      </c>
      <c r="BT132" s="3236">
        <f t="shared" si="427"/>
        <v>0</v>
      </c>
      <c r="BU132" s="3236">
        <f t="shared" si="428"/>
        <v>0</v>
      </c>
      <c r="BV132" s="3236">
        <f t="shared" si="429"/>
        <v>232865758.83263156</v>
      </c>
      <c r="BW132" s="3237"/>
      <c r="CA132" s="3235">
        <f t="shared" si="394"/>
        <v>232865758.83263156</v>
      </c>
      <c r="CB132" s="3236">
        <f t="shared" si="430"/>
        <v>0</v>
      </c>
      <c r="CC132" s="3236">
        <f t="shared" si="431"/>
        <v>0</v>
      </c>
      <c r="CD132" s="3236">
        <f t="shared" si="432"/>
        <v>232865758.83263156</v>
      </c>
      <c r="CE132" s="3237"/>
      <c r="CI132" s="3235">
        <f t="shared" si="395"/>
        <v>232865758.83263156</v>
      </c>
      <c r="CJ132" s="3236">
        <f t="shared" si="433"/>
        <v>0</v>
      </c>
      <c r="CK132" s="3236">
        <f t="shared" si="434"/>
        <v>0</v>
      </c>
      <c r="CL132" s="3236">
        <f t="shared" si="435"/>
        <v>232865758.83263156</v>
      </c>
      <c r="CM132" s="3237"/>
      <c r="CQ132" s="3235">
        <f t="shared" si="396"/>
        <v>232865758.83263156</v>
      </c>
      <c r="CR132" s="3236">
        <f t="shared" si="436"/>
        <v>0</v>
      </c>
      <c r="CS132" s="3236">
        <f t="shared" si="437"/>
        <v>0</v>
      </c>
      <c r="CT132" s="3236">
        <f t="shared" si="438"/>
        <v>232865758.83263156</v>
      </c>
      <c r="CU132" s="3237"/>
      <c r="CY132" s="3235">
        <f t="shared" si="397"/>
        <v>232865758.83263156</v>
      </c>
      <c r="CZ132" s="3236">
        <f t="shared" si="439"/>
        <v>0</v>
      </c>
      <c r="DA132" s="3236">
        <f t="shared" si="440"/>
        <v>0</v>
      </c>
      <c r="DB132" s="3236">
        <f t="shared" si="441"/>
        <v>232865758.83263156</v>
      </c>
      <c r="DC132" s="3237"/>
      <c r="DG132" s="3235">
        <f t="shared" si="398"/>
        <v>232865758.83263156</v>
      </c>
      <c r="DH132" s="3236">
        <f t="shared" si="442"/>
        <v>0</v>
      </c>
      <c r="DI132" s="3236">
        <f t="shared" si="443"/>
        <v>0</v>
      </c>
      <c r="DJ132" s="3236">
        <f t="shared" si="444"/>
        <v>232865758.83263156</v>
      </c>
      <c r="DK132" s="3237"/>
      <c r="DO132" s="3235">
        <f t="shared" si="399"/>
        <v>232865758.83263156</v>
      </c>
      <c r="DP132" s="3236">
        <f t="shared" si="445"/>
        <v>0</v>
      </c>
      <c r="DQ132" s="3236">
        <f t="shared" si="446"/>
        <v>0</v>
      </c>
      <c r="DR132" s="3236">
        <f t="shared" si="447"/>
        <v>232865758.83263156</v>
      </c>
      <c r="DS132" s="3237"/>
      <c r="DW132" s="3235">
        <f t="shared" si="400"/>
        <v>232865758.83263156</v>
      </c>
      <c r="DX132" s="3236">
        <f t="shared" si="448"/>
        <v>0</v>
      </c>
      <c r="DY132" s="3236">
        <f t="shared" si="449"/>
        <v>0</v>
      </c>
      <c r="DZ132" s="3236">
        <f t="shared" si="450"/>
        <v>232865758.83263156</v>
      </c>
      <c r="EA132" s="3237"/>
      <c r="EE132" s="3235">
        <f t="shared" si="401"/>
        <v>232865758.83263156</v>
      </c>
      <c r="EF132" s="3236">
        <f t="shared" si="451"/>
        <v>0</v>
      </c>
      <c r="EG132" s="3236">
        <f t="shared" si="452"/>
        <v>0</v>
      </c>
      <c r="EH132" s="3236">
        <f t="shared" si="453"/>
        <v>232865758.83263156</v>
      </c>
      <c r="EI132" s="3237"/>
      <c r="EM132" s="3235">
        <f t="shared" si="402"/>
        <v>232865758.83263156</v>
      </c>
      <c r="EN132" s="3236">
        <f t="shared" si="454"/>
        <v>0</v>
      </c>
      <c r="EO132" s="3236">
        <f t="shared" si="455"/>
        <v>0</v>
      </c>
      <c r="EP132" s="3236">
        <f t="shared" si="456"/>
        <v>232865758.83263156</v>
      </c>
      <c r="EQ132" s="3237"/>
      <c r="EU132" s="3235">
        <f t="shared" si="403"/>
        <v>232865758.83263156</v>
      </c>
      <c r="EV132" s="3236">
        <f t="shared" si="457"/>
        <v>0</v>
      </c>
      <c r="EW132" s="3236">
        <f t="shared" si="458"/>
        <v>0</v>
      </c>
      <c r="EX132" s="3236">
        <f t="shared" si="459"/>
        <v>232865758.83263156</v>
      </c>
      <c r="EY132" s="3237"/>
      <c r="FC132" s="3235">
        <f t="shared" si="404"/>
        <v>232865758.83263156</v>
      </c>
      <c r="FD132" s="3236">
        <f t="shared" si="460"/>
        <v>0</v>
      </c>
      <c r="FE132" s="3236">
        <f t="shared" si="461"/>
        <v>0</v>
      </c>
      <c r="FF132" s="3236">
        <f t="shared" si="462"/>
        <v>232865758.83263156</v>
      </c>
      <c r="FG132" s="3237"/>
      <c r="FK132" s="3235">
        <f t="shared" si="405"/>
        <v>232865758.83263156</v>
      </c>
      <c r="FL132" s="3236">
        <f t="shared" si="463"/>
        <v>0</v>
      </c>
      <c r="FM132" s="3236">
        <f t="shared" si="464"/>
        <v>0</v>
      </c>
      <c r="FN132" s="3236">
        <f t="shared" si="465"/>
        <v>232865758.83263156</v>
      </c>
      <c r="FO132" s="3237"/>
    </row>
    <row r="133" spans="1:171">
      <c r="A133" s="2096"/>
      <c r="B133" s="3206" t="s">
        <v>104</v>
      </c>
      <c r="C133" s="3256"/>
      <c r="D133" s="3257"/>
      <c r="E133" s="3257"/>
      <c r="F133" s="3258"/>
      <c r="G133" s="3265">
        <f>SUM(G119:G132)</f>
        <v>1067642143.6523991</v>
      </c>
      <c r="H133" s="3265">
        <f>SUM(H119:H132)</f>
        <v>225376306.96514112</v>
      </c>
      <c r="I133" s="3265">
        <f>SUM(I119:I132)</f>
        <v>0</v>
      </c>
      <c r="J133" s="3474">
        <f>SUM(J119:J132)</f>
        <v>842265836.68031883</v>
      </c>
      <c r="K133" s="3205"/>
      <c r="O133" s="3292">
        <f>SUM(O119:O132)</f>
        <v>1067642143.6523991</v>
      </c>
      <c r="P133" s="3292">
        <f>SUM(P119:P132)</f>
        <v>225376306.96514118</v>
      </c>
      <c r="Q133" s="3292">
        <f>SUM(Q119:Q132)</f>
        <v>6365268.8347530421</v>
      </c>
      <c r="R133" s="3292">
        <f>SUM(R119:R132)</f>
        <v>835900567.85250485</v>
      </c>
      <c r="S133" s="3237"/>
      <c r="W133" s="3292">
        <f>SUM(W119:W132)</f>
        <v>1067642143.6523991</v>
      </c>
      <c r="X133" s="3292">
        <f>SUM(X119:X132)</f>
        <v>225376306.96514118</v>
      </c>
      <c r="Y133" s="3292">
        <f>SUM(Y119:Y132)</f>
        <v>6365268.8347530421</v>
      </c>
      <c r="Z133" s="3292">
        <f>SUM(Z119:Z132)</f>
        <v>835900567.85250485</v>
      </c>
      <c r="AA133" s="3237"/>
      <c r="AE133" s="3292">
        <f>SUM(AE119:AE132)</f>
        <v>1067642143.6523991</v>
      </c>
      <c r="AF133" s="3292">
        <f>SUM(AF119:AF132)</f>
        <v>225376306.96514118</v>
      </c>
      <c r="AG133" s="3292">
        <f>SUM(AG119:AG132)</f>
        <v>6365268.8347530421</v>
      </c>
      <c r="AH133" s="3292">
        <f>SUM(AH119:AH132)</f>
        <v>835900567.85250485</v>
      </c>
      <c r="AI133" s="3237"/>
      <c r="AM133" s="3292">
        <f>SUM(AM119:AM132)</f>
        <v>1067642143.6523991</v>
      </c>
      <c r="AN133" s="3292">
        <f>SUM(AN119:AN132)</f>
        <v>225376306.96514118</v>
      </c>
      <c r="AO133" s="3292">
        <f>SUM(AO119:AO132)</f>
        <v>6365268.8347530421</v>
      </c>
      <c r="AP133" s="3292">
        <f>SUM(AP119:AP132)</f>
        <v>835900567.85250485</v>
      </c>
      <c r="AQ133" s="3237"/>
      <c r="AU133" s="3292">
        <f>SUM(AU119:AU132)</f>
        <v>1067642143.6523991</v>
      </c>
      <c r="AV133" s="3292">
        <f>SUM(AV119:AV132)</f>
        <v>225376306.96514118</v>
      </c>
      <c r="AW133" s="3292">
        <f>SUM(AW119:AW132)</f>
        <v>6365268.8347530421</v>
      </c>
      <c r="AX133" s="3292">
        <f>SUM(AX119:AX132)</f>
        <v>835900567.85250485</v>
      </c>
      <c r="AY133" s="3237"/>
      <c r="BC133" s="3292">
        <f>SUM(BC119:BC132)</f>
        <v>1067642143.6523991</v>
      </c>
      <c r="BD133" s="3292">
        <f>SUM(BD119:BD132)</f>
        <v>225376306.96514118</v>
      </c>
      <c r="BE133" s="3292">
        <f>SUM(BE119:BE132)</f>
        <v>6365268.8347530421</v>
      </c>
      <c r="BF133" s="3292">
        <f>SUM(BF119:BF132)</f>
        <v>835900567.85250485</v>
      </c>
      <c r="BG133" s="3237"/>
      <c r="BK133" s="3292">
        <f>SUM(BK119:BK132)</f>
        <v>1067642143.6523991</v>
      </c>
      <c r="BL133" s="3292">
        <f>SUM(BL119:BL132)</f>
        <v>225376306.96514118</v>
      </c>
      <c r="BM133" s="3292">
        <f>SUM(BM119:BM132)</f>
        <v>6365268.8347530421</v>
      </c>
      <c r="BN133" s="3292">
        <f>SUM(BN119:BN132)</f>
        <v>835900567.85250485</v>
      </c>
      <c r="BO133" s="3237"/>
      <c r="BS133" s="3292">
        <f>SUM(BS119:BS132)</f>
        <v>1067642143.6523991</v>
      </c>
      <c r="BT133" s="3292">
        <f>SUM(BT119:BT132)</f>
        <v>225376306.96514118</v>
      </c>
      <c r="BU133" s="3292">
        <f>SUM(BU119:BU132)</f>
        <v>6365268.8347530421</v>
      </c>
      <c r="BV133" s="3292">
        <f>SUM(BV119:BV132)</f>
        <v>835900567.85250485</v>
      </c>
      <c r="BW133" s="3237"/>
      <c r="CA133" s="3292">
        <f>SUM(CA119:CA132)</f>
        <v>1067642143.6523991</v>
      </c>
      <c r="CB133" s="3292">
        <f>SUM(CB119:CB132)</f>
        <v>225376306.96514118</v>
      </c>
      <c r="CC133" s="3292">
        <f>SUM(CC119:CC132)</f>
        <v>6365268.8347530421</v>
      </c>
      <c r="CD133" s="3292">
        <f>SUM(CD119:CD132)</f>
        <v>835900567.85250485</v>
      </c>
      <c r="CE133" s="3237"/>
      <c r="CI133" s="3292">
        <f>SUM(CI119:CI132)</f>
        <v>1067642143.6523991</v>
      </c>
      <c r="CJ133" s="3292">
        <f>SUM(CJ119:CJ132)</f>
        <v>225376306.96514118</v>
      </c>
      <c r="CK133" s="3292">
        <f>SUM(CK119:CK132)</f>
        <v>6365268.8347530421</v>
      </c>
      <c r="CL133" s="3292">
        <f>SUM(CL119:CL132)</f>
        <v>835900567.85250485</v>
      </c>
      <c r="CM133" s="3237"/>
      <c r="CQ133" s="3292">
        <f>SUM(CQ119:CQ132)</f>
        <v>1067642143.6523991</v>
      </c>
      <c r="CR133" s="3292">
        <f>SUM(CR119:CR132)</f>
        <v>225376306.96514118</v>
      </c>
      <c r="CS133" s="3292">
        <f>SUM(CS119:CS132)</f>
        <v>6365268.8347530421</v>
      </c>
      <c r="CT133" s="3292">
        <f>SUM(CT119:CT132)</f>
        <v>835900567.85250485</v>
      </c>
      <c r="CU133" s="3237"/>
      <c r="CY133" s="3292">
        <f>SUM(CY119:CY132)</f>
        <v>1067642143.6523991</v>
      </c>
      <c r="CZ133" s="3292">
        <f>SUM(CZ119:CZ132)</f>
        <v>225376306.96514118</v>
      </c>
      <c r="DA133" s="3292">
        <f>SUM(DA119:DA132)</f>
        <v>6365268.8347530421</v>
      </c>
      <c r="DB133" s="3292">
        <f>SUM(DB119:DB132)</f>
        <v>835900567.85250485</v>
      </c>
      <c r="DC133" s="3237"/>
      <c r="DG133" s="3292">
        <f>SUM(DG119:DG132)</f>
        <v>1067642143.6523991</v>
      </c>
      <c r="DH133" s="3292">
        <f>SUM(DH119:DH132)</f>
        <v>225376306.96514118</v>
      </c>
      <c r="DI133" s="3292">
        <f>SUM(DI119:DI132)</f>
        <v>6365268.8347530421</v>
      </c>
      <c r="DJ133" s="3292">
        <f>SUM(DJ119:DJ132)</f>
        <v>835900567.85250485</v>
      </c>
      <c r="DK133" s="3237"/>
      <c r="DO133" s="3292">
        <f>SUM(DO119:DO132)</f>
        <v>1067642143.6523991</v>
      </c>
      <c r="DP133" s="3292">
        <f>SUM(DP119:DP132)</f>
        <v>225376306.96514118</v>
      </c>
      <c r="DQ133" s="3292">
        <f>SUM(DQ119:DQ132)</f>
        <v>6365268.8347530421</v>
      </c>
      <c r="DR133" s="3292">
        <f>SUM(DR119:DR132)</f>
        <v>835900567.85250485</v>
      </c>
      <c r="DS133" s="3237"/>
      <c r="DW133" s="3292">
        <f>SUM(DW119:DW132)</f>
        <v>1067642143.6523991</v>
      </c>
      <c r="DX133" s="3292">
        <f>SUM(DX119:DX132)</f>
        <v>225376306.96514118</v>
      </c>
      <c r="DY133" s="3292">
        <f>SUM(DY119:DY132)</f>
        <v>6365268.8347530421</v>
      </c>
      <c r="DZ133" s="3292">
        <f>SUM(DZ119:DZ132)</f>
        <v>835900567.85250485</v>
      </c>
      <c r="EA133" s="3237"/>
      <c r="EE133" s="3292">
        <f>SUM(EE119:EE132)</f>
        <v>1067642143.6523991</v>
      </c>
      <c r="EF133" s="3292">
        <f>SUM(EF119:EF132)</f>
        <v>225376306.96514118</v>
      </c>
      <c r="EG133" s="3292">
        <f>SUM(EG119:EG132)</f>
        <v>6365268.8347530421</v>
      </c>
      <c r="EH133" s="3292">
        <f>SUM(EH119:EH132)</f>
        <v>835900567.85250485</v>
      </c>
      <c r="EI133" s="3237"/>
      <c r="EM133" s="3292">
        <f>SUM(EM119:EM132)</f>
        <v>1067642143.6523991</v>
      </c>
      <c r="EN133" s="3292">
        <f>SUM(EN119:EN132)</f>
        <v>225376306.96514118</v>
      </c>
      <c r="EO133" s="3292">
        <f>SUM(EO119:EO132)</f>
        <v>6365268.8347530421</v>
      </c>
      <c r="EP133" s="3292">
        <f>SUM(EP119:EP132)</f>
        <v>835900567.85250485</v>
      </c>
      <c r="EQ133" s="3237"/>
      <c r="EU133" s="3292">
        <f>SUM(EU119:EU132)</f>
        <v>1067642143.6523991</v>
      </c>
      <c r="EV133" s="3292">
        <f>SUM(EV119:EV132)</f>
        <v>225376306.96514118</v>
      </c>
      <c r="EW133" s="3292">
        <f>SUM(EW119:EW132)</f>
        <v>6365268.8347530421</v>
      </c>
      <c r="EX133" s="3292">
        <f>SUM(EX119:EX132)</f>
        <v>835900567.85250485</v>
      </c>
      <c r="EY133" s="3237"/>
      <c r="FC133" s="3292">
        <f>SUM(FC119:FC132)</f>
        <v>1067642143.6523991</v>
      </c>
      <c r="FD133" s="3292">
        <f>SUM(FD119:FD132)</f>
        <v>225376306.96514118</v>
      </c>
      <c r="FE133" s="3292">
        <f>SUM(FE119:FE132)</f>
        <v>6365268.8347530421</v>
      </c>
      <c r="FF133" s="3292">
        <f>SUM(FF119:FF132)</f>
        <v>835900567.85250485</v>
      </c>
      <c r="FG133" s="3237"/>
      <c r="FK133" s="3292">
        <f>SUM(FK119:FK132)</f>
        <v>1067642143.6523991</v>
      </c>
      <c r="FL133" s="3292">
        <f>SUM(FL119:FL132)</f>
        <v>225376306.96514118</v>
      </c>
      <c r="FM133" s="3292">
        <f>SUM(FM119:FM132)</f>
        <v>6365268.8347530421</v>
      </c>
      <c r="FN133" s="3292">
        <f>SUM(FN119:FN132)</f>
        <v>835900567.85250485</v>
      </c>
      <c r="FO133" s="3237"/>
    </row>
    <row r="134" spans="1:171">
      <c r="A134" s="3484"/>
      <c r="B134" s="2111"/>
      <c r="C134" s="3278"/>
      <c r="D134" s="2687"/>
      <c r="E134" s="2098"/>
      <c r="F134" s="2098"/>
      <c r="G134" s="2233"/>
      <c r="H134" s="2233"/>
      <c r="I134" s="2233"/>
      <c r="J134" s="2234"/>
      <c r="K134" s="3205"/>
      <c r="O134" s="2747"/>
      <c r="S134" s="3237"/>
      <c r="W134" s="2747"/>
      <c r="AA134" s="3237"/>
      <c r="AE134" s="2747"/>
      <c r="AI134" s="3237"/>
      <c r="AM134" s="2747"/>
      <c r="AQ134" s="3237"/>
      <c r="AU134" s="2747"/>
      <c r="AY134" s="3237"/>
      <c r="BC134" s="2747"/>
      <c r="BG134" s="3237"/>
      <c r="BK134" s="2747"/>
      <c r="BO134" s="3237"/>
      <c r="BS134" s="2747"/>
      <c r="BW134" s="3237"/>
      <c r="CA134" s="2747"/>
      <c r="CE134" s="3237"/>
      <c r="CI134" s="2747"/>
      <c r="CM134" s="3237"/>
      <c r="CQ134" s="2747"/>
      <c r="CU134" s="3237"/>
      <c r="CY134" s="2747"/>
      <c r="DC134" s="3237"/>
      <c r="DG134" s="2747"/>
      <c r="DK134" s="3237"/>
      <c r="DO134" s="2747"/>
      <c r="DS134" s="3237"/>
      <c r="DW134" s="2747"/>
      <c r="EA134" s="3237"/>
      <c r="EE134" s="2747"/>
      <c r="EI134" s="3237"/>
      <c r="EM134" s="2747"/>
      <c r="EQ134" s="3237"/>
      <c r="EU134" s="2747"/>
      <c r="EY134" s="3237"/>
      <c r="FC134" s="2747"/>
      <c r="FG134" s="3237"/>
      <c r="FK134" s="2747"/>
      <c r="FO134" s="3237"/>
    </row>
    <row r="135" spans="1:171">
      <c r="A135" s="3485" t="s">
        <v>74</v>
      </c>
      <c r="B135" s="2100"/>
      <c r="C135" s="3256"/>
      <c r="D135" s="3257"/>
      <c r="E135" s="3257"/>
      <c r="F135" s="3258"/>
      <c r="G135" s="3265">
        <f>+G84+G93+G100+G116+G133</f>
        <v>3543290986.8370891</v>
      </c>
      <c r="H135" s="3265">
        <f>+H84+H93+H100+H116+H133</f>
        <v>841602171.51125026</v>
      </c>
      <c r="I135" s="3265">
        <f>+I84+I93+I100+I116+I133</f>
        <v>0</v>
      </c>
      <c r="J135" s="3474">
        <f>+J84+J93+J100+J116+J133</f>
        <v>2701688815.236248</v>
      </c>
      <c r="K135" s="3205"/>
      <c r="O135" s="3296">
        <f>+O84+O93+O100+O116+O133</f>
        <v>3543290986.8370891</v>
      </c>
      <c r="P135" s="3296">
        <f>+P84+P93+P100+P116+P133</f>
        <v>841602171.51125026</v>
      </c>
      <c r="Q135" s="3296">
        <f>+Q84+Q93+Q100+Q116+Q133</f>
        <v>47368716.999697946</v>
      </c>
      <c r="R135" s="3296">
        <f>+R84+R93+R100+R116+R133</f>
        <v>2654320098.3261409</v>
      </c>
      <c r="S135" s="3237"/>
      <c r="W135" s="3296">
        <f>+W84+W93+W100+W116+W133</f>
        <v>3543290986.8370891</v>
      </c>
      <c r="X135" s="3296">
        <f>+X84+X93+X100+X116+X133</f>
        <v>841602171.51125026</v>
      </c>
      <c r="Y135" s="3296">
        <f>+Y84+Y93+Y100+Y116+Y133</f>
        <v>47368716.999697946</v>
      </c>
      <c r="Z135" s="3296">
        <f>+Z84+Z93+Z100+Z116+Z133</f>
        <v>2654320098.3261409</v>
      </c>
      <c r="AA135" s="3237"/>
      <c r="AE135" s="3296">
        <f>+AE84+AE93+AE100+AE116+AE133</f>
        <v>3543290986.8370891</v>
      </c>
      <c r="AF135" s="3296">
        <f>+AF84+AF93+AF100+AF116+AF133</f>
        <v>841602171.51125026</v>
      </c>
      <c r="AG135" s="3296">
        <f>+AG84+AG93+AG100+AG116+AG133</f>
        <v>47368716.999697946</v>
      </c>
      <c r="AH135" s="3296">
        <f>+AH84+AH93+AH100+AH116+AH133</f>
        <v>2654320098.3261409</v>
      </c>
      <c r="AI135" s="3237"/>
      <c r="AM135" s="3296">
        <f>+AM84+AM93+AM100+AM116+AM133</f>
        <v>3543290986.8370891</v>
      </c>
      <c r="AN135" s="3296">
        <f>+AN84+AN93+AN100+AN116+AN133</f>
        <v>841602171.51125026</v>
      </c>
      <c r="AO135" s="3296">
        <f>+AO84+AO93+AO100+AO116+AO133</f>
        <v>47368716.999697946</v>
      </c>
      <c r="AP135" s="3296">
        <f>+AP84+AP93+AP100+AP116+AP133</f>
        <v>2654320098.3261409</v>
      </c>
      <c r="AQ135" s="3237"/>
      <c r="AU135" s="3296">
        <f>+AU84+AU93+AU100+AU116+AU133</f>
        <v>3543290986.8370891</v>
      </c>
      <c r="AV135" s="3296">
        <f>+AV84+AV93+AV100+AV116+AV133</f>
        <v>841602171.51125026</v>
      </c>
      <c r="AW135" s="3296">
        <f>+AW84+AW93+AW100+AW116+AW133</f>
        <v>47368716.999697946</v>
      </c>
      <c r="AX135" s="3296">
        <f>+AX84+AX93+AX100+AX116+AX133</f>
        <v>2654320098.3261409</v>
      </c>
      <c r="AY135" s="3237"/>
      <c r="BC135" s="3296">
        <f>+BC84+BC93+BC100+BC116+BC133</f>
        <v>3543290986.8370891</v>
      </c>
      <c r="BD135" s="3296">
        <f>+BD84+BD93+BD100+BD116+BD133</f>
        <v>841602171.51125026</v>
      </c>
      <c r="BE135" s="3296">
        <f>+BE84+BE93+BE100+BE116+BE133</f>
        <v>47368716.999697946</v>
      </c>
      <c r="BF135" s="3296">
        <f>+BF84+BF93+BF100+BF116+BF133</f>
        <v>2654320098.3261409</v>
      </c>
      <c r="BG135" s="3237"/>
      <c r="BK135" s="3296">
        <f>+BK84+BK93+BK100+BK116+BK133</f>
        <v>3543290986.8370891</v>
      </c>
      <c r="BL135" s="3296">
        <f>+BL84+BL93+BL100+BL116+BL133</f>
        <v>841602171.51125026</v>
      </c>
      <c r="BM135" s="3296">
        <f>+BM84+BM93+BM100+BM116+BM133</f>
        <v>47368716.999697946</v>
      </c>
      <c r="BN135" s="3296">
        <f>+BN84+BN93+BN100+BN116+BN133</f>
        <v>2654320098.3261409</v>
      </c>
      <c r="BO135" s="3237"/>
      <c r="BS135" s="3296">
        <f>+BS84+BS93+BS100+BS116+BS133</f>
        <v>3543290986.8370891</v>
      </c>
      <c r="BT135" s="3296">
        <f>+BT84+BT93+BT100+BT116+BT133</f>
        <v>841602171.51125026</v>
      </c>
      <c r="BU135" s="3296">
        <f>+BU84+BU93+BU100+BU116+BU133</f>
        <v>47368716.999697946</v>
      </c>
      <c r="BV135" s="3296">
        <f>+BV84+BV93+BV100+BV116+BV133</f>
        <v>2654320098.3261409</v>
      </c>
      <c r="BW135" s="3237"/>
      <c r="CA135" s="3296">
        <f>+CA84+CA93+CA100+CA116+CA133</f>
        <v>3543290986.8370891</v>
      </c>
      <c r="CB135" s="3296">
        <f>+CB84+CB93+CB100+CB116+CB133</f>
        <v>841602171.51125026</v>
      </c>
      <c r="CC135" s="3296">
        <f>+CC84+CC93+CC100+CC116+CC133</f>
        <v>47368716.999697946</v>
      </c>
      <c r="CD135" s="3296">
        <f>+CD84+CD93+CD100+CD116+CD133</f>
        <v>2654320098.3261409</v>
      </c>
      <c r="CE135" s="3237"/>
      <c r="CI135" s="3296">
        <f>+CI84+CI93+CI100+CI116+CI133</f>
        <v>3543290986.8370891</v>
      </c>
      <c r="CJ135" s="3296">
        <f>+CJ84+CJ93+CJ100+CJ116+CJ133</f>
        <v>841602171.51125026</v>
      </c>
      <c r="CK135" s="3296">
        <f>+CK84+CK93+CK100+CK116+CK133</f>
        <v>47368716.999697946</v>
      </c>
      <c r="CL135" s="3296">
        <f>+CL84+CL93+CL100+CL116+CL133</f>
        <v>2654320098.3261409</v>
      </c>
      <c r="CM135" s="3237"/>
      <c r="CQ135" s="3296">
        <f>+CQ84+CQ93+CQ100+CQ116+CQ133</f>
        <v>3543290986.8370891</v>
      </c>
      <c r="CR135" s="3296">
        <f>+CR84+CR93+CR100+CR116+CR133</f>
        <v>841602171.51125026</v>
      </c>
      <c r="CS135" s="3296">
        <f>+CS84+CS93+CS100+CS116+CS133</f>
        <v>47368716.999697946</v>
      </c>
      <c r="CT135" s="3296">
        <f>+CT84+CT93+CT100+CT116+CT133</f>
        <v>2654320098.3261409</v>
      </c>
      <c r="CU135" s="3237"/>
      <c r="CY135" s="3296">
        <f>+CY84+CY93+CY100+CY116+CY133</f>
        <v>3543290986.8370891</v>
      </c>
      <c r="CZ135" s="3296">
        <f>+CZ84+CZ93+CZ100+CZ116+CZ133</f>
        <v>841602171.51125026</v>
      </c>
      <c r="DA135" s="3296">
        <f>+DA84+DA93+DA100+DA116+DA133</f>
        <v>47368716.999697946</v>
      </c>
      <c r="DB135" s="3296">
        <f>+DB84+DB93+DB100+DB116+DB133</f>
        <v>2654320098.3261409</v>
      </c>
      <c r="DC135" s="3237"/>
      <c r="DG135" s="3296">
        <f>+DG84+DG93+DG100+DG116+DG133</f>
        <v>3543290986.8370891</v>
      </c>
      <c r="DH135" s="3296">
        <f>+DH84+DH93+DH100+DH116+DH133</f>
        <v>841602171.51125026</v>
      </c>
      <c r="DI135" s="3296">
        <f>+DI84+DI93+DI100+DI116+DI133</f>
        <v>47368716.999697946</v>
      </c>
      <c r="DJ135" s="3296">
        <f>+DJ84+DJ93+DJ100+DJ116+DJ133</f>
        <v>2654320098.3261409</v>
      </c>
      <c r="DK135" s="3237"/>
      <c r="DO135" s="3296">
        <f>+DO84+DO93+DO100+DO116+DO133</f>
        <v>3543290986.8370891</v>
      </c>
      <c r="DP135" s="3296">
        <f>+DP84+DP93+DP100+DP116+DP133</f>
        <v>841602171.51125026</v>
      </c>
      <c r="DQ135" s="3296">
        <f>+DQ84+DQ93+DQ100+DQ116+DQ133</f>
        <v>47368716.999697946</v>
      </c>
      <c r="DR135" s="3296">
        <f>+DR84+DR93+DR100+DR116+DR133</f>
        <v>2654320098.3261409</v>
      </c>
      <c r="DS135" s="3237"/>
      <c r="DW135" s="3296">
        <f>+DW84+DW93+DW100+DW116+DW133</f>
        <v>3543290986.8370891</v>
      </c>
      <c r="DX135" s="3296">
        <f>+DX84+DX93+DX100+DX116+DX133</f>
        <v>841602171.51125026</v>
      </c>
      <c r="DY135" s="3296">
        <f>+DY84+DY93+DY100+DY116+DY133</f>
        <v>47368716.999697946</v>
      </c>
      <c r="DZ135" s="3296">
        <f>+DZ84+DZ93+DZ100+DZ116+DZ133</f>
        <v>2654320098.3261409</v>
      </c>
      <c r="EA135" s="3237"/>
      <c r="EE135" s="3296">
        <f>+EE84+EE93+EE100+EE116+EE133</f>
        <v>3543290986.8370891</v>
      </c>
      <c r="EF135" s="3296">
        <f>+EF84+EF93+EF100+EF116+EF133</f>
        <v>841602171.51125026</v>
      </c>
      <c r="EG135" s="3296">
        <f>+EG84+EG93+EG100+EG116+EG133</f>
        <v>47368716.999697946</v>
      </c>
      <c r="EH135" s="3296">
        <f>+EH84+EH93+EH100+EH116+EH133</f>
        <v>2654320098.3261409</v>
      </c>
      <c r="EI135" s="3237"/>
      <c r="EM135" s="3296">
        <f>+EM84+EM93+EM100+EM116+EM133</f>
        <v>3543290986.8370891</v>
      </c>
      <c r="EN135" s="3296">
        <f>+EN84+EN93+EN100+EN116+EN133</f>
        <v>841602171.51125026</v>
      </c>
      <c r="EO135" s="3296">
        <f>+EO84+EO93+EO100+EO116+EO133</f>
        <v>47368716.999697946</v>
      </c>
      <c r="EP135" s="3296">
        <f>+EP84+EP93+EP100+EP116+EP133</f>
        <v>2654320098.3261409</v>
      </c>
      <c r="EQ135" s="3237"/>
      <c r="EU135" s="3296">
        <f>+EU84+EU93+EU100+EU116+EU133</f>
        <v>3543290986.8370891</v>
      </c>
      <c r="EV135" s="3296">
        <f>+EV84+EV93+EV100+EV116+EV133</f>
        <v>841602171.51125026</v>
      </c>
      <c r="EW135" s="3296">
        <f>+EW84+EW93+EW100+EW116+EW133</f>
        <v>47368716.999697946</v>
      </c>
      <c r="EX135" s="3296">
        <f>+EX84+EX93+EX100+EX116+EX133</f>
        <v>2654320098.3261409</v>
      </c>
      <c r="EY135" s="3237"/>
      <c r="FC135" s="3296">
        <f>+FC84+FC93+FC100+FC116+FC133</f>
        <v>3543290986.8370891</v>
      </c>
      <c r="FD135" s="3296">
        <f>+FD84+FD93+FD100+FD116+FD133</f>
        <v>841602171.51125026</v>
      </c>
      <c r="FE135" s="3296">
        <f>+FE84+FE93+FE100+FE116+FE133</f>
        <v>47368716.999697946</v>
      </c>
      <c r="FF135" s="3296">
        <f>+FF84+FF93+FF100+FF116+FF133</f>
        <v>2654320098.3261409</v>
      </c>
      <c r="FG135" s="3237"/>
      <c r="FK135" s="3296">
        <f>+FK84+FK93+FK100+FK116+FK133</f>
        <v>3543290986.8370891</v>
      </c>
      <c r="FL135" s="3296">
        <f>+FL84+FL93+FL100+FL116+FL133</f>
        <v>841602171.51125026</v>
      </c>
      <c r="FM135" s="3296">
        <f>+FM84+FM93+FM100+FM116+FM133</f>
        <v>47368716.999697946</v>
      </c>
      <c r="FN135" s="3296">
        <f>+FN84+FN93+FN100+FN116+FN133</f>
        <v>2654320098.3261409</v>
      </c>
      <c r="FO135" s="3237"/>
    </row>
    <row r="136" spans="1:171" ht="12" thickBot="1">
      <c r="A136" s="3486"/>
      <c r="B136" s="2099"/>
      <c r="C136" s="2120"/>
      <c r="D136" s="2120"/>
      <c r="E136" s="2099"/>
      <c r="F136" s="2099"/>
      <c r="G136" s="2254"/>
      <c r="H136" s="2254"/>
      <c r="I136" s="2254"/>
      <c r="J136" s="2255"/>
      <c r="K136" s="3205"/>
      <c r="S136" s="3237"/>
      <c r="AA136" s="3237"/>
      <c r="AI136" s="3237"/>
      <c r="AQ136" s="3237"/>
      <c r="AY136" s="3237"/>
      <c r="BG136" s="3237"/>
      <c r="BO136" s="3237"/>
      <c r="BW136" s="3237"/>
      <c r="CE136" s="3237"/>
      <c r="CM136" s="3237"/>
      <c r="CU136" s="3237"/>
      <c r="DC136" s="3237"/>
      <c r="DK136" s="3237"/>
      <c r="DS136" s="3237"/>
      <c r="EA136" s="3237"/>
      <c r="EI136" s="3237"/>
      <c r="EQ136" s="3237"/>
      <c r="EY136" s="3237"/>
      <c r="FG136" s="3237"/>
      <c r="FO136" s="3237"/>
    </row>
    <row r="137" spans="1:171" ht="12" thickTop="1">
      <c r="A137" s="3487" t="s">
        <v>75</v>
      </c>
      <c r="B137" s="2100"/>
      <c r="C137" s="2116"/>
      <c r="D137" s="2098"/>
      <c r="E137" s="2098"/>
      <c r="F137" s="2098"/>
      <c r="G137" s="2182"/>
      <c r="H137" s="2182"/>
      <c r="I137" s="2182"/>
      <c r="J137" s="2183"/>
      <c r="K137" s="3205"/>
      <c r="S137" s="3237"/>
      <c r="AA137" s="3237"/>
      <c r="AI137" s="3237"/>
      <c r="AQ137" s="3237"/>
      <c r="AY137" s="3237"/>
      <c r="BG137" s="3237"/>
      <c r="BO137" s="3237"/>
      <c r="BW137" s="3237"/>
      <c r="CE137" s="3237"/>
      <c r="CM137" s="3237"/>
      <c r="CU137" s="3237"/>
      <c r="DC137" s="3237"/>
      <c r="DK137" s="3237"/>
      <c r="DS137" s="3237"/>
      <c r="EA137" s="3237"/>
      <c r="EI137" s="3237"/>
      <c r="EQ137" s="3237"/>
      <c r="EY137" s="3237"/>
      <c r="FG137" s="3237"/>
      <c r="FO137" s="3237"/>
    </row>
    <row r="138" spans="1:171">
      <c r="A138" s="2092"/>
      <c r="B138" s="3206" t="s">
        <v>433</v>
      </c>
      <c r="C138" s="2098"/>
      <c r="D138" s="3300"/>
      <c r="E138" s="2098"/>
      <c r="F138" s="2098"/>
      <c r="G138" s="2671"/>
      <c r="H138" s="2671"/>
      <c r="I138" s="2671"/>
      <c r="J138" s="3165"/>
      <c r="K138" s="3205"/>
      <c r="S138" s="3237"/>
      <c r="AA138" s="3237"/>
      <c r="AI138" s="3237"/>
      <c r="AQ138" s="3237"/>
      <c r="AY138" s="3237"/>
      <c r="BG138" s="3237"/>
      <c r="BO138" s="3237"/>
      <c r="BW138" s="3237"/>
      <c r="CE138" s="3237"/>
      <c r="CM138" s="3237"/>
      <c r="CU138" s="3237"/>
      <c r="DC138" s="3237"/>
      <c r="DK138" s="3237"/>
      <c r="DS138" s="3237"/>
      <c r="EA138" s="3237"/>
      <c r="EI138" s="3237"/>
      <c r="EQ138" s="3237"/>
      <c r="EY138" s="3237"/>
      <c r="FG138" s="3237"/>
      <c r="FO138" s="3237"/>
    </row>
    <row r="139" spans="1:171">
      <c r="A139" s="3477"/>
      <c r="B139" s="2290" t="s">
        <v>330</v>
      </c>
      <c r="C139" s="2464" t="s">
        <v>81</v>
      </c>
      <c r="D139" s="2464">
        <v>244</v>
      </c>
      <c r="E139" s="2424" t="str">
        <f>'Sch 1- Rate Base '!E139</f>
        <v>DIST</v>
      </c>
      <c r="F139" s="2171"/>
      <c r="G139" s="2424">
        <f>'Sch 1- Rate Base '!G139</f>
        <v>126938815.89</v>
      </c>
      <c r="H139" s="2424">
        <f>'Sch 1- Rate Base '!H139</f>
        <v>0</v>
      </c>
      <c r="I139" s="2424">
        <f>'Sch 1- Rate Base '!I139</f>
        <v>0</v>
      </c>
      <c r="J139" s="3465">
        <f>'Sch 1- Rate Base '!J139</f>
        <v>126938815.89</v>
      </c>
      <c r="K139" s="3205">
        <f>IF($E139="DIRECT",0,1)</f>
        <v>1</v>
      </c>
      <c r="O139" s="3235">
        <f>$G139</f>
        <v>126938815.89</v>
      </c>
      <c r="P139" s="3236">
        <f>VLOOKUP($E139,O$442:R$453,2,FALSE)*O139*($K139)+IF($G139&lt;&gt;0,($H139/$G139)*O139,0)*(1-$K139)</f>
        <v>0</v>
      </c>
      <c r="Q139" s="3236">
        <f>VLOOKUP($E139,O$442:R$453,3,FALSE)*O139*($K139)+IF($G139&lt;&gt;0,($I139/$G139)*O139,0)*(1-$K139)</f>
        <v>0</v>
      </c>
      <c r="R139" s="3236">
        <f>VLOOKUP($E139,O$442:R$453,4,FALSE)*O139*($K139)+(O139-P139-Q139)*(1-$K139)</f>
        <v>126938815.89</v>
      </c>
      <c r="S139" s="3237"/>
      <c r="W139" s="3235">
        <f>$G139</f>
        <v>126938815.89</v>
      </c>
      <c r="X139" s="3236">
        <f>VLOOKUP($E139,W$442:Z$453,2,FALSE)*W139*($K139)+IF($G139&lt;&gt;0,($H139/$G139)*W139,0)*(1-$K139)</f>
        <v>0</v>
      </c>
      <c r="Y139" s="3236">
        <f>VLOOKUP($E139,W$442:Z$453,3,FALSE)*W139*($K139)+IF($G139&lt;&gt;0,($I139/$G139)*W139,0)*(1-$K139)</f>
        <v>0</v>
      </c>
      <c r="Z139" s="3236">
        <f>VLOOKUP($E139,W$442:Z$453,4,FALSE)*W139*($K139)+(W139-X139-Y139)*(1-$K139)</f>
        <v>126938815.89</v>
      </c>
      <c r="AA139" s="3237"/>
      <c r="AE139" s="3235">
        <f>$G139</f>
        <v>126938815.89</v>
      </c>
      <c r="AF139" s="3236">
        <f>VLOOKUP($E139,AE$442:AH$453,2,FALSE)*AE139*($K139)+IF($G139&lt;&gt;0,($H139/$G139)*AE139,0)*(1-$K139)</f>
        <v>0</v>
      </c>
      <c r="AG139" s="3236">
        <f>VLOOKUP($E139,AE$442:AH$453,3,FALSE)*AE139*($K139)+IF($G139&lt;&gt;0,($I139/$G139)*AE139,0)*(1-$K139)</f>
        <v>0</v>
      </c>
      <c r="AH139" s="3236">
        <f>VLOOKUP($E139,AE$442:AH$453,4,FALSE)*AE139*($K139)+(AE139-AF139-AG139)*(1-$K139)</f>
        <v>126938815.89</v>
      </c>
      <c r="AI139" s="3237"/>
      <c r="AM139" s="3235">
        <f>$G139</f>
        <v>126938815.89</v>
      </c>
      <c r="AN139" s="3236">
        <f>VLOOKUP($E139,AM$442:AP$453,2,FALSE)*AM139*($K139)+IF($G139&lt;&gt;0,($H139/$G139)*AM139,0)*(1-$K139)</f>
        <v>0</v>
      </c>
      <c r="AO139" s="3236">
        <f>VLOOKUP($E139,AM$442:AP$453,3,FALSE)*AM139*($K139)+IF($G139&lt;&gt;0,($I139/$G139)*AM139,0)*(1-$K139)</f>
        <v>0</v>
      </c>
      <c r="AP139" s="3236">
        <f>VLOOKUP($E139,AM$442:AP$453,4,FALSE)*AM139*($K139)+(AM139-AN139-AO139)*(1-$K139)</f>
        <v>126938815.89</v>
      </c>
      <c r="AQ139" s="3237"/>
      <c r="AU139" s="3235">
        <f>$G139</f>
        <v>126938815.89</v>
      </c>
      <c r="AV139" s="3236">
        <f>VLOOKUP($E139,AU$442:AX$453,2,FALSE)*AU139*($K139)+IF($G139&lt;&gt;0,($H139/$G139)*AU139,0)*(1-$K139)</f>
        <v>0</v>
      </c>
      <c r="AW139" s="3236">
        <f>VLOOKUP($E139,AU$442:AX$453,3,FALSE)*AU139*($K139)+IF($G139&lt;&gt;0,($I139/$G139)*AU139,0)*(1-$K139)</f>
        <v>0</v>
      </c>
      <c r="AX139" s="3236">
        <f>VLOOKUP($E139,AU$442:AX$453,4,FALSE)*AU139*($K139)+(AU139-AV139-AW139)*(1-$K139)</f>
        <v>126938815.89</v>
      </c>
      <c r="AY139" s="3237"/>
      <c r="BC139" s="3235">
        <f>$G139</f>
        <v>126938815.89</v>
      </c>
      <c r="BD139" s="3236">
        <f>VLOOKUP($E139,BC$442:BF$453,2,FALSE)*BC139*($K139)+IF($G139&lt;&gt;0,($H139/$G139)*BC139,0)*(1-$K139)</f>
        <v>0</v>
      </c>
      <c r="BE139" s="3236">
        <f>VLOOKUP($E139,BC$442:BF$453,3,FALSE)*BC139*($K139)+IF($G139&lt;&gt;0,($I139/$G139)*BC139,0)*(1-$K139)</f>
        <v>0</v>
      </c>
      <c r="BF139" s="3236">
        <f>VLOOKUP($E139,BC$442:BF$453,4,FALSE)*BC139*($K139)+(BC139-BD139-BE139)*(1-$K139)</f>
        <v>126938815.89</v>
      </c>
      <c r="BG139" s="3237"/>
      <c r="BK139" s="3235">
        <f>$G139</f>
        <v>126938815.89</v>
      </c>
      <c r="BL139" s="3236">
        <f>VLOOKUP($E139,BK$442:BN$453,2,FALSE)*BK139*($K139)+IF($G139&lt;&gt;0,($H139/$G139)*BK139,0)*(1-$K139)</f>
        <v>0</v>
      </c>
      <c r="BM139" s="3236">
        <f>VLOOKUP($E139,BK$442:BN$453,3,FALSE)*BK139*($K139)+IF($G139&lt;&gt;0,($I139/$G139)*BK139,0)*(1-$K139)</f>
        <v>0</v>
      </c>
      <c r="BN139" s="3236">
        <f>VLOOKUP($E139,BK$442:BN$453,4,FALSE)*BK139*($K139)+(BK139-BL139-BM139)*(1-$K139)</f>
        <v>126938815.89</v>
      </c>
      <c r="BO139" s="3237"/>
      <c r="BS139" s="3235">
        <f>$G139</f>
        <v>126938815.89</v>
      </c>
      <c r="BT139" s="3236">
        <f>VLOOKUP($E139,BS$442:BV$453,2,FALSE)*BS139*($K139)+IF($G139&lt;&gt;0,($H139/$G139)*BS139,0)*(1-$K139)</f>
        <v>0</v>
      </c>
      <c r="BU139" s="3236">
        <f>VLOOKUP($E139,BS$442:BV$453,3,FALSE)*BS139*($K139)+IF($G139&lt;&gt;0,($I139/$G139)*BS139,0)*(1-$K139)</f>
        <v>0</v>
      </c>
      <c r="BV139" s="3236">
        <f>VLOOKUP($E139,BS$442:BV$453,4,FALSE)*BS139*($K139)+(BS139-BT139-BU139)*(1-$K139)</f>
        <v>126938815.89</v>
      </c>
      <c r="BW139" s="3237"/>
      <c r="CA139" s="3235">
        <f>$G139</f>
        <v>126938815.89</v>
      </c>
      <c r="CB139" s="3236">
        <f>VLOOKUP($E139,CA$442:CD$453,2,FALSE)*CA139*($K139)+IF($G139&lt;&gt;0,($H139/$G139)*CA139,0)*(1-$K139)</f>
        <v>0</v>
      </c>
      <c r="CC139" s="3236">
        <f>VLOOKUP($E139,CA$442:CD$453,3,FALSE)*CA139*($K139)+IF($G139&lt;&gt;0,($I139/$G139)*CA139,0)*(1-$K139)</f>
        <v>0</v>
      </c>
      <c r="CD139" s="3236">
        <f>VLOOKUP($E139,CA$442:CD$453,4,FALSE)*CA139*($K139)+(CA139-CB139-CC139)*(1-$K139)</f>
        <v>126938815.89</v>
      </c>
      <c r="CE139" s="3237"/>
      <c r="CI139" s="3235">
        <f>$G139</f>
        <v>126938815.89</v>
      </c>
      <c r="CJ139" s="3236">
        <f>VLOOKUP($E139,CI$442:CL$453,2,FALSE)*CI139*($K139)+IF($G139&lt;&gt;0,($H139/$G139)*CI139,0)*(1-$K139)</f>
        <v>0</v>
      </c>
      <c r="CK139" s="3236">
        <f>VLOOKUP($E139,CI$442:CL$453,3,FALSE)*CI139*($K139)+IF($G139&lt;&gt;0,($I139/$G139)*CI139,0)*(1-$K139)</f>
        <v>0</v>
      </c>
      <c r="CL139" s="3236">
        <f>VLOOKUP($E139,CI$442:CL$453,4,FALSE)*CI139*($K139)+(CI139-CJ139-CK139)*(1-$K139)</f>
        <v>126938815.89</v>
      </c>
      <c r="CM139" s="3237"/>
      <c r="CQ139" s="3235">
        <f>$G139</f>
        <v>126938815.89</v>
      </c>
      <c r="CR139" s="3236">
        <f>VLOOKUP($E139,CQ$442:CT$453,2,FALSE)*CQ139*($K139)+IF($G139&lt;&gt;0,($H139/$G139)*CQ139,0)*(1-$K139)</f>
        <v>0</v>
      </c>
      <c r="CS139" s="3236">
        <f>VLOOKUP($E139,CQ$442:CT$453,3,FALSE)*CQ139*($K139)+IF($G139&lt;&gt;0,($I139/$G139)*CQ139,0)*(1-$K139)</f>
        <v>0</v>
      </c>
      <c r="CT139" s="3236">
        <f>VLOOKUP($E139,CQ$442:CT$453,4,FALSE)*CQ139*($K139)+(CQ139-CR139-CS139)*(1-$K139)</f>
        <v>126938815.89</v>
      </c>
      <c r="CU139" s="3237"/>
      <c r="CY139" s="3235">
        <f>$G139</f>
        <v>126938815.89</v>
      </c>
      <c r="CZ139" s="3236">
        <f>VLOOKUP($E139,CY$442:DB$453,2,FALSE)*CY139*($K139)+IF($G139&lt;&gt;0,($H139/$G139)*CY139,0)*(1-$K139)</f>
        <v>0</v>
      </c>
      <c r="DA139" s="3236">
        <f>VLOOKUP($E139,CY$442:DB$453,3,FALSE)*CY139*($K139)+IF($G139&lt;&gt;0,($I139/$G139)*CY139,0)*(1-$K139)</f>
        <v>0</v>
      </c>
      <c r="DB139" s="3236">
        <f>VLOOKUP($E139,CY$442:DB$453,4,FALSE)*CY139*($K139)+(CY139-CZ139-DA139)*(1-$K139)</f>
        <v>126938815.89</v>
      </c>
      <c r="DC139" s="3237"/>
      <c r="DG139" s="3235">
        <f>$G139</f>
        <v>126938815.89</v>
      </c>
      <c r="DH139" s="3236">
        <f>VLOOKUP($E139,DG$442:DJ$453,2,FALSE)*DG139*($K139)+IF($G139&lt;&gt;0,($H139/$G139)*DG139,0)*(1-$K139)</f>
        <v>0</v>
      </c>
      <c r="DI139" s="3236">
        <f>VLOOKUP($E139,DG$442:DJ$453,3,FALSE)*DG139*($K139)+IF($G139&lt;&gt;0,($I139/$G139)*DG139,0)*(1-$K139)</f>
        <v>0</v>
      </c>
      <c r="DJ139" s="3236">
        <f>VLOOKUP($E139,DG$442:DJ$453,4,FALSE)*DG139*($K139)+(DG139-DH139-DI139)*(1-$K139)</f>
        <v>126938815.89</v>
      </c>
      <c r="DK139" s="3237"/>
      <c r="DO139" s="3235">
        <f>$G139</f>
        <v>126938815.89</v>
      </c>
      <c r="DP139" s="3236">
        <f>VLOOKUP($E139,DO$442:DR$453,2,FALSE)*DO139*($K139)+IF($G139&lt;&gt;0,($H139/$G139)*DO139,0)*(1-$K139)</f>
        <v>0</v>
      </c>
      <c r="DQ139" s="3236">
        <f>VLOOKUP($E139,DO$442:DR$453,3,FALSE)*DO139*($K139)+IF($G139&lt;&gt;0,($I139/$G139)*DO139,0)*(1-$K139)</f>
        <v>0</v>
      </c>
      <c r="DR139" s="3236">
        <f>VLOOKUP($E139,DO$442:DR$453,4,FALSE)*DO139*($K139)+(DO139-DP139-DQ139)*(1-$K139)</f>
        <v>126938815.89</v>
      </c>
      <c r="DS139" s="3237"/>
      <c r="DW139" s="3235">
        <f>$G139</f>
        <v>126938815.89</v>
      </c>
      <c r="DX139" s="3236">
        <f>VLOOKUP($E139,DW$442:DZ$453,2,FALSE)*DW139*($K139)+IF($G139&lt;&gt;0,($H139/$G139)*DW139,0)*(1-$K139)</f>
        <v>0</v>
      </c>
      <c r="DY139" s="3236">
        <f>VLOOKUP($E139,DW$442:DZ$453,3,FALSE)*DW139*($K139)+IF($G139&lt;&gt;0,($I139/$G139)*DW139,0)*(1-$K139)</f>
        <v>0</v>
      </c>
      <c r="DZ139" s="3236">
        <f>VLOOKUP($E139,DW$442:DZ$453,4,FALSE)*DW139*($K139)+(DW139-DX139-DY139)*(1-$K139)</f>
        <v>126938815.89</v>
      </c>
      <c r="EA139" s="3237"/>
      <c r="EE139" s="3235">
        <f>$G139</f>
        <v>126938815.89</v>
      </c>
      <c r="EF139" s="3236">
        <f>VLOOKUP($E139,EE$442:EH$453,2,FALSE)*EE139*($K139)+IF($G139&lt;&gt;0,($H139/$G139)*EE139,0)*(1-$K139)</f>
        <v>0</v>
      </c>
      <c r="EG139" s="3236">
        <f>VLOOKUP($E139,EE$442:EH$453,3,FALSE)*EE139*($K139)+IF($G139&lt;&gt;0,($I139/$G139)*EE139,0)*(1-$K139)</f>
        <v>0</v>
      </c>
      <c r="EH139" s="3236">
        <f>VLOOKUP($E139,EE$442:EH$453,4,FALSE)*EE139*($K139)+(EE139-EF139-EG139)*(1-$K139)</f>
        <v>126938815.89</v>
      </c>
      <c r="EI139" s="3237"/>
      <c r="EM139" s="3235">
        <f>$G139</f>
        <v>126938815.89</v>
      </c>
      <c r="EN139" s="3236">
        <f>VLOOKUP($E139,EM$442:EP$453,2,FALSE)*EM139*($K139)+IF($G139&lt;&gt;0,($H139/$G139)*EM139,0)*(1-$K139)</f>
        <v>0</v>
      </c>
      <c r="EO139" s="3236">
        <f>VLOOKUP($E139,EM$442:EP$453,3,FALSE)*EM139*($K139)+IF($G139&lt;&gt;0,($I139/$G139)*EM139,0)*(1-$K139)</f>
        <v>0</v>
      </c>
      <c r="EP139" s="3236">
        <f>VLOOKUP($E139,EM$442:EP$453,4,FALSE)*EM139*($K139)+(EM139-EN139-EO139)*(1-$K139)</f>
        <v>126938815.89</v>
      </c>
      <c r="EQ139" s="3237"/>
      <c r="EU139" s="3235">
        <f>$G139</f>
        <v>126938815.89</v>
      </c>
      <c r="EV139" s="3236">
        <f>VLOOKUP($E139,EU$442:EX$453,2,FALSE)*EU139*($K139)+IF($G139&lt;&gt;0,($H139/$G139)*EU139,0)*(1-$K139)</f>
        <v>0</v>
      </c>
      <c r="EW139" s="3236">
        <f>VLOOKUP($E139,EU$442:EX$453,3,FALSE)*EU139*($K139)+IF($G139&lt;&gt;0,($I139/$G139)*EU139,0)*(1-$K139)</f>
        <v>0</v>
      </c>
      <c r="EX139" s="3236">
        <f>VLOOKUP($E139,EU$442:EX$453,4,FALSE)*EU139*($K139)+(EU139-EV139-EW139)*(1-$K139)</f>
        <v>126938815.89</v>
      </c>
      <c r="EY139" s="3237"/>
      <c r="FC139" s="3235">
        <f>$G139</f>
        <v>126938815.89</v>
      </c>
      <c r="FD139" s="3236">
        <f>VLOOKUP($E139,FC$442:FF$453,2,FALSE)*FC139*($K139)+IF($G139&lt;&gt;0,($H139/$G139)*FC139,0)*(1-$K139)</f>
        <v>0</v>
      </c>
      <c r="FE139" s="3236">
        <f>VLOOKUP($E139,FC$442:FF$453,3,FALSE)*FC139*($K139)+IF($G139&lt;&gt;0,($I139/$G139)*FC139,0)*(1-$K139)</f>
        <v>0</v>
      </c>
      <c r="FF139" s="3236">
        <f>VLOOKUP($E139,FC$442:FF$453,4,FALSE)*FC139*($K139)+(FC139-FD139-FE139)*(1-$K139)</f>
        <v>126938815.89</v>
      </c>
      <c r="FG139" s="3237"/>
      <c r="FK139" s="3235">
        <f>$G139</f>
        <v>126938815.89</v>
      </c>
      <c r="FL139" s="3236">
        <f>VLOOKUP($E139,FK$442:FN$453,2,FALSE)*FK139*($K139)+IF($G139&lt;&gt;0,($H139/$G139)*FK139,0)*(1-$K139)</f>
        <v>0</v>
      </c>
      <c r="FM139" s="3236">
        <f>VLOOKUP($E139,FK$442:FN$453,3,FALSE)*FK139*($K139)+IF($G139&lt;&gt;0,($I139/$G139)*FK139,0)*(1-$K139)</f>
        <v>0</v>
      </c>
      <c r="FN139" s="3236">
        <f>VLOOKUP($E139,FK$442:FN$453,4,FALSE)*FK139*($K139)+(FK139-FL139-FM139)*(1-$K139)</f>
        <v>126938815.89</v>
      </c>
      <c r="FO139" s="3237"/>
    </row>
    <row r="140" spans="1:171">
      <c r="A140" s="3477"/>
      <c r="B140" s="3301" t="s">
        <v>615</v>
      </c>
      <c r="C140" s="2464" t="s">
        <v>346</v>
      </c>
      <c r="D140" s="2464">
        <v>244</v>
      </c>
      <c r="E140" s="2424" t="str">
        <f>'Sch 1- Rate Base '!E140</f>
        <v>DIST</v>
      </c>
      <c r="F140" s="2171"/>
      <c r="G140" s="2424">
        <f>'Sch 1- Rate Base '!G140</f>
        <v>19744163.190000001</v>
      </c>
      <c r="H140" s="2424">
        <f>'Sch 1- Rate Base '!H140</f>
        <v>0</v>
      </c>
      <c r="I140" s="2424">
        <f>'Sch 1- Rate Base '!I140</f>
        <v>0</v>
      </c>
      <c r="J140" s="3465">
        <f>'Sch 1- Rate Base '!J140</f>
        <v>19744163.190000001</v>
      </c>
      <c r="K140" s="3205">
        <f>IF($E140="DIRECT",0,1)</f>
        <v>1</v>
      </c>
      <c r="O140" s="3235">
        <f>$G140</f>
        <v>19744163.190000001</v>
      </c>
      <c r="P140" s="3236">
        <f>VLOOKUP($E140,O$442:R$453,2,FALSE)*O140*($K140)+IF($G140&lt;&gt;0,($H140/$G140)*O140,0)*(1-$K140)</f>
        <v>0</v>
      </c>
      <c r="Q140" s="3236">
        <f>VLOOKUP($E140,O$442:R$453,3,FALSE)*O140*($K140)+IF($G140&lt;&gt;0,($I140/$G140)*O140,0)*(1-$K140)</f>
        <v>0</v>
      </c>
      <c r="R140" s="3236">
        <f>VLOOKUP($E140,O$442:R$453,4,FALSE)*O140*($K140)+(O140-P140-Q140)*(1-$K140)</f>
        <v>19744163.190000001</v>
      </c>
      <c r="S140" s="3237"/>
      <c r="W140" s="3235">
        <f>$G140</f>
        <v>19744163.190000001</v>
      </c>
      <c r="X140" s="3236">
        <f>VLOOKUP($E140,W$442:Z$453,2,FALSE)*W140*($K140)+IF($G140&lt;&gt;0,($H140/$G140)*W140,0)*(1-$K140)</f>
        <v>0</v>
      </c>
      <c r="Y140" s="3236">
        <f>VLOOKUP($E140,W$442:Z$453,3,FALSE)*W140*($K140)+IF($G140&lt;&gt;0,($I140/$G140)*W140,0)*(1-$K140)</f>
        <v>0</v>
      </c>
      <c r="Z140" s="3236">
        <f>VLOOKUP($E140,W$442:Z$453,4,FALSE)*W140*($K140)+(W140-X140-Y140)*(1-$K140)</f>
        <v>19744163.190000001</v>
      </c>
      <c r="AA140" s="3237"/>
      <c r="AE140" s="3235">
        <f>$G140</f>
        <v>19744163.190000001</v>
      </c>
      <c r="AF140" s="3236">
        <f>VLOOKUP($E140,AE$442:AH$453,2,FALSE)*AE140*($K140)+IF($G140&lt;&gt;0,($H140/$G140)*AE140,0)*(1-$K140)</f>
        <v>0</v>
      </c>
      <c r="AG140" s="3236">
        <f>VLOOKUP($E140,AE$442:AH$453,3,FALSE)*AE140*($K140)+IF($G140&lt;&gt;0,($I140/$G140)*AE140,0)*(1-$K140)</f>
        <v>0</v>
      </c>
      <c r="AH140" s="3236">
        <f>VLOOKUP($E140,AE$442:AH$453,4,FALSE)*AE140*($K140)+(AE140-AF140-AG140)*(1-$K140)</f>
        <v>19744163.190000001</v>
      </c>
      <c r="AI140" s="3237"/>
      <c r="AM140" s="3235">
        <f>$G140</f>
        <v>19744163.190000001</v>
      </c>
      <c r="AN140" s="3236">
        <f>VLOOKUP($E140,AM$442:AP$453,2,FALSE)*AM140*($K140)+IF($G140&lt;&gt;0,($H140/$G140)*AM140,0)*(1-$K140)</f>
        <v>0</v>
      </c>
      <c r="AO140" s="3236">
        <f>VLOOKUP($E140,AM$442:AP$453,3,FALSE)*AM140*($K140)+IF($G140&lt;&gt;0,($I140/$G140)*AM140,0)*(1-$K140)</f>
        <v>0</v>
      </c>
      <c r="AP140" s="3236">
        <f>VLOOKUP($E140,AM$442:AP$453,4,FALSE)*AM140*($K140)+(AM140-AN140-AO140)*(1-$K140)</f>
        <v>19744163.190000001</v>
      </c>
      <c r="AQ140" s="3237"/>
      <c r="AU140" s="3235">
        <f>$G140</f>
        <v>19744163.190000001</v>
      </c>
      <c r="AV140" s="3236">
        <f>VLOOKUP($E140,AU$442:AX$453,2,FALSE)*AU140*($K140)+IF($G140&lt;&gt;0,($H140/$G140)*AU140,0)*(1-$K140)</f>
        <v>0</v>
      </c>
      <c r="AW140" s="3236">
        <f>VLOOKUP($E140,AU$442:AX$453,3,FALSE)*AU140*($K140)+IF($G140&lt;&gt;0,($I140/$G140)*AU140,0)*(1-$K140)</f>
        <v>0</v>
      </c>
      <c r="AX140" s="3236">
        <f>VLOOKUP($E140,AU$442:AX$453,4,FALSE)*AU140*($K140)+(AU140-AV140-AW140)*(1-$K140)</f>
        <v>19744163.190000001</v>
      </c>
      <c r="AY140" s="3237"/>
      <c r="BC140" s="3235">
        <f>$G140</f>
        <v>19744163.190000001</v>
      </c>
      <c r="BD140" s="3236">
        <f>VLOOKUP($E140,BC$442:BF$453,2,FALSE)*BC140*($K140)+IF($G140&lt;&gt;0,($H140/$G140)*BC140,0)*(1-$K140)</f>
        <v>0</v>
      </c>
      <c r="BE140" s="3236">
        <f>VLOOKUP($E140,BC$442:BF$453,3,FALSE)*BC140*($K140)+IF($G140&lt;&gt;0,($I140/$G140)*BC140,0)*(1-$K140)</f>
        <v>0</v>
      </c>
      <c r="BF140" s="3236">
        <f>VLOOKUP($E140,BC$442:BF$453,4,FALSE)*BC140*($K140)+(BC140-BD140-BE140)*(1-$K140)</f>
        <v>19744163.190000001</v>
      </c>
      <c r="BG140" s="3237"/>
      <c r="BK140" s="3235">
        <f>$G140</f>
        <v>19744163.190000001</v>
      </c>
      <c r="BL140" s="3236">
        <f>VLOOKUP($E140,BK$442:BN$453,2,FALSE)*BK140*($K140)+IF($G140&lt;&gt;0,($H140/$G140)*BK140,0)*(1-$K140)</f>
        <v>0</v>
      </c>
      <c r="BM140" s="3236">
        <f>VLOOKUP($E140,BK$442:BN$453,3,FALSE)*BK140*($K140)+IF($G140&lt;&gt;0,($I140/$G140)*BK140,0)*(1-$K140)</f>
        <v>0</v>
      </c>
      <c r="BN140" s="3236">
        <f>VLOOKUP($E140,BK$442:BN$453,4,FALSE)*BK140*($K140)+(BK140-BL140-BM140)*(1-$K140)</f>
        <v>19744163.190000001</v>
      </c>
      <c r="BO140" s="3237"/>
      <c r="BS140" s="3235">
        <f>$G140</f>
        <v>19744163.190000001</v>
      </c>
      <c r="BT140" s="3236">
        <f>VLOOKUP($E140,BS$442:BV$453,2,FALSE)*BS140*($K140)+IF($G140&lt;&gt;0,($H140/$G140)*BS140,0)*(1-$K140)</f>
        <v>0</v>
      </c>
      <c r="BU140" s="3236">
        <f>VLOOKUP($E140,BS$442:BV$453,3,FALSE)*BS140*($K140)+IF($G140&lt;&gt;0,($I140/$G140)*BS140,0)*(1-$K140)</f>
        <v>0</v>
      </c>
      <c r="BV140" s="3236">
        <f>VLOOKUP($E140,BS$442:BV$453,4,FALSE)*BS140*($K140)+(BS140-BT140-BU140)*(1-$K140)</f>
        <v>19744163.190000001</v>
      </c>
      <c r="BW140" s="3237"/>
      <c r="CA140" s="3235">
        <f>$G140</f>
        <v>19744163.190000001</v>
      </c>
      <c r="CB140" s="3236">
        <f>VLOOKUP($E140,CA$442:CD$453,2,FALSE)*CA140*($K140)+IF($G140&lt;&gt;0,($H140/$G140)*CA140,0)*(1-$K140)</f>
        <v>0</v>
      </c>
      <c r="CC140" s="3236">
        <f>VLOOKUP($E140,CA$442:CD$453,3,FALSE)*CA140*($K140)+IF($G140&lt;&gt;0,($I140/$G140)*CA140,0)*(1-$K140)</f>
        <v>0</v>
      </c>
      <c r="CD140" s="3236">
        <f>VLOOKUP($E140,CA$442:CD$453,4,FALSE)*CA140*($K140)+(CA140-CB140-CC140)*(1-$K140)</f>
        <v>19744163.190000001</v>
      </c>
      <c r="CE140" s="3237"/>
      <c r="CI140" s="3235">
        <f>$G140</f>
        <v>19744163.190000001</v>
      </c>
      <c r="CJ140" s="3236">
        <f>VLOOKUP($E140,CI$442:CL$453,2,FALSE)*CI140*($K140)+IF($G140&lt;&gt;0,($H140/$G140)*CI140,0)*(1-$K140)</f>
        <v>0</v>
      </c>
      <c r="CK140" s="3236">
        <f>VLOOKUP($E140,CI$442:CL$453,3,FALSE)*CI140*($K140)+IF($G140&lt;&gt;0,($I140/$G140)*CI140,0)*(1-$K140)</f>
        <v>0</v>
      </c>
      <c r="CL140" s="3236">
        <f>VLOOKUP($E140,CI$442:CL$453,4,FALSE)*CI140*($K140)+(CI140-CJ140-CK140)*(1-$K140)</f>
        <v>19744163.190000001</v>
      </c>
      <c r="CM140" s="3237"/>
      <c r="CQ140" s="3235">
        <f>$G140</f>
        <v>19744163.190000001</v>
      </c>
      <c r="CR140" s="3236">
        <f>VLOOKUP($E140,CQ$442:CT$453,2,FALSE)*CQ140*($K140)+IF($G140&lt;&gt;0,($H140/$G140)*CQ140,0)*(1-$K140)</f>
        <v>0</v>
      </c>
      <c r="CS140" s="3236">
        <f>VLOOKUP($E140,CQ$442:CT$453,3,FALSE)*CQ140*($K140)+IF($G140&lt;&gt;0,($I140/$G140)*CQ140,0)*(1-$K140)</f>
        <v>0</v>
      </c>
      <c r="CT140" s="3236">
        <f>VLOOKUP($E140,CQ$442:CT$453,4,FALSE)*CQ140*($K140)+(CQ140-CR140-CS140)*(1-$K140)</f>
        <v>19744163.190000001</v>
      </c>
      <c r="CU140" s="3237"/>
      <c r="CY140" s="3235">
        <f>$G140</f>
        <v>19744163.190000001</v>
      </c>
      <c r="CZ140" s="3236">
        <f>VLOOKUP($E140,CY$442:DB$453,2,FALSE)*CY140*($K140)+IF($G140&lt;&gt;0,($H140/$G140)*CY140,0)*(1-$K140)</f>
        <v>0</v>
      </c>
      <c r="DA140" s="3236">
        <f>VLOOKUP($E140,CY$442:DB$453,3,FALSE)*CY140*($K140)+IF($G140&lt;&gt;0,($I140/$G140)*CY140,0)*(1-$K140)</f>
        <v>0</v>
      </c>
      <c r="DB140" s="3236">
        <f>VLOOKUP($E140,CY$442:DB$453,4,FALSE)*CY140*($K140)+(CY140-CZ140-DA140)*(1-$K140)</f>
        <v>19744163.190000001</v>
      </c>
      <c r="DC140" s="3237"/>
      <c r="DG140" s="3235">
        <f>$G140</f>
        <v>19744163.190000001</v>
      </c>
      <c r="DH140" s="3236">
        <f>VLOOKUP($E140,DG$442:DJ$453,2,FALSE)*DG140*($K140)+IF($G140&lt;&gt;0,($H140/$G140)*DG140,0)*(1-$K140)</f>
        <v>0</v>
      </c>
      <c r="DI140" s="3236">
        <f>VLOOKUP($E140,DG$442:DJ$453,3,FALSE)*DG140*($K140)+IF($G140&lt;&gt;0,($I140/$G140)*DG140,0)*(1-$K140)</f>
        <v>0</v>
      </c>
      <c r="DJ140" s="3236">
        <f>VLOOKUP($E140,DG$442:DJ$453,4,FALSE)*DG140*($K140)+(DG140-DH140-DI140)*(1-$K140)</f>
        <v>19744163.190000001</v>
      </c>
      <c r="DK140" s="3237"/>
      <c r="DO140" s="3235">
        <f>$G140</f>
        <v>19744163.190000001</v>
      </c>
      <c r="DP140" s="3236">
        <f>VLOOKUP($E140,DO$442:DR$453,2,FALSE)*DO140*($K140)+IF($G140&lt;&gt;0,($H140/$G140)*DO140,0)*(1-$K140)</f>
        <v>0</v>
      </c>
      <c r="DQ140" s="3236">
        <f>VLOOKUP($E140,DO$442:DR$453,3,FALSE)*DO140*($K140)+IF($G140&lt;&gt;0,($I140/$G140)*DO140,0)*(1-$K140)</f>
        <v>0</v>
      </c>
      <c r="DR140" s="3236">
        <f>VLOOKUP($E140,DO$442:DR$453,4,FALSE)*DO140*($K140)+(DO140-DP140-DQ140)*(1-$K140)</f>
        <v>19744163.190000001</v>
      </c>
      <c r="DS140" s="3237"/>
      <c r="DW140" s="3235">
        <f>$G140</f>
        <v>19744163.190000001</v>
      </c>
      <c r="DX140" s="3236">
        <f>VLOOKUP($E140,DW$442:DZ$453,2,FALSE)*DW140*($K140)+IF($G140&lt;&gt;0,($H140/$G140)*DW140,0)*(1-$K140)</f>
        <v>0</v>
      </c>
      <c r="DY140" s="3236">
        <f>VLOOKUP($E140,DW$442:DZ$453,3,FALSE)*DW140*($K140)+IF($G140&lt;&gt;0,($I140/$G140)*DW140,0)*(1-$K140)</f>
        <v>0</v>
      </c>
      <c r="DZ140" s="3236">
        <f>VLOOKUP($E140,DW$442:DZ$453,4,FALSE)*DW140*($K140)+(DW140-DX140-DY140)*(1-$K140)</f>
        <v>19744163.190000001</v>
      </c>
      <c r="EA140" s="3237"/>
      <c r="EE140" s="3235">
        <f>$G140</f>
        <v>19744163.190000001</v>
      </c>
      <c r="EF140" s="3236">
        <f>VLOOKUP($E140,EE$442:EH$453,2,FALSE)*EE140*($K140)+IF($G140&lt;&gt;0,($H140/$G140)*EE140,0)*(1-$K140)</f>
        <v>0</v>
      </c>
      <c r="EG140" s="3236">
        <f>VLOOKUP($E140,EE$442:EH$453,3,FALSE)*EE140*($K140)+IF($G140&lt;&gt;0,($I140/$G140)*EE140,0)*(1-$K140)</f>
        <v>0</v>
      </c>
      <c r="EH140" s="3236">
        <f>VLOOKUP($E140,EE$442:EH$453,4,FALSE)*EE140*($K140)+(EE140-EF140-EG140)*(1-$K140)</f>
        <v>19744163.190000001</v>
      </c>
      <c r="EI140" s="3237"/>
      <c r="EM140" s="3235">
        <f>$G140</f>
        <v>19744163.190000001</v>
      </c>
      <c r="EN140" s="3236">
        <f>VLOOKUP($E140,EM$442:EP$453,2,FALSE)*EM140*($K140)+IF($G140&lt;&gt;0,($H140/$G140)*EM140,0)*(1-$K140)</f>
        <v>0</v>
      </c>
      <c r="EO140" s="3236">
        <f>VLOOKUP($E140,EM$442:EP$453,3,FALSE)*EM140*($K140)+IF($G140&lt;&gt;0,($I140/$G140)*EM140,0)*(1-$K140)</f>
        <v>0</v>
      </c>
      <c r="EP140" s="3236">
        <f>VLOOKUP($E140,EM$442:EP$453,4,FALSE)*EM140*($K140)+(EM140-EN140-EO140)*(1-$K140)</f>
        <v>19744163.190000001</v>
      </c>
      <c r="EQ140" s="3237"/>
      <c r="EU140" s="3235">
        <f>$G140</f>
        <v>19744163.190000001</v>
      </c>
      <c r="EV140" s="3236">
        <f>VLOOKUP($E140,EU$442:EX$453,2,FALSE)*EU140*($K140)+IF($G140&lt;&gt;0,($H140/$G140)*EU140,0)*(1-$K140)</f>
        <v>0</v>
      </c>
      <c r="EW140" s="3236">
        <f>VLOOKUP($E140,EU$442:EX$453,3,FALSE)*EU140*($K140)+IF($G140&lt;&gt;0,($I140/$G140)*EU140,0)*(1-$K140)</f>
        <v>0</v>
      </c>
      <c r="EX140" s="3236">
        <f>VLOOKUP($E140,EU$442:EX$453,4,FALSE)*EU140*($K140)+(EU140-EV140-EW140)*(1-$K140)</f>
        <v>19744163.190000001</v>
      </c>
      <c r="EY140" s="3237"/>
      <c r="FC140" s="3235">
        <f>$G140</f>
        <v>19744163.190000001</v>
      </c>
      <c r="FD140" s="3236">
        <f>VLOOKUP($E140,FC$442:FF$453,2,FALSE)*FC140*($K140)+IF($G140&lt;&gt;0,($H140/$G140)*FC140,0)*(1-$K140)</f>
        <v>0</v>
      </c>
      <c r="FE140" s="3236">
        <f>VLOOKUP($E140,FC$442:FF$453,3,FALSE)*FC140*($K140)+IF($G140&lt;&gt;0,($I140/$G140)*FC140,0)*(1-$K140)</f>
        <v>0</v>
      </c>
      <c r="FF140" s="3236">
        <f>VLOOKUP($E140,FC$442:FF$453,4,FALSE)*FC140*($K140)+(FC140-FD140-FE140)*(1-$K140)</f>
        <v>19744163.190000001</v>
      </c>
      <c r="FG140" s="3237"/>
      <c r="FK140" s="3235">
        <f>$G140</f>
        <v>19744163.190000001</v>
      </c>
      <c r="FL140" s="3236">
        <f>VLOOKUP($E140,FK$442:FN$453,2,FALSE)*FK140*($K140)+IF($G140&lt;&gt;0,($H140/$G140)*FK140,0)*(1-$K140)</f>
        <v>0</v>
      </c>
      <c r="FM140" s="3236">
        <f>VLOOKUP($E140,FK$442:FN$453,3,FALSE)*FK140*($K140)+IF($G140&lt;&gt;0,($I140/$G140)*FK140,0)*(1-$K140)</f>
        <v>0</v>
      </c>
      <c r="FN140" s="3236">
        <f>VLOOKUP($E140,FK$442:FN$453,4,FALSE)*FK140*($K140)+(FK140-FL140-FM140)*(1-$K140)</f>
        <v>19744163.190000001</v>
      </c>
      <c r="FO140" s="3237"/>
    </row>
    <row r="141" spans="1:171">
      <c r="A141" s="3477"/>
      <c r="B141" s="2290" t="s">
        <v>331</v>
      </c>
      <c r="C141" s="2464" t="s">
        <v>371</v>
      </c>
      <c r="D141" s="2464">
        <v>245</v>
      </c>
      <c r="E141" s="2424" t="str">
        <f>'Sch 1- Rate Base '!E141</f>
        <v>DIST</v>
      </c>
      <c r="F141" s="2171"/>
      <c r="G141" s="2424">
        <f>'Sch 1- Rate Base '!G141</f>
        <v>0</v>
      </c>
      <c r="H141" s="2424">
        <f>'Sch 1- Rate Base '!H141</f>
        <v>0</v>
      </c>
      <c r="I141" s="2424">
        <f>'Sch 1- Rate Base '!I141</f>
        <v>0</v>
      </c>
      <c r="J141" s="3465">
        <f>'Sch 1- Rate Base '!J141</f>
        <v>0</v>
      </c>
      <c r="K141" s="3205">
        <f>IF($E141="DIRECT",0,1)</f>
        <v>1</v>
      </c>
      <c r="O141" s="3235">
        <f>$G141</f>
        <v>0</v>
      </c>
      <c r="P141" s="3236">
        <f>VLOOKUP($E141,O$442:R$453,2,FALSE)*O141*($K141)+IF($G141&lt;&gt;0,($H141/$G141)*O141,0)*(1-$K141)</f>
        <v>0</v>
      </c>
      <c r="Q141" s="3236">
        <f>VLOOKUP($E141,O$442:R$453,3,FALSE)*O141*($K141)+IF($G141&lt;&gt;0,($I141/$G141)*O141,0)*(1-$K141)</f>
        <v>0</v>
      </c>
      <c r="R141" s="3236">
        <f>VLOOKUP($E141,O$442:R$453,4,FALSE)*O141*($K141)+(O141-P141-Q141)*(1-$K141)</f>
        <v>0</v>
      </c>
      <c r="S141" s="3237"/>
      <c r="W141" s="3235">
        <f>$G141</f>
        <v>0</v>
      </c>
      <c r="X141" s="3236">
        <f>VLOOKUP($E141,W$442:Z$453,2,FALSE)*W141*($K141)+IF($G141&lt;&gt;0,($H141/$G141)*W141,0)*(1-$K141)</f>
        <v>0</v>
      </c>
      <c r="Y141" s="3236">
        <f>VLOOKUP($E141,W$442:Z$453,3,FALSE)*W141*($K141)+IF($G141&lt;&gt;0,($I141/$G141)*W141,0)*(1-$K141)</f>
        <v>0</v>
      </c>
      <c r="Z141" s="3236">
        <f>VLOOKUP($E141,W$442:Z$453,4,FALSE)*W141*($K141)+(W141-X141-Y141)*(1-$K141)</f>
        <v>0</v>
      </c>
      <c r="AA141" s="3237"/>
      <c r="AE141" s="3235">
        <f>$G141</f>
        <v>0</v>
      </c>
      <c r="AF141" s="3236">
        <f>VLOOKUP($E141,AE$442:AH$453,2,FALSE)*AE141*($K141)+IF($G141&lt;&gt;0,($H141/$G141)*AE141,0)*(1-$K141)</f>
        <v>0</v>
      </c>
      <c r="AG141" s="3236">
        <f>VLOOKUP($E141,AE$442:AH$453,3,FALSE)*AE141*($K141)+IF($G141&lt;&gt;0,($I141/$G141)*AE141,0)*(1-$K141)</f>
        <v>0</v>
      </c>
      <c r="AH141" s="3236">
        <f>VLOOKUP($E141,AE$442:AH$453,4,FALSE)*AE141*($K141)+(AE141-AF141-AG141)*(1-$K141)</f>
        <v>0</v>
      </c>
      <c r="AI141" s="3237"/>
      <c r="AM141" s="3235">
        <f>$G141</f>
        <v>0</v>
      </c>
      <c r="AN141" s="3236">
        <f>VLOOKUP($E141,AM$442:AP$453,2,FALSE)*AM141*($K141)+IF($G141&lt;&gt;0,($H141/$G141)*AM141,0)*(1-$K141)</f>
        <v>0</v>
      </c>
      <c r="AO141" s="3236">
        <f>VLOOKUP($E141,AM$442:AP$453,3,FALSE)*AM141*($K141)+IF($G141&lt;&gt;0,($I141/$G141)*AM141,0)*(1-$K141)</f>
        <v>0</v>
      </c>
      <c r="AP141" s="3236">
        <f>VLOOKUP($E141,AM$442:AP$453,4,FALSE)*AM141*($K141)+(AM141-AN141-AO141)*(1-$K141)</f>
        <v>0</v>
      </c>
      <c r="AQ141" s="3237"/>
      <c r="AU141" s="3235">
        <f>$G141</f>
        <v>0</v>
      </c>
      <c r="AV141" s="3236">
        <f>VLOOKUP($E141,AU$442:AX$453,2,FALSE)*AU141*($K141)+IF($G141&lt;&gt;0,($H141/$G141)*AU141,0)*(1-$K141)</f>
        <v>0</v>
      </c>
      <c r="AW141" s="3236">
        <f>VLOOKUP($E141,AU$442:AX$453,3,FALSE)*AU141*($K141)+IF($G141&lt;&gt;0,($I141/$G141)*AU141,0)*(1-$K141)</f>
        <v>0</v>
      </c>
      <c r="AX141" s="3236">
        <f>VLOOKUP($E141,AU$442:AX$453,4,FALSE)*AU141*($K141)+(AU141-AV141-AW141)*(1-$K141)</f>
        <v>0</v>
      </c>
      <c r="AY141" s="3237"/>
      <c r="BC141" s="3235">
        <f>$G141</f>
        <v>0</v>
      </c>
      <c r="BD141" s="3236">
        <f>VLOOKUP($E141,BC$442:BF$453,2,FALSE)*BC141*($K141)+IF($G141&lt;&gt;0,($H141/$G141)*BC141,0)*(1-$K141)</f>
        <v>0</v>
      </c>
      <c r="BE141" s="3236">
        <f>VLOOKUP($E141,BC$442:BF$453,3,FALSE)*BC141*($K141)+IF($G141&lt;&gt;0,($I141/$G141)*BC141,0)*(1-$K141)</f>
        <v>0</v>
      </c>
      <c r="BF141" s="3236">
        <f>VLOOKUP($E141,BC$442:BF$453,4,FALSE)*BC141*($K141)+(BC141-BD141-BE141)*(1-$K141)</f>
        <v>0</v>
      </c>
      <c r="BG141" s="3237"/>
      <c r="BK141" s="3235">
        <f>$G141</f>
        <v>0</v>
      </c>
      <c r="BL141" s="3236">
        <f>VLOOKUP($E141,BK$442:BN$453,2,FALSE)*BK141*($K141)+IF($G141&lt;&gt;0,($H141/$G141)*BK141,0)*(1-$K141)</f>
        <v>0</v>
      </c>
      <c r="BM141" s="3236">
        <f>VLOOKUP($E141,BK$442:BN$453,3,FALSE)*BK141*($K141)+IF($G141&lt;&gt;0,($I141/$G141)*BK141,0)*(1-$K141)</f>
        <v>0</v>
      </c>
      <c r="BN141" s="3236">
        <f>VLOOKUP($E141,BK$442:BN$453,4,FALSE)*BK141*($K141)+(BK141-BL141-BM141)*(1-$K141)</f>
        <v>0</v>
      </c>
      <c r="BO141" s="3237"/>
      <c r="BS141" s="3235">
        <f>$G141</f>
        <v>0</v>
      </c>
      <c r="BT141" s="3236">
        <f>VLOOKUP($E141,BS$442:BV$453,2,FALSE)*BS141*($K141)+IF($G141&lt;&gt;0,($H141/$G141)*BS141,0)*(1-$K141)</f>
        <v>0</v>
      </c>
      <c r="BU141" s="3236">
        <f>VLOOKUP($E141,BS$442:BV$453,3,FALSE)*BS141*($K141)+IF($G141&lt;&gt;0,($I141/$G141)*BS141,0)*(1-$K141)</f>
        <v>0</v>
      </c>
      <c r="BV141" s="3236">
        <f>VLOOKUP($E141,BS$442:BV$453,4,FALSE)*BS141*($K141)+(BS141-BT141-BU141)*(1-$K141)</f>
        <v>0</v>
      </c>
      <c r="BW141" s="3237"/>
      <c r="CA141" s="3235">
        <f>$G141</f>
        <v>0</v>
      </c>
      <c r="CB141" s="3236">
        <f>VLOOKUP($E141,CA$442:CD$453,2,FALSE)*CA141*($K141)+IF($G141&lt;&gt;0,($H141/$G141)*CA141,0)*(1-$K141)</f>
        <v>0</v>
      </c>
      <c r="CC141" s="3236">
        <f>VLOOKUP($E141,CA$442:CD$453,3,FALSE)*CA141*($K141)+IF($G141&lt;&gt;0,($I141/$G141)*CA141,0)*(1-$K141)</f>
        <v>0</v>
      </c>
      <c r="CD141" s="3236">
        <f>VLOOKUP($E141,CA$442:CD$453,4,FALSE)*CA141*($K141)+(CA141-CB141-CC141)*(1-$K141)</f>
        <v>0</v>
      </c>
      <c r="CE141" s="3237"/>
      <c r="CI141" s="3235">
        <f>$G141</f>
        <v>0</v>
      </c>
      <c r="CJ141" s="3236">
        <f>VLOOKUP($E141,CI$442:CL$453,2,FALSE)*CI141*($K141)+IF($G141&lt;&gt;0,($H141/$G141)*CI141,0)*(1-$K141)</f>
        <v>0</v>
      </c>
      <c r="CK141" s="3236">
        <f>VLOOKUP($E141,CI$442:CL$453,3,FALSE)*CI141*($K141)+IF($G141&lt;&gt;0,($I141/$G141)*CI141,0)*(1-$K141)</f>
        <v>0</v>
      </c>
      <c r="CL141" s="3236">
        <f>VLOOKUP($E141,CI$442:CL$453,4,FALSE)*CI141*($K141)+(CI141-CJ141-CK141)*(1-$K141)</f>
        <v>0</v>
      </c>
      <c r="CM141" s="3237"/>
      <c r="CQ141" s="3235">
        <f>$G141</f>
        <v>0</v>
      </c>
      <c r="CR141" s="3236">
        <f>VLOOKUP($E141,CQ$442:CT$453,2,FALSE)*CQ141*($K141)+IF($G141&lt;&gt;0,($H141/$G141)*CQ141,0)*(1-$K141)</f>
        <v>0</v>
      </c>
      <c r="CS141" s="3236">
        <f>VLOOKUP($E141,CQ$442:CT$453,3,FALSE)*CQ141*($K141)+IF($G141&lt;&gt;0,($I141/$G141)*CQ141,0)*(1-$K141)</f>
        <v>0</v>
      </c>
      <c r="CT141" s="3236">
        <f>VLOOKUP($E141,CQ$442:CT$453,4,FALSE)*CQ141*($K141)+(CQ141-CR141-CS141)*(1-$K141)</f>
        <v>0</v>
      </c>
      <c r="CU141" s="3237"/>
      <c r="CY141" s="3235">
        <f>$G141</f>
        <v>0</v>
      </c>
      <c r="CZ141" s="3236">
        <f>VLOOKUP($E141,CY$442:DB$453,2,FALSE)*CY141*($K141)+IF($G141&lt;&gt;0,($H141/$G141)*CY141,0)*(1-$K141)</f>
        <v>0</v>
      </c>
      <c r="DA141" s="3236">
        <f>VLOOKUP($E141,CY$442:DB$453,3,FALSE)*CY141*($K141)+IF($G141&lt;&gt;0,($I141/$G141)*CY141,0)*(1-$K141)</f>
        <v>0</v>
      </c>
      <c r="DB141" s="3236">
        <f>VLOOKUP($E141,CY$442:DB$453,4,FALSE)*CY141*($K141)+(CY141-CZ141-DA141)*(1-$K141)</f>
        <v>0</v>
      </c>
      <c r="DC141" s="3237"/>
      <c r="DG141" s="3235">
        <f>$G141</f>
        <v>0</v>
      </c>
      <c r="DH141" s="3236">
        <f>VLOOKUP($E141,DG$442:DJ$453,2,FALSE)*DG141*($K141)+IF($G141&lt;&gt;0,($H141/$G141)*DG141,0)*(1-$K141)</f>
        <v>0</v>
      </c>
      <c r="DI141" s="3236">
        <f>VLOOKUP($E141,DG$442:DJ$453,3,FALSE)*DG141*($K141)+IF($G141&lt;&gt;0,($I141/$G141)*DG141,0)*(1-$K141)</f>
        <v>0</v>
      </c>
      <c r="DJ141" s="3236">
        <f>VLOOKUP($E141,DG$442:DJ$453,4,FALSE)*DG141*($K141)+(DG141-DH141-DI141)*(1-$K141)</f>
        <v>0</v>
      </c>
      <c r="DK141" s="3237"/>
      <c r="DO141" s="3235">
        <f>$G141</f>
        <v>0</v>
      </c>
      <c r="DP141" s="3236">
        <f>VLOOKUP($E141,DO$442:DR$453,2,FALSE)*DO141*($K141)+IF($G141&lt;&gt;0,($H141/$G141)*DO141,0)*(1-$K141)</f>
        <v>0</v>
      </c>
      <c r="DQ141" s="3236">
        <f>VLOOKUP($E141,DO$442:DR$453,3,FALSE)*DO141*($K141)+IF($G141&lt;&gt;0,($I141/$G141)*DO141,0)*(1-$K141)</f>
        <v>0</v>
      </c>
      <c r="DR141" s="3236">
        <f>VLOOKUP($E141,DO$442:DR$453,4,FALSE)*DO141*($K141)+(DO141-DP141-DQ141)*(1-$K141)</f>
        <v>0</v>
      </c>
      <c r="DS141" s="3237"/>
      <c r="DW141" s="3235">
        <f>$G141</f>
        <v>0</v>
      </c>
      <c r="DX141" s="3236">
        <f>VLOOKUP($E141,DW$442:DZ$453,2,FALSE)*DW141*($K141)+IF($G141&lt;&gt;0,($H141/$G141)*DW141,0)*(1-$K141)</f>
        <v>0</v>
      </c>
      <c r="DY141" s="3236">
        <f>VLOOKUP($E141,DW$442:DZ$453,3,FALSE)*DW141*($K141)+IF($G141&lt;&gt;0,($I141/$G141)*DW141,0)*(1-$K141)</f>
        <v>0</v>
      </c>
      <c r="DZ141" s="3236">
        <f>VLOOKUP($E141,DW$442:DZ$453,4,FALSE)*DW141*($K141)+(DW141-DX141-DY141)*(1-$K141)</f>
        <v>0</v>
      </c>
      <c r="EA141" s="3237"/>
      <c r="EE141" s="3235">
        <f>$G141</f>
        <v>0</v>
      </c>
      <c r="EF141" s="3236">
        <f>VLOOKUP($E141,EE$442:EH$453,2,FALSE)*EE141*($K141)+IF($G141&lt;&gt;0,($H141/$G141)*EE141,0)*(1-$K141)</f>
        <v>0</v>
      </c>
      <c r="EG141" s="3236">
        <f>VLOOKUP($E141,EE$442:EH$453,3,FALSE)*EE141*($K141)+IF($G141&lt;&gt;0,($I141/$G141)*EE141,0)*(1-$K141)</f>
        <v>0</v>
      </c>
      <c r="EH141" s="3236">
        <f>VLOOKUP($E141,EE$442:EH$453,4,FALSE)*EE141*($K141)+(EE141-EF141-EG141)*(1-$K141)</f>
        <v>0</v>
      </c>
      <c r="EI141" s="3237"/>
      <c r="EM141" s="3235">
        <f>$G141</f>
        <v>0</v>
      </c>
      <c r="EN141" s="3236">
        <f>VLOOKUP($E141,EM$442:EP$453,2,FALSE)*EM141*($K141)+IF($G141&lt;&gt;0,($H141/$G141)*EM141,0)*(1-$K141)</f>
        <v>0</v>
      </c>
      <c r="EO141" s="3236">
        <f>VLOOKUP($E141,EM$442:EP$453,3,FALSE)*EM141*($K141)+IF($G141&lt;&gt;0,($I141/$G141)*EM141,0)*(1-$K141)</f>
        <v>0</v>
      </c>
      <c r="EP141" s="3236">
        <f>VLOOKUP($E141,EM$442:EP$453,4,FALSE)*EM141*($K141)+(EM141-EN141-EO141)*(1-$K141)</f>
        <v>0</v>
      </c>
      <c r="EQ141" s="3237"/>
      <c r="EU141" s="3235">
        <f>$G141</f>
        <v>0</v>
      </c>
      <c r="EV141" s="3236">
        <f>VLOOKUP($E141,EU$442:EX$453,2,FALSE)*EU141*($K141)+IF($G141&lt;&gt;0,($H141/$G141)*EU141,0)*(1-$K141)</f>
        <v>0</v>
      </c>
      <c r="EW141" s="3236">
        <f>VLOOKUP($E141,EU$442:EX$453,3,FALSE)*EU141*($K141)+IF($G141&lt;&gt;0,($I141/$G141)*EU141,0)*(1-$K141)</f>
        <v>0</v>
      </c>
      <c r="EX141" s="3236">
        <f>VLOOKUP($E141,EU$442:EX$453,4,FALSE)*EU141*($K141)+(EU141-EV141-EW141)*(1-$K141)</f>
        <v>0</v>
      </c>
      <c r="EY141" s="3237"/>
      <c r="FC141" s="3235">
        <f>$G141</f>
        <v>0</v>
      </c>
      <c r="FD141" s="3236">
        <f>VLOOKUP($E141,FC$442:FF$453,2,FALSE)*FC141*($K141)+IF($G141&lt;&gt;0,($H141/$G141)*FC141,0)*(1-$K141)</f>
        <v>0</v>
      </c>
      <c r="FE141" s="3236">
        <f>VLOOKUP($E141,FC$442:FF$453,3,FALSE)*FC141*($K141)+IF($G141&lt;&gt;0,($I141/$G141)*FC141,0)*(1-$K141)</f>
        <v>0</v>
      </c>
      <c r="FF141" s="3236">
        <f>VLOOKUP($E141,FC$442:FF$453,4,FALSE)*FC141*($K141)+(FC141-FD141-FE141)*(1-$K141)</f>
        <v>0</v>
      </c>
      <c r="FG141" s="3237"/>
      <c r="FK141" s="3235">
        <f>$G141</f>
        <v>0</v>
      </c>
      <c r="FL141" s="3236">
        <f>VLOOKUP($E141,FK$442:FN$453,2,FALSE)*FK141*($K141)+IF($G141&lt;&gt;0,($H141/$G141)*FK141,0)*(1-$K141)</f>
        <v>0</v>
      </c>
      <c r="FM141" s="3236">
        <f>VLOOKUP($E141,FK$442:FN$453,3,FALSE)*FK141*($K141)+IF($G141&lt;&gt;0,($I141/$G141)*FK141,0)*(1-$K141)</f>
        <v>0</v>
      </c>
      <c r="FN141" s="3236">
        <f>VLOOKUP($E141,FK$442:FN$453,4,FALSE)*FK141*($K141)+(FK141-FL141-FM141)*(1-$K141)</f>
        <v>0</v>
      </c>
      <c r="FO141" s="3237"/>
    </row>
    <row r="142" spans="1:171">
      <c r="A142" s="3477"/>
      <c r="B142" s="3301" t="s">
        <v>616</v>
      </c>
      <c r="C142" s="2464" t="s">
        <v>346</v>
      </c>
      <c r="D142" s="2464">
        <v>245</v>
      </c>
      <c r="E142" s="2424" t="str">
        <f>'Sch 1- Rate Base '!E142</f>
        <v>DIST</v>
      </c>
      <c r="F142" s="2171"/>
      <c r="G142" s="2424">
        <f>'Sch 1- Rate Base '!G142</f>
        <v>0</v>
      </c>
      <c r="H142" s="2424">
        <f>'Sch 1- Rate Base '!H142</f>
        <v>0</v>
      </c>
      <c r="I142" s="2424">
        <f>'Sch 1- Rate Base '!I142</f>
        <v>0</v>
      </c>
      <c r="J142" s="3465">
        <f>'Sch 1- Rate Base '!J142</f>
        <v>0</v>
      </c>
      <c r="K142" s="3205">
        <f>IF($E142="DIRECT",0,1)</f>
        <v>1</v>
      </c>
      <c r="O142" s="3235">
        <f>$G142</f>
        <v>0</v>
      </c>
      <c r="P142" s="3236">
        <f>VLOOKUP($E142,O$442:R$453,2,FALSE)*O142*($K142)+IF($G142&lt;&gt;0,($H142/$G142)*O142,0)*(1-$K142)</f>
        <v>0</v>
      </c>
      <c r="Q142" s="3236">
        <f>VLOOKUP($E142,O$442:R$453,3,FALSE)*O142*($K142)+IF($G142&lt;&gt;0,($I142/$G142)*O142,0)*(1-$K142)</f>
        <v>0</v>
      </c>
      <c r="R142" s="3236">
        <f>VLOOKUP($E142,O$442:R$453,4,FALSE)*O142*($K142)+(O142-P142-Q142)*(1-$K142)</f>
        <v>0</v>
      </c>
      <c r="S142" s="3237"/>
      <c r="W142" s="3235">
        <f>$G142</f>
        <v>0</v>
      </c>
      <c r="X142" s="3236">
        <f>VLOOKUP($E142,W$442:Z$453,2,FALSE)*W142*($K142)+IF($G142&lt;&gt;0,($H142/$G142)*W142,0)*(1-$K142)</f>
        <v>0</v>
      </c>
      <c r="Y142" s="3236">
        <f>VLOOKUP($E142,W$442:Z$453,3,FALSE)*W142*($K142)+IF($G142&lt;&gt;0,($I142/$G142)*W142,0)*(1-$K142)</f>
        <v>0</v>
      </c>
      <c r="Z142" s="3236">
        <f>VLOOKUP($E142,W$442:Z$453,4,FALSE)*W142*($K142)+(W142-X142-Y142)*(1-$K142)</f>
        <v>0</v>
      </c>
      <c r="AA142" s="3237"/>
      <c r="AE142" s="3235">
        <f>$G142</f>
        <v>0</v>
      </c>
      <c r="AF142" s="3236">
        <f>VLOOKUP($E142,AE$442:AH$453,2,FALSE)*AE142*($K142)+IF($G142&lt;&gt;0,($H142/$G142)*AE142,0)*(1-$K142)</f>
        <v>0</v>
      </c>
      <c r="AG142" s="3236">
        <f>VLOOKUP($E142,AE$442:AH$453,3,FALSE)*AE142*($K142)+IF($G142&lt;&gt;0,($I142/$G142)*AE142,0)*(1-$K142)</f>
        <v>0</v>
      </c>
      <c r="AH142" s="3236">
        <f>VLOOKUP($E142,AE$442:AH$453,4,FALSE)*AE142*($K142)+(AE142-AF142-AG142)*(1-$K142)</f>
        <v>0</v>
      </c>
      <c r="AI142" s="3237"/>
      <c r="AM142" s="3235">
        <f>$G142</f>
        <v>0</v>
      </c>
      <c r="AN142" s="3236">
        <f>VLOOKUP($E142,AM$442:AP$453,2,FALSE)*AM142*($K142)+IF($G142&lt;&gt;0,($H142/$G142)*AM142,0)*(1-$K142)</f>
        <v>0</v>
      </c>
      <c r="AO142" s="3236">
        <f>VLOOKUP($E142,AM$442:AP$453,3,FALSE)*AM142*($K142)+IF($G142&lt;&gt;0,($I142/$G142)*AM142,0)*(1-$K142)</f>
        <v>0</v>
      </c>
      <c r="AP142" s="3236">
        <f>VLOOKUP($E142,AM$442:AP$453,4,FALSE)*AM142*($K142)+(AM142-AN142-AO142)*(1-$K142)</f>
        <v>0</v>
      </c>
      <c r="AQ142" s="3237"/>
      <c r="AU142" s="3235">
        <f>$G142</f>
        <v>0</v>
      </c>
      <c r="AV142" s="3236">
        <f>VLOOKUP($E142,AU$442:AX$453,2,FALSE)*AU142*($K142)+IF($G142&lt;&gt;0,($H142/$G142)*AU142,0)*(1-$K142)</f>
        <v>0</v>
      </c>
      <c r="AW142" s="3236">
        <f>VLOOKUP($E142,AU$442:AX$453,3,FALSE)*AU142*($K142)+IF($G142&lt;&gt;0,($I142/$G142)*AU142,0)*(1-$K142)</f>
        <v>0</v>
      </c>
      <c r="AX142" s="3236">
        <f>VLOOKUP($E142,AU$442:AX$453,4,FALSE)*AU142*($K142)+(AU142-AV142-AW142)*(1-$K142)</f>
        <v>0</v>
      </c>
      <c r="AY142" s="3237"/>
      <c r="BC142" s="3235">
        <f>$G142</f>
        <v>0</v>
      </c>
      <c r="BD142" s="3236">
        <f>VLOOKUP($E142,BC$442:BF$453,2,FALSE)*BC142*($K142)+IF($G142&lt;&gt;0,($H142/$G142)*BC142,0)*(1-$K142)</f>
        <v>0</v>
      </c>
      <c r="BE142" s="3236">
        <f>VLOOKUP($E142,BC$442:BF$453,3,FALSE)*BC142*($K142)+IF($G142&lt;&gt;0,($I142/$G142)*BC142,0)*(1-$K142)</f>
        <v>0</v>
      </c>
      <c r="BF142" s="3236">
        <f>VLOOKUP($E142,BC$442:BF$453,4,FALSE)*BC142*($K142)+(BC142-BD142-BE142)*(1-$K142)</f>
        <v>0</v>
      </c>
      <c r="BG142" s="3237"/>
      <c r="BK142" s="3235">
        <f>$G142</f>
        <v>0</v>
      </c>
      <c r="BL142" s="3236">
        <f>VLOOKUP($E142,BK$442:BN$453,2,FALSE)*BK142*($K142)+IF($G142&lt;&gt;0,($H142/$G142)*BK142,0)*(1-$K142)</f>
        <v>0</v>
      </c>
      <c r="BM142" s="3236">
        <f>VLOOKUP($E142,BK$442:BN$453,3,FALSE)*BK142*($K142)+IF($G142&lt;&gt;0,($I142/$G142)*BK142,0)*(1-$K142)</f>
        <v>0</v>
      </c>
      <c r="BN142" s="3236">
        <f>VLOOKUP($E142,BK$442:BN$453,4,FALSE)*BK142*($K142)+(BK142-BL142-BM142)*(1-$K142)</f>
        <v>0</v>
      </c>
      <c r="BO142" s="3237"/>
      <c r="BS142" s="3235">
        <f>$G142</f>
        <v>0</v>
      </c>
      <c r="BT142" s="3236">
        <f>VLOOKUP($E142,BS$442:BV$453,2,FALSE)*BS142*($K142)+IF($G142&lt;&gt;0,($H142/$G142)*BS142,0)*(1-$K142)</f>
        <v>0</v>
      </c>
      <c r="BU142" s="3236">
        <f>VLOOKUP($E142,BS$442:BV$453,3,FALSE)*BS142*($K142)+IF($G142&lt;&gt;0,($I142/$G142)*BS142,0)*(1-$K142)</f>
        <v>0</v>
      </c>
      <c r="BV142" s="3236">
        <f>VLOOKUP($E142,BS$442:BV$453,4,FALSE)*BS142*($K142)+(BS142-BT142-BU142)*(1-$K142)</f>
        <v>0</v>
      </c>
      <c r="BW142" s="3237"/>
      <c r="CA142" s="3235">
        <f>$G142</f>
        <v>0</v>
      </c>
      <c r="CB142" s="3236">
        <f>VLOOKUP($E142,CA$442:CD$453,2,FALSE)*CA142*($K142)+IF($G142&lt;&gt;0,($H142/$G142)*CA142,0)*(1-$K142)</f>
        <v>0</v>
      </c>
      <c r="CC142" s="3236">
        <f>VLOOKUP($E142,CA$442:CD$453,3,FALSE)*CA142*($K142)+IF($G142&lt;&gt;0,($I142/$G142)*CA142,0)*(1-$K142)</f>
        <v>0</v>
      </c>
      <c r="CD142" s="3236">
        <f>VLOOKUP($E142,CA$442:CD$453,4,FALSE)*CA142*($K142)+(CA142-CB142-CC142)*(1-$K142)</f>
        <v>0</v>
      </c>
      <c r="CE142" s="3237"/>
      <c r="CI142" s="3235">
        <f>$G142</f>
        <v>0</v>
      </c>
      <c r="CJ142" s="3236">
        <f>VLOOKUP($E142,CI$442:CL$453,2,FALSE)*CI142*($K142)+IF($G142&lt;&gt;0,($H142/$G142)*CI142,0)*(1-$K142)</f>
        <v>0</v>
      </c>
      <c r="CK142" s="3236">
        <f>VLOOKUP($E142,CI$442:CL$453,3,FALSE)*CI142*($K142)+IF($G142&lt;&gt;0,($I142/$G142)*CI142,0)*(1-$K142)</f>
        <v>0</v>
      </c>
      <c r="CL142" s="3236">
        <f>VLOOKUP($E142,CI$442:CL$453,4,FALSE)*CI142*($K142)+(CI142-CJ142-CK142)*(1-$K142)</f>
        <v>0</v>
      </c>
      <c r="CM142" s="3237"/>
      <c r="CQ142" s="3235">
        <f>$G142</f>
        <v>0</v>
      </c>
      <c r="CR142" s="3236">
        <f>VLOOKUP($E142,CQ$442:CT$453,2,FALSE)*CQ142*($K142)+IF($G142&lt;&gt;0,($H142/$G142)*CQ142,0)*(1-$K142)</f>
        <v>0</v>
      </c>
      <c r="CS142" s="3236">
        <f>VLOOKUP($E142,CQ$442:CT$453,3,FALSE)*CQ142*($K142)+IF($G142&lt;&gt;0,($I142/$G142)*CQ142,0)*(1-$K142)</f>
        <v>0</v>
      </c>
      <c r="CT142" s="3236">
        <f>VLOOKUP($E142,CQ$442:CT$453,4,FALSE)*CQ142*($K142)+(CQ142-CR142-CS142)*(1-$K142)</f>
        <v>0</v>
      </c>
      <c r="CU142" s="3237"/>
      <c r="CY142" s="3235">
        <f>$G142</f>
        <v>0</v>
      </c>
      <c r="CZ142" s="3236">
        <f>VLOOKUP($E142,CY$442:DB$453,2,FALSE)*CY142*($K142)+IF($G142&lt;&gt;0,($H142/$G142)*CY142,0)*(1-$K142)</f>
        <v>0</v>
      </c>
      <c r="DA142" s="3236">
        <f>VLOOKUP($E142,CY$442:DB$453,3,FALSE)*CY142*($K142)+IF($G142&lt;&gt;0,($I142/$G142)*CY142,0)*(1-$K142)</f>
        <v>0</v>
      </c>
      <c r="DB142" s="3236">
        <f>VLOOKUP($E142,CY$442:DB$453,4,FALSE)*CY142*($K142)+(CY142-CZ142-DA142)*(1-$K142)</f>
        <v>0</v>
      </c>
      <c r="DC142" s="3237"/>
      <c r="DG142" s="3235">
        <f>$G142</f>
        <v>0</v>
      </c>
      <c r="DH142" s="3236">
        <f>VLOOKUP($E142,DG$442:DJ$453,2,FALSE)*DG142*($K142)+IF($G142&lt;&gt;0,($H142/$G142)*DG142,0)*(1-$K142)</f>
        <v>0</v>
      </c>
      <c r="DI142" s="3236">
        <f>VLOOKUP($E142,DG$442:DJ$453,3,FALSE)*DG142*($K142)+IF($G142&lt;&gt;0,($I142/$G142)*DG142,0)*(1-$K142)</f>
        <v>0</v>
      </c>
      <c r="DJ142" s="3236">
        <f>VLOOKUP($E142,DG$442:DJ$453,4,FALSE)*DG142*($K142)+(DG142-DH142-DI142)*(1-$K142)</f>
        <v>0</v>
      </c>
      <c r="DK142" s="3237"/>
      <c r="DO142" s="3235">
        <f>$G142</f>
        <v>0</v>
      </c>
      <c r="DP142" s="3236">
        <f>VLOOKUP($E142,DO$442:DR$453,2,FALSE)*DO142*($K142)+IF($G142&lt;&gt;0,($H142/$G142)*DO142,0)*(1-$K142)</f>
        <v>0</v>
      </c>
      <c r="DQ142" s="3236">
        <f>VLOOKUP($E142,DO$442:DR$453,3,FALSE)*DO142*($K142)+IF($G142&lt;&gt;0,($I142/$G142)*DO142,0)*(1-$K142)</f>
        <v>0</v>
      </c>
      <c r="DR142" s="3236">
        <f>VLOOKUP($E142,DO$442:DR$453,4,FALSE)*DO142*($K142)+(DO142-DP142-DQ142)*(1-$K142)</f>
        <v>0</v>
      </c>
      <c r="DS142" s="3237"/>
      <c r="DW142" s="3235">
        <f>$G142</f>
        <v>0</v>
      </c>
      <c r="DX142" s="3236">
        <f>VLOOKUP($E142,DW$442:DZ$453,2,FALSE)*DW142*($K142)+IF($G142&lt;&gt;0,($H142/$G142)*DW142,0)*(1-$K142)</f>
        <v>0</v>
      </c>
      <c r="DY142" s="3236">
        <f>VLOOKUP($E142,DW$442:DZ$453,3,FALSE)*DW142*($K142)+IF($G142&lt;&gt;0,($I142/$G142)*DW142,0)*(1-$K142)</f>
        <v>0</v>
      </c>
      <c r="DZ142" s="3236">
        <f>VLOOKUP($E142,DW$442:DZ$453,4,FALSE)*DW142*($K142)+(DW142-DX142-DY142)*(1-$K142)</f>
        <v>0</v>
      </c>
      <c r="EA142" s="3237"/>
      <c r="EE142" s="3235">
        <f>$G142</f>
        <v>0</v>
      </c>
      <c r="EF142" s="3236">
        <f>VLOOKUP($E142,EE$442:EH$453,2,FALSE)*EE142*($K142)+IF($G142&lt;&gt;0,($H142/$G142)*EE142,0)*(1-$K142)</f>
        <v>0</v>
      </c>
      <c r="EG142" s="3236">
        <f>VLOOKUP($E142,EE$442:EH$453,3,FALSE)*EE142*($K142)+IF($G142&lt;&gt;0,($I142/$G142)*EE142,0)*(1-$K142)</f>
        <v>0</v>
      </c>
      <c r="EH142" s="3236">
        <f>VLOOKUP($E142,EE$442:EH$453,4,FALSE)*EE142*($K142)+(EE142-EF142-EG142)*(1-$K142)</f>
        <v>0</v>
      </c>
      <c r="EI142" s="3237"/>
      <c r="EM142" s="3235">
        <f>$G142</f>
        <v>0</v>
      </c>
      <c r="EN142" s="3236">
        <f>VLOOKUP($E142,EM$442:EP$453,2,FALSE)*EM142*($K142)+IF($G142&lt;&gt;0,($H142/$G142)*EM142,0)*(1-$K142)</f>
        <v>0</v>
      </c>
      <c r="EO142" s="3236">
        <f>VLOOKUP($E142,EM$442:EP$453,3,FALSE)*EM142*($K142)+IF($G142&lt;&gt;0,($I142/$G142)*EM142,0)*(1-$K142)</f>
        <v>0</v>
      </c>
      <c r="EP142" s="3236">
        <f>VLOOKUP($E142,EM$442:EP$453,4,FALSE)*EM142*($K142)+(EM142-EN142-EO142)*(1-$K142)</f>
        <v>0</v>
      </c>
      <c r="EQ142" s="3237"/>
      <c r="EU142" s="3235">
        <f>$G142</f>
        <v>0</v>
      </c>
      <c r="EV142" s="3236">
        <f>VLOOKUP($E142,EU$442:EX$453,2,FALSE)*EU142*($K142)+IF($G142&lt;&gt;0,($H142/$G142)*EU142,0)*(1-$K142)</f>
        <v>0</v>
      </c>
      <c r="EW142" s="3236">
        <f>VLOOKUP($E142,EU$442:EX$453,3,FALSE)*EU142*($K142)+IF($G142&lt;&gt;0,($I142/$G142)*EU142,0)*(1-$K142)</f>
        <v>0</v>
      </c>
      <c r="EX142" s="3236">
        <f>VLOOKUP($E142,EU$442:EX$453,4,FALSE)*EU142*($K142)+(EU142-EV142-EW142)*(1-$K142)</f>
        <v>0</v>
      </c>
      <c r="EY142" s="3237"/>
      <c r="FC142" s="3235">
        <f>$G142</f>
        <v>0</v>
      </c>
      <c r="FD142" s="3236">
        <f>VLOOKUP($E142,FC$442:FF$453,2,FALSE)*FC142*($K142)+IF($G142&lt;&gt;0,($H142/$G142)*FC142,0)*(1-$K142)</f>
        <v>0</v>
      </c>
      <c r="FE142" s="3236">
        <f>VLOOKUP($E142,FC$442:FF$453,3,FALSE)*FC142*($K142)+IF($G142&lt;&gt;0,($I142/$G142)*FC142,0)*(1-$K142)</f>
        <v>0</v>
      </c>
      <c r="FF142" s="3236">
        <f>VLOOKUP($E142,FC$442:FF$453,4,FALSE)*FC142*($K142)+(FC142-FD142-FE142)*(1-$K142)</f>
        <v>0</v>
      </c>
      <c r="FG142" s="3237"/>
      <c r="FK142" s="3235">
        <f>$G142</f>
        <v>0</v>
      </c>
      <c r="FL142" s="3236">
        <f>VLOOKUP($E142,FK$442:FN$453,2,FALSE)*FK142*($K142)+IF($G142&lt;&gt;0,($H142/$G142)*FK142,0)*(1-$K142)</f>
        <v>0</v>
      </c>
      <c r="FM142" s="3236">
        <f>VLOOKUP($E142,FK$442:FN$453,3,FALSE)*FK142*($K142)+IF($G142&lt;&gt;0,($I142/$G142)*FK142,0)*(1-$K142)</f>
        <v>0</v>
      </c>
      <c r="FN142" s="3236">
        <f>VLOOKUP($E142,FK$442:FN$453,4,FALSE)*FK142*($K142)+(FK142-FL142-FM142)*(1-$K142)</f>
        <v>0</v>
      </c>
      <c r="FO142" s="3237"/>
    </row>
    <row r="143" spans="1:171">
      <c r="A143" s="3477"/>
      <c r="B143" s="3206" t="s">
        <v>104</v>
      </c>
      <c r="C143" s="3256"/>
      <c r="D143" s="3257"/>
      <c r="E143" s="3257"/>
      <c r="F143" s="3258"/>
      <c r="G143" s="3265">
        <f>G139-G140+G141-G142</f>
        <v>107194652.7</v>
      </c>
      <c r="H143" s="3265">
        <f>H139-H140+H141-H142</f>
        <v>0</v>
      </c>
      <c r="I143" s="3265">
        <f>I139-I140+I141-I142</f>
        <v>0</v>
      </c>
      <c r="J143" s="3474">
        <f>J139-J140+J141-J142</f>
        <v>107194652.7</v>
      </c>
      <c r="K143" s="3205"/>
      <c r="O143" s="3302">
        <f>O139-O140+O141-O142</f>
        <v>107194652.7</v>
      </c>
      <c r="P143" s="3302">
        <f>P139-P140+P141-P142</f>
        <v>0</v>
      </c>
      <c r="Q143" s="3302">
        <f>Q139-Q140+Q141-Q142</f>
        <v>0</v>
      </c>
      <c r="R143" s="3302">
        <f>R139-R140+R141-R142</f>
        <v>107194652.7</v>
      </c>
      <c r="S143" s="3237"/>
      <c r="W143" s="3302">
        <f>W139-W140+W141-W142</f>
        <v>107194652.7</v>
      </c>
      <c r="X143" s="3302">
        <f>X139-X140+X141-X142</f>
        <v>0</v>
      </c>
      <c r="Y143" s="3302">
        <f>Y139-Y140+Y141-Y142</f>
        <v>0</v>
      </c>
      <c r="Z143" s="3302">
        <f>Z139-Z140+Z141-Z142</f>
        <v>107194652.7</v>
      </c>
      <c r="AA143" s="3237"/>
      <c r="AE143" s="3302">
        <f>AE139-AE140+AE141-AE142</f>
        <v>107194652.7</v>
      </c>
      <c r="AF143" s="3302">
        <f>AF139-AF140+AF141-AF142</f>
        <v>0</v>
      </c>
      <c r="AG143" s="3302">
        <f>AG139-AG140+AG141-AG142</f>
        <v>0</v>
      </c>
      <c r="AH143" s="3302">
        <f>AH139-AH140+AH141-AH142</f>
        <v>107194652.7</v>
      </c>
      <c r="AI143" s="3237"/>
      <c r="AM143" s="3302">
        <f>AM139-AM140+AM141-AM142</f>
        <v>107194652.7</v>
      </c>
      <c r="AN143" s="3302">
        <f>AN139-AN140+AN141-AN142</f>
        <v>0</v>
      </c>
      <c r="AO143" s="3302">
        <f>AO139-AO140+AO141-AO142</f>
        <v>0</v>
      </c>
      <c r="AP143" s="3302">
        <f>AP139-AP140+AP141-AP142</f>
        <v>107194652.7</v>
      </c>
      <c r="AQ143" s="3237"/>
      <c r="AU143" s="3302">
        <f>AU139-AU140+AU141-AU142</f>
        <v>107194652.7</v>
      </c>
      <c r="AV143" s="3302">
        <f>AV139-AV140+AV141-AV142</f>
        <v>0</v>
      </c>
      <c r="AW143" s="3302">
        <f>AW139-AW140+AW141-AW142</f>
        <v>0</v>
      </c>
      <c r="AX143" s="3302">
        <f>AX139-AX140+AX141-AX142</f>
        <v>107194652.7</v>
      </c>
      <c r="AY143" s="3237"/>
      <c r="BC143" s="3302">
        <f>BC139-BC140+BC141-BC142</f>
        <v>107194652.7</v>
      </c>
      <c r="BD143" s="3302">
        <f>BD139-BD140+BD141-BD142</f>
        <v>0</v>
      </c>
      <c r="BE143" s="3302">
        <f>BE139-BE140+BE141-BE142</f>
        <v>0</v>
      </c>
      <c r="BF143" s="3302">
        <f>BF139-BF140+BF141-BF142</f>
        <v>107194652.7</v>
      </c>
      <c r="BG143" s="3237"/>
      <c r="BK143" s="3302">
        <f>BK139-BK140+BK141-BK142</f>
        <v>107194652.7</v>
      </c>
      <c r="BL143" s="3302">
        <f>BL139-BL140+BL141-BL142</f>
        <v>0</v>
      </c>
      <c r="BM143" s="3302">
        <f>BM139-BM140+BM141-BM142</f>
        <v>0</v>
      </c>
      <c r="BN143" s="3302">
        <f>BN139-BN140+BN141-BN142</f>
        <v>107194652.7</v>
      </c>
      <c r="BO143" s="3237"/>
      <c r="BS143" s="3302">
        <f>BS139-BS140+BS141-BS142</f>
        <v>107194652.7</v>
      </c>
      <c r="BT143" s="3302">
        <f>BT139-BT140+BT141-BT142</f>
        <v>0</v>
      </c>
      <c r="BU143" s="3302">
        <f>BU139-BU140+BU141-BU142</f>
        <v>0</v>
      </c>
      <c r="BV143" s="3302">
        <f>BV139-BV140+BV141-BV142</f>
        <v>107194652.7</v>
      </c>
      <c r="BW143" s="3237"/>
      <c r="CA143" s="3302">
        <f>CA139-CA140+CA141-CA142</f>
        <v>107194652.7</v>
      </c>
      <c r="CB143" s="3302">
        <f>CB139-CB140+CB141-CB142</f>
        <v>0</v>
      </c>
      <c r="CC143" s="3302">
        <f>CC139-CC140+CC141-CC142</f>
        <v>0</v>
      </c>
      <c r="CD143" s="3302">
        <f>CD139-CD140+CD141-CD142</f>
        <v>107194652.7</v>
      </c>
      <c r="CE143" s="3237"/>
      <c r="CI143" s="3302">
        <f>CI139-CI140+CI141-CI142</f>
        <v>107194652.7</v>
      </c>
      <c r="CJ143" s="3302">
        <f>CJ139-CJ140+CJ141-CJ142</f>
        <v>0</v>
      </c>
      <c r="CK143" s="3302">
        <f>CK139-CK140+CK141-CK142</f>
        <v>0</v>
      </c>
      <c r="CL143" s="3302">
        <f>CL139-CL140+CL141-CL142</f>
        <v>107194652.7</v>
      </c>
      <c r="CM143" s="3237"/>
      <c r="CQ143" s="3302">
        <f>CQ139-CQ140+CQ141-CQ142</f>
        <v>107194652.7</v>
      </c>
      <c r="CR143" s="3302">
        <f>CR139-CR140+CR141-CR142</f>
        <v>0</v>
      </c>
      <c r="CS143" s="3302">
        <f>CS139-CS140+CS141-CS142</f>
        <v>0</v>
      </c>
      <c r="CT143" s="3302">
        <f>CT139-CT140+CT141-CT142</f>
        <v>107194652.7</v>
      </c>
      <c r="CU143" s="3237"/>
      <c r="CY143" s="3302">
        <f>CY139-CY140+CY141-CY142</f>
        <v>107194652.7</v>
      </c>
      <c r="CZ143" s="3302">
        <f>CZ139-CZ140+CZ141-CZ142</f>
        <v>0</v>
      </c>
      <c r="DA143" s="3302">
        <f>DA139-DA140+DA141-DA142</f>
        <v>0</v>
      </c>
      <c r="DB143" s="3302">
        <f>DB139-DB140+DB141-DB142</f>
        <v>107194652.7</v>
      </c>
      <c r="DC143" s="3237"/>
      <c r="DG143" s="3302">
        <f>DG139-DG140+DG141-DG142</f>
        <v>107194652.7</v>
      </c>
      <c r="DH143" s="3302">
        <f>DH139-DH140+DH141-DH142</f>
        <v>0</v>
      </c>
      <c r="DI143" s="3302">
        <f>DI139-DI140+DI141-DI142</f>
        <v>0</v>
      </c>
      <c r="DJ143" s="3302">
        <f>DJ139-DJ140+DJ141-DJ142</f>
        <v>107194652.7</v>
      </c>
      <c r="DK143" s="3237"/>
      <c r="DO143" s="3302">
        <f>DO139-DO140+DO141-DO142</f>
        <v>107194652.7</v>
      </c>
      <c r="DP143" s="3302">
        <f>DP139-DP140+DP141-DP142</f>
        <v>0</v>
      </c>
      <c r="DQ143" s="3302">
        <f>DQ139-DQ140+DQ141-DQ142</f>
        <v>0</v>
      </c>
      <c r="DR143" s="3302">
        <f>DR139-DR140+DR141-DR142</f>
        <v>107194652.7</v>
      </c>
      <c r="DS143" s="3237"/>
      <c r="DW143" s="3302">
        <f>DW139-DW140+DW141-DW142</f>
        <v>107194652.7</v>
      </c>
      <c r="DX143" s="3302">
        <f>DX139-DX140+DX141-DX142</f>
        <v>0</v>
      </c>
      <c r="DY143" s="3302">
        <f>DY139-DY140+DY141-DY142</f>
        <v>0</v>
      </c>
      <c r="DZ143" s="3302">
        <f>DZ139-DZ140+DZ141-DZ142</f>
        <v>107194652.7</v>
      </c>
      <c r="EA143" s="3237"/>
      <c r="EE143" s="3302">
        <f>EE139-EE140+EE141-EE142</f>
        <v>107194652.7</v>
      </c>
      <c r="EF143" s="3302">
        <f>EF139-EF140+EF141-EF142</f>
        <v>0</v>
      </c>
      <c r="EG143" s="3302">
        <f>EG139-EG140+EG141-EG142</f>
        <v>0</v>
      </c>
      <c r="EH143" s="3302">
        <f>EH139-EH140+EH141-EH142</f>
        <v>107194652.7</v>
      </c>
      <c r="EI143" s="3237"/>
      <c r="EM143" s="3302">
        <f>EM139-EM140+EM141-EM142</f>
        <v>107194652.7</v>
      </c>
      <c r="EN143" s="3302">
        <f>EN139-EN140+EN141-EN142</f>
        <v>0</v>
      </c>
      <c r="EO143" s="3302">
        <f>EO139-EO140+EO141-EO142</f>
        <v>0</v>
      </c>
      <c r="EP143" s="3302">
        <f>EP139-EP140+EP141-EP142</f>
        <v>107194652.7</v>
      </c>
      <c r="EQ143" s="3237"/>
      <c r="EU143" s="3302">
        <f>EU139-EU140+EU141-EU142</f>
        <v>107194652.7</v>
      </c>
      <c r="EV143" s="3302">
        <f>EV139-EV140+EV141-EV142</f>
        <v>0</v>
      </c>
      <c r="EW143" s="3302">
        <f>EW139-EW140+EW141-EW142</f>
        <v>0</v>
      </c>
      <c r="EX143" s="3302">
        <f>EX139-EX140+EX141-EX142</f>
        <v>107194652.7</v>
      </c>
      <c r="EY143" s="3237"/>
      <c r="FC143" s="3302">
        <f>FC139-FC140+FC141-FC142</f>
        <v>107194652.7</v>
      </c>
      <c r="FD143" s="3302">
        <f>FD139-FD140+FD141-FD142</f>
        <v>0</v>
      </c>
      <c r="FE143" s="3302">
        <f>FE139-FE140+FE141-FE142</f>
        <v>0</v>
      </c>
      <c r="FF143" s="3302">
        <f>FF139-FF140+FF141-FF142</f>
        <v>107194652.7</v>
      </c>
      <c r="FG143" s="3237"/>
      <c r="FK143" s="3302">
        <f>FK139-FK140+FK141-FK142</f>
        <v>107194652.7</v>
      </c>
      <c r="FL143" s="3302">
        <f>FL139-FL140+FL141-FL142</f>
        <v>0</v>
      </c>
      <c r="FM143" s="3302">
        <f>FM139-FM140+FM141-FM142</f>
        <v>0</v>
      </c>
      <c r="FN143" s="3302">
        <f>FN139-FN140+FN141-FN142</f>
        <v>107194652.7</v>
      </c>
      <c r="FO143" s="3237"/>
    </row>
    <row r="144" spans="1:171">
      <c r="A144" s="3477"/>
      <c r="B144" s="3206" t="s">
        <v>434</v>
      </c>
      <c r="C144" s="2098"/>
      <c r="D144" s="3300"/>
      <c r="E144" s="2098"/>
      <c r="F144" s="2098"/>
      <c r="G144" s="2182"/>
      <c r="H144" s="2671"/>
      <c r="I144" s="2671"/>
      <c r="J144" s="3165"/>
      <c r="K144" s="3205"/>
      <c r="O144" s="2747"/>
      <c r="S144" s="3237"/>
      <c r="W144" s="2747"/>
      <c r="AA144" s="3237"/>
      <c r="AE144" s="2747"/>
      <c r="AI144" s="3237"/>
      <c r="AM144" s="2747"/>
      <c r="AQ144" s="3237"/>
      <c r="AU144" s="2747"/>
      <c r="AY144" s="3237"/>
      <c r="BC144" s="2747"/>
      <c r="BG144" s="3237"/>
      <c r="BK144" s="2747"/>
      <c r="BO144" s="3237"/>
      <c r="BS144" s="2747"/>
      <c r="BW144" s="3237"/>
      <c r="CA144" s="2747"/>
      <c r="CE144" s="3237"/>
      <c r="CI144" s="2747"/>
      <c r="CM144" s="3237"/>
      <c r="CQ144" s="2747"/>
      <c r="CU144" s="3237"/>
      <c r="CY144" s="2747"/>
      <c r="DC144" s="3237"/>
      <c r="DG144" s="2747"/>
      <c r="DK144" s="3237"/>
      <c r="DO144" s="2747"/>
      <c r="DS144" s="3237"/>
      <c r="DW144" s="2747"/>
      <c r="EA144" s="3237"/>
      <c r="EE144" s="2747"/>
      <c r="EI144" s="3237"/>
      <c r="EM144" s="2747"/>
      <c r="EQ144" s="3237"/>
      <c r="EU144" s="2747"/>
      <c r="EY144" s="3237"/>
      <c r="FC144" s="2747"/>
      <c r="FG144" s="3237"/>
      <c r="FK144" s="2747"/>
      <c r="FO144" s="3237"/>
    </row>
    <row r="145" spans="1:171">
      <c r="A145" s="2092"/>
      <c r="B145" s="2290" t="s">
        <v>372</v>
      </c>
      <c r="C145" s="2464" t="s">
        <v>81</v>
      </c>
      <c r="D145" s="2464">
        <v>244</v>
      </c>
      <c r="E145" s="2424" t="str">
        <f>'Sch 1- Rate Base '!E145</f>
        <v>DIST</v>
      </c>
      <c r="F145" s="2171"/>
      <c r="G145" s="2424">
        <f>'Sch 1- Rate Base '!G145</f>
        <v>0</v>
      </c>
      <c r="H145" s="2424">
        <f>'Sch 1- Rate Base '!H145</f>
        <v>0</v>
      </c>
      <c r="I145" s="2424">
        <f>'Sch 1- Rate Base '!I145</f>
        <v>0</v>
      </c>
      <c r="J145" s="3465">
        <f>'Sch 1- Rate Base '!J145</f>
        <v>0</v>
      </c>
      <c r="K145" s="3205">
        <f t="shared" ref="K145:K155" si="466">IF($E145="DIRECT",0,1)</f>
        <v>1</v>
      </c>
      <c r="O145" s="3235"/>
      <c r="S145" s="3237"/>
      <c r="W145" s="3235"/>
      <c r="AA145" s="3237"/>
      <c r="AE145" s="3235"/>
      <c r="AI145" s="3237"/>
      <c r="AM145" s="3235"/>
      <c r="AQ145" s="3237"/>
      <c r="AU145" s="3235"/>
      <c r="AY145" s="3237"/>
      <c r="BC145" s="3235"/>
      <c r="BG145" s="3237"/>
      <c r="BK145" s="3235"/>
      <c r="BO145" s="3237"/>
      <c r="BS145" s="3235"/>
      <c r="BW145" s="3237"/>
      <c r="CA145" s="3235"/>
      <c r="CE145" s="3237"/>
      <c r="CI145" s="3235"/>
      <c r="CM145" s="3237"/>
      <c r="CQ145" s="3235"/>
      <c r="CU145" s="3237"/>
      <c r="CY145" s="3235"/>
      <c r="DC145" s="3237"/>
      <c r="DG145" s="3235"/>
      <c r="DK145" s="3237"/>
      <c r="DO145" s="3235"/>
      <c r="DS145" s="3237"/>
      <c r="DW145" s="3235"/>
      <c r="EA145" s="3237"/>
      <c r="EE145" s="3235"/>
      <c r="EI145" s="3237"/>
      <c r="EM145" s="3235"/>
      <c r="EQ145" s="3237"/>
      <c r="EU145" s="3235"/>
      <c r="EY145" s="3237"/>
      <c r="FC145" s="3235"/>
      <c r="FG145" s="3237"/>
      <c r="FK145" s="3235"/>
      <c r="FO145" s="3237"/>
    </row>
    <row r="146" spans="1:171">
      <c r="A146" s="2092"/>
      <c r="B146" s="2290" t="s">
        <v>373</v>
      </c>
      <c r="C146" s="2464" t="s">
        <v>346</v>
      </c>
      <c r="D146" s="2464">
        <v>245</v>
      </c>
      <c r="E146" s="2424" t="str">
        <f>'Sch 1- Rate Base '!E146</f>
        <v>DIST</v>
      </c>
      <c r="F146" s="2171"/>
      <c r="G146" s="2424">
        <f>'Sch 1- Rate Base '!G146</f>
        <v>0</v>
      </c>
      <c r="H146" s="2424">
        <f>'Sch 1- Rate Base '!H146</f>
        <v>0</v>
      </c>
      <c r="I146" s="2424">
        <f>'Sch 1- Rate Base '!I146</f>
        <v>0</v>
      </c>
      <c r="J146" s="3465">
        <f>'Sch 1- Rate Base '!J146</f>
        <v>0</v>
      </c>
      <c r="K146" s="3205">
        <f t="shared" si="466"/>
        <v>1</v>
      </c>
      <c r="O146" s="3235"/>
      <c r="S146" s="3237"/>
      <c r="W146" s="3235"/>
      <c r="AA146" s="3237"/>
      <c r="AE146" s="3235"/>
      <c r="AI146" s="3237"/>
      <c r="AM146" s="3235"/>
      <c r="AQ146" s="3237"/>
      <c r="AU146" s="3235"/>
      <c r="AY146" s="3237"/>
      <c r="BC146" s="3235"/>
      <c r="BG146" s="3237"/>
      <c r="BK146" s="3235"/>
      <c r="BO146" s="3237"/>
      <c r="BS146" s="3235"/>
      <c r="BW146" s="3237"/>
      <c r="CA146" s="3235"/>
      <c r="CE146" s="3237"/>
      <c r="CI146" s="3235"/>
      <c r="CM146" s="3237"/>
      <c r="CQ146" s="3235"/>
      <c r="CU146" s="3237"/>
      <c r="CY146" s="3235"/>
      <c r="DC146" s="3237"/>
      <c r="DG146" s="3235"/>
      <c r="DK146" s="3237"/>
      <c r="DO146" s="3235"/>
      <c r="DS146" s="3237"/>
      <c r="DW146" s="3235"/>
      <c r="EA146" s="3237"/>
      <c r="EE146" s="3235"/>
      <c r="EI146" s="3237"/>
      <c r="EM146" s="3235"/>
      <c r="EQ146" s="3237"/>
      <c r="EU146" s="3235"/>
      <c r="EY146" s="3237"/>
      <c r="FC146" s="3235"/>
      <c r="FG146" s="3237"/>
      <c r="FK146" s="3235"/>
      <c r="FO146" s="3237"/>
    </row>
    <row r="147" spans="1:171">
      <c r="A147" s="2092"/>
      <c r="B147" s="2290" t="s">
        <v>22</v>
      </c>
      <c r="C147" s="2464" t="s">
        <v>81</v>
      </c>
      <c r="D147" s="2464">
        <v>252</v>
      </c>
      <c r="E147" s="2424" t="str">
        <f>'Sch 1- Rate Base '!E147</f>
        <v>DIST</v>
      </c>
      <c r="F147" s="2171"/>
      <c r="G147" s="2424">
        <f>'Sch 1- Rate Base '!G147</f>
        <v>141549489.40000001</v>
      </c>
      <c r="H147" s="2424">
        <f>'Sch 1- Rate Base '!H147</f>
        <v>0</v>
      </c>
      <c r="I147" s="2424">
        <f>'Sch 1- Rate Base '!I147</f>
        <v>0</v>
      </c>
      <c r="J147" s="3465">
        <f>'Sch 1- Rate Base '!J147</f>
        <v>141549489.40000001</v>
      </c>
      <c r="K147" s="3205">
        <f t="shared" si="466"/>
        <v>1</v>
      </c>
      <c r="O147" s="3235">
        <f t="shared" ref="O147:O155" si="467">$G147</f>
        <v>141549489.40000001</v>
      </c>
      <c r="P147" s="3236">
        <f t="shared" ref="P147:P155" si="468">VLOOKUP($E147,O$442:R$453,2,FALSE)*O147*($K147)+IF($G147&lt;&gt;0,($H147/$G147)*O147,0)*(1-$K147)</f>
        <v>0</v>
      </c>
      <c r="Q147" s="3236">
        <f t="shared" ref="Q147:Q155" si="469">VLOOKUP($E147,O$442:R$453,3,FALSE)*O147*($K147)+IF($G147&lt;&gt;0,($I147/$G147)*O147,0)*(1-$K147)</f>
        <v>0</v>
      </c>
      <c r="R147" s="3236">
        <f t="shared" ref="R147:R155" si="470">VLOOKUP($E147,O$442:R$453,4,FALSE)*O147*($K147)+(O147-P147-Q147)*(1-$K147)</f>
        <v>141549489.40000001</v>
      </c>
      <c r="S147" s="3237"/>
      <c r="W147" s="3235">
        <f t="shared" ref="W147:W155" si="471">$G147</f>
        <v>141549489.40000001</v>
      </c>
      <c r="X147" s="3236">
        <f t="shared" ref="X147:X155" si="472">VLOOKUP($E147,W$442:Z$453,2,FALSE)*W147*($K147)+IF($G147&lt;&gt;0,($H147/$G147)*W147,0)*(1-$K147)</f>
        <v>0</v>
      </c>
      <c r="Y147" s="3236">
        <f t="shared" ref="Y147:Y155" si="473">VLOOKUP($E147,W$442:Z$453,3,FALSE)*W147*($K147)+IF($G147&lt;&gt;0,($I147/$G147)*W147,0)*(1-$K147)</f>
        <v>0</v>
      </c>
      <c r="Z147" s="3236">
        <f t="shared" ref="Z147:Z155" si="474">VLOOKUP($E147,W$442:Z$453,4,FALSE)*W147*($K147)+(W147-X147-Y147)*(1-$K147)</f>
        <v>141549489.40000001</v>
      </c>
      <c r="AA147" s="3237"/>
      <c r="AE147" s="3235">
        <f t="shared" ref="AE147:AE155" si="475">$G147</f>
        <v>141549489.40000001</v>
      </c>
      <c r="AF147" s="3236">
        <f t="shared" ref="AF147:AF155" si="476">VLOOKUP($E147,AE$442:AH$453,2,FALSE)*AE147*($K147)+IF($G147&lt;&gt;0,($H147/$G147)*AE147,0)*(1-$K147)</f>
        <v>0</v>
      </c>
      <c r="AG147" s="3236">
        <f t="shared" ref="AG147:AG155" si="477">VLOOKUP($E147,AE$442:AH$453,3,FALSE)*AE147*($K147)+IF($G147&lt;&gt;0,($I147/$G147)*AE147,0)*(1-$K147)</f>
        <v>0</v>
      </c>
      <c r="AH147" s="3236">
        <f t="shared" ref="AH147:AH155" si="478">VLOOKUP($E147,AE$442:AH$453,4,FALSE)*AE147*($K147)+(AE147-AF147-AG147)*(1-$K147)</f>
        <v>141549489.40000001</v>
      </c>
      <c r="AI147" s="3237"/>
      <c r="AM147" s="3235">
        <f t="shared" ref="AM147:AM155" si="479">$G147</f>
        <v>141549489.40000001</v>
      </c>
      <c r="AN147" s="3236">
        <f t="shared" ref="AN147:AN155" si="480">VLOOKUP($E147,AM$442:AP$453,2,FALSE)*AM147*($K147)+IF($G147&lt;&gt;0,($H147/$G147)*AM147,0)*(1-$K147)</f>
        <v>0</v>
      </c>
      <c r="AO147" s="3236">
        <f t="shared" ref="AO147:AO155" si="481">VLOOKUP($E147,AM$442:AP$453,3,FALSE)*AM147*($K147)+IF($G147&lt;&gt;0,($I147/$G147)*AM147,0)*(1-$K147)</f>
        <v>0</v>
      </c>
      <c r="AP147" s="3236">
        <f t="shared" ref="AP147:AP155" si="482">VLOOKUP($E147,AM$442:AP$453,4,FALSE)*AM147*($K147)+(AM147-AN147-AO147)*(1-$K147)</f>
        <v>141549489.40000001</v>
      </c>
      <c r="AQ147" s="3237"/>
      <c r="AU147" s="3235">
        <f t="shared" ref="AU147:AU155" si="483">$G147</f>
        <v>141549489.40000001</v>
      </c>
      <c r="AV147" s="3236">
        <f t="shared" ref="AV147:AV155" si="484">VLOOKUP($E147,AU$442:AX$453,2,FALSE)*AU147*($K147)+IF($G147&lt;&gt;0,($H147/$G147)*AU147,0)*(1-$K147)</f>
        <v>0</v>
      </c>
      <c r="AW147" s="3236">
        <f t="shared" ref="AW147:AW155" si="485">VLOOKUP($E147,AU$442:AX$453,3,FALSE)*AU147*($K147)+IF($G147&lt;&gt;0,($I147/$G147)*AU147,0)*(1-$K147)</f>
        <v>0</v>
      </c>
      <c r="AX147" s="3236">
        <f t="shared" ref="AX147:AX155" si="486">VLOOKUP($E147,AU$442:AX$453,4,FALSE)*AU147*($K147)+(AU147-AV147-AW147)*(1-$K147)</f>
        <v>141549489.40000001</v>
      </c>
      <c r="AY147" s="3237"/>
      <c r="BC147" s="3235">
        <f t="shared" ref="BC147:BC155" si="487">$G147</f>
        <v>141549489.40000001</v>
      </c>
      <c r="BD147" s="3236">
        <f t="shared" ref="BD147:BD155" si="488">VLOOKUP($E147,BC$442:BF$453,2,FALSE)*BC147*($K147)+IF($G147&lt;&gt;0,($H147/$G147)*BC147,0)*(1-$K147)</f>
        <v>0</v>
      </c>
      <c r="BE147" s="3236">
        <f t="shared" ref="BE147:BE155" si="489">VLOOKUP($E147,BC$442:BF$453,3,FALSE)*BC147*($K147)+IF($G147&lt;&gt;0,($I147/$G147)*BC147,0)*(1-$K147)</f>
        <v>0</v>
      </c>
      <c r="BF147" s="3236">
        <f t="shared" ref="BF147:BF155" si="490">VLOOKUP($E147,BC$442:BF$453,4,FALSE)*BC147*($K147)+(BC147-BD147-BE147)*(1-$K147)</f>
        <v>141549489.40000001</v>
      </c>
      <c r="BG147" s="3237"/>
      <c r="BK147" s="3235">
        <f t="shared" ref="BK147:BK155" si="491">$G147</f>
        <v>141549489.40000001</v>
      </c>
      <c r="BL147" s="3236">
        <f t="shared" ref="BL147:BL155" si="492">VLOOKUP($E147,BK$442:BN$453,2,FALSE)*BK147*($K147)+IF($G147&lt;&gt;0,($H147/$G147)*BK147,0)*(1-$K147)</f>
        <v>0</v>
      </c>
      <c r="BM147" s="3236">
        <f t="shared" ref="BM147:BM155" si="493">VLOOKUP($E147,BK$442:BN$453,3,FALSE)*BK147*($K147)+IF($G147&lt;&gt;0,($I147/$G147)*BK147,0)*(1-$K147)</f>
        <v>0</v>
      </c>
      <c r="BN147" s="3236">
        <f t="shared" ref="BN147:BN155" si="494">VLOOKUP($E147,BK$442:BN$453,4,FALSE)*BK147*($K147)+(BK147-BL147-BM147)*(1-$K147)</f>
        <v>141549489.40000001</v>
      </c>
      <c r="BO147" s="3237"/>
      <c r="BS147" s="3235">
        <f t="shared" ref="BS147:BS155" si="495">$G147</f>
        <v>141549489.40000001</v>
      </c>
      <c r="BT147" s="3236">
        <f t="shared" ref="BT147:BT155" si="496">VLOOKUP($E147,BS$442:BV$453,2,FALSE)*BS147*($K147)+IF($G147&lt;&gt;0,($H147/$G147)*BS147,0)*(1-$K147)</f>
        <v>0</v>
      </c>
      <c r="BU147" s="3236">
        <f t="shared" ref="BU147:BU155" si="497">VLOOKUP($E147,BS$442:BV$453,3,FALSE)*BS147*($K147)+IF($G147&lt;&gt;0,($I147/$G147)*BS147,0)*(1-$K147)</f>
        <v>0</v>
      </c>
      <c r="BV147" s="3236">
        <f t="shared" ref="BV147:BV155" si="498">VLOOKUP($E147,BS$442:BV$453,4,FALSE)*BS147*($K147)+(BS147-BT147-BU147)*(1-$K147)</f>
        <v>141549489.40000001</v>
      </c>
      <c r="BW147" s="3237"/>
      <c r="CA147" s="3235">
        <f t="shared" ref="CA147:CA155" si="499">$G147</f>
        <v>141549489.40000001</v>
      </c>
      <c r="CB147" s="3236">
        <f t="shared" ref="CB147:CB155" si="500">VLOOKUP($E147,CA$442:CD$453,2,FALSE)*CA147*($K147)+IF($G147&lt;&gt;0,($H147/$G147)*CA147,0)*(1-$K147)</f>
        <v>0</v>
      </c>
      <c r="CC147" s="3236">
        <f t="shared" ref="CC147:CC155" si="501">VLOOKUP($E147,CA$442:CD$453,3,FALSE)*CA147*($K147)+IF($G147&lt;&gt;0,($I147/$G147)*CA147,0)*(1-$K147)</f>
        <v>0</v>
      </c>
      <c r="CD147" s="3236">
        <f t="shared" ref="CD147:CD155" si="502">VLOOKUP($E147,CA$442:CD$453,4,FALSE)*CA147*($K147)+(CA147-CB147-CC147)*(1-$K147)</f>
        <v>141549489.40000001</v>
      </c>
      <c r="CE147" s="3237"/>
      <c r="CI147" s="3235">
        <f t="shared" ref="CI147:CI155" si="503">$G147</f>
        <v>141549489.40000001</v>
      </c>
      <c r="CJ147" s="3236">
        <f t="shared" ref="CJ147:CJ155" si="504">VLOOKUP($E147,CI$442:CL$453,2,FALSE)*CI147*($K147)+IF($G147&lt;&gt;0,($H147/$G147)*CI147,0)*(1-$K147)</f>
        <v>0</v>
      </c>
      <c r="CK147" s="3236">
        <f t="shared" ref="CK147:CK155" si="505">VLOOKUP($E147,CI$442:CL$453,3,FALSE)*CI147*($K147)+IF($G147&lt;&gt;0,($I147/$G147)*CI147,0)*(1-$K147)</f>
        <v>0</v>
      </c>
      <c r="CL147" s="3236">
        <f t="shared" ref="CL147:CL155" si="506">VLOOKUP($E147,CI$442:CL$453,4,FALSE)*CI147*($K147)+(CI147-CJ147-CK147)*(1-$K147)</f>
        <v>141549489.40000001</v>
      </c>
      <c r="CM147" s="3237"/>
      <c r="CQ147" s="3235">
        <f t="shared" ref="CQ147:CQ155" si="507">$G147</f>
        <v>141549489.40000001</v>
      </c>
      <c r="CR147" s="3236">
        <f t="shared" ref="CR147:CR155" si="508">VLOOKUP($E147,CQ$442:CT$453,2,FALSE)*CQ147*($K147)+IF($G147&lt;&gt;0,($H147/$G147)*CQ147,0)*(1-$K147)</f>
        <v>0</v>
      </c>
      <c r="CS147" s="3236">
        <f t="shared" ref="CS147:CS155" si="509">VLOOKUP($E147,CQ$442:CT$453,3,FALSE)*CQ147*($K147)+IF($G147&lt;&gt;0,($I147/$G147)*CQ147,0)*(1-$K147)</f>
        <v>0</v>
      </c>
      <c r="CT147" s="3236">
        <f t="shared" ref="CT147:CT155" si="510">VLOOKUP($E147,CQ$442:CT$453,4,FALSE)*CQ147*($K147)+(CQ147-CR147-CS147)*(1-$K147)</f>
        <v>141549489.40000001</v>
      </c>
      <c r="CU147" s="3237"/>
      <c r="CY147" s="3235">
        <f t="shared" ref="CY147:CY155" si="511">$G147</f>
        <v>141549489.40000001</v>
      </c>
      <c r="CZ147" s="3236">
        <f t="shared" ref="CZ147:CZ155" si="512">VLOOKUP($E147,CY$442:DB$453,2,FALSE)*CY147*($K147)+IF($G147&lt;&gt;0,($H147/$G147)*CY147,0)*(1-$K147)</f>
        <v>0</v>
      </c>
      <c r="DA147" s="3236">
        <f t="shared" ref="DA147:DA155" si="513">VLOOKUP($E147,CY$442:DB$453,3,FALSE)*CY147*($K147)+IF($G147&lt;&gt;0,($I147/$G147)*CY147,0)*(1-$K147)</f>
        <v>0</v>
      </c>
      <c r="DB147" s="3236">
        <f t="shared" ref="DB147:DB155" si="514">VLOOKUP($E147,CY$442:DB$453,4,FALSE)*CY147*($K147)+(CY147-CZ147-DA147)*(1-$K147)</f>
        <v>141549489.40000001</v>
      </c>
      <c r="DC147" s="3237"/>
      <c r="DG147" s="3235">
        <f t="shared" ref="DG147:DG155" si="515">$G147</f>
        <v>141549489.40000001</v>
      </c>
      <c r="DH147" s="3236">
        <f t="shared" ref="DH147:DH155" si="516">VLOOKUP($E147,DG$442:DJ$453,2,FALSE)*DG147*($K147)+IF($G147&lt;&gt;0,($H147/$G147)*DG147,0)*(1-$K147)</f>
        <v>0</v>
      </c>
      <c r="DI147" s="3236">
        <f t="shared" ref="DI147:DI155" si="517">VLOOKUP($E147,DG$442:DJ$453,3,FALSE)*DG147*($K147)+IF($G147&lt;&gt;0,($I147/$G147)*DG147,0)*(1-$K147)</f>
        <v>0</v>
      </c>
      <c r="DJ147" s="3236">
        <f t="shared" ref="DJ147:DJ155" si="518">VLOOKUP($E147,DG$442:DJ$453,4,FALSE)*DG147*($K147)+(DG147-DH147-DI147)*(1-$K147)</f>
        <v>141549489.40000001</v>
      </c>
      <c r="DK147" s="3237"/>
      <c r="DO147" s="3235">
        <f t="shared" ref="DO147:DO155" si="519">$G147</f>
        <v>141549489.40000001</v>
      </c>
      <c r="DP147" s="3236">
        <f t="shared" ref="DP147:DP155" si="520">VLOOKUP($E147,DO$442:DR$453,2,FALSE)*DO147*($K147)+IF($G147&lt;&gt;0,($H147/$G147)*DO147,0)*(1-$K147)</f>
        <v>0</v>
      </c>
      <c r="DQ147" s="3236">
        <f t="shared" ref="DQ147:DQ155" si="521">VLOOKUP($E147,DO$442:DR$453,3,FALSE)*DO147*($K147)+IF($G147&lt;&gt;0,($I147/$G147)*DO147,0)*(1-$K147)</f>
        <v>0</v>
      </c>
      <c r="DR147" s="3236">
        <f t="shared" ref="DR147:DR155" si="522">VLOOKUP($E147,DO$442:DR$453,4,FALSE)*DO147*($K147)+(DO147-DP147-DQ147)*(1-$K147)</f>
        <v>141549489.40000001</v>
      </c>
      <c r="DS147" s="3237"/>
      <c r="DW147" s="3235">
        <f t="shared" ref="DW147:DW155" si="523">$G147</f>
        <v>141549489.40000001</v>
      </c>
      <c r="DX147" s="3236">
        <f t="shared" ref="DX147:DX155" si="524">VLOOKUP($E147,DW$442:DZ$453,2,FALSE)*DW147*($K147)+IF($G147&lt;&gt;0,($H147/$G147)*DW147,0)*(1-$K147)</f>
        <v>0</v>
      </c>
      <c r="DY147" s="3236">
        <f t="shared" ref="DY147:DY155" si="525">VLOOKUP($E147,DW$442:DZ$453,3,FALSE)*DW147*($K147)+IF($G147&lt;&gt;0,($I147/$G147)*DW147,0)*(1-$K147)</f>
        <v>0</v>
      </c>
      <c r="DZ147" s="3236">
        <f t="shared" ref="DZ147:DZ155" si="526">VLOOKUP($E147,DW$442:DZ$453,4,FALSE)*DW147*($K147)+(DW147-DX147-DY147)*(1-$K147)</f>
        <v>141549489.40000001</v>
      </c>
      <c r="EA147" s="3237"/>
      <c r="EE147" s="3235">
        <f t="shared" ref="EE147:EE155" si="527">$G147</f>
        <v>141549489.40000001</v>
      </c>
      <c r="EF147" s="3236">
        <f t="shared" ref="EF147:EF155" si="528">VLOOKUP($E147,EE$442:EH$453,2,FALSE)*EE147*($K147)+IF($G147&lt;&gt;0,($H147/$G147)*EE147,0)*(1-$K147)</f>
        <v>0</v>
      </c>
      <c r="EG147" s="3236">
        <f t="shared" ref="EG147:EG155" si="529">VLOOKUP($E147,EE$442:EH$453,3,FALSE)*EE147*($K147)+IF($G147&lt;&gt;0,($I147/$G147)*EE147,0)*(1-$K147)</f>
        <v>0</v>
      </c>
      <c r="EH147" s="3236">
        <f t="shared" ref="EH147:EH155" si="530">VLOOKUP($E147,EE$442:EH$453,4,FALSE)*EE147*($K147)+(EE147-EF147-EG147)*(1-$K147)</f>
        <v>141549489.40000001</v>
      </c>
      <c r="EI147" s="3237"/>
      <c r="EM147" s="3235">
        <f t="shared" ref="EM147:EM155" si="531">$G147</f>
        <v>141549489.40000001</v>
      </c>
      <c r="EN147" s="3236">
        <f t="shared" ref="EN147:EN155" si="532">VLOOKUP($E147,EM$442:EP$453,2,FALSE)*EM147*($K147)+IF($G147&lt;&gt;0,($H147/$G147)*EM147,0)*(1-$K147)</f>
        <v>0</v>
      </c>
      <c r="EO147" s="3236">
        <f t="shared" ref="EO147:EO155" si="533">VLOOKUP($E147,EM$442:EP$453,3,FALSE)*EM147*($K147)+IF($G147&lt;&gt;0,($I147/$G147)*EM147,0)*(1-$K147)</f>
        <v>0</v>
      </c>
      <c r="EP147" s="3236">
        <f t="shared" ref="EP147:EP155" si="534">VLOOKUP($E147,EM$442:EP$453,4,FALSE)*EM147*($K147)+(EM147-EN147-EO147)*(1-$K147)</f>
        <v>141549489.40000001</v>
      </c>
      <c r="EQ147" s="3237"/>
      <c r="EU147" s="3235">
        <f t="shared" ref="EU147:EU155" si="535">$G147</f>
        <v>141549489.40000001</v>
      </c>
      <c r="EV147" s="3236">
        <f t="shared" ref="EV147:EV155" si="536">VLOOKUP($E147,EU$442:EX$453,2,FALSE)*EU147*($K147)+IF($G147&lt;&gt;0,($H147/$G147)*EU147,0)*(1-$K147)</f>
        <v>0</v>
      </c>
      <c r="EW147" s="3236">
        <f t="shared" ref="EW147:EW155" si="537">VLOOKUP($E147,EU$442:EX$453,3,FALSE)*EU147*($K147)+IF($G147&lt;&gt;0,($I147/$G147)*EU147,0)*(1-$K147)</f>
        <v>0</v>
      </c>
      <c r="EX147" s="3236">
        <f t="shared" ref="EX147:EX155" si="538">VLOOKUP($E147,EU$442:EX$453,4,FALSE)*EU147*($K147)+(EU147-EV147-EW147)*(1-$K147)</f>
        <v>141549489.40000001</v>
      </c>
      <c r="EY147" s="3237"/>
      <c r="FC147" s="3235">
        <f t="shared" ref="FC147:FC155" si="539">$G147</f>
        <v>141549489.40000001</v>
      </c>
      <c r="FD147" s="3236">
        <f t="shared" ref="FD147:FD155" si="540">VLOOKUP($E147,FC$442:FF$453,2,FALSE)*FC147*($K147)+IF($G147&lt;&gt;0,($H147/$G147)*FC147,0)*(1-$K147)</f>
        <v>0</v>
      </c>
      <c r="FE147" s="3236">
        <f t="shared" ref="FE147:FE155" si="541">VLOOKUP($E147,FC$442:FF$453,3,FALSE)*FC147*($K147)+IF($G147&lt;&gt;0,($I147/$G147)*FC147,0)*(1-$K147)</f>
        <v>0</v>
      </c>
      <c r="FF147" s="3236">
        <f t="shared" ref="FF147:FF155" si="542">VLOOKUP($E147,FC$442:FF$453,4,FALSE)*FC147*($K147)+(FC147-FD147-FE147)*(1-$K147)</f>
        <v>141549489.40000001</v>
      </c>
      <c r="FG147" s="3237"/>
      <c r="FK147" s="3235">
        <f t="shared" ref="FK147:FK155" si="543">$G147</f>
        <v>141549489.40000001</v>
      </c>
      <c r="FL147" s="3236">
        <f t="shared" ref="FL147:FL155" si="544">VLOOKUP($E147,FK$442:FN$453,2,FALSE)*FK147*($K147)+IF($G147&lt;&gt;0,($H147/$G147)*FK147,0)*(1-$K147)</f>
        <v>0</v>
      </c>
      <c r="FM147" s="3236">
        <f t="shared" ref="FM147:FM155" si="545">VLOOKUP($E147,FK$442:FN$453,3,FALSE)*FK147*($K147)+IF($G147&lt;&gt;0,($I147/$G147)*FK147,0)*(1-$K147)</f>
        <v>0</v>
      </c>
      <c r="FN147" s="3236">
        <f t="shared" ref="FN147:FN155" si="546">VLOOKUP($E147,FK$442:FN$453,4,FALSE)*FK147*($K147)+(FK147-FL147-FM147)*(1-$K147)</f>
        <v>141549489.40000001</v>
      </c>
      <c r="FO147" s="3237"/>
    </row>
    <row r="148" spans="1:171">
      <c r="A148" s="2092"/>
      <c r="B148" s="2290" t="s">
        <v>25</v>
      </c>
      <c r="C148" s="2464" t="s">
        <v>81</v>
      </c>
      <c r="D148" s="2464">
        <v>253</v>
      </c>
      <c r="E148" s="2424" t="str">
        <f>'Sch 1- Rate Base '!E148</f>
        <v>DIRECT</v>
      </c>
      <c r="F148" s="2171"/>
      <c r="G148" s="2424">
        <f>'Sch 1- Rate Base '!G148</f>
        <v>240685828.18268144</v>
      </c>
      <c r="H148" s="2424">
        <f>'Sch 1- Rate Base '!H148</f>
        <v>74029658.958190456</v>
      </c>
      <c r="I148" s="2424">
        <f>'Sch 1- Rate Base '!I148</f>
        <v>0</v>
      </c>
      <c r="J148" s="3465">
        <f>'Sch 1- Rate Base '!J148</f>
        <v>166656169.22449097</v>
      </c>
      <c r="K148" s="3205">
        <f t="shared" si="466"/>
        <v>0</v>
      </c>
      <c r="O148" s="3235">
        <f t="shared" si="467"/>
        <v>240685828.18268144</v>
      </c>
      <c r="P148" s="3236">
        <f t="shared" si="468"/>
        <v>74029658.958190456</v>
      </c>
      <c r="Q148" s="3236">
        <f t="shared" si="469"/>
        <v>0</v>
      </c>
      <c r="R148" s="3236">
        <f t="shared" si="470"/>
        <v>166656169.224491</v>
      </c>
      <c r="S148" s="3237"/>
      <c r="W148" s="3235">
        <f t="shared" si="471"/>
        <v>240685828.18268144</v>
      </c>
      <c r="X148" s="3236">
        <f t="shared" si="472"/>
        <v>74029658.958190456</v>
      </c>
      <c r="Y148" s="3236">
        <f t="shared" si="473"/>
        <v>0</v>
      </c>
      <c r="Z148" s="3236">
        <f t="shared" si="474"/>
        <v>166656169.224491</v>
      </c>
      <c r="AA148" s="3237"/>
      <c r="AE148" s="3235">
        <f t="shared" si="475"/>
        <v>240685828.18268144</v>
      </c>
      <c r="AF148" s="3236">
        <f t="shared" si="476"/>
        <v>74029658.958190456</v>
      </c>
      <c r="AG148" s="3236">
        <f t="shared" si="477"/>
        <v>0</v>
      </c>
      <c r="AH148" s="3236">
        <f t="shared" si="478"/>
        <v>166656169.224491</v>
      </c>
      <c r="AI148" s="3237"/>
      <c r="AM148" s="3235">
        <f t="shared" si="479"/>
        <v>240685828.18268144</v>
      </c>
      <c r="AN148" s="3236">
        <f t="shared" si="480"/>
        <v>74029658.958190456</v>
      </c>
      <c r="AO148" s="3236">
        <f t="shared" si="481"/>
        <v>0</v>
      </c>
      <c r="AP148" s="3236">
        <f t="shared" si="482"/>
        <v>166656169.224491</v>
      </c>
      <c r="AQ148" s="3237"/>
      <c r="AU148" s="3235">
        <f t="shared" si="483"/>
        <v>240685828.18268144</v>
      </c>
      <c r="AV148" s="3236">
        <f t="shared" si="484"/>
        <v>74029658.958190456</v>
      </c>
      <c r="AW148" s="3236">
        <f t="shared" si="485"/>
        <v>0</v>
      </c>
      <c r="AX148" s="3236">
        <f t="shared" si="486"/>
        <v>166656169.224491</v>
      </c>
      <c r="AY148" s="3237"/>
      <c r="BC148" s="3235">
        <f t="shared" si="487"/>
        <v>240685828.18268144</v>
      </c>
      <c r="BD148" s="3236">
        <f t="shared" si="488"/>
        <v>74029658.958190456</v>
      </c>
      <c r="BE148" s="3236">
        <f t="shared" si="489"/>
        <v>0</v>
      </c>
      <c r="BF148" s="3236">
        <f t="shared" si="490"/>
        <v>166656169.224491</v>
      </c>
      <c r="BG148" s="3237"/>
      <c r="BK148" s="3235">
        <f t="shared" si="491"/>
        <v>240685828.18268144</v>
      </c>
      <c r="BL148" s="3236">
        <f t="shared" si="492"/>
        <v>74029658.958190456</v>
      </c>
      <c r="BM148" s="3236">
        <f t="shared" si="493"/>
        <v>0</v>
      </c>
      <c r="BN148" s="3236">
        <f t="shared" si="494"/>
        <v>166656169.224491</v>
      </c>
      <c r="BO148" s="3237"/>
      <c r="BS148" s="3235">
        <f t="shared" si="495"/>
        <v>240685828.18268144</v>
      </c>
      <c r="BT148" s="3236">
        <f t="shared" si="496"/>
        <v>74029658.958190456</v>
      </c>
      <c r="BU148" s="3236">
        <f t="shared" si="497"/>
        <v>0</v>
      </c>
      <c r="BV148" s="3236">
        <f t="shared" si="498"/>
        <v>166656169.224491</v>
      </c>
      <c r="BW148" s="3237"/>
      <c r="CA148" s="3235">
        <f t="shared" si="499"/>
        <v>240685828.18268144</v>
      </c>
      <c r="CB148" s="3236">
        <f t="shared" si="500"/>
        <v>74029658.958190456</v>
      </c>
      <c r="CC148" s="3236">
        <f t="shared" si="501"/>
        <v>0</v>
      </c>
      <c r="CD148" s="3236">
        <f t="shared" si="502"/>
        <v>166656169.224491</v>
      </c>
      <c r="CE148" s="3237"/>
      <c r="CI148" s="3235">
        <f t="shared" si="503"/>
        <v>240685828.18268144</v>
      </c>
      <c r="CJ148" s="3236">
        <f t="shared" si="504"/>
        <v>74029658.958190456</v>
      </c>
      <c r="CK148" s="3236">
        <f t="shared" si="505"/>
        <v>0</v>
      </c>
      <c r="CL148" s="3236">
        <f t="shared" si="506"/>
        <v>166656169.224491</v>
      </c>
      <c r="CM148" s="3237"/>
      <c r="CQ148" s="3235">
        <f t="shared" si="507"/>
        <v>240685828.18268144</v>
      </c>
      <c r="CR148" s="3236">
        <f t="shared" si="508"/>
        <v>74029658.958190456</v>
      </c>
      <c r="CS148" s="3236">
        <f t="shared" si="509"/>
        <v>0</v>
      </c>
      <c r="CT148" s="3236">
        <f t="shared" si="510"/>
        <v>166656169.224491</v>
      </c>
      <c r="CU148" s="3237"/>
      <c r="CY148" s="3235">
        <f t="shared" si="511"/>
        <v>240685828.18268144</v>
      </c>
      <c r="CZ148" s="3236">
        <f t="shared" si="512"/>
        <v>74029658.958190456</v>
      </c>
      <c r="DA148" s="3236">
        <f t="shared" si="513"/>
        <v>0</v>
      </c>
      <c r="DB148" s="3236">
        <f t="shared" si="514"/>
        <v>166656169.224491</v>
      </c>
      <c r="DC148" s="3237"/>
      <c r="DG148" s="3235">
        <f t="shared" si="515"/>
        <v>240685828.18268144</v>
      </c>
      <c r="DH148" s="3236">
        <f t="shared" si="516"/>
        <v>74029658.958190456</v>
      </c>
      <c r="DI148" s="3236">
        <f t="shared" si="517"/>
        <v>0</v>
      </c>
      <c r="DJ148" s="3236">
        <f t="shared" si="518"/>
        <v>166656169.224491</v>
      </c>
      <c r="DK148" s="3237"/>
      <c r="DO148" s="3235">
        <f t="shared" si="519"/>
        <v>240685828.18268144</v>
      </c>
      <c r="DP148" s="3236">
        <f t="shared" si="520"/>
        <v>74029658.958190456</v>
      </c>
      <c r="DQ148" s="3236">
        <f t="shared" si="521"/>
        <v>0</v>
      </c>
      <c r="DR148" s="3236">
        <f t="shared" si="522"/>
        <v>166656169.224491</v>
      </c>
      <c r="DS148" s="3237"/>
      <c r="DW148" s="3235">
        <f t="shared" si="523"/>
        <v>240685828.18268144</v>
      </c>
      <c r="DX148" s="3236">
        <f t="shared" si="524"/>
        <v>74029658.958190456</v>
      </c>
      <c r="DY148" s="3236">
        <f t="shared" si="525"/>
        <v>0</v>
      </c>
      <c r="DZ148" s="3236">
        <f t="shared" si="526"/>
        <v>166656169.224491</v>
      </c>
      <c r="EA148" s="3237"/>
      <c r="EE148" s="3235">
        <f t="shared" si="527"/>
        <v>240685828.18268144</v>
      </c>
      <c r="EF148" s="3236">
        <f t="shared" si="528"/>
        <v>74029658.958190456</v>
      </c>
      <c r="EG148" s="3236">
        <f t="shared" si="529"/>
        <v>0</v>
      </c>
      <c r="EH148" s="3236">
        <f t="shared" si="530"/>
        <v>166656169.224491</v>
      </c>
      <c r="EI148" s="3237"/>
      <c r="EM148" s="3235">
        <f t="shared" si="531"/>
        <v>240685828.18268144</v>
      </c>
      <c r="EN148" s="3236">
        <f t="shared" si="532"/>
        <v>74029658.958190456</v>
      </c>
      <c r="EO148" s="3236">
        <f t="shared" si="533"/>
        <v>0</v>
      </c>
      <c r="EP148" s="3236">
        <f t="shared" si="534"/>
        <v>166656169.224491</v>
      </c>
      <c r="EQ148" s="3237"/>
      <c r="EU148" s="3235">
        <f t="shared" si="535"/>
        <v>240685828.18268144</v>
      </c>
      <c r="EV148" s="3236">
        <f t="shared" si="536"/>
        <v>74029658.958190456</v>
      </c>
      <c r="EW148" s="3236">
        <f t="shared" si="537"/>
        <v>0</v>
      </c>
      <c r="EX148" s="3236">
        <f t="shared" si="538"/>
        <v>166656169.224491</v>
      </c>
      <c r="EY148" s="3237"/>
      <c r="FC148" s="3235">
        <f t="shared" si="539"/>
        <v>240685828.18268144</v>
      </c>
      <c r="FD148" s="3236">
        <f t="shared" si="540"/>
        <v>74029658.958190456</v>
      </c>
      <c r="FE148" s="3236">
        <f t="shared" si="541"/>
        <v>0</v>
      </c>
      <c r="FF148" s="3236">
        <f t="shared" si="542"/>
        <v>166656169.224491</v>
      </c>
      <c r="FG148" s="3237"/>
      <c r="FK148" s="3235">
        <f t="shared" si="543"/>
        <v>240685828.18268144</v>
      </c>
      <c r="FL148" s="3236">
        <f t="shared" si="544"/>
        <v>74029658.958190456</v>
      </c>
      <c r="FM148" s="3236">
        <f t="shared" si="545"/>
        <v>0</v>
      </c>
      <c r="FN148" s="3236">
        <f t="shared" si="546"/>
        <v>166656169.224491</v>
      </c>
      <c r="FO148" s="3237"/>
    </row>
    <row r="149" spans="1:171">
      <c r="A149" s="2092"/>
      <c r="B149" s="2290" t="s">
        <v>26</v>
      </c>
      <c r="C149" s="2464" t="s">
        <v>81</v>
      </c>
      <c r="D149" s="2464">
        <v>254</v>
      </c>
      <c r="E149" s="2424" t="str">
        <f>'Sch 1- Rate Base '!E149</f>
        <v>DIRECT</v>
      </c>
      <c r="F149" s="2171"/>
      <c r="G149" s="2424">
        <f>'Sch 1- Rate Base '!G149</f>
        <v>529787017.69000006</v>
      </c>
      <c r="H149" s="2424">
        <f>'Sch 1- Rate Base '!H149</f>
        <v>317891.18</v>
      </c>
      <c r="I149" s="2424">
        <f>'Sch 1- Rate Base '!I149</f>
        <v>0</v>
      </c>
      <c r="J149" s="3465">
        <f>'Sch 1- Rate Base '!J149</f>
        <v>529469126.51000005</v>
      </c>
      <c r="K149" s="3205">
        <f t="shared" si="466"/>
        <v>0</v>
      </c>
      <c r="O149" s="3235">
        <f t="shared" si="467"/>
        <v>529787017.69000006</v>
      </c>
      <c r="P149" s="3236">
        <f t="shared" si="468"/>
        <v>317891.18</v>
      </c>
      <c r="Q149" s="3236">
        <f t="shared" si="469"/>
        <v>0</v>
      </c>
      <c r="R149" s="3236">
        <f t="shared" si="470"/>
        <v>529469126.51000005</v>
      </c>
      <c r="S149" s="3237"/>
      <c r="W149" s="3235">
        <f t="shared" si="471"/>
        <v>529787017.69000006</v>
      </c>
      <c r="X149" s="3236">
        <f t="shared" si="472"/>
        <v>317891.18</v>
      </c>
      <c r="Y149" s="3236">
        <f t="shared" si="473"/>
        <v>0</v>
      </c>
      <c r="Z149" s="3236">
        <f t="shared" si="474"/>
        <v>529469126.51000005</v>
      </c>
      <c r="AA149" s="3237"/>
      <c r="AE149" s="3235">
        <f t="shared" si="475"/>
        <v>529787017.69000006</v>
      </c>
      <c r="AF149" s="3236">
        <f t="shared" si="476"/>
        <v>317891.18</v>
      </c>
      <c r="AG149" s="3236">
        <f t="shared" si="477"/>
        <v>0</v>
      </c>
      <c r="AH149" s="3236">
        <f t="shared" si="478"/>
        <v>529469126.51000005</v>
      </c>
      <c r="AI149" s="3237"/>
      <c r="AM149" s="3235">
        <f t="shared" si="479"/>
        <v>529787017.69000006</v>
      </c>
      <c r="AN149" s="3236">
        <f t="shared" si="480"/>
        <v>317891.18</v>
      </c>
      <c r="AO149" s="3236">
        <f t="shared" si="481"/>
        <v>0</v>
      </c>
      <c r="AP149" s="3236">
        <f t="shared" si="482"/>
        <v>529469126.51000005</v>
      </c>
      <c r="AQ149" s="3237"/>
      <c r="AU149" s="3235">
        <f t="shared" si="483"/>
        <v>529787017.69000006</v>
      </c>
      <c r="AV149" s="3236">
        <f t="shared" si="484"/>
        <v>317891.18</v>
      </c>
      <c r="AW149" s="3236">
        <f t="shared" si="485"/>
        <v>0</v>
      </c>
      <c r="AX149" s="3236">
        <f t="shared" si="486"/>
        <v>529469126.51000005</v>
      </c>
      <c r="AY149" s="3237"/>
      <c r="BC149" s="3235">
        <f t="shared" si="487"/>
        <v>529787017.69000006</v>
      </c>
      <c r="BD149" s="3236">
        <f t="shared" si="488"/>
        <v>317891.18</v>
      </c>
      <c r="BE149" s="3236">
        <f t="shared" si="489"/>
        <v>0</v>
      </c>
      <c r="BF149" s="3236">
        <f t="shared" si="490"/>
        <v>529469126.51000005</v>
      </c>
      <c r="BG149" s="3237"/>
      <c r="BK149" s="3235">
        <f t="shared" si="491"/>
        <v>529787017.69000006</v>
      </c>
      <c r="BL149" s="3236">
        <f t="shared" si="492"/>
        <v>317891.18</v>
      </c>
      <c r="BM149" s="3236">
        <f t="shared" si="493"/>
        <v>0</v>
      </c>
      <c r="BN149" s="3236">
        <f t="shared" si="494"/>
        <v>529469126.51000005</v>
      </c>
      <c r="BO149" s="3237"/>
      <c r="BS149" s="3235">
        <f t="shared" si="495"/>
        <v>529787017.69000006</v>
      </c>
      <c r="BT149" s="3236">
        <f t="shared" si="496"/>
        <v>317891.18</v>
      </c>
      <c r="BU149" s="3236">
        <f t="shared" si="497"/>
        <v>0</v>
      </c>
      <c r="BV149" s="3236">
        <f t="shared" si="498"/>
        <v>529469126.51000005</v>
      </c>
      <c r="BW149" s="3237"/>
      <c r="CA149" s="3235">
        <f t="shared" si="499"/>
        <v>529787017.69000006</v>
      </c>
      <c r="CB149" s="3236">
        <f t="shared" si="500"/>
        <v>317891.18</v>
      </c>
      <c r="CC149" s="3236">
        <f t="shared" si="501"/>
        <v>0</v>
      </c>
      <c r="CD149" s="3236">
        <f t="shared" si="502"/>
        <v>529469126.51000005</v>
      </c>
      <c r="CE149" s="3237"/>
      <c r="CI149" s="3235">
        <f t="shared" si="503"/>
        <v>529787017.69000006</v>
      </c>
      <c r="CJ149" s="3236">
        <f t="shared" si="504"/>
        <v>317891.18</v>
      </c>
      <c r="CK149" s="3236">
        <f t="shared" si="505"/>
        <v>0</v>
      </c>
      <c r="CL149" s="3236">
        <f t="shared" si="506"/>
        <v>529469126.51000005</v>
      </c>
      <c r="CM149" s="3237"/>
      <c r="CQ149" s="3235">
        <f t="shared" si="507"/>
        <v>529787017.69000006</v>
      </c>
      <c r="CR149" s="3236">
        <f t="shared" si="508"/>
        <v>317891.18</v>
      </c>
      <c r="CS149" s="3236">
        <f t="shared" si="509"/>
        <v>0</v>
      </c>
      <c r="CT149" s="3236">
        <f t="shared" si="510"/>
        <v>529469126.51000005</v>
      </c>
      <c r="CU149" s="3237"/>
      <c r="CY149" s="3235">
        <f t="shared" si="511"/>
        <v>529787017.69000006</v>
      </c>
      <c r="CZ149" s="3236">
        <f t="shared" si="512"/>
        <v>317891.18</v>
      </c>
      <c r="DA149" s="3236">
        <f t="shared" si="513"/>
        <v>0</v>
      </c>
      <c r="DB149" s="3236">
        <f t="shared" si="514"/>
        <v>529469126.51000005</v>
      </c>
      <c r="DC149" s="3237"/>
      <c r="DG149" s="3235">
        <f t="shared" si="515"/>
        <v>529787017.69000006</v>
      </c>
      <c r="DH149" s="3236">
        <f t="shared" si="516"/>
        <v>317891.18</v>
      </c>
      <c r="DI149" s="3236">
        <f t="shared" si="517"/>
        <v>0</v>
      </c>
      <c r="DJ149" s="3236">
        <f t="shared" si="518"/>
        <v>529469126.51000005</v>
      </c>
      <c r="DK149" s="3237"/>
      <c r="DO149" s="3235">
        <f t="shared" si="519"/>
        <v>529787017.69000006</v>
      </c>
      <c r="DP149" s="3236">
        <f t="shared" si="520"/>
        <v>317891.18</v>
      </c>
      <c r="DQ149" s="3236">
        <f t="shared" si="521"/>
        <v>0</v>
      </c>
      <c r="DR149" s="3236">
        <f t="shared" si="522"/>
        <v>529469126.51000005</v>
      </c>
      <c r="DS149" s="3237"/>
      <c r="DW149" s="3235">
        <f t="shared" si="523"/>
        <v>529787017.69000006</v>
      </c>
      <c r="DX149" s="3236">
        <f t="shared" si="524"/>
        <v>317891.18</v>
      </c>
      <c r="DY149" s="3236">
        <f t="shared" si="525"/>
        <v>0</v>
      </c>
      <c r="DZ149" s="3236">
        <f t="shared" si="526"/>
        <v>529469126.51000005</v>
      </c>
      <c r="EA149" s="3237"/>
      <c r="EE149" s="3235">
        <f t="shared" si="527"/>
        <v>529787017.69000006</v>
      </c>
      <c r="EF149" s="3236">
        <f t="shared" si="528"/>
        <v>317891.18</v>
      </c>
      <c r="EG149" s="3236">
        <f t="shared" si="529"/>
        <v>0</v>
      </c>
      <c r="EH149" s="3236">
        <f t="shared" si="530"/>
        <v>529469126.51000005</v>
      </c>
      <c r="EI149" s="3237"/>
      <c r="EM149" s="3235">
        <f t="shared" si="531"/>
        <v>529787017.69000006</v>
      </c>
      <c r="EN149" s="3236">
        <f t="shared" si="532"/>
        <v>317891.18</v>
      </c>
      <c r="EO149" s="3236">
        <f t="shared" si="533"/>
        <v>0</v>
      </c>
      <c r="EP149" s="3236">
        <f t="shared" si="534"/>
        <v>529469126.51000005</v>
      </c>
      <c r="EQ149" s="3237"/>
      <c r="EU149" s="3235">
        <f t="shared" si="535"/>
        <v>529787017.69000006</v>
      </c>
      <c r="EV149" s="3236">
        <f t="shared" si="536"/>
        <v>317891.18</v>
      </c>
      <c r="EW149" s="3236">
        <f t="shared" si="537"/>
        <v>0</v>
      </c>
      <c r="EX149" s="3236">
        <f t="shared" si="538"/>
        <v>529469126.51000005</v>
      </c>
      <c r="EY149" s="3237"/>
      <c r="FC149" s="3235">
        <f t="shared" si="539"/>
        <v>529787017.69000006</v>
      </c>
      <c r="FD149" s="3236">
        <f t="shared" si="540"/>
        <v>317891.18</v>
      </c>
      <c r="FE149" s="3236">
        <f t="shared" si="541"/>
        <v>0</v>
      </c>
      <c r="FF149" s="3236">
        <f t="shared" si="542"/>
        <v>529469126.51000005</v>
      </c>
      <c r="FG149" s="3237"/>
      <c r="FK149" s="3235">
        <f t="shared" si="543"/>
        <v>529787017.69000006</v>
      </c>
      <c r="FL149" s="3236">
        <f t="shared" si="544"/>
        <v>317891.18</v>
      </c>
      <c r="FM149" s="3236">
        <f t="shared" si="545"/>
        <v>0</v>
      </c>
      <c r="FN149" s="3236">
        <f t="shared" si="546"/>
        <v>529469126.51000005</v>
      </c>
      <c r="FO149" s="3237"/>
    </row>
    <row r="150" spans="1:171">
      <c r="A150" s="2092"/>
      <c r="B150" s="2290" t="s">
        <v>23</v>
      </c>
      <c r="C150" s="2464" t="s">
        <v>81</v>
      </c>
      <c r="D150" s="2464">
        <v>255</v>
      </c>
      <c r="E150" s="2424" t="str">
        <f>'Sch 1- Rate Base '!E150</f>
        <v>DIST</v>
      </c>
      <c r="F150" s="2171"/>
      <c r="G150" s="2424">
        <f>'Sch 1- Rate Base '!G150</f>
        <v>0</v>
      </c>
      <c r="H150" s="2424">
        <f>'Sch 1- Rate Base '!H150</f>
        <v>0</v>
      </c>
      <c r="I150" s="2424">
        <f>'Sch 1- Rate Base '!I150</f>
        <v>0</v>
      </c>
      <c r="J150" s="3465">
        <f>'Sch 1- Rate Base '!J150</f>
        <v>0</v>
      </c>
      <c r="K150" s="3205">
        <f t="shared" si="466"/>
        <v>1</v>
      </c>
      <c r="O150" s="3235">
        <f t="shared" si="467"/>
        <v>0</v>
      </c>
      <c r="P150" s="3236">
        <f t="shared" si="468"/>
        <v>0</v>
      </c>
      <c r="Q150" s="3236">
        <f t="shared" si="469"/>
        <v>0</v>
      </c>
      <c r="R150" s="3236">
        <f t="shared" si="470"/>
        <v>0</v>
      </c>
      <c r="S150" s="3237"/>
      <c r="W150" s="3235">
        <f t="shared" si="471"/>
        <v>0</v>
      </c>
      <c r="X150" s="3236">
        <f t="shared" si="472"/>
        <v>0</v>
      </c>
      <c r="Y150" s="3236">
        <f t="shared" si="473"/>
        <v>0</v>
      </c>
      <c r="Z150" s="3236">
        <f t="shared" si="474"/>
        <v>0</v>
      </c>
      <c r="AA150" s="3237"/>
      <c r="AE150" s="3235">
        <f t="shared" si="475"/>
        <v>0</v>
      </c>
      <c r="AF150" s="3236">
        <f t="shared" si="476"/>
        <v>0</v>
      </c>
      <c r="AG150" s="3236">
        <f t="shared" si="477"/>
        <v>0</v>
      </c>
      <c r="AH150" s="3236">
        <f t="shared" si="478"/>
        <v>0</v>
      </c>
      <c r="AI150" s="3237"/>
      <c r="AM150" s="3235">
        <f t="shared" si="479"/>
        <v>0</v>
      </c>
      <c r="AN150" s="3236">
        <f t="shared" si="480"/>
        <v>0</v>
      </c>
      <c r="AO150" s="3236">
        <f t="shared" si="481"/>
        <v>0</v>
      </c>
      <c r="AP150" s="3236">
        <f t="shared" si="482"/>
        <v>0</v>
      </c>
      <c r="AQ150" s="3237"/>
      <c r="AU150" s="3235">
        <f t="shared" si="483"/>
        <v>0</v>
      </c>
      <c r="AV150" s="3236">
        <f t="shared" si="484"/>
        <v>0</v>
      </c>
      <c r="AW150" s="3236">
        <f t="shared" si="485"/>
        <v>0</v>
      </c>
      <c r="AX150" s="3236">
        <f t="shared" si="486"/>
        <v>0</v>
      </c>
      <c r="AY150" s="3237"/>
      <c r="BC150" s="3235">
        <f t="shared" si="487"/>
        <v>0</v>
      </c>
      <c r="BD150" s="3236">
        <f t="shared" si="488"/>
        <v>0</v>
      </c>
      <c r="BE150" s="3236">
        <f t="shared" si="489"/>
        <v>0</v>
      </c>
      <c r="BF150" s="3236">
        <f t="shared" si="490"/>
        <v>0</v>
      </c>
      <c r="BG150" s="3237"/>
      <c r="BK150" s="3235">
        <f t="shared" si="491"/>
        <v>0</v>
      </c>
      <c r="BL150" s="3236">
        <f t="shared" si="492"/>
        <v>0</v>
      </c>
      <c r="BM150" s="3236">
        <f t="shared" si="493"/>
        <v>0</v>
      </c>
      <c r="BN150" s="3236">
        <f t="shared" si="494"/>
        <v>0</v>
      </c>
      <c r="BO150" s="3237"/>
      <c r="BS150" s="3235">
        <f t="shared" si="495"/>
        <v>0</v>
      </c>
      <c r="BT150" s="3236">
        <f t="shared" si="496"/>
        <v>0</v>
      </c>
      <c r="BU150" s="3236">
        <f t="shared" si="497"/>
        <v>0</v>
      </c>
      <c r="BV150" s="3236">
        <f t="shared" si="498"/>
        <v>0</v>
      </c>
      <c r="BW150" s="3237"/>
      <c r="CA150" s="3235">
        <f t="shared" si="499"/>
        <v>0</v>
      </c>
      <c r="CB150" s="3236">
        <f t="shared" si="500"/>
        <v>0</v>
      </c>
      <c r="CC150" s="3236">
        <f t="shared" si="501"/>
        <v>0</v>
      </c>
      <c r="CD150" s="3236">
        <f t="shared" si="502"/>
        <v>0</v>
      </c>
      <c r="CE150" s="3237"/>
      <c r="CI150" s="3235">
        <f t="shared" si="503"/>
        <v>0</v>
      </c>
      <c r="CJ150" s="3236">
        <f t="shared" si="504"/>
        <v>0</v>
      </c>
      <c r="CK150" s="3236">
        <f t="shared" si="505"/>
        <v>0</v>
      </c>
      <c r="CL150" s="3236">
        <f t="shared" si="506"/>
        <v>0</v>
      </c>
      <c r="CM150" s="3237"/>
      <c r="CQ150" s="3235">
        <f t="shared" si="507"/>
        <v>0</v>
      </c>
      <c r="CR150" s="3236">
        <f t="shared" si="508"/>
        <v>0</v>
      </c>
      <c r="CS150" s="3236">
        <f t="shared" si="509"/>
        <v>0</v>
      </c>
      <c r="CT150" s="3236">
        <f t="shared" si="510"/>
        <v>0</v>
      </c>
      <c r="CU150" s="3237"/>
      <c r="CY150" s="3235">
        <f t="shared" si="511"/>
        <v>0</v>
      </c>
      <c r="CZ150" s="3236">
        <f t="shared" si="512"/>
        <v>0</v>
      </c>
      <c r="DA150" s="3236">
        <f t="shared" si="513"/>
        <v>0</v>
      </c>
      <c r="DB150" s="3236">
        <f t="shared" si="514"/>
        <v>0</v>
      </c>
      <c r="DC150" s="3237"/>
      <c r="DG150" s="3235">
        <f t="shared" si="515"/>
        <v>0</v>
      </c>
      <c r="DH150" s="3236">
        <f t="shared" si="516"/>
        <v>0</v>
      </c>
      <c r="DI150" s="3236">
        <f t="shared" si="517"/>
        <v>0</v>
      </c>
      <c r="DJ150" s="3236">
        <f t="shared" si="518"/>
        <v>0</v>
      </c>
      <c r="DK150" s="3237"/>
      <c r="DO150" s="3235">
        <f t="shared" si="519"/>
        <v>0</v>
      </c>
      <c r="DP150" s="3236">
        <f t="shared" si="520"/>
        <v>0</v>
      </c>
      <c r="DQ150" s="3236">
        <f t="shared" si="521"/>
        <v>0</v>
      </c>
      <c r="DR150" s="3236">
        <f t="shared" si="522"/>
        <v>0</v>
      </c>
      <c r="DS150" s="3237"/>
      <c r="DW150" s="3235">
        <f t="shared" si="523"/>
        <v>0</v>
      </c>
      <c r="DX150" s="3236">
        <f t="shared" si="524"/>
        <v>0</v>
      </c>
      <c r="DY150" s="3236">
        <f t="shared" si="525"/>
        <v>0</v>
      </c>
      <c r="DZ150" s="3236">
        <f t="shared" si="526"/>
        <v>0</v>
      </c>
      <c r="EA150" s="3237"/>
      <c r="EE150" s="3235">
        <f t="shared" si="527"/>
        <v>0</v>
      </c>
      <c r="EF150" s="3236">
        <f t="shared" si="528"/>
        <v>0</v>
      </c>
      <c r="EG150" s="3236">
        <f t="shared" si="529"/>
        <v>0</v>
      </c>
      <c r="EH150" s="3236">
        <f t="shared" si="530"/>
        <v>0</v>
      </c>
      <c r="EI150" s="3237"/>
      <c r="EM150" s="3235">
        <f t="shared" si="531"/>
        <v>0</v>
      </c>
      <c r="EN150" s="3236">
        <f t="shared" si="532"/>
        <v>0</v>
      </c>
      <c r="EO150" s="3236">
        <f t="shared" si="533"/>
        <v>0</v>
      </c>
      <c r="EP150" s="3236">
        <f t="shared" si="534"/>
        <v>0</v>
      </c>
      <c r="EQ150" s="3237"/>
      <c r="EU150" s="3235">
        <f t="shared" si="535"/>
        <v>0</v>
      </c>
      <c r="EV150" s="3236">
        <f t="shared" si="536"/>
        <v>0</v>
      </c>
      <c r="EW150" s="3236">
        <f t="shared" si="537"/>
        <v>0</v>
      </c>
      <c r="EX150" s="3236">
        <f t="shared" si="538"/>
        <v>0</v>
      </c>
      <c r="EY150" s="3237"/>
      <c r="FC150" s="3235">
        <f t="shared" si="539"/>
        <v>0</v>
      </c>
      <c r="FD150" s="3236">
        <f t="shared" si="540"/>
        <v>0</v>
      </c>
      <c r="FE150" s="3236">
        <f t="shared" si="541"/>
        <v>0</v>
      </c>
      <c r="FF150" s="3236">
        <f t="shared" si="542"/>
        <v>0</v>
      </c>
      <c r="FG150" s="3237"/>
      <c r="FK150" s="3235">
        <f t="shared" si="543"/>
        <v>0</v>
      </c>
      <c r="FL150" s="3236">
        <f t="shared" si="544"/>
        <v>0</v>
      </c>
      <c r="FM150" s="3236">
        <f t="shared" si="545"/>
        <v>0</v>
      </c>
      <c r="FN150" s="3236">
        <f t="shared" si="546"/>
        <v>0</v>
      </c>
      <c r="FO150" s="3237"/>
    </row>
    <row r="151" spans="1:171">
      <c r="A151" s="2092"/>
      <c r="B151" s="2290" t="s">
        <v>24</v>
      </c>
      <c r="C151" s="2464" t="s">
        <v>81</v>
      </c>
      <c r="D151" s="2464">
        <v>256</v>
      </c>
      <c r="E151" s="2424" t="str">
        <f>'Sch 1- Rate Base '!E151</f>
        <v>DIRECT</v>
      </c>
      <c r="F151" s="2171"/>
      <c r="G151" s="2424">
        <f>'Sch 1- Rate Base '!G151</f>
        <v>1353224.7999999998</v>
      </c>
      <c r="H151" s="2424">
        <f>'Sch 1- Rate Base '!H151</f>
        <v>0</v>
      </c>
      <c r="I151" s="2424">
        <f>'Sch 1- Rate Base '!I151</f>
        <v>0</v>
      </c>
      <c r="J151" s="3465">
        <f>'Sch 1- Rate Base '!J151</f>
        <v>1353224.7999999998</v>
      </c>
      <c r="K151" s="3205">
        <f t="shared" si="466"/>
        <v>0</v>
      </c>
      <c r="O151" s="3235">
        <f t="shared" si="467"/>
        <v>1353224.7999999998</v>
      </c>
      <c r="P151" s="3236">
        <f t="shared" si="468"/>
        <v>0</v>
      </c>
      <c r="Q151" s="3236">
        <f t="shared" si="469"/>
        <v>0</v>
      </c>
      <c r="R151" s="3236">
        <f t="shared" si="470"/>
        <v>1353224.7999999998</v>
      </c>
      <c r="S151" s="3237"/>
      <c r="W151" s="3235">
        <f t="shared" si="471"/>
        <v>1353224.7999999998</v>
      </c>
      <c r="X151" s="3236">
        <f t="shared" si="472"/>
        <v>0</v>
      </c>
      <c r="Y151" s="3236">
        <f t="shared" si="473"/>
        <v>0</v>
      </c>
      <c r="Z151" s="3236">
        <f t="shared" si="474"/>
        <v>1353224.7999999998</v>
      </c>
      <c r="AA151" s="3237"/>
      <c r="AE151" s="3235">
        <f t="shared" si="475"/>
        <v>1353224.7999999998</v>
      </c>
      <c r="AF151" s="3236">
        <f t="shared" si="476"/>
        <v>0</v>
      </c>
      <c r="AG151" s="3236">
        <f t="shared" si="477"/>
        <v>0</v>
      </c>
      <c r="AH151" s="3236">
        <f t="shared" si="478"/>
        <v>1353224.7999999998</v>
      </c>
      <c r="AI151" s="3237"/>
      <c r="AM151" s="3235">
        <f t="shared" si="479"/>
        <v>1353224.7999999998</v>
      </c>
      <c r="AN151" s="3236">
        <f t="shared" si="480"/>
        <v>0</v>
      </c>
      <c r="AO151" s="3236">
        <f t="shared" si="481"/>
        <v>0</v>
      </c>
      <c r="AP151" s="3236">
        <f t="shared" si="482"/>
        <v>1353224.7999999998</v>
      </c>
      <c r="AQ151" s="3237"/>
      <c r="AU151" s="3235">
        <f t="shared" si="483"/>
        <v>1353224.7999999998</v>
      </c>
      <c r="AV151" s="3236">
        <f t="shared" si="484"/>
        <v>0</v>
      </c>
      <c r="AW151" s="3236">
        <f t="shared" si="485"/>
        <v>0</v>
      </c>
      <c r="AX151" s="3236">
        <f t="shared" si="486"/>
        <v>1353224.7999999998</v>
      </c>
      <c r="AY151" s="3237"/>
      <c r="BC151" s="3235">
        <f t="shared" si="487"/>
        <v>1353224.7999999998</v>
      </c>
      <c r="BD151" s="3236">
        <f t="shared" si="488"/>
        <v>0</v>
      </c>
      <c r="BE151" s="3236">
        <f t="shared" si="489"/>
        <v>0</v>
      </c>
      <c r="BF151" s="3236">
        <f t="shared" si="490"/>
        <v>1353224.7999999998</v>
      </c>
      <c r="BG151" s="3237"/>
      <c r="BK151" s="3235">
        <f t="shared" si="491"/>
        <v>1353224.7999999998</v>
      </c>
      <c r="BL151" s="3236">
        <f t="shared" si="492"/>
        <v>0</v>
      </c>
      <c r="BM151" s="3236">
        <f t="shared" si="493"/>
        <v>0</v>
      </c>
      <c r="BN151" s="3236">
        <f t="shared" si="494"/>
        <v>1353224.7999999998</v>
      </c>
      <c r="BO151" s="3237"/>
      <c r="BS151" s="3235">
        <f t="shared" si="495"/>
        <v>1353224.7999999998</v>
      </c>
      <c r="BT151" s="3236">
        <f t="shared" si="496"/>
        <v>0</v>
      </c>
      <c r="BU151" s="3236">
        <f t="shared" si="497"/>
        <v>0</v>
      </c>
      <c r="BV151" s="3236">
        <f t="shared" si="498"/>
        <v>1353224.7999999998</v>
      </c>
      <c r="BW151" s="3237"/>
      <c r="CA151" s="3235">
        <f t="shared" si="499"/>
        <v>1353224.7999999998</v>
      </c>
      <c r="CB151" s="3236">
        <f t="shared" si="500"/>
        <v>0</v>
      </c>
      <c r="CC151" s="3236">
        <f t="shared" si="501"/>
        <v>0</v>
      </c>
      <c r="CD151" s="3236">
        <f t="shared" si="502"/>
        <v>1353224.7999999998</v>
      </c>
      <c r="CE151" s="3237"/>
      <c r="CI151" s="3235">
        <f t="shared" si="503"/>
        <v>1353224.7999999998</v>
      </c>
      <c r="CJ151" s="3236">
        <f t="shared" si="504"/>
        <v>0</v>
      </c>
      <c r="CK151" s="3236">
        <f t="shared" si="505"/>
        <v>0</v>
      </c>
      <c r="CL151" s="3236">
        <f t="shared" si="506"/>
        <v>1353224.7999999998</v>
      </c>
      <c r="CM151" s="3237"/>
      <c r="CQ151" s="3235">
        <f t="shared" si="507"/>
        <v>1353224.7999999998</v>
      </c>
      <c r="CR151" s="3236">
        <f t="shared" si="508"/>
        <v>0</v>
      </c>
      <c r="CS151" s="3236">
        <f t="shared" si="509"/>
        <v>0</v>
      </c>
      <c r="CT151" s="3236">
        <f t="shared" si="510"/>
        <v>1353224.7999999998</v>
      </c>
      <c r="CU151" s="3237"/>
      <c r="CY151" s="3235">
        <f t="shared" si="511"/>
        <v>1353224.7999999998</v>
      </c>
      <c r="CZ151" s="3236">
        <f t="shared" si="512"/>
        <v>0</v>
      </c>
      <c r="DA151" s="3236">
        <f t="shared" si="513"/>
        <v>0</v>
      </c>
      <c r="DB151" s="3236">
        <f t="shared" si="514"/>
        <v>1353224.7999999998</v>
      </c>
      <c r="DC151" s="3237"/>
      <c r="DG151" s="3235">
        <f t="shared" si="515"/>
        <v>1353224.7999999998</v>
      </c>
      <c r="DH151" s="3236">
        <f t="shared" si="516"/>
        <v>0</v>
      </c>
      <c r="DI151" s="3236">
        <f t="shared" si="517"/>
        <v>0</v>
      </c>
      <c r="DJ151" s="3236">
        <f t="shared" si="518"/>
        <v>1353224.7999999998</v>
      </c>
      <c r="DK151" s="3237"/>
      <c r="DO151" s="3235">
        <f t="shared" si="519"/>
        <v>1353224.7999999998</v>
      </c>
      <c r="DP151" s="3236">
        <f t="shared" si="520"/>
        <v>0</v>
      </c>
      <c r="DQ151" s="3236">
        <f t="shared" si="521"/>
        <v>0</v>
      </c>
      <c r="DR151" s="3236">
        <f t="shared" si="522"/>
        <v>1353224.7999999998</v>
      </c>
      <c r="DS151" s="3237"/>
      <c r="DW151" s="3235">
        <f t="shared" si="523"/>
        <v>1353224.7999999998</v>
      </c>
      <c r="DX151" s="3236">
        <f t="shared" si="524"/>
        <v>0</v>
      </c>
      <c r="DY151" s="3236">
        <f t="shared" si="525"/>
        <v>0</v>
      </c>
      <c r="DZ151" s="3236">
        <f t="shared" si="526"/>
        <v>1353224.7999999998</v>
      </c>
      <c r="EA151" s="3237"/>
      <c r="EE151" s="3235">
        <f t="shared" si="527"/>
        <v>1353224.7999999998</v>
      </c>
      <c r="EF151" s="3236">
        <f t="shared" si="528"/>
        <v>0</v>
      </c>
      <c r="EG151" s="3236">
        <f t="shared" si="529"/>
        <v>0</v>
      </c>
      <c r="EH151" s="3236">
        <f t="shared" si="530"/>
        <v>1353224.7999999998</v>
      </c>
      <c r="EI151" s="3237"/>
      <c r="EM151" s="3235">
        <f t="shared" si="531"/>
        <v>1353224.7999999998</v>
      </c>
      <c r="EN151" s="3236">
        <f t="shared" si="532"/>
        <v>0</v>
      </c>
      <c r="EO151" s="3236">
        <f t="shared" si="533"/>
        <v>0</v>
      </c>
      <c r="EP151" s="3236">
        <f t="shared" si="534"/>
        <v>1353224.7999999998</v>
      </c>
      <c r="EQ151" s="3237"/>
      <c r="EU151" s="3235">
        <f t="shared" si="535"/>
        <v>1353224.7999999998</v>
      </c>
      <c r="EV151" s="3236">
        <f t="shared" si="536"/>
        <v>0</v>
      </c>
      <c r="EW151" s="3236">
        <f t="shared" si="537"/>
        <v>0</v>
      </c>
      <c r="EX151" s="3236">
        <f t="shared" si="538"/>
        <v>1353224.7999999998</v>
      </c>
      <c r="EY151" s="3237"/>
      <c r="FC151" s="3235">
        <f t="shared" si="539"/>
        <v>1353224.7999999998</v>
      </c>
      <c r="FD151" s="3236">
        <f t="shared" si="540"/>
        <v>0</v>
      </c>
      <c r="FE151" s="3236">
        <f t="shared" si="541"/>
        <v>0</v>
      </c>
      <c r="FF151" s="3236">
        <f t="shared" si="542"/>
        <v>1353224.7999999998</v>
      </c>
      <c r="FG151" s="3237"/>
      <c r="FK151" s="3235">
        <f t="shared" si="543"/>
        <v>1353224.7999999998</v>
      </c>
      <c r="FL151" s="3236">
        <f t="shared" si="544"/>
        <v>0</v>
      </c>
      <c r="FM151" s="3236">
        <f t="shared" si="545"/>
        <v>0</v>
      </c>
      <c r="FN151" s="3236">
        <f t="shared" si="546"/>
        <v>1353224.7999999998</v>
      </c>
      <c r="FO151" s="3237"/>
    </row>
    <row r="152" spans="1:171">
      <c r="A152" s="2092"/>
      <c r="B152" s="2290" t="s">
        <v>27</v>
      </c>
      <c r="C152" s="2464" t="s">
        <v>81</v>
      </c>
      <c r="D152" s="2464">
        <v>257</v>
      </c>
      <c r="E152" s="2424" t="str">
        <f>'Sch 1- Rate Base '!E152</f>
        <v>PTDG</v>
      </c>
      <c r="F152" s="2171"/>
      <c r="G152" s="2424">
        <f>'Sch 1- Rate Base '!G152</f>
        <v>0</v>
      </c>
      <c r="H152" s="2424">
        <f>'Sch 1- Rate Base '!H152</f>
        <v>0</v>
      </c>
      <c r="I152" s="2424">
        <f>'Sch 1- Rate Base '!I152</f>
        <v>0</v>
      </c>
      <c r="J152" s="3465">
        <f>'Sch 1- Rate Base '!J152</f>
        <v>0</v>
      </c>
      <c r="K152" s="3205">
        <f t="shared" si="466"/>
        <v>1</v>
      </c>
      <c r="O152" s="3235">
        <f t="shared" si="467"/>
        <v>0</v>
      </c>
      <c r="P152" s="3236">
        <f t="shared" si="468"/>
        <v>0</v>
      </c>
      <c r="Q152" s="3236">
        <f t="shared" si="469"/>
        <v>0</v>
      </c>
      <c r="R152" s="3236">
        <f t="shared" si="470"/>
        <v>0</v>
      </c>
      <c r="S152" s="3237"/>
      <c r="W152" s="3235">
        <f t="shared" si="471"/>
        <v>0</v>
      </c>
      <c r="X152" s="3236">
        <f t="shared" si="472"/>
        <v>0</v>
      </c>
      <c r="Y152" s="3236">
        <f t="shared" si="473"/>
        <v>0</v>
      </c>
      <c r="Z152" s="3236">
        <f t="shared" si="474"/>
        <v>0</v>
      </c>
      <c r="AA152" s="3237"/>
      <c r="AE152" s="3235">
        <f t="shared" si="475"/>
        <v>0</v>
      </c>
      <c r="AF152" s="3236">
        <f t="shared" si="476"/>
        <v>0</v>
      </c>
      <c r="AG152" s="3236">
        <f t="shared" si="477"/>
        <v>0</v>
      </c>
      <c r="AH152" s="3236">
        <f t="shared" si="478"/>
        <v>0</v>
      </c>
      <c r="AI152" s="3237"/>
      <c r="AM152" s="3235">
        <f t="shared" si="479"/>
        <v>0</v>
      </c>
      <c r="AN152" s="3236">
        <f t="shared" si="480"/>
        <v>0</v>
      </c>
      <c r="AO152" s="3236">
        <f t="shared" si="481"/>
        <v>0</v>
      </c>
      <c r="AP152" s="3236">
        <f t="shared" si="482"/>
        <v>0</v>
      </c>
      <c r="AQ152" s="3237"/>
      <c r="AU152" s="3235">
        <f t="shared" si="483"/>
        <v>0</v>
      </c>
      <c r="AV152" s="3236">
        <f t="shared" si="484"/>
        <v>0</v>
      </c>
      <c r="AW152" s="3236">
        <f t="shared" si="485"/>
        <v>0</v>
      </c>
      <c r="AX152" s="3236">
        <f t="shared" si="486"/>
        <v>0</v>
      </c>
      <c r="AY152" s="3237"/>
      <c r="BC152" s="3235">
        <f t="shared" si="487"/>
        <v>0</v>
      </c>
      <c r="BD152" s="3236">
        <f t="shared" si="488"/>
        <v>0</v>
      </c>
      <c r="BE152" s="3236">
        <f t="shared" si="489"/>
        <v>0</v>
      </c>
      <c r="BF152" s="3236">
        <f t="shared" si="490"/>
        <v>0</v>
      </c>
      <c r="BG152" s="3237"/>
      <c r="BK152" s="3235">
        <f t="shared" si="491"/>
        <v>0</v>
      </c>
      <c r="BL152" s="3236">
        <f t="shared" si="492"/>
        <v>0</v>
      </c>
      <c r="BM152" s="3236">
        <f t="shared" si="493"/>
        <v>0</v>
      </c>
      <c r="BN152" s="3236">
        <f t="shared" si="494"/>
        <v>0</v>
      </c>
      <c r="BO152" s="3237"/>
      <c r="BS152" s="3235">
        <f t="shared" si="495"/>
        <v>0</v>
      </c>
      <c r="BT152" s="3236">
        <f t="shared" si="496"/>
        <v>0</v>
      </c>
      <c r="BU152" s="3236">
        <f t="shared" si="497"/>
        <v>0</v>
      </c>
      <c r="BV152" s="3236">
        <f t="shared" si="498"/>
        <v>0</v>
      </c>
      <c r="BW152" s="3237"/>
      <c r="CA152" s="3235">
        <f t="shared" si="499"/>
        <v>0</v>
      </c>
      <c r="CB152" s="3236">
        <f t="shared" si="500"/>
        <v>0</v>
      </c>
      <c r="CC152" s="3236">
        <f t="shared" si="501"/>
        <v>0</v>
      </c>
      <c r="CD152" s="3236">
        <f t="shared" si="502"/>
        <v>0</v>
      </c>
      <c r="CE152" s="3237"/>
      <c r="CI152" s="3235">
        <f t="shared" si="503"/>
        <v>0</v>
      </c>
      <c r="CJ152" s="3236">
        <f t="shared" si="504"/>
        <v>0</v>
      </c>
      <c r="CK152" s="3236">
        <f t="shared" si="505"/>
        <v>0</v>
      </c>
      <c r="CL152" s="3236">
        <f t="shared" si="506"/>
        <v>0</v>
      </c>
      <c r="CM152" s="3237"/>
      <c r="CQ152" s="3235">
        <f t="shared" si="507"/>
        <v>0</v>
      </c>
      <c r="CR152" s="3236">
        <f t="shared" si="508"/>
        <v>0</v>
      </c>
      <c r="CS152" s="3236">
        <f t="shared" si="509"/>
        <v>0</v>
      </c>
      <c r="CT152" s="3236">
        <f t="shared" si="510"/>
        <v>0</v>
      </c>
      <c r="CU152" s="3237"/>
      <c r="CY152" s="3235">
        <f t="shared" si="511"/>
        <v>0</v>
      </c>
      <c r="CZ152" s="3236">
        <f t="shared" si="512"/>
        <v>0</v>
      </c>
      <c r="DA152" s="3236">
        <f t="shared" si="513"/>
        <v>0</v>
      </c>
      <c r="DB152" s="3236">
        <f t="shared" si="514"/>
        <v>0</v>
      </c>
      <c r="DC152" s="3237"/>
      <c r="DG152" s="3235">
        <f t="shared" si="515"/>
        <v>0</v>
      </c>
      <c r="DH152" s="3236">
        <f t="shared" si="516"/>
        <v>0</v>
      </c>
      <c r="DI152" s="3236">
        <f t="shared" si="517"/>
        <v>0</v>
      </c>
      <c r="DJ152" s="3236">
        <f t="shared" si="518"/>
        <v>0</v>
      </c>
      <c r="DK152" s="3237"/>
      <c r="DO152" s="3235">
        <f t="shared" si="519"/>
        <v>0</v>
      </c>
      <c r="DP152" s="3236">
        <f t="shared" si="520"/>
        <v>0</v>
      </c>
      <c r="DQ152" s="3236">
        <f t="shared" si="521"/>
        <v>0</v>
      </c>
      <c r="DR152" s="3236">
        <f t="shared" si="522"/>
        <v>0</v>
      </c>
      <c r="DS152" s="3237"/>
      <c r="DW152" s="3235">
        <f t="shared" si="523"/>
        <v>0</v>
      </c>
      <c r="DX152" s="3236">
        <f t="shared" si="524"/>
        <v>0</v>
      </c>
      <c r="DY152" s="3236">
        <f t="shared" si="525"/>
        <v>0</v>
      </c>
      <c r="DZ152" s="3236">
        <f t="shared" si="526"/>
        <v>0</v>
      </c>
      <c r="EA152" s="3237"/>
      <c r="EE152" s="3235">
        <f t="shared" si="527"/>
        <v>0</v>
      </c>
      <c r="EF152" s="3236">
        <f t="shared" si="528"/>
        <v>0</v>
      </c>
      <c r="EG152" s="3236">
        <f t="shared" si="529"/>
        <v>0</v>
      </c>
      <c r="EH152" s="3236">
        <f t="shared" si="530"/>
        <v>0</v>
      </c>
      <c r="EI152" s="3237"/>
      <c r="EM152" s="3235">
        <f t="shared" si="531"/>
        <v>0</v>
      </c>
      <c r="EN152" s="3236">
        <f t="shared" si="532"/>
        <v>0</v>
      </c>
      <c r="EO152" s="3236">
        <f t="shared" si="533"/>
        <v>0</v>
      </c>
      <c r="EP152" s="3236">
        <f t="shared" si="534"/>
        <v>0</v>
      </c>
      <c r="EQ152" s="3237"/>
      <c r="EU152" s="3235">
        <f t="shared" si="535"/>
        <v>0</v>
      </c>
      <c r="EV152" s="3236">
        <f t="shared" si="536"/>
        <v>0</v>
      </c>
      <c r="EW152" s="3236">
        <f t="shared" si="537"/>
        <v>0</v>
      </c>
      <c r="EX152" s="3236">
        <f t="shared" si="538"/>
        <v>0</v>
      </c>
      <c r="EY152" s="3237"/>
      <c r="FC152" s="3235">
        <f t="shared" si="539"/>
        <v>0</v>
      </c>
      <c r="FD152" s="3236">
        <f t="shared" si="540"/>
        <v>0</v>
      </c>
      <c r="FE152" s="3236">
        <f t="shared" si="541"/>
        <v>0</v>
      </c>
      <c r="FF152" s="3236">
        <f t="shared" si="542"/>
        <v>0</v>
      </c>
      <c r="FG152" s="3237"/>
      <c r="FK152" s="3235">
        <f t="shared" si="543"/>
        <v>0</v>
      </c>
      <c r="FL152" s="3236">
        <f t="shared" si="544"/>
        <v>0</v>
      </c>
      <c r="FM152" s="3236">
        <f t="shared" si="545"/>
        <v>0</v>
      </c>
      <c r="FN152" s="3236">
        <f t="shared" si="546"/>
        <v>0</v>
      </c>
      <c r="FO152" s="3237"/>
    </row>
    <row r="153" spans="1:171">
      <c r="A153" s="2092"/>
      <c r="B153" s="2290" t="s">
        <v>31</v>
      </c>
      <c r="C153" s="2464" t="s">
        <v>81</v>
      </c>
      <c r="D153" s="2464">
        <v>281</v>
      </c>
      <c r="E153" s="2424" t="str">
        <f>'Sch 1- Rate Base '!E153</f>
        <v>DIST</v>
      </c>
      <c r="F153" s="2171"/>
      <c r="G153" s="2424">
        <f>'Sch 1- Rate Base '!G153</f>
        <v>0</v>
      </c>
      <c r="H153" s="2424">
        <f>'Sch 1- Rate Base '!H153</f>
        <v>0</v>
      </c>
      <c r="I153" s="2424">
        <f>'Sch 1- Rate Base '!I153</f>
        <v>0</v>
      </c>
      <c r="J153" s="3465">
        <f>'Sch 1- Rate Base '!J153</f>
        <v>0</v>
      </c>
      <c r="K153" s="3205">
        <f t="shared" si="466"/>
        <v>1</v>
      </c>
      <c r="O153" s="3235">
        <f t="shared" si="467"/>
        <v>0</v>
      </c>
      <c r="P153" s="3236">
        <f t="shared" si="468"/>
        <v>0</v>
      </c>
      <c r="Q153" s="3236">
        <f t="shared" si="469"/>
        <v>0</v>
      </c>
      <c r="R153" s="3236">
        <f t="shared" si="470"/>
        <v>0</v>
      </c>
      <c r="S153" s="3237"/>
      <c r="W153" s="3235">
        <f t="shared" si="471"/>
        <v>0</v>
      </c>
      <c r="X153" s="3236">
        <f t="shared" si="472"/>
        <v>0</v>
      </c>
      <c r="Y153" s="3236">
        <f t="shared" si="473"/>
        <v>0</v>
      </c>
      <c r="Z153" s="3236">
        <f t="shared" si="474"/>
        <v>0</v>
      </c>
      <c r="AA153" s="3237"/>
      <c r="AE153" s="3235">
        <f t="shared" si="475"/>
        <v>0</v>
      </c>
      <c r="AF153" s="3236">
        <f t="shared" si="476"/>
        <v>0</v>
      </c>
      <c r="AG153" s="3236">
        <f t="shared" si="477"/>
        <v>0</v>
      </c>
      <c r="AH153" s="3236">
        <f t="shared" si="478"/>
        <v>0</v>
      </c>
      <c r="AI153" s="3237"/>
      <c r="AM153" s="3235">
        <f t="shared" si="479"/>
        <v>0</v>
      </c>
      <c r="AN153" s="3236">
        <f t="shared" si="480"/>
        <v>0</v>
      </c>
      <c r="AO153" s="3236">
        <f t="shared" si="481"/>
        <v>0</v>
      </c>
      <c r="AP153" s="3236">
        <f t="shared" si="482"/>
        <v>0</v>
      </c>
      <c r="AQ153" s="3237"/>
      <c r="AU153" s="3235">
        <f t="shared" si="483"/>
        <v>0</v>
      </c>
      <c r="AV153" s="3236">
        <f t="shared" si="484"/>
        <v>0</v>
      </c>
      <c r="AW153" s="3236">
        <f t="shared" si="485"/>
        <v>0</v>
      </c>
      <c r="AX153" s="3236">
        <f t="shared" si="486"/>
        <v>0</v>
      </c>
      <c r="AY153" s="3237"/>
      <c r="BC153" s="3235">
        <f t="shared" si="487"/>
        <v>0</v>
      </c>
      <c r="BD153" s="3236">
        <f t="shared" si="488"/>
        <v>0</v>
      </c>
      <c r="BE153" s="3236">
        <f t="shared" si="489"/>
        <v>0</v>
      </c>
      <c r="BF153" s="3236">
        <f t="shared" si="490"/>
        <v>0</v>
      </c>
      <c r="BG153" s="3237"/>
      <c r="BK153" s="3235">
        <f t="shared" si="491"/>
        <v>0</v>
      </c>
      <c r="BL153" s="3236">
        <f t="shared" si="492"/>
        <v>0</v>
      </c>
      <c r="BM153" s="3236">
        <f t="shared" si="493"/>
        <v>0</v>
      </c>
      <c r="BN153" s="3236">
        <f t="shared" si="494"/>
        <v>0</v>
      </c>
      <c r="BO153" s="3237"/>
      <c r="BS153" s="3235">
        <f t="shared" si="495"/>
        <v>0</v>
      </c>
      <c r="BT153" s="3236">
        <f t="shared" si="496"/>
        <v>0</v>
      </c>
      <c r="BU153" s="3236">
        <f t="shared" si="497"/>
        <v>0</v>
      </c>
      <c r="BV153" s="3236">
        <f t="shared" si="498"/>
        <v>0</v>
      </c>
      <c r="BW153" s="3237"/>
      <c r="CA153" s="3235">
        <f t="shared" si="499"/>
        <v>0</v>
      </c>
      <c r="CB153" s="3236">
        <f t="shared" si="500"/>
        <v>0</v>
      </c>
      <c r="CC153" s="3236">
        <f t="shared" si="501"/>
        <v>0</v>
      </c>
      <c r="CD153" s="3236">
        <f t="shared" si="502"/>
        <v>0</v>
      </c>
      <c r="CE153" s="3237"/>
      <c r="CI153" s="3235">
        <f t="shared" si="503"/>
        <v>0</v>
      </c>
      <c r="CJ153" s="3236">
        <f t="shared" si="504"/>
        <v>0</v>
      </c>
      <c r="CK153" s="3236">
        <f t="shared" si="505"/>
        <v>0</v>
      </c>
      <c r="CL153" s="3236">
        <f t="shared" si="506"/>
        <v>0</v>
      </c>
      <c r="CM153" s="3237"/>
      <c r="CQ153" s="3235">
        <f t="shared" si="507"/>
        <v>0</v>
      </c>
      <c r="CR153" s="3236">
        <f t="shared" si="508"/>
        <v>0</v>
      </c>
      <c r="CS153" s="3236">
        <f t="shared" si="509"/>
        <v>0</v>
      </c>
      <c r="CT153" s="3236">
        <f t="shared" si="510"/>
        <v>0</v>
      </c>
      <c r="CU153" s="3237"/>
      <c r="CY153" s="3235">
        <f t="shared" si="511"/>
        <v>0</v>
      </c>
      <c r="CZ153" s="3236">
        <f t="shared" si="512"/>
        <v>0</v>
      </c>
      <c r="DA153" s="3236">
        <f t="shared" si="513"/>
        <v>0</v>
      </c>
      <c r="DB153" s="3236">
        <f t="shared" si="514"/>
        <v>0</v>
      </c>
      <c r="DC153" s="3237"/>
      <c r="DG153" s="3235">
        <f t="shared" si="515"/>
        <v>0</v>
      </c>
      <c r="DH153" s="3236">
        <f t="shared" si="516"/>
        <v>0</v>
      </c>
      <c r="DI153" s="3236">
        <f t="shared" si="517"/>
        <v>0</v>
      </c>
      <c r="DJ153" s="3236">
        <f t="shared" si="518"/>
        <v>0</v>
      </c>
      <c r="DK153" s="3237"/>
      <c r="DO153" s="3235">
        <f t="shared" si="519"/>
        <v>0</v>
      </c>
      <c r="DP153" s="3236">
        <f t="shared" si="520"/>
        <v>0</v>
      </c>
      <c r="DQ153" s="3236">
        <f t="shared" si="521"/>
        <v>0</v>
      </c>
      <c r="DR153" s="3236">
        <f t="shared" si="522"/>
        <v>0</v>
      </c>
      <c r="DS153" s="3237"/>
      <c r="DW153" s="3235">
        <f t="shared" si="523"/>
        <v>0</v>
      </c>
      <c r="DX153" s="3236">
        <f t="shared" si="524"/>
        <v>0</v>
      </c>
      <c r="DY153" s="3236">
        <f t="shared" si="525"/>
        <v>0</v>
      </c>
      <c r="DZ153" s="3236">
        <f t="shared" si="526"/>
        <v>0</v>
      </c>
      <c r="EA153" s="3237"/>
      <c r="EE153" s="3235">
        <f t="shared" si="527"/>
        <v>0</v>
      </c>
      <c r="EF153" s="3236">
        <f t="shared" si="528"/>
        <v>0</v>
      </c>
      <c r="EG153" s="3236">
        <f t="shared" si="529"/>
        <v>0</v>
      </c>
      <c r="EH153" s="3236">
        <f t="shared" si="530"/>
        <v>0</v>
      </c>
      <c r="EI153" s="3237"/>
      <c r="EM153" s="3235">
        <f t="shared" si="531"/>
        <v>0</v>
      </c>
      <c r="EN153" s="3236">
        <f t="shared" si="532"/>
        <v>0</v>
      </c>
      <c r="EO153" s="3236">
        <f t="shared" si="533"/>
        <v>0</v>
      </c>
      <c r="EP153" s="3236">
        <f t="shared" si="534"/>
        <v>0</v>
      </c>
      <c r="EQ153" s="3237"/>
      <c r="EU153" s="3235">
        <f t="shared" si="535"/>
        <v>0</v>
      </c>
      <c r="EV153" s="3236">
        <f t="shared" si="536"/>
        <v>0</v>
      </c>
      <c r="EW153" s="3236">
        <f t="shared" si="537"/>
        <v>0</v>
      </c>
      <c r="EX153" s="3236">
        <f t="shared" si="538"/>
        <v>0</v>
      </c>
      <c r="EY153" s="3237"/>
      <c r="FC153" s="3235">
        <f t="shared" si="539"/>
        <v>0</v>
      </c>
      <c r="FD153" s="3236">
        <f t="shared" si="540"/>
        <v>0</v>
      </c>
      <c r="FE153" s="3236">
        <f t="shared" si="541"/>
        <v>0</v>
      </c>
      <c r="FF153" s="3236">
        <f t="shared" si="542"/>
        <v>0</v>
      </c>
      <c r="FG153" s="3237"/>
      <c r="FK153" s="3235">
        <f t="shared" si="543"/>
        <v>0</v>
      </c>
      <c r="FL153" s="3236">
        <f t="shared" si="544"/>
        <v>0</v>
      </c>
      <c r="FM153" s="3236">
        <f t="shared" si="545"/>
        <v>0</v>
      </c>
      <c r="FN153" s="3236">
        <f t="shared" si="546"/>
        <v>0</v>
      </c>
      <c r="FO153" s="3237"/>
    </row>
    <row r="154" spans="1:171">
      <c r="A154" s="2092"/>
      <c r="B154" s="2290" t="s">
        <v>32</v>
      </c>
      <c r="C154" s="2464" t="s">
        <v>81</v>
      </c>
      <c r="D154" s="2464">
        <v>282</v>
      </c>
      <c r="E154" s="2424" t="str">
        <f>'Sch 1- Rate Base '!E154</f>
        <v>DIST</v>
      </c>
      <c r="F154" s="2171"/>
      <c r="G154" s="2424">
        <f>'Sch 1- Rate Base '!G154</f>
        <v>763011479.07151985</v>
      </c>
      <c r="H154" s="2424">
        <f>'Sch 1- Rate Base '!H154</f>
        <v>0</v>
      </c>
      <c r="I154" s="2424">
        <f>'Sch 1- Rate Base '!I154</f>
        <v>0</v>
      </c>
      <c r="J154" s="3465">
        <f>'Sch 1- Rate Base '!J154</f>
        <v>763011479.07151985</v>
      </c>
      <c r="K154" s="3205">
        <f t="shared" si="466"/>
        <v>1</v>
      </c>
      <c r="O154" s="3235">
        <f t="shared" si="467"/>
        <v>763011479.07151985</v>
      </c>
      <c r="P154" s="3236">
        <f t="shared" si="468"/>
        <v>0</v>
      </c>
      <c r="Q154" s="3236">
        <f t="shared" si="469"/>
        <v>0</v>
      </c>
      <c r="R154" s="3236">
        <f t="shared" si="470"/>
        <v>763011479.07151985</v>
      </c>
      <c r="S154" s="3237"/>
      <c r="W154" s="3235">
        <f t="shared" si="471"/>
        <v>763011479.07151985</v>
      </c>
      <c r="X154" s="3236">
        <f t="shared" si="472"/>
        <v>0</v>
      </c>
      <c r="Y154" s="3236">
        <f t="shared" si="473"/>
        <v>0</v>
      </c>
      <c r="Z154" s="3236">
        <f t="shared" si="474"/>
        <v>763011479.07151985</v>
      </c>
      <c r="AA154" s="3237"/>
      <c r="AE154" s="3235">
        <f t="shared" si="475"/>
        <v>763011479.07151985</v>
      </c>
      <c r="AF154" s="3236">
        <f t="shared" si="476"/>
        <v>0</v>
      </c>
      <c r="AG154" s="3236">
        <f t="shared" si="477"/>
        <v>0</v>
      </c>
      <c r="AH154" s="3236">
        <f t="shared" si="478"/>
        <v>763011479.07151985</v>
      </c>
      <c r="AI154" s="3237"/>
      <c r="AM154" s="3235">
        <f t="shared" si="479"/>
        <v>763011479.07151985</v>
      </c>
      <c r="AN154" s="3236">
        <f t="shared" si="480"/>
        <v>0</v>
      </c>
      <c r="AO154" s="3236">
        <f t="shared" si="481"/>
        <v>0</v>
      </c>
      <c r="AP154" s="3236">
        <f t="shared" si="482"/>
        <v>763011479.07151985</v>
      </c>
      <c r="AQ154" s="3237"/>
      <c r="AU154" s="3235">
        <f t="shared" si="483"/>
        <v>763011479.07151985</v>
      </c>
      <c r="AV154" s="3236">
        <f t="shared" si="484"/>
        <v>0</v>
      </c>
      <c r="AW154" s="3236">
        <f t="shared" si="485"/>
        <v>0</v>
      </c>
      <c r="AX154" s="3236">
        <f t="shared" si="486"/>
        <v>763011479.07151985</v>
      </c>
      <c r="AY154" s="3237"/>
      <c r="BC154" s="3235">
        <f t="shared" si="487"/>
        <v>763011479.07151985</v>
      </c>
      <c r="BD154" s="3236">
        <f t="shared" si="488"/>
        <v>0</v>
      </c>
      <c r="BE154" s="3236">
        <f t="shared" si="489"/>
        <v>0</v>
      </c>
      <c r="BF154" s="3236">
        <f t="shared" si="490"/>
        <v>763011479.07151985</v>
      </c>
      <c r="BG154" s="3237"/>
      <c r="BK154" s="3235">
        <f t="shared" si="491"/>
        <v>763011479.07151985</v>
      </c>
      <c r="BL154" s="3236">
        <f t="shared" si="492"/>
        <v>0</v>
      </c>
      <c r="BM154" s="3236">
        <f t="shared" si="493"/>
        <v>0</v>
      </c>
      <c r="BN154" s="3236">
        <f t="shared" si="494"/>
        <v>763011479.07151985</v>
      </c>
      <c r="BO154" s="3237"/>
      <c r="BS154" s="3235">
        <f t="shared" si="495"/>
        <v>763011479.07151985</v>
      </c>
      <c r="BT154" s="3236">
        <f t="shared" si="496"/>
        <v>0</v>
      </c>
      <c r="BU154" s="3236">
        <f t="shared" si="497"/>
        <v>0</v>
      </c>
      <c r="BV154" s="3236">
        <f t="shared" si="498"/>
        <v>763011479.07151985</v>
      </c>
      <c r="BW154" s="3237"/>
      <c r="CA154" s="3235">
        <f t="shared" si="499"/>
        <v>763011479.07151985</v>
      </c>
      <c r="CB154" s="3236">
        <f t="shared" si="500"/>
        <v>0</v>
      </c>
      <c r="CC154" s="3236">
        <f t="shared" si="501"/>
        <v>0</v>
      </c>
      <c r="CD154" s="3236">
        <f t="shared" si="502"/>
        <v>763011479.07151985</v>
      </c>
      <c r="CE154" s="3237"/>
      <c r="CI154" s="3235">
        <f t="shared" si="503"/>
        <v>763011479.07151985</v>
      </c>
      <c r="CJ154" s="3236">
        <f t="shared" si="504"/>
        <v>0</v>
      </c>
      <c r="CK154" s="3236">
        <f t="shared" si="505"/>
        <v>0</v>
      </c>
      <c r="CL154" s="3236">
        <f t="shared" si="506"/>
        <v>763011479.07151985</v>
      </c>
      <c r="CM154" s="3237"/>
      <c r="CQ154" s="3235">
        <f t="shared" si="507"/>
        <v>763011479.07151985</v>
      </c>
      <c r="CR154" s="3236">
        <f t="shared" si="508"/>
        <v>0</v>
      </c>
      <c r="CS154" s="3236">
        <f t="shared" si="509"/>
        <v>0</v>
      </c>
      <c r="CT154" s="3236">
        <f t="shared" si="510"/>
        <v>763011479.07151985</v>
      </c>
      <c r="CU154" s="3237"/>
      <c r="CY154" s="3235">
        <f t="shared" si="511"/>
        <v>763011479.07151985</v>
      </c>
      <c r="CZ154" s="3236">
        <f t="shared" si="512"/>
        <v>0</v>
      </c>
      <c r="DA154" s="3236">
        <f t="shared" si="513"/>
        <v>0</v>
      </c>
      <c r="DB154" s="3236">
        <f t="shared" si="514"/>
        <v>763011479.07151985</v>
      </c>
      <c r="DC154" s="3237"/>
      <c r="DG154" s="3235">
        <f t="shared" si="515"/>
        <v>763011479.07151985</v>
      </c>
      <c r="DH154" s="3236">
        <f t="shared" si="516"/>
        <v>0</v>
      </c>
      <c r="DI154" s="3236">
        <f t="shared" si="517"/>
        <v>0</v>
      </c>
      <c r="DJ154" s="3236">
        <f t="shared" si="518"/>
        <v>763011479.07151985</v>
      </c>
      <c r="DK154" s="3237"/>
      <c r="DO154" s="3235">
        <f t="shared" si="519"/>
        <v>763011479.07151985</v>
      </c>
      <c r="DP154" s="3236">
        <f t="shared" si="520"/>
        <v>0</v>
      </c>
      <c r="DQ154" s="3236">
        <f t="shared" si="521"/>
        <v>0</v>
      </c>
      <c r="DR154" s="3236">
        <f t="shared" si="522"/>
        <v>763011479.07151985</v>
      </c>
      <c r="DS154" s="3237"/>
      <c r="DW154" s="3235">
        <f t="shared" si="523"/>
        <v>763011479.07151985</v>
      </c>
      <c r="DX154" s="3236">
        <f t="shared" si="524"/>
        <v>0</v>
      </c>
      <c r="DY154" s="3236">
        <f t="shared" si="525"/>
        <v>0</v>
      </c>
      <c r="DZ154" s="3236">
        <f t="shared" si="526"/>
        <v>763011479.07151985</v>
      </c>
      <c r="EA154" s="3237"/>
      <c r="EE154" s="3235">
        <f t="shared" si="527"/>
        <v>763011479.07151985</v>
      </c>
      <c r="EF154" s="3236">
        <f t="shared" si="528"/>
        <v>0</v>
      </c>
      <c r="EG154" s="3236">
        <f t="shared" si="529"/>
        <v>0</v>
      </c>
      <c r="EH154" s="3236">
        <f t="shared" si="530"/>
        <v>763011479.07151985</v>
      </c>
      <c r="EI154" s="3237"/>
      <c r="EM154" s="3235">
        <f t="shared" si="531"/>
        <v>763011479.07151985</v>
      </c>
      <c r="EN154" s="3236">
        <f t="shared" si="532"/>
        <v>0</v>
      </c>
      <c r="EO154" s="3236">
        <f t="shared" si="533"/>
        <v>0</v>
      </c>
      <c r="EP154" s="3236">
        <f t="shared" si="534"/>
        <v>763011479.07151985</v>
      </c>
      <c r="EQ154" s="3237"/>
      <c r="EU154" s="3235">
        <f t="shared" si="535"/>
        <v>763011479.07151985</v>
      </c>
      <c r="EV154" s="3236">
        <f t="shared" si="536"/>
        <v>0</v>
      </c>
      <c r="EW154" s="3236">
        <f t="shared" si="537"/>
        <v>0</v>
      </c>
      <c r="EX154" s="3236">
        <f t="shared" si="538"/>
        <v>763011479.07151985</v>
      </c>
      <c r="EY154" s="3237"/>
      <c r="FC154" s="3235">
        <f t="shared" si="539"/>
        <v>763011479.07151985</v>
      </c>
      <c r="FD154" s="3236">
        <f t="shared" si="540"/>
        <v>0</v>
      </c>
      <c r="FE154" s="3236">
        <f t="shared" si="541"/>
        <v>0</v>
      </c>
      <c r="FF154" s="3236">
        <f t="shared" si="542"/>
        <v>763011479.07151985</v>
      </c>
      <c r="FG154" s="3237"/>
      <c r="FK154" s="3235">
        <f t="shared" si="543"/>
        <v>763011479.07151985</v>
      </c>
      <c r="FL154" s="3236">
        <f t="shared" si="544"/>
        <v>0</v>
      </c>
      <c r="FM154" s="3236">
        <f t="shared" si="545"/>
        <v>0</v>
      </c>
      <c r="FN154" s="3236">
        <f t="shared" si="546"/>
        <v>763011479.07151985</v>
      </c>
      <c r="FO154" s="3237"/>
    </row>
    <row r="155" spans="1:171">
      <c r="A155" s="2092"/>
      <c r="B155" s="2290" t="s">
        <v>33</v>
      </c>
      <c r="C155" s="2464" t="s">
        <v>81</v>
      </c>
      <c r="D155" s="2464">
        <v>283</v>
      </c>
      <c r="E155" s="2424" t="str">
        <f>'Sch 1- Rate Base '!E155</f>
        <v>DIST</v>
      </c>
      <c r="F155" s="2171"/>
      <c r="G155" s="2424">
        <f>'Sch 1- Rate Base '!G155</f>
        <v>226461605.12920922</v>
      </c>
      <c r="H155" s="2424">
        <f>'Sch 1- Rate Base '!H155</f>
        <v>0</v>
      </c>
      <c r="I155" s="2424">
        <f>'Sch 1- Rate Base '!I155</f>
        <v>0</v>
      </c>
      <c r="J155" s="3465">
        <f>'Sch 1- Rate Base '!J155</f>
        <v>226461605.12920922</v>
      </c>
      <c r="K155" s="3205">
        <f t="shared" si="466"/>
        <v>1</v>
      </c>
      <c r="O155" s="3235">
        <f t="shared" si="467"/>
        <v>226461605.12920922</v>
      </c>
      <c r="P155" s="3236">
        <f t="shared" si="468"/>
        <v>0</v>
      </c>
      <c r="Q155" s="3236">
        <f t="shared" si="469"/>
        <v>0</v>
      </c>
      <c r="R155" s="3236">
        <f t="shared" si="470"/>
        <v>226461605.12920922</v>
      </c>
      <c r="S155" s="3237"/>
      <c r="W155" s="3235">
        <f t="shared" si="471"/>
        <v>226461605.12920922</v>
      </c>
      <c r="X155" s="3236">
        <f t="shared" si="472"/>
        <v>0</v>
      </c>
      <c r="Y155" s="3236">
        <f t="shared" si="473"/>
        <v>0</v>
      </c>
      <c r="Z155" s="3236">
        <f t="shared" si="474"/>
        <v>226461605.12920922</v>
      </c>
      <c r="AA155" s="3237"/>
      <c r="AE155" s="3235">
        <f t="shared" si="475"/>
        <v>226461605.12920922</v>
      </c>
      <c r="AF155" s="3236">
        <f t="shared" si="476"/>
        <v>0</v>
      </c>
      <c r="AG155" s="3236">
        <f t="shared" si="477"/>
        <v>0</v>
      </c>
      <c r="AH155" s="3236">
        <f t="shared" si="478"/>
        <v>226461605.12920922</v>
      </c>
      <c r="AI155" s="3237"/>
      <c r="AM155" s="3235">
        <f t="shared" si="479"/>
        <v>226461605.12920922</v>
      </c>
      <c r="AN155" s="3236">
        <f t="shared" si="480"/>
        <v>0</v>
      </c>
      <c r="AO155" s="3236">
        <f t="shared" si="481"/>
        <v>0</v>
      </c>
      <c r="AP155" s="3236">
        <f t="shared" si="482"/>
        <v>226461605.12920922</v>
      </c>
      <c r="AQ155" s="3237"/>
      <c r="AU155" s="3235">
        <f t="shared" si="483"/>
        <v>226461605.12920922</v>
      </c>
      <c r="AV155" s="3236">
        <f t="shared" si="484"/>
        <v>0</v>
      </c>
      <c r="AW155" s="3236">
        <f t="shared" si="485"/>
        <v>0</v>
      </c>
      <c r="AX155" s="3236">
        <f t="shared" si="486"/>
        <v>226461605.12920922</v>
      </c>
      <c r="AY155" s="3237"/>
      <c r="BC155" s="3235">
        <f t="shared" si="487"/>
        <v>226461605.12920922</v>
      </c>
      <c r="BD155" s="3236">
        <f t="shared" si="488"/>
        <v>0</v>
      </c>
      <c r="BE155" s="3236">
        <f t="shared" si="489"/>
        <v>0</v>
      </c>
      <c r="BF155" s="3236">
        <f t="shared" si="490"/>
        <v>226461605.12920922</v>
      </c>
      <c r="BG155" s="3237"/>
      <c r="BK155" s="3235">
        <f t="shared" si="491"/>
        <v>226461605.12920922</v>
      </c>
      <c r="BL155" s="3236">
        <f t="shared" si="492"/>
        <v>0</v>
      </c>
      <c r="BM155" s="3236">
        <f t="shared" si="493"/>
        <v>0</v>
      </c>
      <c r="BN155" s="3236">
        <f t="shared" si="494"/>
        <v>226461605.12920922</v>
      </c>
      <c r="BO155" s="3237"/>
      <c r="BS155" s="3235">
        <f t="shared" si="495"/>
        <v>226461605.12920922</v>
      </c>
      <c r="BT155" s="3236">
        <f t="shared" si="496"/>
        <v>0</v>
      </c>
      <c r="BU155" s="3236">
        <f t="shared" si="497"/>
        <v>0</v>
      </c>
      <c r="BV155" s="3236">
        <f t="shared" si="498"/>
        <v>226461605.12920922</v>
      </c>
      <c r="BW155" s="3237"/>
      <c r="CA155" s="3235">
        <f t="shared" si="499"/>
        <v>226461605.12920922</v>
      </c>
      <c r="CB155" s="3236">
        <f t="shared" si="500"/>
        <v>0</v>
      </c>
      <c r="CC155" s="3236">
        <f t="shared" si="501"/>
        <v>0</v>
      </c>
      <c r="CD155" s="3236">
        <f t="shared" si="502"/>
        <v>226461605.12920922</v>
      </c>
      <c r="CE155" s="3237"/>
      <c r="CI155" s="3235">
        <f t="shared" si="503"/>
        <v>226461605.12920922</v>
      </c>
      <c r="CJ155" s="3236">
        <f t="shared" si="504"/>
        <v>0</v>
      </c>
      <c r="CK155" s="3236">
        <f t="shared" si="505"/>
        <v>0</v>
      </c>
      <c r="CL155" s="3236">
        <f t="shared" si="506"/>
        <v>226461605.12920922</v>
      </c>
      <c r="CM155" s="3237"/>
      <c r="CQ155" s="3235">
        <f t="shared" si="507"/>
        <v>226461605.12920922</v>
      </c>
      <c r="CR155" s="3236">
        <f t="shared" si="508"/>
        <v>0</v>
      </c>
      <c r="CS155" s="3236">
        <f t="shared" si="509"/>
        <v>0</v>
      </c>
      <c r="CT155" s="3236">
        <f t="shared" si="510"/>
        <v>226461605.12920922</v>
      </c>
      <c r="CU155" s="3237"/>
      <c r="CY155" s="3235">
        <f t="shared" si="511"/>
        <v>226461605.12920922</v>
      </c>
      <c r="CZ155" s="3236">
        <f t="shared" si="512"/>
        <v>0</v>
      </c>
      <c r="DA155" s="3236">
        <f t="shared" si="513"/>
        <v>0</v>
      </c>
      <c r="DB155" s="3236">
        <f t="shared" si="514"/>
        <v>226461605.12920922</v>
      </c>
      <c r="DC155" s="3237"/>
      <c r="DG155" s="3235">
        <f t="shared" si="515"/>
        <v>226461605.12920922</v>
      </c>
      <c r="DH155" s="3236">
        <f t="shared" si="516"/>
        <v>0</v>
      </c>
      <c r="DI155" s="3236">
        <f t="shared" si="517"/>
        <v>0</v>
      </c>
      <c r="DJ155" s="3236">
        <f t="shared" si="518"/>
        <v>226461605.12920922</v>
      </c>
      <c r="DK155" s="3237"/>
      <c r="DO155" s="3235">
        <f t="shared" si="519"/>
        <v>226461605.12920922</v>
      </c>
      <c r="DP155" s="3236">
        <f t="shared" si="520"/>
        <v>0</v>
      </c>
      <c r="DQ155" s="3236">
        <f t="shared" si="521"/>
        <v>0</v>
      </c>
      <c r="DR155" s="3236">
        <f t="shared" si="522"/>
        <v>226461605.12920922</v>
      </c>
      <c r="DS155" s="3237"/>
      <c r="DW155" s="3235">
        <f t="shared" si="523"/>
        <v>226461605.12920922</v>
      </c>
      <c r="DX155" s="3236">
        <f t="shared" si="524"/>
        <v>0</v>
      </c>
      <c r="DY155" s="3236">
        <f t="shared" si="525"/>
        <v>0</v>
      </c>
      <c r="DZ155" s="3236">
        <f t="shared" si="526"/>
        <v>226461605.12920922</v>
      </c>
      <c r="EA155" s="3237"/>
      <c r="EE155" s="3235">
        <f t="shared" si="527"/>
        <v>226461605.12920922</v>
      </c>
      <c r="EF155" s="3236">
        <f t="shared" si="528"/>
        <v>0</v>
      </c>
      <c r="EG155" s="3236">
        <f t="shared" si="529"/>
        <v>0</v>
      </c>
      <c r="EH155" s="3236">
        <f t="shared" si="530"/>
        <v>226461605.12920922</v>
      </c>
      <c r="EI155" s="3237"/>
      <c r="EM155" s="3235">
        <f t="shared" si="531"/>
        <v>226461605.12920922</v>
      </c>
      <c r="EN155" s="3236">
        <f t="shared" si="532"/>
        <v>0</v>
      </c>
      <c r="EO155" s="3236">
        <f t="shared" si="533"/>
        <v>0</v>
      </c>
      <c r="EP155" s="3236">
        <f t="shared" si="534"/>
        <v>226461605.12920922</v>
      </c>
      <c r="EQ155" s="3237"/>
      <c r="EU155" s="3235">
        <f t="shared" si="535"/>
        <v>226461605.12920922</v>
      </c>
      <c r="EV155" s="3236">
        <f t="shared" si="536"/>
        <v>0</v>
      </c>
      <c r="EW155" s="3236">
        <f t="shared" si="537"/>
        <v>0</v>
      </c>
      <c r="EX155" s="3236">
        <f t="shared" si="538"/>
        <v>226461605.12920922</v>
      </c>
      <c r="EY155" s="3237"/>
      <c r="FC155" s="3235">
        <f t="shared" si="539"/>
        <v>226461605.12920922</v>
      </c>
      <c r="FD155" s="3236">
        <f t="shared" si="540"/>
        <v>0</v>
      </c>
      <c r="FE155" s="3236">
        <f t="shared" si="541"/>
        <v>0</v>
      </c>
      <c r="FF155" s="3236">
        <f t="shared" si="542"/>
        <v>226461605.12920922</v>
      </c>
      <c r="FG155" s="3237"/>
      <c r="FK155" s="3235">
        <f t="shared" si="543"/>
        <v>226461605.12920922</v>
      </c>
      <c r="FL155" s="3236">
        <f t="shared" si="544"/>
        <v>0</v>
      </c>
      <c r="FM155" s="3236">
        <f t="shared" si="545"/>
        <v>0</v>
      </c>
      <c r="FN155" s="3236">
        <f t="shared" si="546"/>
        <v>226461605.12920922</v>
      </c>
      <c r="FO155" s="3237"/>
    </row>
    <row r="156" spans="1:171">
      <c r="A156" s="2092"/>
      <c r="B156" s="3206" t="s">
        <v>104</v>
      </c>
      <c r="C156" s="3256"/>
      <c r="D156" s="3257"/>
      <c r="E156" s="3257"/>
      <c r="F156" s="3258"/>
      <c r="G156" s="3265">
        <f>SUM(G147:G155)</f>
        <v>1902848644.2734106</v>
      </c>
      <c r="H156" s="3265">
        <f>SUM(H147:H155)</f>
        <v>74347550.138190463</v>
      </c>
      <c r="I156" s="3265">
        <f>SUM(I147:I155)</f>
        <v>0</v>
      </c>
      <c r="J156" s="3474">
        <f>SUM(J147:J155)</f>
        <v>1828501094.1352201</v>
      </c>
      <c r="K156" s="3205"/>
      <c r="O156" s="3272">
        <f>SUM(O147:O155)</f>
        <v>1902848644.2734106</v>
      </c>
      <c r="P156" s="3272">
        <f>SUM(P147:P155)</f>
        <v>74347550.138190463</v>
      </c>
      <c r="Q156" s="3272">
        <f>SUM(Q147:Q155)</f>
        <v>0</v>
      </c>
      <c r="R156" s="3272">
        <f>SUM(R147:R155)</f>
        <v>1828501094.1352201</v>
      </c>
      <c r="S156" s="3237"/>
      <c r="W156" s="3272">
        <f>SUM(W147:W155)</f>
        <v>1902848644.2734106</v>
      </c>
      <c r="X156" s="3272">
        <f>SUM(X147:X155)</f>
        <v>74347550.138190463</v>
      </c>
      <c r="Y156" s="3272">
        <f>SUM(Y147:Y155)</f>
        <v>0</v>
      </c>
      <c r="Z156" s="3272">
        <f>SUM(Z147:Z155)</f>
        <v>1828501094.1352201</v>
      </c>
      <c r="AA156" s="3237"/>
      <c r="AE156" s="3272">
        <f>SUM(AE147:AE155)</f>
        <v>1902848644.2734106</v>
      </c>
      <c r="AF156" s="3272">
        <f>SUM(AF147:AF155)</f>
        <v>74347550.138190463</v>
      </c>
      <c r="AG156" s="3272">
        <f>SUM(AG147:AG155)</f>
        <v>0</v>
      </c>
      <c r="AH156" s="3272">
        <f>SUM(AH147:AH155)</f>
        <v>1828501094.1352201</v>
      </c>
      <c r="AI156" s="3237"/>
      <c r="AM156" s="3272">
        <f>SUM(AM147:AM155)</f>
        <v>1902848644.2734106</v>
      </c>
      <c r="AN156" s="3272">
        <f>SUM(AN147:AN155)</f>
        <v>74347550.138190463</v>
      </c>
      <c r="AO156" s="3272">
        <f>SUM(AO147:AO155)</f>
        <v>0</v>
      </c>
      <c r="AP156" s="3272">
        <f>SUM(AP147:AP155)</f>
        <v>1828501094.1352201</v>
      </c>
      <c r="AQ156" s="3237"/>
      <c r="AU156" s="3272">
        <f>SUM(AU147:AU155)</f>
        <v>1902848644.2734106</v>
      </c>
      <c r="AV156" s="3272">
        <f>SUM(AV147:AV155)</f>
        <v>74347550.138190463</v>
      </c>
      <c r="AW156" s="3272">
        <f>SUM(AW147:AW155)</f>
        <v>0</v>
      </c>
      <c r="AX156" s="3272">
        <f>SUM(AX147:AX155)</f>
        <v>1828501094.1352201</v>
      </c>
      <c r="AY156" s="3237"/>
      <c r="BC156" s="3272">
        <f>SUM(BC147:BC155)</f>
        <v>1902848644.2734106</v>
      </c>
      <c r="BD156" s="3272">
        <f>SUM(BD147:BD155)</f>
        <v>74347550.138190463</v>
      </c>
      <c r="BE156" s="3272">
        <f>SUM(BE147:BE155)</f>
        <v>0</v>
      </c>
      <c r="BF156" s="3272">
        <f>SUM(BF147:BF155)</f>
        <v>1828501094.1352201</v>
      </c>
      <c r="BG156" s="3237"/>
      <c r="BK156" s="3272">
        <f>SUM(BK147:BK155)</f>
        <v>1902848644.2734106</v>
      </c>
      <c r="BL156" s="3272">
        <f>SUM(BL147:BL155)</f>
        <v>74347550.138190463</v>
      </c>
      <c r="BM156" s="3272">
        <f>SUM(BM147:BM155)</f>
        <v>0</v>
      </c>
      <c r="BN156" s="3272">
        <f>SUM(BN147:BN155)</f>
        <v>1828501094.1352201</v>
      </c>
      <c r="BO156" s="3237"/>
      <c r="BS156" s="3272">
        <f>SUM(BS147:BS155)</f>
        <v>1902848644.2734106</v>
      </c>
      <c r="BT156" s="3272">
        <f>SUM(BT147:BT155)</f>
        <v>74347550.138190463</v>
      </c>
      <c r="BU156" s="3272">
        <f>SUM(BU147:BU155)</f>
        <v>0</v>
      </c>
      <c r="BV156" s="3272">
        <f>SUM(BV147:BV155)</f>
        <v>1828501094.1352201</v>
      </c>
      <c r="BW156" s="3237"/>
      <c r="CA156" s="3272">
        <f>SUM(CA147:CA155)</f>
        <v>1902848644.2734106</v>
      </c>
      <c r="CB156" s="3272">
        <f>SUM(CB147:CB155)</f>
        <v>74347550.138190463</v>
      </c>
      <c r="CC156" s="3272">
        <f>SUM(CC147:CC155)</f>
        <v>0</v>
      </c>
      <c r="CD156" s="3272">
        <f>SUM(CD147:CD155)</f>
        <v>1828501094.1352201</v>
      </c>
      <c r="CE156" s="3237"/>
      <c r="CI156" s="3272">
        <f>SUM(CI147:CI155)</f>
        <v>1902848644.2734106</v>
      </c>
      <c r="CJ156" s="3272">
        <f>SUM(CJ147:CJ155)</f>
        <v>74347550.138190463</v>
      </c>
      <c r="CK156" s="3272">
        <f>SUM(CK147:CK155)</f>
        <v>0</v>
      </c>
      <c r="CL156" s="3272">
        <f>SUM(CL147:CL155)</f>
        <v>1828501094.1352201</v>
      </c>
      <c r="CM156" s="3237"/>
      <c r="CQ156" s="3272">
        <f>SUM(CQ147:CQ155)</f>
        <v>1902848644.2734106</v>
      </c>
      <c r="CR156" s="3272">
        <f>SUM(CR147:CR155)</f>
        <v>74347550.138190463</v>
      </c>
      <c r="CS156" s="3272">
        <f>SUM(CS147:CS155)</f>
        <v>0</v>
      </c>
      <c r="CT156" s="3272">
        <f>SUM(CT147:CT155)</f>
        <v>1828501094.1352201</v>
      </c>
      <c r="CU156" s="3237"/>
      <c r="CY156" s="3272">
        <f>SUM(CY147:CY155)</f>
        <v>1902848644.2734106</v>
      </c>
      <c r="CZ156" s="3272">
        <f>SUM(CZ147:CZ155)</f>
        <v>74347550.138190463</v>
      </c>
      <c r="DA156" s="3272">
        <f>SUM(DA147:DA155)</f>
        <v>0</v>
      </c>
      <c r="DB156" s="3272">
        <f>SUM(DB147:DB155)</f>
        <v>1828501094.1352201</v>
      </c>
      <c r="DC156" s="3237"/>
      <c r="DG156" s="3272">
        <f>SUM(DG147:DG155)</f>
        <v>1902848644.2734106</v>
      </c>
      <c r="DH156" s="3272">
        <f>SUM(DH147:DH155)</f>
        <v>74347550.138190463</v>
      </c>
      <c r="DI156" s="3272">
        <f>SUM(DI147:DI155)</f>
        <v>0</v>
      </c>
      <c r="DJ156" s="3272">
        <f>SUM(DJ147:DJ155)</f>
        <v>1828501094.1352201</v>
      </c>
      <c r="DK156" s="3237"/>
      <c r="DO156" s="3272">
        <f>SUM(DO147:DO155)</f>
        <v>1902848644.2734106</v>
      </c>
      <c r="DP156" s="3272">
        <f>SUM(DP147:DP155)</f>
        <v>74347550.138190463</v>
      </c>
      <c r="DQ156" s="3272">
        <f>SUM(DQ147:DQ155)</f>
        <v>0</v>
      </c>
      <c r="DR156" s="3272">
        <f>SUM(DR147:DR155)</f>
        <v>1828501094.1352201</v>
      </c>
      <c r="DS156" s="3237"/>
      <c r="DW156" s="3272">
        <f>SUM(DW147:DW155)</f>
        <v>1902848644.2734106</v>
      </c>
      <c r="DX156" s="3272">
        <f>SUM(DX147:DX155)</f>
        <v>74347550.138190463</v>
      </c>
      <c r="DY156" s="3272">
        <f>SUM(DY147:DY155)</f>
        <v>0</v>
      </c>
      <c r="DZ156" s="3272">
        <f>SUM(DZ147:DZ155)</f>
        <v>1828501094.1352201</v>
      </c>
      <c r="EA156" s="3237"/>
      <c r="EE156" s="3272">
        <f>SUM(EE147:EE155)</f>
        <v>1902848644.2734106</v>
      </c>
      <c r="EF156" s="3272">
        <f>SUM(EF147:EF155)</f>
        <v>74347550.138190463</v>
      </c>
      <c r="EG156" s="3272">
        <f>SUM(EG147:EG155)</f>
        <v>0</v>
      </c>
      <c r="EH156" s="3272">
        <f>SUM(EH147:EH155)</f>
        <v>1828501094.1352201</v>
      </c>
      <c r="EI156" s="3237"/>
      <c r="EM156" s="3272">
        <f>SUM(EM147:EM155)</f>
        <v>1902848644.2734106</v>
      </c>
      <c r="EN156" s="3272">
        <f>SUM(EN147:EN155)</f>
        <v>74347550.138190463</v>
      </c>
      <c r="EO156" s="3272">
        <f>SUM(EO147:EO155)</f>
        <v>0</v>
      </c>
      <c r="EP156" s="3272">
        <f>SUM(EP147:EP155)</f>
        <v>1828501094.1352201</v>
      </c>
      <c r="EQ156" s="3237"/>
      <c r="EU156" s="3272">
        <f>SUM(EU147:EU155)</f>
        <v>1902848644.2734106</v>
      </c>
      <c r="EV156" s="3272">
        <f>SUM(EV147:EV155)</f>
        <v>74347550.138190463</v>
      </c>
      <c r="EW156" s="3272">
        <f>SUM(EW147:EW155)</f>
        <v>0</v>
      </c>
      <c r="EX156" s="3272">
        <f>SUM(EX147:EX155)</f>
        <v>1828501094.1352201</v>
      </c>
      <c r="EY156" s="3237"/>
      <c r="FC156" s="3272">
        <f>SUM(FC147:FC155)</f>
        <v>1902848644.2734106</v>
      </c>
      <c r="FD156" s="3272">
        <f>SUM(FD147:FD155)</f>
        <v>74347550.138190463</v>
      </c>
      <c r="FE156" s="3272">
        <f>SUM(FE147:FE155)</f>
        <v>0</v>
      </c>
      <c r="FF156" s="3272">
        <f>SUM(FF147:FF155)</f>
        <v>1828501094.1352201</v>
      </c>
      <c r="FG156" s="3237"/>
      <c r="FK156" s="3272">
        <f>SUM(FK147:FK155)</f>
        <v>1902848644.2734106</v>
      </c>
      <c r="FL156" s="3272">
        <f>SUM(FL147:FL155)</f>
        <v>74347550.138190463</v>
      </c>
      <c r="FM156" s="3272">
        <f>SUM(FM147:FM155)</f>
        <v>0</v>
      </c>
      <c r="FN156" s="3272">
        <f>SUM(FN147:FN155)</f>
        <v>1828501094.1352201</v>
      </c>
      <c r="FO156" s="3237"/>
    </row>
    <row r="157" spans="1:171">
      <c r="A157" s="2092"/>
      <c r="B157" s="2290"/>
      <c r="C157" s="2098"/>
      <c r="D157" s="3300"/>
      <c r="E157" s="2098"/>
      <c r="F157" s="2098"/>
      <c r="G157" s="3303"/>
      <c r="H157" s="3304"/>
      <c r="I157" s="3304"/>
      <c r="J157" s="3488"/>
      <c r="K157" s="3205"/>
      <c r="O157" s="2747"/>
      <c r="S157" s="3237"/>
      <c r="W157" s="2747"/>
      <c r="AA157" s="3237"/>
      <c r="AE157" s="2747"/>
      <c r="AI157" s="3237"/>
      <c r="AM157" s="2747"/>
      <c r="AQ157" s="3237"/>
      <c r="AU157" s="2747"/>
      <c r="AY157" s="3237"/>
      <c r="BC157" s="2747"/>
      <c r="BG157" s="3237"/>
      <c r="BK157" s="2747"/>
      <c r="BO157" s="3237"/>
      <c r="BS157" s="2747"/>
      <c r="BW157" s="3237"/>
      <c r="CA157" s="2747"/>
      <c r="CE157" s="3237"/>
      <c r="CI157" s="2747"/>
      <c r="CM157" s="3237"/>
      <c r="CQ157" s="2747"/>
      <c r="CU157" s="3237"/>
      <c r="CY157" s="2747"/>
      <c r="DC157" s="3237"/>
      <c r="DG157" s="2747"/>
      <c r="DK157" s="3237"/>
      <c r="DO157" s="2747"/>
      <c r="DS157" s="3237"/>
      <c r="DW157" s="2747"/>
      <c r="EA157" s="3237"/>
      <c r="EE157" s="2747"/>
      <c r="EI157" s="3237"/>
      <c r="EM157" s="2747"/>
      <c r="EQ157" s="3237"/>
      <c r="EU157" s="2747"/>
      <c r="EY157" s="3237"/>
      <c r="FC157" s="2747"/>
      <c r="FG157" s="3237"/>
      <c r="FK157" s="2747"/>
      <c r="FO157" s="3237"/>
    </row>
    <row r="158" spans="1:171">
      <c r="A158" s="2196" t="s">
        <v>73</v>
      </c>
      <c r="B158" s="2100"/>
      <c r="C158" s="3256"/>
      <c r="D158" s="3257"/>
      <c r="E158" s="3257"/>
      <c r="F158" s="3258"/>
      <c r="G158" s="3265">
        <f>+G156+G143</f>
        <v>2010043296.9734106</v>
      </c>
      <c r="H158" s="3265">
        <f>+H156+H143</f>
        <v>74347550.138190463</v>
      </c>
      <c r="I158" s="3265">
        <f>+I156+I143</f>
        <v>0</v>
      </c>
      <c r="J158" s="3474">
        <f>+J156+J143</f>
        <v>1935695746.8352201</v>
      </c>
      <c r="K158" s="3205"/>
      <c r="O158" s="3306">
        <f>+O156+O143</f>
        <v>2010043296.9734106</v>
      </c>
      <c r="P158" s="3306">
        <f>+P156+P143</f>
        <v>74347550.138190463</v>
      </c>
      <c r="Q158" s="3306">
        <f>+Q156+Q143</f>
        <v>0</v>
      </c>
      <c r="R158" s="3306">
        <f>+R156+R143</f>
        <v>1935695746.8352201</v>
      </c>
      <c r="S158" s="3237"/>
      <c r="W158" s="3306">
        <f>+W156+W143</f>
        <v>2010043296.9734106</v>
      </c>
      <c r="X158" s="3306">
        <f>+X156+X143</f>
        <v>74347550.138190463</v>
      </c>
      <c r="Y158" s="3306">
        <f>+Y156+Y143</f>
        <v>0</v>
      </c>
      <c r="Z158" s="3306">
        <f>+Z156+Z143</f>
        <v>1935695746.8352201</v>
      </c>
      <c r="AA158" s="3237"/>
      <c r="AE158" s="3306">
        <f>+AE156+AE143</f>
        <v>2010043296.9734106</v>
      </c>
      <c r="AF158" s="3306">
        <f>+AF156+AF143</f>
        <v>74347550.138190463</v>
      </c>
      <c r="AG158" s="3306">
        <f>+AG156+AG143</f>
        <v>0</v>
      </c>
      <c r="AH158" s="3306">
        <f>+AH156+AH143</f>
        <v>1935695746.8352201</v>
      </c>
      <c r="AI158" s="3237"/>
      <c r="AM158" s="3306">
        <f>+AM156+AM143</f>
        <v>2010043296.9734106</v>
      </c>
      <c r="AN158" s="3306">
        <f>+AN156+AN143</f>
        <v>74347550.138190463</v>
      </c>
      <c r="AO158" s="3306">
        <f>+AO156+AO143</f>
        <v>0</v>
      </c>
      <c r="AP158" s="3306">
        <f>+AP156+AP143</f>
        <v>1935695746.8352201</v>
      </c>
      <c r="AQ158" s="3237"/>
      <c r="AU158" s="3306">
        <f>+AU156+AU143</f>
        <v>2010043296.9734106</v>
      </c>
      <c r="AV158" s="3306">
        <f>+AV156+AV143</f>
        <v>74347550.138190463</v>
      </c>
      <c r="AW158" s="3306">
        <f>+AW156+AW143</f>
        <v>0</v>
      </c>
      <c r="AX158" s="3306">
        <f>+AX156+AX143</f>
        <v>1935695746.8352201</v>
      </c>
      <c r="AY158" s="3237"/>
      <c r="BC158" s="3306">
        <f>+BC156+BC143</f>
        <v>2010043296.9734106</v>
      </c>
      <c r="BD158" s="3306">
        <f>+BD156+BD143</f>
        <v>74347550.138190463</v>
      </c>
      <c r="BE158" s="3306">
        <f>+BE156+BE143</f>
        <v>0</v>
      </c>
      <c r="BF158" s="3306">
        <f>+BF156+BF143</f>
        <v>1935695746.8352201</v>
      </c>
      <c r="BG158" s="3237"/>
      <c r="BK158" s="3306">
        <f>+BK156+BK143</f>
        <v>2010043296.9734106</v>
      </c>
      <c r="BL158" s="3306">
        <f>+BL156+BL143</f>
        <v>74347550.138190463</v>
      </c>
      <c r="BM158" s="3306">
        <f>+BM156+BM143</f>
        <v>0</v>
      </c>
      <c r="BN158" s="3306">
        <f>+BN156+BN143</f>
        <v>1935695746.8352201</v>
      </c>
      <c r="BO158" s="3237"/>
      <c r="BS158" s="3306">
        <f>+BS156+BS143</f>
        <v>2010043296.9734106</v>
      </c>
      <c r="BT158" s="3306">
        <f>+BT156+BT143</f>
        <v>74347550.138190463</v>
      </c>
      <c r="BU158" s="3306">
        <f>+BU156+BU143</f>
        <v>0</v>
      </c>
      <c r="BV158" s="3306">
        <f>+BV156+BV143</f>
        <v>1935695746.8352201</v>
      </c>
      <c r="BW158" s="3237"/>
      <c r="CA158" s="3306">
        <f>+CA156+CA143</f>
        <v>2010043296.9734106</v>
      </c>
      <c r="CB158" s="3306">
        <f>+CB156+CB143</f>
        <v>74347550.138190463</v>
      </c>
      <c r="CC158" s="3306">
        <f>+CC156+CC143</f>
        <v>0</v>
      </c>
      <c r="CD158" s="3306">
        <f>+CD156+CD143</f>
        <v>1935695746.8352201</v>
      </c>
      <c r="CE158" s="3237"/>
      <c r="CI158" s="3306">
        <f>+CI156+CI143</f>
        <v>2010043296.9734106</v>
      </c>
      <c r="CJ158" s="3306">
        <f>+CJ156+CJ143</f>
        <v>74347550.138190463</v>
      </c>
      <c r="CK158" s="3306">
        <f>+CK156+CK143</f>
        <v>0</v>
      </c>
      <c r="CL158" s="3306">
        <f>+CL156+CL143</f>
        <v>1935695746.8352201</v>
      </c>
      <c r="CM158" s="3237"/>
      <c r="CQ158" s="3306">
        <f>+CQ156+CQ143</f>
        <v>2010043296.9734106</v>
      </c>
      <c r="CR158" s="3306">
        <f>+CR156+CR143</f>
        <v>74347550.138190463</v>
      </c>
      <c r="CS158" s="3306">
        <f>+CS156+CS143</f>
        <v>0</v>
      </c>
      <c r="CT158" s="3306">
        <f>+CT156+CT143</f>
        <v>1935695746.8352201</v>
      </c>
      <c r="CU158" s="3237"/>
      <c r="CY158" s="3306">
        <f>+CY156+CY143</f>
        <v>2010043296.9734106</v>
      </c>
      <c r="CZ158" s="3306">
        <f>+CZ156+CZ143</f>
        <v>74347550.138190463</v>
      </c>
      <c r="DA158" s="3306">
        <f>+DA156+DA143</f>
        <v>0</v>
      </c>
      <c r="DB158" s="3306">
        <f>+DB156+DB143</f>
        <v>1935695746.8352201</v>
      </c>
      <c r="DC158" s="3237"/>
      <c r="DG158" s="3306">
        <f>+DG156+DG143</f>
        <v>2010043296.9734106</v>
      </c>
      <c r="DH158" s="3306">
        <f>+DH156+DH143</f>
        <v>74347550.138190463</v>
      </c>
      <c r="DI158" s="3306">
        <f>+DI156+DI143</f>
        <v>0</v>
      </c>
      <c r="DJ158" s="3306">
        <f>+DJ156+DJ143</f>
        <v>1935695746.8352201</v>
      </c>
      <c r="DK158" s="3237"/>
      <c r="DO158" s="3306">
        <f>+DO156+DO143</f>
        <v>2010043296.9734106</v>
      </c>
      <c r="DP158" s="3306">
        <f>+DP156+DP143</f>
        <v>74347550.138190463</v>
      </c>
      <c r="DQ158" s="3306">
        <f>+DQ156+DQ143</f>
        <v>0</v>
      </c>
      <c r="DR158" s="3306">
        <f>+DR156+DR143</f>
        <v>1935695746.8352201</v>
      </c>
      <c r="DS158" s="3237"/>
      <c r="DW158" s="3306">
        <f>+DW156+DW143</f>
        <v>2010043296.9734106</v>
      </c>
      <c r="DX158" s="3306">
        <f>+DX156+DX143</f>
        <v>74347550.138190463</v>
      </c>
      <c r="DY158" s="3306">
        <f>+DY156+DY143</f>
        <v>0</v>
      </c>
      <c r="DZ158" s="3306">
        <f>+DZ156+DZ143</f>
        <v>1935695746.8352201</v>
      </c>
      <c r="EA158" s="3237"/>
      <c r="EE158" s="3306">
        <f>+EE156+EE143</f>
        <v>2010043296.9734106</v>
      </c>
      <c r="EF158" s="3306">
        <f>+EF156+EF143</f>
        <v>74347550.138190463</v>
      </c>
      <c r="EG158" s="3306">
        <f>+EG156+EG143</f>
        <v>0</v>
      </c>
      <c r="EH158" s="3306">
        <f>+EH156+EH143</f>
        <v>1935695746.8352201</v>
      </c>
      <c r="EI158" s="3237"/>
      <c r="EM158" s="3306">
        <f>+EM156+EM143</f>
        <v>2010043296.9734106</v>
      </c>
      <c r="EN158" s="3306">
        <f>+EN156+EN143</f>
        <v>74347550.138190463</v>
      </c>
      <c r="EO158" s="3306">
        <f>+EO156+EO143</f>
        <v>0</v>
      </c>
      <c r="EP158" s="3306">
        <f>+EP156+EP143</f>
        <v>1935695746.8352201</v>
      </c>
      <c r="EQ158" s="3237"/>
      <c r="EU158" s="3306">
        <f>+EU156+EU143</f>
        <v>2010043296.9734106</v>
      </c>
      <c r="EV158" s="3306">
        <f>+EV156+EV143</f>
        <v>74347550.138190463</v>
      </c>
      <c r="EW158" s="3306">
        <f>+EW156+EW143</f>
        <v>0</v>
      </c>
      <c r="EX158" s="3306">
        <f>+EX156+EX143</f>
        <v>1935695746.8352201</v>
      </c>
      <c r="EY158" s="3237"/>
      <c r="FC158" s="3306">
        <f>+FC156+FC143</f>
        <v>2010043296.9734106</v>
      </c>
      <c r="FD158" s="3306">
        <f>+FD156+FD143</f>
        <v>74347550.138190463</v>
      </c>
      <c r="FE158" s="3306">
        <f>+FE156+FE143</f>
        <v>0</v>
      </c>
      <c r="FF158" s="3306">
        <f>+FF156+FF143</f>
        <v>1935695746.8352201</v>
      </c>
      <c r="FG158" s="3237"/>
      <c r="FK158" s="3306">
        <f>+FK156+FK143</f>
        <v>2010043296.9734106</v>
      </c>
      <c r="FL158" s="3306">
        <f>+FL156+FL143</f>
        <v>74347550.138190463</v>
      </c>
      <c r="FM158" s="3306">
        <f>+FM156+FM143</f>
        <v>0</v>
      </c>
      <c r="FN158" s="3306">
        <f>+FN156+FN143</f>
        <v>1935695746.8352201</v>
      </c>
      <c r="FO158" s="3237"/>
    </row>
    <row r="159" spans="1:171">
      <c r="A159" s="2260"/>
      <c r="B159" s="2100"/>
      <c r="C159" s="2116"/>
      <c r="D159" s="2116"/>
      <c r="E159" s="2116"/>
      <c r="F159" s="2116"/>
      <c r="G159" s="2233"/>
      <c r="H159" s="2233"/>
      <c r="I159" s="2233"/>
      <c r="J159" s="2234"/>
      <c r="K159" s="3205"/>
      <c r="S159" s="3237"/>
      <c r="AA159" s="3237"/>
      <c r="AI159" s="3237"/>
      <c r="AQ159" s="3237"/>
      <c r="AY159" s="3237"/>
      <c r="BG159" s="3237"/>
      <c r="BO159" s="3237"/>
      <c r="BW159" s="3237"/>
      <c r="CE159" s="3237"/>
      <c r="CM159" s="3237"/>
      <c r="CU159" s="3237"/>
      <c r="DC159" s="3237"/>
      <c r="DK159" s="3237"/>
      <c r="DS159" s="3237"/>
      <c r="EA159" s="3237"/>
      <c r="EI159" s="3237"/>
      <c r="EQ159" s="3237"/>
      <c r="EY159" s="3237"/>
      <c r="FG159" s="3237"/>
      <c r="FO159" s="3237"/>
    </row>
    <row r="160" spans="1:171">
      <c r="A160" s="3489"/>
      <c r="B160" s="2290"/>
      <c r="C160" s="3300"/>
      <c r="D160" s="3300"/>
      <c r="E160" s="2290"/>
      <c r="F160" s="2290"/>
      <c r="G160" s="3307"/>
      <c r="H160" s="3307"/>
      <c r="I160" s="3307"/>
      <c r="J160" s="3490"/>
      <c r="K160" s="3205"/>
      <c r="S160" s="3237"/>
      <c r="AA160" s="3237"/>
      <c r="AI160" s="3237"/>
      <c r="AQ160" s="3237"/>
      <c r="AY160" s="3237"/>
      <c r="BG160" s="3237"/>
      <c r="BO160" s="3237"/>
      <c r="BW160" s="3237"/>
      <c r="CE160" s="3237"/>
      <c r="CM160" s="3237"/>
      <c r="CU160" s="3237"/>
      <c r="DC160" s="3237"/>
      <c r="DK160" s="3237"/>
      <c r="DS160" s="3237"/>
      <c r="EA160" s="3237"/>
      <c r="EI160" s="3237"/>
      <c r="EQ160" s="3237"/>
      <c r="EY160" s="3237"/>
      <c r="FG160" s="3237"/>
      <c r="FO160" s="3237"/>
    </row>
    <row r="161" spans="1:171">
      <c r="A161" s="2091" t="s">
        <v>477</v>
      </c>
      <c r="B161" s="2100"/>
      <c r="C161" s="3256"/>
      <c r="D161" s="3257"/>
      <c r="E161" s="3257"/>
      <c r="F161" s="3258"/>
      <c r="G161" s="3265">
        <f>G79+G135-G158</f>
        <v>7602520405.9922667</v>
      </c>
      <c r="H161" s="3265">
        <f>H79+H135-H158</f>
        <v>2217167777.4065552</v>
      </c>
      <c r="I161" s="3265">
        <f>I79+I135-I158</f>
        <v>0</v>
      </c>
      <c r="J161" s="3474">
        <f>J79+J135-J158</f>
        <v>5385352626.9445868</v>
      </c>
      <c r="K161" s="3205"/>
      <c r="O161" s="3292">
        <f>O79+O135-O158</f>
        <v>7602520405.9922667</v>
      </c>
      <c r="P161" s="3292">
        <f>P79+P135-P158</f>
        <v>2217167777.4065552</v>
      </c>
      <c r="Q161" s="3292">
        <f>Q79+Q135-Q158</f>
        <v>1395908114.0030434</v>
      </c>
      <c r="R161" s="3292">
        <f>R79+R135-R158</f>
        <v>3989444514.5826664</v>
      </c>
      <c r="S161" s="3264"/>
      <c r="W161" s="3292">
        <f>W79+W135-W158</f>
        <v>7602520405.9922667</v>
      </c>
      <c r="X161" s="3292">
        <f>X79+X135-X158</f>
        <v>2217167777.4065552</v>
      </c>
      <c r="Y161" s="3292">
        <f>Y79+Y135-Y158</f>
        <v>1395908114.0030434</v>
      </c>
      <c r="Z161" s="3292">
        <f>Z79+Z135-Z158</f>
        <v>3989444514.5826664</v>
      </c>
      <c r="AA161" s="3264"/>
      <c r="AE161" s="3292">
        <f>AE79+AE135-AE158</f>
        <v>7602520405.9922667</v>
      </c>
      <c r="AF161" s="3292">
        <f>AF79+AF135-AF158</f>
        <v>2217167777.4065552</v>
      </c>
      <c r="AG161" s="3292">
        <f>AG79+AG135-AG158</f>
        <v>1395908114.0030434</v>
      </c>
      <c r="AH161" s="3292">
        <f>AH79+AH135-AH158</f>
        <v>3989444514.5826664</v>
      </c>
      <c r="AI161" s="3264"/>
      <c r="AM161" s="3292">
        <f>AM79+AM135-AM158</f>
        <v>7602520405.9922667</v>
      </c>
      <c r="AN161" s="3292">
        <f>AN79+AN135-AN158</f>
        <v>2217167777.4065552</v>
      </c>
      <c r="AO161" s="3292">
        <f>AO79+AO135-AO158</f>
        <v>1395908114.0030434</v>
      </c>
      <c r="AP161" s="3292">
        <f>AP79+AP135-AP158</f>
        <v>3989444514.5826664</v>
      </c>
      <c r="AQ161" s="3264"/>
      <c r="AU161" s="3292">
        <f>AU79+AU135-AU158</f>
        <v>7602520405.9922667</v>
      </c>
      <c r="AV161" s="3292">
        <f>AV79+AV135-AV158</f>
        <v>2217167777.4065552</v>
      </c>
      <c r="AW161" s="3292">
        <f>AW79+AW135-AW158</f>
        <v>1395908114.0030434</v>
      </c>
      <c r="AX161" s="3292">
        <f>AX79+AX135-AX158</f>
        <v>3989444514.5826664</v>
      </c>
      <c r="AY161" s="3264"/>
      <c r="BC161" s="3292">
        <f>BC79+BC135-BC158</f>
        <v>7602520405.9922667</v>
      </c>
      <c r="BD161" s="3292">
        <f>BD79+BD135-BD158</f>
        <v>2217167777.4065552</v>
      </c>
      <c r="BE161" s="3292">
        <f>BE79+BE135-BE158</f>
        <v>1395908114.0030434</v>
      </c>
      <c r="BF161" s="3292">
        <f>BF79+BF135-BF158</f>
        <v>3989444514.5826664</v>
      </c>
      <c r="BG161" s="3264"/>
      <c r="BK161" s="3292">
        <f>BK79+BK135-BK158</f>
        <v>7602520405.9922667</v>
      </c>
      <c r="BL161" s="3292">
        <f>BL79+BL135-BL158</f>
        <v>2217167777.4065552</v>
      </c>
      <c r="BM161" s="3292">
        <f>BM79+BM135-BM158</f>
        <v>1395908114.0030434</v>
      </c>
      <c r="BN161" s="3292">
        <f>BN79+BN135-BN158</f>
        <v>3989444514.5826664</v>
      </c>
      <c r="BO161" s="3264"/>
      <c r="BS161" s="3292">
        <f>BS79+BS135-BS158</f>
        <v>7602520405.9922667</v>
      </c>
      <c r="BT161" s="3292">
        <f>BT79+BT135-BT158</f>
        <v>2217167777.4065552</v>
      </c>
      <c r="BU161" s="3292">
        <f>BU79+BU135-BU158</f>
        <v>1395908114.0030434</v>
      </c>
      <c r="BV161" s="3292">
        <f>BV79+BV135-BV158</f>
        <v>3989444514.5826664</v>
      </c>
      <c r="BW161" s="3264"/>
      <c r="CA161" s="3292">
        <f>CA79+CA135-CA158</f>
        <v>7602520405.9922667</v>
      </c>
      <c r="CB161" s="3292">
        <f>CB79+CB135-CB158</f>
        <v>2217167777.4065552</v>
      </c>
      <c r="CC161" s="3292">
        <f>CC79+CC135-CC158</f>
        <v>1395908114.0030434</v>
      </c>
      <c r="CD161" s="3292">
        <f>CD79+CD135-CD158</f>
        <v>3989444514.5826664</v>
      </c>
      <c r="CE161" s="3264"/>
      <c r="CI161" s="3292">
        <f>CI79+CI135-CI158</f>
        <v>7602520405.9922667</v>
      </c>
      <c r="CJ161" s="3292">
        <f>CJ79+CJ135-CJ158</f>
        <v>2217167777.4065552</v>
      </c>
      <c r="CK161" s="3292">
        <f>CK79+CK135-CK158</f>
        <v>1395908114.0030434</v>
      </c>
      <c r="CL161" s="3292">
        <f>CL79+CL135-CL158</f>
        <v>3989444514.5826664</v>
      </c>
      <c r="CM161" s="3264"/>
      <c r="CQ161" s="3292">
        <f>CQ79+CQ135-CQ158</f>
        <v>7602520405.9922667</v>
      </c>
      <c r="CR161" s="3292">
        <f>CR79+CR135-CR158</f>
        <v>2217167777.4065552</v>
      </c>
      <c r="CS161" s="3292">
        <f>CS79+CS135-CS158</f>
        <v>1395908114.0030434</v>
      </c>
      <c r="CT161" s="3292">
        <f>CT79+CT135-CT158</f>
        <v>3989444514.5826664</v>
      </c>
      <c r="CU161" s="3264"/>
      <c r="CY161" s="3292">
        <f>CY79+CY135-CY158</f>
        <v>7602520405.9922667</v>
      </c>
      <c r="CZ161" s="3292">
        <f>CZ79+CZ135-CZ158</f>
        <v>2217167777.4065552</v>
      </c>
      <c r="DA161" s="3292">
        <f>DA79+DA135-DA158</f>
        <v>1395908114.0030434</v>
      </c>
      <c r="DB161" s="3292">
        <f>DB79+DB135-DB158</f>
        <v>3989444514.5826664</v>
      </c>
      <c r="DC161" s="3264"/>
      <c r="DG161" s="3292">
        <f>DG79+DG135-DG158</f>
        <v>7602520405.9922667</v>
      </c>
      <c r="DH161" s="3292">
        <f>DH79+DH135-DH158</f>
        <v>2217167777.4065552</v>
      </c>
      <c r="DI161" s="3292">
        <f>DI79+DI135-DI158</f>
        <v>1395908114.0030434</v>
      </c>
      <c r="DJ161" s="3292">
        <f>DJ79+DJ135-DJ158</f>
        <v>3989444514.5826664</v>
      </c>
      <c r="DK161" s="3264"/>
      <c r="DO161" s="3292">
        <f>DO79+DO135-DO158</f>
        <v>7602520405.9922667</v>
      </c>
      <c r="DP161" s="3292">
        <f>DP79+DP135-DP158</f>
        <v>2217167777.4065552</v>
      </c>
      <c r="DQ161" s="3292">
        <f>DQ79+DQ135-DQ158</f>
        <v>1395908114.0030434</v>
      </c>
      <c r="DR161" s="3292">
        <f>DR79+DR135-DR158</f>
        <v>3989444514.5826664</v>
      </c>
      <c r="DS161" s="3264"/>
      <c r="DW161" s="3292">
        <f>DW79+DW135-DW158</f>
        <v>7602520405.9922667</v>
      </c>
      <c r="DX161" s="3292">
        <f>DX79+DX135-DX158</f>
        <v>2217167777.4065552</v>
      </c>
      <c r="DY161" s="3292">
        <f>DY79+DY135-DY158</f>
        <v>1395908114.0030434</v>
      </c>
      <c r="DZ161" s="3292">
        <f>DZ79+DZ135-DZ158</f>
        <v>3989444514.5826664</v>
      </c>
      <c r="EA161" s="3264"/>
      <c r="EE161" s="3292">
        <f>EE79+EE135-EE158</f>
        <v>7602520405.9922667</v>
      </c>
      <c r="EF161" s="3292">
        <f>EF79+EF135-EF158</f>
        <v>2217167777.4065552</v>
      </c>
      <c r="EG161" s="3292">
        <f>EG79+EG135-EG158</f>
        <v>1395908114.0030434</v>
      </c>
      <c r="EH161" s="3292">
        <f>EH79+EH135-EH158</f>
        <v>3989444514.5826664</v>
      </c>
      <c r="EI161" s="3264"/>
      <c r="EM161" s="3292">
        <f>EM79+EM135-EM158</f>
        <v>7602520405.9922667</v>
      </c>
      <c r="EN161" s="3292">
        <f>EN79+EN135-EN158</f>
        <v>2217167777.4065552</v>
      </c>
      <c r="EO161" s="3292">
        <f>EO79+EO135-EO158</f>
        <v>1395908114.0030434</v>
      </c>
      <c r="EP161" s="3292">
        <f>EP79+EP135-EP158</f>
        <v>3989444514.5826664</v>
      </c>
      <c r="EQ161" s="3264"/>
      <c r="EU161" s="3292">
        <f>EU79+EU135-EU158</f>
        <v>7602520405.9922667</v>
      </c>
      <c r="EV161" s="3292">
        <f>EV79+EV135-EV158</f>
        <v>2217167777.4065552</v>
      </c>
      <c r="EW161" s="3292">
        <f>EW79+EW135-EW158</f>
        <v>1395908114.0030434</v>
      </c>
      <c r="EX161" s="3292">
        <f>EX79+EX135-EX158</f>
        <v>3989444514.5826664</v>
      </c>
      <c r="EY161" s="3264"/>
      <c r="FC161" s="3292">
        <f>FC79+FC135-FC158</f>
        <v>7602520405.9922667</v>
      </c>
      <c r="FD161" s="3292">
        <f>FD79+FD135-FD158</f>
        <v>2217167777.4065552</v>
      </c>
      <c r="FE161" s="3292">
        <f>FE79+FE135-FE158</f>
        <v>1395908114.0030434</v>
      </c>
      <c r="FF161" s="3292">
        <f>FF79+FF135-FF158</f>
        <v>3989444514.5826664</v>
      </c>
      <c r="FG161" s="3264"/>
      <c r="FK161" s="3292">
        <f>FK79+FK135-FK158</f>
        <v>7602520405.9922667</v>
      </c>
      <c r="FL161" s="3292">
        <f>FL79+FL135-FL158</f>
        <v>2217167777.4065552</v>
      </c>
      <c r="FM161" s="3292">
        <f>FM79+FM135-FM158</f>
        <v>1395908114.0030434</v>
      </c>
      <c r="FN161" s="3292">
        <f>FN79+FN135-FN158</f>
        <v>3989444514.5826664</v>
      </c>
      <c r="FO161" s="3264"/>
    </row>
    <row r="162" spans="1:171">
      <c r="A162" s="2214" t="s">
        <v>83</v>
      </c>
      <c r="B162" s="2100"/>
      <c r="C162" s="2116"/>
      <c r="D162" s="2116"/>
      <c r="E162" s="2116"/>
      <c r="F162" s="2116"/>
      <c r="G162" s="2182"/>
      <c r="H162" s="2118"/>
      <c r="I162" s="2119"/>
      <c r="J162" s="3491"/>
      <c r="K162" s="3205"/>
      <c r="S162" s="3264"/>
      <c r="AA162" s="3264"/>
      <c r="AI162" s="3264"/>
      <c r="AQ162" s="3264"/>
      <c r="AY162" s="3264"/>
      <c r="BG162" s="3264"/>
      <c r="BO162" s="3264"/>
      <c r="BW162" s="3264"/>
      <c r="CE162" s="3264"/>
      <c r="CM162" s="3264"/>
      <c r="CU162" s="3264"/>
      <c r="DC162" s="3264"/>
      <c r="DK162" s="3264"/>
      <c r="DS162" s="3264"/>
      <c r="EA162" s="3264"/>
      <c r="EI162" s="3264"/>
      <c r="EQ162" s="3264"/>
      <c r="EY162" s="3264"/>
      <c r="FG162" s="3264"/>
      <c r="FO162" s="3264"/>
    </row>
    <row r="163" spans="1:171" ht="12" thickBot="1">
      <c r="A163" s="2219"/>
      <c r="B163" s="2099"/>
      <c r="C163" s="2120"/>
      <c r="D163" s="2120"/>
      <c r="E163" s="2120"/>
      <c r="F163" s="2120"/>
      <c r="G163" s="2220"/>
      <c r="H163" s="2122"/>
      <c r="I163" s="2123"/>
      <c r="J163" s="3492"/>
      <c r="K163" s="3205"/>
      <c r="S163" s="3264"/>
      <c r="AA163" s="3264"/>
      <c r="AI163" s="3264"/>
      <c r="AQ163" s="3264"/>
      <c r="AY163" s="3264"/>
      <c r="BG163" s="3264"/>
      <c r="BO163" s="3264"/>
      <c r="BW163" s="3264"/>
      <c r="CE163" s="3264"/>
      <c r="CM163" s="3264"/>
      <c r="CU163" s="3264"/>
      <c r="DC163" s="3264"/>
      <c r="DK163" s="3264"/>
      <c r="DS163" s="3264"/>
      <c r="EA163" s="3264"/>
      <c r="EI163" s="3264"/>
      <c r="EQ163" s="3264"/>
      <c r="EY163" s="3264"/>
      <c r="FG163" s="3264"/>
      <c r="FO163" s="3264"/>
    </row>
    <row r="164" spans="1:171" ht="12" thickTop="1">
      <c r="A164" s="2214"/>
      <c r="B164" s="2100"/>
      <c r="C164" s="2116"/>
      <c r="D164" s="2116"/>
      <c r="E164" s="2116"/>
      <c r="F164" s="2116"/>
      <c r="G164" s="2182"/>
      <c r="H164" s="2118"/>
      <c r="I164" s="2119"/>
      <c r="J164" s="3491"/>
      <c r="K164" s="3205"/>
      <c r="S164" s="3264"/>
      <c r="AA164" s="3264"/>
      <c r="AI164" s="3264"/>
      <c r="AQ164" s="3264"/>
      <c r="AY164" s="3264"/>
      <c r="BG164" s="3264"/>
      <c r="BO164" s="3264"/>
      <c r="BW164" s="3264"/>
      <c r="CE164" s="3264"/>
      <c r="CM164" s="3264"/>
      <c r="CU164" s="3264"/>
      <c r="DC164" s="3264"/>
      <c r="DK164" s="3264"/>
      <c r="DS164" s="3264"/>
      <c r="EA164" s="3264"/>
      <c r="EI164" s="3264"/>
      <c r="EQ164" s="3264"/>
      <c r="EY164" s="3264"/>
      <c r="FG164" s="3264"/>
      <c r="FO164" s="3264"/>
    </row>
    <row r="165" spans="1:171">
      <c r="A165" s="3468" t="s">
        <v>63</v>
      </c>
      <c r="G165" s="3311">
        <f>'Sch 2 -Rate of Return'!E14</f>
        <v>8.3803797468354424E-2</v>
      </c>
      <c r="H165" s="3312">
        <f>G165</f>
        <v>8.3803797468354424E-2</v>
      </c>
      <c r="I165" s="3312">
        <f>G165</f>
        <v>8.3803797468354424E-2</v>
      </c>
      <c r="J165" s="3493">
        <f>G165</f>
        <v>8.3803797468354424E-2</v>
      </c>
      <c r="K165" s="3205"/>
      <c r="O165" s="523">
        <f>$G$165</f>
        <v>8.3803797468354424E-2</v>
      </c>
      <c r="P165" s="523">
        <f>$G$165</f>
        <v>8.3803797468354424E-2</v>
      </c>
      <c r="Q165" s="523">
        <f>$G$165</f>
        <v>8.3803797468354424E-2</v>
      </c>
      <c r="R165" s="523">
        <f>$G$165</f>
        <v>8.3803797468354424E-2</v>
      </c>
      <c r="S165" s="3264"/>
      <c r="W165" s="523">
        <f>$G$165</f>
        <v>8.3803797468354424E-2</v>
      </c>
      <c r="X165" s="523">
        <f>$G$165</f>
        <v>8.3803797468354424E-2</v>
      </c>
      <c r="Y165" s="523">
        <f>$G$165</f>
        <v>8.3803797468354424E-2</v>
      </c>
      <c r="Z165" s="523">
        <f>$G$165</f>
        <v>8.3803797468354424E-2</v>
      </c>
      <c r="AA165" s="3264"/>
      <c r="AE165" s="523">
        <f>$G$165</f>
        <v>8.3803797468354424E-2</v>
      </c>
      <c r="AF165" s="523">
        <f>$G$165</f>
        <v>8.3803797468354424E-2</v>
      </c>
      <c r="AG165" s="523">
        <f>$G$165</f>
        <v>8.3803797468354424E-2</v>
      </c>
      <c r="AH165" s="523">
        <f>$G$165</f>
        <v>8.3803797468354424E-2</v>
      </c>
      <c r="AI165" s="3264"/>
      <c r="AM165" s="523">
        <f>$G$165</f>
        <v>8.3803797468354424E-2</v>
      </c>
      <c r="AN165" s="523">
        <f>$G$165</f>
        <v>8.3803797468354424E-2</v>
      </c>
      <c r="AO165" s="523">
        <f>$G$165</f>
        <v>8.3803797468354424E-2</v>
      </c>
      <c r="AP165" s="523">
        <f>$G$165</f>
        <v>8.3803797468354424E-2</v>
      </c>
      <c r="AQ165" s="3264"/>
      <c r="AU165" s="523">
        <f>$G$165</f>
        <v>8.3803797468354424E-2</v>
      </c>
      <c r="AV165" s="523">
        <f>$G$165</f>
        <v>8.3803797468354424E-2</v>
      </c>
      <c r="AW165" s="523">
        <f>$G$165</f>
        <v>8.3803797468354424E-2</v>
      </c>
      <c r="AX165" s="523">
        <f>$G$165</f>
        <v>8.3803797468354424E-2</v>
      </c>
      <c r="AY165" s="3264"/>
      <c r="BC165" s="523">
        <f>$G$165</f>
        <v>8.3803797468354424E-2</v>
      </c>
      <c r="BD165" s="523">
        <f>$G$165</f>
        <v>8.3803797468354424E-2</v>
      </c>
      <c r="BE165" s="523">
        <f>$G$165</f>
        <v>8.3803797468354424E-2</v>
      </c>
      <c r="BF165" s="523">
        <f>$G$165</f>
        <v>8.3803797468354424E-2</v>
      </c>
      <c r="BG165" s="3264"/>
      <c r="BK165" s="523">
        <f>$G$165</f>
        <v>8.3803797468354424E-2</v>
      </c>
      <c r="BL165" s="523">
        <f>$G$165</f>
        <v>8.3803797468354424E-2</v>
      </c>
      <c r="BM165" s="523">
        <f>$G$165</f>
        <v>8.3803797468354424E-2</v>
      </c>
      <c r="BN165" s="523">
        <f>$G$165</f>
        <v>8.3803797468354424E-2</v>
      </c>
      <c r="BO165" s="3264"/>
      <c r="BS165" s="523">
        <f>$G$165</f>
        <v>8.3803797468354424E-2</v>
      </c>
      <c r="BT165" s="523">
        <f>$G$165</f>
        <v>8.3803797468354424E-2</v>
      </c>
      <c r="BU165" s="523">
        <f>$G$165</f>
        <v>8.3803797468354424E-2</v>
      </c>
      <c r="BV165" s="523">
        <f>$G$165</f>
        <v>8.3803797468354424E-2</v>
      </c>
      <c r="BW165" s="3264"/>
      <c r="CA165" s="523">
        <f>$G$165</f>
        <v>8.3803797468354424E-2</v>
      </c>
      <c r="CB165" s="523">
        <f>$G$165</f>
        <v>8.3803797468354424E-2</v>
      </c>
      <c r="CC165" s="523">
        <f>$G$165</f>
        <v>8.3803797468354424E-2</v>
      </c>
      <c r="CD165" s="523">
        <f>$G$165</f>
        <v>8.3803797468354424E-2</v>
      </c>
      <c r="CE165" s="3264"/>
      <c r="CI165" s="523">
        <f>$G$165</f>
        <v>8.3803797468354424E-2</v>
      </c>
      <c r="CJ165" s="523">
        <f>$G$165</f>
        <v>8.3803797468354424E-2</v>
      </c>
      <c r="CK165" s="523">
        <f>$G$165</f>
        <v>8.3803797468354424E-2</v>
      </c>
      <c r="CL165" s="523">
        <f>$G$165</f>
        <v>8.3803797468354424E-2</v>
      </c>
      <c r="CM165" s="3264"/>
      <c r="CQ165" s="523">
        <f>$G$165</f>
        <v>8.3803797468354424E-2</v>
      </c>
      <c r="CR165" s="523">
        <f>$G$165</f>
        <v>8.3803797468354424E-2</v>
      </c>
      <c r="CS165" s="523">
        <f>$G$165</f>
        <v>8.3803797468354424E-2</v>
      </c>
      <c r="CT165" s="523">
        <f>$G$165</f>
        <v>8.3803797468354424E-2</v>
      </c>
      <c r="CU165" s="3264"/>
      <c r="CY165" s="523">
        <f>$G$165</f>
        <v>8.3803797468354424E-2</v>
      </c>
      <c r="CZ165" s="523">
        <f>$G$165</f>
        <v>8.3803797468354424E-2</v>
      </c>
      <c r="DA165" s="523">
        <f>$G$165</f>
        <v>8.3803797468354424E-2</v>
      </c>
      <c r="DB165" s="523">
        <f>$G$165</f>
        <v>8.3803797468354424E-2</v>
      </c>
      <c r="DC165" s="3264"/>
      <c r="DG165" s="523">
        <f>$G$165</f>
        <v>8.3803797468354424E-2</v>
      </c>
      <c r="DH165" s="523">
        <f>$G$165</f>
        <v>8.3803797468354424E-2</v>
      </c>
      <c r="DI165" s="523">
        <f>$G$165</f>
        <v>8.3803797468354424E-2</v>
      </c>
      <c r="DJ165" s="523">
        <f>$G$165</f>
        <v>8.3803797468354424E-2</v>
      </c>
      <c r="DK165" s="3264"/>
      <c r="DO165" s="523">
        <f>$G$165</f>
        <v>8.3803797468354424E-2</v>
      </c>
      <c r="DP165" s="523">
        <f>$G$165</f>
        <v>8.3803797468354424E-2</v>
      </c>
      <c r="DQ165" s="523">
        <f>$G$165</f>
        <v>8.3803797468354424E-2</v>
      </c>
      <c r="DR165" s="523">
        <f>$G$165</f>
        <v>8.3803797468354424E-2</v>
      </c>
      <c r="DS165" s="3264"/>
      <c r="DW165" s="523">
        <f>$G$165</f>
        <v>8.3803797468354424E-2</v>
      </c>
      <c r="DX165" s="523">
        <f>$G$165</f>
        <v>8.3803797468354424E-2</v>
      </c>
      <c r="DY165" s="523">
        <f>$G$165</f>
        <v>8.3803797468354424E-2</v>
      </c>
      <c r="DZ165" s="523">
        <f>$G$165</f>
        <v>8.3803797468354424E-2</v>
      </c>
      <c r="EA165" s="3264"/>
      <c r="EE165" s="523">
        <f>$G$165</f>
        <v>8.3803797468354424E-2</v>
      </c>
      <c r="EF165" s="523">
        <f>$G$165</f>
        <v>8.3803797468354424E-2</v>
      </c>
      <c r="EG165" s="523">
        <f>$G$165</f>
        <v>8.3803797468354424E-2</v>
      </c>
      <c r="EH165" s="523">
        <f>$G$165</f>
        <v>8.3803797468354424E-2</v>
      </c>
      <c r="EI165" s="3264"/>
      <c r="EM165" s="523">
        <f>$G$165</f>
        <v>8.3803797468354424E-2</v>
      </c>
      <c r="EN165" s="523">
        <f>$G$165</f>
        <v>8.3803797468354424E-2</v>
      </c>
      <c r="EO165" s="523">
        <f>$G$165</f>
        <v>8.3803797468354424E-2</v>
      </c>
      <c r="EP165" s="523">
        <f>$G$165</f>
        <v>8.3803797468354424E-2</v>
      </c>
      <c r="EQ165" s="3264"/>
      <c r="EU165" s="523">
        <f>$G$165</f>
        <v>8.3803797468354424E-2</v>
      </c>
      <c r="EV165" s="523">
        <f>$G$165</f>
        <v>8.3803797468354424E-2</v>
      </c>
      <c r="EW165" s="523">
        <f>$G$165</f>
        <v>8.3803797468354424E-2</v>
      </c>
      <c r="EX165" s="523">
        <f>$G$165</f>
        <v>8.3803797468354424E-2</v>
      </c>
      <c r="EY165" s="3264"/>
      <c r="FC165" s="523">
        <f>$G$165</f>
        <v>8.3803797468354424E-2</v>
      </c>
      <c r="FD165" s="523">
        <f>$G$165</f>
        <v>8.3803797468354424E-2</v>
      </c>
      <c r="FE165" s="523">
        <f>$G$165</f>
        <v>8.3803797468354424E-2</v>
      </c>
      <c r="FF165" s="523">
        <f>$G$165</f>
        <v>8.3803797468354424E-2</v>
      </c>
      <c r="FG165" s="3264"/>
      <c r="FK165" s="523">
        <f>$G$165</f>
        <v>8.3803797468354424E-2</v>
      </c>
      <c r="FL165" s="523">
        <f>$G$165</f>
        <v>8.3803797468354424E-2</v>
      </c>
      <c r="FM165" s="523">
        <f>$G$165</f>
        <v>8.3803797468354424E-2</v>
      </c>
      <c r="FN165" s="523">
        <f>$G$165</f>
        <v>8.3803797468354424E-2</v>
      </c>
      <c r="FO165" s="3264"/>
    </row>
    <row r="166" spans="1:171">
      <c r="A166" s="3452"/>
      <c r="J166" s="3453"/>
      <c r="K166" s="3205"/>
      <c r="S166" s="3264"/>
      <c r="AA166" s="3264"/>
      <c r="AI166" s="3264"/>
      <c r="AQ166" s="3264"/>
      <c r="AY166" s="3264"/>
      <c r="BG166" s="3264"/>
      <c r="BO166" s="3264"/>
      <c r="BW166" s="3264"/>
      <c r="CE166" s="3264"/>
      <c r="CM166" s="3264"/>
      <c r="CU166" s="3264"/>
      <c r="DC166" s="3264"/>
      <c r="DK166" s="3264"/>
      <c r="DS166" s="3264"/>
      <c r="EA166" s="3264"/>
      <c r="EI166" s="3264"/>
      <c r="EQ166" s="3264"/>
      <c r="EY166" s="3264"/>
      <c r="FG166" s="3264"/>
      <c r="FO166" s="3264"/>
    </row>
    <row r="167" spans="1:171">
      <c r="A167" s="3494" t="s">
        <v>141</v>
      </c>
      <c r="G167" s="3315">
        <f>G161*G165</f>
        <v>637120080.35280752</v>
      </c>
      <c r="H167" s="3315">
        <f>H161*H165</f>
        <v>185807079.37114048</v>
      </c>
      <c r="I167" s="3315">
        <f>I161*I165</f>
        <v>0</v>
      </c>
      <c r="J167" s="3495">
        <f>J161*J165</f>
        <v>451313000.84413463</v>
      </c>
      <c r="K167" s="3205"/>
      <c r="O167" s="3292">
        <f>O161*O165</f>
        <v>637120080.35280752</v>
      </c>
      <c r="P167" s="3292">
        <f>P161*P165</f>
        <v>185807079.37114048</v>
      </c>
      <c r="Q167" s="3292">
        <f>Q161*Q165</f>
        <v>116982400.87034366</v>
      </c>
      <c r="R167" s="3292">
        <f>R161*R165</f>
        <v>334330600.1113233</v>
      </c>
      <c r="S167" s="3264"/>
      <c r="W167" s="3292">
        <f>W161*W165</f>
        <v>637120080.35280752</v>
      </c>
      <c r="X167" s="3292">
        <f>X161*X165</f>
        <v>185807079.37114048</v>
      </c>
      <c r="Y167" s="3292">
        <f>Y161*Y165</f>
        <v>116982400.87034366</v>
      </c>
      <c r="Z167" s="3292">
        <f>Z161*Z165</f>
        <v>334330600.1113233</v>
      </c>
      <c r="AA167" s="3264"/>
      <c r="AE167" s="3292">
        <f>AE161*AE165</f>
        <v>637120080.35280752</v>
      </c>
      <c r="AF167" s="3292">
        <f>AF161*AF165</f>
        <v>185807079.37114048</v>
      </c>
      <c r="AG167" s="3292">
        <f>AG161*AG165</f>
        <v>116982400.87034366</v>
      </c>
      <c r="AH167" s="3292">
        <f>AH161*AH165</f>
        <v>334330600.1113233</v>
      </c>
      <c r="AI167" s="3264"/>
      <c r="AM167" s="3292">
        <f>AM161*AM165</f>
        <v>637120080.35280752</v>
      </c>
      <c r="AN167" s="3292">
        <f>AN161*AN165</f>
        <v>185807079.37114048</v>
      </c>
      <c r="AO167" s="3292">
        <f>AO161*AO165</f>
        <v>116982400.87034366</v>
      </c>
      <c r="AP167" s="3292">
        <f>AP161*AP165</f>
        <v>334330600.1113233</v>
      </c>
      <c r="AQ167" s="3264"/>
      <c r="AU167" s="3292">
        <f>AU161*AU165</f>
        <v>637120080.35280752</v>
      </c>
      <c r="AV167" s="3292">
        <f>AV161*AV165</f>
        <v>185807079.37114048</v>
      </c>
      <c r="AW167" s="3292">
        <f>AW161*AW165</f>
        <v>116982400.87034366</v>
      </c>
      <c r="AX167" s="3292">
        <f>AX161*AX165</f>
        <v>334330600.1113233</v>
      </c>
      <c r="AY167" s="3264"/>
      <c r="BC167" s="3292">
        <f>BC161*BC165</f>
        <v>637120080.35280752</v>
      </c>
      <c r="BD167" s="3292">
        <f>BD161*BD165</f>
        <v>185807079.37114048</v>
      </c>
      <c r="BE167" s="3292">
        <f>BE161*BE165</f>
        <v>116982400.87034366</v>
      </c>
      <c r="BF167" s="3292">
        <f>BF161*BF165</f>
        <v>334330600.1113233</v>
      </c>
      <c r="BG167" s="3264"/>
      <c r="BK167" s="3292">
        <f>BK161*BK165</f>
        <v>637120080.35280752</v>
      </c>
      <c r="BL167" s="3292">
        <f>BL161*BL165</f>
        <v>185807079.37114048</v>
      </c>
      <c r="BM167" s="3292">
        <f>BM161*BM165</f>
        <v>116982400.87034366</v>
      </c>
      <c r="BN167" s="3292">
        <f>BN161*BN165</f>
        <v>334330600.1113233</v>
      </c>
      <c r="BO167" s="3264"/>
      <c r="BS167" s="3292">
        <f>BS161*BS165</f>
        <v>637120080.35280752</v>
      </c>
      <c r="BT167" s="3292">
        <f>BT161*BT165</f>
        <v>185807079.37114048</v>
      </c>
      <c r="BU167" s="3292">
        <f>BU161*BU165</f>
        <v>116982400.87034366</v>
      </c>
      <c r="BV167" s="3292">
        <f>BV161*BV165</f>
        <v>334330600.1113233</v>
      </c>
      <c r="BW167" s="3264"/>
      <c r="CA167" s="3292">
        <f>CA161*CA165</f>
        <v>637120080.35280752</v>
      </c>
      <c r="CB167" s="3292">
        <f>CB161*CB165</f>
        <v>185807079.37114048</v>
      </c>
      <c r="CC167" s="3292">
        <f>CC161*CC165</f>
        <v>116982400.87034366</v>
      </c>
      <c r="CD167" s="3292">
        <f>CD161*CD165</f>
        <v>334330600.1113233</v>
      </c>
      <c r="CE167" s="3264"/>
      <c r="CI167" s="3292">
        <f>CI161*CI165</f>
        <v>637120080.35280752</v>
      </c>
      <c r="CJ167" s="3292">
        <f>CJ161*CJ165</f>
        <v>185807079.37114048</v>
      </c>
      <c r="CK167" s="3292">
        <f>CK161*CK165</f>
        <v>116982400.87034366</v>
      </c>
      <c r="CL167" s="3292">
        <f>CL161*CL165</f>
        <v>334330600.1113233</v>
      </c>
      <c r="CM167" s="3264"/>
      <c r="CQ167" s="3292">
        <f>CQ161*CQ165</f>
        <v>637120080.35280752</v>
      </c>
      <c r="CR167" s="3292">
        <f>CR161*CR165</f>
        <v>185807079.37114048</v>
      </c>
      <c r="CS167" s="3292">
        <f>CS161*CS165</f>
        <v>116982400.87034366</v>
      </c>
      <c r="CT167" s="3292">
        <f>CT161*CT165</f>
        <v>334330600.1113233</v>
      </c>
      <c r="CU167" s="3264"/>
      <c r="CY167" s="3292">
        <f>CY161*CY165</f>
        <v>637120080.35280752</v>
      </c>
      <c r="CZ167" s="3292">
        <f>CZ161*CZ165</f>
        <v>185807079.37114048</v>
      </c>
      <c r="DA167" s="3292">
        <f>DA161*DA165</f>
        <v>116982400.87034366</v>
      </c>
      <c r="DB167" s="3292">
        <f>DB161*DB165</f>
        <v>334330600.1113233</v>
      </c>
      <c r="DC167" s="3264"/>
      <c r="DG167" s="3292">
        <f>DG161*DG165</f>
        <v>637120080.35280752</v>
      </c>
      <c r="DH167" s="3292">
        <f>DH161*DH165</f>
        <v>185807079.37114048</v>
      </c>
      <c r="DI167" s="3292">
        <f>DI161*DI165</f>
        <v>116982400.87034366</v>
      </c>
      <c r="DJ167" s="3292">
        <f>DJ161*DJ165</f>
        <v>334330600.1113233</v>
      </c>
      <c r="DK167" s="3264"/>
      <c r="DO167" s="3292">
        <f>DO161*DO165</f>
        <v>637120080.35280752</v>
      </c>
      <c r="DP167" s="3292">
        <f>DP161*DP165</f>
        <v>185807079.37114048</v>
      </c>
      <c r="DQ167" s="3292">
        <f>DQ161*DQ165</f>
        <v>116982400.87034366</v>
      </c>
      <c r="DR167" s="3292">
        <f>DR161*DR165</f>
        <v>334330600.1113233</v>
      </c>
      <c r="DS167" s="3264"/>
      <c r="DW167" s="3292">
        <f>DW161*DW165</f>
        <v>637120080.35280752</v>
      </c>
      <c r="DX167" s="3292">
        <f>DX161*DX165</f>
        <v>185807079.37114048</v>
      </c>
      <c r="DY167" s="3292">
        <f>DY161*DY165</f>
        <v>116982400.87034366</v>
      </c>
      <c r="DZ167" s="3292">
        <f>DZ161*DZ165</f>
        <v>334330600.1113233</v>
      </c>
      <c r="EA167" s="3264"/>
      <c r="EE167" s="3292">
        <f>EE161*EE165</f>
        <v>637120080.35280752</v>
      </c>
      <c r="EF167" s="3292">
        <f>EF161*EF165</f>
        <v>185807079.37114048</v>
      </c>
      <c r="EG167" s="3292">
        <f>EG161*EG165</f>
        <v>116982400.87034366</v>
      </c>
      <c r="EH167" s="3292">
        <f>EH161*EH165</f>
        <v>334330600.1113233</v>
      </c>
      <c r="EI167" s="3264"/>
      <c r="EM167" s="3292">
        <f>EM161*EM165</f>
        <v>637120080.35280752</v>
      </c>
      <c r="EN167" s="3292">
        <f>EN161*EN165</f>
        <v>185807079.37114048</v>
      </c>
      <c r="EO167" s="3292">
        <f>EO161*EO165</f>
        <v>116982400.87034366</v>
      </c>
      <c r="EP167" s="3292">
        <f>EP161*EP165</f>
        <v>334330600.1113233</v>
      </c>
      <c r="EQ167" s="3264"/>
      <c r="EU167" s="3292">
        <f>EU161*EU165</f>
        <v>637120080.35280752</v>
      </c>
      <c r="EV167" s="3292">
        <f>EV161*EV165</f>
        <v>185807079.37114048</v>
      </c>
      <c r="EW167" s="3292">
        <f>EW161*EW165</f>
        <v>116982400.87034366</v>
      </c>
      <c r="EX167" s="3292">
        <f>EX161*EX165</f>
        <v>334330600.1113233</v>
      </c>
      <c r="EY167" s="3264"/>
      <c r="FC167" s="3292">
        <f>FC161*FC165</f>
        <v>637120080.35280752</v>
      </c>
      <c r="FD167" s="3292">
        <f>FD161*FD165</f>
        <v>185807079.37114048</v>
      </c>
      <c r="FE167" s="3292">
        <f>FE161*FE165</f>
        <v>116982400.87034366</v>
      </c>
      <c r="FF167" s="3292">
        <f>FF161*FF165</f>
        <v>334330600.1113233</v>
      </c>
      <c r="FG167" s="3264"/>
      <c r="FK167" s="3292">
        <f>FK161*FK165</f>
        <v>637120080.35280752</v>
      </c>
      <c r="FL167" s="3292">
        <f>FL161*FL165</f>
        <v>185807079.37114048</v>
      </c>
      <c r="FM167" s="3292">
        <f>FM161*FM165</f>
        <v>116982400.87034366</v>
      </c>
      <c r="FN167" s="3292">
        <f>FN161*FN165</f>
        <v>334330600.1113233</v>
      </c>
      <c r="FO167" s="3264"/>
    </row>
    <row r="168" spans="1:171">
      <c r="A168" s="3452"/>
      <c r="J168" s="3453"/>
      <c r="K168" s="3205"/>
      <c r="S168" s="3264"/>
      <c r="AA168" s="3264"/>
      <c r="AI168" s="3264"/>
      <c r="AQ168" s="3264"/>
      <c r="AY168" s="3264"/>
      <c r="BG168" s="3264"/>
      <c r="BO168" s="3264"/>
      <c r="BW168" s="3264"/>
      <c r="CE168" s="3264"/>
      <c r="CM168" s="3264"/>
      <c r="CU168" s="3264"/>
      <c r="DC168" s="3264"/>
      <c r="DK168" s="3264"/>
      <c r="DS168" s="3264"/>
      <c r="EA168" s="3264"/>
      <c r="EI168" s="3264"/>
      <c r="EQ168" s="3264"/>
      <c r="EY168" s="3264"/>
      <c r="FG168" s="3264"/>
      <c r="FO168" s="3264"/>
    </row>
    <row r="169" spans="1:171" ht="12" thickBot="1">
      <c r="A169" s="3452"/>
      <c r="J169" s="3453"/>
      <c r="K169" s="3205"/>
      <c r="S169" s="3264"/>
      <c r="AA169" s="3264"/>
      <c r="AI169" s="3264"/>
      <c r="AQ169" s="3264"/>
      <c r="AY169" s="3264"/>
      <c r="BG169" s="3264"/>
      <c r="BO169" s="3264"/>
      <c r="BW169" s="3264"/>
      <c r="CE169" s="3264"/>
      <c r="CM169" s="3264"/>
      <c r="CU169" s="3264"/>
      <c r="DC169" s="3264"/>
      <c r="DK169" s="3264"/>
      <c r="DS169" s="3264"/>
      <c r="EA169" s="3264"/>
      <c r="EI169" s="3264"/>
      <c r="EQ169" s="3264"/>
      <c r="EY169" s="3264"/>
      <c r="FG169" s="3264"/>
      <c r="FO169" s="3264"/>
    </row>
    <row r="170" spans="1:171" ht="12.75" thickTop="1" thickBot="1">
      <c r="A170" s="3496" t="s">
        <v>82</v>
      </c>
      <c r="B170" s="3318"/>
      <c r="C170" s="3318"/>
      <c r="D170" s="3318"/>
      <c r="E170" s="3319"/>
      <c r="F170" s="3319"/>
      <c r="G170" s="3320"/>
      <c r="H170" s="3321"/>
      <c r="I170" s="3321"/>
      <c r="J170" s="3497"/>
      <c r="K170" s="3205"/>
      <c r="S170" s="3264"/>
      <c r="AA170" s="3264"/>
      <c r="AI170" s="3264"/>
      <c r="AQ170" s="3264"/>
      <c r="AY170" s="3264"/>
      <c r="BG170" s="3264"/>
      <c r="BO170" s="3264"/>
      <c r="BW170" s="3264"/>
      <c r="CE170" s="3264"/>
      <c r="CM170" s="3264"/>
      <c r="CU170" s="3264"/>
      <c r="DC170" s="3264"/>
      <c r="DK170" s="3264"/>
      <c r="DS170" s="3264"/>
      <c r="EA170" s="3264"/>
      <c r="EI170" s="3264"/>
      <c r="EQ170" s="3264"/>
      <c r="EY170" s="3264"/>
      <c r="FG170" s="3264"/>
      <c r="FO170" s="3264"/>
    </row>
    <row r="171" spans="1:171" ht="12.75" thickTop="1" thickBot="1">
      <c r="A171" s="3498"/>
      <c r="B171" s="3809" t="s">
        <v>100</v>
      </c>
      <c r="C171" s="2457" t="s">
        <v>321</v>
      </c>
      <c r="D171" s="2457"/>
      <c r="E171" s="3907" t="s">
        <v>350</v>
      </c>
      <c r="F171" s="3908"/>
      <c r="G171" s="3901" t="s">
        <v>104</v>
      </c>
      <c r="H171" s="3903" t="s">
        <v>105</v>
      </c>
      <c r="I171" s="3891" t="s">
        <v>106</v>
      </c>
      <c r="J171" s="3499"/>
      <c r="K171" s="3205"/>
      <c r="S171" s="3264"/>
      <c r="AA171" s="3264"/>
      <c r="AI171" s="3264"/>
      <c r="AQ171" s="3264"/>
      <c r="AY171" s="3264"/>
      <c r="BG171" s="3264"/>
      <c r="BO171" s="3264"/>
      <c r="BW171" s="3264"/>
      <c r="CE171" s="3264"/>
      <c r="CM171" s="3264"/>
      <c r="CU171" s="3264"/>
      <c r="DC171" s="3264"/>
      <c r="DK171" s="3264"/>
      <c r="DS171" s="3264"/>
      <c r="EA171" s="3264"/>
      <c r="EI171" s="3264"/>
      <c r="EQ171" s="3264"/>
      <c r="EY171" s="3264"/>
      <c r="FG171" s="3264"/>
      <c r="FO171" s="3264"/>
    </row>
    <row r="172" spans="1:171" ht="12" thickBot="1">
      <c r="A172" s="3500"/>
      <c r="B172" s="3905"/>
      <c r="C172" s="2460" t="s">
        <v>270</v>
      </c>
      <c r="D172" s="2460" t="s">
        <v>96</v>
      </c>
      <c r="E172" s="3894"/>
      <c r="F172" s="3895"/>
      <c r="G172" s="3897"/>
      <c r="H172" s="3886"/>
      <c r="I172" s="3889"/>
      <c r="J172" s="3501" t="s">
        <v>98</v>
      </c>
      <c r="K172" s="3205"/>
      <c r="S172" s="3264"/>
      <c r="AA172" s="3264"/>
      <c r="AI172" s="3264"/>
      <c r="AQ172" s="3264"/>
      <c r="AY172" s="3264"/>
      <c r="BG172" s="3264"/>
      <c r="BO172" s="3264"/>
      <c r="BW172" s="3264"/>
      <c r="CE172" s="3264"/>
      <c r="CM172" s="3264"/>
      <c r="CU172" s="3264"/>
      <c r="DC172" s="3264"/>
      <c r="DK172" s="3264"/>
      <c r="DS172" s="3264"/>
      <c r="EA172" s="3264"/>
      <c r="EI172" s="3264"/>
      <c r="EQ172" s="3264"/>
      <c r="EY172" s="3264"/>
      <c r="FG172" s="3264"/>
      <c r="FO172" s="3264"/>
    </row>
    <row r="173" spans="1:171" ht="12" thickBot="1">
      <c r="A173" s="3502"/>
      <c r="B173" s="3906"/>
      <c r="C173" s="2461" t="s">
        <v>271</v>
      </c>
      <c r="D173" s="2461" t="s">
        <v>250</v>
      </c>
      <c r="E173" s="2461" t="s">
        <v>449</v>
      </c>
      <c r="F173" s="2461" t="s">
        <v>609</v>
      </c>
      <c r="G173" s="3898"/>
      <c r="H173" s="3887"/>
      <c r="I173" s="3890"/>
      <c r="J173" s="3503" t="s">
        <v>107</v>
      </c>
      <c r="K173" s="3205"/>
      <c r="S173" s="3264"/>
      <c r="AA173" s="3264"/>
      <c r="AI173" s="3264"/>
      <c r="AQ173" s="3264"/>
      <c r="AY173" s="3264"/>
      <c r="BG173" s="3264"/>
      <c r="BO173" s="3264"/>
      <c r="BW173" s="3264"/>
      <c r="CE173" s="3264"/>
      <c r="CM173" s="3264"/>
      <c r="CU173" s="3264"/>
      <c r="DC173" s="3264"/>
      <c r="DK173" s="3264"/>
      <c r="DS173" s="3264"/>
      <c r="EA173" s="3264"/>
      <c r="EI173" s="3264"/>
      <c r="EQ173" s="3264"/>
      <c r="EY173" s="3264"/>
      <c r="FG173" s="3264"/>
      <c r="FO173" s="3264"/>
    </row>
    <row r="174" spans="1:171" ht="12" thickTop="1">
      <c r="A174" s="2096" t="s">
        <v>455</v>
      </c>
      <c r="B174" s="2100"/>
      <c r="C174" s="2116"/>
      <c r="D174" s="2116"/>
      <c r="E174" s="2116"/>
      <c r="F174" s="2116"/>
      <c r="G174" s="2463"/>
      <c r="H174" s="2118"/>
      <c r="I174" s="2118"/>
      <c r="J174" s="3470"/>
      <c r="K174" s="3205"/>
      <c r="S174" s="3264"/>
      <c r="AA174" s="3264"/>
      <c r="AI174" s="3264"/>
      <c r="AQ174" s="3264"/>
      <c r="AY174" s="3264"/>
      <c r="BG174" s="3264"/>
      <c r="BO174" s="3264"/>
      <c r="BW174" s="3264"/>
      <c r="CE174" s="3264"/>
      <c r="CM174" s="3264"/>
      <c r="CU174" s="3264"/>
      <c r="DC174" s="3264"/>
      <c r="DK174" s="3264"/>
      <c r="DS174" s="3264"/>
      <c r="EA174" s="3264"/>
      <c r="EI174" s="3264"/>
      <c r="EQ174" s="3264"/>
      <c r="EY174" s="3264"/>
      <c r="FG174" s="3264"/>
      <c r="FO174" s="3264"/>
    </row>
    <row r="175" spans="1:171">
      <c r="A175" s="2092"/>
      <c r="B175" s="2139" t="s">
        <v>456</v>
      </c>
      <c r="C175" s="2116"/>
      <c r="D175" s="2116"/>
      <c r="E175" s="2116"/>
      <c r="F175" s="2116"/>
      <c r="G175" s="2463"/>
      <c r="H175" s="2118"/>
      <c r="I175" s="2118"/>
      <c r="J175" s="3470"/>
      <c r="K175" s="3205"/>
      <c r="S175" s="3264"/>
      <c r="AA175" s="3264"/>
      <c r="AI175" s="3264"/>
      <c r="AQ175" s="3264"/>
      <c r="AY175" s="3264"/>
      <c r="BG175" s="3264"/>
      <c r="BO175" s="3264"/>
      <c r="BW175" s="3264"/>
      <c r="CE175" s="3264"/>
      <c r="CM175" s="3264"/>
      <c r="CU175" s="3264"/>
      <c r="DC175" s="3264"/>
      <c r="DK175" s="3264"/>
      <c r="DS175" s="3264"/>
      <c r="EA175" s="3264"/>
      <c r="EI175" s="3264"/>
      <c r="EQ175" s="3264"/>
      <c r="EY175" s="3264"/>
      <c r="FG175" s="3264"/>
      <c r="FO175" s="3264"/>
    </row>
    <row r="176" spans="1:171">
      <c r="A176" s="3480">
        <v>160</v>
      </c>
      <c r="B176" s="2103" t="s">
        <v>257</v>
      </c>
      <c r="C176" s="2464" t="s">
        <v>72</v>
      </c>
      <c r="D176" s="2464">
        <v>501</v>
      </c>
      <c r="E176" s="2424" t="str">
        <f>'Sch 3 - Expenses'!E16</f>
        <v>PROD</v>
      </c>
      <c r="F176" s="2171"/>
      <c r="G176" s="2424">
        <f>'Sch 3 - Expenses'!G16</f>
        <v>60636604</v>
      </c>
      <c r="H176" s="2424">
        <f>'Sch 3 - Expenses'!H16</f>
        <v>60636604</v>
      </c>
      <c r="I176" s="2424">
        <f>'Sch 3 - Expenses'!I16</f>
        <v>0</v>
      </c>
      <c r="J176" s="3465">
        <f>'Sch 3 - Expenses'!J16</f>
        <v>0</v>
      </c>
      <c r="K176" s="3205">
        <f t="shared" ref="K176:K195" si="547">IF($E176="DIRECT",0,1)</f>
        <v>1</v>
      </c>
      <c r="N176" s="3434">
        <f>VLOOKUP($A176,'New Resources - Group'!$A$4:$Y$133,N$2,FALSE)*N$1</f>
        <v>0</v>
      </c>
      <c r="O176" s="3235">
        <f>$G176+N176</f>
        <v>60636604</v>
      </c>
      <c r="P176" s="3236">
        <f>VLOOKUP($E176,O$442:R$453,2,FALSE)*O176*($K176)+IF($G176&lt;&gt;0,($H176/$G176)*O176,0)*(1-$K176)</f>
        <v>60636604</v>
      </c>
      <c r="Q176" s="3236">
        <f>VLOOKUP($E176,O$442:R$453,3,FALSE)*O176*($K176)+IF($G176&lt;&gt;0,($I176/$G176)*O176,0)*(1-$K176)</f>
        <v>0</v>
      </c>
      <c r="R176" s="3236">
        <f>VLOOKUP($E176,O$442:R$453,4,FALSE)*O176*($K176)+(O176-P176-Q176)*(1-$K176)</f>
        <v>0</v>
      </c>
      <c r="S176" s="3264"/>
      <c r="V176" s="3434">
        <f>VLOOKUP($A176,'New Resources - Group'!$A$4:$Y$133,V$2,FALSE)*V$1</f>
        <v>0</v>
      </c>
      <c r="W176" s="3235">
        <f>$G176+V176</f>
        <v>60636604</v>
      </c>
      <c r="X176" s="3236">
        <f>VLOOKUP($E176,W$442:Z$453,2,FALSE)*W176*($K176)+IF($G176&lt;&gt;0,($H176/$G176)*W176,0)*(1-$K176)</f>
        <v>60636604</v>
      </c>
      <c r="Y176" s="3236">
        <f>VLOOKUP($E176,W$442:Z$453,3,FALSE)*W176*($K176)+IF($G176&lt;&gt;0,($I176/$G176)*W176,0)*(1-$K176)</f>
        <v>0</v>
      </c>
      <c r="Z176" s="3236">
        <f>VLOOKUP($E176,W$442:Z$453,4,FALSE)*W176*($K176)+(W176-X176-Y176)*(1-$K176)</f>
        <v>0</v>
      </c>
      <c r="AA176" s="3264"/>
      <c r="AD176" s="3434">
        <f>VLOOKUP($A176,'New Resources - Group'!$A$4:$Y$133,AD$2,FALSE)*AD$1</f>
        <v>0</v>
      </c>
      <c r="AE176" s="3235">
        <f>$G176+AD176</f>
        <v>60636604</v>
      </c>
      <c r="AF176" s="3236">
        <f>VLOOKUP($E176,AE$442:AH$453,2,FALSE)*AE176*($K176)+IF($G176&lt;&gt;0,($H176/$G176)*AE176,0)*(1-$K176)</f>
        <v>60636604</v>
      </c>
      <c r="AG176" s="3236">
        <f>VLOOKUP($E176,AE$442:AH$453,3,FALSE)*AE176*($K176)+IF($G176&lt;&gt;0,($I176/$G176)*AE176,0)*(1-$K176)</f>
        <v>0</v>
      </c>
      <c r="AH176" s="3236">
        <f>VLOOKUP($E176,AE$442:AH$453,4,FALSE)*AE176*($K176)+(AE176-AF176-AG176)*(1-$K176)</f>
        <v>0</v>
      </c>
      <c r="AI176" s="3264"/>
      <c r="AL176" s="3434">
        <f>VLOOKUP($A176,'New Resources - Group'!$A$4:$Y$133,AL$2,FALSE)*AL$1</f>
        <v>0</v>
      </c>
      <c r="AM176" s="3235">
        <f>$G176+AL176</f>
        <v>60636604</v>
      </c>
      <c r="AN176" s="3236">
        <f>VLOOKUP($E176,AM$442:AP$453,2,FALSE)*AM176*($K176)+IF($G176&lt;&gt;0,($H176/$G176)*AM176,0)*(1-$K176)</f>
        <v>60636604</v>
      </c>
      <c r="AO176" s="3236">
        <f>VLOOKUP($E176,AM$442:AP$453,3,FALSE)*AM176*($K176)+IF($G176&lt;&gt;0,($I176/$G176)*AM176,0)*(1-$K176)</f>
        <v>0</v>
      </c>
      <c r="AP176" s="3236">
        <f>VLOOKUP($E176,AM$442:AP$453,4,FALSE)*AM176*($K176)+(AM176-AN176-AO176)*(1-$K176)</f>
        <v>0</v>
      </c>
      <c r="AQ176" s="3264"/>
      <c r="AT176" s="3434">
        <f>VLOOKUP($A176,'New Resources - Group'!$A$4:$Y$133,AT$2,FALSE)*AT$1</f>
        <v>0</v>
      </c>
      <c r="AU176" s="3235">
        <f>$G176+AT176</f>
        <v>60636604</v>
      </c>
      <c r="AV176" s="3236">
        <f>VLOOKUP($E176,AU$442:AX$453,2,FALSE)*AU176*($K176)+IF($G176&lt;&gt;0,($H176/$G176)*AU176,0)*(1-$K176)</f>
        <v>60636604</v>
      </c>
      <c r="AW176" s="3236">
        <f>VLOOKUP($E176,AU$442:AX$453,3,FALSE)*AU176*($K176)+IF($G176&lt;&gt;0,($I176/$G176)*AU176,0)*(1-$K176)</f>
        <v>0</v>
      </c>
      <c r="AX176" s="3236">
        <f>VLOOKUP($E176,AU$442:AX$453,4,FALSE)*AU176*($K176)+(AU176-AV176-AW176)*(1-$K176)</f>
        <v>0</v>
      </c>
      <c r="AY176" s="3264"/>
      <c r="BB176" s="3434">
        <f>VLOOKUP($A176,'New Resources - Group'!$A$4:$Y$133,BB$2,FALSE)*BB$1</f>
        <v>0</v>
      </c>
      <c r="BC176" s="3235">
        <f>$G176+BB176</f>
        <v>60636604</v>
      </c>
      <c r="BD176" s="3236">
        <f>VLOOKUP($E176,BC$442:BF$453,2,FALSE)*BC176*($K176)+IF($G176&lt;&gt;0,($H176/$G176)*BC176,0)*(1-$K176)</f>
        <v>60636604</v>
      </c>
      <c r="BE176" s="3236">
        <f>VLOOKUP($E176,BC$442:BF$453,3,FALSE)*BC176*($K176)+IF($G176&lt;&gt;0,($I176/$G176)*BC176,0)*(1-$K176)</f>
        <v>0</v>
      </c>
      <c r="BF176" s="3236">
        <f>VLOOKUP($E176,BC$442:BF$453,4,FALSE)*BC176*($K176)+(BC176-BD176-BE176)*(1-$K176)</f>
        <v>0</v>
      </c>
      <c r="BG176" s="3264"/>
      <c r="BJ176" s="3434">
        <f>VLOOKUP($A176,'New Resources - Group'!$A$4:$Y$133,BJ$2,FALSE)*BJ$1</f>
        <v>0</v>
      </c>
      <c r="BK176" s="3235">
        <f>$G176+BJ176</f>
        <v>60636604</v>
      </c>
      <c r="BL176" s="3236">
        <f>VLOOKUP($E176,BK$442:BN$453,2,FALSE)*BK176*($K176)+IF($G176&lt;&gt;0,($H176/$G176)*BK176,0)*(1-$K176)</f>
        <v>60636604</v>
      </c>
      <c r="BM176" s="3236">
        <f>VLOOKUP($E176,BK$442:BN$453,3,FALSE)*BK176*($K176)+IF($G176&lt;&gt;0,($I176/$G176)*BK176,0)*(1-$K176)</f>
        <v>0</v>
      </c>
      <c r="BN176" s="3236">
        <f>VLOOKUP($E176,BK$442:BN$453,4,FALSE)*BK176*($K176)+(BK176-BL176-BM176)*(1-$K176)</f>
        <v>0</v>
      </c>
      <c r="BO176" s="3264"/>
      <c r="BR176" s="3434">
        <f>VLOOKUP($A176,'New Resources - Group'!$A$4:$Y$133,BR$2,FALSE)*BR$1</f>
        <v>0</v>
      </c>
      <c r="BS176" s="3235">
        <f>$G176+BR176</f>
        <v>60636604</v>
      </c>
      <c r="BT176" s="3236">
        <f>VLOOKUP($E176,BS$442:BV$453,2,FALSE)*BS176*($K176)+IF($G176&lt;&gt;0,($H176/$G176)*BS176,0)*(1-$K176)</f>
        <v>60636604</v>
      </c>
      <c r="BU176" s="3236">
        <f>VLOOKUP($E176,BS$442:BV$453,3,FALSE)*BS176*($K176)+IF($G176&lt;&gt;0,($I176/$G176)*BS176,0)*(1-$K176)</f>
        <v>0</v>
      </c>
      <c r="BV176" s="3236">
        <f>VLOOKUP($E176,BS$442:BV$453,4,FALSE)*BS176*($K176)+(BS176-BT176-BU176)*(1-$K176)</f>
        <v>0</v>
      </c>
      <c r="BW176" s="3264"/>
      <c r="BZ176" s="3434">
        <f>VLOOKUP($A176,'New Resources - Group'!$A$4:$Y$133,BZ$2,FALSE)*BZ$1</f>
        <v>0</v>
      </c>
      <c r="CA176" s="3235">
        <f>$G176+BZ176</f>
        <v>60636604</v>
      </c>
      <c r="CB176" s="3236">
        <f>VLOOKUP($E176,CA$442:CD$453,2,FALSE)*CA176*($K176)+IF($G176&lt;&gt;0,($H176/$G176)*CA176,0)*(1-$K176)</f>
        <v>60636604</v>
      </c>
      <c r="CC176" s="3236">
        <f>VLOOKUP($E176,CA$442:CD$453,3,FALSE)*CA176*($K176)+IF($G176&lt;&gt;0,($I176/$G176)*CA176,0)*(1-$K176)</f>
        <v>0</v>
      </c>
      <c r="CD176" s="3236">
        <f>VLOOKUP($E176,CA$442:CD$453,4,FALSE)*CA176*($K176)+(CA176-CB176-CC176)*(1-$K176)</f>
        <v>0</v>
      </c>
      <c r="CE176" s="3264"/>
      <c r="CH176" s="3434">
        <f>VLOOKUP($A176,'New Resources - Group'!$A$4:$Y$133,CH$2,FALSE)*CH$1</f>
        <v>0</v>
      </c>
      <c r="CI176" s="3235">
        <f>$G176+CH176</f>
        <v>60636604</v>
      </c>
      <c r="CJ176" s="3236">
        <f>VLOOKUP($E176,CI$442:CL$453,2,FALSE)*CI176*($K176)+IF($G176&lt;&gt;0,($H176/$G176)*CI176,0)*(1-$K176)</f>
        <v>60636604</v>
      </c>
      <c r="CK176" s="3236">
        <f>VLOOKUP($E176,CI$442:CL$453,3,FALSE)*CI176*($K176)+IF($G176&lt;&gt;0,($I176/$G176)*CI176,0)*(1-$K176)</f>
        <v>0</v>
      </c>
      <c r="CL176" s="3236">
        <f>VLOOKUP($E176,CI$442:CL$453,4,FALSE)*CI176*($K176)+(CI176-CJ176-CK176)*(1-$K176)</f>
        <v>0</v>
      </c>
      <c r="CM176" s="3264"/>
      <c r="CP176" s="3434">
        <f>VLOOKUP($A176,'New Resources - Group'!$A$4:$Y$133,CP$2,FALSE)*CP$1</f>
        <v>0</v>
      </c>
      <c r="CQ176" s="3235">
        <f>$G176+CP176</f>
        <v>60636604</v>
      </c>
      <c r="CR176" s="3236">
        <f>VLOOKUP($E176,CQ$442:CT$453,2,FALSE)*CQ176*($K176)+IF($G176&lt;&gt;0,($H176/$G176)*CQ176,0)*(1-$K176)</f>
        <v>60636604</v>
      </c>
      <c r="CS176" s="3236">
        <f>VLOOKUP($E176,CQ$442:CT$453,3,FALSE)*CQ176*($K176)+IF($G176&lt;&gt;0,($I176/$G176)*CQ176,0)*(1-$K176)</f>
        <v>0</v>
      </c>
      <c r="CT176" s="3236">
        <f>VLOOKUP($E176,CQ$442:CT$453,4,FALSE)*CQ176*($K176)+(CQ176-CR176-CS176)*(1-$K176)</f>
        <v>0</v>
      </c>
      <c r="CU176" s="3264"/>
      <c r="CX176" s="3434">
        <f>VLOOKUP($A176,'New Resources - Group'!$A$4:$Y$133,CX$2,FALSE)*CX$1</f>
        <v>0</v>
      </c>
      <c r="CY176" s="3235">
        <f>$G176+CX176</f>
        <v>60636604</v>
      </c>
      <c r="CZ176" s="3236">
        <f>VLOOKUP($E176,CY$442:DB$453,2,FALSE)*CY176*($K176)+IF($G176&lt;&gt;0,($H176/$G176)*CY176,0)*(1-$K176)</f>
        <v>60636604</v>
      </c>
      <c r="DA176" s="3236">
        <f>VLOOKUP($E176,CY$442:DB$453,3,FALSE)*CY176*($K176)+IF($G176&lt;&gt;0,($I176/$G176)*CY176,0)*(1-$K176)</f>
        <v>0</v>
      </c>
      <c r="DB176" s="3236">
        <f>VLOOKUP($E176,CY$442:DB$453,4,FALSE)*CY176*($K176)+(CY176-CZ176-DA176)*(1-$K176)</f>
        <v>0</v>
      </c>
      <c r="DC176" s="3264"/>
      <c r="DF176" s="3434">
        <f>VLOOKUP($A176,'New Resources - Group'!$A$4:$Y$133,DF$2,FALSE)*DF$1</f>
        <v>0</v>
      </c>
      <c r="DG176" s="3235">
        <f>$G176+DF176</f>
        <v>60636604</v>
      </c>
      <c r="DH176" s="3236">
        <f>VLOOKUP($E176,DG$442:DJ$453,2,FALSE)*DG176*($K176)+IF($G176&lt;&gt;0,($H176/$G176)*DG176,0)*(1-$K176)</f>
        <v>60636604</v>
      </c>
      <c r="DI176" s="3236">
        <f>VLOOKUP($E176,DG$442:DJ$453,3,FALSE)*DG176*($K176)+IF($G176&lt;&gt;0,($I176/$G176)*DG176,0)*(1-$K176)</f>
        <v>0</v>
      </c>
      <c r="DJ176" s="3236">
        <f>VLOOKUP($E176,DG$442:DJ$453,4,FALSE)*DG176*($K176)+(DG176-DH176-DI176)*(1-$K176)</f>
        <v>0</v>
      </c>
      <c r="DK176" s="3264"/>
      <c r="DN176" s="3434">
        <f>VLOOKUP($A176,'New Resources - Group'!$A$4:$Y$133,DN$2,FALSE)*DN$1</f>
        <v>0</v>
      </c>
      <c r="DO176" s="3235">
        <f>$G176+DN176</f>
        <v>60636604</v>
      </c>
      <c r="DP176" s="3236">
        <f>VLOOKUP($E176,DO$442:DR$453,2,FALSE)*DO176*($K176)+IF($G176&lt;&gt;0,($H176/$G176)*DO176,0)*(1-$K176)</f>
        <v>60636604</v>
      </c>
      <c r="DQ176" s="3236">
        <f>VLOOKUP($E176,DO$442:DR$453,3,FALSE)*DO176*($K176)+IF($G176&lt;&gt;0,($I176/$G176)*DO176,0)*(1-$K176)</f>
        <v>0</v>
      </c>
      <c r="DR176" s="3236">
        <f>VLOOKUP($E176,DO$442:DR$453,4,FALSE)*DO176*($K176)+(DO176-DP176-DQ176)*(1-$K176)</f>
        <v>0</v>
      </c>
      <c r="DS176" s="3264"/>
      <c r="DV176" s="3434">
        <f>VLOOKUP($A176,'New Resources - Group'!$A$4:$Y$133,DV$2,FALSE)*DV$1</f>
        <v>0</v>
      </c>
      <c r="DW176" s="3235">
        <f>$G176+DV176</f>
        <v>60636604</v>
      </c>
      <c r="DX176" s="3236">
        <f>VLOOKUP($E176,DW$442:DZ$453,2,FALSE)*DW176*($K176)+IF($G176&lt;&gt;0,($H176/$G176)*DW176,0)*(1-$K176)</f>
        <v>60636604</v>
      </c>
      <c r="DY176" s="3236">
        <f>VLOOKUP($E176,DW$442:DZ$453,3,FALSE)*DW176*($K176)+IF($G176&lt;&gt;0,($I176/$G176)*DW176,0)*(1-$K176)</f>
        <v>0</v>
      </c>
      <c r="DZ176" s="3236">
        <f>VLOOKUP($E176,DW$442:DZ$453,4,FALSE)*DW176*($K176)+(DW176-DX176-DY176)*(1-$K176)</f>
        <v>0</v>
      </c>
      <c r="EA176" s="3264"/>
      <c r="ED176" s="3434">
        <f>VLOOKUP($A176,'New Resources - Group'!$A$4:$Y$133,ED$2,FALSE)*ED$1</f>
        <v>0</v>
      </c>
      <c r="EE176" s="3235">
        <f>$G176+ED176</f>
        <v>60636604</v>
      </c>
      <c r="EF176" s="3236">
        <f>VLOOKUP($E176,EE$442:EH$453,2,FALSE)*EE176*($K176)+IF($G176&lt;&gt;0,($H176/$G176)*EE176,0)*(1-$K176)</f>
        <v>60636604</v>
      </c>
      <c r="EG176" s="3236">
        <f>VLOOKUP($E176,EE$442:EH$453,3,FALSE)*EE176*($K176)+IF($G176&lt;&gt;0,($I176/$G176)*EE176,0)*(1-$K176)</f>
        <v>0</v>
      </c>
      <c r="EH176" s="3236">
        <f>VLOOKUP($E176,EE$442:EH$453,4,FALSE)*EE176*($K176)+(EE176-EF176-EG176)*(1-$K176)</f>
        <v>0</v>
      </c>
      <c r="EI176" s="3264"/>
      <c r="EL176" s="3434">
        <f>VLOOKUP($A176,'New Resources - Group'!$A$4:$Y$133,EL$2,FALSE)*EL$1</f>
        <v>0</v>
      </c>
      <c r="EM176" s="3235">
        <f>$G176+EL176</f>
        <v>60636604</v>
      </c>
      <c r="EN176" s="3236">
        <f>VLOOKUP($E176,EM$442:EP$453,2,FALSE)*EM176*($K176)+IF($G176&lt;&gt;0,($H176/$G176)*EM176,0)*(1-$K176)</f>
        <v>60636604</v>
      </c>
      <c r="EO176" s="3236">
        <f>VLOOKUP($E176,EM$442:EP$453,3,FALSE)*EM176*($K176)+IF($G176&lt;&gt;0,($I176/$G176)*EM176,0)*(1-$K176)</f>
        <v>0</v>
      </c>
      <c r="EP176" s="3236">
        <f>VLOOKUP($E176,EM$442:EP$453,4,FALSE)*EM176*($K176)+(EM176-EN176-EO176)*(1-$K176)</f>
        <v>0</v>
      </c>
      <c r="EQ176" s="3264"/>
      <c r="ET176" s="3434">
        <f>VLOOKUP($A176,'New Resources - Group'!$A$4:$Y$133,ET$2,FALSE)*ET$1</f>
        <v>0</v>
      </c>
      <c r="EU176" s="3235">
        <f>$G176+ET176</f>
        <v>60636604</v>
      </c>
      <c r="EV176" s="3236">
        <f>VLOOKUP($E176,EU$442:EX$453,2,FALSE)*EU176*($K176)+IF($G176&lt;&gt;0,($H176/$G176)*EU176,0)*(1-$K176)</f>
        <v>60636604</v>
      </c>
      <c r="EW176" s="3236">
        <f>VLOOKUP($E176,EU$442:EX$453,3,FALSE)*EU176*($K176)+IF($G176&lt;&gt;0,($I176/$G176)*EU176,0)*(1-$K176)</f>
        <v>0</v>
      </c>
      <c r="EX176" s="3236">
        <f>VLOOKUP($E176,EU$442:EX$453,4,FALSE)*EU176*($K176)+(EU176-EV176-EW176)*(1-$K176)</f>
        <v>0</v>
      </c>
      <c r="EY176" s="3264"/>
      <c r="FB176" s="3434">
        <f>VLOOKUP($A176,'New Resources - Group'!$A$4:$Y$133,FB$2,FALSE)*FB$1</f>
        <v>0</v>
      </c>
      <c r="FC176" s="3235">
        <f>$G176+FB176</f>
        <v>60636604</v>
      </c>
      <c r="FD176" s="3236">
        <f>VLOOKUP($E176,FC$442:FF$453,2,FALSE)*FC176*($K176)+IF($G176&lt;&gt;0,($H176/$G176)*FC176,0)*(1-$K176)</f>
        <v>60636604</v>
      </c>
      <c r="FE176" s="3236">
        <f>VLOOKUP($E176,FC$442:FF$453,3,FALSE)*FC176*($K176)+IF($G176&lt;&gt;0,($I176/$G176)*FC176,0)*(1-$K176)</f>
        <v>0</v>
      </c>
      <c r="FF176" s="3236">
        <f>VLOOKUP($E176,FC$442:FF$453,4,FALSE)*FC176*($K176)+(FC176-FD176-FE176)*(1-$K176)</f>
        <v>0</v>
      </c>
      <c r="FG176" s="3264"/>
      <c r="FJ176" s="3434">
        <f>VLOOKUP($A176,'New Resources - Group'!$A$4:$Y$133,FJ$2,FALSE)*FJ$1</f>
        <v>0</v>
      </c>
      <c r="FK176" s="3235">
        <f>$G176+FJ176</f>
        <v>60636604</v>
      </c>
      <c r="FL176" s="3236">
        <f>VLOOKUP($E176,FK$442:FN$453,2,FALSE)*FK176*($K176)+IF($G176&lt;&gt;0,($H176/$G176)*FK176,0)*(1-$K176)</f>
        <v>60636604</v>
      </c>
      <c r="FM176" s="3236">
        <f>VLOOKUP($E176,FK$442:FN$453,3,FALSE)*FK176*($K176)+IF($G176&lt;&gt;0,($I176/$G176)*FK176,0)*(1-$K176)</f>
        <v>0</v>
      </c>
      <c r="FN176" s="3236">
        <f>VLOOKUP($E176,FK$442:FN$453,4,FALSE)*FK176*($K176)+(FK176-FL176-FM176)*(1-$K176)</f>
        <v>0</v>
      </c>
      <c r="FO176" s="3264"/>
    </row>
    <row r="177" spans="1:171">
      <c r="A177" s="3480">
        <v>170</v>
      </c>
      <c r="B177" s="2103" t="s">
        <v>258</v>
      </c>
      <c r="C177" s="2464" t="s">
        <v>72</v>
      </c>
      <c r="D177" s="2464" t="s">
        <v>451</v>
      </c>
      <c r="E177" s="2424" t="str">
        <f>'Sch 3 - Expenses'!E17</f>
        <v>PROD</v>
      </c>
      <c r="F177" s="2171"/>
      <c r="G177" s="2424">
        <f>'Sch 3 - Expenses'!G17</f>
        <v>20123737</v>
      </c>
      <c r="H177" s="2424">
        <f>'Sch 3 - Expenses'!H17</f>
        <v>20123737</v>
      </c>
      <c r="I177" s="2424">
        <f>'Sch 3 - Expenses'!I17</f>
        <v>0</v>
      </c>
      <c r="J177" s="3465">
        <f>'Sch 3 - Expenses'!J17</f>
        <v>0</v>
      </c>
      <c r="K177" s="3205">
        <f t="shared" si="547"/>
        <v>1</v>
      </c>
      <c r="N177" s="3434">
        <f>VLOOKUP($A177,'New Resources - Group'!$A$4:$Y$133,N$2,FALSE)*N$1</f>
        <v>0</v>
      </c>
      <c r="O177" s="3235">
        <f>$G177+N177</f>
        <v>20123737</v>
      </c>
      <c r="P177" s="3236">
        <f>VLOOKUP($E177,O$442:R$453,2,FALSE)*O177*($K177)+IF($G177&lt;&gt;0,($H177/$G177)*O177,0)*(1-$K177)</f>
        <v>20123737</v>
      </c>
      <c r="Q177" s="3236">
        <f>VLOOKUP($E177,O$442:R$453,3,FALSE)*O177*($K177)+IF($G177&lt;&gt;0,($I177/$G177)*O177,0)*(1-$K177)</f>
        <v>0</v>
      </c>
      <c r="R177" s="3236">
        <f>VLOOKUP($E177,O$442:R$453,4,FALSE)*O177*($K177)+(O177-P177-Q177)*(1-$K177)</f>
        <v>0</v>
      </c>
      <c r="S177" s="3264"/>
      <c r="V177" s="3434">
        <f>VLOOKUP($A177,'New Resources - Group'!$A$4:$Y$133,V$2,FALSE)*V$1</f>
        <v>0</v>
      </c>
      <c r="W177" s="3235">
        <f>$G177+V177</f>
        <v>20123737</v>
      </c>
      <c r="X177" s="3236">
        <f>VLOOKUP($E177,W$442:Z$453,2,FALSE)*W177*($K177)+IF($G177&lt;&gt;0,($H177/$G177)*W177,0)*(1-$K177)</f>
        <v>20123737</v>
      </c>
      <c r="Y177" s="3236">
        <f>VLOOKUP($E177,W$442:Z$453,3,FALSE)*W177*($K177)+IF($G177&lt;&gt;0,($I177/$G177)*W177,0)*(1-$K177)</f>
        <v>0</v>
      </c>
      <c r="Z177" s="3236">
        <f>VLOOKUP($E177,W$442:Z$453,4,FALSE)*W177*($K177)+(W177-X177-Y177)*(1-$K177)</f>
        <v>0</v>
      </c>
      <c r="AA177" s="3264"/>
      <c r="AD177" s="3434">
        <f>VLOOKUP($A177,'New Resources - Group'!$A$4:$Y$133,AD$2,FALSE)*AD$1</f>
        <v>0</v>
      </c>
      <c r="AE177" s="3235">
        <f>$G177+AD177</f>
        <v>20123737</v>
      </c>
      <c r="AF177" s="3236">
        <f>VLOOKUP($E177,AE$442:AH$453,2,FALSE)*AE177*($K177)+IF($G177&lt;&gt;0,($H177/$G177)*AE177,0)*(1-$K177)</f>
        <v>20123737</v>
      </c>
      <c r="AG177" s="3236">
        <f>VLOOKUP($E177,AE$442:AH$453,3,FALSE)*AE177*($K177)+IF($G177&lt;&gt;0,($I177/$G177)*AE177,0)*(1-$K177)</f>
        <v>0</v>
      </c>
      <c r="AH177" s="3236">
        <f>VLOOKUP($E177,AE$442:AH$453,4,FALSE)*AE177*($K177)+(AE177-AF177-AG177)*(1-$K177)</f>
        <v>0</v>
      </c>
      <c r="AI177" s="3264"/>
      <c r="AL177" s="3434">
        <f>VLOOKUP($A177,'New Resources - Group'!$A$4:$Y$133,AL$2,FALSE)*AL$1</f>
        <v>0</v>
      </c>
      <c r="AM177" s="3235">
        <f>$G177+AL177</f>
        <v>20123737</v>
      </c>
      <c r="AN177" s="3236">
        <f>VLOOKUP($E177,AM$442:AP$453,2,FALSE)*AM177*($K177)+IF($G177&lt;&gt;0,($H177/$G177)*AM177,0)*(1-$K177)</f>
        <v>20123737</v>
      </c>
      <c r="AO177" s="3236">
        <f>VLOOKUP($E177,AM$442:AP$453,3,FALSE)*AM177*($K177)+IF($G177&lt;&gt;0,($I177/$G177)*AM177,0)*(1-$K177)</f>
        <v>0</v>
      </c>
      <c r="AP177" s="3236">
        <f>VLOOKUP($E177,AM$442:AP$453,4,FALSE)*AM177*($K177)+(AM177-AN177-AO177)*(1-$K177)</f>
        <v>0</v>
      </c>
      <c r="AQ177" s="3264"/>
      <c r="AT177" s="3434">
        <f>VLOOKUP($A177,'New Resources - Group'!$A$4:$Y$133,AT$2,FALSE)*AT$1</f>
        <v>0</v>
      </c>
      <c r="AU177" s="3235">
        <f>$G177+AT177</f>
        <v>20123737</v>
      </c>
      <c r="AV177" s="3236">
        <f>VLOOKUP($E177,AU$442:AX$453,2,FALSE)*AU177*($K177)+IF($G177&lt;&gt;0,($H177/$G177)*AU177,0)*(1-$K177)</f>
        <v>20123737</v>
      </c>
      <c r="AW177" s="3236">
        <f>VLOOKUP($E177,AU$442:AX$453,3,FALSE)*AU177*($K177)+IF($G177&lt;&gt;0,($I177/$G177)*AU177,0)*(1-$K177)</f>
        <v>0</v>
      </c>
      <c r="AX177" s="3236">
        <f>VLOOKUP($E177,AU$442:AX$453,4,FALSE)*AU177*($K177)+(AU177-AV177-AW177)*(1-$K177)</f>
        <v>0</v>
      </c>
      <c r="AY177" s="3264"/>
      <c r="BB177" s="3434">
        <f>VLOOKUP($A177,'New Resources - Group'!$A$4:$Y$133,BB$2,FALSE)*BB$1</f>
        <v>0</v>
      </c>
      <c r="BC177" s="3235">
        <f>$G177+BB177</f>
        <v>20123737</v>
      </c>
      <c r="BD177" s="3236">
        <f>VLOOKUP($E177,BC$442:BF$453,2,FALSE)*BC177*($K177)+IF($G177&lt;&gt;0,($H177/$G177)*BC177,0)*(1-$K177)</f>
        <v>20123737</v>
      </c>
      <c r="BE177" s="3236">
        <f>VLOOKUP($E177,BC$442:BF$453,3,FALSE)*BC177*($K177)+IF($G177&lt;&gt;0,($I177/$G177)*BC177,0)*(1-$K177)</f>
        <v>0</v>
      </c>
      <c r="BF177" s="3236">
        <f>VLOOKUP($E177,BC$442:BF$453,4,FALSE)*BC177*($K177)+(BC177-BD177-BE177)*(1-$K177)</f>
        <v>0</v>
      </c>
      <c r="BG177" s="3264"/>
      <c r="BJ177" s="3434">
        <f>VLOOKUP($A177,'New Resources - Group'!$A$4:$Y$133,BJ$2,FALSE)*BJ$1</f>
        <v>0</v>
      </c>
      <c r="BK177" s="3235">
        <f>$G177+BJ177</f>
        <v>20123737</v>
      </c>
      <c r="BL177" s="3236">
        <f>VLOOKUP($E177,BK$442:BN$453,2,FALSE)*BK177*($K177)+IF($G177&lt;&gt;0,($H177/$G177)*BK177,0)*(1-$K177)</f>
        <v>20123737</v>
      </c>
      <c r="BM177" s="3236">
        <f>VLOOKUP($E177,BK$442:BN$453,3,FALSE)*BK177*($K177)+IF($G177&lt;&gt;0,($I177/$G177)*BK177,0)*(1-$K177)</f>
        <v>0</v>
      </c>
      <c r="BN177" s="3236">
        <f>VLOOKUP($E177,BK$442:BN$453,4,FALSE)*BK177*($K177)+(BK177-BL177-BM177)*(1-$K177)</f>
        <v>0</v>
      </c>
      <c r="BO177" s="3264"/>
      <c r="BR177" s="3434">
        <f>VLOOKUP($A177,'New Resources - Group'!$A$4:$Y$133,BR$2,FALSE)*BR$1</f>
        <v>0</v>
      </c>
      <c r="BS177" s="3235">
        <f>$G177+BR177</f>
        <v>20123737</v>
      </c>
      <c r="BT177" s="3236">
        <f>VLOOKUP($E177,BS$442:BV$453,2,FALSE)*BS177*($K177)+IF($G177&lt;&gt;0,($H177/$G177)*BS177,0)*(1-$K177)</f>
        <v>20123737</v>
      </c>
      <c r="BU177" s="3236">
        <f>VLOOKUP($E177,BS$442:BV$453,3,FALSE)*BS177*($K177)+IF($G177&lt;&gt;0,($I177/$G177)*BS177,0)*(1-$K177)</f>
        <v>0</v>
      </c>
      <c r="BV177" s="3236">
        <f>VLOOKUP($E177,BS$442:BV$453,4,FALSE)*BS177*($K177)+(BS177-BT177-BU177)*(1-$K177)</f>
        <v>0</v>
      </c>
      <c r="BW177" s="3264"/>
      <c r="BZ177" s="3434">
        <f>VLOOKUP($A177,'New Resources - Group'!$A$4:$Y$133,BZ$2,FALSE)*BZ$1</f>
        <v>0</v>
      </c>
      <c r="CA177" s="3235">
        <f>$G177+BZ177</f>
        <v>20123737</v>
      </c>
      <c r="CB177" s="3236">
        <f>VLOOKUP($E177,CA$442:CD$453,2,FALSE)*CA177*($K177)+IF($G177&lt;&gt;0,($H177/$G177)*CA177,0)*(1-$K177)</f>
        <v>20123737</v>
      </c>
      <c r="CC177" s="3236">
        <f>VLOOKUP($E177,CA$442:CD$453,3,FALSE)*CA177*($K177)+IF($G177&lt;&gt;0,($I177/$G177)*CA177,0)*(1-$K177)</f>
        <v>0</v>
      </c>
      <c r="CD177" s="3236">
        <f>VLOOKUP($E177,CA$442:CD$453,4,FALSE)*CA177*($K177)+(CA177-CB177-CC177)*(1-$K177)</f>
        <v>0</v>
      </c>
      <c r="CE177" s="3264"/>
      <c r="CH177" s="3434">
        <f>VLOOKUP($A177,'New Resources - Group'!$A$4:$Y$133,CH$2,FALSE)*CH$1</f>
        <v>0</v>
      </c>
      <c r="CI177" s="3235">
        <f>$G177+CH177</f>
        <v>20123737</v>
      </c>
      <c r="CJ177" s="3236">
        <f>VLOOKUP($E177,CI$442:CL$453,2,FALSE)*CI177*($K177)+IF($G177&lt;&gt;0,($H177/$G177)*CI177,0)*(1-$K177)</f>
        <v>20123737</v>
      </c>
      <c r="CK177" s="3236">
        <f>VLOOKUP($E177,CI$442:CL$453,3,FALSE)*CI177*($K177)+IF($G177&lt;&gt;0,($I177/$G177)*CI177,0)*(1-$K177)</f>
        <v>0</v>
      </c>
      <c r="CL177" s="3236">
        <f>VLOOKUP($E177,CI$442:CL$453,4,FALSE)*CI177*($K177)+(CI177-CJ177-CK177)*(1-$K177)</f>
        <v>0</v>
      </c>
      <c r="CM177" s="3264"/>
      <c r="CP177" s="3434">
        <f>VLOOKUP($A177,'New Resources - Group'!$A$4:$Y$133,CP$2,FALSE)*CP$1</f>
        <v>0</v>
      </c>
      <c r="CQ177" s="3235">
        <f>$G177+CP177</f>
        <v>20123737</v>
      </c>
      <c r="CR177" s="3236">
        <f>VLOOKUP($E177,CQ$442:CT$453,2,FALSE)*CQ177*($K177)+IF($G177&lt;&gt;0,($H177/$G177)*CQ177,0)*(1-$K177)</f>
        <v>20123737</v>
      </c>
      <c r="CS177" s="3236">
        <f>VLOOKUP($E177,CQ$442:CT$453,3,FALSE)*CQ177*($K177)+IF($G177&lt;&gt;0,($I177/$G177)*CQ177,0)*(1-$K177)</f>
        <v>0</v>
      </c>
      <c r="CT177" s="3236">
        <f>VLOOKUP($E177,CQ$442:CT$453,4,FALSE)*CQ177*($K177)+(CQ177-CR177-CS177)*(1-$K177)</f>
        <v>0</v>
      </c>
      <c r="CU177" s="3264"/>
      <c r="CX177" s="3434">
        <f>VLOOKUP($A177,'New Resources - Group'!$A$4:$Y$133,CX$2,FALSE)*CX$1</f>
        <v>0</v>
      </c>
      <c r="CY177" s="3235">
        <f>$G177+CX177</f>
        <v>20123737</v>
      </c>
      <c r="CZ177" s="3236">
        <f>VLOOKUP($E177,CY$442:DB$453,2,FALSE)*CY177*($K177)+IF($G177&lt;&gt;0,($H177/$G177)*CY177,0)*(1-$K177)</f>
        <v>20123737</v>
      </c>
      <c r="DA177" s="3236">
        <f>VLOOKUP($E177,CY$442:DB$453,3,FALSE)*CY177*($K177)+IF($G177&lt;&gt;0,($I177/$G177)*CY177,0)*(1-$K177)</f>
        <v>0</v>
      </c>
      <c r="DB177" s="3236">
        <f>VLOOKUP($E177,CY$442:DB$453,4,FALSE)*CY177*($K177)+(CY177-CZ177-DA177)*(1-$K177)</f>
        <v>0</v>
      </c>
      <c r="DC177" s="3264"/>
      <c r="DF177" s="3434">
        <f>VLOOKUP($A177,'New Resources - Group'!$A$4:$Y$133,DF$2,FALSE)*DF$1</f>
        <v>0</v>
      </c>
      <c r="DG177" s="3235">
        <f>$G177+DF177</f>
        <v>20123737</v>
      </c>
      <c r="DH177" s="3236">
        <f>VLOOKUP($E177,DG$442:DJ$453,2,FALSE)*DG177*($K177)+IF($G177&lt;&gt;0,($H177/$G177)*DG177,0)*(1-$K177)</f>
        <v>20123737</v>
      </c>
      <c r="DI177" s="3236">
        <f>VLOOKUP($E177,DG$442:DJ$453,3,FALSE)*DG177*($K177)+IF($G177&lt;&gt;0,($I177/$G177)*DG177,0)*(1-$K177)</f>
        <v>0</v>
      </c>
      <c r="DJ177" s="3236">
        <f>VLOOKUP($E177,DG$442:DJ$453,4,FALSE)*DG177*($K177)+(DG177-DH177-DI177)*(1-$K177)</f>
        <v>0</v>
      </c>
      <c r="DK177" s="3264"/>
      <c r="DN177" s="3434">
        <f>VLOOKUP($A177,'New Resources - Group'!$A$4:$Y$133,DN$2,FALSE)*DN$1</f>
        <v>0</v>
      </c>
      <c r="DO177" s="3235">
        <f>$G177+DN177</f>
        <v>20123737</v>
      </c>
      <c r="DP177" s="3236">
        <f>VLOOKUP($E177,DO$442:DR$453,2,FALSE)*DO177*($K177)+IF($G177&lt;&gt;0,($H177/$G177)*DO177,0)*(1-$K177)</f>
        <v>20123737</v>
      </c>
      <c r="DQ177" s="3236">
        <f>VLOOKUP($E177,DO$442:DR$453,3,FALSE)*DO177*($K177)+IF($G177&lt;&gt;0,($I177/$G177)*DO177,0)*(1-$K177)</f>
        <v>0</v>
      </c>
      <c r="DR177" s="3236">
        <f>VLOOKUP($E177,DO$442:DR$453,4,FALSE)*DO177*($K177)+(DO177-DP177-DQ177)*(1-$K177)</f>
        <v>0</v>
      </c>
      <c r="DS177" s="3264"/>
      <c r="DV177" s="3434">
        <f>VLOOKUP($A177,'New Resources - Group'!$A$4:$Y$133,DV$2,FALSE)*DV$1</f>
        <v>0</v>
      </c>
      <c r="DW177" s="3235">
        <f>$G177+DV177</f>
        <v>20123737</v>
      </c>
      <c r="DX177" s="3236">
        <f>VLOOKUP($E177,DW$442:DZ$453,2,FALSE)*DW177*($K177)+IF($G177&lt;&gt;0,($H177/$G177)*DW177,0)*(1-$K177)</f>
        <v>20123737</v>
      </c>
      <c r="DY177" s="3236">
        <f>VLOOKUP($E177,DW$442:DZ$453,3,FALSE)*DW177*($K177)+IF($G177&lt;&gt;0,($I177/$G177)*DW177,0)*(1-$K177)</f>
        <v>0</v>
      </c>
      <c r="DZ177" s="3236">
        <f>VLOOKUP($E177,DW$442:DZ$453,4,FALSE)*DW177*($K177)+(DW177-DX177-DY177)*(1-$K177)</f>
        <v>0</v>
      </c>
      <c r="EA177" s="3264"/>
      <c r="ED177" s="3434">
        <f>VLOOKUP($A177,'New Resources - Group'!$A$4:$Y$133,ED$2,FALSE)*ED$1</f>
        <v>0</v>
      </c>
      <c r="EE177" s="3235">
        <f>$G177+ED177</f>
        <v>20123737</v>
      </c>
      <c r="EF177" s="3236">
        <f>VLOOKUP($E177,EE$442:EH$453,2,FALSE)*EE177*($K177)+IF($G177&lt;&gt;0,($H177/$G177)*EE177,0)*(1-$K177)</f>
        <v>20123737</v>
      </c>
      <c r="EG177" s="3236">
        <f>VLOOKUP($E177,EE$442:EH$453,3,FALSE)*EE177*($K177)+IF($G177&lt;&gt;0,($I177/$G177)*EE177,0)*(1-$K177)</f>
        <v>0</v>
      </c>
      <c r="EH177" s="3236">
        <f>VLOOKUP($E177,EE$442:EH$453,4,FALSE)*EE177*($K177)+(EE177-EF177-EG177)*(1-$K177)</f>
        <v>0</v>
      </c>
      <c r="EI177" s="3264"/>
      <c r="EL177" s="3434">
        <f>VLOOKUP($A177,'New Resources - Group'!$A$4:$Y$133,EL$2,FALSE)*EL$1</f>
        <v>0</v>
      </c>
      <c r="EM177" s="3235">
        <f>$G177+EL177</f>
        <v>20123737</v>
      </c>
      <c r="EN177" s="3236">
        <f>VLOOKUP($E177,EM$442:EP$453,2,FALSE)*EM177*($K177)+IF($G177&lt;&gt;0,($H177/$G177)*EM177,0)*(1-$K177)</f>
        <v>20123737</v>
      </c>
      <c r="EO177" s="3236">
        <f>VLOOKUP($E177,EM$442:EP$453,3,FALSE)*EM177*($K177)+IF($G177&lt;&gt;0,($I177/$G177)*EM177,0)*(1-$K177)</f>
        <v>0</v>
      </c>
      <c r="EP177" s="3236">
        <f>VLOOKUP($E177,EM$442:EP$453,4,FALSE)*EM177*($K177)+(EM177-EN177-EO177)*(1-$K177)</f>
        <v>0</v>
      </c>
      <c r="EQ177" s="3264"/>
      <c r="ET177" s="3434">
        <f>VLOOKUP($A177,'New Resources - Group'!$A$4:$Y$133,ET$2,FALSE)*ET$1</f>
        <v>0</v>
      </c>
      <c r="EU177" s="3235">
        <f>$G177+ET177</f>
        <v>20123737</v>
      </c>
      <c r="EV177" s="3236">
        <f>VLOOKUP($E177,EU$442:EX$453,2,FALSE)*EU177*($K177)+IF($G177&lt;&gt;0,($H177/$G177)*EU177,0)*(1-$K177)</f>
        <v>20123737</v>
      </c>
      <c r="EW177" s="3236">
        <f>VLOOKUP($E177,EU$442:EX$453,3,FALSE)*EU177*($K177)+IF($G177&lt;&gt;0,($I177/$G177)*EU177,0)*(1-$K177)</f>
        <v>0</v>
      </c>
      <c r="EX177" s="3236">
        <f>VLOOKUP($E177,EU$442:EX$453,4,FALSE)*EU177*($K177)+(EU177-EV177-EW177)*(1-$K177)</f>
        <v>0</v>
      </c>
      <c r="EY177" s="3264"/>
      <c r="FB177" s="3434">
        <f>VLOOKUP($A177,'New Resources - Group'!$A$4:$Y$133,FB$2,FALSE)*FB$1</f>
        <v>0</v>
      </c>
      <c r="FC177" s="3235">
        <f>$G177+FB177</f>
        <v>20123737</v>
      </c>
      <c r="FD177" s="3236">
        <f>VLOOKUP($E177,FC$442:FF$453,2,FALSE)*FC177*($K177)+IF($G177&lt;&gt;0,($H177/$G177)*FC177,0)*(1-$K177)</f>
        <v>20123737</v>
      </c>
      <c r="FE177" s="3236">
        <f>VLOOKUP($E177,FC$442:FF$453,3,FALSE)*FC177*($K177)+IF($G177&lt;&gt;0,($I177/$G177)*FC177,0)*(1-$K177)</f>
        <v>0</v>
      </c>
      <c r="FF177" s="3236">
        <f>VLOOKUP($E177,FC$442:FF$453,4,FALSE)*FC177*($K177)+(FC177-FD177-FE177)*(1-$K177)</f>
        <v>0</v>
      </c>
      <c r="FG177" s="3264"/>
      <c r="FJ177" s="3434">
        <f>VLOOKUP($A177,'New Resources - Group'!$A$4:$Y$133,FJ$2,FALSE)*FJ$1</f>
        <v>0</v>
      </c>
      <c r="FK177" s="3235">
        <f>$G177+FJ177</f>
        <v>20123737</v>
      </c>
      <c r="FL177" s="3236">
        <f>VLOOKUP($E177,FK$442:FN$453,2,FALSE)*FK177*($K177)+IF($G177&lt;&gt;0,($H177/$G177)*FK177,0)*(1-$K177)</f>
        <v>20123737</v>
      </c>
      <c r="FM177" s="3236">
        <f>VLOOKUP($E177,FK$442:FN$453,3,FALSE)*FK177*($K177)+IF($G177&lt;&gt;0,($I177/$G177)*FK177,0)*(1-$K177)</f>
        <v>0</v>
      </c>
      <c r="FN177" s="3236">
        <f>VLOOKUP($E177,FK$442:FN$453,4,FALSE)*FK177*($K177)+(FK177-FL177-FM177)*(1-$K177)</f>
        <v>0</v>
      </c>
      <c r="FO177" s="3264"/>
    </row>
    <row r="178" spans="1:171">
      <c r="A178" s="3480">
        <v>180</v>
      </c>
      <c r="B178" s="2103" t="s">
        <v>259</v>
      </c>
      <c r="C178" s="2464" t="s">
        <v>72</v>
      </c>
      <c r="D178" s="2464" t="s">
        <v>260</v>
      </c>
      <c r="E178" s="2424" t="str">
        <f>'Sch 3 - Expenses'!E18</f>
        <v>PROD</v>
      </c>
      <c r="F178" s="2171"/>
      <c r="G178" s="2424">
        <f>'Sch 3 - Expenses'!G18</f>
        <v>23219450</v>
      </c>
      <c r="H178" s="2424">
        <f>'Sch 3 - Expenses'!H18</f>
        <v>23219450</v>
      </c>
      <c r="I178" s="2424">
        <f>'Sch 3 - Expenses'!I18</f>
        <v>0</v>
      </c>
      <c r="J178" s="3465">
        <f>'Sch 3 - Expenses'!J18</f>
        <v>0</v>
      </c>
      <c r="K178" s="3205">
        <f t="shared" si="547"/>
        <v>1</v>
      </c>
      <c r="N178" s="3434">
        <f>VLOOKUP($A178,'New Resources - Group'!$A$4:$Y$133,N$2,FALSE)*N$1</f>
        <v>0</v>
      </c>
      <c r="O178" s="3235">
        <f>$G178+N178</f>
        <v>23219450</v>
      </c>
      <c r="P178" s="3236">
        <f>VLOOKUP($E178,O$442:R$453,2,FALSE)*O178*($K178)+IF($G178&lt;&gt;0,($H178/$G178)*O178,0)*(1-$K178)</f>
        <v>23219450</v>
      </c>
      <c r="Q178" s="3236">
        <f>VLOOKUP($E178,O$442:R$453,3,FALSE)*O178*($K178)+IF($G178&lt;&gt;0,($I178/$G178)*O178,0)*(1-$K178)</f>
        <v>0</v>
      </c>
      <c r="R178" s="3236">
        <f>VLOOKUP($E178,O$442:R$453,4,FALSE)*O178*($K178)+(O178-P178-Q178)*(1-$K178)</f>
        <v>0</v>
      </c>
      <c r="S178" s="3264"/>
      <c r="V178" s="3434">
        <f>VLOOKUP($A178,'New Resources - Group'!$A$4:$Y$133,V$2,FALSE)*V$1</f>
        <v>0</v>
      </c>
      <c r="W178" s="3235">
        <f>$G178+V178</f>
        <v>23219450</v>
      </c>
      <c r="X178" s="3236">
        <f>VLOOKUP($E178,W$442:Z$453,2,FALSE)*W178*($K178)+IF($G178&lt;&gt;0,($H178/$G178)*W178,0)*(1-$K178)</f>
        <v>23219450</v>
      </c>
      <c r="Y178" s="3236">
        <f>VLOOKUP($E178,W$442:Z$453,3,FALSE)*W178*($K178)+IF($G178&lt;&gt;0,($I178/$G178)*W178,0)*(1-$K178)</f>
        <v>0</v>
      </c>
      <c r="Z178" s="3236">
        <f>VLOOKUP($E178,W$442:Z$453,4,FALSE)*W178*($K178)+(W178-X178-Y178)*(1-$K178)</f>
        <v>0</v>
      </c>
      <c r="AA178" s="3264"/>
      <c r="AD178" s="3434">
        <f>VLOOKUP($A178,'New Resources - Group'!$A$4:$Y$133,AD$2,FALSE)*AD$1</f>
        <v>0</v>
      </c>
      <c r="AE178" s="3235">
        <f>$G178+AD178</f>
        <v>23219450</v>
      </c>
      <c r="AF178" s="3236">
        <f>VLOOKUP($E178,AE$442:AH$453,2,FALSE)*AE178*($K178)+IF($G178&lt;&gt;0,($H178/$G178)*AE178,0)*(1-$K178)</f>
        <v>23219450</v>
      </c>
      <c r="AG178" s="3236">
        <f>VLOOKUP($E178,AE$442:AH$453,3,FALSE)*AE178*($K178)+IF($G178&lt;&gt;0,($I178/$G178)*AE178,0)*(1-$K178)</f>
        <v>0</v>
      </c>
      <c r="AH178" s="3236">
        <f>VLOOKUP($E178,AE$442:AH$453,4,FALSE)*AE178*($K178)+(AE178-AF178-AG178)*(1-$K178)</f>
        <v>0</v>
      </c>
      <c r="AI178" s="3264"/>
      <c r="AL178" s="3434">
        <f>VLOOKUP($A178,'New Resources - Group'!$A$4:$Y$133,AL$2,FALSE)*AL$1</f>
        <v>0</v>
      </c>
      <c r="AM178" s="3235">
        <f>$G178+AL178</f>
        <v>23219450</v>
      </c>
      <c r="AN178" s="3236">
        <f>VLOOKUP($E178,AM$442:AP$453,2,FALSE)*AM178*($K178)+IF($G178&lt;&gt;0,($H178/$G178)*AM178,0)*(1-$K178)</f>
        <v>23219450</v>
      </c>
      <c r="AO178" s="3236">
        <f>VLOOKUP($E178,AM$442:AP$453,3,FALSE)*AM178*($K178)+IF($G178&lt;&gt;0,($I178/$G178)*AM178,0)*(1-$K178)</f>
        <v>0</v>
      </c>
      <c r="AP178" s="3236">
        <f>VLOOKUP($E178,AM$442:AP$453,4,FALSE)*AM178*($K178)+(AM178-AN178-AO178)*(1-$K178)</f>
        <v>0</v>
      </c>
      <c r="AQ178" s="3264"/>
      <c r="AT178" s="3434">
        <f>VLOOKUP($A178,'New Resources - Group'!$A$4:$Y$133,AT$2,FALSE)*AT$1</f>
        <v>0</v>
      </c>
      <c r="AU178" s="3235">
        <f>$G178+AT178</f>
        <v>23219450</v>
      </c>
      <c r="AV178" s="3236">
        <f>VLOOKUP($E178,AU$442:AX$453,2,FALSE)*AU178*($K178)+IF($G178&lt;&gt;0,($H178/$G178)*AU178,0)*(1-$K178)</f>
        <v>23219450</v>
      </c>
      <c r="AW178" s="3236">
        <f>VLOOKUP($E178,AU$442:AX$453,3,FALSE)*AU178*($K178)+IF($G178&lt;&gt;0,($I178/$G178)*AU178,0)*(1-$K178)</f>
        <v>0</v>
      </c>
      <c r="AX178" s="3236">
        <f>VLOOKUP($E178,AU$442:AX$453,4,FALSE)*AU178*($K178)+(AU178-AV178-AW178)*(1-$K178)</f>
        <v>0</v>
      </c>
      <c r="AY178" s="3264"/>
      <c r="BB178" s="3434">
        <f>VLOOKUP($A178,'New Resources - Group'!$A$4:$Y$133,BB$2,FALSE)*BB$1</f>
        <v>0</v>
      </c>
      <c r="BC178" s="3235">
        <f>$G178+BB178</f>
        <v>23219450</v>
      </c>
      <c r="BD178" s="3236">
        <f>VLOOKUP($E178,BC$442:BF$453,2,FALSE)*BC178*($K178)+IF($G178&lt;&gt;0,($H178/$G178)*BC178,0)*(1-$K178)</f>
        <v>23219450</v>
      </c>
      <c r="BE178" s="3236">
        <f>VLOOKUP($E178,BC$442:BF$453,3,FALSE)*BC178*($K178)+IF($G178&lt;&gt;0,($I178/$G178)*BC178,0)*(1-$K178)</f>
        <v>0</v>
      </c>
      <c r="BF178" s="3236">
        <f>VLOOKUP($E178,BC$442:BF$453,4,FALSE)*BC178*($K178)+(BC178-BD178-BE178)*(1-$K178)</f>
        <v>0</v>
      </c>
      <c r="BG178" s="3264"/>
      <c r="BJ178" s="3434">
        <f>VLOOKUP($A178,'New Resources - Group'!$A$4:$Y$133,BJ$2,FALSE)*BJ$1</f>
        <v>0</v>
      </c>
      <c r="BK178" s="3235">
        <f>$G178+BJ178</f>
        <v>23219450</v>
      </c>
      <c r="BL178" s="3236">
        <f>VLOOKUP($E178,BK$442:BN$453,2,FALSE)*BK178*($K178)+IF($G178&lt;&gt;0,($H178/$G178)*BK178,0)*(1-$K178)</f>
        <v>23219450</v>
      </c>
      <c r="BM178" s="3236">
        <f>VLOOKUP($E178,BK$442:BN$453,3,FALSE)*BK178*($K178)+IF($G178&lt;&gt;0,($I178/$G178)*BK178,0)*(1-$K178)</f>
        <v>0</v>
      </c>
      <c r="BN178" s="3236">
        <f>VLOOKUP($E178,BK$442:BN$453,4,FALSE)*BK178*($K178)+(BK178-BL178-BM178)*(1-$K178)</f>
        <v>0</v>
      </c>
      <c r="BO178" s="3264"/>
      <c r="BR178" s="3434">
        <f>VLOOKUP($A178,'New Resources - Group'!$A$4:$Y$133,BR$2,FALSE)*BR$1</f>
        <v>0</v>
      </c>
      <c r="BS178" s="3235">
        <f>$G178+BR178</f>
        <v>23219450</v>
      </c>
      <c r="BT178" s="3236">
        <f>VLOOKUP($E178,BS$442:BV$453,2,FALSE)*BS178*($K178)+IF($G178&lt;&gt;0,($H178/$G178)*BS178,0)*(1-$K178)</f>
        <v>23219450</v>
      </c>
      <c r="BU178" s="3236">
        <f>VLOOKUP($E178,BS$442:BV$453,3,FALSE)*BS178*($K178)+IF($G178&lt;&gt;0,($I178/$G178)*BS178,0)*(1-$K178)</f>
        <v>0</v>
      </c>
      <c r="BV178" s="3236">
        <f>VLOOKUP($E178,BS$442:BV$453,4,FALSE)*BS178*($K178)+(BS178-BT178-BU178)*(1-$K178)</f>
        <v>0</v>
      </c>
      <c r="BW178" s="3264"/>
      <c r="BZ178" s="3434">
        <f>VLOOKUP($A178,'New Resources - Group'!$A$4:$Y$133,BZ$2,FALSE)*BZ$1</f>
        <v>0</v>
      </c>
      <c r="CA178" s="3235">
        <f>$G178+BZ178</f>
        <v>23219450</v>
      </c>
      <c r="CB178" s="3236">
        <f>VLOOKUP($E178,CA$442:CD$453,2,FALSE)*CA178*($K178)+IF($G178&lt;&gt;0,($H178/$G178)*CA178,0)*(1-$K178)</f>
        <v>23219450</v>
      </c>
      <c r="CC178" s="3236">
        <f>VLOOKUP($E178,CA$442:CD$453,3,FALSE)*CA178*($K178)+IF($G178&lt;&gt;0,($I178/$G178)*CA178,0)*(1-$K178)</f>
        <v>0</v>
      </c>
      <c r="CD178" s="3236">
        <f>VLOOKUP($E178,CA$442:CD$453,4,FALSE)*CA178*($K178)+(CA178-CB178-CC178)*(1-$K178)</f>
        <v>0</v>
      </c>
      <c r="CE178" s="3264"/>
      <c r="CH178" s="3434">
        <f>VLOOKUP($A178,'New Resources - Group'!$A$4:$Y$133,CH$2,FALSE)*CH$1</f>
        <v>0</v>
      </c>
      <c r="CI178" s="3235">
        <f>$G178+CH178</f>
        <v>23219450</v>
      </c>
      <c r="CJ178" s="3236">
        <f>VLOOKUP($E178,CI$442:CL$453,2,FALSE)*CI178*($K178)+IF($G178&lt;&gt;0,($H178/$G178)*CI178,0)*(1-$K178)</f>
        <v>23219450</v>
      </c>
      <c r="CK178" s="3236">
        <f>VLOOKUP($E178,CI$442:CL$453,3,FALSE)*CI178*($K178)+IF($G178&lt;&gt;0,($I178/$G178)*CI178,0)*(1-$K178)</f>
        <v>0</v>
      </c>
      <c r="CL178" s="3236">
        <f>VLOOKUP($E178,CI$442:CL$453,4,FALSE)*CI178*($K178)+(CI178-CJ178-CK178)*(1-$K178)</f>
        <v>0</v>
      </c>
      <c r="CM178" s="3264"/>
      <c r="CP178" s="3434">
        <f>VLOOKUP($A178,'New Resources - Group'!$A$4:$Y$133,CP$2,FALSE)*CP$1</f>
        <v>0</v>
      </c>
      <c r="CQ178" s="3235">
        <f>$G178+CP178</f>
        <v>23219450</v>
      </c>
      <c r="CR178" s="3236">
        <f>VLOOKUP($E178,CQ$442:CT$453,2,FALSE)*CQ178*($K178)+IF($G178&lt;&gt;0,($H178/$G178)*CQ178,0)*(1-$K178)</f>
        <v>23219450</v>
      </c>
      <c r="CS178" s="3236">
        <f>VLOOKUP($E178,CQ$442:CT$453,3,FALSE)*CQ178*($K178)+IF($G178&lt;&gt;0,($I178/$G178)*CQ178,0)*(1-$K178)</f>
        <v>0</v>
      </c>
      <c r="CT178" s="3236">
        <f>VLOOKUP($E178,CQ$442:CT$453,4,FALSE)*CQ178*($K178)+(CQ178-CR178-CS178)*(1-$K178)</f>
        <v>0</v>
      </c>
      <c r="CU178" s="3264"/>
      <c r="CX178" s="3434">
        <f>VLOOKUP($A178,'New Resources - Group'!$A$4:$Y$133,CX$2,FALSE)*CX$1</f>
        <v>0</v>
      </c>
      <c r="CY178" s="3235">
        <f>$G178+CX178</f>
        <v>23219450</v>
      </c>
      <c r="CZ178" s="3236">
        <f>VLOOKUP($E178,CY$442:DB$453,2,FALSE)*CY178*($K178)+IF($G178&lt;&gt;0,($H178/$G178)*CY178,0)*(1-$K178)</f>
        <v>23219450</v>
      </c>
      <c r="DA178" s="3236">
        <f>VLOOKUP($E178,CY$442:DB$453,3,FALSE)*CY178*($K178)+IF($G178&lt;&gt;0,($I178/$G178)*CY178,0)*(1-$K178)</f>
        <v>0</v>
      </c>
      <c r="DB178" s="3236">
        <f>VLOOKUP($E178,CY$442:DB$453,4,FALSE)*CY178*($K178)+(CY178-CZ178-DA178)*(1-$K178)</f>
        <v>0</v>
      </c>
      <c r="DC178" s="3264"/>
      <c r="DF178" s="3434">
        <f>VLOOKUP($A178,'New Resources - Group'!$A$4:$Y$133,DF$2,FALSE)*DF$1</f>
        <v>0</v>
      </c>
      <c r="DG178" s="3235">
        <f>$G178+DF178</f>
        <v>23219450</v>
      </c>
      <c r="DH178" s="3236">
        <f>VLOOKUP($E178,DG$442:DJ$453,2,FALSE)*DG178*($K178)+IF($G178&lt;&gt;0,($H178/$G178)*DG178,0)*(1-$K178)</f>
        <v>23219450</v>
      </c>
      <c r="DI178" s="3236">
        <f>VLOOKUP($E178,DG$442:DJ$453,3,FALSE)*DG178*($K178)+IF($G178&lt;&gt;0,($I178/$G178)*DG178,0)*(1-$K178)</f>
        <v>0</v>
      </c>
      <c r="DJ178" s="3236">
        <f>VLOOKUP($E178,DG$442:DJ$453,4,FALSE)*DG178*($K178)+(DG178-DH178-DI178)*(1-$K178)</f>
        <v>0</v>
      </c>
      <c r="DK178" s="3264"/>
      <c r="DN178" s="3434">
        <f>VLOOKUP($A178,'New Resources - Group'!$A$4:$Y$133,DN$2,FALSE)*DN$1</f>
        <v>0</v>
      </c>
      <c r="DO178" s="3235">
        <f>$G178+DN178</f>
        <v>23219450</v>
      </c>
      <c r="DP178" s="3236">
        <f>VLOOKUP($E178,DO$442:DR$453,2,FALSE)*DO178*($K178)+IF($G178&lt;&gt;0,($H178/$G178)*DO178,0)*(1-$K178)</f>
        <v>23219450</v>
      </c>
      <c r="DQ178" s="3236">
        <f>VLOOKUP($E178,DO$442:DR$453,3,FALSE)*DO178*($K178)+IF($G178&lt;&gt;0,($I178/$G178)*DO178,0)*(1-$K178)</f>
        <v>0</v>
      </c>
      <c r="DR178" s="3236">
        <f>VLOOKUP($E178,DO$442:DR$453,4,FALSE)*DO178*($K178)+(DO178-DP178-DQ178)*(1-$K178)</f>
        <v>0</v>
      </c>
      <c r="DS178" s="3264"/>
      <c r="DV178" s="3434">
        <f>VLOOKUP($A178,'New Resources - Group'!$A$4:$Y$133,DV$2,FALSE)*DV$1</f>
        <v>0</v>
      </c>
      <c r="DW178" s="3235">
        <f>$G178+DV178</f>
        <v>23219450</v>
      </c>
      <c r="DX178" s="3236">
        <f>VLOOKUP($E178,DW$442:DZ$453,2,FALSE)*DW178*($K178)+IF($G178&lt;&gt;0,($H178/$G178)*DW178,0)*(1-$K178)</f>
        <v>23219450</v>
      </c>
      <c r="DY178" s="3236">
        <f>VLOOKUP($E178,DW$442:DZ$453,3,FALSE)*DW178*($K178)+IF($G178&lt;&gt;0,($I178/$G178)*DW178,0)*(1-$K178)</f>
        <v>0</v>
      </c>
      <c r="DZ178" s="3236">
        <f>VLOOKUP($E178,DW$442:DZ$453,4,FALSE)*DW178*($K178)+(DW178-DX178-DY178)*(1-$K178)</f>
        <v>0</v>
      </c>
      <c r="EA178" s="3264"/>
      <c r="ED178" s="3434">
        <f>VLOOKUP($A178,'New Resources - Group'!$A$4:$Y$133,ED$2,FALSE)*ED$1</f>
        <v>0</v>
      </c>
      <c r="EE178" s="3235">
        <f>$G178+ED178</f>
        <v>23219450</v>
      </c>
      <c r="EF178" s="3236">
        <f>VLOOKUP($E178,EE$442:EH$453,2,FALSE)*EE178*($K178)+IF($G178&lt;&gt;0,($H178/$G178)*EE178,0)*(1-$K178)</f>
        <v>23219450</v>
      </c>
      <c r="EG178" s="3236">
        <f>VLOOKUP($E178,EE$442:EH$453,3,FALSE)*EE178*($K178)+IF($G178&lt;&gt;0,($I178/$G178)*EE178,0)*(1-$K178)</f>
        <v>0</v>
      </c>
      <c r="EH178" s="3236">
        <f>VLOOKUP($E178,EE$442:EH$453,4,FALSE)*EE178*($K178)+(EE178-EF178-EG178)*(1-$K178)</f>
        <v>0</v>
      </c>
      <c r="EI178" s="3264"/>
      <c r="EL178" s="3434">
        <f>VLOOKUP($A178,'New Resources - Group'!$A$4:$Y$133,EL$2,FALSE)*EL$1</f>
        <v>0</v>
      </c>
      <c r="EM178" s="3235">
        <f>$G178+EL178</f>
        <v>23219450</v>
      </c>
      <c r="EN178" s="3236">
        <f>VLOOKUP($E178,EM$442:EP$453,2,FALSE)*EM178*($K178)+IF($G178&lt;&gt;0,($H178/$G178)*EM178,0)*(1-$K178)</f>
        <v>23219450</v>
      </c>
      <c r="EO178" s="3236">
        <f>VLOOKUP($E178,EM$442:EP$453,3,FALSE)*EM178*($K178)+IF($G178&lt;&gt;0,($I178/$G178)*EM178,0)*(1-$K178)</f>
        <v>0</v>
      </c>
      <c r="EP178" s="3236">
        <f>VLOOKUP($E178,EM$442:EP$453,4,FALSE)*EM178*($K178)+(EM178-EN178-EO178)*(1-$K178)</f>
        <v>0</v>
      </c>
      <c r="EQ178" s="3264"/>
      <c r="ET178" s="3434">
        <f>VLOOKUP($A178,'New Resources - Group'!$A$4:$Y$133,ET$2,FALSE)*ET$1</f>
        <v>0</v>
      </c>
      <c r="EU178" s="3235">
        <f>$G178+ET178</f>
        <v>23219450</v>
      </c>
      <c r="EV178" s="3236">
        <f>VLOOKUP($E178,EU$442:EX$453,2,FALSE)*EU178*($K178)+IF($G178&lt;&gt;0,($H178/$G178)*EU178,0)*(1-$K178)</f>
        <v>23219450</v>
      </c>
      <c r="EW178" s="3236">
        <f>VLOOKUP($E178,EU$442:EX$453,3,FALSE)*EU178*($K178)+IF($G178&lt;&gt;0,($I178/$G178)*EU178,0)*(1-$K178)</f>
        <v>0</v>
      </c>
      <c r="EX178" s="3236">
        <f>VLOOKUP($E178,EU$442:EX$453,4,FALSE)*EU178*($K178)+(EU178-EV178-EW178)*(1-$K178)</f>
        <v>0</v>
      </c>
      <c r="EY178" s="3264"/>
      <c r="FB178" s="3434">
        <f>VLOOKUP($A178,'New Resources - Group'!$A$4:$Y$133,FB$2,FALSE)*FB$1</f>
        <v>0</v>
      </c>
      <c r="FC178" s="3235">
        <f>$G178+FB178</f>
        <v>23219450</v>
      </c>
      <c r="FD178" s="3236">
        <f>VLOOKUP($E178,FC$442:FF$453,2,FALSE)*FC178*($K178)+IF($G178&lt;&gt;0,($H178/$G178)*FC178,0)*(1-$K178)</f>
        <v>23219450</v>
      </c>
      <c r="FE178" s="3236">
        <f>VLOOKUP($E178,FC$442:FF$453,3,FALSE)*FC178*($K178)+IF($G178&lt;&gt;0,($I178/$G178)*FC178,0)*(1-$K178)</f>
        <v>0</v>
      </c>
      <c r="FF178" s="3236">
        <f>VLOOKUP($E178,FC$442:FF$453,4,FALSE)*FC178*($K178)+(FC178-FD178-FE178)*(1-$K178)</f>
        <v>0</v>
      </c>
      <c r="FG178" s="3264"/>
      <c r="FJ178" s="3434">
        <f>VLOOKUP($A178,'New Resources - Group'!$A$4:$Y$133,FJ$2,FALSE)*FJ$1</f>
        <v>0</v>
      </c>
      <c r="FK178" s="3235">
        <f>$G178+FJ178</f>
        <v>23219450</v>
      </c>
      <c r="FL178" s="3236">
        <f>VLOOKUP($E178,FK$442:FN$453,2,FALSE)*FK178*($K178)+IF($G178&lt;&gt;0,($H178/$G178)*FK178,0)*(1-$K178)</f>
        <v>23219450</v>
      </c>
      <c r="FM178" s="3236">
        <f>VLOOKUP($E178,FK$442:FN$453,3,FALSE)*FK178*($K178)+IF($G178&lt;&gt;0,($I178/$G178)*FK178,0)*(1-$K178)</f>
        <v>0</v>
      </c>
      <c r="FN178" s="3236">
        <f>VLOOKUP($E178,FK$442:FN$453,4,FALSE)*FK178*($K178)+(FK178-FL178-FM178)*(1-$K178)</f>
        <v>0</v>
      </c>
      <c r="FO178" s="3264"/>
    </row>
    <row r="179" spans="1:171">
      <c r="A179" s="3477"/>
      <c r="B179" s="2143" t="s">
        <v>457</v>
      </c>
      <c r="C179" s="2116"/>
      <c r="D179" s="2116"/>
      <c r="E179" s="2098"/>
      <c r="F179" s="2098"/>
      <c r="G179" s="2506"/>
      <c r="H179" s="2506"/>
      <c r="I179" s="2506"/>
      <c r="J179" s="3504"/>
      <c r="K179" s="3205"/>
      <c r="S179" s="3264"/>
      <c r="AA179" s="3264"/>
      <c r="AI179" s="3264"/>
      <c r="AQ179" s="3264"/>
      <c r="AY179" s="3264"/>
      <c r="BG179" s="3264"/>
      <c r="BO179" s="3264"/>
      <c r="BW179" s="3264"/>
      <c r="CE179" s="3264"/>
      <c r="CM179" s="3264"/>
      <c r="CU179" s="3264"/>
      <c r="DC179" s="3264"/>
      <c r="DK179" s="3264"/>
      <c r="DS179" s="3264"/>
      <c r="EA179" s="3264"/>
      <c r="EI179" s="3264"/>
      <c r="EQ179" s="3264"/>
      <c r="EY179" s="3264"/>
      <c r="FG179" s="3264"/>
      <c r="FO179" s="3264"/>
    </row>
    <row r="180" spans="1:171">
      <c r="A180" s="3480">
        <v>290</v>
      </c>
      <c r="B180" s="2103" t="s">
        <v>85</v>
      </c>
      <c r="C180" s="2464" t="s">
        <v>72</v>
      </c>
      <c r="D180" s="2464">
        <v>518</v>
      </c>
      <c r="E180" s="2424" t="str">
        <f>'Sch 3 - Expenses'!E20</f>
        <v>PROD</v>
      </c>
      <c r="F180" s="2171"/>
      <c r="G180" s="2424">
        <f>'Sch 3 - Expenses'!G20</f>
        <v>0</v>
      </c>
      <c r="H180" s="2424">
        <f>'Sch 3 - Expenses'!H20</f>
        <v>0</v>
      </c>
      <c r="I180" s="2424">
        <f>'Sch 3 - Expenses'!I20</f>
        <v>0</v>
      </c>
      <c r="J180" s="3465">
        <f>'Sch 3 - Expenses'!J20</f>
        <v>0</v>
      </c>
      <c r="K180" s="3205">
        <f t="shared" si="547"/>
        <v>1</v>
      </c>
      <c r="N180" s="3434">
        <f>VLOOKUP($A180,'New Resources - Group'!$A$4:$Y$133,N$2,FALSE)*N$1</f>
        <v>0</v>
      </c>
      <c r="O180" s="3235">
        <f>$G180+N180</f>
        <v>0</v>
      </c>
      <c r="P180" s="3236">
        <f>VLOOKUP($E180,O$442:R$453,2,FALSE)*O180*($K180)+IF($G180&lt;&gt;0,($H180/$G180)*O180,0)*(1-$K180)</f>
        <v>0</v>
      </c>
      <c r="Q180" s="3236">
        <f>VLOOKUP($E180,O$442:R$453,3,FALSE)*O180*($K180)+IF($G180&lt;&gt;0,($I180/$G180)*O180,0)*(1-$K180)</f>
        <v>0</v>
      </c>
      <c r="R180" s="3236">
        <f>VLOOKUP($E180,O$442:R$453,4,FALSE)*O180*($K180)+(O180-P180-Q180)*(1-$K180)</f>
        <v>0</v>
      </c>
      <c r="S180" s="3264"/>
      <c r="V180" s="3434">
        <f>VLOOKUP($A180,'New Resources - Group'!$A$4:$Y$133,V$2,FALSE)*V$1</f>
        <v>0</v>
      </c>
      <c r="W180" s="3235">
        <f>$G180+V180</f>
        <v>0</v>
      </c>
      <c r="X180" s="3236">
        <f>VLOOKUP($E180,W$442:Z$453,2,FALSE)*W180*($K180)+IF($G180&lt;&gt;0,($H180/$G180)*W180,0)*(1-$K180)</f>
        <v>0</v>
      </c>
      <c r="Y180" s="3236">
        <f>VLOOKUP($E180,W$442:Z$453,3,FALSE)*W180*($K180)+IF($G180&lt;&gt;0,($I180/$G180)*W180,0)*(1-$K180)</f>
        <v>0</v>
      </c>
      <c r="Z180" s="3236">
        <f>VLOOKUP($E180,W$442:Z$453,4,FALSE)*W180*($K180)+(W180-X180-Y180)*(1-$K180)</f>
        <v>0</v>
      </c>
      <c r="AA180" s="3264"/>
      <c r="AD180" s="3434">
        <f>VLOOKUP($A180,'New Resources - Group'!$A$4:$Y$133,AD$2,FALSE)*AD$1</f>
        <v>0</v>
      </c>
      <c r="AE180" s="3235">
        <f>$G180+AD180</f>
        <v>0</v>
      </c>
      <c r="AF180" s="3236">
        <f>VLOOKUP($E180,AE$442:AH$453,2,FALSE)*AE180*($K180)+IF($G180&lt;&gt;0,($H180/$G180)*AE180,0)*(1-$K180)</f>
        <v>0</v>
      </c>
      <c r="AG180" s="3236">
        <f>VLOOKUP($E180,AE$442:AH$453,3,FALSE)*AE180*($K180)+IF($G180&lt;&gt;0,($I180/$G180)*AE180,0)*(1-$K180)</f>
        <v>0</v>
      </c>
      <c r="AH180" s="3236">
        <f>VLOOKUP($E180,AE$442:AH$453,4,FALSE)*AE180*($K180)+(AE180-AF180-AG180)*(1-$K180)</f>
        <v>0</v>
      </c>
      <c r="AI180" s="3264"/>
      <c r="AL180" s="3434">
        <f>VLOOKUP($A180,'New Resources - Group'!$A$4:$Y$133,AL$2,FALSE)*AL$1</f>
        <v>0</v>
      </c>
      <c r="AM180" s="3235">
        <f>$G180+AL180</f>
        <v>0</v>
      </c>
      <c r="AN180" s="3236">
        <f>VLOOKUP($E180,AM$442:AP$453,2,FALSE)*AM180*($K180)+IF($G180&lt;&gt;0,($H180/$G180)*AM180,0)*(1-$K180)</f>
        <v>0</v>
      </c>
      <c r="AO180" s="3236">
        <f>VLOOKUP($E180,AM$442:AP$453,3,FALSE)*AM180*($K180)+IF($G180&lt;&gt;0,($I180/$G180)*AM180,0)*(1-$K180)</f>
        <v>0</v>
      </c>
      <c r="AP180" s="3236">
        <f>VLOOKUP($E180,AM$442:AP$453,4,FALSE)*AM180*($K180)+(AM180-AN180-AO180)*(1-$K180)</f>
        <v>0</v>
      </c>
      <c r="AQ180" s="3264"/>
      <c r="AT180" s="3434">
        <f>VLOOKUP($A180,'New Resources - Group'!$A$4:$Y$133,AT$2,FALSE)*AT$1</f>
        <v>0</v>
      </c>
      <c r="AU180" s="3235">
        <f>$G180+AT180</f>
        <v>0</v>
      </c>
      <c r="AV180" s="3236">
        <f>VLOOKUP($E180,AU$442:AX$453,2,FALSE)*AU180*($K180)+IF($G180&lt;&gt;0,($H180/$G180)*AU180,0)*(1-$K180)</f>
        <v>0</v>
      </c>
      <c r="AW180" s="3236">
        <f>VLOOKUP($E180,AU$442:AX$453,3,FALSE)*AU180*($K180)+IF($G180&lt;&gt;0,($I180/$G180)*AU180,0)*(1-$K180)</f>
        <v>0</v>
      </c>
      <c r="AX180" s="3236">
        <f>VLOOKUP($E180,AU$442:AX$453,4,FALSE)*AU180*($K180)+(AU180-AV180-AW180)*(1-$K180)</f>
        <v>0</v>
      </c>
      <c r="AY180" s="3264"/>
      <c r="BB180" s="3434">
        <f>VLOOKUP($A180,'New Resources - Group'!$A$4:$Y$133,BB$2,FALSE)*BB$1</f>
        <v>0</v>
      </c>
      <c r="BC180" s="3235">
        <f>$G180+BB180</f>
        <v>0</v>
      </c>
      <c r="BD180" s="3236">
        <f>VLOOKUP($E180,BC$442:BF$453,2,FALSE)*BC180*($K180)+IF($G180&lt;&gt;0,($H180/$G180)*BC180,0)*(1-$K180)</f>
        <v>0</v>
      </c>
      <c r="BE180" s="3236">
        <f>VLOOKUP($E180,BC$442:BF$453,3,FALSE)*BC180*($K180)+IF($G180&lt;&gt;0,($I180/$G180)*BC180,0)*(1-$K180)</f>
        <v>0</v>
      </c>
      <c r="BF180" s="3236">
        <f>VLOOKUP($E180,BC$442:BF$453,4,FALSE)*BC180*($K180)+(BC180-BD180-BE180)*(1-$K180)</f>
        <v>0</v>
      </c>
      <c r="BG180" s="3264"/>
      <c r="BJ180" s="3434">
        <f>VLOOKUP($A180,'New Resources - Group'!$A$4:$Y$133,BJ$2,FALSE)*BJ$1</f>
        <v>0</v>
      </c>
      <c r="BK180" s="3235">
        <f>$G180+BJ180</f>
        <v>0</v>
      </c>
      <c r="BL180" s="3236">
        <f>VLOOKUP($E180,BK$442:BN$453,2,FALSE)*BK180*($K180)+IF($G180&lt;&gt;0,($H180/$G180)*BK180,0)*(1-$K180)</f>
        <v>0</v>
      </c>
      <c r="BM180" s="3236">
        <f>VLOOKUP($E180,BK$442:BN$453,3,FALSE)*BK180*($K180)+IF($G180&lt;&gt;0,($I180/$G180)*BK180,0)*(1-$K180)</f>
        <v>0</v>
      </c>
      <c r="BN180" s="3236">
        <f>VLOOKUP($E180,BK$442:BN$453,4,FALSE)*BK180*($K180)+(BK180-BL180-BM180)*(1-$K180)</f>
        <v>0</v>
      </c>
      <c r="BO180" s="3264"/>
      <c r="BR180" s="3434">
        <f>VLOOKUP($A180,'New Resources - Group'!$A$4:$Y$133,BR$2,FALSE)*BR$1</f>
        <v>0</v>
      </c>
      <c r="BS180" s="3235">
        <f>$G180+BR180</f>
        <v>0</v>
      </c>
      <c r="BT180" s="3236">
        <f>VLOOKUP($E180,BS$442:BV$453,2,FALSE)*BS180*($K180)+IF($G180&lt;&gt;0,($H180/$G180)*BS180,0)*(1-$K180)</f>
        <v>0</v>
      </c>
      <c r="BU180" s="3236">
        <f>VLOOKUP($E180,BS$442:BV$453,3,FALSE)*BS180*($K180)+IF($G180&lt;&gt;0,($I180/$G180)*BS180,0)*(1-$K180)</f>
        <v>0</v>
      </c>
      <c r="BV180" s="3236">
        <f>VLOOKUP($E180,BS$442:BV$453,4,FALSE)*BS180*($K180)+(BS180-BT180-BU180)*(1-$K180)</f>
        <v>0</v>
      </c>
      <c r="BW180" s="3264"/>
      <c r="BZ180" s="3434">
        <f>VLOOKUP($A180,'New Resources - Group'!$A$4:$Y$133,BZ$2,FALSE)*BZ$1</f>
        <v>0</v>
      </c>
      <c r="CA180" s="3235">
        <f>$G180+BZ180</f>
        <v>0</v>
      </c>
      <c r="CB180" s="3236">
        <f>VLOOKUP($E180,CA$442:CD$453,2,FALSE)*CA180*($K180)+IF($G180&lt;&gt;0,($H180/$G180)*CA180,0)*(1-$K180)</f>
        <v>0</v>
      </c>
      <c r="CC180" s="3236">
        <f>VLOOKUP($E180,CA$442:CD$453,3,FALSE)*CA180*($K180)+IF($G180&lt;&gt;0,($I180/$G180)*CA180,0)*(1-$K180)</f>
        <v>0</v>
      </c>
      <c r="CD180" s="3236">
        <f>VLOOKUP($E180,CA$442:CD$453,4,FALSE)*CA180*($K180)+(CA180-CB180-CC180)*(1-$K180)</f>
        <v>0</v>
      </c>
      <c r="CE180" s="3264"/>
      <c r="CH180" s="3434">
        <f>VLOOKUP($A180,'New Resources - Group'!$A$4:$Y$133,CH$2,FALSE)*CH$1</f>
        <v>0</v>
      </c>
      <c r="CI180" s="3235">
        <f>$G180+CH180</f>
        <v>0</v>
      </c>
      <c r="CJ180" s="3236">
        <f>VLOOKUP($E180,CI$442:CL$453,2,FALSE)*CI180*($K180)+IF($G180&lt;&gt;0,($H180/$G180)*CI180,0)*(1-$K180)</f>
        <v>0</v>
      </c>
      <c r="CK180" s="3236">
        <f>VLOOKUP($E180,CI$442:CL$453,3,FALSE)*CI180*($K180)+IF($G180&lt;&gt;0,($I180/$G180)*CI180,0)*(1-$K180)</f>
        <v>0</v>
      </c>
      <c r="CL180" s="3236">
        <f>VLOOKUP($E180,CI$442:CL$453,4,FALSE)*CI180*($K180)+(CI180-CJ180-CK180)*(1-$K180)</f>
        <v>0</v>
      </c>
      <c r="CM180" s="3264"/>
      <c r="CP180" s="3434">
        <f>VLOOKUP($A180,'New Resources - Group'!$A$4:$Y$133,CP$2,FALSE)*CP$1</f>
        <v>0</v>
      </c>
      <c r="CQ180" s="3235">
        <f>$G180+CP180</f>
        <v>0</v>
      </c>
      <c r="CR180" s="3236">
        <f>VLOOKUP($E180,CQ$442:CT$453,2,FALSE)*CQ180*($K180)+IF($G180&lt;&gt;0,($H180/$G180)*CQ180,0)*(1-$K180)</f>
        <v>0</v>
      </c>
      <c r="CS180" s="3236">
        <f>VLOOKUP($E180,CQ$442:CT$453,3,FALSE)*CQ180*($K180)+IF($G180&lt;&gt;0,($I180/$G180)*CQ180,0)*(1-$K180)</f>
        <v>0</v>
      </c>
      <c r="CT180" s="3236">
        <f>VLOOKUP($E180,CQ$442:CT$453,4,FALSE)*CQ180*($K180)+(CQ180-CR180-CS180)*(1-$K180)</f>
        <v>0</v>
      </c>
      <c r="CU180" s="3264"/>
      <c r="CX180" s="3434">
        <f>VLOOKUP($A180,'New Resources - Group'!$A$4:$Y$133,CX$2,FALSE)*CX$1</f>
        <v>0</v>
      </c>
      <c r="CY180" s="3235">
        <f>$G180+CX180</f>
        <v>0</v>
      </c>
      <c r="CZ180" s="3236">
        <f>VLOOKUP($E180,CY$442:DB$453,2,FALSE)*CY180*($K180)+IF($G180&lt;&gt;0,($H180/$G180)*CY180,0)*(1-$K180)</f>
        <v>0</v>
      </c>
      <c r="DA180" s="3236">
        <f>VLOOKUP($E180,CY$442:DB$453,3,FALSE)*CY180*($K180)+IF($G180&lt;&gt;0,($I180/$G180)*CY180,0)*(1-$K180)</f>
        <v>0</v>
      </c>
      <c r="DB180" s="3236">
        <f>VLOOKUP($E180,CY$442:DB$453,4,FALSE)*CY180*($K180)+(CY180-CZ180-DA180)*(1-$K180)</f>
        <v>0</v>
      </c>
      <c r="DC180" s="3264"/>
      <c r="DF180" s="3434">
        <f>VLOOKUP($A180,'New Resources - Group'!$A$4:$Y$133,DF$2,FALSE)*DF$1</f>
        <v>0</v>
      </c>
      <c r="DG180" s="3235">
        <f>$G180+DF180</f>
        <v>0</v>
      </c>
      <c r="DH180" s="3236">
        <f>VLOOKUP($E180,DG$442:DJ$453,2,FALSE)*DG180*($K180)+IF($G180&lt;&gt;0,($H180/$G180)*DG180,0)*(1-$K180)</f>
        <v>0</v>
      </c>
      <c r="DI180" s="3236">
        <f>VLOOKUP($E180,DG$442:DJ$453,3,FALSE)*DG180*($K180)+IF($G180&lt;&gt;0,($I180/$G180)*DG180,0)*(1-$K180)</f>
        <v>0</v>
      </c>
      <c r="DJ180" s="3236">
        <f>VLOOKUP($E180,DG$442:DJ$453,4,FALSE)*DG180*($K180)+(DG180-DH180-DI180)*(1-$K180)</f>
        <v>0</v>
      </c>
      <c r="DK180" s="3264"/>
      <c r="DN180" s="3434">
        <f>VLOOKUP($A180,'New Resources - Group'!$A$4:$Y$133,DN$2,FALSE)*DN$1</f>
        <v>0</v>
      </c>
      <c r="DO180" s="3235">
        <f>$G180+DN180</f>
        <v>0</v>
      </c>
      <c r="DP180" s="3236">
        <f>VLOOKUP($E180,DO$442:DR$453,2,FALSE)*DO180*($K180)+IF($G180&lt;&gt;0,($H180/$G180)*DO180,0)*(1-$K180)</f>
        <v>0</v>
      </c>
      <c r="DQ180" s="3236">
        <f>VLOOKUP($E180,DO$442:DR$453,3,FALSE)*DO180*($K180)+IF($G180&lt;&gt;0,($I180/$G180)*DO180,0)*(1-$K180)</f>
        <v>0</v>
      </c>
      <c r="DR180" s="3236">
        <f>VLOOKUP($E180,DO$442:DR$453,4,FALSE)*DO180*($K180)+(DO180-DP180-DQ180)*(1-$K180)</f>
        <v>0</v>
      </c>
      <c r="DS180" s="3264"/>
      <c r="DV180" s="3434">
        <f>VLOOKUP($A180,'New Resources - Group'!$A$4:$Y$133,DV$2,FALSE)*DV$1</f>
        <v>0</v>
      </c>
      <c r="DW180" s="3235">
        <f>$G180+DV180</f>
        <v>0</v>
      </c>
      <c r="DX180" s="3236">
        <f>VLOOKUP($E180,DW$442:DZ$453,2,FALSE)*DW180*($K180)+IF($G180&lt;&gt;0,($H180/$G180)*DW180,0)*(1-$K180)</f>
        <v>0</v>
      </c>
      <c r="DY180" s="3236">
        <f>VLOOKUP($E180,DW$442:DZ$453,3,FALSE)*DW180*($K180)+IF($G180&lt;&gt;0,($I180/$G180)*DW180,0)*(1-$K180)</f>
        <v>0</v>
      </c>
      <c r="DZ180" s="3236">
        <f>VLOOKUP($E180,DW$442:DZ$453,4,FALSE)*DW180*($K180)+(DW180-DX180-DY180)*(1-$K180)</f>
        <v>0</v>
      </c>
      <c r="EA180" s="3264"/>
      <c r="ED180" s="3434">
        <f>VLOOKUP($A180,'New Resources - Group'!$A$4:$Y$133,ED$2,FALSE)*ED$1</f>
        <v>0</v>
      </c>
      <c r="EE180" s="3235">
        <f>$G180+ED180</f>
        <v>0</v>
      </c>
      <c r="EF180" s="3236">
        <f>VLOOKUP($E180,EE$442:EH$453,2,FALSE)*EE180*($K180)+IF($G180&lt;&gt;0,($H180/$G180)*EE180,0)*(1-$K180)</f>
        <v>0</v>
      </c>
      <c r="EG180" s="3236">
        <f>VLOOKUP($E180,EE$442:EH$453,3,FALSE)*EE180*($K180)+IF($G180&lt;&gt;0,($I180/$G180)*EE180,0)*(1-$K180)</f>
        <v>0</v>
      </c>
      <c r="EH180" s="3236">
        <f>VLOOKUP($E180,EE$442:EH$453,4,FALSE)*EE180*($K180)+(EE180-EF180-EG180)*(1-$K180)</f>
        <v>0</v>
      </c>
      <c r="EI180" s="3264"/>
      <c r="EL180" s="3434">
        <f>VLOOKUP($A180,'New Resources - Group'!$A$4:$Y$133,EL$2,FALSE)*EL$1</f>
        <v>0</v>
      </c>
      <c r="EM180" s="3235">
        <f>$G180+EL180</f>
        <v>0</v>
      </c>
      <c r="EN180" s="3236">
        <f>VLOOKUP($E180,EM$442:EP$453,2,FALSE)*EM180*($K180)+IF($G180&lt;&gt;0,($H180/$G180)*EM180,0)*(1-$K180)</f>
        <v>0</v>
      </c>
      <c r="EO180" s="3236">
        <f>VLOOKUP($E180,EM$442:EP$453,3,FALSE)*EM180*($K180)+IF($G180&lt;&gt;0,($I180/$G180)*EM180,0)*(1-$K180)</f>
        <v>0</v>
      </c>
      <c r="EP180" s="3236">
        <f>VLOOKUP($E180,EM$442:EP$453,4,FALSE)*EM180*($K180)+(EM180-EN180-EO180)*(1-$K180)</f>
        <v>0</v>
      </c>
      <c r="EQ180" s="3264"/>
      <c r="ET180" s="3434">
        <f>VLOOKUP($A180,'New Resources - Group'!$A$4:$Y$133,ET$2,FALSE)*ET$1</f>
        <v>0</v>
      </c>
      <c r="EU180" s="3235">
        <f>$G180+ET180</f>
        <v>0</v>
      </c>
      <c r="EV180" s="3236">
        <f>VLOOKUP($E180,EU$442:EX$453,2,FALSE)*EU180*($K180)+IF($G180&lt;&gt;0,($H180/$G180)*EU180,0)*(1-$K180)</f>
        <v>0</v>
      </c>
      <c r="EW180" s="3236">
        <f>VLOOKUP($E180,EU$442:EX$453,3,FALSE)*EU180*($K180)+IF($G180&lt;&gt;0,($I180/$G180)*EU180,0)*(1-$K180)</f>
        <v>0</v>
      </c>
      <c r="EX180" s="3236">
        <f>VLOOKUP($E180,EU$442:EX$453,4,FALSE)*EU180*($K180)+(EU180-EV180-EW180)*(1-$K180)</f>
        <v>0</v>
      </c>
      <c r="EY180" s="3264"/>
      <c r="FB180" s="3434">
        <f>VLOOKUP($A180,'New Resources - Group'!$A$4:$Y$133,FB$2,FALSE)*FB$1</f>
        <v>0</v>
      </c>
      <c r="FC180" s="3235">
        <f>$G180+FB180</f>
        <v>0</v>
      </c>
      <c r="FD180" s="3236">
        <f>VLOOKUP($E180,FC$442:FF$453,2,FALSE)*FC180*($K180)+IF($G180&lt;&gt;0,($H180/$G180)*FC180,0)*(1-$K180)</f>
        <v>0</v>
      </c>
      <c r="FE180" s="3236">
        <f>VLOOKUP($E180,FC$442:FF$453,3,FALSE)*FC180*($K180)+IF($G180&lt;&gt;0,($I180/$G180)*FC180,0)*(1-$K180)</f>
        <v>0</v>
      </c>
      <c r="FF180" s="3236">
        <f>VLOOKUP($E180,FC$442:FF$453,4,FALSE)*FC180*($K180)+(FC180-FD180-FE180)*(1-$K180)</f>
        <v>0</v>
      </c>
      <c r="FG180" s="3264"/>
      <c r="FJ180" s="3434">
        <f>VLOOKUP($A180,'New Resources - Group'!$A$4:$Y$133,FJ$2,FALSE)*FJ$1</f>
        <v>0</v>
      </c>
      <c r="FK180" s="3235">
        <f>$G180+FJ180</f>
        <v>0</v>
      </c>
      <c r="FL180" s="3236">
        <f>VLOOKUP($E180,FK$442:FN$453,2,FALSE)*FK180*($K180)+IF($G180&lt;&gt;0,($H180/$G180)*FK180,0)*(1-$K180)</f>
        <v>0</v>
      </c>
      <c r="FM180" s="3236">
        <f>VLOOKUP($E180,FK$442:FN$453,3,FALSE)*FK180*($K180)+IF($G180&lt;&gt;0,($I180/$G180)*FK180,0)*(1-$K180)</f>
        <v>0</v>
      </c>
      <c r="FN180" s="3236">
        <f>VLOOKUP($E180,FK$442:FN$453,4,FALSE)*FK180*($K180)+(FK180-FL180-FM180)*(1-$K180)</f>
        <v>0</v>
      </c>
      <c r="FO180" s="3264"/>
    </row>
    <row r="181" spans="1:171">
      <c r="A181" s="3480">
        <v>300</v>
      </c>
      <c r="B181" s="2185" t="s">
        <v>262</v>
      </c>
      <c r="C181" s="2464" t="s">
        <v>72</v>
      </c>
      <c r="D181" s="2464" t="s">
        <v>452</v>
      </c>
      <c r="E181" s="2424" t="str">
        <f>'Sch 3 - Expenses'!E21</f>
        <v>PROD</v>
      </c>
      <c r="F181" s="2171"/>
      <c r="G181" s="2424">
        <f>'Sch 3 - Expenses'!G21</f>
        <v>0</v>
      </c>
      <c r="H181" s="2424">
        <f>'Sch 3 - Expenses'!H21</f>
        <v>0</v>
      </c>
      <c r="I181" s="2424">
        <f>'Sch 3 - Expenses'!I21</f>
        <v>0</v>
      </c>
      <c r="J181" s="3465">
        <f>'Sch 3 - Expenses'!J21</f>
        <v>0</v>
      </c>
      <c r="K181" s="3205">
        <f t="shared" si="547"/>
        <v>1</v>
      </c>
      <c r="N181" s="3434">
        <f>VLOOKUP($A181,'New Resources - Group'!$A$4:$Y$133,N$2,FALSE)*N$1</f>
        <v>0</v>
      </c>
      <c r="O181" s="3235">
        <f>$G181+N181</f>
        <v>0</v>
      </c>
      <c r="P181" s="3236">
        <f>VLOOKUP($E181,O$442:R$453,2,FALSE)*O181*($K181)+IF($G181&lt;&gt;0,($H181/$G181)*O181,0)*(1-$K181)</f>
        <v>0</v>
      </c>
      <c r="Q181" s="3236">
        <f>VLOOKUP($E181,O$442:R$453,3,FALSE)*O181*($K181)+IF($G181&lt;&gt;0,($I181/$G181)*O181,0)*(1-$K181)</f>
        <v>0</v>
      </c>
      <c r="R181" s="3236">
        <f>VLOOKUP($E181,O$442:R$453,4,FALSE)*O181*($K181)+(O181-P181-Q181)*(1-$K181)</f>
        <v>0</v>
      </c>
      <c r="S181" s="3264"/>
      <c r="V181" s="3434">
        <f>VLOOKUP($A181,'New Resources - Group'!$A$4:$Y$133,V$2,FALSE)*V$1</f>
        <v>0</v>
      </c>
      <c r="W181" s="3235">
        <f>$G181+V181</f>
        <v>0</v>
      </c>
      <c r="X181" s="3236">
        <f>VLOOKUP($E181,W$442:Z$453,2,FALSE)*W181*($K181)+IF($G181&lt;&gt;0,($H181/$G181)*W181,0)*(1-$K181)</f>
        <v>0</v>
      </c>
      <c r="Y181" s="3236">
        <f>VLOOKUP($E181,W$442:Z$453,3,FALSE)*W181*($K181)+IF($G181&lt;&gt;0,($I181/$G181)*W181,0)*(1-$K181)</f>
        <v>0</v>
      </c>
      <c r="Z181" s="3236">
        <f>VLOOKUP($E181,W$442:Z$453,4,FALSE)*W181*($K181)+(W181-X181-Y181)*(1-$K181)</f>
        <v>0</v>
      </c>
      <c r="AA181" s="3264"/>
      <c r="AD181" s="3434">
        <f>VLOOKUP($A181,'New Resources - Group'!$A$4:$Y$133,AD$2,FALSE)*AD$1</f>
        <v>0</v>
      </c>
      <c r="AE181" s="3235">
        <f>$G181+AD181</f>
        <v>0</v>
      </c>
      <c r="AF181" s="3236">
        <f>VLOOKUP($E181,AE$442:AH$453,2,FALSE)*AE181*($K181)+IF($G181&lt;&gt;0,($H181/$G181)*AE181,0)*(1-$K181)</f>
        <v>0</v>
      </c>
      <c r="AG181" s="3236">
        <f>VLOOKUP($E181,AE$442:AH$453,3,FALSE)*AE181*($K181)+IF($G181&lt;&gt;0,($I181/$G181)*AE181,0)*(1-$K181)</f>
        <v>0</v>
      </c>
      <c r="AH181" s="3236">
        <f>VLOOKUP($E181,AE$442:AH$453,4,FALSE)*AE181*($K181)+(AE181-AF181-AG181)*(1-$K181)</f>
        <v>0</v>
      </c>
      <c r="AI181" s="3264"/>
      <c r="AL181" s="3434">
        <f>VLOOKUP($A181,'New Resources - Group'!$A$4:$Y$133,AL$2,FALSE)*AL$1</f>
        <v>0</v>
      </c>
      <c r="AM181" s="3235">
        <f>$G181+AL181</f>
        <v>0</v>
      </c>
      <c r="AN181" s="3236">
        <f>VLOOKUP($E181,AM$442:AP$453,2,FALSE)*AM181*($K181)+IF($G181&lt;&gt;0,($H181/$G181)*AM181,0)*(1-$K181)</f>
        <v>0</v>
      </c>
      <c r="AO181" s="3236">
        <f>VLOOKUP($E181,AM$442:AP$453,3,FALSE)*AM181*($K181)+IF($G181&lt;&gt;0,($I181/$G181)*AM181,0)*(1-$K181)</f>
        <v>0</v>
      </c>
      <c r="AP181" s="3236">
        <f>VLOOKUP($E181,AM$442:AP$453,4,FALSE)*AM181*($K181)+(AM181-AN181-AO181)*(1-$K181)</f>
        <v>0</v>
      </c>
      <c r="AQ181" s="3264"/>
      <c r="AT181" s="3434">
        <f>VLOOKUP($A181,'New Resources - Group'!$A$4:$Y$133,AT$2,FALSE)*AT$1</f>
        <v>0</v>
      </c>
      <c r="AU181" s="3235">
        <f>$G181+AT181</f>
        <v>0</v>
      </c>
      <c r="AV181" s="3236">
        <f>VLOOKUP($E181,AU$442:AX$453,2,FALSE)*AU181*($K181)+IF($G181&lt;&gt;0,($H181/$G181)*AU181,0)*(1-$K181)</f>
        <v>0</v>
      </c>
      <c r="AW181" s="3236">
        <f>VLOOKUP($E181,AU$442:AX$453,3,FALSE)*AU181*($K181)+IF($G181&lt;&gt;0,($I181/$G181)*AU181,0)*(1-$K181)</f>
        <v>0</v>
      </c>
      <c r="AX181" s="3236">
        <f>VLOOKUP($E181,AU$442:AX$453,4,FALSE)*AU181*($K181)+(AU181-AV181-AW181)*(1-$K181)</f>
        <v>0</v>
      </c>
      <c r="AY181" s="3264"/>
      <c r="BB181" s="3434">
        <f>VLOOKUP($A181,'New Resources - Group'!$A$4:$Y$133,BB$2,FALSE)*BB$1</f>
        <v>0</v>
      </c>
      <c r="BC181" s="3235">
        <f>$G181+BB181</f>
        <v>0</v>
      </c>
      <c r="BD181" s="3236">
        <f>VLOOKUP($E181,BC$442:BF$453,2,FALSE)*BC181*($K181)+IF($G181&lt;&gt;0,($H181/$G181)*BC181,0)*(1-$K181)</f>
        <v>0</v>
      </c>
      <c r="BE181" s="3236">
        <f>VLOOKUP($E181,BC$442:BF$453,3,FALSE)*BC181*($K181)+IF($G181&lt;&gt;0,($I181/$G181)*BC181,0)*(1-$K181)</f>
        <v>0</v>
      </c>
      <c r="BF181" s="3236">
        <f>VLOOKUP($E181,BC$442:BF$453,4,FALSE)*BC181*($K181)+(BC181-BD181-BE181)*(1-$K181)</f>
        <v>0</v>
      </c>
      <c r="BG181" s="3264"/>
      <c r="BJ181" s="3434">
        <f>VLOOKUP($A181,'New Resources - Group'!$A$4:$Y$133,BJ$2,FALSE)*BJ$1</f>
        <v>0</v>
      </c>
      <c r="BK181" s="3235">
        <f>$G181+BJ181</f>
        <v>0</v>
      </c>
      <c r="BL181" s="3236">
        <f>VLOOKUP($E181,BK$442:BN$453,2,FALSE)*BK181*($K181)+IF($G181&lt;&gt;0,($H181/$G181)*BK181,0)*(1-$K181)</f>
        <v>0</v>
      </c>
      <c r="BM181" s="3236">
        <f>VLOOKUP($E181,BK$442:BN$453,3,FALSE)*BK181*($K181)+IF($G181&lt;&gt;0,($I181/$G181)*BK181,0)*(1-$K181)</f>
        <v>0</v>
      </c>
      <c r="BN181" s="3236">
        <f>VLOOKUP($E181,BK$442:BN$453,4,FALSE)*BK181*($K181)+(BK181-BL181-BM181)*(1-$K181)</f>
        <v>0</v>
      </c>
      <c r="BO181" s="3264"/>
      <c r="BR181" s="3434">
        <f>VLOOKUP($A181,'New Resources - Group'!$A$4:$Y$133,BR$2,FALSE)*BR$1</f>
        <v>0</v>
      </c>
      <c r="BS181" s="3235">
        <f>$G181+BR181</f>
        <v>0</v>
      </c>
      <c r="BT181" s="3236">
        <f>VLOOKUP($E181,BS$442:BV$453,2,FALSE)*BS181*($K181)+IF($G181&lt;&gt;0,($H181/$G181)*BS181,0)*(1-$K181)</f>
        <v>0</v>
      </c>
      <c r="BU181" s="3236">
        <f>VLOOKUP($E181,BS$442:BV$453,3,FALSE)*BS181*($K181)+IF($G181&lt;&gt;0,($I181/$G181)*BS181,0)*(1-$K181)</f>
        <v>0</v>
      </c>
      <c r="BV181" s="3236">
        <f>VLOOKUP($E181,BS$442:BV$453,4,FALSE)*BS181*($K181)+(BS181-BT181-BU181)*(1-$K181)</f>
        <v>0</v>
      </c>
      <c r="BW181" s="3264"/>
      <c r="BZ181" s="3434">
        <f>VLOOKUP($A181,'New Resources - Group'!$A$4:$Y$133,BZ$2,FALSE)*BZ$1</f>
        <v>0</v>
      </c>
      <c r="CA181" s="3235">
        <f>$G181+BZ181</f>
        <v>0</v>
      </c>
      <c r="CB181" s="3236">
        <f>VLOOKUP($E181,CA$442:CD$453,2,FALSE)*CA181*($K181)+IF($G181&lt;&gt;0,($H181/$G181)*CA181,0)*(1-$K181)</f>
        <v>0</v>
      </c>
      <c r="CC181" s="3236">
        <f>VLOOKUP($E181,CA$442:CD$453,3,FALSE)*CA181*($K181)+IF($G181&lt;&gt;0,($I181/$G181)*CA181,0)*(1-$K181)</f>
        <v>0</v>
      </c>
      <c r="CD181" s="3236">
        <f>VLOOKUP($E181,CA$442:CD$453,4,FALSE)*CA181*($K181)+(CA181-CB181-CC181)*(1-$K181)</f>
        <v>0</v>
      </c>
      <c r="CE181" s="3264"/>
      <c r="CH181" s="3434">
        <f>VLOOKUP($A181,'New Resources - Group'!$A$4:$Y$133,CH$2,FALSE)*CH$1</f>
        <v>0</v>
      </c>
      <c r="CI181" s="3235">
        <f>$G181+CH181</f>
        <v>0</v>
      </c>
      <c r="CJ181" s="3236">
        <f>VLOOKUP($E181,CI$442:CL$453,2,FALSE)*CI181*($K181)+IF($G181&lt;&gt;0,($H181/$G181)*CI181,0)*(1-$K181)</f>
        <v>0</v>
      </c>
      <c r="CK181" s="3236">
        <f>VLOOKUP($E181,CI$442:CL$453,3,FALSE)*CI181*($K181)+IF($G181&lt;&gt;0,($I181/$G181)*CI181,0)*(1-$K181)</f>
        <v>0</v>
      </c>
      <c r="CL181" s="3236">
        <f>VLOOKUP($E181,CI$442:CL$453,4,FALSE)*CI181*($K181)+(CI181-CJ181-CK181)*(1-$K181)</f>
        <v>0</v>
      </c>
      <c r="CM181" s="3264"/>
      <c r="CP181" s="3434">
        <f>VLOOKUP($A181,'New Resources - Group'!$A$4:$Y$133,CP$2,FALSE)*CP$1</f>
        <v>0</v>
      </c>
      <c r="CQ181" s="3235">
        <f>$G181+CP181</f>
        <v>0</v>
      </c>
      <c r="CR181" s="3236">
        <f>VLOOKUP($E181,CQ$442:CT$453,2,FALSE)*CQ181*($K181)+IF($G181&lt;&gt;0,($H181/$G181)*CQ181,0)*(1-$K181)</f>
        <v>0</v>
      </c>
      <c r="CS181" s="3236">
        <f>VLOOKUP($E181,CQ$442:CT$453,3,FALSE)*CQ181*($K181)+IF($G181&lt;&gt;0,($I181/$G181)*CQ181,0)*(1-$K181)</f>
        <v>0</v>
      </c>
      <c r="CT181" s="3236">
        <f>VLOOKUP($E181,CQ$442:CT$453,4,FALSE)*CQ181*($K181)+(CQ181-CR181-CS181)*(1-$K181)</f>
        <v>0</v>
      </c>
      <c r="CU181" s="3264"/>
      <c r="CX181" s="3434">
        <f>VLOOKUP($A181,'New Resources - Group'!$A$4:$Y$133,CX$2,FALSE)*CX$1</f>
        <v>0</v>
      </c>
      <c r="CY181" s="3235">
        <f>$G181+CX181</f>
        <v>0</v>
      </c>
      <c r="CZ181" s="3236">
        <f>VLOOKUP($E181,CY$442:DB$453,2,FALSE)*CY181*($K181)+IF($G181&lt;&gt;0,($H181/$G181)*CY181,0)*(1-$K181)</f>
        <v>0</v>
      </c>
      <c r="DA181" s="3236">
        <f>VLOOKUP($E181,CY$442:DB$453,3,FALSE)*CY181*($K181)+IF($G181&lt;&gt;0,($I181/$G181)*CY181,0)*(1-$K181)</f>
        <v>0</v>
      </c>
      <c r="DB181" s="3236">
        <f>VLOOKUP($E181,CY$442:DB$453,4,FALSE)*CY181*($K181)+(CY181-CZ181-DA181)*(1-$K181)</f>
        <v>0</v>
      </c>
      <c r="DC181" s="3264"/>
      <c r="DF181" s="3434">
        <f>VLOOKUP($A181,'New Resources - Group'!$A$4:$Y$133,DF$2,FALSE)*DF$1</f>
        <v>0</v>
      </c>
      <c r="DG181" s="3235">
        <f>$G181+DF181</f>
        <v>0</v>
      </c>
      <c r="DH181" s="3236">
        <f>VLOOKUP($E181,DG$442:DJ$453,2,FALSE)*DG181*($K181)+IF($G181&lt;&gt;0,($H181/$G181)*DG181,0)*(1-$K181)</f>
        <v>0</v>
      </c>
      <c r="DI181" s="3236">
        <f>VLOOKUP($E181,DG$442:DJ$453,3,FALSE)*DG181*($K181)+IF($G181&lt;&gt;0,($I181/$G181)*DG181,0)*(1-$K181)</f>
        <v>0</v>
      </c>
      <c r="DJ181" s="3236">
        <f>VLOOKUP($E181,DG$442:DJ$453,4,FALSE)*DG181*($K181)+(DG181-DH181-DI181)*(1-$K181)</f>
        <v>0</v>
      </c>
      <c r="DK181" s="3264"/>
      <c r="DN181" s="3434">
        <f>VLOOKUP($A181,'New Resources - Group'!$A$4:$Y$133,DN$2,FALSE)*DN$1</f>
        <v>0</v>
      </c>
      <c r="DO181" s="3235">
        <f>$G181+DN181</f>
        <v>0</v>
      </c>
      <c r="DP181" s="3236">
        <f>VLOOKUP($E181,DO$442:DR$453,2,FALSE)*DO181*($K181)+IF($G181&lt;&gt;0,($H181/$G181)*DO181,0)*(1-$K181)</f>
        <v>0</v>
      </c>
      <c r="DQ181" s="3236">
        <f>VLOOKUP($E181,DO$442:DR$453,3,FALSE)*DO181*($K181)+IF($G181&lt;&gt;0,($I181/$G181)*DO181,0)*(1-$K181)</f>
        <v>0</v>
      </c>
      <c r="DR181" s="3236">
        <f>VLOOKUP($E181,DO$442:DR$453,4,FALSE)*DO181*($K181)+(DO181-DP181-DQ181)*(1-$K181)</f>
        <v>0</v>
      </c>
      <c r="DS181" s="3264"/>
      <c r="DV181" s="3434">
        <f>VLOOKUP($A181,'New Resources - Group'!$A$4:$Y$133,DV$2,FALSE)*DV$1</f>
        <v>0</v>
      </c>
      <c r="DW181" s="3235">
        <f>$G181+DV181</f>
        <v>0</v>
      </c>
      <c r="DX181" s="3236">
        <f>VLOOKUP($E181,DW$442:DZ$453,2,FALSE)*DW181*($K181)+IF($G181&lt;&gt;0,($H181/$G181)*DW181,0)*(1-$K181)</f>
        <v>0</v>
      </c>
      <c r="DY181" s="3236">
        <f>VLOOKUP($E181,DW$442:DZ$453,3,FALSE)*DW181*($K181)+IF($G181&lt;&gt;0,($I181/$G181)*DW181,0)*(1-$K181)</f>
        <v>0</v>
      </c>
      <c r="DZ181" s="3236">
        <f>VLOOKUP($E181,DW$442:DZ$453,4,FALSE)*DW181*($K181)+(DW181-DX181-DY181)*(1-$K181)</f>
        <v>0</v>
      </c>
      <c r="EA181" s="3264"/>
      <c r="ED181" s="3434">
        <f>VLOOKUP($A181,'New Resources - Group'!$A$4:$Y$133,ED$2,FALSE)*ED$1</f>
        <v>0</v>
      </c>
      <c r="EE181" s="3235">
        <f>$G181+ED181</f>
        <v>0</v>
      </c>
      <c r="EF181" s="3236">
        <f>VLOOKUP($E181,EE$442:EH$453,2,FALSE)*EE181*($K181)+IF($G181&lt;&gt;0,($H181/$G181)*EE181,0)*(1-$K181)</f>
        <v>0</v>
      </c>
      <c r="EG181" s="3236">
        <f>VLOOKUP($E181,EE$442:EH$453,3,FALSE)*EE181*($K181)+IF($G181&lt;&gt;0,($I181/$G181)*EE181,0)*(1-$K181)</f>
        <v>0</v>
      </c>
      <c r="EH181" s="3236">
        <f>VLOOKUP($E181,EE$442:EH$453,4,FALSE)*EE181*($K181)+(EE181-EF181-EG181)*(1-$K181)</f>
        <v>0</v>
      </c>
      <c r="EI181" s="3264"/>
      <c r="EL181" s="3434">
        <f>VLOOKUP($A181,'New Resources - Group'!$A$4:$Y$133,EL$2,FALSE)*EL$1</f>
        <v>0</v>
      </c>
      <c r="EM181" s="3235">
        <f>$G181+EL181</f>
        <v>0</v>
      </c>
      <c r="EN181" s="3236">
        <f>VLOOKUP($E181,EM$442:EP$453,2,FALSE)*EM181*($K181)+IF($G181&lt;&gt;0,($H181/$G181)*EM181,0)*(1-$K181)</f>
        <v>0</v>
      </c>
      <c r="EO181" s="3236">
        <f>VLOOKUP($E181,EM$442:EP$453,3,FALSE)*EM181*($K181)+IF($G181&lt;&gt;0,($I181/$G181)*EM181,0)*(1-$K181)</f>
        <v>0</v>
      </c>
      <c r="EP181" s="3236">
        <f>VLOOKUP($E181,EM$442:EP$453,4,FALSE)*EM181*($K181)+(EM181-EN181-EO181)*(1-$K181)</f>
        <v>0</v>
      </c>
      <c r="EQ181" s="3264"/>
      <c r="ET181" s="3434">
        <f>VLOOKUP($A181,'New Resources - Group'!$A$4:$Y$133,ET$2,FALSE)*ET$1</f>
        <v>0</v>
      </c>
      <c r="EU181" s="3235">
        <f>$G181+ET181</f>
        <v>0</v>
      </c>
      <c r="EV181" s="3236">
        <f>VLOOKUP($E181,EU$442:EX$453,2,FALSE)*EU181*($K181)+IF($G181&lt;&gt;0,($H181/$G181)*EU181,0)*(1-$K181)</f>
        <v>0</v>
      </c>
      <c r="EW181" s="3236">
        <f>VLOOKUP($E181,EU$442:EX$453,3,FALSE)*EU181*($K181)+IF($G181&lt;&gt;0,($I181/$G181)*EU181,0)*(1-$K181)</f>
        <v>0</v>
      </c>
      <c r="EX181" s="3236">
        <f>VLOOKUP($E181,EU$442:EX$453,4,FALSE)*EU181*($K181)+(EU181-EV181-EW181)*(1-$K181)</f>
        <v>0</v>
      </c>
      <c r="EY181" s="3264"/>
      <c r="FB181" s="3434">
        <f>VLOOKUP($A181,'New Resources - Group'!$A$4:$Y$133,FB$2,FALSE)*FB$1</f>
        <v>0</v>
      </c>
      <c r="FC181" s="3235">
        <f>$G181+FB181</f>
        <v>0</v>
      </c>
      <c r="FD181" s="3236">
        <f>VLOOKUP($E181,FC$442:FF$453,2,FALSE)*FC181*($K181)+IF($G181&lt;&gt;0,($H181/$G181)*FC181,0)*(1-$K181)</f>
        <v>0</v>
      </c>
      <c r="FE181" s="3236">
        <f>VLOOKUP($E181,FC$442:FF$453,3,FALSE)*FC181*($K181)+IF($G181&lt;&gt;0,($I181/$G181)*FC181,0)*(1-$K181)</f>
        <v>0</v>
      </c>
      <c r="FF181" s="3236">
        <f>VLOOKUP($E181,FC$442:FF$453,4,FALSE)*FC181*($K181)+(FC181-FD181-FE181)*(1-$K181)</f>
        <v>0</v>
      </c>
      <c r="FG181" s="3264"/>
      <c r="FJ181" s="3434">
        <f>VLOOKUP($A181,'New Resources - Group'!$A$4:$Y$133,FJ$2,FALSE)*FJ$1</f>
        <v>0</v>
      </c>
      <c r="FK181" s="3235">
        <f>$G181+FJ181</f>
        <v>0</v>
      </c>
      <c r="FL181" s="3236">
        <f>VLOOKUP($E181,FK$442:FN$453,2,FALSE)*FK181*($K181)+IF($G181&lt;&gt;0,($H181/$G181)*FK181,0)*(1-$K181)</f>
        <v>0</v>
      </c>
      <c r="FM181" s="3236">
        <f>VLOOKUP($E181,FK$442:FN$453,3,FALSE)*FK181*($K181)+IF($G181&lt;&gt;0,($I181/$G181)*FK181,0)*(1-$K181)</f>
        <v>0</v>
      </c>
      <c r="FN181" s="3236">
        <f>VLOOKUP($E181,FK$442:FN$453,4,FALSE)*FK181*($K181)+(FK181-FL181-FM181)*(1-$K181)</f>
        <v>0</v>
      </c>
      <c r="FO181" s="3264"/>
    </row>
    <row r="182" spans="1:171">
      <c r="A182" s="3480">
        <v>310</v>
      </c>
      <c r="B182" s="2097" t="s">
        <v>478</v>
      </c>
      <c r="C182" s="2464" t="s">
        <v>72</v>
      </c>
      <c r="D182" s="2464" t="s">
        <v>479</v>
      </c>
      <c r="E182" s="2424" t="str">
        <f>'Sch 3 - Expenses'!E22</f>
        <v>PROD</v>
      </c>
      <c r="F182" s="2171"/>
      <c r="G182" s="2424">
        <f>'Sch 3 - Expenses'!G22</f>
        <v>0</v>
      </c>
      <c r="H182" s="2424">
        <f>'Sch 3 - Expenses'!H22</f>
        <v>0</v>
      </c>
      <c r="I182" s="2424">
        <f>'Sch 3 - Expenses'!I22</f>
        <v>0</v>
      </c>
      <c r="J182" s="3465">
        <f>'Sch 3 - Expenses'!J22</f>
        <v>0</v>
      </c>
      <c r="K182" s="3205">
        <f t="shared" si="547"/>
        <v>1</v>
      </c>
      <c r="N182" s="3434">
        <f>VLOOKUP($A182,'New Resources - Group'!$A$4:$Y$133,N$2,FALSE)*N$1</f>
        <v>0</v>
      </c>
      <c r="O182" s="3235">
        <f>$G182+N182</f>
        <v>0</v>
      </c>
      <c r="P182" s="3236">
        <f>VLOOKUP($E182,O$442:R$453,2,FALSE)*O182*($K182)+IF($G182&lt;&gt;0,($H182/$G182)*O182,0)*(1-$K182)</f>
        <v>0</v>
      </c>
      <c r="Q182" s="3236">
        <f>VLOOKUP($E182,O$442:R$453,3,FALSE)*O182*($K182)+IF($G182&lt;&gt;0,($I182/$G182)*O182,0)*(1-$K182)</f>
        <v>0</v>
      </c>
      <c r="R182" s="3236">
        <f>VLOOKUP($E182,O$442:R$453,4,FALSE)*O182*($K182)+(O182-P182-Q182)*(1-$K182)</f>
        <v>0</v>
      </c>
      <c r="S182" s="3264"/>
      <c r="V182" s="3434">
        <f>VLOOKUP($A182,'New Resources - Group'!$A$4:$Y$133,V$2,FALSE)*V$1</f>
        <v>0</v>
      </c>
      <c r="W182" s="3235">
        <f>$G182+V182</f>
        <v>0</v>
      </c>
      <c r="X182" s="3236">
        <f>VLOOKUP($E182,W$442:Z$453,2,FALSE)*W182*($K182)+IF($G182&lt;&gt;0,($H182/$G182)*W182,0)*(1-$K182)</f>
        <v>0</v>
      </c>
      <c r="Y182" s="3236">
        <f>VLOOKUP($E182,W$442:Z$453,3,FALSE)*W182*($K182)+IF($G182&lt;&gt;0,($I182/$G182)*W182,0)*(1-$K182)</f>
        <v>0</v>
      </c>
      <c r="Z182" s="3236">
        <f>VLOOKUP($E182,W$442:Z$453,4,FALSE)*W182*($K182)+(W182-X182-Y182)*(1-$K182)</f>
        <v>0</v>
      </c>
      <c r="AA182" s="3264"/>
      <c r="AD182" s="3434">
        <f>VLOOKUP($A182,'New Resources - Group'!$A$4:$Y$133,AD$2,FALSE)*AD$1</f>
        <v>0</v>
      </c>
      <c r="AE182" s="3235">
        <f>$G182+AD182</f>
        <v>0</v>
      </c>
      <c r="AF182" s="3236">
        <f>VLOOKUP($E182,AE$442:AH$453,2,FALSE)*AE182*($K182)+IF($G182&lt;&gt;0,($H182/$G182)*AE182,0)*(1-$K182)</f>
        <v>0</v>
      </c>
      <c r="AG182" s="3236">
        <f>VLOOKUP($E182,AE$442:AH$453,3,FALSE)*AE182*($K182)+IF($G182&lt;&gt;0,($I182/$G182)*AE182,0)*(1-$K182)</f>
        <v>0</v>
      </c>
      <c r="AH182" s="3236">
        <f>VLOOKUP($E182,AE$442:AH$453,4,FALSE)*AE182*($K182)+(AE182-AF182-AG182)*(1-$K182)</f>
        <v>0</v>
      </c>
      <c r="AI182" s="3264"/>
      <c r="AL182" s="3434">
        <f>VLOOKUP($A182,'New Resources - Group'!$A$4:$Y$133,AL$2,FALSE)*AL$1</f>
        <v>0</v>
      </c>
      <c r="AM182" s="3235">
        <f>$G182+AL182</f>
        <v>0</v>
      </c>
      <c r="AN182" s="3236">
        <f>VLOOKUP($E182,AM$442:AP$453,2,FALSE)*AM182*($K182)+IF($G182&lt;&gt;0,($H182/$G182)*AM182,0)*(1-$K182)</f>
        <v>0</v>
      </c>
      <c r="AO182" s="3236">
        <f>VLOOKUP($E182,AM$442:AP$453,3,FALSE)*AM182*($K182)+IF($G182&lt;&gt;0,($I182/$G182)*AM182,0)*(1-$K182)</f>
        <v>0</v>
      </c>
      <c r="AP182" s="3236">
        <f>VLOOKUP($E182,AM$442:AP$453,4,FALSE)*AM182*($K182)+(AM182-AN182-AO182)*(1-$K182)</f>
        <v>0</v>
      </c>
      <c r="AQ182" s="3264"/>
      <c r="AT182" s="3434">
        <f>VLOOKUP($A182,'New Resources - Group'!$A$4:$Y$133,AT$2,FALSE)*AT$1</f>
        <v>0</v>
      </c>
      <c r="AU182" s="3235">
        <f>$G182+AT182</f>
        <v>0</v>
      </c>
      <c r="AV182" s="3236">
        <f>VLOOKUP($E182,AU$442:AX$453,2,FALSE)*AU182*($K182)+IF($G182&lt;&gt;0,($H182/$G182)*AU182,0)*(1-$K182)</f>
        <v>0</v>
      </c>
      <c r="AW182" s="3236">
        <f>VLOOKUP($E182,AU$442:AX$453,3,FALSE)*AU182*($K182)+IF($G182&lt;&gt;0,($I182/$G182)*AU182,0)*(1-$K182)</f>
        <v>0</v>
      </c>
      <c r="AX182" s="3236">
        <f>VLOOKUP($E182,AU$442:AX$453,4,FALSE)*AU182*($K182)+(AU182-AV182-AW182)*(1-$K182)</f>
        <v>0</v>
      </c>
      <c r="AY182" s="3264"/>
      <c r="BB182" s="3434">
        <f>VLOOKUP($A182,'New Resources - Group'!$A$4:$Y$133,BB$2,FALSE)*BB$1</f>
        <v>0</v>
      </c>
      <c r="BC182" s="3235">
        <f>$G182+BB182</f>
        <v>0</v>
      </c>
      <c r="BD182" s="3236">
        <f>VLOOKUP($E182,BC$442:BF$453,2,FALSE)*BC182*($K182)+IF($G182&lt;&gt;0,($H182/$G182)*BC182,0)*(1-$K182)</f>
        <v>0</v>
      </c>
      <c r="BE182" s="3236">
        <f>VLOOKUP($E182,BC$442:BF$453,3,FALSE)*BC182*($K182)+IF($G182&lt;&gt;0,($I182/$G182)*BC182,0)*(1-$K182)</f>
        <v>0</v>
      </c>
      <c r="BF182" s="3236">
        <f>VLOOKUP($E182,BC$442:BF$453,4,FALSE)*BC182*($K182)+(BC182-BD182-BE182)*(1-$K182)</f>
        <v>0</v>
      </c>
      <c r="BG182" s="3264"/>
      <c r="BJ182" s="3434">
        <f>VLOOKUP($A182,'New Resources - Group'!$A$4:$Y$133,BJ$2,FALSE)*BJ$1</f>
        <v>0</v>
      </c>
      <c r="BK182" s="3235">
        <f>$G182+BJ182</f>
        <v>0</v>
      </c>
      <c r="BL182" s="3236">
        <f>VLOOKUP($E182,BK$442:BN$453,2,FALSE)*BK182*($K182)+IF($G182&lt;&gt;0,($H182/$G182)*BK182,0)*(1-$K182)</f>
        <v>0</v>
      </c>
      <c r="BM182" s="3236">
        <f>VLOOKUP($E182,BK$442:BN$453,3,FALSE)*BK182*($K182)+IF($G182&lt;&gt;0,($I182/$G182)*BK182,0)*(1-$K182)</f>
        <v>0</v>
      </c>
      <c r="BN182" s="3236">
        <f>VLOOKUP($E182,BK$442:BN$453,4,FALSE)*BK182*($K182)+(BK182-BL182-BM182)*(1-$K182)</f>
        <v>0</v>
      </c>
      <c r="BO182" s="3264"/>
      <c r="BR182" s="3434">
        <f>VLOOKUP($A182,'New Resources - Group'!$A$4:$Y$133,BR$2,FALSE)*BR$1</f>
        <v>0</v>
      </c>
      <c r="BS182" s="3235">
        <f>$G182+BR182</f>
        <v>0</v>
      </c>
      <c r="BT182" s="3236">
        <f>VLOOKUP($E182,BS$442:BV$453,2,FALSE)*BS182*($K182)+IF($G182&lt;&gt;0,($H182/$G182)*BS182,0)*(1-$K182)</f>
        <v>0</v>
      </c>
      <c r="BU182" s="3236">
        <f>VLOOKUP($E182,BS$442:BV$453,3,FALSE)*BS182*($K182)+IF($G182&lt;&gt;0,($I182/$G182)*BS182,0)*(1-$K182)</f>
        <v>0</v>
      </c>
      <c r="BV182" s="3236">
        <f>VLOOKUP($E182,BS$442:BV$453,4,FALSE)*BS182*($K182)+(BS182-BT182-BU182)*(1-$K182)</f>
        <v>0</v>
      </c>
      <c r="BW182" s="3264"/>
      <c r="BZ182" s="3434">
        <f>VLOOKUP($A182,'New Resources - Group'!$A$4:$Y$133,BZ$2,FALSE)*BZ$1</f>
        <v>0</v>
      </c>
      <c r="CA182" s="3235">
        <f>$G182+BZ182</f>
        <v>0</v>
      </c>
      <c r="CB182" s="3236">
        <f>VLOOKUP($E182,CA$442:CD$453,2,FALSE)*CA182*($K182)+IF($G182&lt;&gt;0,($H182/$G182)*CA182,0)*(1-$K182)</f>
        <v>0</v>
      </c>
      <c r="CC182" s="3236">
        <f>VLOOKUP($E182,CA$442:CD$453,3,FALSE)*CA182*($K182)+IF($G182&lt;&gt;0,($I182/$G182)*CA182,0)*(1-$K182)</f>
        <v>0</v>
      </c>
      <c r="CD182" s="3236">
        <f>VLOOKUP($E182,CA$442:CD$453,4,FALSE)*CA182*($K182)+(CA182-CB182-CC182)*(1-$K182)</f>
        <v>0</v>
      </c>
      <c r="CE182" s="3264"/>
      <c r="CH182" s="3434">
        <f>VLOOKUP($A182,'New Resources - Group'!$A$4:$Y$133,CH$2,FALSE)*CH$1</f>
        <v>0</v>
      </c>
      <c r="CI182" s="3235">
        <f>$G182+CH182</f>
        <v>0</v>
      </c>
      <c r="CJ182" s="3236">
        <f>VLOOKUP($E182,CI$442:CL$453,2,FALSE)*CI182*($K182)+IF($G182&lt;&gt;0,($H182/$G182)*CI182,0)*(1-$K182)</f>
        <v>0</v>
      </c>
      <c r="CK182" s="3236">
        <f>VLOOKUP($E182,CI$442:CL$453,3,FALSE)*CI182*($K182)+IF($G182&lt;&gt;0,($I182/$G182)*CI182,0)*(1-$K182)</f>
        <v>0</v>
      </c>
      <c r="CL182" s="3236">
        <f>VLOOKUP($E182,CI$442:CL$453,4,FALSE)*CI182*($K182)+(CI182-CJ182-CK182)*(1-$K182)</f>
        <v>0</v>
      </c>
      <c r="CM182" s="3264"/>
      <c r="CP182" s="3434">
        <f>VLOOKUP($A182,'New Resources - Group'!$A$4:$Y$133,CP$2,FALSE)*CP$1</f>
        <v>0</v>
      </c>
      <c r="CQ182" s="3235">
        <f>$G182+CP182</f>
        <v>0</v>
      </c>
      <c r="CR182" s="3236">
        <f>VLOOKUP($E182,CQ$442:CT$453,2,FALSE)*CQ182*($K182)+IF($G182&lt;&gt;0,($H182/$G182)*CQ182,0)*(1-$K182)</f>
        <v>0</v>
      </c>
      <c r="CS182" s="3236">
        <f>VLOOKUP($E182,CQ$442:CT$453,3,FALSE)*CQ182*($K182)+IF($G182&lt;&gt;0,($I182/$G182)*CQ182,0)*(1-$K182)</f>
        <v>0</v>
      </c>
      <c r="CT182" s="3236">
        <f>VLOOKUP($E182,CQ$442:CT$453,4,FALSE)*CQ182*($K182)+(CQ182-CR182-CS182)*(1-$K182)</f>
        <v>0</v>
      </c>
      <c r="CU182" s="3264"/>
      <c r="CX182" s="3434">
        <f>VLOOKUP($A182,'New Resources - Group'!$A$4:$Y$133,CX$2,FALSE)*CX$1</f>
        <v>0</v>
      </c>
      <c r="CY182" s="3235">
        <f>$G182+CX182</f>
        <v>0</v>
      </c>
      <c r="CZ182" s="3236">
        <f>VLOOKUP($E182,CY$442:DB$453,2,FALSE)*CY182*($K182)+IF($G182&lt;&gt;0,($H182/$G182)*CY182,0)*(1-$K182)</f>
        <v>0</v>
      </c>
      <c r="DA182" s="3236">
        <f>VLOOKUP($E182,CY$442:DB$453,3,FALSE)*CY182*($K182)+IF($G182&lt;&gt;0,($I182/$G182)*CY182,0)*(1-$K182)</f>
        <v>0</v>
      </c>
      <c r="DB182" s="3236">
        <f>VLOOKUP($E182,CY$442:DB$453,4,FALSE)*CY182*($K182)+(CY182-CZ182-DA182)*(1-$K182)</f>
        <v>0</v>
      </c>
      <c r="DC182" s="3264"/>
      <c r="DF182" s="3434">
        <f>VLOOKUP($A182,'New Resources - Group'!$A$4:$Y$133,DF$2,FALSE)*DF$1</f>
        <v>0</v>
      </c>
      <c r="DG182" s="3235">
        <f>$G182+DF182</f>
        <v>0</v>
      </c>
      <c r="DH182" s="3236">
        <f>VLOOKUP($E182,DG$442:DJ$453,2,FALSE)*DG182*($K182)+IF($G182&lt;&gt;0,($H182/$G182)*DG182,0)*(1-$K182)</f>
        <v>0</v>
      </c>
      <c r="DI182" s="3236">
        <f>VLOOKUP($E182,DG$442:DJ$453,3,FALSE)*DG182*($K182)+IF($G182&lt;&gt;0,($I182/$G182)*DG182,0)*(1-$K182)</f>
        <v>0</v>
      </c>
      <c r="DJ182" s="3236">
        <f>VLOOKUP($E182,DG$442:DJ$453,4,FALSE)*DG182*($K182)+(DG182-DH182-DI182)*(1-$K182)</f>
        <v>0</v>
      </c>
      <c r="DK182" s="3264"/>
      <c r="DN182" s="3434">
        <f>VLOOKUP($A182,'New Resources - Group'!$A$4:$Y$133,DN$2,FALSE)*DN$1</f>
        <v>0</v>
      </c>
      <c r="DO182" s="3235">
        <f>$G182+DN182</f>
        <v>0</v>
      </c>
      <c r="DP182" s="3236">
        <f>VLOOKUP($E182,DO$442:DR$453,2,FALSE)*DO182*($K182)+IF($G182&lt;&gt;0,($H182/$G182)*DO182,0)*(1-$K182)</f>
        <v>0</v>
      </c>
      <c r="DQ182" s="3236">
        <f>VLOOKUP($E182,DO$442:DR$453,3,FALSE)*DO182*($K182)+IF($G182&lt;&gt;0,($I182/$G182)*DO182,0)*(1-$K182)</f>
        <v>0</v>
      </c>
      <c r="DR182" s="3236">
        <f>VLOOKUP($E182,DO$442:DR$453,4,FALSE)*DO182*($K182)+(DO182-DP182-DQ182)*(1-$K182)</f>
        <v>0</v>
      </c>
      <c r="DS182" s="3264"/>
      <c r="DV182" s="3434">
        <f>VLOOKUP($A182,'New Resources - Group'!$A$4:$Y$133,DV$2,FALSE)*DV$1</f>
        <v>0</v>
      </c>
      <c r="DW182" s="3235">
        <f>$G182+DV182</f>
        <v>0</v>
      </c>
      <c r="DX182" s="3236">
        <f>VLOOKUP($E182,DW$442:DZ$453,2,FALSE)*DW182*($K182)+IF($G182&lt;&gt;0,($H182/$G182)*DW182,0)*(1-$K182)</f>
        <v>0</v>
      </c>
      <c r="DY182" s="3236">
        <f>VLOOKUP($E182,DW$442:DZ$453,3,FALSE)*DW182*($K182)+IF($G182&lt;&gt;0,($I182/$G182)*DW182,0)*(1-$K182)</f>
        <v>0</v>
      </c>
      <c r="DZ182" s="3236">
        <f>VLOOKUP($E182,DW$442:DZ$453,4,FALSE)*DW182*($K182)+(DW182-DX182-DY182)*(1-$K182)</f>
        <v>0</v>
      </c>
      <c r="EA182" s="3264"/>
      <c r="ED182" s="3434">
        <f>VLOOKUP($A182,'New Resources - Group'!$A$4:$Y$133,ED$2,FALSE)*ED$1</f>
        <v>0</v>
      </c>
      <c r="EE182" s="3235">
        <f>$G182+ED182</f>
        <v>0</v>
      </c>
      <c r="EF182" s="3236">
        <f>VLOOKUP($E182,EE$442:EH$453,2,FALSE)*EE182*($K182)+IF($G182&lt;&gt;0,($H182/$G182)*EE182,0)*(1-$K182)</f>
        <v>0</v>
      </c>
      <c r="EG182" s="3236">
        <f>VLOOKUP($E182,EE$442:EH$453,3,FALSE)*EE182*($K182)+IF($G182&lt;&gt;0,($I182/$G182)*EE182,0)*(1-$K182)</f>
        <v>0</v>
      </c>
      <c r="EH182" s="3236">
        <f>VLOOKUP($E182,EE$442:EH$453,4,FALSE)*EE182*($K182)+(EE182-EF182-EG182)*(1-$K182)</f>
        <v>0</v>
      </c>
      <c r="EI182" s="3264"/>
      <c r="EL182" s="3434">
        <f>VLOOKUP($A182,'New Resources - Group'!$A$4:$Y$133,EL$2,FALSE)*EL$1</f>
        <v>0</v>
      </c>
      <c r="EM182" s="3235">
        <f>$G182+EL182</f>
        <v>0</v>
      </c>
      <c r="EN182" s="3236">
        <f>VLOOKUP($E182,EM$442:EP$453,2,FALSE)*EM182*($K182)+IF($G182&lt;&gt;0,($H182/$G182)*EM182,0)*(1-$K182)</f>
        <v>0</v>
      </c>
      <c r="EO182" s="3236">
        <f>VLOOKUP($E182,EM$442:EP$453,3,FALSE)*EM182*($K182)+IF($G182&lt;&gt;0,($I182/$G182)*EM182,0)*(1-$K182)</f>
        <v>0</v>
      </c>
      <c r="EP182" s="3236">
        <f>VLOOKUP($E182,EM$442:EP$453,4,FALSE)*EM182*($K182)+(EM182-EN182-EO182)*(1-$K182)</f>
        <v>0</v>
      </c>
      <c r="EQ182" s="3264"/>
      <c r="ET182" s="3434">
        <f>VLOOKUP($A182,'New Resources - Group'!$A$4:$Y$133,ET$2,FALSE)*ET$1</f>
        <v>0</v>
      </c>
      <c r="EU182" s="3235">
        <f>$G182+ET182</f>
        <v>0</v>
      </c>
      <c r="EV182" s="3236">
        <f>VLOOKUP($E182,EU$442:EX$453,2,FALSE)*EU182*($K182)+IF($G182&lt;&gt;0,($H182/$G182)*EU182,0)*(1-$K182)</f>
        <v>0</v>
      </c>
      <c r="EW182" s="3236">
        <f>VLOOKUP($E182,EU$442:EX$453,3,FALSE)*EU182*($K182)+IF($G182&lt;&gt;0,($I182/$G182)*EU182,0)*(1-$K182)</f>
        <v>0</v>
      </c>
      <c r="EX182" s="3236">
        <f>VLOOKUP($E182,EU$442:EX$453,4,FALSE)*EU182*($K182)+(EU182-EV182-EW182)*(1-$K182)</f>
        <v>0</v>
      </c>
      <c r="EY182" s="3264"/>
      <c r="FB182" s="3434">
        <f>VLOOKUP($A182,'New Resources - Group'!$A$4:$Y$133,FB$2,FALSE)*FB$1</f>
        <v>0</v>
      </c>
      <c r="FC182" s="3235">
        <f>$G182+FB182</f>
        <v>0</v>
      </c>
      <c r="FD182" s="3236">
        <f>VLOOKUP($E182,FC$442:FF$453,2,FALSE)*FC182*($K182)+IF($G182&lt;&gt;0,($H182/$G182)*FC182,0)*(1-$K182)</f>
        <v>0</v>
      </c>
      <c r="FE182" s="3236">
        <f>VLOOKUP($E182,FC$442:FF$453,3,FALSE)*FC182*($K182)+IF($G182&lt;&gt;0,($I182/$G182)*FC182,0)*(1-$K182)</f>
        <v>0</v>
      </c>
      <c r="FF182" s="3236">
        <f>VLOOKUP($E182,FC$442:FF$453,4,FALSE)*FC182*($K182)+(FC182-FD182-FE182)*(1-$K182)</f>
        <v>0</v>
      </c>
      <c r="FG182" s="3264"/>
      <c r="FJ182" s="3434">
        <f>VLOOKUP($A182,'New Resources - Group'!$A$4:$Y$133,FJ$2,FALSE)*FJ$1</f>
        <v>0</v>
      </c>
      <c r="FK182" s="3235">
        <f>$G182+FJ182</f>
        <v>0</v>
      </c>
      <c r="FL182" s="3236">
        <f>VLOOKUP($E182,FK$442:FN$453,2,FALSE)*FK182*($K182)+IF($G182&lt;&gt;0,($H182/$G182)*FK182,0)*(1-$K182)</f>
        <v>0</v>
      </c>
      <c r="FM182" s="3236">
        <f>VLOOKUP($E182,FK$442:FN$453,3,FALSE)*FK182*($K182)+IF($G182&lt;&gt;0,($I182/$G182)*FK182,0)*(1-$K182)</f>
        <v>0</v>
      </c>
      <c r="FN182" s="3236">
        <f>VLOOKUP($E182,FK$442:FN$453,4,FALSE)*FK182*($K182)+(FK182-FL182-FM182)*(1-$K182)</f>
        <v>0</v>
      </c>
      <c r="FO182" s="3264"/>
    </row>
    <row r="183" spans="1:171">
      <c r="A183" s="3505"/>
      <c r="B183" s="2143" t="s">
        <v>458</v>
      </c>
      <c r="C183" s="2116"/>
      <c r="D183" s="2116"/>
      <c r="E183" s="2098"/>
      <c r="F183" s="2098"/>
      <c r="G183" s="2506"/>
      <c r="H183" s="2506"/>
      <c r="I183" s="2506"/>
      <c r="J183" s="3504"/>
      <c r="K183" s="3205"/>
      <c r="S183" s="3264"/>
      <c r="AA183" s="3264"/>
      <c r="AI183" s="3264"/>
      <c r="AQ183" s="3264"/>
      <c r="AY183" s="3264"/>
      <c r="BG183" s="3264"/>
      <c r="BO183" s="3264"/>
      <c r="BW183" s="3264"/>
      <c r="CE183" s="3264"/>
      <c r="CM183" s="3264"/>
      <c r="CU183" s="3264"/>
      <c r="DC183" s="3264"/>
      <c r="DK183" s="3264"/>
      <c r="DS183" s="3264"/>
      <c r="EA183" s="3264"/>
      <c r="EI183" s="3264"/>
      <c r="EQ183" s="3264"/>
      <c r="EY183" s="3264"/>
      <c r="FG183" s="3264"/>
      <c r="FO183" s="3264"/>
    </row>
    <row r="184" spans="1:171">
      <c r="A184" s="3480">
        <v>410</v>
      </c>
      <c r="B184" s="2185" t="s">
        <v>86</v>
      </c>
      <c r="C184" s="2464" t="s">
        <v>72</v>
      </c>
      <c r="D184" s="2464" t="s">
        <v>598</v>
      </c>
      <c r="E184" s="2424" t="str">
        <f>'Sch 3 - Expenses'!E24</f>
        <v>PROD</v>
      </c>
      <c r="F184" s="2171"/>
      <c r="G184" s="2424">
        <f>'Sch 3 - Expenses'!G24</f>
        <v>7020837</v>
      </c>
      <c r="H184" s="2424">
        <f>'Sch 3 - Expenses'!H24</f>
        <v>7020837</v>
      </c>
      <c r="I184" s="2424">
        <f>'Sch 3 - Expenses'!I24</f>
        <v>0</v>
      </c>
      <c r="J184" s="3465">
        <f>'Sch 3 - Expenses'!J24</f>
        <v>0</v>
      </c>
      <c r="K184" s="3205">
        <f t="shared" si="547"/>
        <v>1</v>
      </c>
      <c r="N184" s="3434">
        <f>VLOOKUP($A184,'New Resources - Group'!$A$4:$Y$133,N$2,FALSE)*N$1</f>
        <v>0</v>
      </c>
      <c r="O184" s="3235">
        <f>$G184+N184</f>
        <v>7020837</v>
      </c>
      <c r="P184" s="3236">
        <f>VLOOKUP($E184,O$442:R$453,2,FALSE)*O184*($K184)+IF($G184&lt;&gt;0,($H184/$G184)*O184,0)*(1-$K184)</f>
        <v>7020837</v>
      </c>
      <c r="Q184" s="3236">
        <f>VLOOKUP($E184,O$442:R$453,3,FALSE)*O184*($K184)+IF($G184&lt;&gt;0,($I184/$G184)*O184,0)*(1-$K184)</f>
        <v>0</v>
      </c>
      <c r="R184" s="3236">
        <f>VLOOKUP($E184,O$442:R$453,4,FALSE)*O184*($K184)+(O184-P184-Q184)*(1-$K184)</f>
        <v>0</v>
      </c>
      <c r="S184" s="3264"/>
      <c r="V184" s="3434">
        <f>VLOOKUP($A184,'New Resources - Group'!$A$4:$Y$133,V$2,FALSE)*V$1</f>
        <v>0</v>
      </c>
      <c r="W184" s="3235">
        <f>$G184+V184</f>
        <v>7020837</v>
      </c>
      <c r="X184" s="3236">
        <f>VLOOKUP($E184,W$442:Z$453,2,FALSE)*W184*($K184)+IF($G184&lt;&gt;0,($H184/$G184)*W184,0)*(1-$K184)</f>
        <v>7020837</v>
      </c>
      <c r="Y184" s="3236">
        <f>VLOOKUP($E184,W$442:Z$453,3,FALSE)*W184*($K184)+IF($G184&lt;&gt;0,($I184/$G184)*W184,0)*(1-$K184)</f>
        <v>0</v>
      </c>
      <c r="Z184" s="3236">
        <f>VLOOKUP($E184,W$442:Z$453,4,FALSE)*W184*($K184)+(W184-X184-Y184)*(1-$K184)</f>
        <v>0</v>
      </c>
      <c r="AA184" s="3264"/>
      <c r="AD184" s="3434">
        <f>VLOOKUP($A184,'New Resources - Group'!$A$4:$Y$133,AD$2,FALSE)*AD$1</f>
        <v>0</v>
      </c>
      <c r="AE184" s="3235">
        <f>$G184+AD184</f>
        <v>7020837</v>
      </c>
      <c r="AF184" s="3236">
        <f>VLOOKUP($E184,AE$442:AH$453,2,FALSE)*AE184*($K184)+IF($G184&lt;&gt;0,($H184/$G184)*AE184,0)*(1-$K184)</f>
        <v>7020837</v>
      </c>
      <c r="AG184" s="3236">
        <f>VLOOKUP($E184,AE$442:AH$453,3,FALSE)*AE184*($K184)+IF($G184&lt;&gt;0,($I184/$G184)*AE184,0)*(1-$K184)</f>
        <v>0</v>
      </c>
      <c r="AH184" s="3236">
        <f>VLOOKUP($E184,AE$442:AH$453,4,FALSE)*AE184*($K184)+(AE184-AF184-AG184)*(1-$K184)</f>
        <v>0</v>
      </c>
      <c r="AI184" s="3264"/>
      <c r="AL184" s="3434">
        <f>VLOOKUP($A184,'New Resources - Group'!$A$4:$Y$133,AL$2,FALSE)*AL$1</f>
        <v>0</v>
      </c>
      <c r="AM184" s="3235">
        <f>$G184+AL184</f>
        <v>7020837</v>
      </c>
      <c r="AN184" s="3236">
        <f>VLOOKUP($E184,AM$442:AP$453,2,FALSE)*AM184*($K184)+IF($G184&lt;&gt;0,($H184/$G184)*AM184,0)*(1-$K184)</f>
        <v>7020837</v>
      </c>
      <c r="AO184" s="3236">
        <f>VLOOKUP($E184,AM$442:AP$453,3,FALSE)*AM184*($K184)+IF($G184&lt;&gt;0,($I184/$G184)*AM184,0)*(1-$K184)</f>
        <v>0</v>
      </c>
      <c r="AP184" s="3236">
        <f>VLOOKUP($E184,AM$442:AP$453,4,FALSE)*AM184*($K184)+(AM184-AN184-AO184)*(1-$K184)</f>
        <v>0</v>
      </c>
      <c r="AQ184" s="3264"/>
      <c r="AT184" s="3434">
        <f>VLOOKUP($A184,'New Resources - Group'!$A$4:$Y$133,AT$2,FALSE)*AT$1</f>
        <v>0</v>
      </c>
      <c r="AU184" s="3235">
        <f>$G184+AT184</f>
        <v>7020837</v>
      </c>
      <c r="AV184" s="3236">
        <f>VLOOKUP($E184,AU$442:AX$453,2,FALSE)*AU184*($K184)+IF($G184&lt;&gt;0,($H184/$G184)*AU184,0)*(1-$K184)</f>
        <v>7020837</v>
      </c>
      <c r="AW184" s="3236">
        <f>VLOOKUP($E184,AU$442:AX$453,3,FALSE)*AU184*($K184)+IF($G184&lt;&gt;0,($I184/$G184)*AU184,0)*(1-$K184)</f>
        <v>0</v>
      </c>
      <c r="AX184" s="3236">
        <f>VLOOKUP($E184,AU$442:AX$453,4,FALSE)*AU184*($K184)+(AU184-AV184-AW184)*(1-$K184)</f>
        <v>0</v>
      </c>
      <c r="AY184" s="3264"/>
      <c r="BB184" s="3434">
        <f>VLOOKUP($A184,'New Resources - Group'!$A$4:$Y$133,BB$2,FALSE)*BB$1</f>
        <v>0</v>
      </c>
      <c r="BC184" s="3235">
        <f>$G184+BB184</f>
        <v>7020837</v>
      </c>
      <c r="BD184" s="3236">
        <f>VLOOKUP($E184,BC$442:BF$453,2,FALSE)*BC184*($K184)+IF($G184&lt;&gt;0,($H184/$G184)*BC184,0)*(1-$K184)</f>
        <v>7020837</v>
      </c>
      <c r="BE184" s="3236">
        <f>VLOOKUP($E184,BC$442:BF$453,3,FALSE)*BC184*($K184)+IF($G184&lt;&gt;0,($I184/$G184)*BC184,0)*(1-$K184)</f>
        <v>0</v>
      </c>
      <c r="BF184" s="3236">
        <f>VLOOKUP($E184,BC$442:BF$453,4,FALSE)*BC184*($K184)+(BC184-BD184-BE184)*(1-$K184)</f>
        <v>0</v>
      </c>
      <c r="BG184" s="3264"/>
      <c r="BJ184" s="3434">
        <f>VLOOKUP($A184,'New Resources - Group'!$A$4:$Y$133,BJ$2,FALSE)*BJ$1</f>
        <v>0</v>
      </c>
      <c r="BK184" s="3235">
        <f>$G184+BJ184</f>
        <v>7020837</v>
      </c>
      <c r="BL184" s="3236">
        <f>VLOOKUP($E184,BK$442:BN$453,2,FALSE)*BK184*($K184)+IF($G184&lt;&gt;0,($H184/$G184)*BK184,0)*(1-$K184)</f>
        <v>7020837</v>
      </c>
      <c r="BM184" s="3236">
        <f>VLOOKUP($E184,BK$442:BN$453,3,FALSE)*BK184*($K184)+IF($G184&lt;&gt;0,($I184/$G184)*BK184,0)*(1-$K184)</f>
        <v>0</v>
      </c>
      <c r="BN184" s="3236">
        <f>VLOOKUP($E184,BK$442:BN$453,4,FALSE)*BK184*($K184)+(BK184-BL184-BM184)*(1-$K184)</f>
        <v>0</v>
      </c>
      <c r="BO184" s="3264"/>
      <c r="BR184" s="3434">
        <f>VLOOKUP($A184,'New Resources - Group'!$A$4:$Y$133,BR$2,FALSE)*BR$1</f>
        <v>0</v>
      </c>
      <c r="BS184" s="3235">
        <f>$G184+BR184</f>
        <v>7020837</v>
      </c>
      <c r="BT184" s="3236">
        <f>VLOOKUP($E184,BS$442:BV$453,2,FALSE)*BS184*($K184)+IF($G184&lt;&gt;0,($H184/$G184)*BS184,0)*(1-$K184)</f>
        <v>7020837</v>
      </c>
      <c r="BU184" s="3236">
        <f>VLOOKUP($E184,BS$442:BV$453,3,FALSE)*BS184*($K184)+IF($G184&lt;&gt;0,($I184/$G184)*BS184,0)*(1-$K184)</f>
        <v>0</v>
      </c>
      <c r="BV184" s="3236">
        <f>VLOOKUP($E184,BS$442:BV$453,4,FALSE)*BS184*($K184)+(BS184-BT184-BU184)*(1-$K184)</f>
        <v>0</v>
      </c>
      <c r="BW184" s="3264"/>
      <c r="BZ184" s="3434">
        <f>VLOOKUP($A184,'New Resources - Group'!$A$4:$Y$133,BZ$2,FALSE)*BZ$1</f>
        <v>0</v>
      </c>
      <c r="CA184" s="3235">
        <f>$G184+BZ184</f>
        <v>7020837</v>
      </c>
      <c r="CB184" s="3236">
        <f>VLOOKUP($E184,CA$442:CD$453,2,FALSE)*CA184*($K184)+IF($G184&lt;&gt;0,($H184/$G184)*CA184,0)*(1-$K184)</f>
        <v>7020837</v>
      </c>
      <c r="CC184" s="3236">
        <f>VLOOKUP($E184,CA$442:CD$453,3,FALSE)*CA184*($K184)+IF($G184&lt;&gt;0,($I184/$G184)*CA184,0)*(1-$K184)</f>
        <v>0</v>
      </c>
      <c r="CD184" s="3236">
        <f>VLOOKUP($E184,CA$442:CD$453,4,FALSE)*CA184*($K184)+(CA184-CB184-CC184)*(1-$K184)</f>
        <v>0</v>
      </c>
      <c r="CE184" s="3264"/>
      <c r="CH184" s="3434">
        <f>VLOOKUP($A184,'New Resources - Group'!$A$4:$Y$133,CH$2,FALSE)*CH$1</f>
        <v>0</v>
      </c>
      <c r="CI184" s="3235">
        <f>$G184+CH184</f>
        <v>7020837</v>
      </c>
      <c r="CJ184" s="3236">
        <f>VLOOKUP($E184,CI$442:CL$453,2,FALSE)*CI184*($K184)+IF($G184&lt;&gt;0,($H184/$G184)*CI184,0)*(1-$K184)</f>
        <v>7020837</v>
      </c>
      <c r="CK184" s="3236">
        <f>VLOOKUP($E184,CI$442:CL$453,3,FALSE)*CI184*($K184)+IF($G184&lt;&gt;0,($I184/$G184)*CI184,0)*(1-$K184)</f>
        <v>0</v>
      </c>
      <c r="CL184" s="3236">
        <f>VLOOKUP($E184,CI$442:CL$453,4,FALSE)*CI184*($K184)+(CI184-CJ184-CK184)*(1-$K184)</f>
        <v>0</v>
      </c>
      <c r="CM184" s="3264"/>
      <c r="CP184" s="3434">
        <f>VLOOKUP($A184,'New Resources - Group'!$A$4:$Y$133,CP$2,FALSE)*CP$1</f>
        <v>0</v>
      </c>
      <c r="CQ184" s="3235">
        <f>$G184+CP184</f>
        <v>7020837</v>
      </c>
      <c r="CR184" s="3236">
        <f>VLOOKUP($E184,CQ$442:CT$453,2,FALSE)*CQ184*($K184)+IF($G184&lt;&gt;0,($H184/$G184)*CQ184,0)*(1-$K184)</f>
        <v>7020837</v>
      </c>
      <c r="CS184" s="3236">
        <f>VLOOKUP($E184,CQ$442:CT$453,3,FALSE)*CQ184*($K184)+IF($G184&lt;&gt;0,($I184/$G184)*CQ184,0)*(1-$K184)</f>
        <v>0</v>
      </c>
      <c r="CT184" s="3236">
        <f>VLOOKUP($E184,CQ$442:CT$453,4,FALSE)*CQ184*($K184)+(CQ184-CR184-CS184)*(1-$K184)</f>
        <v>0</v>
      </c>
      <c r="CU184" s="3264"/>
      <c r="CX184" s="3434">
        <f>VLOOKUP($A184,'New Resources - Group'!$A$4:$Y$133,CX$2,FALSE)*CX$1</f>
        <v>0</v>
      </c>
      <c r="CY184" s="3235">
        <f>$G184+CX184</f>
        <v>7020837</v>
      </c>
      <c r="CZ184" s="3236">
        <f>VLOOKUP($E184,CY$442:DB$453,2,FALSE)*CY184*($K184)+IF($G184&lt;&gt;0,($H184/$G184)*CY184,0)*(1-$K184)</f>
        <v>7020837</v>
      </c>
      <c r="DA184" s="3236">
        <f>VLOOKUP($E184,CY$442:DB$453,3,FALSE)*CY184*($K184)+IF($G184&lt;&gt;0,($I184/$G184)*CY184,0)*(1-$K184)</f>
        <v>0</v>
      </c>
      <c r="DB184" s="3236">
        <f>VLOOKUP($E184,CY$442:DB$453,4,FALSE)*CY184*($K184)+(CY184-CZ184-DA184)*(1-$K184)</f>
        <v>0</v>
      </c>
      <c r="DC184" s="3264"/>
      <c r="DF184" s="3434">
        <f>VLOOKUP($A184,'New Resources - Group'!$A$4:$Y$133,DF$2,FALSE)*DF$1</f>
        <v>0</v>
      </c>
      <c r="DG184" s="3235">
        <f>$G184+DF184</f>
        <v>7020837</v>
      </c>
      <c r="DH184" s="3236">
        <f>VLOOKUP($E184,DG$442:DJ$453,2,FALSE)*DG184*($K184)+IF($G184&lt;&gt;0,($H184/$G184)*DG184,0)*(1-$K184)</f>
        <v>7020837</v>
      </c>
      <c r="DI184" s="3236">
        <f>VLOOKUP($E184,DG$442:DJ$453,3,FALSE)*DG184*($K184)+IF($G184&lt;&gt;0,($I184/$G184)*DG184,0)*(1-$K184)</f>
        <v>0</v>
      </c>
      <c r="DJ184" s="3236">
        <f>VLOOKUP($E184,DG$442:DJ$453,4,FALSE)*DG184*($K184)+(DG184-DH184-DI184)*(1-$K184)</f>
        <v>0</v>
      </c>
      <c r="DK184" s="3264"/>
      <c r="DN184" s="3434">
        <f>VLOOKUP($A184,'New Resources - Group'!$A$4:$Y$133,DN$2,FALSE)*DN$1</f>
        <v>0</v>
      </c>
      <c r="DO184" s="3235">
        <f>$G184+DN184</f>
        <v>7020837</v>
      </c>
      <c r="DP184" s="3236">
        <f>VLOOKUP($E184,DO$442:DR$453,2,FALSE)*DO184*($K184)+IF($G184&lt;&gt;0,($H184/$G184)*DO184,0)*(1-$K184)</f>
        <v>7020837</v>
      </c>
      <c r="DQ184" s="3236">
        <f>VLOOKUP($E184,DO$442:DR$453,3,FALSE)*DO184*($K184)+IF($G184&lt;&gt;0,($I184/$G184)*DO184,0)*(1-$K184)</f>
        <v>0</v>
      </c>
      <c r="DR184" s="3236">
        <f>VLOOKUP($E184,DO$442:DR$453,4,FALSE)*DO184*($K184)+(DO184-DP184-DQ184)*(1-$K184)</f>
        <v>0</v>
      </c>
      <c r="DS184" s="3264"/>
      <c r="DV184" s="3434">
        <f>VLOOKUP($A184,'New Resources - Group'!$A$4:$Y$133,DV$2,FALSE)*DV$1</f>
        <v>0</v>
      </c>
      <c r="DW184" s="3235">
        <f>$G184+DV184</f>
        <v>7020837</v>
      </c>
      <c r="DX184" s="3236">
        <f>VLOOKUP($E184,DW$442:DZ$453,2,FALSE)*DW184*($K184)+IF($G184&lt;&gt;0,($H184/$G184)*DW184,0)*(1-$K184)</f>
        <v>7020837</v>
      </c>
      <c r="DY184" s="3236">
        <f>VLOOKUP($E184,DW$442:DZ$453,3,FALSE)*DW184*($K184)+IF($G184&lt;&gt;0,($I184/$G184)*DW184,0)*(1-$K184)</f>
        <v>0</v>
      </c>
      <c r="DZ184" s="3236">
        <f>VLOOKUP($E184,DW$442:DZ$453,4,FALSE)*DW184*($K184)+(DW184-DX184-DY184)*(1-$K184)</f>
        <v>0</v>
      </c>
      <c r="EA184" s="3264"/>
      <c r="ED184" s="3434">
        <f>VLOOKUP($A184,'New Resources - Group'!$A$4:$Y$133,ED$2,FALSE)*ED$1</f>
        <v>0</v>
      </c>
      <c r="EE184" s="3235">
        <f>$G184+ED184</f>
        <v>7020837</v>
      </c>
      <c r="EF184" s="3236">
        <f>VLOOKUP($E184,EE$442:EH$453,2,FALSE)*EE184*($K184)+IF($G184&lt;&gt;0,($H184/$G184)*EE184,0)*(1-$K184)</f>
        <v>7020837</v>
      </c>
      <c r="EG184" s="3236">
        <f>VLOOKUP($E184,EE$442:EH$453,3,FALSE)*EE184*($K184)+IF($G184&lt;&gt;0,($I184/$G184)*EE184,0)*(1-$K184)</f>
        <v>0</v>
      </c>
      <c r="EH184" s="3236">
        <f>VLOOKUP($E184,EE$442:EH$453,4,FALSE)*EE184*($K184)+(EE184-EF184-EG184)*(1-$K184)</f>
        <v>0</v>
      </c>
      <c r="EI184" s="3264"/>
      <c r="EL184" s="3434">
        <f>VLOOKUP($A184,'New Resources - Group'!$A$4:$Y$133,EL$2,FALSE)*EL$1</f>
        <v>0</v>
      </c>
      <c r="EM184" s="3235">
        <f>$G184+EL184</f>
        <v>7020837</v>
      </c>
      <c r="EN184" s="3236">
        <f>VLOOKUP($E184,EM$442:EP$453,2,FALSE)*EM184*($K184)+IF($G184&lt;&gt;0,($H184/$G184)*EM184,0)*(1-$K184)</f>
        <v>7020837</v>
      </c>
      <c r="EO184" s="3236">
        <f>VLOOKUP($E184,EM$442:EP$453,3,FALSE)*EM184*($K184)+IF($G184&lt;&gt;0,($I184/$G184)*EM184,0)*(1-$K184)</f>
        <v>0</v>
      </c>
      <c r="EP184" s="3236">
        <f>VLOOKUP($E184,EM$442:EP$453,4,FALSE)*EM184*($K184)+(EM184-EN184-EO184)*(1-$K184)</f>
        <v>0</v>
      </c>
      <c r="EQ184" s="3264"/>
      <c r="ET184" s="3434">
        <f>VLOOKUP($A184,'New Resources - Group'!$A$4:$Y$133,ET$2,FALSE)*ET$1</f>
        <v>0</v>
      </c>
      <c r="EU184" s="3235">
        <f>$G184+ET184</f>
        <v>7020837</v>
      </c>
      <c r="EV184" s="3236">
        <f>VLOOKUP($E184,EU$442:EX$453,2,FALSE)*EU184*($K184)+IF($G184&lt;&gt;0,($H184/$G184)*EU184,0)*(1-$K184)</f>
        <v>7020837</v>
      </c>
      <c r="EW184" s="3236">
        <f>VLOOKUP($E184,EU$442:EX$453,3,FALSE)*EU184*($K184)+IF($G184&lt;&gt;0,($I184/$G184)*EU184,0)*(1-$K184)</f>
        <v>0</v>
      </c>
      <c r="EX184" s="3236">
        <f>VLOOKUP($E184,EU$442:EX$453,4,FALSE)*EU184*($K184)+(EU184-EV184-EW184)*(1-$K184)</f>
        <v>0</v>
      </c>
      <c r="EY184" s="3264"/>
      <c r="FB184" s="3434">
        <f>VLOOKUP($A184,'New Resources - Group'!$A$4:$Y$133,FB$2,FALSE)*FB$1</f>
        <v>0</v>
      </c>
      <c r="FC184" s="3235">
        <f>$G184+FB184</f>
        <v>7020837</v>
      </c>
      <c r="FD184" s="3236">
        <f>VLOOKUP($E184,FC$442:FF$453,2,FALSE)*FC184*($K184)+IF($G184&lt;&gt;0,($H184/$G184)*FC184,0)*(1-$K184)</f>
        <v>7020837</v>
      </c>
      <c r="FE184" s="3236">
        <f>VLOOKUP($E184,FC$442:FF$453,3,FALSE)*FC184*($K184)+IF($G184&lt;&gt;0,($I184/$G184)*FC184,0)*(1-$K184)</f>
        <v>0</v>
      </c>
      <c r="FF184" s="3236">
        <f>VLOOKUP($E184,FC$442:FF$453,4,FALSE)*FC184*($K184)+(FC184-FD184-FE184)*(1-$K184)</f>
        <v>0</v>
      </c>
      <c r="FG184" s="3264"/>
      <c r="FJ184" s="3434">
        <f>VLOOKUP($A184,'New Resources - Group'!$A$4:$Y$133,FJ$2,FALSE)*FJ$1</f>
        <v>0</v>
      </c>
      <c r="FK184" s="3235">
        <f>$G184+FJ184</f>
        <v>7020837</v>
      </c>
      <c r="FL184" s="3236">
        <f>VLOOKUP($E184,FK$442:FN$453,2,FALSE)*FK184*($K184)+IF($G184&lt;&gt;0,($H184/$G184)*FK184,0)*(1-$K184)</f>
        <v>7020837</v>
      </c>
      <c r="FM184" s="3236">
        <f>VLOOKUP($E184,FK$442:FN$453,3,FALSE)*FK184*($K184)+IF($G184&lt;&gt;0,($I184/$G184)*FK184,0)*(1-$K184)</f>
        <v>0</v>
      </c>
      <c r="FN184" s="3236">
        <f>VLOOKUP($E184,FK$442:FN$453,4,FALSE)*FK184*($K184)+(FK184-FL184-FM184)*(1-$K184)</f>
        <v>0</v>
      </c>
      <c r="FO184" s="3264"/>
    </row>
    <row r="185" spans="1:171">
      <c r="A185" s="3480">
        <v>420</v>
      </c>
      <c r="B185" s="2185" t="s">
        <v>87</v>
      </c>
      <c r="C185" s="2464" t="s">
        <v>72</v>
      </c>
      <c r="D185" s="2464" t="s">
        <v>599</v>
      </c>
      <c r="E185" s="2424" t="str">
        <f>'Sch 3 - Expenses'!E25</f>
        <v>PROD</v>
      </c>
      <c r="F185" s="2171"/>
      <c r="G185" s="2424">
        <f>'Sch 3 - Expenses'!G25</f>
        <v>6951788</v>
      </c>
      <c r="H185" s="2424">
        <f>'Sch 3 - Expenses'!H25</f>
        <v>6951788</v>
      </c>
      <c r="I185" s="2424">
        <f>'Sch 3 - Expenses'!I25</f>
        <v>0</v>
      </c>
      <c r="J185" s="3465">
        <f>'Sch 3 - Expenses'!J25</f>
        <v>0</v>
      </c>
      <c r="K185" s="3205">
        <f t="shared" si="547"/>
        <v>1</v>
      </c>
      <c r="N185" s="3434">
        <f>VLOOKUP($A185,'New Resources - Group'!$A$4:$Y$133,N$2,FALSE)*N$1</f>
        <v>0</v>
      </c>
      <c r="O185" s="3235">
        <f>$G185+N185</f>
        <v>6951788</v>
      </c>
      <c r="P185" s="3236">
        <f>VLOOKUP($E185,O$442:R$453,2,FALSE)*O185*($K185)+IF($G185&lt;&gt;0,($H185/$G185)*O185,0)*(1-$K185)</f>
        <v>6951788</v>
      </c>
      <c r="Q185" s="3236">
        <f>VLOOKUP($E185,O$442:R$453,3,FALSE)*O185*($K185)+IF($G185&lt;&gt;0,($I185/$G185)*O185,0)*(1-$K185)</f>
        <v>0</v>
      </c>
      <c r="R185" s="3236">
        <f>VLOOKUP($E185,O$442:R$453,4,FALSE)*O185*($K185)+(O185-P185-Q185)*(1-$K185)</f>
        <v>0</v>
      </c>
      <c r="S185" s="3264"/>
      <c r="V185" s="3434">
        <f>VLOOKUP($A185,'New Resources - Group'!$A$4:$Y$133,V$2,FALSE)*V$1</f>
        <v>0</v>
      </c>
      <c r="W185" s="3235">
        <f>$G185+V185</f>
        <v>6951788</v>
      </c>
      <c r="X185" s="3236">
        <f>VLOOKUP($E185,W$442:Z$453,2,FALSE)*W185*($K185)+IF($G185&lt;&gt;0,($H185/$G185)*W185,0)*(1-$K185)</f>
        <v>6951788</v>
      </c>
      <c r="Y185" s="3236">
        <f>VLOOKUP($E185,W$442:Z$453,3,FALSE)*W185*($K185)+IF($G185&lt;&gt;0,($I185/$G185)*W185,0)*(1-$K185)</f>
        <v>0</v>
      </c>
      <c r="Z185" s="3236">
        <f>VLOOKUP($E185,W$442:Z$453,4,FALSE)*W185*($K185)+(W185-X185-Y185)*(1-$K185)</f>
        <v>0</v>
      </c>
      <c r="AA185" s="3264"/>
      <c r="AD185" s="3434">
        <f>VLOOKUP($A185,'New Resources - Group'!$A$4:$Y$133,AD$2,FALSE)*AD$1</f>
        <v>0</v>
      </c>
      <c r="AE185" s="3235">
        <f>$G185+AD185</f>
        <v>6951788</v>
      </c>
      <c r="AF185" s="3236">
        <f>VLOOKUP($E185,AE$442:AH$453,2,FALSE)*AE185*($K185)+IF($G185&lt;&gt;0,($H185/$G185)*AE185,0)*(1-$K185)</f>
        <v>6951788</v>
      </c>
      <c r="AG185" s="3236">
        <f>VLOOKUP($E185,AE$442:AH$453,3,FALSE)*AE185*($K185)+IF($G185&lt;&gt;0,($I185/$G185)*AE185,0)*(1-$K185)</f>
        <v>0</v>
      </c>
      <c r="AH185" s="3236">
        <f>VLOOKUP($E185,AE$442:AH$453,4,FALSE)*AE185*($K185)+(AE185-AF185-AG185)*(1-$K185)</f>
        <v>0</v>
      </c>
      <c r="AI185" s="3264"/>
      <c r="AL185" s="3434">
        <f>VLOOKUP($A185,'New Resources - Group'!$A$4:$Y$133,AL$2,FALSE)*AL$1</f>
        <v>0</v>
      </c>
      <c r="AM185" s="3235">
        <f>$G185+AL185</f>
        <v>6951788</v>
      </c>
      <c r="AN185" s="3236">
        <f>VLOOKUP($E185,AM$442:AP$453,2,FALSE)*AM185*($K185)+IF($G185&lt;&gt;0,($H185/$G185)*AM185,0)*(1-$K185)</f>
        <v>6951788</v>
      </c>
      <c r="AO185" s="3236">
        <f>VLOOKUP($E185,AM$442:AP$453,3,FALSE)*AM185*($K185)+IF($G185&lt;&gt;0,($I185/$G185)*AM185,0)*(1-$K185)</f>
        <v>0</v>
      </c>
      <c r="AP185" s="3236">
        <f>VLOOKUP($E185,AM$442:AP$453,4,FALSE)*AM185*($K185)+(AM185-AN185-AO185)*(1-$K185)</f>
        <v>0</v>
      </c>
      <c r="AQ185" s="3264"/>
      <c r="AT185" s="3434">
        <f>VLOOKUP($A185,'New Resources - Group'!$A$4:$Y$133,AT$2,FALSE)*AT$1</f>
        <v>0</v>
      </c>
      <c r="AU185" s="3235">
        <f>$G185+AT185</f>
        <v>6951788</v>
      </c>
      <c r="AV185" s="3236">
        <f>VLOOKUP($E185,AU$442:AX$453,2,FALSE)*AU185*($K185)+IF($G185&lt;&gt;0,($H185/$G185)*AU185,0)*(1-$K185)</f>
        <v>6951788</v>
      </c>
      <c r="AW185" s="3236">
        <f>VLOOKUP($E185,AU$442:AX$453,3,FALSE)*AU185*($K185)+IF($G185&lt;&gt;0,($I185/$G185)*AU185,0)*(1-$K185)</f>
        <v>0</v>
      </c>
      <c r="AX185" s="3236">
        <f>VLOOKUP($E185,AU$442:AX$453,4,FALSE)*AU185*($K185)+(AU185-AV185-AW185)*(1-$K185)</f>
        <v>0</v>
      </c>
      <c r="AY185" s="3264"/>
      <c r="BB185" s="3434">
        <f>VLOOKUP($A185,'New Resources - Group'!$A$4:$Y$133,BB$2,FALSE)*BB$1</f>
        <v>0</v>
      </c>
      <c r="BC185" s="3235">
        <f>$G185+BB185</f>
        <v>6951788</v>
      </c>
      <c r="BD185" s="3236">
        <f>VLOOKUP($E185,BC$442:BF$453,2,FALSE)*BC185*($K185)+IF($G185&lt;&gt;0,($H185/$G185)*BC185,0)*(1-$K185)</f>
        <v>6951788</v>
      </c>
      <c r="BE185" s="3236">
        <f>VLOOKUP($E185,BC$442:BF$453,3,FALSE)*BC185*($K185)+IF($G185&lt;&gt;0,($I185/$G185)*BC185,0)*(1-$K185)</f>
        <v>0</v>
      </c>
      <c r="BF185" s="3236">
        <f>VLOOKUP($E185,BC$442:BF$453,4,FALSE)*BC185*($K185)+(BC185-BD185-BE185)*(1-$K185)</f>
        <v>0</v>
      </c>
      <c r="BG185" s="3264"/>
      <c r="BJ185" s="3434">
        <f>VLOOKUP($A185,'New Resources - Group'!$A$4:$Y$133,BJ$2,FALSE)*BJ$1</f>
        <v>0</v>
      </c>
      <c r="BK185" s="3235">
        <f>$G185+BJ185</f>
        <v>6951788</v>
      </c>
      <c r="BL185" s="3236">
        <f>VLOOKUP($E185,BK$442:BN$453,2,FALSE)*BK185*($K185)+IF($G185&lt;&gt;0,($H185/$G185)*BK185,0)*(1-$K185)</f>
        <v>6951788</v>
      </c>
      <c r="BM185" s="3236">
        <f>VLOOKUP($E185,BK$442:BN$453,3,FALSE)*BK185*($K185)+IF($G185&lt;&gt;0,($I185/$G185)*BK185,0)*(1-$K185)</f>
        <v>0</v>
      </c>
      <c r="BN185" s="3236">
        <f>VLOOKUP($E185,BK$442:BN$453,4,FALSE)*BK185*($K185)+(BK185-BL185-BM185)*(1-$K185)</f>
        <v>0</v>
      </c>
      <c r="BO185" s="3264"/>
      <c r="BR185" s="3434">
        <f>VLOOKUP($A185,'New Resources - Group'!$A$4:$Y$133,BR$2,FALSE)*BR$1</f>
        <v>0</v>
      </c>
      <c r="BS185" s="3235">
        <f>$G185+BR185</f>
        <v>6951788</v>
      </c>
      <c r="BT185" s="3236">
        <f>VLOOKUP($E185,BS$442:BV$453,2,FALSE)*BS185*($K185)+IF($G185&lt;&gt;0,($H185/$G185)*BS185,0)*(1-$K185)</f>
        <v>6951788</v>
      </c>
      <c r="BU185" s="3236">
        <f>VLOOKUP($E185,BS$442:BV$453,3,FALSE)*BS185*($K185)+IF($G185&lt;&gt;0,($I185/$G185)*BS185,0)*(1-$K185)</f>
        <v>0</v>
      </c>
      <c r="BV185" s="3236">
        <f>VLOOKUP($E185,BS$442:BV$453,4,FALSE)*BS185*($K185)+(BS185-BT185-BU185)*(1-$K185)</f>
        <v>0</v>
      </c>
      <c r="BW185" s="3264"/>
      <c r="BZ185" s="3434">
        <f>VLOOKUP($A185,'New Resources - Group'!$A$4:$Y$133,BZ$2,FALSE)*BZ$1</f>
        <v>0</v>
      </c>
      <c r="CA185" s="3235">
        <f>$G185+BZ185</f>
        <v>6951788</v>
      </c>
      <c r="CB185" s="3236">
        <f>VLOOKUP($E185,CA$442:CD$453,2,FALSE)*CA185*($K185)+IF($G185&lt;&gt;0,($H185/$G185)*CA185,0)*(1-$K185)</f>
        <v>6951788</v>
      </c>
      <c r="CC185" s="3236">
        <f>VLOOKUP($E185,CA$442:CD$453,3,FALSE)*CA185*($K185)+IF($G185&lt;&gt;0,($I185/$G185)*CA185,0)*(1-$K185)</f>
        <v>0</v>
      </c>
      <c r="CD185" s="3236">
        <f>VLOOKUP($E185,CA$442:CD$453,4,FALSE)*CA185*($K185)+(CA185-CB185-CC185)*(1-$K185)</f>
        <v>0</v>
      </c>
      <c r="CE185" s="3264"/>
      <c r="CH185" s="3434">
        <f>VLOOKUP($A185,'New Resources - Group'!$A$4:$Y$133,CH$2,FALSE)*CH$1</f>
        <v>0</v>
      </c>
      <c r="CI185" s="3235">
        <f>$G185+CH185</f>
        <v>6951788</v>
      </c>
      <c r="CJ185" s="3236">
        <f>VLOOKUP($E185,CI$442:CL$453,2,FALSE)*CI185*($K185)+IF($G185&lt;&gt;0,($H185/$G185)*CI185,0)*(1-$K185)</f>
        <v>6951788</v>
      </c>
      <c r="CK185" s="3236">
        <f>VLOOKUP($E185,CI$442:CL$453,3,FALSE)*CI185*($K185)+IF($G185&lt;&gt;0,($I185/$G185)*CI185,0)*(1-$K185)</f>
        <v>0</v>
      </c>
      <c r="CL185" s="3236">
        <f>VLOOKUP($E185,CI$442:CL$453,4,FALSE)*CI185*($K185)+(CI185-CJ185-CK185)*(1-$K185)</f>
        <v>0</v>
      </c>
      <c r="CM185" s="3264"/>
      <c r="CP185" s="3434">
        <f>VLOOKUP($A185,'New Resources - Group'!$A$4:$Y$133,CP$2,FALSE)*CP$1</f>
        <v>0</v>
      </c>
      <c r="CQ185" s="3235">
        <f>$G185+CP185</f>
        <v>6951788</v>
      </c>
      <c r="CR185" s="3236">
        <f>VLOOKUP($E185,CQ$442:CT$453,2,FALSE)*CQ185*($K185)+IF($G185&lt;&gt;0,($H185/$G185)*CQ185,0)*(1-$K185)</f>
        <v>6951788</v>
      </c>
      <c r="CS185" s="3236">
        <f>VLOOKUP($E185,CQ$442:CT$453,3,FALSE)*CQ185*($K185)+IF($G185&lt;&gt;0,($I185/$G185)*CQ185,0)*(1-$K185)</f>
        <v>0</v>
      </c>
      <c r="CT185" s="3236">
        <f>VLOOKUP($E185,CQ$442:CT$453,4,FALSE)*CQ185*($K185)+(CQ185-CR185-CS185)*(1-$K185)</f>
        <v>0</v>
      </c>
      <c r="CU185" s="3264"/>
      <c r="CX185" s="3434">
        <f>VLOOKUP($A185,'New Resources - Group'!$A$4:$Y$133,CX$2,FALSE)*CX$1</f>
        <v>0</v>
      </c>
      <c r="CY185" s="3235">
        <f>$G185+CX185</f>
        <v>6951788</v>
      </c>
      <c r="CZ185" s="3236">
        <f>VLOOKUP($E185,CY$442:DB$453,2,FALSE)*CY185*($K185)+IF($G185&lt;&gt;0,($H185/$G185)*CY185,0)*(1-$K185)</f>
        <v>6951788</v>
      </c>
      <c r="DA185" s="3236">
        <f>VLOOKUP($E185,CY$442:DB$453,3,FALSE)*CY185*($K185)+IF($G185&lt;&gt;0,($I185/$G185)*CY185,0)*(1-$K185)</f>
        <v>0</v>
      </c>
      <c r="DB185" s="3236">
        <f>VLOOKUP($E185,CY$442:DB$453,4,FALSE)*CY185*($K185)+(CY185-CZ185-DA185)*(1-$K185)</f>
        <v>0</v>
      </c>
      <c r="DC185" s="3264"/>
      <c r="DF185" s="3434">
        <f>VLOOKUP($A185,'New Resources - Group'!$A$4:$Y$133,DF$2,FALSE)*DF$1</f>
        <v>0</v>
      </c>
      <c r="DG185" s="3235">
        <f>$G185+DF185</f>
        <v>6951788</v>
      </c>
      <c r="DH185" s="3236">
        <f>VLOOKUP($E185,DG$442:DJ$453,2,FALSE)*DG185*($K185)+IF($G185&lt;&gt;0,($H185/$G185)*DG185,0)*(1-$K185)</f>
        <v>6951788</v>
      </c>
      <c r="DI185" s="3236">
        <f>VLOOKUP($E185,DG$442:DJ$453,3,FALSE)*DG185*($K185)+IF($G185&lt;&gt;0,($I185/$G185)*DG185,0)*(1-$K185)</f>
        <v>0</v>
      </c>
      <c r="DJ185" s="3236">
        <f>VLOOKUP($E185,DG$442:DJ$453,4,FALSE)*DG185*($K185)+(DG185-DH185-DI185)*(1-$K185)</f>
        <v>0</v>
      </c>
      <c r="DK185" s="3264"/>
      <c r="DN185" s="3434">
        <f>VLOOKUP($A185,'New Resources - Group'!$A$4:$Y$133,DN$2,FALSE)*DN$1</f>
        <v>0</v>
      </c>
      <c r="DO185" s="3235">
        <f>$G185+DN185</f>
        <v>6951788</v>
      </c>
      <c r="DP185" s="3236">
        <f>VLOOKUP($E185,DO$442:DR$453,2,FALSE)*DO185*($K185)+IF($G185&lt;&gt;0,($H185/$G185)*DO185,0)*(1-$K185)</f>
        <v>6951788</v>
      </c>
      <c r="DQ185" s="3236">
        <f>VLOOKUP($E185,DO$442:DR$453,3,FALSE)*DO185*($K185)+IF($G185&lt;&gt;0,($I185/$G185)*DO185,0)*(1-$K185)</f>
        <v>0</v>
      </c>
      <c r="DR185" s="3236">
        <f>VLOOKUP($E185,DO$442:DR$453,4,FALSE)*DO185*($K185)+(DO185-DP185-DQ185)*(1-$K185)</f>
        <v>0</v>
      </c>
      <c r="DS185" s="3264"/>
      <c r="DV185" s="3434">
        <f>VLOOKUP($A185,'New Resources - Group'!$A$4:$Y$133,DV$2,FALSE)*DV$1</f>
        <v>0</v>
      </c>
      <c r="DW185" s="3235">
        <f>$G185+DV185</f>
        <v>6951788</v>
      </c>
      <c r="DX185" s="3236">
        <f>VLOOKUP($E185,DW$442:DZ$453,2,FALSE)*DW185*($K185)+IF($G185&lt;&gt;0,($H185/$G185)*DW185,0)*(1-$K185)</f>
        <v>6951788</v>
      </c>
      <c r="DY185" s="3236">
        <f>VLOOKUP($E185,DW$442:DZ$453,3,FALSE)*DW185*($K185)+IF($G185&lt;&gt;0,($I185/$G185)*DW185,0)*(1-$K185)</f>
        <v>0</v>
      </c>
      <c r="DZ185" s="3236">
        <f>VLOOKUP($E185,DW$442:DZ$453,4,FALSE)*DW185*($K185)+(DW185-DX185-DY185)*(1-$K185)</f>
        <v>0</v>
      </c>
      <c r="EA185" s="3264"/>
      <c r="ED185" s="3434">
        <f>VLOOKUP($A185,'New Resources - Group'!$A$4:$Y$133,ED$2,FALSE)*ED$1</f>
        <v>0</v>
      </c>
      <c r="EE185" s="3235">
        <f>$G185+ED185</f>
        <v>6951788</v>
      </c>
      <c r="EF185" s="3236">
        <f>VLOOKUP($E185,EE$442:EH$453,2,FALSE)*EE185*($K185)+IF($G185&lt;&gt;0,($H185/$G185)*EE185,0)*(1-$K185)</f>
        <v>6951788</v>
      </c>
      <c r="EG185" s="3236">
        <f>VLOOKUP($E185,EE$442:EH$453,3,FALSE)*EE185*($K185)+IF($G185&lt;&gt;0,($I185/$G185)*EE185,0)*(1-$K185)</f>
        <v>0</v>
      </c>
      <c r="EH185" s="3236">
        <f>VLOOKUP($E185,EE$442:EH$453,4,FALSE)*EE185*($K185)+(EE185-EF185-EG185)*(1-$K185)</f>
        <v>0</v>
      </c>
      <c r="EI185" s="3264"/>
      <c r="EL185" s="3434">
        <f>VLOOKUP($A185,'New Resources - Group'!$A$4:$Y$133,EL$2,FALSE)*EL$1</f>
        <v>0</v>
      </c>
      <c r="EM185" s="3235">
        <f>$G185+EL185</f>
        <v>6951788</v>
      </c>
      <c r="EN185" s="3236">
        <f>VLOOKUP($E185,EM$442:EP$453,2,FALSE)*EM185*($K185)+IF($G185&lt;&gt;0,($H185/$G185)*EM185,0)*(1-$K185)</f>
        <v>6951788</v>
      </c>
      <c r="EO185" s="3236">
        <f>VLOOKUP($E185,EM$442:EP$453,3,FALSE)*EM185*($K185)+IF($G185&lt;&gt;0,($I185/$G185)*EM185,0)*(1-$K185)</f>
        <v>0</v>
      </c>
      <c r="EP185" s="3236">
        <f>VLOOKUP($E185,EM$442:EP$453,4,FALSE)*EM185*($K185)+(EM185-EN185-EO185)*(1-$K185)</f>
        <v>0</v>
      </c>
      <c r="EQ185" s="3264"/>
      <c r="ET185" s="3434">
        <f>VLOOKUP($A185,'New Resources - Group'!$A$4:$Y$133,ET$2,FALSE)*ET$1</f>
        <v>0</v>
      </c>
      <c r="EU185" s="3235">
        <f>$G185+ET185</f>
        <v>6951788</v>
      </c>
      <c r="EV185" s="3236">
        <f>VLOOKUP($E185,EU$442:EX$453,2,FALSE)*EU185*($K185)+IF($G185&lt;&gt;0,($H185/$G185)*EU185,0)*(1-$K185)</f>
        <v>6951788</v>
      </c>
      <c r="EW185" s="3236">
        <f>VLOOKUP($E185,EU$442:EX$453,3,FALSE)*EU185*($K185)+IF($G185&lt;&gt;0,($I185/$G185)*EU185,0)*(1-$K185)</f>
        <v>0</v>
      </c>
      <c r="EX185" s="3236">
        <f>VLOOKUP($E185,EU$442:EX$453,4,FALSE)*EU185*($K185)+(EU185-EV185-EW185)*(1-$K185)</f>
        <v>0</v>
      </c>
      <c r="EY185" s="3264"/>
      <c r="FB185" s="3434">
        <f>VLOOKUP($A185,'New Resources - Group'!$A$4:$Y$133,FB$2,FALSE)*FB$1</f>
        <v>0</v>
      </c>
      <c r="FC185" s="3235">
        <f>$G185+FB185</f>
        <v>6951788</v>
      </c>
      <c r="FD185" s="3236">
        <f>VLOOKUP($E185,FC$442:FF$453,2,FALSE)*FC185*($K185)+IF($G185&lt;&gt;0,($H185/$G185)*FC185,0)*(1-$K185)</f>
        <v>6951788</v>
      </c>
      <c r="FE185" s="3236">
        <f>VLOOKUP($E185,FC$442:FF$453,3,FALSE)*FC185*($K185)+IF($G185&lt;&gt;0,($I185/$G185)*FC185,0)*(1-$K185)</f>
        <v>0</v>
      </c>
      <c r="FF185" s="3236">
        <f>VLOOKUP($E185,FC$442:FF$453,4,FALSE)*FC185*($K185)+(FC185-FD185-FE185)*(1-$K185)</f>
        <v>0</v>
      </c>
      <c r="FG185" s="3264"/>
      <c r="FJ185" s="3434">
        <f>VLOOKUP($A185,'New Resources - Group'!$A$4:$Y$133,FJ$2,FALSE)*FJ$1</f>
        <v>0</v>
      </c>
      <c r="FK185" s="3235">
        <f>$G185+FJ185</f>
        <v>6951788</v>
      </c>
      <c r="FL185" s="3236">
        <f>VLOOKUP($E185,FK$442:FN$453,2,FALSE)*FK185*($K185)+IF($G185&lt;&gt;0,($H185/$G185)*FK185,0)*(1-$K185)</f>
        <v>6951788</v>
      </c>
      <c r="FM185" s="3236">
        <f>VLOOKUP($E185,FK$442:FN$453,3,FALSE)*FK185*($K185)+IF($G185&lt;&gt;0,($I185/$G185)*FK185,0)*(1-$K185)</f>
        <v>0</v>
      </c>
      <c r="FN185" s="3236">
        <f>VLOOKUP($E185,FK$442:FN$453,4,FALSE)*FK185*($K185)+(FK185-FL185-FM185)*(1-$K185)</f>
        <v>0</v>
      </c>
      <c r="FO185" s="3264"/>
    </row>
    <row r="186" spans="1:171">
      <c r="A186" s="3505"/>
      <c r="B186" s="2143" t="s">
        <v>459</v>
      </c>
      <c r="C186" s="2116"/>
      <c r="D186" s="2116"/>
      <c r="E186" s="2098"/>
      <c r="F186" s="2098"/>
      <c r="G186" s="2506"/>
      <c r="H186" s="2506"/>
      <c r="I186" s="2506"/>
      <c r="J186" s="3504"/>
      <c r="K186" s="3205"/>
      <c r="S186" s="3264"/>
      <c r="AA186" s="3264"/>
      <c r="AI186" s="3264"/>
      <c r="AQ186" s="3264"/>
      <c r="AY186" s="3264"/>
      <c r="BG186" s="3264"/>
      <c r="BO186" s="3264"/>
      <c r="BW186" s="3264"/>
      <c r="CE186" s="3264"/>
      <c r="CM186" s="3264"/>
      <c r="CU186" s="3264"/>
      <c r="DC186" s="3264"/>
      <c r="DK186" s="3264"/>
      <c r="DS186" s="3264"/>
      <c r="EA186" s="3264"/>
      <c r="EI186" s="3264"/>
      <c r="EQ186" s="3264"/>
      <c r="EY186" s="3264"/>
      <c r="FG186" s="3264"/>
      <c r="FO186" s="3264"/>
    </row>
    <row r="187" spans="1:171">
      <c r="A187" s="3480">
        <v>560</v>
      </c>
      <c r="B187" s="2103" t="s">
        <v>450</v>
      </c>
      <c r="C187" s="2464" t="s">
        <v>72</v>
      </c>
      <c r="D187" s="2464">
        <v>547</v>
      </c>
      <c r="E187" s="2424" t="str">
        <f>'Sch 3 - Expenses'!E27</f>
        <v>PROD</v>
      </c>
      <c r="F187" s="2171"/>
      <c r="G187" s="2424">
        <f>'Sch 3 - Expenses'!G27</f>
        <v>396650165</v>
      </c>
      <c r="H187" s="2424">
        <f>'Sch 3 - Expenses'!H27</f>
        <v>396650165</v>
      </c>
      <c r="I187" s="2424">
        <f>'Sch 3 - Expenses'!I27</f>
        <v>0</v>
      </c>
      <c r="J187" s="3465">
        <f>'Sch 3 - Expenses'!J27</f>
        <v>0</v>
      </c>
      <c r="K187" s="3205">
        <f t="shared" si="547"/>
        <v>1</v>
      </c>
      <c r="N187" s="3434">
        <f>VLOOKUP($A187,'New Resources - Group'!$A$4:$Y$133,N$2,FALSE)*N$1</f>
        <v>0</v>
      </c>
      <c r="O187" s="3235">
        <f>$G187+N187</f>
        <v>396650165</v>
      </c>
      <c r="P187" s="3236">
        <f>VLOOKUP($E187,O$442:R$453,2,FALSE)*O187*($K187)+IF($G187&lt;&gt;0,($H187/$G187)*O187,0)*(1-$K187)</f>
        <v>396650165</v>
      </c>
      <c r="Q187" s="3236">
        <f>VLOOKUP($E187,O$442:R$453,3,FALSE)*O187*($K187)+IF($G187&lt;&gt;0,($I187/$G187)*O187,0)*(1-$K187)</f>
        <v>0</v>
      </c>
      <c r="R187" s="3236">
        <f>VLOOKUP($E187,O$442:R$453,4,FALSE)*O187*($K187)+(O187-P187-Q187)*(1-$K187)</f>
        <v>0</v>
      </c>
      <c r="S187" s="3264"/>
      <c r="V187" s="3434">
        <f>VLOOKUP($A187,'New Resources - Group'!$A$4:$Y$133,V$2,FALSE)*V$1</f>
        <v>0</v>
      </c>
      <c r="W187" s="3235">
        <f>$G187+V187</f>
        <v>396650165</v>
      </c>
      <c r="X187" s="3236">
        <f>VLOOKUP($E187,W$442:Z$453,2,FALSE)*W187*($K187)+IF($G187&lt;&gt;0,($H187/$G187)*W187,0)*(1-$K187)</f>
        <v>396650165</v>
      </c>
      <c r="Y187" s="3236">
        <f>VLOOKUP($E187,W$442:Z$453,3,FALSE)*W187*($K187)+IF($G187&lt;&gt;0,($I187/$G187)*W187,0)*(1-$K187)</f>
        <v>0</v>
      </c>
      <c r="Z187" s="3236">
        <f>VLOOKUP($E187,W$442:Z$453,4,FALSE)*W187*($K187)+(W187-X187-Y187)*(1-$K187)</f>
        <v>0</v>
      </c>
      <c r="AA187" s="3264"/>
      <c r="AD187" s="3434">
        <f>VLOOKUP($A187,'New Resources - Group'!$A$4:$Y$133,AD$2,FALSE)*AD$1</f>
        <v>0</v>
      </c>
      <c r="AE187" s="3235">
        <f>$G187+AD187</f>
        <v>396650165</v>
      </c>
      <c r="AF187" s="3236">
        <f>VLOOKUP($E187,AE$442:AH$453,2,FALSE)*AE187*($K187)+IF($G187&lt;&gt;0,($H187/$G187)*AE187,0)*(1-$K187)</f>
        <v>396650165</v>
      </c>
      <c r="AG187" s="3236">
        <f>VLOOKUP($E187,AE$442:AH$453,3,FALSE)*AE187*($K187)+IF($G187&lt;&gt;0,($I187/$G187)*AE187,0)*(1-$K187)</f>
        <v>0</v>
      </c>
      <c r="AH187" s="3236">
        <f>VLOOKUP($E187,AE$442:AH$453,4,FALSE)*AE187*($K187)+(AE187-AF187-AG187)*(1-$K187)</f>
        <v>0</v>
      </c>
      <c r="AI187" s="3264"/>
      <c r="AL187" s="3434">
        <f>VLOOKUP($A187,'New Resources - Group'!$A$4:$Y$133,AL$2,FALSE)*AL$1</f>
        <v>0</v>
      </c>
      <c r="AM187" s="3235">
        <f>$G187+AL187</f>
        <v>396650165</v>
      </c>
      <c r="AN187" s="3236">
        <f>VLOOKUP($E187,AM$442:AP$453,2,FALSE)*AM187*($K187)+IF($G187&lt;&gt;0,($H187/$G187)*AM187,0)*(1-$K187)</f>
        <v>396650165</v>
      </c>
      <c r="AO187" s="3236">
        <f>VLOOKUP($E187,AM$442:AP$453,3,FALSE)*AM187*($K187)+IF($G187&lt;&gt;0,($I187/$G187)*AM187,0)*(1-$K187)</f>
        <v>0</v>
      </c>
      <c r="AP187" s="3236">
        <f>VLOOKUP($E187,AM$442:AP$453,4,FALSE)*AM187*($K187)+(AM187-AN187-AO187)*(1-$K187)</f>
        <v>0</v>
      </c>
      <c r="AQ187" s="3264"/>
      <c r="AT187" s="3434">
        <f>VLOOKUP($A187,'New Resources - Group'!$A$4:$Y$133,AT$2,FALSE)*AT$1</f>
        <v>0</v>
      </c>
      <c r="AU187" s="3235">
        <f>$G187+AT187</f>
        <v>396650165</v>
      </c>
      <c r="AV187" s="3236">
        <f>VLOOKUP($E187,AU$442:AX$453,2,FALSE)*AU187*($K187)+IF($G187&lt;&gt;0,($H187/$G187)*AU187,0)*(1-$K187)</f>
        <v>396650165</v>
      </c>
      <c r="AW187" s="3236">
        <f>VLOOKUP($E187,AU$442:AX$453,3,FALSE)*AU187*($K187)+IF($G187&lt;&gt;0,($I187/$G187)*AU187,0)*(1-$K187)</f>
        <v>0</v>
      </c>
      <c r="AX187" s="3236">
        <f>VLOOKUP($E187,AU$442:AX$453,4,FALSE)*AU187*($K187)+(AU187-AV187-AW187)*(1-$K187)</f>
        <v>0</v>
      </c>
      <c r="AY187" s="3264"/>
      <c r="BB187" s="3434">
        <f>VLOOKUP($A187,'New Resources - Group'!$A$4:$Y$133,BB$2,FALSE)*BB$1</f>
        <v>0</v>
      </c>
      <c r="BC187" s="3235">
        <f>$G187+BB187</f>
        <v>396650165</v>
      </c>
      <c r="BD187" s="3236">
        <f>VLOOKUP($E187,BC$442:BF$453,2,FALSE)*BC187*($K187)+IF($G187&lt;&gt;0,($H187/$G187)*BC187,0)*(1-$K187)</f>
        <v>396650165</v>
      </c>
      <c r="BE187" s="3236">
        <f>VLOOKUP($E187,BC$442:BF$453,3,FALSE)*BC187*($K187)+IF($G187&lt;&gt;0,($I187/$G187)*BC187,0)*(1-$K187)</f>
        <v>0</v>
      </c>
      <c r="BF187" s="3236">
        <f>VLOOKUP($E187,BC$442:BF$453,4,FALSE)*BC187*($K187)+(BC187-BD187-BE187)*(1-$K187)</f>
        <v>0</v>
      </c>
      <c r="BG187" s="3264"/>
      <c r="BJ187" s="3434">
        <f>VLOOKUP($A187,'New Resources - Group'!$A$4:$Y$133,BJ$2,FALSE)*BJ$1</f>
        <v>0</v>
      </c>
      <c r="BK187" s="3235">
        <f>$G187+BJ187</f>
        <v>396650165</v>
      </c>
      <c r="BL187" s="3236">
        <f>VLOOKUP($E187,BK$442:BN$453,2,FALSE)*BK187*($K187)+IF($G187&lt;&gt;0,($H187/$G187)*BK187,0)*(1-$K187)</f>
        <v>396650165</v>
      </c>
      <c r="BM187" s="3236">
        <f>VLOOKUP($E187,BK$442:BN$453,3,FALSE)*BK187*($K187)+IF($G187&lt;&gt;0,($I187/$G187)*BK187,0)*(1-$K187)</f>
        <v>0</v>
      </c>
      <c r="BN187" s="3236">
        <f>VLOOKUP($E187,BK$442:BN$453,4,FALSE)*BK187*($K187)+(BK187-BL187-BM187)*(1-$K187)</f>
        <v>0</v>
      </c>
      <c r="BO187" s="3264"/>
      <c r="BR187" s="3434">
        <f>VLOOKUP($A187,'New Resources - Group'!$A$4:$Y$133,BR$2,FALSE)*BR$1</f>
        <v>0</v>
      </c>
      <c r="BS187" s="3235">
        <f>$G187+BR187</f>
        <v>396650165</v>
      </c>
      <c r="BT187" s="3236">
        <f>VLOOKUP($E187,BS$442:BV$453,2,FALSE)*BS187*($K187)+IF($G187&lt;&gt;0,($H187/$G187)*BS187,0)*(1-$K187)</f>
        <v>396650165</v>
      </c>
      <c r="BU187" s="3236">
        <f>VLOOKUP($E187,BS$442:BV$453,3,FALSE)*BS187*($K187)+IF($G187&lt;&gt;0,($I187/$G187)*BS187,0)*(1-$K187)</f>
        <v>0</v>
      </c>
      <c r="BV187" s="3236">
        <f>VLOOKUP($E187,BS$442:BV$453,4,FALSE)*BS187*($K187)+(BS187-BT187-BU187)*(1-$K187)</f>
        <v>0</v>
      </c>
      <c r="BW187" s="3264"/>
      <c r="BZ187" s="3434">
        <f>VLOOKUP($A187,'New Resources - Group'!$A$4:$Y$133,BZ$2,FALSE)*BZ$1</f>
        <v>0</v>
      </c>
      <c r="CA187" s="3235">
        <f>$G187+BZ187</f>
        <v>396650165</v>
      </c>
      <c r="CB187" s="3236">
        <f>VLOOKUP($E187,CA$442:CD$453,2,FALSE)*CA187*($K187)+IF($G187&lt;&gt;0,($H187/$G187)*CA187,0)*(1-$K187)</f>
        <v>396650165</v>
      </c>
      <c r="CC187" s="3236">
        <f>VLOOKUP($E187,CA$442:CD$453,3,FALSE)*CA187*($K187)+IF($G187&lt;&gt;0,($I187/$G187)*CA187,0)*(1-$K187)</f>
        <v>0</v>
      </c>
      <c r="CD187" s="3236">
        <f>VLOOKUP($E187,CA$442:CD$453,4,FALSE)*CA187*($K187)+(CA187-CB187-CC187)*(1-$K187)</f>
        <v>0</v>
      </c>
      <c r="CE187" s="3264"/>
      <c r="CH187" s="3434">
        <f>VLOOKUP($A187,'New Resources - Group'!$A$4:$Y$133,CH$2,FALSE)*CH$1</f>
        <v>0</v>
      </c>
      <c r="CI187" s="3235">
        <f>$G187+CH187</f>
        <v>396650165</v>
      </c>
      <c r="CJ187" s="3236">
        <f>VLOOKUP($E187,CI$442:CL$453,2,FALSE)*CI187*($K187)+IF($G187&lt;&gt;0,($H187/$G187)*CI187,0)*(1-$K187)</f>
        <v>396650165</v>
      </c>
      <c r="CK187" s="3236">
        <f>VLOOKUP($E187,CI$442:CL$453,3,FALSE)*CI187*($K187)+IF($G187&lt;&gt;0,($I187/$G187)*CI187,0)*(1-$K187)</f>
        <v>0</v>
      </c>
      <c r="CL187" s="3236">
        <f>VLOOKUP($E187,CI$442:CL$453,4,FALSE)*CI187*($K187)+(CI187-CJ187-CK187)*(1-$K187)</f>
        <v>0</v>
      </c>
      <c r="CM187" s="3264"/>
      <c r="CP187" s="3434">
        <f>VLOOKUP($A187,'New Resources - Group'!$A$4:$Y$133,CP$2,FALSE)*CP$1</f>
        <v>0</v>
      </c>
      <c r="CQ187" s="3235">
        <f>$G187+CP187</f>
        <v>396650165</v>
      </c>
      <c r="CR187" s="3236">
        <f>VLOOKUP($E187,CQ$442:CT$453,2,FALSE)*CQ187*($K187)+IF($G187&lt;&gt;0,($H187/$G187)*CQ187,0)*(1-$K187)</f>
        <v>396650165</v>
      </c>
      <c r="CS187" s="3236">
        <f>VLOOKUP($E187,CQ$442:CT$453,3,FALSE)*CQ187*($K187)+IF($G187&lt;&gt;0,($I187/$G187)*CQ187,0)*(1-$K187)</f>
        <v>0</v>
      </c>
      <c r="CT187" s="3236">
        <f>VLOOKUP($E187,CQ$442:CT$453,4,FALSE)*CQ187*($K187)+(CQ187-CR187-CS187)*(1-$K187)</f>
        <v>0</v>
      </c>
      <c r="CU187" s="3264"/>
      <c r="CX187" s="3434">
        <f>VLOOKUP($A187,'New Resources - Group'!$A$4:$Y$133,CX$2,FALSE)*CX$1</f>
        <v>0</v>
      </c>
      <c r="CY187" s="3235">
        <f>$G187+CX187</f>
        <v>396650165</v>
      </c>
      <c r="CZ187" s="3236">
        <f>VLOOKUP($E187,CY$442:DB$453,2,FALSE)*CY187*($K187)+IF($G187&lt;&gt;0,($H187/$G187)*CY187,0)*(1-$K187)</f>
        <v>396650165</v>
      </c>
      <c r="DA187" s="3236">
        <f>VLOOKUP($E187,CY$442:DB$453,3,FALSE)*CY187*($K187)+IF($G187&lt;&gt;0,($I187/$G187)*CY187,0)*(1-$K187)</f>
        <v>0</v>
      </c>
      <c r="DB187" s="3236">
        <f>VLOOKUP($E187,CY$442:DB$453,4,FALSE)*CY187*($K187)+(CY187-CZ187-DA187)*(1-$K187)</f>
        <v>0</v>
      </c>
      <c r="DC187" s="3264"/>
      <c r="DF187" s="3434">
        <f>VLOOKUP($A187,'New Resources - Group'!$A$4:$Y$133,DF$2,FALSE)*DF$1</f>
        <v>0</v>
      </c>
      <c r="DG187" s="3235">
        <f>$G187+DF187</f>
        <v>396650165</v>
      </c>
      <c r="DH187" s="3236">
        <f>VLOOKUP($E187,DG$442:DJ$453,2,FALSE)*DG187*($K187)+IF($G187&lt;&gt;0,($H187/$G187)*DG187,0)*(1-$K187)</f>
        <v>396650165</v>
      </c>
      <c r="DI187" s="3236">
        <f>VLOOKUP($E187,DG$442:DJ$453,3,FALSE)*DG187*($K187)+IF($G187&lt;&gt;0,($I187/$G187)*DG187,0)*(1-$K187)</f>
        <v>0</v>
      </c>
      <c r="DJ187" s="3236">
        <f>VLOOKUP($E187,DG$442:DJ$453,4,FALSE)*DG187*($K187)+(DG187-DH187-DI187)*(1-$K187)</f>
        <v>0</v>
      </c>
      <c r="DK187" s="3264"/>
      <c r="DN187" s="3434">
        <f>VLOOKUP($A187,'New Resources - Group'!$A$4:$Y$133,DN$2,FALSE)*DN$1</f>
        <v>0</v>
      </c>
      <c r="DO187" s="3235">
        <f>$G187+DN187</f>
        <v>396650165</v>
      </c>
      <c r="DP187" s="3236">
        <f>VLOOKUP($E187,DO$442:DR$453,2,FALSE)*DO187*($K187)+IF($G187&lt;&gt;0,($H187/$G187)*DO187,0)*(1-$K187)</f>
        <v>396650165</v>
      </c>
      <c r="DQ187" s="3236">
        <f>VLOOKUP($E187,DO$442:DR$453,3,FALSE)*DO187*($K187)+IF($G187&lt;&gt;0,($I187/$G187)*DO187,0)*(1-$K187)</f>
        <v>0</v>
      </c>
      <c r="DR187" s="3236">
        <f>VLOOKUP($E187,DO$442:DR$453,4,FALSE)*DO187*($K187)+(DO187-DP187-DQ187)*(1-$K187)</f>
        <v>0</v>
      </c>
      <c r="DS187" s="3264"/>
      <c r="DV187" s="3434">
        <f>VLOOKUP($A187,'New Resources - Group'!$A$4:$Y$133,DV$2,FALSE)*DV$1</f>
        <v>0</v>
      </c>
      <c r="DW187" s="3235">
        <f>$G187+DV187</f>
        <v>396650165</v>
      </c>
      <c r="DX187" s="3236">
        <f>VLOOKUP($E187,DW$442:DZ$453,2,FALSE)*DW187*($K187)+IF($G187&lt;&gt;0,($H187/$G187)*DW187,0)*(1-$K187)</f>
        <v>396650165</v>
      </c>
      <c r="DY187" s="3236">
        <f>VLOOKUP($E187,DW$442:DZ$453,3,FALSE)*DW187*($K187)+IF($G187&lt;&gt;0,($I187/$G187)*DW187,0)*(1-$K187)</f>
        <v>0</v>
      </c>
      <c r="DZ187" s="3236">
        <f>VLOOKUP($E187,DW$442:DZ$453,4,FALSE)*DW187*($K187)+(DW187-DX187-DY187)*(1-$K187)</f>
        <v>0</v>
      </c>
      <c r="EA187" s="3264"/>
      <c r="ED187" s="3434">
        <f>VLOOKUP($A187,'New Resources - Group'!$A$4:$Y$133,ED$2,FALSE)*ED$1</f>
        <v>0</v>
      </c>
      <c r="EE187" s="3235">
        <f>$G187+ED187</f>
        <v>396650165</v>
      </c>
      <c r="EF187" s="3236">
        <f>VLOOKUP($E187,EE$442:EH$453,2,FALSE)*EE187*($K187)+IF($G187&lt;&gt;0,($H187/$G187)*EE187,0)*(1-$K187)</f>
        <v>396650165</v>
      </c>
      <c r="EG187" s="3236">
        <f>VLOOKUP($E187,EE$442:EH$453,3,FALSE)*EE187*($K187)+IF($G187&lt;&gt;0,($I187/$G187)*EE187,0)*(1-$K187)</f>
        <v>0</v>
      </c>
      <c r="EH187" s="3236">
        <f>VLOOKUP($E187,EE$442:EH$453,4,FALSE)*EE187*($K187)+(EE187-EF187-EG187)*(1-$K187)</f>
        <v>0</v>
      </c>
      <c r="EI187" s="3264"/>
      <c r="EL187" s="3434">
        <f>VLOOKUP($A187,'New Resources - Group'!$A$4:$Y$133,EL$2,FALSE)*EL$1</f>
        <v>0</v>
      </c>
      <c r="EM187" s="3235">
        <f>$G187+EL187</f>
        <v>396650165</v>
      </c>
      <c r="EN187" s="3236">
        <f>VLOOKUP($E187,EM$442:EP$453,2,FALSE)*EM187*($K187)+IF($G187&lt;&gt;0,($H187/$G187)*EM187,0)*(1-$K187)</f>
        <v>396650165</v>
      </c>
      <c r="EO187" s="3236">
        <f>VLOOKUP($E187,EM$442:EP$453,3,FALSE)*EM187*($K187)+IF($G187&lt;&gt;0,($I187/$G187)*EM187,0)*(1-$K187)</f>
        <v>0</v>
      </c>
      <c r="EP187" s="3236">
        <f>VLOOKUP($E187,EM$442:EP$453,4,FALSE)*EM187*($K187)+(EM187-EN187-EO187)*(1-$K187)</f>
        <v>0</v>
      </c>
      <c r="EQ187" s="3264"/>
      <c r="ET187" s="3434">
        <f>VLOOKUP($A187,'New Resources - Group'!$A$4:$Y$133,ET$2,FALSE)*ET$1</f>
        <v>0</v>
      </c>
      <c r="EU187" s="3235">
        <f>$G187+ET187</f>
        <v>396650165</v>
      </c>
      <c r="EV187" s="3236">
        <f>VLOOKUP($E187,EU$442:EX$453,2,FALSE)*EU187*($K187)+IF($G187&lt;&gt;0,($H187/$G187)*EU187,0)*(1-$K187)</f>
        <v>396650165</v>
      </c>
      <c r="EW187" s="3236">
        <f>VLOOKUP($E187,EU$442:EX$453,3,FALSE)*EU187*($K187)+IF($G187&lt;&gt;0,($I187/$G187)*EU187,0)*(1-$K187)</f>
        <v>0</v>
      </c>
      <c r="EX187" s="3236">
        <f>VLOOKUP($E187,EU$442:EX$453,4,FALSE)*EU187*($K187)+(EU187-EV187-EW187)*(1-$K187)</f>
        <v>0</v>
      </c>
      <c r="EY187" s="3264"/>
      <c r="FB187" s="3434">
        <f>VLOOKUP($A187,'New Resources - Group'!$A$4:$Y$133,FB$2,FALSE)*FB$1</f>
        <v>0</v>
      </c>
      <c r="FC187" s="3235">
        <f>$G187+FB187</f>
        <v>396650165</v>
      </c>
      <c r="FD187" s="3236">
        <f>VLOOKUP($E187,FC$442:FF$453,2,FALSE)*FC187*($K187)+IF($G187&lt;&gt;0,($H187/$G187)*FC187,0)*(1-$K187)</f>
        <v>396650165</v>
      </c>
      <c r="FE187" s="3236">
        <f>VLOOKUP($E187,FC$442:FF$453,3,FALSE)*FC187*($K187)+IF($G187&lt;&gt;0,($I187/$G187)*FC187,0)*(1-$K187)</f>
        <v>0</v>
      </c>
      <c r="FF187" s="3236">
        <f>VLOOKUP($E187,FC$442:FF$453,4,FALSE)*FC187*($K187)+(FC187-FD187-FE187)*(1-$K187)</f>
        <v>0</v>
      </c>
      <c r="FG187" s="3264"/>
      <c r="FJ187" s="3434">
        <f>VLOOKUP($A187,'New Resources - Group'!$A$4:$Y$133,FJ$2,FALSE)*FJ$1</f>
        <v>0</v>
      </c>
      <c r="FK187" s="3235">
        <f>$G187+FJ187</f>
        <v>396650165</v>
      </c>
      <c r="FL187" s="3236">
        <f>VLOOKUP($E187,FK$442:FN$453,2,FALSE)*FK187*($K187)+IF($G187&lt;&gt;0,($H187/$G187)*FK187,0)*(1-$K187)</f>
        <v>396650165</v>
      </c>
      <c r="FM187" s="3236">
        <f>VLOOKUP($E187,FK$442:FN$453,3,FALSE)*FK187*($K187)+IF($G187&lt;&gt;0,($I187/$G187)*FK187,0)*(1-$K187)</f>
        <v>0</v>
      </c>
      <c r="FN187" s="3236">
        <f>VLOOKUP($E187,FK$442:FN$453,4,FALSE)*FK187*($K187)+(FK187-FL187-FM187)*(1-$K187)</f>
        <v>0</v>
      </c>
      <c r="FO187" s="3264"/>
    </row>
    <row r="188" spans="1:171">
      <c r="A188" s="3480">
        <v>570</v>
      </c>
      <c r="B188" s="2185" t="s">
        <v>261</v>
      </c>
      <c r="C188" s="2464" t="s">
        <v>72</v>
      </c>
      <c r="D188" s="2464" t="s">
        <v>601</v>
      </c>
      <c r="E188" s="2424" t="str">
        <f>'Sch 3 - Expenses'!E28</f>
        <v>PROD</v>
      </c>
      <c r="F188" s="2171"/>
      <c r="G188" s="2424">
        <f>'Sch 3 - Expenses'!G28</f>
        <v>33443518</v>
      </c>
      <c r="H188" s="2424">
        <f>'Sch 3 - Expenses'!H28</f>
        <v>33443518</v>
      </c>
      <c r="I188" s="2424">
        <f>'Sch 3 - Expenses'!I28</f>
        <v>0</v>
      </c>
      <c r="J188" s="3465">
        <f>'Sch 3 - Expenses'!J28</f>
        <v>0</v>
      </c>
      <c r="K188" s="3205">
        <f t="shared" si="547"/>
        <v>1</v>
      </c>
      <c r="N188" s="3434">
        <f>VLOOKUP($A188,'New Resources - Group'!$A$4:$Y$133,N$2,FALSE)*N$1</f>
        <v>0</v>
      </c>
      <c r="O188" s="3235">
        <f>$G188+N188</f>
        <v>33443518</v>
      </c>
      <c r="P188" s="3236">
        <f>VLOOKUP($E188,O$442:R$453,2,FALSE)*O188*($K188)+IF($G188&lt;&gt;0,($H188/$G188)*O188,0)*(1-$K188)</f>
        <v>33443518</v>
      </c>
      <c r="Q188" s="3236">
        <f>VLOOKUP($E188,O$442:R$453,3,FALSE)*O188*($K188)+IF($G188&lt;&gt;0,($I188/$G188)*O188,0)*(1-$K188)</f>
        <v>0</v>
      </c>
      <c r="R188" s="3236">
        <f>VLOOKUP($E188,O$442:R$453,4,FALSE)*O188*($K188)+(O188-P188-Q188)*(1-$K188)</f>
        <v>0</v>
      </c>
      <c r="S188" s="3264"/>
      <c r="V188" s="3434">
        <f>VLOOKUP($A188,'New Resources - Group'!$A$4:$Y$133,V$2,FALSE)*V$1</f>
        <v>0</v>
      </c>
      <c r="W188" s="3235">
        <f>$G188+V188</f>
        <v>33443518</v>
      </c>
      <c r="X188" s="3236">
        <f>VLOOKUP($E188,W$442:Z$453,2,FALSE)*W188*($K188)+IF($G188&lt;&gt;0,($H188/$G188)*W188,0)*(1-$K188)</f>
        <v>33443518</v>
      </c>
      <c r="Y188" s="3236">
        <f>VLOOKUP($E188,W$442:Z$453,3,FALSE)*W188*($K188)+IF($G188&lt;&gt;0,($I188/$G188)*W188,0)*(1-$K188)</f>
        <v>0</v>
      </c>
      <c r="Z188" s="3236">
        <f>VLOOKUP($E188,W$442:Z$453,4,FALSE)*W188*($K188)+(W188-X188-Y188)*(1-$K188)</f>
        <v>0</v>
      </c>
      <c r="AA188" s="3264"/>
      <c r="AD188" s="3434">
        <f>VLOOKUP($A188,'New Resources - Group'!$A$4:$Y$133,AD$2,FALSE)*AD$1</f>
        <v>0</v>
      </c>
      <c r="AE188" s="3235">
        <f>$G188+AD188</f>
        <v>33443518</v>
      </c>
      <c r="AF188" s="3236">
        <f>VLOOKUP($E188,AE$442:AH$453,2,FALSE)*AE188*($K188)+IF($G188&lt;&gt;0,($H188/$G188)*AE188,0)*(1-$K188)</f>
        <v>33443518</v>
      </c>
      <c r="AG188" s="3236">
        <f>VLOOKUP($E188,AE$442:AH$453,3,FALSE)*AE188*($K188)+IF($G188&lt;&gt;0,($I188/$G188)*AE188,0)*(1-$K188)</f>
        <v>0</v>
      </c>
      <c r="AH188" s="3236">
        <f>VLOOKUP($E188,AE$442:AH$453,4,FALSE)*AE188*($K188)+(AE188-AF188-AG188)*(1-$K188)</f>
        <v>0</v>
      </c>
      <c r="AI188" s="3264"/>
      <c r="AL188" s="3434">
        <f>VLOOKUP($A188,'New Resources - Group'!$A$4:$Y$133,AL$2,FALSE)*AL$1</f>
        <v>0</v>
      </c>
      <c r="AM188" s="3235">
        <f>$G188+AL188</f>
        <v>33443518</v>
      </c>
      <c r="AN188" s="3236">
        <f>VLOOKUP($E188,AM$442:AP$453,2,FALSE)*AM188*($K188)+IF($G188&lt;&gt;0,($H188/$G188)*AM188,0)*(1-$K188)</f>
        <v>33443518</v>
      </c>
      <c r="AO188" s="3236">
        <f>VLOOKUP($E188,AM$442:AP$453,3,FALSE)*AM188*($K188)+IF($G188&lt;&gt;0,($I188/$G188)*AM188,0)*(1-$K188)</f>
        <v>0</v>
      </c>
      <c r="AP188" s="3236">
        <f>VLOOKUP($E188,AM$442:AP$453,4,FALSE)*AM188*($K188)+(AM188-AN188-AO188)*(1-$K188)</f>
        <v>0</v>
      </c>
      <c r="AQ188" s="3264"/>
      <c r="AT188" s="3434">
        <f>VLOOKUP($A188,'New Resources - Group'!$A$4:$Y$133,AT$2,FALSE)*AT$1</f>
        <v>0</v>
      </c>
      <c r="AU188" s="3235">
        <f>$G188+AT188</f>
        <v>33443518</v>
      </c>
      <c r="AV188" s="3236">
        <f>VLOOKUP($E188,AU$442:AX$453,2,FALSE)*AU188*($K188)+IF($G188&lt;&gt;0,($H188/$G188)*AU188,0)*(1-$K188)</f>
        <v>33443518</v>
      </c>
      <c r="AW188" s="3236">
        <f>VLOOKUP($E188,AU$442:AX$453,3,FALSE)*AU188*($K188)+IF($G188&lt;&gt;0,($I188/$G188)*AU188,0)*(1-$K188)</f>
        <v>0</v>
      </c>
      <c r="AX188" s="3236">
        <f>VLOOKUP($E188,AU$442:AX$453,4,FALSE)*AU188*($K188)+(AU188-AV188-AW188)*(1-$K188)</f>
        <v>0</v>
      </c>
      <c r="AY188" s="3264"/>
      <c r="BB188" s="3434">
        <f>VLOOKUP($A188,'New Resources - Group'!$A$4:$Y$133,BB$2,FALSE)*BB$1</f>
        <v>0</v>
      </c>
      <c r="BC188" s="3235">
        <f>$G188+BB188</f>
        <v>33443518</v>
      </c>
      <c r="BD188" s="3236">
        <f>VLOOKUP($E188,BC$442:BF$453,2,FALSE)*BC188*($K188)+IF($G188&lt;&gt;0,($H188/$G188)*BC188,0)*(1-$K188)</f>
        <v>33443518</v>
      </c>
      <c r="BE188" s="3236">
        <f>VLOOKUP($E188,BC$442:BF$453,3,FALSE)*BC188*($K188)+IF($G188&lt;&gt;0,($I188/$G188)*BC188,0)*(1-$K188)</f>
        <v>0</v>
      </c>
      <c r="BF188" s="3236">
        <f>VLOOKUP($E188,BC$442:BF$453,4,FALSE)*BC188*($K188)+(BC188-BD188-BE188)*(1-$K188)</f>
        <v>0</v>
      </c>
      <c r="BG188" s="3264"/>
      <c r="BJ188" s="3434">
        <f>VLOOKUP($A188,'New Resources - Group'!$A$4:$Y$133,BJ$2,FALSE)*BJ$1</f>
        <v>0</v>
      </c>
      <c r="BK188" s="3235">
        <f>$G188+BJ188</f>
        <v>33443518</v>
      </c>
      <c r="BL188" s="3236">
        <f>VLOOKUP($E188,BK$442:BN$453,2,FALSE)*BK188*($K188)+IF($G188&lt;&gt;0,($H188/$G188)*BK188,0)*(1-$K188)</f>
        <v>33443518</v>
      </c>
      <c r="BM188" s="3236">
        <f>VLOOKUP($E188,BK$442:BN$453,3,FALSE)*BK188*($K188)+IF($G188&lt;&gt;0,($I188/$G188)*BK188,0)*(1-$K188)</f>
        <v>0</v>
      </c>
      <c r="BN188" s="3236">
        <f>VLOOKUP($E188,BK$442:BN$453,4,FALSE)*BK188*($K188)+(BK188-BL188-BM188)*(1-$K188)</f>
        <v>0</v>
      </c>
      <c r="BO188" s="3264"/>
      <c r="BR188" s="3434">
        <f>VLOOKUP($A188,'New Resources - Group'!$A$4:$Y$133,BR$2,FALSE)*BR$1</f>
        <v>0</v>
      </c>
      <c r="BS188" s="3235">
        <f>$G188+BR188</f>
        <v>33443518</v>
      </c>
      <c r="BT188" s="3236">
        <f>VLOOKUP($E188,BS$442:BV$453,2,FALSE)*BS188*($K188)+IF($G188&lt;&gt;0,($H188/$G188)*BS188,0)*(1-$K188)</f>
        <v>33443518</v>
      </c>
      <c r="BU188" s="3236">
        <f>VLOOKUP($E188,BS$442:BV$453,3,FALSE)*BS188*($K188)+IF($G188&lt;&gt;0,($I188/$G188)*BS188,0)*(1-$K188)</f>
        <v>0</v>
      </c>
      <c r="BV188" s="3236">
        <f>VLOOKUP($E188,BS$442:BV$453,4,FALSE)*BS188*($K188)+(BS188-BT188-BU188)*(1-$K188)</f>
        <v>0</v>
      </c>
      <c r="BW188" s="3264"/>
      <c r="BZ188" s="3434">
        <f>VLOOKUP($A188,'New Resources - Group'!$A$4:$Y$133,BZ$2,FALSE)*BZ$1</f>
        <v>0</v>
      </c>
      <c r="CA188" s="3235">
        <f>$G188+BZ188</f>
        <v>33443518</v>
      </c>
      <c r="CB188" s="3236">
        <f>VLOOKUP($E188,CA$442:CD$453,2,FALSE)*CA188*($K188)+IF($G188&lt;&gt;0,($H188/$G188)*CA188,0)*(1-$K188)</f>
        <v>33443518</v>
      </c>
      <c r="CC188" s="3236">
        <f>VLOOKUP($E188,CA$442:CD$453,3,FALSE)*CA188*($K188)+IF($G188&lt;&gt;0,($I188/$G188)*CA188,0)*(1-$K188)</f>
        <v>0</v>
      </c>
      <c r="CD188" s="3236">
        <f>VLOOKUP($E188,CA$442:CD$453,4,FALSE)*CA188*($K188)+(CA188-CB188-CC188)*(1-$K188)</f>
        <v>0</v>
      </c>
      <c r="CE188" s="3264"/>
      <c r="CH188" s="3434">
        <f>VLOOKUP($A188,'New Resources - Group'!$A$4:$Y$133,CH$2,FALSE)*CH$1</f>
        <v>0</v>
      </c>
      <c r="CI188" s="3235">
        <f>$G188+CH188</f>
        <v>33443518</v>
      </c>
      <c r="CJ188" s="3236">
        <f>VLOOKUP($E188,CI$442:CL$453,2,FALSE)*CI188*($K188)+IF($G188&lt;&gt;0,($H188/$G188)*CI188,0)*(1-$K188)</f>
        <v>33443518</v>
      </c>
      <c r="CK188" s="3236">
        <f>VLOOKUP($E188,CI$442:CL$453,3,FALSE)*CI188*($K188)+IF($G188&lt;&gt;0,($I188/$G188)*CI188,0)*(1-$K188)</f>
        <v>0</v>
      </c>
      <c r="CL188" s="3236">
        <f>VLOOKUP($E188,CI$442:CL$453,4,FALSE)*CI188*($K188)+(CI188-CJ188-CK188)*(1-$K188)</f>
        <v>0</v>
      </c>
      <c r="CM188" s="3264"/>
      <c r="CP188" s="3434">
        <f>VLOOKUP($A188,'New Resources - Group'!$A$4:$Y$133,CP$2,FALSE)*CP$1</f>
        <v>0</v>
      </c>
      <c r="CQ188" s="3235">
        <f>$G188+CP188</f>
        <v>33443518</v>
      </c>
      <c r="CR188" s="3236">
        <f>VLOOKUP($E188,CQ$442:CT$453,2,FALSE)*CQ188*($K188)+IF($G188&lt;&gt;0,($H188/$G188)*CQ188,0)*(1-$K188)</f>
        <v>33443518</v>
      </c>
      <c r="CS188" s="3236">
        <f>VLOOKUP($E188,CQ$442:CT$453,3,FALSE)*CQ188*($K188)+IF($G188&lt;&gt;0,($I188/$G188)*CQ188,0)*(1-$K188)</f>
        <v>0</v>
      </c>
      <c r="CT188" s="3236">
        <f>VLOOKUP($E188,CQ$442:CT$453,4,FALSE)*CQ188*($K188)+(CQ188-CR188-CS188)*(1-$K188)</f>
        <v>0</v>
      </c>
      <c r="CU188" s="3264"/>
      <c r="CX188" s="3434">
        <f>VLOOKUP($A188,'New Resources - Group'!$A$4:$Y$133,CX$2,FALSE)*CX$1</f>
        <v>0</v>
      </c>
      <c r="CY188" s="3235">
        <f>$G188+CX188</f>
        <v>33443518</v>
      </c>
      <c r="CZ188" s="3236">
        <f>VLOOKUP($E188,CY$442:DB$453,2,FALSE)*CY188*($K188)+IF($G188&lt;&gt;0,($H188/$G188)*CY188,0)*(1-$K188)</f>
        <v>33443518</v>
      </c>
      <c r="DA188" s="3236">
        <f>VLOOKUP($E188,CY$442:DB$453,3,FALSE)*CY188*($K188)+IF($G188&lt;&gt;0,($I188/$G188)*CY188,0)*(1-$K188)</f>
        <v>0</v>
      </c>
      <c r="DB188" s="3236">
        <f>VLOOKUP($E188,CY$442:DB$453,4,FALSE)*CY188*($K188)+(CY188-CZ188-DA188)*(1-$K188)</f>
        <v>0</v>
      </c>
      <c r="DC188" s="3264"/>
      <c r="DF188" s="3434">
        <f>VLOOKUP($A188,'New Resources - Group'!$A$4:$Y$133,DF$2,FALSE)*DF$1</f>
        <v>0</v>
      </c>
      <c r="DG188" s="3235">
        <f>$G188+DF188</f>
        <v>33443518</v>
      </c>
      <c r="DH188" s="3236">
        <f>VLOOKUP($E188,DG$442:DJ$453,2,FALSE)*DG188*($K188)+IF($G188&lt;&gt;0,($H188/$G188)*DG188,0)*(1-$K188)</f>
        <v>33443518</v>
      </c>
      <c r="DI188" s="3236">
        <f>VLOOKUP($E188,DG$442:DJ$453,3,FALSE)*DG188*($K188)+IF($G188&lt;&gt;0,($I188/$G188)*DG188,0)*(1-$K188)</f>
        <v>0</v>
      </c>
      <c r="DJ188" s="3236">
        <f>VLOOKUP($E188,DG$442:DJ$453,4,FALSE)*DG188*($K188)+(DG188-DH188-DI188)*(1-$K188)</f>
        <v>0</v>
      </c>
      <c r="DK188" s="3264"/>
      <c r="DN188" s="3434">
        <f>VLOOKUP($A188,'New Resources - Group'!$A$4:$Y$133,DN$2,FALSE)*DN$1</f>
        <v>0</v>
      </c>
      <c r="DO188" s="3235">
        <f>$G188+DN188</f>
        <v>33443518</v>
      </c>
      <c r="DP188" s="3236">
        <f>VLOOKUP($E188,DO$442:DR$453,2,FALSE)*DO188*($K188)+IF($G188&lt;&gt;0,($H188/$G188)*DO188,0)*(1-$K188)</f>
        <v>33443518</v>
      </c>
      <c r="DQ188" s="3236">
        <f>VLOOKUP($E188,DO$442:DR$453,3,FALSE)*DO188*($K188)+IF($G188&lt;&gt;0,($I188/$G188)*DO188,0)*(1-$K188)</f>
        <v>0</v>
      </c>
      <c r="DR188" s="3236">
        <f>VLOOKUP($E188,DO$442:DR$453,4,FALSE)*DO188*($K188)+(DO188-DP188-DQ188)*(1-$K188)</f>
        <v>0</v>
      </c>
      <c r="DS188" s="3264"/>
      <c r="DV188" s="3434">
        <f>VLOOKUP($A188,'New Resources - Group'!$A$4:$Y$133,DV$2,FALSE)*DV$1</f>
        <v>0</v>
      </c>
      <c r="DW188" s="3235">
        <f>$G188+DV188</f>
        <v>33443518</v>
      </c>
      <c r="DX188" s="3236">
        <f>VLOOKUP($E188,DW$442:DZ$453,2,FALSE)*DW188*($K188)+IF($G188&lt;&gt;0,($H188/$G188)*DW188,0)*(1-$K188)</f>
        <v>33443518</v>
      </c>
      <c r="DY188" s="3236">
        <f>VLOOKUP($E188,DW$442:DZ$453,3,FALSE)*DW188*($K188)+IF($G188&lt;&gt;0,($I188/$G188)*DW188,0)*(1-$K188)</f>
        <v>0</v>
      </c>
      <c r="DZ188" s="3236">
        <f>VLOOKUP($E188,DW$442:DZ$453,4,FALSE)*DW188*($K188)+(DW188-DX188-DY188)*(1-$K188)</f>
        <v>0</v>
      </c>
      <c r="EA188" s="3264"/>
      <c r="ED188" s="3434">
        <f>VLOOKUP($A188,'New Resources - Group'!$A$4:$Y$133,ED$2,FALSE)*ED$1</f>
        <v>0</v>
      </c>
      <c r="EE188" s="3235">
        <f>$G188+ED188</f>
        <v>33443518</v>
      </c>
      <c r="EF188" s="3236">
        <f>VLOOKUP($E188,EE$442:EH$453,2,FALSE)*EE188*($K188)+IF($G188&lt;&gt;0,($H188/$G188)*EE188,0)*(1-$K188)</f>
        <v>33443518</v>
      </c>
      <c r="EG188" s="3236">
        <f>VLOOKUP($E188,EE$442:EH$453,3,FALSE)*EE188*($K188)+IF($G188&lt;&gt;0,($I188/$G188)*EE188,0)*(1-$K188)</f>
        <v>0</v>
      </c>
      <c r="EH188" s="3236">
        <f>VLOOKUP($E188,EE$442:EH$453,4,FALSE)*EE188*($K188)+(EE188-EF188-EG188)*(1-$K188)</f>
        <v>0</v>
      </c>
      <c r="EI188" s="3264"/>
      <c r="EL188" s="3434">
        <f>VLOOKUP($A188,'New Resources - Group'!$A$4:$Y$133,EL$2,FALSE)*EL$1</f>
        <v>0</v>
      </c>
      <c r="EM188" s="3235">
        <f>$G188+EL188</f>
        <v>33443518</v>
      </c>
      <c r="EN188" s="3236">
        <f>VLOOKUP($E188,EM$442:EP$453,2,FALSE)*EM188*($K188)+IF($G188&lt;&gt;0,($H188/$G188)*EM188,0)*(1-$K188)</f>
        <v>33443518</v>
      </c>
      <c r="EO188" s="3236">
        <f>VLOOKUP($E188,EM$442:EP$453,3,FALSE)*EM188*($K188)+IF($G188&lt;&gt;0,($I188/$G188)*EM188,0)*(1-$K188)</f>
        <v>0</v>
      </c>
      <c r="EP188" s="3236">
        <f>VLOOKUP($E188,EM$442:EP$453,4,FALSE)*EM188*($K188)+(EM188-EN188-EO188)*(1-$K188)</f>
        <v>0</v>
      </c>
      <c r="EQ188" s="3264"/>
      <c r="ET188" s="3434">
        <f>VLOOKUP($A188,'New Resources - Group'!$A$4:$Y$133,ET$2,FALSE)*ET$1</f>
        <v>0</v>
      </c>
      <c r="EU188" s="3235">
        <f>$G188+ET188</f>
        <v>33443518</v>
      </c>
      <c r="EV188" s="3236">
        <f>VLOOKUP($E188,EU$442:EX$453,2,FALSE)*EU188*($K188)+IF($G188&lt;&gt;0,($H188/$G188)*EU188,0)*(1-$K188)</f>
        <v>33443518</v>
      </c>
      <c r="EW188" s="3236">
        <f>VLOOKUP($E188,EU$442:EX$453,3,FALSE)*EU188*($K188)+IF($G188&lt;&gt;0,($I188/$G188)*EU188,0)*(1-$K188)</f>
        <v>0</v>
      </c>
      <c r="EX188" s="3236">
        <f>VLOOKUP($E188,EU$442:EX$453,4,FALSE)*EU188*($K188)+(EU188-EV188-EW188)*(1-$K188)</f>
        <v>0</v>
      </c>
      <c r="EY188" s="3264"/>
      <c r="FB188" s="3434">
        <f>VLOOKUP($A188,'New Resources - Group'!$A$4:$Y$133,FB$2,FALSE)*FB$1</f>
        <v>0</v>
      </c>
      <c r="FC188" s="3235">
        <f>$G188+FB188</f>
        <v>33443518</v>
      </c>
      <c r="FD188" s="3236">
        <f>VLOOKUP($E188,FC$442:FF$453,2,FALSE)*FC188*($K188)+IF($G188&lt;&gt;0,($H188/$G188)*FC188,0)*(1-$K188)</f>
        <v>33443518</v>
      </c>
      <c r="FE188" s="3236">
        <f>VLOOKUP($E188,FC$442:FF$453,3,FALSE)*FC188*($K188)+IF($G188&lt;&gt;0,($I188/$G188)*FC188,0)*(1-$K188)</f>
        <v>0</v>
      </c>
      <c r="FF188" s="3236">
        <f>VLOOKUP($E188,FC$442:FF$453,4,FALSE)*FC188*($K188)+(FC188-FD188-FE188)*(1-$K188)</f>
        <v>0</v>
      </c>
      <c r="FG188" s="3264"/>
      <c r="FJ188" s="3434">
        <f>VLOOKUP($A188,'New Resources - Group'!$A$4:$Y$133,FJ$2,FALSE)*FJ$1</f>
        <v>0</v>
      </c>
      <c r="FK188" s="3235">
        <f>$G188+FJ188</f>
        <v>33443518</v>
      </c>
      <c r="FL188" s="3236">
        <f>VLOOKUP($E188,FK$442:FN$453,2,FALSE)*FK188*($K188)+IF($G188&lt;&gt;0,($H188/$G188)*FK188,0)*(1-$K188)</f>
        <v>33443518</v>
      </c>
      <c r="FM188" s="3236">
        <f>VLOOKUP($E188,FK$442:FN$453,3,FALSE)*FK188*($K188)+IF($G188&lt;&gt;0,($I188/$G188)*FK188,0)*(1-$K188)</f>
        <v>0</v>
      </c>
      <c r="FN188" s="3236">
        <f>VLOOKUP($E188,FK$442:FN$453,4,FALSE)*FK188*($K188)+(FK188-FL188-FM188)*(1-$K188)</f>
        <v>0</v>
      </c>
      <c r="FO188" s="3264"/>
    </row>
    <row r="189" spans="1:171">
      <c r="A189" s="3480">
        <v>580</v>
      </c>
      <c r="B189" s="2185" t="s">
        <v>263</v>
      </c>
      <c r="C189" s="2464" t="s">
        <v>72</v>
      </c>
      <c r="D189" s="2464" t="s">
        <v>602</v>
      </c>
      <c r="E189" s="2424" t="str">
        <f>'Sch 3 - Expenses'!E29</f>
        <v>PROD</v>
      </c>
      <c r="F189" s="2171"/>
      <c r="G189" s="2424">
        <f>'Sch 3 - Expenses'!G29</f>
        <v>27656590</v>
      </c>
      <c r="H189" s="2424">
        <f>'Sch 3 - Expenses'!H29</f>
        <v>27656590</v>
      </c>
      <c r="I189" s="2424">
        <f>'Sch 3 - Expenses'!I29</f>
        <v>0</v>
      </c>
      <c r="J189" s="3465">
        <f>'Sch 3 - Expenses'!J29</f>
        <v>0</v>
      </c>
      <c r="K189" s="3205">
        <f t="shared" si="547"/>
        <v>1</v>
      </c>
      <c r="N189" s="3434">
        <f>VLOOKUP($A189,'New Resources - Group'!$A$4:$Y$133,N$2,FALSE)*N$1</f>
        <v>0</v>
      </c>
      <c r="O189" s="3235">
        <f>$G189+N189</f>
        <v>27656590</v>
      </c>
      <c r="P189" s="3236">
        <f>VLOOKUP($E189,O$442:R$453,2,FALSE)*O189*($K189)+IF($G189&lt;&gt;0,($H189/$G189)*O189,0)*(1-$K189)</f>
        <v>27656590</v>
      </c>
      <c r="Q189" s="3236">
        <f>VLOOKUP($E189,O$442:R$453,3,FALSE)*O189*($K189)+IF($G189&lt;&gt;0,($I189/$G189)*O189,0)*(1-$K189)</f>
        <v>0</v>
      </c>
      <c r="R189" s="3236">
        <f>VLOOKUP($E189,O$442:R$453,4,FALSE)*O189*($K189)+(O189-P189-Q189)*(1-$K189)</f>
        <v>0</v>
      </c>
      <c r="S189" s="3264"/>
      <c r="V189" s="3434">
        <f>VLOOKUP($A189,'New Resources - Group'!$A$4:$Y$133,V$2,FALSE)*V$1</f>
        <v>0</v>
      </c>
      <c r="W189" s="3235">
        <f>$G189+V189</f>
        <v>27656590</v>
      </c>
      <c r="X189" s="3236">
        <f>VLOOKUP($E189,W$442:Z$453,2,FALSE)*W189*($K189)+IF($G189&lt;&gt;0,($H189/$G189)*W189,0)*(1-$K189)</f>
        <v>27656590</v>
      </c>
      <c r="Y189" s="3236">
        <f>VLOOKUP($E189,W$442:Z$453,3,FALSE)*W189*($K189)+IF($G189&lt;&gt;0,($I189/$G189)*W189,0)*(1-$K189)</f>
        <v>0</v>
      </c>
      <c r="Z189" s="3236">
        <f>VLOOKUP($E189,W$442:Z$453,4,FALSE)*W189*($K189)+(W189-X189-Y189)*(1-$K189)</f>
        <v>0</v>
      </c>
      <c r="AA189" s="3264"/>
      <c r="AD189" s="3434">
        <f>VLOOKUP($A189,'New Resources - Group'!$A$4:$Y$133,AD$2,FALSE)*AD$1</f>
        <v>0</v>
      </c>
      <c r="AE189" s="3235">
        <f>$G189+AD189</f>
        <v>27656590</v>
      </c>
      <c r="AF189" s="3236">
        <f>VLOOKUP($E189,AE$442:AH$453,2,FALSE)*AE189*($K189)+IF($G189&lt;&gt;0,($H189/$G189)*AE189,0)*(1-$K189)</f>
        <v>27656590</v>
      </c>
      <c r="AG189" s="3236">
        <f>VLOOKUP($E189,AE$442:AH$453,3,FALSE)*AE189*($K189)+IF($G189&lt;&gt;0,($I189/$G189)*AE189,0)*(1-$K189)</f>
        <v>0</v>
      </c>
      <c r="AH189" s="3236">
        <f>VLOOKUP($E189,AE$442:AH$453,4,FALSE)*AE189*($K189)+(AE189-AF189-AG189)*(1-$K189)</f>
        <v>0</v>
      </c>
      <c r="AI189" s="3264"/>
      <c r="AL189" s="3434">
        <f>VLOOKUP($A189,'New Resources - Group'!$A$4:$Y$133,AL$2,FALSE)*AL$1</f>
        <v>0</v>
      </c>
      <c r="AM189" s="3235">
        <f>$G189+AL189</f>
        <v>27656590</v>
      </c>
      <c r="AN189" s="3236">
        <f>VLOOKUP($E189,AM$442:AP$453,2,FALSE)*AM189*($K189)+IF($G189&lt;&gt;0,($H189/$G189)*AM189,0)*(1-$K189)</f>
        <v>27656590</v>
      </c>
      <c r="AO189" s="3236">
        <f>VLOOKUP($E189,AM$442:AP$453,3,FALSE)*AM189*($K189)+IF($G189&lt;&gt;0,($I189/$G189)*AM189,0)*(1-$K189)</f>
        <v>0</v>
      </c>
      <c r="AP189" s="3236">
        <f>VLOOKUP($E189,AM$442:AP$453,4,FALSE)*AM189*($K189)+(AM189-AN189-AO189)*(1-$K189)</f>
        <v>0</v>
      </c>
      <c r="AQ189" s="3264"/>
      <c r="AT189" s="3434">
        <f>VLOOKUP($A189,'New Resources - Group'!$A$4:$Y$133,AT$2,FALSE)*AT$1</f>
        <v>0</v>
      </c>
      <c r="AU189" s="3235">
        <f>$G189+AT189</f>
        <v>27656590</v>
      </c>
      <c r="AV189" s="3236">
        <f>VLOOKUP($E189,AU$442:AX$453,2,FALSE)*AU189*($K189)+IF($G189&lt;&gt;0,($H189/$G189)*AU189,0)*(1-$K189)</f>
        <v>27656590</v>
      </c>
      <c r="AW189" s="3236">
        <f>VLOOKUP($E189,AU$442:AX$453,3,FALSE)*AU189*($K189)+IF($G189&lt;&gt;0,($I189/$G189)*AU189,0)*(1-$K189)</f>
        <v>0</v>
      </c>
      <c r="AX189" s="3236">
        <f>VLOOKUP($E189,AU$442:AX$453,4,FALSE)*AU189*($K189)+(AU189-AV189-AW189)*(1-$K189)</f>
        <v>0</v>
      </c>
      <c r="AY189" s="3264"/>
      <c r="BB189" s="3434">
        <f>VLOOKUP($A189,'New Resources - Group'!$A$4:$Y$133,BB$2,FALSE)*BB$1</f>
        <v>0</v>
      </c>
      <c r="BC189" s="3235">
        <f>$G189+BB189</f>
        <v>27656590</v>
      </c>
      <c r="BD189" s="3236">
        <f>VLOOKUP($E189,BC$442:BF$453,2,FALSE)*BC189*($K189)+IF($G189&lt;&gt;0,($H189/$G189)*BC189,0)*(1-$K189)</f>
        <v>27656590</v>
      </c>
      <c r="BE189" s="3236">
        <f>VLOOKUP($E189,BC$442:BF$453,3,FALSE)*BC189*($K189)+IF($G189&lt;&gt;0,($I189/$G189)*BC189,0)*(1-$K189)</f>
        <v>0</v>
      </c>
      <c r="BF189" s="3236">
        <f>VLOOKUP($E189,BC$442:BF$453,4,FALSE)*BC189*($K189)+(BC189-BD189-BE189)*(1-$K189)</f>
        <v>0</v>
      </c>
      <c r="BG189" s="3264"/>
      <c r="BJ189" s="3434">
        <f>VLOOKUP($A189,'New Resources - Group'!$A$4:$Y$133,BJ$2,FALSE)*BJ$1</f>
        <v>0</v>
      </c>
      <c r="BK189" s="3235">
        <f>$G189+BJ189</f>
        <v>27656590</v>
      </c>
      <c r="BL189" s="3236">
        <f>VLOOKUP($E189,BK$442:BN$453,2,FALSE)*BK189*($K189)+IF($G189&lt;&gt;0,($H189/$G189)*BK189,0)*(1-$K189)</f>
        <v>27656590</v>
      </c>
      <c r="BM189" s="3236">
        <f>VLOOKUP($E189,BK$442:BN$453,3,FALSE)*BK189*($K189)+IF($G189&lt;&gt;0,($I189/$G189)*BK189,0)*(1-$K189)</f>
        <v>0</v>
      </c>
      <c r="BN189" s="3236">
        <f>VLOOKUP($E189,BK$442:BN$453,4,FALSE)*BK189*($K189)+(BK189-BL189-BM189)*(1-$K189)</f>
        <v>0</v>
      </c>
      <c r="BO189" s="3264"/>
      <c r="BR189" s="3434">
        <f>VLOOKUP($A189,'New Resources - Group'!$A$4:$Y$133,BR$2,FALSE)*BR$1</f>
        <v>0</v>
      </c>
      <c r="BS189" s="3235">
        <f>$G189+BR189</f>
        <v>27656590</v>
      </c>
      <c r="BT189" s="3236">
        <f>VLOOKUP($E189,BS$442:BV$453,2,FALSE)*BS189*($K189)+IF($G189&lt;&gt;0,($H189/$G189)*BS189,0)*(1-$K189)</f>
        <v>27656590</v>
      </c>
      <c r="BU189" s="3236">
        <f>VLOOKUP($E189,BS$442:BV$453,3,FALSE)*BS189*($K189)+IF($G189&lt;&gt;0,($I189/$G189)*BS189,0)*(1-$K189)</f>
        <v>0</v>
      </c>
      <c r="BV189" s="3236">
        <f>VLOOKUP($E189,BS$442:BV$453,4,FALSE)*BS189*($K189)+(BS189-BT189-BU189)*(1-$K189)</f>
        <v>0</v>
      </c>
      <c r="BW189" s="3264"/>
      <c r="BZ189" s="3434">
        <f>VLOOKUP($A189,'New Resources - Group'!$A$4:$Y$133,BZ$2,FALSE)*BZ$1</f>
        <v>0</v>
      </c>
      <c r="CA189" s="3235">
        <f>$G189+BZ189</f>
        <v>27656590</v>
      </c>
      <c r="CB189" s="3236">
        <f>VLOOKUP($E189,CA$442:CD$453,2,FALSE)*CA189*($K189)+IF($G189&lt;&gt;0,($H189/$G189)*CA189,0)*(1-$K189)</f>
        <v>27656590</v>
      </c>
      <c r="CC189" s="3236">
        <f>VLOOKUP($E189,CA$442:CD$453,3,FALSE)*CA189*($K189)+IF($G189&lt;&gt;0,($I189/$G189)*CA189,0)*(1-$K189)</f>
        <v>0</v>
      </c>
      <c r="CD189" s="3236">
        <f>VLOOKUP($E189,CA$442:CD$453,4,FALSE)*CA189*($K189)+(CA189-CB189-CC189)*(1-$K189)</f>
        <v>0</v>
      </c>
      <c r="CE189" s="3264"/>
      <c r="CH189" s="3434">
        <f>VLOOKUP($A189,'New Resources - Group'!$A$4:$Y$133,CH$2,FALSE)*CH$1</f>
        <v>0</v>
      </c>
      <c r="CI189" s="3235">
        <f>$G189+CH189</f>
        <v>27656590</v>
      </c>
      <c r="CJ189" s="3236">
        <f>VLOOKUP($E189,CI$442:CL$453,2,FALSE)*CI189*($K189)+IF($G189&lt;&gt;0,($H189/$G189)*CI189,0)*(1-$K189)</f>
        <v>27656590</v>
      </c>
      <c r="CK189" s="3236">
        <f>VLOOKUP($E189,CI$442:CL$453,3,FALSE)*CI189*($K189)+IF($G189&lt;&gt;0,($I189/$G189)*CI189,0)*(1-$K189)</f>
        <v>0</v>
      </c>
      <c r="CL189" s="3236">
        <f>VLOOKUP($E189,CI$442:CL$453,4,FALSE)*CI189*($K189)+(CI189-CJ189-CK189)*(1-$K189)</f>
        <v>0</v>
      </c>
      <c r="CM189" s="3264"/>
      <c r="CP189" s="3434">
        <f>VLOOKUP($A189,'New Resources - Group'!$A$4:$Y$133,CP$2,FALSE)*CP$1</f>
        <v>0</v>
      </c>
      <c r="CQ189" s="3235">
        <f>$G189+CP189</f>
        <v>27656590</v>
      </c>
      <c r="CR189" s="3236">
        <f>VLOOKUP($E189,CQ$442:CT$453,2,FALSE)*CQ189*($K189)+IF($G189&lt;&gt;0,($H189/$G189)*CQ189,0)*(1-$K189)</f>
        <v>27656590</v>
      </c>
      <c r="CS189" s="3236">
        <f>VLOOKUP($E189,CQ$442:CT$453,3,FALSE)*CQ189*($K189)+IF($G189&lt;&gt;0,($I189/$G189)*CQ189,0)*(1-$K189)</f>
        <v>0</v>
      </c>
      <c r="CT189" s="3236">
        <f>VLOOKUP($E189,CQ$442:CT$453,4,FALSE)*CQ189*($K189)+(CQ189-CR189-CS189)*(1-$K189)</f>
        <v>0</v>
      </c>
      <c r="CU189" s="3264"/>
      <c r="CX189" s="3434">
        <f>VLOOKUP($A189,'New Resources - Group'!$A$4:$Y$133,CX$2,FALSE)*CX$1</f>
        <v>0</v>
      </c>
      <c r="CY189" s="3235">
        <f>$G189+CX189</f>
        <v>27656590</v>
      </c>
      <c r="CZ189" s="3236">
        <f>VLOOKUP($E189,CY$442:DB$453,2,FALSE)*CY189*($K189)+IF($G189&lt;&gt;0,($H189/$G189)*CY189,0)*(1-$K189)</f>
        <v>27656590</v>
      </c>
      <c r="DA189" s="3236">
        <f>VLOOKUP($E189,CY$442:DB$453,3,FALSE)*CY189*($K189)+IF($G189&lt;&gt;0,($I189/$G189)*CY189,0)*(1-$K189)</f>
        <v>0</v>
      </c>
      <c r="DB189" s="3236">
        <f>VLOOKUP($E189,CY$442:DB$453,4,FALSE)*CY189*($K189)+(CY189-CZ189-DA189)*(1-$K189)</f>
        <v>0</v>
      </c>
      <c r="DC189" s="3264"/>
      <c r="DF189" s="3434">
        <f>VLOOKUP($A189,'New Resources - Group'!$A$4:$Y$133,DF$2,FALSE)*DF$1</f>
        <v>0</v>
      </c>
      <c r="DG189" s="3235">
        <f>$G189+DF189</f>
        <v>27656590</v>
      </c>
      <c r="DH189" s="3236">
        <f>VLOOKUP($E189,DG$442:DJ$453,2,FALSE)*DG189*($K189)+IF($G189&lt;&gt;0,($H189/$G189)*DG189,0)*(1-$K189)</f>
        <v>27656590</v>
      </c>
      <c r="DI189" s="3236">
        <f>VLOOKUP($E189,DG$442:DJ$453,3,FALSE)*DG189*($K189)+IF($G189&lt;&gt;0,($I189/$G189)*DG189,0)*(1-$K189)</f>
        <v>0</v>
      </c>
      <c r="DJ189" s="3236">
        <f>VLOOKUP($E189,DG$442:DJ$453,4,FALSE)*DG189*($K189)+(DG189-DH189-DI189)*(1-$K189)</f>
        <v>0</v>
      </c>
      <c r="DK189" s="3264"/>
      <c r="DN189" s="3434">
        <f>VLOOKUP($A189,'New Resources - Group'!$A$4:$Y$133,DN$2,FALSE)*DN$1</f>
        <v>0</v>
      </c>
      <c r="DO189" s="3235">
        <f>$G189+DN189</f>
        <v>27656590</v>
      </c>
      <c r="DP189" s="3236">
        <f>VLOOKUP($E189,DO$442:DR$453,2,FALSE)*DO189*($K189)+IF($G189&lt;&gt;0,($H189/$G189)*DO189,0)*(1-$K189)</f>
        <v>27656590</v>
      </c>
      <c r="DQ189" s="3236">
        <f>VLOOKUP($E189,DO$442:DR$453,3,FALSE)*DO189*($K189)+IF($G189&lt;&gt;0,($I189/$G189)*DO189,0)*(1-$K189)</f>
        <v>0</v>
      </c>
      <c r="DR189" s="3236">
        <f>VLOOKUP($E189,DO$442:DR$453,4,FALSE)*DO189*($K189)+(DO189-DP189-DQ189)*(1-$K189)</f>
        <v>0</v>
      </c>
      <c r="DS189" s="3264"/>
      <c r="DV189" s="3434">
        <f>VLOOKUP($A189,'New Resources - Group'!$A$4:$Y$133,DV$2,FALSE)*DV$1</f>
        <v>0</v>
      </c>
      <c r="DW189" s="3235">
        <f>$G189+DV189</f>
        <v>27656590</v>
      </c>
      <c r="DX189" s="3236">
        <f>VLOOKUP($E189,DW$442:DZ$453,2,FALSE)*DW189*($K189)+IF($G189&lt;&gt;0,($H189/$G189)*DW189,0)*(1-$K189)</f>
        <v>27656590</v>
      </c>
      <c r="DY189" s="3236">
        <f>VLOOKUP($E189,DW$442:DZ$453,3,FALSE)*DW189*($K189)+IF($G189&lt;&gt;0,($I189/$G189)*DW189,0)*(1-$K189)</f>
        <v>0</v>
      </c>
      <c r="DZ189" s="3236">
        <f>VLOOKUP($E189,DW$442:DZ$453,4,FALSE)*DW189*($K189)+(DW189-DX189-DY189)*(1-$K189)</f>
        <v>0</v>
      </c>
      <c r="EA189" s="3264"/>
      <c r="ED189" s="3434">
        <f>VLOOKUP($A189,'New Resources - Group'!$A$4:$Y$133,ED$2,FALSE)*ED$1</f>
        <v>0</v>
      </c>
      <c r="EE189" s="3235">
        <f>$G189+ED189</f>
        <v>27656590</v>
      </c>
      <c r="EF189" s="3236">
        <f>VLOOKUP($E189,EE$442:EH$453,2,FALSE)*EE189*($K189)+IF($G189&lt;&gt;0,($H189/$G189)*EE189,0)*(1-$K189)</f>
        <v>27656590</v>
      </c>
      <c r="EG189" s="3236">
        <f>VLOOKUP($E189,EE$442:EH$453,3,FALSE)*EE189*($K189)+IF($G189&lt;&gt;0,($I189/$G189)*EE189,0)*(1-$K189)</f>
        <v>0</v>
      </c>
      <c r="EH189" s="3236">
        <f>VLOOKUP($E189,EE$442:EH$453,4,FALSE)*EE189*($K189)+(EE189-EF189-EG189)*(1-$K189)</f>
        <v>0</v>
      </c>
      <c r="EI189" s="3264"/>
      <c r="EL189" s="3434">
        <f>VLOOKUP($A189,'New Resources - Group'!$A$4:$Y$133,EL$2,FALSE)*EL$1</f>
        <v>0</v>
      </c>
      <c r="EM189" s="3235">
        <f>$G189+EL189</f>
        <v>27656590</v>
      </c>
      <c r="EN189" s="3236">
        <f>VLOOKUP($E189,EM$442:EP$453,2,FALSE)*EM189*($K189)+IF($G189&lt;&gt;0,($H189/$G189)*EM189,0)*(1-$K189)</f>
        <v>27656590</v>
      </c>
      <c r="EO189" s="3236">
        <f>VLOOKUP($E189,EM$442:EP$453,3,FALSE)*EM189*($K189)+IF($G189&lt;&gt;0,($I189/$G189)*EM189,0)*(1-$K189)</f>
        <v>0</v>
      </c>
      <c r="EP189" s="3236">
        <f>VLOOKUP($E189,EM$442:EP$453,4,FALSE)*EM189*($K189)+(EM189-EN189-EO189)*(1-$K189)</f>
        <v>0</v>
      </c>
      <c r="EQ189" s="3264"/>
      <c r="ET189" s="3434">
        <f>VLOOKUP($A189,'New Resources - Group'!$A$4:$Y$133,ET$2,FALSE)*ET$1</f>
        <v>0</v>
      </c>
      <c r="EU189" s="3235">
        <f>$G189+ET189</f>
        <v>27656590</v>
      </c>
      <c r="EV189" s="3236">
        <f>VLOOKUP($E189,EU$442:EX$453,2,FALSE)*EU189*($K189)+IF($G189&lt;&gt;0,($H189/$G189)*EU189,0)*(1-$K189)</f>
        <v>27656590</v>
      </c>
      <c r="EW189" s="3236">
        <f>VLOOKUP($E189,EU$442:EX$453,3,FALSE)*EU189*($K189)+IF($G189&lt;&gt;0,($I189/$G189)*EU189,0)*(1-$K189)</f>
        <v>0</v>
      </c>
      <c r="EX189" s="3236">
        <f>VLOOKUP($E189,EU$442:EX$453,4,FALSE)*EU189*($K189)+(EU189-EV189-EW189)*(1-$K189)</f>
        <v>0</v>
      </c>
      <c r="EY189" s="3264"/>
      <c r="FB189" s="3434">
        <f>VLOOKUP($A189,'New Resources - Group'!$A$4:$Y$133,FB$2,FALSE)*FB$1</f>
        <v>0</v>
      </c>
      <c r="FC189" s="3235">
        <f>$G189+FB189</f>
        <v>27656590</v>
      </c>
      <c r="FD189" s="3236">
        <f>VLOOKUP($E189,FC$442:FF$453,2,FALSE)*FC189*($K189)+IF($G189&lt;&gt;0,($H189/$G189)*FC189,0)*(1-$K189)</f>
        <v>27656590</v>
      </c>
      <c r="FE189" s="3236">
        <f>VLOOKUP($E189,FC$442:FF$453,3,FALSE)*FC189*($K189)+IF($G189&lt;&gt;0,($I189/$G189)*FC189,0)*(1-$K189)</f>
        <v>0</v>
      </c>
      <c r="FF189" s="3236">
        <f>VLOOKUP($E189,FC$442:FF$453,4,FALSE)*FC189*($K189)+(FC189-FD189-FE189)*(1-$K189)</f>
        <v>0</v>
      </c>
      <c r="FG189" s="3264"/>
      <c r="FJ189" s="3434">
        <f>VLOOKUP($A189,'New Resources - Group'!$A$4:$Y$133,FJ$2,FALSE)*FJ$1</f>
        <v>0</v>
      </c>
      <c r="FK189" s="3235">
        <f>$G189+FJ189</f>
        <v>27656590</v>
      </c>
      <c r="FL189" s="3236">
        <f>VLOOKUP($E189,FK$442:FN$453,2,FALSE)*FK189*($K189)+IF($G189&lt;&gt;0,($H189/$G189)*FK189,0)*(1-$K189)</f>
        <v>27656590</v>
      </c>
      <c r="FM189" s="3236">
        <f>VLOOKUP($E189,FK$442:FN$453,3,FALSE)*FK189*($K189)+IF($G189&lt;&gt;0,($I189/$G189)*FK189,0)*(1-$K189)</f>
        <v>0</v>
      </c>
      <c r="FN189" s="3236">
        <f>VLOOKUP($E189,FK$442:FN$453,4,FALSE)*FK189*($K189)+(FK189-FL189-FM189)*(1-$K189)</f>
        <v>0</v>
      </c>
      <c r="FO189" s="3264"/>
    </row>
    <row r="190" spans="1:171">
      <c r="A190" s="3505"/>
      <c r="B190" s="2143" t="s">
        <v>453</v>
      </c>
      <c r="C190" s="2116"/>
      <c r="D190" s="2116"/>
      <c r="E190" s="2098"/>
      <c r="F190" s="2098"/>
      <c r="G190" s="2506"/>
      <c r="H190" s="2506"/>
      <c r="I190" s="2506"/>
      <c r="J190" s="3504"/>
      <c r="K190" s="3205"/>
      <c r="S190" s="3264"/>
      <c r="AA190" s="3264"/>
      <c r="AI190" s="3264"/>
      <c r="AQ190" s="3264"/>
      <c r="AY190" s="3264"/>
      <c r="BG190" s="3264"/>
      <c r="BO190" s="3264"/>
      <c r="BW190" s="3264"/>
      <c r="CE190" s="3264"/>
      <c r="CM190" s="3264"/>
      <c r="CU190" s="3264"/>
      <c r="DC190" s="3264"/>
      <c r="DK190" s="3264"/>
      <c r="DS190" s="3264"/>
      <c r="EA190" s="3264"/>
      <c r="EI190" s="3264"/>
      <c r="EQ190" s="3264"/>
      <c r="EY190" s="3264"/>
      <c r="FG190" s="3264"/>
      <c r="FO190" s="3264"/>
    </row>
    <row r="191" spans="1:171">
      <c r="B191" s="2103" t="s">
        <v>264</v>
      </c>
      <c r="C191" s="2464" t="s">
        <v>72</v>
      </c>
      <c r="D191" s="2464">
        <v>555</v>
      </c>
      <c r="E191" s="2424" t="str">
        <f>'Sch 3 - Expenses'!E31</f>
        <v>PROD</v>
      </c>
      <c r="F191" s="2171"/>
      <c r="G191" s="2424">
        <f>'Sch 3 - Expenses'!G31</f>
        <v>1085637524</v>
      </c>
      <c r="H191" s="2424">
        <f>'Sch 3 - Expenses'!H31</f>
        <v>1085637524</v>
      </c>
      <c r="I191" s="2424">
        <f>'Sch 3 - Expenses'!I31</f>
        <v>0</v>
      </c>
      <c r="J191" s="3465">
        <f>'Sch 3 - Expenses'!J31</f>
        <v>0</v>
      </c>
      <c r="K191" s="3205">
        <f t="shared" si="547"/>
        <v>1</v>
      </c>
      <c r="O191" s="3329">
        <f>O465</f>
        <v>1085637524</v>
      </c>
      <c r="P191" s="3236">
        <f>VLOOKUP($E191,O$442:R$453,2,FALSE)*O191*($K191)+IF($G191&lt;&gt;0,($H191/$G191)*O191,0)*(1-$K191)</f>
        <v>1085637524</v>
      </c>
      <c r="Q191" s="3236">
        <f>VLOOKUP($E191,O$442:R$453,3,FALSE)*O191*($K191)+IF($G191&lt;&gt;0,($I191/$G191)*O191,0)*(1-$K191)</f>
        <v>0</v>
      </c>
      <c r="R191" s="3236">
        <f>VLOOKUP($E191,O$442:R$453,4,FALSE)*O191*($K191)+(O191-P191-Q191)*(1-$K191)</f>
        <v>0</v>
      </c>
      <c r="S191" s="3264"/>
      <c r="W191" s="3329">
        <f>W465</f>
        <v>1085637524</v>
      </c>
      <c r="X191" s="3236">
        <f>VLOOKUP($E191,W$442:Z$453,2,FALSE)*W191*($K191)+IF($G191&lt;&gt;0,($H191/$G191)*W191,0)*(1-$K191)</f>
        <v>1085637524</v>
      </c>
      <c r="Y191" s="3236">
        <f>VLOOKUP($E191,W$442:Z$453,3,FALSE)*W191*($K191)+IF($G191&lt;&gt;0,($I191/$G191)*W191,0)*(1-$K191)</f>
        <v>0</v>
      </c>
      <c r="Z191" s="3236">
        <f>VLOOKUP($E191,W$442:Z$453,4,FALSE)*W191*($K191)+(W191-X191-Y191)*(1-$K191)</f>
        <v>0</v>
      </c>
      <c r="AA191" s="3264"/>
      <c r="AE191" s="3329">
        <f>AE465</f>
        <v>1085637524</v>
      </c>
      <c r="AF191" s="3236">
        <f>VLOOKUP($E191,AE$442:AH$453,2,FALSE)*AE191*($K191)+IF($G191&lt;&gt;0,($H191/$G191)*AE191,0)*(1-$K191)</f>
        <v>1085637524</v>
      </c>
      <c r="AG191" s="3236">
        <f>VLOOKUP($E191,AE$442:AH$453,3,FALSE)*AE191*($K191)+IF($G191&lt;&gt;0,($I191/$G191)*AE191,0)*(1-$K191)</f>
        <v>0</v>
      </c>
      <c r="AH191" s="3236">
        <f>VLOOKUP($E191,AE$442:AH$453,4,FALSE)*AE191*($K191)+(AE191-AF191-AG191)*(1-$K191)</f>
        <v>0</v>
      </c>
      <c r="AI191" s="3264"/>
      <c r="AM191" s="3329">
        <f>AM465</f>
        <v>1085637524</v>
      </c>
      <c r="AN191" s="3236">
        <f>VLOOKUP($E191,AM$442:AP$453,2,FALSE)*AM191*($K191)+IF($G191&lt;&gt;0,($H191/$G191)*AM191,0)*(1-$K191)</f>
        <v>1085637524</v>
      </c>
      <c r="AO191" s="3236">
        <f>VLOOKUP($E191,AM$442:AP$453,3,FALSE)*AM191*($K191)+IF($G191&lt;&gt;0,($I191/$G191)*AM191,0)*(1-$K191)</f>
        <v>0</v>
      </c>
      <c r="AP191" s="3236">
        <f>VLOOKUP($E191,AM$442:AP$453,4,FALSE)*AM191*($K191)+(AM191-AN191-AO191)*(1-$K191)</f>
        <v>0</v>
      </c>
      <c r="AQ191" s="3264"/>
      <c r="AU191" s="3329">
        <f>AU465</f>
        <v>1085637524</v>
      </c>
      <c r="AV191" s="3236">
        <f>VLOOKUP($E191,AU$442:AX$453,2,FALSE)*AU191*($K191)+IF($G191&lt;&gt;0,($H191/$G191)*AU191,0)*(1-$K191)</f>
        <v>1085637524</v>
      </c>
      <c r="AW191" s="3236">
        <f>VLOOKUP($E191,AU$442:AX$453,3,FALSE)*AU191*($K191)+IF($G191&lt;&gt;0,($I191/$G191)*AU191,0)*(1-$K191)</f>
        <v>0</v>
      </c>
      <c r="AX191" s="3236">
        <f>VLOOKUP($E191,AU$442:AX$453,4,FALSE)*AU191*($K191)+(AU191-AV191-AW191)*(1-$K191)</f>
        <v>0</v>
      </c>
      <c r="AY191" s="3264"/>
      <c r="BC191" s="3329">
        <f>BC465</f>
        <v>1085637524</v>
      </c>
      <c r="BD191" s="3236">
        <f>VLOOKUP($E191,BC$442:BF$453,2,FALSE)*BC191*($K191)+IF($G191&lt;&gt;0,($H191/$G191)*BC191,0)*(1-$K191)</f>
        <v>1085637524</v>
      </c>
      <c r="BE191" s="3236">
        <f>VLOOKUP($E191,BC$442:BF$453,3,FALSE)*BC191*($K191)+IF($G191&lt;&gt;0,($I191/$G191)*BC191,0)*(1-$K191)</f>
        <v>0</v>
      </c>
      <c r="BF191" s="3236">
        <f>VLOOKUP($E191,BC$442:BF$453,4,FALSE)*BC191*($K191)+(BC191-BD191-BE191)*(1-$K191)</f>
        <v>0</v>
      </c>
      <c r="BG191" s="3264"/>
      <c r="BK191" s="3329">
        <f>BK465</f>
        <v>1085637524</v>
      </c>
      <c r="BL191" s="3236">
        <f>VLOOKUP($E191,BK$442:BN$453,2,FALSE)*BK191*($K191)+IF($G191&lt;&gt;0,($H191/$G191)*BK191,0)*(1-$K191)</f>
        <v>1085637524</v>
      </c>
      <c r="BM191" s="3236">
        <f>VLOOKUP($E191,BK$442:BN$453,3,FALSE)*BK191*($K191)+IF($G191&lt;&gt;0,($I191/$G191)*BK191,0)*(1-$K191)</f>
        <v>0</v>
      </c>
      <c r="BN191" s="3236">
        <f>VLOOKUP($E191,BK$442:BN$453,4,FALSE)*BK191*($K191)+(BK191-BL191-BM191)*(1-$K191)</f>
        <v>0</v>
      </c>
      <c r="BO191" s="3264"/>
      <c r="BS191" s="3329">
        <f>BS465</f>
        <v>1085637524</v>
      </c>
      <c r="BT191" s="3236">
        <f>VLOOKUP($E191,BS$442:BV$453,2,FALSE)*BS191*($K191)+IF($G191&lt;&gt;0,($H191/$G191)*BS191,0)*(1-$K191)</f>
        <v>1085637524</v>
      </c>
      <c r="BU191" s="3236">
        <f>VLOOKUP($E191,BS$442:BV$453,3,FALSE)*BS191*($K191)+IF($G191&lt;&gt;0,($I191/$G191)*BS191,0)*(1-$K191)</f>
        <v>0</v>
      </c>
      <c r="BV191" s="3236">
        <f>VLOOKUP($E191,BS$442:BV$453,4,FALSE)*BS191*($K191)+(BS191-BT191-BU191)*(1-$K191)</f>
        <v>0</v>
      </c>
      <c r="BW191" s="3264"/>
      <c r="CA191" s="3329">
        <f>CA465</f>
        <v>1085637524</v>
      </c>
      <c r="CB191" s="3236">
        <f>VLOOKUP($E191,CA$442:CD$453,2,FALSE)*CA191*($K191)+IF($G191&lt;&gt;0,($H191/$G191)*CA191,0)*(1-$K191)</f>
        <v>1085637524</v>
      </c>
      <c r="CC191" s="3236">
        <f>VLOOKUP($E191,CA$442:CD$453,3,FALSE)*CA191*($K191)+IF($G191&lt;&gt;0,($I191/$G191)*CA191,0)*(1-$K191)</f>
        <v>0</v>
      </c>
      <c r="CD191" s="3236">
        <f>VLOOKUP($E191,CA$442:CD$453,4,FALSE)*CA191*($K191)+(CA191-CB191-CC191)*(1-$K191)</f>
        <v>0</v>
      </c>
      <c r="CE191" s="3264"/>
      <c r="CI191" s="3329">
        <f>CI465</f>
        <v>1085637524</v>
      </c>
      <c r="CJ191" s="3236">
        <f>VLOOKUP($E191,CI$442:CL$453,2,FALSE)*CI191*($K191)+IF($G191&lt;&gt;0,($H191/$G191)*CI191,0)*(1-$K191)</f>
        <v>1085637524</v>
      </c>
      <c r="CK191" s="3236">
        <f>VLOOKUP($E191,CI$442:CL$453,3,FALSE)*CI191*($K191)+IF($G191&lt;&gt;0,($I191/$G191)*CI191,0)*(1-$K191)</f>
        <v>0</v>
      </c>
      <c r="CL191" s="3236">
        <f>VLOOKUP($E191,CI$442:CL$453,4,FALSE)*CI191*($K191)+(CI191-CJ191-CK191)*(1-$K191)</f>
        <v>0</v>
      </c>
      <c r="CM191" s="3264"/>
      <c r="CQ191" s="3329">
        <f>CQ465</f>
        <v>1085637524</v>
      </c>
      <c r="CR191" s="3236">
        <f>VLOOKUP($E191,CQ$442:CT$453,2,FALSE)*CQ191*($K191)+IF($G191&lt;&gt;0,($H191/$G191)*CQ191,0)*(1-$K191)</f>
        <v>1085637524</v>
      </c>
      <c r="CS191" s="3236">
        <f>VLOOKUP($E191,CQ$442:CT$453,3,FALSE)*CQ191*($K191)+IF($G191&lt;&gt;0,($I191/$G191)*CQ191,0)*(1-$K191)</f>
        <v>0</v>
      </c>
      <c r="CT191" s="3236">
        <f>VLOOKUP($E191,CQ$442:CT$453,4,FALSE)*CQ191*($K191)+(CQ191-CR191-CS191)*(1-$K191)</f>
        <v>0</v>
      </c>
      <c r="CU191" s="3264"/>
      <c r="CY191" s="3329">
        <f>CY465</f>
        <v>1085637524</v>
      </c>
      <c r="CZ191" s="3236">
        <f>VLOOKUP($E191,CY$442:DB$453,2,FALSE)*CY191*($K191)+IF($G191&lt;&gt;0,($H191/$G191)*CY191,0)*(1-$K191)</f>
        <v>1085637524</v>
      </c>
      <c r="DA191" s="3236">
        <f>VLOOKUP($E191,CY$442:DB$453,3,FALSE)*CY191*($K191)+IF($G191&lt;&gt;0,($I191/$G191)*CY191,0)*(1-$K191)</f>
        <v>0</v>
      </c>
      <c r="DB191" s="3236">
        <f>VLOOKUP($E191,CY$442:DB$453,4,FALSE)*CY191*($K191)+(CY191-CZ191-DA191)*(1-$K191)</f>
        <v>0</v>
      </c>
      <c r="DC191" s="3264"/>
      <c r="DG191" s="3329">
        <f>DG465</f>
        <v>1085637524</v>
      </c>
      <c r="DH191" s="3236">
        <f>VLOOKUP($E191,DG$442:DJ$453,2,FALSE)*DG191*($K191)+IF($G191&lt;&gt;0,($H191/$G191)*DG191,0)*(1-$K191)</f>
        <v>1085637524</v>
      </c>
      <c r="DI191" s="3236">
        <f>VLOOKUP($E191,DG$442:DJ$453,3,FALSE)*DG191*($K191)+IF($G191&lt;&gt;0,($I191/$G191)*DG191,0)*(1-$K191)</f>
        <v>0</v>
      </c>
      <c r="DJ191" s="3236">
        <f>VLOOKUP($E191,DG$442:DJ$453,4,FALSE)*DG191*($K191)+(DG191-DH191-DI191)*(1-$K191)</f>
        <v>0</v>
      </c>
      <c r="DK191" s="3264"/>
      <c r="DO191" s="3329">
        <f>DO465</f>
        <v>1085637524</v>
      </c>
      <c r="DP191" s="3236">
        <f>VLOOKUP($E191,DO$442:DR$453,2,FALSE)*DO191*($K191)+IF($G191&lt;&gt;0,($H191/$G191)*DO191,0)*(1-$K191)</f>
        <v>1085637524</v>
      </c>
      <c r="DQ191" s="3236">
        <f>VLOOKUP($E191,DO$442:DR$453,3,FALSE)*DO191*($K191)+IF($G191&lt;&gt;0,($I191/$G191)*DO191,0)*(1-$K191)</f>
        <v>0</v>
      </c>
      <c r="DR191" s="3236">
        <f>VLOOKUP($E191,DO$442:DR$453,4,FALSE)*DO191*($K191)+(DO191-DP191-DQ191)*(1-$K191)</f>
        <v>0</v>
      </c>
      <c r="DS191" s="3264"/>
      <c r="DW191" s="3329">
        <f>DW465</f>
        <v>1085637524</v>
      </c>
      <c r="DX191" s="3236">
        <f>VLOOKUP($E191,DW$442:DZ$453,2,FALSE)*DW191*($K191)+IF($G191&lt;&gt;0,($H191/$G191)*DW191,0)*(1-$K191)</f>
        <v>1085637524</v>
      </c>
      <c r="DY191" s="3236">
        <f>VLOOKUP($E191,DW$442:DZ$453,3,FALSE)*DW191*($K191)+IF($G191&lt;&gt;0,($I191/$G191)*DW191,0)*(1-$K191)</f>
        <v>0</v>
      </c>
      <c r="DZ191" s="3236">
        <f>VLOOKUP($E191,DW$442:DZ$453,4,FALSE)*DW191*($K191)+(DW191-DX191-DY191)*(1-$K191)</f>
        <v>0</v>
      </c>
      <c r="EA191" s="3264"/>
      <c r="EE191" s="3329">
        <f>EE465</f>
        <v>1085637524</v>
      </c>
      <c r="EF191" s="3236">
        <f>VLOOKUP($E191,EE$442:EH$453,2,FALSE)*EE191*($K191)+IF($G191&lt;&gt;0,($H191/$G191)*EE191,0)*(1-$K191)</f>
        <v>1085637524</v>
      </c>
      <c r="EG191" s="3236">
        <f>VLOOKUP($E191,EE$442:EH$453,3,FALSE)*EE191*($K191)+IF($G191&lt;&gt;0,($I191/$G191)*EE191,0)*(1-$K191)</f>
        <v>0</v>
      </c>
      <c r="EH191" s="3236">
        <f>VLOOKUP($E191,EE$442:EH$453,4,FALSE)*EE191*($K191)+(EE191-EF191-EG191)*(1-$K191)</f>
        <v>0</v>
      </c>
      <c r="EI191" s="3264"/>
      <c r="EM191" s="3329">
        <f>EM465</f>
        <v>1085637524</v>
      </c>
      <c r="EN191" s="3236">
        <f>VLOOKUP($E191,EM$442:EP$453,2,FALSE)*EM191*($K191)+IF($G191&lt;&gt;0,($H191/$G191)*EM191,0)*(1-$K191)</f>
        <v>1085637524</v>
      </c>
      <c r="EO191" s="3236">
        <f>VLOOKUP($E191,EM$442:EP$453,3,FALSE)*EM191*($K191)+IF($G191&lt;&gt;0,($I191/$G191)*EM191,0)*(1-$K191)</f>
        <v>0</v>
      </c>
      <c r="EP191" s="3236">
        <f>VLOOKUP($E191,EM$442:EP$453,4,FALSE)*EM191*($K191)+(EM191-EN191-EO191)*(1-$K191)</f>
        <v>0</v>
      </c>
      <c r="EQ191" s="3264"/>
      <c r="EU191" s="3329">
        <f>EU465</f>
        <v>1085637524</v>
      </c>
      <c r="EV191" s="3236">
        <f>VLOOKUP($E191,EU$442:EX$453,2,FALSE)*EU191*($K191)+IF($G191&lt;&gt;0,($H191/$G191)*EU191,0)*(1-$K191)</f>
        <v>1085637524</v>
      </c>
      <c r="EW191" s="3236">
        <f>VLOOKUP($E191,EU$442:EX$453,3,FALSE)*EU191*($K191)+IF($G191&lt;&gt;0,($I191/$G191)*EU191,0)*(1-$K191)</f>
        <v>0</v>
      </c>
      <c r="EX191" s="3236">
        <f>VLOOKUP($E191,EU$442:EX$453,4,FALSE)*EU191*($K191)+(EU191-EV191-EW191)*(1-$K191)</f>
        <v>0</v>
      </c>
      <c r="EY191" s="3264"/>
      <c r="FC191" s="3329">
        <f>FC465</f>
        <v>1085637524</v>
      </c>
      <c r="FD191" s="3236">
        <f>VLOOKUP($E191,FC$442:FF$453,2,FALSE)*FC191*($K191)+IF($G191&lt;&gt;0,($H191/$G191)*FC191,0)*(1-$K191)</f>
        <v>1085637524</v>
      </c>
      <c r="FE191" s="3236">
        <f>VLOOKUP($E191,FC$442:FF$453,3,FALSE)*FC191*($K191)+IF($G191&lt;&gt;0,($I191/$G191)*FC191,0)*(1-$K191)</f>
        <v>0</v>
      </c>
      <c r="FF191" s="3236">
        <f>VLOOKUP($E191,FC$442:FF$453,4,FALSE)*FC191*($K191)+(FC191-FD191-FE191)*(1-$K191)</f>
        <v>0</v>
      </c>
      <c r="FG191" s="3264"/>
      <c r="FK191" s="3329">
        <f>FK465</f>
        <v>1085637524</v>
      </c>
      <c r="FL191" s="3236">
        <f>VLOOKUP($E191,FK$442:FN$453,2,FALSE)*FK191*($K191)+IF($G191&lt;&gt;0,($H191/$G191)*FK191,0)*(1-$K191)</f>
        <v>1085637524</v>
      </c>
      <c r="FM191" s="3236">
        <f>VLOOKUP($E191,FK$442:FN$453,3,FALSE)*FK191*($K191)+IF($G191&lt;&gt;0,($I191/$G191)*FK191,0)*(1-$K191)</f>
        <v>0</v>
      </c>
      <c r="FN191" s="3236">
        <f>VLOOKUP($E191,FK$442:FN$453,4,FALSE)*FK191*($K191)+(FK191-FL191-FM191)*(1-$K191)</f>
        <v>0</v>
      </c>
      <c r="FO191" s="3264"/>
    </row>
    <row r="192" spans="1:171">
      <c r="A192" s="3480">
        <v>810</v>
      </c>
      <c r="B192" s="2185" t="s">
        <v>454</v>
      </c>
      <c r="C192" s="2464" t="s">
        <v>72</v>
      </c>
      <c r="D192" s="2464">
        <v>556</v>
      </c>
      <c r="E192" s="2424" t="str">
        <f>'Sch 3 - Expenses'!E32</f>
        <v>PROD</v>
      </c>
      <c r="F192" s="2171"/>
      <c r="G192" s="2424">
        <f>'Sch 3 - Expenses'!G32</f>
        <v>28612</v>
      </c>
      <c r="H192" s="2424">
        <f>'Sch 3 - Expenses'!H32</f>
        <v>28612</v>
      </c>
      <c r="I192" s="2424">
        <f>'Sch 3 - Expenses'!I32</f>
        <v>0</v>
      </c>
      <c r="J192" s="3465">
        <f>'Sch 3 - Expenses'!J32</f>
        <v>0</v>
      </c>
      <c r="K192" s="3205">
        <f t="shared" si="547"/>
        <v>1</v>
      </c>
      <c r="N192" s="3434">
        <f>VLOOKUP($A192,'New Resources - Group'!$A$4:$Y$133,N$2,FALSE)*N$1</f>
        <v>0</v>
      </c>
      <c r="O192" s="3235">
        <f>$G192+N192</f>
        <v>28612</v>
      </c>
      <c r="P192" s="3236">
        <f>VLOOKUP($E192,O$442:R$453,2,FALSE)*O192*($K192)+IF($G192&lt;&gt;0,($H192/$G192)*O192,0)*(1-$K192)</f>
        <v>28612</v>
      </c>
      <c r="Q192" s="3236">
        <f>VLOOKUP($E192,O$442:R$453,3,FALSE)*O192*($K192)+IF($G192&lt;&gt;0,($I192/$G192)*O192,0)*(1-$K192)</f>
        <v>0</v>
      </c>
      <c r="R192" s="3236">
        <f>VLOOKUP($E192,O$442:R$453,4,FALSE)*O192*($K192)+(O192-P192-Q192)*(1-$K192)</f>
        <v>0</v>
      </c>
      <c r="S192" s="3264"/>
      <c r="V192" s="3434">
        <f>VLOOKUP($A192,'New Resources - Group'!$A$4:$Y$133,V$2,FALSE)*V$1</f>
        <v>0</v>
      </c>
      <c r="W192" s="3235">
        <f>$G192+V192</f>
        <v>28612</v>
      </c>
      <c r="X192" s="3236">
        <f>VLOOKUP($E192,W$442:Z$453,2,FALSE)*W192*($K192)+IF($G192&lt;&gt;0,($H192/$G192)*W192,0)*(1-$K192)</f>
        <v>28612</v>
      </c>
      <c r="Y192" s="3236">
        <f>VLOOKUP($E192,W$442:Z$453,3,FALSE)*W192*($K192)+IF($G192&lt;&gt;0,($I192/$G192)*W192,0)*(1-$K192)</f>
        <v>0</v>
      </c>
      <c r="Z192" s="3236">
        <f>VLOOKUP($E192,W$442:Z$453,4,FALSE)*W192*($K192)+(W192-X192-Y192)*(1-$K192)</f>
        <v>0</v>
      </c>
      <c r="AA192" s="3264"/>
      <c r="AD192" s="3434">
        <f>VLOOKUP($A192,'New Resources - Group'!$A$4:$Y$133,AD$2,FALSE)*AD$1</f>
        <v>0</v>
      </c>
      <c r="AE192" s="3235">
        <f>$G192+AD192</f>
        <v>28612</v>
      </c>
      <c r="AF192" s="3236">
        <f>VLOOKUP($E192,AE$442:AH$453,2,FALSE)*AE192*($K192)+IF($G192&lt;&gt;0,($H192/$G192)*AE192,0)*(1-$K192)</f>
        <v>28612</v>
      </c>
      <c r="AG192" s="3236">
        <f>VLOOKUP($E192,AE$442:AH$453,3,FALSE)*AE192*($K192)+IF($G192&lt;&gt;0,($I192/$G192)*AE192,0)*(1-$K192)</f>
        <v>0</v>
      </c>
      <c r="AH192" s="3236">
        <f>VLOOKUP($E192,AE$442:AH$453,4,FALSE)*AE192*($K192)+(AE192-AF192-AG192)*(1-$K192)</f>
        <v>0</v>
      </c>
      <c r="AI192" s="3264"/>
      <c r="AL192" s="3434">
        <f>VLOOKUP($A192,'New Resources - Group'!$A$4:$Y$133,AL$2,FALSE)*AL$1</f>
        <v>0</v>
      </c>
      <c r="AM192" s="3235">
        <f>$G192+AL192</f>
        <v>28612</v>
      </c>
      <c r="AN192" s="3236">
        <f>VLOOKUP($E192,AM$442:AP$453,2,FALSE)*AM192*($K192)+IF($G192&lt;&gt;0,($H192/$G192)*AM192,0)*(1-$K192)</f>
        <v>28612</v>
      </c>
      <c r="AO192" s="3236">
        <f>VLOOKUP($E192,AM$442:AP$453,3,FALSE)*AM192*($K192)+IF($G192&lt;&gt;0,($I192/$G192)*AM192,0)*(1-$K192)</f>
        <v>0</v>
      </c>
      <c r="AP192" s="3236">
        <f>VLOOKUP($E192,AM$442:AP$453,4,FALSE)*AM192*($K192)+(AM192-AN192-AO192)*(1-$K192)</f>
        <v>0</v>
      </c>
      <c r="AQ192" s="3264"/>
      <c r="AT192" s="3434">
        <f>VLOOKUP($A192,'New Resources - Group'!$A$4:$Y$133,AT$2,FALSE)*AT$1</f>
        <v>0</v>
      </c>
      <c r="AU192" s="3235">
        <f>$G192+AT192</f>
        <v>28612</v>
      </c>
      <c r="AV192" s="3236">
        <f>VLOOKUP($E192,AU$442:AX$453,2,FALSE)*AU192*($K192)+IF($G192&lt;&gt;0,($H192/$G192)*AU192,0)*(1-$K192)</f>
        <v>28612</v>
      </c>
      <c r="AW192" s="3236">
        <f>VLOOKUP($E192,AU$442:AX$453,3,FALSE)*AU192*($K192)+IF($G192&lt;&gt;0,($I192/$G192)*AU192,0)*(1-$K192)</f>
        <v>0</v>
      </c>
      <c r="AX192" s="3236">
        <f>VLOOKUP($E192,AU$442:AX$453,4,FALSE)*AU192*($K192)+(AU192-AV192-AW192)*(1-$K192)</f>
        <v>0</v>
      </c>
      <c r="AY192" s="3264"/>
      <c r="BB192" s="3434">
        <f>VLOOKUP($A192,'New Resources - Group'!$A$4:$Y$133,BB$2,FALSE)*BB$1</f>
        <v>0</v>
      </c>
      <c r="BC192" s="3235">
        <f>$G192+BB192</f>
        <v>28612</v>
      </c>
      <c r="BD192" s="3236">
        <f>VLOOKUP($E192,BC$442:BF$453,2,FALSE)*BC192*($K192)+IF($G192&lt;&gt;0,($H192/$G192)*BC192,0)*(1-$K192)</f>
        <v>28612</v>
      </c>
      <c r="BE192" s="3236">
        <f>VLOOKUP($E192,BC$442:BF$453,3,FALSE)*BC192*($K192)+IF($G192&lt;&gt;0,($I192/$G192)*BC192,0)*(1-$K192)</f>
        <v>0</v>
      </c>
      <c r="BF192" s="3236">
        <f>VLOOKUP($E192,BC$442:BF$453,4,FALSE)*BC192*($K192)+(BC192-BD192-BE192)*(1-$K192)</f>
        <v>0</v>
      </c>
      <c r="BG192" s="3264"/>
      <c r="BJ192" s="3434">
        <f>VLOOKUP($A192,'New Resources - Group'!$A$4:$Y$133,BJ$2,FALSE)*BJ$1</f>
        <v>0</v>
      </c>
      <c r="BK192" s="3235">
        <f>$G192+BJ192</f>
        <v>28612</v>
      </c>
      <c r="BL192" s="3236">
        <f>VLOOKUP($E192,BK$442:BN$453,2,FALSE)*BK192*($K192)+IF($G192&lt;&gt;0,($H192/$G192)*BK192,0)*(1-$K192)</f>
        <v>28612</v>
      </c>
      <c r="BM192" s="3236">
        <f>VLOOKUP($E192,BK$442:BN$453,3,FALSE)*BK192*($K192)+IF($G192&lt;&gt;0,($I192/$G192)*BK192,0)*(1-$K192)</f>
        <v>0</v>
      </c>
      <c r="BN192" s="3236">
        <f>VLOOKUP($E192,BK$442:BN$453,4,FALSE)*BK192*($K192)+(BK192-BL192-BM192)*(1-$K192)</f>
        <v>0</v>
      </c>
      <c r="BO192" s="3264"/>
      <c r="BR192" s="3434">
        <f>VLOOKUP($A192,'New Resources - Group'!$A$4:$Y$133,BR$2,FALSE)*BR$1</f>
        <v>0</v>
      </c>
      <c r="BS192" s="3235">
        <f>$G192+BR192</f>
        <v>28612</v>
      </c>
      <c r="BT192" s="3236">
        <f>VLOOKUP($E192,BS$442:BV$453,2,FALSE)*BS192*($K192)+IF($G192&lt;&gt;0,($H192/$G192)*BS192,0)*(1-$K192)</f>
        <v>28612</v>
      </c>
      <c r="BU192" s="3236">
        <f>VLOOKUP($E192,BS$442:BV$453,3,FALSE)*BS192*($K192)+IF($G192&lt;&gt;0,($I192/$G192)*BS192,0)*(1-$K192)</f>
        <v>0</v>
      </c>
      <c r="BV192" s="3236">
        <f>VLOOKUP($E192,BS$442:BV$453,4,FALSE)*BS192*($K192)+(BS192-BT192-BU192)*(1-$K192)</f>
        <v>0</v>
      </c>
      <c r="BW192" s="3264"/>
      <c r="BZ192" s="3434">
        <f>VLOOKUP($A192,'New Resources - Group'!$A$4:$Y$133,BZ$2,FALSE)*BZ$1</f>
        <v>0</v>
      </c>
      <c r="CA192" s="3235">
        <f>$G192+BZ192</f>
        <v>28612</v>
      </c>
      <c r="CB192" s="3236">
        <f>VLOOKUP($E192,CA$442:CD$453,2,FALSE)*CA192*($K192)+IF($G192&lt;&gt;0,($H192/$G192)*CA192,0)*(1-$K192)</f>
        <v>28612</v>
      </c>
      <c r="CC192" s="3236">
        <f>VLOOKUP($E192,CA$442:CD$453,3,FALSE)*CA192*($K192)+IF($G192&lt;&gt;0,($I192/$G192)*CA192,0)*(1-$K192)</f>
        <v>0</v>
      </c>
      <c r="CD192" s="3236">
        <f>VLOOKUP($E192,CA$442:CD$453,4,FALSE)*CA192*($K192)+(CA192-CB192-CC192)*(1-$K192)</f>
        <v>0</v>
      </c>
      <c r="CE192" s="3264"/>
      <c r="CH192" s="3434">
        <f>VLOOKUP($A192,'New Resources - Group'!$A$4:$Y$133,CH$2,FALSE)*CH$1</f>
        <v>0</v>
      </c>
      <c r="CI192" s="3235">
        <f>$G192+CH192</f>
        <v>28612</v>
      </c>
      <c r="CJ192" s="3236">
        <f>VLOOKUP($E192,CI$442:CL$453,2,FALSE)*CI192*($K192)+IF($G192&lt;&gt;0,($H192/$G192)*CI192,0)*(1-$K192)</f>
        <v>28612</v>
      </c>
      <c r="CK192" s="3236">
        <f>VLOOKUP($E192,CI$442:CL$453,3,FALSE)*CI192*($K192)+IF($G192&lt;&gt;0,($I192/$G192)*CI192,0)*(1-$K192)</f>
        <v>0</v>
      </c>
      <c r="CL192" s="3236">
        <f>VLOOKUP($E192,CI$442:CL$453,4,FALSE)*CI192*($K192)+(CI192-CJ192-CK192)*(1-$K192)</f>
        <v>0</v>
      </c>
      <c r="CM192" s="3264"/>
      <c r="CP192" s="3434">
        <f>VLOOKUP($A192,'New Resources - Group'!$A$4:$Y$133,CP$2,FALSE)*CP$1</f>
        <v>0</v>
      </c>
      <c r="CQ192" s="3235">
        <f>$G192+CP192</f>
        <v>28612</v>
      </c>
      <c r="CR192" s="3236">
        <f>VLOOKUP($E192,CQ$442:CT$453,2,FALSE)*CQ192*($K192)+IF($G192&lt;&gt;0,($H192/$G192)*CQ192,0)*(1-$K192)</f>
        <v>28612</v>
      </c>
      <c r="CS192" s="3236">
        <f>VLOOKUP($E192,CQ$442:CT$453,3,FALSE)*CQ192*($K192)+IF($G192&lt;&gt;0,($I192/$G192)*CQ192,0)*(1-$K192)</f>
        <v>0</v>
      </c>
      <c r="CT192" s="3236">
        <f>VLOOKUP($E192,CQ$442:CT$453,4,FALSE)*CQ192*($K192)+(CQ192-CR192-CS192)*(1-$K192)</f>
        <v>0</v>
      </c>
      <c r="CU192" s="3264"/>
      <c r="CX192" s="3434">
        <f>VLOOKUP($A192,'New Resources - Group'!$A$4:$Y$133,CX$2,FALSE)*CX$1</f>
        <v>0</v>
      </c>
      <c r="CY192" s="3235">
        <f>$G192+CX192</f>
        <v>28612</v>
      </c>
      <c r="CZ192" s="3236">
        <f>VLOOKUP($E192,CY$442:DB$453,2,FALSE)*CY192*($K192)+IF($G192&lt;&gt;0,($H192/$G192)*CY192,0)*(1-$K192)</f>
        <v>28612</v>
      </c>
      <c r="DA192" s="3236">
        <f>VLOOKUP($E192,CY$442:DB$453,3,FALSE)*CY192*($K192)+IF($G192&lt;&gt;0,($I192/$G192)*CY192,0)*(1-$K192)</f>
        <v>0</v>
      </c>
      <c r="DB192" s="3236">
        <f>VLOOKUP($E192,CY$442:DB$453,4,FALSE)*CY192*($K192)+(CY192-CZ192-DA192)*(1-$K192)</f>
        <v>0</v>
      </c>
      <c r="DC192" s="3264"/>
      <c r="DF192" s="3434">
        <f>VLOOKUP($A192,'New Resources - Group'!$A$4:$Y$133,DF$2,FALSE)*DF$1</f>
        <v>0</v>
      </c>
      <c r="DG192" s="3235">
        <f>$G192+DF192</f>
        <v>28612</v>
      </c>
      <c r="DH192" s="3236">
        <f>VLOOKUP($E192,DG$442:DJ$453,2,FALSE)*DG192*($K192)+IF($G192&lt;&gt;0,($H192/$G192)*DG192,0)*(1-$K192)</f>
        <v>28612</v>
      </c>
      <c r="DI192" s="3236">
        <f>VLOOKUP($E192,DG$442:DJ$453,3,FALSE)*DG192*($K192)+IF($G192&lt;&gt;0,($I192/$G192)*DG192,0)*(1-$K192)</f>
        <v>0</v>
      </c>
      <c r="DJ192" s="3236">
        <f>VLOOKUP($E192,DG$442:DJ$453,4,FALSE)*DG192*($K192)+(DG192-DH192-DI192)*(1-$K192)</f>
        <v>0</v>
      </c>
      <c r="DK192" s="3264"/>
      <c r="DN192" s="3434">
        <f>VLOOKUP($A192,'New Resources - Group'!$A$4:$Y$133,DN$2,FALSE)*DN$1</f>
        <v>0</v>
      </c>
      <c r="DO192" s="3235">
        <f>$G192+DN192</f>
        <v>28612</v>
      </c>
      <c r="DP192" s="3236">
        <f>VLOOKUP($E192,DO$442:DR$453,2,FALSE)*DO192*($K192)+IF($G192&lt;&gt;0,($H192/$G192)*DO192,0)*(1-$K192)</f>
        <v>28612</v>
      </c>
      <c r="DQ192" s="3236">
        <f>VLOOKUP($E192,DO$442:DR$453,3,FALSE)*DO192*($K192)+IF($G192&lt;&gt;0,($I192/$G192)*DO192,0)*(1-$K192)</f>
        <v>0</v>
      </c>
      <c r="DR192" s="3236">
        <f>VLOOKUP($E192,DO$442:DR$453,4,FALSE)*DO192*($K192)+(DO192-DP192-DQ192)*(1-$K192)</f>
        <v>0</v>
      </c>
      <c r="DS192" s="3264"/>
      <c r="DV192" s="3434">
        <f>VLOOKUP($A192,'New Resources - Group'!$A$4:$Y$133,DV$2,FALSE)*DV$1</f>
        <v>0</v>
      </c>
      <c r="DW192" s="3235">
        <f>$G192+DV192</f>
        <v>28612</v>
      </c>
      <c r="DX192" s="3236">
        <f>VLOOKUP($E192,DW$442:DZ$453,2,FALSE)*DW192*($K192)+IF($G192&lt;&gt;0,($H192/$G192)*DW192,0)*(1-$K192)</f>
        <v>28612</v>
      </c>
      <c r="DY192" s="3236">
        <f>VLOOKUP($E192,DW$442:DZ$453,3,FALSE)*DW192*($K192)+IF($G192&lt;&gt;0,($I192/$G192)*DW192,0)*(1-$K192)</f>
        <v>0</v>
      </c>
      <c r="DZ192" s="3236">
        <f>VLOOKUP($E192,DW$442:DZ$453,4,FALSE)*DW192*($K192)+(DW192-DX192-DY192)*(1-$K192)</f>
        <v>0</v>
      </c>
      <c r="EA192" s="3264"/>
      <c r="ED192" s="3434">
        <f>VLOOKUP($A192,'New Resources - Group'!$A$4:$Y$133,ED$2,FALSE)*ED$1</f>
        <v>0</v>
      </c>
      <c r="EE192" s="3235">
        <f>$G192+ED192</f>
        <v>28612</v>
      </c>
      <c r="EF192" s="3236">
        <f>VLOOKUP($E192,EE$442:EH$453,2,FALSE)*EE192*($K192)+IF($G192&lt;&gt;0,($H192/$G192)*EE192,0)*(1-$K192)</f>
        <v>28612</v>
      </c>
      <c r="EG192" s="3236">
        <f>VLOOKUP($E192,EE$442:EH$453,3,FALSE)*EE192*($K192)+IF($G192&lt;&gt;0,($I192/$G192)*EE192,0)*(1-$K192)</f>
        <v>0</v>
      </c>
      <c r="EH192" s="3236">
        <f>VLOOKUP($E192,EE$442:EH$453,4,FALSE)*EE192*($K192)+(EE192-EF192-EG192)*(1-$K192)</f>
        <v>0</v>
      </c>
      <c r="EI192" s="3264"/>
      <c r="EL192" s="3434">
        <f>VLOOKUP($A192,'New Resources - Group'!$A$4:$Y$133,EL$2,FALSE)*EL$1</f>
        <v>0</v>
      </c>
      <c r="EM192" s="3235">
        <f>$G192+EL192</f>
        <v>28612</v>
      </c>
      <c r="EN192" s="3236">
        <f>VLOOKUP($E192,EM$442:EP$453,2,FALSE)*EM192*($K192)+IF($G192&lt;&gt;0,($H192/$G192)*EM192,0)*(1-$K192)</f>
        <v>28612</v>
      </c>
      <c r="EO192" s="3236">
        <f>VLOOKUP($E192,EM$442:EP$453,3,FALSE)*EM192*($K192)+IF($G192&lt;&gt;0,($I192/$G192)*EM192,0)*(1-$K192)</f>
        <v>0</v>
      </c>
      <c r="EP192" s="3236">
        <f>VLOOKUP($E192,EM$442:EP$453,4,FALSE)*EM192*($K192)+(EM192-EN192-EO192)*(1-$K192)</f>
        <v>0</v>
      </c>
      <c r="EQ192" s="3264"/>
      <c r="ET192" s="3434">
        <f>VLOOKUP($A192,'New Resources - Group'!$A$4:$Y$133,ET$2,FALSE)*ET$1</f>
        <v>0</v>
      </c>
      <c r="EU192" s="3235">
        <f>$G192+ET192</f>
        <v>28612</v>
      </c>
      <c r="EV192" s="3236">
        <f>VLOOKUP($E192,EU$442:EX$453,2,FALSE)*EU192*($K192)+IF($G192&lt;&gt;0,($H192/$G192)*EU192,0)*(1-$K192)</f>
        <v>28612</v>
      </c>
      <c r="EW192" s="3236">
        <f>VLOOKUP($E192,EU$442:EX$453,3,FALSE)*EU192*($K192)+IF($G192&lt;&gt;0,($I192/$G192)*EU192,0)*(1-$K192)</f>
        <v>0</v>
      </c>
      <c r="EX192" s="3236">
        <f>VLOOKUP($E192,EU$442:EX$453,4,FALSE)*EU192*($K192)+(EU192-EV192-EW192)*(1-$K192)</f>
        <v>0</v>
      </c>
      <c r="EY192" s="3264"/>
      <c r="FB192" s="3434">
        <f>VLOOKUP($A192,'New Resources - Group'!$A$4:$Y$133,FB$2,FALSE)*FB$1</f>
        <v>0</v>
      </c>
      <c r="FC192" s="3235">
        <f>$G192+FB192</f>
        <v>28612</v>
      </c>
      <c r="FD192" s="3236">
        <f>VLOOKUP($E192,FC$442:FF$453,2,FALSE)*FC192*($K192)+IF($G192&lt;&gt;0,($H192/$G192)*FC192,0)*(1-$K192)</f>
        <v>28612</v>
      </c>
      <c r="FE192" s="3236">
        <f>VLOOKUP($E192,FC$442:FF$453,3,FALSE)*FC192*($K192)+IF($G192&lt;&gt;0,($I192/$G192)*FC192,0)*(1-$K192)</f>
        <v>0</v>
      </c>
      <c r="FF192" s="3236">
        <f>VLOOKUP($E192,FC$442:FF$453,4,FALSE)*FC192*($K192)+(FC192-FD192-FE192)*(1-$K192)</f>
        <v>0</v>
      </c>
      <c r="FG192" s="3264"/>
      <c r="FJ192" s="3434">
        <f>VLOOKUP($A192,'New Resources - Group'!$A$4:$Y$133,FJ$2,FALSE)*FJ$1</f>
        <v>0</v>
      </c>
      <c r="FK192" s="3235">
        <f>$G192+FJ192</f>
        <v>28612</v>
      </c>
      <c r="FL192" s="3236">
        <f>VLOOKUP($E192,FK$442:FN$453,2,FALSE)*FK192*($K192)+IF($G192&lt;&gt;0,($H192/$G192)*FK192,0)*(1-$K192)</f>
        <v>28612</v>
      </c>
      <c r="FM192" s="3236">
        <f>VLOOKUP($E192,FK$442:FN$453,3,FALSE)*FK192*($K192)+IF($G192&lt;&gt;0,($I192/$G192)*FK192,0)*(1-$K192)</f>
        <v>0</v>
      </c>
      <c r="FN192" s="3236">
        <f>VLOOKUP($E192,FK$442:FN$453,4,FALSE)*FK192*($K192)+(FK192-FL192-FM192)*(1-$K192)</f>
        <v>0</v>
      </c>
      <c r="FO192" s="3264"/>
    </row>
    <row r="193" spans="1:171">
      <c r="A193" s="3480">
        <v>820</v>
      </c>
      <c r="B193" s="2185" t="s">
        <v>265</v>
      </c>
      <c r="C193" s="2464" t="s">
        <v>72</v>
      </c>
      <c r="D193" s="2464">
        <v>557</v>
      </c>
      <c r="E193" s="2424" t="str">
        <f>'Sch 3 - Expenses'!E33</f>
        <v>PROD</v>
      </c>
      <c r="F193" s="2171"/>
      <c r="G193" s="2424">
        <f>'Sch 3 - Expenses'!G33</f>
        <v>94142017</v>
      </c>
      <c r="H193" s="2424">
        <f>'Sch 3 - Expenses'!H33</f>
        <v>94142017</v>
      </c>
      <c r="I193" s="2424">
        <f>'Sch 3 - Expenses'!I33</f>
        <v>0</v>
      </c>
      <c r="J193" s="3465">
        <f>'Sch 3 - Expenses'!J33</f>
        <v>0</v>
      </c>
      <c r="K193" s="3205">
        <f t="shared" si="547"/>
        <v>1</v>
      </c>
      <c r="N193" s="3434">
        <f>VLOOKUP($A193,'New Resources - Group'!$A$4:$Y$133,N$2,FALSE)*N$1</f>
        <v>0</v>
      </c>
      <c r="O193" s="3235">
        <f>$G193+N193</f>
        <v>94142017</v>
      </c>
      <c r="P193" s="3236">
        <f>VLOOKUP($E193,O$442:R$453,2,FALSE)*O193*($K193)+IF($G193&lt;&gt;0,($H193/$G193)*O193,0)*(1-$K193)</f>
        <v>94142017</v>
      </c>
      <c r="Q193" s="3236">
        <f>VLOOKUP($E193,O$442:R$453,3,FALSE)*O193*($K193)+IF($G193&lt;&gt;0,($I193/$G193)*O193,0)*(1-$K193)</f>
        <v>0</v>
      </c>
      <c r="R193" s="3236">
        <f>VLOOKUP($E193,O$442:R$453,4,FALSE)*O193*($K193)+(O193-P193-Q193)*(1-$K193)</f>
        <v>0</v>
      </c>
      <c r="S193" s="3264"/>
      <c r="V193" s="3434">
        <f>VLOOKUP($A193,'New Resources - Group'!$A$4:$Y$133,V$2,FALSE)*V$1</f>
        <v>0</v>
      </c>
      <c r="W193" s="3235">
        <f>$G193+V193</f>
        <v>94142017</v>
      </c>
      <c r="X193" s="3236">
        <f>VLOOKUP($E193,W$442:Z$453,2,FALSE)*W193*($K193)+IF($G193&lt;&gt;0,($H193/$G193)*W193,0)*(1-$K193)</f>
        <v>94142017</v>
      </c>
      <c r="Y193" s="3236">
        <f>VLOOKUP($E193,W$442:Z$453,3,FALSE)*W193*($K193)+IF($G193&lt;&gt;0,($I193/$G193)*W193,0)*(1-$K193)</f>
        <v>0</v>
      </c>
      <c r="Z193" s="3236">
        <f>VLOOKUP($E193,W$442:Z$453,4,FALSE)*W193*($K193)+(W193-X193-Y193)*(1-$K193)</f>
        <v>0</v>
      </c>
      <c r="AA193" s="3264"/>
      <c r="AD193" s="3434">
        <f>VLOOKUP($A193,'New Resources - Group'!$A$4:$Y$133,AD$2,FALSE)*AD$1</f>
        <v>0</v>
      </c>
      <c r="AE193" s="3235">
        <f>$G193+AD193</f>
        <v>94142017</v>
      </c>
      <c r="AF193" s="3236">
        <f>VLOOKUP($E193,AE$442:AH$453,2,FALSE)*AE193*($K193)+IF($G193&lt;&gt;0,($H193/$G193)*AE193,0)*(1-$K193)</f>
        <v>94142017</v>
      </c>
      <c r="AG193" s="3236">
        <f>VLOOKUP($E193,AE$442:AH$453,3,FALSE)*AE193*($K193)+IF($G193&lt;&gt;0,($I193/$G193)*AE193,0)*(1-$K193)</f>
        <v>0</v>
      </c>
      <c r="AH193" s="3236">
        <f>VLOOKUP($E193,AE$442:AH$453,4,FALSE)*AE193*($K193)+(AE193-AF193-AG193)*(1-$K193)</f>
        <v>0</v>
      </c>
      <c r="AI193" s="3264"/>
      <c r="AL193" s="3434">
        <f>VLOOKUP($A193,'New Resources - Group'!$A$4:$Y$133,AL$2,FALSE)*AL$1</f>
        <v>0</v>
      </c>
      <c r="AM193" s="3235">
        <f>$G193+AL193</f>
        <v>94142017</v>
      </c>
      <c r="AN193" s="3236">
        <f>VLOOKUP($E193,AM$442:AP$453,2,FALSE)*AM193*($K193)+IF($G193&lt;&gt;0,($H193/$G193)*AM193,0)*(1-$K193)</f>
        <v>94142017</v>
      </c>
      <c r="AO193" s="3236">
        <f>VLOOKUP($E193,AM$442:AP$453,3,FALSE)*AM193*($K193)+IF($G193&lt;&gt;0,($I193/$G193)*AM193,0)*(1-$K193)</f>
        <v>0</v>
      </c>
      <c r="AP193" s="3236">
        <f>VLOOKUP($E193,AM$442:AP$453,4,FALSE)*AM193*($K193)+(AM193-AN193-AO193)*(1-$K193)</f>
        <v>0</v>
      </c>
      <c r="AQ193" s="3264"/>
      <c r="AT193" s="3434">
        <f>VLOOKUP($A193,'New Resources - Group'!$A$4:$Y$133,AT$2,FALSE)*AT$1</f>
        <v>0</v>
      </c>
      <c r="AU193" s="3235">
        <f>$G193+AT193</f>
        <v>94142017</v>
      </c>
      <c r="AV193" s="3236">
        <f>VLOOKUP($E193,AU$442:AX$453,2,FALSE)*AU193*($K193)+IF($G193&lt;&gt;0,($H193/$G193)*AU193,0)*(1-$K193)</f>
        <v>94142017</v>
      </c>
      <c r="AW193" s="3236">
        <f>VLOOKUP($E193,AU$442:AX$453,3,FALSE)*AU193*($K193)+IF($G193&lt;&gt;0,($I193/$G193)*AU193,0)*(1-$K193)</f>
        <v>0</v>
      </c>
      <c r="AX193" s="3236">
        <f>VLOOKUP($E193,AU$442:AX$453,4,FALSE)*AU193*($K193)+(AU193-AV193-AW193)*(1-$K193)</f>
        <v>0</v>
      </c>
      <c r="AY193" s="3264"/>
      <c r="BB193" s="3434">
        <f>VLOOKUP($A193,'New Resources - Group'!$A$4:$Y$133,BB$2,FALSE)*BB$1</f>
        <v>0</v>
      </c>
      <c r="BC193" s="3235">
        <f>$G193+BB193</f>
        <v>94142017</v>
      </c>
      <c r="BD193" s="3236">
        <f>VLOOKUP($E193,BC$442:BF$453,2,FALSE)*BC193*($K193)+IF($G193&lt;&gt;0,($H193/$G193)*BC193,0)*(1-$K193)</f>
        <v>94142017</v>
      </c>
      <c r="BE193" s="3236">
        <f>VLOOKUP($E193,BC$442:BF$453,3,FALSE)*BC193*($K193)+IF($G193&lt;&gt;0,($I193/$G193)*BC193,0)*(1-$K193)</f>
        <v>0</v>
      </c>
      <c r="BF193" s="3236">
        <f>VLOOKUP($E193,BC$442:BF$453,4,FALSE)*BC193*($K193)+(BC193-BD193-BE193)*(1-$K193)</f>
        <v>0</v>
      </c>
      <c r="BG193" s="3264"/>
      <c r="BJ193" s="3434">
        <f>VLOOKUP($A193,'New Resources - Group'!$A$4:$Y$133,BJ$2,FALSE)*BJ$1</f>
        <v>0</v>
      </c>
      <c r="BK193" s="3235">
        <f>$G193+BJ193</f>
        <v>94142017</v>
      </c>
      <c r="BL193" s="3236">
        <f>VLOOKUP($E193,BK$442:BN$453,2,FALSE)*BK193*($K193)+IF($G193&lt;&gt;0,($H193/$G193)*BK193,0)*(1-$K193)</f>
        <v>94142017</v>
      </c>
      <c r="BM193" s="3236">
        <f>VLOOKUP($E193,BK$442:BN$453,3,FALSE)*BK193*($K193)+IF($G193&lt;&gt;0,($I193/$G193)*BK193,0)*(1-$K193)</f>
        <v>0</v>
      </c>
      <c r="BN193" s="3236">
        <f>VLOOKUP($E193,BK$442:BN$453,4,FALSE)*BK193*($K193)+(BK193-BL193-BM193)*(1-$K193)</f>
        <v>0</v>
      </c>
      <c r="BO193" s="3264"/>
      <c r="BR193" s="3434">
        <f>VLOOKUP($A193,'New Resources - Group'!$A$4:$Y$133,BR$2,FALSE)*BR$1</f>
        <v>0</v>
      </c>
      <c r="BS193" s="3235">
        <f>$G193+BR193</f>
        <v>94142017</v>
      </c>
      <c r="BT193" s="3236">
        <f>VLOOKUP($E193,BS$442:BV$453,2,FALSE)*BS193*($K193)+IF($G193&lt;&gt;0,($H193/$G193)*BS193,0)*(1-$K193)</f>
        <v>94142017</v>
      </c>
      <c r="BU193" s="3236">
        <f>VLOOKUP($E193,BS$442:BV$453,3,FALSE)*BS193*($K193)+IF($G193&lt;&gt;0,($I193/$G193)*BS193,0)*(1-$K193)</f>
        <v>0</v>
      </c>
      <c r="BV193" s="3236">
        <f>VLOOKUP($E193,BS$442:BV$453,4,FALSE)*BS193*($K193)+(BS193-BT193-BU193)*(1-$K193)</f>
        <v>0</v>
      </c>
      <c r="BW193" s="3264"/>
      <c r="BZ193" s="3434">
        <f>VLOOKUP($A193,'New Resources - Group'!$A$4:$Y$133,BZ$2,FALSE)*BZ$1</f>
        <v>0</v>
      </c>
      <c r="CA193" s="3235">
        <f>$G193+BZ193</f>
        <v>94142017</v>
      </c>
      <c r="CB193" s="3236">
        <f>VLOOKUP($E193,CA$442:CD$453,2,FALSE)*CA193*($K193)+IF($G193&lt;&gt;0,($H193/$G193)*CA193,0)*(1-$K193)</f>
        <v>94142017</v>
      </c>
      <c r="CC193" s="3236">
        <f>VLOOKUP($E193,CA$442:CD$453,3,FALSE)*CA193*($K193)+IF($G193&lt;&gt;0,($I193/$G193)*CA193,0)*(1-$K193)</f>
        <v>0</v>
      </c>
      <c r="CD193" s="3236">
        <f>VLOOKUP($E193,CA$442:CD$453,4,FALSE)*CA193*($K193)+(CA193-CB193-CC193)*(1-$K193)</f>
        <v>0</v>
      </c>
      <c r="CE193" s="3264"/>
      <c r="CH193" s="3434">
        <f>VLOOKUP($A193,'New Resources - Group'!$A$4:$Y$133,CH$2,FALSE)*CH$1</f>
        <v>0</v>
      </c>
      <c r="CI193" s="3235">
        <f>$G193+CH193</f>
        <v>94142017</v>
      </c>
      <c r="CJ193" s="3236">
        <f>VLOOKUP($E193,CI$442:CL$453,2,FALSE)*CI193*($K193)+IF($G193&lt;&gt;0,($H193/$G193)*CI193,0)*(1-$K193)</f>
        <v>94142017</v>
      </c>
      <c r="CK193" s="3236">
        <f>VLOOKUP($E193,CI$442:CL$453,3,FALSE)*CI193*($K193)+IF($G193&lt;&gt;0,($I193/$G193)*CI193,0)*(1-$K193)</f>
        <v>0</v>
      </c>
      <c r="CL193" s="3236">
        <f>VLOOKUP($E193,CI$442:CL$453,4,FALSE)*CI193*($K193)+(CI193-CJ193-CK193)*(1-$K193)</f>
        <v>0</v>
      </c>
      <c r="CM193" s="3264"/>
      <c r="CP193" s="3434">
        <f>VLOOKUP($A193,'New Resources - Group'!$A$4:$Y$133,CP$2,FALSE)*CP$1</f>
        <v>0</v>
      </c>
      <c r="CQ193" s="3235">
        <f>$G193+CP193</f>
        <v>94142017</v>
      </c>
      <c r="CR193" s="3236">
        <f>VLOOKUP($E193,CQ$442:CT$453,2,FALSE)*CQ193*($K193)+IF($G193&lt;&gt;0,($H193/$G193)*CQ193,0)*(1-$K193)</f>
        <v>94142017</v>
      </c>
      <c r="CS193" s="3236">
        <f>VLOOKUP($E193,CQ$442:CT$453,3,FALSE)*CQ193*($K193)+IF($G193&lt;&gt;0,($I193/$G193)*CQ193,0)*(1-$K193)</f>
        <v>0</v>
      </c>
      <c r="CT193" s="3236">
        <f>VLOOKUP($E193,CQ$442:CT$453,4,FALSE)*CQ193*($K193)+(CQ193-CR193-CS193)*(1-$K193)</f>
        <v>0</v>
      </c>
      <c r="CU193" s="3264"/>
      <c r="CX193" s="3434">
        <f>VLOOKUP($A193,'New Resources - Group'!$A$4:$Y$133,CX$2,FALSE)*CX$1</f>
        <v>0</v>
      </c>
      <c r="CY193" s="3235">
        <f>$G193+CX193</f>
        <v>94142017</v>
      </c>
      <c r="CZ193" s="3236">
        <f>VLOOKUP($E193,CY$442:DB$453,2,FALSE)*CY193*($K193)+IF($G193&lt;&gt;0,($H193/$G193)*CY193,0)*(1-$K193)</f>
        <v>94142017</v>
      </c>
      <c r="DA193" s="3236">
        <f>VLOOKUP($E193,CY$442:DB$453,3,FALSE)*CY193*($K193)+IF($G193&lt;&gt;0,($I193/$G193)*CY193,0)*(1-$K193)</f>
        <v>0</v>
      </c>
      <c r="DB193" s="3236">
        <f>VLOOKUP($E193,CY$442:DB$453,4,FALSE)*CY193*($K193)+(CY193-CZ193-DA193)*(1-$K193)</f>
        <v>0</v>
      </c>
      <c r="DC193" s="3264"/>
      <c r="DF193" s="3434">
        <f>VLOOKUP($A193,'New Resources - Group'!$A$4:$Y$133,DF$2,FALSE)*DF$1</f>
        <v>0</v>
      </c>
      <c r="DG193" s="3235">
        <f>$G193+DF193</f>
        <v>94142017</v>
      </c>
      <c r="DH193" s="3236">
        <f>VLOOKUP($E193,DG$442:DJ$453,2,FALSE)*DG193*($K193)+IF($G193&lt;&gt;0,($H193/$G193)*DG193,0)*(1-$K193)</f>
        <v>94142017</v>
      </c>
      <c r="DI193" s="3236">
        <f>VLOOKUP($E193,DG$442:DJ$453,3,FALSE)*DG193*($K193)+IF($G193&lt;&gt;0,($I193/$G193)*DG193,0)*(1-$K193)</f>
        <v>0</v>
      </c>
      <c r="DJ193" s="3236">
        <f>VLOOKUP($E193,DG$442:DJ$453,4,FALSE)*DG193*($K193)+(DG193-DH193-DI193)*(1-$K193)</f>
        <v>0</v>
      </c>
      <c r="DK193" s="3264"/>
      <c r="DN193" s="3434">
        <f>VLOOKUP($A193,'New Resources - Group'!$A$4:$Y$133,DN$2,FALSE)*DN$1</f>
        <v>0</v>
      </c>
      <c r="DO193" s="3235">
        <f>$G193+DN193</f>
        <v>94142017</v>
      </c>
      <c r="DP193" s="3236">
        <f>VLOOKUP($E193,DO$442:DR$453,2,FALSE)*DO193*($K193)+IF($G193&lt;&gt;0,($H193/$G193)*DO193,0)*(1-$K193)</f>
        <v>94142017</v>
      </c>
      <c r="DQ193" s="3236">
        <f>VLOOKUP($E193,DO$442:DR$453,3,FALSE)*DO193*($K193)+IF($G193&lt;&gt;0,($I193/$G193)*DO193,0)*(1-$K193)</f>
        <v>0</v>
      </c>
      <c r="DR193" s="3236">
        <f>VLOOKUP($E193,DO$442:DR$453,4,FALSE)*DO193*($K193)+(DO193-DP193-DQ193)*(1-$K193)</f>
        <v>0</v>
      </c>
      <c r="DS193" s="3264"/>
      <c r="DV193" s="3434">
        <f>VLOOKUP($A193,'New Resources - Group'!$A$4:$Y$133,DV$2,FALSE)*DV$1</f>
        <v>0</v>
      </c>
      <c r="DW193" s="3235">
        <f>$G193+DV193</f>
        <v>94142017</v>
      </c>
      <c r="DX193" s="3236">
        <f>VLOOKUP($E193,DW$442:DZ$453,2,FALSE)*DW193*($K193)+IF($G193&lt;&gt;0,($H193/$G193)*DW193,0)*(1-$K193)</f>
        <v>94142017</v>
      </c>
      <c r="DY193" s="3236">
        <f>VLOOKUP($E193,DW$442:DZ$453,3,FALSE)*DW193*($K193)+IF($G193&lt;&gt;0,($I193/$G193)*DW193,0)*(1-$K193)</f>
        <v>0</v>
      </c>
      <c r="DZ193" s="3236">
        <f>VLOOKUP($E193,DW$442:DZ$453,4,FALSE)*DW193*($K193)+(DW193-DX193-DY193)*(1-$K193)</f>
        <v>0</v>
      </c>
      <c r="EA193" s="3264"/>
      <c r="ED193" s="3434">
        <f>VLOOKUP($A193,'New Resources - Group'!$A$4:$Y$133,ED$2,FALSE)*ED$1</f>
        <v>0</v>
      </c>
      <c r="EE193" s="3235">
        <f>$G193+ED193</f>
        <v>94142017</v>
      </c>
      <c r="EF193" s="3236">
        <f>VLOOKUP($E193,EE$442:EH$453,2,FALSE)*EE193*($K193)+IF($G193&lt;&gt;0,($H193/$G193)*EE193,0)*(1-$K193)</f>
        <v>94142017</v>
      </c>
      <c r="EG193" s="3236">
        <f>VLOOKUP($E193,EE$442:EH$453,3,FALSE)*EE193*($K193)+IF($G193&lt;&gt;0,($I193/$G193)*EE193,0)*(1-$K193)</f>
        <v>0</v>
      </c>
      <c r="EH193" s="3236">
        <f>VLOOKUP($E193,EE$442:EH$453,4,FALSE)*EE193*($K193)+(EE193-EF193-EG193)*(1-$K193)</f>
        <v>0</v>
      </c>
      <c r="EI193" s="3264"/>
      <c r="EL193" s="3434">
        <f>VLOOKUP($A193,'New Resources - Group'!$A$4:$Y$133,EL$2,FALSE)*EL$1</f>
        <v>0</v>
      </c>
      <c r="EM193" s="3235">
        <f>$G193+EL193</f>
        <v>94142017</v>
      </c>
      <c r="EN193" s="3236">
        <f>VLOOKUP($E193,EM$442:EP$453,2,FALSE)*EM193*($K193)+IF($G193&lt;&gt;0,($H193/$G193)*EM193,0)*(1-$K193)</f>
        <v>94142017</v>
      </c>
      <c r="EO193" s="3236">
        <f>VLOOKUP($E193,EM$442:EP$453,3,FALSE)*EM193*($K193)+IF($G193&lt;&gt;0,($I193/$G193)*EM193,0)*(1-$K193)</f>
        <v>0</v>
      </c>
      <c r="EP193" s="3236">
        <f>VLOOKUP($E193,EM$442:EP$453,4,FALSE)*EM193*($K193)+(EM193-EN193-EO193)*(1-$K193)</f>
        <v>0</v>
      </c>
      <c r="EQ193" s="3264"/>
      <c r="ET193" s="3434">
        <f>VLOOKUP($A193,'New Resources - Group'!$A$4:$Y$133,ET$2,FALSE)*ET$1</f>
        <v>0</v>
      </c>
      <c r="EU193" s="3235">
        <f>$G193+ET193</f>
        <v>94142017</v>
      </c>
      <c r="EV193" s="3236">
        <f>VLOOKUP($E193,EU$442:EX$453,2,FALSE)*EU193*($K193)+IF($G193&lt;&gt;0,($H193/$G193)*EU193,0)*(1-$K193)</f>
        <v>94142017</v>
      </c>
      <c r="EW193" s="3236">
        <f>VLOOKUP($E193,EU$442:EX$453,3,FALSE)*EU193*($K193)+IF($G193&lt;&gt;0,($I193/$G193)*EU193,0)*(1-$K193)</f>
        <v>0</v>
      </c>
      <c r="EX193" s="3236">
        <f>VLOOKUP($E193,EU$442:EX$453,4,FALSE)*EU193*($K193)+(EU193-EV193-EW193)*(1-$K193)</f>
        <v>0</v>
      </c>
      <c r="EY193" s="3264"/>
      <c r="FB193" s="3434">
        <f>VLOOKUP($A193,'New Resources - Group'!$A$4:$Y$133,FB$2,FALSE)*FB$1</f>
        <v>0</v>
      </c>
      <c r="FC193" s="3235">
        <f>$G193+FB193</f>
        <v>94142017</v>
      </c>
      <c r="FD193" s="3236">
        <f>VLOOKUP($E193,FC$442:FF$453,2,FALSE)*FC193*($K193)+IF($G193&lt;&gt;0,($H193/$G193)*FC193,0)*(1-$K193)</f>
        <v>94142017</v>
      </c>
      <c r="FE193" s="3236">
        <f>VLOOKUP($E193,FC$442:FF$453,3,FALSE)*FC193*($K193)+IF($G193&lt;&gt;0,($I193/$G193)*FC193,0)*(1-$K193)</f>
        <v>0</v>
      </c>
      <c r="FF193" s="3236">
        <f>VLOOKUP($E193,FC$442:FF$453,4,FALSE)*FC193*($K193)+(FC193-FD193-FE193)*(1-$K193)</f>
        <v>0</v>
      </c>
      <c r="FG193" s="3264"/>
      <c r="FJ193" s="3434">
        <f>VLOOKUP($A193,'New Resources - Group'!$A$4:$Y$133,FJ$2,FALSE)*FJ$1</f>
        <v>0</v>
      </c>
      <c r="FK193" s="3235">
        <f>$G193+FJ193</f>
        <v>94142017</v>
      </c>
      <c r="FL193" s="3236">
        <f>VLOOKUP($E193,FK$442:FN$453,2,FALSE)*FK193*($K193)+IF($G193&lt;&gt;0,($H193/$G193)*FK193,0)*(1-$K193)</f>
        <v>94142017</v>
      </c>
      <c r="FM193" s="3236">
        <f>VLOOKUP($E193,FK$442:FN$453,3,FALSE)*FK193*($K193)+IF($G193&lt;&gt;0,($I193/$G193)*FK193,0)*(1-$K193)</f>
        <v>0</v>
      </c>
      <c r="FN193" s="3236">
        <f>VLOOKUP($E193,FK$442:FN$453,4,FALSE)*FK193*($K193)+(FK193-FL193-FM193)*(1-$K193)</f>
        <v>0</v>
      </c>
      <c r="FO193" s="3264"/>
    </row>
    <row r="194" spans="1:171">
      <c r="A194" s="2092"/>
      <c r="B194" s="2103" t="s">
        <v>52</v>
      </c>
      <c r="C194" s="2464">
        <v>327</v>
      </c>
      <c r="D194" s="2464">
        <v>555</v>
      </c>
      <c r="E194" s="2424" t="str">
        <f>'Sch 3 - Expenses'!E34</f>
        <v>PROD</v>
      </c>
      <c r="F194" s="2171"/>
      <c r="G194" s="2424">
        <f>'Sch 3 - Expenses'!G34</f>
        <v>0</v>
      </c>
      <c r="H194" s="2424">
        <f>'Sch 3 - Expenses'!H34</f>
        <v>0</v>
      </c>
      <c r="I194" s="2424">
        <f>'Sch 3 - Expenses'!I34</f>
        <v>0</v>
      </c>
      <c r="J194" s="3465">
        <f>'Sch 3 - Expenses'!J34</f>
        <v>0</v>
      </c>
      <c r="K194" s="3205">
        <f t="shared" si="547"/>
        <v>1</v>
      </c>
      <c r="O194" s="3235">
        <f>$G194</f>
        <v>0</v>
      </c>
      <c r="P194" s="3236">
        <f>VLOOKUP($E194,O$442:R$453,2,FALSE)*O194*($K194)+IF($G194&lt;&gt;0,($H194/$G194)*O194,0)*(1-$K194)</f>
        <v>0</v>
      </c>
      <c r="Q194" s="3236">
        <f>VLOOKUP($E194,O$442:R$453,3,FALSE)*O194*($K194)+IF($G194&lt;&gt;0,($I194/$G194)*O194,0)*(1-$K194)</f>
        <v>0</v>
      </c>
      <c r="R194" s="3236">
        <f>VLOOKUP($E194,O$442:R$453,4,FALSE)*O194*($K194)+(O194-P194-Q194)*(1-$K194)</f>
        <v>0</v>
      </c>
      <c r="S194" s="3264"/>
      <c r="W194" s="3235">
        <f>$G194</f>
        <v>0</v>
      </c>
      <c r="X194" s="3236">
        <f>VLOOKUP($E194,W$442:Z$453,2,FALSE)*W194*($K194)+IF($G194&lt;&gt;0,($H194/$G194)*W194,0)*(1-$K194)</f>
        <v>0</v>
      </c>
      <c r="Y194" s="3236">
        <f>VLOOKUP($E194,W$442:Z$453,3,FALSE)*W194*($K194)+IF($G194&lt;&gt;0,($I194/$G194)*W194,0)*(1-$K194)</f>
        <v>0</v>
      </c>
      <c r="Z194" s="3236">
        <f>VLOOKUP($E194,W$442:Z$453,4,FALSE)*W194*($K194)+(W194-X194-Y194)*(1-$K194)</f>
        <v>0</v>
      </c>
      <c r="AA194" s="3264"/>
      <c r="AE194" s="3235">
        <f>$G194</f>
        <v>0</v>
      </c>
      <c r="AF194" s="3236">
        <f>VLOOKUP($E194,AE$442:AH$453,2,FALSE)*AE194*($K194)+IF($G194&lt;&gt;0,($H194/$G194)*AE194,0)*(1-$K194)</f>
        <v>0</v>
      </c>
      <c r="AG194" s="3236">
        <f>VLOOKUP($E194,AE$442:AH$453,3,FALSE)*AE194*($K194)+IF($G194&lt;&gt;0,($I194/$G194)*AE194,0)*(1-$K194)</f>
        <v>0</v>
      </c>
      <c r="AH194" s="3236">
        <f>VLOOKUP($E194,AE$442:AH$453,4,FALSE)*AE194*($K194)+(AE194-AF194-AG194)*(1-$K194)</f>
        <v>0</v>
      </c>
      <c r="AI194" s="3264"/>
      <c r="AM194" s="3235">
        <f>$G194</f>
        <v>0</v>
      </c>
      <c r="AN194" s="3236">
        <f>VLOOKUP($E194,AM$442:AP$453,2,FALSE)*AM194*($K194)+IF($G194&lt;&gt;0,($H194/$G194)*AM194,0)*(1-$K194)</f>
        <v>0</v>
      </c>
      <c r="AO194" s="3236">
        <f>VLOOKUP($E194,AM$442:AP$453,3,FALSE)*AM194*($K194)+IF($G194&lt;&gt;0,($I194/$G194)*AM194,0)*(1-$K194)</f>
        <v>0</v>
      </c>
      <c r="AP194" s="3236">
        <f>VLOOKUP($E194,AM$442:AP$453,4,FALSE)*AM194*($K194)+(AM194-AN194-AO194)*(1-$K194)</f>
        <v>0</v>
      </c>
      <c r="AQ194" s="3264"/>
      <c r="AU194" s="3235">
        <f>$G194</f>
        <v>0</v>
      </c>
      <c r="AV194" s="3236">
        <f>VLOOKUP($E194,AU$442:AX$453,2,FALSE)*AU194*($K194)+IF($G194&lt;&gt;0,($H194/$G194)*AU194,0)*(1-$K194)</f>
        <v>0</v>
      </c>
      <c r="AW194" s="3236">
        <f>VLOOKUP($E194,AU$442:AX$453,3,FALSE)*AU194*($K194)+IF($G194&lt;&gt;0,($I194/$G194)*AU194,0)*(1-$K194)</f>
        <v>0</v>
      </c>
      <c r="AX194" s="3236">
        <f>VLOOKUP($E194,AU$442:AX$453,4,FALSE)*AU194*($K194)+(AU194-AV194-AW194)*(1-$K194)</f>
        <v>0</v>
      </c>
      <c r="AY194" s="3264"/>
      <c r="BC194" s="3235">
        <f>$G194</f>
        <v>0</v>
      </c>
      <c r="BD194" s="3236">
        <f>VLOOKUP($E194,BC$442:BF$453,2,FALSE)*BC194*($K194)+IF($G194&lt;&gt;0,($H194/$G194)*BC194,0)*(1-$K194)</f>
        <v>0</v>
      </c>
      <c r="BE194" s="3236">
        <f>VLOOKUP($E194,BC$442:BF$453,3,FALSE)*BC194*($K194)+IF($G194&lt;&gt;0,($I194/$G194)*BC194,0)*(1-$K194)</f>
        <v>0</v>
      </c>
      <c r="BF194" s="3236">
        <f>VLOOKUP($E194,BC$442:BF$453,4,FALSE)*BC194*($K194)+(BC194-BD194-BE194)*(1-$K194)</f>
        <v>0</v>
      </c>
      <c r="BG194" s="3264"/>
      <c r="BK194" s="3235">
        <f>$G194</f>
        <v>0</v>
      </c>
      <c r="BL194" s="3236">
        <f>VLOOKUP($E194,BK$442:BN$453,2,FALSE)*BK194*($K194)+IF($G194&lt;&gt;0,($H194/$G194)*BK194,0)*(1-$K194)</f>
        <v>0</v>
      </c>
      <c r="BM194" s="3236">
        <f>VLOOKUP($E194,BK$442:BN$453,3,FALSE)*BK194*($K194)+IF($G194&lt;&gt;0,($I194/$G194)*BK194,0)*(1-$K194)</f>
        <v>0</v>
      </c>
      <c r="BN194" s="3236">
        <f>VLOOKUP($E194,BK$442:BN$453,4,FALSE)*BK194*($K194)+(BK194-BL194-BM194)*(1-$K194)</f>
        <v>0</v>
      </c>
      <c r="BO194" s="3264"/>
      <c r="BS194" s="3235">
        <f>$G194</f>
        <v>0</v>
      </c>
      <c r="BT194" s="3236">
        <f>VLOOKUP($E194,BS$442:BV$453,2,FALSE)*BS194*($K194)+IF($G194&lt;&gt;0,($H194/$G194)*BS194,0)*(1-$K194)</f>
        <v>0</v>
      </c>
      <c r="BU194" s="3236">
        <f>VLOOKUP($E194,BS$442:BV$453,3,FALSE)*BS194*($K194)+IF($G194&lt;&gt;0,($I194/$G194)*BS194,0)*(1-$K194)</f>
        <v>0</v>
      </c>
      <c r="BV194" s="3236">
        <f>VLOOKUP($E194,BS$442:BV$453,4,FALSE)*BS194*($K194)+(BS194-BT194-BU194)*(1-$K194)</f>
        <v>0</v>
      </c>
      <c r="BW194" s="3264"/>
      <c r="CA194" s="3235">
        <f>$G194</f>
        <v>0</v>
      </c>
      <c r="CB194" s="3236">
        <f>VLOOKUP($E194,CA$442:CD$453,2,FALSE)*CA194*($K194)+IF($G194&lt;&gt;0,($H194/$G194)*CA194,0)*(1-$K194)</f>
        <v>0</v>
      </c>
      <c r="CC194" s="3236">
        <f>VLOOKUP($E194,CA$442:CD$453,3,FALSE)*CA194*($K194)+IF($G194&lt;&gt;0,($I194/$G194)*CA194,0)*(1-$K194)</f>
        <v>0</v>
      </c>
      <c r="CD194" s="3236">
        <f>VLOOKUP($E194,CA$442:CD$453,4,FALSE)*CA194*($K194)+(CA194-CB194-CC194)*(1-$K194)</f>
        <v>0</v>
      </c>
      <c r="CE194" s="3264"/>
      <c r="CI194" s="3235">
        <f>$G194</f>
        <v>0</v>
      </c>
      <c r="CJ194" s="3236">
        <f>VLOOKUP($E194,CI$442:CL$453,2,FALSE)*CI194*($K194)+IF($G194&lt;&gt;0,($H194/$G194)*CI194,0)*(1-$K194)</f>
        <v>0</v>
      </c>
      <c r="CK194" s="3236">
        <f>VLOOKUP($E194,CI$442:CL$453,3,FALSE)*CI194*($K194)+IF($G194&lt;&gt;0,($I194/$G194)*CI194,0)*(1-$K194)</f>
        <v>0</v>
      </c>
      <c r="CL194" s="3236">
        <f>VLOOKUP($E194,CI$442:CL$453,4,FALSE)*CI194*($K194)+(CI194-CJ194-CK194)*(1-$K194)</f>
        <v>0</v>
      </c>
      <c r="CM194" s="3264"/>
      <c r="CQ194" s="3235">
        <f>$G194</f>
        <v>0</v>
      </c>
      <c r="CR194" s="3236">
        <f>VLOOKUP($E194,CQ$442:CT$453,2,FALSE)*CQ194*($K194)+IF($G194&lt;&gt;0,($H194/$G194)*CQ194,0)*(1-$K194)</f>
        <v>0</v>
      </c>
      <c r="CS194" s="3236">
        <f>VLOOKUP($E194,CQ$442:CT$453,3,FALSE)*CQ194*($K194)+IF($G194&lt;&gt;0,($I194/$G194)*CQ194,0)*(1-$K194)</f>
        <v>0</v>
      </c>
      <c r="CT194" s="3236">
        <f>VLOOKUP($E194,CQ$442:CT$453,4,FALSE)*CQ194*($K194)+(CQ194-CR194-CS194)*(1-$K194)</f>
        <v>0</v>
      </c>
      <c r="CU194" s="3264"/>
      <c r="CY194" s="3235">
        <f>$G194</f>
        <v>0</v>
      </c>
      <c r="CZ194" s="3236">
        <f>VLOOKUP($E194,CY$442:DB$453,2,FALSE)*CY194*($K194)+IF($G194&lt;&gt;0,($H194/$G194)*CY194,0)*(1-$K194)</f>
        <v>0</v>
      </c>
      <c r="DA194" s="3236">
        <f>VLOOKUP($E194,CY$442:DB$453,3,FALSE)*CY194*($K194)+IF($G194&lt;&gt;0,($I194/$G194)*CY194,0)*(1-$K194)</f>
        <v>0</v>
      </c>
      <c r="DB194" s="3236">
        <f>VLOOKUP($E194,CY$442:DB$453,4,FALSE)*CY194*($K194)+(CY194-CZ194-DA194)*(1-$K194)</f>
        <v>0</v>
      </c>
      <c r="DC194" s="3264"/>
      <c r="DG194" s="3235">
        <f>$G194</f>
        <v>0</v>
      </c>
      <c r="DH194" s="3236">
        <f>VLOOKUP($E194,DG$442:DJ$453,2,FALSE)*DG194*($K194)+IF($G194&lt;&gt;0,($H194/$G194)*DG194,0)*(1-$K194)</f>
        <v>0</v>
      </c>
      <c r="DI194" s="3236">
        <f>VLOOKUP($E194,DG$442:DJ$453,3,FALSE)*DG194*($K194)+IF($G194&lt;&gt;0,($I194/$G194)*DG194,0)*(1-$K194)</f>
        <v>0</v>
      </c>
      <c r="DJ194" s="3236">
        <f>VLOOKUP($E194,DG$442:DJ$453,4,FALSE)*DG194*($K194)+(DG194-DH194-DI194)*(1-$K194)</f>
        <v>0</v>
      </c>
      <c r="DK194" s="3264"/>
      <c r="DO194" s="3235">
        <f>$G194</f>
        <v>0</v>
      </c>
      <c r="DP194" s="3236">
        <f>VLOOKUP($E194,DO$442:DR$453,2,FALSE)*DO194*($K194)+IF($G194&lt;&gt;0,($H194/$G194)*DO194,0)*(1-$K194)</f>
        <v>0</v>
      </c>
      <c r="DQ194" s="3236">
        <f>VLOOKUP($E194,DO$442:DR$453,3,FALSE)*DO194*($K194)+IF($G194&lt;&gt;0,($I194/$G194)*DO194,0)*(1-$K194)</f>
        <v>0</v>
      </c>
      <c r="DR194" s="3236">
        <f>VLOOKUP($E194,DO$442:DR$453,4,FALSE)*DO194*($K194)+(DO194-DP194-DQ194)*(1-$K194)</f>
        <v>0</v>
      </c>
      <c r="DS194" s="3264"/>
      <c r="DW194" s="3235">
        <f>$G194</f>
        <v>0</v>
      </c>
      <c r="DX194" s="3236">
        <f>VLOOKUP($E194,DW$442:DZ$453,2,FALSE)*DW194*($K194)+IF($G194&lt;&gt;0,($H194/$G194)*DW194,0)*(1-$K194)</f>
        <v>0</v>
      </c>
      <c r="DY194" s="3236">
        <f>VLOOKUP($E194,DW$442:DZ$453,3,FALSE)*DW194*($K194)+IF($G194&lt;&gt;0,($I194/$G194)*DW194,0)*(1-$K194)</f>
        <v>0</v>
      </c>
      <c r="DZ194" s="3236">
        <f>VLOOKUP($E194,DW$442:DZ$453,4,FALSE)*DW194*($K194)+(DW194-DX194-DY194)*(1-$K194)</f>
        <v>0</v>
      </c>
      <c r="EA194" s="3264"/>
      <c r="EE194" s="3235">
        <f>$G194</f>
        <v>0</v>
      </c>
      <c r="EF194" s="3236">
        <f>VLOOKUP($E194,EE$442:EH$453,2,FALSE)*EE194*($K194)+IF($G194&lt;&gt;0,($H194/$G194)*EE194,0)*(1-$K194)</f>
        <v>0</v>
      </c>
      <c r="EG194" s="3236">
        <f>VLOOKUP($E194,EE$442:EH$453,3,FALSE)*EE194*($K194)+IF($G194&lt;&gt;0,($I194/$G194)*EE194,0)*(1-$K194)</f>
        <v>0</v>
      </c>
      <c r="EH194" s="3236">
        <f>VLOOKUP($E194,EE$442:EH$453,4,FALSE)*EE194*($K194)+(EE194-EF194-EG194)*(1-$K194)</f>
        <v>0</v>
      </c>
      <c r="EI194" s="3264"/>
      <c r="EM194" s="3235">
        <f>$G194</f>
        <v>0</v>
      </c>
      <c r="EN194" s="3236">
        <f>VLOOKUP($E194,EM$442:EP$453,2,FALSE)*EM194*($K194)+IF($G194&lt;&gt;0,($H194/$G194)*EM194,0)*(1-$K194)</f>
        <v>0</v>
      </c>
      <c r="EO194" s="3236">
        <f>VLOOKUP($E194,EM$442:EP$453,3,FALSE)*EM194*($K194)+IF($G194&lt;&gt;0,($I194/$G194)*EM194,0)*(1-$K194)</f>
        <v>0</v>
      </c>
      <c r="EP194" s="3236">
        <f>VLOOKUP($E194,EM$442:EP$453,4,FALSE)*EM194*($K194)+(EM194-EN194-EO194)*(1-$K194)</f>
        <v>0</v>
      </c>
      <c r="EQ194" s="3264"/>
      <c r="EU194" s="3235">
        <f>$G194</f>
        <v>0</v>
      </c>
      <c r="EV194" s="3236">
        <f>VLOOKUP($E194,EU$442:EX$453,2,FALSE)*EU194*($K194)+IF($G194&lt;&gt;0,($H194/$G194)*EU194,0)*(1-$K194)</f>
        <v>0</v>
      </c>
      <c r="EW194" s="3236">
        <f>VLOOKUP($E194,EU$442:EX$453,3,FALSE)*EU194*($K194)+IF($G194&lt;&gt;0,($I194/$G194)*EU194,0)*(1-$K194)</f>
        <v>0</v>
      </c>
      <c r="EX194" s="3236">
        <f>VLOOKUP($E194,EU$442:EX$453,4,FALSE)*EU194*($K194)+(EU194-EV194-EW194)*(1-$K194)</f>
        <v>0</v>
      </c>
      <c r="EY194" s="3264"/>
      <c r="FC194" s="3235">
        <f>$G194</f>
        <v>0</v>
      </c>
      <c r="FD194" s="3236">
        <f>VLOOKUP($E194,FC$442:FF$453,2,FALSE)*FC194*($K194)+IF($G194&lt;&gt;0,($H194/$G194)*FC194,0)*(1-$K194)</f>
        <v>0</v>
      </c>
      <c r="FE194" s="3236">
        <f>VLOOKUP($E194,FC$442:FF$453,3,FALSE)*FC194*($K194)+IF($G194&lt;&gt;0,($I194/$G194)*FC194,0)*(1-$K194)</f>
        <v>0</v>
      </c>
      <c r="FF194" s="3236">
        <f>VLOOKUP($E194,FC$442:FF$453,4,FALSE)*FC194*($K194)+(FC194-FD194-FE194)*(1-$K194)</f>
        <v>0</v>
      </c>
      <c r="FG194" s="3264"/>
      <c r="FK194" s="3235">
        <f>$G194</f>
        <v>0</v>
      </c>
      <c r="FL194" s="3236">
        <f>VLOOKUP($E194,FK$442:FN$453,2,FALSE)*FK194*($K194)+IF($G194&lt;&gt;0,($H194/$G194)*FK194,0)*(1-$K194)</f>
        <v>0</v>
      </c>
      <c r="FM194" s="3236">
        <f>VLOOKUP($E194,FK$442:FN$453,3,FALSE)*FK194*($K194)+IF($G194&lt;&gt;0,($I194/$G194)*FK194,0)*(1-$K194)</f>
        <v>0</v>
      </c>
      <c r="FN194" s="3236">
        <f>VLOOKUP($E194,FK$442:FN$453,4,FALSE)*FK194*($K194)+(FK194-FL194-FM194)*(1-$K194)</f>
        <v>0</v>
      </c>
      <c r="FO194" s="3264"/>
    </row>
    <row r="195" spans="1:171">
      <c r="A195" s="2092"/>
      <c r="B195" s="2185" t="s">
        <v>501</v>
      </c>
      <c r="C195" s="2464"/>
      <c r="D195" s="2171"/>
      <c r="E195" s="2424" t="str">
        <f>'Sch 3 - Expenses'!E35</f>
        <v>DIRECT</v>
      </c>
      <c r="F195" s="2171"/>
      <c r="G195" s="2424">
        <f>'Sch 3 - Expenses'!G35</f>
        <v>0</v>
      </c>
      <c r="H195" s="2424">
        <f>'Sch 3 - Expenses'!H35</f>
        <v>0</v>
      </c>
      <c r="I195" s="2424">
        <f>'Sch 3 - Expenses'!I35</f>
        <v>0</v>
      </c>
      <c r="J195" s="3465">
        <f>'Sch 3 - Expenses'!J35</f>
        <v>0</v>
      </c>
      <c r="K195" s="3205">
        <f t="shared" si="547"/>
        <v>0</v>
      </c>
      <c r="O195" s="3235">
        <f>$G195</f>
        <v>0</v>
      </c>
      <c r="P195" s="3236">
        <f>VLOOKUP($E195,O$442:R$453,2,FALSE)*O195*($K195)+IF($G195&lt;&gt;0,($H195/$G195)*O195,0)*(1-$K195)</f>
        <v>0</v>
      </c>
      <c r="Q195" s="3236">
        <f>VLOOKUP($E195,O$442:R$453,3,FALSE)*O195*($K195)+IF($G195&lt;&gt;0,($I195/$G195)*O195,0)*(1-$K195)</f>
        <v>0</v>
      </c>
      <c r="R195" s="3236">
        <f>VLOOKUP($E195,O$442:R$453,4,FALSE)*O195*($K195)+(O195-P195-Q195)*(1-$K195)</f>
        <v>0</v>
      </c>
      <c r="S195" s="3264"/>
      <c r="W195" s="3235">
        <f>$G195</f>
        <v>0</v>
      </c>
      <c r="X195" s="3236">
        <f>VLOOKUP($E195,W$442:Z$453,2,FALSE)*W195*($K195)+IF($G195&lt;&gt;0,($H195/$G195)*W195,0)*(1-$K195)</f>
        <v>0</v>
      </c>
      <c r="Y195" s="3236">
        <f>VLOOKUP($E195,W$442:Z$453,3,FALSE)*W195*($K195)+IF($G195&lt;&gt;0,($I195/$G195)*W195,0)*(1-$K195)</f>
        <v>0</v>
      </c>
      <c r="Z195" s="3236">
        <f>VLOOKUP($E195,W$442:Z$453,4,FALSE)*W195*($K195)+(W195-X195-Y195)*(1-$K195)</f>
        <v>0</v>
      </c>
      <c r="AA195" s="3264"/>
      <c r="AE195" s="3235">
        <f>$G195</f>
        <v>0</v>
      </c>
      <c r="AF195" s="3236">
        <f>VLOOKUP($E195,AE$442:AH$453,2,FALSE)*AE195*($K195)+IF($G195&lt;&gt;0,($H195/$G195)*AE195,0)*(1-$K195)</f>
        <v>0</v>
      </c>
      <c r="AG195" s="3236">
        <f>VLOOKUP($E195,AE$442:AH$453,3,FALSE)*AE195*($K195)+IF($G195&lt;&gt;0,($I195/$G195)*AE195,0)*(1-$K195)</f>
        <v>0</v>
      </c>
      <c r="AH195" s="3236">
        <f>VLOOKUP($E195,AE$442:AH$453,4,FALSE)*AE195*($K195)+(AE195-AF195-AG195)*(1-$K195)</f>
        <v>0</v>
      </c>
      <c r="AI195" s="3264"/>
      <c r="AM195" s="3235">
        <f>$G195</f>
        <v>0</v>
      </c>
      <c r="AN195" s="3236">
        <f>VLOOKUP($E195,AM$442:AP$453,2,FALSE)*AM195*($K195)+IF($G195&lt;&gt;0,($H195/$G195)*AM195,0)*(1-$K195)</f>
        <v>0</v>
      </c>
      <c r="AO195" s="3236">
        <f>VLOOKUP($E195,AM$442:AP$453,3,FALSE)*AM195*($K195)+IF($G195&lt;&gt;0,($I195/$G195)*AM195,0)*(1-$K195)</f>
        <v>0</v>
      </c>
      <c r="AP195" s="3236">
        <f>VLOOKUP($E195,AM$442:AP$453,4,FALSE)*AM195*($K195)+(AM195-AN195-AO195)*(1-$K195)</f>
        <v>0</v>
      </c>
      <c r="AQ195" s="3264"/>
      <c r="AU195" s="3235">
        <f>$G195</f>
        <v>0</v>
      </c>
      <c r="AV195" s="3236">
        <f>VLOOKUP($E195,AU$442:AX$453,2,FALSE)*AU195*($K195)+IF($G195&lt;&gt;0,($H195/$G195)*AU195,0)*(1-$K195)</f>
        <v>0</v>
      </c>
      <c r="AW195" s="3236">
        <f>VLOOKUP($E195,AU$442:AX$453,3,FALSE)*AU195*($K195)+IF($G195&lt;&gt;0,($I195/$G195)*AU195,0)*(1-$K195)</f>
        <v>0</v>
      </c>
      <c r="AX195" s="3236">
        <f>VLOOKUP($E195,AU$442:AX$453,4,FALSE)*AU195*($K195)+(AU195-AV195-AW195)*(1-$K195)</f>
        <v>0</v>
      </c>
      <c r="AY195" s="3264"/>
      <c r="BC195" s="3235">
        <f>$G195</f>
        <v>0</v>
      </c>
      <c r="BD195" s="3236">
        <f>VLOOKUP($E195,BC$442:BF$453,2,FALSE)*BC195*($K195)+IF($G195&lt;&gt;0,($H195/$G195)*BC195,0)*(1-$K195)</f>
        <v>0</v>
      </c>
      <c r="BE195" s="3236">
        <f>VLOOKUP($E195,BC$442:BF$453,3,FALSE)*BC195*($K195)+IF($G195&lt;&gt;0,($I195/$G195)*BC195,0)*(1-$K195)</f>
        <v>0</v>
      </c>
      <c r="BF195" s="3236">
        <f>VLOOKUP($E195,BC$442:BF$453,4,FALSE)*BC195*($K195)+(BC195-BD195-BE195)*(1-$K195)</f>
        <v>0</v>
      </c>
      <c r="BG195" s="3264"/>
      <c r="BK195" s="3235">
        <f>$G195</f>
        <v>0</v>
      </c>
      <c r="BL195" s="3236">
        <f>VLOOKUP($E195,BK$442:BN$453,2,FALSE)*BK195*($K195)+IF($G195&lt;&gt;0,($H195/$G195)*BK195,0)*(1-$K195)</f>
        <v>0</v>
      </c>
      <c r="BM195" s="3236">
        <f>VLOOKUP($E195,BK$442:BN$453,3,FALSE)*BK195*($K195)+IF($G195&lt;&gt;0,($I195/$G195)*BK195,0)*(1-$K195)</f>
        <v>0</v>
      </c>
      <c r="BN195" s="3236">
        <f>VLOOKUP($E195,BK$442:BN$453,4,FALSE)*BK195*($K195)+(BK195-BL195-BM195)*(1-$K195)</f>
        <v>0</v>
      </c>
      <c r="BO195" s="3264"/>
      <c r="BS195" s="3235">
        <f>$G195</f>
        <v>0</v>
      </c>
      <c r="BT195" s="3236">
        <f>VLOOKUP($E195,BS$442:BV$453,2,FALSE)*BS195*($K195)+IF($G195&lt;&gt;0,($H195/$G195)*BS195,0)*(1-$K195)</f>
        <v>0</v>
      </c>
      <c r="BU195" s="3236">
        <f>VLOOKUP($E195,BS$442:BV$453,3,FALSE)*BS195*($K195)+IF($G195&lt;&gt;0,($I195/$G195)*BS195,0)*(1-$K195)</f>
        <v>0</v>
      </c>
      <c r="BV195" s="3236">
        <f>VLOOKUP($E195,BS$442:BV$453,4,FALSE)*BS195*($K195)+(BS195-BT195-BU195)*(1-$K195)</f>
        <v>0</v>
      </c>
      <c r="BW195" s="3264"/>
      <c r="CA195" s="3235">
        <f>$G195</f>
        <v>0</v>
      </c>
      <c r="CB195" s="3236">
        <f>VLOOKUP($E195,CA$442:CD$453,2,FALSE)*CA195*($K195)+IF($G195&lt;&gt;0,($H195/$G195)*CA195,0)*(1-$K195)</f>
        <v>0</v>
      </c>
      <c r="CC195" s="3236">
        <f>VLOOKUP($E195,CA$442:CD$453,3,FALSE)*CA195*($K195)+IF($G195&lt;&gt;0,($I195/$G195)*CA195,0)*(1-$K195)</f>
        <v>0</v>
      </c>
      <c r="CD195" s="3236">
        <f>VLOOKUP($E195,CA$442:CD$453,4,FALSE)*CA195*($K195)+(CA195-CB195-CC195)*(1-$K195)</f>
        <v>0</v>
      </c>
      <c r="CE195" s="3264"/>
      <c r="CI195" s="3235">
        <f>$G195</f>
        <v>0</v>
      </c>
      <c r="CJ195" s="3236">
        <f>VLOOKUP($E195,CI$442:CL$453,2,FALSE)*CI195*($K195)+IF($G195&lt;&gt;0,($H195/$G195)*CI195,0)*(1-$K195)</f>
        <v>0</v>
      </c>
      <c r="CK195" s="3236">
        <f>VLOOKUP($E195,CI$442:CL$453,3,FALSE)*CI195*($K195)+IF($G195&lt;&gt;0,($I195/$G195)*CI195,0)*(1-$K195)</f>
        <v>0</v>
      </c>
      <c r="CL195" s="3236">
        <f>VLOOKUP($E195,CI$442:CL$453,4,FALSE)*CI195*($K195)+(CI195-CJ195-CK195)*(1-$K195)</f>
        <v>0</v>
      </c>
      <c r="CM195" s="3264"/>
      <c r="CQ195" s="3235">
        <f>$G195</f>
        <v>0</v>
      </c>
      <c r="CR195" s="3236">
        <f>VLOOKUP($E195,CQ$442:CT$453,2,FALSE)*CQ195*($K195)+IF($G195&lt;&gt;0,($H195/$G195)*CQ195,0)*(1-$K195)</f>
        <v>0</v>
      </c>
      <c r="CS195" s="3236">
        <f>VLOOKUP($E195,CQ$442:CT$453,3,FALSE)*CQ195*($K195)+IF($G195&lt;&gt;0,($I195/$G195)*CQ195,0)*(1-$K195)</f>
        <v>0</v>
      </c>
      <c r="CT195" s="3236">
        <f>VLOOKUP($E195,CQ$442:CT$453,4,FALSE)*CQ195*($K195)+(CQ195-CR195-CS195)*(1-$K195)</f>
        <v>0</v>
      </c>
      <c r="CU195" s="3264"/>
      <c r="CY195" s="3235">
        <f>$G195</f>
        <v>0</v>
      </c>
      <c r="CZ195" s="3236">
        <f>VLOOKUP($E195,CY$442:DB$453,2,FALSE)*CY195*($K195)+IF($G195&lt;&gt;0,($H195/$G195)*CY195,0)*(1-$K195)</f>
        <v>0</v>
      </c>
      <c r="DA195" s="3236">
        <f>VLOOKUP($E195,CY$442:DB$453,3,FALSE)*CY195*($K195)+IF($G195&lt;&gt;0,($I195/$G195)*CY195,0)*(1-$K195)</f>
        <v>0</v>
      </c>
      <c r="DB195" s="3236">
        <f>VLOOKUP($E195,CY$442:DB$453,4,FALSE)*CY195*($K195)+(CY195-CZ195-DA195)*(1-$K195)</f>
        <v>0</v>
      </c>
      <c r="DC195" s="3264"/>
      <c r="DG195" s="3235">
        <f>$G195</f>
        <v>0</v>
      </c>
      <c r="DH195" s="3236">
        <f>VLOOKUP($E195,DG$442:DJ$453,2,FALSE)*DG195*($K195)+IF($G195&lt;&gt;0,($H195/$G195)*DG195,0)*(1-$K195)</f>
        <v>0</v>
      </c>
      <c r="DI195" s="3236">
        <f>VLOOKUP($E195,DG$442:DJ$453,3,FALSE)*DG195*($K195)+IF($G195&lt;&gt;0,($I195/$G195)*DG195,0)*(1-$K195)</f>
        <v>0</v>
      </c>
      <c r="DJ195" s="3236">
        <f>VLOOKUP($E195,DG$442:DJ$453,4,FALSE)*DG195*($K195)+(DG195-DH195-DI195)*(1-$K195)</f>
        <v>0</v>
      </c>
      <c r="DK195" s="3264"/>
      <c r="DO195" s="3235">
        <f>$G195</f>
        <v>0</v>
      </c>
      <c r="DP195" s="3236">
        <f>VLOOKUP($E195,DO$442:DR$453,2,FALSE)*DO195*($K195)+IF($G195&lt;&gt;0,($H195/$G195)*DO195,0)*(1-$K195)</f>
        <v>0</v>
      </c>
      <c r="DQ195" s="3236">
        <f>VLOOKUP($E195,DO$442:DR$453,3,FALSE)*DO195*($K195)+IF($G195&lt;&gt;0,($I195/$G195)*DO195,0)*(1-$K195)</f>
        <v>0</v>
      </c>
      <c r="DR195" s="3236">
        <f>VLOOKUP($E195,DO$442:DR$453,4,FALSE)*DO195*($K195)+(DO195-DP195-DQ195)*(1-$K195)</f>
        <v>0</v>
      </c>
      <c r="DS195" s="3264"/>
      <c r="DW195" s="3235">
        <f>$G195</f>
        <v>0</v>
      </c>
      <c r="DX195" s="3236">
        <f>VLOOKUP($E195,DW$442:DZ$453,2,FALSE)*DW195*($K195)+IF($G195&lt;&gt;0,($H195/$G195)*DW195,0)*(1-$K195)</f>
        <v>0</v>
      </c>
      <c r="DY195" s="3236">
        <f>VLOOKUP($E195,DW$442:DZ$453,3,FALSE)*DW195*($K195)+IF($G195&lt;&gt;0,($I195/$G195)*DW195,0)*(1-$K195)</f>
        <v>0</v>
      </c>
      <c r="DZ195" s="3236">
        <f>VLOOKUP($E195,DW$442:DZ$453,4,FALSE)*DW195*($K195)+(DW195-DX195-DY195)*(1-$K195)</f>
        <v>0</v>
      </c>
      <c r="EA195" s="3264"/>
      <c r="EE195" s="3235">
        <f>$G195</f>
        <v>0</v>
      </c>
      <c r="EF195" s="3236">
        <f>VLOOKUP($E195,EE$442:EH$453,2,FALSE)*EE195*($K195)+IF($G195&lt;&gt;0,($H195/$G195)*EE195,0)*(1-$K195)</f>
        <v>0</v>
      </c>
      <c r="EG195" s="3236">
        <f>VLOOKUP($E195,EE$442:EH$453,3,FALSE)*EE195*($K195)+IF($G195&lt;&gt;0,($I195/$G195)*EE195,0)*(1-$K195)</f>
        <v>0</v>
      </c>
      <c r="EH195" s="3236">
        <f>VLOOKUP($E195,EE$442:EH$453,4,FALSE)*EE195*($K195)+(EE195-EF195-EG195)*(1-$K195)</f>
        <v>0</v>
      </c>
      <c r="EI195" s="3264"/>
      <c r="EM195" s="3235">
        <f>$G195</f>
        <v>0</v>
      </c>
      <c r="EN195" s="3236">
        <f>VLOOKUP($E195,EM$442:EP$453,2,FALSE)*EM195*($K195)+IF($G195&lt;&gt;0,($H195/$G195)*EM195,0)*(1-$K195)</f>
        <v>0</v>
      </c>
      <c r="EO195" s="3236">
        <f>VLOOKUP($E195,EM$442:EP$453,3,FALSE)*EM195*($K195)+IF($G195&lt;&gt;0,($I195/$G195)*EM195,0)*(1-$K195)</f>
        <v>0</v>
      </c>
      <c r="EP195" s="3236">
        <f>VLOOKUP($E195,EM$442:EP$453,4,FALSE)*EM195*($K195)+(EM195-EN195-EO195)*(1-$K195)</f>
        <v>0</v>
      </c>
      <c r="EQ195" s="3264"/>
      <c r="EU195" s="3235">
        <f>$G195</f>
        <v>0</v>
      </c>
      <c r="EV195" s="3236">
        <f>VLOOKUP($E195,EU$442:EX$453,2,FALSE)*EU195*($K195)+IF($G195&lt;&gt;0,($H195/$G195)*EU195,0)*(1-$K195)</f>
        <v>0</v>
      </c>
      <c r="EW195" s="3236">
        <f>VLOOKUP($E195,EU$442:EX$453,3,FALSE)*EU195*($K195)+IF($G195&lt;&gt;0,($I195/$G195)*EU195,0)*(1-$K195)</f>
        <v>0</v>
      </c>
      <c r="EX195" s="3236">
        <f>VLOOKUP($E195,EU$442:EX$453,4,FALSE)*EU195*($K195)+(EU195-EV195-EW195)*(1-$K195)</f>
        <v>0</v>
      </c>
      <c r="EY195" s="3264"/>
      <c r="FC195" s="3235">
        <f>$G195</f>
        <v>0</v>
      </c>
      <c r="FD195" s="3236">
        <f>VLOOKUP($E195,FC$442:FF$453,2,FALSE)*FC195*($K195)+IF($G195&lt;&gt;0,($H195/$G195)*FC195,0)*(1-$K195)</f>
        <v>0</v>
      </c>
      <c r="FE195" s="3236">
        <f>VLOOKUP($E195,FC$442:FF$453,3,FALSE)*FC195*($K195)+IF($G195&lt;&gt;0,($I195/$G195)*FC195,0)*(1-$K195)</f>
        <v>0</v>
      </c>
      <c r="FF195" s="3236">
        <f>VLOOKUP($E195,FC$442:FF$453,4,FALSE)*FC195*($K195)+(FC195-FD195-FE195)*(1-$K195)</f>
        <v>0</v>
      </c>
      <c r="FG195" s="3264"/>
      <c r="FK195" s="3235">
        <f>$G195</f>
        <v>0</v>
      </c>
      <c r="FL195" s="3236">
        <f>VLOOKUP($E195,FK$442:FN$453,2,FALSE)*FK195*($K195)+IF($G195&lt;&gt;0,($H195/$G195)*FK195,0)*(1-$K195)</f>
        <v>0</v>
      </c>
      <c r="FM195" s="3236">
        <f>VLOOKUP($E195,FK$442:FN$453,3,FALSE)*FK195*($K195)+IF($G195&lt;&gt;0,($I195/$G195)*FK195,0)*(1-$K195)</f>
        <v>0</v>
      </c>
      <c r="FN195" s="3236">
        <f>VLOOKUP($E195,FK$442:FN$453,4,FALSE)*FK195*($K195)+(FK195-FL195-FM195)*(1-$K195)</f>
        <v>0</v>
      </c>
      <c r="FO195" s="3264"/>
    </row>
    <row r="196" spans="1:171">
      <c r="A196" s="2091" t="s">
        <v>480</v>
      </c>
      <c r="B196" s="2097"/>
      <c r="C196" s="3256"/>
      <c r="D196" s="3257"/>
      <c r="E196" s="3257"/>
      <c r="F196" s="3258"/>
      <c r="G196" s="3265">
        <f>SUM(G176:G195)</f>
        <v>1755510842</v>
      </c>
      <c r="H196" s="3265">
        <f>SUM(H176:H195)</f>
        <v>1755510842</v>
      </c>
      <c r="I196" s="3265">
        <f>SUM(I176:I195)</f>
        <v>0</v>
      </c>
      <c r="J196" s="3474">
        <f>SUM(J176:J195)</f>
        <v>0</v>
      </c>
      <c r="K196" s="3205"/>
      <c r="O196" s="3331">
        <f>SUM(O176:O195)</f>
        <v>1755510842</v>
      </c>
      <c r="P196" s="3331">
        <f>SUM(P176:P195)</f>
        <v>1755510842</v>
      </c>
      <c r="Q196" s="3331">
        <f>SUM(Q176:Q195)</f>
        <v>0</v>
      </c>
      <c r="R196" s="3331">
        <f>SUM(R176:R195)</f>
        <v>0</v>
      </c>
      <c r="S196" s="3264"/>
      <c r="W196" s="3331">
        <f>SUM(W176:W195)</f>
        <v>1755510842</v>
      </c>
      <c r="X196" s="3331">
        <f>SUM(X176:X195)</f>
        <v>1755510842</v>
      </c>
      <c r="Y196" s="3331">
        <f>SUM(Y176:Y195)</f>
        <v>0</v>
      </c>
      <c r="Z196" s="3331">
        <f>SUM(Z176:Z195)</f>
        <v>0</v>
      </c>
      <c r="AA196" s="3264"/>
      <c r="AE196" s="3331">
        <f>SUM(AE176:AE195)</f>
        <v>1755510842</v>
      </c>
      <c r="AF196" s="3331">
        <f>SUM(AF176:AF195)</f>
        <v>1755510842</v>
      </c>
      <c r="AG196" s="3331">
        <f>SUM(AG176:AG195)</f>
        <v>0</v>
      </c>
      <c r="AH196" s="3331">
        <f>SUM(AH176:AH195)</f>
        <v>0</v>
      </c>
      <c r="AI196" s="3264"/>
      <c r="AM196" s="3331">
        <f>SUM(AM176:AM195)</f>
        <v>1755510842</v>
      </c>
      <c r="AN196" s="3331">
        <f>SUM(AN176:AN195)</f>
        <v>1755510842</v>
      </c>
      <c r="AO196" s="3331">
        <f>SUM(AO176:AO195)</f>
        <v>0</v>
      </c>
      <c r="AP196" s="3331">
        <f>SUM(AP176:AP195)</f>
        <v>0</v>
      </c>
      <c r="AQ196" s="3264"/>
      <c r="AU196" s="3331">
        <f>SUM(AU176:AU195)</f>
        <v>1755510842</v>
      </c>
      <c r="AV196" s="3331">
        <f>SUM(AV176:AV195)</f>
        <v>1755510842</v>
      </c>
      <c r="AW196" s="3331">
        <f>SUM(AW176:AW195)</f>
        <v>0</v>
      </c>
      <c r="AX196" s="3331">
        <f>SUM(AX176:AX195)</f>
        <v>0</v>
      </c>
      <c r="AY196" s="3264"/>
      <c r="BC196" s="3331">
        <f>SUM(BC176:BC195)</f>
        <v>1755510842</v>
      </c>
      <c r="BD196" s="3331">
        <f>SUM(BD176:BD195)</f>
        <v>1755510842</v>
      </c>
      <c r="BE196" s="3331">
        <f>SUM(BE176:BE195)</f>
        <v>0</v>
      </c>
      <c r="BF196" s="3331">
        <f>SUM(BF176:BF195)</f>
        <v>0</v>
      </c>
      <c r="BG196" s="3264"/>
      <c r="BK196" s="3331">
        <f>SUM(BK176:BK195)</f>
        <v>1755510842</v>
      </c>
      <c r="BL196" s="3331">
        <f>SUM(BL176:BL195)</f>
        <v>1755510842</v>
      </c>
      <c r="BM196" s="3331">
        <f>SUM(BM176:BM195)</f>
        <v>0</v>
      </c>
      <c r="BN196" s="3331">
        <f>SUM(BN176:BN195)</f>
        <v>0</v>
      </c>
      <c r="BO196" s="3264"/>
      <c r="BS196" s="3331">
        <f>SUM(BS176:BS195)</f>
        <v>1755510842</v>
      </c>
      <c r="BT196" s="3331">
        <f>SUM(BT176:BT195)</f>
        <v>1755510842</v>
      </c>
      <c r="BU196" s="3331">
        <f>SUM(BU176:BU195)</f>
        <v>0</v>
      </c>
      <c r="BV196" s="3331">
        <f>SUM(BV176:BV195)</f>
        <v>0</v>
      </c>
      <c r="BW196" s="3264"/>
      <c r="CA196" s="3331">
        <f>SUM(CA176:CA195)</f>
        <v>1755510842</v>
      </c>
      <c r="CB196" s="3331">
        <f>SUM(CB176:CB195)</f>
        <v>1755510842</v>
      </c>
      <c r="CC196" s="3331">
        <f>SUM(CC176:CC195)</f>
        <v>0</v>
      </c>
      <c r="CD196" s="3331">
        <f>SUM(CD176:CD195)</f>
        <v>0</v>
      </c>
      <c r="CE196" s="3264"/>
      <c r="CI196" s="3331">
        <f>SUM(CI176:CI195)</f>
        <v>1755510842</v>
      </c>
      <c r="CJ196" s="3331">
        <f>SUM(CJ176:CJ195)</f>
        <v>1755510842</v>
      </c>
      <c r="CK196" s="3331">
        <f>SUM(CK176:CK195)</f>
        <v>0</v>
      </c>
      <c r="CL196" s="3331">
        <f>SUM(CL176:CL195)</f>
        <v>0</v>
      </c>
      <c r="CM196" s="3264"/>
      <c r="CQ196" s="3331">
        <f>SUM(CQ176:CQ195)</f>
        <v>1755510842</v>
      </c>
      <c r="CR196" s="3331">
        <f>SUM(CR176:CR195)</f>
        <v>1755510842</v>
      </c>
      <c r="CS196" s="3331">
        <f>SUM(CS176:CS195)</f>
        <v>0</v>
      </c>
      <c r="CT196" s="3331">
        <f>SUM(CT176:CT195)</f>
        <v>0</v>
      </c>
      <c r="CU196" s="3264"/>
      <c r="CY196" s="3331">
        <f>SUM(CY176:CY195)</f>
        <v>1755510842</v>
      </c>
      <c r="CZ196" s="3331">
        <f>SUM(CZ176:CZ195)</f>
        <v>1755510842</v>
      </c>
      <c r="DA196" s="3331">
        <f>SUM(DA176:DA195)</f>
        <v>0</v>
      </c>
      <c r="DB196" s="3331">
        <f>SUM(DB176:DB195)</f>
        <v>0</v>
      </c>
      <c r="DC196" s="3264"/>
      <c r="DG196" s="3331">
        <f>SUM(DG176:DG195)</f>
        <v>1755510842</v>
      </c>
      <c r="DH196" s="3331">
        <f>SUM(DH176:DH195)</f>
        <v>1755510842</v>
      </c>
      <c r="DI196" s="3331">
        <f>SUM(DI176:DI195)</f>
        <v>0</v>
      </c>
      <c r="DJ196" s="3331">
        <f>SUM(DJ176:DJ195)</f>
        <v>0</v>
      </c>
      <c r="DK196" s="3264"/>
      <c r="DO196" s="3331">
        <f>SUM(DO176:DO195)</f>
        <v>1755510842</v>
      </c>
      <c r="DP196" s="3331">
        <f>SUM(DP176:DP195)</f>
        <v>1755510842</v>
      </c>
      <c r="DQ196" s="3331">
        <f>SUM(DQ176:DQ195)</f>
        <v>0</v>
      </c>
      <c r="DR196" s="3331">
        <f>SUM(DR176:DR195)</f>
        <v>0</v>
      </c>
      <c r="DS196" s="3264"/>
      <c r="DW196" s="3331">
        <f>SUM(DW176:DW195)</f>
        <v>1755510842</v>
      </c>
      <c r="DX196" s="3331">
        <f>SUM(DX176:DX195)</f>
        <v>1755510842</v>
      </c>
      <c r="DY196" s="3331">
        <f>SUM(DY176:DY195)</f>
        <v>0</v>
      </c>
      <c r="DZ196" s="3331">
        <f>SUM(DZ176:DZ195)</f>
        <v>0</v>
      </c>
      <c r="EA196" s="3264"/>
      <c r="EE196" s="3331">
        <f>SUM(EE176:EE195)</f>
        <v>1755510842</v>
      </c>
      <c r="EF196" s="3331">
        <f>SUM(EF176:EF195)</f>
        <v>1755510842</v>
      </c>
      <c r="EG196" s="3331">
        <f>SUM(EG176:EG195)</f>
        <v>0</v>
      </c>
      <c r="EH196" s="3331">
        <f>SUM(EH176:EH195)</f>
        <v>0</v>
      </c>
      <c r="EI196" s="3264"/>
      <c r="EM196" s="3331">
        <f>SUM(EM176:EM195)</f>
        <v>1755510842</v>
      </c>
      <c r="EN196" s="3331">
        <f>SUM(EN176:EN195)</f>
        <v>1755510842</v>
      </c>
      <c r="EO196" s="3331">
        <f>SUM(EO176:EO195)</f>
        <v>0</v>
      </c>
      <c r="EP196" s="3331">
        <f>SUM(EP176:EP195)</f>
        <v>0</v>
      </c>
      <c r="EQ196" s="3264"/>
      <c r="EU196" s="3331">
        <f>SUM(EU176:EU195)</f>
        <v>1755510842</v>
      </c>
      <c r="EV196" s="3331">
        <f>SUM(EV176:EV195)</f>
        <v>1755510842</v>
      </c>
      <c r="EW196" s="3331">
        <f>SUM(EW176:EW195)</f>
        <v>0</v>
      </c>
      <c r="EX196" s="3331">
        <f>SUM(EX176:EX195)</f>
        <v>0</v>
      </c>
      <c r="EY196" s="3264"/>
      <c r="FC196" s="3331">
        <f>SUM(FC176:FC195)</f>
        <v>1755510842</v>
      </c>
      <c r="FD196" s="3331">
        <f>SUM(FD176:FD195)</f>
        <v>1755510842</v>
      </c>
      <c r="FE196" s="3331">
        <f>SUM(FE176:FE195)</f>
        <v>0</v>
      </c>
      <c r="FF196" s="3331">
        <f>SUM(FF176:FF195)</f>
        <v>0</v>
      </c>
      <c r="FG196" s="3264"/>
      <c r="FK196" s="3331">
        <f>SUM(FK176:FK195)</f>
        <v>1755510842</v>
      </c>
      <c r="FL196" s="3331">
        <f>SUM(FL176:FL195)</f>
        <v>1755510842</v>
      </c>
      <c r="FM196" s="3331">
        <f>SUM(FM176:FM195)</f>
        <v>0</v>
      </c>
      <c r="FN196" s="3331">
        <f>SUM(FN176:FN195)</f>
        <v>0</v>
      </c>
      <c r="FO196" s="3264"/>
    </row>
    <row r="197" spans="1:171">
      <c r="A197" s="2260"/>
      <c r="B197" s="2097"/>
      <c r="C197" s="2116"/>
      <c r="D197" s="2116"/>
      <c r="E197" s="2100"/>
      <c r="F197" s="2100"/>
      <c r="G197" s="2463"/>
      <c r="H197" s="2118"/>
      <c r="I197" s="2118"/>
      <c r="J197" s="3470"/>
      <c r="K197" s="3205"/>
      <c r="S197" s="3264"/>
      <c r="AA197" s="3264"/>
      <c r="AI197" s="3264"/>
      <c r="AQ197" s="3264"/>
      <c r="AY197" s="3264"/>
      <c r="BG197" s="3264"/>
      <c r="BO197" s="3264"/>
      <c r="BW197" s="3264"/>
      <c r="CE197" s="3264"/>
      <c r="CM197" s="3264"/>
      <c r="CU197" s="3264"/>
      <c r="DC197" s="3264"/>
      <c r="DK197" s="3264"/>
      <c r="DS197" s="3264"/>
      <c r="EA197" s="3264"/>
      <c r="EI197" s="3264"/>
      <c r="EQ197" s="3264"/>
      <c r="EY197" s="3264"/>
      <c r="FG197" s="3264"/>
      <c r="FO197" s="3264"/>
    </row>
    <row r="198" spans="1:171">
      <c r="A198" s="2096" t="s">
        <v>500</v>
      </c>
      <c r="B198" s="2097"/>
      <c r="C198" s="2116"/>
      <c r="D198" s="2098"/>
      <c r="E198" s="2097"/>
      <c r="F198" s="2097"/>
      <c r="G198" s="2463"/>
      <c r="H198" s="2118"/>
      <c r="I198" s="2118"/>
      <c r="J198" s="3470"/>
      <c r="K198" s="3205"/>
      <c r="S198" s="3264"/>
      <c r="AA198" s="3264"/>
      <c r="AI198" s="3264"/>
      <c r="AQ198" s="3264"/>
      <c r="AY198" s="3264"/>
      <c r="BG198" s="3264"/>
      <c r="BO198" s="3264"/>
      <c r="BW198" s="3264"/>
      <c r="CE198" s="3264"/>
      <c r="CM198" s="3264"/>
      <c r="CU198" s="3264"/>
      <c r="DC198" s="3264"/>
      <c r="DK198" s="3264"/>
      <c r="DS198" s="3264"/>
      <c r="EA198" s="3264"/>
      <c r="EI198" s="3264"/>
      <c r="EQ198" s="3264"/>
      <c r="EY198" s="3264"/>
      <c r="FG198" s="3264"/>
      <c r="FO198" s="3264"/>
    </row>
    <row r="199" spans="1:171">
      <c r="A199" s="3480">
        <v>870</v>
      </c>
      <c r="B199" s="2185" t="s">
        <v>397</v>
      </c>
      <c r="C199" s="2464" t="s">
        <v>72</v>
      </c>
      <c r="D199" s="2171" t="s">
        <v>481</v>
      </c>
      <c r="E199" s="2424" t="str">
        <f>'Sch 3 - Expenses'!E39</f>
        <v>prod</v>
      </c>
      <c r="F199" s="2171"/>
      <c r="G199" s="2424">
        <f>'Sch 3 - Expenses'!G39</f>
        <v>162583424</v>
      </c>
      <c r="H199" s="2424">
        <f>'Sch 3 - Expenses'!H39</f>
        <v>162583424</v>
      </c>
      <c r="I199" s="2424">
        <f>'Sch 3 - Expenses'!I39</f>
        <v>0</v>
      </c>
      <c r="J199" s="3465">
        <f>'Sch 3 - Expenses'!J39</f>
        <v>0</v>
      </c>
      <c r="K199" s="3205">
        <f>IF($E199="DIRECT",0,1)</f>
        <v>1</v>
      </c>
      <c r="N199" s="3434">
        <f>VLOOKUP($A199,'New Resources - Group'!$A$4:$Y$133,N$2,FALSE)*N$1</f>
        <v>0</v>
      </c>
      <c r="O199" s="3235">
        <f>$G199+N199</f>
        <v>162583424</v>
      </c>
      <c r="P199" s="3236">
        <f>VLOOKUP($E199,O$442:R$453,2,FALSE)*O199*($K199)+IF($G199&lt;&gt;0,($H199/$G199)*O199,0)*(1-$K199)</f>
        <v>162583424</v>
      </c>
      <c r="Q199" s="3236">
        <f>VLOOKUP($E199,O$442:R$453,3,FALSE)*O199*($K199)+IF($G199&lt;&gt;0,($I199/$G199)*O199,0)*(1-$K199)</f>
        <v>0</v>
      </c>
      <c r="R199" s="3236">
        <f>VLOOKUP($E199,O$442:R$453,4,FALSE)*O199*($K199)+(O199-P199-Q199)*(1-$K199)</f>
        <v>0</v>
      </c>
      <c r="S199" s="3264"/>
      <c r="V199" s="3434">
        <f>VLOOKUP($A199,'New Resources - Group'!$A$4:$Y$133,V$2,FALSE)*V$1</f>
        <v>0</v>
      </c>
      <c r="W199" s="3235">
        <f>$G199+V199</f>
        <v>162583424</v>
      </c>
      <c r="X199" s="3236">
        <f>VLOOKUP($E199,W$442:Z$453,2,FALSE)*W199*($K199)+IF($G199&lt;&gt;0,($H199/$G199)*W199,0)*(1-$K199)</f>
        <v>162583424</v>
      </c>
      <c r="Y199" s="3236">
        <f>VLOOKUP($E199,W$442:Z$453,3,FALSE)*W199*($K199)+IF($G199&lt;&gt;0,($I199/$G199)*W199,0)*(1-$K199)</f>
        <v>0</v>
      </c>
      <c r="Z199" s="3236">
        <f>VLOOKUP($E199,W$442:Z$453,4,FALSE)*W199*($K199)+(W199-X199-Y199)*(1-$K199)</f>
        <v>0</v>
      </c>
      <c r="AA199" s="3264"/>
      <c r="AD199" s="3434">
        <f>VLOOKUP($A199,'New Resources - Group'!$A$4:$Y$133,AD$2,FALSE)*AD$1</f>
        <v>0</v>
      </c>
      <c r="AE199" s="3235">
        <f>$G199+AD199</f>
        <v>162583424</v>
      </c>
      <c r="AF199" s="3236">
        <f>VLOOKUP($E199,AE$442:AH$453,2,FALSE)*AE199*($K199)+IF($G199&lt;&gt;0,($H199/$G199)*AE199,0)*(1-$K199)</f>
        <v>162583424</v>
      </c>
      <c r="AG199" s="3236">
        <f>VLOOKUP($E199,AE$442:AH$453,3,FALSE)*AE199*($K199)+IF($G199&lt;&gt;0,($I199/$G199)*AE199,0)*(1-$K199)</f>
        <v>0</v>
      </c>
      <c r="AH199" s="3236">
        <f>VLOOKUP($E199,AE$442:AH$453,4,FALSE)*AE199*($K199)+(AE199-AF199-AG199)*(1-$K199)</f>
        <v>0</v>
      </c>
      <c r="AI199" s="3264"/>
      <c r="AL199" s="3434">
        <f>VLOOKUP($A199,'New Resources - Group'!$A$4:$Y$133,AL$2,FALSE)*AL$1</f>
        <v>0</v>
      </c>
      <c r="AM199" s="3235">
        <f>$G199+AL199</f>
        <v>162583424</v>
      </c>
      <c r="AN199" s="3236">
        <f>VLOOKUP($E199,AM$442:AP$453,2,FALSE)*AM199*($K199)+IF($G199&lt;&gt;0,($H199/$G199)*AM199,0)*(1-$K199)</f>
        <v>162583424</v>
      </c>
      <c r="AO199" s="3236">
        <f>VLOOKUP($E199,AM$442:AP$453,3,FALSE)*AM199*($K199)+IF($G199&lt;&gt;0,($I199/$G199)*AM199,0)*(1-$K199)</f>
        <v>0</v>
      </c>
      <c r="AP199" s="3236">
        <f>VLOOKUP($E199,AM$442:AP$453,4,FALSE)*AM199*($K199)+(AM199-AN199-AO199)*(1-$K199)</f>
        <v>0</v>
      </c>
      <c r="AQ199" s="3264"/>
      <c r="AT199" s="3434">
        <f>VLOOKUP($A199,'New Resources - Group'!$A$4:$Y$133,AT$2,FALSE)*AT$1</f>
        <v>0</v>
      </c>
      <c r="AU199" s="3235">
        <f>$G199+AT199</f>
        <v>162583424</v>
      </c>
      <c r="AV199" s="3236">
        <f>VLOOKUP($E199,AU$442:AX$453,2,FALSE)*AU199*($K199)+IF($G199&lt;&gt;0,($H199/$G199)*AU199,0)*(1-$K199)</f>
        <v>162583424</v>
      </c>
      <c r="AW199" s="3236">
        <f>VLOOKUP($E199,AU$442:AX$453,3,FALSE)*AU199*($K199)+IF($G199&lt;&gt;0,($I199/$G199)*AU199,0)*(1-$K199)</f>
        <v>0</v>
      </c>
      <c r="AX199" s="3236">
        <f>VLOOKUP($E199,AU$442:AX$453,4,FALSE)*AU199*($K199)+(AU199-AV199-AW199)*(1-$K199)</f>
        <v>0</v>
      </c>
      <c r="AY199" s="3264"/>
      <c r="BB199" s="3434">
        <f>VLOOKUP($A199,'New Resources - Group'!$A$4:$Y$133,BB$2,FALSE)*BB$1</f>
        <v>0</v>
      </c>
      <c r="BC199" s="3235">
        <f>$G199+BB199</f>
        <v>162583424</v>
      </c>
      <c r="BD199" s="3236">
        <f>VLOOKUP($E199,BC$442:BF$453,2,FALSE)*BC199*($K199)+IF($G199&lt;&gt;0,($H199/$G199)*BC199,0)*(1-$K199)</f>
        <v>162583424</v>
      </c>
      <c r="BE199" s="3236">
        <f>VLOOKUP($E199,BC$442:BF$453,3,FALSE)*BC199*($K199)+IF($G199&lt;&gt;0,($I199/$G199)*BC199,0)*(1-$K199)</f>
        <v>0</v>
      </c>
      <c r="BF199" s="3236">
        <f>VLOOKUP($E199,BC$442:BF$453,4,FALSE)*BC199*($K199)+(BC199-BD199-BE199)*(1-$K199)</f>
        <v>0</v>
      </c>
      <c r="BG199" s="3264"/>
      <c r="BJ199" s="3434">
        <f>VLOOKUP($A199,'New Resources - Group'!$A$4:$Y$133,BJ$2,FALSE)*BJ$1</f>
        <v>0</v>
      </c>
      <c r="BK199" s="3235">
        <f>$G199+BJ199</f>
        <v>162583424</v>
      </c>
      <c r="BL199" s="3236">
        <f>VLOOKUP($E199,BK$442:BN$453,2,FALSE)*BK199*($K199)+IF($G199&lt;&gt;0,($H199/$G199)*BK199,0)*(1-$K199)</f>
        <v>162583424</v>
      </c>
      <c r="BM199" s="3236">
        <f>VLOOKUP($E199,BK$442:BN$453,3,FALSE)*BK199*($K199)+IF($G199&lt;&gt;0,($I199/$G199)*BK199,0)*(1-$K199)</f>
        <v>0</v>
      </c>
      <c r="BN199" s="3236">
        <f>VLOOKUP($E199,BK$442:BN$453,4,FALSE)*BK199*($K199)+(BK199-BL199-BM199)*(1-$K199)</f>
        <v>0</v>
      </c>
      <c r="BO199" s="3264"/>
      <c r="BR199" s="3434">
        <f>VLOOKUP($A199,'New Resources - Group'!$A$4:$Y$133,BR$2,FALSE)*BR$1</f>
        <v>0</v>
      </c>
      <c r="BS199" s="3235">
        <f>$G199+BR199</f>
        <v>162583424</v>
      </c>
      <c r="BT199" s="3236">
        <f>VLOOKUP($E199,BS$442:BV$453,2,FALSE)*BS199*($K199)+IF($G199&lt;&gt;0,($H199/$G199)*BS199,0)*(1-$K199)</f>
        <v>162583424</v>
      </c>
      <c r="BU199" s="3236">
        <f>VLOOKUP($E199,BS$442:BV$453,3,FALSE)*BS199*($K199)+IF($G199&lt;&gt;0,($I199/$G199)*BS199,0)*(1-$K199)</f>
        <v>0</v>
      </c>
      <c r="BV199" s="3236">
        <f>VLOOKUP($E199,BS$442:BV$453,4,FALSE)*BS199*($K199)+(BS199-BT199-BU199)*(1-$K199)</f>
        <v>0</v>
      </c>
      <c r="BW199" s="3264"/>
      <c r="BZ199" s="3434">
        <f>VLOOKUP($A199,'New Resources - Group'!$A$4:$Y$133,BZ$2,FALSE)*BZ$1</f>
        <v>0</v>
      </c>
      <c r="CA199" s="3235">
        <f>$G199+BZ199</f>
        <v>162583424</v>
      </c>
      <c r="CB199" s="3236">
        <f>VLOOKUP($E199,CA$442:CD$453,2,FALSE)*CA199*($K199)+IF($G199&lt;&gt;0,($H199/$G199)*CA199,0)*(1-$K199)</f>
        <v>162583424</v>
      </c>
      <c r="CC199" s="3236">
        <f>VLOOKUP($E199,CA$442:CD$453,3,FALSE)*CA199*($K199)+IF($G199&lt;&gt;0,($I199/$G199)*CA199,0)*(1-$K199)</f>
        <v>0</v>
      </c>
      <c r="CD199" s="3236">
        <f>VLOOKUP($E199,CA$442:CD$453,4,FALSE)*CA199*($K199)+(CA199-CB199-CC199)*(1-$K199)</f>
        <v>0</v>
      </c>
      <c r="CE199" s="3264"/>
      <c r="CH199" s="3434">
        <f>VLOOKUP($A199,'New Resources - Group'!$A$4:$Y$133,CH$2,FALSE)*CH$1</f>
        <v>0</v>
      </c>
      <c r="CI199" s="3235">
        <f>$G199+CH199</f>
        <v>162583424</v>
      </c>
      <c r="CJ199" s="3236">
        <f>VLOOKUP($E199,CI$442:CL$453,2,FALSE)*CI199*($K199)+IF($G199&lt;&gt;0,($H199/$G199)*CI199,0)*(1-$K199)</f>
        <v>162583424</v>
      </c>
      <c r="CK199" s="3236">
        <f>VLOOKUP($E199,CI$442:CL$453,3,FALSE)*CI199*($K199)+IF($G199&lt;&gt;0,($I199/$G199)*CI199,0)*(1-$K199)</f>
        <v>0</v>
      </c>
      <c r="CL199" s="3236">
        <f>VLOOKUP($E199,CI$442:CL$453,4,FALSE)*CI199*($K199)+(CI199-CJ199-CK199)*(1-$K199)</f>
        <v>0</v>
      </c>
      <c r="CM199" s="3264"/>
      <c r="CP199" s="3434">
        <f>VLOOKUP($A199,'New Resources - Group'!$A$4:$Y$133,CP$2,FALSE)*CP$1</f>
        <v>0</v>
      </c>
      <c r="CQ199" s="3235">
        <f>$G199+CP199</f>
        <v>162583424</v>
      </c>
      <c r="CR199" s="3236">
        <f>VLOOKUP($E199,CQ$442:CT$453,2,FALSE)*CQ199*($K199)+IF($G199&lt;&gt;0,($H199/$G199)*CQ199,0)*(1-$K199)</f>
        <v>162583424</v>
      </c>
      <c r="CS199" s="3236">
        <f>VLOOKUP($E199,CQ$442:CT$453,3,FALSE)*CQ199*($K199)+IF($G199&lt;&gt;0,($I199/$G199)*CQ199,0)*(1-$K199)</f>
        <v>0</v>
      </c>
      <c r="CT199" s="3236">
        <f>VLOOKUP($E199,CQ$442:CT$453,4,FALSE)*CQ199*($K199)+(CQ199-CR199-CS199)*(1-$K199)</f>
        <v>0</v>
      </c>
      <c r="CU199" s="3264"/>
      <c r="CX199" s="3434">
        <f>VLOOKUP($A199,'New Resources - Group'!$A$4:$Y$133,CX$2,FALSE)*CX$1</f>
        <v>0</v>
      </c>
      <c r="CY199" s="3235">
        <f>$G199+CX199</f>
        <v>162583424</v>
      </c>
      <c r="CZ199" s="3236">
        <f>VLOOKUP($E199,CY$442:DB$453,2,FALSE)*CY199*($K199)+IF($G199&lt;&gt;0,($H199/$G199)*CY199,0)*(1-$K199)</f>
        <v>162583424</v>
      </c>
      <c r="DA199" s="3236">
        <f>VLOOKUP($E199,CY$442:DB$453,3,FALSE)*CY199*($K199)+IF($G199&lt;&gt;0,($I199/$G199)*CY199,0)*(1-$K199)</f>
        <v>0</v>
      </c>
      <c r="DB199" s="3236">
        <f>VLOOKUP($E199,CY$442:DB$453,4,FALSE)*CY199*($K199)+(CY199-CZ199-DA199)*(1-$K199)</f>
        <v>0</v>
      </c>
      <c r="DC199" s="3264"/>
      <c r="DF199" s="3434">
        <f>VLOOKUP($A199,'New Resources - Group'!$A$4:$Y$133,DF$2,FALSE)*DF$1</f>
        <v>0</v>
      </c>
      <c r="DG199" s="3235">
        <f>$G199+DF199</f>
        <v>162583424</v>
      </c>
      <c r="DH199" s="3236">
        <f>VLOOKUP($E199,DG$442:DJ$453,2,FALSE)*DG199*($K199)+IF($G199&lt;&gt;0,($H199/$G199)*DG199,0)*(1-$K199)</f>
        <v>162583424</v>
      </c>
      <c r="DI199" s="3236">
        <f>VLOOKUP($E199,DG$442:DJ$453,3,FALSE)*DG199*($K199)+IF($G199&lt;&gt;0,($I199/$G199)*DG199,0)*(1-$K199)</f>
        <v>0</v>
      </c>
      <c r="DJ199" s="3236">
        <f>VLOOKUP($E199,DG$442:DJ$453,4,FALSE)*DG199*($K199)+(DG199-DH199-DI199)*(1-$K199)</f>
        <v>0</v>
      </c>
      <c r="DK199" s="3264"/>
      <c r="DN199" s="3434">
        <f>VLOOKUP($A199,'New Resources - Group'!$A$4:$Y$133,DN$2,FALSE)*DN$1</f>
        <v>0</v>
      </c>
      <c r="DO199" s="3235">
        <f>$G199+DN199</f>
        <v>162583424</v>
      </c>
      <c r="DP199" s="3236">
        <f>VLOOKUP($E199,DO$442:DR$453,2,FALSE)*DO199*($K199)+IF($G199&lt;&gt;0,($H199/$G199)*DO199,0)*(1-$K199)</f>
        <v>162583424</v>
      </c>
      <c r="DQ199" s="3236">
        <f>VLOOKUP($E199,DO$442:DR$453,3,FALSE)*DO199*($K199)+IF($G199&lt;&gt;0,($I199/$G199)*DO199,0)*(1-$K199)</f>
        <v>0</v>
      </c>
      <c r="DR199" s="3236">
        <f>VLOOKUP($E199,DO$442:DR$453,4,FALSE)*DO199*($K199)+(DO199-DP199-DQ199)*(1-$K199)</f>
        <v>0</v>
      </c>
      <c r="DS199" s="3264"/>
      <c r="DV199" s="3434">
        <f>VLOOKUP($A199,'New Resources - Group'!$A$4:$Y$133,DV$2,FALSE)*DV$1</f>
        <v>0</v>
      </c>
      <c r="DW199" s="3235">
        <f>$G199+DV199</f>
        <v>162583424</v>
      </c>
      <c r="DX199" s="3236">
        <f>VLOOKUP($E199,DW$442:DZ$453,2,FALSE)*DW199*($K199)+IF($G199&lt;&gt;0,($H199/$G199)*DW199,0)*(1-$K199)</f>
        <v>162583424</v>
      </c>
      <c r="DY199" s="3236">
        <f>VLOOKUP($E199,DW$442:DZ$453,3,FALSE)*DW199*($K199)+IF($G199&lt;&gt;0,($I199/$G199)*DW199,0)*(1-$K199)</f>
        <v>0</v>
      </c>
      <c r="DZ199" s="3236">
        <f>VLOOKUP($E199,DW$442:DZ$453,4,FALSE)*DW199*($K199)+(DW199-DX199-DY199)*(1-$K199)</f>
        <v>0</v>
      </c>
      <c r="EA199" s="3264"/>
      <c r="ED199" s="3434">
        <f>VLOOKUP($A199,'New Resources - Group'!$A$4:$Y$133,ED$2,FALSE)*ED$1</f>
        <v>0</v>
      </c>
      <c r="EE199" s="3235">
        <f>$G199+ED199</f>
        <v>162583424</v>
      </c>
      <c r="EF199" s="3236">
        <f>VLOOKUP($E199,EE$442:EH$453,2,FALSE)*EE199*($K199)+IF($G199&lt;&gt;0,($H199/$G199)*EE199,0)*(1-$K199)</f>
        <v>162583424</v>
      </c>
      <c r="EG199" s="3236">
        <f>VLOOKUP($E199,EE$442:EH$453,3,FALSE)*EE199*($K199)+IF($G199&lt;&gt;0,($I199/$G199)*EE199,0)*(1-$K199)</f>
        <v>0</v>
      </c>
      <c r="EH199" s="3236">
        <f>VLOOKUP($E199,EE$442:EH$453,4,FALSE)*EE199*($K199)+(EE199-EF199-EG199)*(1-$K199)</f>
        <v>0</v>
      </c>
      <c r="EI199" s="3264"/>
      <c r="EL199" s="3434">
        <f>VLOOKUP($A199,'New Resources - Group'!$A$4:$Y$133,EL$2,FALSE)*EL$1</f>
        <v>0</v>
      </c>
      <c r="EM199" s="3235">
        <f>$G199+EL199</f>
        <v>162583424</v>
      </c>
      <c r="EN199" s="3236">
        <f>VLOOKUP($E199,EM$442:EP$453,2,FALSE)*EM199*($K199)+IF($G199&lt;&gt;0,($H199/$G199)*EM199,0)*(1-$K199)</f>
        <v>162583424</v>
      </c>
      <c r="EO199" s="3236">
        <f>VLOOKUP($E199,EM$442:EP$453,3,FALSE)*EM199*($K199)+IF($G199&lt;&gt;0,($I199/$G199)*EM199,0)*(1-$K199)</f>
        <v>0</v>
      </c>
      <c r="EP199" s="3236">
        <f>VLOOKUP($E199,EM$442:EP$453,4,FALSE)*EM199*($K199)+(EM199-EN199-EO199)*(1-$K199)</f>
        <v>0</v>
      </c>
      <c r="EQ199" s="3264"/>
      <c r="ET199" s="3434">
        <f>VLOOKUP($A199,'New Resources - Group'!$A$4:$Y$133,ET$2,FALSE)*ET$1</f>
        <v>0</v>
      </c>
      <c r="EU199" s="3235">
        <f>$G199+ET199</f>
        <v>162583424</v>
      </c>
      <c r="EV199" s="3236">
        <f>VLOOKUP($E199,EU$442:EX$453,2,FALSE)*EU199*($K199)+IF($G199&lt;&gt;0,($H199/$G199)*EU199,0)*(1-$K199)</f>
        <v>162583424</v>
      </c>
      <c r="EW199" s="3236">
        <f>VLOOKUP($E199,EU$442:EX$453,3,FALSE)*EU199*($K199)+IF($G199&lt;&gt;0,($I199/$G199)*EU199,0)*(1-$K199)</f>
        <v>0</v>
      </c>
      <c r="EX199" s="3236">
        <f>VLOOKUP($E199,EU$442:EX$453,4,FALSE)*EU199*($K199)+(EU199-EV199-EW199)*(1-$K199)</f>
        <v>0</v>
      </c>
      <c r="EY199" s="3264"/>
      <c r="FB199" s="3434">
        <f>VLOOKUP($A199,'New Resources - Group'!$A$4:$Y$133,FB$2,FALSE)*FB$1</f>
        <v>0</v>
      </c>
      <c r="FC199" s="3235">
        <f>$G199+FB199</f>
        <v>162583424</v>
      </c>
      <c r="FD199" s="3236">
        <f>VLOOKUP($E199,FC$442:FF$453,2,FALSE)*FC199*($K199)+IF($G199&lt;&gt;0,($H199/$G199)*FC199,0)*(1-$K199)</f>
        <v>162583424</v>
      </c>
      <c r="FE199" s="3236">
        <f>VLOOKUP($E199,FC$442:FF$453,3,FALSE)*FC199*($K199)+IF($G199&lt;&gt;0,($I199/$G199)*FC199,0)*(1-$K199)</f>
        <v>0</v>
      </c>
      <c r="FF199" s="3236">
        <f>VLOOKUP($E199,FC$442:FF$453,4,FALSE)*FC199*($K199)+(FC199-FD199-FE199)*(1-$K199)</f>
        <v>0</v>
      </c>
      <c r="FG199" s="3264"/>
      <c r="FJ199" s="3434">
        <f>VLOOKUP($A199,'New Resources - Group'!$A$4:$Y$133,FJ$2,FALSE)*FJ$1</f>
        <v>0</v>
      </c>
      <c r="FK199" s="3235">
        <f>$G199+FJ199</f>
        <v>162583424</v>
      </c>
      <c r="FL199" s="3236">
        <f>VLOOKUP($E199,FK$442:FN$453,2,FALSE)*FK199*($K199)+IF($G199&lt;&gt;0,($H199/$G199)*FK199,0)*(1-$K199)</f>
        <v>162583424</v>
      </c>
      <c r="FM199" s="3236">
        <f>VLOOKUP($E199,FK$442:FN$453,3,FALSE)*FK199*($K199)+IF($G199&lt;&gt;0,($I199/$G199)*FK199,0)*(1-$K199)</f>
        <v>0</v>
      </c>
      <c r="FN199" s="3236">
        <f>VLOOKUP($E199,FK$442:FN$453,4,FALSE)*FK199*($K199)+(FK199-FL199-FM199)*(1-$K199)</f>
        <v>0</v>
      </c>
      <c r="FO199" s="3264"/>
    </row>
    <row r="200" spans="1:171">
      <c r="A200" s="3480">
        <v>880</v>
      </c>
      <c r="B200" s="2185" t="s">
        <v>460</v>
      </c>
      <c r="C200" s="2464" t="s">
        <v>72</v>
      </c>
      <c r="D200" s="2171" t="s">
        <v>300</v>
      </c>
      <c r="E200" s="2424" t="str">
        <f>'Sch 3 - Expenses'!E40</f>
        <v>TRANS</v>
      </c>
      <c r="F200" s="2171"/>
      <c r="G200" s="2424">
        <f>'Sch 3 - Expenses'!G40</f>
        <v>14310154</v>
      </c>
      <c r="H200" s="2424">
        <f>'Sch 3 - Expenses'!H40</f>
        <v>0</v>
      </c>
      <c r="I200" s="2424">
        <f>'Sch 3 - Expenses'!I40</f>
        <v>0</v>
      </c>
      <c r="J200" s="3465">
        <f>'Sch 3 - Expenses'!J40</f>
        <v>14310154</v>
      </c>
      <c r="K200" s="3205">
        <f>IF($E200="DIRECT",0,1)</f>
        <v>1</v>
      </c>
      <c r="N200" s="3434">
        <f>VLOOKUP($A200,'New Resources - Group'!$A$4:$Y$133,N$2,FALSE)*N$1</f>
        <v>0</v>
      </c>
      <c r="O200" s="3235">
        <f>$G200+N200</f>
        <v>14310154</v>
      </c>
      <c r="P200" s="3236">
        <f>VLOOKUP($E200,O$442:R$453,2,FALSE)*O200*($K200)+IF($G200&lt;&gt;0,($H200/$G200)*O200,0)*(1-$K200)</f>
        <v>0</v>
      </c>
      <c r="Q200" s="3236">
        <f>VLOOKUP($E200,O$442:R$453,3,FALSE)*O200*($K200)+IF($G200&lt;&gt;0,($I200/$G200)*O200,0)*(1-$K200)</f>
        <v>14310154</v>
      </c>
      <c r="R200" s="3236">
        <f>VLOOKUP($E200,O$442:R$453,4,FALSE)*O200*($K200)+(O200-P200-Q200)*(1-$K200)</f>
        <v>0</v>
      </c>
      <c r="S200" s="3264"/>
      <c r="V200" s="3434">
        <f>VLOOKUP($A200,'New Resources - Group'!$A$4:$Y$133,V$2,FALSE)*V$1</f>
        <v>0</v>
      </c>
      <c r="W200" s="3235">
        <f>$G200+V200</f>
        <v>14310154</v>
      </c>
      <c r="X200" s="3236">
        <f>VLOOKUP($E200,W$442:Z$453,2,FALSE)*W200*($K200)+IF($G200&lt;&gt;0,($H200/$G200)*W200,0)*(1-$K200)</f>
        <v>0</v>
      </c>
      <c r="Y200" s="3236">
        <f>VLOOKUP($E200,W$442:Z$453,3,FALSE)*W200*($K200)+IF($G200&lt;&gt;0,($I200/$G200)*W200,0)*(1-$K200)</f>
        <v>14310154</v>
      </c>
      <c r="Z200" s="3236">
        <f>VLOOKUP($E200,W$442:Z$453,4,FALSE)*W200*($K200)+(W200-X200-Y200)*(1-$K200)</f>
        <v>0</v>
      </c>
      <c r="AA200" s="3264"/>
      <c r="AD200" s="3434">
        <f>VLOOKUP($A200,'New Resources - Group'!$A$4:$Y$133,AD$2,FALSE)*AD$1</f>
        <v>0</v>
      </c>
      <c r="AE200" s="3235">
        <f>$G200+AD200</f>
        <v>14310154</v>
      </c>
      <c r="AF200" s="3236">
        <f>VLOOKUP($E200,AE$442:AH$453,2,FALSE)*AE200*($K200)+IF($G200&lt;&gt;0,($H200/$G200)*AE200,0)*(1-$K200)</f>
        <v>0</v>
      </c>
      <c r="AG200" s="3236">
        <f>VLOOKUP($E200,AE$442:AH$453,3,FALSE)*AE200*($K200)+IF($G200&lt;&gt;0,($I200/$G200)*AE200,0)*(1-$K200)</f>
        <v>14310154</v>
      </c>
      <c r="AH200" s="3236">
        <f>VLOOKUP($E200,AE$442:AH$453,4,FALSE)*AE200*($K200)+(AE200-AF200-AG200)*(1-$K200)</f>
        <v>0</v>
      </c>
      <c r="AI200" s="3264"/>
      <c r="AL200" s="3434">
        <f>VLOOKUP($A200,'New Resources - Group'!$A$4:$Y$133,AL$2,FALSE)*AL$1</f>
        <v>0</v>
      </c>
      <c r="AM200" s="3235">
        <f>$G200+AL200</f>
        <v>14310154</v>
      </c>
      <c r="AN200" s="3236">
        <f>VLOOKUP($E200,AM$442:AP$453,2,FALSE)*AM200*($K200)+IF($G200&lt;&gt;0,($H200/$G200)*AM200,0)*(1-$K200)</f>
        <v>0</v>
      </c>
      <c r="AO200" s="3236">
        <f>VLOOKUP($E200,AM$442:AP$453,3,FALSE)*AM200*($K200)+IF($G200&lt;&gt;0,($I200/$G200)*AM200,0)*(1-$K200)</f>
        <v>14310154</v>
      </c>
      <c r="AP200" s="3236">
        <f>VLOOKUP($E200,AM$442:AP$453,4,FALSE)*AM200*($K200)+(AM200-AN200-AO200)*(1-$K200)</f>
        <v>0</v>
      </c>
      <c r="AQ200" s="3264"/>
      <c r="AT200" s="3434">
        <f>VLOOKUP($A200,'New Resources - Group'!$A$4:$Y$133,AT$2,FALSE)*AT$1</f>
        <v>0</v>
      </c>
      <c r="AU200" s="3235">
        <f>$G200+AT200</f>
        <v>14310154</v>
      </c>
      <c r="AV200" s="3236">
        <f>VLOOKUP($E200,AU$442:AX$453,2,FALSE)*AU200*($K200)+IF($G200&lt;&gt;0,($H200/$G200)*AU200,0)*(1-$K200)</f>
        <v>0</v>
      </c>
      <c r="AW200" s="3236">
        <f>VLOOKUP($E200,AU$442:AX$453,3,FALSE)*AU200*($K200)+IF($G200&lt;&gt;0,($I200/$G200)*AU200,0)*(1-$K200)</f>
        <v>14310154</v>
      </c>
      <c r="AX200" s="3236">
        <f>VLOOKUP($E200,AU$442:AX$453,4,FALSE)*AU200*($K200)+(AU200-AV200-AW200)*(1-$K200)</f>
        <v>0</v>
      </c>
      <c r="AY200" s="3264"/>
      <c r="BB200" s="3434">
        <f>VLOOKUP($A200,'New Resources - Group'!$A$4:$Y$133,BB$2,FALSE)*BB$1</f>
        <v>0</v>
      </c>
      <c r="BC200" s="3235">
        <f>$G200+BB200</f>
        <v>14310154</v>
      </c>
      <c r="BD200" s="3236">
        <f>VLOOKUP($E200,BC$442:BF$453,2,FALSE)*BC200*($K200)+IF($G200&lt;&gt;0,($H200/$G200)*BC200,0)*(1-$K200)</f>
        <v>0</v>
      </c>
      <c r="BE200" s="3236">
        <f>VLOOKUP($E200,BC$442:BF$453,3,FALSE)*BC200*($K200)+IF($G200&lt;&gt;0,($I200/$G200)*BC200,0)*(1-$K200)</f>
        <v>14310154</v>
      </c>
      <c r="BF200" s="3236">
        <f>VLOOKUP($E200,BC$442:BF$453,4,FALSE)*BC200*($K200)+(BC200-BD200-BE200)*(1-$K200)</f>
        <v>0</v>
      </c>
      <c r="BG200" s="3264"/>
      <c r="BJ200" s="3434">
        <f>VLOOKUP($A200,'New Resources - Group'!$A$4:$Y$133,BJ$2,FALSE)*BJ$1</f>
        <v>0</v>
      </c>
      <c r="BK200" s="3235">
        <f>$G200+BJ200</f>
        <v>14310154</v>
      </c>
      <c r="BL200" s="3236">
        <f>VLOOKUP($E200,BK$442:BN$453,2,FALSE)*BK200*($K200)+IF($G200&lt;&gt;0,($H200/$G200)*BK200,0)*(1-$K200)</f>
        <v>0</v>
      </c>
      <c r="BM200" s="3236">
        <f>VLOOKUP($E200,BK$442:BN$453,3,FALSE)*BK200*($K200)+IF($G200&lt;&gt;0,($I200/$G200)*BK200,0)*(1-$K200)</f>
        <v>14310154</v>
      </c>
      <c r="BN200" s="3236">
        <f>VLOOKUP($E200,BK$442:BN$453,4,FALSE)*BK200*($K200)+(BK200-BL200-BM200)*(1-$K200)</f>
        <v>0</v>
      </c>
      <c r="BO200" s="3264"/>
      <c r="BR200" s="3434">
        <f>VLOOKUP($A200,'New Resources - Group'!$A$4:$Y$133,BR$2,FALSE)*BR$1</f>
        <v>0</v>
      </c>
      <c r="BS200" s="3235">
        <f>$G200+BR200</f>
        <v>14310154</v>
      </c>
      <c r="BT200" s="3236">
        <f>VLOOKUP($E200,BS$442:BV$453,2,FALSE)*BS200*($K200)+IF($G200&lt;&gt;0,($H200/$G200)*BS200,0)*(1-$K200)</f>
        <v>0</v>
      </c>
      <c r="BU200" s="3236">
        <f>VLOOKUP($E200,BS$442:BV$453,3,FALSE)*BS200*($K200)+IF($G200&lt;&gt;0,($I200/$G200)*BS200,0)*(1-$K200)</f>
        <v>14310154</v>
      </c>
      <c r="BV200" s="3236">
        <f>VLOOKUP($E200,BS$442:BV$453,4,FALSE)*BS200*($K200)+(BS200-BT200-BU200)*(1-$K200)</f>
        <v>0</v>
      </c>
      <c r="BW200" s="3264"/>
      <c r="BZ200" s="3434">
        <f>VLOOKUP($A200,'New Resources - Group'!$A$4:$Y$133,BZ$2,FALSE)*BZ$1</f>
        <v>0</v>
      </c>
      <c r="CA200" s="3235">
        <f>$G200+BZ200</f>
        <v>14310154</v>
      </c>
      <c r="CB200" s="3236">
        <f>VLOOKUP($E200,CA$442:CD$453,2,FALSE)*CA200*($K200)+IF($G200&lt;&gt;0,($H200/$G200)*CA200,0)*(1-$K200)</f>
        <v>0</v>
      </c>
      <c r="CC200" s="3236">
        <f>VLOOKUP($E200,CA$442:CD$453,3,FALSE)*CA200*($K200)+IF($G200&lt;&gt;0,($I200/$G200)*CA200,0)*(1-$K200)</f>
        <v>14310154</v>
      </c>
      <c r="CD200" s="3236">
        <f>VLOOKUP($E200,CA$442:CD$453,4,FALSE)*CA200*($K200)+(CA200-CB200-CC200)*(1-$K200)</f>
        <v>0</v>
      </c>
      <c r="CE200" s="3264"/>
      <c r="CH200" s="3434">
        <f>VLOOKUP($A200,'New Resources - Group'!$A$4:$Y$133,CH$2,FALSE)*CH$1</f>
        <v>0</v>
      </c>
      <c r="CI200" s="3235">
        <f>$G200+CH200</f>
        <v>14310154</v>
      </c>
      <c r="CJ200" s="3236">
        <f>VLOOKUP($E200,CI$442:CL$453,2,FALSE)*CI200*($K200)+IF($G200&lt;&gt;0,($H200/$G200)*CI200,0)*(1-$K200)</f>
        <v>0</v>
      </c>
      <c r="CK200" s="3236">
        <f>VLOOKUP($E200,CI$442:CL$453,3,FALSE)*CI200*($K200)+IF($G200&lt;&gt;0,($I200/$G200)*CI200,0)*(1-$K200)</f>
        <v>14310154</v>
      </c>
      <c r="CL200" s="3236">
        <f>VLOOKUP($E200,CI$442:CL$453,4,FALSE)*CI200*($K200)+(CI200-CJ200-CK200)*(1-$K200)</f>
        <v>0</v>
      </c>
      <c r="CM200" s="3264"/>
      <c r="CP200" s="3434">
        <f>VLOOKUP($A200,'New Resources - Group'!$A$4:$Y$133,CP$2,FALSE)*CP$1</f>
        <v>0</v>
      </c>
      <c r="CQ200" s="3235">
        <f>$G200+CP200</f>
        <v>14310154</v>
      </c>
      <c r="CR200" s="3236">
        <f>VLOOKUP($E200,CQ$442:CT$453,2,FALSE)*CQ200*($K200)+IF($G200&lt;&gt;0,($H200/$G200)*CQ200,0)*(1-$K200)</f>
        <v>0</v>
      </c>
      <c r="CS200" s="3236">
        <f>VLOOKUP($E200,CQ$442:CT$453,3,FALSE)*CQ200*($K200)+IF($G200&lt;&gt;0,($I200/$G200)*CQ200,0)*(1-$K200)</f>
        <v>14310154</v>
      </c>
      <c r="CT200" s="3236">
        <f>VLOOKUP($E200,CQ$442:CT$453,4,FALSE)*CQ200*($K200)+(CQ200-CR200-CS200)*(1-$K200)</f>
        <v>0</v>
      </c>
      <c r="CU200" s="3264"/>
      <c r="CX200" s="3434">
        <f>VLOOKUP($A200,'New Resources - Group'!$A$4:$Y$133,CX$2,FALSE)*CX$1</f>
        <v>0</v>
      </c>
      <c r="CY200" s="3235">
        <f>$G200+CX200</f>
        <v>14310154</v>
      </c>
      <c r="CZ200" s="3236">
        <f>VLOOKUP($E200,CY$442:DB$453,2,FALSE)*CY200*($K200)+IF($G200&lt;&gt;0,($H200/$G200)*CY200,0)*(1-$K200)</f>
        <v>0</v>
      </c>
      <c r="DA200" s="3236">
        <f>VLOOKUP($E200,CY$442:DB$453,3,FALSE)*CY200*($K200)+IF($G200&lt;&gt;0,($I200/$G200)*CY200,0)*(1-$K200)</f>
        <v>14310154</v>
      </c>
      <c r="DB200" s="3236">
        <f>VLOOKUP($E200,CY$442:DB$453,4,FALSE)*CY200*($K200)+(CY200-CZ200-DA200)*(1-$K200)</f>
        <v>0</v>
      </c>
      <c r="DC200" s="3264"/>
      <c r="DF200" s="3434">
        <f>VLOOKUP($A200,'New Resources - Group'!$A$4:$Y$133,DF$2,FALSE)*DF$1</f>
        <v>0</v>
      </c>
      <c r="DG200" s="3235">
        <f>$G200+DF200</f>
        <v>14310154</v>
      </c>
      <c r="DH200" s="3236">
        <f>VLOOKUP($E200,DG$442:DJ$453,2,FALSE)*DG200*($K200)+IF($G200&lt;&gt;0,($H200/$G200)*DG200,0)*(1-$K200)</f>
        <v>0</v>
      </c>
      <c r="DI200" s="3236">
        <f>VLOOKUP($E200,DG$442:DJ$453,3,FALSE)*DG200*($K200)+IF($G200&lt;&gt;0,($I200/$G200)*DG200,0)*(1-$K200)</f>
        <v>14310154</v>
      </c>
      <c r="DJ200" s="3236">
        <f>VLOOKUP($E200,DG$442:DJ$453,4,FALSE)*DG200*($K200)+(DG200-DH200-DI200)*(1-$K200)</f>
        <v>0</v>
      </c>
      <c r="DK200" s="3264"/>
      <c r="DN200" s="3434">
        <f>VLOOKUP($A200,'New Resources - Group'!$A$4:$Y$133,DN$2,FALSE)*DN$1</f>
        <v>0</v>
      </c>
      <c r="DO200" s="3235">
        <f>$G200+DN200</f>
        <v>14310154</v>
      </c>
      <c r="DP200" s="3236">
        <f>VLOOKUP($E200,DO$442:DR$453,2,FALSE)*DO200*($K200)+IF($G200&lt;&gt;0,($H200/$G200)*DO200,0)*(1-$K200)</f>
        <v>0</v>
      </c>
      <c r="DQ200" s="3236">
        <f>VLOOKUP($E200,DO$442:DR$453,3,FALSE)*DO200*($K200)+IF($G200&lt;&gt;0,($I200/$G200)*DO200,0)*(1-$K200)</f>
        <v>14310154</v>
      </c>
      <c r="DR200" s="3236">
        <f>VLOOKUP($E200,DO$442:DR$453,4,FALSE)*DO200*($K200)+(DO200-DP200-DQ200)*(1-$K200)</f>
        <v>0</v>
      </c>
      <c r="DS200" s="3264"/>
      <c r="DV200" s="3434">
        <f>VLOOKUP($A200,'New Resources - Group'!$A$4:$Y$133,DV$2,FALSE)*DV$1</f>
        <v>0</v>
      </c>
      <c r="DW200" s="3235">
        <f>$G200+DV200</f>
        <v>14310154</v>
      </c>
      <c r="DX200" s="3236">
        <f>VLOOKUP($E200,DW$442:DZ$453,2,FALSE)*DW200*($K200)+IF($G200&lt;&gt;0,($H200/$G200)*DW200,0)*(1-$K200)</f>
        <v>0</v>
      </c>
      <c r="DY200" s="3236">
        <f>VLOOKUP($E200,DW$442:DZ$453,3,FALSE)*DW200*($K200)+IF($G200&lt;&gt;0,($I200/$G200)*DW200,0)*(1-$K200)</f>
        <v>14310154</v>
      </c>
      <c r="DZ200" s="3236">
        <f>VLOOKUP($E200,DW$442:DZ$453,4,FALSE)*DW200*($K200)+(DW200-DX200-DY200)*(1-$K200)</f>
        <v>0</v>
      </c>
      <c r="EA200" s="3264"/>
      <c r="ED200" s="3434">
        <f>VLOOKUP($A200,'New Resources - Group'!$A$4:$Y$133,ED$2,FALSE)*ED$1</f>
        <v>0</v>
      </c>
      <c r="EE200" s="3235">
        <f>$G200+ED200</f>
        <v>14310154</v>
      </c>
      <c r="EF200" s="3236">
        <f>VLOOKUP($E200,EE$442:EH$453,2,FALSE)*EE200*($K200)+IF($G200&lt;&gt;0,($H200/$G200)*EE200,0)*(1-$K200)</f>
        <v>0</v>
      </c>
      <c r="EG200" s="3236">
        <f>VLOOKUP($E200,EE$442:EH$453,3,FALSE)*EE200*($K200)+IF($G200&lt;&gt;0,($I200/$G200)*EE200,0)*(1-$K200)</f>
        <v>14310154</v>
      </c>
      <c r="EH200" s="3236">
        <f>VLOOKUP($E200,EE$442:EH$453,4,FALSE)*EE200*($K200)+(EE200-EF200-EG200)*(1-$K200)</f>
        <v>0</v>
      </c>
      <c r="EI200" s="3264"/>
      <c r="EL200" s="3434">
        <f>VLOOKUP($A200,'New Resources - Group'!$A$4:$Y$133,EL$2,FALSE)*EL$1</f>
        <v>0</v>
      </c>
      <c r="EM200" s="3235">
        <f>$G200+EL200</f>
        <v>14310154</v>
      </c>
      <c r="EN200" s="3236">
        <f>VLOOKUP($E200,EM$442:EP$453,2,FALSE)*EM200*($K200)+IF($G200&lt;&gt;0,($H200/$G200)*EM200,0)*(1-$K200)</f>
        <v>0</v>
      </c>
      <c r="EO200" s="3236">
        <f>VLOOKUP($E200,EM$442:EP$453,3,FALSE)*EM200*($K200)+IF($G200&lt;&gt;0,($I200/$G200)*EM200,0)*(1-$K200)</f>
        <v>14310154</v>
      </c>
      <c r="EP200" s="3236">
        <f>VLOOKUP($E200,EM$442:EP$453,4,FALSE)*EM200*($K200)+(EM200-EN200-EO200)*(1-$K200)</f>
        <v>0</v>
      </c>
      <c r="EQ200" s="3264"/>
      <c r="ET200" s="3434">
        <f>VLOOKUP($A200,'New Resources - Group'!$A$4:$Y$133,ET$2,FALSE)*ET$1</f>
        <v>0</v>
      </c>
      <c r="EU200" s="3235">
        <f>$G200+ET200</f>
        <v>14310154</v>
      </c>
      <c r="EV200" s="3236">
        <f>VLOOKUP($E200,EU$442:EX$453,2,FALSE)*EU200*($K200)+IF($G200&lt;&gt;0,($H200/$G200)*EU200,0)*(1-$K200)</f>
        <v>0</v>
      </c>
      <c r="EW200" s="3236">
        <f>VLOOKUP($E200,EU$442:EX$453,3,FALSE)*EU200*($K200)+IF($G200&lt;&gt;0,($I200/$G200)*EU200,0)*(1-$K200)</f>
        <v>14310154</v>
      </c>
      <c r="EX200" s="3236">
        <f>VLOOKUP($E200,EU$442:EX$453,4,FALSE)*EU200*($K200)+(EU200-EV200-EW200)*(1-$K200)</f>
        <v>0</v>
      </c>
      <c r="EY200" s="3264"/>
      <c r="FB200" s="3434">
        <f>VLOOKUP($A200,'New Resources - Group'!$A$4:$Y$133,FB$2,FALSE)*FB$1</f>
        <v>0</v>
      </c>
      <c r="FC200" s="3235">
        <f>$G200+FB200</f>
        <v>14310154</v>
      </c>
      <c r="FD200" s="3236">
        <f>VLOOKUP($E200,FC$442:FF$453,2,FALSE)*FC200*($K200)+IF($G200&lt;&gt;0,($H200/$G200)*FC200,0)*(1-$K200)</f>
        <v>0</v>
      </c>
      <c r="FE200" s="3236">
        <f>VLOOKUP($E200,FC$442:FF$453,3,FALSE)*FC200*($K200)+IF($G200&lt;&gt;0,($I200/$G200)*FC200,0)*(1-$K200)</f>
        <v>14310154</v>
      </c>
      <c r="FF200" s="3236">
        <f>VLOOKUP($E200,FC$442:FF$453,4,FALSE)*FC200*($K200)+(FC200-FD200-FE200)*(1-$K200)</f>
        <v>0</v>
      </c>
      <c r="FG200" s="3264"/>
      <c r="FJ200" s="3434">
        <f>VLOOKUP($A200,'New Resources - Group'!$A$4:$Y$133,FJ$2,FALSE)*FJ$1</f>
        <v>0</v>
      </c>
      <c r="FK200" s="3235">
        <f>$G200+FJ200</f>
        <v>14310154</v>
      </c>
      <c r="FL200" s="3236">
        <f>VLOOKUP($E200,FK$442:FN$453,2,FALSE)*FK200*($K200)+IF($G200&lt;&gt;0,($H200/$G200)*FK200,0)*(1-$K200)</f>
        <v>0</v>
      </c>
      <c r="FM200" s="3236">
        <f>VLOOKUP($E200,FK$442:FN$453,3,FALSE)*FK200*($K200)+IF($G200&lt;&gt;0,($I200/$G200)*FK200,0)*(1-$K200)</f>
        <v>14310154</v>
      </c>
      <c r="FN200" s="3236">
        <f>VLOOKUP($E200,FK$442:FN$453,4,FALSE)*FK200*($K200)+(FK200-FL200-FM200)*(1-$K200)</f>
        <v>0</v>
      </c>
      <c r="FO200" s="3264"/>
    </row>
    <row r="201" spans="1:171">
      <c r="A201" s="3480">
        <v>890</v>
      </c>
      <c r="B201" s="2185" t="s">
        <v>461</v>
      </c>
      <c r="C201" s="2464" t="s">
        <v>72</v>
      </c>
      <c r="D201" s="2171" t="s">
        <v>301</v>
      </c>
      <c r="E201" s="2424" t="str">
        <f>'Sch 3 - Expenses'!E41</f>
        <v>TRANS</v>
      </c>
      <c r="F201" s="2171"/>
      <c r="G201" s="2424">
        <f>'Sch 3 - Expenses'!G41</f>
        <v>11909901</v>
      </c>
      <c r="H201" s="2424">
        <f>'Sch 3 - Expenses'!H41</f>
        <v>0</v>
      </c>
      <c r="I201" s="2424">
        <f>'Sch 3 - Expenses'!I41</f>
        <v>0</v>
      </c>
      <c r="J201" s="3465">
        <f>'Sch 3 - Expenses'!J41</f>
        <v>11909901</v>
      </c>
      <c r="K201" s="3205">
        <f>IF($E201="DIRECT",0,1)</f>
        <v>1</v>
      </c>
      <c r="N201" s="3434">
        <f>VLOOKUP($A201,'New Resources - Group'!$A$4:$Y$133,N$2,FALSE)*N$1</f>
        <v>0</v>
      </c>
      <c r="O201" s="3235">
        <f>$G201+N201</f>
        <v>11909901</v>
      </c>
      <c r="P201" s="3236">
        <f>VLOOKUP($E201,O$442:R$453,2,FALSE)*O201*($K201)+IF($G201&lt;&gt;0,($H201/$G201)*O201,0)*(1-$K201)</f>
        <v>0</v>
      </c>
      <c r="Q201" s="3236">
        <f>VLOOKUP($E201,O$442:R$453,3,FALSE)*O201*($K201)+IF($G201&lt;&gt;0,($I201/$G201)*O201,0)*(1-$K201)</f>
        <v>11909901</v>
      </c>
      <c r="R201" s="3236">
        <f>VLOOKUP($E201,O$442:R$453,4,FALSE)*O201*($K201)+(O201-P201-Q201)*(1-$K201)</f>
        <v>0</v>
      </c>
      <c r="S201" s="3264"/>
      <c r="V201" s="3434">
        <f>VLOOKUP($A201,'New Resources - Group'!$A$4:$Y$133,V$2,FALSE)*V$1</f>
        <v>0</v>
      </c>
      <c r="W201" s="3235">
        <f>$G201+V201</f>
        <v>11909901</v>
      </c>
      <c r="X201" s="3236">
        <f>VLOOKUP($E201,W$442:Z$453,2,FALSE)*W201*($K201)+IF($G201&lt;&gt;0,($H201/$G201)*W201,0)*(1-$K201)</f>
        <v>0</v>
      </c>
      <c r="Y201" s="3236">
        <f>VLOOKUP($E201,W$442:Z$453,3,FALSE)*W201*($K201)+IF($G201&lt;&gt;0,($I201/$G201)*W201,0)*(1-$K201)</f>
        <v>11909901</v>
      </c>
      <c r="Z201" s="3236">
        <f>VLOOKUP($E201,W$442:Z$453,4,FALSE)*W201*($K201)+(W201-X201-Y201)*(1-$K201)</f>
        <v>0</v>
      </c>
      <c r="AA201" s="3264"/>
      <c r="AD201" s="3434">
        <f>VLOOKUP($A201,'New Resources - Group'!$A$4:$Y$133,AD$2,FALSE)*AD$1</f>
        <v>0</v>
      </c>
      <c r="AE201" s="3235">
        <f>$G201+AD201</f>
        <v>11909901</v>
      </c>
      <c r="AF201" s="3236">
        <f>VLOOKUP($E201,AE$442:AH$453,2,FALSE)*AE201*($K201)+IF($G201&lt;&gt;0,($H201/$G201)*AE201,0)*(1-$K201)</f>
        <v>0</v>
      </c>
      <c r="AG201" s="3236">
        <f>VLOOKUP($E201,AE$442:AH$453,3,FALSE)*AE201*($K201)+IF($G201&lt;&gt;0,($I201/$G201)*AE201,0)*(1-$K201)</f>
        <v>11909901</v>
      </c>
      <c r="AH201" s="3236">
        <f>VLOOKUP($E201,AE$442:AH$453,4,FALSE)*AE201*($K201)+(AE201-AF201-AG201)*(1-$K201)</f>
        <v>0</v>
      </c>
      <c r="AI201" s="3264"/>
      <c r="AL201" s="3434">
        <f>VLOOKUP($A201,'New Resources - Group'!$A$4:$Y$133,AL$2,FALSE)*AL$1</f>
        <v>0</v>
      </c>
      <c r="AM201" s="3235">
        <f>$G201+AL201</f>
        <v>11909901</v>
      </c>
      <c r="AN201" s="3236">
        <f>VLOOKUP($E201,AM$442:AP$453,2,FALSE)*AM201*($K201)+IF($G201&lt;&gt;0,($H201/$G201)*AM201,0)*(1-$K201)</f>
        <v>0</v>
      </c>
      <c r="AO201" s="3236">
        <f>VLOOKUP($E201,AM$442:AP$453,3,FALSE)*AM201*($K201)+IF($G201&lt;&gt;0,($I201/$G201)*AM201,0)*(1-$K201)</f>
        <v>11909901</v>
      </c>
      <c r="AP201" s="3236">
        <f>VLOOKUP($E201,AM$442:AP$453,4,FALSE)*AM201*($K201)+(AM201-AN201-AO201)*(1-$K201)</f>
        <v>0</v>
      </c>
      <c r="AQ201" s="3264"/>
      <c r="AT201" s="3434">
        <f>VLOOKUP($A201,'New Resources - Group'!$A$4:$Y$133,AT$2,FALSE)*AT$1</f>
        <v>0</v>
      </c>
      <c r="AU201" s="3235">
        <f>$G201+AT201</f>
        <v>11909901</v>
      </c>
      <c r="AV201" s="3236">
        <f>VLOOKUP($E201,AU$442:AX$453,2,FALSE)*AU201*($K201)+IF($G201&lt;&gt;0,($H201/$G201)*AU201,0)*(1-$K201)</f>
        <v>0</v>
      </c>
      <c r="AW201" s="3236">
        <f>VLOOKUP($E201,AU$442:AX$453,3,FALSE)*AU201*($K201)+IF($G201&lt;&gt;0,($I201/$G201)*AU201,0)*(1-$K201)</f>
        <v>11909901</v>
      </c>
      <c r="AX201" s="3236">
        <f>VLOOKUP($E201,AU$442:AX$453,4,FALSE)*AU201*($K201)+(AU201-AV201-AW201)*(1-$K201)</f>
        <v>0</v>
      </c>
      <c r="AY201" s="3264"/>
      <c r="BB201" s="3434">
        <f>VLOOKUP($A201,'New Resources - Group'!$A$4:$Y$133,BB$2,FALSE)*BB$1</f>
        <v>0</v>
      </c>
      <c r="BC201" s="3235">
        <f>$G201+BB201</f>
        <v>11909901</v>
      </c>
      <c r="BD201" s="3236">
        <f>VLOOKUP($E201,BC$442:BF$453,2,FALSE)*BC201*($K201)+IF($G201&lt;&gt;0,($H201/$G201)*BC201,0)*(1-$K201)</f>
        <v>0</v>
      </c>
      <c r="BE201" s="3236">
        <f>VLOOKUP($E201,BC$442:BF$453,3,FALSE)*BC201*($K201)+IF($G201&lt;&gt;0,($I201/$G201)*BC201,0)*(1-$K201)</f>
        <v>11909901</v>
      </c>
      <c r="BF201" s="3236">
        <f>VLOOKUP($E201,BC$442:BF$453,4,FALSE)*BC201*($K201)+(BC201-BD201-BE201)*(1-$K201)</f>
        <v>0</v>
      </c>
      <c r="BG201" s="3264"/>
      <c r="BJ201" s="3434">
        <f>VLOOKUP($A201,'New Resources - Group'!$A$4:$Y$133,BJ$2,FALSE)*BJ$1</f>
        <v>0</v>
      </c>
      <c r="BK201" s="3235">
        <f>$G201+BJ201</f>
        <v>11909901</v>
      </c>
      <c r="BL201" s="3236">
        <f>VLOOKUP($E201,BK$442:BN$453,2,FALSE)*BK201*($K201)+IF($G201&lt;&gt;0,($H201/$G201)*BK201,0)*(1-$K201)</f>
        <v>0</v>
      </c>
      <c r="BM201" s="3236">
        <f>VLOOKUP($E201,BK$442:BN$453,3,FALSE)*BK201*($K201)+IF($G201&lt;&gt;0,($I201/$G201)*BK201,0)*(1-$K201)</f>
        <v>11909901</v>
      </c>
      <c r="BN201" s="3236">
        <f>VLOOKUP($E201,BK$442:BN$453,4,FALSE)*BK201*($K201)+(BK201-BL201-BM201)*(1-$K201)</f>
        <v>0</v>
      </c>
      <c r="BO201" s="3264"/>
      <c r="BR201" s="3434">
        <f>VLOOKUP($A201,'New Resources - Group'!$A$4:$Y$133,BR$2,FALSE)*BR$1</f>
        <v>0</v>
      </c>
      <c r="BS201" s="3235">
        <f>$G201+BR201</f>
        <v>11909901</v>
      </c>
      <c r="BT201" s="3236">
        <f>VLOOKUP($E201,BS$442:BV$453,2,FALSE)*BS201*($K201)+IF($G201&lt;&gt;0,($H201/$G201)*BS201,0)*(1-$K201)</f>
        <v>0</v>
      </c>
      <c r="BU201" s="3236">
        <f>VLOOKUP($E201,BS$442:BV$453,3,FALSE)*BS201*($K201)+IF($G201&lt;&gt;0,($I201/$G201)*BS201,0)*(1-$K201)</f>
        <v>11909901</v>
      </c>
      <c r="BV201" s="3236">
        <f>VLOOKUP($E201,BS$442:BV$453,4,FALSE)*BS201*($K201)+(BS201-BT201-BU201)*(1-$K201)</f>
        <v>0</v>
      </c>
      <c r="BW201" s="3264"/>
      <c r="BZ201" s="3434">
        <f>VLOOKUP($A201,'New Resources - Group'!$A$4:$Y$133,BZ$2,FALSE)*BZ$1</f>
        <v>0</v>
      </c>
      <c r="CA201" s="3235">
        <f>$G201+BZ201</f>
        <v>11909901</v>
      </c>
      <c r="CB201" s="3236">
        <f>VLOOKUP($E201,CA$442:CD$453,2,FALSE)*CA201*($K201)+IF($G201&lt;&gt;0,($H201/$G201)*CA201,0)*(1-$K201)</f>
        <v>0</v>
      </c>
      <c r="CC201" s="3236">
        <f>VLOOKUP($E201,CA$442:CD$453,3,FALSE)*CA201*($K201)+IF($G201&lt;&gt;0,($I201/$G201)*CA201,0)*(1-$K201)</f>
        <v>11909901</v>
      </c>
      <c r="CD201" s="3236">
        <f>VLOOKUP($E201,CA$442:CD$453,4,FALSE)*CA201*($K201)+(CA201-CB201-CC201)*(1-$K201)</f>
        <v>0</v>
      </c>
      <c r="CE201" s="3264"/>
      <c r="CH201" s="3434">
        <f>VLOOKUP($A201,'New Resources - Group'!$A$4:$Y$133,CH$2,FALSE)*CH$1</f>
        <v>0</v>
      </c>
      <c r="CI201" s="3235">
        <f>$G201+CH201</f>
        <v>11909901</v>
      </c>
      <c r="CJ201" s="3236">
        <f>VLOOKUP($E201,CI$442:CL$453,2,FALSE)*CI201*($K201)+IF($G201&lt;&gt;0,($H201/$G201)*CI201,0)*(1-$K201)</f>
        <v>0</v>
      </c>
      <c r="CK201" s="3236">
        <f>VLOOKUP($E201,CI$442:CL$453,3,FALSE)*CI201*($K201)+IF($G201&lt;&gt;0,($I201/$G201)*CI201,0)*(1-$K201)</f>
        <v>11909901</v>
      </c>
      <c r="CL201" s="3236">
        <f>VLOOKUP($E201,CI$442:CL$453,4,FALSE)*CI201*($K201)+(CI201-CJ201-CK201)*(1-$K201)</f>
        <v>0</v>
      </c>
      <c r="CM201" s="3264"/>
      <c r="CP201" s="3434">
        <f>VLOOKUP($A201,'New Resources - Group'!$A$4:$Y$133,CP$2,FALSE)*CP$1</f>
        <v>0</v>
      </c>
      <c r="CQ201" s="3235">
        <f>$G201+CP201</f>
        <v>11909901</v>
      </c>
      <c r="CR201" s="3236">
        <f>VLOOKUP($E201,CQ$442:CT$453,2,FALSE)*CQ201*($K201)+IF($G201&lt;&gt;0,($H201/$G201)*CQ201,0)*(1-$K201)</f>
        <v>0</v>
      </c>
      <c r="CS201" s="3236">
        <f>VLOOKUP($E201,CQ$442:CT$453,3,FALSE)*CQ201*($K201)+IF($G201&lt;&gt;0,($I201/$G201)*CQ201,0)*(1-$K201)</f>
        <v>11909901</v>
      </c>
      <c r="CT201" s="3236">
        <f>VLOOKUP($E201,CQ$442:CT$453,4,FALSE)*CQ201*($K201)+(CQ201-CR201-CS201)*(1-$K201)</f>
        <v>0</v>
      </c>
      <c r="CU201" s="3264"/>
      <c r="CX201" s="3434">
        <f>VLOOKUP($A201,'New Resources - Group'!$A$4:$Y$133,CX$2,FALSE)*CX$1</f>
        <v>0</v>
      </c>
      <c r="CY201" s="3235">
        <f>$G201+CX201</f>
        <v>11909901</v>
      </c>
      <c r="CZ201" s="3236">
        <f>VLOOKUP($E201,CY$442:DB$453,2,FALSE)*CY201*($K201)+IF($G201&lt;&gt;0,($H201/$G201)*CY201,0)*(1-$K201)</f>
        <v>0</v>
      </c>
      <c r="DA201" s="3236">
        <f>VLOOKUP($E201,CY$442:DB$453,3,FALSE)*CY201*($K201)+IF($G201&lt;&gt;0,($I201/$G201)*CY201,0)*(1-$K201)</f>
        <v>11909901</v>
      </c>
      <c r="DB201" s="3236">
        <f>VLOOKUP($E201,CY$442:DB$453,4,FALSE)*CY201*($K201)+(CY201-CZ201-DA201)*(1-$K201)</f>
        <v>0</v>
      </c>
      <c r="DC201" s="3264"/>
      <c r="DF201" s="3434">
        <f>VLOOKUP($A201,'New Resources - Group'!$A$4:$Y$133,DF$2,FALSE)*DF$1</f>
        <v>0</v>
      </c>
      <c r="DG201" s="3235">
        <f>$G201+DF201</f>
        <v>11909901</v>
      </c>
      <c r="DH201" s="3236">
        <f>VLOOKUP($E201,DG$442:DJ$453,2,FALSE)*DG201*($K201)+IF($G201&lt;&gt;0,($H201/$G201)*DG201,0)*(1-$K201)</f>
        <v>0</v>
      </c>
      <c r="DI201" s="3236">
        <f>VLOOKUP($E201,DG$442:DJ$453,3,FALSE)*DG201*($K201)+IF($G201&lt;&gt;0,($I201/$G201)*DG201,0)*(1-$K201)</f>
        <v>11909901</v>
      </c>
      <c r="DJ201" s="3236">
        <f>VLOOKUP($E201,DG$442:DJ$453,4,FALSE)*DG201*($K201)+(DG201-DH201-DI201)*(1-$K201)</f>
        <v>0</v>
      </c>
      <c r="DK201" s="3264"/>
      <c r="DN201" s="3434">
        <f>VLOOKUP($A201,'New Resources - Group'!$A$4:$Y$133,DN$2,FALSE)*DN$1</f>
        <v>0</v>
      </c>
      <c r="DO201" s="3235">
        <f>$G201+DN201</f>
        <v>11909901</v>
      </c>
      <c r="DP201" s="3236">
        <f>VLOOKUP($E201,DO$442:DR$453,2,FALSE)*DO201*($K201)+IF($G201&lt;&gt;0,($H201/$G201)*DO201,0)*(1-$K201)</f>
        <v>0</v>
      </c>
      <c r="DQ201" s="3236">
        <f>VLOOKUP($E201,DO$442:DR$453,3,FALSE)*DO201*($K201)+IF($G201&lt;&gt;0,($I201/$G201)*DO201,0)*(1-$K201)</f>
        <v>11909901</v>
      </c>
      <c r="DR201" s="3236">
        <f>VLOOKUP($E201,DO$442:DR$453,4,FALSE)*DO201*($K201)+(DO201-DP201-DQ201)*(1-$K201)</f>
        <v>0</v>
      </c>
      <c r="DS201" s="3264"/>
      <c r="DV201" s="3434">
        <f>VLOOKUP($A201,'New Resources - Group'!$A$4:$Y$133,DV$2,FALSE)*DV$1</f>
        <v>0</v>
      </c>
      <c r="DW201" s="3235">
        <f>$G201+DV201</f>
        <v>11909901</v>
      </c>
      <c r="DX201" s="3236">
        <f>VLOOKUP($E201,DW$442:DZ$453,2,FALSE)*DW201*($K201)+IF($G201&lt;&gt;0,($H201/$G201)*DW201,0)*(1-$K201)</f>
        <v>0</v>
      </c>
      <c r="DY201" s="3236">
        <f>VLOOKUP($E201,DW$442:DZ$453,3,FALSE)*DW201*($K201)+IF($G201&lt;&gt;0,($I201/$G201)*DW201,0)*(1-$K201)</f>
        <v>11909901</v>
      </c>
      <c r="DZ201" s="3236">
        <f>VLOOKUP($E201,DW$442:DZ$453,4,FALSE)*DW201*($K201)+(DW201-DX201-DY201)*(1-$K201)</f>
        <v>0</v>
      </c>
      <c r="EA201" s="3264"/>
      <c r="ED201" s="3434">
        <f>VLOOKUP($A201,'New Resources - Group'!$A$4:$Y$133,ED$2,FALSE)*ED$1</f>
        <v>0</v>
      </c>
      <c r="EE201" s="3235">
        <f>$G201+ED201</f>
        <v>11909901</v>
      </c>
      <c r="EF201" s="3236">
        <f>VLOOKUP($E201,EE$442:EH$453,2,FALSE)*EE201*($K201)+IF($G201&lt;&gt;0,($H201/$G201)*EE201,0)*(1-$K201)</f>
        <v>0</v>
      </c>
      <c r="EG201" s="3236">
        <f>VLOOKUP($E201,EE$442:EH$453,3,FALSE)*EE201*($K201)+IF($G201&lt;&gt;0,($I201/$G201)*EE201,0)*(1-$K201)</f>
        <v>11909901</v>
      </c>
      <c r="EH201" s="3236">
        <f>VLOOKUP($E201,EE$442:EH$453,4,FALSE)*EE201*($K201)+(EE201-EF201-EG201)*(1-$K201)</f>
        <v>0</v>
      </c>
      <c r="EI201" s="3264"/>
      <c r="EL201" s="3434">
        <f>VLOOKUP($A201,'New Resources - Group'!$A$4:$Y$133,EL$2,FALSE)*EL$1</f>
        <v>0</v>
      </c>
      <c r="EM201" s="3235">
        <f>$G201+EL201</f>
        <v>11909901</v>
      </c>
      <c r="EN201" s="3236">
        <f>VLOOKUP($E201,EM$442:EP$453,2,FALSE)*EM201*($K201)+IF($G201&lt;&gt;0,($H201/$G201)*EM201,0)*(1-$K201)</f>
        <v>0</v>
      </c>
      <c r="EO201" s="3236">
        <f>VLOOKUP($E201,EM$442:EP$453,3,FALSE)*EM201*($K201)+IF($G201&lt;&gt;0,($I201/$G201)*EM201,0)*(1-$K201)</f>
        <v>11909901</v>
      </c>
      <c r="EP201" s="3236">
        <f>VLOOKUP($E201,EM$442:EP$453,4,FALSE)*EM201*($K201)+(EM201-EN201-EO201)*(1-$K201)</f>
        <v>0</v>
      </c>
      <c r="EQ201" s="3264"/>
      <c r="ET201" s="3434">
        <f>VLOOKUP($A201,'New Resources - Group'!$A$4:$Y$133,ET$2,FALSE)*ET$1</f>
        <v>0</v>
      </c>
      <c r="EU201" s="3235">
        <f>$G201+ET201</f>
        <v>11909901</v>
      </c>
      <c r="EV201" s="3236">
        <f>VLOOKUP($E201,EU$442:EX$453,2,FALSE)*EU201*($K201)+IF($G201&lt;&gt;0,($H201/$G201)*EU201,0)*(1-$K201)</f>
        <v>0</v>
      </c>
      <c r="EW201" s="3236">
        <f>VLOOKUP($E201,EU$442:EX$453,3,FALSE)*EU201*($K201)+IF($G201&lt;&gt;0,($I201/$G201)*EU201,0)*(1-$K201)</f>
        <v>11909901</v>
      </c>
      <c r="EX201" s="3236">
        <f>VLOOKUP($E201,EU$442:EX$453,4,FALSE)*EU201*($K201)+(EU201-EV201-EW201)*(1-$K201)</f>
        <v>0</v>
      </c>
      <c r="EY201" s="3264"/>
      <c r="FB201" s="3434">
        <f>VLOOKUP($A201,'New Resources - Group'!$A$4:$Y$133,FB$2,FALSE)*FB$1</f>
        <v>0</v>
      </c>
      <c r="FC201" s="3235">
        <f>$G201+FB201</f>
        <v>11909901</v>
      </c>
      <c r="FD201" s="3236">
        <f>VLOOKUP($E201,FC$442:FF$453,2,FALSE)*FC201*($K201)+IF($G201&lt;&gt;0,($H201/$G201)*FC201,0)*(1-$K201)</f>
        <v>0</v>
      </c>
      <c r="FE201" s="3236">
        <f>VLOOKUP($E201,FC$442:FF$453,3,FALSE)*FC201*($K201)+IF($G201&lt;&gt;0,($I201/$G201)*FC201,0)*(1-$K201)</f>
        <v>11909901</v>
      </c>
      <c r="FF201" s="3236">
        <f>VLOOKUP($E201,FC$442:FF$453,4,FALSE)*FC201*($K201)+(FC201-FD201-FE201)*(1-$K201)</f>
        <v>0</v>
      </c>
      <c r="FG201" s="3264"/>
      <c r="FJ201" s="3434">
        <f>VLOOKUP($A201,'New Resources - Group'!$A$4:$Y$133,FJ$2,FALSE)*FJ$1</f>
        <v>0</v>
      </c>
      <c r="FK201" s="3235">
        <f>$G201+FJ201</f>
        <v>11909901</v>
      </c>
      <c r="FL201" s="3236">
        <f>VLOOKUP($E201,FK$442:FN$453,2,FALSE)*FK201*($K201)+IF($G201&lt;&gt;0,($H201/$G201)*FK201,0)*(1-$K201)</f>
        <v>0</v>
      </c>
      <c r="FM201" s="3236">
        <f>VLOOKUP($E201,FK$442:FN$453,3,FALSE)*FK201*($K201)+IF($G201&lt;&gt;0,($I201/$G201)*FK201,0)*(1-$K201)</f>
        <v>11909901</v>
      </c>
      <c r="FN201" s="3236">
        <f>VLOOKUP($E201,FK$442:FN$453,4,FALSE)*FK201*($K201)+(FK201-FL201-FM201)*(1-$K201)</f>
        <v>0</v>
      </c>
      <c r="FO201" s="3264"/>
    </row>
    <row r="202" spans="1:171">
      <c r="A202" s="2091" t="s">
        <v>482</v>
      </c>
      <c r="B202" s="2097"/>
      <c r="C202" s="3256"/>
      <c r="D202" s="3257"/>
      <c r="E202" s="3257"/>
      <c r="F202" s="3258"/>
      <c r="G202" s="3265">
        <f>SUM(G199:G201)</f>
        <v>188803479</v>
      </c>
      <c r="H202" s="3265">
        <f>SUM(H199:H201)</f>
        <v>162583424</v>
      </c>
      <c r="I202" s="3265">
        <f>SUM(I199:I201)</f>
        <v>0</v>
      </c>
      <c r="J202" s="3474">
        <f>SUM(J199:J201)</f>
        <v>26220055</v>
      </c>
      <c r="K202" s="3205"/>
      <c r="O202" s="3331">
        <f>SUM(O199:O201)</f>
        <v>188803479</v>
      </c>
      <c r="P202" s="3331">
        <f>SUM(P199:P201)</f>
        <v>162583424</v>
      </c>
      <c r="Q202" s="3331">
        <f>SUM(Q199:Q201)</f>
        <v>26220055</v>
      </c>
      <c r="R202" s="3331">
        <f>SUM(R199:R201)</f>
        <v>0</v>
      </c>
      <c r="S202" s="3264"/>
      <c r="W202" s="3331">
        <f>SUM(W199:W201)</f>
        <v>188803479</v>
      </c>
      <c r="X202" s="3331">
        <f>SUM(X199:X201)</f>
        <v>162583424</v>
      </c>
      <c r="Y202" s="3331">
        <f>SUM(Y199:Y201)</f>
        <v>26220055</v>
      </c>
      <c r="Z202" s="3331">
        <f>SUM(Z199:Z201)</f>
        <v>0</v>
      </c>
      <c r="AA202" s="3264"/>
      <c r="AE202" s="3331">
        <f>SUM(AE199:AE201)</f>
        <v>188803479</v>
      </c>
      <c r="AF202" s="3331">
        <f>SUM(AF199:AF201)</f>
        <v>162583424</v>
      </c>
      <c r="AG202" s="3331">
        <f>SUM(AG199:AG201)</f>
        <v>26220055</v>
      </c>
      <c r="AH202" s="3331">
        <f>SUM(AH199:AH201)</f>
        <v>0</v>
      </c>
      <c r="AI202" s="3264"/>
      <c r="AM202" s="3331">
        <f>SUM(AM199:AM201)</f>
        <v>188803479</v>
      </c>
      <c r="AN202" s="3331">
        <f>SUM(AN199:AN201)</f>
        <v>162583424</v>
      </c>
      <c r="AO202" s="3331">
        <f>SUM(AO199:AO201)</f>
        <v>26220055</v>
      </c>
      <c r="AP202" s="3331">
        <f>SUM(AP199:AP201)</f>
        <v>0</v>
      </c>
      <c r="AQ202" s="3264"/>
      <c r="AU202" s="3331">
        <f>SUM(AU199:AU201)</f>
        <v>188803479</v>
      </c>
      <c r="AV202" s="3331">
        <f>SUM(AV199:AV201)</f>
        <v>162583424</v>
      </c>
      <c r="AW202" s="3331">
        <f>SUM(AW199:AW201)</f>
        <v>26220055</v>
      </c>
      <c r="AX202" s="3331">
        <f>SUM(AX199:AX201)</f>
        <v>0</v>
      </c>
      <c r="AY202" s="3264"/>
      <c r="BC202" s="3331">
        <f>SUM(BC199:BC201)</f>
        <v>188803479</v>
      </c>
      <c r="BD202" s="3331">
        <f>SUM(BD199:BD201)</f>
        <v>162583424</v>
      </c>
      <c r="BE202" s="3331">
        <f>SUM(BE199:BE201)</f>
        <v>26220055</v>
      </c>
      <c r="BF202" s="3331">
        <f>SUM(BF199:BF201)</f>
        <v>0</v>
      </c>
      <c r="BG202" s="3264"/>
      <c r="BK202" s="3331">
        <f>SUM(BK199:BK201)</f>
        <v>188803479</v>
      </c>
      <c r="BL202" s="3331">
        <f>SUM(BL199:BL201)</f>
        <v>162583424</v>
      </c>
      <c r="BM202" s="3331">
        <f>SUM(BM199:BM201)</f>
        <v>26220055</v>
      </c>
      <c r="BN202" s="3331">
        <f>SUM(BN199:BN201)</f>
        <v>0</v>
      </c>
      <c r="BO202" s="3264"/>
      <c r="BS202" s="3331">
        <f>SUM(BS199:BS201)</f>
        <v>188803479</v>
      </c>
      <c r="BT202" s="3331">
        <f>SUM(BT199:BT201)</f>
        <v>162583424</v>
      </c>
      <c r="BU202" s="3331">
        <f>SUM(BU199:BU201)</f>
        <v>26220055</v>
      </c>
      <c r="BV202" s="3331">
        <f>SUM(BV199:BV201)</f>
        <v>0</v>
      </c>
      <c r="BW202" s="3264"/>
      <c r="CA202" s="3331">
        <f>SUM(CA199:CA201)</f>
        <v>188803479</v>
      </c>
      <c r="CB202" s="3331">
        <f>SUM(CB199:CB201)</f>
        <v>162583424</v>
      </c>
      <c r="CC202" s="3331">
        <f>SUM(CC199:CC201)</f>
        <v>26220055</v>
      </c>
      <c r="CD202" s="3331">
        <f>SUM(CD199:CD201)</f>
        <v>0</v>
      </c>
      <c r="CE202" s="3264"/>
      <c r="CI202" s="3331">
        <f>SUM(CI199:CI201)</f>
        <v>188803479</v>
      </c>
      <c r="CJ202" s="3331">
        <f>SUM(CJ199:CJ201)</f>
        <v>162583424</v>
      </c>
      <c r="CK202" s="3331">
        <f>SUM(CK199:CK201)</f>
        <v>26220055</v>
      </c>
      <c r="CL202" s="3331">
        <f>SUM(CL199:CL201)</f>
        <v>0</v>
      </c>
      <c r="CM202" s="3264"/>
      <c r="CQ202" s="3331">
        <f>SUM(CQ199:CQ201)</f>
        <v>188803479</v>
      </c>
      <c r="CR202" s="3331">
        <f>SUM(CR199:CR201)</f>
        <v>162583424</v>
      </c>
      <c r="CS202" s="3331">
        <f>SUM(CS199:CS201)</f>
        <v>26220055</v>
      </c>
      <c r="CT202" s="3331">
        <f>SUM(CT199:CT201)</f>
        <v>0</v>
      </c>
      <c r="CU202" s="3264"/>
      <c r="CY202" s="3331">
        <f>SUM(CY199:CY201)</f>
        <v>188803479</v>
      </c>
      <c r="CZ202" s="3331">
        <f>SUM(CZ199:CZ201)</f>
        <v>162583424</v>
      </c>
      <c r="DA202" s="3331">
        <f>SUM(DA199:DA201)</f>
        <v>26220055</v>
      </c>
      <c r="DB202" s="3331">
        <f>SUM(DB199:DB201)</f>
        <v>0</v>
      </c>
      <c r="DC202" s="3264"/>
      <c r="DG202" s="3331">
        <f>SUM(DG199:DG201)</f>
        <v>188803479</v>
      </c>
      <c r="DH202" s="3331">
        <f>SUM(DH199:DH201)</f>
        <v>162583424</v>
      </c>
      <c r="DI202" s="3331">
        <f>SUM(DI199:DI201)</f>
        <v>26220055</v>
      </c>
      <c r="DJ202" s="3331">
        <f>SUM(DJ199:DJ201)</f>
        <v>0</v>
      </c>
      <c r="DK202" s="3264"/>
      <c r="DO202" s="3331">
        <f>SUM(DO199:DO201)</f>
        <v>188803479</v>
      </c>
      <c r="DP202" s="3331">
        <f>SUM(DP199:DP201)</f>
        <v>162583424</v>
      </c>
      <c r="DQ202" s="3331">
        <f>SUM(DQ199:DQ201)</f>
        <v>26220055</v>
      </c>
      <c r="DR202" s="3331">
        <f>SUM(DR199:DR201)</f>
        <v>0</v>
      </c>
      <c r="DS202" s="3264"/>
      <c r="DW202" s="3331">
        <f>SUM(DW199:DW201)</f>
        <v>188803479</v>
      </c>
      <c r="DX202" s="3331">
        <f>SUM(DX199:DX201)</f>
        <v>162583424</v>
      </c>
      <c r="DY202" s="3331">
        <f>SUM(DY199:DY201)</f>
        <v>26220055</v>
      </c>
      <c r="DZ202" s="3331">
        <f>SUM(DZ199:DZ201)</f>
        <v>0</v>
      </c>
      <c r="EA202" s="3264"/>
      <c r="EE202" s="3331">
        <f>SUM(EE199:EE201)</f>
        <v>188803479</v>
      </c>
      <c r="EF202" s="3331">
        <f>SUM(EF199:EF201)</f>
        <v>162583424</v>
      </c>
      <c r="EG202" s="3331">
        <f>SUM(EG199:EG201)</f>
        <v>26220055</v>
      </c>
      <c r="EH202" s="3331">
        <f>SUM(EH199:EH201)</f>
        <v>0</v>
      </c>
      <c r="EI202" s="3264"/>
      <c r="EM202" s="3331">
        <f>SUM(EM199:EM201)</f>
        <v>188803479</v>
      </c>
      <c r="EN202" s="3331">
        <f>SUM(EN199:EN201)</f>
        <v>162583424</v>
      </c>
      <c r="EO202" s="3331">
        <f>SUM(EO199:EO201)</f>
        <v>26220055</v>
      </c>
      <c r="EP202" s="3331">
        <f>SUM(EP199:EP201)</f>
        <v>0</v>
      </c>
      <c r="EQ202" s="3264"/>
      <c r="EU202" s="3331">
        <f>SUM(EU199:EU201)</f>
        <v>188803479</v>
      </c>
      <c r="EV202" s="3331">
        <f>SUM(EV199:EV201)</f>
        <v>162583424</v>
      </c>
      <c r="EW202" s="3331">
        <f>SUM(EW199:EW201)</f>
        <v>26220055</v>
      </c>
      <c r="EX202" s="3331">
        <f>SUM(EX199:EX201)</f>
        <v>0</v>
      </c>
      <c r="EY202" s="3264"/>
      <c r="FC202" s="3331">
        <f>SUM(FC199:FC201)</f>
        <v>188803479</v>
      </c>
      <c r="FD202" s="3331">
        <f>SUM(FD199:FD201)</f>
        <v>162583424</v>
      </c>
      <c r="FE202" s="3331">
        <f>SUM(FE199:FE201)</f>
        <v>26220055</v>
      </c>
      <c r="FF202" s="3331">
        <f>SUM(FF199:FF201)</f>
        <v>0</v>
      </c>
      <c r="FG202" s="3264"/>
      <c r="FK202" s="3331">
        <f>SUM(FK199:FK201)</f>
        <v>188803479</v>
      </c>
      <c r="FL202" s="3331">
        <f>SUM(FL199:FL201)</f>
        <v>162583424</v>
      </c>
      <c r="FM202" s="3331">
        <f>SUM(FM199:FM201)</f>
        <v>26220055</v>
      </c>
      <c r="FN202" s="3331">
        <f>SUM(FN199:FN201)</f>
        <v>0</v>
      </c>
      <c r="FO202" s="3264"/>
    </row>
    <row r="203" spans="1:171" ht="12" thickBot="1">
      <c r="A203" s="3506"/>
      <c r="B203" s="2444"/>
      <c r="C203" s="2120"/>
      <c r="D203" s="2120"/>
      <c r="E203" s="2099"/>
      <c r="F203" s="2099"/>
      <c r="G203" s="3332"/>
      <c r="H203" s="2122"/>
      <c r="I203" s="2122"/>
      <c r="J203" s="3507"/>
      <c r="K203" s="3205"/>
      <c r="S203" s="3264"/>
      <c r="AA203" s="3264"/>
      <c r="AI203" s="3264"/>
      <c r="AQ203" s="3264"/>
      <c r="AY203" s="3264"/>
      <c r="BG203" s="3264"/>
      <c r="BO203" s="3264"/>
      <c r="BW203" s="3264"/>
      <c r="CE203" s="3264"/>
      <c r="CM203" s="3264"/>
      <c r="CU203" s="3264"/>
      <c r="DC203" s="3264"/>
      <c r="DK203" s="3264"/>
      <c r="DS203" s="3264"/>
      <c r="EA203" s="3264"/>
      <c r="EI203" s="3264"/>
      <c r="EQ203" s="3264"/>
      <c r="EY203" s="3264"/>
      <c r="FG203" s="3264"/>
      <c r="FO203" s="3264"/>
    </row>
    <row r="204" spans="1:171" ht="12" thickTop="1">
      <c r="A204" s="2096" t="s">
        <v>483</v>
      </c>
      <c r="B204" s="2097"/>
      <c r="C204" s="2116"/>
      <c r="D204" s="2098"/>
      <c r="E204" s="2097"/>
      <c r="F204" s="2097"/>
      <c r="G204" s="2463"/>
      <c r="H204" s="2118"/>
      <c r="I204" s="2118"/>
      <c r="J204" s="3470"/>
      <c r="K204" s="3205"/>
      <c r="S204" s="3264"/>
      <c r="AA204" s="3264"/>
      <c r="AI204" s="3264"/>
      <c r="AQ204" s="3264"/>
      <c r="AY204" s="3264"/>
      <c r="BG204" s="3264"/>
      <c r="BO204" s="3264"/>
      <c r="BW204" s="3264"/>
      <c r="CE204" s="3264"/>
      <c r="CM204" s="3264"/>
      <c r="CU204" s="3264"/>
      <c r="DC204" s="3264"/>
      <c r="DK204" s="3264"/>
      <c r="DS204" s="3264"/>
      <c r="EA204" s="3264"/>
      <c r="EI204" s="3264"/>
      <c r="EQ204" s="3264"/>
      <c r="EY204" s="3264"/>
      <c r="FG204" s="3264"/>
      <c r="FO204" s="3264"/>
    </row>
    <row r="205" spans="1:171">
      <c r="A205" s="2092"/>
      <c r="B205" s="2185" t="s">
        <v>462</v>
      </c>
      <c r="C205" s="2464" t="s">
        <v>72</v>
      </c>
      <c r="D205" s="2171" t="s">
        <v>484</v>
      </c>
      <c r="E205" s="2424" t="str">
        <f>'Sch 3 - Expenses'!E45</f>
        <v>DIST</v>
      </c>
      <c r="F205" s="2171"/>
      <c r="G205" s="2424">
        <f>'Sch 3 - Expenses'!G45</f>
        <v>44589259</v>
      </c>
      <c r="H205" s="2424">
        <f>'Sch 3 - Expenses'!H45</f>
        <v>0</v>
      </c>
      <c r="I205" s="2424">
        <f>'Sch 3 - Expenses'!I45</f>
        <v>0</v>
      </c>
      <c r="J205" s="3465">
        <f>'Sch 3 - Expenses'!J45</f>
        <v>44589259</v>
      </c>
      <c r="K205" s="3205">
        <f>IF($E205="DIRECT",0,1)</f>
        <v>1</v>
      </c>
      <c r="O205" s="3235">
        <f>$G205</f>
        <v>44589259</v>
      </c>
      <c r="P205" s="3236">
        <f>VLOOKUP($E205,O$442:R$453,2,FALSE)*O205*($K205)+IF($G205&lt;&gt;0,($H205/$G205)*O205,0)*(1-$K205)</f>
        <v>0</v>
      </c>
      <c r="Q205" s="3236">
        <f>VLOOKUP($E205,O$442:R$453,3,FALSE)*O205*($K205)+IF($G205&lt;&gt;0,($I205/$G205)*O205,0)*(1-$K205)</f>
        <v>0</v>
      </c>
      <c r="R205" s="3236">
        <f>VLOOKUP($E205,O$442:R$453,4,FALSE)*O205*($K205)+(O205-P205-Q205)*(1-$K205)</f>
        <v>44589259</v>
      </c>
      <c r="S205" s="3264"/>
      <c r="W205" s="3235">
        <f>$G205</f>
        <v>44589259</v>
      </c>
      <c r="X205" s="3236">
        <f>VLOOKUP($E205,W$442:Z$453,2,FALSE)*W205*($K205)+IF($G205&lt;&gt;0,($H205/$G205)*W205,0)*(1-$K205)</f>
        <v>0</v>
      </c>
      <c r="Y205" s="3236">
        <f>VLOOKUP($E205,W$442:Z$453,3,FALSE)*W205*($K205)+IF($G205&lt;&gt;0,($I205/$G205)*W205,0)*(1-$K205)</f>
        <v>0</v>
      </c>
      <c r="Z205" s="3236">
        <f>VLOOKUP($E205,W$442:Z$453,4,FALSE)*W205*($K205)+(W205-X205-Y205)*(1-$K205)</f>
        <v>44589259</v>
      </c>
      <c r="AA205" s="3264"/>
      <c r="AE205" s="3235">
        <f>$G205</f>
        <v>44589259</v>
      </c>
      <c r="AF205" s="3236">
        <f>VLOOKUP($E205,AE$442:AH$453,2,FALSE)*AE205*($K205)+IF($G205&lt;&gt;0,($H205/$G205)*AE205,0)*(1-$K205)</f>
        <v>0</v>
      </c>
      <c r="AG205" s="3236">
        <f>VLOOKUP($E205,AE$442:AH$453,3,FALSE)*AE205*($K205)+IF($G205&lt;&gt;0,($I205/$G205)*AE205,0)*(1-$K205)</f>
        <v>0</v>
      </c>
      <c r="AH205" s="3236">
        <f>VLOOKUP($E205,AE$442:AH$453,4,FALSE)*AE205*($K205)+(AE205-AF205-AG205)*(1-$K205)</f>
        <v>44589259</v>
      </c>
      <c r="AI205" s="3264"/>
      <c r="AM205" s="3235">
        <f>$G205</f>
        <v>44589259</v>
      </c>
      <c r="AN205" s="3236">
        <f>VLOOKUP($E205,AM$442:AP$453,2,FALSE)*AM205*($K205)+IF($G205&lt;&gt;0,($H205/$G205)*AM205,0)*(1-$K205)</f>
        <v>0</v>
      </c>
      <c r="AO205" s="3236">
        <f>VLOOKUP($E205,AM$442:AP$453,3,FALSE)*AM205*($K205)+IF($G205&lt;&gt;0,($I205/$G205)*AM205,0)*(1-$K205)</f>
        <v>0</v>
      </c>
      <c r="AP205" s="3236">
        <f>VLOOKUP($E205,AM$442:AP$453,4,FALSE)*AM205*($K205)+(AM205-AN205-AO205)*(1-$K205)</f>
        <v>44589259</v>
      </c>
      <c r="AQ205" s="3264"/>
      <c r="AU205" s="3235">
        <f>$G205</f>
        <v>44589259</v>
      </c>
      <c r="AV205" s="3236">
        <f>VLOOKUP($E205,AU$442:AX$453,2,FALSE)*AU205*($K205)+IF($G205&lt;&gt;0,($H205/$G205)*AU205,0)*(1-$K205)</f>
        <v>0</v>
      </c>
      <c r="AW205" s="3236">
        <f>VLOOKUP($E205,AU$442:AX$453,3,FALSE)*AU205*($K205)+IF($G205&lt;&gt;0,($I205/$G205)*AU205,0)*(1-$K205)</f>
        <v>0</v>
      </c>
      <c r="AX205" s="3236">
        <f>VLOOKUP($E205,AU$442:AX$453,4,FALSE)*AU205*($K205)+(AU205-AV205-AW205)*(1-$K205)</f>
        <v>44589259</v>
      </c>
      <c r="AY205" s="3264"/>
      <c r="BC205" s="3235">
        <f>$G205</f>
        <v>44589259</v>
      </c>
      <c r="BD205" s="3236">
        <f>VLOOKUP($E205,BC$442:BF$453,2,FALSE)*BC205*($K205)+IF($G205&lt;&gt;0,($H205/$G205)*BC205,0)*(1-$K205)</f>
        <v>0</v>
      </c>
      <c r="BE205" s="3236">
        <f>VLOOKUP($E205,BC$442:BF$453,3,FALSE)*BC205*($K205)+IF($G205&lt;&gt;0,($I205/$G205)*BC205,0)*(1-$K205)</f>
        <v>0</v>
      </c>
      <c r="BF205" s="3236">
        <f>VLOOKUP($E205,BC$442:BF$453,4,FALSE)*BC205*($K205)+(BC205-BD205-BE205)*(1-$K205)</f>
        <v>44589259</v>
      </c>
      <c r="BG205" s="3264"/>
      <c r="BK205" s="3235">
        <f>$G205</f>
        <v>44589259</v>
      </c>
      <c r="BL205" s="3236">
        <f>VLOOKUP($E205,BK$442:BN$453,2,FALSE)*BK205*($K205)+IF($G205&lt;&gt;0,($H205/$G205)*BK205,0)*(1-$K205)</f>
        <v>0</v>
      </c>
      <c r="BM205" s="3236">
        <f>VLOOKUP($E205,BK$442:BN$453,3,FALSE)*BK205*($K205)+IF($G205&lt;&gt;0,($I205/$G205)*BK205,0)*(1-$K205)</f>
        <v>0</v>
      </c>
      <c r="BN205" s="3236">
        <f>VLOOKUP($E205,BK$442:BN$453,4,FALSE)*BK205*($K205)+(BK205-BL205-BM205)*(1-$K205)</f>
        <v>44589259</v>
      </c>
      <c r="BO205" s="3264"/>
      <c r="BS205" s="3235">
        <f>$G205</f>
        <v>44589259</v>
      </c>
      <c r="BT205" s="3236">
        <f>VLOOKUP($E205,BS$442:BV$453,2,FALSE)*BS205*($K205)+IF($G205&lt;&gt;0,($H205/$G205)*BS205,0)*(1-$K205)</f>
        <v>0</v>
      </c>
      <c r="BU205" s="3236">
        <f>VLOOKUP($E205,BS$442:BV$453,3,FALSE)*BS205*($K205)+IF($G205&lt;&gt;0,($I205/$G205)*BS205,0)*(1-$K205)</f>
        <v>0</v>
      </c>
      <c r="BV205" s="3236">
        <f>VLOOKUP($E205,BS$442:BV$453,4,FALSE)*BS205*($K205)+(BS205-BT205-BU205)*(1-$K205)</f>
        <v>44589259</v>
      </c>
      <c r="BW205" s="3264"/>
      <c r="CA205" s="3235">
        <f>$G205</f>
        <v>44589259</v>
      </c>
      <c r="CB205" s="3236">
        <f>VLOOKUP($E205,CA$442:CD$453,2,FALSE)*CA205*($K205)+IF($G205&lt;&gt;0,($H205/$G205)*CA205,0)*(1-$K205)</f>
        <v>0</v>
      </c>
      <c r="CC205" s="3236">
        <f>VLOOKUP($E205,CA$442:CD$453,3,FALSE)*CA205*($K205)+IF($G205&lt;&gt;0,($I205/$G205)*CA205,0)*(1-$K205)</f>
        <v>0</v>
      </c>
      <c r="CD205" s="3236">
        <f>VLOOKUP($E205,CA$442:CD$453,4,FALSE)*CA205*($K205)+(CA205-CB205-CC205)*(1-$K205)</f>
        <v>44589259</v>
      </c>
      <c r="CE205" s="3264"/>
      <c r="CI205" s="3235">
        <f>$G205</f>
        <v>44589259</v>
      </c>
      <c r="CJ205" s="3236">
        <f>VLOOKUP($E205,CI$442:CL$453,2,FALSE)*CI205*($K205)+IF($G205&lt;&gt;0,($H205/$G205)*CI205,0)*(1-$K205)</f>
        <v>0</v>
      </c>
      <c r="CK205" s="3236">
        <f>VLOOKUP($E205,CI$442:CL$453,3,FALSE)*CI205*($K205)+IF($G205&lt;&gt;0,($I205/$G205)*CI205,0)*(1-$K205)</f>
        <v>0</v>
      </c>
      <c r="CL205" s="3236">
        <f>VLOOKUP($E205,CI$442:CL$453,4,FALSE)*CI205*($K205)+(CI205-CJ205-CK205)*(1-$K205)</f>
        <v>44589259</v>
      </c>
      <c r="CM205" s="3264"/>
      <c r="CQ205" s="3235">
        <f>$G205</f>
        <v>44589259</v>
      </c>
      <c r="CR205" s="3236">
        <f>VLOOKUP($E205,CQ$442:CT$453,2,FALSE)*CQ205*($K205)+IF($G205&lt;&gt;0,($H205/$G205)*CQ205,0)*(1-$K205)</f>
        <v>0</v>
      </c>
      <c r="CS205" s="3236">
        <f>VLOOKUP($E205,CQ$442:CT$453,3,FALSE)*CQ205*($K205)+IF($G205&lt;&gt;0,($I205/$G205)*CQ205,0)*(1-$K205)</f>
        <v>0</v>
      </c>
      <c r="CT205" s="3236">
        <f>VLOOKUP($E205,CQ$442:CT$453,4,FALSE)*CQ205*($K205)+(CQ205-CR205-CS205)*(1-$K205)</f>
        <v>44589259</v>
      </c>
      <c r="CU205" s="3264"/>
      <c r="CY205" s="3235">
        <f>$G205</f>
        <v>44589259</v>
      </c>
      <c r="CZ205" s="3236">
        <f>VLOOKUP($E205,CY$442:DB$453,2,FALSE)*CY205*($K205)+IF($G205&lt;&gt;0,($H205/$G205)*CY205,0)*(1-$K205)</f>
        <v>0</v>
      </c>
      <c r="DA205" s="3236">
        <f>VLOOKUP($E205,CY$442:DB$453,3,FALSE)*CY205*($K205)+IF($G205&lt;&gt;0,($I205/$G205)*CY205,0)*(1-$K205)</f>
        <v>0</v>
      </c>
      <c r="DB205" s="3236">
        <f>VLOOKUP($E205,CY$442:DB$453,4,FALSE)*CY205*($K205)+(CY205-CZ205-DA205)*(1-$K205)</f>
        <v>44589259</v>
      </c>
      <c r="DC205" s="3264"/>
      <c r="DG205" s="3235">
        <f>$G205</f>
        <v>44589259</v>
      </c>
      <c r="DH205" s="3236">
        <f>VLOOKUP($E205,DG$442:DJ$453,2,FALSE)*DG205*($K205)+IF($G205&lt;&gt;0,($H205/$G205)*DG205,0)*(1-$K205)</f>
        <v>0</v>
      </c>
      <c r="DI205" s="3236">
        <f>VLOOKUP($E205,DG$442:DJ$453,3,FALSE)*DG205*($K205)+IF($G205&lt;&gt;0,($I205/$G205)*DG205,0)*(1-$K205)</f>
        <v>0</v>
      </c>
      <c r="DJ205" s="3236">
        <f>VLOOKUP($E205,DG$442:DJ$453,4,FALSE)*DG205*($K205)+(DG205-DH205-DI205)*(1-$K205)</f>
        <v>44589259</v>
      </c>
      <c r="DK205" s="3264"/>
      <c r="DO205" s="3235">
        <f>$G205</f>
        <v>44589259</v>
      </c>
      <c r="DP205" s="3236">
        <f>VLOOKUP($E205,DO$442:DR$453,2,FALSE)*DO205*($K205)+IF($G205&lt;&gt;0,($H205/$G205)*DO205,0)*(1-$K205)</f>
        <v>0</v>
      </c>
      <c r="DQ205" s="3236">
        <f>VLOOKUP($E205,DO$442:DR$453,3,FALSE)*DO205*($K205)+IF($G205&lt;&gt;0,($I205/$G205)*DO205,0)*(1-$K205)</f>
        <v>0</v>
      </c>
      <c r="DR205" s="3236">
        <f>VLOOKUP($E205,DO$442:DR$453,4,FALSE)*DO205*($K205)+(DO205-DP205-DQ205)*(1-$K205)</f>
        <v>44589259</v>
      </c>
      <c r="DS205" s="3264"/>
      <c r="DW205" s="3235">
        <f>$G205</f>
        <v>44589259</v>
      </c>
      <c r="DX205" s="3236">
        <f>VLOOKUP($E205,DW$442:DZ$453,2,FALSE)*DW205*($K205)+IF($G205&lt;&gt;0,($H205/$G205)*DW205,0)*(1-$K205)</f>
        <v>0</v>
      </c>
      <c r="DY205" s="3236">
        <f>VLOOKUP($E205,DW$442:DZ$453,3,FALSE)*DW205*($K205)+IF($G205&lt;&gt;0,($I205/$G205)*DW205,0)*(1-$K205)</f>
        <v>0</v>
      </c>
      <c r="DZ205" s="3236">
        <f>VLOOKUP($E205,DW$442:DZ$453,4,FALSE)*DW205*($K205)+(DW205-DX205-DY205)*(1-$K205)</f>
        <v>44589259</v>
      </c>
      <c r="EA205" s="3264"/>
      <c r="EE205" s="3235">
        <f>$G205</f>
        <v>44589259</v>
      </c>
      <c r="EF205" s="3236">
        <f>VLOOKUP($E205,EE$442:EH$453,2,FALSE)*EE205*($K205)+IF($G205&lt;&gt;0,($H205/$G205)*EE205,0)*(1-$K205)</f>
        <v>0</v>
      </c>
      <c r="EG205" s="3236">
        <f>VLOOKUP($E205,EE$442:EH$453,3,FALSE)*EE205*($K205)+IF($G205&lt;&gt;0,($I205/$G205)*EE205,0)*(1-$K205)</f>
        <v>0</v>
      </c>
      <c r="EH205" s="3236">
        <f>VLOOKUP($E205,EE$442:EH$453,4,FALSE)*EE205*($K205)+(EE205-EF205-EG205)*(1-$K205)</f>
        <v>44589259</v>
      </c>
      <c r="EI205" s="3264"/>
      <c r="EM205" s="3235">
        <f>$G205</f>
        <v>44589259</v>
      </c>
      <c r="EN205" s="3236">
        <f>VLOOKUP($E205,EM$442:EP$453,2,FALSE)*EM205*($K205)+IF($G205&lt;&gt;0,($H205/$G205)*EM205,0)*(1-$K205)</f>
        <v>0</v>
      </c>
      <c r="EO205" s="3236">
        <f>VLOOKUP($E205,EM$442:EP$453,3,FALSE)*EM205*($K205)+IF($G205&lt;&gt;0,($I205/$G205)*EM205,0)*(1-$K205)</f>
        <v>0</v>
      </c>
      <c r="EP205" s="3236">
        <f>VLOOKUP($E205,EM$442:EP$453,4,FALSE)*EM205*($K205)+(EM205-EN205-EO205)*(1-$K205)</f>
        <v>44589259</v>
      </c>
      <c r="EQ205" s="3264"/>
      <c r="EU205" s="3235">
        <f>$G205</f>
        <v>44589259</v>
      </c>
      <c r="EV205" s="3236">
        <f>VLOOKUP($E205,EU$442:EX$453,2,FALSE)*EU205*($K205)+IF($G205&lt;&gt;0,($H205/$G205)*EU205,0)*(1-$K205)</f>
        <v>0</v>
      </c>
      <c r="EW205" s="3236">
        <f>VLOOKUP($E205,EU$442:EX$453,3,FALSE)*EU205*($K205)+IF($G205&lt;&gt;0,($I205/$G205)*EU205,0)*(1-$K205)</f>
        <v>0</v>
      </c>
      <c r="EX205" s="3236">
        <f>VLOOKUP($E205,EU$442:EX$453,4,FALSE)*EU205*($K205)+(EU205-EV205-EW205)*(1-$K205)</f>
        <v>44589259</v>
      </c>
      <c r="EY205" s="3264"/>
      <c r="FC205" s="3235">
        <f>$G205</f>
        <v>44589259</v>
      </c>
      <c r="FD205" s="3236">
        <f>VLOOKUP($E205,FC$442:FF$453,2,FALSE)*FC205*($K205)+IF($G205&lt;&gt;0,($H205/$G205)*FC205,0)*(1-$K205)</f>
        <v>0</v>
      </c>
      <c r="FE205" s="3236">
        <f>VLOOKUP($E205,FC$442:FF$453,3,FALSE)*FC205*($K205)+IF($G205&lt;&gt;0,($I205/$G205)*FC205,0)*(1-$K205)</f>
        <v>0</v>
      </c>
      <c r="FF205" s="3236">
        <f>VLOOKUP($E205,FC$442:FF$453,4,FALSE)*FC205*($K205)+(FC205-FD205-FE205)*(1-$K205)</f>
        <v>44589259</v>
      </c>
      <c r="FG205" s="3264"/>
      <c r="FK205" s="3235">
        <f>$G205</f>
        <v>44589259</v>
      </c>
      <c r="FL205" s="3236">
        <f>VLOOKUP($E205,FK$442:FN$453,2,FALSE)*FK205*($K205)+IF($G205&lt;&gt;0,($H205/$G205)*FK205,0)*(1-$K205)</f>
        <v>0</v>
      </c>
      <c r="FM205" s="3236">
        <f>VLOOKUP($E205,FK$442:FN$453,3,FALSE)*FK205*($K205)+IF($G205&lt;&gt;0,($I205/$G205)*FK205,0)*(1-$K205)</f>
        <v>0</v>
      </c>
      <c r="FN205" s="3236">
        <f>VLOOKUP($E205,FK$442:FN$453,4,FALSE)*FK205*($K205)+(FK205-FL205-FM205)*(1-$K205)</f>
        <v>44589259</v>
      </c>
      <c r="FO205" s="3264"/>
    </row>
    <row r="206" spans="1:171">
      <c r="A206" s="2092"/>
      <c r="B206" s="2185" t="s">
        <v>461</v>
      </c>
      <c r="C206" s="2464" t="s">
        <v>72</v>
      </c>
      <c r="D206" s="2171" t="s">
        <v>485</v>
      </c>
      <c r="E206" s="2424" t="str">
        <f>'Sch 3 - Expenses'!E46</f>
        <v>DIST</v>
      </c>
      <c r="F206" s="2171"/>
      <c r="G206" s="2424">
        <f>'Sch 3 - Expenses'!G46</f>
        <v>64057473</v>
      </c>
      <c r="H206" s="2424">
        <f>'Sch 3 - Expenses'!H46</f>
        <v>0</v>
      </c>
      <c r="I206" s="2424">
        <f>'Sch 3 - Expenses'!I46</f>
        <v>0</v>
      </c>
      <c r="J206" s="3465">
        <f>'Sch 3 - Expenses'!J46</f>
        <v>64057473</v>
      </c>
      <c r="K206" s="3205">
        <f>IF($E206="DIRECT",0,1)</f>
        <v>1</v>
      </c>
      <c r="O206" s="3235">
        <f>$G206</f>
        <v>64057473</v>
      </c>
      <c r="P206" s="3236">
        <f>VLOOKUP($E206,O$442:R$453,2,FALSE)*O206*($K206)+IF($G206&lt;&gt;0,($H206/$G206)*O206,0)*(1-$K206)</f>
        <v>0</v>
      </c>
      <c r="Q206" s="3236">
        <f>VLOOKUP($E206,O$442:R$453,3,FALSE)*O206*($K206)+IF($G206&lt;&gt;0,($I206/$G206)*O206,0)*(1-$K206)</f>
        <v>0</v>
      </c>
      <c r="R206" s="3236">
        <f>VLOOKUP($E206,O$442:R$453,4,FALSE)*O206*($K206)+(O206-P206-Q206)*(1-$K206)</f>
        <v>64057473</v>
      </c>
      <c r="S206" s="3264"/>
      <c r="W206" s="3235">
        <f>$G206</f>
        <v>64057473</v>
      </c>
      <c r="X206" s="3236">
        <f>VLOOKUP($E206,W$442:Z$453,2,FALSE)*W206*($K206)+IF($G206&lt;&gt;0,($H206/$G206)*W206,0)*(1-$K206)</f>
        <v>0</v>
      </c>
      <c r="Y206" s="3236">
        <f>VLOOKUP($E206,W$442:Z$453,3,FALSE)*W206*($K206)+IF($G206&lt;&gt;0,($I206/$G206)*W206,0)*(1-$K206)</f>
        <v>0</v>
      </c>
      <c r="Z206" s="3236">
        <f>VLOOKUP($E206,W$442:Z$453,4,FALSE)*W206*($K206)+(W206-X206-Y206)*(1-$K206)</f>
        <v>64057473</v>
      </c>
      <c r="AA206" s="3264"/>
      <c r="AE206" s="3235">
        <f>$G206</f>
        <v>64057473</v>
      </c>
      <c r="AF206" s="3236">
        <f>VLOOKUP($E206,AE$442:AH$453,2,FALSE)*AE206*($K206)+IF($G206&lt;&gt;0,($H206/$G206)*AE206,0)*(1-$K206)</f>
        <v>0</v>
      </c>
      <c r="AG206" s="3236">
        <f>VLOOKUP($E206,AE$442:AH$453,3,FALSE)*AE206*($K206)+IF($G206&lt;&gt;0,($I206/$G206)*AE206,0)*(1-$K206)</f>
        <v>0</v>
      </c>
      <c r="AH206" s="3236">
        <f>VLOOKUP($E206,AE$442:AH$453,4,FALSE)*AE206*($K206)+(AE206-AF206-AG206)*(1-$K206)</f>
        <v>64057473</v>
      </c>
      <c r="AI206" s="3264"/>
      <c r="AM206" s="3235">
        <f>$G206</f>
        <v>64057473</v>
      </c>
      <c r="AN206" s="3236">
        <f>VLOOKUP($E206,AM$442:AP$453,2,FALSE)*AM206*($K206)+IF($G206&lt;&gt;0,($H206/$G206)*AM206,0)*(1-$K206)</f>
        <v>0</v>
      </c>
      <c r="AO206" s="3236">
        <f>VLOOKUP($E206,AM$442:AP$453,3,FALSE)*AM206*($K206)+IF($G206&lt;&gt;0,($I206/$G206)*AM206,0)*(1-$K206)</f>
        <v>0</v>
      </c>
      <c r="AP206" s="3236">
        <f>VLOOKUP($E206,AM$442:AP$453,4,FALSE)*AM206*($K206)+(AM206-AN206-AO206)*(1-$K206)</f>
        <v>64057473</v>
      </c>
      <c r="AQ206" s="3264"/>
      <c r="AU206" s="3235">
        <f>$G206</f>
        <v>64057473</v>
      </c>
      <c r="AV206" s="3236">
        <f>VLOOKUP($E206,AU$442:AX$453,2,FALSE)*AU206*($K206)+IF($G206&lt;&gt;0,($H206/$G206)*AU206,0)*(1-$K206)</f>
        <v>0</v>
      </c>
      <c r="AW206" s="3236">
        <f>VLOOKUP($E206,AU$442:AX$453,3,FALSE)*AU206*($K206)+IF($G206&lt;&gt;0,($I206/$G206)*AU206,0)*(1-$K206)</f>
        <v>0</v>
      </c>
      <c r="AX206" s="3236">
        <f>VLOOKUP($E206,AU$442:AX$453,4,FALSE)*AU206*($K206)+(AU206-AV206-AW206)*(1-$K206)</f>
        <v>64057473</v>
      </c>
      <c r="AY206" s="3264"/>
      <c r="BC206" s="3235">
        <f>$G206</f>
        <v>64057473</v>
      </c>
      <c r="BD206" s="3236">
        <f>VLOOKUP($E206,BC$442:BF$453,2,FALSE)*BC206*($K206)+IF($G206&lt;&gt;0,($H206/$G206)*BC206,0)*(1-$K206)</f>
        <v>0</v>
      </c>
      <c r="BE206" s="3236">
        <f>VLOOKUP($E206,BC$442:BF$453,3,FALSE)*BC206*($K206)+IF($G206&lt;&gt;0,($I206/$G206)*BC206,0)*(1-$K206)</f>
        <v>0</v>
      </c>
      <c r="BF206" s="3236">
        <f>VLOOKUP($E206,BC$442:BF$453,4,FALSE)*BC206*($K206)+(BC206-BD206-BE206)*(1-$K206)</f>
        <v>64057473</v>
      </c>
      <c r="BG206" s="3264"/>
      <c r="BK206" s="3235">
        <f>$G206</f>
        <v>64057473</v>
      </c>
      <c r="BL206" s="3236">
        <f>VLOOKUP($E206,BK$442:BN$453,2,FALSE)*BK206*($K206)+IF($G206&lt;&gt;0,($H206/$G206)*BK206,0)*(1-$K206)</f>
        <v>0</v>
      </c>
      <c r="BM206" s="3236">
        <f>VLOOKUP($E206,BK$442:BN$453,3,FALSE)*BK206*($K206)+IF($G206&lt;&gt;0,($I206/$G206)*BK206,0)*(1-$K206)</f>
        <v>0</v>
      </c>
      <c r="BN206" s="3236">
        <f>VLOOKUP($E206,BK$442:BN$453,4,FALSE)*BK206*($K206)+(BK206-BL206-BM206)*(1-$K206)</f>
        <v>64057473</v>
      </c>
      <c r="BO206" s="3264"/>
      <c r="BS206" s="3235">
        <f>$G206</f>
        <v>64057473</v>
      </c>
      <c r="BT206" s="3236">
        <f>VLOOKUP($E206,BS$442:BV$453,2,FALSE)*BS206*($K206)+IF($G206&lt;&gt;0,($H206/$G206)*BS206,0)*(1-$K206)</f>
        <v>0</v>
      </c>
      <c r="BU206" s="3236">
        <f>VLOOKUP($E206,BS$442:BV$453,3,FALSE)*BS206*($K206)+IF($G206&lt;&gt;0,($I206/$G206)*BS206,0)*(1-$K206)</f>
        <v>0</v>
      </c>
      <c r="BV206" s="3236">
        <f>VLOOKUP($E206,BS$442:BV$453,4,FALSE)*BS206*($K206)+(BS206-BT206-BU206)*(1-$K206)</f>
        <v>64057473</v>
      </c>
      <c r="BW206" s="3264"/>
      <c r="CA206" s="3235">
        <f>$G206</f>
        <v>64057473</v>
      </c>
      <c r="CB206" s="3236">
        <f>VLOOKUP($E206,CA$442:CD$453,2,FALSE)*CA206*($K206)+IF($G206&lt;&gt;0,($H206/$G206)*CA206,0)*(1-$K206)</f>
        <v>0</v>
      </c>
      <c r="CC206" s="3236">
        <f>VLOOKUP($E206,CA$442:CD$453,3,FALSE)*CA206*($K206)+IF($G206&lt;&gt;0,($I206/$G206)*CA206,0)*(1-$K206)</f>
        <v>0</v>
      </c>
      <c r="CD206" s="3236">
        <f>VLOOKUP($E206,CA$442:CD$453,4,FALSE)*CA206*($K206)+(CA206-CB206-CC206)*(1-$K206)</f>
        <v>64057473</v>
      </c>
      <c r="CE206" s="3264"/>
      <c r="CI206" s="3235">
        <f>$G206</f>
        <v>64057473</v>
      </c>
      <c r="CJ206" s="3236">
        <f>VLOOKUP($E206,CI$442:CL$453,2,FALSE)*CI206*($K206)+IF($G206&lt;&gt;0,($H206/$G206)*CI206,0)*(1-$K206)</f>
        <v>0</v>
      </c>
      <c r="CK206" s="3236">
        <f>VLOOKUP($E206,CI$442:CL$453,3,FALSE)*CI206*($K206)+IF($G206&lt;&gt;0,($I206/$G206)*CI206,0)*(1-$K206)</f>
        <v>0</v>
      </c>
      <c r="CL206" s="3236">
        <f>VLOOKUP($E206,CI$442:CL$453,4,FALSE)*CI206*($K206)+(CI206-CJ206-CK206)*(1-$K206)</f>
        <v>64057473</v>
      </c>
      <c r="CM206" s="3264"/>
      <c r="CQ206" s="3235">
        <f>$G206</f>
        <v>64057473</v>
      </c>
      <c r="CR206" s="3236">
        <f>VLOOKUP($E206,CQ$442:CT$453,2,FALSE)*CQ206*($K206)+IF($G206&lt;&gt;0,($H206/$G206)*CQ206,0)*(1-$K206)</f>
        <v>0</v>
      </c>
      <c r="CS206" s="3236">
        <f>VLOOKUP($E206,CQ$442:CT$453,3,FALSE)*CQ206*($K206)+IF($G206&lt;&gt;0,($I206/$G206)*CQ206,0)*(1-$K206)</f>
        <v>0</v>
      </c>
      <c r="CT206" s="3236">
        <f>VLOOKUP($E206,CQ$442:CT$453,4,FALSE)*CQ206*($K206)+(CQ206-CR206-CS206)*(1-$K206)</f>
        <v>64057473</v>
      </c>
      <c r="CU206" s="3264"/>
      <c r="CY206" s="3235">
        <f>$G206</f>
        <v>64057473</v>
      </c>
      <c r="CZ206" s="3236">
        <f>VLOOKUP($E206,CY$442:DB$453,2,FALSE)*CY206*($K206)+IF($G206&lt;&gt;0,($H206/$G206)*CY206,0)*(1-$K206)</f>
        <v>0</v>
      </c>
      <c r="DA206" s="3236">
        <f>VLOOKUP($E206,CY$442:DB$453,3,FALSE)*CY206*($K206)+IF($G206&lt;&gt;0,($I206/$G206)*CY206,0)*(1-$K206)</f>
        <v>0</v>
      </c>
      <c r="DB206" s="3236">
        <f>VLOOKUP($E206,CY$442:DB$453,4,FALSE)*CY206*($K206)+(CY206-CZ206-DA206)*(1-$K206)</f>
        <v>64057473</v>
      </c>
      <c r="DC206" s="3264"/>
      <c r="DG206" s="3235">
        <f>$G206</f>
        <v>64057473</v>
      </c>
      <c r="DH206" s="3236">
        <f>VLOOKUP($E206,DG$442:DJ$453,2,FALSE)*DG206*($K206)+IF($G206&lt;&gt;0,($H206/$G206)*DG206,0)*(1-$K206)</f>
        <v>0</v>
      </c>
      <c r="DI206" s="3236">
        <f>VLOOKUP($E206,DG$442:DJ$453,3,FALSE)*DG206*($K206)+IF($G206&lt;&gt;0,($I206/$G206)*DG206,0)*(1-$K206)</f>
        <v>0</v>
      </c>
      <c r="DJ206" s="3236">
        <f>VLOOKUP($E206,DG$442:DJ$453,4,FALSE)*DG206*($K206)+(DG206-DH206-DI206)*(1-$K206)</f>
        <v>64057473</v>
      </c>
      <c r="DK206" s="3264"/>
      <c r="DO206" s="3235">
        <f>$G206</f>
        <v>64057473</v>
      </c>
      <c r="DP206" s="3236">
        <f>VLOOKUP($E206,DO$442:DR$453,2,FALSE)*DO206*($K206)+IF($G206&lt;&gt;0,($H206/$G206)*DO206,0)*(1-$K206)</f>
        <v>0</v>
      </c>
      <c r="DQ206" s="3236">
        <f>VLOOKUP($E206,DO$442:DR$453,3,FALSE)*DO206*($K206)+IF($G206&lt;&gt;0,($I206/$G206)*DO206,0)*(1-$K206)</f>
        <v>0</v>
      </c>
      <c r="DR206" s="3236">
        <f>VLOOKUP($E206,DO$442:DR$453,4,FALSE)*DO206*($K206)+(DO206-DP206-DQ206)*(1-$K206)</f>
        <v>64057473</v>
      </c>
      <c r="DS206" s="3264"/>
      <c r="DW206" s="3235">
        <f>$G206</f>
        <v>64057473</v>
      </c>
      <c r="DX206" s="3236">
        <f>VLOOKUP($E206,DW$442:DZ$453,2,FALSE)*DW206*($K206)+IF($G206&lt;&gt;0,($H206/$G206)*DW206,0)*(1-$K206)</f>
        <v>0</v>
      </c>
      <c r="DY206" s="3236">
        <f>VLOOKUP($E206,DW$442:DZ$453,3,FALSE)*DW206*($K206)+IF($G206&lt;&gt;0,($I206/$G206)*DW206,0)*(1-$K206)</f>
        <v>0</v>
      </c>
      <c r="DZ206" s="3236">
        <f>VLOOKUP($E206,DW$442:DZ$453,4,FALSE)*DW206*($K206)+(DW206-DX206-DY206)*(1-$K206)</f>
        <v>64057473</v>
      </c>
      <c r="EA206" s="3264"/>
      <c r="EE206" s="3235">
        <f>$G206</f>
        <v>64057473</v>
      </c>
      <c r="EF206" s="3236">
        <f>VLOOKUP($E206,EE$442:EH$453,2,FALSE)*EE206*($K206)+IF($G206&lt;&gt;0,($H206/$G206)*EE206,0)*(1-$K206)</f>
        <v>0</v>
      </c>
      <c r="EG206" s="3236">
        <f>VLOOKUP($E206,EE$442:EH$453,3,FALSE)*EE206*($K206)+IF($G206&lt;&gt;0,($I206/$G206)*EE206,0)*(1-$K206)</f>
        <v>0</v>
      </c>
      <c r="EH206" s="3236">
        <f>VLOOKUP($E206,EE$442:EH$453,4,FALSE)*EE206*($K206)+(EE206-EF206-EG206)*(1-$K206)</f>
        <v>64057473</v>
      </c>
      <c r="EI206" s="3264"/>
      <c r="EM206" s="3235">
        <f>$G206</f>
        <v>64057473</v>
      </c>
      <c r="EN206" s="3236">
        <f>VLOOKUP($E206,EM$442:EP$453,2,FALSE)*EM206*($K206)+IF($G206&lt;&gt;0,($H206/$G206)*EM206,0)*(1-$K206)</f>
        <v>0</v>
      </c>
      <c r="EO206" s="3236">
        <f>VLOOKUP($E206,EM$442:EP$453,3,FALSE)*EM206*($K206)+IF($G206&lt;&gt;0,($I206/$G206)*EM206,0)*(1-$K206)</f>
        <v>0</v>
      </c>
      <c r="EP206" s="3236">
        <f>VLOOKUP($E206,EM$442:EP$453,4,FALSE)*EM206*($K206)+(EM206-EN206-EO206)*(1-$K206)</f>
        <v>64057473</v>
      </c>
      <c r="EQ206" s="3264"/>
      <c r="EU206" s="3235">
        <f>$G206</f>
        <v>64057473</v>
      </c>
      <c r="EV206" s="3236">
        <f>VLOOKUP($E206,EU$442:EX$453,2,FALSE)*EU206*($K206)+IF($G206&lt;&gt;0,($H206/$G206)*EU206,0)*(1-$K206)</f>
        <v>0</v>
      </c>
      <c r="EW206" s="3236">
        <f>VLOOKUP($E206,EU$442:EX$453,3,FALSE)*EU206*($K206)+IF($G206&lt;&gt;0,($I206/$G206)*EU206,0)*(1-$K206)</f>
        <v>0</v>
      </c>
      <c r="EX206" s="3236">
        <f>VLOOKUP($E206,EU$442:EX$453,4,FALSE)*EU206*($K206)+(EU206-EV206-EW206)*(1-$K206)</f>
        <v>64057473</v>
      </c>
      <c r="EY206" s="3264"/>
      <c r="FC206" s="3235">
        <f>$G206</f>
        <v>64057473</v>
      </c>
      <c r="FD206" s="3236">
        <f>VLOOKUP($E206,FC$442:FF$453,2,FALSE)*FC206*($K206)+IF($G206&lt;&gt;0,($H206/$G206)*FC206,0)*(1-$K206)</f>
        <v>0</v>
      </c>
      <c r="FE206" s="3236">
        <f>VLOOKUP($E206,FC$442:FF$453,3,FALSE)*FC206*($K206)+IF($G206&lt;&gt;0,($I206/$G206)*FC206,0)*(1-$K206)</f>
        <v>0</v>
      </c>
      <c r="FF206" s="3236">
        <f>VLOOKUP($E206,FC$442:FF$453,4,FALSE)*FC206*($K206)+(FC206-FD206-FE206)*(1-$K206)</f>
        <v>64057473</v>
      </c>
      <c r="FG206" s="3264"/>
      <c r="FK206" s="3235">
        <f>$G206</f>
        <v>64057473</v>
      </c>
      <c r="FL206" s="3236">
        <f>VLOOKUP($E206,FK$442:FN$453,2,FALSE)*FK206*($K206)+IF($G206&lt;&gt;0,($H206/$G206)*FK206,0)*(1-$K206)</f>
        <v>0</v>
      </c>
      <c r="FM206" s="3236">
        <f>VLOOKUP($E206,FK$442:FN$453,3,FALSE)*FK206*($K206)+IF($G206&lt;&gt;0,($I206/$G206)*FK206,0)*(1-$K206)</f>
        <v>0</v>
      </c>
      <c r="FN206" s="3236">
        <f>VLOOKUP($E206,FK$442:FN$453,4,FALSE)*FK206*($K206)+(FK206-FL206-FM206)*(1-$K206)</f>
        <v>64057473</v>
      </c>
      <c r="FO206" s="3264"/>
    </row>
    <row r="207" spans="1:171">
      <c r="A207" s="2091" t="s">
        <v>486</v>
      </c>
      <c r="B207" s="2097"/>
      <c r="C207" s="3256"/>
      <c r="D207" s="3257"/>
      <c r="E207" s="3257"/>
      <c r="F207" s="3258"/>
      <c r="G207" s="3265">
        <f>SUM(G205:G206)</f>
        <v>108646732</v>
      </c>
      <c r="H207" s="3265">
        <f>SUM(H205:H206)</f>
        <v>0</v>
      </c>
      <c r="I207" s="3265">
        <f>SUM(I205:I206)</f>
        <v>0</v>
      </c>
      <c r="J207" s="3474">
        <f>SUM(J205:J206)</f>
        <v>108646732</v>
      </c>
      <c r="K207" s="3205"/>
      <c r="O207" s="3331">
        <f>SUM(O205:O206)</f>
        <v>108646732</v>
      </c>
      <c r="P207" s="3331">
        <f>SUM(P205:P206)</f>
        <v>0</v>
      </c>
      <c r="Q207" s="3331">
        <f>SUM(Q205:Q206)</f>
        <v>0</v>
      </c>
      <c r="R207" s="3331">
        <f>SUM(R205:R206)</f>
        <v>108646732</v>
      </c>
      <c r="S207" s="3264"/>
      <c r="W207" s="3331">
        <f>SUM(W205:W206)</f>
        <v>108646732</v>
      </c>
      <c r="X207" s="3331">
        <f>SUM(X205:X206)</f>
        <v>0</v>
      </c>
      <c r="Y207" s="3331">
        <f>SUM(Y205:Y206)</f>
        <v>0</v>
      </c>
      <c r="Z207" s="3331">
        <f>SUM(Z205:Z206)</f>
        <v>108646732</v>
      </c>
      <c r="AA207" s="3264"/>
      <c r="AE207" s="3331">
        <f>SUM(AE205:AE206)</f>
        <v>108646732</v>
      </c>
      <c r="AF207" s="3331">
        <f>SUM(AF205:AF206)</f>
        <v>0</v>
      </c>
      <c r="AG207" s="3331">
        <f>SUM(AG205:AG206)</f>
        <v>0</v>
      </c>
      <c r="AH207" s="3331">
        <f>SUM(AH205:AH206)</f>
        <v>108646732</v>
      </c>
      <c r="AI207" s="3264"/>
      <c r="AM207" s="3331">
        <f>SUM(AM205:AM206)</f>
        <v>108646732</v>
      </c>
      <c r="AN207" s="3331">
        <f>SUM(AN205:AN206)</f>
        <v>0</v>
      </c>
      <c r="AO207" s="3331">
        <f>SUM(AO205:AO206)</f>
        <v>0</v>
      </c>
      <c r="AP207" s="3331">
        <f>SUM(AP205:AP206)</f>
        <v>108646732</v>
      </c>
      <c r="AQ207" s="3264"/>
      <c r="AU207" s="3331">
        <f>SUM(AU205:AU206)</f>
        <v>108646732</v>
      </c>
      <c r="AV207" s="3331">
        <f>SUM(AV205:AV206)</f>
        <v>0</v>
      </c>
      <c r="AW207" s="3331">
        <f>SUM(AW205:AW206)</f>
        <v>0</v>
      </c>
      <c r="AX207" s="3331">
        <f>SUM(AX205:AX206)</f>
        <v>108646732</v>
      </c>
      <c r="AY207" s="3264"/>
      <c r="BC207" s="3331">
        <f>SUM(BC205:BC206)</f>
        <v>108646732</v>
      </c>
      <c r="BD207" s="3331">
        <f>SUM(BD205:BD206)</f>
        <v>0</v>
      </c>
      <c r="BE207" s="3331">
        <f>SUM(BE205:BE206)</f>
        <v>0</v>
      </c>
      <c r="BF207" s="3331">
        <f>SUM(BF205:BF206)</f>
        <v>108646732</v>
      </c>
      <c r="BG207" s="3264"/>
      <c r="BK207" s="3331">
        <f>SUM(BK205:BK206)</f>
        <v>108646732</v>
      </c>
      <c r="BL207" s="3331">
        <f>SUM(BL205:BL206)</f>
        <v>0</v>
      </c>
      <c r="BM207" s="3331">
        <f>SUM(BM205:BM206)</f>
        <v>0</v>
      </c>
      <c r="BN207" s="3331">
        <f>SUM(BN205:BN206)</f>
        <v>108646732</v>
      </c>
      <c r="BO207" s="3264"/>
      <c r="BS207" s="3331">
        <f>SUM(BS205:BS206)</f>
        <v>108646732</v>
      </c>
      <c r="BT207" s="3331">
        <f>SUM(BT205:BT206)</f>
        <v>0</v>
      </c>
      <c r="BU207" s="3331">
        <f>SUM(BU205:BU206)</f>
        <v>0</v>
      </c>
      <c r="BV207" s="3331">
        <f>SUM(BV205:BV206)</f>
        <v>108646732</v>
      </c>
      <c r="BW207" s="3264"/>
      <c r="CA207" s="3331">
        <f>SUM(CA205:CA206)</f>
        <v>108646732</v>
      </c>
      <c r="CB207" s="3331">
        <f>SUM(CB205:CB206)</f>
        <v>0</v>
      </c>
      <c r="CC207" s="3331">
        <f>SUM(CC205:CC206)</f>
        <v>0</v>
      </c>
      <c r="CD207" s="3331">
        <f>SUM(CD205:CD206)</f>
        <v>108646732</v>
      </c>
      <c r="CE207" s="3264"/>
      <c r="CI207" s="3331">
        <f>SUM(CI205:CI206)</f>
        <v>108646732</v>
      </c>
      <c r="CJ207" s="3331">
        <f>SUM(CJ205:CJ206)</f>
        <v>0</v>
      </c>
      <c r="CK207" s="3331">
        <f>SUM(CK205:CK206)</f>
        <v>0</v>
      </c>
      <c r="CL207" s="3331">
        <f>SUM(CL205:CL206)</f>
        <v>108646732</v>
      </c>
      <c r="CM207" s="3264"/>
      <c r="CQ207" s="3331">
        <f>SUM(CQ205:CQ206)</f>
        <v>108646732</v>
      </c>
      <c r="CR207" s="3331">
        <f>SUM(CR205:CR206)</f>
        <v>0</v>
      </c>
      <c r="CS207" s="3331">
        <f>SUM(CS205:CS206)</f>
        <v>0</v>
      </c>
      <c r="CT207" s="3331">
        <f>SUM(CT205:CT206)</f>
        <v>108646732</v>
      </c>
      <c r="CU207" s="3264"/>
      <c r="CY207" s="3331">
        <f>SUM(CY205:CY206)</f>
        <v>108646732</v>
      </c>
      <c r="CZ207" s="3331">
        <f>SUM(CZ205:CZ206)</f>
        <v>0</v>
      </c>
      <c r="DA207" s="3331">
        <f>SUM(DA205:DA206)</f>
        <v>0</v>
      </c>
      <c r="DB207" s="3331">
        <f>SUM(DB205:DB206)</f>
        <v>108646732</v>
      </c>
      <c r="DC207" s="3264"/>
      <c r="DG207" s="3331">
        <f>SUM(DG205:DG206)</f>
        <v>108646732</v>
      </c>
      <c r="DH207" s="3331">
        <f>SUM(DH205:DH206)</f>
        <v>0</v>
      </c>
      <c r="DI207" s="3331">
        <f>SUM(DI205:DI206)</f>
        <v>0</v>
      </c>
      <c r="DJ207" s="3331">
        <f>SUM(DJ205:DJ206)</f>
        <v>108646732</v>
      </c>
      <c r="DK207" s="3264"/>
      <c r="DO207" s="3331">
        <f>SUM(DO205:DO206)</f>
        <v>108646732</v>
      </c>
      <c r="DP207" s="3331">
        <f>SUM(DP205:DP206)</f>
        <v>0</v>
      </c>
      <c r="DQ207" s="3331">
        <f>SUM(DQ205:DQ206)</f>
        <v>0</v>
      </c>
      <c r="DR207" s="3331">
        <f>SUM(DR205:DR206)</f>
        <v>108646732</v>
      </c>
      <c r="DS207" s="3264"/>
      <c r="DW207" s="3331">
        <f>SUM(DW205:DW206)</f>
        <v>108646732</v>
      </c>
      <c r="DX207" s="3331">
        <f>SUM(DX205:DX206)</f>
        <v>0</v>
      </c>
      <c r="DY207" s="3331">
        <f>SUM(DY205:DY206)</f>
        <v>0</v>
      </c>
      <c r="DZ207" s="3331">
        <f>SUM(DZ205:DZ206)</f>
        <v>108646732</v>
      </c>
      <c r="EA207" s="3264"/>
      <c r="EE207" s="3331">
        <f>SUM(EE205:EE206)</f>
        <v>108646732</v>
      </c>
      <c r="EF207" s="3331">
        <f>SUM(EF205:EF206)</f>
        <v>0</v>
      </c>
      <c r="EG207" s="3331">
        <f>SUM(EG205:EG206)</f>
        <v>0</v>
      </c>
      <c r="EH207" s="3331">
        <f>SUM(EH205:EH206)</f>
        <v>108646732</v>
      </c>
      <c r="EI207" s="3264"/>
      <c r="EM207" s="3331">
        <f>SUM(EM205:EM206)</f>
        <v>108646732</v>
      </c>
      <c r="EN207" s="3331">
        <f>SUM(EN205:EN206)</f>
        <v>0</v>
      </c>
      <c r="EO207" s="3331">
        <f>SUM(EO205:EO206)</f>
        <v>0</v>
      </c>
      <c r="EP207" s="3331">
        <f>SUM(EP205:EP206)</f>
        <v>108646732</v>
      </c>
      <c r="EQ207" s="3264"/>
      <c r="EU207" s="3331">
        <f>SUM(EU205:EU206)</f>
        <v>108646732</v>
      </c>
      <c r="EV207" s="3331">
        <f>SUM(EV205:EV206)</f>
        <v>0</v>
      </c>
      <c r="EW207" s="3331">
        <f>SUM(EW205:EW206)</f>
        <v>0</v>
      </c>
      <c r="EX207" s="3331">
        <f>SUM(EX205:EX206)</f>
        <v>108646732</v>
      </c>
      <c r="EY207" s="3264"/>
      <c r="FC207" s="3331">
        <f>SUM(FC205:FC206)</f>
        <v>108646732</v>
      </c>
      <c r="FD207" s="3331">
        <f>SUM(FD205:FD206)</f>
        <v>0</v>
      </c>
      <c r="FE207" s="3331">
        <f>SUM(FE205:FE206)</f>
        <v>0</v>
      </c>
      <c r="FF207" s="3331">
        <f>SUM(FF205:FF206)</f>
        <v>108646732</v>
      </c>
      <c r="FG207" s="3264"/>
      <c r="FK207" s="3331">
        <f>SUM(FK205:FK206)</f>
        <v>108646732</v>
      </c>
      <c r="FL207" s="3331">
        <f>SUM(FL205:FL206)</f>
        <v>0</v>
      </c>
      <c r="FM207" s="3331">
        <f>SUM(FM205:FM206)</f>
        <v>0</v>
      </c>
      <c r="FN207" s="3331">
        <f>SUM(FN205:FN206)</f>
        <v>108646732</v>
      </c>
      <c r="FO207" s="3264"/>
    </row>
    <row r="208" spans="1:171">
      <c r="A208" s="2260"/>
      <c r="B208" s="2097"/>
      <c r="C208" s="2116"/>
      <c r="D208" s="2116"/>
      <c r="E208" s="2116"/>
      <c r="F208" s="2116"/>
      <c r="G208" s="3334"/>
      <c r="H208" s="2119"/>
      <c r="I208" s="2119"/>
      <c r="J208" s="3508"/>
      <c r="K208" s="3205"/>
      <c r="O208" s="2747"/>
      <c r="S208" s="3264"/>
      <c r="W208" s="2747"/>
      <c r="AA208" s="3264"/>
      <c r="AE208" s="2747"/>
      <c r="AI208" s="3264"/>
      <c r="AM208" s="2747"/>
      <c r="AQ208" s="3264"/>
      <c r="AU208" s="2747"/>
      <c r="AY208" s="3264"/>
      <c r="BC208" s="2747"/>
      <c r="BG208" s="3264"/>
      <c r="BK208" s="2747"/>
      <c r="BO208" s="3264"/>
      <c r="BS208" s="2747"/>
      <c r="BW208" s="3264"/>
      <c r="CA208" s="2747"/>
      <c r="CE208" s="3264"/>
      <c r="CI208" s="2747"/>
      <c r="CM208" s="3264"/>
      <c r="CQ208" s="2747"/>
      <c r="CU208" s="3264"/>
      <c r="CY208" s="2747"/>
      <c r="DC208" s="3264"/>
      <c r="DG208" s="2747"/>
      <c r="DK208" s="3264"/>
      <c r="DO208" s="2747"/>
      <c r="DS208" s="3264"/>
      <c r="DW208" s="2747"/>
      <c r="EA208" s="3264"/>
      <c r="EE208" s="2747"/>
      <c r="EI208" s="3264"/>
      <c r="EM208" s="2747"/>
      <c r="EQ208" s="3264"/>
      <c r="EU208" s="2747"/>
      <c r="EY208" s="3264"/>
      <c r="FC208" s="2747"/>
      <c r="FG208" s="3264"/>
      <c r="FK208" s="2747"/>
      <c r="FO208" s="3264"/>
    </row>
    <row r="209" spans="1:171">
      <c r="A209" s="2096" t="s">
        <v>487</v>
      </c>
      <c r="B209" s="2097"/>
      <c r="C209" s="2116"/>
      <c r="D209" s="2116"/>
      <c r="E209" s="2116"/>
      <c r="F209" s="2116"/>
      <c r="G209" s="3334"/>
      <c r="H209" s="2119"/>
      <c r="I209" s="2119"/>
      <c r="J209" s="3508"/>
      <c r="K209" s="3205"/>
      <c r="O209" s="2747"/>
      <c r="S209" s="3264"/>
      <c r="W209" s="2747"/>
      <c r="AA209" s="3264"/>
      <c r="AE209" s="2747"/>
      <c r="AI209" s="3264"/>
      <c r="AM209" s="2747"/>
      <c r="AQ209" s="3264"/>
      <c r="AU209" s="2747"/>
      <c r="AY209" s="3264"/>
      <c r="BC209" s="2747"/>
      <c r="BG209" s="3264"/>
      <c r="BK209" s="2747"/>
      <c r="BO209" s="3264"/>
      <c r="BS209" s="2747"/>
      <c r="BW209" s="3264"/>
      <c r="CA209" s="2747"/>
      <c r="CE209" s="3264"/>
      <c r="CI209" s="2747"/>
      <c r="CM209" s="3264"/>
      <c r="CQ209" s="2747"/>
      <c r="CU209" s="3264"/>
      <c r="CY209" s="2747"/>
      <c r="DC209" s="3264"/>
      <c r="DG209" s="2747"/>
      <c r="DK209" s="3264"/>
      <c r="DO209" s="2747"/>
      <c r="DS209" s="3264"/>
      <c r="DW209" s="2747"/>
      <c r="EA209" s="3264"/>
      <c r="EE209" s="2747"/>
      <c r="EI209" s="3264"/>
      <c r="EM209" s="2747"/>
      <c r="EQ209" s="3264"/>
      <c r="EU209" s="2747"/>
      <c r="EY209" s="3264"/>
      <c r="FC209" s="2747"/>
      <c r="FG209" s="3264"/>
      <c r="FK209" s="2747"/>
      <c r="FO209" s="3264"/>
    </row>
    <row r="210" spans="1:171">
      <c r="A210" s="2092"/>
      <c r="B210" s="2185" t="s">
        <v>463</v>
      </c>
      <c r="C210" s="2464" t="s">
        <v>72</v>
      </c>
      <c r="D210" s="2464" t="s">
        <v>488</v>
      </c>
      <c r="E210" s="2424" t="str">
        <f>'Sch 3 - Expenses'!E50</f>
        <v>DIST</v>
      </c>
      <c r="F210" s="2171"/>
      <c r="G210" s="2424">
        <f>'Sch 3 - Expenses'!G50</f>
        <v>59970042</v>
      </c>
      <c r="H210" s="2424">
        <f>'Sch 3 - Expenses'!H50</f>
        <v>0</v>
      </c>
      <c r="I210" s="2424">
        <f>'Sch 3 - Expenses'!I50</f>
        <v>0</v>
      </c>
      <c r="J210" s="3465">
        <f>'Sch 3 - Expenses'!J50</f>
        <v>59970042</v>
      </c>
      <c r="K210" s="3205">
        <f>IF($E210="DIRECT",0,1)</f>
        <v>1</v>
      </c>
      <c r="O210" s="3235">
        <f>$G210</f>
        <v>59970042</v>
      </c>
      <c r="P210" s="3236">
        <f>VLOOKUP($E210,O$442:R$453,2,FALSE)*O210*($K210)+IF($G210&lt;&gt;0,($H210/$G210)*O210,0)*(1-$K210)</f>
        <v>0</v>
      </c>
      <c r="Q210" s="3236">
        <f>VLOOKUP($E210,O$442:R$453,3,FALSE)*O210*($K210)+IF($G210&lt;&gt;0,($I210/$G210)*O210,0)*(1-$K210)</f>
        <v>0</v>
      </c>
      <c r="R210" s="3236">
        <f>VLOOKUP($E210,O$442:R$453,4,FALSE)*O210*($K210)+(O210-P210-Q210)*(1-$K210)</f>
        <v>59970042</v>
      </c>
      <c r="S210" s="3264"/>
      <c r="W210" s="3235">
        <f>$G210</f>
        <v>59970042</v>
      </c>
      <c r="X210" s="3236">
        <f>VLOOKUP($E210,W$442:Z$453,2,FALSE)*W210*($K210)+IF($G210&lt;&gt;0,($H210/$G210)*W210,0)*(1-$K210)</f>
        <v>0</v>
      </c>
      <c r="Y210" s="3236">
        <f>VLOOKUP($E210,W$442:Z$453,3,FALSE)*W210*($K210)+IF($G210&lt;&gt;0,($I210/$G210)*W210,0)*(1-$K210)</f>
        <v>0</v>
      </c>
      <c r="Z210" s="3236">
        <f>VLOOKUP($E210,W$442:Z$453,4,FALSE)*W210*($K210)+(W210-X210-Y210)*(1-$K210)</f>
        <v>59970042</v>
      </c>
      <c r="AA210" s="3264"/>
      <c r="AE210" s="3235">
        <f>$G210</f>
        <v>59970042</v>
      </c>
      <c r="AF210" s="3236">
        <f>VLOOKUP($E210,AE$442:AH$453,2,FALSE)*AE210*($K210)+IF($G210&lt;&gt;0,($H210/$G210)*AE210,0)*(1-$K210)</f>
        <v>0</v>
      </c>
      <c r="AG210" s="3236">
        <f>VLOOKUP($E210,AE$442:AH$453,3,FALSE)*AE210*($K210)+IF($G210&lt;&gt;0,($I210/$G210)*AE210,0)*(1-$K210)</f>
        <v>0</v>
      </c>
      <c r="AH210" s="3236">
        <f>VLOOKUP($E210,AE$442:AH$453,4,FALSE)*AE210*($K210)+(AE210-AF210-AG210)*(1-$K210)</f>
        <v>59970042</v>
      </c>
      <c r="AI210" s="3264"/>
      <c r="AM210" s="3235">
        <f>$G210</f>
        <v>59970042</v>
      </c>
      <c r="AN210" s="3236">
        <f>VLOOKUP($E210,AM$442:AP$453,2,FALSE)*AM210*($K210)+IF($G210&lt;&gt;0,($H210/$G210)*AM210,0)*(1-$K210)</f>
        <v>0</v>
      </c>
      <c r="AO210" s="3236">
        <f>VLOOKUP($E210,AM$442:AP$453,3,FALSE)*AM210*($K210)+IF($G210&lt;&gt;0,($I210/$G210)*AM210,0)*(1-$K210)</f>
        <v>0</v>
      </c>
      <c r="AP210" s="3236">
        <f>VLOOKUP($E210,AM$442:AP$453,4,FALSE)*AM210*($K210)+(AM210-AN210-AO210)*(1-$K210)</f>
        <v>59970042</v>
      </c>
      <c r="AQ210" s="3264"/>
      <c r="AU210" s="3235">
        <f>$G210</f>
        <v>59970042</v>
      </c>
      <c r="AV210" s="3236">
        <f>VLOOKUP($E210,AU$442:AX$453,2,FALSE)*AU210*($K210)+IF($G210&lt;&gt;0,($H210/$G210)*AU210,0)*(1-$K210)</f>
        <v>0</v>
      </c>
      <c r="AW210" s="3236">
        <f>VLOOKUP($E210,AU$442:AX$453,3,FALSE)*AU210*($K210)+IF($G210&lt;&gt;0,($I210/$G210)*AU210,0)*(1-$K210)</f>
        <v>0</v>
      </c>
      <c r="AX210" s="3236">
        <f>VLOOKUP($E210,AU$442:AX$453,4,FALSE)*AU210*($K210)+(AU210-AV210-AW210)*(1-$K210)</f>
        <v>59970042</v>
      </c>
      <c r="AY210" s="3264"/>
      <c r="BC210" s="3235">
        <f>$G210</f>
        <v>59970042</v>
      </c>
      <c r="BD210" s="3236">
        <f>VLOOKUP($E210,BC$442:BF$453,2,FALSE)*BC210*($K210)+IF($G210&lt;&gt;0,($H210/$G210)*BC210,0)*(1-$K210)</f>
        <v>0</v>
      </c>
      <c r="BE210" s="3236">
        <f>VLOOKUP($E210,BC$442:BF$453,3,FALSE)*BC210*($K210)+IF($G210&lt;&gt;0,($I210/$G210)*BC210,0)*(1-$K210)</f>
        <v>0</v>
      </c>
      <c r="BF210" s="3236">
        <f>VLOOKUP($E210,BC$442:BF$453,4,FALSE)*BC210*($K210)+(BC210-BD210-BE210)*(1-$K210)</f>
        <v>59970042</v>
      </c>
      <c r="BG210" s="3264"/>
      <c r="BK210" s="3235">
        <f>$G210</f>
        <v>59970042</v>
      </c>
      <c r="BL210" s="3236">
        <f>VLOOKUP($E210,BK$442:BN$453,2,FALSE)*BK210*($K210)+IF($G210&lt;&gt;0,($H210/$G210)*BK210,0)*(1-$K210)</f>
        <v>0</v>
      </c>
      <c r="BM210" s="3236">
        <f>VLOOKUP($E210,BK$442:BN$453,3,FALSE)*BK210*($K210)+IF($G210&lt;&gt;0,($I210/$G210)*BK210,0)*(1-$K210)</f>
        <v>0</v>
      </c>
      <c r="BN210" s="3236">
        <f>VLOOKUP($E210,BK$442:BN$453,4,FALSE)*BK210*($K210)+(BK210-BL210-BM210)*(1-$K210)</f>
        <v>59970042</v>
      </c>
      <c r="BO210" s="3264"/>
      <c r="BS210" s="3235">
        <f>$G210</f>
        <v>59970042</v>
      </c>
      <c r="BT210" s="3236">
        <f>VLOOKUP($E210,BS$442:BV$453,2,FALSE)*BS210*($K210)+IF($G210&lt;&gt;0,($H210/$G210)*BS210,0)*(1-$K210)</f>
        <v>0</v>
      </c>
      <c r="BU210" s="3236">
        <f>VLOOKUP($E210,BS$442:BV$453,3,FALSE)*BS210*($K210)+IF($G210&lt;&gt;0,($I210/$G210)*BS210,0)*(1-$K210)</f>
        <v>0</v>
      </c>
      <c r="BV210" s="3236">
        <f>VLOOKUP($E210,BS$442:BV$453,4,FALSE)*BS210*($K210)+(BS210-BT210-BU210)*(1-$K210)</f>
        <v>59970042</v>
      </c>
      <c r="BW210" s="3264"/>
      <c r="CA210" s="3235">
        <f>$G210</f>
        <v>59970042</v>
      </c>
      <c r="CB210" s="3236">
        <f>VLOOKUP($E210,CA$442:CD$453,2,FALSE)*CA210*($K210)+IF($G210&lt;&gt;0,($H210/$G210)*CA210,0)*(1-$K210)</f>
        <v>0</v>
      </c>
      <c r="CC210" s="3236">
        <f>VLOOKUP($E210,CA$442:CD$453,3,FALSE)*CA210*($K210)+IF($G210&lt;&gt;0,($I210/$G210)*CA210,0)*(1-$K210)</f>
        <v>0</v>
      </c>
      <c r="CD210" s="3236">
        <f>VLOOKUP($E210,CA$442:CD$453,4,FALSE)*CA210*($K210)+(CA210-CB210-CC210)*(1-$K210)</f>
        <v>59970042</v>
      </c>
      <c r="CE210" s="3264"/>
      <c r="CI210" s="3235">
        <f>$G210</f>
        <v>59970042</v>
      </c>
      <c r="CJ210" s="3236">
        <f>VLOOKUP($E210,CI$442:CL$453,2,FALSE)*CI210*($K210)+IF($G210&lt;&gt;0,($H210/$G210)*CI210,0)*(1-$K210)</f>
        <v>0</v>
      </c>
      <c r="CK210" s="3236">
        <f>VLOOKUP($E210,CI$442:CL$453,3,FALSE)*CI210*($K210)+IF($G210&lt;&gt;0,($I210/$G210)*CI210,0)*(1-$K210)</f>
        <v>0</v>
      </c>
      <c r="CL210" s="3236">
        <f>VLOOKUP($E210,CI$442:CL$453,4,FALSE)*CI210*($K210)+(CI210-CJ210-CK210)*(1-$K210)</f>
        <v>59970042</v>
      </c>
      <c r="CM210" s="3264"/>
      <c r="CQ210" s="3235">
        <f>$G210</f>
        <v>59970042</v>
      </c>
      <c r="CR210" s="3236">
        <f>VLOOKUP($E210,CQ$442:CT$453,2,FALSE)*CQ210*($K210)+IF($G210&lt;&gt;0,($H210/$G210)*CQ210,0)*(1-$K210)</f>
        <v>0</v>
      </c>
      <c r="CS210" s="3236">
        <f>VLOOKUP($E210,CQ$442:CT$453,3,FALSE)*CQ210*($K210)+IF($G210&lt;&gt;0,($I210/$G210)*CQ210,0)*(1-$K210)</f>
        <v>0</v>
      </c>
      <c r="CT210" s="3236">
        <f>VLOOKUP($E210,CQ$442:CT$453,4,FALSE)*CQ210*($K210)+(CQ210-CR210-CS210)*(1-$K210)</f>
        <v>59970042</v>
      </c>
      <c r="CU210" s="3264"/>
      <c r="CY210" s="3235">
        <f>$G210</f>
        <v>59970042</v>
      </c>
      <c r="CZ210" s="3236">
        <f>VLOOKUP($E210,CY$442:DB$453,2,FALSE)*CY210*($K210)+IF($G210&lt;&gt;0,($H210/$G210)*CY210,0)*(1-$K210)</f>
        <v>0</v>
      </c>
      <c r="DA210" s="3236">
        <f>VLOOKUP($E210,CY$442:DB$453,3,FALSE)*CY210*($K210)+IF($G210&lt;&gt;0,($I210/$G210)*CY210,0)*(1-$K210)</f>
        <v>0</v>
      </c>
      <c r="DB210" s="3236">
        <f>VLOOKUP($E210,CY$442:DB$453,4,FALSE)*CY210*($K210)+(CY210-CZ210-DA210)*(1-$K210)</f>
        <v>59970042</v>
      </c>
      <c r="DC210" s="3264"/>
      <c r="DG210" s="3235">
        <f>$G210</f>
        <v>59970042</v>
      </c>
      <c r="DH210" s="3236">
        <f>VLOOKUP($E210,DG$442:DJ$453,2,FALSE)*DG210*($K210)+IF($G210&lt;&gt;0,($H210/$G210)*DG210,0)*(1-$K210)</f>
        <v>0</v>
      </c>
      <c r="DI210" s="3236">
        <f>VLOOKUP($E210,DG$442:DJ$453,3,FALSE)*DG210*($K210)+IF($G210&lt;&gt;0,($I210/$G210)*DG210,0)*(1-$K210)</f>
        <v>0</v>
      </c>
      <c r="DJ210" s="3236">
        <f>VLOOKUP($E210,DG$442:DJ$453,4,FALSE)*DG210*($K210)+(DG210-DH210-DI210)*(1-$K210)</f>
        <v>59970042</v>
      </c>
      <c r="DK210" s="3264"/>
      <c r="DO210" s="3235">
        <f>$G210</f>
        <v>59970042</v>
      </c>
      <c r="DP210" s="3236">
        <f>VLOOKUP($E210,DO$442:DR$453,2,FALSE)*DO210*($K210)+IF($G210&lt;&gt;0,($H210/$G210)*DO210,0)*(1-$K210)</f>
        <v>0</v>
      </c>
      <c r="DQ210" s="3236">
        <f>VLOOKUP($E210,DO$442:DR$453,3,FALSE)*DO210*($K210)+IF($G210&lt;&gt;0,($I210/$G210)*DO210,0)*(1-$K210)</f>
        <v>0</v>
      </c>
      <c r="DR210" s="3236">
        <f>VLOOKUP($E210,DO$442:DR$453,4,FALSE)*DO210*($K210)+(DO210-DP210-DQ210)*(1-$K210)</f>
        <v>59970042</v>
      </c>
      <c r="DS210" s="3264"/>
      <c r="DW210" s="3235">
        <f>$G210</f>
        <v>59970042</v>
      </c>
      <c r="DX210" s="3236">
        <f>VLOOKUP($E210,DW$442:DZ$453,2,FALSE)*DW210*($K210)+IF($G210&lt;&gt;0,($H210/$G210)*DW210,0)*(1-$K210)</f>
        <v>0</v>
      </c>
      <c r="DY210" s="3236">
        <f>VLOOKUP($E210,DW$442:DZ$453,3,FALSE)*DW210*($K210)+IF($G210&lt;&gt;0,($I210/$G210)*DW210,0)*(1-$K210)</f>
        <v>0</v>
      </c>
      <c r="DZ210" s="3236">
        <f>VLOOKUP($E210,DW$442:DZ$453,4,FALSE)*DW210*($K210)+(DW210-DX210-DY210)*(1-$K210)</f>
        <v>59970042</v>
      </c>
      <c r="EA210" s="3264"/>
      <c r="EE210" s="3235">
        <f>$G210</f>
        <v>59970042</v>
      </c>
      <c r="EF210" s="3236">
        <f>VLOOKUP($E210,EE$442:EH$453,2,FALSE)*EE210*($K210)+IF($G210&lt;&gt;0,($H210/$G210)*EE210,0)*(1-$K210)</f>
        <v>0</v>
      </c>
      <c r="EG210" s="3236">
        <f>VLOOKUP($E210,EE$442:EH$453,3,FALSE)*EE210*($K210)+IF($G210&lt;&gt;0,($I210/$G210)*EE210,0)*(1-$K210)</f>
        <v>0</v>
      </c>
      <c r="EH210" s="3236">
        <f>VLOOKUP($E210,EE$442:EH$453,4,FALSE)*EE210*($K210)+(EE210-EF210-EG210)*(1-$K210)</f>
        <v>59970042</v>
      </c>
      <c r="EI210" s="3264"/>
      <c r="EM210" s="3235">
        <f>$G210</f>
        <v>59970042</v>
      </c>
      <c r="EN210" s="3236">
        <f>VLOOKUP($E210,EM$442:EP$453,2,FALSE)*EM210*($K210)+IF($G210&lt;&gt;0,($H210/$G210)*EM210,0)*(1-$K210)</f>
        <v>0</v>
      </c>
      <c r="EO210" s="3236">
        <f>VLOOKUP($E210,EM$442:EP$453,3,FALSE)*EM210*($K210)+IF($G210&lt;&gt;0,($I210/$G210)*EM210,0)*(1-$K210)</f>
        <v>0</v>
      </c>
      <c r="EP210" s="3236">
        <f>VLOOKUP($E210,EM$442:EP$453,4,FALSE)*EM210*($K210)+(EM210-EN210-EO210)*(1-$K210)</f>
        <v>59970042</v>
      </c>
      <c r="EQ210" s="3264"/>
      <c r="EU210" s="3235">
        <f>$G210</f>
        <v>59970042</v>
      </c>
      <c r="EV210" s="3236">
        <f>VLOOKUP($E210,EU$442:EX$453,2,FALSE)*EU210*($K210)+IF($G210&lt;&gt;0,($H210/$G210)*EU210,0)*(1-$K210)</f>
        <v>0</v>
      </c>
      <c r="EW210" s="3236">
        <f>VLOOKUP($E210,EU$442:EX$453,3,FALSE)*EU210*($K210)+IF($G210&lt;&gt;0,($I210/$G210)*EU210,0)*(1-$K210)</f>
        <v>0</v>
      </c>
      <c r="EX210" s="3236">
        <f>VLOOKUP($E210,EU$442:EX$453,4,FALSE)*EU210*($K210)+(EU210-EV210-EW210)*(1-$K210)</f>
        <v>59970042</v>
      </c>
      <c r="EY210" s="3264"/>
      <c r="FC210" s="3235">
        <f>$G210</f>
        <v>59970042</v>
      </c>
      <c r="FD210" s="3236">
        <f>VLOOKUP($E210,FC$442:FF$453,2,FALSE)*FC210*($K210)+IF($G210&lt;&gt;0,($H210/$G210)*FC210,0)*(1-$K210)</f>
        <v>0</v>
      </c>
      <c r="FE210" s="3236">
        <f>VLOOKUP($E210,FC$442:FF$453,3,FALSE)*FC210*($K210)+IF($G210&lt;&gt;0,($I210/$G210)*FC210,0)*(1-$K210)</f>
        <v>0</v>
      </c>
      <c r="FF210" s="3236">
        <f>VLOOKUP($E210,FC$442:FF$453,4,FALSE)*FC210*($K210)+(FC210-FD210-FE210)*(1-$K210)</f>
        <v>59970042</v>
      </c>
      <c r="FG210" s="3264"/>
      <c r="FK210" s="3235">
        <f>$G210</f>
        <v>59970042</v>
      </c>
      <c r="FL210" s="3236">
        <f>VLOOKUP($E210,FK$442:FN$453,2,FALSE)*FK210*($K210)+IF($G210&lt;&gt;0,($H210/$G210)*FK210,0)*(1-$K210)</f>
        <v>0</v>
      </c>
      <c r="FM210" s="3236">
        <f>VLOOKUP($E210,FK$442:FN$453,3,FALSE)*FK210*($K210)+IF($G210&lt;&gt;0,($I210/$G210)*FK210,0)*(1-$K210)</f>
        <v>0</v>
      </c>
      <c r="FN210" s="3236">
        <f>VLOOKUP($E210,FK$442:FN$453,4,FALSE)*FK210*($K210)+(FK210-FL210-FM210)*(1-$K210)</f>
        <v>59970042</v>
      </c>
      <c r="FO210" s="3264"/>
    </row>
    <row r="211" spans="1:171">
      <c r="A211" s="2092"/>
      <c r="B211" s="2185" t="s">
        <v>172</v>
      </c>
      <c r="C211" s="2464" t="s">
        <v>72</v>
      </c>
      <c r="D211" s="2464" t="s">
        <v>393</v>
      </c>
      <c r="E211" s="2424" t="str">
        <f>'Sch 3 - Expenses'!E51</f>
        <v>DIST</v>
      </c>
      <c r="F211" s="2171"/>
      <c r="G211" s="2424">
        <f>'Sch 3 - Expenses'!G51</f>
        <v>0</v>
      </c>
      <c r="H211" s="2424">
        <f>'Sch 3 - Expenses'!H51</f>
        <v>0</v>
      </c>
      <c r="I211" s="2424">
        <f>'Sch 3 - Expenses'!I51</f>
        <v>0</v>
      </c>
      <c r="J211" s="3465">
        <f>'Sch 3 - Expenses'!J51</f>
        <v>0</v>
      </c>
      <c r="K211" s="3205">
        <f>IF($E211="DIRECT",0,1)</f>
        <v>1</v>
      </c>
      <c r="O211" s="3235">
        <f>$G211</f>
        <v>0</v>
      </c>
      <c r="P211" s="3236">
        <f>VLOOKUP($E211,O$442:R$453,2,FALSE)*O211*($K211)+IF($G211&lt;&gt;0,($H211/$G211)*O211,0)*(1-$K211)</f>
        <v>0</v>
      </c>
      <c r="Q211" s="3236">
        <f>VLOOKUP($E211,O$442:R$453,3,FALSE)*O211*($K211)+IF($G211&lt;&gt;0,($I211/$G211)*O211,0)*(1-$K211)</f>
        <v>0</v>
      </c>
      <c r="R211" s="3236">
        <f>VLOOKUP($E211,O$442:R$453,4,FALSE)*O211*($K211)+(O211-P211-Q211)*(1-$K211)</f>
        <v>0</v>
      </c>
      <c r="S211" s="3264"/>
      <c r="W211" s="3235">
        <f>$G211</f>
        <v>0</v>
      </c>
      <c r="X211" s="3236">
        <f>VLOOKUP($E211,W$442:Z$453,2,FALSE)*W211*($K211)+IF($G211&lt;&gt;0,($H211/$G211)*W211,0)*(1-$K211)</f>
        <v>0</v>
      </c>
      <c r="Y211" s="3236">
        <f>VLOOKUP($E211,W$442:Z$453,3,FALSE)*W211*($K211)+IF($G211&lt;&gt;0,($I211/$G211)*W211,0)*(1-$K211)</f>
        <v>0</v>
      </c>
      <c r="Z211" s="3236">
        <f>VLOOKUP($E211,W$442:Z$453,4,FALSE)*W211*($K211)+(W211-X211-Y211)*(1-$K211)</f>
        <v>0</v>
      </c>
      <c r="AA211" s="3264"/>
      <c r="AE211" s="3235">
        <f>$G211</f>
        <v>0</v>
      </c>
      <c r="AF211" s="3236">
        <f>VLOOKUP($E211,AE$442:AH$453,2,FALSE)*AE211*($K211)+IF($G211&lt;&gt;0,($H211/$G211)*AE211,0)*(1-$K211)</f>
        <v>0</v>
      </c>
      <c r="AG211" s="3236">
        <f>VLOOKUP($E211,AE$442:AH$453,3,FALSE)*AE211*($K211)+IF($G211&lt;&gt;0,($I211/$G211)*AE211,0)*(1-$K211)</f>
        <v>0</v>
      </c>
      <c r="AH211" s="3236">
        <f>VLOOKUP($E211,AE$442:AH$453,4,FALSE)*AE211*($K211)+(AE211-AF211-AG211)*(1-$K211)</f>
        <v>0</v>
      </c>
      <c r="AI211" s="3264"/>
      <c r="AM211" s="3235">
        <f>$G211</f>
        <v>0</v>
      </c>
      <c r="AN211" s="3236">
        <f>VLOOKUP($E211,AM$442:AP$453,2,FALSE)*AM211*($K211)+IF($G211&lt;&gt;0,($H211/$G211)*AM211,0)*(1-$K211)</f>
        <v>0</v>
      </c>
      <c r="AO211" s="3236">
        <f>VLOOKUP($E211,AM$442:AP$453,3,FALSE)*AM211*($K211)+IF($G211&lt;&gt;0,($I211/$G211)*AM211,0)*(1-$K211)</f>
        <v>0</v>
      </c>
      <c r="AP211" s="3236">
        <f>VLOOKUP($E211,AM$442:AP$453,4,FALSE)*AM211*($K211)+(AM211-AN211-AO211)*(1-$K211)</f>
        <v>0</v>
      </c>
      <c r="AQ211" s="3264"/>
      <c r="AU211" s="3235">
        <f>$G211</f>
        <v>0</v>
      </c>
      <c r="AV211" s="3236">
        <f>VLOOKUP($E211,AU$442:AX$453,2,FALSE)*AU211*($K211)+IF($G211&lt;&gt;0,($H211/$G211)*AU211,0)*(1-$K211)</f>
        <v>0</v>
      </c>
      <c r="AW211" s="3236">
        <f>VLOOKUP($E211,AU$442:AX$453,3,FALSE)*AU211*($K211)+IF($G211&lt;&gt;0,($I211/$G211)*AU211,0)*(1-$K211)</f>
        <v>0</v>
      </c>
      <c r="AX211" s="3236">
        <f>VLOOKUP($E211,AU$442:AX$453,4,FALSE)*AU211*($K211)+(AU211-AV211-AW211)*(1-$K211)</f>
        <v>0</v>
      </c>
      <c r="AY211" s="3264"/>
      <c r="BC211" s="3235">
        <f>$G211</f>
        <v>0</v>
      </c>
      <c r="BD211" s="3236">
        <f>VLOOKUP($E211,BC$442:BF$453,2,FALSE)*BC211*($K211)+IF($G211&lt;&gt;0,($H211/$G211)*BC211,0)*(1-$K211)</f>
        <v>0</v>
      </c>
      <c r="BE211" s="3236">
        <f>VLOOKUP($E211,BC$442:BF$453,3,FALSE)*BC211*($K211)+IF($G211&lt;&gt;0,($I211/$G211)*BC211,0)*(1-$K211)</f>
        <v>0</v>
      </c>
      <c r="BF211" s="3236">
        <f>VLOOKUP($E211,BC$442:BF$453,4,FALSE)*BC211*($K211)+(BC211-BD211-BE211)*(1-$K211)</f>
        <v>0</v>
      </c>
      <c r="BG211" s="3264"/>
      <c r="BK211" s="3235">
        <f>$G211</f>
        <v>0</v>
      </c>
      <c r="BL211" s="3236">
        <f>VLOOKUP($E211,BK$442:BN$453,2,FALSE)*BK211*($K211)+IF($G211&lt;&gt;0,($H211/$G211)*BK211,0)*(1-$K211)</f>
        <v>0</v>
      </c>
      <c r="BM211" s="3236">
        <f>VLOOKUP($E211,BK$442:BN$453,3,FALSE)*BK211*($K211)+IF($G211&lt;&gt;0,($I211/$G211)*BK211,0)*(1-$K211)</f>
        <v>0</v>
      </c>
      <c r="BN211" s="3236">
        <f>VLOOKUP($E211,BK$442:BN$453,4,FALSE)*BK211*($K211)+(BK211-BL211-BM211)*(1-$K211)</f>
        <v>0</v>
      </c>
      <c r="BO211" s="3264"/>
      <c r="BS211" s="3235">
        <f>$G211</f>
        <v>0</v>
      </c>
      <c r="BT211" s="3236">
        <f>VLOOKUP($E211,BS$442:BV$453,2,FALSE)*BS211*($K211)+IF($G211&lt;&gt;0,($H211/$G211)*BS211,0)*(1-$K211)</f>
        <v>0</v>
      </c>
      <c r="BU211" s="3236">
        <f>VLOOKUP($E211,BS$442:BV$453,3,FALSE)*BS211*($K211)+IF($G211&lt;&gt;0,($I211/$G211)*BS211,0)*(1-$K211)</f>
        <v>0</v>
      </c>
      <c r="BV211" s="3236">
        <f>VLOOKUP($E211,BS$442:BV$453,4,FALSE)*BS211*($K211)+(BS211-BT211-BU211)*(1-$K211)</f>
        <v>0</v>
      </c>
      <c r="BW211" s="3264"/>
      <c r="CA211" s="3235">
        <f>$G211</f>
        <v>0</v>
      </c>
      <c r="CB211" s="3236">
        <f>VLOOKUP($E211,CA$442:CD$453,2,FALSE)*CA211*($K211)+IF($G211&lt;&gt;0,($H211/$G211)*CA211,0)*(1-$K211)</f>
        <v>0</v>
      </c>
      <c r="CC211" s="3236">
        <f>VLOOKUP($E211,CA$442:CD$453,3,FALSE)*CA211*($K211)+IF($G211&lt;&gt;0,($I211/$G211)*CA211,0)*(1-$K211)</f>
        <v>0</v>
      </c>
      <c r="CD211" s="3236">
        <f>VLOOKUP($E211,CA$442:CD$453,4,FALSE)*CA211*($K211)+(CA211-CB211-CC211)*(1-$K211)</f>
        <v>0</v>
      </c>
      <c r="CE211" s="3264"/>
      <c r="CI211" s="3235">
        <f>$G211</f>
        <v>0</v>
      </c>
      <c r="CJ211" s="3236">
        <f>VLOOKUP($E211,CI$442:CL$453,2,FALSE)*CI211*($K211)+IF($G211&lt;&gt;0,($H211/$G211)*CI211,0)*(1-$K211)</f>
        <v>0</v>
      </c>
      <c r="CK211" s="3236">
        <f>VLOOKUP($E211,CI$442:CL$453,3,FALSE)*CI211*($K211)+IF($G211&lt;&gt;0,($I211/$G211)*CI211,0)*(1-$K211)</f>
        <v>0</v>
      </c>
      <c r="CL211" s="3236">
        <f>VLOOKUP($E211,CI$442:CL$453,4,FALSE)*CI211*($K211)+(CI211-CJ211-CK211)*(1-$K211)</f>
        <v>0</v>
      </c>
      <c r="CM211" s="3264"/>
      <c r="CQ211" s="3235">
        <f>$G211</f>
        <v>0</v>
      </c>
      <c r="CR211" s="3236">
        <f>VLOOKUP($E211,CQ$442:CT$453,2,FALSE)*CQ211*($K211)+IF($G211&lt;&gt;0,($H211/$G211)*CQ211,0)*(1-$K211)</f>
        <v>0</v>
      </c>
      <c r="CS211" s="3236">
        <f>VLOOKUP($E211,CQ$442:CT$453,3,FALSE)*CQ211*($K211)+IF($G211&lt;&gt;0,($I211/$G211)*CQ211,0)*(1-$K211)</f>
        <v>0</v>
      </c>
      <c r="CT211" s="3236">
        <f>VLOOKUP($E211,CQ$442:CT$453,4,FALSE)*CQ211*($K211)+(CQ211-CR211-CS211)*(1-$K211)</f>
        <v>0</v>
      </c>
      <c r="CU211" s="3264"/>
      <c r="CY211" s="3235">
        <f>$G211</f>
        <v>0</v>
      </c>
      <c r="CZ211" s="3236">
        <f>VLOOKUP($E211,CY$442:DB$453,2,FALSE)*CY211*($K211)+IF($G211&lt;&gt;0,($H211/$G211)*CY211,0)*(1-$K211)</f>
        <v>0</v>
      </c>
      <c r="DA211" s="3236">
        <f>VLOOKUP($E211,CY$442:DB$453,3,FALSE)*CY211*($K211)+IF($G211&lt;&gt;0,($I211/$G211)*CY211,0)*(1-$K211)</f>
        <v>0</v>
      </c>
      <c r="DB211" s="3236">
        <f>VLOOKUP($E211,CY$442:DB$453,4,FALSE)*CY211*($K211)+(CY211-CZ211-DA211)*(1-$K211)</f>
        <v>0</v>
      </c>
      <c r="DC211" s="3264"/>
      <c r="DG211" s="3235">
        <f>$G211</f>
        <v>0</v>
      </c>
      <c r="DH211" s="3236">
        <f>VLOOKUP($E211,DG$442:DJ$453,2,FALSE)*DG211*($K211)+IF($G211&lt;&gt;0,($H211/$G211)*DG211,0)*(1-$K211)</f>
        <v>0</v>
      </c>
      <c r="DI211" s="3236">
        <f>VLOOKUP($E211,DG$442:DJ$453,3,FALSE)*DG211*($K211)+IF($G211&lt;&gt;0,($I211/$G211)*DG211,0)*(1-$K211)</f>
        <v>0</v>
      </c>
      <c r="DJ211" s="3236">
        <f>VLOOKUP($E211,DG$442:DJ$453,4,FALSE)*DG211*($K211)+(DG211-DH211-DI211)*(1-$K211)</f>
        <v>0</v>
      </c>
      <c r="DK211" s="3264"/>
      <c r="DO211" s="3235">
        <f>$G211</f>
        <v>0</v>
      </c>
      <c r="DP211" s="3236">
        <f>VLOOKUP($E211,DO$442:DR$453,2,FALSE)*DO211*($K211)+IF($G211&lt;&gt;0,($H211/$G211)*DO211,0)*(1-$K211)</f>
        <v>0</v>
      </c>
      <c r="DQ211" s="3236">
        <f>VLOOKUP($E211,DO$442:DR$453,3,FALSE)*DO211*($K211)+IF($G211&lt;&gt;0,($I211/$G211)*DO211,0)*(1-$K211)</f>
        <v>0</v>
      </c>
      <c r="DR211" s="3236">
        <f>VLOOKUP($E211,DO$442:DR$453,4,FALSE)*DO211*($K211)+(DO211-DP211-DQ211)*(1-$K211)</f>
        <v>0</v>
      </c>
      <c r="DS211" s="3264"/>
      <c r="DW211" s="3235">
        <f>$G211</f>
        <v>0</v>
      </c>
      <c r="DX211" s="3236">
        <f>VLOOKUP($E211,DW$442:DZ$453,2,FALSE)*DW211*($K211)+IF($G211&lt;&gt;0,($H211/$G211)*DW211,0)*(1-$K211)</f>
        <v>0</v>
      </c>
      <c r="DY211" s="3236">
        <f>VLOOKUP($E211,DW$442:DZ$453,3,FALSE)*DW211*($K211)+IF($G211&lt;&gt;0,($I211/$G211)*DW211,0)*(1-$K211)</f>
        <v>0</v>
      </c>
      <c r="DZ211" s="3236">
        <f>VLOOKUP($E211,DW$442:DZ$453,4,FALSE)*DW211*($K211)+(DW211-DX211-DY211)*(1-$K211)</f>
        <v>0</v>
      </c>
      <c r="EA211" s="3264"/>
      <c r="EE211" s="3235">
        <f>$G211</f>
        <v>0</v>
      </c>
      <c r="EF211" s="3236">
        <f>VLOOKUP($E211,EE$442:EH$453,2,FALSE)*EE211*($K211)+IF($G211&lt;&gt;0,($H211/$G211)*EE211,0)*(1-$K211)</f>
        <v>0</v>
      </c>
      <c r="EG211" s="3236">
        <f>VLOOKUP($E211,EE$442:EH$453,3,FALSE)*EE211*($K211)+IF($G211&lt;&gt;0,($I211/$G211)*EE211,0)*(1-$K211)</f>
        <v>0</v>
      </c>
      <c r="EH211" s="3236">
        <f>VLOOKUP($E211,EE$442:EH$453,4,FALSE)*EE211*($K211)+(EE211-EF211-EG211)*(1-$K211)</f>
        <v>0</v>
      </c>
      <c r="EI211" s="3264"/>
      <c r="EM211" s="3235">
        <f>$G211</f>
        <v>0</v>
      </c>
      <c r="EN211" s="3236">
        <f>VLOOKUP($E211,EM$442:EP$453,2,FALSE)*EM211*($K211)+IF($G211&lt;&gt;0,($H211/$G211)*EM211,0)*(1-$K211)</f>
        <v>0</v>
      </c>
      <c r="EO211" s="3236">
        <f>VLOOKUP($E211,EM$442:EP$453,3,FALSE)*EM211*($K211)+IF($G211&lt;&gt;0,($I211/$G211)*EM211,0)*(1-$K211)</f>
        <v>0</v>
      </c>
      <c r="EP211" s="3236">
        <f>VLOOKUP($E211,EM$442:EP$453,4,FALSE)*EM211*($K211)+(EM211-EN211-EO211)*(1-$K211)</f>
        <v>0</v>
      </c>
      <c r="EQ211" s="3264"/>
      <c r="EU211" s="3235">
        <f>$G211</f>
        <v>0</v>
      </c>
      <c r="EV211" s="3236">
        <f>VLOOKUP($E211,EU$442:EX$453,2,FALSE)*EU211*($K211)+IF($G211&lt;&gt;0,($H211/$G211)*EU211,0)*(1-$K211)</f>
        <v>0</v>
      </c>
      <c r="EW211" s="3236">
        <f>VLOOKUP($E211,EU$442:EX$453,3,FALSE)*EU211*($K211)+IF($G211&lt;&gt;0,($I211/$G211)*EU211,0)*(1-$K211)</f>
        <v>0</v>
      </c>
      <c r="EX211" s="3236">
        <f>VLOOKUP($E211,EU$442:EX$453,4,FALSE)*EU211*($K211)+(EU211-EV211-EW211)*(1-$K211)</f>
        <v>0</v>
      </c>
      <c r="EY211" s="3264"/>
      <c r="FC211" s="3235">
        <f>$G211</f>
        <v>0</v>
      </c>
      <c r="FD211" s="3236">
        <f>VLOOKUP($E211,FC$442:FF$453,2,FALSE)*FC211*($K211)+IF($G211&lt;&gt;0,($H211/$G211)*FC211,0)*(1-$K211)</f>
        <v>0</v>
      </c>
      <c r="FE211" s="3236">
        <f>VLOOKUP($E211,FC$442:FF$453,3,FALSE)*FC211*($K211)+IF($G211&lt;&gt;0,($I211/$G211)*FC211,0)*(1-$K211)</f>
        <v>0</v>
      </c>
      <c r="FF211" s="3236">
        <f>VLOOKUP($E211,FC$442:FF$453,4,FALSE)*FC211*($K211)+(FC211-FD211-FE211)*(1-$K211)</f>
        <v>0</v>
      </c>
      <c r="FG211" s="3264"/>
      <c r="FK211" s="3235">
        <f>$G211</f>
        <v>0</v>
      </c>
      <c r="FL211" s="3236">
        <f>VLOOKUP($E211,FK$442:FN$453,2,FALSE)*FK211*($K211)+IF($G211&lt;&gt;0,($H211/$G211)*FK211,0)*(1-$K211)</f>
        <v>0</v>
      </c>
      <c r="FM211" s="3236">
        <f>VLOOKUP($E211,FK$442:FN$453,3,FALSE)*FK211*($K211)+IF($G211&lt;&gt;0,($I211/$G211)*FK211,0)*(1-$K211)</f>
        <v>0</v>
      </c>
      <c r="FN211" s="3236">
        <f>VLOOKUP($E211,FK$442:FN$453,4,FALSE)*FK211*($K211)+(FK211-FL211-FM211)*(1-$K211)</f>
        <v>0</v>
      </c>
      <c r="FO211" s="3264"/>
    </row>
    <row r="212" spans="1:171">
      <c r="A212" s="2092"/>
      <c r="B212" s="2185" t="s">
        <v>617</v>
      </c>
      <c r="C212" s="2464" t="s">
        <v>72</v>
      </c>
      <c r="D212" s="2464">
        <v>908</v>
      </c>
      <c r="E212" s="2424" t="str">
        <f>'Sch 3 - Expenses'!E52</f>
        <v>DIRECT</v>
      </c>
      <c r="F212" s="2171"/>
      <c r="G212" s="2424">
        <f>'Sch 3 - Expenses'!G52</f>
        <v>144569269</v>
      </c>
      <c r="H212" s="2424">
        <f>'Sch 3 - Expenses'!H52</f>
        <v>97941405.329999998</v>
      </c>
      <c r="I212" s="2424">
        <f>'Sch 3 - Expenses'!I52</f>
        <v>0</v>
      </c>
      <c r="J212" s="3465">
        <f>'Sch 3 - Expenses'!J52</f>
        <v>46627864.049999997</v>
      </c>
      <c r="K212" s="3205">
        <f>IF($E212="DIRECT",0,1)</f>
        <v>0</v>
      </c>
      <c r="O212" s="3235">
        <f>$G212</f>
        <v>144569269</v>
      </c>
      <c r="P212" s="3236">
        <f>VLOOKUP($E212,O$442:R$453,2,FALSE)*O212*($K212)+IF($G212&lt;&gt;0,($H212/$G212)*O212,0)*(1-$K212)</f>
        <v>97941405.329999998</v>
      </c>
      <c r="Q212" s="3236">
        <f>VLOOKUP($E212,O$442:R$453,3,FALSE)*O212*($K212)+IF($G212&lt;&gt;0,($I212/$G212)*O212,0)*(1-$K212)</f>
        <v>0</v>
      </c>
      <c r="R212" s="3236">
        <f>VLOOKUP($E212,O$442:R$453,4,FALSE)*O212*($K212)+(O212-P212-Q212)*(1-$K212)</f>
        <v>46627863.670000002</v>
      </c>
      <c r="S212" s="3264"/>
      <c r="W212" s="3235">
        <f>$G212</f>
        <v>144569269</v>
      </c>
      <c r="X212" s="3236">
        <f>VLOOKUP($E212,W$442:Z$453,2,FALSE)*W212*($K212)+IF($G212&lt;&gt;0,($H212/$G212)*W212,0)*(1-$K212)</f>
        <v>97941405.329999998</v>
      </c>
      <c r="Y212" s="3236">
        <f>VLOOKUP($E212,W$442:Z$453,3,FALSE)*W212*($K212)+IF($G212&lt;&gt;0,($I212/$G212)*W212,0)*(1-$K212)</f>
        <v>0</v>
      </c>
      <c r="Z212" s="3236">
        <f>VLOOKUP($E212,W$442:Z$453,4,FALSE)*W212*($K212)+(W212-X212-Y212)*(1-$K212)</f>
        <v>46627863.670000002</v>
      </c>
      <c r="AA212" s="3264"/>
      <c r="AE212" s="3235">
        <f>$G212</f>
        <v>144569269</v>
      </c>
      <c r="AF212" s="3236">
        <f>VLOOKUP($E212,AE$442:AH$453,2,FALSE)*AE212*($K212)+IF($G212&lt;&gt;0,($H212/$G212)*AE212,0)*(1-$K212)</f>
        <v>97941405.329999998</v>
      </c>
      <c r="AG212" s="3236">
        <f>VLOOKUP($E212,AE$442:AH$453,3,FALSE)*AE212*($K212)+IF($G212&lt;&gt;0,($I212/$G212)*AE212,0)*(1-$K212)</f>
        <v>0</v>
      </c>
      <c r="AH212" s="3236">
        <f>VLOOKUP($E212,AE$442:AH$453,4,FALSE)*AE212*($K212)+(AE212-AF212-AG212)*(1-$K212)</f>
        <v>46627863.670000002</v>
      </c>
      <c r="AI212" s="3264"/>
      <c r="AM212" s="3235">
        <f>$G212</f>
        <v>144569269</v>
      </c>
      <c r="AN212" s="3236">
        <f>VLOOKUP($E212,AM$442:AP$453,2,FALSE)*AM212*($K212)+IF($G212&lt;&gt;0,($H212/$G212)*AM212,0)*(1-$K212)</f>
        <v>97941405.329999998</v>
      </c>
      <c r="AO212" s="3236">
        <f>VLOOKUP($E212,AM$442:AP$453,3,FALSE)*AM212*($K212)+IF($G212&lt;&gt;0,($I212/$G212)*AM212,0)*(1-$K212)</f>
        <v>0</v>
      </c>
      <c r="AP212" s="3236">
        <f>VLOOKUP($E212,AM$442:AP$453,4,FALSE)*AM212*($K212)+(AM212-AN212-AO212)*(1-$K212)</f>
        <v>46627863.670000002</v>
      </c>
      <c r="AQ212" s="3264"/>
      <c r="AU212" s="3235">
        <f>$G212</f>
        <v>144569269</v>
      </c>
      <c r="AV212" s="3236">
        <f>VLOOKUP($E212,AU$442:AX$453,2,FALSE)*AU212*($K212)+IF($G212&lt;&gt;0,($H212/$G212)*AU212,0)*(1-$K212)</f>
        <v>97941405.329999998</v>
      </c>
      <c r="AW212" s="3236">
        <f>VLOOKUP($E212,AU$442:AX$453,3,FALSE)*AU212*($K212)+IF($G212&lt;&gt;0,($I212/$G212)*AU212,0)*(1-$K212)</f>
        <v>0</v>
      </c>
      <c r="AX212" s="3236">
        <f>VLOOKUP($E212,AU$442:AX$453,4,FALSE)*AU212*($K212)+(AU212-AV212-AW212)*(1-$K212)</f>
        <v>46627863.670000002</v>
      </c>
      <c r="AY212" s="3264"/>
      <c r="BC212" s="3235">
        <f>$G212</f>
        <v>144569269</v>
      </c>
      <c r="BD212" s="3236">
        <f>VLOOKUP($E212,BC$442:BF$453,2,FALSE)*BC212*($K212)+IF($G212&lt;&gt;0,($H212/$G212)*BC212,0)*(1-$K212)</f>
        <v>97941405.329999998</v>
      </c>
      <c r="BE212" s="3236">
        <f>VLOOKUP($E212,BC$442:BF$453,3,FALSE)*BC212*($K212)+IF($G212&lt;&gt;0,($I212/$G212)*BC212,0)*(1-$K212)</f>
        <v>0</v>
      </c>
      <c r="BF212" s="3236">
        <f>VLOOKUP($E212,BC$442:BF$453,4,FALSE)*BC212*($K212)+(BC212-BD212-BE212)*(1-$K212)</f>
        <v>46627863.670000002</v>
      </c>
      <c r="BG212" s="3264"/>
      <c r="BK212" s="3235">
        <f>$G212</f>
        <v>144569269</v>
      </c>
      <c r="BL212" s="3236">
        <f>VLOOKUP($E212,BK$442:BN$453,2,FALSE)*BK212*($K212)+IF($G212&lt;&gt;0,($H212/$G212)*BK212,0)*(1-$K212)</f>
        <v>97941405.329999998</v>
      </c>
      <c r="BM212" s="3236">
        <f>VLOOKUP($E212,BK$442:BN$453,3,FALSE)*BK212*($K212)+IF($G212&lt;&gt;0,($I212/$G212)*BK212,0)*(1-$K212)</f>
        <v>0</v>
      </c>
      <c r="BN212" s="3236">
        <f>VLOOKUP($E212,BK$442:BN$453,4,FALSE)*BK212*($K212)+(BK212-BL212-BM212)*(1-$K212)</f>
        <v>46627863.670000002</v>
      </c>
      <c r="BO212" s="3264"/>
      <c r="BS212" s="3235">
        <f>$G212</f>
        <v>144569269</v>
      </c>
      <c r="BT212" s="3236">
        <f>VLOOKUP($E212,BS$442:BV$453,2,FALSE)*BS212*($K212)+IF($G212&lt;&gt;0,($H212/$G212)*BS212,0)*(1-$K212)</f>
        <v>97941405.329999998</v>
      </c>
      <c r="BU212" s="3236">
        <f>VLOOKUP($E212,BS$442:BV$453,3,FALSE)*BS212*($K212)+IF($G212&lt;&gt;0,($I212/$G212)*BS212,0)*(1-$K212)</f>
        <v>0</v>
      </c>
      <c r="BV212" s="3236">
        <f>VLOOKUP($E212,BS$442:BV$453,4,FALSE)*BS212*($K212)+(BS212-BT212-BU212)*(1-$K212)</f>
        <v>46627863.670000002</v>
      </c>
      <c r="BW212" s="3264"/>
      <c r="CA212" s="3235">
        <f>$G212</f>
        <v>144569269</v>
      </c>
      <c r="CB212" s="3236">
        <f>VLOOKUP($E212,CA$442:CD$453,2,FALSE)*CA212*($K212)+IF($G212&lt;&gt;0,($H212/$G212)*CA212,0)*(1-$K212)</f>
        <v>97941405.329999998</v>
      </c>
      <c r="CC212" s="3236">
        <f>VLOOKUP($E212,CA$442:CD$453,3,FALSE)*CA212*($K212)+IF($G212&lt;&gt;0,($I212/$G212)*CA212,0)*(1-$K212)</f>
        <v>0</v>
      </c>
      <c r="CD212" s="3236">
        <f>VLOOKUP($E212,CA$442:CD$453,4,FALSE)*CA212*($K212)+(CA212-CB212-CC212)*(1-$K212)</f>
        <v>46627863.670000002</v>
      </c>
      <c r="CE212" s="3264"/>
      <c r="CI212" s="3235">
        <f>$G212</f>
        <v>144569269</v>
      </c>
      <c r="CJ212" s="3236">
        <f>VLOOKUP($E212,CI$442:CL$453,2,FALSE)*CI212*($K212)+IF($G212&lt;&gt;0,($H212/$G212)*CI212,0)*(1-$K212)</f>
        <v>97941405.329999998</v>
      </c>
      <c r="CK212" s="3236">
        <f>VLOOKUP($E212,CI$442:CL$453,3,FALSE)*CI212*($K212)+IF($G212&lt;&gt;0,($I212/$G212)*CI212,0)*(1-$K212)</f>
        <v>0</v>
      </c>
      <c r="CL212" s="3236">
        <f>VLOOKUP($E212,CI$442:CL$453,4,FALSE)*CI212*($K212)+(CI212-CJ212-CK212)*(1-$K212)</f>
        <v>46627863.670000002</v>
      </c>
      <c r="CM212" s="3264"/>
      <c r="CQ212" s="3235">
        <f>$G212</f>
        <v>144569269</v>
      </c>
      <c r="CR212" s="3236">
        <f>VLOOKUP($E212,CQ$442:CT$453,2,FALSE)*CQ212*($K212)+IF($G212&lt;&gt;0,($H212/$G212)*CQ212,0)*(1-$K212)</f>
        <v>97941405.329999998</v>
      </c>
      <c r="CS212" s="3236">
        <f>VLOOKUP($E212,CQ$442:CT$453,3,FALSE)*CQ212*($K212)+IF($G212&lt;&gt;0,($I212/$G212)*CQ212,0)*(1-$K212)</f>
        <v>0</v>
      </c>
      <c r="CT212" s="3236">
        <f>VLOOKUP($E212,CQ$442:CT$453,4,FALSE)*CQ212*($K212)+(CQ212-CR212-CS212)*(1-$K212)</f>
        <v>46627863.670000002</v>
      </c>
      <c r="CU212" s="3264"/>
      <c r="CY212" s="3235">
        <f>$G212</f>
        <v>144569269</v>
      </c>
      <c r="CZ212" s="3236">
        <f>VLOOKUP($E212,CY$442:DB$453,2,FALSE)*CY212*($K212)+IF($G212&lt;&gt;0,($H212/$G212)*CY212,0)*(1-$K212)</f>
        <v>97941405.329999998</v>
      </c>
      <c r="DA212" s="3236">
        <f>VLOOKUP($E212,CY$442:DB$453,3,FALSE)*CY212*($K212)+IF($G212&lt;&gt;0,($I212/$G212)*CY212,0)*(1-$K212)</f>
        <v>0</v>
      </c>
      <c r="DB212" s="3236">
        <f>VLOOKUP($E212,CY$442:DB$453,4,FALSE)*CY212*($K212)+(CY212-CZ212-DA212)*(1-$K212)</f>
        <v>46627863.670000002</v>
      </c>
      <c r="DC212" s="3264"/>
      <c r="DG212" s="3235">
        <f>$G212</f>
        <v>144569269</v>
      </c>
      <c r="DH212" s="3236">
        <f>VLOOKUP($E212,DG$442:DJ$453,2,FALSE)*DG212*($K212)+IF($G212&lt;&gt;0,($H212/$G212)*DG212,0)*(1-$K212)</f>
        <v>97941405.329999998</v>
      </c>
      <c r="DI212" s="3236">
        <f>VLOOKUP($E212,DG$442:DJ$453,3,FALSE)*DG212*($K212)+IF($G212&lt;&gt;0,($I212/$G212)*DG212,0)*(1-$K212)</f>
        <v>0</v>
      </c>
      <c r="DJ212" s="3236">
        <f>VLOOKUP($E212,DG$442:DJ$453,4,FALSE)*DG212*($K212)+(DG212-DH212-DI212)*(1-$K212)</f>
        <v>46627863.670000002</v>
      </c>
      <c r="DK212" s="3264"/>
      <c r="DO212" s="3235">
        <f>$G212</f>
        <v>144569269</v>
      </c>
      <c r="DP212" s="3236">
        <f>VLOOKUP($E212,DO$442:DR$453,2,FALSE)*DO212*($K212)+IF($G212&lt;&gt;0,($H212/$G212)*DO212,0)*(1-$K212)</f>
        <v>97941405.329999998</v>
      </c>
      <c r="DQ212" s="3236">
        <f>VLOOKUP($E212,DO$442:DR$453,3,FALSE)*DO212*($K212)+IF($G212&lt;&gt;0,($I212/$G212)*DO212,0)*(1-$K212)</f>
        <v>0</v>
      </c>
      <c r="DR212" s="3236">
        <f>VLOOKUP($E212,DO$442:DR$453,4,FALSE)*DO212*($K212)+(DO212-DP212-DQ212)*(1-$K212)</f>
        <v>46627863.670000002</v>
      </c>
      <c r="DS212" s="3264"/>
      <c r="DW212" s="3235">
        <f>$G212</f>
        <v>144569269</v>
      </c>
      <c r="DX212" s="3236">
        <f>VLOOKUP($E212,DW$442:DZ$453,2,FALSE)*DW212*($K212)+IF($G212&lt;&gt;0,($H212/$G212)*DW212,0)*(1-$K212)</f>
        <v>97941405.329999998</v>
      </c>
      <c r="DY212" s="3236">
        <f>VLOOKUP($E212,DW$442:DZ$453,3,FALSE)*DW212*($K212)+IF($G212&lt;&gt;0,($I212/$G212)*DW212,0)*(1-$K212)</f>
        <v>0</v>
      </c>
      <c r="DZ212" s="3236">
        <f>VLOOKUP($E212,DW$442:DZ$453,4,FALSE)*DW212*($K212)+(DW212-DX212-DY212)*(1-$K212)</f>
        <v>46627863.670000002</v>
      </c>
      <c r="EA212" s="3264"/>
      <c r="EE212" s="3235">
        <f>$G212</f>
        <v>144569269</v>
      </c>
      <c r="EF212" s="3236">
        <f>VLOOKUP($E212,EE$442:EH$453,2,FALSE)*EE212*($K212)+IF($G212&lt;&gt;0,($H212/$G212)*EE212,0)*(1-$K212)</f>
        <v>97941405.329999998</v>
      </c>
      <c r="EG212" s="3236">
        <f>VLOOKUP($E212,EE$442:EH$453,3,FALSE)*EE212*($K212)+IF($G212&lt;&gt;0,($I212/$G212)*EE212,0)*(1-$K212)</f>
        <v>0</v>
      </c>
      <c r="EH212" s="3236">
        <f>VLOOKUP($E212,EE$442:EH$453,4,FALSE)*EE212*($K212)+(EE212-EF212-EG212)*(1-$K212)</f>
        <v>46627863.670000002</v>
      </c>
      <c r="EI212" s="3264"/>
      <c r="EM212" s="3235">
        <f>$G212</f>
        <v>144569269</v>
      </c>
      <c r="EN212" s="3236">
        <f>VLOOKUP($E212,EM$442:EP$453,2,FALSE)*EM212*($K212)+IF($G212&lt;&gt;0,($H212/$G212)*EM212,0)*(1-$K212)</f>
        <v>97941405.329999998</v>
      </c>
      <c r="EO212" s="3236">
        <f>VLOOKUP($E212,EM$442:EP$453,3,FALSE)*EM212*($K212)+IF($G212&lt;&gt;0,($I212/$G212)*EM212,0)*(1-$K212)</f>
        <v>0</v>
      </c>
      <c r="EP212" s="3236">
        <f>VLOOKUP($E212,EM$442:EP$453,4,FALSE)*EM212*($K212)+(EM212-EN212-EO212)*(1-$K212)</f>
        <v>46627863.670000002</v>
      </c>
      <c r="EQ212" s="3264"/>
      <c r="EU212" s="3235">
        <f>$G212</f>
        <v>144569269</v>
      </c>
      <c r="EV212" s="3236">
        <f>VLOOKUP($E212,EU$442:EX$453,2,FALSE)*EU212*($K212)+IF($G212&lt;&gt;0,($H212/$G212)*EU212,0)*(1-$K212)</f>
        <v>97941405.329999998</v>
      </c>
      <c r="EW212" s="3236">
        <f>VLOOKUP($E212,EU$442:EX$453,3,FALSE)*EU212*($K212)+IF($G212&lt;&gt;0,($I212/$G212)*EU212,0)*(1-$K212)</f>
        <v>0</v>
      </c>
      <c r="EX212" s="3236">
        <f>VLOOKUP($E212,EU$442:EX$453,4,FALSE)*EU212*($K212)+(EU212-EV212-EW212)*(1-$K212)</f>
        <v>46627863.670000002</v>
      </c>
      <c r="EY212" s="3264"/>
      <c r="FC212" s="3235">
        <f>$G212</f>
        <v>144569269</v>
      </c>
      <c r="FD212" s="3236">
        <f>VLOOKUP($E212,FC$442:FF$453,2,FALSE)*FC212*($K212)+IF($G212&lt;&gt;0,($H212/$G212)*FC212,0)*(1-$K212)</f>
        <v>97941405.329999998</v>
      </c>
      <c r="FE212" s="3236">
        <f>VLOOKUP($E212,FC$442:FF$453,3,FALSE)*FC212*($K212)+IF($G212&lt;&gt;0,($I212/$G212)*FC212,0)*(1-$K212)</f>
        <v>0</v>
      </c>
      <c r="FF212" s="3236">
        <f>VLOOKUP($E212,FC$442:FF$453,4,FALSE)*FC212*($K212)+(FC212-FD212-FE212)*(1-$K212)</f>
        <v>46627863.670000002</v>
      </c>
      <c r="FG212" s="3264"/>
      <c r="FK212" s="3235">
        <f>$G212</f>
        <v>144569269</v>
      </c>
      <c r="FL212" s="3236">
        <f>VLOOKUP($E212,FK$442:FN$453,2,FALSE)*FK212*($K212)+IF($G212&lt;&gt;0,($H212/$G212)*FK212,0)*(1-$K212)</f>
        <v>97941405.329999998</v>
      </c>
      <c r="FM212" s="3236">
        <f>VLOOKUP($E212,FK$442:FN$453,3,FALSE)*FK212*($K212)+IF($G212&lt;&gt;0,($I212/$G212)*FK212,0)*(1-$K212)</f>
        <v>0</v>
      </c>
      <c r="FN212" s="3236">
        <f>VLOOKUP($E212,FK$442:FN$453,4,FALSE)*FK212*($K212)+(FK212-FL212-FM212)*(1-$K212)</f>
        <v>46627863.670000002</v>
      </c>
      <c r="FO212" s="3264"/>
    </row>
    <row r="213" spans="1:171">
      <c r="A213" s="2092"/>
      <c r="B213" s="2185" t="s">
        <v>172</v>
      </c>
      <c r="C213" s="2464" t="s">
        <v>72</v>
      </c>
      <c r="D213" s="2464" t="s">
        <v>394</v>
      </c>
      <c r="E213" s="2424" t="str">
        <f>'Sch 3 - Expenses'!E53</f>
        <v>DIST</v>
      </c>
      <c r="F213" s="2171"/>
      <c r="G213" s="2424">
        <f>'Sch 3 - Expenses'!G53</f>
        <v>2499626</v>
      </c>
      <c r="H213" s="2424">
        <f>'Sch 3 - Expenses'!H53</f>
        <v>0</v>
      </c>
      <c r="I213" s="2424">
        <f>'Sch 3 - Expenses'!I53</f>
        <v>0</v>
      </c>
      <c r="J213" s="3465">
        <f>'Sch 3 - Expenses'!J53</f>
        <v>2499626</v>
      </c>
      <c r="K213" s="3205">
        <f>IF($E213="DIRECT",0,1)</f>
        <v>1</v>
      </c>
      <c r="O213" s="3235">
        <f>$G213</f>
        <v>2499626</v>
      </c>
      <c r="P213" s="3236">
        <f>VLOOKUP($E213,O$442:R$453,2,FALSE)*O213*($K213)+IF($G213&lt;&gt;0,($H213/$G213)*O213,0)*(1-$K213)</f>
        <v>0</v>
      </c>
      <c r="Q213" s="3236">
        <f>VLOOKUP($E213,O$442:R$453,3,FALSE)*O213*($K213)+IF($G213&lt;&gt;0,($I213/$G213)*O213,0)*(1-$K213)</f>
        <v>0</v>
      </c>
      <c r="R213" s="3236">
        <f>VLOOKUP($E213,O$442:R$453,4,FALSE)*O213*($K213)+(O213-P213-Q213)*(1-$K213)</f>
        <v>2499626</v>
      </c>
      <c r="S213" s="3264"/>
      <c r="W213" s="3235">
        <f>$G213</f>
        <v>2499626</v>
      </c>
      <c r="X213" s="3236">
        <f>VLOOKUP($E213,W$442:Z$453,2,FALSE)*W213*($K213)+IF($G213&lt;&gt;0,($H213/$G213)*W213,0)*(1-$K213)</f>
        <v>0</v>
      </c>
      <c r="Y213" s="3236">
        <f>VLOOKUP($E213,W$442:Z$453,3,FALSE)*W213*($K213)+IF($G213&lt;&gt;0,($I213/$G213)*W213,0)*(1-$K213)</f>
        <v>0</v>
      </c>
      <c r="Z213" s="3236">
        <f>VLOOKUP($E213,W$442:Z$453,4,FALSE)*W213*($K213)+(W213-X213-Y213)*(1-$K213)</f>
        <v>2499626</v>
      </c>
      <c r="AA213" s="3264"/>
      <c r="AE213" s="3235">
        <f>$G213</f>
        <v>2499626</v>
      </c>
      <c r="AF213" s="3236">
        <f>VLOOKUP($E213,AE$442:AH$453,2,FALSE)*AE213*($K213)+IF($G213&lt;&gt;0,($H213/$G213)*AE213,0)*(1-$K213)</f>
        <v>0</v>
      </c>
      <c r="AG213" s="3236">
        <f>VLOOKUP($E213,AE$442:AH$453,3,FALSE)*AE213*($K213)+IF($G213&lt;&gt;0,($I213/$G213)*AE213,0)*(1-$K213)</f>
        <v>0</v>
      </c>
      <c r="AH213" s="3236">
        <f>VLOOKUP($E213,AE$442:AH$453,4,FALSE)*AE213*($K213)+(AE213-AF213-AG213)*(1-$K213)</f>
        <v>2499626</v>
      </c>
      <c r="AI213" s="3264"/>
      <c r="AM213" s="3235">
        <f>$G213</f>
        <v>2499626</v>
      </c>
      <c r="AN213" s="3236">
        <f>VLOOKUP($E213,AM$442:AP$453,2,FALSE)*AM213*($K213)+IF($G213&lt;&gt;0,($H213/$G213)*AM213,0)*(1-$K213)</f>
        <v>0</v>
      </c>
      <c r="AO213" s="3236">
        <f>VLOOKUP($E213,AM$442:AP$453,3,FALSE)*AM213*($K213)+IF($G213&lt;&gt;0,($I213/$G213)*AM213,0)*(1-$K213)</f>
        <v>0</v>
      </c>
      <c r="AP213" s="3236">
        <f>VLOOKUP($E213,AM$442:AP$453,4,FALSE)*AM213*($K213)+(AM213-AN213-AO213)*(1-$K213)</f>
        <v>2499626</v>
      </c>
      <c r="AQ213" s="3264"/>
      <c r="AU213" s="3235">
        <f>$G213</f>
        <v>2499626</v>
      </c>
      <c r="AV213" s="3236">
        <f>VLOOKUP($E213,AU$442:AX$453,2,FALSE)*AU213*($K213)+IF($G213&lt;&gt;0,($H213/$G213)*AU213,0)*(1-$K213)</f>
        <v>0</v>
      </c>
      <c r="AW213" s="3236">
        <f>VLOOKUP($E213,AU$442:AX$453,3,FALSE)*AU213*($K213)+IF($G213&lt;&gt;0,($I213/$G213)*AU213,0)*(1-$K213)</f>
        <v>0</v>
      </c>
      <c r="AX213" s="3236">
        <f>VLOOKUP($E213,AU$442:AX$453,4,FALSE)*AU213*($K213)+(AU213-AV213-AW213)*(1-$K213)</f>
        <v>2499626</v>
      </c>
      <c r="AY213" s="3264"/>
      <c r="BC213" s="3235">
        <f>$G213</f>
        <v>2499626</v>
      </c>
      <c r="BD213" s="3236">
        <f>VLOOKUP($E213,BC$442:BF$453,2,FALSE)*BC213*($K213)+IF($G213&lt;&gt;0,($H213/$G213)*BC213,0)*(1-$K213)</f>
        <v>0</v>
      </c>
      <c r="BE213" s="3236">
        <f>VLOOKUP($E213,BC$442:BF$453,3,FALSE)*BC213*($K213)+IF($G213&lt;&gt;0,($I213/$G213)*BC213,0)*(1-$K213)</f>
        <v>0</v>
      </c>
      <c r="BF213" s="3236">
        <f>VLOOKUP($E213,BC$442:BF$453,4,FALSE)*BC213*($K213)+(BC213-BD213-BE213)*(1-$K213)</f>
        <v>2499626</v>
      </c>
      <c r="BG213" s="3264"/>
      <c r="BK213" s="3235">
        <f>$G213</f>
        <v>2499626</v>
      </c>
      <c r="BL213" s="3236">
        <f>VLOOKUP($E213,BK$442:BN$453,2,FALSE)*BK213*($K213)+IF($G213&lt;&gt;0,($H213/$G213)*BK213,0)*(1-$K213)</f>
        <v>0</v>
      </c>
      <c r="BM213" s="3236">
        <f>VLOOKUP($E213,BK$442:BN$453,3,FALSE)*BK213*($K213)+IF($G213&lt;&gt;0,($I213/$G213)*BK213,0)*(1-$K213)</f>
        <v>0</v>
      </c>
      <c r="BN213" s="3236">
        <f>VLOOKUP($E213,BK$442:BN$453,4,FALSE)*BK213*($K213)+(BK213-BL213-BM213)*(1-$K213)</f>
        <v>2499626</v>
      </c>
      <c r="BO213" s="3264"/>
      <c r="BS213" s="3235">
        <f>$G213</f>
        <v>2499626</v>
      </c>
      <c r="BT213" s="3236">
        <f>VLOOKUP($E213,BS$442:BV$453,2,FALSE)*BS213*($K213)+IF($G213&lt;&gt;0,($H213/$G213)*BS213,0)*(1-$K213)</f>
        <v>0</v>
      </c>
      <c r="BU213" s="3236">
        <f>VLOOKUP($E213,BS$442:BV$453,3,FALSE)*BS213*($K213)+IF($G213&lt;&gt;0,($I213/$G213)*BS213,0)*(1-$K213)</f>
        <v>0</v>
      </c>
      <c r="BV213" s="3236">
        <f>VLOOKUP($E213,BS$442:BV$453,4,FALSE)*BS213*($K213)+(BS213-BT213-BU213)*(1-$K213)</f>
        <v>2499626</v>
      </c>
      <c r="BW213" s="3264"/>
      <c r="CA213" s="3235">
        <f>$G213</f>
        <v>2499626</v>
      </c>
      <c r="CB213" s="3236">
        <f>VLOOKUP($E213,CA$442:CD$453,2,FALSE)*CA213*($K213)+IF($G213&lt;&gt;0,($H213/$G213)*CA213,0)*(1-$K213)</f>
        <v>0</v>
      </c>
      <c r="CC213" s="3236">
        <f>VLOOKUP($E213,CA$442:CD$453,3,FALSE)*CA213*($K213)+IF($G213&lt;&gt;0,($I213/$G213)*CA213,0)*(1-$K213)</f>
        <v>0</v>
      </c>
      <c r="CD213" s="3236">
        <f>VLOOKUP($E213,CA$442:CD$453,4,FALSE)*CA213*($K213)+(CA213-CB213-CC213)*(1-$K213)</f>
        <v>2499626</v>
      </c>
      <c r="CE213" s="3264"/>
      <c r="CI213" s="3235">
        <f>$G213</f>
        <v>2499626</v>
      </c>
      <c r="CJ213" s="3236">
        <f>VLOOKUP($E213,CI$442:CL$453,2,FALSE)*CI213*($K213)+IF($G213&lt;&gt;0,($H213/$G213)*CI213,0)*(1-$K213)</f>
        <v>0</v>
      </c>
      <c r="CK213" s="3236">
        <f>VLOOKUP($E213,CI$442:CL$453,3,FALSE)*CI213*($K213)+IF($G213&lt;&gt;0,($I213/$G213)*CI213,0)*(1-$K213)</f>
        <v>0</v>
      </c>
      <c r="CL213" s="3236">
        <f>VLOOKUP($E213,CI$442:CL$453,4,FALSE)*CI213*($K213)+(CI213-CJ213-CK213)*(1-$K213)</f>
        <v>2499626</v>
      </c>
      <c r="CM213" s="3264"/>
      <c r="CQ213" s="3235">
        <f>$G213</f>
        <v>2499626</v>
      </c>
      <c r="CR213" s="3236">
        <f>VLOOKUP($E213,CQ$442:CT$453,2,FALSE)*CQ213*($K213)+IF($G213&lt;&gt;0,($H213/$G213)*CQ213,0)*(1-$K213)</f>
        <v>0</v>
      </c>
      <c r="CS213" s="3236">
        <f>VLOOKUP($E213,CQ$442:CT$453,3,FALSE)*CQ213*($K213)+IF($G213&lt;&gt;0,($I213/$G213)*CQ213,0)*(1-$K213)</f>
        <v>0</v>
      </c>
      <c r="CT213" s="3236">
        <f>VLOOKUP($E213,CQ$442:CT$453,4,FALSE)*CQ213*($K213)+(CQ213-CR213-CS213)*(1-$K213)</f>
        <v>2499626</v>
      </c>
      <c r="CU213" s="3264"/>
      <c r="CY213" s="3235">
        <f>$G213</f>
        <v>2499626</v>
      </c>
      <c r="CZ213" s="3236">
        <f>VLOOKUP($E213,CY$442:DB$453,2,FALSE)*CY213*($K213)+IF($G213&lt;&gt;0,($H213/$G213)*CY213,0)*(1-$K213)</f>
        <v>0</v>
      </c>
      <c r="DA213" s="3236">
        <f>VLOOKUP($E213,CY$442:DB$453,3,FALSE)*CY213*($K213)+IF($G213&lt;&gt;0,($I213/$G213)*CY213,0)*(1-$K213)</f>
        <v>0</v>
      </c>
      <c r="DB213" s="3236">
        <f>VLOOKUP($E213,CY$442:DB$453,4,FALSE)*CY213*($K213)+(CY213-CZ213-DA213)*(1-$K213)</f>
        <v>2499626</v>
      </c>
      <c r="DC213" s="3264"/>
      <c r="DG213" s="3235">
        <f>$G213</f>
        <v>2499626</v>
      </c>
      <c r="DH213" s="3236">
        <f>VLOOKUP($E213,DG$442:DJ$453,2,FALSE)*DG213*($K213)+IF($G213&lt;&gt;0,($H213/$G213)*DG213,0)*(1-$K213)</f>
        <v>0</v>
      </c>
      <c r="DI213" s="3236">
        <f>VLOOKUP($E213,DG$442:DJ$453,3,FALSE)*DG213*($K213)+IF($G213&lt;&gt;0,($I213/$G213)*DG213,0)*(1-$K213)</f>
        <v>0</v>
      </c>
      <c r="DJ213" s="3236">
        <f>VLOOKUP($E213,DG$442:DJ$453,4,FALSE)*DG213*($K213)+(DG213-DH213-DI213)*(1-$K213)</f>
        <v>2499626</v>
      </c>
      <c r="DK213" s="3264"/>
      <c r="DO213" s="3235">
        <f>$G213</f>
        <v>2499626</v>
      </c>
      <c r="DP213" s="3236">
        <f>VLOOKUP($E213,DO$442:DR$453,2,FALSE)*DO213*($K213)+IF($G213&lt;&gt;0,($H213/$G213)*DO213,0)*(1-$K213)</f>
        <v>0</v>
      </c>
      <c r="DQ213" s="3236">
        <f>VLOOKUP($E213,DO$442:DR$453,3,FALSE)*DO213*($K213)+IF($G213&lt;&gt;0,($I213/$G213)*DO213,0)*(1-$K213)</f>
        <v>0</v>
      </c>
      <c r="DR213" s="3236">
        <f>VLOOKUP($E213,DO$442:DR$453,4,FALSE)*DO213*($K213)+(DO213-DP213-DQ213)*(1-$K213)</f>
        <v>2499626</v>
      </c>
      <c r="DS213" s="3264"/>
      <c r="DW213" s="3235">
        <f>$G213</f>
        <v>2499626</v>
      </c>
      <c r="DX213" s="3236">
        <f>VLOOKUP($E213,DW$442:DZ$453,2,FALSE)*DW213*($K213)+IF($G213&lt;&gt;0,($H213/$G213)*DW213,0)*(1-$K213)</f>
        <v>0</v>
      </c>
      <c r="DY213" s="3236">
        <f>VLOOKUP($E213,DW$442:DZ$453,3,FALSE)*DW213*($K213)+IF($G213&lt;&gt;0,($I213/$G213)*DW213,0)*(1-$K213)</f>
        <v>0</v>
      </c>
      <c r="DZ213" s="3236">
        <f>VLOOKUP($E213,DW$442:DZ$453,4,FALSE)*DW213*($K213)+(DW213-DX213-DY213)*(1-$K213)</f>
        <v>2499626</v>
      </c>
      <c r="EA213" s="3264"/>
      <c r="EE213" s="3235">
        <f>$G213</f>
        <v>2499626</v>
      </c>
      <c r="EF213" s="3236">
        <f>VLOOKUP($E213,EE$442:EH$453,2,FALSE)*EE213*($K213)+IF($G213&lt;&gt;0,($H213/$G213)*EE213,0)*(1-$K213)</f>
        <v>0</v>
      </c>
      <c r="EG213" s="3236">
        <f>VLOOKUP($E213,EE$442:EH$453,3,FALSE)*EE213*($K213)+IF($G213&lt;&gt;0,($I213/$G213)*EE213,0)*(1-$K213)</f>
        <v>0</v>
      </c>
      <c r="EH213" s="3236">
        <f>VLOOKUP($E213,EE$442:EH$453,4,FALSE)*EE213*($K213)+(EE213-EF213-EG213)*(1-$K213)</f>
        <v>2499626</v>
      </c>
      <c r="EI213" s="3264"/>
      <c r="EM213" s="3235">
        <f>$G213</f>
        <v>2499626</v>
      </c>
      <c r="EN213" s="3236">
        <f>VLOOKUP($E213,EM$442:EP$453,2,FALSE)*EM213*($K213)+IF($G213&lt;&gt;0,($H213/$G213)*EM213,0)*(1-$K213)</f>
        <v>0</v>
      </c>
      <c r="EO213" s="3236">
        <f>VLOOKUP($E213,EM$442:EP$453,3,FALSE)*EM213*($K213)+IF($G213&lt;&gt;0,($I213/$G213)*EM213,0)*(1-$K213)</f>
        <v>0</v>
      </c>
      <c r="EP213" s="3236">
        <f>VLOOKUP($E213,EM$442:EP$453,4,FALSE)*EM213*($K213)+(EM213-EN213-EO213)*(1-$K213)</f>
        <v>2499626</v>
      </c>
      <c r="EQ213" s="3264"/>
      <c r="EU213" s="3235">
        <f>$G213</f>
        <v>2499626</v>
      </c>
      <c r="EV213" s="3236">
        <f>VLOOKUP($E213,EU$442:EX$453,2,FALSE)*EU213*($K213)+IF($G213&lt;&gt;0,($H213/$G213)*EU213,0)*(1-$K213)</f>
        <v>0</v>
      </c>
      <c r="EW213" s="3236">
        <f>VLOOKUP($E213,EU$442:EX$453,3,FALSE)*EU213*($K213)+IF($G213&lt;&gt;0,($I213/$G213)*EU213,0)*(1-$K213)</f>
        <v>0</v>
      </c>
      <c r="EX213" s="3236">
        <f>VLOOKUP($E213,EU$442:EX$453,4,FALSE)*EU213*($K213)+(EU213-EV213-EW213)*(1-$K213)</f>
        <v>2499626</v>
      </c>
      <c r="EY213" s="3264"/>
      <c r="FC213" s="3235">
        <f>$G213</f>
        <v>2499626</v>
      </c>
      <c r="FD213" s="3236">
        <f>VLOOKUP($E213,FC$442:FF$453,2,FALSE)*FC213*($K213)+IF($G213&lt;&gt;0,($H213/$G213)*FC213,0)*(1-$K213)</f>
        <v>0</v>
      </c>
      <c r="FE213" s="3236">
        <f>VLOOKUP($E213,FC$442:FF$453,3,FALSE)*FC213*($K213)+IF($G213&lt;&gt;0,($I213/$G213)*FC213,0)*(1-$K213)</f>
        <v>0</v>
      </c>
      <c r="FF213" s="3236">
        <f>VLOOKUP($E213,FC$442:FF$453,4,FALSE)*FC213*($K213)+(FC213-FD213-FE213)*(1-$K213)</f>
        <v>2499626</v>
      </c>
      <c r="FG213" s="3264"/>
      <c r="FK213" s="3235">
        <f>$G213</f>
        <v>2499626</v>
      </c>
      <c r="FL213" s="3236">
        <f>VLOOKUP($E213,FK$442:FN$453,2,FALSE)*FK213*($K213)+IF($G213&lt;&gt;0,($H213/$G213)*FK213,0)*(1-$K213)</f>
        <v>0</v>
      </c>
      <c r="FM213" s="3236">
        <f>VLOOKUP($E213,FK$442:FN$453,3,FALSE)*FK213*($K213)+IF($G213&lt;&gt;0,($I213/$G213)*FK213,0)*(1-$K213)</f>
        <v>0</v>
      </c>
      <c r="FN213" s="3236">
        <f>VLOOKUP($E213,FK$442:FN$453,4,FALSE)*FK213*($K213)+(FK213-FL213-FM213)*(1-$K213)</f>
        <v>2499626</v>
      </c>
      <c r="FO213" s="3264"/>
    </row>
    <row r="214" spans="1:171">
      <c r="A214" s="2092"/>
      <c r="B214" s="2185" t="s">
        <v>395</v>
      </c>
      <c r="C214" s="2464" t="s">
        <v>72</v>
      </c>
      <c r="D214" s="2464" t="s">
        <v>396</v>
      </c>
      <c r="E214" s="2424" t="str">
        <f>'Sch 3 - Expenses'!E54</f>
        <v>DIST</v>
      </c>
      <c r="F214" s="2171"/>
      <c r="G214" s="2424">
        <f>'Sch 3 - Expenses'!G54</f>
        <v>1231798</v>
      </c>
      <c r="H214" s="2424">
        <f>'Sch 3 - Expenses'!H54</f>
        <v>0</v>
      </c>
      <c r="I214" s="2424">
        <f>'Sch 3 - Expenses'!I54</f>
        <v>0</v>
      </c>
      <c r="J214" s="3465">
        <f>'Sch 3 - Expenses'!J54</f>
        <v>1231798</v>
      </c>
      <c r="K214" s="3205">
        <f>IF($E214="DIRECT",0,1)</f>
        <v>1</v>
      </c>
      <c r="O214" s="3235">
        <f>$G214</f>
        <v>1231798</v>
      </c>
      <c r="P214" s="3236">
        <f>VLOOKUP($E214,O$442:R$453,2,FALSE)*O214*($K214)+IF($G214&lt;&gt;0,($H214/$G214)*O214,0)*(1-$K214)</f>
        <v>0</v>
      </c>
      <c r="Q214" s="3236">
        <f>VLOOKUP($E214,O$442:R$453,3,FALSE)*O214*($K214)+IF($G214&lt;&gt;0,($I214/$G214)*O214,0)*(1-$K214)</f>
        <v>0</v>
      </c>
      <c r="R214" s="3236">
        <f>VLOOKUP($E214,O$442:R$453,4,FALSE)*O214*($K214)+(O214-P214-Q214)*(1-$K214)</f>
        <v>1231798</v>
      </c>
      <c r="S214" s="3264"/>
      <c r="W214" s="3235">
        <f>$G214</f>
        <v>1231798</v>
      </c>
      <c r="X214" s="3236">
        <f>VLOOKUP($E214,W$442:Z$453,2,FALSE)*W214*($K214)+IF($G214&lt;&gt;0,($H214/$G214)*W214,0)*(1-$K214)</f>
        <v>0</v>
      </c>
      <c r="Y214" s="3236">
        <f>VLOOKUP($E214,W$442:Z$453,3,FALSE)*W214*($K214)+IF($G214&lt;&gt;0,($I214/$G214)*W214,0)*(1-$K214)</f>
        <v>0</v>
      </c>
      <c r="Z214" s="3236">
        <f>VLOOKUP($E214,W$442:Z$453,4,FALSE)*W214*($K214)+(W214-X214-Y214)*(1-$K214)</f>
        <v>1231798</v>
      </c>
      <c r="AA214" s="3264"/>
      <c r="AE214" s="3235">
        <f>$G214</f>
        <v>1231798</v>
      </c>
      <c r="AF214" s="3236">
        <f>VLOOKUP($E214,AE$442:AH$453,2,FALSE)*AE214*($K214)+IF($G214&lt;&gt;0,($H214/$G214)*AE214,0)*(1-$K214)</f>
        <v>0</v>
      </c>
      <c r="AG214" s="3236">
        <f>VLOOKUP($E214,AE$442:AH$453,3,FALSE)*AE214*($K214)+IF($G214&lt;&gt;0,($I214/$G214)*AE214,0)*(1-$K214)</f>
        <v>0</v>
      </c>
      <c r="AH214" s="3236">
        <f>VLOOKUP($E214,AE$442:AH$453,4,FALSE)*AE214*($K214)+(AE214-AF214-AG214)*(1-$K214)</f>
        <v>1231798</v>
      </c>
      <c r="AI214" s="3264"/>
      <c r="AM214" s="3235">
        <f>$G214</f>
        <v>1231798</v>
      </c>
      <c r="AN214" s="3236">
        <f>VLOOKUP($E214,AM$442:AP$453,2,FALSE)*AM214*($K214)+IF($G214&lt;&gt;0,($H214/$G214)*AM214,0)*(1-$K214)</f>
        <v>0</v>
      </c>
      <c r="AO214" s="3236">
        <f>VLOOKUP($E214,AM$442:AP$453,3,FALSE)*AM214*($K214)+IF($G214&lt;&gt;0,($I214/$G214)*AM214,0)*(1-$K214)</f>
        <v>0</v>
      </c>
      <c r="AP214" s="3236">
        <f>VLOOKUP($E214,AM$442:AP$453,4,FALSE)*AM214*($K214)+(AM214-AN214-AO214)*(1-$K214)</f>
        <v>1231798</v>
      </c>
      <c r="AQ214" s="3264"/>
      <c r="AU214" s="3235">
        <f>$G214</f>
        <v>1231798</v>
      </c>
      <c r="AV214" s="3236">
        <f>VLOOKUP($E214,AU$442:AX$453,2,FALSE)*AU214*($K214)+IF($G214&lt;&gt;0,($H214/$G214)*AU214,0)*(1-$K214)</f>
        <v>0</v>
      </c>
      <c r="AW214" s="3236">
        <f>VLOOKUP($E214,AU$442:AX$453,3,FALSE)*AU214*($K214)+IF($G214&lt;&gt;0,($I214/$G214)*AU214,0)*(1-$K214)</f>
        <v>0</v>
      </c>
      <c r="AX214" s="3236">
        <f>VLOOKUP($E214,AU$442:AX$453,4,FALSE)*AU214*($K214)+(AU214-AV214-AW214)*(1-$K214)</f>
        <v>1231798</v>
      </c>
      <c r="AY214" s="3264"/>
      <c r="BC214" s="3235">
        <f>$G214</f>
        <v>1231798</v>
      </c>
      <c r="BD214" s="3236">
        <f>VLOOKUP($E214,BC$442:BF$453,2,FALSE)*BC214*($K214)+IF($G214&lt;&gt;0,($H214/$G214)*BC214,0)*(1-$K214)</f>
        <v>0</v>
      </c>
      <c r="BE214" s="3236">
        <f>VLOOKUP($E214,BC$442:BF$453,3,FALSE)*BC214*($K214)+IF($G214&lt;&gt;0,($I214/$G214)*BC214,0)*(1-$K214)</f>
        <v>0</v>
      </c>
      <c r="BF214" s="3236">
        <f>VLOOKUP($E214,BC$442:BF$453,4,FALSE)*BC214*($K214)+(BC214-BD214-BE214)*(1-$K214)</f>
        <v>1231798</v>
      </c>
      <c r="BG214" s="3264"/>
      <c r="BK214" s="3235">
        <f>$G214</f>
        <v>1231798</v>
      </c>
      <c r="BL214" s="3236">
        <f>VLOOKUP($E214,BK$442:BN$453,2,FALSE)*BK214*($K214)+IF($G214&lt;&gt;0,($H214/$G214)*BK214,0)*(1-$K214)</f>
        <v>0</v>
      </c>
      <c r="BM214" s="3236">
        <f>VLOOKUP($E214,BK$442:BN$453,3,FALSE)*BK214*($K214)+IF($G214&lt;&gt;0,($I214/$G214)*BK214,0)*(1-$K214)</f>
        <v>0</v>
      </c>
      <c r="BN214" s="3236">
        <f>VLOOKUP($E214,BK$442:BN$453,4,FALSE)*BK214*($K214)+(BK214-BL214-BM214)*(1-$K214)</f>
        <v>1231798</v>
      </c>
      <c r="BO214" s="3264"/>
      <c r="BS214" s="3235">
        <f>$G214</f>
        <v>1231798</v>
      </c>
      <c r="BT214" s="3236">
        <f>VLOOKUP($E214,BS$442:BV$453,2,FALSE)*BS214*($K214)+IF($G214&lt;&gt;0,($H214/$G214)*BS214,0)*(1-$K214)</f>
        <v>0</v>
      </c>
      <c r="BU214" s="3236">
        <f>VLOOKUP($E214,BS$442:BV$453,3,FALSE)*BS214*($K214)+IF($G214&lt;&gt;0,($I214/$G214)*BS214,0)*(1-$K214)</f>
        <v>0</v>
      </c>
      <c r="BV214" s="3236">
        <f>VLOOKUP($E214,BS$442:BV$453,4,FALSE)*BS214*($K214)+(BS214-BT214-BU214)*(1-$K214)</f>
        <v>1231798</v>
      </c>
      <c r="BW214" s="3264"/>
      <c r="CA214" s="3235">
        <f>$G214</f>
        <v>1231798</v>
      </c>
      <c r="CB214" s="3236">
        <f>VLOOKUP($E214,CA$442:CD$453,2,FALSE)*CA214*($K214)+IF($G214&lt;&gt;0,($H214/$G214)*CA214,0)*(1-$K214)</f>
        <v>0</v>
      </c>
      <c r="CC214" s="3236">
        <f>VLOOKUP($E214,CA$442:CD$453,3,FALSE)*CA214*($K214)+IF($G214&lt;&gt;0,($I214/$G214)*CA214,0)*(1-$K214)</f>
        <v>0</v>
      </c>
      <c r="CD214" s="3236">
        <f>VLOOKUP($E214,CA$442:CD$453,4,FALSE)*CA214*($K214)+(CA214-CB214-CC214)*(1-$K214)</f>
        <v>1231798</v>
      </c>
      <c r="CE214" s="3264"/>
      <c r="CI214" s="3235">
        <f>$G214</f>
        <v>1231798</v>
      </c>
      <c r="CJ214" s="3236">
        <f>VLOOKUP($E214,CI$442:CL$453,2,FALSE)*CI214*($K214)+IF($G214&lt;&gt;0,($H214/$G214)*CI214,0)*(1-$K214)</f>
        <v>0</v>
      </c>
      <c r="CK214" s="3236">
        <f>VLOOKUP($E214,CI$442:CL$453,3,FALSE)*CI214*($K214)+IF($G214&lt;&gt;0,($I214/$G214)*CI214,0)*(1-$K214)</f>
        <v>0</v>
      </c>
      <c r="CL214" s="3236">
        <f>VLOOKUP($E214,CI$442:CL$453,4,FALSE)*CI214*($K214)+(CI214-CJ214-CK214)*(1-$K214)</f>
        <v>1231798</v>
      </c>
      <c r="CM214" s="3264"/>
      <c r="CQ214" s="3235">
        <f>$G214</f>
        <v>1231798</v>
      </c>
      <c r="CR214" s="3236">
        <f>VLOOKUP($E214,CQ$442:CT$453,2,FALSE)*CQ214*($K214)+IF($G214&lt;&gt;0,($H214/$G214)*CQ214,0)*(1-$K214)</f>
        <v>0</v>
      </c>
      <c r="CS214" s="3236">
        <f>VLOOKUP($E214,CQ$442:CT$453,3,FALSE)*CQ214*($K214)+IF($G214&lt;&gt;0,($I214/$G214)*CQ214,0)*(1-$K214)</f>
        <v>0</v>
      </c>
      <c r="CT214" s="3236">
        <f>VLOOKUP($E214,CQ$442:CT$453,4,FALSE)*CQ214*($K214)+(CQ214-CR214-CS214)*(1-$K214)</f>
        <v>1231798</v>
      </c>
      <c r="CU214" s="3264"/>
      <c r="CY214" s="3235">
        <f>$G214</f>
        <v>1231798</v>
      </c>
      <c r="CZ214" s="3236">
        <f>VLOOKUP($E214,CY$442:DB$453,2,FALSE)*CY214*($K214)+IF($G214&lt;&gt;0,($H214/$G214)*CY214,0)*(1-$K214)</f>
        <v>0</v>
      </c>
      <c r="DA214" s="3236">
        <f>VLOOKUP($E214,CY$442:DB$453,3,FALSE)*CY214*($K214)+IF($G214&lt;&gt;0,($I214/$G214)*CY214,0)*(1-$K214)</f>
        <v>0</v>
      </c>
      <c r="DB214" s="3236">
        <f>VLOOKUP($E214,CY$442:DB$453,4,FALSE)*CY214*($K214)+(CY214-CZ214-DA214)*(1-$K214)</f>
        <v>1231798</v>
      </c>
      <c r="DC214" s="3264"/>
      <c r="DG214" s="3235">
        <f>$G214</f>
        <v>1231798</v>
      </c>
      <c r="DH214" s="3236">
        <f>VLOOKUP($E214,DG$442:DJ$453,2,FALSE)*DG214*($K214)+IF($G214&lt;&gt;0,($H214/$G214)*DG214,0)*(1-$K214)</f>
        <v>0</v>
      </c>
      <c r="DI214" s="3236">
        <f>VLOOKUP($E214,DG$442:DJ$453,3,FALSE)*DG214*($K214)+IF($G214&lt;&gt;0,($I214/$G214)*DG214,0)*(1-$K214)</f>
        <v>0</v>
      </c>
      <c r="DJ214" s="3236">
        <f>VLOOKUP($E214,DG$442:DJ$453,4,FALSE)*DG214*($K214)+(DG214-DH214-DI214)*(1-$K214)</f>
        <v>1231798</v>
      </c>
      <c r="DK214" s="3264"/>
      <c r="DO214" s="3235">
        <f>$G214</f>
        <v>1231798</v>
      </c>
      <c r="DP214" s="3236">
        <f>VLOOKUP($E214,DO$442:DR$453,2,FALSE)*DO214*($K214)+IF($G214&lt;&gt;0,($H214/$G214)*DO214,0)*(1-$K214)</f>
        <v>0</v>
      </c>
      <c r="DQ214" s="3236">
        <f>VLOOKUP($E214,DO$442:DR$453,3,FALSE)*DO214*($K214)+IF($G214&lt;&gt;0,($I214/$G214)*DO214,0)*(1-$K214)</f>
        <v>0</v>
      </c>
      <c r="DR214" s="3236">
        <f>VLOOKUP($E214,DO$442:DR$453,4,FALSE)*DO214*($K214)+(DO214-DP214-DQ214)*(1-$K214)</f>
        <v>1231798</v>
      </c>
      <c r="DS214" s="3264"/>
      <c r="DW214" s="3235">
        <f>$G214</f>
        <v>1231798</v>
      </c>
      <c r="DX214" s="3236">
        <f>VLOOKUP($E214,DW$442:DZ$453,2,FALSE)*DW214*($K214)+IF($G214&lt;&gt;0,($H214/$G214)*DW214,0)*(1-$K214)</f>
        <v>0</v>
      </c>
      <c r="DY214" s="3236">
        <f>VLOOKUP($E214,DW$442:DZ$453,3,FALSE)*DW214*($K214)+IF($G214&lt;&gt;0,($I214/$G214)*DW214,0)*(1-$K214)</f>
        <v>0</v>
      </c>
      <c r="DZ214" s="3236">
        <f>VLOOKUP($E214,DW$442:DZ$453,4,FALSE)*DW214*($K214)+(DW214-DX214-DY214)*(1-$K214)</f>
        <v>1231798</v>
      </c>
      <c r="EA214" s="3264"/>
      <c r="EE214" s="3235">
        <f>$G214</f>
        <v>1231798</v>
      </c>
      <c r="EF214" s="3236">
        <f>VLOOKUP($E214,EE$442:EH$453,2,FALSE)*EE214*($K214)+IF($G214&lt;&gt;0,($H214/$G214)*EE214,0)*(1-$K214)</f>
        <v>0</v>
      </c>
      <c r="EG214" s="3236">
        <f>VLOOKUP($E214,EE$442:EH$453,3,FALSE)*EE214*($K214)+IF($G214&lt;&gt;0,($I214/$G214)*EE214,0)*(1-$K214)</f>
        <v>0</v>
      </c>
      <c r="EH214" s="3236">
        <f>VLOOKUP($E214,EE$442:EH$453,4,FALSE)*EE214*($K214)+(EE214-EF214-EG214)*(1-$K214)</f>
        <v>1231798</v>
      </c>
      <c r="EI214" s="3264"/>
      <c r="EM214" s="3235">
        <f>$G214</f>
        <v>1231798</v>
      </c>
      <c r="EN214" s="3236">
        <f>VLOOKUP($E214,EM$442:EP$453,2,FALSE)*EM214*($K214)+IF($G214&lt;&gt;0,($H214/$G214)*EM214,0)*(1-$K214)</f>
        <v>0</v>
      </c>
      <c r="EO214" s="3236">
        <f>VLOOKUP($E214,EM$442:EP$453,3,FALSE)*EM214*($K214)+IF($G214&lt;&gt;0,($I214/$G214)*EM214,0)*(1-$K214)</f>
        <v>0</v>
      </c>
      <c r="EP214" s="3236">
        <f>VLOOKUP($E214,EM$442:EP$453,4,FALSE)*EM214*($K214)+(EM214-EN214-EO214)*(1-$K214)</f>
        <v>1231798</v>
      </c>
      <c r="EQ214" s="3264"/>
      <c r="EU214" s="3235">
        <f>$G214</f>
        <v>1231798</v>
      </c>
      <c r="EV214" s="3236">
        <f>VLOOKUP($E214,EU$442:EX$453,2,FALSE)*EU214*($K214)+IF($G214&lt;&gt;0,($H214/$G214)*EU214,0)*(1-$K214)</f>
        <v>0</v>
      </c>
      <c r="EW214" s="3236">
        <f>VLOOKUP($E214,EU$442:EX$453,3,FALSE)*EU214*($K214)+IF($G214&lt;&gt;0,($I214/$G214)*EU214,0)*(1-$K214)</f>
        <v>0</v>
      </c>
      <c r="EX214" s="3236">
        <f>VLOOKUP($E214,EU$442:EX$453,4,FALSE)*EU214*($K214)+(EU214-EV214-EW214)*(1-$K214)</f>
        <v>1231798</v>
      </c>
      <c r="EY214" s="3264"/>
      <c r="FC214" s="3235">
        <f>$G214</f>
        <v>1231798</v>
      </c>
      <c r="FD214" s="3236">
        <f>VLOOKUP($E214,FC$442:FF$453,2,FALSE)*FC214*($K214)+IF($G214&lt;&gt;0,($H214/$G214)*FC214,0)*(1-$K214)</f>
        <v>0</v>
      </c>
      <c r="FE214" s="3236">
        <f>VLOOKUP($E214,FC$442:FF$453,3,FALSE)*FC214*($K214)+IF($G214&lt;&gt;0,($I214/$G214)*FC214,0)*(1-$K214)</f>
        <v>0</v>
      </c>
      <c r="FF214" s="3236">
        <f>VLOOKUP($E214,FC$442:FF$453,4,FALSE)*FC214*($K214)+(FC214-FD214-FE214)*(1-$K214)</f>
        <v>1231798</v>
      </c>
      <c r="FG214" s="3264"/>
      <c r="FK214" s="3235">
        <f>$G214</f>
        <v>1231798</v>
      </c>
      <c r="FL214" s="3236">
        <f>VLOOKUP($E214,FK$442:FN$453,2,FALSE)*FK214*($K214)+IF($G214&lt;&gt;0,($H214/$G214)*FK214,0)*(1-$K214)</f>
        <v>0</v>
      </c>
      <c r="FM214" s="3236">
        <f>VLOOKUP($E214,FK$442:FN$453,3,FALSE)*FK214*($K214)+IF($G214&lt;&gt;0,($I214/$G214)*FK214,0)*(1-$K214)</f>
        <v>0</v>
      </c>
      <c r="FN214" s="3236">
        <f>VLOOKUP($E214,FK$442:FN$453,4,FALSE)*FK214*($K214)+(FK214-FL214-FM214)*(1-$K214)</f>
        <v>1231798</v>
      </c>
      <c r="FO214" s="3264"/>
    </row>
    <row r="215" spans="1:171">
      <c r="A215" s="2091" t="s">
        <v>489</v>
      </c>
      <c r="B215" s="2097"/>
      <c r="C215" s="3256"/>
      <c r="D215" s="3257"/>
      <c r="E215" s="3257"/>
      <c r="F215" s="3258"/>
      <c r="G215" s="3265">
        <f>SUM(G210:G214)</f>
        <v>208270735</v>
      </c>
      <c r="H215" s="3265">
        <f>SUM(H210:H214)</f>
        <v>97941405.329999998</v>
      </c>
      <c r="I215" s="3265">
        <f>SUM(I210:I214)</f>
        <v>0</v>
      </c>
      <c r="J215" s="3474">
        <f>SUM(J210:J214)</f>
        <v>110329330.05</v>
      </c>
      <c r="K215" s="3205"/>
      <c r="O215" s="3336">
        <f>SUM(O210:O214)</f>
        <v>208270735</v>
      </c>
      <c r="P215" s="3336">
        <f>SUM(P210:P214)</f>
        <v>97941405.329999998</v>
      </c>
      <c r="Q215" s="3336">
        <f>SUM(Q210:Q214)</f>
        <v>0</v>
      </c>
      <c r="R215" s="3336">
        <f>SUM(R210:R214)</f>
        <v>110329329.67</v>
      </c>
      <c r="S215" s="3264"/>
      <c r="W215" s="3336">
        <f>SUM(W210:W214)</f>
        <v>208270735</v>
      </c>
      <c r="X215" s="3336">
        <f>SUM(X210:X214)</f>
        <v>97941405.329999998</v>
      </c>
      <c r="Y215" s="3336">
        <f>SUM(Y210:Y214)</f>
        <v>0</v>
      </c>
      <c r="Z215" s="3336">
        <f>SUM(Z210:Z214)</f>
        <v>110329329.67</v>
      </c>
      <c r="AA215" s="3264"/>
      <c r="AE215" s="3336">
        <f>SUM(AE210:AE214)</f>
        <v>208270735</v>
      </c>
      <c r="AF215" s="3336">
        <f>SUM(AF210:AF214)</f>
        <v>97941405.329999998</v>
      </c>
      <c r="AG215" s="3336">
        <f>SUM(AG210:AG214)</f>
        <v>0</v>
      </c>
      <c r="AH215" s="3336">
        <f>SUM(AH210:AH214)</f>
        <v>110329329.67</v>
      </c>
      <c r="AI215" s="3264"/>
      <c r="AM215" s="3336">
        <f>SUM(AM210:AM214)</f>
        <v>208270735</v>
      </c>
      <c r="AN215" s="3336">
        <f>SUM(AN210:AN214)</f>
        <v>97941405.329999998</v>
      </c>
      <c r="AO215" s="3336">
        <f>SUM(AO210:AO214)</f>
        <v>0</v>
      </c>
      <c r="AP215" s="3336">
        <f>SUM(AP210:AP214)</f>
        <v>110329329.67</v>
      </c>
      <c r="AQ215" s="3264"/>
      <c r="AU215" s="3336">
        <f>SUM(AU210:AU214)</f>
        <v>208270735</v>
      </c>
      <c r="AV215" s="3336">
        <f>SUM(AV210:AV214)</f>
        <v>97941405.329999998</v>
      </c>
      <c r="AW215" s="3336">
        <f>SUM(AW210:AW214)</f>
        <v>0</v>
      </c>
      <c r="AX215" s="3336">
        <f>SUM(AX210:AX214)</f>
        <v>110329329.67</v>
      </c>
      <c r="AY215" s="3264"/>
      <c r="BC215" s="3336">
        <f>SUM(BC210:BC214)</f>
        <v>208270735</v>
      </c>
      <c r="BD215" s="3336">
        <f>SUM(BD210:BD214)</f>
        <v>97941405.329999998</v>
      </c>
      <c r="BE215" s="3336">
        <f>SUM(BE210:BE214)</f>
        <v>0</v>
      </c>
      <c r="BF215" s="3336">
        <f>SUM(BF210:BF214)</f>
        <v>110329329.67</v>
      </c>
      <c r="BG215" s="3264"/>
      <c r="BK215" s="3336">
        <f>SUM(BK210:BK214)</f>
        <v>208270735</v>
      </c>
      <c r="BL215" s="3336">
        <f>SUM(BL210:BL214)</f>
        <v>97941405.329999998</v>
      </c>
      <c r="BM215" s="3336">
        <f>SUM(BM210:BM214)</f>
        <v>0</v>
      </c>
      <c r="BN215" s="3336">
        <f>SUM(BN210:BN214)</f>
        <v>110329329.67</v>
      </c>
      <c r="BO215" s="3264"/>
      <c r="BS215" s="3336">
        <f>SUM(BS210:BS214)</f>
        <v>208270735</v>
      </c>
      <c r="BT215" s="3336">
        <f>SUM(BT210:BT214)</f>
        <v>97941405.329999998</v>
      </c>
      <c r="BU215" s="3336">
        <f>SUM(BU210:BU214)</f>
        <v>0</v>
      </c>
      <c r="BV215" s="3336">
        <f>SUM(BV210:BV214)</f>
        <v>110329329.67</v>
      </c>
      <c r="BW215" s="3264"/>
      <c r="CA215" s="3336">
        <f>SUM(CA210:CA214)</f>
        <v>208270735</v>
      </c>
      <c r="CB215" s="3336">
        <f>SUM(CB210:CB214)</f>
        <v>97941405.329999998</v>
      </c>
      <c r="CC215" s="3336">
        <f>SUM(CC210:CC214)</f>
        <v>0</v>
      </c>
      <c r="CD215" s="3336">
        <f>SUM(CD210:CD214)</f>
        <v>110329329.67</v>
      </c>
      <c r="CE215" s="3264"/>
      <c r="CI215" s="3336">
        <f>SUM(CI210:CI214)</f>
        <v>208270735</v>
      </c>
      <c r="CJ215" s="3336">
        <f>SUM(CJ210:CJ214)</f>
        <v>97941405.329999998</v>
      </c>
      <c r="CK215" s="3336">
        <f>SUM(CK210:CK214)</f>
        <v>0</v>
      </c>
      <c r="CL215" s="3336">
        <f>SUM(CL210:CL214)</f>
        <v>110329329.67</v>
      </c>
      <c r="CM215" s="3264"/>
      <c r="CQ215" s="3336">
        <f>SUM(CQ210:CQ214)</f>
        <v>208270735</v>
      </c>
      <c r="CR215" s="3336">
        <f>SUM(CR210:CR214)</f>
        <v>97941405.329999998</v>
      </c>
      <c r="CS215" s="3336">
        <f>SUM(CS210:CS214)</f>
        <v>0</v>
      </c>
      <c r="CT215" s="3336">
        <f>SUM(CT210:CT214)</f>
        <v>110329329.67</v>
      </c>
      <c r="CU215" s="3264"/>
      <c r="CY215" s="3336">
        <f>SUM(CY210:CY214)</f>
        <v>208270735</v>
      </c>
      <c r="CZ215" s="3336">
        <f>SUM(CZ210:CZ214)</f>
        <v>97941405.329999998</v>
      </c>
      <c r="DA215" s="3336">
        <f>SUM(DA210:DA214)</f>
        <v>0</v>
      </c>
      <c r="DB215" s="3336">
        <f>SUM(DB210:DB214)</f>
        <v>110329329.67</v>
      </c>
      <c r="DC215" s="3264"/>
      <c r="DG215" s="3336">
        <f>SUM(DG210:DG214)</f>
        <v>208270735</v>
      </c>
      <c r="DH215" s="3336">
        <f>SUM(DH210:DH214)</f>
        <v>97941405.329999998</v>
      </c>
      <c r="DI215" s="3336">
        <f>SUM(DI210:DI214)</f>
        <v>0</v>
      </c>
      <c r="DJ215" s="3336">
        <f>SUM(DJ210:DJ214)</f>
        <v>110329329.67</v>
      </c>
      <c r="DK215" s="3264"/>
      <c r="DO215" s="3336">
        <f>SUM(DO210:DO214)</f>
        <v>208270735</v>
      </c>
      <c r="DP215" s="3336">
        <f>SUM(DP210:DP214)</f>
        <v>97941405.329999998</v>
      </c>
      <c r="DQ215" s="3336">
        <f>SUM(DQ210:DQ214)</f>
        <v>0</v>
      </c>
      <c r="DR215" s="3336">
        <f>SUM(DR210:DR214)</f>
        <v>110329329.67</v>
      </c>
      <c r="DS215" s="3264"/>
      <c r="DW215" s="3336">
        <f>SUM(DW210:DW214)</f>
        <v>208270735</v>
      </c>
      <c r="DX215" s="3336">
        <f>SUM(DX210:DX214)</f>
        <v>97941405.329999998</v>
      </c>
      <c r="DY215" s="3336">
        <f>SUM(DY210:DY214)</f>
        <v>0</v>
      </c>
      <c r="DZ215" s="3336">
        <f>SUM(DZ210:DZ214)</f>
        <v>110329329.67</v>
      </c>
      <c r="EA215" s="3264"/>
      <c r="EE215" s="3336">
        <f>SUM(EE210:EE214)</f>
        <v>208270735</v>
      </c>
      <c r="EF215" s="3336">
        <f>SUM(EF210:EF214)</f>
        <v>97941405.329999998</v>
      </c>
      <c r="EG215" s="3336">
        <f>SUM(EG210:EG214)</f>
        <v>0</v>
      </c>
      <c r="EH215" s="3336">
        <f>SUM(EH210:EH214)</f>
        <v>110329329.67</v>
      </c>
      <c r="EI215" s="3264"/>
      <c r="EM215" s="3336">
        <f>SUM(EM210:EM214)</f>
        <v>208270735</v>
      </c>
      <c r="EN215" s="3336">
        <f>SUM(EN210:EN214)</f>
        <v>97941405.329999998</v>
      </c>
      <c r="EO215" s="3336">
        <f>SUM(EO210:EO214)</f>
        <v>0</v>
      </c>
      <c r="EP215" s="3336">
        <f>SUM(EP210:EP214)</f>
        <v>110329329.67</v>
      </c>
      <c r="EQ215" s="3264"/>
      <c r="EU215" s="3336">
        <f>SUM(EU210:EU214)</f>
        <v>208270735</v>
      </c>
      <c r="EV215" s="3336">
        <f>SUM(EV210:EV214)</f>
        <v>97941405.329999998</v>
      </c>
      <c r="EW215" s="3336">
        <f>SUM(EW210:EW214)</f>
        <v>0</v>
      </c>
      <c r="EX215" s="3336">
        <f>SUM(EX210:EX214)</f>
        <v>110329329.67</v>
      </c>
      <c r="EY215" s="3264"/>
      <c r="FC215" s="3336">
        <f>SUM(FC210:FC214)</f>
        <v>208270735</v>
      </c>
      <c r="FD215" s="3336">
        <f>SUM(FD210:FD214)</f>
        <v>97941405.329999998</v>
      </c>
      <c r="FE215" s="3336">
        <f>SUM(FE210:FE214)</f>
        <v>0</v>
      </c>
      <c r="FF215" s="3336">
        <f>SUM(FF210:FF214)</f>
        <v>110329329.67</v>
      </c>
      <c r="FG215" s="3264"/>
      <c r="FK215" s="3336">
        <f>SUM(FK210:FK214)</f>
        <v>208270735</v>
      </c>
      <c r="FL215" s="3336">
        <f>SUM(FL210:FL214)</f>
        <v>97941405.329999998</v>
      </c>
      <c r="FM215" s="3336">
        <f>SUM(FM210:FM214)</f>
        <v>0</v>
      </c>
      <c r="FN215" s="3336">
        <f>SUM(FN210:FN214)</f>
        <v>110329329.67</v>
      </c>
      <c r="FO215" s="3264"/>
    </row>
    <row r="216" spans="1:171">
      <c r="A216" s="2260"/>
      <c r="B216" s="2097"/>
      <c r="C216" s="2116"/>
      <c r="D216" s="2098"/>
      <c r="E216" s="2098"/>
      <c r="F216" s="2098"/>
      <c r="G216" s="3334"/>
      <c r="H216" s="2119"/>
      <c r="I216" s="2119"/>
      <c r="J216" s="3508"/>
      <c r="K216" s="3205"/>
      <c r="O216" s="2747"/>
      <c r="S216" s="3264"/>
      <c r="W216" s="2747"/>
      <c r="AA216" s="3264"/>
      <c r="AE216" s="2747"/>
      <c r="AI216" s="3264"/>
      <c r="AM216" s="2747"/>
      <c r="AQ216" s="3264"/>
      <c r="AU216" s="2747"/>
      <c r="AY216" s="3264"/>
      <c r="BC216" s="2747"/>
      <c r="BG216" s="3264"/>
      <c r="BK216" s="2747"/>
      <c r="BO216" s="3264"/>
      <c r="BS216" s="2747"/>
      <c r="BW216" s="3264"/>
      <c r="CA216" s="2747"/>
      <c r="CE216" s="3264"/>
      <c r="CI216" s="2747"/>
      <c r="CM216" s="3264"/>
      <c r="CQ216" s="2747"/>
      <c r="CU216" s="3264"/>
      <c r="CY216" s="2747"/>
      <c r="DC216" s="3264"/>
      <c r="DG216" s="2747"/>
      <c r="DK216" s="3264"/>
      <c r="DO216" s="2747"/>
      <c r="DS216" s="3264"/>
      <c r="DW216" s="2747"/>
      <c r="EA216" s="3264"/>
      <c r="EE216" s="2747"/>
      <c r="EI216" s="3264"/>
      <c r="EM216" s="2747"/>
      <c r="EQ216" s="3264"/>
      <c r="EU216" s="2747"/>
      <c r="EY216" s="3264"/>
      <c r="FC216" s="2747"/>
      <c r="FG216" s="3264"/>
      <c r="FK216" s="2747"/>
      <c r="FO216" s="3264"/>
    </row>
    <row r="217" spans="1:171">
      <c r="A217" s="2096" t="s">
        <v>490</v>
      </c>
      <c r="B217" s="2097"/>
      <c r="C217" s="2116"/>
      <c r="D217" s="2098"/>
      <c r="E217" s="2097"/>
      <c r="F217" s="2097"/>
      <c r="G217" s="2463"/>
      <c r="H217" s="2118"/>
      <c r="I217" s="2118"/>
      <c r="J217" s="3470"/>
      <c r="K217" s="3205"/>
      <c r="O217" s="2747"/>
      <c r="S217" s="3264"/>
      <c r="W217" s="2747"/>
      <c r="AA217" s="3264"/>
      <c r="AE217" s="2747"/>
      <c r="AI217" s="3264"/>
      <c r="AM217" s="2747"/>
      <c r="AQ217" s="3264"/>
      <c r="AU217" s="2747"/>
      <c r="AY217" s="3264"/>
      <c r="BC217" s="2747"/>
      <c r="BG217" s="3264"/>
      <c r="BK217" s="2747"/>
      <c r="BO217" s="3264"/>
      <c r="BS217" s="2747"/>
      <c r="BW217" s="3264"/>
      <c r="CA217" s="2747"/>
      <c r="CE217" s="3264"/>
      <c r="CI217" s="2747"/>
      <c r="CM217" s="3264"/>
      <c r="CQ217" s="2747"/>
      <c r="CU217" s="3264"/>
      <c r="CY217" s="2747"/>
      <c r="DC217" s="3264"/>
      <c r="DG217" s="2747"/>
      <c r="DK217" s="3264"/>
      <c r="DO217" s="2747"/>
      <c r="DS217" s="3264"/>
      <c r="DW217" s="2747"/>
      <c r="EA217" s="3264"/>
      <c r="EE217" s="2747"/>
      <c r="EI217" s="3264"/>
      <c r="EM217" s="2747"/>
      <c r="EQ217" s="3264"/>
      <c r="EU217" s="2747"/>
      <c r="EY217" s="3264"/>
      <c r="FC217" s="2747"/>
      <c r="FG217" s="3264"/>
      <c r="FK217" s="2747"/>
      <c r="FO217" s="3264"/>
    </row>
    <row r="218" spans="1:171">
      <c r="A218" s="2096"/>
      <c r="B218" s="2143" t="s">
        <v>436</v>
      </c>
      <c r="C218" s="2116"/>
      <c r="D218" s="2098"/>
      <c r="E218" s="2097"/>
      <c r="F218" s="2097"/>
      <c r="G218" s="2463"/>
      <c r="H218" s="2118"/>
      <c r="I218" s="2118"/>
      <c r="J218" s="3470"/>
      <c r="K218" s="3205"/>
      <c r="O218" s="2747"/>
      <c r="S218" s="3264"/>
      <c r="W218" s="2747"/>
      <c r="AA218" s="3264"/>
      <c r="AE218" s="2747"/>
      <c r="AI218" s="3264"/>
      <c r="AM218" s="2747"/>
      <c r="AQ218" s="3264"/>
      <c r="AU218" s="2747"/>
      <c r="AY218" s="3264"/>
      <c r="BC218" s="2747"/>
      <c r="BG218" s="3264"/>
      <c r="BK218" s="2747"/>
      <c r="BO218" s="3264"/>
      <c r="BS218" s="2747"/>
      <c r="BW218" s="3264"/>
      <c r="CA218" s="2747"/>
      <c r="CE218" s="3264"/>
      <c r="CI218" s="2747"/>
      <c r="CM218" s="3264"/>
      <c r="CQ218" s="2747"/>
      <c r="CU218" s="3264"/>
      <c r="CY218" s="2747"/>
      <c r="DC218" s="3264"/>
      <c r="DG218" s="2747"/>
      <c r="DK218" s="3264"/>
      <c r="DO218" s="2747"/>
      <c r="DS218" s="3264"/>
      <c r="DW218" s="2747"/>
      <c r="EA218" s="3264"/>
      <c r="EE218" s="2747"/>
      <c r="EI218" s="3264"/>
      <c r="EM218" s="2747"/>
      <c r="EQ218" s="3264"/>
      <c r="EU218" s="2747"/>
      <c r="EY218" s="3264"/>
      <c r="FC218" s="2747"/>
      <c r="FG218" s="3264"/>
      <c r="FK218" s="2747"/>
      <c r="FO218" s="3264"/>
    </row>
    <row r="219" spans="1:171">
      <c r="A219" s="2092"/>
      <c r="B219" s="2185" t="s">
        <v>163</v>
      </c>
      <c r="C219" s="2464" t="s">
        <v>72</v>
      </c>
      <c r="D219" s="2464">
        <v>920</v>
      </c>
      <c r="E219" s="2424" t="str">
        <f>'Sch 3 - Expenses'!E59</f>
        <v>LABOR</v>
      </c>
      <c r="F219" s="2171"/>
      <c r="G219" s="2424">
        <f>'Sch 3 - Expenses'!G59</f>
        <v>78570677</v>
      </c>
      <c r="H219" s="2424">
        <f>'Sch 3 - Expenses'!H59</f>
        <v>26700683.57674123</v>
      </c>
      <c r="I219" s="2424">
        <f>'Sch 3 - Expenses'!I59</f>
        <v>0</v>
      </c>
      <c r="J219" s="3465">
        <f>'Sch 3 - Expenses'!J59</f>
        <v>51869993.423258774</v>
      </c>
      <c r="K219" s="3205">
        <f t="shared" ref="K219:K234" si="548">IF($E219="DIRECT",0,1)</f>
        <v>1</v>
      </c>
      <c r="O219" s="3235">
        <f t="shared" ref="O219:O232" si="549">$G219</f>
        <v>78570677</v>
      </c>
      <c r="P219" s="3236">
        <f t="shared" ref="P219:P234" si="550">VLOOKUP($E219,O$442:R$453,2,FALSE)*O219*($K219)+IF($G219&lt;&gt;0,($H219/$G219)*O219,0)*(1-$K219)</f>
        <v>26700683.57674123</v>
      </c>
      <c r="Q219" s="3236">
        <f t="shared" ref="Q219:Q234" si="551">VLOOKUP($E219,O$442:R$453,3,FALSE)*O219*($K219)+IF($G219&lt;&gt;0,($I219/$G219)*O219,0)*(1-$K219)</f>
        <v>4263717.9788232679</v>
      </c>
      <c r="R219" s="3236">
        <f t="shared" ref="R219:R234" si="552">VLOOKUP($E219,O$442:R$453,4,FALSE)*O219*($K219)+(O219-P219-Q219)*(1-$K219)</f>
        <v>47606275.444435507</v>
      </c>
      <c r="S219" s="3264"/>
      <c r="W219" s="3235">
        <f t="shared" ref="W219:W232" si="553">$G219</f>
        <v>78570677</v>
      </c>
      <c r="X219" s="3236">
        <f t="shared" ref="X219:X232" si="554">VLOOKUP($E219,W$442:Z$453,2,FALSE)*W219*($K219)+IF($G219&lt;&gt;0,($H219/$G219)*W219,0)*(1-$K219)</f>
        <v>26700683.57674123</v>
      </c>
      <c r="Y219" s="3236">
        <f t="shared" ref="Y219:Y232" si="555">VLOOKUP($E219,W$442:Z$453,3,FALSE)*W219*($K219)+IF($G219&lt;&gt;0,($I219/$G219)*W219,0)*(1-$K219)</f>
        <v>4263717.9788232679</v>
      </c>
      <c r="Z219" s="3236">
        <f t="shared" ref="Z219:Z232" si="556">VLOOKUP($E219,W$442:Z$453,4,FALSE)*W219*($K219)+(W219-X219-Y219)*(1-$K219)</f>
        <v>47606275.444435507</v>
      </c>
      <c r="AA219" s="3264"/>
      <c r="AE219" s="3235">
        <f t="shared" ref="AE219:AE232" si="557">$G219</f>
        <v>78570677</v>
      </c>
      <c r="AF219" s="3236">
        <f t="shared" ref="AF219:AF232" si="558">VLOOKUP($E219,AE$442:AH$453,2,FALSE)*AE219*($K219)+IF($G219&lt;&gt;0,($H219/$G219)*AE219,0)*(1-$K219)</f>
        <v>26700683.57674123</v>
      </c>
      <c r="AG219" s="3236">
        <f t="shared" ref="AG219:AG232" si="559">VLOOKUP($E219,AE$442:AH$453,3,FALSE)*AE219*($K219)+IF($G219&lt;&gt;0,($I219/$G219)*AE219,0)*(1-$K219)</f>
        <v>4263717.9788232679</v>
      </c>
      <c r="AH219" s="3236">
        <f t="shared" ref="AH219:AH232" si="560">VLOOKUP($E219,AE$442:AH$453,4,FALSE)*AE219*($K219)+(AE219-AF219-AG219)*(1-$K219)</f>
        <v>47606275.444435507</v>
      </c>
      <c r="AI219" s="3264"/>
      <c r="AM219" s="3235">
        <f t="shared" ref="AM219:AM232" si="561">$G219</f>
        <v>78570677</v>
      </c>
      <c r="AN219" s="3236">
        <f t="shared" ref="AN219:AN232" si="562">VLOOKUP($E219,AM$442:AP$453,2,FALSE)*AM219*($K219)+IF($G219&lt;&gt;0,($H219/$G219)*AM219,0)*(1-$K219)</f>
        <v>26700683.57674123</v>
      </c>
      <c r="AO219" s="3236">
        <f t="shared" ref="AO219:AO232" si="563">VLOOKUP($E219,AM$442:AP$453,3,FALSE)*AM219*($K219)+IF($G219&lt;&gt;0,($I219/$G219)*AM219,0)*(1-$K219)</f>
        <v>4263717.9788232679</v>
      </c>
      <c r="AP219" s="3236">
        <f t="shared" ref="AP219:AP232" si="564">VLOOKUP($E219,AM$442:AP$453,4,FALSE)*AM219*($K219)+(AM219-AN219-AO219)*(1-$K219)</f>
        <v>47606275.444435507</v>
      </c>
      <c r="AQ219" s="3264"/>
      <c r="AU219" s="3235">
        <f t="shared" ref="AU219:AU232" si="565">$G219</f>
        <v>78570677</v>
      </c>
      <c r="AV219" s="3236">
        <f t="shared" ref="AV219:AV232" si="566">VLOOKUP($E219,AU$442:AX$453,2,FALSE)*AU219*($K219)+IF($G219&lt;&gt;0,($H219/$G219)*AU219,0)*(1-$K219)</f>
        <v>26700683.57674123</v>
      </c>
      <c r="AW219" s="3236">
        <f t="shared" ref="AW219:AW232" si="567">VLOOKUP($E219,AU$442:AX$453,3,FALSE)*AU219*($K219)+IF($G219&lt;&gt;0,($I219/$G219)*AU219,0)*(1-$K219)</f>
        <v>4263717.9788232679</v>
      </c>
      <c r="AX219" s="3236">
        <f t="shared" ref="AX219:AX232" si="568">VLOOKUP($E219,AU$442:AX$453,4,FALSE)*AU219*($K219)+(AU219-AV219-AW219)*(1-$K219)</f>
        <v>47606275.444435507</v>
      </c>
      <c r="AY219" s="3264"/>
      <c r="BC219" s="3235">
        <f t="shared" ref="BC219:BC232" si="569">$G219</f>
        <v>78570677</v>
      </c>
      <c r="BD219" s="3236">
        <f t="shared" ref="BD219:BD232" si="570">VLOOKUP($E219,BC$442:BF$453,2,FALSE)*BC219*($K219)+IF($G219&lt;&gt;0,($H219/$G219)*BC219,0)*(1-$K219)</f>
        <v>26700683.57674123</v>
      </c>
      <c r="BE219" s="3236">
        <f t="shared" ref="BE219:BE232" si="571">VLOOKUP($E219,BC$442:BF$453,3,FALSE)*BC219*($K219)+IF($G219&lt;&gt;0,($I219/$G219)*BC219,0)*(1-$K219)</f>
        <v>4263717.9788232679</v>
      </c>
      <c r="BF219" s="3236">
        <f t="shared" ref="BF219:BF232" si="572">VLOOKUP($E219,BC$442:BF$453,4,FALSE)*BC219*($K219)+(BC219-BD219-BE219)*(1-$K219)</f>
        <v>47606275.444435507</v>
      </c>
      <c r="BG219" s="3264"/>
      <c r="BK219" s="3235">
        <f t="shared" ref="BK219:BK232" si="573">$G219</f>
        <v>78570677</v>
      </c>
      <c r="BL219" s="3236">
        <f t="shared" ref="BL219:BL232" si="574">VLOOKUP($E219,BK$442:BN$453,2,FALSE)*BK219*($K219)+IF($G219&lt;&gt;0,($H219/$G219)*BK219,0)*(1-$K219)</f>
        <v>26700683.57674123</v>
      </c>
      <c r="BM219" s="3236">
        <f t="shared" ref="BM219:BM232" si="575">VLOOKUP($E219,BK$442:BN$453,3,FALSE)*BK219*($K219)+IF($G219&lt;&gt;0,($I219/$G219)*BK219,0)*(1-$K219)</f>
        <v>4263717.9788232679</v>
      </c>
      <c r="BN219" s="3236">
        <f t="shared" ref="BN219:BN232" si="576">VLOOKUP($E219,BK$442:BN$453,4,FALSE)*BK219*($K219)+(BK219-BL219-BM219)*(1-$K219)</f>
        <v>47606275.444435507</v>
      </c>
      <c r="BO219" s="3264"/>
      <c r="BS219" s="3235">
        <f t="shared" ref="BS219:BS232" si="577">$G219</f>
        <v>78570677</v>
      </c>
      <c r="BT219" s="3236">
        <f t="shared" ref="BT219:BT232" si="578">VLOOKUP($E219,BS$442:BV$453,2,FALSE)*BS219*($K219)+IF($G219&lt;&gt;0,($H219/$G219)*BS219,0)*(1-$K219)</f>
        <v>26700683.57674123</v>
      </c>
      <c r="BU219" s="3236">
        <f t="shared" ref="BU219:BU232" si="579">VLOOKUP($E219,BS$442:BV$453,3,FALSE)*BS219*($K219)+IF($G219&lt;&gt;0,($I219/$G219)*BS219,0)*(1-$K219)</f>
        <v>4263717.9788232679</v>
      </c>
      <c r="BV219" s="3236">
        <f t="shared" ref="BV219:BV232" si="580">VLOOKUP($E219,BS$442:BV$453,4,FALSE)*BS219*($K219)+(BS219-BT219-BU219)*(1-$K219)</f>
        <v>47606275.444435507</v>
      </c>
      <c r="BW219" s="3264"/>
      <c r="CA219" s="3235">
        <f t="shared" ref="CA219:CA232" si="581">$G219</f>
        <v>78570677</v>
      </c>
      <c r="CB219" s="3236">
        <f t="shared" ref="CB219:CB232" si="582">VLOOKUP($E219,CA$442:CD$453,2,FALSE)*CA219*($K219)+IF($G219&lt;&gt;0,($H219/$G219)*CA219,0)*(1-$K219)</f>
        <v>26700683.57674123</v>
      </c>
      <c r="CC219" s="3236">
        <f t="shared" ref="CC219:CC232" si="583">VLOOKUP($E219,CA$442:CD$453,3,FALSE)*CA219*($K219)+IF($G219&lt;&gt;0,($I219/$G219)*CA219,0)*(1-$K219)</f>
        <v>4263717.9788232679</v>
      </c>
      <c r="CD219" s="3236">
        <f t="shared" ref="CD219:CD232" si="584">VLOOKUP($E219,CA$442:CD$453,4,FALSE)*CA219*($K219)+(CA219-CB219-CC219)*(1-$K219)</f>
        <v>47606275.444435507</v>
      </c>
      <c r="CE219" s="3264"/>
      <c r="CI219" s="3235">
        <f t="shared" ref="CI219:CI232" si="585">$G219</f>
        <v>78570677</v>
      </c>
      <c r="CJ219" s="3236">
        <f t="shared" ref="CJ219:CJ232" si="586">VLOOKUP($E219,CI$442:CL$453,2,FALSE)*CI219*($K219)+IF($G219&lt;&gt;0,($H219/$G219)*CI219,0)*(1-$K219)</f>
        <v>26700683.57674123</v>
      </c>
      <c r="CK219" s="3236">
        <f t="shared" ref="CK219:CK232" si="587">VLOOKUP($E219,CI$442:CL$453,3,FALSE)*CI219*($K219)+IF($G219&lt;&gt;0,($I219/$G219)*CI219,0)*(1-$K219)</f>
        <v>4263717.9788232679</v>
      </c>
      <c r="CL219" s="3236">
        <f t="shared" ref="CL219:CL232" si="588">VLOOKUP($E219,CI$442:CL$453,4,FALSE)*CI219*($K219)+(CI219-CJ219-CK219)*(1-$K219)</f>
        <v>47606275.444435507</v>
      </c>
      <c r="CM219" s="3264"/>
      <c r="CQ219" s="3235">
        <f t="shared" ref="CQ219:CQ232" si="589">$G219</f>
        <v>78570677</v>
      </c>
      <c r="CR219" s="3236">
        <f t="shared" ref="CR219:CR232" si="590">VLOOKUP($E219,CQ$442:CT$453,2,FALSE)*CQ219*($K219)+IF($G219&lt;&gt;0,($H219/$G219)*CQ219,0)*(1-$K219)</f>
        <v>26700683.57674123</v>
      </c>
      <c r="CS219" s="3236">
        <f t="shared" ref="CS219:CS232" si="591">VLOOKUP($E219,CQ$442:CT$453,3,FALSE)*CQ219*($K219)+IF($G219&lt;&gt;0,($I219/$G219)*CQ219,0)*(1-$K219)</f>
        <v>4263717.9788232679</v>
      </c>
      <c r="CT219" s="3236">
        <f t="shared" ref="CT219:CT232" si="592">VLOOKUP($E219,CQ$442:CT$453,4,FALSE)*CQ219*($K219)+(CQ219-CR219-CS219)*(1-$K219)</f>
        <v>47606275.444435507</v>
      </c>
      <c r="CU219" s="3264"/>
      <c r="CY219" s="3235">
        <f t="shared" ref="CY219:CY232" si="593">$G219</f>
        <v>78570677</v>
      </c>
      <c r="CZ219" s="3236">
        <f t="shared" ref="CZ219:CZ232" si="594">VLOOKUP($E219,CY$442:DB$453,2,FALSE)*CY219*($K219)+IF($G219&lt;&gt;0,($H219/$G219)*CY219,0)*(1-$K219)</f>
        <v>26700683.57674123</v>
      </c>
      <c r="DA219" s="3236">
        <f t="shared" ref="DA219:DA232" si="595">VLOOKUP($E219,CY$442:DB$453,3,FALSE)*CY219*($K219)+IF($G219&lt;&gt;0,($I219/$G219)*CY219,0)*(1-$K219)</f>
        <v>4263717.9788232679</v>
      </c>
      <c r="DB219" s="3236">
        <f t="shared" ref="DB219:DB232" si="596">VLOOKUP($E219,CY$442:DB$453,4,FALSE)*CY219*($K219)+(CY219-CZ219-DA219)*(1-$K219)</f>
        <v>47606275.444435507</v>
      </c>
      <c r="DC219" s="3264"/>
      <c r="DG219" s="3235">
        <f t="shared" ref="DG219:DG232" si="597">$G219</f>
        <v>78570677</v>
      </c>
      <c r="DH219" s="3236">
        <f t="shared" ref="DH219:DH232" si="598">VLOOKUP($E219,DG$442:DJ$453,2,FALSE)*DG219*($K219)+IF($G219&lt;&gt;0,($H219/$G219)*DG219,0)*(1-$K219)</f>
        <v>26700683.57674123</v>
      </c>
      <c r="DI219" s="3236">
        <f t="shared" ref="DI219:DI232" si="599">VLOOKUP($E219,DG$442:DJ$453,3,FALSE)*DG219*($K219)+IF($G219&lt;&gt;0,($I219/$G219)*DG219,0)*(1-$K219)</f>
        <v>4263717.9788232679</v>
      </c>
      <c r="DJ219" s="3236">
        <f t="shared" ref="DJ219:DJ232" si="600">VLOOKUP($E219,DG$442:DJ$453,4,FALSE)*DG219*($K219)+(DG219-DH219-DI219)*(1-$K219)</f>
        <v>47606275.444435507</v>
      </c>
      <c r="DK219" s="3264"/>
      <c r="DO219" s="3235">
        <f t="shared" ref="DO219:DO232" si="601">$G219</f>
        <v>78570677</v>
      </c>
      <c r="DP219" s="3236">
        <f t="shared" ref="DP219:DP232" si="602">VLOOKUP($E219,DO$442:DR$453,2,FALSE)*DO219*($K219)+IF($G219&lt;&gt;0,($H219/$G219)*DO219,0)*(1-$K219)</f>
        <v>26700683.57674123</v>
      </c>
      <c r="DQ219" s="3236">
        <f t="shared" ref="DQ219:DQ232" si="603">VLOOKUP($E219,DO$442:DR$453,3,FALSE)*DO219*($K219)+IF($G219&lt;&gt;0,($I219/$G219)*DO219,0)*(1-$K219)</f>
        <v>4263717.9788232679</v>
      </c>
      <c r="DR219" s="3236">
        <f t="shared" ref="DR219:DR232" si="604">VLOOKUP($E219,DO$442:DR$453,4,FALSE)*DO219*($K219)+(DO219-DP219-DQ219)*(1-$K219)</f>
        <v>47606275.444435507</v>
      </c>
      <c r="DS219" s="3264"/>
      <c r="DW219" s="3235">
        <f t="shared" ref="DW219:DW232" si="605">$G219</f>
        <v>78570677</v>
      </c>
      <c r="DX219" s="3236">
        <f t="shared" ref="DX219:DX232" si="606">VLOOKUP($E219,DW$442:DZ$453,2,FALSE)*DW219*($K219)+IF($G219&lt;&gt;0,($H219/$G219)*DW219,0)*(1-$K219)</f>
        <v>26700683.57674123</v>
      </c>
      <c r="DY219" s="3236">
        <f t="shared" ref="DY219:DY232" si="607">VLOOKUP($E219,DW$442:DZ$453,3,FALSE)*DW219*($K219)+IF($G219&lt;&gt;0,($I219/$G219)*DW219,0)*(1-$K219)</f>
        <v>4263717.9788232679</v>
      </c>
      <c r="DZ219" s="3236">
        <f t="shared" ref="DZ219:DZ232" si="608">VLOOKUP($E219,DW$442:DZ$453,4,FALSE)*DW219*($K219)+(DW219-DX219-DY219)*(1-$K219)</f>
        <v>47606275.444435507</v>
      </c>
      <c r="EA219" s="3264"/>
      <c r="EE219" s="3235">
        <f t="shared" ref="EE219:EE232" si="609">$G219</f>
        <v>78570677</v>
      </c>
      <c r="EF219" s="3236">
        <f t="shared" ref="EF219:EF232" si="610">VLOOKUP($E219,EE$442:EH$453,2,FALSE)*EE219*($K219)+IF($G219&lt;&gt;0,($H219/$G219)*EE219,0)*(1-$K219)</f>
        <v>26700683.57674123</v>
      </c>
      <c r="EG219" s="3236">
        <f t="shared" ref="EG219:EG232" si="611">VLOOKUP($E219,EE$442:EH$453,3,FALSE)*EE219*($K219)+IF($G219&lt;&gt;0,($I219/$G219)*EE219,0)*(1-$K219)</f>
        <v>4263717.9788232679</v>
      </c>
      <c r="EH219" s="3236">
        <f t="shared" ref="EH219:EH232" si="612">VLOOKUP($E219,EE$442:EH$453,4,FALSE)*EE219*($K219)+(EE219-EF219-EG219)*(1-$K219)</f>
        <v>47606275.444435507</v>
      </c>
      <c r="EI219" s="3264"/>
      <c r="EM219" s="3235">
        <f t="shared" ref="EM219:EM232" si="613">$G219</f>
        <v>78570677</v>
      </c>
      <c r="EN219" s="3236">
        <f t="shared" ref="EN219:EN232" si="614">VLOOKUP($E219,EM$442:EP$453,2,FALSE)*EM219*($K219)+IF($G219&lt;&gt;0,($H219/$G219)*EM219,0)*(1-$K219)</f>
        <v>26700683.57674123</v>
      </c>
      <c r="EO219" s="3236">
        <f t="shared" ref="EO219:EO232" si="615">VLOOKUP($E219,EM$442:EP$453,3,FALSE)*EM219*($K219)+IF($G219&lt;&gt;0,($I219/$G219)*EM219,0)*(1-$K219)</f>
        <v>4263717.9788232679</v>
      </c>
      <c r="EP219" s="3236">
        <f t="shared" ref="EP219:EP232" si="616">VLOOKUP($E219,EM$442:EP$453,4,FALSE)*EM219*($K219)+(EM219-EN219-EO219)*(1-$K219)</f>
        <v>47606275.444435507</v>
      </c>
      <c r="EQ219" s="3264"/>
      <c r="EU219" s="3235">
        <f t="shared" ref="EU219:EU232" si="617">$G219</f>
        <v>78570677</v>
      </c>
      <c r="EV219" s="3236">
        <f t="shared" ref="EV219:EV232" si="618">VLOOKUP($E219,EU$442:EX$453,2,FALSE)*EU219*($K219)+IF($G219&lt;&gt;0,($H219/$G219)*EU219,0)*(1-$K219)</f>
        <v>26700683.57674123</v>
      </c>
      <c r="EW219" s="3236">
        <f t="shared" ref="EW219:EW232" si="619">VLOOKUP($E219,EU$442:EX$453,3,FALSE)*EU219*($K219)+IF($G219&lt;&gt;0,($I219/$G219)*EU219,0)*(1-$K219)</f>
        <v>4263717.9788232679</v>
      </c>
      <c r="EX219" s="3236">
        <f t="shared" ref="EX219:EX232" si="620">VLOOKUP($E219,EU$442:EX$453,4,FALSE)*EU219*($K219)+(EU219-EV219-EW219)*(1-$K219)</f>
        <v>47606275.444435507</v>
      </c>
      <c r="EY219" s="3264"/>
      <c r="FC219" s="3235">
        <f t="shared" ref="FC219:FC232" si="621">$G219</f>
        <v>78570677</v>
      </c>
      <c r="FD219" s="3236">
        <f t="shared" ref="FD219:FD232" si="622">VLOOKUP($E219,FC$442:FF$453,2,FALSE)*FC219*($K219)+IF($G219&lt;&gt;0,($H219/$G219)*FC219,0)*(1-$K219)</f>
        <v>26700683.57674123</v>
      </c>
      <c r="FE219" s="3236">
        <f t="shared" ref="FE219:FE232" si="623">VLOOKUP($E219,FC$442:FF$453,3,FALSE)*FC219*($K219)+IF($G219&lt;&gt;0,($I219/$G219)*FC219,0)*(1-$K219)</f>
        <v>4263717.9788232679</v>
      </c>
      <c r="FF219" s="3236">
        <f t="shared" ref="FF219:FF232" si="624">VLOOKUP($E219,FC$442:FF$453,4,FALSE)*FC219*($K219)+(FC219-FD219-FE219)*(1-$K219)</f>
        <v>47606275.444435507</v>
      </c>
      <c r="FG219" s="3264"/>
      <c r="FK219" s="3235">
        <f t="shared" ref="FK219:FK232" si="625">$G219</f>
        <v>78570677</v>
      </c>
      <c r="FL219" s="3236">
        <f t="shared" ref="FL219:FL232" si="626">VLOOKUP($E219,FK$442:FN$453,2,FALSE)*FK219*($K219)+IF($G219&lt;&gt;0,($H219/$G219)*FK219,0)*(1-$K219)</f>
        <v>26700683.57674123</v>
      </c>
      <c r="FM219" s="3236">
        <f t="shared" ref="FM219:FM232" si="627">VLOOKUP($E219,FK$442:FN$453,3,FALSE)*FK219*($K219)+IF($G219&lt;&gt;0,($I219/$G219)*FK219,0)*(1-$K219)</f>
        <v>4263717.9788232679</v>
      </c>
      <c r="FN219" s="3236">
        <f t="shared" ref="FN219:FN232" si="628">VLOOKUP($E219,FK$442:FN$453,4,FALSE)*FK219*($K219)+(FK219-FL219-FM219)*(1-$K219)</f>
        <v>47606275.444435507</v>
      </c>
      <c r="FO219" s="3264"/>
    </row>
    <row r="220" spans="1:171">
      <c r="A220" s="2092"/>
      <c r="B220" s="2185" t="s">
        <v>164</v>
      </c>
      <c r="C220" s="2464" t="s">
        <v>72</v>
      </c>
      <c r="D220" s="2464">
        <v>921</v>
      </c>
      <c r="E220" s="2424" t="str">
        <f>'Sch 3 - Expenses'!E60</f>
        <v>LABOR</v>
      </c>
      <c r="F220" s="2171"/>
      <c r="G220" s="2424">
        <f>'Sch 3 - Expenses'!G60</f>
        <v>7463412</v>
      </c>
      <c r="H220" s="2424">
        <f>'Sch 3 - Expenses'!H60</f>
        <v>2536292.2889776477</v>
      </c>
      <c r="I220" s="2424">
        <f>'Sch 3 - Expenses'!I60</f>
        <v>0</v>
      </c>
      <c r="J220" s="3465">
        <f>'Sch 3 - Expenses'!J60</f>
        <v>4927119.7110223528</v>
      </c>
      <c r="K220" s="3205">
        <f t="shared" si="548"/>
        <v>1</v>
      </c>
      <c r="O220" s="3235">
        <f t="shared" si="549"/>
        <v>7463412</v>
      </c>
      <c r="P220" s="3236">
        <f t="shared" si="550"/>
        <v>2536292.2889776477</v>
      </c>
      <c r="Q220" s="3236">
        <f t="shared" si="551"/>
        <v>405009.66954587045</v>
      </c>
      <c r="R220" s="3236">
        <f t="shared" si="552"/>
        <v>4522110.0414764825</v>
      </c>
      <c r="S220" s="3264"/>
      <c r="W220" s="3235">
        <f t="shared" si="553"/>
        <v>7463412</v>
      </c>
      <c r="X220" s="3236">
        <f t="shared" si="554"/>
        <v>2536292.2889776477</v>
      </c>
      <c r="Y220" s="3236">
        <f t="shared" si="555"/>
        <v>405009.66954587045</v>
      </c>
      <c r="Z220" s="3236">
        <f t="shared" si="556"/>
        <v>4522110.0414764825</v>
      </c>
      <c r="AA220" s="3264"/>
      <c r="AE220" s="3235">
        <f t="shared" si="557"/>
        <v>7463412</v>
      </c>
      <c r="AF220" s="3236">
        <f t="shared" si="558"/>
        <v>2536292.2889776477</v>
      </c>
      <c r="AG220" s="3236">
        <f t="shared" si="559"/>
        <v>405009.66954587045</v>
      </c>
      <c r="AH220" s="3236">
        <f t="shared" si="560"/>
        <v>4522110.0414764825</v>
      </c>
      <c r="AI220" s="3264"/>
      <c r="AM220" s="3235">
        <f t="shared" si="561"/>
        <v>7463412</v>
      </c>
      <c r="AN220" s="3236">
        <f t="shared" si="562"/>
        <v>2536292.2889776477</v>
      </c>
      <c r="AO220" s="3236">
        <f t="shared" si="563"/>
        <v>405009.66954587045</v>
      </c>
      <c r="AP220" s="3236">
        <f t="shared" si="564"/>
        <v>4522110.0414764825</v>
      </c>
      <c r="AQ220" s="3264"/>
      <c r="AU220" s="3235">
        <f t="shared" si="565"/>
        <v>7463412</v>
      </c>
      <c r="AV220" s="3236">
        <f t="shared" si="566"/>
        <v>2536292.2889776477</v>
      </c>
      <c r="AW220" s="3236">
        <f t="shared" si="567"/>
        <v>405009.66954587045</v>
      </c>
      <c r="AX220" s="3236">
        <f t="shared" si="568"/>
        <v>4522110.0414764825</v>
      </c>
      <c r="AY220" s="3264"/>
      <c r="BC220" s="3235">
        <f t="shared" si="569"/>
        <v>7463412</v>
      </c>
      <c r="BD220" s="3236">
        <f t="shared" si="570"/>
        <v>2536292.2889776477</v>
      </c>
      <c r="BE220" s="3236">
        <f t="shared" si="571"/>
        <v>405009.66954587045</v>
      </c>
      <c r="BF220" s="3236">
        <f t="shared" si="572"/>
        <v>4522110.0414764825</v>
      </c>
      <c r="BG220" s="3264"/>
      <c r="BK220" s="3235">
        <f t="shared" si="573"/>
        <v>7463412</v>
      </c>
      <c r="BL220" s="3236">
        <f t="shared" si="574"/>
        <v>2536292.2889776477</v>
      </c>
      <c r="BM220" s="3236">
        <f t="shared" si="575"/>
        <v>405009.66954587045</v>
      </c>
      <c r="BN220" s="3236">
        <f t="shared" si="576"/>
        <v>4522110.0414764825</v>
      </c>
      <c r="BO220" s="3264"/>
      <c r="BS220" s="3235">
        <f t="shared" si="577"/>
        <v>7463412</v>
      </c>
      <c r="BT220" s="3236">
        <f t="shared" si="578"/>
        <v>2536292.2889776477</v>
      </c>
      <c r="BU220" s="3236">
        <f t="shared" si="579"/>
        <v>405009.66954587045</v>
      </c>
      <c r="BV220" s="3236">
        <f t="shared" si="580"/>
        <v>4522110.0414764825</v>
      </c>
      <c r="BW220" s="3264"/>
      <c r="CA220" s="3235">
        <f t="shared" si="581"/>
        <v>7463412</v>
      </c>
      <c r="CB220" s="3236">
        <f t="shared" si="582"/>
        <v>2536292.2889776477</v>
      </c>
      <c r="CC220" s="3236">
        <f t="shared" si="583"/>
        <v>405009.66954587045</v>
      </c>
      <c r="CD220" s="3236">
        <f t="shared" si="584"/>
        <v>4522110.0414764825</v>
      </c>
      <c r="CE220" s="3264"/>
      <c r="CI220" s="3235">
        <f t="shared" si="585"/>
        <v>7463412</v>
      </c>
      <c r="CJ220" s="3236">
        <f t="shared" si="586"/>
        <v>2536292.2889776477</v>
      </c>
      <c r="CK220" s="3236">
        <f t="shared" si="587"/>
        <v>405009.66954587045</v>
      </c>
      <c r="CL220" s="3236">
        <f t="shared" si="588"/>
        <v>4522110.0414764825</v>
      </c>
      <c r="CM220" s="3264"/>
      <c r="CQ220" s="3235">
        <f t="shared" si="589"/>
        <v>7463412</v>
      </c>
      <c r="CR220" s="3236">
        <f t="shared" si="590"/>
        <v>2536292.2889776477</v>
      </c>
      <c r="CS220" s="3236">
        <f t="shared" si="591"/>
        <v>405009.66954587045</v>
      </c>
      <c r="CT220" s="3236">
        <f t="shared" si="592"/>
        <v>4522110.0414764825</v>
      </c>
      <c r="CU220" s="3264"/>
      <c r="CY220" s="3235">
        <f t="shared" si="593"/>
        <v>7463412</v>
      </c>
      <c r="CZ220" s="3236">
        <f t="shared" si="594"/>
        <v>2536292.2889776477</v>
      </c>
      <c r="DA220" s="3236">
        <f t="shared" si="595"/>
        <v>405009.66954587045</v>
      </c>
      <c r="DB220" s="3236">
        <f t="shared" si="596"/>
        <v>4522110.0414764825</v>
      </c>
      <c r="DC220" s="3264"/>
      <c r="DG220" s="3235">
        <f t="shared" si="597"/>
        <v>7463412</v>
      </c>
      <c r="DH220" s="3236">
        <f t="shared" si="598"/>
        <v>2536292.2889776477</v>
      </c>
      <c r="DI220" s="3236">
        <f t="shared" si="599"/>
        <v>405009.66954587045</v>
      </c>
      <c r="DJ220" s="3236">
        <f t="shared" si="600"/>
        <v>4522110.0414764825</v>
      </c>
      <c r="DK220" s="3264"/>
      <c r="DO220" s="3235">
        <f t="shared" si="601"/>
        <v>7463412</v>
      </c>
      <c r="DP220" s="3236">
        <f t="shared" si="602"/>
        <v>2536292.2889776477</v>
      </c>
      <c r="DQ220" s="3236">
        <f t="shared" si="603"/>
        <v>405009.66954587045</v>
      </c>
      <c r="DR220" s="3236">
        <f t="shared" si="604"/>
        <v>4522110.0414764825</v>
      </c>
      <c r="DS220" s="3264"/>
      <c r="DW220" s="3235">
        <f t="shared" si="605"/>
        <v>7463412</v>
      </c>
      <c r="DX220" s="3236">
        <f t="shared" si="606"/>
        <v>2536292.2889776477</v>
      </c>
      <c r="DY220" s="3236">
        <f t="shared" si="607"/>
        <v>405009.66954587045</v>
      </c>
      <c r="DZ220" s="3236">
        <f t="shared" si="608"/>
        <v>4522110.0414764825</v>
      </c>
      <c r="EA220" s="3264"/>
      <c r="EE220" s="3235">
        <f t="shared" si="609"/>
        <v>7463412</v>
      </c>
      <c r="EF220" s="3236">
        <f t="shared" si="610"/>
        <v>2536292.2889776477</v>
      </c>
      <c r="EG220" s="3236">
        <f t="shared" si="611"/>
        <v>405009.66954587045</v>
      </c>
      <c r="EH220" s="3236">
        <f t="shared" si="612"/>
        <v>4522110.0414764825</v>
      </c>
      <c r="EI220" s="3264"/>
      <c r="EM220" s="3235">
        <f t="shared" si="613"/>
        <v>7463412</v>
      </c>
      <c r="EN220" s="3236">
        <f t="shared" si="614"/>
        <v>2536292.2889776477</v>
      </c>
      <c r="EO220" s="3236">
        <f t="shared" si="615"/>
        <v>405009.66954587045</v>
      </c>
      <c r="EP220" s="3236">
        <f t="shared" si="616"/>
        <v>4522110.0414764825</v>
      </c>
      <c r="EQ220" s="3264"/>
      <c r="EU220" s="3235">
        <f t="shared" si="617"/>
        <v>7463412</v>
      </c>
      <c r="EV220" s="3236">
        <f t="shared" si="618"/>
        <v>2536292.2889776477</v>
      </c>
      <c r="EW220" s="3236">
        <f t="shared" si="619"/>
        <v>405009.66954587045</v>
      </c>
      <c r="EX220" s="3236">
        <f t="shared" si="620"/>
        <v>4522110.0414764825</v>
      </c>
      <c r="EY220" s="3264"/>
      <c r="FC220" s="3235">
        <f t="shared" si="621"/>
        <v>7463412</v>
      </c>
      <c r="FD220" s="3236">
        <f t="shared" si="622"/>
        <v>2536292.2889776477</v>
      </c>
      <c r="FE220" s="3236">
        <f t="shared" si="623"/>
        <v>405009.66954587045</v>
      </c>
      <c r="FF220" s="3236">
        <f t="shared" si="624"/>
        <v>4522110.0414764825</v>
      </c>
      <c r="FG220" s="3264"/>
      <c r="FK220" s="3235">
        <f t="shared" si="625"/>
        <v>7463412</v>
      </c>
      <c r="FL220" s="3236">
        <f t="shared" si="626"/>
        <v>2536292.2889776477</v>
      </c>
      <c r="FM220" s="3236">
        <f t="shared" si="627"/>
        <v>405009.66954587045</v>
      </c>
      <c r="FN220" s="3236">
        <f t="shared" si="628"/>
        <v>4522110.0414764825</v>
      </c>
      <c r="FO220" s="3264"/>
    </row>
    <row r="221" spans="1:171">
      <c r="A221" s="2092"/>
      <c r="B221" s="2185" t="s">
        <v>165</v>
      </c>
      <c r="C221" s="2464" t="s">
        <v>72</v>
      </c>
      <c r="D221" s="2464">
        <v>922</v>
      </c>
      <c r="E221" s="2424" t="str">
        <f>'Sch 3 - Expenses'!E61</f>
        <v>LABOR</v>
      </c>
      <c r="F221" s="2171"/>
      <c r="G221" s="2424">
        <f>'Sch 3 - Expenses'!G61</f>
        <v>32365661</v>
      </c>
      <c r="H221" s="2424">
        <f>'Sch 3 - Expenses'!H61</f>
        <v>10998826.866581207</v>
      </c>
      <c r="I221" s="2424">
        <f>'Sch 3 - Expenses'!I61</f>
        <v>0</v>
      </c>
      <c r="J221" s="3465">
        <f>'Sch 3 - Expenses'!J61</f>
        <v>21366834.133418795</v>
      </c>
      <c r="K221" s="3205">
        <f t="shared" si="548"/>
        <v>1</v>
      </c>
      <c r="O221" s="3235">
        <f t="shared" si="549"/>
        <v>32365661</v>
      </c>
      <c r="P221" s="3236">
        <f t="shared" si="550"/>
        <v>10998826.866581207</v>
      </c>
      <c r="Q221" s="3236">
        <f t="shared" si="551"/>
        <v>1756355.6274588173</v>
      </c>
      <c r="R221" s="3236">
        <f t="shared" si="552"/>
        <v>19610478.505959976</v>
      </c>
      <c r="S221" s="3264"/>
      <c r="W221" s="3235">
        <f t="shared" si="553"/>
        <v>32365661</v>
      </c>
      <c r="X221" s="3236">
        <f t="shared" si="554"/>
        <v>10998826.866581207</v>
      </c>
      <c r="Y221" s="3236">
        <f t="shared" si="555"/>
        <v>1756355.6274588173</v>
      </c>
      <c r="Z221" s="3236">
        <f t="shared" si="556"/>
        <v>19610478.505959976</v>
      </c>
      <c r="AA221" s="3264"/>
      <c r="AE221" s="3235">
        <f t="shared" si="557"/>
        <v>32365661</v>
      </c>
      <c r="AF221" s="3236">
        <f t="shared" si="558"/>
        <v>10998826.866581207</v>
      </c>
      <c r="AG221" s="3236">
        <f t="shared" si="559"/>
        <v>1756355.6274588173</v>
      </c>
      <c r="AH221" s="3236">
        <f t="shared" si="560"/>
        <v>19610478.505959976</v>
      </c>
      <c r="AI221" s="3264"/>
      <c r="AM221" s="3235">
        <f t="shared" si="561"/>
        <v>32365661</v>
      </c>
      <c r="AN221" s="3236">
        <f t="shared" si="562"/>
        <v>10998826.866581207</v>
      </c>
      <c r="AO221" s="3236">
        <f t="shared" si="563"/>
        <v>1756355.6274588173</v>
      </c>
      <c r="AP221" s="3236">
        <f t="shared" si="564"/>
        <v>19610478.505959976</v>
      </c>
      <c r="AQ221" s="3264"/>
      <c r="AU221" s="3235">
        <f t="shared" si="565"/>
        <v>32365661</v>
      </c>
      <c r="AV221" s="3236">
        <f t="shared" si="566"/>
        <v>10998826.866581207</v>
      </c>
      <c r="AW221" s="3236">
        <f t="shared" si="567"/>
        <v>1756355.6274588173</v>
      </c>
      <c r="AX221" s="3236">
        <f t="shared" si="568"/>
        <v>19610478.505959976</v>
      </c>
      <c r="AY221" s="3264"/>
      <c r="BC221" s="3235">
        <f t="shared" si="569"/>
        <v>32365661</v>
      </c>
      <c r="BD221" s="3236">
        <f t="shared" si="570"/>
        <v>10998826.866581207</v>
      </c>
      <c r="BE221" s="3236">
        <f t="shared" si="571"/>
        <v>1756355.6274588173</v>
      </c>
      <c r="BF221" s="3236">
        <f t="shared" si="572"/>
        <v>19610478.505959976</v>
      </c>
      <c r="BG221" s="3264"/>
      <c r="BK221" s="3235">
        <f t="shared" si="573"/>
        <v>32365661</v>
      </c>
      <c r="BL221" s="3236">
        <f t="shared" si="574"/>
        <v>10998826.866581207</v>
      </c>
      <c r="BM221" s="3236">
        <f t="shared" si="575"/>
        <v>1756355.6274588173</v>
      </c>
      <c r="BN221" s="3236">
        <f t="shared" si="576"/>
        <v>19610478.505959976</v>
      </c>
      <c r="BO221" s="3264"/>
      <c r="BS221" s="3235">
        <f t="shared" si="577"/>
        <v>32365661</v>
      </c>
      <c r="BT221" s="3236">
        <f t="shared" si="578"/>
        <v>10998826.866581207</v>
      </c>
      <c r="BU221" s="3236">
        <f t="shared" si="579"/>
        <v>1756355.6274588173</v>
      </c>
      <c r="BV221" s="3236">
        <f t="shared" si="580"/>
        <v>19610478.505959976</v>
      </c>
      <c r="BW221" s="3264"/>
      <c r="CA221" s="3235">
        <f t="shared" si="581"/>
        <v>32365661</v>
      </c>
      <c r="CB221" s="3236">
        <f t="shared" si="582"/>
        <v>10998826.866581207</v>
      </c>
      <c r="CC221" s="3236">
        <f t="shared" si="583"/>
        <v>1756355.6274588173</v>
      </c>
      <c r="CD221" s="3236">
        <f t="shared" si="584"/>
        <v>19610478.505959976</v>
      </c>
      <c r="CE221" s="3264"/>
      <c r="CI221" s="3235">
        <f t="shared" si="585"/>
        <v>32365661</v>
      </c>
      <c r="CJ221" s="3236">
        <f t="shared" si="586"/>
        <v>10998826.866581207</v>
      </c>
      <c r="CK221" s="3236">
        <f t="shared" si="587"/>
        <v>1756355.6274588173</v>
      </c>
      <c r="CL221" s="3236">
        <f t="shared" si="588"/>
        <v>19610478.505959976</v>
      </c>
      <c r="CM221" s="3264"/>
      <c r="CQ221" s="3235">
        <f t="shared" si="589"/>
        <v>32365661</v>
      </c>
      <c r="CR221" s="3236">
        <f t="shared" si="590"/>
        <v>10998826.866581207</v>
      </c>
      <c r="CS221" s="3236">
        <f t="shared" si="591"/>
        <v>1756355.6274588173</v>
      </c>
      <c r="CT221" s="3236">
        <f t="shared" si="592"/>
        <v>19610478.505959976</v>
      </c>
      <c r="CU221" s="3264"/>
      <c r="CY221" s="3235">
        <f t="shared" si="593"/>
        <v>32365661</v>
      </c>
      <c r="CZ221" s="3236">
        <f t="shared" si="594"/>
        <v>10998826.866581207</v>
      </c>
      <c r="DA221" s="3236">
        <f t="shared" si="595"/>
        <v>1756355.6274588173</v>
      </c>
      <c r="DB221" s="3236">
        <f t="shared" si="596"/>
        <v>19610478.505959976</v>
      </c>
      <c r="DC221" s="3264"/>
      <c r="DG221" s="3235">
        <f t="shared" si="597"/>
        <v>32365661</v>
      </c>
      <c r="DH221" s="3236">
        <f t="shared" si="598"/>
        <v>10998826.866581207</v>
      </c>
      <c r="DI221" s="3236">
        <f t="shared" si="599"/>
        <v>1756355.6274588173</v>
      </c>
      <c r="DJ221" s="3236">
        <f t="shared" si="600"/>
        <v>19610478.505959976</v>
      </c>
      <c r="DK221" s="3264"/>
      <c r="DO221" s="3235">
        <f t="shared" si="601"/>
        <v>32365661</v>
      </c>
      <c r="DP221" s="3236">
        <f t="shared" si="602"/>
        <v>10998826.866581207</v>
      </c>
      <c r="DQ221" s="3236">
        <f t="shared" si="603"/>
        <v>1756355.6274588173</v>
      </c>
      <c r="DR221" s="3236">
        <f t="shared" si="604"/>
        <v>19610478.505959976</v>
      </c>
      <c r="DS221" s="3264"/>
      <c r="DW221" s="3235">
        <f t="shared" si="605"/>
        <v>32365661</v>
      </c>
      <c r="DX221" s="3236">
        <f t="shared" si="606"/>
        <v>10998826.866581207</v>
      </c>
      <c r="DY221" s="3236">
        <f t="shared" si="607"/>
        <v>1756355.6274588173</v>
      </c>
      <c r="DZ221" s="3236">
        <f t="shared" si="608"/>
        <v>19610478.505959976</v>
      </c>
      <c r="EA221" s="3264"/>
      <c r="EE221" s="3235">
        <f t="shared" si="609"/>
        <v>32365661</v>
      </c>
      <c r="EF221" s="3236">
        <f t="shared" si="610"/>
        <v>10998826.866581207</v>
      </c>
      <c r="EG221" s="3236">
        <f t="shared" si="611"/>
        <v>1756355.6274588173</v>
      </c>
      <c r="EH221" s="3236">
        <f t="shared" si="612"/>
        <v>19610478.505959976</v>
      </c>
      <c r="EI221" s="3264"/>
      <c r="EM221" s="3235">
        <f t="shared" si="613"/>
        <v>32365661</v>
      </c>
      <c r="EN221" s="3236">
        <f t="shared" si="614"/>
        <v>10998826.866581207</v>
      </c>
      <c r="EO221" s="3236">
        <f t="shared" si="615"/>
        <v>1756355.6274588173</v>
      </c>
      <c r="EP221" s="3236">
        <f t="shared" si="616"/>
        <v>19610478.505959976</v>
      </c>
      <c r="EQ221" s="3264"/>
      <c r="EU221" s="3235">
        <f t="shared" si="617"/>
        <v>32365661</v>
      </c>
      <c r="EV221" s="3236">
        <f t="shared" si="618"/>
        <v>10998826.866581207</v>
      </c>
      <c r="EW221" s="3236">
        <f t="shared" si="619"/>
        <v>1756355.6274588173</v>
      </c>
      <c r="EX221" s="3236">
        <f t="shared" si="620"/>
        <v>19610478.505959976</v>
      </c>
      <c r="EY221" s="3264"/>
      <c r="FC221" s="3235">
        <f t="shared" si="621"/>
        <v>32365661</v>
      </c>
      <c r="FD221" s="3236">
        <f t="shared" si="622"/>
        <v>10998826.866581207</v>
      </c>
      <c r="FE221" s="3236">
        <f t="shared" si="623"/>
        <v>1756355.6274588173</v>
      </c>
      <c r="FF221" s="3236">
        <f t="shared" si="624"/>
        <v>19610478.505959976</v>
      </c>
      <c r="FG221" s="3264"/>
      <c r="FK221" s="3235">
        <f t="shared" si="625"/>
        <v>32365661</v>
      </c>
      <c r="FL221" s="3236">
        <f t="shared" si="626"/>
        <v>10998826.866581207</v>
      </c>
      <c r="FM221" s="3236">
        <f t="shared" si="627"/>
        <v>1756355.6274588173</v>
      </c>
      <c r="FN221" s="3236">
        <f t="shared" si="628"/>
        <v>19610478.505959976</v>
      </c>
      <c r="FO221" s="3264"/>
    </row>
    <row r="222" spans="1:171">
      <c r="A222" s="2092"/>
      <c r="B222" s="2185" t="s">
        <v>166</v>
      </c>
      <c r="C222" s="2464" t="s">
        <v>72</v>
      </c>
      <c r="D222" s="2464">
        <v>923</v>
      </c>
      <c r="E222" s="2424" t="str">
        <f>'Sch 3 - Expenses'!E62</f>
        <v>LABOR</v>
      </c>
      <c r="F222" s="2171"/>
      <c r="G222" s="2424">
        <f>'Sch 3 - Expenses'!G62</f>
        <v>20765085</v>
      </c>
      <c r="H222" s="2424">
        <f>'Sch 3 - Expenses'!H62</f>
        <v>7056601.5872452725</v>
      </c>
      <c r="I222" s="2424">
        <f>'Sch 3 - Expenses'!I62</f>
        <v>0</v>
      </c>
      <c r="J222" s="3465">
        <f>'Sch 3 - Expenses'!J62</f>
        <v>13708483.412754728</v>
      </c>
      <c r="K222" s="3205">
        <f t="shared" si="548"/>
        <v>1</v>
      </c>
      <c r="O222" s="3235">
        <f t="shared" si="549"/>
        <v>20765085</v>
      </c>
      <c r="P222" s="3236">
        <f t="shared" si="550"/>
        <v>7056601.5872452725</v>
      </c>
      <c r="Q222" s="3236">
        <f t="shared" si="551"/>
        <v>1126838.5309482997</v>
      </c>
      <c r="R222" s="3236">
        <f t="shared" si="552"/>
        <v>12581644.881806429</v>
      </c>
      <c r="S222" s="3264"/>
      <c r="W222" s="3235">
        <f t="shared" si="553"/>
        <v>20765085</v>
      </c>
      <c r="X222" s="3236">
        <f t="shared" si="554"/>
        <v>7056601.5872452725</v>
      </c>
      <c r="Y222" s="3236">
        <f t="shared" si="555"/>
        <v>1126838.5309482997</v>
      </c>
      <c r="Z222" s="3236">
        <f t="shared" si="556"/>
        <v>12581644.881806429</v>
      </c>
      <c r="AA222" s="3264"/>
      <c r="AE222" s="3235">
        <f t="shared" si="557"/>
        <v>20765085</v>
      </c>
      <c r="AF222" s="3236">
        <f t="shared" si="558"/>
        <v>7056601.5872452725</v>
      </c>
      <c r="AG222" s="3236">
        <f t="shared" si="559"/>
        <v>1126838.5309482997</v>
      </c>
      <c r="AH222" s="3236">
        <f t="shared" si="560"/>
        <v>12581644.881806429</v>
      </c>
      <c r="AI222" s="3264"/>
      <c r="AM222" s="3235">
        <f t="shared" si="561"/>
        <v>20765085</v>
      </c>
      <c r="AN222" s="3236">
        <f t="shared" si="562"/>
        <v>7056601.5872452725</v>
      </c>
      <c r="AO222" s="3236">
        <f t="shared" si="563"/>
        <v>1126838.5309482997</v>
      </c>
      <c r="AP222" s="3236">
        <f t="shared" si="564"/>
        <v>12581644.881806429</v>
      </c>
      <c r="AQ222" s="3264"/>
      <c r="AU222" s="3235">
        <f t="shared" si="565"/>
        <v>20765085</v>
      </c>
      <c r="AV222" s="3236">
        <f t="shared" si="566"/>
        <v>7056601.5872452725</v>
      </c>
      <c r="AW222" s="3236">
        <f t="shared" si="567"/>
        <v>1126838.5309482997</v>
      </c>
      <c r="AX222" s="3236">
        <f t="shared" si="568"/>
        <v>12581644.881806429</v>
      </c>
      <c r="AY222" s="3264"/>
      <c r="BC222" s="3235">
        <f t="shared" si="569"/>
        <v>20765085</v>
      </c>
      <c r="BD222" s="3236">
        <f t="shared" si="570"/>
        <v>7056601.5872452725</v>
      </c>
      <c r="BE222" s="3236">
        <f t="shared" si="571"/>
        <v>1126838.5309482997</v>
      </c>
      <c r="BF222" s="3236">
        <f t="shared" si="572"/>
        <v>12581644.881806429</v>
      </c>
      <c r="BG222" s="3264"/>
      <c r="BK222" s="3235">
        <f t="shared" si="573"/>
        <v>20765085</v>
      </c>
      <c r="BL222" s="3236">
        <f t="shared" si="574"/>
        <v>7056601.5872452725</v>
      </c>
      <c r="BM222" s="3236">
        <f t="shared" si="575"/>
        <v>1126838.5309482997</v>
      </c>
      <c r="BN222" s="3236">
        <f t="shared" si="576"/>
        <v>12581644.881806429</v>
      </c>
      <c r="BO222" s="3264"/>
      <c r="BS222" s="3235">
        <f t="shared" si="577"/>
        <v>20765085</v>
      </c>
      <c r="BT222" s="3236">
        <f t="shared" si="578"/>
        <v>7056601.5872452725</v>
      </c>
      <c r="BU222" s="3236">
        <f t="shared" si="579"/>
        <v>1126838.5309482997</v>
      </c>
      <c r="BV222" s="3236">
        <f t="shared" si="580"/>
        <v>12581644.881806429</v>
      </c>
      <c r="BW222" s="3264"/>
      <c r="CA222" s="3235">
        <f t="shared" si="581"/>
        <v>20765085</v>
      </c>
      <c r="CB222" s="3236">
        <f t="shared" si="582"/>
        <v>7056601.5872452725</v>
      </c>
      <c r="CC222" s="3236">
        <f t="shared" si="583"/>
        <v>1126838.5309482997</v>
      </c>
      <c r="CD222" s="3236">
        <f t="shared" si="584"/>
        <v>12581644.881806429</v>
      </c>
      <c r="CE222" s="3264"/>
      <c r="CI222" s="3235">
        <f t="shared" si="585"/>
        <v>20765085</v>
      </c>
      <c r="CJ222" s="3236">
        <f t="shared" si="586"/>
        <v>7056601.5872452725</v>
      </c>
      <c r="CK222" s="3236">
        <f t="shared" si="587"/>
        <v>1126838.5309482997</v>
      </c>
      <c r="CL222" s="3236">
        <f t="shared" si="588"/>
        <v>12581644.881806429</v>
      </c>
      <c r="CM222" s="3264"/>
      <c r="CQ222" s="3235">
        <f t="shared" si="589"/>
        <v>20765085</v>
      </c>
      <c r="CR222" s="3236">
        <f t="shared" si="590"/>
        <v>7056601.5872452725</v>
      </c>
      <c r="CS222" s="3236">
        <f t="shared" si="591"/>
        <v>1126838.5309482997</v>
      </c>
      <c r="CT222" s="3236">
        <f t="shared" si="592"/>
        <v>12581644.881806429</v>
      </c>
      <c r="CU222" s="3264"/>
      <c r="CY222" s="3235">
        <f t="shared" si="593"/>
        <v>20765085</v>
      </c>
      <c r="CZ222" s="3236">
        <f t="shared" si="594"/>
        <v>7056601.5872452725</v>
      </c>
      <c r="DA222" s="3236">
        <f t="shared" si="595"/>
        <v>1126838.5309482997</v>
      </c>
      <c r="DB222" s="3236">
        <f t="shared" si="596"/>
        <v>12581644.881806429</v>
      </c>
      <c r="DC222" s="3264"/>
      <c r="DG222" s="3235">
        <f t="shared" si="597"/>
        <v>20765085</v>
      </c>
      <c r="DH222" s="3236">
        <f t="shared" si="598"/>
        <v>7056601.5872452725</v>
      </c>
      <c r="DI222" s="3236">
        <f t="shared" si="599"/>
        <v>1126838.5309482997</v>
      </c>
      <c r="DJ222" s="3236">
        <f t="shared" si="600"/>
        <v>12581644.881806429</v>
      </c>
      <c r="DK222" s="3264"/>
      <c r="DO222" s="3235">
        <f t="shared" si="601"/>
        <v>20765085</v>
      </c>
      <c r="DP222" s="3236">
        <f t="shared" si="602"/>
        <v>7056601.5872452725</v>
      </c>
      <c r="DQ222" s="3236">
        <f t="shared" si="603"/>
        <v>1126838.5309482997</v>
      </c>
      <c r="DR222" s="3236">
        <f t="shared" si="604"/>
        <v>12581644.881806429</v>
      </c>
      <c r="DS222" s="3264"/>
      <c r="DW222" s="3235">
        <f t="shared" si="605"/>
        <v>20765085</v>
      </c>
      <c r="DX222" s="3236">
        <f t="shared" si="606"/>
        <v>7056601.5872452725</v>
      </c>
      <c r="DY222" s="3236">
        <f t="shared" si="607"/>
        <v>1126838.5309482997</v>
      </c>
      <c r="DZ222" s="3236">
        <f t="shared" si="608"/>
        <v>12581644.881806429</v>
      </c>
      <c r="EA222" s="3264"/>
      <c r="EE222" s="3235">
        <f t="shared" si="609"/>
        <v>20765085</v>
      </c>
      <c r="EF222" s="3236">
        <f t="shared" si="610"/>
        <v>7056601.5872452725</v>
      </c>
      <c r="EG222" s="3236">
        <f t="shared" si="611"/>
        <v>1126838.5309482997</v>
      </c>
      <c r="EH222" s="3236">
        <f t="shared" si="612"/>
        <v>12581644.881806429</v>
      </c>
      <c r="EI222" s="3264"/>
      <c r="EM222" s="3235">
        <f t="shared" si="613"/>
        <v>20765085</v>
      </c>
      <c r="EN222" s="3236">
        <f t="shared" si="614"/>
        <v>7056601.5872452725</v>
      </c>
      <c r="EO222" s="3236">
        <f t="shared" si="615"/>
        <v>1126838.5309482997</v>
      </c>
      <c r="EP222" s="3236">
        <f t="shared" si="616"/>
        <v>12581644.881806429</v>
      </c>
      <c r="EQ222" s="3264"/>
      <c r="EU222" s="3235">
        <f t="shared" si="617"/>
        <v>20765085</v>
      </c>
      <c r="EV222" s="3236">
        <f t="shared" si="618"/>
        <v>7056601.5872452725</v>
      </c>
      <c r="EW222" s="3236">
        <f t="shared" si="619"/>
        <v>1126838.5309482997</v>
      </c>
      <c r="EX222" s="3236">
        <f t="shared" si="620"/>
        <v>12581644.881806429</v>
      </c>
      <c r="EY222" s="3264"/>
      <c r="FC222" s="3235">
        <f t="shared" si="621"/>
        <v>20765085</v>
      </c>
      <c r="FD222" s="3236">
        <f t="shared" si="622"/>
        <v>7056601.5872452725</v>
      </c>
      <c r="FE222" s="3236">
        <f t="shared" si="623"/>
        <v>1126838.5309482997</v>
      </c>
      <c r="FF222" s="3236">
        <f t="shared" si="624"/>
        <v>12581644.881806429</v>
      </c>
      <c r="FG222" s="3264"/>
      <c r="FK222" s="3235">
        <f t="shared" si="625"/>
        <v>20765085</v>
      </c>
      <c r="FL222" s="3236">
        <f t="shared" si="626"/>
        <v>7056601.5872452725</v>
      </c>
      <c r="FM222" s="3236">
        <f t="shared" si="627"/>
        <v>1126838.5309482997</v>
      </c>
      <c r="FN222" s="3236">
        <f t="shared" si="628"/>
        <v>12581644.881806429</v>
      </c>
      <c r="FO222" s="3264"/>
    </row>
    <row r="223" spans="1:171">
      <c r="A223" s="3480">
        <v>94000</v>
      </c>
      <c r="B223" s="2185" t="s">
        <v>167</v>
      </c>
      <c r="C223" s="2464" t="s">
        <v>72</v>
      </c>
      <c r="D223" s="2464">
        <v>924</v>
      </c>
      <c r="E223" s="2424" t="str">
        <f>'Sch 3 - Expenses'!E63</f>
        <v>PTDG</v>
      </c>
      <c r="F223" s="2171"/>
      <c r="G223" s="2424">
        <f>'Sch 3 - Expenses'!G63</f>
        <v>6318020</v>
      </c>
      <c r="H223" s="2424">
        <f>'Sch 3 - Expenses'!H63</f>
        <v>2210502.0408064411</v>
      </c>
      <c r="I223" s="2424">
        <f>'Sch 3 - Expenses'!I63</f>
        <v>0</v>
      </c>
      <c r="J223" s="3465">
        <f>'Sch 3 - Expenses'!J63</f>
        <v>4107517.9579843101</v>
      </c>
      <c r="K223" s="3205">
        <f t="shared" si="548"/>
        <v>1</v>
      </c>
      <c r="N223" s="3434">
        <f>VLOOKUP($A223,'New Resources - Group'!$A$4:$Y$133,N$2,FALSE)*N$1</f>
        <v>0</v>
      </c>
      <c r="O223" s="3235">
        <f>$G223+N223</f>
        <v>6318020</v>
      </c>
      <c r="P223" s="3236">
        <f t="shared" si="550"/>
        <v>2210502.0408064411</v>
      </c>
      <c r="Q223" s="3236">
        <f t="shared" si="551"/>
        <v>1109224.7257383247</v>
      </c>
      <c r="R223" s="3236">
        <f t="shared" si="552"/>
        <v>2998293.2334552342</v>
      </c>
      <c r="S223" s="3264"/>
      <c r="V223" s="3434">
        <f>VLOOKUP($A223,'New Resources - Group'!$A$4:$Y$133,V$2,FALSE)*V$1</f>
        <v>0</v>
      </c>
      <c r="W223" s="3235">
        <f>$G223+V223</f>
        <v>6318020</v>
      </c>
      <c r="X223" s="3236">
        <f t="shared" si="554"/>
        <v>2210502.0408064411</v>
      </c>
      <c r="Y223" s="3236">
        <f t="shared" si="555"/>
        <v>1109224.7257383247</v>
      </c>
      <c r="Z223" s="3236">
        <f t="shared" si="556"/>
        <v>2998293.2334552342</v>
      </c>
      <c r="AA223" s="3264"/>
      <c r="AD223" s="3434">
        <f>VLOOKUP($A223,'New Resources - Group'!$A$4:$Y$133,AD$2,FALSE)*AD$1</f>
        <v>0</v>
      </c>
      <c r="AE223" s="3235">
        <f>$G223+AD223</f>
        <v>6318020</v>
      </c>
      <c r="AF223" s="3236">
        <f t="shared" si="558"/>
        <v>2210502.0408064411</v>
      </c>
      <c r="AG223" s="3236">
        <f t="shared" si="559"/>
        <v>1109224.7257383247</v>
      </c>
      <c r="AH223" s="3236">
        <f t="shared" si="560"/>
        <v>2998293.2334552342</v>
      </c>
      <c r="AI223" s="3264"/>
      <c r="AL223" s="3434">
        <f>VLOOKUP($A223,'New Resources - Group'!$A$4:$Y$133,AL$2,FALSE)*AL$1</f>
        <v>0</v>
      </c>
      <c r="AM223" s="3235">
        <f>$G223+AL223</f>
        <v>6318020</v>
      </c>
      <c r="AN223" s="3236">
        <f t="shared" si="562"/>
        <v>2210502.0408064411</v>
      </c>
      <c r="AO223" s="3236">
        <f t="shared" si="563"/>
        <v>1109224.7257383247</v>
      </c>
      <c r="AP223" s="3236">
        <f t="shared" si="564"/>
        <v>2998293.2334552342</v>
      </c>
      <c r="AQ223" s="3264"/>
      <c r="AT223" s="3434">
        <f>VLOOKUP($A223,'New Resources - Group'!$A$4:$Y$133,AT$2,FALSE)*AT$1</f>
        <v>0</v>
      </c>
      <c r="AU223" s="3235">
        <f>$G223+AT223</f>
        <v>6318020</v>
      </c>
      <c r="AV223" s="3236">
        <f t="shared" si="566"/>
        <v>2210502.0408064411</v>
      </c>
      <c r="AW223" s="3236">
        <f t="shared" si="567"/>
        <v>1109224.7257383247</v>
      </c>
      <c r="AX223" s="3236">
        <f t="shared" si="568"/>
        <v>2998293.2334552342</v>
      </c>
      <c r="AY223" s="3264"/>
      <c r="BB223" s="3434">
        <f>VLOOKUP($A223,'New Resources - Group'!$A$4:$Y$133,BB$2,FALSE)*BB$1</f>
        <v>0</v>
      </c>
      <c r="BC223" s="3235">
        <f>$G223+BB223</f>
        <v>6318020</v>
      </c>
      <c r="BD223" s="3236">
        <f t="shared" si="570"/>
        <v>2210502.0408064411</v>
      </c>
      <c r="BE223" s="3236">
        <f t="shared" si="571"/>
        <v>1109224.7257383247</v>
      </c>
      <c r="BF223" s="3236">
        <f t="shared" si="572"/>
        <v>2998293.2334552342</v>
      </c>
      <c r="BG223" s="3264"/>
      <c r="BJ223" s="3434">
        <f>VLOOKUP($A223,'New Resources - Group'!$A$4:$Y$133,BJ$2,FALSE)*BJ$1</f>
        <v>0</v>
      </c>
      <c r="BK223" s="3235">
        <f>$G223+BJ223</f>
        <v>6318020</v>
      </c>
      <c r="BL223" s="3236">
        <f t="shared" si="574"/>
        <v>2210502.0408064411</v>
      </c>
      <c r="BM223" s="3236">
        <f t="shared" si="575"/>
        <v>1109224.7257383247</v>
      </c>
      <c r="BN223" s="3236">
        <f t="shared" si="576"/>
        <v>2998293.2334552342</v>
      </c>
      <c r="BO223" s="3264"/>
      <c r="BR223" s="3434">
        <f>VLOOKUP($A223,'New Resources - Group'!$A$4:$Y$133,BR$2,FALSE)*BR$1</f>
        <v>0</v>
      </c>
      <c r="BS223" s="3235">
        <f>$G223+BR223</f>
        <v>6318020</v>
      </c>
      <c r="BT223" s="3236">
        <f t="shared" si="578"/>
        <v>2210502.0408064411</v>
      </c>
      <c r="BU223" s="3236">
        <f t="shared" si="579"/>
        <v>1109224.7257383247</v>
      </c>
      <c r="BV223" s="3236">
        <f t="shared" si="580"/>
        <v>2998293.2334552342</v>
      </c>
      <c r="BW223" s="3264"/>
      <c r="BZ223" s="3434">
        <f>VLOOKUP($A223,'New Resources - Group'!$A$4:$Y$133,BZ$2,FALSE)*BZ$1</f>
        <v>0</v>
      </c>
      <c r="CA223" s="3235">
        <f>$G223+BZ223</f>
        <v>6318020</v>
      </c>
      <c r="CB223" s="3236">
        <f t="shared" si="582"/>
        <v>2210502.0408064411</v>
      </c>
      <c r="CC223" s="3236">
        <f t="shared" si="583"/>
        <v>1109224.7257383247</v>
      </c>
      <c r="CD223" s="3236">
        <f t="shared" si="584"/>
        <v>2998293.2334552342</v>
      </c>
      <c r="CE223" s="3264"/>
      <c r="CH223" s="3434">
        <f>VLOOKUP($A223,'New Resources - Group'!$A$4:$Y$133,CH$2,FALSE)*CH$1</f>
        <v>0</v>
      </c>
      <c r="CI223" s="3235">
        <f>$G223+CH223</f>
        <v>6318020</v>
      </c>
      <c r="CJ223" s="3236">
        <f t="shared" si="586"/>
        <v>2210502.0408064411</v>
      </c>
      <c r="CK223" s="3236">
        <f t="shared" si="587"/>
        <v>1109224.7257383247</v>
      </c>
      <c r="CL223" s="3236">
        <f t="shared" si="588"/>
        <v>2998293.2334552342</v>
      </c>
      <c r="CM223" s="3264"/>
      <c r="CP223" s="3434">
        <f>VLOOKUP($A223,'New Resources - Group'!$A$4:$Y$133,CP$2,FALSE)*CP$1</f>
        <v>0</v>
      </c>
      <c r="CQ223" s="3235">
        <f>$G223+CP223</f>
        <v>6318020</v>
      </c>
      <c r="CR223" s="3236">
        <f t="shared" si="590"/>
        <v>2210502.0408064411</v>
      </c>
      <c r="CS223" s="3236">
        <f t="shared" si="591"/>
        <v>1109224.7257383247</v>
      </c>
      <c r="CT223" s="3236">
        <f t="shared" si="592"/>
        <v>2998293.2334552342</v>
      </c>
      <c r="CU223" s="3264"/>
      <c r="CX223" s="3434">
        <f>VLOOKUP($A223,'New Resources - Group'!$A$4:$Y$133,CX$2,FALSE)*CX$1</f>
        <v>0</v>
      </c>
      <c r="CY223" s="3235">
        <f>$G223+CX223</f>
        <v>6318020</v>
      </c>
      <c r="CZ223" s="3236">
        <f t="shared" si="594"/>
        <v>2210502.0408064411</v>
      </c>
      <c r="DA223" s="3236">
        <f t="shared" si="595"/>
        <v>1109224.7257383247</v>
      </c>
      <c r="DB223" s="3236">
        <f t="shared" si="596"/>
        <v>2998293.2334552342</v>
      </c>
      <c r="DC223" s="3264"/>
      <c r="DF223" s="3434">
        <f>VLOOKUP($A223,'New Resources - Group'!$A$4:$Y$133,DF$2,FALSE)*DF$1</f>
        <v>0</v>
      </c>
      <c r="DG223" s="3235">
        <f>$G223+DF223</f>
        <v>6318020</v>
      </c>
      <c r="DH223" s="3236">
        <f t="shared" si="598"/>
        <v>2210502.0408064411</v>
      </c>
      <c r="DI223" s="3236">
        <f t="shared" si="599"/>
        <v>1109224.7257383247</v>
      </c>
      <c r="DJ223" s="3236">
        <f t="shared" si="600"/>
        <v>2998293.2334552342</v>
      </c>
      <c r="DK223" s="3264"/>
      <c r="DN223" s="3434">
        <f>VLOOKUP($A223,'New Resources - Group'!$A$4:$Y$133,DN$2,FALSE)*DN$1</f>
        <v>0</v>
      </c>
      <c r="DO223" s="3235">
        <f>$G223+DN223</f>
        <v>6318020</v>
      </c>
      <c r="DP223" s="3236">
        <f t="shared" si="602"/>
        <v>2210502.0408064411</v>
      </c>
      <c r="DQ223" s="3236">
        <f t="shared" si="603"/>
        <v>1109224.7257383247</v>
      </c>
      <c r="DR223" s="3236">
        <f t="shared" si="604"/>
        <v>2998293.2334552342</v>
      </c>
      <c r="DS223" s="3264"/>
      <c r="DV223" s="3434">
        <f>VLOOKUP($A223,'New Resources - Group'!$A$4:$Y$133,DV$2,FALSE)*DV$1</f>
        <v>0</v>
      </c>
      <c r="DW223" s="3235">
        <f>$G223+DV223</f>
        <v>6318020</v>
      </c>
      <c r="DX223" s="3236">
        <f t="shared" si="606"/>
        <v>2210502.0408064411</v>
      </c>
      <c r="DY223" s="3236">
        <f t="shared" si="607"/>
        <v>1109224.7257383247</v>
      </c>
      <c r="DZ223" s="3236">
        <f t="shared" si="608"/>
        <v>2998293.2334552342</v>
      </c>
      <c r="EA223" s="3264"/>
      <c r="ED223" s="3434">
        <f>VLOOKUP($A223,'New Resources - Group'!$A$4:$Y$133,ED$2,FALSE)*ED$1</f>
        <v>0</v>
      </c>
      <c r="EE223" s="3235">
        <f>$G223+ED223</f>
        <v>6318020</v>
      </c>
      <c r="EF223" s="3236">
        <f t="shared" si="610"/>
        <v>2210502.0408064411</v>
      </c>
      <c r="EG223" s="3236">
        <f t="shared" si="611"/>
        <v>1109224.7257383247</v>
      </c>
      <c r="EH223" s="3236">
        <f t="shared" si="612"/>
        <v>2998293.2334552342</v>
      </c>
      <c r="EI223" s="3264"/>
      <c r="EL223" s="3434">
        <f>VLOOKUP($A223,'New Resources - Group'!$A$4:$Y$133,EL$2,FALSE)*EL$1</f>
        <v>0</v>
      </c>
      <c r="EM223" s="3235">
        <f>$G223+EL223</f>
        <v>6318020</v>
      </c>
      <c r="EN223" s="3236">
        <f t="shared" si="614"/>
        <v>2210502.0408064411</v>
      </c>
      <c r="EO223" s="3236">
        <f t="shared" si="615"/>
        <v>1109224.7257383247</v>
      </c>
      <c r="EP223" s="3236">
        <f t="shared" si="616"/>
        <v>2998293.2334552342</v>
      </c>
      <c r="EQ223" s="3264"/>
      <c r="ET223" s="3434">
        <f>VLOOKUP($A223,'New Resources - Group'!$A$4:$Y$133,ET$2,FALSE)*ET$1</f>
        <v>0</v>
      </c>
      <c r="EU223" s="3235">
        <f>$G223+ET223</f>
        <v>6318020</v>
      </c>
      <c r="EV223" s="3236">
        <f t="shared" si="618"/>
        <v>2210502.0408064411</v>
      </c>
      <c r="EW223" s="3236">
        <f t="shared" si="619"/>
        <v>1109224.7257383247</v>
      </c>
      <c r="EX223" s="3236">
        <f t="shared" si="620"/>
        <v>2998293.2334552342</v>
      </c>
      <c r="EY223" s="3264"/>
      <c r="FB223" s="3434">
        <f>VLOOKUP($A223,'New Resources - Group'!$A$4:$Y$133,FB$2,FALSE)*FB$1</f>
        <v>0</v>
      </c>
      <c r="FC223" s="3235">
        <f>$G223+FB223</f>
        <v>6318020</v>
      </c>
      <c r="FD223" s="3236">
        <f t="shared" si="622"/>
        <v>2210502.0408064411</v>
      </c>
      <c r="FE223" s="3236">
        <f t="shared" si="623"/>
        <v>1109224.7257383247</v>
      </c>
      <c r="FF223" s="3236">
        <f t="shared" si="624"/>
        <v>2998293.2334552342</v>
      </c>
      <c r="FG223" s="3264"/>
      <c r="FJ223" s="3434">
        <f>VLOOKUP($A223,'New Resources - Group'!$A$4:$Y$133,FJ$2,FALSE)*FJ$1</f>
        <v>0</v>
      </c>
      <c r="FK223" s="3235">
        <f>$G223+FJ223</f>
        <v>6318020</v>
      </c>
      <c r="FL223" s="3236">
        <f t="shared" si="626"/>
        <v>2210502.0408064411</v>
      </c>
      <c r="FM223" s="3236">
        <f t="shared" si="627"/>
        <v>1109224.7257383247</v>
      </c>
      <c r="FN223" s="3236">
        <f t="shared" si="628"/>
        <v>2998293.2334552342</v>
      </c>
      <c r="FO223" s="3264"/>
    </row>
    <row r="224" spans="1:171">
      <c r="A224" s="2092"/>
      <c r="B224" s="2185" t="s">
        <v>464</v>
      </c>
      <c r="C224" s="2464" t="s">
        <v>72</v>
      </c>
      <c r="D224" s="2464">
        <v>925</v>
      </c>
      <c r="E224" s="2424" t="str">
        <f>'Sch 3 - Expenses'!E64</f>
        <v>Labor</v>
      </c>
      <c r="F224" s="2171"/>
      <c r="G224" s="2424">
        <f>'Sch 3 - Expenses'!G64</f>
        <v>8919311</v>
      </c>
      <c r="H224" s="2424">
        <f>'Sch 3 - Expenses'!H64</f>
        <v>3031050.6390768071</v>
      </c>
      <c r="I224" s="2424">
        <f>'Sch 3 - Expenses'!I64</f>
        <v>0</v>
      </c>
      <c r="J224" s="3465">
        <f>'Sch 3 - Expenses'!J64</f>
        <v>5888260.3609231925</v>
      </c>
      <c r="K224" s="3205">
        <f t="shared" si="548"/>
        <v>1</v>
      </c>
      <c r="O224" s="3235">
        <f t="shared" si="549"/>
        <v>8919311</v>
      </c>
      <c r="P224" s="3236">
        <f t="shared" si="550"/>
        <v>3031050.6390768071</v>
      </c>
      <c r="Q224" s="3236">
        <f t="shared" si="551"/>
        <v>484015.51471188344</v>
      </c>
      <c r="R224" s="3236">
        <f t="shared" si="552"/>
        <v>5404244.8462113105</v>
      </c>
      <c r="S224" s="3264"/>
      <c r="W224" s="3235">
        <f t="shared" si="553"/>
        <v>8919311</v>
      </c>
      <c r="X224" s="3236">
        <f t="shared" si="554"/>
        <v>3031050.6390768071</v>
      </c>
      <c r="Y224" s="3236">
        <f t="shared" si="555"/>
        <v>484015.51471188344</v>
      </c>
      <c r="Z224" s="3236">
        <f t="shared" si="556"/>
        <v>5404244.8462113105</v>
      </c>
      <c r="AA224" s="3264"/>
      <c r="AE224" s="3235">
        <f t="shared" si="557"/>
        <v>8919311</v>
      </c>
      <c r="AF224" s="3236">
        <f t="shared" si="558"/>
        <v>3031050.6390768071</v>
      </c>
      <c r="AG224" s="3236">
        <f t="shared" si="559"/>
        <v>484015.51471188344</v>
      </c>
      <c r="AH224" s="3236">
        <f t="shared" si="560"/>
        <v>5404244.8462113105</v>
      </c>
      <c r="AI224" s="3264"/>
      <c r="AM224" s="3235">
        <f t="shared" si="561"/>
        <v>8919311</v>
      </c>
      <c r="AN224" s="3236">
        <f t="shared" si="562"/>
        <v>3031050.6390768071</v>
      </c>
      <c r="AO224" s="3236">
        <f t="shared" si="563"/>
        <v>484015.51471188344</v>
      </c>
      <c r="AP224" s="3236">
        <f t="shared" si="564"/>
        <v>5404244.8462113105</v>
      </c>
      <c r="AQ224" s="3264"/>
      <c r="AU224" s="3235">
        <f t="shared" si="565"/>
        <v>8919311</v>
      </c>
      <c r="AV224" s="3236">
        <f t="shared" si="566"/>
        <v>3031050.6390768071</v>
      </c>
      <c r="AW224" s="3236">
        <f t="shared" si="567"/>
        <v>484015.51471188344</v>
      </c>
      <c r="AX224" s="3236">
        <f t="shared" si="568"/>
        <v>5404244.8462113105</v>
      </c>
      <c r="AY224" s="3264"/>
      <c r="BC224" s="3235">
        <f t="shared" si="569"/>
        <v>8919311</v>
      </c>
      <c r="BD224" s="3236">
        <f t="shared" si="570"/>
        <v>3031050.6390768071</v>
      </c>
      <c r="BE224" s="3236">
        <f t="shared" si="571"/>
        <v>484015.51471188344</v>
      </c>
      <c r="BF224" s="3236">
        <f t="shared" si="572"/>
        <v>5404244.8462113105</v>
      </c>
      <c r="BG224" s="3264"/>
      <c r="BK224" s="3235">
        <f t="shared" si="573"/>
        <v>8919311</v>
      </c>
      <c r="BL224" s="3236">
        <f t="shared" si="574"/>
        <v>3031050.6390768071</v>
      </c>
      <c r="BM224" s="3236">
        <f t="shared" si="575"/>
        <v>484015.51471188344</v>
      </c>
      <c r="BN224" s="3236">
        <f t="shared" si="576"/>
        <v>5404244.8462113105</v>
      </c>
      <c r="BO224" s="3264"/>
      <c r="BS224" s="3235">
        <f t="shared" si="577"/>
        <v>8919311</v>
      </c>
      <c r="BT224" s="3236">
        <f t="shared" si="578"/>
        <v>3031050.6390768071</v>
      </c>
      <c r="BU224" s="3236">
        <f t="shared" si="579"/>
        <v>484015.51471188344</v>
      </c>
      <c r="BV224" s="3236">
        <f t="shared" si="580"/>
        <v>5404244.8462113105</v>
      </c>
      <c r="BW224" s="3264"/>
      <c r="CA224" s="3235">
        <f t="shared" si="581"/>
        <v>8919311</v>
      </c>
      <c r="CB224" s="3236">
        <f t="shared" si="582"/>
        <v>3031050.6390768071</v>
      </c>
      <c r="CC224" s="3236">
        <f t="shared" si="583"/>
        <v>484015.51471188344</v>
      </c>
      <c r="CD224" s="3236">
        <f t="shared" si="584"/>
        <v>5404244.8462113105</v>
      </c>
      <c r="CE224" s="3264"/>
      <c r="CI224" s="3235">
        <f t="shared" si="585"/>
        <v>8919311</v>
      </c>
      <c r="CJ224" s="3236">
        <f t="shared" si="586"/>
        <v>3031050.6390768071</v>
      </c>
      <c r="CK224" s="3236">
        <f t="shared" si="587"/>
        <v>484015.51471188344</v>
      </c>
      <c r="CL224" s="3236">
        <f t="shared" si="588"/>
        <v>5404244.8462113105</v>
      </c>
      <c r="CM224" s="3264"/>
      <c r="CQ224" s="3235">
        <f t="shared" si="589"/>
        <v>8919311</v>
      </c>
      <c r="CR224" s="3236">
        <f t="shared" si="590"/>
        <v>3031050.6390768071</v>
      </c>
      <c r="CS224" s="3236">
        <f t="shared" si="591"/>
        <v>484015.51471188344</v>
      </c>
      <c r="CT224" s="3236">
        <f t="shared" si="592"/>
        <v>5404244.8462113105</v>
      </c>
      <c r="CU224" s="3264"/>
      <c r="CY224" s="3235">
        <f t="shared" si="593"/>
        <v>8919311</v>
      </c>
      <c r="CZ224" s="3236">
        <f t="shared" si="594"/>
        <v>3031050.6390768071</v>
      </c>
      <c r="DA224" s="3236">
        <f t="shared" si="595"/>
        <v>484015.51471188344</v>
      </c>
      <c r="DB224" s="3236">
        <f t="shared" si="596"/>
        <v>5404244.8462113105</v>
      </c>
      <c r="DC224" s="3264"/>
      <c r="DG224" s="3235">
        <f t="shared" si="597"/>
        <v>8919311</v>
      </c>
      <c r="DH224" s="3236">
        <f t="shared" si="598"/>
        <v>3031050.6390768071</v>
      </c>
      <c r="DI224" s="3236">
        <f t="shared" si="599"/>
        <v>484015.51471188344</v>
      </c>
      <c r="DJ224" s="3236">
        <f t="shared" si="600"/>
        <v>5404244.8462113105</v>
      </c>
      <c r="DK224" s="3264"/>
      <c r="DO224" s="3235">
        <f t="shared" si="601"/>
        <v>8919311</v>
      </c>
      <c r="DP224" s="3236">
        <f t="shared" si="602"/>
        <v>3031050.6390768071</v>
      </c>
      <c r="DQ224" s="3236">
        <f t="shared" si="603"/>
        <v>484015.51471188344</v>
      </c>
      <c r="DR224" s="3236">
        <f t="shared" si="604"/>
        <v>5404244.8462113105</v>
      </c>
      <c r="DS224" s="3264"/>
      <c r="DW224" s="3235">
        <f t="shared" si="605"/>
        <v>8919311</v>
      </c>
      <c r="DX224" s="3236">
        <f t="shared" si="606"/>
        <v>3031050.6390768071</v>
      </c>
      <c r="DY224" s="3236">
        <f t="shared" si="607"/>
        <v>484015.51471188344</v>
      </c>
      <c r="DZ224" s="3236">
        <f t="shared" si="608"/>
        <v>5404244.8462113105</v>
      </c>
      <c r="EA224" s="3264"/>
      <c r="EE224" s="3235">
        <f t="shared" si="609"/>
        <v>8919311</v>
      </c>
      <c r="EF224" s="3236">
        <f t="shared" si="610"/>
        <v>3031050.6390768071</v>
      </c>
      <c r="EG224" s="3236">
        <f t="shared" si="611"/>
        <v>484015.51471188344</v>
      </c>
      <c r="EH224" s="3236">
        <f t="shared" si="612"/>
        <v>5404244.8462113105</v>
      </c>
      <c r="EI224" s="3264"/>
      <c r="EM224" s="3235">
        <f t="shared" si="613"/>
        <v>8919311</v>
      </c>
      <c r="EN224" s="3236">
        <f t="shared" si="614"/>
        <v>3031050.6390768071</v>
      </c>
      <c r="EO224" s="3236">
        <f t="shared" si="615"/>
        <v>484015.51471188344</v>
      </c>
      <c r="EP224" s="3236">
        <f t="shared" si="616"/>
        <v>5404244.8462113105</v>
      </c>
      <c r="EQ224" s="3264"/>
      <c r="EU224" s="3235">
        <f t="shared" si="617"/>
        <v>8919311</v>
      </c>
      <c r="EV224" s="3236">
        <f t="shared" si="618"/>
        <v>3031050.6390768071</v>
      </c>
      <c r="EW224" s="3236">
        <f t="shared" si="619"/>
        <v>484015.51471188344</v>
      </c>
      <c r="EX224" s="3236">
        <f t="shared" si="620"/>
        <v>5404244.8462113105</v>
      </c>
      <c r="EY224" s="3264"/>
      <c r="FC224" s="3235">
        <f t="shared" si="621"/>
        <v>8919311</v>
      </c>
      <c r="FD224" s="3236">
        <f t="shared" si="622"/>
        <v>3031050.6390768071</v>
      </c>
      <c r="FE224" s="3236">
        <f t="shared" si="623"/>
        <v>484015.51471188344</v>
      </c>
      <c r="FF224" s="3236">
        <f t="shared" si="624"/>
        <v>5404244.8462113105</v>
      </c>
      <c r="FG224" s="3264"/>
      <c r="FK224" s="3235">
        <f t="shared" si="625"/>
        <v>8919311</v>
      </c>
      <c r="FL224" s="3236">
        <f t="shared" si="626"/>
        <v>3031050.6390768071</v>
      </c>
      <c r="FM224" s="3236">
        <f t="shared" si="627"/>
        <v>484015.51471188344</v>
      </c>
      <c r="FN224" s="3236">
        <f t="shared" si="628"/>
        <v>5404244.8462113105</v>
      </c>
      <c r="FO224" s="3264"/>
    </row>
    <row r="225" spans="1:171">
      <c r="A225" s="2092"/>
      <c r="B225" s="2185" t="s">
        <v>465</v>
      </c>
      <c r="C225" s="2464" t="s">
        <v>72</v>
      </c>
      <c r="D225" s="2464">
        <v>926</v>
      </c>
      <c r="E225" s="2424" t="str">
        <f>'Sch 3 - Expenses'!E65</f>
        <v>LABOR</v>
      </c>
      <c r="F225" s="2171"/>
      <c r="G225" s="2424">
        <f>'Sch 3 - Expenses'!G65</f>
        <v>28392494</v>
      </c>
      <c r="H225" s="2424">
        <f>'Sch 3 - Expenses'!H65</f>
        <v>9648624.9984650631</v>
      </c>
      <c r="I225" s="2424">
        <f>'Sch 3 - Expenses'!I65</f>
        <v>0</v>
      </c>
      <c r="J225" s="3465">
        <f>'Sch 3 - Expenses'!J65</f>
        <v>18743869.001534939</v>
      </c>
      <c r="K225" s="3205">
        <f t="shared" si="548"/>
        <v>1</v>
      </c>
      <c r="O225" s="3235">
        <f t="shared" si="549"/>
        <v>28392494</v>
      </c>
      <c r="P225" s="3236">
        <f t="shared" si="550"/>
        <v>9648624.9984650631</v>
      </c>
      <c r="Q225" s="3236">
        <f t="shared" si="551"/>
        <v>1540747.6650790698</v>
      </c>
      <c r="R225" s="3236">
        <f t="shared" si="552"/>
        <v>17203121.33645587</v>
      </c>
      <c r="S225" s="3264"/>
      <c r="W225" s="3235">
        <f t="shared" si="553"/>
        <v>28392494</v>
      </c>
      <c r="X225" s="3236">
        <f t="shared" si="554"/>
        <v>9648624.9984650631</v>
      </c>
      <c r="Y225" s="3236">
        <f t="shared" si="555"/>
        <v>1540747.6650790698</v>
      </c>
      <c r="Z225" s="3236">
        <f t="shared" si="556"/>
        <v>17203121.33645587</v>
      </c>
      <c r="AA225" s="3264"/>
      <c r="AE225" s="3235">
        <f t="shared" si="557"/>
        <v>28392494</v>
      </c>
      <c r="AF225" s="3236">
        <f t="shared" si="558"/>
        <v>9648624.9984650631</v>
      </c>
      <c r="AG225" s="3236">
        <f t="shared" si="559"/>
        <v>1540747.6650790698</v>
      </c>
      <c r="AH225" s="3236">
        <f t="shared" si="560"/>
        <v>17203121.33645587</v>
      </c>
      <c r="AI225" s="3264"/>
      <c r="AM225" s="3235">
        <f t="shared" si="561"/>
        <v>28392494</v>
      </c>
      <c r="AN225" s="3236">
        <f t="shared" si="562"/>
        <v>9648624.9984650631</v>
      </c>
      <c r="AO225" s="3236">
        <f t="shared" si="563"/>
        <v>1540747.6650790698</v>
      </c>
      <c r="AP225" s="3236">
        <f t="shared" si="564"/>
        <v>17203121.33645587</v>
      </c>
      <c r="AQ225" s="3264"/>
      <c r="AU225" s="3235">
        <f t="shared" si="565"/>
        <v>28392494</v>
      </c>
      <c r="AV225" s="3236">
        <f t="shared" si="566"/>
        <v>9648624.9984650631</v>
      </c>
      <c r="AW225" s="3236">
        <f t="shared" si="567"/>
        <v>1540747.6650790698</v>
      </c>
      <c r="AX225" s="3236">
        <f t="shared" si="568"/>
        <v>17203121.33645587</v>
      </c>
      <c r="AY225" s="3264"/>
      <c r="BC225" s="3235">
        <f t="shared" si="569"/>
        <v>28392494</v>
      </c>
      <c r="BD225" s="3236">
        <f t="shared" si="570"/>
        <v>9648624.9984650631</v>
      </c>
      <c r="BE225" s="3236">
        <f t="shared" si="571"/>
        <v>1540747.6650790698</v>
      </c>
      <c r="BF225" s="3236">
        <f t="shared" si="572"/>
        <v>17203121.33645587</v>
      </c>
      <c r="BG225" s="3264"/>
      <c r="BK225" s="3235">
        <f t="shared" si="573"/>
        <v>28392494</v>
      </c>
      <c r="BL225" s="3236">
        <f t="shared" si="574"/>
        <v>9648624.9984650631</v>
      </c>
      <c r="BM225" s="3236">
        <f t="shared" si="575"/>
        <v>1540747.6650790698</v>
      </c>
      <c r="BN225" s="3236">
        <f t="shared" si="576"/>
        <v>17203121.33645587</v>
      </c>
      <c r="BO225" s="3264"/>
      <c r="BS225" s="3235">
        <f t="shared" si="577"/>
        <v>28392494</v>
      </c>
      <c r="BT225" s="3236">
        <f t="shared" si="578"/>
        <v>9648624.9984650631</v>
      </c>
      <c r="BU225" s="3236">
        <f t="shared" si="579"/>
        <v>1540747.6650790698</v>
      </c>
      <c r="BV225" s="3236">
        <f t="shared" si="580"/>
        <v>17203121.33645587</v>
      </c>
      <c r="BW225" s="3264"/>
      <c r="CA225" s="3235">
        <f t="shared" si="581"/>
        <v>28392494</v>
      </c>
      <c r="CB225" s="3236">
        <f t="shared" si="582"/>
        <v>9648624.9984650631</v>
      </c>
      <c r="CC225" s="3236">
        <f t="shared" si="583"/>
        <v>1540747.6650790698</v>
      </c>
      <c r="CD225" s="3236">
        <f t="shared" si="584"/>
        <v>17203121.33645587</v>
      </c>
      <c r="CE225" s="3264"/>
      <c r="CI225" s="3235">
        <f t="shared" si="585"/>
        <v>28392494</v>
      </c>
      <c r="CJ225" s="3236">
        <f t="shared" si="586"/>
        <v>9648624.9984650631</v>
      </c>
      <c r="CK225" s="3236">
        <f t="shared" si="587"/>
        <v>1540747.6650790698</v>
      </c>
      <c r="CL225" s="3236">
        <f t="shared" si="588"/>
        <v>17203121.33645587</v>
      </c>
      <c r="CM225" s="3264"/>
      <c r="CQ225" s="3235">
        <f t="shared" si="589"/>
        <v>28392494</v>
      </c>
      <c r="CR225" s="3236">
        <f t="shared" si="590"/>
        <v>9648624.9984650631</v>
      </c>
      <c r="CS225" s="3236">
        <f t="shared" si="591"/>
        <v>1540747.6650790698</v>
      </c>
      <c r="CT225" s="3236">
        <f t="shared" si="592"/>
        <v>17203121.33645587</v>
      </c>
      <c r="CU225" s="3264"/>
      <c r="CY225" s="3235">
        <f t="shared" si="593"/>
        <v>28392494</v>
      </c>
      <c r="CZ225" s="3236">
        <f t="shared" si="594"/>
        <v>9648624.9984650631</v>
      </c>
      <c r="DA225" s="3236">
        <f t="shared" si="595"/>
        <v>1540747.6650790698</v>
      </c>
      <c r="DB225" s="3236">
        <f t="shared" si="596"/>
        <v>17203121.33645587</v>
      </c>
      <c r="DC225" s="3264"/>
      <c r="DG225" s="3235">
        <f t="shared" si="597"/>
        <v>28392494</v>
      </c>
      <c r="DH225" s="3236">
        <f t="shared" si="598"/>
        <v>9648624.9984650631</v>
      </c>
      <c r="DI225" s="3236">
        <f t="shared" si="599"/>
        <v>1540747.6650790698</v>
      </c>
      <c r="DJ225" s="3236">
        <f t="shared" si="600"/>
        <v>17203121.33645587</v>
      </c>
      <c r="DK225" s="3264"/>
      <c r="DO225" s="3235">
        <f t="shared" si="601"/>
        <v>28392494</v>
      </c>
      <c r="DP225" s="3236">
        <f t="shared" si="602"/>
        <v>9648624.9984650631</v>
      </c>
      <c r="DQ225" s="3236">
        <f t="shared" si="603"/>
        <v>1540747.6650790698</v>
      </c>
      <c r="DR225" s="3236">
        <f t="shared" si="604"/>
        <v>17203121.33645587</v>
      </c>
      <c r="DS225" s="3264"/>
      <c r="DW225" s="3235">
        <f t="shared" si="605"/>
        <v>28392494</v>
      </c>
      <c r="DX225" s="3236">
        <f t="shared" si="606"/>
        <v>9648624.9984650631</v>
      </c>
      <c r="DY225" s="3236">
        <f t="shared" si="607"/>
        <v>1540747.6650790698</v>
      </c>
      <c r="DZ225" s="3236">
        <f t="shared" si="608"/>
        <v>17203121.33645587</v>
      </c>
      <c r="EA225" s="3264"/>
      <c r="EE225" s="3235">
        <f t="shared" si="609"/>
        <v>28392494</v>
      </c>
      <c r="EF225" s="3236">
        <f t="shared" si="610"/>
        <v>9648624.9984650631</v>
      </c>
      <c r="EG225" s="3236">
        <f t="shared" si="611"/>
        <v>1540747.6650790698</v>
      </c>
      <c r="EH225" s="3236">
        <f t="shared" si="612"/>
        <v>17203121.33645587</v>
      </c>
      <c r="EI225" s="3264"/>
      <c r="EM225" s="3235">
        <f t="shared" si="613"/>
        <v>28392494</v>
      </c>
      <c r="EN225" s="3236">
        <f t="shared" si="614"/>
        <v>9648624.9984650631</v>
      </c>
      <c r="EO225" s="3236">
        <f t="shared" si="615"/>
        <v>1540747.6650790698</v>
      </c>
      <c r="EP225" s="3236">
        <f t="shared" si="616"/>
        <v>17203121.33645587</v>
      </c>
      <c r="EQ225" s="3264"/>
      <c r="EU225" s="3235">
        <f t="shared" si="617"/>
        <v>28392494</v>
      </c>
      <c r="EV225" s="3236">
        <f t="shared" si="618"/>
        <v>9648624.9984650631</v>
      </c>
      <c r="EW225" s="3236">
        <f t="shared" si="619"/>
        <v>1540747.6650790698</v>
      </c>
      <c r="EX225" s="3236">
        <f t="shared" si="620"/>
        <v>17203121.33645587</v>
      </c>
      <c r="EY225" s="3264"/>
      <c r="FC225" s="3235">
        <f t="shared" si="621"/>
        <v>28392494</v>
      </c>
      <c r="FD225" s="3236">
        <f t="shared" si="622"/>
        <v>9648624.9984650631</v>
      </c>
      <c r="FE225" s="3236">
        <f t="shared" si="623"/>
        <v>1540747.6650790698</v>
      </c>
      <c r="FF225" s="3236">
        <f t="shared" si="624"/>
        <v>17203121.33645587</v>
      </c>
      <c r="FG225" s="3264"/>
      <c r="FK225" s="3235">
        <f t="shared" si="625"/>
        <v>28392494</v>
      </c>
      <c r="FL225" s="3236">
        <f t="shared" si="626"/>
        <v>9648624.9984650631</v>
      </c>
      <c r="FM225" s="3236">
        <f t="shared" si="627"/>
        <v>1540747.6650790698</v>
      </c>
      <c r="FN225" s="3236">
        <f t="shared" si="628"/>
        <v>17203121.33645587</v>
      </c>
      <c r="FO225" s="3264"/>
    </row>
    <row r="226" spans="1:171">
      <c r="A226" s="2092"/>
      <c r="B226" s="2185" t="s">
        <v>466</v>
      </c>
      <c r="C226" s="2464" t="s">
        <v>72</v>
      </c>
      <c r="D226" s="2464">
        <v>927</v>
      </c>
      <c r="E226" s="2424" t="str">
        <f>'Sch 3 - Expenses'!E66</f>
        <v>DIST</v>
      </c>
      <c r="F226" s="2171"/>
      <c r="G226" s="2424">
        <f>'Sch 3 - Expenses'!G66</f>
        <v>0</v>
      </c>
      <c r="H226" s="2424">
        <f>'Sch 3 - Expenses'!H66</f>
        <v>0</v>
      </c>
      <c r="I226" s="2424">
        <f>'Sch 3 - Expenses'!I66</f>
        <v>0</v>
      </c>
      <c r="J226" s="3465">
        <f>'Sch 3 - Expenses'!J66</f>
        <v>0</v>
      </c>
      <c r="K226" s="3205">
        <f t="shared" si="548"/>
        <v>1</v>
      </c>
      <c r="O226" s="3235">
        <f t="shared" si="549"/>
        <v>0</v>
      </c>
      <c r="P226" s="3236">
        <f t="shared" si="550"/>
        <v>0</v>
      </c>
      <c r="Q226" s="3236">
        <f t="shared" si="551"/>
        <v>0</v>
      </c>
      <c r="R226" s="3236">
        <f t="shared" si="552"/>
        <v>0</v>
      </c>
      <c r="S226" s="3264"/>
      <c r="W226" s="3235">
        <f t="shared" si="553"/>
        <v>0</v>
      </c>
      <c r="X226" s="3236">
        <f t="shared" si="554"/>
        <v>0</v>
      </c>
      <c r="Y226" s="3236">
        <f t="shared" si="555"/>
        <v>0</v>
      </c>
      <c r="Z226" s="3236">
        <f t="shared" si="556"/>
        <v>0</v>
      </c>
      <c r="AA226" s="3264"/>
      <c r="AE226" s="3235">
        <f t="shared" si="557"/>
        <v>0</v>
      </c>
      <c r="AF226" s="3236">
        <f t="shared" si="558"/>
        <v>0</v>
      </c>
      <c r="AG226" s="3236">
        <f t="shared" si="559"/>
        <v>0</v>
      </c>
      <c r="AH226" s="3236">
        <f t="shared" si="560"/>
        <v>0</v>
      </c>
      <c r="AI226" s="3264"/>
      <c r="AM226" s="3235">
        <f t="shared" si="561"/>
        <v>0</v>
      </c>
      <c r="AN226" s="3236">
        <f t="shared" si="562"/>
        <v>0</v>
      </c>
      <c r="AO226" s="3236">
        <f t="shared" si="563"/>
        <v>0</v>
      </c>
      <c r="AP226" s="3236">
        <f t="shared" si="564"/>
        <v>0</v>
      </c>
      <c r="AQ226" s="3264"/>
      <c r="AU226" s="3235">
        <f t="shared" si="565"/>
        <v>0</v>
      </c>
      <c r="AV226" s="3236">
        <f t="shared" si="566"/>
        <v>0</v>
      </c>
      <c r="AW226" s="3236">
        <f t="shared" si="567"/>
        <v>0</v>
      </c>
      <c r="AX226" s="3236">
        <f t="shared" si="568"/>
        <v>0</v>
      </c>
      <c r="AY226" s="3264"/>
      <c r="BC226" s="3235">
        <f t="shared" si="569"/>
        <v>0</v>
      </c>
      <c r="BD226" s="3236">
        <f t="shared" si="570"/>
        <v>0</v>
      </c>
      <c r="BE226" s="3236">
        <f t="shared" si="571"/>
        <v>0</v>
      </c>
      <c r="BF226" s="3236">
        <f t="shared" si="572"/>
        <v>0</v>
      </c>
      <c r="BG226" s="3264"/>
      <c r="BK226" s="3235">
        <f t="shared" si="573"/>
        <v>0</v>
      </c>
      <c r="BL226" s="3236">
        <f t="shared" si="574"/>
        <v>0</v>
      </c>
      <c r="BM226" s="3236">
        <f t="shared" si="575"/>
        <v>0</v>
      </c>
      <c r="BN226" s="3236">
        <f t="shared" si="576"/>
        <v>0</v>
      </c>
      <c r="BO226" s="3264"/>
      <c r="BS226" s="3235">
        <f t="shared" si="577"/>
        <v>0</v>
      </c>
      <c r="BT226" s="3236">
        <f t="shared" si="578"/>
        <v>0</v>
      </c>
      <c r="BU226" s="3236">
        <f t="shared" si="579"/>
        <v>0</v>
      </c>
      <c r="BV226" s="3236">
        <f t="shared" si="580"/>
        <v>0</v>
      </c>
      <c r="BW226" s="3264"/>
      <c r="CA226" s="3235">
        <f t="shared" si="581"/>
        <v>0</v>
      </c>
      <c r="CB226" s="3236">
        <f t="shared" si="582"/>
        <v>0</v>
      </c>
      <c r="CC226" s="3236">
        <f t="shared" si="583"/>
        <v>0</v>
      </c>
      <c r="CD226" s="3236">
        <f t="shared" si="584"/>
        <v>0</v>
      </c>
      <c r="CE226" s="3264"/>
      <c r="CI226" s="3235">
        <f t="shared" si="585"/>
        <v>0</v>
      </c>
      <c r="CJ226" s="3236">
        <f t="shared" si="586"/>
        <v>0</v>
      </c>
      <c r="CK226" s="3236">
        <f t="shared" si="587"/>
        <v>0</v>
      </c>
      <c r="CL226" s="3236">
        <f t="shared" si="588"/>
        <v>0</v>
      </c>
      <c r="CM226" s="3264"/>
      <c r="CQ226" s="3235">
        <f t="shared" si="589"/>
        <v>0</v>
      </c>
      <c r="CR226" s="3236">
        <f t="shared" si="590"/>
        <v>0</v>
      </c>
      <c r="CS226" s="3236">
        <f t="shared" si="591"/>
        <v>0</v>
      </c>
      <c r="CT226" s="3236">
        <f t="shared" si="592"/>
        <v>0</v>
      </c>
      <c r="CU226" s="3264"/>
      <c r="CY226" s="3235">
        <f t="shared" si="593"/>
        <v>0</v>
      </c>
      <c r="CZ226" s="3236">
        <f t="shared" si="594"/>
        <v>0</v>
      </c>
      <c r="DA226" s="3236">
        <f t="shared" si="595"/>
        <v>0</v>
      </c>
      <c r="DB226" s="3236">
        <f t="shared" si="596"/>
        <v>0</v>
      </c>
      <c r="DC226" s="3264"/>
      <c r="DG226" s="3235">
        <f t="shared" si="597"/>
        <v>0</v>
      </c>
      <c r="DH226" s="3236">
        <f t="shared" si="598"/>
        <v>0</v>
      </c>
      <c r="DI226" s="3236">
        <f t="shared" si="599"/>
        <v>0</v>
      </c>
      <c r="DJ226" s="3236">
        <f t="shared" si="600"/>
        <v>0</v>
      </c>
      <c r="DK226" s="3264"/>
      <c r="DO226" s="3235">
        <f t="shared" si="601"/>
        <v>0</v>
      </c>
      <c r="DP226" s="3236">
        <f t="shared" si="602"/>
        <v>0</v>
      </c>
      <c r="DQ226" s="3236">
        <f t="shared" si="603"/>
        <v>0</v>
      </c>
      <c r="DR226" s="3236">
        <f t="shared" si="604"/>
        <v>0</v>
      </c>
      <c r="DS226" s="3264"/>
      <c r="DW226" s="3235">
        <f t="shared" si="605"/>
        <v>0</v>
      </c>
      <c r="DX226" s="3236">
        <f t="shared" si="606"/>
        <v>0</v>
      </c>
      <c r="DY226" s="3236">
        <f t="shared" si="607"/>
        <v>0</v>
      </c>
      <c r="DZ226" s="3236">
        <f t="shared" si="608"/>
        <v>0</v>
      </c>
      <c r="EA226" s="3264"/>
      <c r="EE226" s="3235">
        <f t="shared" si="609"/>
        <v>0</v>
      </c>
      <c r="EF226" s="3236">
        <f t="shared" si="610"/>
        <v>0</v>
      </c>
      <c r="EG226" s="3236">
        <f t="shared" si="611"/>
        <v>0</v>
      </c>
      <c r="EH226" s="3236">
        <f t="shared" si="612"/>
        <v>0</v>
      </c>
      <c r="EI226" s="3264"/>
      <c r="EM226" s="3235">
        <f t="shared" si="613"/>
        <v>0</v>
      </c>
      <c r="EN226" s="3236">
        <f t="shared" si="614"/>
        <v>0</v>
      </c>
      <c r="EO226" s="3236">
        <f t="shared" si="615"/>
        <v>0</v>
      </c>
      <c r="EP226" s="3236">
        <f t="shared" si="616"/>
        <v>0</v>
      </c>
      <c r="EQ226" s="3264"/>
      <c r="EU226" s="3235">
        <f t="shared" si="617"/>
        <v>0</v>
      </c>
      <c r="EV226" s="3236">
        <f t="shared" si="618"/>
        <v>0</v>
      </c>
      <c r="EW226" s="3236">
        <f t="shared" si="619"/>
        <v>0</v>
      </c>
      <c r="EX226" s="3236">
        <f t="shared" si="620"/>
        <v>0</v>
      </c>
      <c r="EY226" s="3264"/>
      <c r="FC226" s="3235">
        <f t="shared" si="621"/>
        <v>0</v>
      </c>
      <c r="FD226" s="3236">
        <f t="shared" si="622"/>
        <v>0</v>
      </c>
      <c r="FE226" s="3236">
        <f t="shared" si="623"/>
        <v>0</v>
      </c>
      <c r="FF226" s="3236">
        <f t="shared" si="624"/>
        <v>0</v>
      </c>
      <c r="FG226" s="3264"/>
      <c r="FK226" s="3235">
        <f t="shared" si="625"/>
        <v>0</v>
      </c>
      <c r="FL226" s="3236">
        <f t="shared" si="626"/>
        <v>0</v>
      </c>
      <c r="FM226" s="3236">
        <f t="shared" si="627"/>
        <v>0</v>
      </c>
      <c r="FN226" s="3236">
        <f t="shared" si="628"/>
        <v>0</v>
      </c>
      <c r="FO226" s="3264"/>
    </row>
    <row r="227" spans="1:171">
      <c r="A227" s="2092"/>
      <c r="B227" s="2185" t="s">
        <v>468</v>
      </c>
      <c r="C227" s="2464" t="s">
        <v>72</v>
      </c>
      <c r="D227" s="2464">
        <v>928</v>
      </c>
      <c r="E227" s="2424" t="str">
        <f>'Sch 3 - Expenses'!E67</f>
        <v>DIST</v>
      </c>
      <c r="F227" s="2171"/>
      <c r="G227" s="2424">
        <f>'Sch 3 - Expenses'!G67</f>
        <v>16043545</v>
      </c>
      <c r="H227" s="2424">
        <f>'Sch 3 - Expenses'!H67</f>
        <v>0</v>
      </c>
      <c r="I227" s="2424">
        <f>'Sch 3 - Expenses'!I67</f>
        <v>0</v>
      </c>
      <c r="J227" s="3465">
        <f>'Sch 3 - Expenses'!J67</f>
        <v>16043545</v>
      </c>
      <c r="K227" s="3205">
        <f t="shared" si="548"/>
        <v>1</v>
      </c>
      <c r="O227" s="3235">
        <f t="shared" si="549"/>
        <v>16043545</v>
      </c>
      <c r="P227" s="3236">
        <f t="shared" si="550"/>
        <v>0</v>
      </c>
      <c r="Q227" s="3236">
        <f t="shared" si="551"/>
        <v>0</v>
      </c>
      <c r="R227" s="3236">
        <f t="shared" si="552"/>
        <v>16043545</v>
      </c>
      <c r="S227" s="3264"/>
      <c r="W227" s="3235">
        <f t="shared" si="553"/>
        <v>16043545</v>
      </c>
      <c r="X227" s="3236">
        <f t="shared" si="554"/>
        <v>0</v>
      </c>
      <c r="Y227" s="3236">
        <f t="shared" si="555"/>
        <v>0</v>
      </c>
      <c r="Z227" s="3236">
        <f t="shared" si="556"/>
        <v>16043545</v>
      </c>
      <c r="AA227" s="3264"/>
      <c r="AE227" s="3235">
        <f t="shared" si="557"/>
        <v>16043545</v>
      </c>
      <c r="AF227" s="3236">
        <f t="shared" si="558"/>
        <v>0</v>
      </c>
      <c r="AG227" s="3236">
        <f t="shared" si="559"/>
        <v>0</v>
      </c>
      <c r="AH227" s="3236">
        <f t="shared" si="560"/>
        <v>16043545</v>
      </c>
      <c r="AI227" s="3264"/>
      <c r="AM227" s="3235">
        <f t="shared" si="561"/>
        <v>16043545</v>
      </c>
      <c r="AN227" s="3236">
        <f t="shared" si="562"/>
        <v>0</v>
      </c>
      <c r="AO227" s="3236">
        <f t="shared" si="563"/>
        <v>0</v>
      </c>
      <c r="AP227" s="3236">
        <f t="shared" si="564"/>
        <v>16043545</v>
      </c>
      <c r="AQ227" s="3264"/>
      <c r="AU227" s="3235">
        <f t="shared" si="565"/>
        <v>16043545</v>
      </c>
      <c r="AV227" s="3236">
        <f t="shared" si="566"/>
        <v>0</v>
      </c>
      <c r="AW227" s="3236">
        <f t="shared" si="567"/>
        <v>0</v>
      </c>
      <c r="AX227" s="3236">
        <f t="shared" si="568"/>
        <v>16043545</v>
      </c>
      <c r="AY227" s="3264"/>
      <c r="BC227" s="3235">
        <f t="shared" si="569"/>
        <v>16043545</v>
      </c>
      <c r="BD227" s="3236">
        <f t="shared" si="570"/>
        <v>0</v>
      </c>
      <c r="BE227" s="3236">
        <f t="shared" si="571"/>
        <v>0</v>
      </c>
      <c r="BF227" s="3236">
        <f t="shared" si="572"/>
        <v>16043545</v>
      </c>
      <c r="BG227" s="3264"/>
      <c r="BK227" s="3235">
        <f t="shared" si="573"/>
        <v>16043545</v>
      </c>
      <c r="BL227" s="3236">
        <f t="shared" si="574"/>
        <v>0</v>
      </c>
      <c r="BM227" s="3236">
        <f t="shared" si="575"/>
        <v>0</v>
      </c>
      <c r="BN227" s="3236">
        <f t="shared" si="576"/>
        <v>16043545</v>
      </c>
      <c r="BO227" s="3264"/>
      <c r="BS227" s="3235">
        <f t="shared" si="577"/>
        <v>16043545</v>
      </c>
      <c r="BT227" s="3236">
        <f t="shared" si="578"/>
        <v>0</v>
      </c>
      <c r="BU227" s="3236">
        <f t="shared" si="579"/>
        <v>0</v>
      </c>
      <c r="BV227" s="3236">
        <f t="shared" si="580"/>
        <v>16043545</v>
      </c>
      <c r="BW227" s="3264"/>
      <c r="CA227" s="3235">
        <f t="shared" si="581"/>
        <v>16043545</v>
      </c>
      <c r="CB227" s="3236">
        <f t="shared" si="582"/>
        <v>0</v>
      </c>
      <c r="CC227" s="3236">
        <f t="shared" si="583"/>
        <v>0</v>
      </c>
      <c r="CD227" s="3236">
        <f t="shared" si="584"/>
        <v>16043545</v>
      </c>
      <c r="CE227" s="3264"/>
      <c r="CI227" s="3235">
        <f t="shared" si="585"/>
        <v>16043545</v>
      </c>
      <c r="CJ227" s="3236">
        <f t="shared" si="586"/>
        <v>0</v>
      </c>
      <c r="CK227" s="3236">
        <f t="shared" si="587"/>
        <v>0</v>
      </c>
      <c r="CL227" s="3236">
        <f t="shared" si="588"/>
        <v>16043545</v>
      </c>
      <c r="CM227" s="3264"/>
      <c r="CQ227" s="3235">
        <f t="shared" si="589"/>
        <v>16043545</v>
      </c>
      <c r="CR227" s="3236">
        <f t="shared" si="590"/>
        <v>0</v>
      </c>
      <c r="CS227" s="3236">
        <f t="shared" si="591"/>
        <v>0</v>
      </c>
      <c r="CT227" s="3236">
        <f t="shared" si="592"/>
        <v>16043545</v>
      </c>
      <c r="CU227" s="3264"/>
      <c r="CY227" s="3235">
        <f t="shared" si="593"/>
        <v>16043545</v>
      </c>
      <c r="CZ227" s="3236">
        <f t="shared" si="594"/>
        <v>0</v>
      </c>
      <c r="DA227" s="3236">
        <f t="shared" si="595"/>
        <v>0</v>
      </c>
      <c r="DB227" s="3236">
        <f t="shared" si="596"/>
        <v>16043545</v>
      </c>
      <c r="DC227" s="3264"/>
      <c r="DG227" s="3235">
        <f t="shared" si="597"/>
        <v>16043545</v>
      </c>
      <c r="DH227" s="3236">
        <f t="shared" si="598"/>
        <v>0</v>
      </c>
      <c r="DI227" s="3236">
        <f t="shared" si="599"/>
        <v>0</v>
      </c>
      <c r="DJ227" s="3236">
        <f t="shared" si="600"/>
        <v>16043545</v>
      </c>
      <c r="DK227" s="3264"/>
      <c r="DO227" s="3235">
        <f t="shared" si="601"/>
        <v>16043545</v>
      </c>
      <c r="DP227" s="3236">
        <f t="shared" si="602"/>
        <v>0</v>
      </c>
      <c r="DQ227" s="3236">
        <f t="shared" si="603"/>
        <v>0</v>
      </c>
      <c r="DR227" s="3236">
        <f t="shared" si="604"/>
        <v>16043545</v>
      </c>
      <c r="DS227" s="3264"/>
      <c r="DW227" s="3235">
        <f t="shared" si="605"/>
        <v>16043545</v>
      </c>
      <c r="DX227" s="3236">
        <f t="shared" si="606"/>
        <v>0</v>
      </c>
      <c r="DY227" s="3236">
        <f t="shared" si="607"/>
        <v>0</v>
      </c>
      <c r="DZ227" s="3236">
        <f t="shared" si="608"/>
        <v>16043545</v>
      </c>
      <c r="EA227" s="3264"/>
      <c r="EE227" s="3235">
        <f t="shared" si="609"/>
        <v>16043545</v>
      </c>
      <c r="EF227" s="3236">
        <f t="shared" si="610"/>
        <v>0</v>
      </c>
      <c r="EG227" s="3236">
        <f t="shared" si="611"/>
        <v>0</v>
      </c>
      <c r="EH227" s="3236">
        <f t="shared" si="612"/>
        <v>16043545</v>
      </c>
      <c r="EI227" s="3264"/>
      <c r="EM227" s="3235">
        <f t="shared" si="613"/>
        <v>16043545</v>
      </c>
      <c r="EN227" s="3236">
        <f t="shared" si="614"/>
        <v>0</v>
      </c>
      <c r="EO227" s="3236">
        <f t="shared" si="615"/>
        <v>0</v>
      </c>
      <c r="EP227" s="3236">
        <f t="shared" si="616"/>
        <v>16043545</v>
      </c>
      <c r="EQ227" s="3264"/>
      <c r="EU227" s="3235">
        <f t="shared" si="617"/>
        <v>16043545</v>
      </c>
      <c r="EV227" s="3236">
        <f t="shared" si="618"/>
        <v>0</v>
      </c>
      <c r="EW227" s="3236">
        <f t="shared" si="619"/>
        <v>0</v>
      </c>
      <c r="EX227" s="3236">
        <f t="shared" si="620"/>
        <v>16043545</v>
      </c>
      <c r="EY227" s="3264"/>
      <c r="FC227" s="3235">
        <f t="shared" si="621"/>
        <v>16043545</v>
      </c>
      <c r="FD227" s="3236">
        <f t="shared" si="622"/>
        <v>0</v>
      </c>
      <c r="FE227" s="3236">
        <f t="shared" si="623"/>
        <v>0</v>
      </c>
      <c r="FF227" s="3236">
        <f t="shared" si="624"/>
        <v>16043545</v>
      </c>
      <c r="FG227" s="3264"/>
      <c r="FK227" s="3235">
        <f t="shared" si="625"/>
        <v>16043545</v>
      </c>
      <c r="FL227" s="3236">
        <f t="shared" si="626"/>
        <v>0</v>
      </c>
      <c r="FM227" s="3236">
        <f t="shared" si="627"/>
        <v>0</v>
      </c>
      <c r="FN227" s="3236">
        <f t="shared" si="628"/>
        <v>16043545</v>
      </c>
      <c r="FO227" s="3264"/>
    </row>
    <row r="228" spans="1:171">
      <c r="A228" s="2092"/>
      <c r="B228" s="2185" t="s">
        <v>168</v>
      </c>
      <c r="C228" s="2464" t="s">
        <v>72</v>
      </c>
      <c r="D228" s="2464">
        <v>929</v>
      </c>
      <c r="E228" s="2424" t="str">
        <f>'Sch 3 - Expenses'!E68</f>
        <v>PTDG</v>
      </c>
      <c r="F228" s="2171"/>
      <c r="G228" s="2424">
        <f>'Sch 3 - Expenses'!G68</f>
        <v>0</v>
      </c>
      <c r="H228" s="2424">
        <f>'Sch 3 - Expenses'!H68</f>
        <v>0</v>
      </c>
      <c r="I228" s="2424">
        <f>'Sch 3 - Expenses'!I68</f>
        <v>0</v>
      </c>
      <c r="J228" s="3465">
        <f>'Sch 3 - Expenses'!J68</f>
        <v>0</v>
      </c>
      <c r="K228" s="3205">
        <f t="shared" si="548"/>
        <v>1</v>
      </c>
      <c r="O228" s="3235">
        <f t="shared" si="549"/>
        <v>0</v>
      </c>
      <c r="P228" s="3236">
        <f t="shared" si="550"/>
        <v>0</v>
      </c>
      <c r="Q228" s="3236">
        <f t="shared" si="551"/>
        <v>0</v>
      </c>
      <c r="R228" s="3236">
        <f t="shared" si="552"/>
        <v>0</v>
      </c>
      <c r="S228" s="3264"/>
      <c r="W228" s="3235">
        <f t="shared" si="553"/>
        <v>0</v>
      </c>
      <c r="X228" s="3236">
        <f t="shared" si="554"/>
        <v>0</v>
      </c>
      <c r="Y228" s="3236">
        <f t="shared" si="555"/>
        <v>0</v>
      </c>
      <c r="Z228" s="3236">
        <f t="shared" si="556"/>
        <v>0</v>
      </c>
      <c r="AA228" s="3264"/>
      <c r="AE228" s="3235">
        <f t="shared" si="557"/>
        <v>0</v>
      </c>
      <c r="AF228" s="3236">
        <f t="shared" si="558"/>
        <v>0</v>
      </c>
      <c r="AG228" s="3236">
        <f t="shared" si="559"/>
        <v>0</v>
      </c>
      <c r="AH228" s="3236">
        <f t="shared" si="560"/>
        <v>0</v>
      </c>
      <c r="AI228" s="3264"/>
      <c r="AM228" s="3235">
        <f t="shared" si="561"/>
        <v>0</v>
      </c>
      <c r="AN228" s="3236">
        <f t="shared" si="562"/>
        <v>0</v>
      </c>
      <c r="AO228" s="3236">
        <f t="shared" si="563"/>
        <v>0</v>
      </c>
      <c r="AP228" s="3236">
        <f t="shared" si="564"/>
        <v>0</v>
      </c>
      <c r="AQ228" s="3264"/>
      <c r="AU228" s="3235">
        <f t="shared" si="565"/>
        <v>0</v>
      </c>
      <c r="AV228" s="3236">
        <f t="shared" si="566"/>
        <v>0</v>
      </c>
      <c r="AW228" s="3236">
        <f t="shared" si="567"/>
        <v>0</v>
      </c>
      <c r="AX228" s="3236">
        <f t="shared" si="568"/>
        <v>0</v>
      </c>
      <c r="AY228" s="3264"/>
      <c r="BC228" s="3235">
        <f t="shared" si="569"/>
        <v>0</v>
      </c>
      <c r="BD228" s="3236">
        <f t="shared" si="570"/>
        <v>0</v>
      </c>
      <c r="BE228" s="3236">
        <f t="shared" si="571"/>
        <v>0</v>
      </c>
      <c r="BF228" s="3236">
        <f t="shared" si="572"/>
        <v>0</v>
      </c>
      <c r="BG228" s="3264"/>
      <c r="BK228" s="3235">
        <f t="shared" si="573"/>
        <v>0</v>
      </c>
      <c r="BL228" s="3236">
        <f t="shared" si="574"/>
        <v>0</v>
      </c>
      <c r="BM228" s="3236">
        <f t="shared" si="575"/>
        <v>0</v>
      </c>
      <c r="BN228" s="3236">
        <f t="shared" si="576"/>
        <v>0</v>
      </c>
      <c r="BO228" s="3264"/>
      <c r="BS228" s="3235">
        <f t="shared" si="577"/>
        <v>0</v>
      </c>
      <c r="BT228" s="3236">
        <f t="shared" si="578"/>
        <v>0</v>
      </c>
      <c r="BU228" s="3236">
        <f t="shared" si="579"/>
        <v>0</v>
      </c>
      <c r="BV228" s="3236">
        <f t="shared" si="580"/>
        <v>0</v>
      </c>
      <c r="BW228" s="3264"/>
      <c r="CA228" s="3235">
        <f t="shared" si="581"/>
        <v>0</v>
      </c>
      <c r="CB228" s="3236">
        <f t="shared" si="582"/>
        <v>0</v>
      </c>
      <c r="CC228" s="3236">
        <f t="shared" si="583"/>
        <v>0</v>
      </c>
      <c r="CD228" s="3236">
        <f t="shared" si="584"/>
        <v>0</v>
      </c>
      <c r="CE228" s="3264"/>
      <c r="CI228" s="3235">
        <f t="shared" si="585"/>
        <v>0</v>
      </c>
      <c r="CJ228" s="3236">
        <f t="shared" si="586"/>
        <v>0</v>
      </c>
      <c r="CK228" s="3236">
        <f t="shared" si="587"/>
        <v>0</v>
      </c>
      <c r="CL228" s="3236">
        <f t="shared" si="588"/>
        <v>0</v>
      </c>
      <c r="CM228" s="3264"/>
      <c r="CQ228" s="3235">
        <f t="shared" si="589"/>
        <v>0</v>
      </c>
      <c r="CR228" s="3236">
        <f t="shared" si="590"/>
        <v>0</v>
      </c>
      <c r="CS228" s="3236">
        <f t="shared" si="591"/>
        <v>0</v>
      </c>
      <c r="CT228" s="3236">
        <f t="shared" si="592"/>
        <v>0</v>
      </c>
      <c r="CU228" s="3264"/>
      <c r="CY228" s="3235">
        <f t="shared" si="593"/>
        <v>0</v>
      </c>
      <c r="CZ228" s="3236">
        <f t="shared" si="594"/>
        <v>0</v>
      </c>
      <c r="DA228" s="3236">
        <f t="shared" si="595"/>
        <v>0</v>
      </c>
      <c r="DB228" s="3236">
        <f t="shared" si="596"/>
        <v>0</v>
      </c>
      <c r="DC228" s="3264"/>
      <c r="DG228" s="3235">
        <f t="shared" si="597"/>
        <v>0</v>
      </c>
      <c r="DH228" s="3236">
        <f t="shared" si="598"/>
        <v>0</v>
      </c>
      <c r="DI228" s="3236">
        <f t="shared" si="599"/>
        <v>0</v>
      </c>
      <c r="DJ228" s="3236">
        <f t="shared" si="600"/>
        <v>0</v>
      </c>
      <c r="DK228" s="3264"/>
      <c r="DO228" s="3235">
        <f t="shared" si="601"/>
        <v>0</v>
      </c>
      <c r="DP228" s="3236">
        <f t="shared" si="602"/>
        <v>0</v>
      </c>
      <c r="DQ228" s="3236">
        <f t="shared" si="603"/>
        <v>0</v>
      </c>
      <c r="DR228" s="3236">
        <f t="shared" si="604"/>
        <v>0</v>
      </c>
      <c r="DS228" s="3264"/>
      <c r="DW228" s="3235">
        <f t="shared" si="605"/>
        <v>0</v>
      </c>
      <c r="DX228" s="3236">
        <f t="shared" si="606"/>
        <v>0</v>
      </c>
      <c r="DY228" s="3236">
        <f t="shared" si="607"/>
        <v>0</v>
      </c>
      <c r="DZ228" s="3236">
        <f t="shared" si="608"/>
        <v>0</v>
      </c>
      <c r="EA228" s="3264"/>
      <c r="EE228" s="3235">
        <f t="shared" si="609"/>
        <v>0</v>
      </c>
      <c r="EF228" s="3236">
        <f t="shared" si="610"/>
        <v>0</v>
      </c>
      <c r="EG228" s="3236">
        <f t="shared" si="611"/>
        <v>0</v>
      </c>
      <c r="EH228" s="3236">
        <f t="shared" si="612"/>
        <v>0</v>
      </c>
      <c r="EI228" s="3264"/>
      <c r="EM228" s="3235">
        <f t="shared" si="613"/>
        <v>0</v>
      </c>
      <c r="EN228" s="3236">
        <f t="shared" si="614"/>
        <v>0</v>
      </c>
      <c r="EO228" s="3236">
        <f t="shared" si="615"/>
        <v>0</v>
      </c>
      <c r="EP228" s="3236">
        <f t="shared" si="616"/>
        <v>0</v>
      </c>
      <c r="EQ228" s="3264"/>
      <c r="EU228" s="3235">
        <f t="shared" si="617"/>
        <v>0</v>
      </c>
      <c r="EV228" s="3236">
        <f t="shared" si="618"/>
        <v>0</v>
      </c>
      <c r="EW228" s="3236">
        <f t="shared" si="619"/>
        <v>0</v>
      </c>
      <c r="EX228" s="3236">
        <f t="shared" si="620"/>
        <v>0</v>
      </c>
      <c r="EY228" s="3264"/>
      <c r="FC228" s="3235">
        <f t="shared" si="621"/>
        <v>0</v>
      </c>
      <c r="FD228" s="3236">
        <f t="shared" si="622"/>
        <v>0</v>
      </c>
      <c r="FE228" s="3236">
        <f t="shared" si="623"/>
        <v>0</v>
      </c>
      <c r="FF228" s="3236">
        <f t="shared" si="624"/>
        <v>0</v>
      </c>
      <c r="FG228" s="3264"/>
      <c r="FK228" s="3235">
        <f t="shared" si="625"/>
        <v>0</v>
      </c>
      <c r="FL228" s="3236">
        <f t="shared" si="626"/>
        <v>0</v>
      </c>
      <c r="FM228" s="3236">
        <f t="shared" si="627"/>
        <v>0</v>
      </c>
      <c r="FN228" s="3236">
        <f t="shared" si="628"/>
        <v>0</v>
      </c>
      <c r="FO228" s="3264"/>
    </row>
    <row r="229" spans="1:171">
      <c r="A229" s="2092"/>
      <c r="B229" s="2185" t="s">
        <v>169</v>
      </c>
      <c r="C229" s="2464" t="s">
        <v>72</v>
      </c>
      <c r="D229" s="2464">
        <v>930.1</v>
      </c>
      <c r="E229" s="2424" t="str">
        <f>'Sch 3 - Expenses'!E69</f>
        <v>DIST</v>
      </c>
      <c r="F229" s="2171"/>
      <c r="G229" s="2424">
        <f>'Sch 3 - Expenses'!G69</f>
        <v>56129</v>
      </c>
      <c r="H229" s="2424">
        <f>'Sch 3 - Expenses'!H69</f>
        <v>0</v>
      </c>
      <c r="I229" s="2424">
        <f>'Sch 3 - Expenses'!I69</f>
        <v>0</v>
      </c>
      <c r="J229" s="3465">
        <f>'Sch 3 - Expenses'!J69</f>
        <v>56129</v>
      </c>
      <c r="K229" s="3205">
        <f t="shared" si="548"/>
        <v>1</v>
      </c>
      <c r="O229" s="3235">
        <f t="shared" si="549"/>
        <v>56129</v>
      </c>
      <c r="P229" s="3236">
        <f t="shared" si="550"/>
        <v>0</v>
      </c>
      <c r="Q229" s="3236">
        <f t="shared" si="551"/>
        <v>0</v>
      </c>
      <c r="R229" s="3236">
        <f t="shared" si="552"/>
        <v>56129</v>
      </c>
      <c r="S229" s="3264"/>
      <c r="W229" s="3235">
        <f t="shared" si="553"/>
        <v>56129</v>
      </c>
      <c r="X229" s="3236">
        <f t="shared" si="554"/>
        <v>0</v>
      </c>
      <c r="Y229" s="3236">
        <f t="shared" si="555"/>
        <v>0</v>
      </c>
      <c r="Z229" s="3236">
        <f t="shared" si="556"/>
        <v>56129</v>
      </c>
      <c r="AA229" s="3264"/>
      <c r="AE229" s="3235">
        <f t="shared" si="557"/>
        <v>56129</v>
      </c>
      <c r="AF229" s="3236">
        <f t="shared" si="558"/>
        <v>0</v>
      </c>
      <c r="AG229" s="3236">
        <f t="shared" si="559"/>
        <v>0</v>
      </c>
      <c r="AH229" s="3236">
        <f t="shared" si="560"/>
        <v>56129</v>
      </c>
      <c r="AI229" s="3264"/>
      <c r="AM229" s="3235">
        <f t="shared" si="561"/>
        <v>56129</v>
      </c>
      <c r="AN229" s="3236">
        <f t="shared" si="562"/>
        <v>0</v>
      </c>
      <c r="AO229" s="3236">
        <f t="shared" si="563"/>
        <v>0</v>
      </c>
      <c r="AP229" s="3236">
        <f t="shared" si="564"/>
        <v>56129</v>
      </c>
      <c r="AQ229" s="3264"/>
      <c r="AU229" s="3235">
        <f t="shared" si="565"/>
        <v>56129</v>
      </c>
      <c r="AV229" s="3236">
        <f t="shared" si="566"/>
        <v>0</v>
      </c>
      <c r="AW229" s="3236">
        <f t="shared" si="567"/>
        <v>0</v>
      </c>
      <c r="AX229" s="3236">
        <f t="shared" si="568"/>
        <v>56129</v>
      </c>
      <c r="AY229" s="3264"/>
      <c r="BC229" s="3235">
        <f t="shared" si="569"/>
        <v>56129</v>
      </c>
      <c r="BD229" s="3236">
        <f t="shared" si="570"/>
        <v>0</v>
      </c>
      <c r="BE229" s="3236">
        <f t="shared" si="571"/>
        <v>0</v>
      </c>
      <c r="BF229" s="3236">
        <f t="shared" si="572"/>
        <v>56129</v>
      </c>
      <c r="BG229" s="3264"/>
      <c r="BK229" s="3235">
        <f t="shared" si="573"/>
        <v>56129</v>
      </c>
      <c r="BL229" s="3236">
        <f t="shared" si="574"/>
        <v>0</v>
      </c>
      <c r="BM229" s="3236">
        <f t="shared" si="575"/>
        <v>0</v>
      </c>
      <c r="BN229" s="3236">
        <f t="shared" si="576"/>
        <v>56129</v>
      </c>
      <c r="BO229" s="3264"/>
      <c r="BS229" s="3235">
        <f t="shared" si="577"/>
        <v>56129</v>
      </c>
      <c r="BT229" s="3236">
        <f t="shared" si="578"/>
        <v>0</v>
      </c>
      <c r="BU229" s="3236">
        <f t="shared" si="579"/>
        <v>0</v>
      </c>
      <c r="BV229" s="3236">
        <f t="shared" si="580"/>
        <v>56129</v>
      </c>
      <c r="BW229" s="3264"/>
      <c r="CA229" s="3235">
        <f t="shared" si="581"/>
        <v>56129</v>
      </c>
      <c r="CB229" s="3236">
        <f t="shared" si="582"/>
        <v>0</v>
      </c>
      <c r="CC229" s="3236">
        <f t="shared" si="583"/>
        <v>0</v>
      </c>
      <c r="CD229" s="3236">
        <f t="shared" si="584"/>
        <v>56129</v>
      </c>
      <c r="CE229" s="3264"/>
      <c r="CI229" s="3235">
        <f t="shared" si="585"/>
        <v>56129</v>
      </c>
      <c r="CJ229" s="3236">
        <f t="shared" si="586"/>
        <v>0</v>
      </c>
      <c r="CK229" s="3236">
        <f t="shared" si="587"/>
        <v>0</v>
      </c>
      <c r="CL229" s="3236">
        <f t="shared" si="588"/>
        <v>56129</v>
      </c>
      <c r="CM229" s="3264"/>
      <c r="CQ229" s="3235">
        <f t="shared" si="589"/>
        <v>56129</v>
      </c>
      <c r="CR229" s="3236">
        <f t="shared" si="590"/>
        <v>0</v>
      </c>
      <c r="CS229" s="3236">
        <f t="shared" si="591"/>
        <v>0</v>
      </c>
      <c r="CT229" s="3236">
        <f t="shared" si="592"/>
        <v>56129</v>
      </c>
      <c r="CU229" s="3264"/>
      <c r="CY229" s="3235">
        <f t="shared" si="593"/>
        <v>56129</v>
      </c>
      <c r="CZ229" s="3236">
        <f t="shared" si="594"/>
        <v>0</v>
      </c>
      <c r="DA229" s="3236">
        <f t="shared" si="595"/>
        <v>0</v>
      </c>
      <c r="DB229" s="3236">
        <f t="shared" si="596"/>
        <v>56129</v>
      </c>
      <c r="DC229" s="3264"/>
      <c r="DG229" s="3235">
        <f t="shared" si="597"/>
        <v>56129</v>
      </c>
      <c r="DH229" s="3236">
        <f t="shared" si="598"/>
        <v>0</v>
      </c>
      <c r="DI229" s="3236">
        <f t="shared" si="599"/>
        <v>0</v>
      </c>
      <c r="DJ229" s="3236">
        <f t="shared" si="600"/>
        <v>56129</v>
      </c>
      <c r="DK229" s="3264"/>
      <c r="DO229" s="3235">
        <f t="shared" si="601"/>
        <v>56129</v>
      </c>
      <c r="DP229" s="3236">
        <f t="shared" si="602"/>
        <v>0</v>
      </c>
      <c r="DQ229" s="3236">
        <f t="shared" si="603"/>
        <v>0</v>
      </c>
      <c r="DR229" s="3236">
        <f t="shared" si="604"/>
        <v>56129</v>
      </c>
      <c r="DS229" s="3264"/>
      <c r="DW229" s="3235">
        <f t="shared" si="605"/>
        <v>56129</v>
      </c>
      <c r="DX229" s="3236">
        <f t="shared" si="606"/>
        <v>0</v>
      </c>
      <c r="DY229" s="3236">
        <f t="shared" si="607"/>
        <v>0</v>
      </c>
      <c r="DZ229" s="3236">
        <f t="shared" si="608"/>
        <v>56129</v>
      </c>
      <c r="EA229" s="3264"/>
      <c r="EE229" s="3235">
        <f t="shared" si="609"/>
        <v>56129</v>
      </c>
      <c r="EF229" s="3236">
        <f t="shared" si="610"/>
        <v>0</v>
      </c>
      <c r="EG229" s="3236">
        <f t="shared" si="611"/>
        <v>0</v>
      </c>
      <c r="EH229" s="3236">
        <f t="shared" si="612"/>
        <v>56129</v>
      </c>
      <c r="EI229" s="3264"/>
      <c r="EM229" s="3235">
        <f t="shared" si="613"/>
        <v>56129</v>
      </c>
      <c r="EN229" s="3236">
        <f t="shared" si="614"/>
        <v>0</v>
      </c>
      <c r="EO229" s="3236">
        <f t="shared" si="615"/>
        <v>0</v>
      </c>
      <c r="EP229" s="3236">
        <f t="shared" si="616"/>
        <v>56129</v>
      </c>
      <c r="EQ229" s="3264"/>
      <c r="EU229" s="3235">
        <f t="shared" si="617"/>
        <v>56129</v>
      </c>
      <c r="EV229" s="3236">
        <f t="shared" si="618"/>
        <v>0</v>
      </c>
      <c r="EW229" s="3236">
        <f t="shared" si="619"/>
        <v>0</v>
      </c>
      <c r="EX229" s="3236">
        <f t="shared" si="620"/>
        <v>56129</v>
      </c>
      <c r="EY229" s="3264"/>
      <c r="FC229" s="3235">
        <f t="shared" si="621"/>
        <v>56129</v>
      </c>
      <c r="FD229" s="3236">
        <f t="shared" si="622"/>
        <v>0</v>
      </c>
      <c r="FE229" s="3236">
        <f t="shared" si="623"/>
        <v>0</v>
      </c>
      <c r="FF229" s="3236">
        <f t="shared" si="624"/>
        <v>56129</v>
      </c>
      <c r="FG229" s="3264"/>
      <c r="FK229" s="3235">
        <f t="shared" si="625"/>
        <v>56129</v>
      </c>
      <c r="FL229" s="3236">
        <f t="shared" si="626"/>
        <v>0</v>
      </c>
      <c r="FM229" s="3236">
        <f t="shared" si="627"/>
        <v>0</v>
      </c>
      <c r="FN229" s="3236">
        <f t="shared" si="628"/>
        <v>56129</v>
      </c>
      <c r="FO229" s="3264"/>
    </row>
    <row r="230" spans="1:171">
      <c r="A230" s="2092"/>
      <c r="B230" s="2185" t="s">
        <v>467</v>
      </c>
      <c r="C230" s="2464" t="s">
        <v>72</v>
      </c>
      <c r="D230" s="2464">
        <v>930.2</v>
      </c>
      <c r="E230" s="2424" t="str">
        <f>'Sch 3 - Expenses'!E70</f>
        <v>DIST</v>
      </c>
      <c r="F230" s="2171"/>
      <c r="G230" s="2424">
        <f>'Sch 3 - Expenses'!G70</f>
        <v>9187393</v>
      </c>
      <c r="H230" s="2424">
        <f>'Sch 3 - Expenses'!H70</f>
        <v>0</v>
      </c>
      <c r="I230" s="2424">
        <f>'Sch 3 - Expenses'!I70</f>
        <v>0</v>
      </c>
      <c r="J230" s="3465">
        <f>'Sch 3 - Expenses'!J70</f>
        <v>9187393</v>
      </c>
      <c r="K230" s="3205">
        <f t="shared" si="548"/>
        <v>1</v>
      </c>
      <c r="O230" s="3235">
        <f t="shared" si="549"/>
        <v>9187393</v>
      </c>
      <c r="P230" s="3236">
        <f t="shared" si="550"/>
        <v>0</v>
      </c>
      <c r="Q230" s="3236">
        <f t="shared" si="551"/>
        <v>0</v>
      </c>
      <c r="R230" s="3236">
        <f t="shared" si="552"/>
        <v>9187393</v>
      </c>
      <c r="S230" s="3264"/>
      <c r="W230" s="3235">
        <f t="shared" si="553"/>
        <v>9187393</v>
      </c>
      <c r="X230" s="3236">
        <f t="shared" si="554"/>
        <v>0</v>
      </c>
      <c r="Y230" s="3236">
        <f t="shared" si="555"/>
        <v>0</v>
      </c>
      <c r="Z230" s="3236">
        <f t="shared" si="556"/>
        <v>9187393</v>
      </c>
      <c r="AA230" s="3264"/>
      <c r="AE230" s="3235">
        <f t="shared" si="557"/>
        <v>9187393</v>
      </c>
      <c r="AF230" s="3236">
        <f t="shared" si="558"/>
        <v>0</v>
      </c>
      <c r="AG230" s="3236">
        <f t="shared" si="559"/>
        <v>0</v>
      </c>
      <c r="AH230" s="3236">
        <f t="shared" si="560"/>
        <v>9187393</v>
      </c>
      <c r="AI230" s="3264"/>
      <c r="AM230" s="3235">
        <f t="shared" si="561"/>
        <v>9187393</v>
      </c>
      <c r="AN230" s="3236">
        <f t="shared" si="562"/>
        <v>0</v>
      </c>
      <c r="AO230" s="3236">
        <f t="shared" si="563"/>
        <v>0</v>
      </c>
      <c r="AP230" s="3236">
        <f t="shared" si="564"/>
        <v>9187393</v>
      </c>
      <c r="AQ230" s="3264"/>
      <c r="AU230" s="3235">
        <f t="shared" si="565"/>
        <v>9187393</v>
      </c>
      <c r="AV230" s="3236">
        <f t="shared" si="566"/>
        <v>0</v>
      </c>
      <c r="AW230" s="3236">
        <f t="shared" si="567"/>
        <v>0</v>
      </c>
      <c r="AX230" s="3236">
        <f t="shared" si="568"/>
        <v>9187393</v>
      </c>
      <c r="AY230" s="3264"/>
      <c r="BC230" s="3235">
        <f t="shared" si="569"/>
        <v>9187393</v>
      </c>
      <c r="BD230" s="3236">
        <f t="shared" si="570"/>
        <v>0</v>
      </c>
      <c r="BE230" s="3236">
        <f t="shared" si="571"/>
        <v>0</v>
      </c>
      <c r="BF230" s="3236">
        <f t="shared" si="572"/>
        <v>9187393</v>
      </c>
      <c r="BG230" s="3264"/>
      <c r="BK230" s="3235">
        <f t="shared" si="573"/>
        <v>9187393</v>
      </c>
      <c r="BL230" s="3236">
        <f t="shared" si="574"/>
        <v>0</v>
      </c>
      <c r="BM230" s="3236">
        <f t="shared" si="575"/>
        <v>0</v>
      </c>
      <c r="BN230" s="3236">
        <f t="shared" si="576"/>
        <v>9187393</v>
      </c>
      <c r="BO230" s="3264"/>
      <c r="BS230" s="3235">
        <f t="shared" si="577"/>
        <v>9187393</v>
      </c>
      <c r="BT230" s="3236">
        <f t="shared" si="578"/>
        <v>0</v>
      </c>
      <c r="BU230" s="3236">
        <f t="shared" si="579"/>
        <v>0</v>
      </c>
      <c r="BV230" s="3236">
        <f t="shared" si="580"/>
        <v>9187393</v>
      </c>
      <c r="BW230" s="3264"/>
      <c r="CA230" s="3235">
        <f t="shared" si="581"/>
        <v>9187393</v>
      </c>
      <c r="CB230" s="3236">
        <f t="shared" si="582"/>
        <v>0</v>
      </c>
      <c r="CC230" s="3236">
        <f t="shared" si="583"/>
        <v>0</v>
      </c>
      <c r="CD230" s="3236">
        <f t="shared" si="584"/>
        <v>9187393</v>
      </c>
      <c r="CE230" s="3264"/>
      <c r="CI230" s="3235">
        <f t="shared" si="585"/>
        <v>9187393</v>
      </c>
      <c r="CJ230" s="3236">
        <f t="shared" si="586"/>
        <v>0</v>
      </c>
      <c r="CK230" s="3236">
        <f t="shared" si="587"/>
        <v>0</v>
      </c>
      <c r="CL230" s="3236">
        <f t="shared" si="588"/>
        <v>9187393</v>
      </c>
      <c r="CM230" s="3264"/>
      <c r="CQ230" s="3235">
        <f t="shared" si="589"/>
        <v>9187393</v>
      </c>
      <c r="CR230" s="3236">
        <f t="shared" si="590"/>
        <v>0</v>
      </c>
      <c r="CS230" s="3236">
        <f t="shared" si="591"/>
        <v>0</v>
      </c>
      <c r="CT230" s="3236">
        <f t="shared" si="592"/>
        <v>9187393</v>
      </c>
      <c r="CU230" s="3264"/>
      <c r="CY230" s="3235">
        <f t="shared" si="593"/>
        <v>9187393</v>
      </c>
      <c r="CZ230" s="3236">
        <f t="shared" si="594"/>
        <v>0</v>
      </c>
      <c r="DA230" s="3236">
        <f t="shared" si="595"/>
        <v>0</v>
      </c>
      <c r="DB230" s="3236">
        <f t="shared" si="596"/>
        <v>9187393</v>
      </c>
      <c r="DC230" s="3264"/>
      <c r="DG230" s="3235">
        <f t="shared" si="597"/>
        <v>9187393</v>
      </c>
      <c r="DH230" s="3236">
        <f t="shared" si="598"/>
        <v>0</v>
      </c>
      <c r="DI230" s="3236">
        <f t="shared" si="599"/>
        <v>0</v>
      </c>
      <c r="DJ230" s="3236">
        <f t="shared" si="600"/>
        <v>9187393</v>
      </c>
      <c r="DK230" s="3264"/>
      <c r="DO230" s="3235">
        <f t="shared" si="601"/>
        <v>9187393</v>
      </c>
      <c r="DP230" s="3236">
        <f t="shared" si="602"/>
        <v>0</v>
      </c>
      <c r="DQ230" s="3236">
        <f t="shared" si="603"/>
        <v>0</v>
      </c>
      <c r="DR230" s="3236">
        <f t="shared" si="604"/>
        <v>9187393</v>
      </c>
      <c r="DS230" s="3264"/>
      <c r="DW230" s="3235">
        <f t="shared" si="605"/>
        <v>9187393</v>
      </c>
      <c r="DX230" s="3236">
        <f t="shared" si="606"/>
        <v>0</v>
      </c>
      <c r="DY230" s="3236">
        <f t="shared" si="607"/>
        <v>0</v>
      </c>
      <c r="DZ230" s="3236">
        <f t="shared" si="608"/>
        <v>9187393</v>
      </c>
      <c r="EA230" s="3264"/>
      <c r="EE230" s="3235">
        <f t="shared" si="609"/>
        <v>9187393</v>
      </c>
      <c r="EF230" s="3236">
        <f t="shared" si="610"/>
        <v>0</v>
      </c>
      <c r="EG230" s="3236">
        <f t="shared" si="611"/>
        <v>0</v>
      </c>
      <c r="EH230" s="3236">
        <f t="shared" si="612"/>
        <v>9187393</v>
      </c>
      <c r="EI230" s="3264"/>
      <c r="EM230" s="3235">
        <f t="shared" si="613"/>
        <v>9187393</v>
      </c>
      <c r="EN230" s="3236">
        <f t="shared" si="614"/>
        <v>0</v>
      </c>
      <c r="EO230" s="3236">
        <f t="shared" si="615"/>
        <v>0</v>
      </c>
      <c r="EP230" s="3236">
        <f t="shared" si="616"/>
        <v>9187393</v>
      </c>
      <c r="EQ230" s="3264"/>
      <c r="EU230" s="3235">
        <f t="shared" si="617"/>
        <v>9187393</v>
      </c>
      <c r="EV230" s="3236">
        <f t="shared" si="618"/>
        <v>0</v>
      </c>
      <c r="EW230" s="3236">
        <f t="shared" si="619"/>
        <v>0</v>
      </c>
      <c r="EX230" s="3236">
        <f t="shared" si="620"/>
        <v>9187393</v>
      </c>
      <c r="EY230" s="3264"/>
      <c r="FC230" s="3235">
        <f t="shared" si="621"/>
        <v>9187393</v>
      </c>
      <c r="FD230" s="3236">
        <f t="shared" si="622"/>
        <v>0</v>
      </c>
      <c r="FE230" s="3236">
        <f t="shared" si="623"/>
        <v>0</v>
      </c>
      <c r="FF230" s="3236">
        <f t="shared" si="624"/>
        <v>9187393</v>
      </c>
      <c r="FG230" s="3264"/>
      <c r="FK230" s="3235">
        <f t="shared" si="625"/>
        <v>9187393</v>
      </c>
      <c r="FL230" s="3236">
        <f t="shared" si="626"/>
        <v>0</v>
      </c>
      <c r="FM230" s="3236">
        <f t="shared" si="627"/>
        <v>0</v>
      </c>
      <c r="FN230" s="3236">
        <f t="shared" si="628"/>
        <v>9187393</v>
      </c>
      <c r="FO230" s="3264"/>
    </row>
    <row r="231" spans="1:171">
      <c r="A231" s="2092"/>
      <c r="B231" s="2185" t="s">
        <v>491</v>
      </c>
      <c r="C231" s="2464" t="s">
        <v>72</v>
      </c>
      <c r="D231" s="2464">
        <v>931</v>
      </c>
      <c r="E231" s="2424" t="str">
        <f>'Sch 3 - Expenses'!E71</f>
        <v>DIST</v>
      </c>
      <c r="F231" s="2171"/>
      <c r="G231" s="2424">
        <f>'Sch 3 - Expenses'!G71</f>
        <v>10338554</v>
      </c>
      <c r="H231" s="2424">
        <f>'Sch 3 - Expenses'!H71</f>
        <v>0</v>
      </c>
      <c r="I231" s="2424">
        <f>'Sch 3 - Expenses'!I71</f>
        <v>0</v>
      </c>
      <c r="J231" s="3465">
        <f>'Sch 3 - Expenses'!J71</f>
        <v>10338554</v>
      </c>
      <c r="K231" s="3205">
        <f t="shared" si="548"/>
        <v>1</v>
      </c>
      <c r="O231" s="3235">
        <f t="shared" si="549"/>
        <v>10338554</v>
      </c>
      <c r="P231" s="3236">
        <f t="shared" si="550"/>
        <v>0</v>
      </c>
      <c r="Q231" s="3236">
        <f t="shared" si="551"/>
        <v>0</v>
      </c>
      <c r="R231" s="3236">
        <f t="shared" si="552"/>
        <v>10338554</v>
      </c>
      <c r="S231" s="3264"/>
      <c r="W231" s="3235">
        <f t="shared" si="553"/>
        <v>10338554</v>
      </c>
      <c r="X231" s="3236">
        <f t="shared" si="554"/>
        <v>0</v>
      </c>
      <c r="Y231" s="3236">
        <f t="shared" si="555"/>
        <v>0</v>
      </c>
      <c r="Z231" s="3236">
        <f t="shared" si="556"/>
        <v>10338554</v>
      </c>
      <c r="AA231" s="3264"/>
      <c r="AE231" s="3235">
        <f t="shared" si="557"/>
        <v>10338554</v>
      </c>
      <c r="AF231" s="3236">
        <f t="shared" si="558"/>
        <v>0</v>
      </c>
      <c r="AG231" s="3236">
        <f t="shared" si="559"/>
        <v>0</v>
      </c>
      <c r="AH231" s="3236">
        <f t="shared" si="560"/>
        <v>10338554</v>
      </c>
      <c r="AI231" s="3264"/>
      <c r="AM231" s="3235">
        <f t="shared" si="561"/>
        <v>10338554</v>
      </c>
      <c r="AN231" s="3236">
        <f t="shared" si="562"/>
        <v>0</v>
      </c>
      <c r="AO231" s="3236">
        <f t="shared" si="563"/>
        <v>0</v>
      </c>
      <c r="AP231" s="3236">
        <f t="shared" si="564"/>
        <v>10338554</v>
      </c>
      <c r="AQ231" s="3264"/>
      <c r="AU231" s="3235">
        <f t="shared" si="565"/>
        <v>10338554</v>
      </c>
      <c r="AV231" s="3236">
        <f t="shared" si="566"/>
        <v>0</v>
      </c>
      <c r="AW231" s="3236">
        <f t="shared" si="567"/>
        <v>0</v>
      </c>
      <c r="AX231" s="3236">
        <f t="shared" si="568"/>
        <v>10338554</v>
      </c>
      <c r="AY231" s="3264"/>
      <c r="BC231" s="3235">
        <f t="shared" si="569"/>
        <v>10338554</v>
      </c>
      <c r="BD231" s="3236">
        <f t="shared" si="570"/>
        <v>0</v>
      </c>
      <c r="BE231" s="3236">
        <f t="shared" si="571"/>
        <v>0</v>
      </c>
      <c r="BF231" s="3236">
        <f t="shared" si="572"/>
        <v>10338554</v>
      </c>
      <c r="BG231" s="3264"/>
      <c r="BK231" s="3235">
        <f t="shared" si="573"/>
        <v>10338554</v>
      </c>
      <c r="BL231" s="3236">
        <f t="shared" si="574"/>
        <v>0</v>
      </c>
      <c r="BM231" s="3236">
        <f t="shared" si="575"/>
        <v>0</v>
      </c>
      <c r="BN231" s="3236">
        <f t="shared" si="576"/>
        <v>10338554</v>
      </c>
      <c r="BO231" s="3264"/>
      <c r="BS231" s="3235">
        <f t="shared" si="577"/>
        <v>10338554</v>
      </c>
      <c r="BT231" s="3236">
        <f t="shared" si="578"/>
        <v>0</v>
      </c>
      <c r="BU231" s="3236">
        <f t="shared" si="579"/>
        <v>0</v>
      </c>
      <c r="BV231" s="3236">
        <f t="shared" si="580"/>
        <v>10338554</v>
      </c>
      <c r="BW231" s="3264"/>
      <c r="CA231" s="3235">
        <f t="shared" si="581"/>
        <v>10338554</v>
      </c>
      <c r="CB231" s="3236">
        <f t="shared" si="582"/>
        <v>0</v>
      </c>
      <c r="CC231" s="3236">
        <f t="shared" si="583"/>
        <v>0</v>
      </c>
      <c r="CD231" s="3236">
        <f t="shared" si="584"/>
        <v>10338554</v>
      </c>
      <c r="CE231" s="3264"/>
      <c r="CI231" s="3235">
        <f t="shared" si="585"/>
        <v>10338554</v>
      </c>
      <c r="CJ231" s="3236">
        <f t="shared" si="586"/>
        <v>0</v>
      </c>
      <c r="CK231" s="3236">
        <f t="shared" si="587"/>
        <v>0</v>
      </c>
      <c r="CL231" s="3236">
        <f t="shared" si="588"/>
        <v>10338554</v>
      </c>
      <c r="CM231" s="3264"/>
      <c r="CQ231" s="3235">
        <f t="shared" si="589"/>
        <v>10338554</v>
      </c>
      <c r="CR231" s="3236">
        <f t="shared" si="590"/>
        <v>0</v>
      </c>
      <c r="CS231" s="3236">
        <f t="shared" si="591"/>
        <v>0</v>
      </c>
      <c r="CT231" s="3236">
        <f t="shared" si="592"/>
        <v>10338554</v>
      </c>
      <c r="CU231" s="3264"/>
      <c r="CY231" s="3235">
        <f t="shared" si="593"/>
        <v>10338554</v>
      </c>
      <c r="CZ231" s="3236">
        <f t="shared" si="594"/>
        <v>0</v>
      </c>
      <c r="DA231" s="3236">
        <f t="shared" si="595"/>
        <v>0</v>
      </c>
      <c r="DB231" s="3236">
        <f t="shared" si="596"/>
        <v>10338554</v>
      </c>
      <c r="DC231" s="3264"/>
      <c r="DG231" s="3235">
        <f t="shared" si="597"/>
        <v>10338554</v>
      </c>
      <c r="DH231" s="3236">
        <f t="shared" si="598"/>
        <v>0</v>
      </c>
      <c r="DI231" s="3236">
        <f t="shared" si="599"/>
        <v>0</v>
      </c>
      <c r="DJ231" s="3236">
        <f t="shared" si="600"/>
        <v>10338554</v>
      </c>
      <c r="DK231" s="3264"/>
      <c r="DO231" s="3235">
        <f t="shared" si="601"/>
        <v>10338554</v>
      </c>
      <c r="DP231" s="3236">
        <f t="shared" si="602"/>
        <v>0</v>
      </c>
      <c r="DQ231" s="3236">
        <f t="shared" si="603"/>
        <v>0</v>
      </c>
      <c r="DR231" s="3236">
        <f t="shared" si="604"/>
        <v>10338554</v>
      </c>
      <c r="DS231" s="3264"/>
      <c r="DW231" s="3235">
        <f t="shared" si="605"/>
        <v>10338554</v>
      </c>
      <c r="DX231" s="3236">
        <f t="shared" si="606"/>
        <v>0</v>
      </c>
      <c r="DY231" s="3236">
        <f t="shared" si="607"/>
        <v>0</v>
      </c>
      <c r="DZ231" s="3236">
        <f t="shared" si="608"/>
        <v>10338554</v>
      </c>
      <c r="EA231" s="3264"/>
      <c r="EE231" s="3235">
        <f t="shared" si="609"/>
        <v>10338554</v>
      </c>
      <c r="EF231" s="3236">
        <f t="shared" si="610"/>
        <v>0</v>
      </c>
      <c r="EG231" s="3236">
        <f t="shared" si="611"/>
        <v>0</v>
      </c>
      <c r="EH231" s="3236">
        <f t="shared" si="612"/>
        <v>10338554</v>
      </c>
      <c r="EI231" s="3264"/>
      <c r="EM231" s="3235">
        <f t="shared" si="613"/>
        <v>10338554</v>
      </c>
      <c r="EN231" s="3236">
        <f t="shared" si="614"/>
        <v>0</v>
      </c>
      <c r="EO231" s="3236">
        <f t="shared" si="615"/>
        <v>0</v>
      </c>
      <c r="EP231" s="3236">
        <f t="shared" si="616"/>
        <v>10338554</v>
      </c>
      <c r="EQ231" s="3264"/>
      <c r="EU231" s="3235">
        <f t="shared" si="617"/>
        <v>10338554</v>
      </c>
      <c r="EV231" s="3236">
        <f t="shared" si="618"/>
        <v>0</v>
      </c>
      <c r="EW231" s="3236">
        <f t="shared" si="619"/>
        <v>0</v>
      </c>
      <c r="EX231" s="3236">
        <f t="shared" si="620"/>
        <v>10338554</v>
      </c>
      <c r="EY231" s="3264"/>
      <c r="FC231" s="3235">
        <f t="shared" si="621"/>
        <v>10338554</v>
      </c>
      <c r="FD231" s="3236">
        <f t="shared" si="622"/>
        <v>0</v>
      </c>
      <c r="FE231" s="3236">
        <f t="shared" si="623"/>
        <v>0</v>
      </c>
      <c r="FF231" s="3236">
        <f t="shared" si="624"/>
        <v>10338554</v>
      </c>
      <c r="FG231" s="3264"/>
      <c r="FK231" s="3235">
        <f t="shared" si="625"/>
        <v>10338554</v>
      </c>
      <c r="FL231" s="3236">
        <f t="shared" si="626"/>
        <v>0</v>
      </c>
      <c r="FM231" s="3236">
        <f t="shared" si="627"/>
        <v>0</v>
      </c>
      <c r="FN231" s="3236">
        <f t="shared" si="628"/>
        <v>10338554</v>
      </c>
      <c r="FO231" s="3264"/>
    </row>
    <row r="232" spans="1:171">
      <c r="A232" s="2092"/>
      <c r="B232" s="2185" t="s">
        <v>267</v>
      </c>
      <c r="C232" s="2464" t="s">
        <v>266</v>
      </c>
      <c r="D232" s="2464">
        <v>933</v>
      </c>
      <c r="E232" s="2424" t="str">
        <f>'Sch 3 - Expenses'!E72</f>
        <v>DIST</v>
      </c>
      <c r="F232" s="2171"/>
      <c r="G232" s="2424">
        <f>'Sch 3 - Expenses'!G72</f>
        <v>0</v>
      </c>
      <c r="H232" s="2424">
        <f>'Sch 3 - Expenses'!H72</f>
        <v>0</v>
      </c>
      <c r="I232" s="2424">
        <f>'Sch 3 - Expenses'!I72</f>
        <v>0</v>
      </c>
      <c r="J232" s="3465">
        <f>'Sch 3 - Expenses'!J72</f>
        <v>0</v>
      </c>
      <c r="K232" s="3205">
        <f t="shared" si="548"/>
        <v>1</v>
      </c>
      <c r="O232" s="3235">
        <f t="shared" si="549"/>
        <v>0</v>
      </c>
      <c r="P232" s="3236">
        <f t="shared" si="550"/>
        <v>0</v>
      </c>
      <c r="Q232" s="3236">
        <f t="shared" si="551"/>
        <v>0</v>
      </c>
      <c r="R232" s="3236">
        <f t="shared" si="552"/>
        <v>0</v>
      </c>
      <c r="S232" s="3264"/>
      <c r="W232" s="3235">
        <f t="shared" si="553"/>
        <v>0</v>
      </c>
      <c r="X232" s="3236">
        <f t="shared" si="554"/>
        <v>0</v>
      </c>
      <c r="Y232" s="3236">
        <f t="shared" si="555"/>
        <v>0</v>
      </c>
      <c r="Z232" s="3236">
        <f t="shared" si="556"/>
        <v>0</v>
      </c>
      <c r="AA232" s="3264"/>
      <c r="AE232" s="3235">
        <f t="shared" si="557"/>
        <v>0</v>
      </c>
      <c r="AF232" s="3236">
        <f t="shared" si="558"/>
        <v>0</v>
      </c>
      <c r="AG232" s="3236">
        <f t="shared" si="559"/>
        <v>0</v>
      </c>
      <c r="AH232" s="3236">
        <f t="shared" si="560"/>
        <v>0</v>
      </c>
      <c r="AI232" s="3264"/>
      <c r="AM232" s="3235">
        <f t="shared" si="561"/>
        <v>0</v>
      </c>
      <c r="AN232" s="3236">
        <f t="shared" si="562"/>
        <v>0</v>
      </c>
      <c r="AO232" s="3236">
        <f t="shared" si="563"/>
        <v>0</v>
      </c>
      <c r="AP232" s="3236">
        <f t="shared" si="564"/>
        <v>0</v>
      </c>
      <c r="AQ232" s="3264"/>
      <c r="AU232" s="3235">
        <f t="shared" si="565"/>
        <v>0</v>
      </c>
      <c r="AV232" s="3236">
        <f t="shared" si="566"/>
        <v>0</v>
      </c>
      <c r="AW232" s="3236">
        <f t="shared" si="567"/>
        <v>0</v>
      </c>
      <c r="AX232" s="3236">
        <f t="shared" si="568"/>
        <v>0</v>
      </c>
      <c r="AY232" s="3264"/>
      <c r="BC232" s="3235">
        <f t="shared" si="569"/>
        <v>0</v>
      </c>
      <c r="BD232" s="3236">
        <f t="shared" si="570"/>
        <v>0</v>
      </c>
      <c r="BE232" s="3236">
        <f t="shared" si="571"/>
        <v>0</v>
      </c>
      <c r="BF232" s="3236">
        <f t="shared" si="572"/>
        <v>0</v>
      </c>
      <c r="BG232" s="3264"/>
      <c r="BK232" s="3235">
        <f t="shared" si="573"/>
        <v>0</v>
      </c>
      <c r="BL232" s="3236">
        <f t="shared" si="574"/>
        <v>0</v>
      </c>
      <c r="BM232" s="3236">
        <f t="shared" si="575"/>
        <v>0</v>
      </c>
      <c r="BN232" s="3236">
        <f t="shared" si="576"/>
        <v>0</v>
      </c>
      <c r="BO232" s="3264"/>
      <c r="BS232" s="3235">
        <f t="shared" si="577"/>
        <v>0</v>
      </c>
      <c r="BT232" s="3236">
        <f t="shared" si="578"/>
        <v>0</v>
      </c>
      <c r="BU232" s="3236">
        <f t="shared" si="579"/>
        <v>0</v>
      </c>
      <c r="BV232" s="3236">
        <f t="shared" si="580"/>
        <v>0</v>
      </c>
      <c r="BW232" s="3264"/>
      <c r="CA232" s="3235">
        <f t="shared" si="581"/>
        <v>0</v>
      </c>
      <c r="CB232" s="3236">
        <f t="shared" si="582"/>
        <v>0</v>
      </c>
      <c r="CC232" s="3236">
        <f t="shared" si="583"/>
        <v>0</v>
      </c>
      <c r="CD232" s="3236">
        <f t="shared" si="584"/>
        <v>0</v>
      </c>
      <c r="CE232" s="3264"/>
      <c r="CI232" s="3235">
        <f t="shared" si="585"/>
        <v>0</v>
      </c>
      <c r="CJ232" s="3236">
        <f t="shared" si="586"/>
        <v>0</v>
      </c>
      <c r="CK232" s="3236">
        <f t="shared" si="587"/>
        <v>0</v>
      </c>
      <c r="CL232" s="3236">
        <f t="shared" si="588"/>
        <v>0</v>
      </c>
      <c r="CM232" s="3264"/>
      <c r="CQ232" s="3235">
        <f t="shared" si="589"/>
        <v>0</v>
      </c>
      <c r="CR232" s="3236">
        <f t="shared" si="590"/>
        <v>0</v>
      </c>
      <c r="CS232" s="3236">
        <f t="shared" si="591"/>
        <v>0</v>
      </c>
      <c r="CT232" s="3236">
        <f t="shared" si="592"/>
        <v>0</v>
      </c>
      <c r="CU232" s="3264"/>
      <c r="CY232" s="3235">
        <f t="shared" si="593"/>
        <v>0</v>
      </c>
      <c r="CZ232" s="3236">
        <f t="shared" si="594"/>
        <v>0</v>
      </c>
      <c r="DA232" s="3236">
        <f t="shared" si="595"/>
        <v>0</v>
      </c>
      <c r="DB232" s="3236">
        <f t="shared" si="596"/>
        <v>0</v>
      </c>
      <c r="DC232" s="3264"/>
      <c r="DG232" s="3235">
        <f t="shared" si="597"/>
        <v>0</v>
      </c>
      <c r="DH232" s="3236">
        <f t="shared" si="598"/>
        <v>0</v>
      </c>
      <c r="DI232" s="3236">
        <f t="shared" si="599"/>
        <v>0</v>
      </c>
      <c r="DJ232" s="3236">
        <f t="shared" si="600"/>
        <v>0</v>
      </c>
      <c r="DK232" s="3264"/>
      <c r="DO232" s="3235">
        <f t="shared" si="601"/>
        <v>0</v>
      </c>
      <c r="DP232" s="3236">
        <f t="shared" si="602"/>
        <v>0</v>
      </c>
      <c r="DQ232" s="3236">
        <f t="shared" si="603"/>
        <v>0</v>
      </c>
      <c r="DR232" s="3236">
        <f t="shared" si="604"/>
        <v>0</v>
      </c>
      <c r="DS232" s="3264"/>
      <c r="DW232" s="3235">
        <f t="shared" si="605"/>
        <v>0</v>
      </c>
      <c r="DX232" s="3236">
        <f t="shared" si="606"/>
        <v>0</v>
      </c>
      <c r="DY232" s="3236">
        <f t="shared" si="607"/>
        <v>0</v>
      </c>
      <c r="DZ232" s="3236">
        <f t="shared" si="608"/>
        <v>0</v>
      </c>
      <c r="EA232" s="3264"/>
      <c r="EE232" s="3235">
        <f t="shared" si="609"/>
        <v>0</v>
      </c>
      <c r="EF232" s="3236">
        <f t="shared" si="610"/>
        <v>0</v>
      </c>
      <c r="EG232" s="3236">
        <f t="shared" si="611"/>
        <v>0</v>
      </c>
      <c r="EH232" s="3236">
        <f t="shared" si="612"/>
        <v>0</v>
      </c>
      <c r="EI232" s="3264"/>
      <c r="EM232" s="3235">
        <f t="shared" si="613"/>
        <v>0</v>
      </c>
      <c r="EN232" s="3236">
        <f t="shared" si="614"/>
        <v>0</v>
      </c>
      <c r="EO232" s="3236">
        <f t="shared" si="615"/>
        <v>0</v>
      </c>
      <c r="EP232" s="3236">
        <f t="shared" si="616"/>
        <v>0</v>
      </c>
      <c r="EQ232" s="3264"/>
      <c r="EU232" s="3235">
        <f t="shared" si="617"/>
        <v>0</v>
      </c>
      <c r="EV232" s="3236">
        <f t="shared" si="618"/>
        <v>0</v>
      </c>
      <c r="EW232" s="3236">
        <f t="shared" si="619"/>
        <v>0</v>
      </c>
      <c r="EX232" s="3236">
        <f t="shared" si="620"/>
        <v>0</v>
      </c>
      <c r="EY232" s="3264"/>
      <c r="FC232" s="3235">
        <f t="shared" si="621"/>
        <v>0</v>
      </c>
      <c r="FD232" s="3236">
        <f t="shared" si="622"/>
        <v>0</v>
      </c>
      <c r="FE232" s="3236">
        <f t="shared" si="623"/>
        <v>0</v>
      </c>
      <c r="FF232" s="3236">
        <f t="shared" si="624"/>
        <v>0</v>
      </c>
      <c r="FG232" s="3264"/>
      <c r="FK232" s="3235">
        <f t="shared" si="625"/>
        <v>0</v>
      </c>
      <c r="FL232" s="3236">
        <f t="shared" si="626"/>
        <v>0</v>
      </c>
      <c r="FM232" s="3236">
        <f t="shared" si="627"/>
        <v>0</v>
      </c>
      <c r="FN232" s="3236">
        <f t="shared" si="628"/>
        <v>0</v>
      </c>
      <c r="FO232" s="3264"/>
    </row>
    <row r="233" spans="1:171">
      <c r="A233" s="2092"/>
      <c r="B233" s="2143" t="s">
        <v>437</v>
      </c>
      <c r="C233" s="2116"/>
      <c r="D233" s="2098"/>
      <c r="E233" s="2098"/>
      <c r="F233" s="2098"/>
      <c r="G233" s="2506"/>
      <c r="H233" s="2506"/>
      <c r="I233" s="2506"/>
      <c r="J233" s="3504"/>
      <c r="K233" s="3205"/>
      <c r="O233" s="3235"/>
      <c r="S233" s="3264"/>
      <c r="W233" s="3235"/>
      <c r="AA233" s="3264"/>
      <c r="AE233" s="3235"/>
      <c r="AI233" s="3264"/>
      <c r="AM233" s="3235"/>
      <c r="AQ233" s="3264"/>
      <c r="AU233" s="3235"/>
      <c r="AY233" s="3264"/>
      <c r="BC233" s="3235"/>
      <c r="BG233" s="3264"/>
      <c r="BK233" s="3235"/>
      <c r="BO233" s="3264"/>
      <c r="BS233" s="3235"/>
      <c r="BW233" s="3264"/>
      <c r="CA233" s="3235"/>
      <c r="CE233" s="3264"/>
      <c r="CI233" s="3235"/>
      <c r="CM233" s="3264"/>
      <c r="CQ233" s="3235"/>
      <c r="CU233" s="3264"/>
      <c r="CY233" s="3235"/>
      <c r="DC233" s="3264"/>
      <c r="DG233" s="3235"/>
      <c r="DK233" s="3264"/>
      <c r="DO233" s="3235"/>
      <c r="DS233" s="3264"/>
      <c r="DW233" s="3235"/>
      <c r="EA233" s="3264"/>
      <c r="EE233" s="3235"/>
      <c r="EI233" s="3264"/>
      <c r="EM233" s="3235"/>
      <c r="EQ233" s="3264"/>
      <c r="EU233" s="3235"/>
      <c r="EY233" s="3264"/>
      <c r="FC233" s="3235"/>
      <c r="FG233" s="3264"/>
      <c r="FK233" s="3235"/>
      <c r="FO233" s="3264"/>
    </row>
    <row r="234" spans="1:171">
      <c r="A234" s="2092"/>
      <c r="B234" s="2185" t="s">
        <v>94</v>
      </c>
      <c r="C234" s="2464" t="s">
        <v>72</v>
      </c>
      <c r="D234" s="2464">
        <v>935</v>
      </c>
      <c r="E234" s="2424" t="str">
        <f>'Sch 3 - Expenses'!E74</f>
        <v>GPM</v>
      </c>
      <c r="F234" s="2171"/>
      <c r="G234" s="2424">
        <f>'Sch 3 - Expenses'!G74</f>
        <v>18392095</v>
      </c>
      <c r="H234" s="2424">
        <f>'Sch 3 - Expenses'!H74</f>
        <v>6400177.2589254314</v>
      </c>
      <c r="I234" s="2424">
        <f>'Sch 3 - Expenses'!I74</f>
        <v>0</v>
      </c>
      <c r="J234" s="3465">
        <f>'Sch 3 - Expenses'!J74</f>
        <v>11991917.74107457</v>
      </c>
      <c r="K234" s="3205">
        <f t="shared" si="548"/>
        <v>1</v>
      </c>
      <c r="O234" s="3235">
        <f>$G234</f>
        <v>18392095</v>
      </c>
      <c r="P234" s="3236">
        <f t="shared" si="550"/>
        <v>6400177.2589254314</v>
      </c>
      <c r="Q234" s="3236">
        <f t="shared" si="551"/>
        <v>3005693.4191217558</v>
      </c>
      <c r="R234" s="3236">
        <f t="shared" si="552"/>
        <v>8986224.3219528142</v>
      </c>
      <c r="S234" s="3264"/>
      <c r="W234" s="3235">
        <f>$G234</f>
        <v>18392095</v>
      </c>
      <c r="X234" s="3236">
        <f>VLOOKUP($E234,W$442:Z$453,2,FALSE)*W234*($K234)+IF($G234&lt;&gt;0,($H234/$G234)*W234,0)*(1-$K234)</f>
        <v>6400177.2589254314</v>
      </c>
      <c r="Y234" s="3236">
        <f>VLOOKUP($E234,W$442:Z$453,3,FALSE)*W234*($K234)+IF($G234&lt;&gt;0,($I234/$G234)*W234,0)*(1-$K234)</f>
        <v>3005693.4191217558</v>
      </c>
      <c r="Z234" s="3236">
        <f>VLOOKUP($E234,W$442:Z$453,4,FALSE)*W234*($K234)+(W234-X234-Y234)*(1-$K234)</f>
        <v>8986224.3219528142</v>
      </c>
      <c r="AA234" s="3264"/>
      <c r="AE234" s="3235">
        <f>$G234</f>
        <v>18392095</v>
      </c>
      <c r="AF234" s="3236">
        <f>VLOOKUP($E234,AE$442:AH$453,2,FALSE)*AE234*($K234)+IF($G234&lt;&gt;0,($H234/$G234)*AE234,0)*(1-$K234)</f>
        <v>6400177.2589254314</v>
      </c>
      <c r="AG234" s="3236">
        <f>VLOOKUP($E234,AE$442:AH$453,3,FALSE)*AE234*($K234)+IF($G234&lt;&gt;0,($I234/$G234)*AE234,0)*(1-$K234)</f>
        <v>3005693.4191217558</v>
      </c>
      <c r="AH234" s="3236">
        <f>VLOOKUP($E234,AE$442:AH$453,4,FALSE)*AE234*($K234)+(AE234-AF234-AG234)*(1-$K234)</f>
        <v>8986224.3219528142</v>
      </c>
      <c r="AI234" s="3264"/>
      <c r="AM234" s="3235">
        <f>$G234</f>
        <v>18392095</v>
      </c>
      <c r="AN234" s="3236">
        <f>VLOOKUP($E234,AM$442:AP$453,2,FALSE)*AM234*($K234)+IF($G234&lt;&gt;0,($H234/$G234)*AM234,0)*(1-$K234)</f>
        <v>6400177.2589254314</v>
      </c>
      <c r="AO234" s="3236">
        <f>VLOOKUP($E234,AM$442:AP$453,3,FALSE)*AM234*($K234)+IF($G234&lt;&gt;0,($I234/$G234)*AM234,0)*(1-$K234)</f>
        <v>3005693.4191217558</v>
      </c>
      <c r="AP234" s="3236">
        <f>VLOOKUP($E234,AM$442:AP$453,4,FALSE)*AM234*($K234)+(AM234-AN234-AO234)*(1-$K234)</f>
        <v>8986224.3219528142</v>
      </c>
      <c r="AQ234" s="3264"/>
      <c r="AU234" s="3235">
        <f>$G234</f>
        <v>18392095</v>
      </c>
      <c r="AV234" s="3236">
        <f>VLOOKUP($E234,AU$442:AX$453,2,FALSE)*AU234*($K234)+IF($G234&lt;&gt;0,($H234/$G234)*AU234,0)*(1-$K234)</f>
        <v>6400177.2589254314</v>
      </c>
      <c r="AW234" s="3236">
        <f>VLOOKUP($E234,AU$442:AX$453,3,FALSE)*AU234*($K234)+IF($G234&lt;&gt;0,($I234/$G234)*AU234,0)*(1-$K234)</f>
        <v>3005693.4191217558</v>
      </c>
      <c r="AX234" s="3236">
        <f>VLOOKUP($E234,AU$442:AX$453,4,FALSE)*AU234*($K234)+(AU234-AV234-AW234)*(1-$K234)</f>
        <v>8986224.3219528142</v>
      </c>
      <c r="AY234" s="3264"/>
      <c r="BC234" s="3235">
        <f>$G234</f>
        <v>18392095</v>
      </c>
      <c r="BD234" s="3236">
        <f>VLOOKUP($E234,BC$442:BF$453,2,FALSE)*BC234*($K234)+IF($G234&lt;&gt;0,($H234/$G234)*BC234,0)*(1-$K234)</f>
        <v>6400177.2589254314</v>
      </c>
      <c r="BE234" s="3236">
        <f>VLOOKUP($E234,BC$442:BF$453,3,FALSE)*BC234*($K234)+IF($G234&lt;&gt;0,($I234/$G234)*BC234,0)*(1-$K234)</f>
        <v>3005693.4191217558</v>
      </c>
      <c r="BF234" s="3236">
        <f>VLOOKUP($E234,BC$442:BF$453,4,FALSE)*BC234*($K234)+(BC234-BD234-BE234)*(1-$K234)</f>
        <v>8986224.3219528142</v>
      </c>
      <c r="BG234" s="3264"/>
      <c r="BK234" s="3235">
        <f>$G234</f>
        <v>18392095</v>
      </c>
      <c r="BL234" s="3236">
        <f>VLOOKUP($E234,BK$442:BN$453,2,FALSE)*BK234*($K234)+IF($G234&lt;&gt;0,($H234/$G234)*BK234,0)*(1-$K234)</f>
        <v>6400177.2589254314</v>
      </c>
      <c r="BM234" s="3236">
        <f>VLOOKUP($E234,BK$442:BN$453,3,FALSE)*BK234*($K234)+IF($G234&lt;&gt;0,($I234/$G234)*BK234,0)*(1-$K234)</f>
        <v>3005693.4191217558</v>
      </c>
      <c r="BN234" s="3236">
        <f>VLOOKUP($E234,BK$442:BN$453,4,FALSE)*BK234*($K234)+(BK234-BL234-BM234)*(1-$K234)</f>
        <v>8986224.3219528142</v>
      </c>
      <c r="BO234" s="3264"/>
      <c r="BS234" s="3235">
        <f>$G234</f>
        <v>18392095</v>
      </c>
      <c r="BT234" s="3236">
        <f>VLOOKUP($E234,BS$442:BV$453,2,FALSE)*BS234*($K234)+IF($G234&lt;&gt;0,($H234/$G234)*BS234,0)*(1-$K234)</f>
        <v>6400177.2589254314</v>
      </c>
      <c r="BU234" s="3236">
        <f>VLOOKUP($E234,BS$442:BV$453,3,FALSE)*BS234*($K234)+IF($G234&lt;&gt;0,($I234/$G234)*BS234,0)*(1-$K234)</f>
        <v>3005693.4191217558</v>
      </c>
      <c r="BV234" s="3236">
        <f>VLOOKUP($E234,BS$442:BV$453,4,FALSE)*BS234*($K234)+(BS234-BT234-BU234)*(1-$K234)</f>
        <v>8986224.3219528142</v>
      </c>
      <c r="BW234" s="3264"/>
      <c r="CA234" s="3235">
        <f>$G234</f>
        <v>18392095</v>
      </c>
      <c r="CB234" s="3236">
        <f>VLOOKUP($E234,CA$442:CD$453,2,FALSE)*CA234*($K234)+IF($G234&lt;&gt;0,($H234/$G234)*CA234,0)*(1-$K234)</f>
        <v>6400177.2589254314</v>
      </c>
      <c r="CC234" s="3236">
        <f>VLOOKUP($E234,CA$442:CD$453,3,FALSE)*CA234*($K234)+IF($G234&lt;&gt;0,($I234/$G234)*CA234,0)*(1-$K234)</f>
        <v>3005693.4191217558</v>
      </c>
      <c r="CD234" s="3236">
        <f>VLOOKUP($E234,CA$442:CD$453,4,FALSE)*CA234*($K234)+(CA234-CB234-CC234)*(1-$K234)</f>
        <v>8986224.3219528142</v>
      </c>
      <c r="CE234" s="3264"/>
      <c r="CI234" s="3235">
        <f>$G234</f>
        <v>18392095</v>
      </c>
      <c r="CJ234" s="3236">
        <f>VLOOKUP($E234,CI$442:CL$453,2,FALSE)*CI234*($K234)+IF($G234&lt;&gt;0,($H234/$G234)*CI234,0)*(1-$K234)</f>
        <v>6400177.2589254314</v>
      </c>
      <c r="CK234" s="3236">
        <f>VLOOKUP($E234,CI$442:CL$453,3,FALSE)*CI234*($K234)+IF($G234&lt;&gt;0,($I234/$G234)*CI234,0)*(1-$K234)</f>
        <v>3005693.4191217558</v>
      </c>
      <c r="CL234" s="3236">
        <f>VLOOKUP($E234,CI$442:CL$453,4,FALSE)*CI234*($K234)+(CI234-CJ234-CK234)*(1-$K234)</f>
        <v>8986224.3219528142</v>
      </c>
      <c r="CM234" s="3264"/>
      <c r="CQ234" s="3235">
        <f>$G234</f>
        <v>18392095</v>
      </c>
      <c r="CR234" s="3236">
        <f>VLOOKUP($E234,CQ$442:CT$453,2,FALSE)*CQ234*($K234)+IF($G234&lt;&gt;0,($H234/$G234)*CQ234,0)*(1-$K234)</f>
        <v>6400177.2589254314</v>
      </c>
      <c r="CS234" s="3236">
        <f>VLOOKUP($E234,CQ$442:CT$453,3,FALSE)*CQ234*($K234)+IF($G234&lt;&gt;0,($I234/$G234)*CQ234,0)*(1-$K234)</f>
        <v>3005693.4191217558</v>
      </c>
      <c r="CT234" s="3236">
        <f>VLOOKUP($E234,CQ$442:CT$453,4,FALSE)*CQ234*($K234)+(CQ234-CR234-CS234)*(1-$K234)</f>
        <v>8986224.3219528142</v>
      </c>
      <c r="CU234" s="3264"/>
      <c r="CY234" s="3235">
        <f>$G234</f>
        <v>18392095</v>
      </c>
      <c r="CZ234" s="3236">
        <f>VLOOKUP($E234,CY$442:DB$453,2,FALSE)*CY234*($K234)+IF($G234&lt;&gt;0,($H234/$G234)*CY234,0)*(1-$K234)</f>
        <v>6400177.2589254314</v>
      </c>
      <c r="DA234" s="3236">
        <f>VLOOKUP($E234,CY$442:DB$453,3,FALSE)*CY234*($K234)+IF($G234&lt;&gt;0,($I234/$G234)*CY234,0)*(1-$K234)</f>
        <v>3005693.4191217558</v>
      </c>
      <c r="DB234" s="3236">
        <f>VLOOKUP($E234,CY$442:DB$453,4,FALSE)*CY234*($K234)+(CY234-CZ234-DA234)*(1-$K234)</f>
        <v>8986224.3219528142</v>
      </c>
      <c r="DC234" s="3264"/>
      <c r="DG234" s="3235">
        <f>$G234</f>
        <v>18392095</v>
      </c>
      <c r="DH234" s="3236">
        <f>VLOOKUP($E234,DG$442:DJ$453,2,FALSE)*DG234*($K234)+IF($G234&lt;&gt;0,($H234/$G234)*DG234,0)*(1-$K234)</f>
        <v>6400177.2589254314</v>
      </c>
      <c r="DI234" s="3236">
        <f>VLOOKUP($E234,DG$442:DJ$453,3,FALSE)*DG234*($K234)+IF($G234&lt;&gt;0,($I234/$G234)*DG234,0)*(1-$K234)</f>
        <v>3005693.4191217558</v>
      </c>
      <c r="DJ234" s="3236">
        <f>VLOOKUP($E234,DG$442:DJ$453,4,FALSE)*DG234*($K234)+(DG234-DH234-DI234)*(1-$K234)</f>
        <v>8986224.3219528142</v>
      </c>
      <c r="DK234" s="3264"/>
      <c r="DO234" s="3235">
        <f>$G234</f>
        <v>18392095</v>
      </c>
      <c r="DP234" s="3236">
        <f>VLOOKUP($E234,DO$442:DR$453,2,FALSE)*DO234*($K234)+IF($G234&lt;&gt;0,($H234/$G234)*DO234,0)*(1-$K234)</f>
        <v>6400177.2589254314</v>
      </c>
      <c r="DQ234" s="3236">
        <f>VLOOKUP($E234,DO$442:DR$453,3,FALSE)*DO234*($K234)+IF($G234&lt;&gt;0,($I234/$G234)*DO234,0)*(1-$K234)</f>
        <v>3005693.4191217558</v>
      </c>
      <c r="DR234" s="3236">
        <f>VLOOKUP($E234,DO$442:DR$453,4,FALSE)*DO234*($K234)+(DO234-DP234-DQ234)*(1-$K234)</f>
        <v>8986224.3219528142</v>
      </c>
      <c r="DS234" s="3264"/>
      <c r="DW234" s="3235">
        <f>$G234</f>
        <v>18392095</v>
      </c>
      <c r="DX234" s="3236">
        <f>VLOOKUP($E234,DW$442:DZ$453,2,FALSE)*DW234*($K234)+IF($G234&lt;&gt;0,($H234/$G234)*DW234,0)*(1-$K234)</f>
        <v>6400177.2589254314</v>
      </c>
      <c r="DY234" s="3236">
        <f>VLOOKUP($E234,DW$442:DZ$453,3,FALSE)*DW234*($K234)+IF($G234&lt;&gt;0,($I234/$G234)*DW234,0)*(1-$K234)</f>
        <v>3005693.4191217558</v>
      </c>
      <c r="DZ234" s="3236">
        <f>VLOOKUP($E234,DW$442:DZ$453,4,FALSE)*DW234*($K234)+(DW234-DX234-DY234)*(1-$K234)</f>
        <v>8986224.3219528142</v>
      </c>
      <c r="EA234" s="3264"/>
      <c r="EE234" s="3235">
        <f>$G234</f>
        <v>18392095</v>
      </c>
      <c r="EF234" s="3236">
        <f>VLOOKUP($E234,EE$442:EH$453,2,FALSE)*EE234*($K234)+IF($G234&lt;&gt;0,($H234/$G234)*EE234,0)*(1-$K234)</f>
        <v>6400177.2589254314</v>
      </c>
      <c r="EG234" s="3236">
        <f>VLOOKUP($E234,EE$442:EH$453,3,FALSE)*EE234*($K234)+IF($G234&lt;&gt;0,($I234/$G234)*EE234,0)*(1-$K234)</f>
        <v>3005693.4191217558</v>
      </c>
      <c r="EH234" s="3236">
        <f>VLOOKUP($E234,EE$442:EH$453,4,FALSE)*EE234*($K234)+(EE234-EF234-EG234)*(1-$K234)</f>
        <v>8986224.3219528142</v>
      </c>
      <c r="EI234" s="3264"/>
      <c r="EM234" s="3235">
        <f>$G234</f>
        <v>18392095</v>
      </c>
      <c r="EN234" s="3236">
        <f>VLOOKUP($E234,EM$442:EP$453,2,FALSE)*EM234*($K234)+IF($G234&lt;&gt;0,($H234/$G234)*EM234,0)*(1-$K234)</f>
        <v>6400177.2589254314</v>
      </c>
      <c r="EO234" s="3236">
        <f>VLOOKUP($E234,EM$442:EP$453,3,FALSE)*EM234*($K234)+IF($G234&lt;&gt;0,($I234/$G234)*EM234,0)*(1-$K234)</f>
        <v>3005693.4191217558</v>
      </c>
      <c r="EP234" s="3236">
        <f>VLOOKUP($E234,EM$442:EP$453,4,FALSE)*EM234*($K234)+(EM234-EN234-EO234)*(1-$K234)</f>
        <v>8986224.3219528142</v>
      </c>
      <c r="EQ234" s="3264"/>
      <c r="EU234" s="3235">
        <f>$G234</f>
        <v>18392095</v>
      </c>
      <c r="EV234" s="3236">
        <f>VLOOKUP($E234,EU$442:EX$453,2,FALSE)*EU234*($K234)+IF($G234&lt;&gt;0,($H234/$G234)*EU234,0)*(1-$K234)</f>
        <v>6400177.2589254314</v>
      </c>
      <c r="EW234" s="3236">
        <f>VLOOKUP($E234,EU$442:EX$453,3,FALSE)*EU234*($K234)+IF($G234&lt;&gt;0,($I234/$G234)*EU234,0)*(1-$K234)</f>
        <v>3005693.4191217558</v>
      </c>
      <c r="EX234" s="3236">
        <f>VLOOKUP($E234,EU$442:EX$453,4,FALSE)*EU234*($K234)+(EU234-EV234-EW234)*(1-$K234)</f>
        <v>8986224.3219528142</v>
      </c>
      <c r="EY234" s="3264"/>
      <c r="FC234" s="3235">
        <f>$G234</f>
        <v>18392095</v>
      </c>
      <c r="FD234" s="3236">
        <f>VLOOKUP($E234,FC$442:FF$453,2,FALSE)*FC234*($K234)+IF($G234&lt;&gt;0,($H234/$G234)*FC234,0)*(1-$K234)</f>
        <v>6400177.2589254314</v>
      </c>
      <c r="FE234" s="3236">
        <f>VLOOKUP($E234,FC$442:FF$453,3,FALSE)*FC234*($K234)+IF($G234&lt;&gt;0,($I234/$G234)*FC234,0)*(1-$K234)</f>
        <v>3005693.4191217558</v>
      </c>
      <c r="FF234" s="3236">
        <f>VLOOKUP($E234,FC$442:FF$453,4,FALSE)*FC234*($K234)+(FC234-FD234-FE234)*(1-$K234)</f>
        <v>8986224.3219528142</v>
      </c>
      <c r="FG234" s="3264"/>
      <c r="FK234" s="3235">
        <f>$G234</f>
        <v>18392095</v>
      </c>
      <c r="FL234" s="3236">
        <f>VLOOKUP($E234,FK$442:FN$453,2,FALSE)*FK234*($K234)+IF($G234&lt;&gt;0,($H234/$G234)*FK234,0)*(1-$K234)</f>
        <v>6400177.2589254314</v>
      </c>
      <c r="FM234" s="3236">
        <f>VLOOKUP($E234,FK$442:FN$453,3,FALSE)*FK234*($K234)+IF($G234&lt;&gt;0,($I234/$G234)*FK234,0)*(1-$K234)</f>
        <v>3005693.4191217558</v>
      </c>
      <c r="FN234" s="3236">
        <f>VLOOKUP($E234,FK$442:FN$453,4,FALSE)*FK234*($K234)+(FK234-FL234-FM234)*(1-$K234)</f>
        <v>8986224.3219528142</v>
      </c>
      <c r="FO234" s="3264"/>
    </row>
    <row r="235" spans="1:171">
      <c r="A235" s="2091" t="s">
        <v>492</v>
      </c>
      <c r="B235" s="2097"/>
      <c r="C235" s="3256"/>
      <c r="D235" s="3257"/>
      <c r="E235" s="3257"/>
      <c r="F235" s="3258"/>
      <c r="G235" s="3265">
        <f>SUM(G219:G220,G222:G227,G229:G232,G234)-G221-G228</f>
        <v>172081054</v>
      </c>
      <c r="H235" s="3265">
        <f>SUM(H219:H220,H222:H227,H229:H232,H234)-H221-H228</f>
        <v>46585105.523656681</v>
      </c>
      <c r="I235" s="3265">
        <f>SUM(I219:I220,I222:I227,I229:I232,I234)-I221-I228</f>
        <v>0</v>
      </c>
      <c r="J235" s="3474">
        <f>SUM(J219:J220,J222:J227,J229:J232,J234)-J221-J228</f>
        <v>125495948.47513407</v>
      </c>
      <c r="K235" s="3205"/>
      <c r="O235" s="3336">
        <f>SUM(O219:O220,O222:O227,O229:O232,O234)-O221-O228</f>
        <v>172081054</v>
      </c>
      <c r="P235" s="3336">
        <f>SUM(P219:P220,P222:P227,P229:P232,P234)-P221-P228</f>
        <v>46585105.523656681</v>
      </c>
      <c r="Q235" s="3336">
        <f>SUM(Q219:Q220,Q222:Q227,Q229:Q232,Q234)-Q221-Q228</f>
        <v>10178891.876509655</v>
      </c>
      <c r="R235" s="3336">
        <f>SUM(R219:R220,R222:R227,R229:R232,R234)-R221-R228</f>
        <v>115317056.59983368</v>
      </c>
      <c r="S235" s="3264"/>
      <c r="W235" s="3336">
        <f>SUM(W219:W220,W222:W227,W229:W232,W234)-W221-W228</f>
        <v>172081054</v>
      </c>
      <c r="X235" s="3336">
        <f>SUM(X219:X220,X222:X227,X229:X232,X234)-X221-X228</f>
        <v>46585105.523656681</v>
      </c>
      <c r="Y235" s="3336">
        <f>SUM(Y219:Y220,Y222:Y227,Y229:Y232,Y234)-Y221-Y228</f>
        <v>10178891.876509655</v>
      </c>
      <c r="Z235" s="3336">
        <f>SUM(Z219:Z220,Z222:Z227,Z229:Z232,Z234)-Z221-Z228</f>
        <v>115317056.59983368</v>
      </c>
      <c r="AA235" s="3264"/>
      <c r="AE235" s="3336">
        <f>SUM(AE219:AE220,AE222:AE227,AE229:AE232,AE234)-AE221-AE228</f>
        <v>172081054</v>
      </c>
      <c r="AF235" s="3336">
        <f>SUM(AF219:AF220,AF222:AF227,AF229:AF232,AF234)-AF221-AF228</f>
        <v>46585105.523656681</v>
      </c>
      <c r="AG235" s="3336">
        <f>SUM(AG219:AG220,AG222:AG227,AG229:AG232,AG234)-AG221-AG228</f>
        <v>10178891.876509655</v>
      </c>
      <c r="AH235" s="3336">
        <f>SUM(AH219:AH220,AH222:AH227,AH229:AH232,AH234)-AH221-AH228</f>
        <v>115317056.59983368</v>
      </c>
      <c r="AI235" s="3264"/>
      <c r="AM235" s="3336">
        <f>SUM(AM219:AM220,AM222:AM227,AM229:AM232,AM234)-AM221-AM228</f>
        <v>172081054</v>
      </c>
      <c r="AN235" s="3336">
        <f>SUM(AN219:AN220,AN222:AN227,AN229:AN232,AN234)-AN221-AN228</f>
        <v>46585105.523656681</v>
      </c>
      <c r="AO235" s="3336">
        <f>SUM(AO219:AO220,AO222:AO227,AO229:AO232,AO234)-AO221-AO228</f>
        <v>10178891.876509655</v>
      </c>
      <c r="AP235" s="3336">
        <f>SUM(AP219:AP220,AP222:AP227,AP229:AP232,AP234)-AP221-AP228</f>
        <v>115317056.59983368</v>
      </c>
      <c r="AQ235" s="3264"/>
      <c r="AU235" s="3336">
        <f>SUM(AU219:AU220,AU222:AU227,AU229:AU232,AU234)-AU221-AU228</f>
        <v>172081054</v>
      </c>
      <c r="AV235" s="3336">
        <f>SUM(AV219:AV220,AV222:AV227,AV229:AV232,AV234)-AV221-AV228</f>
        <v>46585105.523656681</v>
      </c>
      <c r="AW235" s="3336">
        <f>SUM(AW219:AW220,AW222:AW227,AW229:AW232,AW234)-AW221-AW228</f>
        <v>10178891.876509655</v>
      </c>
      <c r="AX235" s="3336">
        <f>SUM(AX219:AX220,AX222:AX227,AX229:AX232,AX234)-AX221-AX228</f>
        <v>115317056.59983368</v>
      </c>
      <c r="AY235" s="3264"/>
      <c r="BC235" s="3336">
        <f>SUM(BC219:BC220,BC222:BC227,BC229:BC232,BC234)-BC221-BC228</f>
        <v>172081054</v>
      </c>
      <c r="BD235" s="3336">
        <f>SUM(BD219:BD220,BD222:BD227,BD229:BD232,BD234)-BD221-BD228</f>
        <v>46585105.523656681</v>
      </c>
      <c r="BE235" s="3336">
        <f>SUM(BE219:BE220,BE222:BE227,BE229:BE232,BE234)-BE221-BE228</f>
        <v>10178891.876509655</v>
      </c>
      <c r="BF235" s="3336">
        <f>SUM(BF219:BF220,BF222:BF227,BF229:BF232,BF234)-BF221-BF228</f>
        <v>115317056.59983368</v>
      </c>
      <c r="BG235" s="3264"/>
      <c r="BK235" s="3336">
        <f>SUM(BK219:BK220,BK222:BK227,BK229:BK232,BK234)-BK221-BK228</f>
        <v>172081054</v>
      </c>
      <c r="BL235" s="3336">
        <f>SUM(BL219:BL220,BL222:BL227,BL229:BL232,BL234)-BL221-BL228</f>
        <v>46585105.523656681</v>
      </c>
      <c r="BM235" s="3336">
        <f>SUM(BM219:BM220,BM222:BM227,BM229:BM232,BM234)-BM221-BM228</f>
        <v>10178891.876509655</v>
      </c>
      <c r="BN235" s="3336">
        <f>SUM(BN219:BN220,BN222:BN227,BN229:BN232,BN234)-BN221-BN228</f>
        <v>115317056.59983368</v>
      </c>
      <c r="BO235" s="3264"/>
      <c r="BS235" s="3336">
        <f>SUM(BS219:BS220,BS222:BS227,BS229:BS232,BS234)-BS221-BS228</f>
        <v>172081054</v>
      </c>
      <c r="BT235" s="3336">
        <f>SUM(BT219:BT220,BT222:BT227,BT229:BT232,BT234)-BT221-BT228</f>
        <v>46585105.523656681</v>
      </c>
      <c r="BU235" s="3336">
        <f>SUM(BU219:BU220,BU222:BU227,BU229:BU232,BU234)-BU221-BU228</f>
        <v>10178891.876509655</v>
      </c>
      <c r="BV235" s="3336">
        <f>SUM(BV219:BV220,BV222:BV227,BV229:BV232,BV234)-BV221-BV228</f>
        <v>115317056.59983368</v>
      </c>
      <c r="BW235" s="3264"/>
      <c r="CA235" s="3336">
        <f>SUM(CA219:CA220,CA222:CA227,CA229:CA232,CA234)-CA221-CA228</f>
        <v>172081054</v>
      </c>
      <c r="CB235" s="3336">
        <f>SUM(CB219:CB220,CB222:CB227,CB229:CB232,CB234)-CB221-CB228</f>
        <v>46585105.523656681</v>
      </c>
      <c r="CC235" s="3336">
        <f>SUM(CC219:CC220,CC222:CC227,CC229:CC232,CC234)-CC221-CC228</f>
        <v>10178891.876509655</v>
      </c>
      <c r="CD235" s="3336">
        <f>SUM(CD219:CD220,CD222:CD227,CD229:CD232,CD234)-CD221-CD228</f>
        <v>115317056.59983368</v>
      </c>
      <c r="CE235" s="3264"/>
      <c r="CI235" s="3336">
        <f>SUM(CI219:CI220,CI222:CI227,CI229:CI232,CI234)-CI221-CI228</f>
        <v>172081054</v>
      </c>
      <c r="CJ235" s="3336">
        <f>SUM(CJ219:CJ220,CJ222:CJ227,CJ229:CJ232,CJ234)-CJ221-CJ228</f>
        <v>46585105.523656681</v>
      </c>
      <c r="CK235" s="3336">
        <f>SUM(CK219:CK220,CK222:CK227,CK229:CK232,CK234)-CK221-CK228</f>
        <v>10178891.876509655</v>
      </c>
      <c r="CL235" s="3336">
        <f>SUM(CL219:CL220,CL222:CL227,CL229:CL232,CL234)-CL221-CL228</f>
        <v>115317056.59983368</v>
      </c>
      <c r="CM235" s="3264"/>
      <c r="CQ235" s="3336">
        <f>SUM(CQ219:CQ220,CQ222:CQ227,CQ229:CQ232,CQ234)-CQ221-CQ228</f>
        <v>172081054</v>
      </c>
      <c r="CR235" s="3336">
        <f>SUM(CR219:CR220,CR222:CR227,CR229:CR232,CR234)-CR221-CR228</f>
        <v>46585105.523656681</v>
      </c>
      <c r="CS235" s="3336">
        <f>SUM(CS219:CS220,CS222:CS227,CS229:CS232,CS234)-CS221-CS228</f>
        <v>10178891.876509655</v>
      </c>
      <c r="CT235" s="3336">
        <f>SUM(CT219:CT220,CT222:CT227,CT229:CT232,CT234)-CT221-CT228</f>
        <v>115317056.59983368</v>
      </c>
      <c r="CU235" s="3264"/>
      <c r="CY235" s="3336">
        <f>SUM(CY219:CY220,CY222:CY227,CY229:CY232,CY234)-CY221-CY228</f>
        <v>172081054</v>
      </c>
      <c r="CZ235" s="3336">
        <f>SUM(CZ219:CZ220,CZ222:CZ227,CZ229:CZ232,CZ234)-CZ221-CZ228</f>
        <v>46585105.523656681</v>
      </c>
      <c r="DA235" s="3336">
        <f>SUM(DA219:DA220,DA222:DA227,DA229:DA232,DA234)-DA221-DA228</f>
        <v>10178891.876509655</v>
      </c>
      <c r="DB235" s="3336">
        <f>SUM(DB219:DB220,DB222:DB227,DB229:DB232,DB234)-DB221-DB228</f>
        <v>115317056.59983368</v>
      </c>
      <c r="DC235" s="3264"/>
      <c r="DG235" s="3336">
        <f>SUM(DG219:DG220,DG222:DG227,DG229:DG232,DG234)-DG221-DG228</f>
        <v>172081054</v>
      </c>
      <c r="DH235" s="3336">
        <f>SUM(DH219:DH220,DH222:DH227,DH229:DH232,DH234)-DH221-DH228</f>
        <v>46585105.523656681</v>
      </c>
      <c r="DI235" s="3336">
        <f>SUM(DI219:DI220,DI222:DI227,DI229:DI232,DI234)-DI221-DI228</f>
        <v>10178891.876509655</v>
      </c>
      <c r="DJ235" s="3336">
        <f>SUM(DJ219:DJ220,DJ222:DJ227,DJ229:DJ232,DJ234)-DJ221-DJ228</f>
        <v>115317056.59983368</v>
      </c>
      <c r="DK235" s="3264"/>
      <c r="DO235" s="3336">
        <f>SUM(DO219:DO220,DO222:DO227,DO229:DO232,DO234)-DO221-DO228</f>
        <v>172081054</v>
      </c>
      <c r="DP235" s="3336">
        <f>SUM(DP219:DP220,DP222:DP227,DP229:DP232,DP234)-DP221-DP228</f>
        <v>46585105.523656681</v>
      </c>
      <c r="DQ235" s="3336">
        <f>SUM(DQ219:DQ220,DQ222:DQ227,DQ229:DQ232,DQ234)-DQ221-DQ228</f>
        <v>10178891.876509655</v>
      </c>
      <c r="DR235" s="3336">
        <f>SUM(DR219:DR220,DR222:DR227,DR229:DR232,DR234)-DR221-DR228</f>
        <v>115317056.59983368</v>
      </c>
      <c r="DS235" s="3264"/>
      <c r="DW235" s="3336">
        <f>SUM(DW219:DW220,DW222:DW227,DW229:DW232,DW234)-DW221-DW228</f>
        <v>172081054</v>
      </c>
      <c r="DX235" s="3336">
        <f>SUM(DX219:DX220,DX222:DX227,DX229:DX232,DX234)-DX221-DX228</f>
        <v>46585105.523656681</v>
      </c>
      <c r="DY235" s="3336">
        <f>SUM(DY219:DY220,DY222:DY227,DY229:DY232,DY234)-DY221-DY228</f>
        <v>10178891.876509655</v>
      </c>
      <c r="DZ235" s="3336">
        <f>SUM(DZ219:DZ220,DZ222:DZ227,DZ229:DZ232,DZ234)-DZ221-DZ228</f>
        <v>115317056.59983368</v>
      </c>
      <c r="EA235" s="3264"/>
      <c r="EE235" s="3336">
        <f>SUM(EE219:EE220,EE222:EE227,EE229:EE232,EE234)-EE221-EE228</f>
        <v>172081054</v>
      </c>
      <c r="EF235" s="3336">
        <f>SUM(EF219:EF220,EF222:EF227,EF229:EF232,EF234)-EF221-EF228</f>
        <v>46585105.523656681</v>
      </c>
      <c r="EG235" s="3336">
        <f>SUM(EG219:EG220,EG222:EG227,EG229:EG232,EG234)-EG221-EG228</f>
        <v>10178891.876509655</v>
      </c>
      <c r="EH235" s="3336">
        <f>SUM(EH219:EH220,EH222:EH227,EH229:EH232,EH234)-EH221-EH228</f>
        <v>115317056.59983368</v>
      </c>
      <c r="EI235" s="3264"/>
      <c r="EM235" s="3336">
        <f>SUM(EM219:EM220,EM222:EM227,EM229:EM232,EM234)-EM221-EM228</f>
        <v>172081054</v>
      </c>
      <c r="EN235" s="3336">
        <f>SUM(EN219:EN220,EN222:EN227,EN229:EN232,EN234)-EN221-EN228</f>
        <v>46585105.523656681</v>
      </c>
      <c r="EO235" s="3336">
        <f>SUM(EO219:EO220,EO222:EO227,EO229:EO232,EO234)-EO221-EO228</f>
        <v>10178891.876509655</v>
      </c>
      <c r="EP235" s="3336">
        <f>SUM(EP219:EP220,EP222:EP227,EP229:EP232,EP234)-EP221-EP228</f>
        <v>115317056.59983368</v>
      </c>
      <c r="EQ235" s="3264"/>
      <c r="EU235" s="3336">
        <f>SUM(EU219:EU220,EU222:EU227,EU229:EU232,EU234)-EU221-EU228</f>
        <v>172081054</v>
      </c>
      <c r="EV235" s="3336">
        <f>SUM(EV219:EV220,EV222:EV227,EV229:EV232,EV234)-EV221-EV228</f>
        <v>46585105.523656681</v>
      </c>
      <c r="EW235" s="3336">
        <f>SUM(EW219:EW220,EW222:EW227,EW229:EW232,EW234)-EW221-EW228</f>
        <v>10178891.876509655</v>
      </c>
      <c r="EX235" s="3336">
        <f>SUM(EX219:EX220,EX222:EX227,EX229:EX232,EX234)-EX221-EX228</f>
        <v>115317056.59983368</v>
      </c>
      <c r="EY235" s="3264"/>
      <c r="FC235" s="3336">
        <f>SUM(FC219:FC220,FC222:FC227,FC229:FC232,FC234)-FC221-FC228</f>
        <v>172081054</v>
      </c>
      <c r="FD235" s="3336">
        <f>SUM(FD219:FD220,FD222:FD227,FD229:FD232,FD234)-FD221-FD228</f>
        <v>46585105.523656681</v>
      </c>
      <c r="FE235" s="3336">
        <f>SUM(FE219:FE220,FE222:FE227,FE229:FE232,FE234)-FE221-FE228</f>
        <v>10178891.876509655</v>
      </c>
      <c r="FF235" s="3336">
        <f>SUM(FF219:FF220,FF222:FF227,FF229:FF232,FF234)-FF221-FF228</f>
        <v>115317056.59983368</v>
      </c>
      <c r="FG235" s="3264"/>
      <c r="FK235" s="3336">
        <f>SUM(FK219:FK220,FK222:FK227,FK229:FK232,FK234)-FK221-FK228</f>
        <v>172081054</v>
      </c>
      <c r="FL235" s="3336">
        <f>SUM(FL219:FL220,FL222:FL227,FL229:FL232,FL234)-FL221-FL228</f>
        <v>46585105.523656681</v>
      </c>
      <c r="FM235" s="3336">
        <f>SUM(FM219:FM220,FM222:FM227,FM229:FM232,FM234)-FM221-FM228</f>
        <v>10178891.876509655</v>
      </c>
      <c r="FN235" s="3336">
        <f>SUM(FN219:FN220,FN222:FN227,FN229:FN232,FN234)-FN221-FN228</f>
        <v>115317056.59983368</v>
      </c>
      <c r="FO235" s="3264"/>
    </row>
    <row r="236" spans="1:171" ht="12" thickBot="1">
      <c r="A236" s="3509"/>
      <c r="B236" s="2444"/>
      <c r="C236" s="2120"/>
      <c r="D236" s="2105"/>
      <c r="E236" s="2105"/>
      <c r="F236" s="2105"/>
      <c r="G236" s="3337"/>
      <c r="H236" s="2445"/>
      <c r="I236" s="2445"/>
      <c r="J236" s="2221"/>
      <c r="K236" s="3205"/>
      <c r="O236" s="2747"/>
      <c r="S236" s="3264"/>
      <c r="W236" s="2747"/>
      <c r="AA236" s="3264"/>
      <c r="AE236" s="2747"/>
      <c r="AI236" s="3264"/>
      <c r="AM236" s="2747"/>
      <c r="AQ236" s="3264"/>
      <c r="AU236" s="2747"/>
      <c r="AY236" s="3264"/>
      <c r="BC236" s="2747"/>
      <c r="BG236" s="3264"/>
      <c r="BK236" s="2747"/>
      <c r="BO236" s="3264"/>
      <c r="BS236" s="2747"/>
      <c r="BW236" s="3264"/>
      <c r="CA236" s="2747"/>
      <c r="CE236" s="3264"/>
      <c r="CI236" s="2747"/>
      <c r="CM236" s="3264"/>
      <c r="CQ236" s="2747"/>
      <c r="CU236" s="3264"/>
      <c r="CY236" s="2747"/>
      <c r="DC236" s="3264"/>
      <c r="DG236" s="2747"/>
      <c r="DK236" s="3264"/>
      <c r="DO236" s="2747"/>
      <c r="DS236" s="3264"/>
      <c r="DW236" s="2747"/>
      <c r="EA236" s="3264"/>
      <c r="EE236" s="2747"/>
      <c r="EI236" s="3264"/>
      <c r="EM236" s="2747"/>
      <c r="EQ236" s="3264"/>
      <c r="EU236" s="2747"/>
      <c r="EY236" s="3264"/>
      <c r="FC236" s="2747"/>
      <c r="FG236" s="3264"/>
      <c r="FK236" s="2747"/>
      <c r="FO236" s="3264"/>
    </row>
    <row r="237" spans="1:171" ht="12" thickTop="1">
      <c r="A237" s="2091" t="s">
        <v>493</v>
      </c>
      <c r="B237" s="2097"/>
      <c r="C237" s="3256"/>
      <c r="D237" s="3257"/>
      <c r="E237" s="3257"/>
      <c r="F237" s="3258"/>
      <c r="G237" s="3265">
        <f>G196+G202+G207+G215+G235</f>
        <v>2433312842</v>
      </c>
      <c r="H237" s="3265">
        <f>H196+H202+H207+H215+H235</f>
        <v>2062620776.8536565</v>
      </c>
      <c r="I237" s="3265">
        <f>I196+I202+I207+I215+I235</f>
        <v>0</v>
      </c>
      <c r="J237" s="3474">
        <f>J196+J202+J207+J215+J235</f>
        <v>370692065.52513409</v>
      </c>
      <c r="K237" s="3205"/>
      <c r="O237" s="3331">
        <f>O196+O202+O207+O215+O235</f>
        <v>2433312842</v>
      </c>
      <c r="P237" s="3331">
        <f>P196+P202+P207+P215+P235</f>
        <v>2062620776.8536565</v>
      </c>
      <c r="Q237" s="3331">
        <f>Q196+Q202+Q207+Q215+Q235</f>
        <v>36398946.876509652</v>
      </c>
      <c r="R237" s="3331">
        <f>R196+R202+R207+R215+R235</f>
        <v>334293118.26983368</v>
      </c>
      <c r="S237" s="3264"/>
      <c r="W237" s="3331">
        <f>W196+W202+W207+W215+W235</f>
        <v>2433312842</v>
      </c>
      <c r="X237" s="3331">
        <f>X196+X202+X207+X215+X235</f>
        <v>2062620776.8536565</v>
      </c>
      <c r="Y237" s="3331">
        <f>Y196+Y202+Y207+Y215+Y235</f>
        <v>36398946.876509652</v>
      </c>
      <c r="Z237" s="3331">
        <f>Z196+Z202+Z207+Z215+Z235</f>
        <v>334293118.26983368</v>
      </c>
      <c r="AA237" s="3264"/>
      <c r="AE237" s="3331">
        <f>AE196+AE202+AE207+AE215+AE235</f>
        <v>2433312842</v>
      </c>
      <c r="AF237" s="3331">
        <f>AF196+AF202+AF207+AF215+AF235</f>
        <v>2062620776.8536565</v>
      </c>
      <c r="AG237" s="3331">
        <f>AG196+AG202+AG207+AG215+AG235</f>
        <v>36398946.876509652</v>
      </c>
      <c r="AH237" s="3331">
        <f>AH196+AH202+AH207+AH215+AH235</f>
        <v>334293118.26983368</v>
      </c>
      <c r="AI237" s="3264"/>
      <c r="AM237" s="3331">
        <f>AM196+AM202+AM207+AM215+AM235</f>
        <v>2433312842</v>
      </c>
      <c r="AN237" s="3331">
        <f>AN196+AN202+AN207+AN215+AN235</f>
        <v>2062620776.8536565</v>
      </c>
      <c r="AO237" s="3331">
        <f>AO196+AO202+AO207+AO215+AO235</f>
        <v>36398946.876509652</v>
      </c>
      <c r="AP237" s="3331">
        <f>AP196+AP202+AP207+AP215+AP235</f>
        <v>334293118.26983368</v>
      </c>
      <c r="AQ237" s="3264"/>
      <c r="AU237" s="3331">
        <f>AU196+AU202+AU207+AU215+AU235</f>
        <v>2433312842</v>
      </c>
      <c r="AV237" s="3331">
        <f>AV196+AV202+AV207+AV215+AV235</f>
        <v>2062620776.8536565</v>
      </c>
      <c r="AW237" s="3331">
        <f>AW196+AW202+AW207+AW215+AW235</f>
        <v>36398946.876509652</v>
      </c>
      <c r="AX237" s="3331">
        <f>AX196+AX202+AX207+AX215+AX235</f>
        <v>334293118.26983368</v>
      </c>
      <c r="AY237" s="3264"/>
      <c r="BC237" s="3331">
        <f>BC196+BC202+BC207+BC215+BC235</f>
        <v>2433312842</v>
      </c>
      <c r="BD237" s="3331">
        <f>BD196+BD202+BD207+BD215+BD235</f>
        <v>2062620776.8536565</v>
      </c>
      <c r="BE237" s="3331">
        <f>BE196+BE202+BE207+BE215+BE235</f>
        <v>36398946.876509652</v>
      </c>
      <c r="BF237" s="3331">
        <f>BF196+BF202+BF207+BF215+BF235</f>
        <v>334293118.26983368</v>
      </c>
      <c r="BG237" s="3264"/>
      <c r="BK237" s="3331">
        <f>BK196+BK202+BK207+BK215+BK235</f>
        <v>2433312842</v>
      </c>
      <c r="BL237" s="3331">
        <f>BL196+BL202+BL207+BL215+BL235</f>
        <v>2062620776.8536565</v>
      </c>
      <c r="BM237" s="3331">
        <f>BM196+BM202+BM207+BM215+BM235</f>
        <v>36398946.876509652</v>
      </c>
      <c r="BN237" s="3331">
        <f>BN196+BN202+BN207+BN215+BN235</f>
        <v>334293118.26983368</v>
      </c>
      <c r="BO237" s="3264"/>
      <c r="BS237" s="3331">
        <f>BS196+BS202+BS207+BS215+BS235</f>
        <v>2433312842</v>
      </c>
      <c r="BT237" s="3331">
        <f>BT196+BT202+BT207+BT215+BT235</f>
        <v>2062620776.8536565</v>
      </c>
      <c r="BU237" s="3331">
        <f>BU196+BU202+BU207+BU215+BU235</f>
        <v>36398946.876509652</v>
      </c>
      <c r="BV237" s="3331">
        <f>BV196+BV202+BV207+BV215+BV235</f>
        <v>334293118.26983368</v>
      </c>
      <c r="BW237" s="3264"/>
      <c r="CA237" s="3331">
        <f>CA196+CA202+CA207+CA215+CA235</f>
        <v>2433312842</v>
      </c>
      <c r="CB237" s="3331">
        <f>CB196+CB202+CB207+CB215+CB235</f>
        <v>2062620776.8536565</v>
      </c>
      <c r="CC237" s="3331">
        <f>CC196+CC202+CC207+CC215+CC235</f>
        <v>36398946.876509652</v>
      </c>
      <c r="CD237" s="3331">
        <f>CD196+CD202+CD207+CD215+CD235</f>
        <v>334293118.26983368</v>
      </c>
      <c r="CE237" s="3264"/>
      <c r="CI237" s="3331">
        <f>CI196+CI202+CI207+CI215+CI235</f>
        <v>2433312842</v>
      </c>
      <c r="CJ237" s="3331">
        <f>CJ196+CJ202+CJ207+CJ215+CJ235</f>
        <v>2062620776.8536565</v>
      </c>
      <c r="CK237" s="3331">
        <f>CK196+CK202+CK207+CK215+CK235</f>
        <v>36398946.876509652</v>
      </c>
      <c r="CL237" s="3331">
        <f>CL196+CL202+CL207+CL215+CL235</f>
        <v>334293118.26983368</v>
      </c>
      <c r="CM237" s="3264"/>
      <c r="CQ237" s="3331">
        <f>CQ196+CQ202+CQ207+CQ215+CQ235</f>
        <v>2433312842</v>
      </c>
      <c r="CR237" s="3331">
        <f>CR196+CR202+CR207+CR215+CR235</f>
        <v>2062620776.8536565</v>
      </c>
      <c r="CS237" s="3331">
        <f>CS196+CS202+CS207+CS215+CS235</f>
        <v>36398946.876509652</v>
      </c>
      <c r="CT237" s="3331">
        <f>CT196+CT202+CT207+CT215+CT235</f>
        <v>334293118.26983368</v>
      </c>
      <c r="CU237" s="3264"/>
      <c r="CY237" s="3331">
        <f>CY196+CY202+CY207+CY215+CY235</f>
        <v>2433312842</v>
      </c>
      <c r="CZ237" s="3331">
        <f>CZ196+CZ202+CZ207+CZ215+CZ235</f>
        <v>2062620776.8536565</v>
      </c>
      <c r="DA237" s="3331">
        <f>DA196+DA202+DA207+DA215+DA235</f>
        <v>36398946.876509652</v>
      </c>
      <c r="DB237" s="3331">
        <f>DB196+DB202+DB207+DB215+DB235</f>
        <v>334293118.26983368</v>
      </c>
      <c r="DC237" s="3264"/>
      <c r="DG237" s="3331">
        <f>DG196+DG202+DG207+DG215+DG235</f>
        <v>2433312842</v>
      </c>
      <c r="DH237" s="3331">
        <f>DH196+DH202+DH207+DH215+DH235</f>
        <v>2062620776.8536565</v>
      </c>
      <c r="DI237" s="3331">
        <f>DI196+DI202+DI207+DI215+DI235</f>
        <v>36398946.876509652</v>
      </c>
      <c r="DJ237" s="3331">
        <f>DJ196+DJ202+DJ207+DJ215+DJ235</f>
        <v>334293118.26983368</v>
      </c>
      <c r="DK237" s="3264"/>
      <c r="DO237" s="3331">
        <f>DO196+DO202+DO207+DO215+DO235</f>
        <v>2433312842</v>
      </c>
      <c r="DP237" s="3331">
        <f>DP196+DP202+DP207+DP215+DP235</f>
        <v>2062620776.8536565</v>
      </c>
      <c r="DQ237" s="3331">
        <f>DQ196+DQ202+DQ207+DQ215+DQ235</f>
        <v>36398946.876509652</v>
      </c>
      <c r="DR237" s="3331">
        <f>DR196+DR202+DR207+DR215+DR235</f>
        <v>334293118.26983368</v>
      </c>
      <c r="DS237" s="3264"/>
      <c r="DW237" s="3331">
        <f>DW196+DW202+DW207+DW215+DW235</f>
        <v>2433312842</v>
      </c>
      <c r="DX237" s="3331">
        <f>DX196+DX202+DX207+DX215+DX235</f>
        <v>2062620776.8536565</v>
      </c>
      <c r="DY237" s="3331">
        <f>DY196+DY202+DY207+DY215+DY235</f>
        <v>36398946.876509652</v>
      </c>
      <c r="DZ237" s="3331">
        <f>DZ196+DZ202+DZ207+DZ215+DZ235</f>
        <v>334293118.26983368</v>
      </c>
      <c r="EA237" s="3264"/>
      <c r="EE237" s="3331">
        <f>EE196+EE202+EE207+EE215+EE235</f>
        <v>2433312842</v>
      </c>
      <c r="EF237" s="3331">
        <f>EF196+EF202+EF207+EF215+EF235</f>
        <v>2062620776.8536565</v>
      </c>
      <c r="EG237" s="3331">
        <f>EG196+EG202+EG207+EG215+EG235</f>
        <v>36398946.876509652</v>
      </c>
      <c r="EH237" s="3331">
        <f>EH196+EH202+EH207+EH215+EH235</f>
        <v>334293118.26983368</v>
      </c>
      <c r="EI237" s="3264"/>
      <c r="EM237" s="3331">
        <f>EM196+EM202+EM207+EM215+EM235</f>
        <v>2433312842</v>
      </c>
      <c r="EN237" s="3331">
        <f>EN196+EN202+EN207+EN215+EN235</f>
        <v>2062620776.8536565</v>
      </c>
      <c r="EO237" s="3331">
        <f>EO196+EO202+EO207+EO215+EO235</f>
        <v>36398946.876509652</v>
      </c>
      <c r="EP237" s="3331">
        <f>EP196+EP202+EP207+EP215+EP235</f>
        <v>334293118.26983368</v>
      </c>
      <c r="EQ237" s="3264"/>
      <c r="EU237" s="3331">
        <f>EU196+EU202+EU207+EU215+EU235</f>
        <v>2433312842</v>
      </c>
      <c r="EV237" s="3331">
        <f>EV196+EV202+EV207+EV215+EV235</f>
        <v>2062620776.8536565</v>
      </c>
      <c r="EW237" s="3331">
        <f>EW196+EW202+EW207+EW215+EW235</f>
        <v>36398946.876509652</v>
      </c>
      <c r="EX237" s="3331">
        <f>EX196+EX202+EX207+EX215+EX235</f>
        <v>334293118.26983368</v>
      </c>
      <c r="EY237" s="3264"/>
      <c r="FC237" s="3331">
        <f>FC196+FC202+FC207+FC215+FC235</f>
        <v>2433312842</v>
      </c>
      <c r="FD237" s="3331">
        <f>FD196+FD202+FD207+FD215+FD235</f>
        <v>2062620776.8536565</v>
      </c>
      <c r="FE237" s="3331">
        <f>FE196+FE202+FE207+FE215+FE235</f>
        <v>36398946.876509652</v>
      </c>
      <c r="FF237" s="3331">
        <f>FF196+FF202+FF207+FF215+FF235</f>
        <v>334293118.26983368</v>
      </c>
      <c r="FG237" s="3264"/>
      <c r="FK237" s="3331">
        <f>FK196+FK202+FK207+FK215+FK235</f>
        <v>2433312842</v>
      </c>
      <c r="FL237" s="3331">
        <f>FL196+FL202+FL207+FL215+FL235</f>
        <v>2062620776.8536565</v>
      </c>
      <c r="FM237" s="3331">
        <f>FM196+FM202+FM207+FM215+FM235</f>
        <v>36398946.876509652</v>
      </c>
      <c r="FN237" s="3331">
        <f>FN196+FN202+FN207+FN215+FN235</f>
        <v>334293118.26983368</v>
      </c>
      <c r="FO237" s="3264"/>
    </row>
    <row r="238" spans="1:171">
      <c r="A238" s="3510" t="s">
        <v>428</v>
      </c>
      <c r="B238" s="2497"/>
      <c r="C238" s="2498"/>
      <c r="D238" s="2185"/>
      <c r="E238" s="2185"/>
      <c r="F238" s="2185"/>
      <c r="G238" s="3334"/>
      <c r="H238" s="3338"/>
      <c r="I238" s="3338"/>
      <c r="J238" s="3511"/>
      <c r="K238" s="3205"/>
      <c r="S238" s="3264"/>
      <c r="AA238" s="3264"/>
      <c r="AI238" s="3264"/>
      <c r="AQ238" s="3264"/>
      <c r="AY238" s="3264"/>
      <c r="BG238" s="3264"/>
      <c r="BO238" s="3264"/>
      <c r="BW238" s="3264"/>
      <c r="CE238" s="3264"/>
      <c r="CM238" s="3264"/>
      <c r="CU238" s="3264"/>
      <c r="DC238" s="3264"/>
      <c r="DK238" s="3264"/>
      <c r="DS238" s="3264"/>
      <c r="EA238" s="3264"/>
      <c r="EI238" s="3264"/>
      <c r="EQ238" s="3264"/>
      <c r="EY238" s="3264"/>
      <c r="FG238" s="3264"/>
      <c r="FO238" s="3264"/>
    </row>
    <row r="239" spans="1:171">
      <c r="A239" s="3452"/>
      <c r="C239" s="3340"/>
      <c r="D239" s="3341"/>
      <c r="E239" s="3340"/>
      <c r="F239" s="3340"/>
      <c r="G239" s="3342"/>
      <c r="H239" s="3343"/>
      <c r="I239" s="3343"/>
      <c r="J239" s="3512"/>
      <c r="K239" s="3205"/>
      <c r="S239" s="3264"/>
      <c r="AA239" s="3264"/>
      <c r="AI239" s="3264"/>
      <c r="AQ239" s="3264"/>
      <c r="AY239" s="3264"/>
      <c r="BG239" s="3264"/>
      <c r="BO239" s="3264"/>
      <c r="BW239" s="3264"/>
      <c r="CE239" s="3264"/>
      <c r="CM239" s="3264"/>
      <c r="CU239" s="3264"/>
      <c r="DC239" s="3264"/>
      <c r="DK239" s="3264"/>
      <c r="DS239" s="3264"/>
      <c r="EA239" s="3264"/>
      <c r="EI239" s="3264"/>
      <c r="EQ239" s="3264"/>
      <c r="EY239" s="3264"/>
      <c r="FG239" s="3264"/>
      <c r="FO239" s="3264"/>
    </row>
    <row r="240" spans="1:171">
      <c r="A240" s="2096" t="s">
        <v>40</v>
      </c>
      <c r="B240" s="2506"/>
      <c r="C240" s="896"/>
      <c r="D240" s="896"/>
      <c r="E240" s="896"/>
      <c r="F240" s="2097"/>
      <c r="G240" s="2233"/>
      <c r="H240" s="2463"/>
      <c r="I240" s="2463"/>
      <c r="J240" s="3513"/>
      <c r="K240" s="3205"/>
      <c r="S240" s="3264"/>
      <c r="AA240" s="3264"/>
      <c r="AI240" s="3264"/>
      <c r="AQ240" s="3264"/>
      <c r="AY240" s="3264"/>
      <c r="BG240" s="3264"/>
      <c r="BO240" s="3264"/>
      <c r="BW240" s="3264"/>
      <c r="CE240" s="3264"/>
      <c r="CM240" s="3264"/>
      <c r="CU240" s="3264"/>
      <c r="DC240" s="3264"/>
      <c r="DK240" s="3264"/>
      <c r="DS240" s="3264"/>
      <c r="EA240" s="3264"/>
      <c r="EI240" s="3264"/>
      <c r="EQ240" s="3264"/>
      <c r="EY240" s="3264"/>
      <c r="FG240" s="3264"/>
      <c r="FO240" s="3264"/>
    </row>
    <row r="241" spans="1:171">
      <c r="A241" s="3477"/>
      <c r="B241" s="2185" t="s">
        <v>368</v>
      </c>
      <c r="C241" s="2464">
        <v>336</v>
      </c>
      <c r="D241" s="2464">
        <v>403</v>
      </c>
      <c r="E241" s="2424" t="str">
        <f>'Sch 3 - Expenses'!E81</f>
        <v>DIST</v>
      </c>
      <c r="F241" s="2171"/>
      <c r="G241" s="2424">
        <f>'Sch 3 - Expenses'!G81</f>
        <v>0</v>
      </c>
      <c r="H241" s="2424">
        <f>'Sch 3 - Expenses'!H81</f>
        <v>0</v>
      </c>
      <c r="I241" s="2424">
        <f>'Sch 3 - Expenses'!I81</f>
        <v>0</v>
      </c>
      <c r="J241" s="3465">
        <f>'Sch 3 - Expenses'!J81</f>
        <v>0</v>
      </c>
      <c r="K241" s="3205">
        <f t="shared" ref="K241:K256" si="629">IF($E241="DIRECT",0,1)</f>
        <v>1</v>
      </c>
      <c r="O241" s="3235">
        <f>$G241</f>
        <v>0</v>
      </c>
      <c r="P241" s="3236">
        <f t="shared" ref="P241:P256" si="630">VLOOKUP($E241,O$442:R$453,2,FALSE)*O241*($K241)+IF($G241&lt;&gt;0,($H241/$G241)*O241,0)*(1-$K241)</f>
        <v>0</v>
      </c>
      <c r="Q241" s="3236">
        <f t="shared" ref="Q241:Q256" si="631">VLOOKUP($E241,O$442:R$453,3,FALSE)*O241*($K241)+IF($G241&lt;&gt;0,($I241/$G241)*O241,0)*(1-$K241)</f>
        <v>0</v>
      </c>
      <c r="R241" s="3236">
        <f t="shared" ref="R241:R256" si="632">VLOOKUP($E241,O$442:R$453,4,FALSE)*O241*($K241)+(O241-P241-Q241)*(1-$K241)</f>
        <v>0</v>
      </c>
      <c r="S241" s="3264"/>
      <c r="W241" s="3235">
        <f>$G241</f>
        <v>0</v>
      </c>
      <c r="X241" s="3236">
        <f t="shared" ref="X241:X256" si="633">VLOOKUP($E241,W$442:Z$453,2,FALSE)*W241*($K241)+IF($G241&lt;&gt;0,($H241/$G241)*W241,0)*(1-$K241)</f>
        <v>0</v>
      </c>
      <c r="Y241" s="3236">
        <f t="shared" ref="Y241:Y256" si="634">VLOOKUP($E241,W$442:Z$453,3,FALSE)*W241*($K241)+IF($G241&lt;&gt;0,($I241/$G241)*W241,0)*(1-$K241)</f>
        <v>0</v>
      </c>
      <c r="Z241" s="3236">
        <f t="shared" ref="Z241:Z256" si="635">VLOOKUP($E241,W$442:Z$453,4,FALSE)*W241*($K241)+(W241-X241-Y241)*(1-$K241)</f>
        <v>0</v>
      </c>
      <c r="AA241" s="3264"/>
      <c r="AE241" s="3235">
        <f>$G241</f>
        <v>0</v>
      </c>
      <c r="AF241" s="3236">
        <f t="shared" ref="AF241:AF256" si="636">VLOOKUP($E241,AE$442:AH$453,2,FALSE)*AE241*($K241)+IF($G241&lt;&gt;0,($H241/$G241)*AE241,0)*(1-$K241)</f>
        <v>0</v>
      </c>
      <c r="AG241" s="3236">
        <f t="shared" ref="AG241:AG256" si="637">VLOOKUP($E241,AE$442:AH$453,3,FALSE)*AE241*($K241)+IF($G241&lt;&gt;0,($I241/$G241)*AE241,0)*(1-$K241)</f>
        <v>0</v>
      </c>
      <c r="AH241" s="3236">
        <f t="shared" ref="AH241:AH256" si="638">VLOOKUP($E241,AE$442:AH$453,4,FALSE)*AE241*($K241)+(AE241-AF241-AG241)*(1-$K241)</f>
        <v>0</v>
      </c>
      <c r="AI241" s="3264"/>
      <c r="AM241" s="3235">
        <f>$G241</f>
        <v>0</v>
      </c>
      <c r="AN241" s="3236">
        <f t="shared" ref="AN241:AN256" si="639">VLOOKUP($E241,AM$442:AP$453,2,FALSE)*AM241*($K241)+IF($G241&lt;&gt;0,($H241/$G241)*AM241,0)*(1-$K241)</f>
        <v>0</v>
      </c>
      <c r="AO241" s="3236">
        <f t="shared" ref="AO241:AO256" si="640">VLOOKUP($E241,AM$442:AP$453,3,FALSE)*AM241*($K241)+IF($G241&lt;&gt;0,($I241/$G241)*AM241,0)*(1-$K241)</f>
        <v>0</v>
      </c>
      <c r="AP241" s="3236">
        <f t="shared" ref="AP241:AP256" si="641">VLOOKUP($E241,AM$442:AP$453,4,FALSE)*AM241*($K241)+(AM241-AN241-AO241)*(1-$K241)</f>
        <v>0</v>
      </c>
      <c r="AQ241" s="3264"/>
      <c r="AU241" s="3235">
        <f>$G241</f>
        <v>0</v>
      </c>
      <c r="AV241" s="3236">
        <f t="shared" ref="AV241:AV256" si="642">VLOOKUP($E241,AU$442:AX$453,2,FALSE)*AU241*($K241)+IF($G241&lt;&gt;0,($H241/$G241)*AU241,0)*(1-$K241)</f>
        <v>0</v>
      </c>
      <c r="AW241" s="3236">
        <f t="shared" ref="AW241:AW256" si="643">VLOOKUP($E241,AU$442:AX$453,3,FALSE)*AU241*($K241)+IF($G241&lt;&gt;0,($I241/$G241)*AU241,0)*(1-$K241)</f>
        <v>0</v>
      </c>
      <c r="AX241" s="3236">
        <f t="shared" ref="AX241:AX256" si="644">VLOOKUP($E241,AU$442:AX$453,4,FALSE)*AU241*($K241)+(AU241-AV241-AW241)*(1-$K241)</f>
        <v>0</v>
      </c>
      <c r="AY241" s="3264"/>
      <c r="BC241" s="3235">
        <f>$G241</f>
        <v>0</v>
      </c>
      <c r="BD241" s="3236">
        <f t="shared" ref="BD241:BD256" si="645">VLOOKUP($E241,BC$442:BF$453,2,FALSE)*BC241*($K241)+IF($G241&lt;&gt;0,($H241/$G241)*BC241,0)*(1-$K241)</f>
        <v>0</v>
      </c>
      <c r="BE241" s="3236">
        <f t="shared" ref="BE241:BE256" si="646">VLOOKUP($E241,BC$442:BF$453,3,FALSE)*BC241*($K241)+IF($G241&lt;&gt;0,($I241/$G241)*BC241,0)*(1-$K241)</f>
        <v>0</v>
      </c>
      <c r="BF241" s="3236">
        <f t="shared" ref="BF241:BF256" si="647">VLOOKUP($E241,BC$442:BF$453,4,FALSE)*BC241*($K241)+(BC241-BD241-BE241)*(1-$K241)</f>
        <v>0</v>
      </c>
      <c r="BG241" s="3264"/>
      <c r="BK241" s="3235">
        <f>$G241</f>
        <v>0</v>
      </c>
      <c r="BL241" s="3236">
        <f t="shared" ref="BL241:BL256" si="648">VLOOKUP($E241,BK$442:BN$453,2,FALSE)*BK241*($K241)+IF($G241&lt;&gt;0,($H241/$G241)*BK241,0)*(1-$K241)</f>
        <v>0</v>
      </c>
      <c r="BM241" s="3236">
        <f t="shared" ref="BM241:BM256" si="649">VLOOKUP($E241,BK$442:BN$453,3,FALSE)*BK241*($K241)+IF($G241&lt;&gt;0,($I241/$G241)*BK241,0)*(1-$K241)</f>
        <v>0</v>
      </c>
      <c r="BN241" s="3236">
        <f t="shared" ref="BN241:BN256" si="650">VLOOKUP($E241,BK$442:BN$453,4,FALSE)*BK241*($K241)+(BK241-BL241-BM241)*(1-$K241)</f>
        <v>0</v>
      </c>
      <c r="BO241" s="3264"/>
      <c r="BS241" s="3235">
        <f>$G241</f>
        <v>0</v>
      </c>
      <c r="BT241" s="3236">
        <f t="shared" ref="BT241:BT256" si="651">VLOOKUP($E241,BS$442:BV$453,2,FALSE)*BS241*($K241)+IF($G241&lt;&gt;0,($H241/$G241)*BS241,0)*(1-$K241)</f>
        <v>0</v>
      </c>
      <c r="BU241" s="3236">
        <f t="shared" ref="BU241:BU256" si="652">VLOOKUP($E241,BS$442:BV$453,3,FALSE)*BS241*($K241)+IF($G241&lt;&gt;0,($I241/$G241)*BS241,0)*(1-$K241)</f>
        <v>0</v>
      </c>
      <c r="BV241" s="3236">
        <f t="shared" ref="BV241:BV256" si="653">VLOOKUP($E241,BS$442:BV$453,4,FALSE)*BS241*($K241)+(BS241-BT241-BU241)*(1-$K241)</f>
        <v>0</v>
      </c>
      <c r="BW241" s="3264"/>
      <c r="CA241" s="3235">
        <f>$G241</f>
        <v>0</v>
      </c>
      <c r="CB241" s="3236">
        <f t="shared" ref="CB241:CB256" si="654">VLOOKUP($E241,CA$442:CD$453,2,FALSE)*CA241*($K241)+IF($G241&lt;&gt;0,($H241/$G241)*CA241,0)*(1-$K241)</f>
        <v>0</v>
      </c>
      <c r="CC241" s="3236">
        <f t="shared" ref="CC241:CC256" si="655">VLOOKUP($E241,CA$442:CD$453,3,FALSE)*CA241*($K241)+IF($G241&lt;&gt;0,($I241/$G241)*CA241,0)*(1-$K241)</f>
        <v>0</v>
      </c>
      <c r="CD241" s="3236">
        <f t="shared" ref="CD241:CD256" si="656">VLOOKUP($E241,CA$442:CD$453,4,FALSE)*CA241*($K241)+(CA241-CB241-CC241)*(1-$K241)</f>
        <v>0</v>
      </c>
      <c r="CE241" s="3264"/>
      <c r="CI241" s="3235">
        <f>$G241</f>
        <v>0</v>
      </c>
      <c r="CJ241" s="3236">
        <f t="shared" ref="CJ241:CJ256" si="657">VLOOKUP($E241,CI$442:CL$453,2,FALSE)*CI241*($K241)+IF($G241&lt;&gt;0,($H241/$G241)*CI241,0)*(1-$K241)</f>
        <v>0</v>
      </c>
      <c r="CK241" s="3236">
        <f t="shared" ref="CK241:CK256" si="658">VLOOKUP($E241,CI$442:CL$453,3,FALSE)*CI241*($K241)+IF($G241&lt;&gt;0,($I241/$G241)*CI241,0)*(1-$K241)</f>
        <v>0</v>
      </c>
      <c r="CL241" s="3236">
        <f t="shared" ref="CL241:CL256" si="659">VLOOKUP($E241,CI$442:CL$453,4,FALSE)*CI241*($K241)+(CI241-CJ241-CK241)*(1-$K241)</f>
        <v>0</v>
      </c>
      <c r="CM241" s="3264"/>
      <c r="CQ241" s="3235">
        <f>$G241</f>
        <v>0</v>
      </c>
      <c r="CR241" s="3236">
        <f t="shared" ref="CR241:CR256" si="660">VLOOKUP($E241,CQ$442:CT$453,2,FALSE)*CQ241*($K241)+IF($G241&lt;&gt;0,($H241/$G241)*CQ241,0)*(1-$K241)</f>
        <v>0</v>
      </c>
      <c r="CS241" s="3236">
        <f t="shared" ref="CS241:CS256" si="661">VLOOKUP($E241,CQ$442:CT$453,3,FALSE)*CQ241*($K241)+IF($G241&lt;&gt;0,($I241/$G241)*CQ241,0)*(1-$K241)</f>
        <v>0</v>
      </c>
      <c r="CT241" s="3236">
        <f t="shared" ref="CT241:CT256" si="662">VLOOKUP($E241,CQ$442:CT$453,4,FALSE)*CQ241*($K241)+(CQ241-CR241-CS241)*(1-$K241)</f>
        <v>0</v>
      </c>
      <c r="CU241" s="3264"/>
      <c r="CY241" s="3235">
        <f>$G241</f>
        <v>0</v>
      </c>
      <c r="CZ241" s="3236">
        <f t="shared" ref="CZ241:CZ256" si="663">VLOOKUP($E241,CY$442:DB$453,2,FALSE)*CY241*($K241)+IF($G241&lt;&gt;0,($H241/$G241)*CY241,0)*(1-$K241)</f>
        <v>0</v>
      </c>
      <c r="DA241" s="3236">
        <f t="shared" ref="DA241:DA256" si="664">VLOOKUP($E241,CY$442:DB$453,3,FALSE)*CY241*($K241)+IF($G241&lt;&gt;0,($I241/$G241)*CY241,0)*(1-$K241)</f>
        <v>0</v>
      </c>
      <c r="DB241" s="3236">
        <f t="shared" ref="DB241:DB256" si="665">VLOOKUP($E241,CY$442:DB$453,4,FALSE)*CY241*($K241)+(CY241-CZ241-DA241)*(1-$K241)</f>
        <v>0</v>
      </c>
      <c r="DC241" s="3264"/>
      <c r="DG241" s="3235">
        <f>$G241</f>
        <v>0</v>
      </c>
      <c r="DH241" s="3236">
        <f t="shared" ref="DH241:DH256" si="666">VLOOKUP($E241,DG$442:DJ$453,2,FALSE)*DG241*($K241)+IF($G241&lt;&gt;0,($H241/$G241)*DG241,0)*(1-$K241)</f>
        <v>0</v>
      </c>
      <c r="DI241" s="3236">
        <f t="shared" ref="DI241:DI256" si="667">VLOOKUP($E241,DG$442:DJ$453,3,FALSE)*DG241*($K241)+IF($G241&lt;&gt;0,($I241/$G241)*DG241,0)*(1-$K241)</f>
        <v>0</v>
      </c>
      <c r="DJ241" s="3236">
        <f t="shared" ref="DJ241:DJ256" si="668">VLOOKUP($E241,DG$442:DJ$453,4,FALSE)*DG241*($K241)+(DG241-DH241-DI241)*(1-$K241)</f>
        <v>0</v>
      </c>
      <c r="DK241" s="3264"/>
      <c r="DO241" s="3235">
        <f>$G241</f>
        <v>0</v>
      </c>
      <c r="DP241" s="3236">
        <f t="shared" ref="DP241:DP256" si="669">VLOOKUP($E241,DO$442:DR$453,2,FALSE)*DO241*($K241)+IF($G241&lt;&gt;0,($H241/$G241)*DO241,0)*(1-$K241)</f>
        <v>0</v>
      </c>
      <c r="DQ241" s="3236">
        <f t="shared" ref="DQ241:DQ256" si="670">VLOOKUP($E241,DO$442:DR$453,3,FALSE)*DO241*($K241)+IF($G241&lt;&gt;0,($I241/$G241)*DO241,0)*(1-$K241)</f>
        <v>0</v>
      </c>
      <c r="DR241" s="3236">
        <f t="shared" ref="DR241:DR256" si="671">VLOOKUP($E241,DO$442:DR$453,4,FALSE)*DO241*($K241)+(DO241-DP241-DQ241)*(1-$K241)</f>
        <v>0</v>
      </c>
      <c r="DS241" s="3264"/>
      <c r="DW241" s="3235">
        <f>$G241</f>
        <v>0</v>
      </c>
      <c r="DX241" s="3236">
        <f t="shared" ref="DX241:DX256" si="672">VLOOKUP($E241,DW$442:DZ$453,2,FALSE)*DW241*($K241)+IF($G241&lt;&gt;0,($H241/$G241)*DW241,0)*(1-$K241)</f>
        <v>0</v>
      </c>
      <c r="DY241" s="3236">
        <f t="shared" ref="DY241:DY256" si="673">VLOOKUP($E241,DW$442:DZ$453,3,FALSE)*DW241*($K241)+IF($G241&lt;&gt;0,($I241/$G241)*DW241,0)*(1-$K241)</f>
        <v>0</v>
      </c>
      <c r="DZ241" s="3236">
        <f t="shared" ref="DZ241:DZ256" si="674">VLOOKUP($E241,DW$442:DZ$453,4,FALSE)*DW241*($K241)+(DW241-DX241-DY241)*(1-$K241)</f>
        <v>0</v>
      </c>
      <c r="EA241" s="3264"/>
      <c r="EE241" s="3235">
        <f>$G241</f>
        <v>0</v>
      </c>
      <c r="EF241" s="3236">
        <f t="shared" ref="EF241:EF256" si="675">VLOOKUP($E241,EE$442:EH$453,2,FALSE)*EE241*($K241)+IF($G241&lt;&gt;0,($H241/$G241)*EE241,0)*(1-$K241)</f>
        <v>0</v>
      </c>
      <c r="EG241" s="3236">
        <f t="shared" ref="EG241:EG256" si="676">VLOOKUP($E241,EE$442:EH$453,3,FALSE)*EE241*($K241)+IF($G241&lt;&gt;0,($I241/$G241)*EE241,0)*(1-$K241)</f>
        <v>0</v>
      </c>
      <c r="EH241" s="3236">
        <f t="shared" ref="EH241:EH256" si="677">VLOOKUP($E241,EE$442:EH$453,4,FALSE)*EE241*($K241)+(EE241-EF241-EG241)*(1-$K241)</f>
        <v>0</v>
      </c>
      <c r="EI241" s="3264"/>
      <c r="EM241" s="3235">
        <f>$G241</f>
        <v>0</v>
      </c>
      <c r="EN241" s="3236">
        <f t="shared" ref="EN241:EN256" si="678">VLOOKUP($E241,EM$442:EP$453,2,FALSE)*EM241*($K241)+IF($G241&lt;&gt;0,($H241/$G241)*EM241,0)*(1-$K241)</f>
        <v>0</v>
      </c>
      <c r="EO241" s="3236">
        <f t="shared" ref="EO241:EO256" si="679">VLOOKUP($E241,EM$442:EP$453,3,FALSE)*EM241*($K241)+IF($G241&lt;&gt;0,($I241/$G241)*EM241,0)*(1-$K241)</f>
        <v>0</v>
      </c>
      <c r="EP241" s="3236">
        <f t="shared" ref="EP241:EP256" si="680">VLOOKUP($E241,EM$442:EP$453,4,FALSE)*EM241*($K241)+(EM241-EN241-EO241)*(1-$K241)</f>
        <v>0</v>
      </c>
      <c r="EQ241" s="3264"/>
      <c r="EU241" s="3235">
        <f>$G241</f>
        <v>0</v>
      </c>
      <c r="EV241" s="3236">
        <f t="shared" ref="EV241:EV256" si="681">VLOOKUP($E241,EU$442:EX$453,2,FALSE)*EU241*($K241)+IF($G241&lt;&gt;0,($H241/$G241)*EU241,0)*(1-$K241)</f>
        <v>0</v>
      </c>
      <c r="EW241" s="3236">
        <f t="shared" ref="EW241:EW256" si="682">VLOOKUP($E241,EU$442:EX$453,3,FALSE)*EU241*($K241)+IF($G241&lt;&gt;0,($I241/$G241)*EU241,0)*(1-$K241)</f>
        <v>0</v>
      </c>
      <c r="EX241" s="3236">
        <f t="shared" ref="EX241:EX256" si="683">VLOOKUP($E241,EU$442:EX$453,4,FALSE)*EU241*($K241)+(EU241-EV241-EW241)*(1-$K241)</f>
        <v>0</v>
      </c>
      <c r="EY241" s="3264"/>
      <c r="FC241" s="3235">
        <f>$G241</f>
        <v>0</v>
      </c>
      <c r="FD241" s="3236">
        <f t="shared" ref="FD241:FD256" si="684">VLOOKUP($E241,FC$442:FF$453,2,FALSE)*FC241*($K241)+IF($G241&lt;&gt;0,($H241/$G241)*FC241,0)*(1-$K241)</f>
        <v>0</v>
      </c>
      <c r="FE241" s="3236">
        <f t="shared" ref="FE241:FE256" si="685">VLOOKUP($E241,FC$442:FF$453,3,FALSE)*FC241*($K241)+IF($G241&lt;&gt;0,($I241/$G241)*FC241,0)*(1-$K241)</f>
        <v>0</v>
      </c>
      <c r="FF241" s="3236">
        <f t="shared" ref="FF241:FF256" si="686">VLOOKUP($E241,FC$442:FF$453,4,FALSE)*FC241*($K241)+(FC241-FD241-FE241)*(1-$K241)</f>
        <v>0</v>
      </c>
      <c r="FG241" s="3264"/>
      <c r="FK241" s="3235">
        <f>$G241</f>
        <v>0</v>
      </c>
      <c r="FL241" s="3236">
        <f t="shared" ref="FL241:FL256" si="687">VLOOKUP($E241,FK$442:FN$453,2,FALSE)*FK241*($K241)+IF($G241&lt;&gt;0,($H241/$G241)*FK241,0)*(1-$K241)</f>
        <v>0</v>
      </c>
      <c r="FM241" s="3236">
        <f t="shared" ref="FM241:FM256" si="688">VLOOKUP($E241,FK$442:FN$453,3,FALSE)*FK241*($K241)+IF($G241&lt;&gt;0,($I241/$G241)*FK241,0)*(1-$K241)</f>
        <v>0</v>
      </c>
      <c r="FN241" s="3236">
        <f t="shared" ref="FN241:FN256" si="689">VLOOKUP($E241,FK$442:FN$453,4,FALSE)*FK241*($K241)+(FK241-FL241-FM241)*(1-$K241)</f>
        <v>0</v>
      </c>
      <c r="FO241" s="3264"/>
    </row>
    <row r="242" spans="1:171">
      <c r="A242" s="3477"/>
      <c r="B242" s="2185" t="s">
        <v>369</v>
      </c>
      <c r="C242" s="2464">
        <v>336</v>
      </c>
      <c r="D242" s="2464">
        <v>403</v>
      </c>
      <c r="E242" s="2424" t="str">
        <f>'Sch 3 - Expenses'!E82</f>
        <v>DIRECT</v>
      </c>
      <c r="F242" s="2171"/>
      <c r="G242" s="2424">
        <f>'Sch 3 - Expenses'!G82</f>
        <v>3046815.6500000004</v>
      </c>
      <c r="H242" s="2424">
        <f>'Sch 3 - Expenses'!H82</f>
        <v>2120600.2430168567</v>
      </c>
      <c r="I242" s="2424">
        <f>'Sch 3 - Expenses'!I82</f>
        <v>0</v>
      </c>
      <c r="J242" s="3465">
        <f>'Sch 3 - Expenses'!J82</f>
        <v>926215.4069831433</v>
      </c>
      <c r="K242" s="3205">
        <f t="shared" si="629"/>
        <v>0</v>
      </c>
      <c r="O242" s="3235">
        <f>$G242</f>
        <v>3046815.6500000004</v>
      </c>
      <c r="P242" s="3236">
        <f t="shared" si="630"/>
        <v>2120600.2430168567</v>
      </c>
      <c r="Q242" s="3236">
        <f t="shared" si="631"/>
        <v>0</v>
      </c>
      <c r="R242" s="3236">
        <f t="shared" si="632"/>
        <v>926215.40698314365</v>
      </c>
      <c r="S242" s="3264"/>
      <c r="W242" s="3235">
        <f>$G242</f>
        <v>3046815.6500000004</v>
      </c>
      <c r="X242" s="3236">
        <f t="shared" si="633"/>
        <v>2120600.2430168567</v>
      </c>
      <c r="Y242" s="3236">
        <f t="shared" si="634"/>
        <v>0</v>
      </c>
      <c r="Z242" s="3236">
        <f t="shared" si="635"/>
        <v>926215.40698314365</v>
      </c>
      <c r="AA242" s="3264"/>
      <c r="AE242" s="3235">
        <f>$G242</f>
        <v>3046815.6500000004</v>
      </c>
      <c r="AF242" s="3236">
        <f t="shared" si="636"/>
        <v>2120600.2430168567</v>
      </c>
      <c r="AG242" s="3236">
        <f t="shared" si="637"/>
        <v>0</v>
      </c>
      <c r="AH242" s="3236">
        <f t="shared" si="638"/>
        <v>926215.40698314365</v>
      </c>
      <c r="AI242" s="3264"/>
      <c r="AM242" s="3235">
        <f>$G242</f>
        <v>3046815.6500000004</v>
      </c>
      <c r="AN242" s="3236">
        <f t="shared" si="639"/>
        <v>2120600.2430168567</v>
      </c>
      <c r="AO242" s="3236">
        <f t="shared" si="640"/>
        <v>0</v>
      </c>
      <c r="AP242" s="3236">
        <f t="shared" si="641"/>
        <v>926215.40698314365</v>
      </c>
      <c r="AQ242" s="3264"/>
      <c r="AU242" s="3235">
        <f>$G242</f>
        <v>3046815.6500000004</v>
      </c>
      <c r="AV242" s="3236">
        <f t="shared" si="642"/>
        <v>2120600.2430168567</v>
      </c>
      <c r="AW242" s="3236">
        <f t="shared" si="643"/>
        <v>0</v>
      </c>
      <c r="AX242" s="3236">
        <f t="shared" si="644"/>
        <v>926215.40698314365</v>
      </c>
      <c r="AY242" s="3264"/>
      <c r="BC242" s="3235">
        <f>$G242</f>
        <v>3046815.6500000004</v>
      </c>
      <c r="BD242" s="3236">
        <f t="shared" si="645"/>
        <v>2120600.2430168567</v>
      </c>
      <c r="BE242" s="3236">
        <f t="shared" si="646"/>
        <v>0</v>
      </c>
      <c r="BF242" s="3236">
        <f t="shared" si="647"/>
        <v>926215.40698314365</v>
      </c>
      <c r="BG242" s="3264"/>
      <c r="BK242" s="3235">
        <f>$G242</f>
        <v>3046815.6500000004</v>
      </c>
      <c r="BL242" s="3236">
        <f t="shared" si="648"/>
        <v>2120600.2430168567</v>
      </c>
      <c r="BM242" s="3236">
        <f t="shared" si="649"/>
        <v>0</v>
      </c>
      <c r="BN242" s="3236">
        <f t="shared" si="650"/>
        <v>926215.40698314365</v>
      </c>
      <c r="BO242" s="3264"/>
      <c r="BS242" s="3235">
        <f>$G242</f>
        <v>3046815.6500000004</v>
      </c>
      <c r="BT242" s="3236">
        <f t="shared" si="651"/>
        <v>2120600.2430168567</v>
      </c>
      <c r="BU242" s="3236">
        <f t="shared" si="652"/>
        <v>0</v>
      </c>
      <c r="BV242" s="3236">
        <f t="shared" si="653"/>
        <v>926215.40698314365</v>
      </c>
      <c r="BW242" s="3264"/>
      <c r="CA242" s="3235">
        <f>$G242</f>
        <v>3046815.6500000004</v>
      </c>
      <c r="CB242" s="3236">
        <f t="shared" si="654"/>
        <v>2120600.2430168567</v>
      </c>
      <c r="CC242" s="3236">
        <f t="shared" si="655"/>
        <v>0</v>
      </c>
      <c r="CD242" s="3236">
        <f t="shared" si="656"/>
        <v>926215.40698314365</v>
      </c>
      <c r="CE242" s="3264"/>
      <c r="CI242" s="3235">
        <f>$G242</f>
        <v>3046815.6500000004</v>
      </c>
      <c r="CJ242" s="3236">
        <f t="shared" si="657"/>
        <v>2120600.2430168567</v>
      </c>
      <c r="CK242" s="3236">
        <f t="shared" si="658"/>
        <v>0</v>
      </c>
      <c r="CL242" s="3236">
        <f t="shared" si="659"/>
        <v>926215.40698314365</v>
      </c>
      <c r="CM242" s="3264"/>
      <c r="CQ242" s="3235">
        <f>$G242</f>
        <v>3046815.6500000004</v>
      </c>
      <c r="CR242" s="3236">
        <f t="shared" si="660"/>
        <v>2120600.2430168567</v>
      </c>
      <c r="CS242" s="3236">
        <f t="shared" si="661"/>
        <v>0</v>
      </c>
      <c r="CT242" s="3236">
        <f t="shared" si="662"/>
        <v>926215.40698314365</v>
      </c>
      <c r="CU242" s="3264"/>
      <c r="CY242" s="3235">
        <f>$G242</f>
        <v>3046815.6500000004</v>
      </c>
      <c r="CZ242" s="3236">
        <f t="shared" si="663"/>
        <v>2120600.2430168567</v>
      </c>
      <c r="DA242" s="3236">
        <f t="shared" si="664"/>
        <v>0</v>
      </c>
      <c r="DB242" s="3236">
        <f t="shared" si="665"/>
        <v>926215.40698314365</v>
      </c>
      <c r="DC242" s="3264"/>
      <c r="DG242" s="3235">
        <f>$G242</f>
        <v>3046815.6500000004</v>
      </c>
      <c r="DH242" s="3236">
        <f t="shared" si="666"/>
        <v>2120600.2430168567</v>
      </c>
      <c r="DI242" s="3236">
        <f t="shared" si="667"/>
        <v>0</v>
      </c>
      <c r="DJ242" s="3236">
        <f t="shared" si="668"/>
        <v>926215.40698314365</v>
      </c>
      <c r="DK242" s="3264"/>
      <c r="DO242" s="3235">
        <f>$G242</f>
        <v>3046815.6500000004</v>
      </c>
      <c r="DP242" s="3236">
        <f t="shared" si="669"/>
        <v>2120600.2430168567</v>
      </c>
      <c r="DQ242" s="3236">
        <f t="shared" si="670"/>
        <v>0</v>
      </c>
      <c r="DR242" s="3236">
        <f t="shared" si="671"/>
        <v>926215.40698314365</v>
      </c>
      <c r="DS242" s="3264"/>
      <c r="DW242" s="3235">
        <f>$G242</f>
        <v>3046815.6500000004</v>
      </c>
      <c r="DX242" s="3236">
        <f t="shared" si="672"/>
        <v>2120600.2430168567</v>
      </c>
      <c r="DY242" s="3236">
        <f t="shared" si="673"/>
        <v>0</v>
      </c>
      <c r="DZ242" s="3236">
        <f t="shared" si="674"/>
        <v>926215.40698314365</v>
      </c>
      <c r="EA242" s="3264"/>
      <c r="EE242" s="3235">
        <f>$G242</f>
        <v>3046815.6500000004</v>
      </c>
      <c r="EF242" s="3236">
        <f t="shared" si="675"/>
        <v>2120600.2430168567</v>
      </c>
      <c r="EG242" s="3236">
        <f t="shared" si="676"/>
        <v>0</v>
      </c>
      <c r="EH242" s="3236">
        <f t="shared" si="677"/>
        <v>926215.40698314365</v>
      </c>
      <c r="EI242" s="3264"/>
      <c r="EM242" s="3235">
        <f>$G242</f>
        <v>3046815.6500000004</v>
      </c>
      <c r="EN242" s="3236">
        <f t="shared" si="678"/>
        <v>2120600.2430168567</v>
      </c>
      <c r="EO242" s="3236">
        <f t="shared" si="679"/>
        <v>0</v>
      </c>
      <c r="EP242" s="3236">
        <f t="shared" si="680"/>
        <v>926215.40698314365</v>
      </c>
      <c r="EQ242" s="3264"/>
      <c r="EU242" s="3235">
        <f>$G242</f>
        <v>3046815.6500000004</v>
      </c>
      <c r="EV242" s="3236">
        <f t="shared" si="681"/>
        <v>2120600.2430168567</v>
      </c>
      <c r="EW242" s="3236">
        <f t="shared" si="682"/>
        <v>0</v>
      </c>
      <c r="EX242" s="3236">
        <f t="shared" si="683"/>
        <v>926215.40698314365</v>
      </c>
      <c r="EY242" s="3264"/>
      <c r="FC242" s="3235">
        <f>$G242</f>
        <v>3046815.6500000004</v>
      </c>
      <c r="FD242" s="3236">
        <f t="shared" si="684"/>
        <v>2120600.2430168567</v>
      </c>
      <c r="FE242" s="3236">
        <f t="shared" si="685"/>
        <v>0</v>
      </c>
      <c r="FF242" s="3236">
        <f t="shared" si="686"/>
        <v>926215.40698314365</v>
      </c>
      <c r="FG242" s="3264"/>
      <c r="FK242" s="3235">
        <f>$G242</f>
        <v>3046815.6500000004</v>
      </c>
      <c r="FL242" s="3236">
        <f t="shared" si="687"/>
        <v>2120600.2430168567</v>
      </c>
      <c r="FM242" s="3236">
        <f t="shared" si="688"/>
        <v>0</v>
      </c>
      <c r="FN242" s="3236">
        <f t="shared" si="689"/>
        <v>926215.40698314365</v>
      </c>
      <c r="FO242" s="3264"/>
    </row>
    <row r="243" spans="1:171">
      <c r="A243" s="3477"/>
      <c r="B243" s="2185" t="s">
        <v>398</v>
      </c>
      <c r="C243" s="2464">
        <v>336</v>
      </c>
      <c r="D243" s="2464">
        <v>403</v>
      </c>
      <c r="E243" s="2424" t="str">
        <f>'Sch 3 - Expenses'!E83</f>
        <v>DIRECT</v>
      </c>
      <c r="F243" s="2171"/>
      <c r="G243" s="2424">
        <f>'Sch 3 - Expenses'!G83</f>
        <v>9732326.5399999991</v>
      </c>
      <c r="H243" s="2424">
        <f>'Sch 3 - Expenses'!H83</f>
        <v>0</v>
      </c>
      <c r="I243" s="2424">
        <f>'Sch 3 - Expenses'!I83</f>
        <v>0</v>
      </c>
      <c r="J243" s="3465">
        <f>'Sch 3 - Expenses'!J83</f>
        <v>9732326.5399999991</v>
      </c>
      <c r="K243" s="3205">
        <f t="shared" si="629"/>
        <v>0</v>
      </c>
      <c r="O243" s="3235">
        <f>$G243</f>
        <v>9732326.5399999991</v>
      </c>
      <c r="P243" s="3236">
        <f t="shared" si="630"/>
        <v>0</v>
      </c>
      <c r="Q243" s="3236">
        <f t="shared" si="631"/>
        <v>0</v>
      </c>
      <c r="R243" s="3236">
        <f t="shared" si="632"/>
        <v>9732326.5399999991</v>
      </c>
      <c r="S243" s="3264"/>
      <c r="W243" s="3235">
        <f>$G243</f>
        <v>9732326.5399999991</v>
      </c>
      <c r="X243" s="3236">
        <f t="shared" si="633"/>
        <v>0</v>
      </c>
      <c r="Y243" s="3236">
        <f t="shared" si="634"/>
        <v>0</v>
      </c>
      <c r="Z243" s="3236">
        <f t="shared" si="635"/>
        <v>9732326.5399999991</v>
      </c>
      <c r="AA243" s="3264"/>
      <c r="AE243" s="3235">
        <f>$G243</f>
        <v>9732326.5399999991</v>
      </c>
      <c r="AF243" s="3236">
        <f t="shared" si="636"/>
        <v>0</v>
      </c>
      <c r="AG243" s="3236">
        <f t="shared" si="637"/>
        <v>0</v>
      </c>
      <c r="AH243" s="3236">
        <f t="shared" si="638"/>
        <v>9732326.5399999991</v>
      </c>
      <c r="AI243" s="3264"/>
      <c r="AM243" s="3235">
        <f>$G243</f>
        <v>9732326.5399999991</v>
      </c>
      <c r="AN243" s="3236">
        <f t="shared" si="639"/>
        <v>0</v>
      </c>
      <c r="AO243" s="3236">
        <f t="shared" si="640"/>
        <v>0</v>
      </c>
      <c r="AP243" s="3236">
        <f t="shared" si="641"/>
        <v>9732326.5399999991</v>
      </c>
      <c r="AQ243" s="3264"/>
      <c r="AU243" s="3235">
        <f>$G243</f>
        <v>9732326.5399999991</v>
      </c>
      <c r="AV243" s="3236">
        <f t="shared" si="642"/>
        <v>0</v>
      </c>
      <c r="AW243" s="3236">
        <f t="shared" si="643"/>
        <v>0</v>
      </c>
      <c r="AX243" s="3236">
        <f t="shared" si="644"/>
        <v>9732326.5399999991</v>
      </c>
      <c r="AY243" s="3264"/>
      <c r="BC243" s="3235">
        <f>$G243</f>
        <v>9732326.5399999991</v>
      </c>
      <c r="BD243" s="3236">
        <f t="shared" si="645"/>
        <v>0</v>
      </c>
      <c r="BE243" s="3236">
        <f t="shared" si="646"/>
        <v>0</v>
      </c>
      <c r="BF243" s="3236">
        <f t="shared" si="647"/>
        <v>9732326.5399999991</v>
      </c>
      <c r="BG243" s="3264"/>
      <c r="BK243" s="3235">
        <f>$G243</f>
        <v>9732326.5399999991</v>
      </c>
      <c r="BL243" s="3236">
        <f t="shared" si="648"/>
        <v>0</v>
      </c>
      <c r="BM243" s="3236">
        <f t="shared" si="649"/>
        <v>0</v>
      </c>
      <c r="BN243" s="3236">
        <f t="shared" si="650"/>
        <v>9732326.5399999991</v>
      </c>
      <c r="BO243" s="3264"/>
      <c r="BS243" s="3235">
        <f>$G243</f>
        <v>9732326.5399999991</v>
      </c>
      <c r="BT243" s="3236">
        <f t="shared" si="651"/>
        <v>0</v>
      </c>
      <c r="BU243" s="3236">
        <f t="shared" si="652"/>
        <v>0</v>
      </c>
      <c r="BV243" s="3236">
        <f t="shared" si="653"/>
        <v>9732326.5399999991</v>
      </c>
      <c r="BW243" s="3264"/>
      <c r="CA243" s="3235">
        <f>$G243</f>
        <v>9732326.5399999991</v>
      </c>
      <c r="CB243" s="3236">
        <f t="shared" si="654"/>
        <v>0</v>
      </c>
      <c r="CC243" s="3236">
        <f t="shared" si="655"/>
        <v>0</v>
      </c>
      <c r="CD243" s="3236">
        <f t="shared" si="656"/>
        <v>9732326.5399999991</v>
      </c>
      <c r="CE243" s="3264"/>
      <c r="CI243" s="3235">
        <f>$G243</f>
        <v>9732326.5399999991</v>
      </c>
      <c r="CJ243" s="3236">
        <f t="shared" si="657"/>
        <v>0</v>
      </c>
      <c r="CK243" s="3236">
        <f t="shared" si="658"/>
        <v>0</v>
      </c>
      <c r="CL243" s="3236">
        <f t="shared" si="659"/>
        <v>9732326.5399999991</v>
      </c>
      <c r="CM243" s="3264"/>
      <c r="CQ243" s="3235">
        <f>$G243</f>
        <v>9732326.5399999991</v>
      </c>
      <c r="CR243" s="3236">
        <f t="shared" si="660"/>
        <v>0</v>
      </c>
      <c r="CS243" s="3236">
        <f t="shared" si="661"/>
        <v>0</v>
      </c>
      <c r="CT243" s="3236">
        <f t="shared" si="662"/>
        <v>9732326.5399999991</v>
      </c>
      <c r="CU243" s="3264"/>
      <c r="CY243" s="3235">
        <f>$G243</f>
        <v>9732326.5399999991</v>
      </c>
      <c r="CZ243" s="3236">
        <f t="shared" si="663"/>
        <v>0</v>
      </c>
      <c r="DA243" s="3236">
        <f t="shared" si="664"/>
        <v>0</v>
      </c>
      <c r="DB243" s="3236">
        <f t="shared" si="665"/>
        <v>9732326.5399999991</v>
      </c>
      <c r="DC243" s="3264"/>
      <c r="DG243" s="3235">
        <f>$G243</f>
        <v>9732326.5399999991</v>
      </c>
      <c r="DH243" s="3236">
        <f t="shared" si="666"/>
        <v>0</v>
      </c>
      <c r="DI243" s="3236">
        <f t="shared" si="667"/>
        <v>0</v>
      </c>
      <c r="DJ243" s="3236">
        <f t="shared" si="668"/>
        <v>9732326.5399999991</v>
      </c>
      <c r="DK243" s="3264"/>
      <c r="DO243" s="3235">
        <f>$G243</f>
        <v>9732326.5399999991</v>
      </c>
      <c r="DP243" s="3236">
        <f t="shared" si="669"/>
        <v>0</v>
      </c>
      <c r="DQ243" s="3236">
        <f t="shared" si="670"/>
        <v>0</v>
      </c>
      <c r="DR243" s="3236">
        <f t="shared" si="671"/>
        <v>9732326.5399999991</v>
      </c>
      <c r="DS243" s="3264"/>
      <c r="DW243" s="3235">
        <f>$G243</f>
        <v>9732326.5399999991</v>
      </c>
      <c r="DX243" s="3236">
        <f t="shared" si="672"/>
        <v>0</v>
      </c>
      <c r="DY243" s="3236">
        <f t="shared" si="673"/>
        <v>0</v>
      </c>
      <c r="DZ243" s="3236">
        <f t="shared" si="674"/>
        <v>9732326.5399999991</v>
      </c>
      <c r="EA243" s="3264"/>
      <c r="EE243" s="3235">
        <f>$G243</f>
        <v>9732326.5399999991</v>
      </c>
      <c r="EF243" s="3236">
        <f t="shared" si="675"/>
        <v>0</v>
      </c>
      <c r="EG243" s="3236">
        <f t="shared" si="676"/>
        <v>0</v>
      </c>
      <c r="EH243" s="3236">
        <f t="shared" si="677"/>
        <v>9732326.5399999991</v>
      </c>
      <c r="EI243" s="3264"/>
      <c r="EM243" s="3235">
        <f>$G243</f>
        <v>9732326.5399999991</v>
      </c>
      <c r="EN243" s="3236">
        <f t="shared" si="678"/>
        <v>0</v>
      </c>
      <c r="EO243" s="3236">
        <f t="shared" si="679"/>
        <v>0</v>
      </c>
      <c r="EP243" s="3236">
        <f t="shared" si="680"/>
        <v>9732326.5399999991</v>
      </c>
      <c r="EQ243" s="3264"/>
      <c r="EU243" s="3235">
        <f>$G243</f>
        <v>9732326.5399999991</v>
      </c>
      <c r="EV243" s="3236">
        <f t="shared" si="681"/>
        <v>0</v>
      </c>
      <c r="EW243" s="3236">
        <f t="shared" si="682"/>
        <v>0</v>
      </c>
      <c r="EX243" s="3236">
        <f t="shared" si="683"/>
        <v>9732326.5399999991</v>
      </c>
      <c r="EY243" s="3264"/>
      <c r="FC243" s="3235">
        <f>$G243</f>
        <v>9732326.5399999991</v>
      </c>
      <c r="FD243" s="3236">
        <f t="shared" si="684"/>
        <v>0</v>
      </c>
      <c r="FE243" s="3236">
        <f t="shared" si="685"/>
        <v>0</v>
      </c>
      <c r="FF243" s="3236">
        <f t="shared" si="686"/>
        <v>9732326.5399999991</v>
      </c>
      <c r="FG243" s="3264"/>
      <c r="FK243" s="3235">
        <f>$G243</f>
        <v>9732326.5399999991</v>
      </c>
      <c r="FL243" s="3236">
        <f t="shared" si="687"/>
        <v>0</v>
      </c>
      <c r="FM243" s="3236">
        <f t="shared" si="688"/>
        <v>0</v>
      </c>
      <c r="FN243" s="3236">
        <f t="shared" si="689"/>
        <v>9732326.5399999991</v>
      </c>
      <c r="FO243" s="3264"/>
    </row>
    <row r="244" spans="1:171">
      <c r="A244" s="3480">
        <v>200</v>
      </c>
      <c r="B244" s="2185" t="s">
        <v>88</v>
      </c>
      <c r="C244" s="2464">
        <v>336</v>
      </c>
      <c r="D244" s="2464">
        <v>403</v>
      </c>
      <c r="E244" s="2424" t="str">
        <f>'Sch 3 - Expenses'!E84</f>
        <v>PROD</v>
      </c>
      <c r="F244" s="2171"/>
      <c r="G244" s="2424">
        <f>'Sch 3 - Expenses'!G84</f>
        <v>39706645</v>
      </c>
      <c r="H244" s="2424">
        <f>'Sch 3 - Expenses'!H84</f>
        <v>39706645</v>
      </c>
      <c r="I244" s="2424">
        <f>'Sch 3 - Expenses'!I84</f>
        <v>0</v>
      </c>
      <c r="J244" s="3465">
        <f>'Sch 3 - Expenses'!J84</f>
        <v>0</v>
      </c>
      <c r="K244" s="3205">
        <f t="shared" si="629"/>
        <v>1</v>
      </c>
      <c r="N244" s="3434">
        <f>VLOOKUP($A244,'New Resources - Group'!$A$4:$Y$133,N$2,FALSE)*N$1</f>
        <v>0</v>
      </c>
      <c r="O244" s="3235">
        <f t="shared" ref="O244:O249" si="690">$G244+N244</f>
        <v>39706645</v>
      </c>
      <c r="P244" s="3236">
        <f t="shared" si="630"/>
        <v>39706645</v>
      </c>
      <c r="Q244" s="3236">
        <f t="shared" si="631"/>
        <v>0</v>
      </c>
      <c r="R244" s="3236">
        <f t="shared" si="632"/>
        <v>0</v>
      </c>
      <c r="S244" s="3264"/>
      <c r="V244" s="3434">
        <f>VLOOKUP($A244,'New Resources - Group'!$A$4:$Y$133,V$2,FALSE)*V$1</f>
        <v>0</v>
      </c>
      <c r="W244" s="3235">
        <f t="shared" ref="W244:W249" si="691">$G244+V244</f>
        <v>39706645</v>
      </c>
      <c r="X244" s="3236">
        <f t="shared" si="633"/>
        <v>39706645</v>
      </c>
      <c r="Y244" s="3236">
        <f t="shared" si="634"/>
        <v>0</v>
      </c>
      <c r="Z244" s="3236">
        <f t="shared" si="635"/>
        <v>0</v>
      </c>
      <c r="AA244" s="3264"/>
      <c r="AD244" s="3434">
        <f>VLOOKUP($A244,'New Resources - Group'!$A$4:$Y$133,AD$2,FALSE)*AD$1</f>
        <v>0</v>
      </c>
      <c r="AE244" s="3235">
        <f t="shared" ref="AE244:AE249" si="692">$G244+AD244</f>
        <v>39706645</v>
      </c>
      <c r="AF244" s="3236">
        <f t="shared" si="636"/>
        <v>39706645</v>
      </c>
      <c r="AG244" s="3236">
        <f t="shared" si="637"/>
        <v>0</v>
      </c>
      <c r="AH244" s="3236">
        <f t="shared" si="638"/>
        <v>0</v>
      </c>
      <c r="AI244" s="3264"/>
      <c r="AL244" s="3434">
        <f>VLOOKUP($A244,'New Resources - Group'!$A$4:$Y$133,AL$2,FALSE)*AL$1</f>
        <v>0</v>
      </c>
      <c r="AM244" s="3235">
        <f t="shared" ref="AM244:AM249" si="693">$G244+AL244</f>
        <v>39706645</v>
      </c>
      <c r="AN244" s="3236">
        <f t="shared" si="639"/>
        <v>39706645</v>
      </c>
      <c r="AO244" s="3236">
        <f t="shared" si="640"/>
        <v>0</v>
      </c>
      <c r="AP244" s="3236">
        <f t="shared" si="641"/>
        <v>0</v>
      </c>
      <c r="AQ244" s="3264"/>
      <c r="AT244" s="3434">
        <f>VLOOKUP($A244,'New Resources - Group'!$A$4:$Y$133,AT$2,FALSE)*AT$1</f>
        <v>0</v>
      </c>
      <c r="AU244" s="3235">
        <f t="shared" ref="AU244:AU249" si="694">$G244+AT244</f>
        <v>39706645</v>
      </c>
      <c r="AV244" s="3236">
        <f t="shared" si="642"/>
        <v>39706645</v>
      </c>
      <c r="AW244" s="3236">
        <f t="shared" si="643"/>
        <v>0</v>
      </c>
      <c r="AX244" s="3236">
        <f t="shared" si="644"/>
        <v>0</v>
      </c>
      <c r="AY244" s="3264"/>
      <c r="BB244" s="3434">
        <f>VLOOKUP($A244,'New Resources - Group'!$A$4:$Y$133,BB$2,FALSE)*BB$1</f>
        <v>0</v>
      </c>
      <c r="BC244" s="3235">
        <f t="shared" ref="BC244:BC249" si="695">$G244+BB244</f>
        <v>39706645</v>
      </c>
      <c r="BD244" s="3236">
        <f t="shared" si="645"/>
        <v>39706645</v>
      </c>
      <c r="BE244" s="3236">
        <f t="shared" si="646"/>
        <v>0</v>
      </c>
      <c r="BF244" s="3236">
        <f t="shared" si="647"/>
        <v>0</v>
      </c>
      <c r="BG244" s="3264"/>
      <c r="BJ244" s="3434">
        <f>VLOOKUP($A244,'New Resources - Group'!$A$4:$Y$133,BJ$2,FALSE)*BJ$1</f>
        <v>0</v>
      </c>
      <c r="BK244" s="3235">
        <f t="shared" ref="BK244:BK249" si="696">$G244+BJ244</f>
        <v>39706645</v>
      </c>
      <c r="BL244" s="3236">
        <f t="shared" si="648"/>
        <v>39706645</v>
      </c>
      <c r="BM244" s="3236">
        <f t="shared" si="649"/>
        <v>0</v>
      </c>
      <c r="BN244" s="3236">
        <f t="shared" si="650"/>
        <v>0</v>
      </c>
      <c r="BO244" s="3264"/>
      <c r="BR244" s="3434">
        <f>VLOOKUP($A244,'New Resources - Group'!$A$4:$Y$133,BR$2,FALSE)*BR$1</f>
        <v>0</v>
      </c>
      <c r="BS244" s="3235">
        <f t="shared" ref="BS244:BS249" si="697">$G244+BR244</f>
        <v>39706645</v>
      </c>
      <c r="BT244" s="3236">
        <f t="shared" si="651"/>
        <v>39706645</v>
      </c>
      <c r="BU244" s="3236">
        <f t="shared" si="652"/>
        <v>0</v>
      </c>
      <c r="BV244" s="3236">
        <f t="shared" si="653"/>
        <v>0</v>
      </c>
      <c r="BW244" s="3264"/>
      <c r="BZ244" s="3434">
        <f>VLOOKUP($A244,'New Resources - Group'!$A$4:$Y$133,BZ$2,FALSE)*BZ$1</f>
        <v>0</v>
      </c>
      <c r="CA244" s="3235">
        <f t="shared" ref="CA244:CA249" si="698">$G244+BZ244</f>
        <v>39706645</v>
      </c>
      <c r="CB244" s="3236">
        <f t="shared" si="654"/>
        <v>39706645</v>
      </c>
      <c r="CC244" s="3236">
        <f t="shared" si="655"/>
        <v>0</v>
      </c>
      <c r="CD244" s="3236">
        <f t="shared" si="656"/>
        <v>0</v>
      </c>
      <c r="CE244" s="3264"/>
      <c r="CH244" s="3434">
        <f>VLOOKUP($A244,'New Resources - Group'!$A$4:$Y$133,CH$2,FALSE)*CH$1</f>
        <v>0</v>
      </c>
      <c r="CI244" s="3235">
        <f t="shared" ref="CI244:CI249" si="699">$G244+CH244</f>
        <v>39706645</v>
      </c>
      <c r="CJ244" s="3236">
        <f t="shared" si="657"/>
        <v>39706645</v>
      </c>
      <c r="CK244" s="3236">
        <f t="shared" si="658"/>
        <v>0</v>
      </c>
      <c r="CL244" s="3236">
        <f t="shared" si="659"/>
        <v>0</v>
      </c>
      <c r="CM244" s="3264"/>
      <c r="CP244" s="3434">
        <f>VLOOKUP($A244,'New Resources - Group'!$A$4:$Y$133,CP$2,FALSE)*CP$1</f>
        <v>0</v>
      </c>
      <c r="CQ244" s="3235">
        <f t="shared" ref="CQ244:CQ249" si="700">$G244+CP244</f>
        <v>39706645</v>
      </c>
      <c r="CR244" s="3236">
        <f t="shared" si="660"/>
        <v>39706645</v>
      </c>
      <c r="CS244" s="3236">
        <f t="shared" si="661"/>
        <v>0</v>
      </c>
      <c r="CT244" s="3236">
        <f t="shared" si="662"/>
        <v>0</v>
      </c>
      <c r="CU244" s="3264"/>
      <c r="CX244" s="3434">
        <f>VLOOKUP($A244,'New Resources - Group'!$A$4:$Y$133,CX$2,FALSE)*CX$1</f>
        <v>0</v>
      </c>
      <c r="CY244" s="3235">
        <f t="shared" ref="CY244:CY249" si="701">$G244+CX244</f>
        <v>39706645</v>
      </c>
      <c r="CZ244" s="3236">
        <f t="shared" si="663"/>
        <v>39706645</v>
      </c>
      <c r="DA244" s="3236">
        <f t="shared" si="664"/>
        <v>0</v>
      </c>
      <c r="DB244" s="3236">
        <f t="shared" si="665"/>
        <v>0</v>
      </c>
      <c r="DC244" s="3264"/>
      <c r="DF244" s="3434">
        <f>VLOOKUP($A244,'New Resources - Group'!$A$4:$Y$133,DF$2,FALSE)*DF$1</f>
        <v>0</v>
      </c>
      <c r="DG244" s="3235">
        <f t="shared" ref="DG244:DG249" si="702">$G244+DF244</f>
        <v>39706645</v>
      </c>
      <c r="DH244" s="3236">
        <f t="shared" si="666"/>
        <v>39706645</v>
      </c>
      <c r="DI244" s="3236">
        <f t="shared" si="667"/>
        <v>0</v>
      </c>
      <c r="DJ244" s="3236">
        <f t="shared" si="668"/>
        <v>0</v>
      </c>
      <c r="DK244" s="3264"/>
      <c r="DN244" s="3434">
        <f>VLOOKUP($A244,'New Resources - Group'!$A$4:$Y$133,DN$2,FALSE)*DN$1</f>
        <v>0</v>
      </c>
      <c r="DO244" s="3235">
        <f t="shared" ref="DO244:DO249" si="703">$G244+DN244</f>
        <v>39706645</v>
      </c>
      <c r="DP244" s="3236">
        <f t="shared" si="669"/>
        <v>39706645</v>
      </c>
      <c r="DQ244" s="3236">
        <f t="shared" si="670"/>
        <v>0</v>
      </c>
      <c r="DR244" s="3236">
        <f t="shared" si="671"/>
        <v>0</v>
      </c>
      <c r="DS244" s="3264"/>
      <c r="DV244" s="3434">
        <f>VLOOKUP($A244,'New Resources - Group'!$A$4:$Y$133,DV$2,FALSE)*DV$1</f>
        <v>0</v>
      </c>
      <c r="DW244" s="3235">
        <f t="shared" ref="DW244:DW249" si="704">$G244+DV244</f>
        <v>39706645</v>
      </c>
      <c r="DX244" s="3236">
        <f t="shared" si="672"/>
        <v>39706645</v>
      </c>
      <c r="DY244" s="3236">
        <f t="shared" si="673"/>
        <v>0</v>
      </c>
      <c r="DZ244" s="3236">
        <f t="shared" si="674"/>
        <v>0</v>
      </c>
      <c r="EA244" s="3264"/>
      <c r="ED244" s="3434">
        <f>VLOOKUP($A244,'New Resources - Group'!$A$4:$Y$133,ED$2,FALSE)*ED$1</f>
        <v>0</v>
      </c>
      <c r="EE244" s="3235">
        <f t="shared" ref="EE244:EE249" si="705">$G244+ED244</f>
        <v>39706645</v>
      </c>
      <c r="EF244" s="3236">
        <f t="shared" si="675"/>
        <v>39706645</v>
      </c>
      <c r="EG244" s="3236">
        <f t="shared" si="676"/>
        <v>0</v>
      </c>
      <c r="EH244" s="3236">
        <f t="shared" si="677"/>
        <v>0</v>
      </c>
      <c r="EI244" s="3264"/>
      <c r="EL244" s="3434">
        <f>VLOOKUP($A244,'New Resources - Group'!$A$4:$Y$133,EL$2,FALSE)*EL$1</f>
        <v>0</v>
      </c>
      <c r="EM244" s="3235">
        <f t="shared" ref="EM244:EM249" si="706">$G244+EL244</f>
        <v>39706645</v>
      </c>
      <c r="EN244" s="3236">
        <f t="shared" si="678"/>
        <v>39706645</v>
      </c>
      <c r="EO244" s="3236">
        <f t="shared" si="679"/>
        <v>0</v>
      </c>
      <c r="EP244" s="3236">
        <f t="shared" si="680"/>
        <v>0</v>
      </c>
      <c r="EQ244" s="3264"/>
      <c r="ET244" s="3434">
        <f>VLOOKUP($A244,'New Resources - Group'!$A$4:$Y$133,ET$2,FALSE)*ET$1</f>
        <v>0</v>
      </c>
      <c r="EU244" s="3235">
        <f t="shared" ref="EU244:EU249" si="707">$G244+ET244</f>
        <v>39706645</v>
      </c>
      <c r="EV244" s="3236">
        <f t="shared" si="681"/>
        <v>39706645</v>
      </c>
      <c r="EW244" s="3236">
        <f t="shared" si="682"/>
        <v>0</v>
      </c>
      <c r="EX244" s="3236">
        <f t="shared" si="683"/>
        <v>0</v>
      </c>
      <c r="EY244" s="3264"/>
      <c r="FB244" s="3434">
        <f>VLOOKUP($A244,'New Resources - Group'!$A$4:$Y$133,FB$2,FALSE)*FB$1</f>
        <v>0</v>
      </c>
      <c r="FC244" s="3235">
        <f t="shared" ref="FC244:FC249" si="708">$G244+FB244</f>
        <v>39706645</v>
      </c>
      <c r="FD244" s="3236">
        <f t="shared" si="684"/>
        <v>39706645</v>
      </c>
      <c r="FE244" s="3236">
        <f t="shared" si="685"/>
        <v>0</v>
      </c>
      <c r="FF244" s="3236">
        <f t="shared" si="686"/>
        <v>0</v>
      </c>
      <c r="FG244" s="3264"/>
      <c r="FJ244" s="3434">
        <f>VLOOKUP($A244,'New Resources - Group'!$A$4:$Y$133,FJ$2,FALSE)*FJ$1</f>
        <v>0</v>
      </c>
      <c r="FK244" s="3235">
        <f t="shared" ref="FK244:FK249" si="709">$G244+FJ244</f>
        <v>39706645</v>
      </c>
      <c r="FL244" s="3236">
        <f t="shared" si="687"/>
        <v>39706645</v>
      </c>
      <c r="FM244" s="3236">
        <f t="shared" si="688"/>
        <v>0</v>
      </c>
      <c r="FN244" s="3236">
        <f t="shared" si="689"/>
        <v>0</v>
      </c>
      <c r="FO244" s="3264"/>
    </row>
    <row r="245" spans="1:171">
      <c r="A245" s="3480">
        <v>330</v>
      </c>
      <c r="B245" s="2185" t="s">
        <v>89</v>
      </c>
      <c r="C245" s="2464">
        <v>336</v>
      </c>
      <c r="D245" s="2464">
        <v>403</v>
      </c>
      <c r="E245" s="2424" t="str">
        <f>'Sch 3 - Expenses'!E85</f>
        <v>PROD</v>
      </c>
      <c r="F245" s="2171"/>
      <c r="G245" s="2424">
        <f>'Sch 3 - Expenses'!G85</f>
        <v>0</v>
      </c>
      <c r="H245" s="2424">
        <f>'Sch 3 - Expenses'!H85</f>
        <v>0</v>
      </c>
      <c r="I245" s="2424">
        <f>'Sch 3 - Expenses'!I85</f>
        <v>0</v>
      </c>
      <c r="J245" s="3465">
        <f>'Sch 3 - Expenses'!J85</f>
        <v>0</v>
      </c>
      <c r="K245" s="3205">
        <f t="shared" si="629"/>
        <v>1</v>
      </c>
      <c r="N245" s="3434">
        <f>VLOOKUP($A245,'New Resources - Group'!$A$4:$Y$133,N$2,FALSE)*N$1</f>
        <v>0</v>
      </c>
      <c r="O245" s="3235">
        <f t="shared" si="690"/>
        <v>0</v>
      </c>
      <c r="P245" s="3236">
        <f t="shared" si="630"/>
        <v>0</v>
      </c>
      <c r="Q245" s="3236">
        <f t="shared" si="631"/>
        <v>0</v>
      </c>
      <c r="R245" s="3236">
        <f t="shared" si="632"/>
        <v>0</v>
      </c>
      <c r="S245" s="3264"/>
      <c r="V245" s="3434">
        <f>VLOOKUP($A245,'New Resources - Group'!$A$4:$Y$133,V$2,FALSE)*V$1</f>
        <v>0</v>
      </c>
      <c r="W245" s="3235">
        <f t="shared" si="691"/>
        <v>0</v>
      </c>
      <c r="X245" s="3236">
        <f t="shared" si="633"/>
        <v>0</v>
      </c>
      <c r="Y245" s="3236">
        <f t="shared" si="634"/>
        <v>0</v>
      </c>
      <c r="Z245" s="3236">
        <f t="shared" si="635"/>
        <v>0</v>
      </c>
      <c r="AA245" s="3264"/>
      <c r="AD245" s="3434">
        <f>VLOOKUP($A245,'New Resources - Group'!$A$4:$Y$133,AD$2,FALSE)*AD$1</f>
        <v>0</v>
      </c>
      <c r="AE245" s="3235">
        <f t="shared" si="692"/>
        <v>0</v>
      </c>
      <c r="AF245" s="3236">
        <f t="shared" si="636"/>
        <v>0</v>
      </c>
      <c r="AG245" s="3236">
        <f t="shared" si="637"/>
        <v>0</v>
      </c>
      <c r="AH245" s="3236">
        <f t="shared" si="638"/>
        <v>0</v>
      </c>
      <c r="AI245" s="3264"/>
      <c r="AL245" s="3434">
        <f>VLOOKUP($A245,'New Resources - Group'!$A$4:$Y$133,AL$2,FALSE)*AL$1</f>
        <v>0</v>
      </c>
      <c r="AM245" s="3235">
        <f t="shared" si="693"/>
        <v>0</v>
      </c>
      <c r="AN245" s="3236">
        <f t="shared" si="639"/>
        <v>0</v>
      </c>
      <c r="AO245" s="3236">
        <f t="shared" si="640"/>
        <v>0</v>
      </c>
      <c r="AP245" s="3236">
        <f t="shared" si="641"/>
        <v>0</v>
      </c>
      <c r="AQ245" s="3264"/>
      <c r="AT245" s="3434">
        <f>VLOOKUP($A245,'New Resources - Group'!$A$4:$Y$133,AT$2,FALSE)*AT$1</f>
        <v>0</v>
      </c>
      <c r="AU245" s="3235">
        <f t="shared" si="694"/>
        <v>0</v>
      </c>
      <c r="AV245" s="3236">
        <f t="shared" si="642"/>
        <v>0</v>
      </c>
      <c r="AW245" s="3236">
        <f t="shared" si="643"/>
        <v>0</v>
      </c>
      <c r="AX245" s="3236">
        <f t="shared" si="644"/>
        <v>0</v>
      </c>
      <c r="AY245" s="3264"/>
      <c r="BB245" s="3434">
        <f>VLOOKUP($A245,'New Resources - Group'!$A$4:$Y$133,BB$2,FALSE)*BB$1</f>
        <v>0</v>
      </c>
      <c r="BC245" s="3235">
        <f t="shared" si="695"/>
        <v>0</v>
      </c>
      <c r="BD245" s="3236">
        <f t="shared" si="645"/>
        <v>0</v>
      </c>
      <c r="BE245" s="3236">
        <f t="shared" si="646"/>
        <v>0</v>
      </c>
      <c r="BF245" s="3236">
        <f t="shared" si="647"/>
        <v>0</v>
      </c>
      <c r="BG245" s="3264"/>
      <c r="BJ245" s="3434">
        <f>VLOOKUP($A245,'New Resources - Group'!$A$4:$Y$133,BJ$2,FALSE)*BJ$1</f>
        <v>0</v>
      </c>
      <c r="BK245" s="3235">
        <f t="shared" si="696"/>
        <v>0</v>
      </c>
      <c r="BL245" s="3236">
        <f t="shared" si="648"/>
        <v>0</v>
      </c>
      <c r="BM245" s="3236">
        <f t="shared" si="649"/>
        <v>0</v>
      </c>
      <c r="BN245" s="3236">
        <f t="shared" si="650"/>
        <v>0</v>
      </c>
      <c r="BO245" s="3264"/>
      <c r="BR245" s="3434">
        <f>VLOOKUP($A245,'New Resources - Group'!$A$4:$Y$133,BR$2,FALSE)*BR$1</f>
        <v>0</v>
      </c>
      <c r="BS245" s="3235">
        <f t="shared" si="697"/>
        <v>0</v>
      </c>
      <c r="BT245" s="3236">
        <f t="shared" si="651"/>
        <v>0</v>
      </c>
      <c r="BU245" s="3236">
        <f t="shared" si="652"/>
        <v>0</v>
      </c>
      <c r="BV245" s="3236">
        <f t="shared" si="653"/>
        <v>0</v>
      </c>
      <c r="BW245" s="3264"/>
      <c r="BZ245" s="3434">
        <f>VLOOKUP($A245,'New Resources - Group'!$A$4:$Y$133,BZ$2,FALSE)*BZ$1</f>
        <v>0</v>
      </c>
      <c r="CA245" s="3235">
        <f t="shared" si="698"/>
        <v>0</v>
      </c>
      <c r="CB245" s="3236">
        <f t="shared" si="654"/>
        <v>0</v>
      </c>
      <c r="CC245" s="3236">
        <f t="shared" si="655"/>
        <v>0</v>
      </c>
      <c r="CD245" s="3236">
        <f t="shared" si="656"/>
        <v>0</v>
      </c>
      <c r="CE245" s="3264"/>
      <c r="CH245" s="3434">
        <f>VLOOKUP($A245,'New Resources - Group'!$A$4:$Y$133,CH$2,FALSE)*CH$1</f>
        <v>0</v>
      </c>
      <c r="CI245" s="3235">
        <f t="shared" si="699"/>
        <v>0</v>
      </c>
      <c r="CJ245" s="3236">
        <f t="shared" si="657"/>
        <v>0</v>
      </c>
      <c r="CK245" s="3236">
        <f t="shared" si="658"/>
        <v>0</v>
      </c>
      <c r="CL245" s="3236">
        <f t="shared" si="659"/>
        <v>0</v>
      </c>
      <c r="CM245" s="3264"/>
      <c r="CP245" s="3434">
        <f>VLOOKUP($A245,'New Resources - Group'!$A$4:$Y$133,CP$2,FALSE)*CP$1</f>
        <v>0</v>
      </c>
      <c r="CQ245" s="3235">
        <f t="shared" si="700"/>
        <v>0</v>
      </c>
      <c r="CR245" s="3236">
        <f t="shared" si="660"/>
        <v>0</v>
      </c>
      <c r="CS245" s="3236">
        <f t="shared" si="661"/>
        <v>0</v>
      </c>
      <c r="CT245" s="3236">
        <f t="shared" si="662"/>
        <v>0</v>
      </c>
      <c r="CU245" s="3264"/>
      <c r="CX245" s="3434">
        <f>VLOOKUP($A245,'New Resources - Group'!$A$4:$Y$133,CX$2,FALSE)*CX$1</f>
        <v>0</v>
      </c>
      <c r="CY245" s="3235">
        <f t="shared" si="701"/>
        <v>0</v>
      </c>
      <c r="CZ245" s="3236">
        <f t="shared" si="663"/>
        <v>0</v>
      </c>
      <c r="DA245" s="3236">
        <f t="shared" si="664"/>
        <v>0</v>
      </c>
      <c r="DB245" s="3236">
        <f t="shared" si="665"/>
        <v>0</v>
      </c>
      <c r="DC245" s="3264"/>
      <c r="DF245" s="3434">
        <f>VLOOKUP($A245,'New Resources - Group'!$A$4:$Y$133,DF$2,FALSE)*DF$1</f>
        <v>0</v>
      </c>
      <c r="DG245" s="3235">
        <f t="shared" si="702"/>
        <v>0</v>
      </c>
      <c r="DH245" s="3236">
        <f t="shared" si="666"/>
        <v>0</v>
      </c>
      <c r="DI245" s="3236">
        <f t="shared" si="667"/>
        <v>0</v>
      </c>
      <c r="DJ245" s="3236">
        <f t="shared" si="668"/>
        <v>0</v>
      </c>
      <c r="DK245" s="3264"/>
      <c r="DN245" s="3434">
        <f>VLOOKUP($A245,'New Resources - Group'!$A$4:$Y$133,DN$2,FALSE)*DN$1</f>
        <v>0</v>
      </c>
      <c r="DO245" s="3235">
        <f t="shared" si="703"/>
        <v>0</v>
      </c>
      <c r="DP245" s="3236">
        <f t="shared" si="669"/>
        <v>0</v>
      </c>
      <c r="DQ245" s="3236">
        <f t="shared" si="670"/>
        <v>0</v>
      </c>
      <c r="DR245" s="3236">
        <f t="shared" si="671"/>
        <v>0</v>
      </c>
      <c r="DS245" s="3264"/>
      <c r="DV245" s="3434">
        <f>VLOOKUP($A245,'New Resources - Group'!$A$4:$Y$133,DV$2,FALSE)*DV$1</f>
        <v>0</v>
      </c>
      <c r="DW245" s="3235">
        <f t="shared" si="704"/>
        <v>0</v>
      </c>
      <c r="DX245" s="3236">
        <f t="shared" si="672"/>
        <v>0</v>
      </c>
      <c r="DY245" s="3236">
        <f t="shared" si="673"/>
        <v>0</v>
      </c>
      <c r="DZ245" s="3236">
        <f t="shared" si="674"/>
        <v>0</v>
      </c>
      <c r="EA245" s="3264"/>
      <c r="ED245" s="3434">
        <f>VLOOKUP($A245,'New Resources - Group'!$A$4:$Y$133,ED$2,FALSE)*ED$1</f>
        <v>0</v>
      </c>
      <c r="EE245" s="3235">
        <f t="shared" si="705"/>
        <v>0</v>
      </c>
      <c r="EF245" s="3236">
        <f t="shared" si="675"/>
        <v>0</v>
      </c>
      <c r="EG245" s="3236">
        <f t="shared" si="676"/>
        <v>0</v>
      </c>
      <c r="EH245" s="3236">
        <f t="shared" si="677"/>
        <v>0</v>
      </c>
      <c r="EI245" s="3264"/>
      <c r="EL245" s="3434">
        <f>VLOOKUP($A245,'New Resources - Group'!$A$4:$Y$133,EL$2,FALSE)*EL$1</f>
        <v>0</v>
      </c>
      <c r="EM245" s="3235">
        <f t="shared" si="706"/>
        <v>0</v>
      </c>
      <c r="EN245" s="3236">
        <f t="shared" si="678"/>
        <v>0</v>
      </c>
      <c r="EO245" s="3236">
        <f t="shared" si="679"/>
        <v>0</v>
      </c>
      <c r="EP245" s="3236">
        <f t="shared" si="680"/>
        <v>0</v>
      </c>
      <c r="EQ245" s="3264"/>
      <c r="ET245" s="3434">
        <f>VLOOKUP($A245,'New Resources - Group'!$A$4:$Y$133,ET$2,FALSE)*ET$1</f>
        <v>0</v>
      </c>
      <c r="EU245" s="3235">
        <f t="shared" si="707"/>
        <v>0</v>
      </c>
      <c r="EV245" s="3236">
        <f t="shared" si="681"/>
        <v>0</v>
      </c>
      <c r="EW245" s="3236">
        <f t="shared" si="682"/>
        <v>0</v>
      </c>
      <c r="EX245" s="3236">
        <f t="shared" si="683"/>
        <v>0</v>
      </c>
      <c r="EY245" s="3264"/>
      <c r="FB245" s="3434">
        <f>VLOOKUP($A245,'New Resources - Group'!$A$4:$Y$133,FB$2,FALSE)*FB$1</f>
        <v>0</v>
      </c>
      <c r="FC245" s="3235">
        <f t="shared" si="708"/>
        <v>0</v>
      </c>
      <c r="FD245" s="3236">
        <f t="shared" si="684"/>
        <v>0</v>
      </c>
      <c r="FE245" s="3236">
        <f t="shared" si="685"/>
        <v>0</v>
      </c>
      <c r="FF245" s="3236">
        <f t="shared" si="686"/>
        <v>0</v>
      </c>
      <c r="FG245" s="3264"/>
      <c r="FJ245" s="3434">
        <f>VLOOKUP($A245,'New Resources - Group'!$A$4:$Y$133,FJ$2,FALSE)*FJ$1</f>
        <v>0</v>
      </c>
      <c r="FK245" s="3235">
        <f t="shared" si="709"/>
        <v>0</v>
      </c>
      <c r="FL245" s="3236">
        <f t="shared" si="687"/>
        <v>0</v>
      </c>
      <c r="FM245" s="3236">
        <f t="shared" si="688"/>
        <v>0</v>
      </c>
      <c r="FN245" s="3236">
        <f t="shared" si="689"/>
        <v>0</v>
      </c>
      <c r="FO245" s="3264"/>
    </row>
    <row r="246" spans="1:171">
      <c r="A246" s="3480">
        <v>450</v>
      </c>
      <c r="B246" s="2185" t="s">
        <v>429</v>
      </c>
      <c r="C246" s="2464">
        <v>336</v>
      </c>
      <c r="D246" s="2464">
        <v>403</v>
      </c>
      <c r="E246" s="2424" t="str">
        <f>'Sch 3 - Expenses'!E86</f>
        <v>PROD</v>
      </c>
      <c r="F246" s="2171"/>
      <c r="G246" s="2424">
        <f>'Sch 3 - Expenses'!G86</f>
        <v>20380239</v>
      </c>
      <c r="H246" s="2424">
        <f>'Sch 3 - Expenses'!H86</f>
        <v>20380239</v>
      </c>
      <c r="I246" s="2424">
        <f>'Sch 3 - Expenses'!I86</f>
        <v>0</v>
      </c>
      <c r="J246" s="3465">
        <f>'Sch 3 - Expenses'!J86</f>
        <v>0</v>
      </c>
      <c r="K246" s="3205">
        <f t="shared" si="629"/>
        <v>1</v>
      </c>
      <c r="N246" s="3434">
        <f>VLOOKUP($A246,'New Resources - Group'!$A$4:$Y$133,N$2,FALSE)*N$1</f>
        <v>0</v>
      </c>
      <c r="O246" s="3235">
        <f t="shared" si="690"/>
        <v>20380239</v>
      </c>
      <c r="P246" s="3236">
        <f t="shared" si="630"/>
        <v>20380239</v>
      </c>
      <c r="Q246" s="3236">
        <f t="shared" si="631"/>
        <v>0</v>
      </c>
      <c r="R246" s="3236">
        <f t="shared" si="632"/>
        <v>0</v>
      </c>
      <c r="S246" s="3264"/>
      <c r="V246" s="3434">
        <f>VLOOKUP($A246,'New Resources - Group'!$A$4:$Y$133,V$2,FALSE)*V$1</f>
        <v>0</v>
      </c>
      <c r="W246" s="3235">
        <f t="shared" si="691"/>
        <v>20380239</v>
      </c>
      <c r="X246" s="3236">
        <f t="shared" si="633"/>
        <v>20380239</v>
      </c>
      <c r="Y246" s="3236">
        <f t="shared" si="634"/>
        <v>0</v>
      </c>
      <c r="Z246" s="3236">
        <f t="shared" si="635"/>
        <v>0</v>
      </c>
      <c r="AA246" s="3264"/>
      <c r="AD246" s="3434">
        <f>VLOOKUP($A246,'New Resources - Group'!$A$4:$Y$133,AD$2,FALSE)*AD$1</f>
        <v>0</v>
      </c>
      <c r="AE246" s="3235">
        <f t="shared" si="692"/>
        <v>20380239</v>
      </c>
      <c r="AF246" s="3236">
        <f t="shared" si="636"/>
        <v>20380239</v>
      </c>
      <c r="AG246" s="3236">
        <f t="shared" si="637"/>
        <v>0</v>
      </c>
      <c r="AH246" s="3236">
        <f t="shared" si="638"/>
        <v>0</v>
      </c>
      <c r="AI246" s="3264"/>
      <c r="AL246" s="3434">
        <f>VLOOKUP($A246,'New Resources - Group'!$A$4:$Y$133,AL$2,FALSE)*AL$1</f>
        <v>0</v>
      </c>
      <c r="AM246" s="3235">
        <f t="shared" si="693"/>
        <v>20380239</v>
      </c>
      <c r="AN246" s="3236">
        <f t="shared" si="639"/>
        <v>20380239</v>
      </c>
      <c r="AO246" s="3236">
        <f t="shared" si="640"/>
        <v>0</v>
      </c>
      <c r="AP246" s="3236">
        <f t="shared" si="641"/>
        <v>0</v>
      </c>
      <c r="AQ246" s="3264"/>
      <c r="AT246" s="3434">
        <f>VLOOKUP($A246,'New Resources - Group'!$A$4:$Y$133,AT$2,FALSE)*AT$1</f>
        <v>0</v>
      </c>
      <c r="AU246" s="3235">
        <f t="shared" si="694"/>
        <v>20380239</v>
      </c>
      <c r="AV246" s="3236">
        <f t="shared" si="642"/>
        <v>20380239</v>
      </c>
      <c r="AW246" s="3236">
        <f t="shared" si="643"/>
        <v>0</v>
      </c>
      <c r="AX246" s="3236">
        <f t="shared" si="644"/>
        <v>0</v>
      </c>
      <c r="AY246" s="3264"/>
      <c r="BB246" s="3434">
        <f>VLOOKUP($A246,'New Resources - Group'!$A$4:$Y$133,BB$2,FALSE)*BB$1</f>
        <v>0</v>
      </c>
      <c r="BC246" s="3235">
        <f t="shared" si="695"/>
        <v>20380239</v>
      </c>
      <c r="BD246" s="3236">
        <f t="shared" si="645"/>
        <v>20380239</v>
      </c>
      <c r="BE246" s="3236">
        <f t="shared" si="646"/>
        <v>0</v>
      </c>
      <c r="BF246" s="3236">
        <f t="shared" si="647"/>
        <v>0</v>
      </c>
      <c r="BG246" s="3264"/>
      <c r="BJ246" s="3434">
        <f>VLOOKUP($A246,'New Resources - Group'!$A$4:$Y$133,BJ$2,FALSE)*BJ$1</f>
        <v>0</v>
      </c>
      <c r="BK246" s="3235">
        <f t="shared" si="696"/>
        <v>20380239</v>
      </c>
      <c r="BL246" s="3236">
        <f t="shared" si="648"/>
        <v>20380239</v>
      </c>
      <c r="BM246" s="3236">
        <f t="shared" si="649"/>
        <v>0</v>
      </c>
      <c r="BN246" s="3236">
        <f t="shared" si="650"/>
        <v>0</v>
      </c>
      <c r="BO246" s="3264"/>
      <c r="BR246" s="3434">
        <f>VLOOKUP($A246,'New Resources - Group'!$A$4:$Y$133,BR$2,FALSE)*BR$1</f>
        <v>0</v>
      </c>
      <c r="BS246" s="3235">
        <f t="shared" si="697"/>
        <v>20380239</v>
      </c>
      <c r="BT246" s="3236">
        <f t="shared" si="651"/>
        <v>20380239</v>
      </c>
      <c r="BU246" s="3236">
        <f t="shared" si="652"/>
        <v>0</v>
      </c>
      <c r="BV246" s="3236">
        <f t="shared" si="653"/>
        <v>0</v>
      </c>
      <c r="BW246" s="3264"/>
      <c r="BZ246" s="3434">
        <f>VLOOKUP($A246,'New Resources - Group'!$A$4:$Y$133,BZ$2,FALSE)*BZ$1</f>
        <v>0</v>
      </c>
      <c r="CA246" s="3235">
        <f t="shared" si="698"/>
        <v>20380239</v>
      </c>
      <c r="CB246" s="3236">
        <f t="shared" si="654"/>
        <v>20380239</v>
      </c>
      <c r="CC246" s="3236">
        <f t="shared" si="655"/>
        <v>0</v>
      </c>
      <c r="CD246" s="3236">
        <f t="shared" si="656"/>
        <v>0</v>
      </c>
      <c r="CE246" s="3264"/>
      <c r="CH246" s="3434">
        <f>VLOOKUP($A246,'New Resources - Group'!$A$4:$Y$133,CH$2,FALSE)*CH$1</f>
        <v>0</v>
      </c>
      <c r="CI246" s="3235">
        <f t="shared" si="699"/>
        <v>20380239</v>
      </c>
      <c r="CJ246" s="3236">
        <f t="shared" si="657"/>
        <v>20380239</v>
      </c>
      <c r="CK246" s="3236">
        <f t="shared" si="658"/>
        <v>0</v>
      </c>
      <c r="CL246" s="3236">
        <f t="shared" si="659"/>
        <v>0</v>
      </c>
      <c r="CM246" s="3264"/>
      <c r="CP246" s="3434">
        <f>VLOOKUP($A246,'New Resources - Group'!$A$4:$Y$133,CP$2,FALSE)*CP$1</f>
        <v>0</v>
      </c>
      <c r="CQ246" s="3235">
        <f t="shared" si="700"/>
        <v>20380239</v>
      </c>
      <c r="CR246" s="3236">
        <f t="shared" si="660"/>
        <v>20380239</v>
      </c>
      <c r="CS246" s="3236">
        <f t="shared" si="661"/>
        <v>0</v>
      </c>
      <c r="CT246" s="3236">
        <f t="shared" si="662"/>
        <v>0</v>
      </c>
      <c r="CU246" s="3264"/>
      <c r="CX246" s="3434">
        <f>VLOOKUP($A246,'New Resources - Group'!$A$4:$Y$133,CX$2,FALSE)*CX$1</f>
        <v>0</v>
      </c>
      <c r="CY246" s="3235">
        <f t="shared" si="701"/>
        <v>20380239</v>
      </c>
      <c r="CZ246" s="3236">
        <f t="shared" si="663"/>
        <v>20380239</v>
      </c>
      <c r="DA246" s="3236">
        <f t="shared" si="664"/>
        <v>0</v>
      </c>
      <c r="DB246" s="3236">
        <f t="shared" si="665"/>
        <v>0</v>
      </c>
      <c r="DC246" s="3264"/>
      <c r="DF246" s="3434">
        <f>VLOOKUP($A246,'New Resources - Group'!$A$4:$Y$133,DF$2,FALSE)*DF$1</f>
        <v>0</v>
      </c>
      <c r="DG246" s="3235">
        <f t="shared" si="702"/>
        <v>20380239</v>
      </c>
      <c r="DH246" s="3236">
        <f t="shared" si="666"/>
        <v>20380239</v>
      </c>
      <c r="DI246" s="3236">
        <f t="shared" si="667"/>
        <v>0</v>
      </c>
      <c r="DJ246" s="3236">
        <f t="shared" si="668"/>
        <v>0</v>
      </c>
      <c r="DK246" s="3264"/>
      <c r="DN246" s="3434">
        <f>VLOOKUP($A246,'New Resources - Group'!$A$4:$Y$133,DN$2,FALSE)*DN$1</f>
        <v>0</v>
      </c>
      <c r="DO246" s="3235">
        <f t="shared" si="703"/>
        <v>20380239</v>
      </c>
      <c r="DP246" s="3236">
        <f t="shared" si="669"/>
        <v>20380239</v>
      </c>
      <c r="DQ246" s="3236">
        <f t="shared" si="670"/>
        <v>0</v>
      </c>
      <c r="DR246" s="3236">
        <f t="shared" si="671"/>
        <v>0</v>
      </c>
      <c r="DS246" s="3264"/>
      <c r="DV246" s="3434">
        <f>VLOOKUP($A246,'New Resources - Group'!$A$4:$Y$133,DV$2,FALSE)*DV$1</f>
        <v>0</v>
      </c>
      <c r="DW246" s="3235">
        <f t="shared" si="704"/>
        <v>20380239</v>
      </c>
      <c r="DX246" s="3236">
        <f t="shared" si="672"/>
        <v>20380239</v>
      </c>
      <c r="DY246" s="3236">
        <f t="shared" si="673"/>
        <v>0</v>
      </c>
      <c r="DZ246" s="3236">
        <f t="shared" si="674"/>
        <v>0</v>
      </c>
      <c r="EA246" s="3264"/>
      <c r="ED246" s="3434">
        <f>VLOOKUP($A246,'New Resources - Group'!$A$4:$Y$133,ED$2,FALSE)*ED$1</f>
        <v>0</v>
      </c>
      <c r="EE246" s="3235">
        <f t="shared" si="705"/>
        <v>20380239</v>
      </c>
      <c r="EF246" s="3236">
        <f t="shared" si="675"/>
        <v>20380239</v>
      </c>
      <c r="EG246" s="3236">
        <f t="shared" si="676"/>
        <v>0</v>
      </c>
      <c r="EH246" s="3236">
        <f t="shared" si="677"/>
        <v>0</v>
      </c>
      <c r="EI246" s="3264"/>
      <c r="EL246" s="3434">
        <f>VLOOKUP($A246,'New Resources - Group'!$A$4:$Y$133,EL$2,FALSE)*EL$1</f>
        <v>0</v>
      </c>
      <c r="EM246" s="3235">
        <f t="shared" si="706"/>
        <v>20380239</v>
      </c>
      <c r="EN246" s="3236">
        <f t="shared" si="678"/>
        <v>20380239</v>
      </c>
      <c r="EO246" s="3236">
        <f t="shared" si="679"/>
        <v>0</v>
      </c>
      <c r="EP246" s="3236">
        <f t="shared" si="680"/>
        <v>0</v>
      </c>
      <c r="EQ246" s="3264"/>
      <c r="ET246" s="3434">
        <f>VLOOKUP($A246,'New Resources - Group'!$A$4:$Y$133,ET$2,FALSE)*ET$1</f>
        <v>0</v>
      </c>
      <c r="EU246" s="3235">
        <f t="shared" si="707"/>
        <v>20380239</v>
      </c>
      <c r="EV246" s="3236">
        <f t="shared" si="681"/>
        <v>20380239</v>
      </c>
      <c r="EW246" s="3236">
        <f t="shared" si="682"/>
        <v>0</v>
      </c>
      <c r="EX246" s="3236">
        <f t="shared" si="683"/>
        <v>0</v>
      </c>
      <c r="EY246" s="3264"/>
      <c r="FB246" s="3434">
        <f>VLOOKUP($A246,'New Resources - Group'!$A$4:$Y$133,FB$2,FALSE)*FB$1</f>
        <v>0</v>
      </c>
      <c r="FC246" s="3235">
        <f t="shared" si="708"/>
        <v>20380239</v>
      </c>
      <c r="FD246" s="3236">
        <f t="shared" si="684"/>
        <v>20380239</v>
      </c>
      <c r="FE246" s="3236">
        <f t="shared" si="685"/>
        <v>0</v>
      </c>
      <c r="FF246" s="3236">
        <f t="shared" si="686"/>
        <v>0</v>
      </c>
      <c r="FG246" s="3264"/>
      <c r="FJ246" s="3434">
        <f>VLOOKUP($A246,'New Resources - Group'!$A$4:$Y$133,FJ$2,FALSE)*FJ$1</f>
        <v>0</v>
      </c>
      <c r="FK246" s="3235">
        <f t="shared" si="709"/>
        <v>20380239</v>
      </c>
      <c r="FL246" s="3236">
        <f t="shared" si="687"/>
        <v>20380239</v>
      </c>
      <c r="FM246" s="3236">
        <f t="shared" si="688"/>
        <v>0</v>
      </c>
      <c r="FN246" s="3236">
        <f t="shared" si="689"/>
        <v>0</v>
      </c>
      <c r="FO246" s="3264"/>
    </row>
    <row r="247" spans="1:171">
      <c r="A247" s="3480">
        <v>460</v>
      </c>
      <c r="B247" s="2185" t="s">
        <v>430</v>
      </c>
      <c r="C247" s="2464">
        <v>336</v>
      </c>
      <c r="D247" s="2464">
        <v>403</v>
      </c>
      <c r="E247" s="2424" t="str">
        <f>'Sch 3 - Expenses'!E87</f>
        <v>PROD</v>
      </c>
      <c r="F247" s="2171"/>
      <c r="G247" s="2424">
        <f>'Sch 3 - Expenses'!G87</f>
        <v>0</v>
      </c>
      <c r="H247" s="2424">
        <f>'Sch 3 - Expenses'!H87</f>
        <v>0</v>
      </c>
      <c r="I247" s="2424">
        <f>'Sch 3 - Expenses'!I87</f>
        <v>0</v>
      </c>
      <c r="J247" s="3465">
        <f>'Sch 3 - Expenses'!J87</f>
        <v>0</v>
      </c>
      <c r="K247" s="3205">
        <f t="shared" si="629"/>
        <v>1</v>
      </c>
      <c r="N247" s="3434">
        <f>VLOOKUP($A247,'New Resources - Group'!$A$4:$Y$133,N$2,FALSE)*N$1</f>
        <v>0</v>
      </c>
      <c r="O247" s="3235">
        <f t="shared" si="690"/>
        <v>0</v>
      </c>
      <c r="P247" s="3236">
        <f t="shared" si="630"/>
        <v>0</v>
      </c>
      <c r="Q247" s="3236">
        <f t="shared" si="631"/>
        <v>0</v>
      </c>
      <c r="R247" s="3236">
        <f t="shared" si="632"/>
        <v>0</v>
      </c>
      <c r="S247" s="3264"/>
      <c r="V247" s="3434">
        <f>VLOOKUP($A247,'New Resources - Group'!$A$4:$Y$133,V$2,FALSE)*V$1</f>
        <v>0</v>
      </c>
      <c r="W247" s="3235">
        <f t="shared" si="691"/>
        <v>0</v>
      </c>
      <c r="X247" s="3236">
        <f t="shared" si="633"/>
        <v>0</v>
      </c>
      <c r="Y247" s="3236">
        <f t="shared" si="634"/>
        <v>0</v>
      </c>
      <c r="Z247" s="3236">
        <f t="shared" si="635"/>
        <v>0</v>
      </c>
      <c r="AA247" s="3264"/>
      <c r="AD247" s="3434">
        <f>VLOOKUP($A247,'New Resources - Group'!$A$4:$Y$133,AD$2,FALSE)*AD$1</f>
        <v>0</v>
      </c>
      <c r="AE247" s="3235">
        <f t="shared" si="692"/>
        <v>0</v>
      </c>
      <c r="AF247" s="3236">
        <f t="shared" si="636"/>
        <v>0</v>
      </c>
      <c r="AG247" s="3236">
        <f t="shared" si="637"/>
        <v>0</v>
      </c>
      <c r="AH247" s="3236">
        <f t="shared" si="638"/>
        <v>0</v>
      </c>
      <c r="AI247" s="3264"/>
      <c r="AL247" s="3434">
        <f>VLOOKUP($A247,'New Resources - Group'!$A$4:$Y$133,AL$2,FALSE)*AL$1</f>
        <v>0</v>
      </c>
      <c r="AM247" s="3235">
        <f t="shared" si="693"/>
        <v>0</v>
      </c>
      <c r="AN247" s="3236">
        <f t="shared" si="639"/>
        <v>0</v>
      </c>
      <c r="AO247" s="3236">
        <f t="shared" si="640"/>
        <v>0</v>
      </c>
      <c r="AP247" s="3236">
        <f t="shared" si="641"/>
        <v>0</v>
      </c>
      <c r="AQ247" s="3264"/>
      <c r="AT247" s="3434">
        <f>VLOOKUP($A247,'New Resources - Group'!$A$4:$Y$133,AT$2,FALSE)*AT$1</f>
        <v>0</v>
      </c>
      <c r="AU247" s="3235">
        <f t="shared" si="694"/>
        <v>0</v>
      </c>
      <c r="AV247" s="3236">
        <f t="shared" si="642"/>
        <v>0</v>
      </c>
      <c r="AW247" s="3236">
        <f t="shared" si="643"/>
        <v>0</v>
      </c>
      <c r="AX247" s="3236">
        <f t="shared" si="644"/>
        <v>0</v>
      </c>
      <c r="AY247" s="3264"/>
      <c r="BB247" s="3434">
        <f>VLOOKUP($A247,'New Resources - Group'!$A$4:$Y$133,BB$2,FALSE)*BB$1</f>
        <v>0</v>
      </c>
      <c r="BC247" s="3235">
        <f t="shared" si="695"/>
        <v>0</v>
      </c>
      <c r="BD247" s="3236">
        <f t="shared" si="645"/>
        <v>0</v>
      </c>
      <c r="BE247" s="3236">
        <f t="shared" si="646"/>
        <v>0</v>
      </c>
      <c r="BF247" s="3236">
        <f t="shared" si="647"/>
        <v>0</v>
      </c>
      <c r="BG247" s="3264"/>
      <c r="BJ247" s="3434">
        <f>VLOOKUP($A247,'New Resources - Group'!$A$4:$Y$133,BJ$2,FALSE)*BJ$1</f>
        <v>0</v>
      </c>
      <c r="BK247" s="3235">
        <f t="shared" si="696"/>
        <v>0</v>
      </c>
      <c r="BL247" s="3236">
        <f t="shared" si="648"/>
        <v>0</v>
      </c>
      <c r="BM247" s="3236">
        <f t="shared" si="649"/>
        <v>0</v>
      </c>
      <c r="BN247" s="3236">
        <f t="shared" si="650"/>
        <v>0</v>
      </c>
      <c r="BO247" s="3264"/>
      <c r="BR247" s="3434">
        <f>VLOOKUP($A247,'New Resources - Group'!$A$4:$Y$133,BR$2,FALSE)*BR$1</f>
        <v>0</v>
      </c>
      <c r="BS247" s="3235">
        <f t="shared" si="697"/>
        <v>0</v>
      </c>
      <c r="BT247" s="3236">
        <f t="shared" si="651"/>
        <v>0</v>
      </c>
      <c r="BU247" s="3236">
        <f t="shared" si="652"/>
        <v>0</v>
      </c>
      <c r="BV247" s="3236">
        <f t="shared" si="653"/>
        <v>0</v>
      </c>
      <c r="BW247" s="3264"/>
      <c r="BZ247" s="3434">
        <f>VLOOKUP($A247,'New Resources - Group'!$A$4:$Y$133,BZ$2,FALSE)*BZ$1</f>
        <v>0</v>
      </c>
      <c r="CA247" s="3235">
        <f t="shared" si="698"/>
        <v>0</v>
      </c>
      <c r="CB247" s="3236">
        <f t="shared" si="654"/>
        <v>0</v>
      </c>
      <c r="CC247" s="3236">
        <f t="shared" si="655"/>
        <v>0</v>
      </c>
      <c r="CD247" s="3236">
        <f t="shared" si="656"/>
        <v>0</v>
      </c>
      <c r="CE247" s="3264"/>
      <c r="CH247" s="3434">
        <f>VLOOKUP($A247,'New Resources - Group'!$A$4:$Y$133,CH$2,FALSE)*CH$1</f>
        <v>0</v>
      </c>
      <c r="CI247" s="3235">
        <f t="shared" si="699"/>
        <v>0</v>
      </c>
      <c r="CJ247" s="3236">
        <f t="shared" si="657"/>
        <v>0</v>
      </c>
      <c r="CK247" s="3236">
        <f t="shared" si="658"/>
        <v>0</v>
      </c>
      <c r="CL247" s="3236">
        <f t="shared" si="659"/>
        <v>0</v>
      </c>
      <c r="CM247" s="3264"/>
      <c r="CP247" s="3434">
        <f>VLOOKUP($A247,'New Resources - Group'!$A$4:$Y$133,CP$2,FALSE)*CP$1</f>
        <v>0</v>
      </c>
      <c r="CQ247" s="3235">
        <f t="shared" si="700"/>
        <v>0</v>
      </c>
      <c r="CR247" s="3236">
        <f t="shared" si="660"/>
        <v>0</v>
      </c>
      <c r="CS247" s="3236">
        <f t="shared" si="661"/>
        <v>0</v>
      </c>
      <c r="CT247" s="3236">
        <f t="shared" si="662"/>
        <v>0</v>
      </c>
      <c r="CU247" s="3264"/>
      <c r="CX247" s="3434">
        <f>VLOOKUP($A247,'New Resources - Group'!$A$4:$Y$133,CX$2,FALSE)*CX$1</f>
        <v>0</v>
      </c>
      <c r="CY247" s="3235">
        <f t="shared" si="701"/>
        <v>0</v>
      </c>
      <c r="CZ247" s="3236">
        <f t="shared" si="663"/>
        <v>0</v>
      </c>
      <c r="DA247" s="3236">
        <f t="shared" si="664"/>
        <v>0</v>
      </c>
      <c r="DB247" s="3236">
        <f t="shared" si="665"/>
        <v>0</v>
      </c>
      <c r="DC247" s="3264"/>
      <c r="DF247" s="3434">
        <f>VLOOKUP($A247,'New Resources - Group'!$A$4:$Y$133,DF$2,FALSE)*DF$1</f>
        <v>0</v>
      </c>
      <c r="DG247" s="3235">
        <f t="shared" si="702"/>
        <v>0</v>
      </c>
      <c r="DH247" s="3236">
        <f t="shared" si="666"/>
        <v>0</v>
      </c>
      <c r="DI247" s="3236">
        <f t="shared" si="667"/>
        <v>0</v>
      </c>
      <c r="DJ247" s="3236">
        <f t="shared" si="668"/>
        <v>0</v>
      </c>
      <c r="DK247" s="3264"/>
      <c r="DN247" s="3434">
        <f>VLOOKUP($A247,'New Resources - Group'!$A$4:$Y$133,DN$2,FALSE)*DN$1</f>
        <v>0</v>
      </c>
      <c r="DO247" s="3235">
        <f t="shared" si="703"/>
        <v>0</v>
      </c>
      <c r="DP247" s="3236">
        <f t="shared" si="669"/>
        <v>0</v>
      </c>
      <c r="DQ247" s="3236">
        <f t="shared" si="670"/>
        <v>0</v>
      </c>
      <c r="DR247" s="3236">
        <f t="shared" si="671"/>
        <v>0</v>
      </c>
      <c r="DS247" s="3264"/>
      <c r="DV247" s="3434">
        <f>VLOOKUP($A247,'New Resources - Group'!$A$4:$Y$133,DV$2,FALSE)*DV$1</f>
        <v>0</v>
      </c>
      <c r="DW247" s="3235">
        <f t="shared" si="704"/>
        <v>0</v>
      </c>
      <c r="DX247" s="3236">
        <f t="shared" si="672"/>
        <v>0</v>
      </c>
      <c r="DY247" s="3236">
        <f t="shared" si="673"/>
        <v>0</v>
      </c>
      <c r="DZ247" s="3236">
        <f t="shared" si="674"/>
        <v>0</v>
      </c>
      <c r="EA247" s="3264"/>
      <c r="ED247" s="3434">
        <f>VLOOKUP($A247,'New Resources - Group'!$A$4:$Y$133,ED$2,FALSE)*ED$1</f>
        <v>0</v>
      </c>
      <c r="EE247" s="3235">
        <f t="shared" si="705"/>
        <v>0</v>
      </c>
      <c r="EF247" s="3236">
        <f t="shared" si="675"/>
        <v>0</v>
      </c>
      <c r="EG247" s="3236">
        <f t="shared" si="676"/>
        <v>0</v>
      </c>
      <c r="EH247" s="3236">
        <f t="shared" si="677"/>
        <v>0</v>
      </c>
      <c r="EI247" s="3264"/>
      <c r="EL247" s="3434">
        <f>VLOOKUP($A247,'New Resources - Group'!$A$4:$Y$133,EL$2,FALSE)*EL$1</f>
        <v>0</v>
      </c>
      <c r="EM247" s="3235">
        <f t="shared" si="706"/>
        <v>0</v>
      </c>
      <c r="EN247" s="3236">
        <f t="shared" si="678"/>
        <v>0</v>
      </c>
      <c r="EO247" s="3236">
        <f t="shared" si="679"/>
        <v>0</v>
      </c>
      <c r="EP247" s="3236">
        <f t="shared" si="680"/>
        <v>0</v>
      </c>
      <c r="EQ247" s="3264"/>
      <c r="ET247" s="3434">
        <f>VLOOKUP($A247,'New Resources - Group'!$A$4:$Y$133,ET$2,FALSE)*ET$1</f>
        <v>0</v>
      </c>
      <c r="EU247" s="3235">
        <f t="shared" si="707"/>
        <v>0</v>
      </c>
      <c r="EV247" s="3236">
        <f t="shared" si="681"/>
        <v>0</v>
      </c>
      <c r="EW247" s="3236">
        <f t="shared" si="682"/>
        <v>0</v>
      </c>
      <c r="EX247" s="3236">
        <f t="shared" si="683"/>
        <v>0</v>
      </c>
      <c r="EY247" s="3264"/>
      <c r="FB247" s="3434">
        <f>VLOOKUP($A247,'New Resources - Group'!$A$4:$Y$133,FB$2,FALSE)*FB$1</f>
        <v>0</v>
      </c>
      <c r="FC247" s="3235">
        <f t="shared" si="708"/>
        <v>0</v>
      </c>
      <c r="FD247" s="3236">
        <f t="shared" si="684"/>
        <v>0</v>
      </c>
      <c r="FE247" s="3236">
        <f t="shared" si="685"/>
        <v>0</v>
      </c>
      <c r="FF247" s="3236">
        <f t="shared" si="686"/>
        <v>0</v>
      </c>
      <c r="FG247" s="3264"/>
      <c r="FJ247" s="3434">
        <f>VLOOKUP($A247,'New Resources - Group'!$A$4:$Y$133,FJ$2,FALSE)*FJ$1</f>
        <v>0</v>
      </c>
      <c r="FK247" s="3235">
        <f t="shared" si="709"/>
        <v>0</v>
      </c>
      <c r="FL247" s="3236">
        <f t="shared" si="687"/>
        <v>0</v>
      </c>
      <c r="FM247" s="3236">
        <f t="shared" si="688"/>
        <v>0</v>
      </c>
      <c r="FN247" s="3236">
        <f t="shared" si="689"/>
        <v>0</v>
      </c>
      <c r="FO247" s="3264"/>
    </row>
    <row r="248" spans="1:171">
      <c r="A248" s="3480">
        <v>600</v>
      </c>
      <c r="B248" s="2185" t="s">
        <v>137</v>
      </c>
      <c r="C248" s="2464">
        <v>336</v>
      </c>
      <c r="D248" s="2464">
        <v>403</v>
      </c>
      <c r="E248" s="2424" t="str">
        <f>'Sch 3 - Expenses'!E88</f>
        <v>PROD</v>
      </c>
      <c r="F248" s="2171"/>
      <c r="G248" s="2424">
        <f>'Sch 3 - Expenses'!G88</f>
        <v>91335455</v>
      </c>
      <c r="H248" s="2424">
        <f>'Sch 3 - Expenses'!H88</f>
        <v>91335455</v>
      </c>
      <c r="I248" s="2424">
        <f>'Sch 3 - Expenses'!I88</f>
        <v>0</v>
      </c>
      <c r="J248" s="3465">
        <f>'Sch 3 - Expenses'!J88</f>
        <v>0</v>
      </c>
      <c r="K248" s="3205">
        <f t="shared" si="629"/>
        <v>1</v>
      </c>
      <c r="N248" s="3434">
        <f>VLOOKUP($A248,'New Resources - Group'!$A$4:$Y$133,N$2,FALSE)*N$1</f>
        <v>0</v>
      </c>
      <c r="O248" s="3235">
        <f t="shared" si="690"/>
        <v>91335455</v>
      </c>
      <c r="P248" s="3236">
        <f t="shared" si="630"/>
        <v>91335455</v>
      </c>
      <c r="Q248" s="3236">
        <f t="shared" si="631"/>
        <v>0</v>
      </c>
      <c r="R248" s="3236">
        <f t="shared" si="632"/>
        <v>0</v>
      </c>
      <c r="S248" s="3264"/>
      <c r="V248" s="3434">
        <f>VLOOKUP($A248,'New Resources - Group'!$A$4:$Y$133,V$2,FALSE)*V$1</f>
        <v>0</v>
      </c>
      <c r="W248" s="3235">
        <f t="shared" si="691"/>
        <v>91335455</v>
      </c>
      <c r="X248" s="3236">
        <f t="shared" si="633"/>
        <v>91335455</v>
      </c>
      <c r="Y248" s="3236">
        <f t="shared" si="634"/>
        <v>0</v>
      </c>
      <c r="Z248" s="3236">
        <f t="shared" si="635"/>
        <v>0</v>
      </c>
      <c r="AA248" s="3264"/>
      <c r="AD248" s="3434">
        <f>VLOOKUP($A248,'New Resources - Group'!$A$4:$Y$133,AD$2,FALSE)*AD$1</f>
        <v>0</v>
      </c>
      <c r="AE248" s="3235">
        <f t="shared" si="692"/>
        <v>91335455</v>
      </c>
      <c r="AF248" s="3236">
        <f t="shared" si="636"/>
        <v>91335455</v>
      </c>
      <c r="AG248" s="3236">
        <f t="shared" si="637"/>
        <v>0</v>
      </c>
      <c r="AH248" s="3236">
        <f t="shared" si="638"/>
        <v>0</v>
      </c>
      <c r="AI248" s="3264"/>
      <c r="AL248" s="3434">
        <f>VLOOKUP($A248,'New Resources - Group'!$A$4:$Y$133,AL$2,FALSE)*AL$1</f>
        <v>0</v>
      </c>
      <c r="AM248" s="3235">
        <f t="shared" si="693"/>
        <v>91335455</v>
      </c>
      <c r="AN248" s="3236">
        <f t="shared" si="639"/>
        <v>91335455</v>
      </c>
      <c r="AO248" s="3236">
        <f t="shared" si="640"/>
        <v>0</v>
      </c>
      <c r="AP248" s="3236">
        <f t="shared" si="641"/>
        <v>0</v>
      </c>
      <c r="AQ248" s="3264"/>
      <c r="AT248" s="3434">
        <f>VLOOKUP($A248,'New Resources - Group'!$A$4:$Y$133,AT$2,FALSE)*AT$1</f>
        <v>0</v>
      </c>
      <c r="AU248" s="3235">
        <f t="shared" si="694"/>
        <v>91335455</v>
      </c>
      <c r="AV248" s="3236">
        <f t="shared" si="642"/>
        <v>91335455</v>
      </c>
      <c r="AW248" s="3236">
        <f t="shared" si="643"/>
        <v>0</v>
      </c>
      <c r="AX248" s="3236">
        <f t="shared" si="644"/>
        <v>0</v>
      </c>
      <c r="AY248" s="3264"/>
      <c r="BB248" s="3434">
        <f>VLOOKUP($A248,'New Resources - Group'!$A$4:$Y$133,BB$2,FALSE)*BB$1</f>
        <v>0</v>
      </c>
      <c r="BC248" s="3235">
        <f t="shared" si="695"/>
        <v>91335455</v>
      </c>
      <c r="BD248" s="3236">
        <f t="shared" si="645"/>
        <v>91335455</v>
      </c>
      <c r="BE248" s="3236">
        <f t="shared" si="646"/>
        <v>0</v>
      </c>
      <c r="BF248" s="3236">
        <f t="shared" si="647"/>
        <v>0</v>
      </c>
      <c r="BG248" s="3264"/>
      <c r="BJ248" s="3434">
        <f>VLOOKUP($A248,'New Resources - Group'!$A$4:$Y$133,BJ$2,FALSE)*BJ$1</f>
        <v>0</v>
      </c>
      <c r="BK248" s="3235">
        <f t="shared" si="696"/>
        <v>91335455</v>
      </c>
      <c r="BL248" s="3236">
        <f t="shared" si="648"/>
        <v>91335455</v>
      </c>
      <c r="BM248" s="3236">
        <f t="shared" si="649"/>
        <v>0</v>
      </c>
      <c r="BN248" s="3236">
        <f t="shared" si="650"/>
        <v>0</v>
      </c>
      <c r="BO248" s="3264"/>
      <c r="BR248" s="3434">
        <f>VLOOKUP($A248,'New Resources - Group'!$A$4:$Y$133,BR$2,FALSE)*BR$1</f>
        <v>0</v>
      </c>
      <c r="BS248" s="3235">
        <f t="shared" si="697"/>
        <v>91335455</v>
      </c>
      <c r="BT248" s="3236">
        <f t="shared" si="651"/>
        <v>91335455</v>
      </c>
      <c r="BU248" s="3236">
        <f t="shared" si="652"/>
        <v>0</v>
      </c>
      <c r="BV248" s="3236">
        <f t="shared" si="653"/>
        <v>0</v>
      </c>
      <c r="BW248" s="3264"/>
      <c r="BZ248" s="3434">
        <f>VLOOKUP($A248,'New Resources - Group'!$A$4:$Y$133,BZ$2,FALSE)*BZ$1</f>
        <v>0</v>
      </c>
      <c r="CA248" s="3235">
        <f t="shared" si="698"/>
        <v>91335455</v>
      </c>
      <c r="CB248" s="3236">
        <f t="shared" si="654"/>
        <v>91335455</v>
      </c>
      <c r="CC248" s="3236">
        <f t="shared" si="655"/>
        <v>0</v>
      </c>
      <c r="CD248" s="3236">
        <f t="shared" si="656"/>
        <v>0</v>
      </c>
      <c r="CE248" s="3264"/>
      <c r="CH248" s="3434">
        <f>VLOOKUP($A248,'New Resources - Group'!$A$4:$Y$133,CH$2,FALSE)*CH$1</f>
        <v>0</v>
      </c>
      <c r="CI248" s="3235">
        <f t="shared" si="699"/>
        <v>91335455</v>
      </c>
      <c r="CJ248" s="3236">
        <f t="shared" si="657"/>
        <v>91335455</v>
      </c>
      <c r="CK248" s="3236">
        <f t="shared" si="658"/>
        <v>0</v>
      </c>
      <c r="CL248" s="3236">
        <f t="shared" si="659"/>
        <v>0</v>
      </c>
      <c r="CM248" s="3264"/>
      <c r="CP248" s="3434">
        <f>VLOOKUP($A248,'New Resources - Group'!$A$4:$Y$133,CP$2,FALSE)*CP$1</f>
        <v>0</v>
      </c>
      <c r="CQ248" s="3235">
        <f t="shared" si="700"/>
        <v>91335455</v>
      </c>
      <c r="CR248" s="3236">
        <f t="shared" si="660"/>
        <v>91335455</v>
      </c>
      <c r="CS248" s="3236">
        <f t="shared" si="661"/>
        <v>0</v>
      </c>
      <c r="CT248" s="3236">
        <f t="shared" si="662"/>
        <v>0</v>
      </c>
      <c r="CU248" s="3264"/>
      <c r="CX248" s="3434">
        <f>VLOOKUP($A248,'New Resources - Group'!$A$4:$Y$133,CX$2,FALSE)*CX$1</f>
        <v>0</v>
      </c>
      <c r="CY248" s="3235">
        <f t="shared" si="701"/>
        <v>91335455</v>
      </c>
      <c r="CZ248" s="3236">
        <f t="shared" si="663"/>
        <v>91335455</v>
      </c>
      <c r="DA248" s="3236">
        <f t="shared" si="664"/>
        <v>0</v>
      </c>
      <c r="DB248" s="3236">
        <f t="shared" si="665"/>
        <v>0</v>
      </c>
      <c r="DC248" s="3264"/>
      <c r="DF248" s="3434">
        <f>VLOOKUP($A248,'New Resources - Group'!$A$4:$Y$133,DF$2,FALSE)*DF$1</f>
        <v>0</v>
      </c>
      <c r="DG248" s="3235">
        <f t="shared" si="702"/>
        <v>91335455</v>
      </c>
      <c r="DH248" s="3236">
        <f t="shared" si="666"/>
        <v>91335455</v>
      </c>
      <c r="DI248" s="3236">
        <f t="shared" si="667"/>
        <v>0</v>
      </c>
      <c r="DJ248" s="3236">
        <f t="shared" si="668"/>
        <v>0</v>
      </c>
      <c r="DK248" s="3264"/>
      <c r="DN248" s="3434">
        <f>VLOOKUP($A248,'New Resources - Group'!$A$4:$Y$133,DN$2,FALSE)*DN$1</f>
        <v>0</v>
      </c>
      <c r="DO248" s="3235">
        <f t="shared" si="703"/>
        <v>91335455</v>
      </c>
      <c r="DP248" s="3236">
        <f t="shared" si="669"/>
        <v>91335455</v>
      </c>
      <c r="DQ248" s="3236">
        <f t="shared" si="670"/>
        <v>0</v>
      </c>
      <c r="DR248" s="3236">
        <f t="shared" si="671"/>
        <v>0</v>
      </c>
      <c r="DS248" s="3264"/>
      <c r="DV248" s="3434">
        <f>VLOOKUP($A248,'New Resources - Group'!$A$4:$Y$133,DV$2,FALSE)*DV$1</f>
        <v>0</v>
      </c>
      <c r="DW248" s="3235">
        <f t="shared" si="704"/>
        <v>91335455</v>
      </c>
      <c r="DX248" s="3236">
        <f t="shared" si="672"/>
        <v>91335455</v>
      </c>
      <c r="DY248" s="3236">
        <f t="shared" si="673"/>
        <v>0</v>
      </c>
      <c r="DZ248" s="3236">
        <f t="shared" si="674"/>
        <v>0</v>
      </c>
      <c r="EA248" s="3264"/>
      <c r="ED248" s="3434">
        <f>VLOOKUP($A248,'New Resources - Group'!$A$4:$Y$133,ED$2,FALSE)*ED$1</f>
        <v>0</v>
      </c>
      <c r="EE248" s="3235">
        <f t="shared" si="705"/>
        <v>91335455</v>
      </c>
      <c r="EF248" s="3236">
        <f t="shared" si="675"/>
        <v>91335455</v>
      </c>
      <c r="EG248" s="3236">
        <f t="shared" si="676"/>
        <v>0</v>
      </c>
      <c r="EH248" s="3236">
        <f t="shared" si="677"/>
        <v>0</v>
      </c>
      <c r="EI248" s="3264"/>
      <c r="EL248" s="3434">
        <f>VLOOKUP($A248,'New Resources - Group'!$A$4:$Y$133,EL$2,FALSE)*EL$1</f>
        <v>0</v>
      </c>
      <c r="EM248" s="3235">
        <f t="shared" si="706"/>
        <v>91335455</v>
      </c>
      <c r="EN248" s="3236">
        <f t="shared" si="678"/>
        <v>91335455</v>
      </c>
      <c r="EO248" s="3236">
        <f t="shared" si="679"/>
        <v>0</v>
      </c>
      <c r="EP248" s="3236">
        <f t="shared" si="680"/>
        <v>0</v>
      </c>
      <c r="EQ248" s="3264"/>
      <c r="ET248" s="3434">
        <f>VLOOKUP($A248,'New Resources - Group'!$A$4:$Y$133,ET$2,FALSE)*ET$1</f>
        <v>0</v>
      </c>
      <c r="EU248" s="3235">
        <f t="shared" si="707"/>
        <v>91335455</v>
      </c>
      <c r="EV248" s="3236">
        <f t="shared" si="681"/>
        <v>91335455</v>
      </c>
      <c r="EW248" s="3236">
        <f t="shared" si="682"/>
        <v>0</v>
      </c>
      <c r="EX248" s="3236">
        <f t="shared" si="683"/>
        <v>0</v>
      </c>
      <c r="EY248" s="3264"/>
      <c r="FB248" s="3434">
        <f>VLOOKUP($A248,'New Resources - Group'!$A$4:$Y$133,FB$2,FALSE)*FB$1</f>
        <v>0</v>
      </c>
      <c r="FC248" s="3235">
        <f t="shared" si="708"/>
        <v>91335455</v>
      </c>
      <c r="FD248" s="3236">
        <f t="shared" si="684"/>
        <v>91335455</v>
      </c>
      <c r="FE248" s="3236">
        <f t="shared" si="685"/>
        <v>0</v>
      </c>
      <c r="FF248" s="3236">
        <f t="shared" si="686"/>
        <v>0</v>
      </c>
      <c r="FG248" s="3264"/>
      <c r="FJ248" s="3434">
        <f>VLOOKUP($A248,'New Resources - Group'!$A$4:$Y$133,FJ$2,FALSE)*FJ$1</f>
        <v>0</v>
      </c>
      <c r="FK248" s="3235">
        <f t="shared" si="709"/>
        <v>91335455</v>
      </c>
      <c r="FL248" s="3236">
        <f t="shared" si="687"/>
        <v>91335455</v>
      </c>
      <c r="FM248" s="3236">
        <f t="shared" si="688"/>
        <v>0</v>
      </c>
      <c r="FN248" s="3236">
        <f t="shared" si="689"/>
        <v>0</v>
      </c>
      <c r="FO248" s="3264"/>
    </row>
    <row r="249" spans="1:171">
      <c r="A249" s="3480">
        <v>910</v>
      </c>
      <c r="B249" s="2185" t="s">
        <v>143</v>
      </c>
      <c r="C249" s="2464">
        <v>336</v>
      </c>
      <c r="D249" s="2464">
        <v>403</v>
      </c>
      <c r="E249" s="2424" t="str">
        <f>'Sch 3 - Expenses'!E89</f>
        <v>TRANS</v>
      </c>
      <c r="F249" s="2171"/>
      <c r="G249" s="2424">
        <f>'Sch 3 - Expenses'!G89</f>
        <v>37267959</v>
      </c>
      <c r="H249" s="2424">
        <f>'Sch 3 - Expenses'!H89</f>
        <v>0</v>
      </c>
      <c r="I249" s="2424">
        <f>'Sch 3 - Expenses'!I89</f>
        <v>0</v>
      </c>
      <c r="J249" s="3465">
        <f>'Sch 3 - Expenses'!J89</f>
        <v>37267959</v>
      </c>
      <c r="K249" s="3205">
        <f t="shared" si="629"/>
        <v>1</v>
      </c>
      <c r="N249" s="3434">
        <f>VLOOKUP($A249,'New Resources - Group'!$A$4:$Y$133,N$2,FALSE)*N$1</f>
        <v>0</v>
      </c>
      <c r="O249" s="3235">
        <f t="shared" si="690"/>
        <v>37267959</v>
      </c>
      <c r="P249" s="3236">
        <f t="shared" si="630"/>
        <v>0</v>
      </c>
      <c r="Q249" s="3236">
        <f t="shared" si="631"/>
        <v>37267959</v>
      </c>
      <c r="R249" s="3236">
        <f t="shared" si="632"/>
        <v>0</v>
      </c>
      <c r="S249" s="3264"/>
      <c r="V249" s="3434">
        <f>VLOOKUP($A249,'New Resources - Group'!$A$4:$Y$133,V$2,FALSE)*V$1</f>
        <v>0</v>
      </c>
      <c r="W249" s="3235">
        <f t="shared" si="691"/>
        <v>37267959</v>
      </c>
      <c r="X249" s="3236">
        <f t="shared" si="633"/>
        <v>0</v>
      </c>
      <c r="Y249" s="3236">
        <f t="shared" si="634"/>
        <v>37267959</v>
      </c>
      <c r="Z249" s="3236">
        <f t="shared" si="635"/>
        <v>0</v>
      </c>
      <c r="AA249" s="3264"/>
      <c r="AD249" s="3434">
        <f>VLOOKUP($A249,'New Resources - Group'!$A$4:$Y$133,AD$2,FALSE)*AD$1</f>
        <v>0</v>
      </c>
      <c r="AE249" s="3235">
        <f t="shared" si="692"/>
        <v>37267959</v>
      </c>
      <c r="AF249" s="3236">
        <f t="shared" si="636"/>
        <v>0</v>
      </c>
      <c r="AG249" s="3236">
        <f t="shared" si="637"/>
        <v>37267959</v>
      </c>
      <c r="AH249" s="3236">
        <f t="shared" si="638"/>
        <v>0</v>
      </c>
      <c r="AI249" s="3264"/>
      <c r="AL249" s="3434">
        <f>VLOOKUP($A249,'New Resources - Group'!$A$4:$Y$133,AL$2,FALSE)*AL$1</f>
        <v>0</v>
      </c>
      <c r="AM249" s="3235">
        <f t="shared" si="693"/>
        <v>37267959</v>
      </c>
      <c r="AN249" s="3236">
        <f t="shared" si="639"/>
        <v>0</v>
      </c>
      <c r="AO249" s="3236">
        <f t="shared" si="640"/>
        <v>37267959</v>
      </c>
      <c r="AP249" s="3236">
        <f t="shared" si="641"/>
        <v>0</v>
      </c>
      <c r="AQ249" s="3264"/>
      <c r="AT249" s="3434">
        <f>VLOOKUP($A249,'New Resources - Group'!$A$4:$Y$133,AT$2,FALSE)*AT$1</f>
        <v>0</v>
      </c>
      <c r="AU249" s="3235">
        <f t="shared" si="694"/>
        <v>37267959</v>
      </c>
      <c r="AV249" s="3236">
        <f t="shared" si="642"/>
        <v>0</v>
      </c>
      <c r="AW249" s="3236">
        <f t="shared" si="643"/>
        <v>37267959</v>
      </c>
      <c r="AX249" s="3236">
        <f t="shared" si="644"/>
        <v>0</v>
      </c>
      <c r="AY249" s="3264"/>
      <c r="BB249" s="3434">
        <f>VLOOKUP($A249,'New Resources - Group'!$A$4:$Y$133,BB$2,FALSE)*BB$1</f>
        <v>0</v>
      </c>
      <c r="BC249" s="3235">
        <f t="shared" si="695"/>
        <v>37267959</v>
      </c>
      <c r="BD249" s="3236">
        <f t="shared" si="645"/>
        <v>0</v>
      </c>
      <c r="BE249" s="3236">
        <f t="shared" si="646"/>
        <v>37267959</v>
      </c>
      <c r="BF249" s="3236">
        <f t="shared" si="647"/>
        <v>0</v>
      </c>
      <c r="BG249" s="3264"/>
      <c r="BJ249" s="3434">
        <f>VLOOKUP($A249,'New Resources - Group'!$A$4:$Y$133,BJ$2,FALSE)*BJ$1</f>
        <v>0</v>
      </c>
      <c r="BK249" s="3235">
        <f t="shared" si="696"/>
        <v>37267959</v>
      </c>
      <c r="BL249" s="3236">
        <f t="shared" si="648"/>
        <v>0</v>
      </c>
      <c r="BM249" s="3236">
        <f t="shared" si="649"/>
        <v>37267959</v>
      </c>
      <c r="BN249" s="3236">
        <f t="shared" si="650"/>
        <v>0</v>
      </c>
      <c r="BO249" s="3264"/>
      <c r="BR249" s="3434">
        <f>VLOOKUP($A249,'New Resources - Group'!$A$4:$Y$133,BR$2,FALSE)*BR$1</f>
        <v>0</v>
      </c>
      <c r="BS249" s="3235">
        <f t="shared" si="697"/>
        <v>37267959</v>
      </c>
      <c r="BT249" s="3236">
        <f t="shared" si="651"/>
        <v>0</v>
      </c>
      <c r="BU249" s="3236">
        <f t="shared" si="652"/>
        <v>37267959</v>
      </c>
      <c r="BV249" s="3236">
        <f t="shared" si="653"/>
        <v>0</v>
      </c>
      <c r="BW249" s="3264"/>
      <c r="BZ249" s="3434">
        <f>VLOOKUP($A249,'New Resources - Group'!$A$4:$Y$133,BZ$2,FALSE)*BZ$1</f>
        <v>0</v>
      </c>
      <c r="CA249" s="3235">
        <f t="shared" si="698"/>
        <v>37267959</v>
      </c>
      <c r="CB249" s="3236">
        <f t="shared" si="654"/>
        <v>0</v>
      </c>
      <c r="CC249" s="3236">
        <f t="shared" si="655"/>
        <v>37267959</v>
      </c>
      <c r="CD249" s="3236">
        <f t="shared" si="656"/>
        <v>0</v>
      </c>
      <c r="CE249" s="3264"/>
      <c r="CH249" s="3434">
        <f>VLOOKUP($A249,'New Resources - Group'!$A$4:$Y$133,CH$2,FALSE)*CH$1</f>
        <v>0</v>
      </c>
      <c r="CI249" s="3235">
        <f t="shared" si="699"/>
        <v>37267959</v>
      </c>
      <c r="CJ249" s="3236">
        <f t="shared" si="657"/>
        <v>0</v>
      </c>
      <c r="CK249" s="3236">
        <f t="shared" si="658"/>
        <v>37267959</v>
      </c>
      <c r="CL249" s="3236">
        <f t="shared" si="659"/>
        <v>0</v>
      </c>
      <c r="CM249" s="3264"/>
      <c r="CP249" s="3434">
        <f>VLOOKUP($A249,'New Resources - Group'!$A$4:$Y$133,CP$2,FALSE)*CP$1</f>
        <v>0</v>
      </c>
      <c r="CQ249" s="3235">
        <f t="shared" si="700"/>
        <v>37267959</v>
      </c>
      <c r="CR249" s="3236">
        <f t="shared" si="660"/>
        <v>0</v>
      </c>
      <c r="CS249" s="3236">
        <f t="shared" si="661"/>
        <v>37267959</v>
      </c>
      <c r="CT249" s="3236">
        <f t="shared" si="662"/>
        <v>0</v>
      </c>
      <c r="CU249" s="3264"/>
      <c r="CX249" s="3434">
        <f>VLOOKUP($A249,'New Resources - Group'!$A$4:$Y$133,CX$2,FALSE)*CX$1</f>
        <v>0</v>
      </c>
      <c r="CY249" s="3235">
        <f t="shared" si="701"/>
        <v>37267959</v>
      </c>
      <c r="CZ249" s="3236">
        <f t="shared" si="663"/>
        <v>0</v>
      </c>
      <c r="DA249" s="3236">
        <f t="shared" si="664"/>
        <v>37267959</v>
      </c>
      <c r="DB249" s="3236">
        <f t="shared" si="665"/>
        <v>0</v>
      </c>
      <c r="DC249" s="3264"/>
      <c r="DF249" s="3434">
        <f>VLOOKUP($A249,'New Resources - Group'!$A$4:$Y$133,DF$2,FALSE)*DF$1</f>
        <v>0</v>
      </c>
      <c r="DG249" s="3235">
        <f t="shared" si="702"/>
        <v>37267959</v>
      </c>
      <c r="DH249" s="3236">
        <f t="shared" si="666"/>
        <v>0</v>
      </c>
      <c r="DI249" s="3236">
        <f t="shared" si="667"/>
        <v>37267959</v>
      </c>
      <c r="DJ249" s="3236">
        <f t="shared" si="668"/>
        <v>0</v>
      </c>
      <c r="DK249" s="3264"/>
      <c r="DN249" s="3434">
        <f>VLOOKUP($A249,'New Resources - Group'!$A$4:$Y$133,DN$2,FALSE)*DN$1</f>
        <v>0</v>
      </c>
      <c r="DO249" s="3235">
        <f t="shared" si="703"/>
        <v>37267959</v>
      </c>
      <c r="DP249" s="3236">
        <f t="shared" si="669"/>
        <v>0</v>
      </c>
      <c r="DQ249" s="3236">
        <f t="shared" si="670"/>
        <v>37267959</v>
      </c>
      <c r="DR249" s="3236">
        <f t="shared" si="671"/>
        <v>0</v>
      </c>
      <c r="DS249" s="3264"/>
      <c r="DV249" s="3434">
        <f>VLOOKUP($A249,'New Resources - Group'!$A$4:$Y$133,DV$2,FALSE)*DV$1</f>
        <v>0</v>
      </c>
      <c r="DW249" s="3235">
        <f t="shared" si="704"/>
        <v>37267959</v>
      </c>
      <c r="DX249" s="3236">
        <f t="shared" si="672"/>
        <v>0</v>
      </c>
      <c r="DY249" s="3236">
        <f t="shared" si="673"/>
        <v>37267959</v>
      </c>
      <c r="DZ249" s="3236">
        <f t="shared" si="674"/>
        <v>0</v>
      </c>
      <c r="EA249" s="3264"/>
      <c r="ED249" s="3434">
        <f>VLOOKUP($A249,'New Resources - Group'!$A$4:$Y$133,ED$2,FALSE)*ED$1</f>
        <v>0</v>
      </c>
      <c r="EE249" s="3235">
        <f t="shared" si="705"/>
        <v>37267959</v>
      </c>
      <c r="EF249" s="3236">
        <f t="shared" si="675"/>
        <v>0</v>
      </c>
      <c r="EG249" s="3236">
        <f t="shared" si="676"/>
        <v>37267959</v>
      </c>
      <c r="EH249" s="3236">
        <f t="shared" si="677"/>
        <v>0</v>
      </c>
      <c r="EI249" s="3264"/>
      <c r="EL249" s="3434">
        <f>VLOOKUP($A249,'New Resources - Group'!$A$4:$Y$133,EL$2,FALSE)*EL$1</f>
        <v>0</v>
      </c>
      <c r="EM249" s="3235">
        <f t="shared" si="706"/>
        <v>37267959</v>
      </c>
      <c r="EN249" s="3236">
        <f t="shared" si="678"/>
        <v>0</v>
      </c>
      <c r="EO249" s="3236">
        <f t="shared" si="679"/>
        <v>37267959</v>
      </c>
      <c r="EP249" s="3236">
        <f t="shared" si="680"/>
        <v>0</v>
      </c>
      <c r="EQ249" s="3264"/>
      <c r="ET249" s="3434">
        <f>VLOOKUP($A249,'New Resources - Group'!$A$4:$Y$133,ET$2,FALSE)*ET$1</f>
        <v>0</v>
      </c>
      <c r="EU249" s="3235">
        <f t="shared" si="707"/>
        <v>37267959</v>
      </c>
      <c r="EV249" s="3236">
        <f t="shared" si="681"/>
        <v>0</v>
      </c>
      <c r="EW249" s="3236">
        <f t="shared" si="682"/>
        <v>37267959</v>
      </c>
      <c r="EX249" s="3236">
        <f t="shared" si="683"/>
        <v>0</v>
      </c>
      <c r="EY249" s="3264"/>
      <c r="FB249" s="3434">
        <f>VLOOKUP($A249,'New Resources - Group'!$A$4:$Y$133,FB$2,FALSE)*FB$1</f>
        <v>0</v>
      </c>
      <c r="FC249" s="3235">
        <f t="shared" si="708"/>
        <v>37267959</v>
      </c>
      <c r="FD249" s="3236">
        <f t="shared" si="684"/>
        <v>0</v>
      </c>
      <c r="FE249" s="3236">
        <f t="shared" si="685"/>
        <v>37267959</v>
      </c>
      <c r="FF249" s="3236">
        <f t="shared" si="686"/>
        <v>0</v>
      </c>
      <c r="FG249" s="3264"/>
      <c r="FJ249" s="3434">
        <f>VLOOKUP($A249,'New Resources - Group'!$A$4:$Y$133,FJ$2,FALSE)*FJ$1</f>
        <v>0</v>
      </c>
      <c r="FK249" s="3235">
        <f t="shared" si="709"/>
        <v>37267959</v>
      </c>
      <c r="FL249" s="3236">
        <f t="shared" si="687"/>
        <v>0</v>
      </c>
      <c r="FM249" s="3236">
        <f t="shared" si="688"/>
        <v>37267959</v>
      </c>
      <c r="FN249" s="3236">
        <f t="shared" si="689"/>
        <v>0</v>
      </c>
      <c r="FO249" s="3264"/>
    </row>
    <row r="250" spans="1:171">
      <c r="A250" s="3477"/>
      <c r="B250" s="2185" t="s">
        <v>469</v>
      </c>
      <c r="C250" s="2464">
        <v>336</v>
      </c>
      <c r="D250" s="2464">
        <v>403</v>
      </c>
      <c r="E250" s="2424" t="str">
        <f>'Sch 3 - Expenses'!E90</f>
        <v>DIST</v>
      </c>
      <c r="F250" s="2171"/>
      <c r="G250" s="2424">
        <f>'Sch 3 - Expenses'!G90</f>
        <v>171427092</v>
      </c>
      <c r="H250" s="2424">
        <f>'Sch 3 - Expenses'!H90</f>
        <v>0</v>
      </c>
      <c r="I250" s="2424">
        <f>'Sch 3 - Expenses'!I90</f>
        <v>0</v>
      </c>
      <c r="J250" s="3465">
        <f>'Sch 3 - Expenses'!J90</f>
        <v>171427092</v>
      </c>
      <c r="K250" s="3205">
        <f t="shared" si="629"/>
        <v>1</v>
      </c>
      <c r="O250" s="3235">
        <f t="shared" ref="O250:O256" si="710">$G250</f>
        <v>171427092</v>
      </c>
      <c r="P250" s="3236">
        <f t="shared" si="630"/>
        <v>0</v>
      </c>
      <c r="Q250" s="3236">
        <f t="shared" si="631"/>
        <v>0</v>
      </c>
      <c r="R250" s="3236">
        <f t="shared" si="632"/>
        <v>171427092</v>
      </c>
      <c r="S250" s="3264"/>
      <c r="W250" s="3235">
        <f t="shared" ref="W250:W256" si="711">$G250</f>
        <v>171427092</v>
      </c>
      <c r="X250" s="3236">
        <f t="shared" si="633"/>
        <v>0</v>
      </c>
      <c r="Y250" s="3236">
        <f t="shared" si="634"/>
        <v>0</v>
      </c>
      <c r="Z250" s="3236">
        <f t="shared" si="635"/>
        <v>171427092</v>
      </c>
      <c r="AA250" s="3264"/>
      <c r="AE250" s="3235">
        <f t="shared" ref="AE250:AE256" si="712">$G250</f>
        <v>171427092</v>
      </c>
      <c r="AF250" s="3236">
        <f t="shared" si="636"/>
        <v>0</v>
      </c>
      <c r="AG250" s="3236">
        <f t="shared" si="637"/>
        <v>0</v>
      </c>
      <c r="AH250" s="3236">
        <f t="shared" si="638"/>
        <v>171427092</v>
      </c>
      <c r="AI250" s="3264"/>
      <c r="AM250" s="3235">
        <f t="shared" ref="AM250:AM256" si="713">$G250</f>
        <v>171427092</v>
      </c>
      <c r="AN250" s="3236">
        <f t="shared" si="639"/>
        <v>0</v>
      </c>
      <c r="AO250" s="3236">
        <f t="shared" si="640"/>
        <v>0</v>
      </c>
      <c r="AP250" s="3236">
        <f t="shared" si="641"/>
        <v>171427092</v>
      </c>
      <c r="AQ250" s="3264"/>
      <c r="AU250" s="3235">
        <f t="shared" ref="AU250:AU256" si="714">$G250</f>
        <v>171427092</v>
      </c>
      <c r="AV250" s="3236">
        <f t="shared" si="642"/>
        <v>0</v>
      </c>
      <c r="AW250" s="3236">
        <f t="shared" si="643"/>
        <v>0</v>
      </c>
      <c r="AX250" s="3236">
        <f t="shared" si="644"/>
        <v>171427092</v>
      </c>
      <c r="AY250" s="3264"/>
      <c r="BC250" s="3235">
        <f t="shared" ref="BC250:BC256" si="715">$G250</f>
        <v>171427092</v>
      </c>
      <c r="BD250" s="3236">
        <f t="shared" si="645"/>
        <v>0</v>
      </c>
      <c r="BE250" s="3236">
        <f t="shared" si="646"/>
        <v>0</v>
      </c>
      <c r="BF250" s="3236">
        <f t="shared" si="647"/>
        <v>171427092</v>
      </c>
      <c r="BG250" s="3264"/>
      <c r="BK250" s="3235">
        <f t="shared" ref="BK250:BK256" si="716">$G250</f>
        <v>171427092</v>
      </c>
      <c r="BL250" s="3236">
        <f t="shared" si="648"/>
        <v>0</v>
      </c>
      <c r="BM250" s="3236">
        <f t="shared" si="649"/>
        <v>0</v>
      </c>
      <c r="BN250" s="3236">
        <f t="shared" si="650"/>
        <v>171427092</v>
      </c>
      <c r="BO250" s="3264"/>
      <c r="BS250" s="3235">
        <f t="shared" ref="BS250:BS256" si="717">$G250</f>
        <v>171427092</v>
      </c>
      <c r="BT250" s="3236">
        <f t="shared" si="651"/>
        <v>0</v>
      </c>
      <c r="BU250" s="3236">
        <f t="shared" si="652"/>
        <v>0</v>
      </c>
      <c r="BV250" s="3236">
        <f t="shared" si="653"/>
        <v>171427092</v>
      </c>
      <c r="BW250" s="3264"/>
      <c r="CA250" s="3235">
        <f t="shared" ref="CA250:CA256" si="718">$G250</f>
        <v>171427092</v>
      </c>
      <c r="CB250" s="3236">
        <f t="shared" si="654"/>
        <v>0</v>
      </c>
      <c r="CC250" s="3236">
        <f t="shared" si="655"/>
        <v>0</v>
      </c>
      <c r="CD250" s="3236">
        <f t="shared" si="656"/>
        <v>171427092</v>
      </c>
      <c r="CE250" s="3264"/>
      <c r="CI250" s="3235">
        <f t="shared" ref="CI250:CI256" si="719">$G250</f>
        <v>171427092</v>
      </c>
      <c r="CJ250" s="3236">
        <f t="shared" si="657"/>
        <v>0</v>
      </c>
      <c r="CK250" s="3236">
        <f t="shared" si="658"/>
        <v>0</v>
      </c>
      <c r="CL250" s="3236">
        <f t="shared" si="659"/>
        <v>171427092</v>
      </c>
      <c r="CM250" s="3264"/>
      <c r="CQ250" s="3235">
        <f t="shared" ref="CQ250:CQ256" si="720">$G250</f>
        <v>171427092</v>
      </c>
      <c r="CR250" s="3236">
        <f t="shared" si="660"/>
        <v>0</v>
      </c>
      <c r="CS250" s="3236">
        <f t="shared" si="661"/>
        <v>0</v>
      </c>
      <c r="CT250" s="3236">
        <f t="shared" si="662"/>
        <v>171427092</v>
      </c>
      <c r="CU250" s="3264"/>
      <c r="CY250" s="3235">
        <f t="shared" ref="CY250:CY256" si="721">$G250</f>
        <v>171427092</v>
      </c>
      <c r="CZ250" s="3236">
        <f t="shared" si="663"/>
        <v>0</v>
      </c>
      <c r="DA250" s="3236">
        <f t="shared" si="664"/>
        <v>0</v>
      </c>
      <c r="DB250" s="3236">
        <f t="shared" si="665"/>
        <v>171427092</v>
      </c>
      <c r="DC250" s="3264"/>
      <c r="DG250" s="3235">
        <f t="shared" ref="DG250:DG256" si="722">$G250</f>
        <v>171427092</v>
      </c>
      <c r="DH250" s="3236">
        <f t="shared" si="666"/>
        <v>0</v>
      </c>
      <c r="DI250" s="3236">
        <f t="shared" si="667"/>
        <v>0</v>
      </c>
      <c r="DJ250" s="3236">
        <f t="shared" si="668"/>
        <v>171427092</v>
      </c>
      <c r="DK250" s="3264"/>
      <c r="DO250" s="3235">
        <f t="shared" ref="DO250:DO256" si="723">$G250</f>
        <v>171427092</v>
      </c>
      <c r="DP250" s="3236">
        <f t="shared" si="669"/>
        <v>0</v>
      </c>
      <c r="DQ250" s="3236">
        <f t="shared" si="670"/>
        <v>0</v>
      </c>
      <c r="DR250" s="3236">
        <f t="shared" si="671"/>
        <v>171427092</v>
      </c>
      <c r="DS250" s="3264"/>
      <c r="DW250" s="3235">
        <f t="shared" ref="DW250:DW256" si="724">$G250</f>
        <v>171427092</v>
      </c>
      <c r="DX250" s="3236">
        <f t="shared" si="672"/>
        <v>0</v>
      </c>
      <c r="DY250" s="3236">
        <f t="shared" si="673"/>
        <v>0</v>
      </c>
      <c r="DZ250" s="3236">
        <f t="shared" si="674"/>
        <v>171427092</v>
      </c>
      <c r="EA250" s="3264"/>
      <c r="EE250" s="3235">
        <f t="shared" ref="EE250:EE256" si="725">$G250</f>
        <v>171427092</v>
      </c>
      <c r="EF250" s="3236">
        <f t="shared" si="675"/>
        <v>0</v>
      </c>
      <c r="EG250" s="3236">
        <f t="shared" si="676"/>
        <v>0</v>
      </c>
      <c r="EH250" s="3236">
        <f t="shared" si="677"/>
        <v>171427092</v>
      </c>
      <c r="EI250" s="3264"/>
      <c r="EM250" s="3235">
        <f t="shared" ref="EM250:EM256" si="726">$G250</f>
        <v>171427092</v>
      </c>
      <c r="EN250" s="3236">
        <f t="shared" si="678"/>
        <v>0</v>
      </c>
      <c r="EO250" s="3236">
        <f t="shared" si="679"/>
        <v>0</v>
      </c>
      <c r="EP250" s="3236">
        <f t="shared" si="680"/>
        <v>171427092</v>
      </c>
      <c r="EQ250" s="3264"/>
      <c r="EU250" s="3235">
        <f t="shared" ref="EU250:EU256" si="727">$G250</f>
        <v>171427092</v>
      </c>
      <c r="EV250" s="3236">
        <f t="shared" si="681"/>
        <v>0</v>
      </c>
      <c r="EW250" s="3236">
        <f t="shared" si="682"/>
        <v>0</v>
      </c>
      <c r="EX250" s="3236">
        <f t="shared" si="683"/>
        <v>171427092</v>
      </c>
      <c r="EY250" s="3264"/>
      <c r="FC250" s="3235">
        <f t="shared" ref="FC250:FC256" si="728">$G250</f>
        <v>171427092</v>
      </c>
      <c r="FD250" s="3236">
        <f t="shared" si="684"/>
        <v>0</v>
      </c>
      <c r="FE250" s="3236">
        <f t="shared" si="685"/>
        <v>0</v>
      </c>
      <c r="FF250" s="3236">
        <f t="shared" si="686"/>
        <v>171427092</v>
      </c>
      <c r="FG250" s="3264"/>
      <c r="FK250" s="3235">
        <f t="shared" ref="FK250:FK256" si="729">$G250</f>
        <v>171427092</v>
      </c>
      <c r="FL250" s="3236">
        <f t="shared" si="687"/>
        <v>0</v>
      </c>
      <c r="FM250" s="3236">
        <f t="shared" si="688"/>
        <v>0</v>
      </c>
      <c r="FN250" s="3236">
        <f t="shared" si="689"/>
        <v>171427092</v>
      </c>
      <c r="FO250" s="3264"/>
    </row>
    <row r="251" spans="1:171">
      <c r="A251" s="3477"/>
      <c r="B251" s="2185" t="s">
        <v>92</v>
      </c>
      <c r="C251" s="2464">
        <v>336</v>
      </c>
      <c r="D251" s="2464">
        <v>403</v>
      </c>
      <c r="E251" s="2424" t="str">
        <f>'Sch 3 - Expenses'!E91</f>
        <v>GP</v>
      </c>
      <c r="F251" s="2171"/>
      <c r="G251" s="2424">
        <f>'Sch 3 - Expenses'!G91</f>
        <v>15618734</v>
      </c>
      <c r="H251" s="2424">
        <f>'Sch 3 - Expenses'!H91</f>
        <v>5322403.9378776001</v>
      </c>
      <c r="I251" s="2424">
        <f>'Sch 3 - Expenses'!I91</f>
        <v>0</v>
      </c>
      <c r="J251" s="3465">
        <f>'Sch 3 - Expenses'!J91</f>
        <v>10296330.062122401</v>
      </c>
      <c r="K251" s="3205">
        <f t="shared" si="629"/>
        <v>1</v>
      </c>
      <c r="O251" s="3235">
        <f>($G251/$G50)*O50</f>
        <v>15618734</v>
      </c>
      <c r="P251" s="3236">
        <f t="shared" si="630"/>
        <v>5322403.9378776001</v>
      </c>
      <c r="Q251" s="3236">
        <f t="shared" si="631"/>
        <v>2622165.3568439935</v>
      </c>
      <c r="R251" s="3236">
        <f t="shared" si="632"/>
        <v>7674164.7052784059</v>
      </c>
      <c r="S251" s="3264"/>
      <c r="W251" s="3235">
        <f>($G251/$G50)*W50</f>
        <v>15618734</v>
      </c>
      <c r="X251" s="3236">
        <f t="shared" si="633"/>
        <v>5322403.9378776001</v>
      </c>
      <c r="Y251" s="3236">
        <f t="shared" si="634"/>
        <v>2622165.3568439935</v>
      </c>
      <c r="Z251" s="3236">
        <f t="shared" si="635"/>
        <v>7674164.7052784059</v>
      </c>
      <c r="AA251" s="3264"/>
      <c r="AE251" s="3235">
        <f>($G251/$G50)*AE50</f>
        <v>15618734</v>
      </c>
      <c r="AF251" s="3236">
        <f t="shared" si="636"/>
        <v>5322403.9378776001</v>
      </c>
      <c r="AG251" s="3236">
        <f t="shared" si="637"/>
        <v>2622165.3568439935</v>
      </c>
      <c r="AH251" s="3236">
        <f t="shared" si="638"/>
        <v>7674164.7052784059</v>
      </c>
      <c r="AI251" s="3264"/>
      <c r="AM251" s="3235">
        <f>($G251/$G50)*AM50</f>
        <v>15618734</v>
      </c>
      <c r="AN251" s="3236">
        <f t="shared" si="639"/>
        <v>5322403.9378776001</v>
      </c>
      <c r="AO251" s="3236">
        <f t="shared" si="640"/>
        <v>2622165.3568439935</v>
      </c>
      <c r="AP251" s="3236">
        <f t="shared" si="641"/>
        <v>7674164.7052784059</v>
      </c>
      <c r="AQ251" s="3264"/>
      <c r="AU251" s="3235">
        <f>($G251/$G50)*AU50</f>
        <v>15618734</v>
      </c>
      <c r="AV251" s="3236">
        <f t="shared" si="642"/>
        <v>5322403.9378776001</v>
      </c>
      <c r="AW251" s="3236">
        <f t="shared" si="643"/>
        <v>2622165.3568439935</v>
      </c>
      <c r="AX251" s="3236">
        <f t="shared" si="644"/>
        <v>7674164.7052784059</v>
      </c>
      <c r="AY251" s="3264"/>
      <c r="BC251" s="3235">
        <f>($G251/$G50)*BC50</f>
        <v>15618734</v>
      </c>
      <c r="BD251" s="3236">
        <f t="shared" si="645"/>
        <v>5322403.9378776001</v>
      </c>
      <c r="BE251" s="3236">
        <f t="shared" si="646"/>
        <v>2622165.3568439935</v>
      </c>
      <c r="BF251" s="3236">
        <f t="shared" si="647"/>
        <v>7674164.7052784059</v>
      </c>
      <c r="BG251" s="3264"/>
      <c r="BK251" s="3235">
        <f>($G251/$G50)*BK50</f>
        <v>15618734</v>
      </c>
      <c r="BL251" s="3236">
        <f t="shared" si="648"/>
        <v>5322403.9378776001</v>
      </c>
      <c r="BM251" s="3236">
        <f t="shared" si="649"/>
        <v>2622165.3568439935</v>
      </c>
      <c r="BN251" s="3236">
        <f t="shared" si="650"/>
        <v>7674164.7052784059</v>
      </c>
      <c r="BO251" s="3264"/>
      <c r="BS251" s="3235">
        <f>($G251/$G50)*BS50</f>
        <v>15618734</v>
      </c>
      <c r="BT251" s="3236">
        <f t="shared" si="651"/>
        <v>5322403.9378776001</v>
      </c>
      <c r="BU251" s="3236">
        <f t="shared" si="652"/>
        <v>2622165.3568439935</v>
      </c>
      <c r="BV251" s="3236">
        <f t="shared" si="653"/>
        <v>7674164.7052784059</v>
      </c>
      <c r="BW251" s="3264"/>
      <c r="CA251" s="3235">
        <f>($G251/$G50)*CA50</f>
        <v>15618734</v>
      </c>
      <c r="CB251" s="3236">
        <f t="shared" si="654"/>
        <v>5322403.9378776001</v>
      </c>
      <c r="CC251" s="3236">
        <f t="shared" si="655"/>
        <v>2622165.3568439935</v>
      </c>
      <c r="CD251" s="3236">
        <f t="shared" si="656"/>
        <v>7674164.7052784059</v>
      </c>
      <c r="CE251" s="3264"/>
      <c r="CI251" s="3235">
        <f>($G251/$G50)*CI50</f>
        <v>15618734</v>
      </c>
      <c r="CJ251" s="3236">
        <f t="shared" si="657"/>
        <v>5322403.9378776001</v>
      </c>
      <c r="CK251" s="3236">
        <f t="shared" si="658"/>
        <v>2622165.3568439935</v>
      </c>
      <c r="CL251" s="3236">
        <f t="shared" si="659"/>
        <v>7674164.7052784059</v>
      </c>
      <c r="CM251" s="3264"/>
      <c r="CQ251" s="3235">
        <f>($G251/$G50)*CQ50</f>
        <v>15618734</v>
      </c>
      <c r="CR251" s="3236">
        <f t="shared" si="660"/>
        <v>5322403.9378776001</v>
      </c>
      <c r="CS251" s="3236">
        <f t="shared" si="661"/>
        <v>2622165.3568439935</v>
      </c>
      <c r="CT251" s="3236">
        <f t="shared" si="662"/>
        <v>7674164.7052784059</v>
      </c>
      <c r="CU251" s="3264"/>
      <c r="CY251" s="3235">
        <f>($G251/$G50)*CY50</f>
        <v>15618734</v>
      </c>
      <c r="CZ251" s="3236">
        <f t="shared" si="663"/>
        <v>5322403.9378776001</v>
      </c>
      <c r="DA251" s="3236">
        <f t="shared" si="664"/>
        <v>2622165.3568439935</v>
      </c>
      <c r="DB251" s="3236">
        <f t="shared" si="665"/>
        <v>7674164.7052784059</v>
      </c>
      <c r="DC251" s="3264"/>
      <c r="DG251" s="3235">
        <f>($G251/$G50)*DG50</f>
        <v>15618734</v>
      </c>
      <c r="DH251" s="3236">
        <f t="shared" si="666"/>
        <v>5322403.9378776001</v>
      </c>
      <c r="DI251" s="3236">
        <f t="shared" si="667"/>
        <v>2622165.3568439935</v>
      </c>
      <c r="DJ251" s="3236">
        <f t="shared" si="668"/>
        <v>7674164.7052784059</v>
      </c>
      <c r="DK251" s="3264"/>
      <c r="DO251" s="3235">
        <f>($G251/$G50)*DO50</f>
        <v>15618734</v>
      </c>
      <c r="DP251" s="3236">
        <f t="shared" si="669"/>
        <v>5322403.9378776001</v>
      </c>
      <c r="DQ251" s="3236">
        <f t="shared" si="670"/>
        <v>2622165.3568439935</v>
      </c>
      <c r="DR251" s="3236">
        <f t="shared" si="671"/>
        <v>7674164.7052784059</v>
      </c>
      <c r="DS251" s="3264"/>
      <c r="DW251" s="3235">
        <f>($G251/$G50)*DW50</f>
        <v>15618734</v>
      </c>
      <c r="DX251" s="3236">
        <f t="shared" si="672"/>
        <v>5322403.9378776001</v>
      </c>
      <c r="DY251" s="3236">
        <f t="shared" si="673"/>
        <v>2622165.3568439935</v>
      </c>
      <c r="DZ251" s="3236">
        <f t="shared" si="674"/>
        <v>7674164.7052784059</v>
      </c>
      <c r="EA251" s="3264"/>
      <c r="EE251" s="3235">
        <f>($G251/$G50)*EE50</f>
        <v>15618734</v>
      </c>
      <c r="EF251" s="3236">
        <f t="shared" si="675"/>
        <v>5322403.9378776001</v>
      </c>
      <c r="EG251" s="3236">
        <f t="shared" si="676"/>
        <v>2622165.3568439935</v>
      </c>
      <c r="EH251" s="3236">
        <f t="shared" si="677"/>
        <v>7674164.7052784059</v>
      </c>
      <c r="EI251" s="3264"/>
      <c r="EM251" s="3235">
        <f>($G251/$G50)*EM50</f>
        <v>15618734</v>
      </c>
      <c r="EN251" s="3236">
        <f t="shared" si="678"/>
        <v>5322403.9378776001</v>
      </c>
      <c r="EO251" s="3236">
        <f t="shared" si="679"/>
        <v>2622165.3568439935</v>
      </c>
      <c r="EP251" s="3236">
        <f t="shared" si="680"/>
        <v>7674164.7052784059</v>
      </c>
      <c r="EQ251" s="3264"/>
      <c r="EU251" s="3235">
        <f>($G251/$G50)*EU50</f>
        <v>15618734</v>
      </c>
      <c r="EV251" s="3236">
        <f t="shared" si="681"/>
        <v>5322403.9378776001</v>
      </c>
      <c r="EW251" s="3236">
        <f t="shared" si="682"/>
        <v>2622165.3568439935</v>
      </c>
      <c r="EX251" s="3236">
        <f t="shared" si="683"/>
        <v>7674164.7052784059</v>
      </c>
      <c r="EY251" s="3264"/>
      <c r="FC251" s="3235">
        <f>($G251/$G50)*FC50</f>
        <v>15618734</v>
      </c>
      <c r="FD251" s="3236">
        <f t="shared" si="684"/>
        <v>5322403.9378776001</v>
      </c>
      <c r="FE251" s="3236">
        <f t="shared" si="685"/>
        <v>2622165.3568439935</v>
      </c>
      <c r="FF251" s="3236">
        <f t="shared" si="686"/>
        <v>7674164.7052784059</v>
      </c>
      <c r="FG251" s="3264"/>
      <c r="FK251" s="3235">
        <f>($G251/$G50)*FK50</f>
        <v>15618734</v>
      </c>
      <c r="FL251" s="3236">
        <f t="shared" si="687"/>
        <v>5322403.9378776001</v>
      </c>
      <c r="FM251" s="3236">
        <f t="shared" si="688"/>
        <v>2622165.3568439935</v>
      </c>
      <c r="FN251" s="3236">
        <f t="shared" si="689"/>
        <v>7674164.7052784059</v>
      </c>
      <c r="FO251" s="3264"/>
    </row>
    <row r="252" spans="1:171">
      <c r="A252" s="3477"/>
      <c r="B252" s="2185" t="s">
        <v>431</v>
      </c>
      <c r="C252" s="2464">
        <v>336</v>
      </c>
      <c r="D252" s="2509">
        <v>404</v>
      </c>
      <c r="E252" s="2424" t="str">
        <f>'Sch 3 - Expenses'!E92</f>
        <v>DIRECT</v>
      </c>
      <c r="F252" s="2171"/>
      <c r="G252" s="2424">
        <f>'Sch 3 - Expenses'!G92</f>
        <v>18119462</v>
      </c>
      <c r="H252" s="2424">
        <f>'Sch 3 - Expenses'!H92</f>
        <v>6138737.0983232521</v>
      </c>
      <c r="I252" s="2424">
        <f>'Sch 3 - Expenses'!I92</f>
        <v>0</v>
      </c>
      <c r="J252" s="3465">
        <f>'Sch 3 - Expenses'!J92</f>
        <v>11980724.901676752</v>
      </c>
      <c r="K252" s="3205">
        <f t="shared" si="629"/>
        <v>0</v>
      </c>
      <c r="O252" s="3235">
        <f t="shared" si="710"/>
        <v>18119462</v>
      </c>
      <c r="P252" s="3236">
        <f t="shared" si="630"/>
        <v>6138737.0983232521</v>
      </c>
      <c r="Q252" s="3236">
        <f t="shared" si="631"/>
        <v>0</v>
      </c>
      <c r="R252" s="3236">
        <f t="shared" si="632"/>
        <v>11980724.901676748</v>
      </c>
      <c r="S252" s="3264"/>
      <c r="W252" s="3235">
        <f t="shared" si="711"/>
        <v>18119462</v>
      </c>
      <c r="X252" s="3236">
        <f t="shared" si="633"/>
        <v>6138737.0983232521</v>
      </c>
      <c r="Y252" s="3236">
        <f t="shared" si="634"/>
        <v>0</v>
      </c>
      <c r="Z252" s="3236">
        <f t="shared" si="635"/>
        <v>11980724.901676748</v>
      </c>
      <c r="AA252" s="3264"/>
      <c r="AE252" s="3235">
        <f t="shared" si="712"/>
        <v>18119462</v>
      </c>
      <c r="AF252" s="3236">
        <f t="shared" si="636"/>
        <v>6138737.0983232521</v>
      </c>
      <c r="AG252" s="3236">
        <f t="shared" si="637"/>
        <v>0</v>
      </c>
      <c r="AH252" s="3236">
        <f t="shared" si="638"/>
        <v>11980724.901676748</v>
      </c>
      <c r="AI252" s="3264"/>
      <c r="AM252" s="3235">
        <f t="shared" si="713"/>
        <v>18119462</v>
      </c>
      <c r="AN252" s="3236">
        <f t="shared" si="639"/>
        <v>6138737.0983232521</v>
      </c>
      <c r="AO252" s="3236">
        <f t="shared" si="640"/>
        <v>0</v>
      </c>
      <c r="AP252" s="3236">
        <f t="shared" si="641"/>
        <v>11980724.901676748</v>
      </c>
      <c r="AQ252" s="3264"/>
      <c r="AU252" s="3235">
        <f t="shared" si="714"/>
        <v>18119462</v>
      </c>
      <c r="AV252" s="3236">
        <f t="shared" si="642"/>
        <v>6138737.0983232521</v>
      </c>
      <c r="AW252" s="3236">
        <f t="shared" si="643"/>
        <v>0</v>
      </c>
      <c r="AX252" s="3236">
        <f t="shared" si="644"/>
        <v>11980724.901676748</v>
      </c>
      <c r="AY252" s="3264"/>
      <c r="BC252" s="3235">
        <f t="shared" si="715"/>
        <v>18119462</v>
      </c>
      <c r="BD252" s="3236">
        <f t="shared" si="645"/>
        <v>6138737.0983232521</v>
      </c>
      <c r="BE252" s="3236">
        <f t="shared" si="646"/>
        <v>0</v>
      </c>
      <c r="BF252" s="3236">
        <f t="shared" si="647"/>
        <v>11980724.901676748</v>
      </c>
      <c r="BG252" s="3264"/>
      <c r="BK252" s="3235">
        <f t="shared" si="716"/>
        <v>18119462</v>
      </c>
      <c r="BL252" s="3236">
        <f t="shared" si="648"/>
        <v>6138737.0983232521</v>
      </c>
      <c r="BM252" s="3236">
        <f t="shared" si="649"/>
        <v>0</v>
      </c>
      <c r="BN252" s="3236">
        <f t="shared" si="650"/>
        <v>11980724.901676748</v>
      </c>
      <c r="BO252" s="3264"/>
      <c r="BS252" s="3235">
        <f t="shared" si="717"/>
        <v>18119462</v>
      </c>
      <c r="BT252" s="3236">
        <f t="shared" si="651"/>
        <v>6138737.0983232521</v>
      </c>
      <c r="BU252" s="3236">
        <f t="shared" si="652"/>
        <v>0</v>
      </c>
      <c r="BV252" s="3236">
        <f t="shared" si="653"/>
        <v>11980724.901676748</v>
      </c>
      <c r="BW252" s="3264"/>
      <c r="CA252" s="3235">
        <f t="shared" si="718"/>
        <v>18119462</v>
      </c>
      <c r="CB252" s="3236">
        <f t="shared" si="654"/>
        <v>6138737.0983232521</v>
      </c>
      <c r="CC252" s="3236">
        <f t="shared" si="655"/>
        <v>0</v>
      </c>
      <c r="CD252" s="3236">
        <f t="shared" si="656"/>
        <v>11980724.901676748</v>
      </c>
      <c r="CE252" s="3264"/>
      <c r="CI252" s="3235">
        <f t="shared" si="719"/>
        <v>18119462</v>
      </c>
      <c r="CJ252" s="3236">
        <f t="shared" si="657"/>
        <v>6138737.0983232521</v>
      </c>
      <c r="CK252" s="3236">
        <f t="shared" si="658"/>
        <v>0</v>
      </c>
      <c r="CL252" s="3236">
        <f t="shared" si="659"/>
        <v>11980724.901676748</v>
      </c>
      <c r="CM252" s="3264"/>
      <c r="CQ252" s="3235">
        <f t="shared" si="720"/>
        <v>18119462</v>
      </c>
      <c r="CR252" s="3236">
        <f t="shared" si="660"/>
        <v>6138737.0983232521</v>
      </c>
      <c r="CS252" s="3236">
        <f t="shared" si="661"/>
        <v>0</v>
      </c>
      <c r="CT252" s="3236">
        <f t="shared" si="662"/>
        <v>11980724.901676748</v>
      </c>
      <c r="CU252" s="3264"/>
      <c r="CY252" s="3235">
        <f t="shared" si="721"/>
        <v>18119462</v>
      </c>
      <c r="CZ252" s="3236">
        <f t="shared" si="663"/>
        <v>6138737.0983232521</v>
      </c>
      <c r="DA252" s="3236">
        <f t="shared" si="664"/>
        <v>0</v>
      </c>
      <c r="DB252" s="3236">
        <f t="shared" si="665"/>
        <v>11980724.901676748</v>
      </c>
      <c r="DC252" s="3264"/>
      <c r="DG252" s="3235">
        <f t="shared" si="722"/>
        <v>18119462</v>
      </c>
      <c r="DH252" s="3236">
        <f t="shared" si="666"/>
        <v>6138737.0983232521</v>
      </c>
      <c r="DI252" s="3236">
        <f t="shared" si="667"/>
        <v>0</v>
      </c>
      <c r="DJ252" s="3236">
        <f t="shared" si="668"/>
        <v>11980724.901676748</v>
      </c>
      <c r="DK252" s="3264"/>
      <c r="DO252" s="3235">
        <f t="shared" si="723"/>
        <v>18119462</v>
      </c>
      <c r="DP252" s="3236">
        <f t="shared" si="669"/>
        <v>6138737.0983232521</v>
      </c>
      <c r="DQ252" s="3236">
        <f t="shared" si="670"/>
        <v>0</v>
      </c>
      <c r="DR252" s="3236">
        <f t="shared" si="671"/>
        <v>11980724.901676748</v>
      </c>
      <c r="DS252" s="3264"/>
      <c r="DW252" s="3235">
        <f t="shared" si="724"/>
        <v>18119462</v>
      </c>
      <c r="DX252" s="3236">
        <f t="shared" si="672"/>
        <v>6138737.0983232521</v>
      </c>
      <c r="DY252" s="3236">
        <f t="shared" si="673"/>
        <v>0</v>
      </c>
      <c r="DZ252" s="3236">
        <f t="shared" si="674"/>
        <v>11980724.901676748</v>
      </c>
      <c r="EA252" s="3264"/>
      <c r="EE252" s="3235">
        <f t="shared" si="725"/>
        <v>18119462</v>
      </c>
      <c r="EF252" s="3236">
        <f t="shared" si="675"/>
        <v>6138737.0983232521</v>
      </c>
      <c r="EG252" s="3236">
        <f t="shared" si="676"/>
        <v>0</v>
      </c>
      <c r="EH252" s="3236">
        <f t="shared" si="677"/>
        <v>11980724.901676748</v>
      </c>
      <c r="EI252" s="3264"/>
      <c r="EM252" s="3235">
        <f t="shared" si="726"/>
        <v>18119462</v>
      </c>
      <c r="EN252" s="3236">
        <f t="shared" si="678"/>
        <v>6138737.0983232521</v>
      </c>
      <c r="EO252" s="3236">
        <f t="shared" si="679"/>
        <v>0</v>
      </c>
      <c r="EP252" s="3236">
        <f t="shared" si="680"/>
        <v>11980724.901676748</v>
      </c>
      <c r="EQ252" s="3264"/>
      <c r="EU252" s="3235">
        <f t="shared" si="727"/>
        <v>18119462</v>
      </c>
      <c r="EV252" s="3236">
        <f t="shared" si="681"/>
        <v>6138737.0983232521</v>
      </c>
      <c r="EW252" s="3236">
        <f t="shared" si="682"/>
        <v>0</v>
      </c>
      <c r="EX252" s="3236">
        <f t="shared" si="683"/>
        <v>11980724.901676748</v>
      </c>
      <c r="EY252" s="3264"/>
      <c r="FC252" s="3235">
        <f t="shared" si="728"/>
        <v>18119462</v>
      </c>
      <c r="FD252" s="3236">
        <f t="shared" si="684"/>
        <v>6138737.0983232521</v>
      </c>
      <c r="FE252" s="3236">
        <f t="shared" si="685"/>
        <v>0</v>
      </c>
      <c r="FF252" s="3236">
        <f t="shared" si="686"/>
        <v>11980724.901676748</v>
      </c>
      <c r="FG252" s="3264"/>
      <c r="FK252" s="3235">
        <f t="shared" si="729"/>
        <v>18119462</v>
      </c>
      <c r="FL252" s="3236">
        <f t="shared" si="687"/>
        <v>6138737.0983232521</v>
      </c>
      <c r="FM252" s="3236">
        <f t="shared" si="688"/>
        <v>0</v>
      </c>
      <c r="FN252" s="3236">
        <f t="shared" si="689"/>
        <v>11980724.901676748</v>
      </c>
      <c r="FO252" s="3264"/>
    </row>
    <row r="253" spans="1:171">
      <c r="A253" s="3477"/>
      <c r="B253" s="2185" t="s">
        <v>431</v>
      </c>
      <c r="C253" s="2464">
        <v>336</v>
      </c>
      <c r="D253" s="2509">
        <v>404</v>
      </c>
      <c r="E253" s="2424" t="str">
        <f>'Sch 3 - Expenses'!E93</f>
        <v>DIRECT</v>
      </c>
      <c r="F253" s="2171"/>
      <c r="G253" s="2424">
        <f>'Sch 3 - Expenses'!G93</f>
        <v>44095861</v>
      </c>
      <c r="H253" s="2424">
        <f>'Sch 3 - Expenses'!H93</f>
        <v>11880277.722496061</v>
      </c>
      <c r="I253" s="2424">
        <f>'Sch 3 - Expenses'!I93</f>
        <v>0</v>
      </c>
      <c r="J253" s="3465">
        <f>'Sch 3 - Expenses'!J93</f>
        <v>32215583.277454484</v>
      </c>
      <c r="K253" s="3205">
        <f t="shared" si="629"/>
        <v>0</v>
      </c>
      <c r="O253" s="3235">
        <f t="shared" si="710"/>
        <v>44095861</v>
      </c>
      <c r="P253" s="3236">
        <f t="shared" si="630"/>
        <v>11880277.722496061</v>
      </c>
      <c r="Q253" s="3236">
        <f t="shared" si="631"/>
        <v>0</v>
      </c>
      <c r="R253" s="3236">
        <f t="shared" si="632"/>
        <v>32215583.277503937</v>
      </c>
      <c r="S253" s="3264"/>
      <c r="W253" s="3235">
        <f t="shared" si="711"/>
        <v>44095861</v>
      </c>
      <c r="X253" s="3236">
        <f t="shared" si="633"/>
        <v>11880277.722496061</v>
      </c>
      <c r="Y253" s="3236">
        <f t="shared" si="634"/>
        <v>0</v>
      </c>
      <c r="Z253" s="3236">
        <f t="shared" si="635"/>
        <v>32215583.277503937</v>
      </c>
      <c r="AA253" s="3264"/>
      <c r="AE253" s="3235">
        <f t="shared" si="712"/>
        <v>44095861</v>
      </c>
      <c r="AF253" s="3236">
        <f t="shared" si="636"/>
        <v>11880277.722496061</v>
      </c>
      <c r="AG253" s="3236">
        <f t="shared" si="637"/>
        <v>0</v>
      </c>
      <c r="AH253" s="3236">
        <f t="shared" si="638"/>
        <v>32215583.277503937</v>
      </c>
      <c r="AI253" s="3264"/>
      <c r="AM253" s="3235">
        <f t="shared" si="713"/>
        <v>44095861</v>
      </c>
      <c r="AN253" s="3236">
        <f t="shared" si="639"/>
        <v>11880277.722496061</v>
      </c>
      <c r="AO253" s="3236">
        <f t="shared" si="640"/>
        <v>0</v>
      </c>
      <c r="AP253" s="3236">
        <f t="shared" si="641"/>
        <v>32215583.277503937</v>
      </c>
      <c r="AQ253" s="3264"/>
      <c r="AU253" s="3235">
        <f t="shared" si="714"/>
        <v>44095861</v>
      </c>
      <c r="AV253" s="3236">
        <f t="shared" si="642"/>
        <v>11880277.722496061</v>
      </c>
      <c r="AW253" s="3236">
        <f t="shared" si="643"/>
        <v>0</v>
      </c>
      <c r="AX253" s="3236">
        <f t="shared" si="644"/>
        <v>32215583.277503937</v>
      </c>
      <c r="AY253" s="3264"/>
      <c r="BC253" s="3235">
        <f t="shared" si="715"/>
        <v>44095861</v>
      </c>
      <c r="BD253" s="3236">
        <f t="shared" si="645"/>
        <v>11880277.722496061</v>
      </c>
      <c r="BE253" s="3236">
        <f t="shared" si="646"/>
        <v>0</v>
      </c>
      <c r="BF253" s="3236">
        <f t="shared" si="647"/>
        <v>32215583.277503937</v>
      </c>
      <c r="BG253" s="3264"/>
      <c r="BK253" s="3235">
        <f t="shared" si="716"/>
        <v>44095861</v>
      </c>
      <c r="BL253" s="3236">
        <f t="shared" si="648"/>
        <v>11880277.722496061</v>
      </c>
      <c r="BM253" s="3236">
        <f t="shared" si="649"/>
        <v>0</v>
      </c>
      <c r="BN253" s="3236">
        <f t="shared" si="650"/>
        <v>32215583.277503937</v>
      </c>
      <c r="BO253" s="3264"/>
      <c r="BS253" s="3235">
        <f t="shared" si="717"/>
        <v>44095861</v>
      </c>
      <c r="BT253" s="3236">
        <f t="shared" si="651"/>
        <v>11880277.722496061</v>
      </c>
      <c r="BU253" s="3236">
        <f t="shared" si="652"/>
        <v>0</v>
      </c>
      <c r="BV253" s="3236">
        <f t="shared" si="653"/>
        <v>32215583.277503937</v>
      </c>
      <c r="BW253" s="3264"/>
      <c r="CA253" s="3235">
        <f t="shared" si="718"/>
        <v>44095861</v>
      </c>
      <c r="CB253" s="3236">
        <f t="shared" si="654"/>
        <v>11880277.722496061</v>
      </c>
      <c r="CC253" s="3236">
        <f t="shared" si="655"/>
        <v>0</v>
      </c>
      <c r="CD253" s="3236">
        <f t="shared" si="656"/>
        <v>32215583.277503937</v>
      </c>
      <c r="CE253" s="3264"/>
      <c r="CI253" s="3235">
        <f t="shared" si="719"/>
        <v>44095861</v>
      </c>
      <c r="CJ253" s="3236">
        <f t="shared" si="657"/>
        <v>11880277.722496061</v>
      </c>
      <c r="CK253" s="3236">
        <f t="shared" si="658"/>
        <v>0</v>
      </c>
      <c r="CL253" s="3236">
        <f t="shared" si="659"/>
        <v>32215583.277503937</v>
      </c>
      <c r="CM253" s="3264"/>
      <c r="CQ253" s="3235">
        <f t="shared" si="720"/>
        <v>44095861</v>
      </c>
      <c r="CR253" s="3236">
        <f t="shared" si="660"/>
        <v>11880277.722496061</v>
      </c>
      <c r="CS253" s="3236">
        <f t="shared" si="661"/>
        <v>0</v>
      </c>
      <c r="CT253" s="3236">
        <f t="shared" si="662"/>
        <v>32215583.277503937</v>
      </c>
      <c r="CU253" s="3264"/>
      <c r="CY253" s="3235">
        <f t="shared" si="721"/>
        <v>44095861</v>
      </c>
      <c r="CZ253" s="3236">
        <f t="shared" si="663"/>
        <v>11880277.722496061</v>
      </c>
      <c r="DA253" s="3236">
        <f t="shared" si="664"/>
        <v>0</v>
      </c>
      <c r="DB253" s="3236">
        <f t="shared" si="665"/>
        <v>32215583.277503937</v>
      </c>
      <c r="DC253" s="3264"/>
      <c r="DG253" s="3235">
        <f t="shared" si="722"/>
        <v>44095861</v>
      </c>
      <c r="DH253" s="3236">
        <f t="shared" si="666"/>
        <v>11880277.722496061</v>
      </c>
      <c r="DI253" s="3236">
        <f t="shared" si="667"/>
        <v>0</v>
      </c>
      <c r="DJ253" s="3236">
        <f t="shared" si="668"/>
        <v>32215583.277503937</v>
      </c>
      <c r="DK253" s="3264"/>
      <c r="DO253" s="3235">
        <f t="shared" si="723"/>
        <v>44095861</v>
      </c>
      <c r="DP253" s="3236">
        <f t="shared" si="669"/>
        <v>11880277.722496061</v>
      </c>
      <c r="DQ253" s="3236">
        <f t="shared" si="670"/>
        <v>0</v>
      </c>
      <c r="DR253" s="3236">
        <f t="shared" si="671"/>
        <v>32215583.277503937</v>
      </c>
      <c r="DS253" s="3264"/>
      <c r="DW253" s="3235">
        <f t="shared" si="724"/>
        <v>44095861</v>
      </c>
      <c r="DX253" s="3236">
        <f t="shared" si="672"/>
        <v>11880277.722496061</v>
      </c>
      <c r="DY253" s="3236">
        <f t="shared" si="673"/>
        <v>0</v>
      </c>
      <c r="DZ253" s="3236">
        <f t="shared" si="674"/>
        <v>32215583.277503937</v>
      </c>
      <c r="EA253" s="3264"/>
      <c r="EE253" s="3235">
        <f t="shared" si="725"/>
        <v>44095861</v>
      </c>
      <c r="EF253" s="3236">
        <f t="shared" si="675"/>
        <v>11880277.722496061</v>
      </c>
      <c r="EG253" s="3236">
        <f t="shared" si="676"/>
        <v>0</v>
      </c>
      <c r="EH253" s="3236">
        <f t="shared" si="677"/>
        <v>32215583.277503937</v>
      </c>
      <c r="EI253" s="3264"/>
      <c r="EM253" s="3235">
        <f t="shared" si="726"/>
        <v>44095861</v>
      </c>
      <c r="EN253" s="3236">
        <f t="shared" si="678"/>
        <v>11880277.722496061</v>
      </c>
      <c r="EO253" s="3236">
        <f t="shared" si="679"/>
        <v>0</v>
      </c>
      <c r="EP253" s="3236">
        <f t="shared" si="680"/>
        <v>32215583.277503937</v>
      </c>
      <c r="EQ253" s="3264"/>
      <c r="EU253" s="3235">
        <f t="shared" si="727"/>
        <v>44095861</v>
      </c>
      <c r="EV253" s="3236">
        <f t="shared" si="681"/>
        <v>11880277.722496061</v>
      </c>
      <c r="EW253" s="3236">
        <f t="shared" si="682"/>
        <v>0</v>
      </c>
      <c r="EX253" s="3236">
        <f t="shared" si="683"/>
        <v>32215583.277503937</v>
      </c>
      <c r="EY253" s="3264"/>
      <c r="FC253" s="3235">
        <f t="shared" si="728"/>
        <v>44095861</v>
      </c>
      <c r="FD253" s="3236">
        <f t="shared" si="684"/>
        <v>11880277.722496061</v>
      </c>
      <c r="FE253" s="3236">
        <f t="shared" si="685"/>
        <v>0</v>
      </c>
      <c r="FF253" s="3236">
        <f t="shared" si="686"/>
        <v>32215583.277503937</v>
      </c>
      <c r="FG253" s="3264"/>
      <c r="FK253" s="3235">
        <f t="shared" si="729"/>
        <v>44095861</v>
      </c>
      <c r="FL253" s="3236">
        <f t="shared" si="687"/>
        <v>11880277.722496061</v>
      </c>
      <c r="FM253" s="3236">
        <f t="shared" si="688"/>
        <v>0</v>
      </c>
      <c r="FN253" s="3236">
        <f t="shared" si="689"/>
        <v>32215583.277503937</v>
      </c>
      <c r="FO253" s="3264"/>
    </row>
    <row r="254" spans="1:171">
      <c r="A254" s="3477"/>
      <c r="B254" s="2185" t="s">
        <v>563</v>
      </c>
      <c r="C254" s="2464">
        <v>336</v>
      </c>
      <c r="D254" s="2509">
        <v>403.1</v>
      </c>
      <c r="E254" s="2424" t="str">
        <f>'Sch 3 - Expenses'!E94</f>
        <v>DIRECT</v>
      </c>
      <c r="F254" s="2171"/>
      <c r="G254" s="2424">
        <f>'Sch 3 - Expenses'!G94</f>
        <v>3659244</v>
      </c>
      <c r="H254" s="2424">
        <f>'Sch 3 - Expenses'!H94</f>
        <v>3364796</v>
      </c>
      <c r="I254" s="2424">
        <f>'Sch 3 - Expenses'!I94</f>
        <v>0</v>
      </c>
      <c r="J254" s="3465">
        <f>'Sch 3 - Expenses'!J94</f>
        <v>294448</v>
      </c>
      <c r="K254" s="3205">
        <f t="shared" si="629"/>
        <v>0</v>
      </c>
      <c r="O254" s="3235">
        <f t="shared" si="710"/>
        <v>3659244</v>
      </c>
      <c r="P254" s="3236">
        <f t="shared" si="630"/>
        <v>3364796</v>
      </c>
      <c r="Q254" s="3236">
        <f t="shared" si="631"/>
        <v>0</v>
      </c>
      <c r="R254" s="3236">
        <f t="shared" si="632"/>
        <v>294448</v>
      </c>
      <c r="S254" s="3264"/>
      <c r="W254" s="3235">
        <f t="shared" si="711"/>
        <v>3659244</v>
      </c>
      <c r="X254" s="3236">
        <f t="shared" si="633"/>
        <v>3364796</v>
      </c>
      <c r="Y254" s="3236">
        <f t="shared" si="634"/>
        <v>0</v>
      </c>
      <c r="Z254" s="3236">
        <f t="shared" si="635"/>
        <v>294448</v>
      </c>
      <c r="AA254" s="3264"/>
      <c r="AE254" s="3235">
        <f t="shared" si="712"/>
        <v>3659244</v>
      </c>
      <c r="AF254" s="3236">
        <f t="shared" si="636"/>
        <v>3364796</v>
      </c>
      <c r="AG254" s="3236">
        <f t="shared" si="637"/>
        <v>0</v>
      </c>
      <c r="AH254" s="3236">
        <f t="shared" si="638"/>
        <v>294448</v>
      </c>
      <c r="AI254" s="3264"/>
      <c r="AM254" s="3235">
        <f t="shared" si="713"/>
        <v>3659244</v>
      </c>
      <c r="AN254" s="3236">
        <f t="shared" si="639"/>
        <v>3364796</v>
      </c>
      <c r="AO254" s="3236">
        <f t="shared" si="640"/>
        <v>0</v>
      </c>
      <c r="AP254" s="3236">
        <f t="shared" si="641"/>
        <v>294448</v>
      </c>
      <c r="AQ254" s="3264"/>
      <c r="AU254" s="3235">
        <f t="shared" si="714"/>
        <v>3659244</v>
      </c>
      <c r="AV254" s="3236">
        <f t="shared" si="642"/>
        <v>3364796</v>
      </c>
      <c r="AW254" s="3236">
        <f t="shared" si="643"/>
        <v>0</v>
      </c>
      <c r="AX254" s="3236">
        <f t="shared" si="644"/>
        <v>294448</v>
      </c>
      <c r="AY254" s="3264"/>
      <c r="BC254" s="3235">
        <f t="shared" si="715"/>
        <v>3659244</v>
      </c>
      <c r="BD254" s="3236">
        <f t="shared" si="645"/>
        <v>3364796</v>
      </c>
      <c r="BE254" s="3236">
        <f t="shared" si="646"/>
        <v>0</v>
      </c>
      <c r="BF254" s="3236">
        <f t="shared" si="647"/>
        <v>294448</v>
      </c>
      <c r="BG254" s="3264"/>
      <c r="BK254" s="3235">
        <f t="shared" si="716"/>
        <v>3659244</v>
      </c>
      <c r="BL254" s="3236">
        <f t="shared" si="648"/>
        <v>3364796</v>
      </c>
      <c r="BM254" s="3236">
        <f t="shared" si="649"/>
        <v>0</v>
      </c>
      <c r="BN254" s="3236">
        <f t="shared" si="650"/>
        <v>294448</v>
      </c>
      <c r="BO254" s="3264"/>
      <c r="BS254" s="3235">
        <f t="shared" si="717"/>
        <v>3659244</v>
      </c>
      <c r="BT254" s="3236">
        <f t="shared" si="651"/>
        <v>3364796</v>
      </c>
      <c r="BU254" s="3236">
        <f t="shared" si="652"/>
        <v>0</v>
      </c>
      <c r="BV254" s="3236">
        <f t="shared" si="653"/>
        <v>294448</v>
      </c>
      <c r="BW254" s="3264"/>
      <c r="CA254" s="3235">
        <f t="shared" si="718"/>
        <v>3659244</v>
      </c>
      <c r="CB254" s="3236">
        <f t="shared" si="654"/>
        <v>3364796</v>
      </c>
      <c r="CC254" s="3236">
        <f t="shared" si="655"/>
        <v>0</v>
      </c>
      <c r="CD254" s="3236">
        <f t="shared" si="656"/>
        <v>294448</v>
      </c>
      <c r="CE254" s="3264"/>
      <c r="CI254" s="3235">
        <f t="shared" si="719"/>
        <v>3659244</v>
      </c>
      <c r="CJ254" s="3236">
        <f t="shared" si="657"/>
        <v>3364796</v>
      </c>
      <c r="CK254" s="3236">
        <f t="shared" si="658"/>
        <v>0</v>
      </c>
      <c r="CL254" s="3236">
        <f t="shared" si="659"/>
        <v>294448</v>
      </c>
      <c r="CM254" s="3264"/>
      <c r="CQ254" s="3235">
        <f t="shared" si="720"/>
        <v>3659244</v>
      </c>
      <c r="CR254" s="3236">
        <f t="shared" si="660"/>
        <v>3364796</v>
      </c>
      <c r="CS254" s="3236">
        <f t="shared" si="661"/>
        <v>0</v>
      </c>
      <c r="CT254" s="3236">
        <f t="shared" si="662"/>
        <v>294448</v>
      </c>
      <c r="CU254" s="3264"/>
      <c r="CY254" s="3235">
        <f t="shared" si="721"/>
        <v>3659244</v>
      </c>
      <c r="CZ254" s="3236">
        <f t="shared" si="663"/>
        <v>3364796</v>
      </c>
      <c r="DA254" s="3236">
        <f t="shared" si="664"/>
        <v>0</v>
      </c>
      <c r="DB254" s="3236">
        <f t="shared" si="665"/>
        <v>294448</v>
      </c>
      <c r="DC254" s="3264"/>
      <c r="DG254" s="3235">
        <f t="shared" si="722"/>
        <v>3659244</v>
      </c>
      <c r="DH254" s="3236">
        <f t="shared" si="666"/>
        <v>3364796</v>
      </c>
      <c r="DI254" s="3236">
        <f t="shared" si="667"/>
        <v>0</v>
      </c>
      <c r="DJ254" s="3236">
        <f t="shared" si="668"/>
        <v>294448</v>
      </c>
      <c r="DK254" s="3264"/>
      <c r="DO254" s="3235">
        <f t="shared" si="723"/>
        <v>3659244</v>
      </c>
      <c r="DP254" s="3236">
        <f t="shared" si="669"/>
        <v>3364796</v>
      </c>
      <c r="DQ254" s="3236">
        <f t="shared" si="670"/>
        <v>0</v>
      </c>
      <c r="DR254" s="3236">
        <f t="shared" si="671"/>
        <v>294448</v>
      </c>
      <c r="DS254" s="3264"/>
      <c r="DW254" s="3235">
        <f t="shared" si="724"/>
        <v>3659244</v>
      </c>
      <c r="DX254" s="3236">
        <f t="shared" si="672"/>
        <v>3364796</v>
      </c>
      <c r="DY254" s="3236">
        <f t="shared" si="673"/>
        <v>0</v>
      </c>
      <c r="DZ254" s="3236">
        <f t="shared" si="674"/>
        <v>294448</v>
      </c>
      <c r="EA254" s="3264"/>
      <c r="EE254" s="3235">
        <f t="shared" si="725"/>
        <v>3659244</v>
      </c>
      <c r="EF254" s="3236">
        <f t="shared" si="675"/>
        <v>3364796</v>
      </c>
      <c r="EG254" s="3236">
        <f t="shared" si="676"/>
        <v>0</v>
      </c>
      <c r="EH254" s="3236">
        <f t="shared" si="677"/>
        <v>294448</v>
      </c>
      <c r="EI254" s="3264"/>
      <c r="EM254" s="3235">
        <f t="shared" si="726"/>
        <v>3659244</v>
      </c>
      <c r="EN254" s="3236">
        <f t="shared" si="678"/>
        <v>3364796</v>
      </c>
      <c r="EO254" s="3236">
        <f t="shared" si="679"/>
        <v>0</v>
      </c>
      <c r="EP254" s="3236">
        <f t="shared" si="680"/>
        <v>294448</v>
      </c>
      <c r="EQ254" s="3264"/>
      <c r="EU254" s="3235">
        <f t="shared" si="727"/>
        <v>3659244</v>
      </c>
      <c r="EV254" s="3236">
        <f t="shared" si="681"/>
        <v>3364796</v>
      </c>
      <c r="EW254" s="3236">
        <f t="shared" si="682"/>
        <v>0</v>
      </c>
      <c r="EX254" s="3236">
        <f t="shared" si="683"/>
        <v>294448</v>
      </c>
      <c r="EY254" s="3264"/>
      <c r="FC254" s="3235">
        <f t="shared" si="728"/>
        <v>3659244</v>
      </c>
      <c r="FD254" s="3236">
        <f t="shared" si="684"/>
        <v>3364796</v>
      </c>
      <c r="FE254" s="3236">
        <f t="shared" si="685"/>
        <v>0</v>
      </c>
      <c r="FF254" s="3236">
        <f t="shared" si="686"/>
        <v>294448</v>
      </c>
      <c r="FG254" s="3264"/>
      <c r="FK254" s="3235">
        <f t="shared" si="729"/>
        <v>3659244</v>
      </c>
      <c r="FL254" s="3236">
        <f t="shared" si="687"/>
        <v>3364796</v>
      </c>
      <c r="FM254" s="3236">
        <f t="shared" si="688"/>
        <v>0</v>
      </c>
      <c r="FN254" s="3236">
        <f t="shared" si="689"/>
        <v>294448</v>
      </c>
      <c r="FO254" s="3264"/>
    </row>
    <row r="255" spans="1:171">
      <c r="A255" s="3477"/>
      <c r="B255" s="2185" t="s">
        <v>564</v>
      </c>
      <c r="C255" s="2464">
        <v>336</v>
      </c>
      <c r="D255" s="2509">
        <v>404</v>
      </c>
      <c r="E255" s="2424" t="str">
        <f>'Sch 3 - Expenses'!E95</f>
        <v>DIRECT</v>
      </c>
      <c r="F255" s="2171"/>
      <c r="G255" s="2424">
        <f>'Sch 3 - Expenses'!G95</f>
        <v>-0.12000000011175871</v>
      </c>
      <c r="H255" s="2424">
        <f>'Sch 3 - Expenses'!H95</f>
        <v>0</v>
      </c>
      <c r="I255" s="2424">
        <f>'Sch 3 - Expenses'!I95</f>
        <v>0</v>
      </c>
      <c r="J255" s="3465">
        <f>'Sch 3 - Expenses'!J95</f>
        <v>0</v>
      </c>
      <c r="K255" s="3205">
        <f t="shared" si="629"/>
        <v>0</v>
      </c>
      <c r="O255" s="3235">
        <f t="shared" si="710"/>
        <v>-0.12000000011175871</v>
      </c>
      <c r="P255" s="3236">
        <f t="shared" si="630"/>
        <v>0</v>
      </c>
      <c r="Q255" s="3236">
        <f t="shared" si="631"/>
        <v>0</v>
      </c>
      <c r="R255" s="3236">
        <f t="shared" si="632"/>
        <v>-0.12000000011175871</v>
      </c>
      <c r="S255" s="3264"/>
      <c r="W255" s="3235">
        <f t="shared" si="711"/>
        <v>-0.12000000011175871</v>
      </c>
      <c r="X255" s="3236">
        <f t="shared" si="633"/>
        <v>0</v>
      </c>
      <c r="Y255" s="3236">
        <f t="shared" si="634"/>
        <v>0</v>
      </c>
      <c r="Z255" s="3236">
        <f t="shared" si="635"/>
        <v>-0.12000000011175871</v>
      </c>
      <c r="AA255" s="3264"/>
      <c r="AE255" s="3235">
        <f t="shared" si="712"/>
        <v>-0.12000000011175871</v>
      </c>
      <c r="AF255" s="3236">
        <f t="shared" si="636"/>
        <v>0</v>
      </c>
      <c r="AG255" s="3236">
        <f t="shared" si="637"/>
        <v>0</v>
      </c>
      <c r="AH255" s="3236">
        <f t="shared" si="638"/>
        <v>-0.12000000011175871</v>
      </c>
      <c r="AI255" s="3264"/>
      <c r="AM255" s="3235">
        <f t="shared" si="713"/>
        <v>-0.12000000011175871</v>
      </c>
      <c r="AN255" s="3236">
        <f t="shared" si="639"/>
        <v>0</v>
      </c>
      <c r="AO255" s="3236">
        <f t="shared" si="640"/>
        <v>0</v>
      </c>
      <c r="AP255" s="3236">
        <f t="shared" si="641"/>
        <v>-0.12000000011175871</v>
      </c>
      <c r="AQ255" s="3264"/>
      <c r="AU255" s="3235">
        <f t="shared" si="714"/>
        <v>-0.12000000011175871</v>
      </c>
      <c r="AV255" s="3236">
        <f t="shared" si="642"/>
        <v>0</v>
      </c>
      <c r="AW255" s="3236">
        <f t="shared" si="643"/>
        <v>0</v>
      </c>
      <c r="AX255" s="3236">
        <f t="shared" si="644"/>
        <v>-0.12000000011175871</v>
      </c>
      <c r="AY255" s="3264"/>
      <c r="BC255" s="3235">
        <f t="shared" si="715"/>
        <v>-0.12000000011175871</v>
      </c>
      <c r="BD255" s="3236">
        <f t="shared" si="645"/>
        <v>0</v>
      </c>
      <c r="BE255" s="3236">
        <f t="shared" si="646"/>
        <v>0</v>
      </c>
      <c r="BF255" s="3236">
        <f t="shared" si="647"/>
        <v>-0.12000000011175871</v>
      </c>
      <c r="BG255" s="3264"/>
      <c r="BK255" s="3235">
        <f t="shared" si="716"/>
        <v>-0.12000000011175871</v>
      </c>
      <c r="BL255" s="3236">
        <f t="shared" si="648"/>
        <v>0</v>
      </c>
      <c r="BM255" s="3236">
        <f t="shared" si="649"/>
        <v>0</v>
      </c>
      <c r="BN255" s="3236">
        <f t="shared" si="650"/>
        <v>-0.12000000011175871</v>
      </c>
      <c r="BO255" s="3264"/>
      <c r="BS255" s="3235">
        <f t="shared" si="717"/>
        <v>-0.12000000011175871</v>
      </c>
      <c r="BT255" s="3236">
        <f t="shared" si="651"/>
        <v>0</v>
      </c>
      <c r="BU255" s="3236">
        <f t="shared" si="652"/>
        <v>0</v>
      </c>
      <c r="BV255" s="3236">
        <f t="shared" si="653"/>
        <v>-0.12000000011175871</v>
      </c>
      <c r="BW255" s="3264"/>
      <c r="CA255" s="3235">
        <f t="shared" si="718"/>
        <v>-0.12000000011175871</v>
      </c>
      <c r="CB255" s="3236">
        <f t="shared" si="654"/>
        <v>0</v>
      </c>
      <c r="CC255" s="3236">
        <f t="shared" si="655"/>
        <v>0</v>
      </c>
      <c r="CD255" s="3236">
        <f t="shared" si="656"/>
        <v>-0.12000000011175871</v>
      </c>
      <c r="CE255" s="3264"/>
      <c r="CI255" s="3235">
        <f t="shared" si="719"/>
        <v>-0.12000000011175871</v>
      </c>
      <c r="CJ255" s="3236">
        <f t="shared" si="657"/>
        <v>0</v>
      </c>
      <c r="CK255" s="3236">
        <f t="shared" si="658"/>
        <v>0</v>
      </c>
      <c r="CL255" s="3236">
        <f t="shared" si="659"/>
        <v>-0.12000000011175871</v>
      </c>
      <c r="CM255" s="3264"/>
      <c r="CQ255" s="3235">
        <f t="shared" si="720"/>
        <v>-0.12000000011175871</v>
      </c>
      <c r="CR255" s="3236">
        <f t="shared" si="660"/>
        <v>0</v>
      </c>
      <c r="CS255" s="3236">
        <f t="shared" si="661"/>
        <v>0</v>
      </c>
      <c r="CT255" s="3236">
        <f t="shared" si="662"/>
        <v>-0.12000000011175871</v>
      </c>
      <c r="CU255" s="3264"/>
      <c r="CY255" s="3235">
        <f t="shared" si="721"/>
        <v>-0.12000000011175871</v>
      </c>
      <c r="CZ255" s="3236">
        <f t="shared" si="663"/>
        <v>0</v>
      </c>
      <c r="DA255" s="3236">
        <f t="shared" si="664"/>
        <v>0</v>
      </c>
      <c r="DB255" s="3236">
        <f t="shared" si="665"/>
        <v>-0.12000000011175871</v>
      </c>
      <c r="DC255" s="3264"/>
      <c r="DG255" s="3235">
        <f t="shared" si="722"/>
        <v>-0.12000000011175871</v>
      </c>
      <c r="DH255" s="3236">
        <f t="shared" si="666"/>
        <v>0</v>
      </c>
      <c r="DI255" s="3236">
        <f t="shared" si="667"/>
        <v>0</v>
      </c>
      <c r="DJ255" s="3236">
        <f t="shared" si="668"/>
        <v>-0.12000000011175871</v>
      </c>
      <c r="DK255" s="3264"/>
      <c r="DO255" s="3235">
        <f t="shared" si="723"/>
        <v>-0.12000000011175871</v>
      </c>
      <c r="DP255" s="3236">
        <f t="shared" si="669"/>
        <v>0</v>
      </c>
      <c r="DQ255" s="3236">
        <f t="shared" si="670"/>
        <v>0</v>
      </c>
      <c r="DR255" s="3236">
        <f t="shared" si="671"/>
        <v>-0.12000000011175871</v>
      </c>
      <c r="DS255" s="3264"/>
      <c r="DW255" s="3235">
        <f t="shared" si="724"/>
        <v>-0.12000000011175871</v>
      </c>
      <c r="DX255" s="3236">
        <f t="shared" si="672"/>
        <v>0</v>
      </c>
      <c r="DY255" s="3236">
        <f t="shared" si="673"/>
        <v>0</v>
      </c>
      <c r="DZ255" s="3236">
        <f t="shared" si="674"/>
        <v>-0.12000000011175871</v>
      </c>
      <c r="EA255" s="3264"/>
      <c r="EE255" s="3235">
        <f t="shared" si="725"/>
        <v>-0.12000000011175871</v>
      </c>
      <c r="EF255" s="3236">
        <f t="shared" si="675"/>
        <v>0</v>
      </c>
      <c r="EG255" s="3236">
        <f t="shared" si="676"/>
        <v>0</v>
      </c>
      <c r="EH255" s="3236">
        <f t="shared" si="677"/>
        <v>-0.12000000011175871</v>
      </c>
      <c r="EI255" s="3264"/>
      <c r="EM255" s="3235">
        <f t="shared" si="726"/>
        <v>-0.12000000011175871</v>
      </c>
      <c r="EN255" s="3236">
        <f t="shared" si="678"/>
        <v>0</v>
      </c>
      <c r="EO255" s="3236">
        <f t="shared" si="679"/>
        <v>0</v>
      </c>
      <c r="EP255" s="3236">
        <f t="shared" si="680"/>
        <v>-0.12000000011175871</v>
      </c>
      <c r="EQ255" s="3264"/>
      <c r="EU255" s="3235">
        <f t="shared" si="727"/>
        <v>-0.12000000011175871</v>
      </c>
      <c r="EV255" s="3236">
        <f t="shared" si="681"/>
        <v>0</v>
      </c>
      <c r="EW255" s="3236">
        <f t="shared" si="682"/>
        <v>0</v>
      </c>
      <c r="EX255" s="3236">
        <f t="shared" si="683"/>
        <v>-0.12000000011175871</v>
      </c>
      <c r="EY255" s="3264"/>
      <c r="FC255" s="3235">
        <f t="shared" si="728"/>
        <v>-0.12000000011175871</v>
      </c>
      <c r="FD255" s="3236">
        <f t="shared" si="684"/>
        <v>0</v>
      </c>
      <c r="FE255" s="3236">
        <f t="shared" si="685"/>
        <v>0</v>
      </c>
      <c r="FF255" s="3236">
        <f t="shared" si="686"/>
        <v>-0.12000000011175871</v>
      </c>
      <c r="FG255" s="3264"/>
      <c r="FK255" s="3235">
        <f t="shared" si="729"/>
        <v>-0.12000000011175871</v>
      </c>
      <c r="FL255" s="3236">
        <f t="shared" si="687"/>
        <v>0</v>
      </c>
      <c r="FM255" s="3236">
        <f t="shared" si="688"/>
        <v>0</v>
      </c>
      <c r="FN255" s="3236">
        <f t="shared" si="689"/>
        <v>-0.12000000011175871</v>
      </c>
      <c r="FO255" s="3264"/>
    </row>
    <row r="256" spans="1:171">
      <c r="A256" s="3477"/>
      <c r="B256" s="2185" t="s">
        <v>30</v>
      </c>
      <c r="C256" s="2464" t="s">
        <v>69</v>
      </c>
      <c r="D256" s="2509">
        <v>114</v>
      </c>
      <c r="E256" s="2424" t="str">
        <f>'Sch 3 - Expenses'!E96</f>
        <v>DIRECT</v>
      </c>
      <c r="F256" s="2171"/>
      <c r="G256" s="2424">
        <f>'Sch 3 - Expenses'!G96</f>
        <v>43464024</v>
      </c>
      <c r="H256" s="2424">
        <f>'Sch 3 - Expenses'!H96</f>
        <v>7550389.0994674871</v>
      </c>
      <c r="I256" s="2424">
        <f>'Sch 3 - Expenses'!I96</f>
        <v>0</v>
      </c>
      <c r="J256" s="3465">
        <f>'Sch 3 - Expenses'!J96</f>
        <v>35913634.510532513</v>
      </c>
      <c r="K256" s="3205">
        <f t="shared" si="629"/>
        <v>0</v>
      </c>
      <c r="O256" s="3235">
        <f t="shared" si="710"/>
        <v>43464024</v>
      </c>
      <c r="P256" s="3236">
        <f t="shared" si="630"/>
        <v>7550389.0994674871</v>
      </c>
      <c r="Q256" s="3236">
        <f t="shared" si="631"/>
        <v>0</v>
      </c>
      <c r="R256" s="3236">
        <f t="shared" si="632"/>
        <v>35913634.900532514</v>
      </c>
      <c r="S256" s="3264"/>
      <c r="W256" s="3235">
        <f t="shared" si="711"/>
        <v>43464024</v>
      </c>
      <c r="X256" s="3236">
        <f t="shared" si="633"/>
        <v>7550389.0994674871</v>
      </c>
      <c r="Y256" s="3236">
        <f t="shared" si="634"/>
        <v>0</v>
      </c>
      <c r="Z256" s="3236">
        <f t="shared" si="635"/>
        <v>35913634.900532514</v>
      </c>
      <c r="AA256" s="3264"/>
      <c r="AE256" s="3235">
        <f t="shared" si="712"/>
        <v>43464024</v>
      </c>
      <c r="AF256" s="3236">
        <f t="shared" si="636"/>
        <v>7550389.0994674871</v>
      </c>
      <c r="AG256" s="3236">
        <f t="shared" si="637"/>
        <v>0</v>
      </c>
      <c r="AH256" s="3236">
        <f t="shared" si="638"/>
        <v>35913634.900532514</v>
      </c>
      <c r="AI256" s="3264"/>
      <c r="AM256" s="3235">
        <f t="shared" si="713"/>
        <v>43464024</v>
      </c>
      <c r="AN256" s="3236">
        <f t="shared" si="639"/>
        <v>7550389.0994674871</v>
      </c>
      <c r="AO256" s="3236">
        <f t="shared" si="640"/>
        <v>0</v>
      </c>
      <c r="AP256" s="3236">
        <f t="shared" si="641"/>
        <v>35913634.900532514</v>
      </c>
      <c r="AQ256" s="3264"/>
      <c r="AU256" s="3235">
        <f t="shared" si="714"/>
        <v>43464024</v>
      </c>
      <c r="AV256" s="3236">
        <f t="shared" si="642"/>
        <v>7550389.0994674871</v>
      </c>
      <c r="AW256" s="3236">
        <f t="shared" si="643"/>
        <v>0</v>
      </c>
      <c r="AX256" s="3236">
        <f t="shared" si="644"/>
        <v>35913634.900532514</v>
      </c>
      <c r="AY256" s="3264"/>
      <c r="BC256" s="3235">
        <f t="shared" si="715"/>
        <v>43464024</v>
      </c>
      <c r="BD256" s="3236">
        <f t="shared" si="645"/>
        <v>7550389.0994674871</v>
      </c>
      <c r="BE256" s="3236">
        <f t="shared" si="646"/>
        <v>0</v>
      </c>
      <c r="BF256" s="3236">
        <f t="shared" si="647"/>
        <v>35913634.900532514</v>
      </c>
      <c r="BG256" s="3264"/>
      <c r="BK256" s="3235">
        <f t="shared" si="716"/>
        <v>43464024</v>
      </c>
      <c r="BL256" s="3236">
        <f t="shared" si="648"/>
        <v>7550389.0994674871</v>
      </c>
      <c r="BM256" s="3236">
        <f t="shared" si="649"/>
        <v>0</v>
      </c>
      <c r="BN256" s="3236">
        <f t="shared" si="650"/>
        <v>35913634.900532514</v>
      </c>
      <c r="BO256" s="3264"/>
      <c r="BS256" s="3235">
        <f t="shared" si="717"/>
        <v>43464024</v>
      </c>
      <c r="BT256" s="3236">
        <f t="shared" si="651"/>
        <v>7550389.0994674871</v>
      </c>
      <c r="BU256" s="3236">
        <f t="shared" si="652"/>
        <v>0</v>
      </c>
      <c r="BV256" s="3236">
        <f t="shared" si="653"/>
        <v>35913634.900532514</v>
      </c>
      <c r="BW256" s="3264"/>
      <c r="CA256" s="3235">
        <f t="shared" si="718"/>
        <v>43464024</v>
      </c>
      <c r="CB256" s="3236">
        <f t="shared" si="654"/>
        <v>7550389.0994674871</v>
      </c>
      <c r="CC256" s="3236">
        <f t="shared" si="655"/>
        <v>0</v>
      </c>
      <c r="CD256" s="3236">
        <f t="shared" si="656"/>
        <v>35913634.900532514</v>
      </c>
      <c r="CE256" s="3264"/>
      <c r="CI256" s="3235">
        <f t="shared" si="719"/>
        <v>43464024</v>
      </c>
      <c r="CJ256" s="3236">
        <f t="shared" si="657"/>
        <v>7550389.0994674871</v>
      </c>
      <c r="CK256" s="3236">
        <f t="shared" si="658"/>
        <v>0</v>
      </c>
      <c r="CL256" s="3236">
        <f t="shared" si="659"/>
        <v>35913634.900532514</v>
      </c>
      <c r="CM256" s="3264"/>
      <c r="CQ256" s="3235">
        <f t="shared" si="720"/>
        <v>43464024</v>
      </c>
      <c r="CR256" s="3236">
        <f t="shared" si="660"/>
        <v>7550389.0994674871</v>
      </c>
      <c r="CS256" s="3236">
        <f t="shared" si="661"/>
        <v>0</v>
      </c>
      <c r="CT256" s="3236">
        <f t="shared" si="662"/>
        <v>35913634.900532514</v>
      </c>
      <c r="CU256" s="3264"/>
      <c r="CY256" s="3235">
        <f t="shared" si="721"/>
        <v>43464024</v>
      </c>
      <c r="CZ256" s="3236">
        <f t="shared" si="663"/>
        <v>7550389.0994674871</v>
      </c>
      <c r="DA256" s="3236">
        <f t="shared" si="664"/>
        <v>0</v>
      </c>
      <c r="DB256" s="3236">
        <f t="shared" si="665"/>
        <v>35913634.900532514</v>
      </c>
      <c r="DC256" s="3264"/>
      <c r="DG256" s="3235">
        <f t="shared" si="722"/>
        <v>43464024</v>
      </c>
      <c r="DH256" s="3236">
        <f t="shared" si="666"/>
        <v>7550389.0994674871</v>
      </c>
      <c r="DI256" s="3236">
        <f t="shared" si="667"/>
        <v>0</v>
      </c>
      <c r="DJ256" s="3236">
        <f t="shared" si="668"/>
        <v>35913634.900532514</v>
      </c>
      <c r="DK256" s="3264"/>
      <c r="DO256" s="3235">
        <f t="shared" si="723"/>
        <v>43464024</v>
      </c>
      <c r="DP256" s="3236">
        <f t="shared" si="669"/>
        <v>7550389.0994674871</v>
      </c>
      <c r="DQ256" s="3236">
        <f t="shared" si="670"/>
        <v>0</v>
      </c>
      <c r="DR256" s="3236">
        <f t="shared" si="671"/>
        <v>35913634.900532514</v>
      </c>
      <c r="DS256" s="3264"/>
      <c r="DW256" s="3235">
        <f t="shared" si="724"/>
        <v>43464024</v>
      </c>
      <c r="DX256" s="3236">
        <f t="shared" si="672"/>
        <v>7550389.0994674871</v>
      </c>
      <c r="DY256" s="3236">
        <f t="shared" si="673"/>
        <v>0</v>
      </c>
      <c r="DZ256" s="3236">
        <f t="shared" si="674"/>
        <v>35913634.900532514</v>
      </c>
      <c r="EA256" s="3264"/>
      <c r="EE256" s="3235">
        <f t="shared" si="725"/>
        <v>43464024</v>
      </c>
      <c r="EF256" s="3236">
        <f t="shared" si="675"/>
        <v>7550389.0994674871</v>
      </c>
      <c r="EG256" s="3236">
        <f t="shared" si="676"/>
        <v>0</v>
      </c>
      <c r="EH256" s="3236">
        <f t="shared" si="677"/>
        <v>35913634.900532514</v>
      </c>
      <c r="EI256" s="3264"/>
      <c r="EM256" s="3235">
        <f t="shared" si="726"/>
        <v>43464024</v>
      </c>
      <c r="EN256" s="3236">
        <f t="shared" si="678"/>
        <v>7550389.0994674871</v>
      </c>
      <c r="EO256" s="3236">
        <f t="shared" si="679"/>
        <v>0</v>
      </c>
      <c r="EP256" s="3236">
        <f t="shared" si="680"/>
        <v>35913634.900532514</v>
      </c>
      <c r="EQ256" s="3264"/>
      <c r="EU256" s="3235">
        <f t="shared" si="727"/>
        <v>43464024</v>
      </c>
      <c r="EV256" s="3236">
        <f t="shared" si="681"/>
        <v>7550389.0994674871</v>
      </c>
      <c r="EW256" s="3236">
        <f t="shared" si="682"/>
        <v>0</v>
      </c>
      <c r="EX256" s="3236">
        <f t="shared" si="683"/>
        <v>35913634.900532514</v>
      </c>
      <c r="EY256" s="3264"/>
      <c r="FC256" s="3235">
        <f t="shared" si="728"/>
        <v>43464024</v>
      </c>
      <c r="FD256" s="3236">
        <f t="shared" si="684"/>
        <v>7550389.0994674871</v>
      </c>
      <c r="FE256" s="3236">
        <f t="shared" si="685"/>
        <v>0</v>
      </c>
      <c r="FF256" s="3236">
        <f t="shared" si="686"/>
        <v>35913634.900532514</v>
      </c>
      <c r="FG256" s="3264"/>
      <c r="FK256" s="3235">
        <f t="shared" si="729"/>
        <v>43464024</v>
      </c>
      <c r="FL256" s="3236">
        <f t="shared" si="687"/>
        <v>7550389.0994674871</v>
      </c>
      <c r="FM256" s="3236">
        <f t="shared" si="688"/>
        <v>0</v>
      </c>
      <c r="FN256" s="3236">
        <f t="shared" si="689"/>
        <v>35913634.900532514</v>
      </c>
      <c r="FO256" s="3264"/>
    </row>
    <row r="257" spans="1:171">
      <c r="A257" s="2091" t="s">
        <v>470</v>
      </c>
      <c r="B257" s="2097"/>
      <c r="C257" s="3256"/>
      <c r="D257" s="3257"/>
      <c r="E257" s="3257"/>
      <c r="F257" s="3258"/>
      <c r="G257" s="3265">
        <f>SUM(G241:G256)</f>
        <v>497853857.06999999</v>
      </c>
      <c r="H257" s="3265">
        <f>SUM(H241:H256)</f>
        <v>187799543.10118124</v>
      </c>
      <c r="I257" s="3265">
        <f>SUM(I241:I256)</f>
        <v>0</v>
      </c>
      <c r="J257" s="3474">
        <f>SUM(J241:J256)</f>
        <v>310054313.69876927</v>
      </c>
      <c r="K257" s="3205"/>
      <c r="O257" s="3331">
        <f>SUM(O241:O256)</f>
        <v>497853857.06999999</v>
      </c>
      <c r="P257" s="3331">
        <f>SUM(P241:P256)</f>
        <v>187799543.10118124</v>
      </c>
      <c r="Q257" s="3331">
        <f>SUM(Q241:Q256)</f>
        <v>39890124.356843993</v>
      </c>
      <c r="R257" s="3331">
        <f>SUM(R241:R256)</f>
        <v>270164189.61197472</v>
      </c>
      <c r="S257" s="3264"/>
      <c r="W257" s="3331">
        <f>SUM(W241:W256)</f>
        <v>497853857.06999999</v>
      </c>
      <c r="X257" s="3331">
        <f>SUM(X241:X256)</f>
        <v>187799543.10118124</v>
      </c>
      <c r="Y257" s="3331">
        <f>SUM(Y241:Y256)</f>
        <v>39890124.356843993</v>
      </c>
      <c r="Z257" s="3331">
        <f>SUM(Z241:Z256)</f>
        <v>270164189.61197472</v>
      </c>
      <c r="AA257" s="3264"/>
      <c r="AE257" s="3331">
        <f>SUM(AE241:AE256)</f>
        <v>497853857.06999999</v>
      </c>
      <c r="AF257" s="3331">
        <f>SUM(AF241:AF256)</f>
        <v>187799543.10118124</v>
      </c>
      <c r="AG257" s="3331">
        <f>SUM(AG241:AG256)</f>
        <v>39890124.356843993</v>
      </c>
      <c r="AH257" s="3331">
        <f>SUM(AH241:AH256)</f>
        <v>270164189.61197472</v>
      </c>
      <c r="AI257" s="3264"/>
      <c r="AM257" s="3331">
        <f>SUM(AM241:AM256)</f>
        <v>497853857.06999999</v>
      </c>
      <c r="AN257" s="3331">
        <f>SUM(AN241:AN256)</f>
        <v>187799543.10118124</v>
      </c>
      <c r="AO257" s="3331">
        <f>SUM(AO241:AO256)</f>
        <v>39890124.356843993</v>
      </c>
      <c r="AP257" s="3331">
        <f>SUM(AP241:AP256)</f>
        <v>270164189.61197472</v>
      </c>
      <c r="AQ257" s="3264"/>
      <c r="AU257" s="3331">
        <f>SUM(AU241:AU256)</f>
        <v>497853857.06999999</v>
      </c>
      <c r="AV257" s="3331">
        <f>SUM(AV241:AV256)</f>
        <v>187799543.10118124</v>
      </c>
      <c r="AW257" s="3331">
        <f>SUM(AW241:AW256)</f>
        <v>39890124.356843993</v>
      </c>
      <c r="AX257" s="3331">
        <f>SUM(AX241:AX256)</f>
        <v>270164189.61197472</v>
      </c>
      <c r="AY257" s="3264"/>
      <c r="BC257" s="3331">
        <f>SUM(BC241:BC256)</f>
        <v>497853857.06999999</v>
      </c>
      <c r="BD257" s="3331">
        <f>SUM(BD241:BD256)</f>
        <v>187799543.10118124</v>
      </c>
      <c r="BE257" s="3331">
        <f>SUM(BE241:BE256)</f>
        <v>39890124.356843993</v>
      </c>
      <c r="BF257" s="3331">
        <f>SUM(BF241:BF256)</f>
        <v>270164189.61197472</v>
      </c>
      <c r="BG257" s="3264"/>
      <c r="BK257" s="3331">
        <f>SUM(BK241:BK256)</f>
        <v>497853857.06999999</v>
      </c>
      <c r="BL257" s="3331">
        <f>SUM(BL241:BL256)</f>
        <v>187799543.10118124</v>
      </c>
      <c r="BM257" s="3331">
        <f>SUM(BM241:BM256)</f>
        <v>39890124.356843993</v>
      </c>
      <c r="BN257" s="3331">
        <f>SUM(BN241:BN256)</f>
        <v>270164189.61197472</v>
      </c>
      <c r="BO257" s="3264"/>
      <c r="BS257" s="3331">
        <f>SUM(BS241:BS256)</f>
        <v>497853857.06999999</v>
      </c>
      <c r="BT257" s="3331">
        <f>SUM(BT241:BT256)</f>
        <v>187799543.10118124</v>
      </c>
      <c r="BU257" s="3331">
        <f>SUM(BU241:BU256)</f>
        <v>39890124.356843993</v>
      </c>
      <c r="BV257" s="3331">
        <f>SUM(BV241:BV256)</f>
        <v>270164189.61197472</v>
      </c>
      <c r="BW257" s="3264"/>
      <c r="CA257" s="3331">
        <f>SUM(CA241:CA256)</f>
        <v>497853857.06999999</v>
      </c>
      <c r="CB257" s="3331">
        <f>SUM(CB241:CB256)</f>
        <v>187799543.10118124</v>
      </c>
      <c r="CC257" s="3331">
        <f>SUM(CC241:CC256)</f>
        <v>39890124.356843993</v>
      </c>
      <c r="CD257" s="3331">
        <f>SUM(CD241:CD256)</f>
        <v>270164189.61197472</v>
      </c>
      <c r="CE257" s="3264"/>
      <c r="CI257" s="3331">
        <f>SUM(CI241:CI256)</f>
        <v>497853857.06999999</v>
      </c>
      <c r="CJ257" s="3331">
        <f>SUM(CJ241:CJ256)</f>
        <v>187799543.10118124</v>
      </c>
      <c r="CK257" s="3331">
        <f>SUM(CK241:CK256)</f>
        <v>39890124.356843993</v>
      </c>
      <c r="CL257" s="3331">
        <f>SUM(CL241:CL256)</f>
        <v>270164189.61197472</v>
      </c>
      <c r="CM257" s="3264"/>
      <c r="CQ257" s="3331">
        <f>SUM(CQ241:CQ256)</f>
        <v>497853857.06999999</v>
      </c>
      <c r="CR257" s="3331">
        <f>SUM(CR241:CR256)</f>
        <v>187799543.10118124</v>
      </c>
      <c r="CS257" s="3331">
        <f>SUM(CS241:CS256)</f>
        <v>39890124.356843993</v>
      </c>
      <c r="CT257" s="3331">
        <f>SUM(CT241:CT256)</f>
        <v>270164189.61197472</v>
      </c>
      <c r="CU257" s="3264"/>
      <c r="CY257" s="3331">
        <f>SUM(CY241:CY256)</f>
        <v>497853857.06999999</v>
      </c>
      <c r="CZ257" s="3331">
        <f>SUM(CZ241:CZ256)</f>
        <v>187799543.10118124</v>
      </c>
      <c r="DA257" s="3331">
        <f>SUM(DA241:DA256)</f>
        <v>39890124.356843993</v>
      </c>
      <c r="DB257" s="3331">
        <f>SUM(DB241:DB256)</f>
        <v>270164189.61197472</v>
      </c>
      <c r="DC257" s="3264"/>
      <c r="DG257" s="3331">
        <f>SUM(DG241:DG256)</f>
        <v>497853857.06999999</v>
      </c>
      <c r="DH257" s="3331">
        <f>SUM(DH241:DH256)</f>
        <v>187799543.10118124</v>
      </c>
      <c r="DI257" s="3331">
        <f>SUM(DI241:DI256)</f>
        <v>39890124.356843993</v>
      </c>
      <c r="DJ257" s="3331">
        <f>SUM(DJ241:DJ256)</f>
        <v>270164189.61197472</v>
      </c>
      <c r="DK257" s="3264"/>
      <c r="DO257" s="3331">
        <f>SUM(DO241:DO256)</f>
        <v>497853857.06999999</v>
      </c>
      <c r="DP257" s="3331">
        <f>SUM(DP241:DP256)</f>
        <v>187799543.10118124</v>
      </c>
      <c r="DQ257" s="3331">
        <f>SUM(DQ241:DQ256)</f>
        <v>39890124.356843993</v>
      </c>
      <c r="DR257" s="3331">
        <f>SUM(DR241:DR256)</f>
        <v>270164189.61197472</v>
      </c>
      <c r="DS257" s="3264"/>
      <c r="DW257" s="3331">
        <f>SUM(DW241:DW256)</f>
        <v>497853857.06999999</v>
      </c>
      <c r="DX257" s="3331">
        <f>SUM(DX241:DX256)</f>
        <v>187799543.10118124</v>
      </c>
      <c r="DY257" s="3331">
        <f>SUM(DY241:DY256)</f>
        <v>39890124.356843993</v>
      </c>
      <c r="DZ257" s="3331">
        <f>SUM(DZ241:DZ256)</f>
        <v>270164189.61197472</v>
      </c>
      <c r="EA257" s="3264"/>
      <c r="EE257" s="3331">
        <f>SUM(EE241:EE256)</f>
        <v>497853857.06999999</v>
      </c>
      <c r="EF257" s="3331">
        <f>SUM(EF241:EF256)</f>
        <v>187799543.10118124</v>
      </c>
      <c r="EG257" s="3331">
        <f>SUM(EG241:EG256)</f>
        <v>39890124.356843993</v>
      </c>
      <c r="EH257" s="3331">
        <f>SUM(EH241:EH256)</f>
        <v>270164189.61197472</v>
      </c>
      <c r="EI257" s="3264"/>
      <c r="EM257" s="3331">
        <f>SUM(EM241:EM256)</f>
        <v>497853857.06999999</v>
      </c>
      <c r="EN257" s="3331">
        <f>SUM(EN241:EN256)</f>
        <v>187799543.10118124</v>
      </c>
      <c r="EO257" s="3331">
        <f>SUM(EO241:EO256)</f>
        <v>39890124.356843993</v>
      </c>
      <c r="EP257" s="3331">
        <f>SUM(EP241:EP256)</f>
        <v>270164189.61197472</v>
      </c>
      <c r="EQ257" s="3264"/>
      <c r="EU257" s="3331">
        <f>SUM(EU241:EU256)</f>
        <v>497853857.06999999</v>
      </c>
      <c r="EV257" s="3331">
        <f>SUM(EV241:EV256)</f>
        <v>187799543.10118124</v>
      </c>
      <c r="EW257" s="3331">
        <f>SUM(EW241:EW256)</f>
        <v>39890124.356843993</v>
      </c>
      <c r="EX257" s="3331">
        <f>SUM(EX241:EX256)</f>
        <v>270164189.61197472</v>
      </c>
      <c r="EY257" s="3264"/>
      <c r="FC257" s="3331">
        <f>SUM(FC241:FC256)</f>
        <v>497853857.06999999</v>
      </c>
      <c r="FD257" s="3331">
        <f>SUM(FD241:FD256)</f>
        <v>187799543.10118124</v>
      </c>
      <c r="FE257" s="3331">
        <f>SUM(FE241:FE256)</f>
        <v>39890124.356843993</v>
      </c>
      <c r="FF257" s="3331">
        <f>SUM(FF241:FF256)</f>
        <v>270164189.61197472</v>
      </c>
      <c r="FG257" s="3264"/>
      <c r="FK257" s="3331">
        <f>SUM(FK241:FK256)</f>
        <v>497853857.06999999</v>
      </c>
      <c r="FL257" s="3331">
        <f>SUM(FL241:FL256)</f>
        <v>187799543.10118124</v>
      </c>
      <c r="FM257" s="3331">
        <f>SUM(FM241:FM256)</f>
        <v>39890124.356843993</v>
      </c>
      <c r="FN257" s="3331">
        <f>SUM(FN241:FN256)</f>
        <v>270164189.61197472</v>
      </c>
      <c r="FO257" s="3264"/>
    </row>
    <row r="258" spans="1:171">
      <c r="A258" s="2091"/>
      <c r="B258" s="2097"/>
      <c r="C258" s="2116"/>
      <c r="D258" s="2098"/>
      <c r="E258" s="2097"/>
      <c r="F258" s="2097"/>
      <c r="G258" s="3346"/>
      <c r="H258" s="2513"/>
      <c r="I258" s="2513"/>
      <c r="J258" s="3514"/>
      <c r="K258" s="3205"/>
      <c r="S258" s="3264"/>
      <c r="AA258" s="3264"/>
      <c r="AI258" s="3264"/>
      <c r="AQ258" s="3264"/>
      <c r="AY258" s="3264"/>
      <c r="BG258" s="3264"/>
      <c r="BO258" s="3264"/>
      <c r="BW258" s="3264"/>
      <c r="CE258" s="3264"/>
      <c r="CM258" s="3264"/>
      <c r="CU258" s="3264"/>
      <c r="DC258" s="3264"/>
      <c r="DK258" s="3264"/>
      <c r="DS258" s="3264"/>
      <c r="EA258" s="3264"/>
      <c r="EI258" s="3264"/>
      <c r="EQ258" s="3264"/>
      <c r="EY258" s="3264"/>
      <c r="FG258" s="3264"/>
      <c r="FO258" s="3264"/>
    </row>
    <row r="259" spans="1:171">
      <c r="A259" s="3489"/>
      <c r="B259" s="2290"/>
      <c r="C259" s="2290"/>
      <c r="D259" s="2290"/>
      <c r="E259" s="2290"/>
      <c r="F259" s="2290"/>
      <c r="G259" s="2506"/>
      <c r="J259" s="3453"/>
      <c r="K259" s="3205"/>
      <c r="S259" s="3264"/>
      <c r="AA259" s="3264"/>
      <c r="AI259" s="3264"/>
      <c r="AQ259" s="3264"/>
      <c r="AY259" s="3264"/>
      <c r="BG259" s="3264"/>
      <c r="BO259" s="3264"/>
      <c r="BW259" s="3264"/>
      <c r="CE259" s="3264"/>
      <c r="CM259" s="3264"/>
      <c r="CU259" s="3264"/>
      <c r="DC259" s="3264"/>
      <c r="DK259" s="3264"/>
      <c r="DS259" s="3264"/>
      <c r="EA259" s="3264"/>
      <c r="EI259" s="3264"/>
      <c r="EQ259" s="3264"/>
      <c r="EY259" s="3264"/>
      <c r="FG259" s="3264"/>
      <c r="FO259" s="3264"/>
    </row>
    <row r="260" spans="1:171">
      <c r="A260" s="2091" t="s">
        <v>50</v>
      </c>
      <c r="B260" s="2100"/>
      <c r="C260" s="3256"/>
      <c r="D260" s="3257"/>
      <c r="E260" s="3257"/>
      <c r="F260" s="3258"/>
      <c r="G260" s="3265">
        <f>G237+G257</f>
        <v>2931166699.0700002</v>
      </c>
      <c r="H260" s="3265">
        <f>H237+H257</f>
        <v>2250420319.9548378</v>
      </c>
      <c r="I260" s="3265">
        <f>I237+I257</f>
        <v>0</v>
      </c>
      <c r="J260" s="3474">
        <f>J237+J257</f>
        <v>680746379.22390342</v>
      </c>
      <c r="K260" s="3205"/>
      <c r="O260" s="3336">
        <f>O237+O257</f>
        <v>2931166699.0700002</v>
      </c>
      <c r="P260" s="3336">
        <f>P237+P257</f>
        <v>2250420319.9548378</v>
      </c>
      <c r="Q260" s="3336">
        <f>Q237+Q257</f>
        <v>76289071.233353645</v>
      </c>
      <c r="R260" s="3336">
        <f>R237+R257</f>
        <v>604457307.8818084</v>
      </c>
      <c r="S260" s="3264"/>
      <c r="W260" s="3336">
        <f>W237+W257</f>
        <v>2931166699.0700002</v>
      </c>
      <c r="X260" s="3336">
        <f>X237+X257</f>
        <v>2250420319.9548378</v>
      </c>
      <c r="Y260" s="3336">
        <f>Y237+Y257</f>
        <v>76289071.233353645</v>
      </c>
      <c r="Z260" s="3336">
        <f>Z237+Z257</f>
        <v>604457307.8818084</v>
      </c>
      <c r="AA260" s="3264"/>
      <c r="AE260" s="3336">
        <f>AE237+AE257</f>
        <v>2931166699.0700002</v>
      </c>
      <c r="AF260" s="3336">
        <f>AF237+AF257</f>
        <v>2250420319.9548378</v>
      </c>
      <c r="AG260" s="3336">
        <f>AG237+AG257</f>
        <v>76289071.233353645</v>
      </c>
      <c r="AH260" s="3336">
        <f>AH237+AH257</f>
        <v>604457307.8818084</v>
      </c>
      <c r="AI260" s="3264"/>
      <c r="AM260" s="3336">
        <f>AM237+AM257</f>
        <v>2931166699.0700002</v>
      </c>
      <c r="AN260" s="3336">
        <f>AN237+AN257</f>
        <v>2250420319.9548378</v>
      </c>
      <c r="AO260" s="3336">
        <f>AO237+AO257</f>
        <v>76289071.233353645</v>
      </c>
      <c r="AP260" s="3336">
        <f>AP237+AP257</f>
        <v>604457307.8818084</v>
      </c>
      <c r="AQ260" s="3264"/>
      <c r="AU260" s="3336">
        <f>AU237+AU257</f>
        <v>2931166699.0700002</v>
      </c>
      <c r="AV260" s="3336">
        <f>AV237+AV257</f>
        <v>2250420319.9548378</v>
      </c>
      <c r="AW260" s="3336">
        <f>AW237+AW257</f>
        <v>76289071.233353645</v>
      </c>
      <c r="AX260" s="3336">
        <f>AX237+AX257</f>
        <v>604457307.8818084</v>
      </c>
      <c r="AY260" s="3264"/>
      <c r="BC260" s="3336">
        <f>BC237+BC257</f>
        <v>2931166699.0700002</v>
      </c>
      <c r="BD260" s="3336">
        <f>BD237+BD257</f>
        <v>2250420319.9548378</v>
      </c>
      <c r="BE260" s="3336">
        <f>BE237+BE257</f>
        <v>76289071.233353645</v>
      </c>
      <c r="BF260" s="3336">
        <f>BF237+BF257</f>
        <v>604457307.8818084</v>
      </c>
      <c r="BG260" s="3264"/>
      <c r="BK260" s="3336">
        <f>BK237+BK257</f>
        <v>2931166699.0700002</v>
      </c>
      <c r="BL260" s="3336">
        <f>BL237+BL257</f>
        <v>2250420319.9548378</v>
      </c>
      <c r="BM260" s="3336">
        <f>BM237+BM257</f>
        <v>76289071.233353645</v>
      </c>
      <c r="BN260" s="3336">
        <f>BN237+BN257</f>
        <v>604457307.8818084</v>
      </c>
      <c r="BO260" s="3264"/>
      <c r="BS260" s="3336">
        <f>BS237+BS257</f>
        <v>2931166699.0700002</v>
      </c>
      <c r="BT260" s="3336">
        <f>BT237+BT257</f>
        <v>2250420319.9548378</v>
      </c>
      <c r="BU260" s="3336">
        <f>BU237+BU257</f>
        <v>76289071.233353645</v>
      </c>
      <c r="BV260" s="3336">
        <f>BV237+BV257</f>
        <v>604457307.8818084</v>
      </c>
      <c r="BW260" s="3264"/>
      <c r="CA260" s="3336">
        <f>CA237+CA257</f>
        <v>2931166699.0700002</v>
      </c>
      <c r="CB260" s="3336">
        <f>CB237+CB257</f>
        <v>2250420319.9548378</v>
      </c>
      <c r="CC260" s="3336">
        <f>CC237+CC257</f>
        <v>76289071.233353645</v>
      </c>
      <c r="CD260" s="3336">
        <f>CD237+CD257</f>
        <v>604457307.8818084</v>
      </c>
      <c r="CE260" s="3264"/>
      <c r="CI260" s="3336">
        <f>CI237+CI257</f>
        <v>2931166699.0700002</v>
      </c>
      <c r="CJ260" s="3336">
        <f>CJ237+CJ257</f>
        <v>2250420319.9548378</v>
      </c>
      <c r="CK260" s="3336">
        <f>CK237+CK257</f>
        <v>76289071.233353645</v>
      </c>
      <c r="CL260" s="3336">
        <f>CL237+CL257</f>
        <v>604457307.8818084</v>
      </c>
      <c r="CM260" s="3264"/>
      <c r="CQ260" s="3336">
        <f>CQ237+CQ257</f>
        <v>2931166699.0700002</v>
      </c>
      <c r="CR260" s="3336">
        <f>CR237+CR257</f>
        <v>2250420319.9548378</v>
      </c>
      <c r="CS260" s="3336">
        <f>CS237+CS257</f>
        <v>76289071.233353645</v>
      </c>
      <c r="CT260" s="3336">
        <f>CT237+CT257</f>
        <v>604457307.8818084</v>
      </c>
      <c r="CU260" s="3264"/>
      <c r="CY260" s="3336">
        <f>CY237+CY257</f>
        <v>2931166699.0700002</v>
      </c>
      <c r="CZ260" s="3336">
        <f>CZ237+CZ257</f>
        <v>2250420319.9548378</v>
      </c>
      <c r="DA260" s="3336">
        <f>DA237+DA257</f>
        <v>76289071.233353645</v>
      </c>
      <c r="DB260" s="3336">
        <f>DB237+DB257</f>
        <v>604457307.8818084</v>
      </c>
      <c r="DC260" s="3264"/>
      <c r="DG260" s="3336">
        <f>DG237+DG257</f>
        <v>2931166699.0700002</v>
      </c>
      <c r="DH260" s="3336">
        <f>DH237+DH257</f>
        <v>2250420319.9548378</v>
      </c>
      <c r="DI260" s="3336">
        <f>DI237+DI257</f>
        <v>76289071.233353645</v>
      </c>
      <c r="DJ260" s="3336">
        <f>DJ237+DJ257</f>
        <v>604457307.8818084</v>
      </c>
      <c r="DK260" s="3264"/>
      <c r="DO260" s="3336">
        <f>DO237+DO257</f>
        <v>2931166699.0700002</v>
      </c>
      <c r="DP260" s="3336">
        <f>DP237+DP257</f>
        <v>2250420319.9548378</v>
      </c>
      <c r="DQ260" s="3336">
        <f>DQ237+DQ257</f>
        <v>76289071.233353645</v>
      </c>
      <c r="DR260" s="3336">
        <f>DR237+DR257</f>
        <v>604457307.8818084</v>
      </c>
      <c r="DS260" s="3264"/>
      <c r="DW260" s="3336">
        <f>DW237+DW257</f>
        <v>2931166699.0700002</v>
      </c>
      <c r="DX260" s="3336">
        <f>DX237+DX257</f>
        <v>2250420319.9548378</v>
      </c>
      <c r="DY260" s="3336">
        <f>DY237+DY257</f>
        <v>76289071.233353645</v>
      </c>
      <c r="DZ260" s="3336">
        <f>DZ237+DZ257</f>
        <v>604457307.8818084</v>
      </c>
      <c r="EA260" s="3264"/>
      <c r="EE260" s="3336">
        <f>EE237+EE257</f>
        <v>2931166699.0700002</v>
      </c>
      <c r="EF260" s="3336">
        <f>EF237+EF257</f>
        <v>2250420319.9548378</v>
      </c>
      <c r="EG260" s="3336">
        <f>EG237+EG257</f>
        <v>76289071.233353645</v>
      </c>
      <c r="EH260" s="3336">
        <f>EH237+EH257</f>
        <v>604457307.8818084</v>
      </c>
      <c r="EI260" s="3264"/>
      <c r="EM260" s="3336">
        <f>EM237+EM257</f>
        <v>2931166699.0700002</v>
      </c>
      <c r="EN260" s="3336">
        <f>EN237+EN257</f>
        <v>2250420319.9548378</v>
      </c>
      <c r="EO260" s="3336">
        <f>EO237+EO257</f>
        <v>76289071.233353645</v>
      </c>
      <c r="EP260" s="3336">
        <f>EP237+EP257</f>
        <v>604457307.8818084</v>
      </c>
      <c r="EQ260" s="3264"/>
      <c r="EU260" s="3336">
        <f>EU237+EU257</f>
        <v>2931166699.0700002</v>
      </c>
      <c r="EV260" s="3336">
        <f>EV237+EV257</f>
        <v>2250420319.9548378</v>
      </c>
      <c r="EW260" s="3336">
        <f>EW237+EW257</f>
        <v>76289071.233353645</v>
      </c>
      <c r="EX260" s="3336">
        <f>EX237+EX257</f>
        <v>604457307.8818084</v>
      </c>
      <c r="EY260" s="3264"/>
      <c r="FC260" s="3336">
        <f>FC237+FC257</f>
        <v>2931166699.0700002</v>
      </c>
      <c r="FD260" s="3336">
        <f>FD237+FD257</f>
        <v>2250420319.9548378</v>
      </c>
      <c r="FE260" s="3336">
        <f>FE237+FE257</f>
        <v>76289071.233353645</v>
      </c>
      <c r="FF260" s="3336">
        <f>FF237+FF257</f>
        <v>604457307.8818084</v>
      </c>
      <c r="FG260" s="3264"/>
      <c r="FK260" s="3336">
        <f>FK237+FK257</f>
        <v>2931166699.0700002</v>
      </c>
      <c r="FL260" s="3336">
        <f>FL237+FL257</f>
        <v>2250420319.9548378</v>
      </c>
      <c r="FM260" s="3336">
        <f>FM237+FM257</f>
        <v>76289071.233353645</v>
      </c>
      <c r="FN260" s="3336">
        <f>FN237+FN257</f>
        <v>604457307.8818084</v>
      </c>
      <c r="FO260" s="3264"/>
    </row>
    <row r="261" spans="1:171" ht="12" thickBot="1">
      <c r="A261" s="2219"/>
      <c r="B261" s="2099"/>
      <c r="C261" s="2120"/>
      <c r="D261" s="2120"/>
      <c r="E261" s="2120"/>
      <c r="F261" s="2120"/>
      <c r="G261" s="3337"/>
      <c r="H261" s="2445"/>
      <c r="I261" s="2445"/>
      <c r="J261" s="2221"/>
      <c r="K261" s="3205"/>
      <c r="S261" s="3264"/>
      <c r="AA261" s="3264"/>
      <c r="AI261" s="3264"/>
      <c r="AQ261" s="3264"/>
      <c r="AY261" s="3264"/>
      <c r="BG261" s="3264"/>
      <c r="BO261" s="3264"/>
      <c r="BW261" s="3264"/>
      <c r="CE261" s="3264"/>
      <c r="CM261" s="3264"/>
      <c r="CU261" s="3264"/>
      <c r="DC261" s="3264"/>
      <c r="DK261" s="3264"/>
      <c r="DS261" s="3264"/>
      <c r="EA261" s="3264"/>
      <c r="EI261" s="3264"/>
      <c r="EQ261" s="3264"/>
      <c r="EY261" s="3264"/>
      <c r="FG261" s="3264"/>
      <c r="FO261" s="3264"/>
    </row>
    <row r="262" spans="1:171" ht="12" thickTop="1">
      <c r="A262" s="3452"/>
      <c r="G262" s="2506"/>
      <c r="H262" s="2506"/>
      <c r="I262" s="2506"/>
      <c r="J262" s="3504"/>
      <c r="K262" s="3205"/>
      <c r="S262" s="3264"/>
      <c r="AA262" s="3264"/>
      <c r="AI262" s="3264"/>
      <c r="AQ262" s="3264"/>
      <c r="AY262" s="3264"/>
      <c r="BG262" s="3264"/>
      <c r="BO262" s="3264"/>
      <c r="BW262" s="3264"/>
      <c r="CE262" s="3264"/>
      <c r="CM262" s="3264"/>
      <c r="CU262" s="3264"/>
      <c r="DC262" s="3264"/>
      <c r="DK262" s="3264"/>
      <c r="DS262" s="3264"/>
      <c r="EA262" s="3264"/>
      <c r="EI262" s="3264"/>
      <c r="EQ262" s="3264"/>
      <c r="EY262" s="3264"/>
      <c r="FG262" s="3264"/>
      <c r="FO262" s="3264"/>
    </row>
    <row r="263" spans="1:171" ht="12" thickBot="1">
      <c r="A263" s="3515" t="s">
        <v>148</v>
      </c>
      <c r="B263" s="3347"/>
      <c r="C263" s="3347"/>
      <c r="D263" s="3347"/>
      <c r="E263" s="2325"/>
      <c r="F263" s="2689"/>
      <c r="G263" s="2349"/>
      <c r="H263" s="2349"/>
      <c r="I263" s="2350"/>
      <c r="J263" s="3516"/>
      <c r="K263" s="3205"/>
      <c r="S263" s="3264"/>
      <c r="AA263" s="3264"/>
      <c r="AI263" s="3264"/>
      <c r="AQ263" s="3264"/>
      <c r="AY263" s="3264"/>
      <c r="BG263" s="3264"/>
      <c r="BO263" s="3264"/>
      <c r="BW263" s="3264"/>
      <c r="CE263" s="3264"/>
      <c r="CM263" s="3264"/>
      <c r="CU263" s="3264"/>
      <c r="DC263" s="3264"/>
      <c r="DK263" s="3264"/>
      <c r="DS263" s="3264"/>
      <c r="EA263" s="3264"/>
      <c r="EI263" s="3264"/>
      <c r="EQ263" s="3264"/>
      <c r="EY263" s="3264"/>
      <c r="FG263" s="3264"/>
      <c r="FO263" s="3264"/>
    </row>
    <row r="264" spans="1:171" ht="12.75" thickTop="1" thickBot="1">
      <c r="A264" s="3498"/>
      <c r="B264" s="3809" t="s">
        <v>100</v>
      </c>
      <c r="C264" s="2457" t="s">
        <v>321</v>
      </c>
      <c r="D264" s="2457"/>
      <c r="E264" s="3892" t="s">
        <v>350</v>
      </c>
      <c r="F264" s="3893"/>
      <c r="G264" s="3896" t="s">
        <v>104</v>
      </c>
      <c r="H264" s="3885" t="s">
        <v>105</v>
      </c>
      <c r="I264" s="3888" t="s">
        <v>106</v>
      </c>
      <c r="J264" s="3499"/>
      <c r="K264" s="3205"/>
      <c r="S264" s="3264"/>
      <c r="AA264" s="3264"/>
      <c r="AI264" s="3264"/>
      <c r="AQ264" s="3264"/>
      <c r="AY264" s="3264"/>
      <c r="BG264" s="3264"/>
      <c r="BO264" s="3264"/>
      <c r="BW264" s="3264"/>
      <c r="CE264" s="3264"/>
      <c r="CM264" s="3264"/>
      <c r="CU264" s="3264"/>
      <c r="DC264" s="3264"/>
      <c r="DK264" s="3264"/>
      <c r="DS264" s="3264"/>
      <c r="EA264" s="3264"/>
      <c r="EI264" s="3264"/>
      <c r="EQ264" s="3264"/>
      <c r="EY264" s="3264"/>
      <c r="FG264" s="3264"/>
      <c r="FO264" s="3264"/>
    </row>
    <row r="265" spans="1:171" ht="12" thickBot="1">
      <c r="A265" s="3500"/>
      <c r="B265" s="3905"/>
      <c r="C265" s="2460" t="s">
        <v>270</v>
      </c>
      <c r="D265" s="2460" t="s">
        <v>96</v>
      </c>
      <c r="E265" s="3894"/>
      <c r="F265" s="3895"/>
      <c r="G265" s="3897"/>
      <c r="H265" s="3886"/>
      <c r="I265" s="3889"/>
      <c r="J265" s="3501" t="s">
        <v>98</v>
      </c>
      <c r="K265" s="3205"/>
      <c r="S265" s="3264"/>
      <c r="AA265" s="3264"/>
      <c r="AI265" s="3264"/>
      <c r="AQ265" s="3264"/>
      <c r="AY265" s="3264"/>
      <c r="BG265" s="3264"/>
      <c r="BO265" s="3264"/>
      <c r="BW265" s="3264"/>
      <c r="CE265" s="3264"/>
      <c r="CM265" s="3264"/>
      <c r="CU265" s="3264"/>
      <c r="DC265" s="3264"/>
      <c r="DK265" s="3264"/>
      <c r="DS265" s="3264"/>
      <c r="EA265" s="3264"/>
      <c r="EI265" s="3264"/>
      <c r="EQ265" s="3264"/>
      <c r="EY265" s="3264"/>
      <c r="FG265" s="3264"/>
      <c r="FO265" s="3264"/>
    </row>
    <row r="266" spans="1:171" ht="12" thickBot="1">
      <c r="A266" s="3502"/>
      <c r="B266" s="3906"/>
      <c r="C266" s="2461" t="s">
        <v>271</v>
      </c>
      <c r="D266" s="2461" t="s">
        <v>250</v>
      </c>
      <c r="E266" s="2461" t="s">
        <v>449</v>
      </c>
      <c r="F266" s="2461" t="s">
        <v>609</v>
      </c>
      <c r="G266" s="3898"/>
      <c r="H266" s="3887"/>
      <c r="I266" s="3890"/>
      <c r="J266" s="3503" t="s">
        <v>107</v>
      </c>
      <c r="K266" s="3205"/>
      <c r="S266" s="3264"/>
      <c r="AA266" s="3264"/>
      <c r="AI266" s="3264"/>
      <c r="AQ266" s="3264"/>
      <c r="AY266" s="3264"/>
      <c r="BG266" s="3264"/>
      <c r="BO266" s="3264"/>
      <c r="BW266" s="3264"/>
      <c r="CE266" s="3264"/>
      <c r="CM266" s="3264"/>
      <c r="CU266" s="3264"/>
      <c r="DC266" s="3264"/>
      <c r="DK266" s="3264"/>
      <c r="DS266" s="3264"/>
      <c r="EA266" s="3264"/>
      <c r="EI266" s="3264"/>
      <c r="EQ266" s="3264"/>
      <c r="EY266" s="3264"/>
      <c r="FG266" s="3264"/>
      <c r="FO266" s="3264"/>
    </row>
    <row r="267" spans="1:171" ht="12" thickTop="1">
      <c r="A267" s="2102" t="s">
        <v>149</v>
      </c>
      <c r="B267" s="2290"/>
      <c r="C267" s="2353"/>
      <c r="D267" s="2356"/>
      <c r="E267" s="2098"/>
      <c r="F267" s="2098"/>
      <c r="G267" s="2670"/>
      <c r="H267" s="2671"/>
      <c r="I267" s="2671"/>
      <c r="J267" s="3165"/>
      <c r="K267" s="3205"/>
      <c r="S267" s="3264"/>
      <c r="AA267" s="3264"/>
      <c r="AI267" s="3264"/>
      <c r="AQ267" s="3264"/>
      <c r="AY267" s="3264"/>
      <c r="BG267" s="3264"/>
      <c r="BO267" s="3264"/>
      <c r="BW267" s="3264"/>
      <c r="CE267" s="3264"/>
      <c r="CM267" s="3264"/>
      <c r="CU267" s="3264"/>
      <c r="DC267" s="3264"/>
      <c r="DK267" s="3264"/>
      <c r="DS267" s="3264"/>
      <c r="EA267" s="3264"/>
      <c r="EI267" s="3264"/>
      <c r="EQ267" s="3264"/>
      <c r="EY267" s="3264"/>
      <c r="FG267" s="3264"/>
      <c r="FO267" s="3264"/>
    </row>
    <row r="268" spans="1:171">
      <c r="A268" s="3489"/>
      <c r="B268" s="2365" t="s">
        <v>35</v>
      </c>
      <c r="C268" s="2673">
        <v>262</v>
      </c>
      <c r="D268" s="2674">
        <v>409.1</v>
      </c>
      <c r="E268" s="2424" t="str">
        <f>'Sch 3A - Taxes'!E16</f>
        <v>DIST</v>
      </c>
      <c r="F268" s="2171"/>
      <c r="G268" s="2424">
        <f>'Sch 3A - Taxes'!F16</f>
        <v>181201019</v>
      </c>
      <c r="H268" s="2424">
        <f>'Sch 3A - Taxes'!G16</f>
        <v>0</v>
      </c>
      <c r="I268" s="2424">
        <f>'Sch 3A - Taxes'!H16</f>
        <v>0</v>
      </c>
      <c r="J268" s="3465">
        <f>'Sch 3A - Taxes'!I16</f>
        <v>181201019</v>
      </c>
      <c r="K268" s="3205">
        <f>IF($E268="DIRECT",0,1)</f>
        <v>1</v>
      </c>
      <c r="O268" s="3235">
        <f>$G268</f>
        <v>181201019</v>
      </c>
      <c r="P268" s="3236">
        <f>VLOOKUP($E268,O$442:R$453,2,FALSE)*O268*($K268)+IF($G268&lt;&gt;0,($H268/$G268)*O268,0)*(1-$K268)</f>
        <v>0</v>
      </c>
      <c r="Q268" s="3236">
        <f>VLOOKUP($E268,O$442:R$453,3,FALSE)*O268*($K268)+IF($G268&lt;&gt;0,($I268/$G268)*O268,0)*(1-$K268)</f>
        <v>0</v>
      </c>
      <c r="R268" s="3236">
        <f>VLOOKUP($E268,O$442:R$453,4,FALSE)*O268*($K268)+(O268-P268-Q268)*(1-$K268)</f>
        <v>181201019</v>
      </c>
      <c r="S268" s="3264"/>
      <c r="W268" s="3235">
        <f>$G268</f>
        <v>181201019</v>
      </c>
      <c r="X268" s="3236">
        <f>VLOOKUP($E268,W$442:Z$453,2,FALSE)*W268*($K268)+IF($G268&lt;&gt;0,($H268/$G268)*W268,0)*(1-$K268)</f>
        <v>0</v>
      </c>
      <c r="Y268" s="3236">
        <f>VLOOKUP($E268,W$442:Z$453,3,FALSE)*W268*($K268)+IF($G268&lt;&gt;0,($I268/$G268)*W268,0)*(1-$K268)</f>
        <v>0</v>
      </c>
      <c r="Z268" s="3236">
        <f>VLOOKUP($E268,W$442:Z$453,4,FALSE)*W268*($K268)+(W268-X268-Y268)*(1-$K268)</f>
        <v>181201019</v>
      </c>
      <c r="AA268" s="3264"/>
      <c r="AE268" s="3235">
        <f>$G268</f>
        <v>181201019</v>
      </c>
      <c r="AF268" s="3236">
        <f>VLOOKUP($E268,AE$442:AH$453,2,FALSE)*AE268*($K268)+IF($G268&lt;&gt;0,($H268/$G268)*AE268,0)*(1-$K268)</f>
        <v>0</v>
      </c>
      <c r="AG268" s="3236">
        <f>VLOOKUP($E268,AE$442:AH$453,3,FALSE)*AE268*($K268)+IF($G268&lt;&gt;0,($I268/$G268)*AE268,0)*(1-$K268)</f>
        <v>0</v>
      </c>
      <c r="AH268" s="3236">
        <f>VLOOKUP($E268,AE$442:AH$453,4,FALSE)*AE268*($K268)+(AE268-AF268-AG268)*(1-$K268)</f>
        <v>181201019</v>
      </c>
      <c r="AI268" s="3264"/>
      <c r="AM268" s="3235">
        <f>$G268</f>
        <v>181201019</v>
      </c>
      <c r="AN268" s="3236">
        <f>VLOOKUP($E268,AM$442:AP$453,2,FALSE)*AM268*($K268)+IF($G268&lt;&gt;0,($H268/$G268)*AM268,0)*(1-$K268)</f>
        <v>0</v>
      </c>
      <c r="AO268" s="3236">
        <f>VLOOKUP($E268,AM$442:AP$453,3,FALSE)*AM268*($K268)+IF($G268&lt;&gt;0,($I268/$G268)*AM268,0)*(1-$K268)</f>
        <v>0</v>
      </c>
      <c r="AP268" s="3236">
        <f>VLOOKUP($E268,AM$442:AP$453,4,FALSE)*AM268*($K268)+(AM268-AN268-AO268)*(1-$K268)</f>
        <v>181201019</v>
      </c>
      <c r="AQ268" s="3264"/>
      <c r="AU268" s="3235">
        <f>$G268</f>
        <v>181201019</v>
      </c>
      <c r="AV268" s="3236">
        <f>VLOOKUP($E268,AU$442:AX$453,2,FALSE)*AU268*($K268)+IF($G268&lt;&gt;0,($H268/$G268)*AU268,0)*(1-$K268)</f>
        <v>0</v>
      </c>
      <c r="AW268" s="3236">
        <f>VLOOKUP($E268,AU$442:AX$453,3,FALSE)*AU268*($K268)+IF($G268&lt;&gt;0,($I268/$G268)*AU268,0)*(1-$K268)</f>
        <v>0</v>
      </c>
      <c r="AX268" s="3236">
        <f>VLOOKUP($E268,AU$442:AX$453,4,FALSE)*AU268*($K268)+(AU268-AV268-AW268)*(1-$K268)</f>
        <v>181201019</v>
      </c>
      <c r="AY268" s="3264"/>
      <c r="BC268" s="3235">
        <f>$G268</f>
        <v>181201019</v>
      </c>
      <c r="BD268" s="3236">
        <f>VLOOKUP($E268,BC$442:BF$453,2,FALSE)*BC268*($K268)+IF($G268&lt;&gt;0,($H268/$G268)*BC268,0)*(1-$K268)</f>
        <v>0</v>
      </c>
      <c r="BE268" s="3236">
        <f>VLOOKUP($E268,BC$442:BF$453,3,FALSE)*BC268*($K268)+IF($G268&lt;&gt;0,($I268/$G268)*BC268,0)*(1-$K268)</f>
        <v>0</v>
      </c>
      <c r="BF268" s="3236">
        <f>VLOOKUP($E268,BC$442:BF$453,4,FALSE)*BC268*($K268)+(BC268-BD268-BE268)*(1-$K268)</f>
        <v>181201019</v>
      </c>
      <c r="BG268" s="3264"/>
      <c r="BK268" s="3235">
        <f>$G268</f>
        <v>181201019</v>
      </c>
      <c r="BL268" s="3236">
        <f>VLOOKUP($E268,BK$442:BN$453,2,FALSE)*BK268*($K268)+IF($G268&lt;&gt;0,($H268/$G268)*BK268,0)*(1-$K268)</f>
        <v>0</v>
      </c>
      <c r="BM268" s="3236">
        <f>VLOOKUP($E268,BK$442:BN$453,3,FALSE)*BK268*($K268)+IF($G268&lt;&gt;0,($I268/$G268)*BK268,0)*(1-$K268)</f>
        <v>0</v>
      </c>
      <c r="BN268" s="3236">
        <f>VLOOKUP($E268,BK$442:BN$453,4,FALSE)*BK268*($K268)+(BK268-BL268-BM268)*(1-$K268)</f>
        <v>181201019</v>
      </c>
      <c r="BO268" s="3264"/>
      <c r="BS268" s="3235">
        <f>$G268</f>
        <v>181201019</v>
      </c>
      <c r="BT268" s="3236">
        <f>VLOOKUP($E268,BS$442:BV$453,2,FALSE)*BS268*($K268)+IF($G268&lt;&gt;0,($H268/$G268)*BS268,0)*(1-$K268)</f>
        <v>0</v>
      </c>
      <c r="BU268" s="3236">
        <f>VLOOKUP($E268,BS$442:BV$453,3,FALSE)*BS268*($K268)+IF($G268&lt;&gt;0,($I268/$G268)*BS268,0)*(1-$K268)</f>
        <v>0</v>
      </c>
      <c r="BV268" s="3236">
        <f>VLOOKUP($E268,BS$442:BV$453,4,FALSE)*BS268*($K268)+(BS268-BT268-BU268)*(1-$K268)</f>
        <v>181201019</v>
      </c>
      <c r="BW268" s="3264"/>
      <c r="CA268" s="3235">
        <f>$G268</f>
        <v>181201019</v>
      </c>
      <c r="CB268" s="3236">
        <f>VLOOKUP($E268,CA$442:CD$453,2,FALSE)*CA268*($K268)+IF($G268&lt;&gt;0,($H268/$G268)*CA268,0)*(1-$K268)</f>
        <v>0</v>
      </c>
      <c r="CC268" s="3236">
        <f>VLOOKUP($E268,CA$442:CD$453,3,FALSE)*CA268*($K268)+IF($G268&lt;&gt;0,($I268/$G268)*CA268,0)*(1-$K268)</f>
        <v>0</v>
      </c>
      <c r="CD268" s="3236">
        <f>VLOOKUP($E268,CA$442:CD$453,4,FALSE)*CA268*($K268)+(CA268-CB268-CC268)*(1-$K268)</f>
        <v>181201019</v>
      </c>
      <c r="CE268" s="3264"/>
      <c r="CI268" s="3235">
        <f>$G268</f>
        <v>181201019</v>
      </c>
      <c r="CJ268" s="3236">
        <f>VLOOKUP($E268,CI$442:CL$453,2,FALSE)*CI268*($K268)+IF($G268&lt;&gt;0,($H268/$G268)*CI268,0)*(1-$K268)</f>
        <v>0</v>
      </c>
      <c r="CK268" s="3236">
        <f>VLOOKUP($E268,CI$442:CL$453,3,FALSE)*CI268*($K268)+IF($G268&lt;&gt;0,($I268/$G268)*CI268,0)*(1-$K268)</f>
        <v>0</v>
      </c>
      <c r="CL268" s="3236">
        <f>VLOOKUP($E268,CI$442:CL$453,4,FALSE)*CI268*($K268)+(CI268-CJ268-CK268)*(1-$K268)</f>
        <v>181201019</v>
      </c>
      <c r="CM268" s="3264"/>
      <c r="CQ268" s="3235">
        <f>$G268</f>
        <v>181201019</v>
      </c>
      <c r="CR268" s="3236">
        <f>VLOOKUP($E268,CQ$442:CT$453,2,FALSE)*CQ268*($K268)+IF($G268&lt;&gt;0,($H268/$G268)*CQ268,0)*(1-$K268)</f>
        <v>0</v>
      </c>
      <c r="CS268" s="3236">
        <f>VLOOKUP($E268,CQ$442:CT$453,3,FALSE)*CQ268*($K268)+IF($G268&lt;&gt;0,($I268/$G268)*CQ268,0)*(1-$K268)</f>
        <v>0</v>
      </c>
      <c r="CT268" s="3236">
        <f>VLOOKUP($E268,CQ$442:CT$453,4,FALSE)*CQ268*($K268)+(CQ268-CR268-CS268)*(1-$K268)</f>
        <v>181201019</v>
      </c>
      <c r="CU268" s="3264"/>
      <c r="CY268" s="3235">
        <f>$G268</f>
        <v>181201019</v>
      </c>
      <c r="CZ268" s="3236">
        <f>VLOOKUP($E268,CY$442:DB$453,2,FALSE)*CY268*($K268)+IF($G268&lt;&gt;0,($H268/$G268)*CY268,0)*(1-$K268)</f>
        <v>0</v>
      </c>
      <c r="DA268" s="3236">
        <f>VLOOKUP($E268,CY$442:DB$453,3,FALSE)*CY268*($K268)+IF($G268&lt;&gt;0,($I268/$G268)*CY268,0)*(1-$K268)</f>
        <v>0</v>
      </c>
      <c r="DB268" s="3236">
        <f>VLOOKUP($E268,CY$442:DB$453,4,FALSE)*CY268*($K268)+(CY268-CZ268-DA268)*(1-$K268)</f>
        <v>181201019</v>
      </c>
      <c r="DC268" s="3264"/>
      <c r="DG268" s="3235">
        <f>$G268</f>
        <v>181201019</v>
      </c>
      <c r="DH268" s="3236">
        <f>VLOOKUP($E268,DG$442:DJ$453,2,FALSE)*DG268*($K268)+IF($G268&lt;&gt;0,($H268/$G268)*DG268,0)*(1-$K268)</f>
        <v>0</v>
      </c>
      <c r="DI268" s="3236">
        <f>VLOOKUP($E268,DG$442:DJ$453,3,FALSE)*DG268*($K268)+IF($G268&lt;&gt;0,($I268/$G268)*DG268,0)*(1-$K268)</f>
        <v>0</v>
      </c>
      <c r="DJ268" s="3236">
        <f>VLOOKUP($E268,DG$442:DJ$453,4,FALSE)*DG268*($K268)+(DG268-DH268-DI268)*(1-$K268)</f>
        <v>181201019</v>
      </c>
      <c r="DK268" s="3264"/>
      <c r="DO268" s="3235">
        <f>$G268</f>
        <v>181201019</v>
      </c>
      <c r="DP268" s="3236">
        <f>VLOOKUP($E268,DO$442:DR$453,2,FALSE)*DO268*($K268)+IF($G268&lt;&gt;0,($H268/$G268)*DO268,0)*(1-$K268)</f>
        <v>0</v>
      </c>
      <c r="DQ268" s="3236">
        <f>VLOOKUP($E268,DO$442:DR$453,3,FALSE)*DO268*($K268)+IF($G268&lt;&gt;0,($I268/$G268)*DO268,0)*(1-$K268)</f>
        <v>0</v>
      </c>
      <c r="DR268" s="3236">
        <f>VLOOKUP($E268,DO$442:DR$453,4,FALSE)*DO268*($K268)+(DO268-DP268-DQ268)*(1-$K268)</f>
        <v>181201019</v>
      </c>
      <c r="DS268" s="3264"/>
      <c r="DW268" s="3235">
        <f>$G268</f>
        <v>181201019</v>
      </c>
      <c r="DX268" s="3236">
        <f>VLOOKUP($E268,DW$442:DZ$453,2,FALSE)*DW268*($K268)+IF($G268&lt;&gt;0,($H268/$G268)*DW268,0)*(1-$K268)</f>
        <v>0</v>
      </c>
      <c r="DY268" s="3236">
        <f>VLOOKUP($E268,DW$442:DZ$453,3,FALSE)*DW268*($K268)+IF($G268&lt;&gt;0,($I268/$G268)*DW268,0)*(1-$K268)</f>
        <v>0</v>
      </c>
      <c r="DZ268" s="3236">
        <f>VLOOKUP($E268,DW$442:DZ$453,4,FALSE)*DW268*($K268)+(DW268-DX268-DY268)*(1-$K268)</f>
        <v>181201019</v>
      </c>
      <c r="EA268" s="3264"/>
      <c r="EE268" s="3235">
        <f>$G268</f>
        <v>181201019</v>
      </c>
      <c r="EF268" s="3236">
        <f>VLOOKUP($E268,EE$442:EH$453,2,FALSE)*EE268*($K268)+IF($G268&lt;&gt;0,($H268/$G268)*EE268,0)*(1-$K268)</f>
        <v>0</v>
      </c>
      <c r="EG268" s="3236">
        <f>VLOOKUP($E268,EE$442:EH$453,3,FALSE)*EE268*($K268)+IF($G268&lt;&gt;0,($I268/$G268)*EE268,0)*(1-$K268)</f>
        <v>0</v>
      </c>
      <c r="EH268" s="3236">
        <f>VLOOKUP($E268,EE$442:EH$453,4,FALSE)*EE268*($K268)+(EE268-EF268-EG268)*(1-$K268)</f>
        <v>181201019</v>
      </c>
      <c r="EI268" s="3264"/>
      <c r="EM268" s="3235">
        <f>$G268</f>
        <v>181201019</v>
      </c>
      <c r="EN268" s="3236">
        <f>VLOOKUP($E268,EM$442:EP$453,2,FALSE)*EM268*($K268)+IF($G268&lt;&gt;0,($H268/$G268)*EM268,0)*(1-$K268)</f>
        <v>0</v>
      </c>
      <c r="EO268" s="3236">
        <f>VLOOKUP($E268,EM$442:EP$453,3,FALSE)*EM268*($K268)+IF($G268&lt;&gt;0,($I268/$G268)*EM268,0)*(1-$K268)</f>
        <v>0</v>
      </c>
      <c r="EP268" s="3236">
        <f>VLOOKUP($E268,EM$442:EP$453,4,FALSE)*EM268*($K268)+(EM268-EN268-EO268)*(1-$K268)</f>
        <v>181201019</v>
      </c>
      <c r="EQ268" s="3264"/>
      <c r="EU268" s="3235">
        <f>$G268</f>
        <v>181201019</v>
      </c>
      <c r="EV268" s="3236">
        <f>VLOOKUP($E268,EU$442:EX$453,2,FALSE)*EU268*($K268)+IF($G268&lt;&gt;0,($H268/$G268)*EU268,0)*(1-$K268)</f>
        <v>0</v>
      </c>
      <c r="EW268" s="3236">
        <f>VLOOKUP($E268,EU$442:EX$453,3,FALSE)*EU268*($K268)+IF($G268&lt;&gt;0,($I268/$G268)*EU268,0)*(1-$K268)</f>
        <v>0</v>
      </c>
      <c r="EX268" s="3236">
        <f>VLOOKUP($E268,EU$442:EX$453,4,FALSE)*EU268*($K268)+(EU268-EV268-EW268)*(1-$K268)</f>
        <v>181201019</v>
      </c>
      <c r="EY268" s="3264"/>
      <c r="FC268" s="3235">
        <f>$G268</f>
        <v>181201019</v>
      </c>
      <c r="FD268" s="3236">
        <f>VLOOKUP($E268,FC$442:FF$453,2,FALSE)*FC268*($K268)+IF($G268&lt;&gt;0,($H268/$G268)*FC268,0)*(1-$K268)</f>
        <v>0</v>
      </c>
      <c r="FE268" s="3236">
        <f>VLOOKUP($E268,FC$442:FF$453,3,FALSE)*FC268*($K268)+IF($G268&lt;&gt;0,($I268/$G268)*FC268,0)*(1-$K268)</f>
        <v>0</v>
      </c>
      <c r="FF268" s="3236">
        <f>VLOOKUP($E268,FC$442:FF$453,4,FALSE)*FC268*($K268)+(FC268-FD268-FE268)*(1-$K268)</f>
        <v>181201019</v>
      </c>
      <c r="FG268" s="3264"/>
      <c r="FK268" s="3235">
        <f>$G268</f>
        <v>181201019</v>
      </c>
      <c r="FL268" s="3236">
        <f>VLOOKUP($E268,FK$442:FN$453,2,FALSE)*FK268*($K268)+IF($G268&lt;&gt;0,($H268/$G268)*FK268,0)*(1-$K268)</f>
        <v>0</v>
      </c>
      <c r="FM268" s="3236">
        <f>VLOOKUP($E268,FK$442:FN$453,3,FALSE)*FK268*($K268)+IF($G268&lt;&gt;0,($I268/$G268)*FK268,0)*(1-$K268)</f>
        <v>0</v>
      </c>
      <c r="FN268" s="3236">
        <f>VLOOKUP($E268,FK$442:FN$453,4,FALSE)*FK268*($K268)+(FK268-FL268-FM268)*(1-$K268)</f>
        <v>181201019</v>
      </c>
      <c r="FO268" s="3264"/>
    </row>
    <row r="269" spans="1:171">
      <c r="A269" s="3489"/>
      <c r="B269" s="2365" t="s">
        <v>150</v>
      </c>
      <c r="C269" s="2673">
        <v>262</v>
      </c>
      <c r="D269" s="2674">
        <v>408.1</v>
      </c>
      <c r="E269" s="2424" t="str">
        <f>'Sch 3A - Taxes'!E17</f>
        <v>LABOR</v>
      </c>
      <c r="F269" s="2171"/>
      <c r="G269" s="2424">
        <f>'Sch 3A - Taxes'!F17</f>
        <v>10966229</v>
      </c>
      <c r="H269" s="2424">
        <f>'Sch 3A - Taxes'!G17</f>
        <v>3726655.054265135</v>
      </c>
      <c r="I269" s="2424">
        <f>'Sch 3A - Taxes'!H17</f>
        <v>0</v>
      </c>
      <c r="J269" s="3465">
        <f>'Sch 3A - Taxes'!I17</f>
        <v>7239573.945734865</v>
      </c>
      <c r="K269" s="3205">
        <f>IF($E269="DIRECT",0,1)</f>
        <v>1</v>
      </c>
      <c r="O269" s="3235">
        <f>$G269</f>
        <v>10966229</v>
      </c>
      <c r="P269" s="3236">
        <f>VLOOKUP($E269,O$442:R$453,2,FALSE)*O269*($K269)+IF($G269&lt;&gt;0,($H269/$G269)*O269,0)*(1-$K269)</f>
        <v>3726655.054265135</v>
      </c>
      <c r="Q269" s="3236">
        <f>VLOOKUP($E269,O$442:R$453,3,FALSE)*O269*($K269)+IF($G269&lt;&gt;0,($I269/$G269)*O269,0)*(1-$K269)</f>
        <v>595093.60912332614</v>
      </c>
      <c r="R269" s="3236">
        <f>VLOOKUP($E269,O$442:R$453,4,FALSE)*O269*($K269)+(O269-P269-Q269)*(1-$K269)</f>
        <v>6644480.3366115401</v>
      </c>
      <c r="S269" s="3264"/>
      <c r="W269" s="3235">
        <f>$G269</f>
        <v>10966229</v>
      </c>
      <c r="X269" s="3236">
        <f>VLOOKUP($E269,W$442:Z$453,2,FALSE)*W269*($K269)+IF($G269&lt;&gt;0,($H269/$G269)*W269,0)*(1-$K269)</f>
        <v>3726655.054265135</v>
      </c>
      <c r="Y269" s="3236">
        <f>VLOOKUP($E269,W$442:Z$453,3,FALSE)*W269*($K269)+IF($G269&lt;&gt;0,($I269/$G269)*W269,0)*(1-$K269)</f>
        <v>595093.60912332614</v>
      </c>
      <c r="Z269" s="3236">
        <f>VLOOKUP($E269,W$442:Z$453,4,FALSE)*W269*($K269)+(W269-X269-Y269)*(1-$K269)</f>
        <v>6644480.3366115401</v>
      </c>
      <c r="AA269" s="3264"/>
      <c r="AE269" s="3235">
        <f>$G269</f>
        <v>10966229</v>
      </c>
      <c r="AF269" s="3236">
        <f>VLOOKUP($E269,AE$442:AH$453,2,FALSE)*AE269*($K269)+IF($G269&lt;&gt;0,($H269/$G269)*AE269,0)*(1-$K269)</f>
        <v>3726655.054265135</v>
      </c>
      <c r="AG269" s="3236">
        <f>VLOOKUP($E269,AE$442:AH$453,3,FALSE)*AE269*($K269)+IF($G269&lt;&gt;0,($I269/$G269)*AE269,0)*(1-$K269)</f>
        <v>595093.60912332614</v>
      </c>
      <c r="AH269" s="3236">
        <f>VLOOKUP($E269,AE$442:AH$453,4,FALSE)*AE269*($K269)+(AE269-AF269-AG269)*(1-$K269)</f>
        <v>6644480.3366115401</v>
      </c>
      <c r="AI269" s="3264"/>
      <c r="AM269" s="3235">
        <f>$G269</f>
        <v>10966229</v>
      </c>
      <c r="AN269" s="3236">
        <f>VLOOKUP($E269,AM$442:AP$453,2,FALSE)*AM269*($K269)+IF($G269&lt;&gt;0,($H269/$G269)*AM269,0)*(1-$K269)</f>
        <v>3726655.054265135</v>
      </c>
      <c r="AO269" s="3236">
        <f>VLOOKUP($E269,AM$442:AP$453,3,FALSE)*AM269*($K269)+IF($G269&lt;&gt;0,($I269/$G269)*AM269,0)*(1-$K269)</f>
        <v>595093.60912332614</v>
      </c>
      <c r="AP269" s="3236">
        <f>VLOOKUP($E269,AM$442:AP$453,4,FALSE)*AM269*($K269)+(AM269-AN269-AO269)*(1-$K269)</f>
        <v>6644480.3366115401</v>
      </c>
      <c r="AQ269" s="3264"/>
      <c r="AU269" s="3235">
        <f>$G269</f>
        <v>10966229</v>
      </c>
      <c r="AV269" s="3236">
        <f>VLOOKUP($E269,AU$442:AX$453,2,FALSE)*AU269*($K269)+IF($G269&lt;&gt;0,($H269/$G269)*AU269,0)*(1-$K269)</f>
        <v>3726655.054265135</v>
      </c>
      <c r="AW269" s="3236">
        <f>VLOOKUP($E269,AU$442:AX$453,3,FALSE)*AU269*($K269)+IF($G269&lt;&gt;0,($I269/$G269)*AU269,0)*(1-$K269)</f>
        <v>595093.60912332614</v>
      </c>
      <c r="AX269" s="3236">
        <f>VLOOKUP($E269,AU$442:AX$453,4,FALSE)*AU269*($K269)+(AU269-AV269-AW269)*(1-$K269)</f>
        <v>6644480.3366115401</v>
      </c>
      <c r="AY269" s="3264"/>
      <c r="BC269" s="3235">
        <f>$G269</f>
        <v>10966229</v>
      </c>
      <c r="BD269" s="3236">
        <f>VLOOKUP($E269,BC$442:BF$453,2,FALSE)*BC269*($K269)+IF($G269&lt;&gt;0,($H269/$G269)*BC269,0)*(1-$K269)</f>
        <v>3726655.054265135</v>
      </c>
      <c r="BE269" s="3236">
        <f>VLOOKUP($E269,BC$442:BF$453,3,FALSE)*BC269*($K269)+IF($G269&lt;&gt;0,($I269/$G269)*BC269,0)*(1-$K269)</f>
        <v>595093.60912332614</v>
      </c>
      <c r="BF269" s="3236">
        <f>VLOOKUP($E269,BC$442:BF$453,4,FALSE)*BC269*($K269)+(BC269-BD269-BE269)*(1-$K269)</f>
        <v>6644480.3366115401</v>
      </c>
      <c r="BG269" s="3264"/>
      <c r="BK269" s="3235">
        <f>$G269</f>
        <v>10966229</v>
      </c>
      <c r="BL269" s="3236">
        <f>VLOOKUP($E269,BK$442:BN$453,2,FALSE)*BK269*($K269)+IF($G269&lt;&gt;0,($H269/$G269)*BK269,0)*(1-$K269)</f>
        <v>3726655.054265135</v>
      </c>
      <c r="BM269" s="3236">
        <f>VLOOKUP($E269,BK$442:BN$453,3,FALSE)*BK269*($K269)+IF($G269&lt;&gt;0,($I269/$G269)*BK269,0)*(1-$K269)</f>
        <v>595093.60912332614</v>
      </c>
      <c r="BN269" s="3236">
        <f>VLOOKUP($E269,BK$442:BN$453,4,FALSE)*BK269*($K269)+(BK269-BL269-BM269)*(1-$K269)</f>
        <v>6644480.3366115401</v>
      </c>
      <c r="BO269" s="3264"/>
      <c r="BS269" s="3235">
        <f>$G269</f>
        <v>10966229</v>
      </c>
      <c r="BT269" s="3236">
        <f>VLOOKUP($E269,BS$442:BV$453,2,FALSE)*BS269*($K269)+IF($G269&lt;&gt;0,($H269/$G269)*BS269,0)*(1-$K269)</f>
        <v>3726655.054265135</v>
      </c>
      <c r="BU269" s="3236">
        <f>VLOOKUP($E269,BS$442:BV$453,3,FALSE)*BS269*($K269)+IF($G269&lt;&gt;0,($I269/$G269)*BS269,0)*(1-$K269)</f>
        <v>595093.60912332614</v>
      </c>
      <c r="BV269" s="3236">
        <f>VLOOKUP($E269,BS$442:BV$453,4,FALSE)*BS269*($K269)+(BS269-BT269-BU269)*(1-$K269)</f>
        <v>6644480.3366115401</v>
      </c>
      <c r="BW269" s="3264"/>
      <c r="CA269" s="3235">
        <f>$G269</f>
        <v>10966229</v>
      </c>
      <c r="CB269" s="3236">
        <f>VLOOKUP($E269,CA$442:CD$453,2,FALSE)*CA269*($K269)+IF($G269&lt;&gt;0,($H269/$G269)*CA269,0)*(1-$K269)</f>
        <v>3726655.054265135</v>
      </c>
      <c r="CC269" s="3236">
        <f>VLOOKUP($E269,CA$442:CD$453,3,FALSE)*CA269*($K269)+IF($G269&lt;&gt;0,($I269/$G269)*CA269,0)*(1-$K269)</f>
        <v>595093.60912332614</v>
      </c>
      <c r="CD269" s="3236">
        <f>VLOOKUP($E269,CA$442:CD$453,4,FALSE)*CA269*($K269)+(CA269-CB269-CC269)*(1-$K269)</f>
        <v>6644480.3366115401</v>
      </c>
      <c r="CE269" s="3264"/>
      <c r="CI269" s="3235">
        <f>$G269</f>
        <v>10966229</v>
      </c>
      <c r="CJ269" s="3236">
        <f>VLOOKUP($E269,CI$442:CL$453,2,FALSE)*CI269*($K269)+IF($G269&lt;&gt;0,($H269/$G269)*CI269,0)*(1-$K269)</f>
        <v>3726655.054265135</v>
      </c>
      <c r="CK269" s="3236">
        <f>VLOOKUP($E269,CI$442:CL$453,3,FALSE)*CI269*($K269)+IF($G269&lt;&gt;0,($I269/$G269)*CI269,0)*(1-$K269)</f>
        <v>595093.60912332614</v>
      </c>
      <c r="CL269" s="3236">
        <f>VLOOKUP($E269,CI$442:CL$453,4,FALSE)*CI269*($K269)+(CI269-CJ269-CK269)*(1-$K269)</f>
        <v>6644480.3366115401</v>
      </c>
      <c r="CM269" s="3264"/>
      <c r="CQ269" s="3235">
        <f>$G269</f>
        <v>10966229</v>
      </c>
      <c r="CR269" s="3236">
        <f>VLOOKUP($E269,CQ$442:CT$453,2,FALSE)*CQ269*($K269)+IF($G269&lt;&gt;0,($H269/$G269)*CQ269,0)*(1-$K269)</f>
        <v>3726655.054265135</v>
      </c>
      <c r="CS269" s="3236">
        <f>VLOOKUP($E269,CQ$442:CT$453,3,FALSE)*CQ269*($K269)+IF($G269&lt;&gt;0,($I269/$G269)*CQ269,0)*(1-$K269)</f>
        <v>595093.60912332614</v>
      </c>
      <c r="CT269" s="3236">
        <f>VLOOKUP($E269,CQ$442:CT$453,4,FALSE)*CQ269*($K269)+(CQ269-CR269-CS269)*(1-$K269)</f>
        <v>6644480.3366115401</v>
      </c>
      <c r="CU269" s="3264"/>
      <c r="CY269" s="3235">
        <f>$G269</f>
        <v>10966229</v>
      </c>
      <c r="CZ269" s="3236">
        <f>VLOOKUP($E269,CY$442:DB$453,2,FALSE)*CY269*($K269)+IF($G269&lt;&gt;0,($H269/$G269)*CY269,0)*(1-$K269)</f>
        <v>3726655.054265135</v>
      </c>
      <c r="DA269" s="3236">
        <f>VLOOKUP($E269,CY$442:DB$453,3,FALSE)*CY269*($K269)+IF($G269&lt;&gt;0,($I269/$G269)*CY269,0)*(1-$K269)</f>
        <v>595093.60912332614</v>
      </c>
      <c r="DB269" s="3236">
        <f>VLOOKUP($E269,CY$442:DB$453,4,FALSE)*CY269*($K269)+(CY269-CZ269-DA269)*(1-$K269)</f>
        <v>6644480.3366115401</v>
      </c>
      <c r="DC269" s="3264"/>
      <c r="DG269" s="3235">
        <f>$G269</f>
        <v>10966229</v>
      </c>
      <c r="DH269" s="3236">
        <f>VLOOKUP($E269,DG$442:DJ$453,2,FALSE)*DG269*($K269)+IF($G269&lt;&gt;0,($H269/$G269)*DG269,0)*(1-$K269)</f>
        <v>3726655.054265135</v>
      </c>
      <c r="DI269" s="3236">
        <f>VLOOKUP($E269,DG$442:DJ$453,3,FALSE)*DG269*($K269)+IF($G269&lt;&gt;0,($I269/$G269)*DG269,0)*(1-$K269)</f>
        <v>595093.60912332614</v>
      </c>
      <c r="DJ269" s="3236">
        <f>VLOOKUP($E269,DG$442:DJ$453,4,FALSE)*DG269*($K269)+(DG269-DH269-DI269)*(1-$K269)</f>
        <v>6644480.3366115401</v>
      </c>
      <c r="DK269" s="3264"/>
      <c r="DO269" s="3235">
        <f>$G269</f>
        <v>10966229</v>
      </c>
      <c r="DP269" s="3236">
        <f>VLOOKUP($E269,DO$442:DR$453,2,FALSE)*DO269*($K269)+IF($G269&lt;&gt;0,($H269/$G269)*DO269,0)*(1-$K269)</f>
        <v>3726655.054265135</v>
      </c>
      <c r="DQ269" s="3236">
        <f>VLOOKUP($E269,DO$442:DR$453,3,FALSE)*DO269*($K269)+IF($G269&lt;&gt;0,($I269/$G269)*DO269,0)*(1-$K269)</f>
        <v>595093.60912332614</v>
      </c>
      <c r="DR269" s="3236">
        <f>VLOOKUP($E269,DO$442:DR$453,4,FALSE)*DO269*($K269)+(DO269-DP269-DQ269)*(1-$K269)</f>
        <v>6644480.3366115401</v>
      </c>
      <c r="DS269" s="3264"/>
      <c r="DW269" s="3235">
        <f>$G269</f>
        <v>10966229</v>
      </c>
      <c r="DX269" s="3236">
        <f>VLOOKUP($E269,DW$442:DZ$453,2,FALSE)*DW269*($K269)+IF($G269&lt;&gt;0,($H269/$G269)*DW269,0)*(1-$K269)</f>
        <v>3726655.054265135</v>
      </c>
      <c r="DY269" s="3236">
        <f>VLOOKUP($E269,DW$442:DZ$453,3,FALSE)*DW269*($K269)+IF($G269&lt;&gt;0,($I269/$G269)*DW269,0)*(1-$K269)</f>
        <v>595093.60912332614</v>
      </c>
      <c r="DZ269" s="3236">
        <f>VLOOKUP($E269,DW$442:DZ$453,4,FALSE)*DW269*($K269)+(DW269-DX269-DY269)*(1-$K269)</f>
        <v>6644480.3366115401</v>
      </c>
      <c r="EA269" s="3264"/>
      <c r="EE269" s="3235">
        <f>$G269</f>
        <v>10966229</v>
      </c>
      <c r="EF269" s="3236">
        <f>VLOOKUP($E269,EE$442:EH$453,2,FALSE)*EE269*($K269)+IF($G269&lt;&gt;0,($H269/$G269)*EE269,0)*(1-$K269)</f>
        <v>3726655.054265135</v>
      </c>
      <c r="EG269" s="3236">
        <f>VLOOKUP($E269,EE$442:EH$453,3,FALSE)*EE269*($K269)+IF($G269&lt;&gt;0,($I269/$G269)*EE269,0)*(1-$K269)</f>
        <v>595093.60912332614</v>
      </c>
      <c r="EH269" s="3236">
        <f>VLOOKUP($E269,EE$442:EH$453,4,FALSE)*EE269*($K269)+(EE269-EF269-EG269)*(1-$K269)</f>
        <v>6644480.3366115401</v>
      </c>
      <c r="EI269" s="3264"/>
      <c r="EM269" s="3235">
        <f>$G269</f>
        <v>10966229</v>
      </c>
      <c r="EN269" s="3236">
        <f>VLOOKUP($E269,EM$442:EP$453,2,FALSE)*EM269*($K269)+IF($G269&lt;&gt;0,($H269/$G269)*EM269,0)*(1-$K269)</f>
        <v>3726655.054265135</v>
      </c>
      <c r="EO269" s="3236">
        <f>VLOOKUP($E269,EM$442:EP$453,3,FALSE)*EM269*($K269)+IF($G269&lt;&gt;0,($I269/$G269)*EM269,0)*(1-$K269)</f>
        <v>595093.60912332614</v>
      </c>
      <c r="EP269" s="3236">
        <f>VLOOKUP($E269,EM$442:EP$453,4,FALSE)*EM269*($K269)+(EM269-EN269-EO269)*(1-$K269)</f>
        <v>6644480.3366115401</v>
      </c>
      <c r="EQ269" s="3264"/>
      <c r="EU269" s="3235">
        <f>$G269</f>
        <v>10966229</v>
      </c>
      <c r="EV269" s="3236">
        <f>VLOOKUP($E269,EU$442:EX$453,2,FALSE)*EU269*($K269)+IF($G269&lt;&gt;0,($H269/$G269)*EU269,0)*(1-$K269)</f>
        <v>3726655.054265135</v>
      </c>
      <c r="EW269" s="3236">
        <f>VLOOKUP($E269,EU$442:EX$453,3,FALSE)*EU269*($K269)+IF($G269&lt;&gt;0,($I269/$G269)*EU269,0)*(1-$K269)</f>
        <v>595093.60912332614</v>
      </c>
      <c r="EX269" s="3236">
        <f>VLOOKUP($E269,EU$442:EX$453,4,FALSE)*EU269*($K269)+(EU269-EV269-EW269)*(1-$K269)</f>
        <v>6644480.3366115401</v>
      </c>
      <c r="EY269" s="3264"/>
      <c r="FC269" s="3235">
        <f>$G269</f>
        <v>10966229</v>
      </c>
      <c r="FD269" s="3236">
        <f>VLOOKUP($E269,FC$442:FF$453,2,FALSE)*FC269*($K269)+IF($G269&lt;&gt;0,($H269/$G269)*FC269,0)*(1-$K269)</f>
        <v>3726655.054265135</v>
      </c>
      <c r="FE269" s="3236">
        <f>VLOOKUP($E269,FC$442:FF$453,3,FALSE)*FC269*($K269)+IF($G269&lt;&gt;0,($I269/$G269)*FC269,0)*(1-$K269)</f>
        <v>595093.60912332614</v>
      </c>
      <c r="FF269" s="3236">
        <f>VLOOKUP($E269,FC$442:FF$453,4,FALSE)*FC269*($K269)+(FC269-FD269-FE269)*(1-$K269)</f>
        <v>6644480.3366115401</v>
      </c>
      <c r="FG269" s="3264"/>
      <c r="FK269" s="3235">
        <f>$G269</f>
        <v>10966229</v>
      </c>
      <c r="FL269" s="3236">
        <f>VLOOKUP($E269,FK$442:FN$453,2,FALSE)*FK269*($K269)+IF($G269&lt;&gt;0,($H269/$G269)*FK269,0)*(1-$K269)</f>
        <v>3726655.054265135</v>
      </c>
      <c r="FM269" s="3236">
        <f>VLOOKUP($E269,FK$442:FN$453,3,FALSE)*FK269*($K269)+IF($G269&lt;&gt;0,($I269/$G269)*FK269,0)*(1-$K269)</f>
        <v>595093.60912332614</v>
      </c>
      <c r="FN269" s="3236">
        <f>VLOOKUP($E269,FK$442:FN$453,4,FALSE)*FK269*($K269)+(FK269-FL269-FM269)*(1-$K269)</f>
        <v>6644480.3366115401</v>
      </c>
      <c r="FO269" s="3264"/>
    </row>
    <row r="270" spans="1:171" ht="12" thickBot="1">
      <c r="A270" s="3489"/>
      <c r="B270" s="2365" t="s">
        <v>151</v>
      </c>
      <c r="C270" s="2673">
        <v>262</v>
      </c>
      <c r="D270" s="2674">
        <v>408.1</v>
      </c>
      <c r="E270" s="2424" t="str">
        <f>'Sch 3A - Taxes'!E18</f>
        <v>DIST</v>
      </c>
      <c r="F270" s="2171"/>
      <c r="G270" s="2424">
        <f>'Sch 3A - Taxes'!F18</f>
        <v>0</v>
      </c>
      <c r="H270" s="2424">
        <f>'Sch 3A - Taxes'!G18</f>
        <v>0</v>
      </c>
      <c r="I270" s="2424">
        <f>'Sch 3A - Taxes'!H18</f>
        <v>0</v>
      </c>
      <c r="J270" s="3465">
        <f>'Sch 3A - Taxes'!I18</f>
        <v>0</v>
      </c>
      <c r="K270" s="3205">
        <f>IF($E270="DIRECT",0,1)</f>
        <v>1</v>
      </c>
      <c r="O270" s="3235">
        <f>$G270</f>
        <v>0</v>
      </c>
      <c r="P270" s="3236">
        <f>VLOOKUP($E270,O$442:R$453,2,FALSE)*O270*($K270)+IF($G270&lt;&gt;0,($H270/$G270)*O270,0)*(1-$K270)</f>
        <v>0</v>
      </c>
      <c r="Q270" s="3236">
        <f>VLOOKUP($E270,O$442:R$453,3,FALSE)*O270*($K270)+IF($G270&lt;&gt;0,($I270/$G270)*O270,0)*(1-$K270)</f>
        <v>0</v>
      </c>
      <c r="R270" s="3236">
        <f>VLOOKUP($E270,O$442:R$453,4,FALSE)*O270*($K270)+(O270-P270-Q270)*(1-$K270)</f>
        <v>0</v>
      </c>
      <c r="S270" s="3264"/>
      <c r="W270" s="3235">
        <f>$G270</f>
        <v>0</v>
      </c>
      <c r="X270" s="3236">
        <f>VLOOKUP($E270,W$442:Z$453,2,FALSE)*W270*($K270)+IF($G270&lt;&gt;0,($H270/$G270)*W270,0)*(1-$K270)</f>
        <v>0</v>
      </c>
      <c r="Y270" s="3236">
        <f>VLOOKUP($E270,W$442:Z$453,3,FALSE)*W270*($K270)+IF($G270&lt;&gt;0,($I270/$G270)*W270,0)*(1-$K270)</f>
        <v>0</v>
      </c>
      <c r="Z270" s="3236">
        <f>VLOOKUP($E270,W$442:Z$453,4,FALSE)*W270*($K270)+(W270-X270-Y270)*(1-$K270)</f>
        <v>0</v>
      </c>
      <c r="AA270" s="3264"/>
      <c r="AE270" s="3235">
        <f>$G270</f>
        <v>0</v>
      </c>
      <c r="AF270" s="3236">
        <f>VLOOKUP($E270,AE$442:AH$453,2,FALSE)*AE270*($K270)+IF($G270&lt;&gt;0,($H270/$G270)*AE270,0)*(1-$K270)</f>
        <v>0</v>
      </c>
      <c r="AG270" s="3236">
        <f>VLOOKUP($E270,AE$442:AH$453,3,FALSE)*AE270*($K270)+IF($G270&lt;&gt;0,($I270/$G270)*AE270,0)*(1-$K270)</f>
        <v>0</v>
      </c>
      <c r="AH270" s="3236">
        <f>VLOOKUP($E270,AE$442:AH$453,4,FALSE)*AE270*($K270)+(AE270-AF270-AG270)*(1-$K270)</f>
        <v>0</v>
      </c>
      <c r="AI270" s="3264"/>
      <c r="AM270" s="3235">
        <f>$G270</f>
        <v>0</v>
      </c>
      <c r="AN270" s="3236">
        <f>VLOOKUP($E270,AM$442:AP$453,2,FALSE)*AM270*($K270)+IF($G270&lt;&gt;0,($H270/$G270)*AM270,0)*(1-$K270)</f>
        <v>0</v>
      </c>
      <c r="AO270" s="3236">
        <f>VLOOKUP($E270,AM$442:AP$453,3,FALSE)*AM270*($K270)+IF($G270&lt;&gt;0,($I270/$G270)*AM270,0)*(1-$K270)</f>
        <v>0</v>
      </c>
      <c r="AP270" s="3236">
        <f>VLOOKUP($E270,AM$442:AP$453,4,FALSE)*AM270*($K270)+(AM270-AN270-AO270)*(1-$K270)</f>
        <v>0</v>
      </c>
      <c r="AQ270" s="3264"/>
      <c r="AU270" s="3235">
        <f>$G270</f>
        <v>0</v>
      </c>
      <c r="AV270" s="3236">
        <f>VLOOKUP($E270,AU$442:AX$453,2,FALSE)*AU270*($K270)+IF($G270&lt;&gt;0,($H270/$G270)*AU270,0)*(1-$K270)</f>
        <v>0</v>
      </c>
      <c r="AW270" s="3236">
        <f>VLOOKUP($E270,AU$442:AX$453,3,FALSE)*AU270*($K270)+IF($G270&lt;&gt;0,($I270/$G270)*AU270,0)*(1-$K270)</f>
        <v>0</v>
      </c>
      <c r="AX270" s="3236">
        <f>VLOOKUP($E270,AU$442:AX$453,4,FALSE)*AU270*($K270)+(AU270-AV270-AW270)*(1-$K270)</f>
        <v>0</v>
      </c>
      <c r="AY270" s="3264"/>
      <c r="BC270" s="3235">
        <f>$G270</f>
        <v>0</v>
      </c>
      <c r="BD270" s="3236">
        <f>VLOOKUP($E270,BC$442:BF$453,2,FALSE)*BC270*($K270)+IF($G270&lt;&gt;0,($H270/$G270)*BC270,0)*(1-$K270)</f>
        <v>0</v>
      </c>
      <c r="BE270" s="3236">
        <f>VLOOKUP($E270,BC$442:BF$453,3,FALSE)*BC270*($K270)+IF($G270&lt;&gt;0,($I270/$G270)*BC270,0)*(1-$K270)</f>
        <v>0</v>
      </c>
      <c r="BF270" s="3236">
        <f>VLOOKUP($E270,BC$442:BF$453,4,FALSE)*BC270*($K270)+(BC270-BD270-BE270)*(1-$K270)</f>
        <v>0</v>
      </c>
      <c r="BG270" s="3264"/>
      <c r="BK270" s="3235">
        <f>$G270</f>
        <v>0</v>
      </c>
      <c r="BL270" s="3236">
        <f>VLOOKUP($E270,BK$442:BN$453,2,FALSE)*BK270*($K270)+IF($G270&lt;&gt;0,($H270/$G270)*BK270,0)*(1-$K270)</f>
        <v>0</v>
      </c>
      <c r="BM270" s="3236">
        <f>VLOOKUP($E270,BK$442:BN$453,3,FALSE)*BK270*($K270)+IF($G270&lt;&gt;0,($I270/$G270)*BK270,0)*(1-$K270)</f>
        <v>0</v>
      </c>
      <c r="BN270" s="3236">
        <f>VLOOKUP($E270,BK$442:BN$453,4,FALSE)*BK270*($K270)+(BK270-BL270-BM270)*(1-$K270)</f>
        <v>0</v>
      </c>
      <c r="BO270" s="3264"/>
      <c r="BS270" s="3235">
        <f>$G270</f>
        <v>0</v>
      </c>
      <c r="BT270" s="3236">
        <f>VLOOKUP($E270,BS$442:BV$453,2,FALSE)*BS270*($K270)+IF($G270&lt;&gt;0,($H270/$G270)*BS270,0)*(1-$K270)</f>
        <v>0</v>
      </c>
      <c r="BU270" s="3236">
        <f>VLOOKUP($E270,BS$442:BV$453,3,FALSE)*BS270*($K270)+IF($G270&lt;&gt;0,($I270/$G270)*BS270,0)*(1-$K270)</f>
        <v>0</v>
      </c>
      <c r="BV270" s="3236">
        <f>VLOOKUP($E270,BS$442:BV$453,4,FALSE)*BS270*($K270)+(BS270-BT270-BU270)*(1-$K270)</f>
        <v>0</v>
      </c>
      <c r="BW270" s="3264"/>
      <c r="CA270" s="3235">
        <f>$G270</f>
        <v>0</v>
      </c>
      <c r="CB270" s="3236">
        <f>VLOOKUP($E270,CA$442:CD$453,2,FALSE)*CA270*($K270)+IF($G270&lt;&gt;0,($H270/$G270)*CA270,0)*(1-$K270)</f>
        <v>0</v>
      </c>
      <c r="CC270" s="3236">
        <f>VLOOKUP($E270,CA$442:CD$453,3,FALSE)*CA270*($K270)+IF($G270&lt;&gt;0,($I270/$G270)*CA270,0)*(1-$K270)</f>
        <v>0</v>
      </c>
      <c r="CD270" s="3236">
        <f>VLOOKUP($E270,CA$442:CD$453,4,FALSE)*CA270*($K270)+(CA270-CB270-CC270)*(1-$K270)</f>
        <v>0</v>
      </c>
      <c r="CE270" s="3264"/>
      <c r="CI270" s="3235">
        <f>$G270</f>
        <v>0</v>
      </c>
      <c r="CJ270" s="3236">
        <f>VLOOKUP($E270,CI$442:CL$453,2,FALSE)*CI270*($K270)+IF($G270&lt;&gt;0,($H270/$G270)*CI270,0)*(1-$K270)</f>
        <v>0</v>
      </c>
      <c r="CK270" s="3236">
        <f>VLOOKUP($E270,CI$442:CL$453,3,FALSE)*CI270*($K270)+IF($G270&lt;&gt;0,($I270/$G270)*CI270,0)*(1-$K270)</f>
        <v>0</v>
      </c>
      <c r="CL270" s="3236">
        <f>VLOOKUP($E270,CI$442:CL$453,4,FALSE)*CI270*($K270)+(CI270-CJ270-CK270)*(1-$K270)</f>
        <v>0</v>
      </c>
      <c r="CM270" s="3264"/>
      <c r="CQ270" s="3235">
        <f>$G270</f>
        <v>0</v>
      </c>
      <c r="CR270" s="3236">
        <f>VLOOKUP($E270,CQ$442:CT$453,2,FALSE)*CQ270*($K270)+IF($G270&lt;&gt;0,($H270/$G270)*CQ270,0)*(1-$K270)</f>
        <v>0</v>
      </c>
      <c r="CS270" s="3236">
        <f>VLOOKUP($E270,CQ$442:CT$453,3,FALSE)*CQ270*($K270)+IF($G270&lt;&gt;0,($I270/$G270)*CQ270,0)*(1-$K270)</f>
        <v>0</v>
      </c>
      <c r="CT270" s="3236">
        <f>VLOOKUP($E270,CQ$442:CT$453,4,FALSE)*CQ270*($K270)+(CQ270-CR270-CS270)*(1-$K270)</f>
        <v>0</v>
      </c>
      <c r="CU270" s="3264"/>
      <c r="CY270" s="3235">
        <f>$G270</f>
        <v>0</v>
      </c>
      <c r="CZ270" s="3236">
        <f>VLOOKUP($E270,CY$442:DB$453,2,FALSE)*CY270*($K270)+IF($G270&lt;&gt;0,($H270/$G270)*CY270,0)*(1-$K270)</f>
        <v>0</v>
      </c>
      <c r="DA270" s="3236">
        <f>VLOOKUP($E270,CY$442:DB$453,3,FALSE)*CY270*($K270)+IF($G270&lt;&gt;0,($I270/$G270)*CY270,0)*(1-$K270)</f>
        <v>0</v>
      </c>
      <c r="DB270" s="3236">
        <f>VLOOKUP($E270,CY$442:DB$453,4,FALSE)*CY270*($K270)+(CY270-CZ270-DA270)*(1-$K270)</f>
        <v>0</v>
      </c>
      <c r="DC270" s="3264"/>
      <c r="DG270" s="3235">
        <f>$G270</f>
        <v>0</v>
      </c>
      <c r="DH270" s="3236">
        <f>VLOOKUP($E270,DG$442:DJ$453,2,FALSE)*DG270*($K270)+IF($G270&lt;&gt;0,($H270/$G270)*DG270,0)*(1-$K270)</f>
        <v>0</v>
      </c>
      <c r="DI270" s="3236">
        <f>VLOOKUP($E270,DG$442:DJ$453,3,FALSE)*DG270*($K270)+IF($G270&lt;&gt;0,($I270/$G270)*DG270,0)*(1-$K270)</f>
        <v>0</v>
      </c>
      <c r="DJ270" s="3236">
        <f>VLOOKUP($E270,DG$442:DJ$453,4,FALSE)*DG270*($K270)+(DG270-DH270-DI270)*(1-$K270)</f>
        <v>0</v>
      </c>
      <c r="DK270" s="3264"/>
      <c r="DO270" s="3235">
        <f>$G270</f>
        <v>0</v>
      </c>
      <c r="DP270" s="3236">
        <f>VLOOKUP($E270,DO$442:DR$453,2,FALSE)*DO270*($K270)+IF($G270&lt;&gt;0,($H270/$G270)*DO270,0)*(1-$K270)</f>
        <v>0</v>
      </c>
      <c r="DQ270" s="3236">
        <f>VLOOKUP($E270,DO$442:DR$453,3,FALSE)*DO270*($K270)+IF($G270&lt;&gt;0,($I270/$G270)*DO270,0)*(1-$K270)</f>
        <v>0</v>
      </c>
      <c r="DR270" s="3236">
        <f>VLOOKUP($E270,DO$442:DR$453,4,FALSE)*DO270*($K270)+(DO270-DP270-DQ270)*(1-$K270)</f>
        <v>0</v>
      </c>
      <c r="DS270" s="3264"/>
      <c r="DW270" s="3235">
        <f>$G270</f>
        <v>0</v>
      </c>
      <c r="DX270" s="3236">
        <f>VLOOKUP($E270,DW$442:DZ$453,2,FALSE)*DW270*($K270)+IF($G270&lt;&gt;0,($H270/$G270)*DW270,0)*(1-$K270)</f>
        <v>0</v>
      </c>
      <c r="DY270" s="3236">
        <f>VLOOKUP($E270,DW$442:DZ$453,3,FALSE)*DW270*($K270)+IF($G270&lt;&gt;0,($I270/$G270)*DW270,0)*(1-$K270)</f>
        <v>0</v>
      </c>
      <c r="DZ270" s="3236">
        <f>VLOOKUP($E270,DW$442:DZ$453,4,FALSE)*DW270*($K270)+(DW270-DX270-DY270)*(1-$K270)</f>
        <v>0</v>
      </c>
      <c r="EA270" s="3264"/>
      <c r="EE270" s="3235">
        <f>$G270</f>
        <v>0</v>
      </c>
      <c r="EF270" s="3236">
        <f>VLOOKUP($E270,EE$442:EH$453,2,FALSE)*EE270*($K270)+IF($G270&lt;&gt;0,($H270/$G270)*EE270,0)*(1-$K270)</f>
        <v>0</v>
      </c>
      <c r="EG270" s="3236">
        <f>VLOOKUP($E270,EE$442:EH$453,3,FALSE)*EE270*($K270)+IF($G270&lt;&gt;0,($I270/$G270)*EE270,0)*(1-$K270)</f>
        <v>0</v>
      </c>
      <c r="EH270" s="3236">
        <f>VLOOKUP($E270,EE$442:EH$453,4,FALSE)*EE270*($K270)+(EE270-EF270-EG270)*(1-$K270)</f>
        <v>0</v>
      </c>
      <c r="EI270" s="3264"/>
      <c r="EM270" s="3235">
        <f>$G270</f>
        <v>0</v>
      </c>
      <c r="EN270" s="3236">
        <f>VLOOKUP($E270,EM$442:EP$453,2,FALSE)*EM270*($K270)+IF($G270&lt;&gt;0,($H270/$G270)*EM270,0)*(1-$K270)</f>
        <v>0</v>
      </c>
      <c r="EO270" s="3236">
        <f>VLOOKUP($E270,EM$442:EP$453,3,FALSE)*EM270*($K270)+IF($G270&lt;&gt;0,($I270/$G270)*EM270,0)*(1-$K270)</f>
        <v>0</v>
      </c>
      <c r="EP270" s="3236">
        <f>VLOOKUP($E270,EM$442:EP$453,4,FALSE)*EM270*($K270)+(EM270-EN270-EO270)*(1-$K270)</f>
        <v>0</v>
      </c>
      <c r="EQ270" s="3264"/>
      <c r="EU270" s="3235">
        <f>$G270</f>
        <v>0</v>
      </c>
      <c r="EV270" s="3236">
        <f>VLOOKUP($E270,EU$442:EX$453,2,FALSE)*EU270*($K270)+IF($G270&lt;&gt;0,($H270/$G270)*EU270,0)*(1-$K270)</f>
        <v>0</v>
      </c>
      <c r="EW270" s="3236">
        <f>VLOOKUP($E270,EU$442:EX$453,3,FALSE)*EU270*($K270)+IF($G270&lt;&gt;0,($I270/$G270)*EU270,0)*(1-$K270)</f>
        <v>0</v>
      </c>
      <c r="EX270" s="3236">
        <f>VLOOKUP($E270,EU$442:EX$453,4,FALSE)*EU270*($K270)+(EU270-EV270-EW270)*(1-$K270)</f>
        <v>0</v>
      </c>
      <c r="EY270" s="3264"/>
      <c r="FC270" s="3235">
        <f>$G270</f>
        <v>0</v>
      </c>
      <c r="FD270" s="3236">
        <f>VLOOKUP($E270,FC$442:FF$453,2,FALSE)*FC270*($K270)+IF($G270&lt;&gt;0,($H270/$G270)*FC270,0)*(1-$K270)</f>
        <v>0</v>
      </c>
      <c r="FE270" s="3236">
        <f>VLOOKUP($E270,FC$442:FF$453,3,FALSE)*FC270*($K270)+IF($G270&lt;&gt;0,($I270/$G270)*FC270,0)*(1-$K270)</f>
        <v>0</v>
      </c>
      <c r="FF270" s="3236">
        <f>VLOOKUP($E270,FC$442:FF$453,4,FALSE)*FC270*($K270)+(FC270-FD270-FE270)*(1-$K270)</f>
        <v>0</v>
      </c>
      <c r="FG270" s="3264"/>
      <c r="FK270" s="3235">
        <f>$G270</f>
        <v>0</v>
      </c>
      <c r="FL270" s="3236">
        <f>VLOOKUP($E270,FK$442:FN$453,2,FALSE)*FK270*($K270)+IF($G270&lt;&gt;0,($H270/$G270)*FK270,0)*(1-$K270)</f>
        <v>0</v>
      </c>
      <c r="FM270" s="3236">
        <f>VLOOKUP($E270,FK$442:FN$453,3,FALSE)*FK270*($K270)+IF($G270&lt;&gt;0,($I270/$G270)*FK270,0)*(1-$K270)</f>
        <v>0</v>
      </c>
      <c r="FN270" s="3236">
        <f>VLOOKUP($E270,FK$442:FN$453,4,FALSE)*FK270*($K270)+(FK270-FL270-FM270)*(1-$K270)</f>
        <v>0</v>
      </c>
      <c r="FO270" s="3264"/>
    </row>
    <row r="271" spans="1:171" ht="12" thickBot="1">
      <c r="A271" s="3517" t="s">
        <v>37</v>
      </c>
      <c r="B271" s="2676"/>
      <c r="C271" s="3256"/>
      <c r="D271" s="3257"/>
      <c r="E271" s="3257"/>
      <c r="F271" s="3258"/>
      <c r="G271" s="3265">
        <f>SUM(G268:G270)</f>
        <v>192167248</v>
      </c>
      <c r="H271" s="3265">
        <f>SUM(H268:H270)</f>
        <v>3726655.054265135</v>
      </c>
      <c r="I271" s="3265">
        <f>SUM(I268:I270)</f>
        <v>0</v>
      </c>
      <c r="J271" s="3474">
        <f>SUM(J268:J270)</f>
        <v>188440592.94573486</v>
      </c>
      <c r="K271" s="3205"/>
      <c r="O271" s="3349">
        <f>SUM(O268:O270)</f>
        <v>192167248</v>
      </c>
      <c r="P271" s="3350">
        <f>SUM(P268:P270)</f>
        <v>3726655.054265135</v>
      </c>
      <c r="Q271" s="3350">
        <f>SUM(Q268:Q270)</f>
        <v>595093.60912332614</v>
      </c>
      <c r="R271" s="3350">
        <f>SUM(R268:R270)</f>
        <v>187845499.33661154</v>
      </c>
      <c r="S271" s="3264"/>
      <c r="W271" s="3349">
        <f>SUM(W268:W270)</f>
        <v>192167248</v>
      </c>
      <c r="X271" s="3350">
        <f>SUM(X268:X270)</f>
        <v>3726655.054265135</v>
      </c>
      <c r="Y271" s="3350">
        <f>SUM(Y268:Y270)</f>
        <v>595093.60912332614</v>
      </c>
      <c r="Z271" s="3350">
        <f>SUM(Z268:Z270)</f>
        <v>187845499.33661154</v>
      </c>
      <c r="AA271" s="3264"/>
      <c r="AE271" s="3349">
        <f>SUM(AE268:AE270)</f>
        <v>192167248</v>
      </c>
      <c r="AF271" s="3350">
        <f>SUM(AF268:AF270)</f>
        <v>3726655.054265135</v>
      </c>
      <c r="AG271" s="3350">
        <f>SUM(AG268:AG270)</f>
        <v>595093.60912332614</v>
      </c>
      <c r="AH271" s="3350">
        <f>SUM(AH268:AH270)</f>
        <v>187845499.33661154</v>
      </c>
      <c r="AI271" s="3264"/>
      <c r="AM271" s="3349">
        <f>SUM(AM268:AM270)</f>
        <v>192167248</v>
      </c>
      <c r="AN271" s="3350">
        <f>SUM(AN268:AN270)</f>
        <v>3726655.054265135</v>
      </c>
      <c r="AO271" s="3350">
        <f>SUM(AO268:AO270)</f>
        <v>595093.60912332614</v>
      </c>
      <c r="AP271" s="3350">
        <f>SUM(AP268:AP270)</f>
        <v>187845499.33661154</v>
      </c>
      <c r="AQ271" s="3264"/>
      <c r="AU271" s="3349">
        <f>SUM(AU268:AU270)</f>
        <v>192167248</v>
      </c>
      <c r="AV271" s="3350">
        <f>SUM(AV268:AV270)</f>
        <v>3726655.054265135</v>
      </c>
      <c r="AW271" s="3350">
        <f>SUM(AW268:AW270)</f>
        <v>595093.60912332614</v>
      </c>
      <c r="AX271" s="3350">
        <f>SUM(AX268:AX270)</f>
        <v>187845499.33661154</v>
      </c>
      <c r="AY271" s="3264"/>
      <c r="BC271" s="3349">
        <f>SUM(BC268:BC270)</f>
        <v>192167248</v>
      </c>
      <c r="BD271" s="3350">
        <f>SUM(BD268:BD270)</f>
        <v>3726655.054265135</v>
      </c>
      <c r="BE271" s="3350">
        <f>SUM(BE268:BE270)</f>
        <v>595093.60912332614</v>
      </c>
      <c r="BF271" s="3350">
        <f>SUM(BF268:BF270)</f>
        <v>187845499.33661154</v>
      </c>
      <c r="BG271" s="3264"/>
      <c r="BK271" s="3349">
        <f>SUM(BK268:BK270)</f>
        <v>192167248</v>
      </c>
      <c r="BL271" s="3350">
        <f>SUM(BL268:BL270)</f>
        <v>3726655.054265135</v>
      </c>
      <c r="BM271" s="3350">
        <f>SUM(BM268:BM270)</f>
        <v>595093.60912332614</v>
      </c>
      <c r="BN271" s="3350">
        <f>SUM(BN268:BN270)</f>
        <v>187845499.33661154</v>
      </c>
      <c r="BO271" s="3264"/>
      <c r="BS271" s="3349">
        <f>SUM(BS268:BS270)</f>
        <v>192167248</v>
      </c>
      <c r="BT271" s="3350">
        <f>SUM(BT268:BT270)</f>
        <v>3726655.054265135</v>
      </c>
      <c r="BU271" s="3350">
        <f>SUM(BU268:BU270)</f>
        <v>595093.60912332614</v>
      </c>
      <c r="BV271" s="3350">
        <f>SUM(BV268:BV270)</f>
        <v>187845499.33661154</v>
      </c>
      <c r="BW271" s="3264"/>
      <c r="CA271" s="3349">
        <f>SUM(CA268:CA270)</f>
        <v>192167248</v>
      </c>
      <c r="CB271" s="3350">
        <f>SUM(CB268:CB270)</f>
        <v>3726655.054265135</v>
      </c>
      <c r="CC271" s="3350">
        <f>SUM(CC268:CC270)</f>
        <v>595093.60912332614</v>
      </c>
      <c r="CD271" s="3350">
        <f>SUM(CD268:CD270)</f>
        <v>187845499.33661154</v>
      </c>
      <c r="CE271" s="3264"/>
      <c r="CI271" s="3349">
        <f>SUM(CI268:CI270)</f>
        <v>192167248</v>
      </c>
      <c r="CJ271" s="3350">
        <f>SUM(CJ268:CJ270)</f>
        <v>3726655.054265135</v>
      </c>
      <c r="CK271" s="3350">
        <f>SUM(CK268:CK270)</f>
        <v>595093.60912332614</v>
      </c>
      <c r="CL271" s="3350">
        <f>SUM(CL268:CL270)</f>
        <v>187845499.33661154</v>
      </c>
      <c r="CM271" s="3264"/>
      <c r="CQ271" s="3349">
        <f>SUM(CQ268:CQ270)</f>
        <v>192167248</v>
      </c>
      <c r="CR271" s="3350">
        <f>SUM(CR268:CR270)</f>
        <v>3726655.054265135</v>
      </c>
      <c r="CS271" s="3350">
        <f>SUM(CS268:CS270)</f>
        <v>595093.60912332614</v>
      </c>
      <c r="CT271" s="3350">
        <f>SUM(CT268:CT270)</f>
        <v>187845499.33661154</v>
      </c>
      <c r="CU271" s="3264"/>
      <c r="CY271" s="3349">
        <f>SUM(CY268:CY270)</f>
        <v>192167248</v>
      </c>
      <c r="CZ271" s="3350">
        <f>SUM(CZ268:CZ270)</f>
        <v>3726655.054265135</v>
      </c>
      <c r="DA271" s="3350">
        <f>SUM(DA268:DA270)</f>
        <v>595093.60912332614</v>
      </c>
      <c r="DB271" s="3350">
        <f>SUM(DB268:DB270)</f>
        <v>187845499.33661154</v>
      </c>
      <c r="DC271" s="3264"/>
      <c r="DG271" s="3349">
        <f>SUM(DG268:DG270)</f>
        <v>192167248</v>
      </c>
      <c r="DH271" s="3350">
        <f>SUM(DH268:DH270)</f>
        <v>3726655.054265135</v>
      </c>
      <c r="DI271" s="3350">
        <f>SUM(DI268:DI270)</f>
        <v>595093.60912332614</v>
      </c>
      <c r="DJ271" s="3350">
        <f>SUM(DJ268:DJ270)</f>
        <v>187845499.33661154</v>
      </c>
      <c r="DK271" s="3264"/>
      <c r="DO271" s="3349">
        <f>SUM(DO268:DO270)</f>
        <v>192167248</v>
      </c>
      <c r="DP271" s="3350">
        <f>SUM(DP268:DP270)</f>
        <v>3726655.054265135</v>
      </c>
      <c r="DQ271" s="3350">
        <f>SUM(DQ268:DQ270)</f>
        <v>595093.60912332614</v>
      </c>
      <c r="DR271" s="3350">
        <f>SUM(DR268:DR270)</f>
        <v>187845499.33661154</v>
      </c>
      <c r="DS271" s="3264"/>
      <c r="DW271" s="3349">
        <f>SUM(DW268:DW270)</f>
        <v>192167248</v>
      </c>
      <c r="DX271" s="3350">
        <f>SUM(DX268:DX270)</f>
        <v>3726655.054265135</v>
      </c>
      <c r="DY271" s="3350">
        <f>SUM(DY268:DY270)</f>
        <v>595093.60912332614</v>
      </c>
      <c r="DZ271" s="3350">
        <f>SUM(DZ268:DZ270)</f>
        <v>187845499.33661154</v>
      </c>
      <c r="EA271" s="3264"/>
      <c r="EE271" s="3349">
        <f>SUM(EE268:EE270)</f>
        <v>192167248</v>
      </c>
      <c r="EF271" s="3350">
        <f>SUM(EF268:EF270)</f>
        <v>3726655.054265135</v>
      </c>
      <c r="EG271" s="3350">
        <f>SUM(EG268:EG270)</f>
        <v>595093.60912332614</v>
      </c>
      <c r="EH271" s="3350">
        <f>SUM(EH268:EH270)</f>
        <v>187845499.33661154</v>
      </c>
      <c r="EI271" s="3264"/>
      <c r="EM271" s="3349">
        <f>SUM(EM268:EM270)</f>
        <v>192167248</v>
      </c>
      <c r="EN271" s="3350">
        <f>SUM(EN268:EN270)</f>
        <v>3726655.054265135</v>
      </c>
      <c r="EO271" s="3350">
        <f>SUM(EO268:EO270)</f>
        <v>595093.60912332614</v>
      </c>
      <c r="EP271" s="3350">
        <f>SUM(EP268:EP270)</f>
        <v>187845499.33661154</v>
      </c>
      <c r="EQ271" s="3264"/>
      <c r="EU271" s="3349">
        <f>SUM(EU268:EU270)</f>
        <v>192167248</v>
      </c>
      <c r="EV271" s="3350">
        <f>SUM(EV268:EV270)</f>
        <v>3726655.054265135</v>
      </c>
      <c r="EW271" s="3350">
        <f>SUM(EW268:EW270)</f>
        <v>595093.60912332614</v>
      </c>
      <c r="EX271" s="3350">
        <f>SUM(EX268:EX270)</f>
        <v>187845499.33661154</v>
      </c>
      <c r="EY271" s="3264"/>
      <c r="FC271" s="3349">
        <f>SUM(FC268:FC270)</f>
        <v>192167248</v>
      </c>
      <c r="FD271" s="3350">
        <f>SUM(FD268:FD270)</f>
        <v>3726655.054265135</v>
      </c>
      <c r="FE271" s="3350">
        <f>SUM(FE268:FE270)</f>
        <v>595093.60912332614</v>
      </c>
      <c r="FF271" s="3350">
        <f>SUM(FF268:FF270)</f>
        <v>187845499.33661154</v>
      </c>
      <c r="FG271" s="3264"/>
      <c r="FK271" s="3349">
        <f>SUM(FK268:FK270)</f>
        <v>192167248</v>
      </c>
      <c r="FL271" s="3350">
        <f>SUM(FL268:FL270)</f>
        <v>3726655.054265135</v>
      </c>
      <c r="FM271" s="3350">
        <f>SUM(FM268:FM270)</f>
        <v>595093.60912332614</v>
      </c>
      <c r="FN271" s="3350">
        <f>SUM(FN268:FN270)</f>
        <v>187845499.33661154</v>
      </c>
      <c r="FO271" s="3264"/>
    </row>
    <row r="272" spans="1:171">
      <c r="A272" s="3517"/>
      <c r="B272" s="2676"/>
      <c r="C272" s="3351"/>
      <c r="D272" s="3352"/>
      <c r="E272" s="2098"/>
      <c r="F272" s="2098"/>
      <c r="G272" s="2670"/>
      <c r="H272" s="2670"/>
      <c r="I272" s="2670"/>
      <c r="J272" s="3518"/>
      <c r="K272" s="3205"/>
      <c r="S272" s="3264"/>
      <c r="AA272" s="3264"/>
      <c r="AI272" s="3264"/>
      <c r="AQ272" s="3264"/>
      <c r="AY272" s="3264"/>
      <c r="BG272" s="3264"/>
      <c r="BO272" s="3264"/>
      <c r="BW272" s="3264"/>
      <c r="CE272" s="3264"/>
      <c r="CM272" s="3264"/>
      <c r="CU272" s="3264"/>
      <c r="DC272" s="3264"/>
      <c r="DK272" s="3264"/>
      <c r="DS272" s="3264"/>
      <c r="EA272" s="3264"/>
      <c r="EI272" s="3264"/>
      <c r="EQ272" s="3264"/>
      <c r="EY272" s="3264"/>
      <c r="FG272" s="3264"/>
      <c r="FO272" s="3264"/>
    </row>
    <row r="273" spans="1:171">
      <c r="A273" s="3519" t="s">
        <v>38</v>
      </c>
      <c r="B273" s="2365"/>
      <c r="C273" s="2353"/>
      <c r="D273" s="2356"/>
      <c r="E273" s="2098"/>
      <c r="F273" s="2098"/>
      <c r="G273" s="2670"/>
      <c r="H273" s="2670"/>
      <c r="I273" s="2670"/>
      <c r="J273" s="3518"/>
      <c r="K273" s="3205"/>
      <c r="S273" s="3264"/>
      <c r="AA273" s="3264"/>
      <c r="AI273" s="3264"/>
      <c r="AQ273" s="3264"/>
      <c r="AY273" s="3264"/>
      <c r="BG273" s="3264"/>
      <c r="BO273" s="3264"/>
      <c r="BW273" s="3264"/>
      <c r="CE273" s="3264"/>
      <c r="CM273" s="3264"/>
      <c r="CU273" s="3264"/>
      <c r="DC273" s="3264"/>
      <c r="DK273" s="3264"/>
      <c r="DS273" s="3264"/>
      <c r="EA273" s="3264"/>
      <c r="EI273" s="3264"/>
      <c r="EQ273" s="3264"/>
      <c r="EY273" s="3264"/>
      <c r="FG273" s="3264"/>
      <c r="FO273" s="3264"/>
    </row>
    <row r="274" spans="1:171">
      <c r="A274" s="3480">
        <v>96000</v>
      </c>
      <c r="B274" s="2365" t="s">
        <v>566</v>
      </c>
      <c r="C274" s="2673">
        <v>262</v>
      </c>
      <c r="D274" s="2674">
        <v>408.1</v>
      </c>
      <c r="E274" s="2424" t="str">
        <f>'Sch 3A - Taxes'!E22</f>
        <v>PTDG</v>
      </c>
      <c r="F274" s="2171"/>
      <c r="G274" s="2424">
        <f>'Sch 3A - Taxes'!F22</f>
        <v>47092120</v>
      </c>
      <c r="H274" s="2424">
        <f>'Sch 3A - Taxes'!G22</f>
        <v>16476242.140085313</v>
      </c>
      <c r="I274" s="2424">
        <f>'Sch 3A - Taxes'!H22</f>
        <v>0</v>
      </c>
      <c r="J274" s="3465">
        <f>'Sch 3A - Taxes'!I22</f>
        <v>30615877.850901406</v>
      </c>
      <c r="K274" s="3205">
        <f t="shared" ref="K274:K280" si="730">IF($E274="DIRECT",0,1)</f>
        <v>1</v>
      </c>
      <c r="N274" s="3434">
        <f>VLOOKUP($A274,'New Resources - Group'!$A$4:$Y$133,N$2,FALSE)*N$1</f>
        <v>0</v>
      </c>
      <c r="O274" s="3235">
        <f>$G274+N274</f>
        <v>47092120</v>
      </c>
      <c r="P274" s="3236">
        <f t="shared" ref="P274:P280" si="731">VLOOKUP($E274,O$442:R$453,2,FALSE)*O274*($K274)+IF($G274&lt;&gt;0,($H274/$G274)*O274,0)*(1-$K274)</f>
        <v>16476242.140085313</v>
      </c>
      <c r="Q274" s="3236">
        <f t="shared" ref="Q274:Q280" si="732">VLOOKUP($E274,O$442:R$453,3,FALSE)*O274*($K274)+IF($G274&lt;&gt;0,($I274/$G274)*O274,0)*(1-$K274)</f>
        <v>8267739.5594563298</v>
      </c>
      <c r="R274" s="3236">
        <f t="shared" ref="R274:R280" si="733">VLOOKUP($E274,O$442:R$453,4,FALSE)*O274*($K274)+(O274-P274-Q274)*(1-$K274)</f>
        <v>22348138.300458357</v>
      </c>
      <c r="S274" s="3264"/>
      <c r="V274" s="3434">
        <f>VLOOKUP($A274,'New Resources - Group'!$A$4:$Y$133,V$2,FALSE)*V$1</f>
        <v>0</v>
      </c>
      <c r="W274" s="3235">
        <f>$G274+V274</f>
        <v>47092120</v>
      </c>
      <c r="X274" s="3236">
        <f t="shared" ref="X274:X280" si="734">VLOOKUP($E274,W$442:Z$453,2,FALSE)*W274*($K274)+IF($G274&lt;&gt;0,($H274/$G274)*W274,0)*(1-$K274)</f>
        <v>16476242.140085313</v>
      </c>
      <c r="Y274" s="3236">
        <f t="shared" ref="Y274:Y280" si="735">VLOOKUP($E274,W$442:Z$453,3,FALSE)*W274*($K274)+IF($G274&lt;&gt;0,($I274/$G274)*W274,0)*(1-$K274)</f>
        <v>8267739.5594563298</v>
      </c>
      <c r="Z274" s="3236">
        <f t="shared" ref="Z274:Z280" si="736">VLOOKUP($E274,W$442:Z$453,4,FALSE)*W274*($K274)+(W274-X274-Y274)*(1-$K274)</f>
        <v>22348138.300458357</v>
      </c>
      <c r="AA274" s="3264"/>
      <c r="AD274" s="3434">
        <f>VLOOKUP($A274,'New Resources - Group'!$A$4:$Y$133,AD$2,FALSE)*AD$1</f>
        <v>0</v>
      </c>
      <c r="AE274" s="3235">
        <f>$G274+AD274</f>
        <v>47092120</v>
      </c>
      <c r="AF274" s="3236">
        <f t="shared" ref="AF274:AF280" si="737">VLOOKUP($E274,AE$442:AH$453,2,FALSE)*AE274*($K274)+IF($G274&lt;&gt;0,($H274/$G274)*AE274,0)*(1-$K274)</f>
        <v>16476242.140085313</v>
      </c>
      <c r="AG274" s="3236">
        <f t="shared" ref="AG274:AG280" si="738">VLOOKUP($E274,AE$442:AH$453,3,FALSE)*AE274*($K274)+IF($G274&lt;&gt;0,($I274/$G274)*AE274,0)*(1-$K274)</f>
        <v>8267739.5594563298</v>
      </c>
      <c r="AH274" s="3236">
        <f t="shared" ref="AH274:AH280" si="739">VLOOKUP($E274,AE$442:AH$453,4,FALSE)*AE274*($K274)+(AE274-AF274-AG274)*(1-$K274)</f>
        <v>22348138.300458357</v>
      </c>
      <c r="AI274" s="3264"/>
      <c r="AL274" s="3434">
        <f>VLOOKUP($A274,'New Resources - Group'!$A$4:$Y$133,AL$2,FALSE)*AL$1</f>
        <v>0</v>
      </c>
      <c r="AM274" s="3235">
        <f>$G274+AL274</f>
        <v>47092120</v>
      </c>
      <c r="AN274" s="3236">
        <f t="shared" ref="AN274:AN280" si="740">VLOOKUP($E274,AM$442:AP$453,2,FALSE)*AM274*($K274)+IF($G274&lt;&gt;0,($H274/$G274)*AM274,0)*(1-$K274)</f>
        <v>16476242.140085313</v>
      </c>
      <c r="AO274" s="3236">
        <f t="shared" ref="AO274:AO280" si="741">VLOOKUP($E274,AM$442:AP$453,3,FALSE)*AM274*($K274)+IF($G274&lt;&gt;0,($I274/$G274)*AM274,0)*(1-$K274)</f>
        <v>8267739.5594563298</v>
      </c>
      <c r="AP274" s="3236">
        <f t="shared" ref="AP274:AP280" si="742">VLOOKUP($E274,AM$442:AP$453,4,FALSE)*AM274*($K274)+(AM274-AN274-AO274)*(1-$K274)</f>
        <v>22348138.300458357</v>
      </c>
      <c r="AQ274" s="3264"/>
      <c r="AT274" s="3434">
        <f>VLOOKUP($A274,'New Resources - Group'!$A$4:$Y$133,AT$2,FALSE)*AT$1</f>
        <v>0</v>
      </c>
      <c r="AU274" s="3235">
        <f>$G274+AT274</f>
        <v>47092120</v>
      </c>
      <c r="AV274" s="3236">
        <f t="shared" ref="AV274:AV280" si="743">VLOOKUP($E274,AU$442:AX$453,2,FALSE)*AU274*($K274)+IF($G274&lt;&gt;0,($H274/$G274)*AU274,0)*(1-$K274)</f>
        <v>16476242.140085313</v>
      </c>
      <c r="AW274" s="3236">
        <f t="shared" ref="AW274:AW280" si="744">VLOOKUP($E274,AU$442:AX$453,3,FALSE)*AU274*($K274)+IF($G274&lt;&gt;0,($I274/$G274)*AU274,0)*(1-$K274)</f>
        <v>8267739.5594563298</v>
      </c>
      <c r="AX274" s="3236">
        <f t="shared" ref="AX274:AX280" si="745">VLOOKUP($E274,AU$442:AX$453,4,FALSE)*AU274*($K274)+(AU274-AV274-AW274)*(1-$K274)</f>
        <v>22348138.300458357</v>
      </c>
      <c r="AY274" s="3264"/>
      <c r="BB274" s="3434">
        <f>VLOOKUP($A274,'New Resources - Group'!$A$4:$Y$133,BB$2,FALSE)*BB$1</f>
        <v>0</v>
      </c>
      <c r="BC274" s="3235">
        <f>$G274+BB274</f>
        <v>47092120</v>
      </c>
      <c r="BD274" s="3236">
        <f t="shared" ref="BD274:BD280" si="746">VLOOKUP($E274,BC$442:BF$453,2,FALSE)*BC274*($K274)+IF($G274&lt;&gt;0,($H274/$G274)*BC274,0)*(1-$K274)</f>
        <v>16476242.140085313</v>
      </c>
      <c r="BE274" s="3236">
        <f t="shared" ref="BE274:BE280" si="747">VLOOKUP($E274,BC$442:BF$453,3,FALSE)*BC274*($K274)+IF($G274&lt;&gt;0,($I274/$G274)*BC274,0)*(1-$K274)</f>
        <v>8267739.5594563298</v>
      </c>
      <c r="BF274" s="3236">
        <f t="shared" ref="BF274:BF280" si="748">VLOOKUP($E274,BC$442:BF$453,4,FALSE)*BC274*($K274)+(BC274-BD274-BE274)*(1-$K274)</f>
        <v>22348138.300458357</v>
      </c>
      <c r="BG274" s="3264"/>
      <c r="BJ274" s="3434">
        <f>VLOOKUP($A274,'New Resources - Group'!$A$4:$Y$133,BJ$2,FALSE)*BJ$1</f>
        <v>0</v>
      </c>
      <c r="BK274" s="3235">
        <f>$G274+BJ274</f>
        <v>47092120</v>
      </c>
      <c r="BL274" s="3236">
        <f t="shared" ref="BL274:BL280" si="749">VLOOKUP($E274,BK$442:BN$453,2,FALSE)*BK274*($K274)+IF($G274&lt;&gt;0,($H274/$G274)*BK274,0)*(1-$K274)</f>
        <v>16476242.140085313</v>
      </c>
      <c r="BM274" s="3236">
        <f t="shared" ref="BM274:BM280" si="750">VLOOKUP($E274,BK$442:BN$453,3,FALSE)*BK274*($K274)+IF($G274&lt;&gt;0,($I274/$G274)*BK274,0)*(1-$K274)</f>
        <v>8267739.5594563298</v>
      </c>
      <c r="BN274" s="3236">
        <f t="shared" ref="BN274:BN280" si="751">VLOOKUP($E274,BK$442:BN$453,4,FALSE)*BK274*($K274)+(BK274-BL274-BM274)*(1-$K274)</f>
        <v>22348138.300458357</v>
      </c>
      <c r="BO274" s="3264"/>
      <c r="BR274" s="3434">
        <f>VLOOKUP($A274,'New Resources - Group'!$A$4:$Y$133,BR$2,FALSE)*BR$1</f>
        <v>0</v>
      </c>
      <c r="BS274" s="3235">
        <f>$G274+BR274</f>
        <v>47092120</v>
      </c>
      <c r="BT274" s="3236">
        <f t="shared" ref="BT274:BT280" si="752">VLOOKUP($E274,BS$442:BV$453,2,FALSE)*BS274*($K274)+IF($G274&lt;&gt;0,($H274/$G274)*BS274,0)*(1-$K274)</f>
        <v>16476242.140085313</v>
      </c>
      <c r="BU274" s="3236">
        <f t="shared" ref="BU274:BU280" si="753">VLOOKUP($E274,BS$442:BV$453,3,FALSE)*BS274*($K274)+IF($G274&lt;&gt;0,($I274/$G274)*BS274,0)*(1-$K274)</f>
        <v>8267739.5594563298</v>
      </c>
      <c r="BV274" s="3236">
        <f t="shared" ref="BV274:BV280" si="754">VLOOKUP($E274,BS$442:BV$453,4,FALSE)*BS274*($K274)+(BS274-BT274-BU274)*(1-$K274)</f>
        <v>22348138.300458357</v>
      </c>
      <c r="BW274" s="3264"/>
      <c r="BZ274" s="3434">
        <f>VLOOKUP($A274,'New Resources - Group'!$A$4:$Y$133,BZ$2,FALSE)*BZ$1</f>
        <v>0</v>
      </c>
      <c r="CA274" s="3235">
        <f>$G274+BZ274</f>
        <v>47092120</v>
      </c>
      <c r="CB274" s="3236">
        <f t="shared" ref="CB274:CB280" si="755">VLOOKUP($E274,CA$442:CD$453,2,FALSE)*CA274*($K274)+IF($G274&lt;&gt;0,($H274/$G274)*CA274,0)*(1-$K274)</f>
        <v>16476242.140085313</v>
      </c>
      <c r="CC274" s="3236">
        <f t="shared" ref="CC274:CC280" si="756">VLOOKUP($E274,CA$442:CD$453,3,FALSE)*CA274*($K274)+IF($G274&lt;&gt;0,($I274/$G274)*CA274,0)*(1-$K274)</f>
        <v>8267739.5594563298</v>
      </c>
      <c r="CD274" s="3236">
        <f t="shared" ref="CD274:CD280" si="757">VLOOKUP($E274,CA$442:CD$453,4,FALSE)*CA274*($K274)+(CA274-CB274-CC274)*(1-$K274)</f>
        <v>22348138.300458357</v>
      </c>
      <c r="CE274" s="3264"/>
      <c r="CH274" s="3434">
        <f>VLOOKUP($A274,'New Resources - Group'!$A$4:$Y$133,CH$2,FALSE)*CH$1</f>
        <v>0</v>
      </c>
      <c r="CI274" s="3235">
        <f>$G274+CH274</f>
        <v>47092120</v>
      </c>
      <c r="CJ274" s="3236">
        <f t="shared" ref="CJ274:CJ280" si="758">VLOOKUP($E274,CI$442:CL$453,2,FALSE)*CI274*($K274)+IF($G274&lt;&gt;0,($H274/$G274)*CI274,0)*(1-$K274)</f>
        <v>16476242.140085313</v>
      </c>
      <c r="CK274" s="3236">
        <f t="shared" ref="CK274:CK280" si="759">VLOOKUP($E274,CI$442:CL$453,3,FALSE)*CI274*($K274)+IF($G274&lt;&gt;0,($I274/$G274)*CI274,0)*(1-$K274)</f>
        <v>8267739.5594563298</v>
      </c>
      <c r="CL274" s="3236">
        <f t="shared" ref="CL274:CL280" si="760">VLOOKUP($E274,CI$442:CL$453,4,FALSE)*CI274*($K274)+(CI274-CJ274-CK274)*(1-$K274)</f>
        <v>22348138.300458357</v>
      </c>
      <c r="CM274" s="3264"/>
      <c r="CP274" s="3434">
        <f>VLOOKUP($A274,'New Resources - Group'!$A$4:$Y$133,CP$2,FALSE)*CP$1</f>
        <v>0</v>
      </c>
      <c r="CQ274" s="3235">
        <f>$G274+CP274</f>
        <v>47092120</v>
      </c>
      <c r="CR274" s="3236">
        <f t="shared" ref="CR274:CR280" si="761">VLOOKUP($E274,CQ$442:CT$453,2,FALSE)*CQ274*($K274)+IF($G274&lt;&gt;0,($H274/$G274)*CQ274,0)*(1-$K274)</f>
        <v>16476242.140085313</v>
      </c>
      <c r="CS274" s="3236">
        <f t="shared" ref="CS274:CS280" si="762">VLOOKUP($E274,CQ$442:CT$453,3,FALSE)*CQ274*($K274)+IF($G274&lt;&gt;0,($I274/$G274)*CQ274,0)*(1-$K274)</f>
        <v>8267739.5594563298</v>
      </c>
      <c r="CT274" s="3236">
        <f t="shared" ref="CT274:CT280" si="763">VLOOKUP($E274,CQ$442:CT$453,4,FALSE)*CQ274*($K274)+(CQ274-CR274-CS274)*(1-$K274)</f>
        <v>22348138.300458357</v>
      </c>
      <c r="CU274" s="3264"/>
      <c r="CX274" s="3434">
        <f>VLOOKUP($A274,'New Resources - Group'!$A$4:$Y$133,CX$2,FALSE)*CX$1</f>
        <v>0</v>
      </c>
      <c r="CY274" s="3235">
        <f>$G274+CX274</f>
        <v>47092120</v>
      </c>
      <c r="CZ274" s="3236">
        <f t="shared" ref="CZ274:CZ280" si="764">VLOOKUP($E274,CY$442:DB$453,2,FALSE)*CY274*($K274)+IF($G274&lt;&gt;0,($H274/$G274)*CY274,0)*(1-$K274)</f>
        <v>16476242.140085313</v>
      </c>
      <c r="DA274" s="3236">
        <f t="shared" ref="DA274:DA280" si="765">VLOOKUP($E274,CY$442:DB$453,3,FALSE)*CY274*($K274)+IF($G274&lt;&gt;0,($I274/$G274)*CY274,0)*(1-$K274)</f>
        <v>8267739.5594563298</v>
      </c>
      <c r="DB274" s="3236">
        <f t="shared" ref="DB274:DB280" si="766">VLOOKUP($E274,CY$442:DB$453,4,FALSE)*CY274*($K274)+(CY274-CZ274-DA274)*(1-$K274)</f>
        <v>22348138.300458357</v>
      </c>
      <c r="DC274" s="3264"/>
      <c r="DF274" s="3434">
        <f>VLOOKUP($A274,'New Resources - Group'!$A$4:$Y$133,DF$2,FALSE)*DF$1</f>
        <v>0</v>
      </c>
      <c r="DG274" s="3235">
        <f>$G274+DF274</f>
        <v>47092120</v>
      </c>
      <c r="DH274" s="3236">
        <f t="shared" ref="DH274:DH280" si="767">VLOOKUP($E274,DG$442:DJ$453,2,FALSE)*DG274*($K274)+IF($G274&lt;&gt;0,($H274/$G274)*DG274,0)*(1-$K274)</f>
        <v>16476242.140085313</v>
      </c>
      <c r="DI274" s="3236">
        <f t="shared" ref="DI274:DI280" si="768">VLOOKUP($E274,DG$442:DJ$453,3,FALSE)*DG274*($K274)+IF($G274&lt;&gt;0,($I274/$G274)*DG274,0)*(1-$K274)</f>
        <v>8267739.5594563298</v>
      </c>
      <c r="DJ274" s="3236">
        <f t="shared" ref="DJ274:DJ280" si="769">VLOOKUP($E274,DG$442:DJ$453,4,FALSE)*DG274*($K274)+(DG274-DH274-DI274)*(1-$K274)</f>
        <v>22348138.300458357</v>
      </c>
      <c r="DK274" s="3264"/>
      <c r="DN274" s="3434">
        <f>VLOOKUP($A274,'New Resources - Group'!$A$4:$Y$133,DN$2,FALSE)*DN$1</f>
        <v>0</v>
      </c>
      <c r="DO274" s="3235">
        <f>$G274+DN274</f>
        <v>47092120</v>
      </c>
      <c r="DP274" s="3236">
        <f t="shared" ref="DP274:DP280" si="770">VLOOKUP($E274,DO$442:DR$453,2,FALSE)*DO274*($K274)+IF($G274&lt;&gt;0,($H274/$G274)*DO274,0)*(1-$K274)</f>
        <v>16476242.140085313</v>
      </c>
      <c r="DQ274" s="3236">
        <f t="shared" ref="DQ274:DQ280" si="771">VLOOKUP($E274,DO$442:DR$453,3,FALSE)*DO274*($K274)+IF($G274&lt;&gt;0,($I274/$G274)*DO274,0)*(1-$K274)</f>
        <v>8267739.5594563298</v>
      </c>
      <c r="DR274" s="3236">
        <f t="shared" ref="DR274:DR280" si="772">VLOOKUP($E274,DO$442:DR$453,4,FALSE)*DO274*($K274)+(DO274-DP274-DQ274)*(1-$K274)</f>
        <v>22348138.300458357</v>
      </c>
      <c r="DS274" s="3264"/>
      <c r="DV274" s="3434">
        <f>VLOOKUP($A274,'New Resources - Group'!$A$4:$Y$133,DV$2,FALSE)*DV$1</f>
        <v>0</v>
      </c>
      <c r="DW274" s="3235">
        <f>$G274+DV274</f>
        <v>47092120</v>
      </c>
      <c r="DX274" s="3236">
        <f t="shared" ref="DX274:DX280" si="773">VLOOKUP($E274,DW$442:DZ$453,2,FALSE)*DW274*($K274)+IF($G274&lt;&gt;0,($H274/$G274)*DW274,0)*(1-$K274)</f>
        <v>16476242.140085313</v>
      </c>
      <c r="DY274" s="3236">
        <f t="shared" ref="DY274:DY280" si="774">VLOOKUP($E274,DW$442:DZ$453,3,FALSE)*DW274*($K274)+IF($G274&lt;&gt;0,($I274/$G274)*DW274,0)*(1-$K274)</f>
        <v>8267739.5594563298</v>
      </c>
      <c r="DZ274" s="3236">
        <f t="shared" ref="DZ274:DZ280" si="775">VLOOKUP($E274,DW$442:DZ$453,4,FALSE)*DW274*($K274)+(DW274-DX274-DY274)*(1-$K274)</f>
        <v>22348138.300458357</v>
      </c>
      <c r="EA274" s="3264"/>
      <c r="ED274" s="3434">
        <f>VLOOKUP($A274,'New Resources - Group'!$A$4:$Y$133,ED$2,FALSE)*ED$1</f>
        <v>0</v>
      </c>
      <c r="EE274" s="3235">
        <f>$G274+ED274</f>
        <v>47092120</v>
      </c>
      <c r="EF274" s="3236">
        <f t="shared" ref="EF274:EF280" si="776">VLOOKUP($E274,EE$442:EH$453,2,FALSE)*EE274*($K274)+IF($G274&lt;&gt;0,($H274/$G274)*EE274,0)*(1-$K274)</f>
        <v>16476242.140085313</v>
      </c>
      <c r="EG274" s="3236">
        <f t="shared" ref="EG274:EG280" si="777">VLOOKUP($E274,EE$442:EH$453,3,FALSE)*EE274*($K274)+IF($G274&lt;&gt;0,($I274/$G274)*EE274,0)*(1-$K274)</f>
        <v>8267739.5594563298</v>
      </c>
      <c r="EH274" s="3236">
        <f t="shared" ref="EH274:EH280" si="778">VLOOKUP($E274,EE$442:EH$453,4,FALSE)*EE274*($K274)+(EE274-EF274-EG274)*(1-$K274)</f>
        <v>22348138.300458357</v>
      </c>
      <c r="EI274" s="3264"/>
      <c r="EL274" s="3434">
        <f>VLOOKUP($A274,'New Resources - Group'!$A$4:$Y$133,EL$2,FALSE)*EL$1</f>
        <v>0</v>
      </c>
      <c r="EM274" s="3235">
        <f>$G274+EL274</f>
        <v>47092120</v>
      </c>
      <c r="EN274" s="3236">
        <f t="shared" ref="EN274:EN280" si="779">VLOOKUP($E274,EM$442:EP$453,2,FALSE)*EM274*($K274)+IF($G274&lt;&gt;0,($H274/$G274)*EM274,0)*(1-$K274)</f>
        <v>16476242.140085313</v>
      </c>
      <c r="EO274" s="3236">
        <f t="shared" ref="EO274:EO280" si="780">VLOOKUP($E274,EM$442:EP$453,3,FALSE)*EM274*($K274)+IF($G274&lt;&gt;0,($I274/$G274)*EM274,0)*(1-$K274)</f>
        <v>8267739.5594563298</v>
      </c>
      <c r="EP274" s="3236">
        <f t="shared" ref="EP274:EP280" si="781">VLOOKUP($E274,EM$442:EP$453,4,FALSE)*EM274*($K274)+(EM274-EN274-EO274)*(1-$K274)</f>
        <v>22348138.300458357</v>
      </c>
      <c r="EQ274" s="3264"/>
      <c r="ET274" s="3434">
        <f>VLOOKUP($A274,'New Resources - Group'!$A$4:$Y$133,ET$2,FALSE)*ET$1</f>
        <v>0</v>
      </c>
      <c r="EU274" s="3235">
        <f>$G274+ET274</f>
        <v>47092120</v>
      </c>
      <c r="EV274" s="3236">
        <f t="shared" ref="EV274:EV280" si="782">VLOOKUP($E274,EU$442:EX$453,2,FALSE)*EU274*($K274)+IF($G274&lt;&gt;0,($H274/$G274)*EU274,0)*(1-$K274)</f>
        <v>16476242.140085313</v>
      </c>
      <c r="EW274" s="3236">
        <f t="shared" ref="EW274:EW280" si="783">VLOOKUP($E274,EU$442:EX$453,3,FALSE)*EU274*($K274)+IF($G274&lt;&gt;0,($I274/$G274)*EU274,0)*(1-$K274)</f>
        <v>8267739.5594563298</v>
      </c>
      <c r="EX274" s="3236">
        <f t="shared" ref="EX274:EX280" si="784">VLOOKUP($E274,EU$442:EX$453,4,FALSE)*EU274*($K274)+(EU274-EV274-EW274)*(1-$K274)</f>
        <v>22348138.300458357</v>
      </c>
      <c r="EY274" s="3264"/>
      <c r="FB274" s="3434">
        <f>VLOOKUP($A274,'New Resources - Group'!$A$4:$Y$133,FB$2,FALSE)*FB$1</f>
        <v>0</v>
      </c>
      <c r="FC274" s="3235">
        <f>$G274+FB274</f>
        <v>47092120</v>
      </c>
      <c r="FD274" s="3236">
        <f t="shared" ref="FD274:FD280" si="785">VLOOKUP($E274,FC$442:FF$453,2,FALSE)*FC274*($K274)+IF($G274&lt;&gt;0,($H274/$G274)*FC274,0)*(1-$K274)</f>
        <v>16476242.140085313</v>
      </c>
      <c r="FE274" s="3236">
        <f t="shared" ref="FE274:FE280" si="786">VLOOKUP($E274,FC$442:FF$453,3,FALSE)*FC274*($K274)+IF($G274&lt;&gt;0,($I274/$G274)*FC274,0)*(1-$K274)</f>
        <v>8267739.5594563298</v>
      </c>
      <c r="FF274" s="3236">
        <f t="shared" ref="FF274:FF280" si="787">VLOOKUP($E274,FC$442:FF$453,4,FALSE)*FC274*($K274)+(FC274-FD274-FE274)*(1-$K274)</f>
        <v>22348138.300458357</v>
      </c>
      <c r="FG274" s="3264"/>
      <c r="FJ274" s="3434">
        <f>VLOOKUP($A274,'New Resources - Group'!$A$4:$Y$133,FJ$2,FALSE)*FJ$1</f>
        <v>0</v>
      </c>
      <c r="FK274" s="3235">
        <f>$G274+FJ274</f>
        <v>47092120</v>
      </c>
      <c r="FL274" s="3236">
        <f t="shared" ref="FL274:FL280" si="788">VLOOKUP($E274,FK$442:FN$453,2,FALSE)*FK274*($K274)+IF($G274&lt;&gt;0,($H274/$G274)*FK274,0)*(1-$K274)</f>
        <v>16476242.140085313</v>
      </c>
      <c r="FM274" s="3236">
        <f t="shared" ref="FM274:FM280" si="789">VLOOKUP($E274,FK$442:FN$453,3,FALSE)*FK274*($K274)+IF($G274&lt;&gt;0,($I274/$G274)*FK274,0)*(1-$K274)</f>
        <v>8267739.5594563298</v>
      </c>
      <c r="FN274" s="3236">
        <f t="shared" ref="FN274:FN280" si="790">VLOOKUP($E274,FK$442:FN$453,4,FALSE)*FK274*($K274)+(FK274-FL274-FM274)*(1-$K274)</f>
        <v>22348138.300458357</v>
      </c>
      <c r="FO274" s="3264"/>
    </row>
    <row r="275" spans="1:171">
      <c r="A275" s="3489"/>
      <c r="B275" s="2365" t="s">
        <v>152</v>
      </c>
      <c r="C275" s="2673">
        <v>262</v>
      </c>
      <c r="D275" s="2674">
        <v>408.1</v>
      </c>
      <c r="E275" s="2424" t="str">
        <f>'Sch 3A - Taxes'!E23</f>
        <v>LABOR</v>
      </c>
      <c r="F275" s="2171"/>
      <c r="G275" s="2424">
        <f>'Sch 3A - Taxes'!F23</f>
        <v>0</v>
      </c>
      <c r="H275" s="2424">
        <f>'Sch 3A - Taxes'!G23</f>
        <v>0</v>
      </c>
      <c r="I275" s="2424">
        <f>'Sch 3A - Taxes'!H23</f>
        <v>0</v>
      </c>
      <c r="J275" s="3465">
        <f>'Sch 3A - Taxes'!I23</f>
        <v>0</v>
      </c>
      <c r="K275" s="3205">
        <f t="shared" si="730"/>
        <v>1</v>
      </c>
      <c r="O275" s="3235">
        <f t="shared" ref="O275:O280" si="791">$G275</f>
        <v>0</v>
      </c>
      <c r="P275" s="3236">
        <f t="shared" si="731"/>
        <v>0</v>
      </c>
      <c r="Q275" s="3236">
        <f t="shared" si="732"/>
        <v>0</v>
      </c>
      <c r="R275" s="3236">
        <f t="shared" si="733"/>
        <v>0</v>
      </c>
      <c r="S275" s="3264"/>
      <c r="W275" s="3235">
        <f t="shared" ref="W275:W280" si="792">$G275</f>
        <v>0</v>
      </c>
      <c r="X275" s="3236">
        <f t="shared" si="734"/>
        <v>0</v>
      </c>
      <c r="Y275" s="3236">
        <f t="shared" si="735"/>
        <v>0</v>
      </c>
      <c r="Z275" s="3236">
        <f t="shared" si="736"/>
        <v>0</v>
      </c>
      <c r="AA275" s="3264"/>
      <c r="AE275" s="3235">
        <f t="shared" ref="AE275:AE280" si="793">$G275</f>
        <v>0</v>
      </c>
      <c r="AF275" s="3236">
        <f t="shared" si="737"/>
        <v>0</v>
      </c>
      <c r="AG275" s="3236">
        <f t="shared" si="738"/>
        <v>0</v>
      </c>
      <c r="AH275" s="3236">
        <f t="shared" si="739"/>
        <v>0</v>
      </c>
      <c r="AI275" s="3264"/>
      <c r="AM275" s="3235">
        <f t="shared" ref="AM275:AM280" si="794">$G275</f>
        <v>0</v>
      </c>
      <c r="AN275" s="3236">
        <f t="shared" si="740"/>
        <v>0</v>
      </c>
      <c r="AO275" s="3236">
        <f t="shared" si="741"/>
        <v>0</v>
      </c>
      <c r="AP275" s="3236">
        <f t="shared" si="742"/>
        <v>0</v>
      </c>
      <c r="AQ275" s="3264"/>
      <c r="AU275" s="3235">
        <f t="shared" ref="AU275:AU280" si="795">$G275</f>
        <v>0</v>
      </c>
      <c r="AV275" s="3236">
        <f t="shared" si="743"/>
        <v>0</v>
      </c>
      <c r="AW275" s="3236">
        <f t="shared" si="744"/>
        <v>0</v>
      </c>
      <c r="AX275" s="3236">
        <f t="shared" si="745"/>
        <v>0</v>
      </c>
      <c r="AY275" s="3264"/>
      <c r="BC275" s="3235">
        <f t="shared" ref="BC275:BC280" si="796">$G275</f>
        <v>0</v>
      </c>
      <c r="BD275" s="3236">
        <f t="shared" si="746"/>
        <v>0</v>
      </c>
      <c r="BE275" s="3236">
        <f t="shared" si="747"/>
        <v>0</v>
      </c>
      <c r="BF275" s="3236">
        <f t="shared" si="748"/>
        <v>0</v>
      </c>
      <c r="BG275" s="3264"/>
      <c r="BK275" s="3235">
        <f t="shared" ref="BK275:BK280" si="797">$G275</f>
        <v>0</v>
      </c>
      <c r="BL275" s="3236">
        <f t="shared" si="749"/>
        <v>0</v>
      </c>
      <c r="BM275" s="3236">
        <f t="shared" si="750"/>
        <v>0</v>
      </c>
      <c r="BN275" s="3236">
        <f t="shared" si="751"/>
        <v>0</v>
      </c>
      <c r="BO275" s="3264"/>
      <c r="BS275" s="3235">
        <f t="shared" ref="BS275:BS280" si="798">$G275</f>
        <v>0</v>
      </c>
      <c r="BT275" s="3236">
        <f t="shared" si="752"/>
        <v>0</v>
      </c>
      <c r="BU275" s="3236">
        <f t="shared" si="753"/>
        <v>0</v>
      </c>
      <c r="BV275" s="3236">
        <f t="shared" si="754"/>
        <v>0</v>
      </c>
      <c r="BW275" s="3264"/>
      <c r="CA275" s="3235">
        <f t="shared" ref="CA275:CA280" si="799">$G275</f>
        <v>0</v>
      </c>
      <c r="CB275" s="3236">
        <f t="shared" si="755"/>
        <v>0</v>
      </c>
      <c r="CC275" s="3236">
        <f t="shared" si="756"/>
        <v>0</v>
      </c>
      <c r="CD275" s="3236">
        <f t="shared" si="757"/>
        <v>0</v>
      </c>
      <c r="CE275" s="3264"/>
      <c r="CI275" s="3235">
        <f t="shared" ref="CI275:CI280" si="800">$G275</f>
        <v>0</v>
      </c>
      <c r="CJ275" s="3236">
        <f t="shared" si="758"/>
        <v>0</v>
      </c>
      <c r="CK275" s="3236">
        <f t="shared" si="759"/>
        <v>0</v>
      </c>
      <c r="CL275" s="3236">
        <f t="shared" si="760"/>
        <v>0</v>
      </c>
      <c r="CM275" s="3264"/>
      <c r="CQ275" s="3235">
        <f t="shared" ref="CQ275:CQ280" si="801">$G275</f>
        <v>0</v>
      </c>
      <c r="CR275" s="3236">
        <f t="shared" si="761"/>
        <v>0</v>
      </c>
      <c r="CS275" s="3236">
        <f t="shared" si="762"/>
        <v>0</v>
      </c>
      <c r="CT275" s="3236">
        <f t="shared" si="763"/>
        <v>0</v>
      </c>
      <c r="CU275" s="3264"/>
      <c r="CY275" s="3235">
        <f t="shared" ref="CY275:CY280" si="802">$G275</f>
        <v>0</v>
      </c>
      <c r="CZ275" s="3236">
        <f t="shared" si="764"/>
        <v>0</v>
      </c>
      <c r="DA275" s="3236">
        <f t="shared" si="765"/>
        <v>0</v>
      </c>
      <c r="DB275" s="3236">
        <f t="shared" si="766"/>
        <v>0</v>
      </c>
      <c r="DC275" s="3264"/>
      <c r="DG275" s="3235">
        <f t="shared" ref="DG275:DG280" si="803">$G275</f>
        <v>0</v>
      </c>
      <c r="DH275" s="3236">
        <f t="shared" si="767"/>
        <v>0</v>
      </c>
      <c r="DI275" s="3236">
        <f t="shared" si="768"/>
        <v>0</v>
      </c>
      <c r="DJ275" s="3236">
        <f t="shared" si="769"/>
        <v>0</v>
      </c>
      <c r="DK275" s="3264"/>
      <c r="DO275" s="3235">
        <f t="shared" ref="DO275:DO280" si="804">$G275</f>
        <v>0</v>
      </c>
      <c r="DP275" s="3236">
        <f t="shared" si="770"/>
        <v>0</v>
      </c>
      <c r="DQ275" s="3236">
        <f t="shared" si="771"/>
        <v>0</v>
      </c>
      <c r="DR275" s="3236">
        <f t="shared" si="772"/>
        <v>0</v>
      </c>
      <c r="DS275" s="3264"/>
      <c r="DW275" s="3235">
        <f t="shared" ref="DW275:DW280" si="805">$G275</f>
        <v>0</v>
      </c>
      <c r="DX275" s="3236">
        <f t="shared" si="773"/>
        <v>0</v>
      </c>
      <c r="DY275" s="3236">
        <f t="shared" si="774"/>
        <v>0</v>
      </c>
      <c r="DZ275" s="3236">
        <f t="shared" si="775"/>
        <v>0</v>
      </c>
      <c r="EA275" s="3264"/>
      <c r="EE275" s="3235">
        <f t="shared" ref="EE275:EE280" si="806">$G275</f>
        <v>0</v>
      </c>
      <c r="EF275" s="3236">
        <f t="shared" si="776"/>
        <v>0</v>
      </c>
      <c r="EG275" s="3236">
        <f t="shared" si="777"/>
        <v>0</v>
      </c>
      <c r="EH275" s="3236">
        <f t="shared" si="778"/>
        <v>0</v>
      </c>
      <c r="EI275" s="3264"/>
      <c r="EM275" s="3235">
        <f t="shared" ref="EM275:EM280" si="807">$G275</f>
        <v>0</v>
      </c>
      <c r="EN275" s="3236">
        <f t="shared" si="779"/>
        <v>0</v>
      </c>
      <c r="EO275" s="3236">
        <f t="shared" si="780"/>
        <v>0</v>
      </c>
      <c r="EP275" s="3236">
        <f t="shared" si="781"/>
        <v>0</v>
      </c>
      <c r="EQ275" s="3264"/>
      <c r="EU275" s="3235">
        <f t="shared" ref="EU275:EU280" si="808">$G275</f>
        <v>0</v>
      </c>
      <c r="EV275" s="3236">
        <f t="shared" si="782"/>
        <v>0</v>
      </c>
      <c r="EW275" s="3236">
        <f t="shared" si="783"/>
        <v>0</v>
      </c>
      <c r="EX275" s="3236">
        <f t="shared" si="784"/>
        <v>0</v>
      </c>
      <c r="EY275" s="3264"/>
      <c r="FC275" s="3235">
        <f t="shared" ref="FC275:FC280" si="809">$G275</f>
        <v>0</v>
      </c>
      <c r="FD275" s="3236">
        <f t="shared" si="785"/>
        <v>0</v>
      </c>
      <c r="FE275" s="3236">
        <f t="shared" si="786"/>
        <v>0</v>
      </c>
      <c r="FF275" s="3236">
        <f t="shared" si="787"/>
        <v>0</v>
      </c>
      <c r="FG275" s="3264"/>
      <c r="FK275" s="3235">
        <f t="shared" ref="FK275:FK280" si="810">$G275</f>
        <v>0</v>
      </c>
      <c r="FL275" s="3236">
        <f t="shared" si="788"/>
        <v>0</v>
      </c>
      <c r="FM275" s="3236">
        <f t="shared" si="789"/>
        <v>0</v>
      </c>
      <c r="FN275" s="3236">
        <f t="shared" si="790"/>
        <v>0</v>
      </c>
      <c r="FO275" s="3264"/>
    </row>
    <row r="276" spans="1:171">
      <c r="A276" s="3489"/>
      <c r="B276" s="2365" t="s">
        <v>567</v>
      </c>
      <c r="C276" s="2673">
        <v>262</v>
      </c>
      <c r="D276" s="2674">
        <v>409.1</v>
      </c>
      <c r="E276" s="2424" t="str">
        <f>'Sch 3A - Taxes'!E24</f>
        <v>DIST</v>
      </c>
      <c r="F276" s="2171"/>
      <c r="G276" s="2424">
        <f>'Sch 3A - Taxes'!F24</f>
        <v>104687355</v>
      </c>
      <c r="H276" s="2424">
        <f>'Sch 3A - Taxes'!G24</f>
        <v>0</v>
      </c>
      <c r="I276" s="2424">
        <f>'Sch 3A - Taxes'!H24</f>
        <v>0</v>
      </c>
      <c r="J276" s="3465">
        <f>'Sch 3A - Taxes'!I24</f>
        <v>104687355</v>
      </c>
      <c r="K276" s="3205">
        <f t="shared" si="730"/>
        <v>1</v>
      </c>
      <c r="O276" s="3235">
        <f t="shared" si="791"/>
        <v>104687355</v>
      </c>
      <c r="P276" s="3236">
        <f t="shared" si="731"/>
        <v>0</v>
      </c>
      <c r="Q276" s="3236">
        <f t="shared" si="732"/>
        <v>0</v>
      </c>
      <c r="R276" s="3236">
        <f t="shared" si="733"/>
        <v>104687355</v>
      </c>
      <c r="S276" s="3264"/>
      <c r="W276" s="3235">
        <f t="shared" si="792"/>
        <v>104687355</v>
      </c>
      <c r="X276" s="3236">
        <f t="shared" si="734"/>
        <v>0</v>
      </c>
      <c r="Y276" s="3236">
        <f t="shared" si="735"/>
        <v>0</v>
      </c>
      <c r="Z276" s="3236">
        <f t="shared" si="736"/>
        <v>104687355</v>
      </c>
      <c r="AA276" s="3264"/>
      <c r="AE276" s="3235">
        <f t="shared" si="793"/>
        <v>104687355</v>
      </c>
      <c r="AF276" s="3236">
        <f t="shared" si="737"/>
        <v>0</v>
      </c>
      <c r="AG276" s="3236">
        <f t="shared" si="738"/>
        <v>0</v>
      </c>
      <c r="AH276" s="3236">
        <f t="shared" si="739"/>
        <v>104687355</v>
      </c>
      <c r="AI276" s="3264"/>
      <c r="AM276" s="3235">
        <f t="shared" si="794"/>
        <v>104687355</v>
      </c>
      <c r="AN276" s="3236">
        <f t="shared" si="740"/>
        <v>0</v>
      </c>
      <c r="AO276" s="3236">
        <f t="shared" si="741"/>
        <v>0</v>
      </c>
      <c r="AP276" s="3236">
        <f t="shared" si="742"/>
        <v>104687355</v>
      </c>
      <c r="AQ276" s="3264"/>
      <c r="AU276" s="3235">
        <f t="shared" si="795"/>
        <v>104687355</v>
      </c>
      <c r="AV276" s="3236">
        <f t="shared" si="743"/>
        <v>0</v>
      </c>
      <c r="AW276" s="3236">
        <f t="shared" si="744"/>
        <v>0</v>
      </c>
      <c r="AX276" s="3236">
        <f t="shared" si="745"/>
        <v>104687355</v>
      </c>
      <c r="AY276" s="3264"/>
      <c r="BC276" s="3235">
        <f t="shared" si="796"/>
        <v>104687355</v>
      </c>
      <c r="BD276" s="3236">
        <f t="shared" si="746"/>
        <v>0</v>
      </c>
      <c r="BE276" s="3236">
        <f t="shared" si="747"/>
        <v>0</v>
      </c>
      <c r="BF276" s="3236">
        <f t="shared" si="748"/>
        <v>104687355</v>
      </c>
      <c r="BG276" s="3264"/>
      <c r="BK276" s="3235">
        <f t="shared" si="797"/>
        <v>104687355</v>
      </c>
      <c r="BL276" s="3236">
        <f t="shared" si="749"/>
        <v>0</v>
      </c>
      <c r="BM276" s="3236">
        <f t="shared" si="750"/>
        <v>0</v>
      </c>
      <c r="BN276" s="3236">
        <f t="shared" si="751"/>
        <v>104687355</v>
      </c>
      <c r="BO276" s="3264"/>
      <c r="BS276" s="3235">
        <f t="shared" si="798"/>
        <v>104687355</v>
      </c>
      <c r="BT276" s="3236">
        <f t="shared" si="752"/>
        <v>0</v>
      </c>
      <c r="BU276" s="3236">
        <f t="shared" si="753"/>
        <v>0</v>
      </c>
      <c r="BV276" s="3236">
        <f t="shared" si="754"/>
        <v>104687355</v>
      </c>
      <c r="BW276" s="3264"/>
      <c r="CA276" s="3235">
        <f t="shared" si="799"/>
        <v>104687355</v>
      </c>
      <c r="CB276" s="3236">
        <f t="shared" si="755"/>
        <v>0</v>
      </c>
      <c r="CC276" s="3236">
        <f t="shared" si="756"/>
        <v>0</v>
      </c>
      <c r="CD276" s="3236">
        <f t="shared" si="757"/>
        <v>104687355</v>
      </c>
      <c r="CE276" s="3264"/>
      <c r="CI276" s="3235">
        <f t="shared" si="800"/>
        <v>104687355</v>
      </c>
      <c r="CJ276" s="3236">
        <f t="shared" si="758"/>
        <v>0</v>
      </c>
      <c r="CK276" s="3236">
        <f t="shared" si="759"/>
        <v>0</v>
      </c>
      <c r="CL276" s="3236">
        <f t="shared" si="760"/>
        <v>104687355</v>
      </c>
      <c r="CM276" s="3264"/>
      <c r="CQ276" s="3235">
        <f t="shared" si="801"/>
        <v>104687355</v>
      </c>
      <c r="CR276" s="3236">
        <f t="shared" si="761"/>
        <v>0</v>
      </c>
      <c r="CS276" s="3236">
        <f t="shared" si="762"/>
        <v>0</v>
      </c>
      <c r="CT276" s="3236">
        <f t="shared" si="763"/>
        <v>104687355</v>
      </c>
      <c r="CU276" s="3264"/>
      <c r="CY276" s="3235">
        <f t="shared" si="802"/>
        <v>104687355</v>
      </c>
      <c r="CZ276" s="3236">
        <f t="shared" si="764"/>
        <v>0</v>
      </c>
      <c r="DA276" s="3236">
        <f t="shared" si="765"/>
        <v>0</v>
      </c>
      <c r="DB276" s="3236">
        <f t="shared" si="766"/>
        <v>104687355</v>
      </c>
      <c r="DC276" s="3264"/>
      <c r="DG276" s="3235">
        <f t="shared" si="803"/>
        <v>104687355</v>
      </c>
      <c r="DH276" s="3236">
        <f t="shared" si="767"/>
        <v>0</v>
      </c>
      <c r="DI276" s="3236">
        <f t="shared" si="768"/>
        <v>0</v>
      </c>
      <c r="DJ276" s="3236">
        <f t="shared" si="769"/>
        <v>104687355</v>
      </c>
      <c r="DK276" s="3264"/>
      <c r="DO276" s="3235">
        <f t="shared" si="804"/>
        <v>104687355</v>
      </c>
      <c r="DP276" s="3236">
        <f t="shared" si="770"/>
        <v>0</v>
      </c>
      <c r="DQ276" s="3236">
        <f t="shared" si="771"/>
        <v>0</v>
      </c>
      <c r="DR276" s="3236">
        <f t="shared" si="772"/>
        <v>104687355</v>
      </c>
      <c r="DS276" s="3264"/>
      <c r="DW276" s="3235">
        <f t="shared" si="805"/>
        <v>104687355</v>
      </c>
      <c r="DX276" s="3236">
        <f t="shared" si="773"/>
        <v>0</v>
      </c>
      <c r="DY276" s="3236">
        <f t="shared" si="774"/>
        <v>0</v>
      </c>
      <c r="DZ276" s="3236">
        <f t="shared" si="775"/>
        <v>104687355</v>
      </c>
      <c r="EA276" s="3264"/>
      <c r="EE276" s="3235">
        <f t="shared" si="806"/>
        <v>104687355</v>
      </c>
      <c r="EF276" s="3236">
        <f t="shared" si="776"/>
        <v>0</v>
      </c>
      <c r="EG276" s="3236">
        <f t="shared" si="777"/>
        <v>0</v>
      </c>
      <c r="EH276" s="3236">
        <f t="shared" si="778"/>
        <v>104687355</v>
      </c>
      <c r="EI276" s="3264"/>
      <c r="EM276" s="3235">
        <f t="shared" si="807"/>
        <v>104687355</v>
      </c>
      <c r="EN276" s="3236">
        <f t="shared" si="779"/>
        <v>0</v>
      </c>
      <c r="EO276" s="3236">
        <f t="shared" si="780"/>
        <v>0</v>
      </c>
      <c r="EP276" s="3236">
        <f t="shared" si="781"/>
        <v>104687355</v>
      </c>
      <c r="EQ276" s="3264"/>
      <c r="EU276" s="3235">
        <f t="shared" si="808"/>
        <v>104687355</v>
      </c>
      <c r="EV276" s="3236">
        <f t="shared" si="782"/>
        <v>0</v>
      </c>
      <c r="EW276" s="3236">
        <f t="shared" si="783"/>
        <v>0</v>
      </c>
      <c r="EX276" s="3236">
        <f t="shared" si="784"/>
        <v>104687355</v>
      </c>
      <c r="EY276" s="3264"/>
      <c r="FC276" s="3235">
        <f t="shared" si="809"/>
        <v>104687355</v>
      </c>
      <c r="FD276" s="3236">
        <f t="shared" si="785"/>
        <v>0</v>
      </c>
      <c r="FE276" s="3236">
        <f t="shared" si="786"/>
        <v>0</v>
      </c>
      <c r="FF276" s="3236">
        <f t="shared" si="787"/>
        <v>104687355</v>
      </c>
      <c r="FG276" s="3264"/>
      <c r="FK276" s="3235">
        <f t="shared" si="810"/>
        <v>104687355</v>
      </c>
      <c r="FL276" s="3236">
        <f t="shared" si="788"/>
        <v>0</v>
      </c>
      <c r="FM276" s="3236">
        <f t="shared" si="789"/>
        <v>0</v>
      </c>
      <c r="FN276" s="3236">
        <f t="shared" si="790"/>
        <v>104687355</v>
      </c>
      <c r="FO276" s="3264"/>
    </row>
    <row r="277" spans="1:171">
      <c r="A277" s="3489"/>
      <c r="B277" s="2365" t="s">
        <v>568</v>
      </c>
      <c r="C277" s="2673">
        <v>262</v>
      </c>
      <c r="D277" s="2674">
        <v>408.1</v>
      </c>
      <c r="E277" s="2424" t="str">
        <f>'Sch 3A - Taxes'!E25</f>
        <v>DIST</v>
      </c>
      <c r="F277" s="2171"/>
      <c r="G277" s="2424">
        <f>'Sch 3A - Taxes'!F25</f>
        <v>0</v>
      </c>
      <c r="H277" s="2424">
        <f>'Sch 3A - Taxes'!G25</f>
        <v>0</v>
      </c>
      <c r="I277" s="2424">
        <f>'Sch 3A - Taxes'!H25</f>
        <v>0</v>
      </c>
      <c r="J277" s="3465">
        <f>'Sch 3A - Taxes'!I25</f>
        <v>0</v>
      </c>
      <c r="K277" s="3205">
        <f t="shared" si="730"/>
        <v>1</v>
      </c>
      <c r="O277" s="3235">
        <f t="shared" si="791"/>
        <v>0</v>
      </c>
      <c r="P277" s="3236">
        <f t="shared" si="731"/>
        <v>0</v>
      </c>
      <c r="Q277" s="3236">
        <f t="shared" si="732"/>
        <v>0</v>
      </c>
      <c r="R277" s="3236">
        <f t="shared" si="733"/>
        <v>0</v>
      </c>
      <c r="S277" s="3264"/>
      <c r="W277" s="3235">
        <f t="shared" si="792"/>
        <v>0</v>
      </c>
      <c r="X277" s="3236">
        <f t="shared" si="734"/>
        <v>0</v>
      </c>
      <c r="Y277" s="3236">
        <f t="shared" si="735"/>
        <v>0</v>
      </c>
      <c r="Z277" s="3236">
        <f t="shared" si="736"/>
        <v>0</v>
      </c>
      <c r="AA277" s="3264"/>
      <c r="AE277" s="3235">
        <f t="shared" si="793"/>
        <v>0</v>
      </c>
      <c r="AF277" s="3236">
        <f t="shared" si="737"/>
        <v>0</v>
      </c>
      <c r="AG277" s="3236">
        <f t="shared" si="738"/>
        <v>0</v>
      </c>
      <c r="AH277" s="3236">
        <f t="shared" si="739"/>
        <v>0</v>
      </c>
      <c r="AI277" s="3264"/>
      <c r="AM277" s="3235">
        <f t="shared" si="794"/>
        <v>0</v>
      </c>
      <c r="AN277" s="3236">
        <f t="shared" si="740"/>
        <v>0</v>
      </c>
      <c r="AO277" s="3236">
        <f t="shared" si="741"/>
        <v>0</v>
      </c>
      <c r="AP277" s="3236">
        <f t="shared" si="742"/>
        <v>0</v>
      </c>
      <c r="AQ277" s="3264"/>
      <c r="AU277" s="3235">
        <f t="shared" si="795"/>
        <v>0</v>
      </c>
      <c r="AV277" s="3236">
        <f t="shared" si="743"/>
        <v>0</v>
      </c>
      <c r="AW277" s="3236">
        <f t="shared" si="744"/>
        <v>0</v>
      </c>
      <c r="AX277" s="3236">
        <f t="shared" si="745"/>
        <v>0</v>
      </c>
      <c r="AY277" s="3264"/>
      <c r="BC277" s="3235">
        <f t="shared" si="796"/>
        <v>0</v>
      </c>
      <c r="BD277" s="3236">
        <f t="shared" si="746"/>
        <v>0</v>
      </c>
      <c r="BE277" s="3236">
        <f t="shared" si="747"/>
        <v>0</v>
      </c>
      <c r="BF277" s="3236">
        <f t="shared" si="748"/>
        <v>0</v>
      </c>
      <c r="BG277" s="3264"/>
      <c r="BK277" s="3235">
        <f t="shared" si="797"/>
        <v>0</v>
      </c>
      <c r="BL277" s="3236">
        <f t="shared" si="749"/>
        <v>0</v>
      </c>
      <c r="BM277" s="3236">
        <f t="shared" si="750"/>
        <v>0</v>
      </c>
      <c r="BN277" s="3236">
        <f t="shared" si="751"/>
        <v>0</v>
      </c>
      <c r="BO277" s="3264"/>
      <c r="BS277" s="3235">
        <f t="shared" si="798"/>
        <v>0</v>
      </c>
      <c r="BT277" s="3236">
        <f t="shared" si="752"/>
        <v>0</v>
      </c>
      <c r="BU277" s="3236">
        <f t="shared" si="753"/>
        <v>0</v>
      </c>
      <c r="BV277" s="3236">
        <f t="shared" si="754"/>
        <v>0</v>
      </c>
      <c r="BW277" s="3264"/>
      <c r="CA277" s="3235">
        <f t="shared" si="799"/>
        <v>0</v>
      </c>
      <c r="CB277" s="3236">
        <f t="shared" si="755"/>
        <v>0</v>
      </c>
      <c r="CC277" s="3236">
        <f t="shared" si="756"/>
        <v>0</v>
      </c>
      <c r="CD277" s="3236">
        <f t="shared" si="757"/>
        <v>0</v>
      </c>
      <c r="CE277" s="3264"/>
      <c r="CI277" s="3235">
        <f t="shared" si="800"/>
        <v>0</v>
      </c>
      <c r="CJ277" s="3236">
        <f t="shared" si="758"/>
        <v>0</v>
      </c>
      <c r="CK277" s="3236">
        <f t="shared" si="759"/>
        <v>0</v>
      </c>
      <c r="CL277" s="3236">
        <f t="shared" si="760"/>
        <v>0</v>
      </c>
      <c r="CM277" s="3264"/>
      <c r="CQ277" s="3235">
        <f t="shared" si="801"/>
        <v>0</v>
      </c>
      <c r="CR277" s="3236">
        <f t="shared" si="761"/>
        <v>0</v>
      </c>
      <c r="CS277" s="3236">
        <f t="shared" si="762"/>
        <v>0</v>
      </c>
      <c r="CT277" s="3236">
        <f t="shared" si="763"/>
        <v>0</v>
      </c>
      <c r="CU277" s="3264"/>
      <c r="CY277" s="3235">
        <f t="shared" si="802"/>
        <v>0</v>
      </c>
      <c r="CZ277" s="3236">
        <f t="shared" si="764"/>
        <v>0</v>
      </c>
      <c r="DA277" s="3236">
        <f t="shared" si="765"/>
        <v>0</v>
      </c>
      <c r="DB277" s="3236">
        <f t="shared" si="766"/>
        <v>0</v>
      </c>
      <c r="DC277" s="3264"/>
      <c r="DG277" s="3235">
        <f t="shared" si="803"/>
        <v>0</v>
      </c>
      <c r="DH277" s="3236">
        <f t="shared" si="767"/>
        <v>0</v>
      </c>
      <c r="DI277" s="3236">
        <f t="shared" si="768"/>
        <v>0</v>
      </c>
      <c r="DJ277" s="3236">
        <f t="shared" si="769"/>
        <v>0</v>
      </c>
      <c r="DK277" s="3264"/>
      <c r="DO277" s="3235">
        <f t="shared" si="804"/>
        <v>0</v>
      </c>
      <c r="DP277" s="3236">
        <f t="shared" si="770"/>
        <v>0</v>
      </c>
      <c r="DQ277" s="3236">
        <f t="shared" si="771"/>
        <v>0</v>
      </c>
      <c r="DR277" s="3236">
        <f t="shared" si="772"/>
        <v>0</v>
      </c>
      <c r="DS277" s="3264"/>
      <c r="DW277" s="3235">
        <f t="shared" si="805"/>
        <v>0</v>
      </c>
      <c r="DX277" s="3236">
        <f t="shared" si="773"/>
        <v>0</v>
      </c>
      <c r="DY277" s="3236">
        <f t="shared" si="774"/>
        <v>0</v>
      </c>
      <c r="DZ277" s="3236">
        <f t="shared" si="775"/>
        <v>0</v>
      </c>
      <c r="EA277" s="3264"/>
      <c r="EE277" s="3235">
        <f t="shared" si="806"/>
        <v>0</v>
      </c>
      <c r="EF277" s="3236">
        <f t="shared" si="776"/>
        <v>0</v>
      </c>
      <c r="EG277" s="3236">
        <f t="shared" si="777"/>
        <v>0</v>
      </c>
      <c r="EH277" s="3236">
        <f t="shared" si="778"/>
        <v>0</v>
      </c>
      <c r="EI277" s="3264"/>
      <c r="EM277" s="3235">
        <f t="shared" si="807"/>
        <v>0</v>
      </c>
      <c r="EN277" s="3236">
        <f t="shared" si="779"/>
        <v>0</v>
      </c>
      <c r="EO277" s="3236">
        <f t="shared" si="780"/>
        <v>0</v>
      </c>
      <c r="EP277" s="3236">
        <f t="shared" si="781"/>
        <v>0</v>
      </c>
      <c r="EQ277" s="3264"/>
      <c r="EU277" s="3235">
        <f t="shared" si="808"/>
        <v>0</v>
      </c>
      <c r="EV277" s="3236">
        <f t="shared" si="782"/>
        <v>0</v>
      </c>
      <c r="EW277" s="3236">
        <f t="shared" si="783"/>
        <v>0</v>
      </c>
      <c r="EX277" s="3236">
        <f t="shared" si="784"/>
        <v>0</v>
      </c>
      <c r="EY277" s="3264"/>
      <c r="FC277" s="3235">
        <f t="shared" si="809"/>
        <v>0</v>
      </c>
      <c r="FD277" s="3236">
        <f t="shared" si="785"/>
        <v>0</v>
      </c>
      <c r="FE277" s="3236">
        <f t="shared" si="786"/>
        <v>0</v>
      </c>
      <c r="FF277" s="3236">
        <f t="shared" si="787"/>
        <v>0</v>
      </c>
      <c r="FG277" s="3264"/>
      <c r="FK277" s="3235">
        <f t="shared" si="810"/>
        <v>0</v>
      </c>
      <c r="FL277" s="3236">
        <f t="shared" si="788"/>
        <v>0</v>
      </c>
      <c r="FM277" s="3236">
        <f t="shared" si="789"/>
        <v>0</v>
      </c>
      <c r="FN277" s="3236">
        <f t="shared" si="790"/>
        <v>0</v>
      </c>
      <c r="FO277" s="3264"/>
    </row>
    <row r="278" spans="1:171">
      <c r="A278" s="3489"/>
      <c r="B278" s="2365" t="s">
        <v>153</v>
      </c>
      <c r="C278" s="2673">
        <v>262</v>
      </c>
      <c r="D278" s="2674">
        <v>408.1</v>
      </c>
      <c r="E278" s="2424" t="str">
        <f>'Sch 3A - Taxes'!E26</f>
        <v>DIST</v>
      </c>
      <c r="F278" s="2171"/>
      <c r="G278" s="2424">
        <f>'Sch 3A - Taxes'!F26</f>
        <v>0</v>
      </c>
      <c r="H278" s="2424">
        <f>'Sch 3A - Taxes'!G26</f>
        <v>0</v>
      </c>
      <c r="I278" s="2424">
        <f>'Sch 3A - Taxes'!H26</f>
        <v>0</v>
      </c>
      <c r="J278" s="3465">
        <f>'Sch 3A - Taxes'!I26</f>
        <v>0</v>
      </c>
      <c r="K278" s="3205">
        <f t="shared" si="730"/>
        <v>1</v>
      </c>
      <c r="O278" s="3235">
        <f t="shared" si="791"/>
        <v>0</v>
      </c>
      <c r="P278" s="3236">
        <f t="shared" si="731"/>
        <v>0</v>
      </c>
      <c r="Q278" s="3236">
        <f t="shared" si="732"/>
        <v>0</v>
      </c>
      <c r="R278" s="3236">
        <f t="shared" si="733"/>
        <v>0</v>
      </c>
      <c r="S278" s="3264"/>
      <c r="W278" s="3235">
        <f t="shared" si="792"/>
        <v>0</v>
      </c>
      <c r="X278" s="3236">
        <f t="shared" si="734"/>
        <v>0</v>
      </c>
      <c r="Y278" s="3236">
        <f t="shared" si="735"/>
        <v>0</v>
      </c>
      <c r="Z278" s="3236">
        <f t="shared" si="736"/>
        <v>0</v>
      </c>
      <c r="AA278" s="3264"/>
      <c r="AE278" s="3235">
        <f t="shared" si="793"/>
        <v>0</v>
      </c>
      <c r="AF278" s="3236">
        <f t="shared" si="737"/>
        <v>0</v>
      </c>
      <c r="AG278" s="3236">
        <f t="shared" si="738"/>
        <v>0</v>
      </c>
      <c r="AH278" s="3236">
        <f t="shared" si="739"/>
        <v>0</v>
      </c>
      <c r="AI278" s="3264"/>
      <c r="AM278" s="3235">
        <f t="shared" si="794"/>
        <v>0</v>
      </c>
      <c r="AN278" s="3236">
        <f t="shared" si="740"/>
        <v>0</v>
      </c>
      <c r="AO278" s="3236">
        <f t="shared" si="741"/>
        <v>0</v>
      </c>
      <c r="AP278" s="3236">
        <f t="shared" si="742"/>
        <v>0</v>
      </c>
      <c r="AQ278" s="3264"/>
      <c r="AU278" s="3235">
        <f t="shared" si="795"/>
        <v>0</v>
      </c>
      <c r="AV278" s="3236">
        <f t="shared" si="743"/>
        <v>0</v>
      </c>
      <c r="AW278" s="3236">
        <f t="shared" si="744"/>
        <v>0</v>
      </c>
      <c r="AX278" s="3236">
        <f t="shared" si="745"/>
        <v>0</v>
      </c>
      <c r="AY278" s="3264"/>
      <c r="BC278" s="3235">
        <f t="shared" si="796"/>
        <v>0</v>
      </c>
      <c r="BD278" s="3236">
        <f t="shared" si="746"/>
        <v>0</v>
      </c>
      <c r="BE278" s="3236">
        <f t="shared" si="747"/>
        <v>0</v>
      </c>
      <c r="BF278" s="3236">
        <f t="shared" si="748"/>
        <v>0</v>
      </c>
      <c r="BG278" s="3264"/>
      <c r="BK278" s="3235">
        <f t="shared" si="797"/>
        <v>0</v>
      </c>
      <c r="BL278" s="3236">
        <f t="shared" si="749"/>
        <v>0</v>
      </c>
      <c r="BM278" s="3236">
        <f t="shared" si="750"/>
        <v>0</v>
      </c>
      <c r="BN278" s="3236">
        <f t="shared" si="751"/>
        <v>0</v>
      </c>
      <c r="BO278" s="3264"/>
      <c r="BS278" s="3235">
        <f t="shared" si="798"/>
        <v>0</v>
      </c>
      <c r="BT278" s="3236">
        <f t="shared" si="752"/>
        <v>0</v>
      </c>
      <c r="BU278" s="3236">
        <f t="shared" si="753"/>
        <v>0</v>
      </c>
      <c r="BV278" s="3236">
        <f t="shared" si="754"/>
        <v>0</v>
      </c>
      <c r="BW278" s="3264"/>
      <c r="CA278" s="3235">
        <f t="shared" si="799"/>
        <v>0</v>
      </c>
      <c r="CB278" s="3236">
        <f t="shared" si="755"/>
        <v>0</v>
      </c>
      <c r="CC278" s="3236">
        <f t="shared" si="756"/>
        <v>0</v>
      </c>
      <c r="CD278" s="3236">
        <f t="shared" si="757"/>
        <v>0</v>
      </c>
      <c r="CE278" s="3264"/>
      <c r="CI278" s="3235">
        <f t="shared" si="800"/>
        <v>0</v>
      </c>
      <c r="CJ278" s="3236">
        <f t="shared" si="758"/>
        <v>0</v>
      </c>
      <c r="CK278" s="3236">
        <f t="shared" si="759"/>
        <v>0</v>
      </c>
      <c r="CL278" s="3236">
        <f t="shared" si="760"/>
        <v>0</v>
      </c>
      <c r="CM278" s="3264"/>
      <c r="CQ278" s="3235">
        <f t="shared" si="801"/>
        <v>0</v>
      </c>
      <c r="CR278" s="3236">
        <f t="shared" si="761"/>
        <v>0</v>
      </c>
      <c r="CS278" s="3236">
        <f t="shared" si="762"/>
        <v>0</v>
      </c>
      <c r="CT278" s="3236">
        <f t="shared" si="763"/>
        <v>0</v>
      </c>
      <c r="CU278" s="3264"/>
      <c r="CY278" s="3235">
        <f t="shared" si="802"/>
        <v>0</v>
      </c>
      <c r="CZ278" s="3236">
        <f t="shared" si="764"/>
        <v>0</v>
      </c>
      <c r="DA278" s="3236">
        <f t="shared" si="765"/>
        <v>0</v>
      </c>
      <c r="DB278" s="3236">
        <f t="shared" si="766"/>
        <v>0</v>
      </c>
      <c r="DC278" s="3264"/>
      <c r="DG278" s="3235">
        <f t="shared" si="803"/>
        <v>0</v>
      </c>
      <c r="DH278" s="3236">
        <f t="shared" si="767"/>
        <v>0</v>
      </c>
      <c r="DI278" s="3236">
        <f t="shared" si="768"/>
        <v>0</v>
      </c>
      <c r="DJ278" s="3236">
        <f t="shared" si="769"/>
        <v>0</v>
      </c>
      <c r="DK278" s="3264"/>
      <c r="DO278" s="3235">
        <f t="shared" si="804"/>
        <v>0</v>
      </c>
      <c r="DP278" s="3236">
        <f t="shared" si="770"/>
        <v>0</v>
      </c>
      <c r="DQ278" s="3236">
        <f t="shared" si="771"/>
        <v>0</v>
      </c>
      <c r="DR278" s="3236">
        <f t="shared" si="772"/>
        <v>0</v>
      </c>
      <c r="DS278" s="3264"/>
      <c r="DW278" s="3235">
        <f t="shared" si="805"/>
        <v>0</v>
      </c>
      <c r="DX278" s="3236">
        <f t="shared" si="773"/>
        <v>0</v>
      </c>
      <c r="DY278" s="3236">
        <f t="shared" si="774"/>
        <v>0</v>
      </c>
      <c r="DZ278" s="3236">
        <f t="shared" si="775"/>
        <v>0</v>
      </c>
      <c r="EA278" s="3264"/>
      <c r="EE278" s="3235">
        <f t="shared" si="806"/>
        <v>0</v>
      </c>
      <c r="EF278" s="3236">
        <f t="shared" si="776"/>
        <v>0</v>
      </c>
      <c r="EG278" s="3236">
        <f t="shared" si="777"/>
        <v>0</v>
      </c>
      <c r="EH278" s="3236">
        <f t="shared" si="778"/>
        <v>0</v>
      </c>
      <c r="EI278" s="3264"/>
      <c r="EM278" s="3235">
        <f t="shared" si="807"/>
        <v>0</v>
      </c>
      <c r="EN278" s="3236">
        <f t="shared" si="779"/>
        <v>0</v>
      </c>
      <c r="EO278" s="3236">
        <f t="shared" si="780"/>
        <v>0</v>
      </c>
      <c r="EP278" s="3236">
        <f t="shared" si="781"/>
        <v>0</v>
      </c>
      <c r="EQ278" s="3264"/>
      <c r="EU278" s="3235">
        <f t="shared" si="808"/>
        <v>0</v>
      </c>
      <c r="EV278" s="3236">
        <f t="shared" si="782"/>
        <v>0</v>
      </c>
      <c r="EW278" s="3236">
        <f t="shared" si="783"/>
        <v>0</v>
      </c>
      <c r="EX278" s="3236">
        <f t="shared" si="784"/>
        <v>0</v>
      </c>
      <c r="EY278" s="3264"/>
      <c r="FC278" s="3235">
        <f t="shared" si="809"/>
        <v>0</v>
      </c>
      <c r="FD278" s="3236">
        <f t="shared" si="785"/>
        <v>0</v>
      </c>
      <c r="FE278" s="3236">
        <f t="shared" si="786"/>
        <v>0</v>
      </c>
      <c r="FF278" s="3236">
        <f t="shared" si="787"/>
        <v>0</v>
      </c>
      <c r="FG278" s="3264"/>
      <c r="FK278" s="3235">
        <f t="shared" si="810"/>
        <v>0</v>
      </c>
      <c r="FL278" s="3236">
        <f t="shared" si="788"/>
        <v>0</v>
      </c>
      <c r="FM278" s="3236">
        <f t="shared" si="789"/>
        <v>0</v>
      </c>
      <c r="FN278" s="3236">
        <f t="shared" si="790"/>
        <v>0</v>
      </c>
      <c r="FO278" s="3264"/>
    </row>
    <row r="279" spans="1:171">
      <c r="A279" s="3489"/>
      <c r="B279" s="2365" t="s">
        <v>569</v>
      </c>
      <c r="C279" s="2673">
        <v>262</v>
      </c>
      <c r="D279" s="2674">
        <v>408.1</v>
      </c>
      <c r="E279" s="2424" t="str">
        <f>'Sch 3A - Taxes'!E27</f>
        <v>DIST</v>
      </c>
      <c r="F279" s="2171"/>
      <c r="G279" s="2424">
        <f>'Sch 3A - Taxes'!F27</f>
        <v>103454099</v>
      </c>
      <c r="H279" s="2424">
        <f>'Sch 3A - Taxes'!G27</f>
        <v>0</v>
      </c>
      <c r="I279" s="2424">
        <f>'Sch 3A - Taxes'!H27</f>
        <v>0</v>
      </c>
      <c r="J279" s="3465">
        <f>'Sch 3A - Taxes'!I27</f>
        <v>103454099</v>
      </c>
      <c r="K279" s="3205">
        <f t="shared" si="730"/>
        <v>1</v>
      </c>
      <c r="O279" s="3235">
        <f t="shared" si="791"/>
        <v>103454099</v>
      </c>
      <c r="P279" s="3236">
        <f t="shared" si="731"/>
        <v>0</v>
      </c>
      <c r="Q279" s="3236">
        <f t="shared" si="732"/>
        <v>0</v>
      </c>
      <c r="R279" s="3236">
        <f t="shared" si="733"/>
        <v>103454099</v>
      </c>
      <c r="S279" s="3264"/>
      <c r="W279" s="3235">
        <f t="shared" si="792"/>
        <v>103454099</v>
      </c>
      <c r="X279" s="3236">
        <f t="shared" si="734"/>
        <v>0</v>
      </c>
      <c r="Y279" s="3236">
        <f t="shared" si="735"/>
        <v>0</v>
      </c>
      <c r="Z279" s="3236">
        <f t="shared" si="736"/>
        <v>103454099</v>
      </c>
      <c r="AA279" s="3264"/>
      <c r="AE279" s="3235">
        <f t="shared" si="793"/>
        <v>103454099</v>
      </c>
      <c r="AF279" s="3236">
        <f t="shared" si="737"/>
        <v>0</v>
      </c>
      <c r="AG279" s="3236">
        <f t="shared" si="738"/>
        <v>0</v>
      </c>
      <c r="AH279" s="3236">
        <f t="shared" si="739"/>
        <v>103454099</v>
      </c>
      <c r="AI279" s="3264"/>
      <c r="AM279" s="3235">
        <f t="shared" si="794"/>
        <v>103454099</v>
      </c>
      <c r="AN279" s="3236">
        <f t="shared" si="740"/>
        <v>0</v>
      </c>
      <c r="AO279" s="3236">
        <f t="shared" si="741"/>
        <v>0</v>
      </c>
      <c r="AP279" s="3236">
        <f t="shared" si="742"/>
        <v>103454099</v>
      </c>
      <c r="AQ279" s="3264"/>
      <c r="AU279" s="3235">
        <f t="shared" si="795"/>
        <v>103454099</v>
      </c>
      <c r="AV279" s="3236">
        <f t="shared" si="743"/>
        <v>0</v>
      </c>
      <c r="AW279" s="3236">
        <f t="shared" si="744"/>
        <v>0</v>
      </c>
      <c r="AX279" s="3236">
        <f t="shared" si="745"/>
        <v>103454099</v>
      </c>
      <c r="AY279" s="3264"/>
      <c r="BC279" s="3235">
        <f t="shared" si="796"/>
        <v>103454099</v>
      </c>
      <c r="BD279" s="3236">
        <f t="shared" si="746"/>
        <v>0</v>
      </c>
      <c r="BE279" s="3236">
        <f t="shared" si="747"/>
        <v>0</v>
      </c>
      <c r="BF279" s="3236">
        <f t="shared" si="748"/>
        <v>103454099</v>
      </c>
      <c r="BG279" s="3264"/>
      <c r="BK279" s="3235">
        <f t="shared" si="797"/>
        <v>103454099</v>
      </c>
      <c r="BL279" s="3236">
        <f t="shared" si="749"/>
        <v>0</v>
      </c>
      <c r="BM279" s="3236">
        <f t="shared" si="750"/>
        <v>0</v>
      </c>
      <c r="BN279" s="3236">
        <f t="shared" si="751"/>
        <v>103454099</v>
      </c>
      <c r="BO279" s="3264"/>
      <c r="BS279" s="3235">
        <f t="shared" si="798"/>
        <v>103454099</v>
      </c>
      <c r="BT279" s="3236">
        <f t="shared" si="752"/>
        <v>0</v>
      </c>
      <c r="BU279" s="3236">
        <f t="shared" si="753"/>
        <v>0</v>
      </c>
      <c r="BV279" s="3236">
        <f t="shared" si="754"/>
        <v>103454099</v>
      </c>
      <c r="BW279" s="3264"/>
      <c r="CA279" s="3235">
        <f t="shared" si="799"/>
        <v>103454099</v>
      </c>
      <c r="CB279" s="3236">
        <f t="shared" si="755"/>
        <v>0</v>
      </c>
      <c r="CC279" s="3236">
        <f t="shared" si="756"/>
        <v>0</v>
      </c>
      <c r="CD279" s="3236">
        <f t="shared" si="757"/>
        <v>103454099</v>
      </c>
      <c r="CE279" s="3264"/>
      <c r="CI279" s="3235">
        <f t="shared" si="800"/>
        <v>103454099</v>
      </c>
      <c r="CJ279" s="3236">
        <f t="shared" si="758"/>
        <v>0</v>
      </c>
      <c r="CK279" s="3236">
        <f t="shared" si="759"/>
        <v>0</v>
      </c>
      <c r="CL279" s="3236">
        <f t="shared" si="760"/>
        <v>103454099</v>
      </c>
      <c r="CM279" s="3264"/>
      <c r="CQ279" s="3235">
        <f t="shared" si="801"/>
        <v>103454099</v>
      </c>
      <c r="CR279" s="3236">
        <f t="shared" si="761"/>
        <v>0</v>
      </c>
      <c r="CS279" s="3236">
        <f t="shared" si="762"/>
        <v>0</v>
      </c>
      <c r="CT279" s="3236">
        <f t="shared" si="763"/>
        <v>103454099</v>
      </c>
      <c r="CU279" s="3264"/>
      <c r="CY279" s="3235">
        <f t="shared" si="802"/>
        <v>103454099</v>
      </c>
      <c r="CZ279" s="3236">
        <f t="shared" si="764"/>
        <v>0</v>
      </c>
      <c r="DA279" s="3236">
        <f t="shared" si="765"/>
        <v>0</v>
      </c>
      <c r="DB279" s="3236">
        <f t="shared" si="766"/>
        <v>103454099</v>
      </c>
      <c r="DC279" s="3264"/>
      <c r="DG279" s="3235">
        <f t="shared" si="803"/>
        <v>103454099</v>
      </c>
      <c r="DH279" s="3236">
        <f t="shared" si="767"/>
        <v>0</v>
      </c>
      <c r="DI279" s="3236">
        <f t="shared" si="768"/>
        <v>0</v>
      </c>
      <c r="DJ279" s="3236">
        <f t="shared" si="769"/>
        <v>103454099</v>
      </c>
      <c r="DK279" s="3264"/>
      <c r="DO279" s="3235">
        <f t="shared" si="804"/>
        <v>103454099</v>
      </c>
      <c r="DP279" s="3236">
        <f t="shared" si="770"/>
        <v>0</v>
      </c>
      <c r="DQ279" s="3236">
        <f t="shared" si="771"/>
        <v>0</v>
      </c>
      <c r="DR279" s="3236">
        <f t="shared" si="772"/>
        <v>103454099</v>
      </c>
      <c r="DS279" s="3264"/>
      <c r="DW279" s="3235">
        <f t="shared" si="805"/>
        <v>103454099</v>
      </c>
      <c r="DX279" s="3236">
        <f t="shared" si="773"/>
        <v>0</v>
      </c>
      <c r="DY279" s="3236">
        <f t="shared" si="774"/>
        <v>0</v>
      </c>
      <c r="DZ279" s="3236">
        <f t="shared" si="775"/>
        <v>103454099</v>
      </c>
      <c r="EA279" s="3264"/>
      <c r="EE279" s="3235">
        <f t="shared" si="806"/>
        <v>103454099</v>
      </c>
      <c r="EF279" s="3236">
        <f t="shared" si="776"/>
        <v>0</v>
      </c>
      <c r="EG279" s="3236">
        <f t="shared" si="777"/>
        <v>0</v>
      </c>
      <c r="EH279" s="3236">
        <f t="shared" si="778"/>
        <v>103454099</v>
      </c>
      <c r="EI279" s="3264"/>
      <c r="EM279" s="3235">
        <f t="shared" si="807"/>
        <v>103454099</v>
      </c>
      <c r="EN279" s="3236">
        <f t="shared" si="779"/>
        <v>0</v>
      </c>
      <c r="EO279" s="3236">
        <f t="shared" si="780"/>
        <v>0</v>
      </c>
      <c r="EP279" s="3236">
        <f t="shared" si="781"/>
        <v>103454099</v>
      </c>
      <c r="EQ279" s="3264"/>
      <c r="EU279" s="3235">
        <f t="shared" si="808"/>
        <v>103454099</v>
      </c>
      <c r="EV279" s="3236">
        <f t="shared" si="782"/>
        <v>0</v>
      </c>
      <c r="EW279" s="3236">
        <f t="shared" si="783"/>
        <v>0</v>
      </c>
      <c r="EX279" s="3236">
        <f t="shared" si="784"/>
        <v>103454099</v>
      </c>
      <c r="EY279" s="3264"/>
      <c r="FC279" s="3235">
        <f t="shared" si="809"/>
        <v>103454099</v>
      </c>
      <c r="FD279" s="3236">
        <f t="shared" si="785"/>
        <v>0</v>
      </c>
      <c r="FE279" s="3236">
        <f t="shared" si="786"/>
        <v>0</v>
      </c>
      <c r="FF279" s="3236">
        <f t="shared" si="787"/>
        <v>103454099</v>
      </c>
      <c r="FG279" s="3264"/>
      <c r="FK279" s="3235">
        <f t="shared" si="810"/>
        <v>103454099</v>
      </c>
      <c r="FL279" s="3236">
        <f t="shared" si="788"/>
        <v>0</v>
      </c>
      <c r="FM279" s="3236">
        <f t="shared" si="789"/>
        <v>0</v>
      </c>
      <c r="FN279" s="3236">
        <f t="shared" si="790"/>
        <v>103454099</v>
      </c>
      <c r="FO279" s="3264"/>
    </row>
    <row r="280" spans="1:171" ht="12" thickBot="1">
      <c r="A280" s="3489"/>
      <c r="B280" s="2365" t="s">
        <v>107</v>
      </c>
      <c r="C280" s="2673">
        <v>262</v>
      </c>
      <c r="D280" s="2674">
        <v>408.1</v>
      </c>
      <c r="E280" s="2424" t="str">
        <f>'Sch 3A - Taxes'!E28</f>
        <v>DIST</v>
      </c>
      <c r="F280" s="2171"/>
      <c r="G280" s="2424">
        <f>'Sch 3A - Taxes'!F28</f>
        <v>879365</v>
      </c>
      <c r="H280" s="2424">
        <f>'Sch 3A - Taxes'!G28</f>
        <v>0</v>
      </c>
      <c r="I280" s="2424">
        <f>'Sch 3A - Taxes'!H28</f>
        <v>0</v>
      </c>
      <c r="J280" s="3465">
        <f>'Sch 3A - Taxes'!I28</f>
        <v>879365</v>
      </c>
      <c r="K280" s="3205">
        <f t="shared" si="730"/>
        <v>1</v>
      </c>
      <c r="O280" s="3235">
        <f t="shared" si="791"/>
        <v>879365</v>
      </c>
      <c r="P280" s="3236">
        <f t="shared" si="731"/>
        <v>0</v>
      </c>
      <c r="Q280" s="3236">
        <f t="shared" si="732"/>
        <v>0</v>
      </c>
      <c r="R280" s="3236">
        <f t="shared" si="733"/>
        <v>879365</v>
      </c>
      <c r="S280" s="3264"/>
      <c r="W280" s="3235">
        <f t="shared" si="792"/>
        <v>879365</v>
      </c>
      <c r="X280" s="3236">
        <f t="shared" si="734"/>
        <v>0</v>
      </c>
      <c r="Y280" s="3236">
        <f t="shared" si="735"/>
        <v>0</v>
      </c>
      <c r="Z280" s="3236">
        <f t="shared" si="736"/>
        <v>879365</v>
      </c>
      <c r="AA280" s="3264"/>
      <c r="AE280" s="3235">
        <f t="shared" si="793"/>
        <v>879365</v>
      </c>
      <c r="AF280" s="3236">
        <f t="shared" si="737"/>
        <v>0</v>
      </c>
      <c r="AG280" s="3236">
        <f t="shared" si="738"/>
        <v>0</v>
      </c>
      <c r="AH280" s="3236">
        <f t="shared" si="739"/>
        <v>879365</v>
      </c>
      <c r="AI280" s="3264"/>
      <c r="AM280" s="3235">
        <f t="shared" si="794"/>
        <v>879365</v>
      </c>
      <c r="AN280" s="3236">
        <f t="shared" si="740"/>
        <v>0</v>
      </c>
      <c r="AO280" s="3236">
        <f t="shared" si="741"/>
        <v>0</v>
      </c>
      <c r="AP280" s="3236">
        <f t="shared" si="742"/>
        <v>879365</v>
      </c>
      <c r="AQ280" s="3264"/>
      <c r="AU280" s="3235">
        <f t="shared" si="795"/>
        <v>879365</v>
      </c>
      <c r="AV280" s="3236">
        <f t="shared" si="743"/>
        <v>0</v>
      </c>
      <c r="AW280" s="3236">
        <f t="shared" si="744"/>
        <v>0</v>
      </c>
      <c r="AX280" s="3236">
        <f t="shared" si="745"/>
        <v>879365</v>
      </c>
      <c r="AY280" s="3264"/>
      <c r="BC280" s="3235">
        <f t="shared" si="796"/>
        <v>879365</v>
      </c>
      <c r="BD280" s="3236">
        <f t="shared" si="746"/>
        <v>0</v>
      </c>
      <c r="BE280" s="3236">
        <f t="shared" si="747"/>
        <v>0</v>
      </c>
      <c r="BF280" s="3236">
        <f t="shared" si="748"/>
        <v>879365</v>
      </c>
      <c r="BG280" s="3264"/>
      <c r="BK280" s="3235">
        <f t="shared" si="797"/>
        <v>879365</v>
      </c>
      <c r="BL280" s="3236">
        <f t="shared" si="749"/>
        <v>0</v>
      </c>
      <c r="BM280" s="3236">
        <f t="shared" si="750"/>
        <v>0</v>
      </c>
      <c r="BN280" s="3236">
        <f t="shared" si="751"/>
        <v>879365</v>
      </c>
      <c r="BO280" s="3264"/>
      <c r="BS280" s="3235">
        <f t="shared" si="798"/>
        <v>879365</v>
      </c>
      <c r="BT280" s="3236">
        <f t="shared" si="752"/>
        <v>0</v>
      </c>
      <c r="BU280" s="3236">
        <f t="shared" si="753"/>
        <v>0</v>
      </c>
      <c r="BV280" s="3236">
        <f t="shared" si="754"/>
        <v>879365</v>
      </c>
      <c r="BW280" s="3264"/>
      <c r="CA280" s="3235">
        <f t="shared" si="799"/>
        <v>879365</v>
      </c>
      <c r="CB280" s="3236">
        <f t="shared" si="755"/>
        <v>0</v>
      </c>
      <c r="CC280" s="3236">
        <f t="shared" si="756"/>
        <v>0</v>
      </c>
      <c r="CD280" s="3236">
        <f t="shared" si="757"/>
        <v>879365</v>
      </c>
      <c r="CE280" s="3264"/>
      <c r="CI280" s="3235">
        <f t="shared" si="800"/>
        <v>879365</v>
      </c>
      <c r="CJ280" s="3236">
        <f t="shared" si="758"/>
        <v>0</v>
      </c>
      <c r="CK280" s="3236">
        <f t="shared" si="759"/>
        <v>0</v>
      </c>
      <c r="CL280" s="3236">
        <f t="shared" si="760"/>
        <v>879365</v>
      </c>
      <c r="CM280" s="3264"/>
      <c r="CQ280" s="3235">
        <f t="shared" si="801"/>
        <v>879365</v>
      </c>
      <c r="CR280" s="3236">
        <f t="shared" si="761"/>
        <v>0</v>
      </c>
      <c r="CS280" s="3236">
        <f t="shared" si="762"/>
        <v>0</v>
      </c>
      <c r="CT280" s="3236">
        <f t="shared" si="763"/>
        <v>879365</v>
      </c>
      <c r="CU280" s="3264"/>
      <c r="CY280" s="3235">
        <f t="shared" si="802"/>
        <v>879365</v>
      </c>
      <c r="CZ280" s="3236">
        <f t="shared" si="764"/>
        <v>0</v>
      </c>
      <c r="DA280" s="3236">
        <f t="shared" si="765"/>
        <v>0</v>
      </c>
      <c r="DB280" s="3236">
        <f t="shared" si="766"/>
        <v>879365</v>
      </c>
      <c r="DC280" s="3264"/>
      <c r="DG280" s="3235">
        <f t="shared" si="803"/>
        <v>879365</v>
      </c>
      <c r="DH280" s="3236">
        <f t="shared" si="767"/>
        <v>0</v>
      </c>
      <c r="DI280" s="3236">
        <f t="shared" si="768"/>
        <v>0</v>
      </c>
      <c r="DJ280" s="3236">
        <f t="shared" si="769"/>
        <v>879365</v>
      </c>
      <c r="DK280" s="3264"/>
      <c r="DO280" s="3235">
        <f t="shared" si="804"/>
        <v>879365</v>
      </c>
      <c r="DP280" s="3236">
        <f t="shared" si="770"/>
        <v>0</v>
      </c>
      <c r="DQ280" s="3236">
        <f t="shared" si="771"/>
        <v>0</v>
      </c>
      <c r="DR280" s="3236">
        <f t="shared" si="772"/>
        <v>879365</v>
      </c>
      <c r="DS280" s="3264"/>
      <c r="DW280" s="3235">
        <f t="shared" si="805"/>
        <v>879365</v>
      </c>
      <c r="DX280" s="3236">
        <f t="shared" si="773"/>
        <v>0</v>
      </c>
      <c r="DY280" s="3236">
        <f t="shared" si="774"/>
        <v>0</v>
      </c>
      <c r="DZ280" s="3236">
        <f t="shared" si="775"/>
        <v>879365</v>
      </c>
      <c r="EA280" s="3264"/>
      <c r="EE280" s="3235">
        <f t="shared" si="806"/>
        <v>879365</v>
      </c>
      <c r="EF280" s="3236">
        <f t="shared" si="776"/>
        <v>0</v>
      </c>
      <c r="EG280" s="3236">
        <f t="shared" si="777"/>
        <v>0</v>
      </c>
      <c r="EH280" s="3236">
        <f t="shared" si="778"/>
        <v>879365</v>
      </c>
      <c r="EI280" s="3264"/>
      <c r="EM280" s="3235">
        <f t="shared" si="807"/>
        <v>879365</v>
      </c>
      <c r="EN280" s="3236">
        <f t="shared" si="779"/>
        <v>0</v>
      </c>
      <c r="EO280" s="3236">
        <f t="shared" si="780"/>
        <v>0</v>
      </c>
      <c r="EP280" s="3236">
        <f t="shared" si="781"/>
        <v>879365</v>
      </c>
      <c r="EQ280" s="3264"/>
      <c r="EU280" s="3235">
        <f t="shared" si="808"/>
        <v>879365</v>
      </c>
      <c r="EV280" s="3236">
        <f t="shared" si="782"/>
        <v>0</v>
      </c>
      <c r="EW280" s="3236">
        <f t="shared" si="783"/>
        <v>0</v>
      </c>
      <c r="EX280" s="3236">
        <f t="shared" si="784"/>
        <v>879365</v>
      </c>
      <c r="EY280" s="3264"/>
      <c r="FC280" s="3235">
        <f t="shared" si="809"/>
        <v>879365</v>
      </c>
      <c r="FD280" s="3236">
        <f t="shared" si="785"/>
        <v>0</v>
      </c>
      <c r="FE280" s="3236">
        <f t="shared" si="786"/>
        <v>0</v>
      </c>
      <c r="FF280" s="3236">
        <f t="shared" si="787"/>
        <v>879365</v>
      </c>
      <c r="FG280" s="3264"/>
      <c r="FK280" s="3235">
        <f t="shared" si="810"/>
        <v>879365</v>
      </c>
      <c r="FL280" s="3236">
        <f t="shared" si="788"/>
        <v>0</v>
      </c>
      <c r="FM280" s="3236">
        <f t="shared" si="789"/>
        <v>0</v>
      </c>
      <c r="FN280" s="3236">
        <f t="shared" si="790"/>
        <v>879365</v>
      </c>
      <c r="FO280" s="3264"/>
    </row>
    <row r="281" spans="1:171" ht="12" thickBot="1">
      <c r="A281" s="3517" t="s">
        <v>36</v>
      </c>
      <c r="B281" s="2365"/>
      <c r="C281" s="3256"/>
      <c r="D281" s="3257"/>
      <c r="E281" s="3257"/>
      <c r="F281" s="3258"/>
      <c r="G281" s="3265">
        <f>SUM(G274:G280)</f>
        <v>256112939</v>
      </c>
      <c r="H281" s="3265">
        <f>SUM(H274:H280)</f>
        <v>16476242.140085313</v>
      </c>
      <c r="I281" s="3265">
        <f>SUM(I274:I280)</f>
        <v>0</v>
      </c>
      <c r="J281" s="3474">
        <f>SUM(J274:J280)</f>
        <v>239636696.8509014</v>
      </c>
      <c r="K281" s="3205"/>
      <c r="O281" s="3349">
        <f>SUM(O274:O280)</f>
        <v>256112939</v>
      </c>
      <c r="P281" s="3349">
        <f>SUM(P274:P280)</f>
        <v>16476242.140085313</v>
      </c>
      <c r="Q281" s="3349">
        <f>SUM(Q274:Q280)</f>
        <v>8267739.5594563298</v>
      </c>
      <c r="R281" s="3349">
        <f>SUM(R274:R280)</f>
        <v>231368957.30045837</v>
      </c>
      <c r="S281" s="3264"/>
      <c r="W281" s="3349">
        <f>SUM(W274:W280)</f>
        <v>256112939</v>
      </c>
      <c r="X281" s="3349">
        <f>SUM(X274:X280)</f>
        <v>16476242.140085313</v>
      </c>
      <c r="Y281" s="3349">
        <f>SUM(Y274:Y280)</f>
        <v>8267739.5594563298</v>
      </c>
      <c r="Z281" s="3349">
        <f>SUM(Z274:Z280)</f>
        <v>231368957.30045837</v>
      </c>
      <c r="AA281" s="3264"/>
      <c r="AE281" s="3349">
        <f>SUM(AE274:AE280)</f>
        <v>256112939</v>
      </c>
      <c r="AF281" s="3349">
        <f>SUM(AF274:AF280)</f>
        <v>16476242.140085313</v>
      </c>
      <c r="AG281" s="3349">
        <f>SUM(AG274:AG280)</f>
        <v>8267739.5594563298</v>
      </c>
      <c r="AH281" s="3349">
        <f>SUM(AH274:AH280)</f>
        <v>231368957.30045837</v>
      </c>
      <c r="AI281" s="3264"/>
      <c r="AM281" s="3349">
        <f>SUM(AM274:AM280)</f>
        <v>256112939</v>
      </c>
      <c r="AN281" s="3349">
        <f>SUM(AN274:AN280)</f>
        <v>16476242.140085313</v>
      </c>
      <c r="AO281" s="3349">
        <f>SUM(AO274:AO280)</f>
        <v>8267739.5594563298</v>
      </c>
      <c r="AP281" s="3349">
        <f>SUM(AP274:AP280)</f>
        <v>231368957.30045837</v>
      </c>
      <c r="AQ281" s="3264"/>
      <c r="AU281" s="3349">
        <f>SUM(AU274:AU280)</f>
        <v>256112939</v>
      </c>
      <c r="AV281" s="3349">
        <f>SUM(AV274:AV280)</f>
        <v>16476242.140085313</v>
      </c>
      <c r="AW281" s="3349">
        <f>SUM(AW274:AW280)</f>
        <v>8267739.5594563298</v>
      </c>
      <c r="AX281" s="3349">
        <f>SUM(AX274:AX280)</f>
        <v>231368957.30045837</v>
      </c>
      <c r="AY281" s="3264"/>
      <c r="BC281" s="3349">
        <f>SUM(BC274:BC280)</f>
        <v>256112939</v>
      </c>
      <c r="BD281" s="3349">
        <f>SUM(BD274:BD280)</f>
        <v>16476242.140085313</v>
      </c>
      <c r="BE281" s="3349">
        <f>SUM(BE274:BE280)</f>
        <v>8267739.5594563298</v>
      </c>
      <c r="BF281" s="3349">
        <f>SUM(BF274:BF280)</f>
        <v>231368957.30045837</v>
      </c>
      <c r="BG281" s="3264"/>
      <c r="BK281" s="3349">
        <f>SUM(BK274:BK280)</f>
        <v>256112939</v>
      </c>
      <c r="BL281" s="3349">
        <f>SUM(BL274:BL280)</f>
        <v>16476242.140085313</v>
      </c>
      <c r="BM281" s="3349">
        <f>SUM(BM274:BM280)</f>
        <v>8267739.5594563298</v>
      </c>
      <c r="BN281" s="3349">
        <f>SUM(BN274:BN280)</f>
        <v>231368957.30045837</v>
      </c>
      <c r="BO281" s="3264"/>
      <c r="BS281" s="3349">
        <f>SUM(BS274:BS280)</f>
        <v>256112939</v>
      </c>
      <c r="BT281" s="3349">
        <f>SUM(BT274:BT280)</f>
        <v>16476242.140085313</v>
      </c>
      <c r="BU281" s="3349">
        <f>SUM(BU274:BU280)</f>
        <v>8267739.5594563298</v>
      </c>
      <c r="BV281" s="3349">
        <f>SUM(BV274:BV280)</f>
        <v>231368957.30045837</v>
      </c>
      <c r="BW281" s="3264"/>
      <c r="CA281" s="3349">
        <f>SUM(CA274:CA280)</f>
        <v>256112939</v>
      </c>
      <c r="CB281" s="3349">
        <f>SUM(CB274:CB280)</f>
        <v>16476242.140085313</v>
      </c>
      <c r="CC281" s="3349">
        <f>SUM(CC274:CC280)</f>
        <v>8267739.5594563298</v>
      </c>
      <c r="CD281" s="3349">
        <f>SUM(CD274:CD280)</f>
        <v>231368957.30045837</v>
      </c>
      <c r="CE281" s="3264"/>
      <c r="CI281" s="3349">
        <f>SUM(CI274:CI280)</f>
        <v>256112939</v>
      </c>
      <c r="CJ281" s="3349">
        <f>SUM(CJ274:CJ280)</f>
        <v>16476242.140085313</v>
      </c>
      <c r="CK281" s="3349">
        <f>SUM(CK274:CK280)</f>
        <v>8267739.5594563298</v>
      </c>
      <c r="CL281" s="3349">
        <f>SUM(CL274:CL280)</f>
        <v>231368957.30045837</v>
      </c>
      <c r="CM281" s="3264"/>
      <c r="CQ281" s="3349">
        <f>SUM(CQ274:CQ280)</f>
        <v>256112939</v>
      </c>
      <c r="CR281" s="3349">
        <f>SUM(CR274:CR280)</f>
        <v>16476242.140085313</v>
      </c>
      <c r="CS281" s="3349">
        <f>SUM(CS274:CS280)</f>
        <v>8267739.5594563298</v>
      </c>
      <c r="CT281" s="3349">
        <f>SUM(CT274:CT280)</f>
        <v>231368957.30045837</v>
      </c>
      <c r="CU281" s="3264"/>
      <c r="CY281" s="3349">
        <f>SUM(CY274:CY280)</f>
        <v>256112939</v>
      </c>
      <c r="CZ281" s="3349">
        <f>SUM(CZ274:CZ280)</f>
        <v>16476242.140085313</v>
      </c>
      <c r="DA281" s="3349">
        <f>SUM(DA274:DA280)</f>
        <v>8267739.5594563298</v>
      </c>
      <c r="DB281" s="3349">
        <f>SUM(DB274:DB280)</f>
        <v>231368957.30045837</v>
      </c>
      <c r="DC281" s="3264"/>
      <c r="DG281" s="3349">
        <f>SUM(DG274:DG280)</f>
        <v>256112939</v>
      </c>
      <c r="DH281" s="3349">
        <f>SUM(DH274:DH280)</f>
        <v>16476242.140085313</v>
      </c>
      <c r="DI281" s="3349">
        <f>SUM(DI274:DI280)</f>
        <v>8267739.5594563298</v>
      </c>
      <c r="DJ281" s="3349">
        <f>SUM(DJ274:DJ280)</f>
        <v>231368957.30045837</v>
      </c>
      <c r="DK281" s="3264"/>
      <c r="DO281" s="3349">
        <f>SUM(DO274:DO280)</f>
        <v>256112939</v>
      </c>
      <c r="DP281" s="3349">
        <f>SUM(DP274:DP280)</f>
        <v>16476242.140085313</v>
      </c>
      <c r="DQ281" s="3349">
        <f>SUM(DQ274:DQ280)</f>
        <v>8267739.5594563298</v>
      </c>
      <c r="DR281" s="3349">
        <f>SUM(DR274:DR280)</f>
        <v>231368957.30045837</v>
      </c>
      <c r="DS281" s="3264"/>
      <c r="DW281" s="3349">
        <f>SUM(DW274:DW280)</f>
        <v>256112939</v>
      </c>
      <c r="DX281" s="3349">
        <f>SUM(DX274:DX280)</f>
        <v>16476242.140085313</v>
      </c>
      <c r="DY281" s="3349">
        <f>SUM(DY274:DY280)</f>
        <v>8267739.5594563298</v>
      </c>
      <c r="DZ281" s="3349">
        <f>SUM(DZ274:DZ280)</f>
        <v>231368957.30045837</v>
      </c>
      <c r="EA281" s="3264"/>
      <c r="EE281" s="3349">
        <f>SUM(EE274:EE280)</f>
        <v>256112939</v>
      </c>
      <c r="EF281" s="3349">
        <f>SUM(EF274:EF280)</f>
        <v>16476242.140085313</v>
      </c>
      <c r="EG281" s="3349">
        <f>SUM(EG274:EG280)</f>
        <v>8267739.5594563298</v>
      </c>
      <c r="EH281" s="3349">
        <f>SUM(EH274:EH280)</f>
        <v>231368957.30045837</v>
      </c>
      <c r="EI281" s="3264"/>
      <c r="EM281" s="3349">
        <f>SUM(EM274:EM280)</f>
        <v>256112939</v>
      </c>
      <c r="EN281" s="3349">
        <f>SUM(EN274:EN280)</f>
        <v>16476242.140085313</v>
      </c>
      <c r="EO281" s="3349">
        <f>SUM(EO274:EO280)</f>
        <v>8267739.5594563298</v>
      </c>
      <c r="EP281" s="3349">
        <f>SUM(EP274:EP280)</f>
        <v>231368957.30045837</v>
      </c>
      <c r="EQ281" s="3264"/>
      <c r="EU281" s="3349">
        <f>SUM(EU274:EU280)</f>
        <v>256112939</v>
      </c>
      <c r="EV281" s="3349">
        <f>SUM(EV274:EV280)</f>
        <v>16476242.140085313</v>
      </c>
      <c r="EW281" s="3349">
        <f>SUM(EW274:EW280)</f>
        <v>8267739.5594563298</v>
      </c>
      <c r="EX281" s="3349">
        <f>SUM(EX274:EX280)</f>
        <v>231368957.30045837</v>
      </c>
      <c r="EY281" s="3264"/>
      <c r="FC281" s="3349">
        <f>SUM(FC274:FC280)</f>
        <v>256112939</v>
      </c>
      <c r="FD281" s="3349">
        <f>SUM(FD274:FD280)</f>
        <v>16476242.140085313</v>
      </c>
      <c r="FE281" s="3349">
        <f>SUM(FE274:FE280)</f>
        <v>8267739.5594563298</v>
      </c>
      <c r="FF281" s="3349">
        <f>SUM(FF274:FF280)</f>
        <v>231368957.30045837</v>
      </c>
      <c r="FG281" s="3264"/>
      <c r="FK281" s="3349">
        <f>SUM(FK274:FK280)</f>
        <v>256112939</v>
      </c>
      <c r="FL281" s="3349">
        <f>SUM(FL274:FL280)</f>
        <v>16476242.140085313</v>
      </c>
      <c r="FM281" s="3349">
        <f>SUM(FM274:FM280)</f>
        <v>8267739.5594563298</v>
      </c>
      <c r="FN281" s="3349">
        <f>SUM(FN274:FN280)</f>
        <v>231368957.30045837</v>
      </c>
      <c r="FO281" s="3264"/>
    </row>
    <row r="282" spans="1:171" ht="12" thickBot="1">
      <c r="A282" s="3489"/>
      <c r="B282" s="2365"/>
      <c r="C282" s="2353"/>
      <c r="D282" s="2356"/>
      <c r="E282" s="2098"/>
      <c r="F282" s="2098"/>
      <c r="G282" s="3353"/>
      <c r="H282" s="3353"/>
      <c r="I282" s="3353"/>
      <c r="J282" s="3520"/>
      <c r="K282" s="3205"/>
      <c r="O282" s="2747"/>
      <c r="P282" s="2747"/>
      <c r="Q282" s="2747"/>
      <c r="R282" s="2747"/>
      <c r="S282" s="3264"/>
      <c r="W282" s="2747"/>
      <c r="X282" s="2747"/>
      <c r="Y282" s="2747"/>
      <c r="Z282" s="2747"/>
      <c r="AA282" s="3264"/>
      <c r="AE282" s="2747"/>
      <c r="AF282" s="2747"/>
      <c r="AG282" s="2747"/>
      <c r="AH282" s="2747"/>
      <c r="AI282" s="3264"/>
      <c r="AM282" s="2747"/>
      <c r="AN282" s="2747"/>
      <c r="AO282" s="2747"/>
      <c r="AP282" s="2747"/>
      <c r="AQ282" s="3264"/>
      <c r="AU282" s="2747"/>
      <c r="AV282" s="2747"/>
      <c r="AW282" s="2747"/>
      <c r="AX282" s="2747"/>
      <c r="AY282" s="3264"/>
      <c r="BC282" s="2747"/>
      <c r="BD282" s="2747"/>
      <c r="BE282" s="2747"/>
      <c r="BF282" s="2747"/>
      <c r="BG282" s="3264"/>
      <c r="BK282" s="2747"/>
      <c r="BL282" s="2747"/>
      <c r="BM282" s="2747"/>
      <c r="BN282" s="2747"/>
      <c r="BO282" s="3264"/>
      <c r="BS282" s="2747"/>
      <c r="BT282" s="2747"/>
      <c r="BU282" s="2747"/>
      <c r="BV282" s="2747"/>
      <c r="BW282" s="3264"/>
      <c r="CA282" s="2747"/>
      <c r="CB282" s="2747"/>
      <c r="CC282" s="2747"/>
      <c r="CD282" s="2747"/>
      <c r="CE282" s="3264"/>
      <c r="CI282" s="2747"/>
      <c r="CJ282" s="2747"/>
      <c r="CK282" s="2747"/>
      <c r="CL282" s="2747"/>
      <c r="CM282" s="3264"/>
      <c r="CQ282" s="2747"/>
      <c r="CR282" s="2747"/>
      <c r="CS282" s="2747"/>
      <c r="CT282" s="2747"/>
      <c r="CU282" s="3264"/>
      <c r="CY282" s="2747"/>
      <c r="CZ282" s="2747"/>
      <c r="DA282" s="2747"/>
      <c r="DB282" s="2747"/>
      <c r="DC282" s="3264"/>
      <c r="DG282" s="2747"/>
      <c r="DH282" s="2747"/>
      <c r="DI282" s="2747"/>
      <c r="DJ282" s="2747"/>
      <c r="DK282" s="3264"/>
      <c r="DO282" s="2747"/>
      <c r="DP282" s="2747"/>
      <c r="DQ282" s="2747"/>
      <c r="DR282" s="2747"/>
      <c r="DS282" s="3264"/>
      <c r="DW282" s="2747"/>
      <c r="DX282" s="2747"/>
      <c r="DY282" s="2747"/>
      <c r="DZ282" s="2747"/>
      <c r="EA282" s="3264"/>
      <c r="EE282" s="2747"/>
      <c r="EF282" s="2747"/>
      <c r="EG282" s="2747"/>
      <c r="EH282" s="2747"/>
      <c r="EI282" s="3264"/>
      <c r="EM282" s="2747"/>
      <c r="EN282" s="2747"/>
      <c r="EO282" s="2747"/>
      <c r="EP282" s="2747"/>
      <c r="EQ282" s="3264"/>
      <c r="EU282" s="2747"/>
      <c r="EV282" s="2747"/>
      <c r="EW282" s="2747"/>
      <c r="EX282" s="2747"/>
      <c r="EY282" s="3264"/>
      <c r="FC282" s="2747"/>
      <c r="FD282" s="2747"/>
      <c r="FE282" s="2747"/>
      <c r="FF282" s="2747"/>
      <c r="FG282" s="3264"/>
      <c r="FK282" s="2747"/>
      <c r="FL282" s="2747"/>
      <c r="FM282" s="2747"/>
      <c r="FN282" s="2747"/>
      <c r="FO282" s="3264"/>
    </row>
    <row r="283" spans="1:171" ht="12" thickBot="1">
      <c r="A283" s="3517" t="s">
        <v>570</v>
      </c>
      <c r="B283" s="2290"/>
      <c r="C283" s="3256"/>
      <c r="D283" s="3257"/>
      <c r="E283" s="3257"/>
      <c r="F283" s="3258"/>
      <c r="G283" s="3265">
        <f>SUM(G271,G281)</f>
        <v>448280187</v>
      </c>
      <c r="H283" s="3265">
        <f>SUM(H271,H281)</f>
        <v>20202897.194350448</v>
      </c>
      <c r="I283" s="3265">
        <f>SUM(I271,I281)</f>
        <v>0</v>
      </c>
      <c r="J283" s="3474">
        <f>SUM(J271,J281)</f>
        <v>428077289.79663622</v>
      </c>
      <c r="K283" s="3205"/>
      <c r="O283" s="3349">
        <f>SUM(O271,O281)</f>
        <v>448280187</v>
      </c>
      <c r="P283" s="3349">
        <f>SUM(P271,P281)</f>
        <v>20202897.194350448</v>
      </c>
      <c r="Q283" s="3349">
        <f>SUM(Q271,Q281)</f>
        <v>8862833.1685796566</v>
      </c>
      <c r="R283" s="3349">
        <f>SUM(R271,R281)</f>
        <v>419214456.63706994</v>
      </c>
      <c r="S283" s="3264"/>
      <c r="W283" s="3349">
        <f>SUM(W271,W281)</f>
        <v>448280187</v>
      </c>
      <c r="X283" s="3349">
        <f>SUM(X271,X281)</f>
        <v>20202897.194350448</v>
      </c>
      <c r="Y283" s="3349">
        <f>SUM(Y271,Y281)</f>
        <v>8862833.1685796566</v>
      </c>
      <c r="Z283" s="3349">
        <f>SUM(Z271,Z281)</f>
        <v>419214456.63706994</v>
      </c>
      <c r="AA283" s="3264"/>
      <c r="AE283" s="3349">
        <f>SUM(AE271,AE281)</f>
        <v>448280187</v>
      </c>
      <c r="AF283" s="3349">
        <f>SUM(AF271,AF281)</f>
        <v>20202897.194350448</v>
      </c>
      <c r="AG283" s="3349">
        <f>SUM(AG271,AG281)</f>
        <v>8862833.1685796566</v>
      </c>
      <c r="AH283" s="3349">
        <f>SUM(AH271,AH281)</f>
        <v>419214456.63706994</v>
      </c>
      <c r="AI283" s="3264"/>
      <c r="AM283" s="3349">
        <f>SUM(AM271,AM281)</f>
        <v>448280187</v>
      </c>
      <c r="AN283" s="3349">
        <f>SUM(AN271,AN281)</f>
        <v>20202897.194350448</v>
      </c>
      <c r="AO283" s="3349">
        <f>SUM(AO271,AO281)</f>
        <v>8862833.1685796566</v>
      </c>
      <c r="AP283" s="3349">
        <f>SUM(AP271,AP281)</f>
        <v>419214456.63706994</v>
      </c>
      <c r="AQ283" s="3264"/>
      <c r="AU283" s="3349">
        <f>SUM(AU271,AU281)</f>
        <v>448280187</v>
      </c>
      <c r="AV283" s="3349">
        <f>SUM(AV271,AV281)</f>
        <v>20202897.194350448</v>
      </c>
      <c r="AW283" s="3349">
        <f>SUM(AW271,AW281)</f>
        <v>8862833.1685796566</v>
      </c>
      <c r="AX283" s="3349">
        <f>SUM(AX271,AX281)</f>
        <v>419214456.63706994</v>
      </c>
      <c r="AY283" s="3264"/>
      <c r="BC283" s="3349">
        <f>SUM(BC271,BC281)</f>
        <v>448280187</v>
      </c>
      <c r="BD283" s="3349">
        <f>SUM(BD271,BD281)</f>
        <v>20202897.194350448</v>
      </c>
      <c r="BE283" s="3349">
        <f>SUM(BE271,BE281)</f>
        <v>8862833.1685796566</v>
      </c>
      <c r="BF283" s="3349">
        <f>SUM(BF271,BF281)</f>
        <v>419214456.63706994</v>
      </c>
      <c r="BG283" s="3264"/>
      <c r="BK283" s="3349">
        <f>SUM(BK271,BK281)</f>
        <v>448280187</v>
      </c>
      <c r="BL283" s="3349">
        <f>SUM(BL271,BL281)</f>
        <v>20202897.194350448</v>
      </c>
      <c r="BM283" s="3349">
        <f>SUM(BM271,BM281)</f>
        <v>8862833.1685796566</v>
      </c>
      <c r="BN283" s="3349">
        <f>SUM(BN271,BN281)</f>
        <v>419214456.63706994</v>
      </c>
      <c r="BO283" s="3264"/>
      <c r="BS283" s="3349">
        <f>SUM(BS271,BS281)</f>
        <v>448280187</v>
      </c>
      <c r="BT283" s="3349">
        <f>SUM(BT271,BT281)</f>
        <v>20202897.194350448</v>
      </c>
      <c r="BU283" s="3349">
        <f>SUM(BU271,BU281)</f>
        <v>8862833.1685796566</v>
      </c>
      <c r="BV283" s="3349">
        <f>SUM(BV271,BV281)</f>
        <v>419214456.63706994</v>
      </c>
      <c r="BW283" s="3264"/>
      <c r="CA283" s="3349">
        <f>SUM(CA271,CA281)</f>
        <v>448280187</v>
      </c>
      <c r="CB283" s="3349">
        <f>SUM(CB271,CB281)</f>
        <v>20202897.194350448</v>
      </c>
      <c r="CC283" s="3349">
        <f>SUM(CC271,CC281)</f>
        <v>8862833.1685796566</v>
      </c>
      <c r="CD283" s="3349">
        <f>SUM(CD271,CD281)</f>
        <v>419214456.63706994</v>
      </c>
      <c r="CE283" s="3264"/>
      <c r="CI283" s="3349">
        <f>SUM(CI271,CI281)</f>
        <v>448280187</v>
      </c>
      <c r="CJ283" s="3349">
        <f>SUM(CJ271,CJ281)</f>
        <v>20202897.194350448</v>
      </c>
      <c r="CK283" s="3349">
        <f>SUM(CK271,CK281)</f>
        <v>8862833.1685796566</v>
      </c>
      <c r="CL283" s="3349">
        <f>SUM(CL271,CL281)</f>
        <v>419214456.63706994</v>
      </c>
      <c r="CM283" s="3264"/>
      <c r="CQ283" s="3349">
        <f>SUM(CQ271,CQ281)</f>
        <v>448280187</v>
      </c>
      <c r="CR283" s="3349">
        <f>SUM(CR271,CR281)</f>
        <v>20202897.194350448</v>
      </c>
      <c r="CS283" s="3349">
        <f>SUM(CS271,CS281)</f>
        <v>8862833.1685796566</v>
      </c>
      <c r="CT283" s="3349">
        <f>SUM(CT271,CT281)</f>
        <v>419214456.63706994</v>
      </c>
      <c r="CU283" s="3264"/>
      <c r="CY283" s="3349">
        <f>SUM(CY271,CY281)</f>
        <v>448280187</v>
      </c>
      <c r="CZ283" s="3349">
        <f>SUM(CZ271,CZ281)</f>
        <v>20202897.194350448</v>
      </c>
      <c r="DA283" s="3349">
        <f>SUM(DA271,DA281)</f>
        <v>8862833.1685796566</v>
      </c>
      <c r="DB283" s="3349">
        <f>SUM(DB271,DB281)</f>
        <v>419214456.63706994</v>
      </c>
      <c r="DC283" s="3264"/>
      <c r="DG283" s="3349">
        <f>SUM(DG271,DG281)</f>
        <v>448280187</v>
      </c>
      <c r="DH283" s="3349">
        <f>SUM(DH271,DH281)</f>
        <v>20202897.194350448</v>
      </c>
      <c r="DI283" s="3349">
        <f>SUM(DI271,DI281)</f>
        <v>8862833.1685796566</v>
      </c>
      <c r="DJ283" s="3349">
        <f>SUM(DJ271,DJ281)</f>
        <v>419214456.63706994</v>
      </c>
      <c r="DK283" s="3264"/>
      <c r="DO283" s="3349">
        <f>SUM(DO271,DO281)</f>
        <v>448280187</v>
      </c>
      <c r="DP283" s="3349">
        <f>SUM(DP271,DP281)</f>
        <v>20202897.194350448</v>
      </c>
      <c r="DQ283" s="3349">
        <f>SUM(DQ271,DQ281)</f>
        <v>8862833.1685796566</v>
      </c>
      <c r="DR283" s="3349">
        <f>SUM(DR271,DR281)</f>
        <v>419214456.63706994</v>
      </c>
      <c r="DS283" s="3264"/>
      <c r="DW283" s="3349">
        <f>SUM(DW271,DW281)</f>
        <v>448280187</v>
      </c>
      <c r="DX283" s="3349">
        <f>SUM(DX271,DX281)</f>
        <v>20202897.194350448</v>
      </c>
      <c r="DY283" s="3349">
        <f>SUM(DY271,DY281)</f>
        <v>8862833.1685796566</v>
      </c>
      <c r="DZ283" s="3349">
        <f>SUM(DZ271,DZ281)</f>
        <v>419214456.63706994</v>
      </c>
      <c r="EA283" s="3264"/>
      <c r="EE283" s="3349">
        <f>SUM(EE271,EE281)</f>
        <v>448280187</v>
      </c>
      <c r="EF283" s="3349">
        <f>SUM(EF271,EF281)</f>
        <v>20202897.194350448</v>
      </c>
      <c r="EG283" s="3349">
        <f>SUM(EG271,EG281)</f>
        <v>8862833.1685796566</v>
      </c>
      <c r="EH283" s="3349">
        <f>SUM(EH271,EH281)</f>
        <v>419214456.63706994</v>
      </c>
      <c r="EI283" s="3264"/>
      <c r="EM283" s="3349">
        <f>SUM(EM271,EM281)</f>
        <v>448280187</v>
      </c>
      <c r="EN283" s="3349">
        <f>SUM(EN271,EN281)</f>
        <v>20202897.194350448</v>
      </c>
      <c r="EO283" s="3349">
        <f>SUM(EO271,EO281)</f>
        <v>8862833.1685796566</v>
      </c>
      <c r="EP283" s="3349">
        <f>SUM(EP271,EP281)</f>
        <v>419214456.63706994</v>
      </c>
      <c r="EQ283" s="3264"/>
      <c r="EU283" s="3349">
        <f>SUM(EU271,EU281)</f>
        <v>448280187</v>
      </c>
      <c r="EV283" s="3349">
        <f>SUM(EV271,EV281)</f>
        <v>20202897.194350448</v>
      </c>
      <c r="EW283" s="3349">
        <f>SUM(EW271,EW281)</f>
        <v>8862833.1685796566</v>
      </c>
      <c r="EX283" s="3349">
        <f>SUM(EX271,EX281)</f>
        <v>419214456.63706994</v>
      </c>
      <c r="EY283" s="3264"/>
      <c r="FC283" s="3349">
        <f>SUM(FC271,FC281)</f>
        <v>448280187</v>
      </c>
      <c r="FD283" s="3349">
        <f>SUM(FD271,FD281)</f>
        <v>20202897.194350448</v>
      </c>
      <c r="FE283" s="3349">
        <f>SUM(FE271,FE281)</f>
        <v>8862833.1685796566</v>
      </c>
      <c r="FF283" s="3349">
        <f>SUM(FF271,FF281)</f>
        <v>419214456.63706994</v>
      </c>
      <c r="FG283" s="3264"/>
      <c r="FK283" s="3349">
        <f>SUM(FK271,FK281)</f>
        <v>448280187</v>
      </c>
      <c r="FL283" s="3349">
        <f>SUM(FL271,FL281)</f>
        <v>20202897.194350448</v>
      </c>
      <c r="FM283" s="3349">
        <f>SUM(FM271,FM281)</f>
        <v>8862833.1685796566</v>
      </c>
      <c r="FN283" s="3349">
        <f>SUM(FN271,FN281)</f>
        <v>419214456.63706994</v>
      </c>
      <c r="FO283" s="3264"/>
    </row>
    <row r="284" spans="1:171" ht="12" thickBot="1">
      <c r="A284" s="3509"/>
      <c r="B284" s="2317"/>
      <c r="C284" s="2317"/>
      <c r="D284" s="2317"/>
      <c r="E284" s="2317"/>
      <c r="F284" s="2317"/>
      <c r="G284" s="2317"/>
      <c r="H284" s="2317"/>
      <c r="I284" s="2317"/>
      <c r="J284" s="3521"/>
      <c r="K284" s="3205"/>
      <c r="S284" s="3264"/>
      <c r="AA284" s="3264"/>
      <c r="AI284" s="3264"/>
      <c r="AQ284" s="3264"/>
      <c r="AY284" s="3264"/>
      <c r="BG284" s="3264"/>
      <c r="BO284" s="3264"/>
      <c r="BW284" s="3264"/>
      <c r="CE284" s="3264"/>
      <c r="CM284" s="3264"/>
      <c r="CU284" s="3264"/>
      <c r="DC284" s="3264"/>
      <c r="DK284" s="3264"/>
      <c r="DS284" s="3264"/>
      <c r="EA284" s="3264"/>
      <c r="EI284" s="3264"/>
      <c r="EQ284" s="3264"/>
      <c r="EY284" s="3264"/>
      <c r="FG284" s="3264"/>
      <c r="FO284" s="3264"/>
    </row>
    <row r="285" spans="1:171" ht="12" thickTop="1">
      <c r="A285" s="3452"/>
      <c r="J285" s="3453"/>
      <c r="K285" s="3205"/>
      <c r="S285" s="3264"/>
      <c r="AA285" s="3264"/>
      <c r="AI285" s="3264"/>
      <c r="AQ285" s="3264"/>
      <c r="AY285" s="3264"/>
      <c r="BG285" s="3264"/>
      <c r="BO285" s="3264"/>
      <c r="BW285" s="3264"/>
      <c r="CE285" s="3264"/>
      <c r="CM285" s="3264"/>
      <c r="CU285" s="3264"/>
      <c r="DC285" s="3264"/>
      <c r="DK285" s="3264"/>
      <c r="DS285" s="3264"/>
      <c r="EA285" s="3264"/>
      <c r="EI285" s="3264"/>
      <c r="EQ285" s="3264"/>
      <c r="EY285" s="3264"/>
      <c r="FG285" s="3264"/>
      <c r="FO285" s="3264"/>
    </row>
    <row r="286" spans="1:171" ht="12" thickBot="1">
      <c r="A286" s="3515" t="s">
        <v>618</v>
      </c>
      <c r="B286" s="3347"/>
      <c r="C286" s="3347"/>
      <c r="D286" s="3347"/>
      <c r="E286" s="2325"/>
      <c r="F286" s="2689"/>
      <c r="G286" s="2349"/>
      <c r="H286" s="2349"/>
      <c r="I286" s="2350"/>
      <c r="J286" s="3516"/>
      <c r="K286" s="3205"/>
      <c r="S286" s="3264"/>
      <c r="AA286" s="3264"/>
      <c r="AI286" s="3264"/>
      <c r="AQ286" s="3264"/>
      <c r="AY286" s="3264"/>
      <c r="BG286" s="3264"/>
      <c r="BO286" s="3264"/>
      <c r="BW286" s="3264"/>
      <c r="CE286" s="3264"/>
      <c r="CM286" s="3264"/>
      <c r="CU286" s="3264"/>
      <c r="DC286" s="3264"/>
      <c r="DK286" s="3264"/>
      <c r="DS286" s="3264"/>
      <c r="EA286" s="3264"/>
      <c r="EI286" s="3264"/>
      <c r="EQ286" s="3264"/>
      <c r="EY286" s="3264"/>
      <c r="FG286" s="3264"/>
      <c r="FO286" s="3264"/>
    </row>
    <row r="287" spans="1:171" ht="12.75" thickTop="1" thickBot="1">
      <c r="A287" s="3498"/>
      <c r="B287" s="3809" t="s">
        <v>100</v>
      </c>
      <c r="C287" s="2457" t="s">
        <v>321</v>
      </c>
      <c r="D287" s="2457"/>
      <c r="E287" s="3892" t="s">
        <v>350</v>
      </c>
      <c r="F287" s="3893"/>
      <c r="G287" s="3896" t="s">
        <v>104</v>
      </c>
      <c r="H287" s="3885" t="s">
        <v>105</v>
      </c>
      <c r="I287" s="3888" t="s">
        <v>106</v>
      </c>
      <c r="J287" s="3499"/>
      <c r="K287" s="3205"/>
      <c r="S287" s="3264"/>
      <c r="AA287" s="3264"/>
      <c r="AI287" s="3264"/>
      <c r="AQ287" s="3264"/>
      <c r="AY287" s="3264"/>
      <c r="BG287" s="3264"/>
      <c r="BO287" s="3264"/>
      <c r="BW287" s="3264"/>
      <c r="CE287" s="3264"/>
      <c r="CM287" s="3264"/>
      <c r="CU287" s="3264"/>
      <c r="DC287" s="3264"/>
      <c r="DK287" s="3264"/>
      <c r="DS287" s="3264"/>
      <c r="EA287" s="3264"/>
      <c r="EI287" s="3264"/>
      <c r="EQ287" s="3264"/>
      <c r="EY287" s="3264"/>
      <c r="FG287" s="3264"/>
      <c r="FO287" s="3264"/>
    </row>
    <row r="288" spans="1:171" ht="12" thickBot="1">
      <c r="A288" s="3500"/>
      <c r="B288" s="3905"/>
      <c r="C288" s="2460" t="s">
        <v>270</v>
      </c>
      <c r="D288" s="2460" t="s">
        <v>96</v>
      </c>
      <c r="E288" s="3894"/>
      <c r="F288" s="3895"/>
      <c r="G288" s="3897"/>
      <c r="H288" s="3886"/>
      <c r="I288" s="3889"/>
      <c r="J288" s="3501" t="s">
        <v>98</v>
      </c>
      <c r="K288" s="3205"/>
      <c r="S288" s="3264"/>
      <c r="AA288" s="3264"/>
      <c r="AI288" s="3264"/>
      <c r="AQ288" s="3264"/>
      <c r="AY288" s="3264"/>
      <c r="BG288" s="3264"/>
      <c r="BO288" s="3264"/>
      <c r="BW288" s="3264"/>
      <c r="CE288" s="3264"/>
      <c r="CM288" s="3264"/>
      <c r="CU288" s="3264"/>
      <c r="DC288" s="3264"/>
      <c r="DK288" s="3264"/>
      <c r="DS288" s="3264"/>
      <c r="EA288" s="3264"/>
      <c r="EI288" s="3264"/>
      <c r="EQ288" s="3264"/>
      <c r="EY288" s="3264"/>
      <c r="FG288" s="3264"/>
      <c r="FO288" s="3264"/>
    </row>
    <row r="289" spans="1:171" ht="12" thickBot="1">
      <c r="A289" s="3502"/>
      <c r="B289" s="3906"/>
      <c r="C289" s="2461" t="s">
        <v>271</v>
      </c>
      <c r="D289" s="2461" t="s">
        <v>250</v>
      </c>
      <c r="E289" s="2461" t="s">
        <v>449</v>
      </c>
      <c r="F289" s="2461" t="s">
        <v>609</v>
      </c>
      <c r="G289" s="3898"/>
      <c r="H289" s="3887"/>
      <c r="I289" s="3890"/>
      <c r="J289" s="3503" t="s">
        <v>107</v>
      </c>
      <c r="K289" s="3205"/>
      <c r="S289" s="3264"/>
      <c r="AA289" s="3264"/>
      <c r="AI289" s="3264"/>
      <c r="AQ289" s="3264"/>
      <c r="AY289" s="3264"/>
      <c r="BG289" s="3264"/>
      <c r="BO289" s="3264"/>
      <c r="BW289" s="3264"/>
      <c r="CE289" s="3264"/>
      <c r="CM289" s="3264"/>
      <c r="CU289" s="3264"/>
      <c r="DC289" s="3264"/>
      <c r="DK289" s="3264"/>
      <c r="DS289" s="3264"/>
      <c r="EA289" s="3264"/>
      <c r="EI289" s="3264"/>
      <c r="EQ289" s="3264"/>
      <c r="EY289" s="3264"/>
      <c r="FG289" s="3264"/>
      <c r="FO289" s="3264"/>
    </row>
    <row r="290" spans="1:171" ht="12" thickTop="1">
      <c r="A290" s="2102" t="s">
        <v>41</v>
      </c>
      <c r="B290" s="2097"/>
      <c r="C290" s="2686"/>
      <c r="D290" s="2687"/>
      <c r="E290" s="2116"/>
      <c r="F290" s="2116"/>
      <c r="G290" s="2181"/>
      <c r="H290" s="2181"/>
      <c r="I290" s="2181"/>
      <c r="J290" s="2200"/>
      <c r="K290" s="3205"/>
      <c r="S290" s="3264"/>
      <c r="AA290" s="3264"/>
      <c r="AI290" s="3264"/>
      <c r="AQ290" s="3264"/>
      <c r="AY290" s="3264"/>
      <c r="BG290" s="3264"/>
      <c r="BO290" s="3264"/>
      <c r="BW290" s="3264"/>
      <c r="CE290" s="3264"/>
      <c r="CM290" s="3264"/>
      <c r="CU290" s="3264"/>
      <c r="DC290" s="3264"/>
      <c r="DK290" s="3264"/>
      <c r="DS290" s="3264"/>
      <c r="EA290" s="3264"/>
      <c r="EI290" s="3264"/>
      <c r="EQ290" s="3264"/>
      <c r="EY290" s="3264"/>
      <c r="FG290" s="3264"/>
      <c r="FO290" s="3264"/>
    </row>
    <row r="291" spans="1:171">
      <c r="A291" s="2102"/>
      <c r="B291" s="2097" t="s">
        <v>565</v>
      </c>
      <c r="C291" s="2464">
        <v>114</v>
      </c>
      <c r="D291" s="2171">
        <v>407.3</v>
      </c>
      <c r="E291" s="2424" t="str">
        <f>'Sch 3B - Other Items'!E15</f>
        <v>DIRECT</v>
      </c>
      <c r="F291" s="2171"/>
      <c r="G291" s="2424">
        <f>'Sch 3B - Other Items'!G15</f>
        <v>134166092</v>
      </c>
      <c r="H291" s="2424">
        <f>'Sch 3B - Other Items'!H15</f>
        <v>101178031.47000001</v>
      </c>
      <c r="I291" s="2424">
        <f>'Sch 3B - Other Items'!I15</f>
        <v>0</v>
      </c>
      <c r="J291" s="3465">
        <f>'Sch 3B - Other Items'!J15</f>
        <v>32988060.300000001</v>
      </c>
      <c r="K291" s="3205">
        <f t="shared" ref="K291:K297" si="811">IF($E291="DIRECT",0,1)</f>
        <v>0</v>
      </c>
      <c r="O291" s="3235">
        <f t="shared" ref="O291:O297" si="812">$G291</f>
        <v>134166092</v>
      </c>
      <c r="P291" s="3236">
        <f t="shared" ref="P291:P297" si="813">VLOOKUP($E291,O$442:R$453,2,FALSE)*O291*($K291)+IF($G291&lt;&gt;0,($H291/$G291)*O291,0)*(1-$K291)</f>
        <v>101178031.47000001</v>
      </c>
      <c r="Q291" s="3236">
        <f t="shared" ref="Q291:Q297" si="814">VLOOKUP($E291,O$442:R$453,3,FALSE)*O291*($K291)+IF($G291&lt;&gt;0,($I291/$G291)*O291,0)*(1-$K291)</f>
        <v>0</v>
      </c>
      <c r="R291" s="3236">
        <f t="shared" ref="R291:R297" si="815">VLOOKUP($E291,O$442:R$453,4,FALSE)*O291*($K291)+(O291-P291-Q291)*(1-$K291)</f>
        <v>32988060.529999986</v>
      </c>
      <c r="S291" s="3264"/>
      <c r="W291" s="3235">
        <f t="shared" ref="W291:W297" si="816">$G291</f>
        <v>134166092</v>
      </c>
      <c r="X291" s="3236">
        <f t="shared" ref="X291:X297" si="817">VLOOKUP($E291,W$442:Z$453,2,FALSE)*W291*($K291)+IF($G291&lt;&gt;0,($H291/$G291)*W291,0)*(1-$K291)</f>
        <v>101178031.47000001</v>
      </c>
      <c r="Y291" s="3236">
        <f t="shared" ref="Y291:Y297" si="818">VLOOKUP($E291,W$442:Z$453,3,FALSE)*W291*($K291)+IF($G291&lt;&gt;0,($I291/$G291)*W291,0)*(1-$K291)</f>
        <v>0</v>
      </c>
      <c r="Z291" s="3236">
        <f t="shared" ref="Z291:Z297" si="819">VLOOKUP($E291,W$442:Z$453,4,FALSE)*W291*($K291)+(W291-X291-Y291)*(1-$K291)</f>
        <v>32988060.529999986</v>
      </c>
      <c r="AA291" s="3264"/>
      <c r="AE291" s="3235">
        <f t="shared" ref="AE291:AE297" si="820">$G291</f>
        <v>134166092</v>
      </c>
      <c r="AF291" s="3236">
        <f t="shared" ref="AF291:AF297" si="821">VLOOKUP($E291,AE$442:AH$453,2,FALSE)*AE291*($K291)+IF($G291&lt;&gt;0,($H291/$G291)*AE291,0)*(1-$K291)</f>
        <v>101178031.47000001</v>
      </c>
      <c r="AG291" s="3236">
        <f t="shared" ref="AG291:AG297" si="822">VLOOKUP($E291,AE$442:AH$453,3,FALSE)*AE291*($K291)+IF($G291&lt;&gt;0,($I291/$G291)*AE291,0)*(1-$K291)</f>
        <v>0</v>
      </c>
      <c r="AH291" s="3236">
        <f t="shared" ref="AH291:AH297" si="823">VLOOKUP($E291,AE$442:AH$453,4,FALSE)*AE291*($K291)+(AE291-AF291-AG291)*(1-$K291)</f>
        <v>32988060.529999986</v>
      </c>
      <c r="AI291" s="3264"/>
      <c r="AM291" s="3235">
        <f t="shared" ref="AM291:AM297" si="824">$G291</f>
        <v>134166092</v>
      </c>
      <c r="AN291" s="3236">
        <f t="shared" ref="AN291:AN297" si="825">VLOOKUP($E291,AM$442:AP$453,2,FALSE)*AM291*($K291)+IF($G291&lt;&gt;0,($H291/$G291)*AM291,0)*(1-$K291)</f>
        <v>101178031.47000001</v>
      </c>
      <c r="AO291" s="3236">
        <f t="shared" ref="AO291:AO297" si="826">VLOOKUP($E291,AM$442:AP$453,3,FALSE)*AM291*($K291)+IF($G291&lt;&gt;0,($I291/$G291)*AM291,0)*(1-$K291)</f>
        <v>0</v>
      </c>
      <c r="AP291" s="3236">
        <f t="shared" ref="AP291:AP297" si="827">VLOOKUP($E291,AM$442:AP$453,4,FALSE)*AM291*($K291)+(AM291-AN291-AO291)*(1-$K291)</f>
        <v>32988060.529999986</v>
      </c>
      <c r="AQ291" s="3264"/>
      <c r="AU291" s="3235">
        <f t="shared" ref="AU291:AU297" si="828">$G291</f>
        <v>134166092</v>
      </c>
      <c r="AV291" s="3236">
        <f t="shared" ref="AV291:AV297" si="829">VLOOKUP($E291,AU$442:AX$453,2,FALSE)*AU291*($K291)+IF($G291&lt;&gt;0,($H291/$G291)*AU291,0)*(1-$K291)</f>
        <v>101178031.47000001</v>
      </c>
      <c r="AW291" s="3236">
        <f t="shared" ref="AW291:AW297" si="830">VLOOKUP($E291,AU$442:AX$453,3,FALSE)*AU291*($K291)+IF($G291&lt;&gt;0,($I291/$G291)*AU291,0)*(1-$K291)</f>
        <v>0</v>
      </c>
      <c r="AX291" s="3236">
        <f t="shared" ref="AX291:AX297" si="831">VLOOKUP($E291,AU$442:AX$453,4,FALSE)*AU291*($K291)+(AU291-AV291-AW291)*(1-$K291)</f>
        <v>32988060.529999986</v>
      </c>
      <c r="AY291" s="3264"/>
      <c r="BC291" s="3235">
        <f t="shared" ref="BC291:BC297" si="832">$G291</f>
        <v>134166092</v>
      </c>
      <c r="BD291" s="3236">
        <f t="shared" ref="BD291:BD297" si="833">VLOOKUP($E291,BC$442:BF$453,2,FALSE)*BC291*($K291)+IF($G291&lt;&gt;0,($H291/$G291)*BC291,0)*(1-$K291)</f>
        <v>101178031.47000001</v>
      </c>
      <c r="BE291" s="3236">
        <f t="shared" ref="BE291:BE297" si="834">VLOOKUP($E291,BC$442:BF$453,3,FALSE)*BC291*($K291)+IF($G291&lt;&gt;0,($I291/$G291)*BC291,0)*(1-$K291)</f>
        <v>0</v>
      </c>
      <c r="BF291" s="3236">
        <f t="shared" ref="BF291:BF297" si="835">VLOOKUP($E291,BC$442:BF$453,4,FALSE)*BC291*($K291)+(BC291-BD291-BE291)*(1-$K291)</f>
        <v>32988060.529999986</v>
      </c>
      <c r="BG291" s="3264"/>
      <c r="BK291" s="3235">
        <f t="shared" ref="BK291:BK297" si="836">$G291</f>
        <v>134166092</v>
      </c>
      <c r="BL291" s="3236">
        <f t="shared" ref="BL291:BL297" si="837">VLOOKUP($E291,BK$442:BN$453,2,FALSE)*BK291*($K291)+IF($G291&lt;&gt;0,($H291/$G291)*BK291,0)*(1-$K291)</f>
        <v>101178031.47000001</v>
      </c>
      <c r="BM291" s="3236">
        <f t="shared" ref="BM291:BM297" si="838">VLOOKUP($E291,BK$442:BN$453,3,FALSE)*BK291*($K291)+IF($G291&lt;&gt;0,($I291/$G291)*BK291,0)*(1-$K291)</f>
        <v>0</v>
      </c>
      <c r="BN291" s="3236">
        <f t="shared" ref="BN291:BN297" si="839">VLOOKUP($E291,BK$442:BN$453,4,FALSE)*BK291*($K291)+(BK291-BL291-BM291)*(1-$K291)</f>
        <v>32988060.529999986</v>
      </c>
      <c r="BO291" s="3264"/>
      <c r="BS291" s="3235">
        <f t="shared" ref="BS291:BS297" si="840">$G291</f>
        <v>134166092</v>
      </c>
      <c r="BT291" s="3236">
        <f t="shared" ref="BT291:BT297" si="841">VLOOKUP($E291,BS$442:BV$453,2,FALSE)*BS291*($K291)+IF($G291&lt;&gt;0,($H291/$G291)*BS291,0)*(1-$K291)</f>
        <v>101178031.47000001</v>
      </c>
      <c r="BU291" s="3236">
        <f t="shared" ref="BU291:BU297" si="842">VLOOKUP($E291,BS$442:BV$453,3,FALSE)*BS291*($K291)+IF($G291&lt;&gt;0,($I291/$G291)*BS291,0)*(1-$K291)</f>
        <v>0</v>
      </c>
      <c r="BV291" s="3236">
        <f t="shared" ref="BV291:BV297" si="843">VLOOKUP($E291,BS$442:BV$453,4,FALSE)*BS291*($K291)+(BS291-BT291-BU291)*(1-$K291)</f>
        <v>32988060.529999986</v>
      </c>
      <c r="BW291" s="3264"/>
      <c r="CA291" s="3235">
        <f t="shared" ref="CA291:CA297" si="844">$G291</f>
        <v>134166092</v>
      </c>
      <c r="CB291" s="3236">
        <f t="shared" ref="CB291:CB297" si="845">VLOOKUP($E291,CA$442:CD$453,2,FALSE)*CA291*($K291)+IF($G291&lt;&gt;0,($H291/$G291)*CA291,0)*(1-$K291)</f>
        <v>101178031.47000001</v>
      </c>
      <c r="CC291" s="3236">
        <f t="shared" ref="CC291:CC297" si="846">VLOOKUP($E291,CA$442:CD$453,3,FALSE)*CA291*($K291)+IF($G291&lt;&gt;0,($I291/$G291)*CA291,0)*(1-$K291)</f>
        <v>0</v>
      </c>
      <c r="CD291" s="3236">
        <f t="shared" ref="CD291:CD297" si="847">VLOOKUP($E291,CA$442:CD$453,4,FALSE)*CA291*($K291)+(CA291-CB291-CC291)*(1-$K291)</f>
        <v>32988060.529999986</v>
      </c>
      <c r="CE291" s="3264"/>
      <c r="CI291" s="3235">
        <f t="shared" ref="CI291:CI297" si="848">$G291</f>
        <v>134166092</v>
      </c>
      <c r="CJ291" s="3236">
        <f t="shared" ref="CJ291:CJ297" si="849">VLOOKUP($E291,CI$442:CL$453,2,FALSE)*CI291*($K291)+IF($G291&lt;&gt;0,($H291/$G291)*CI291,0)*(1-$K291)</f>
        <v>101178031.47000001</v>
      </c>
      <c r="CK291" s="3236">
        <f t="shared" ref="CK291:CK297" si="850">VLOOKUP($E291,CI$442:CL$453,3,FALSE)*CI291*($K291)+IF($G291&lt;&gt;0,($I291/$G291)*CI291,0)*(1-$K291)</f>
        <v>0</v>
      </c>
      <c r="CL291" s="3236">
        <f t="shared" ref="CL291:CL297" si="851">VLOOKUP($E291,CI$442:CL$453,4,FALSE)*CI291*($K291)+(CI291-CJ291-CK291)*(1-$K291)</f>
        <v>32988060.529999986</v>
      </c>
      <c r="CM291" s="3264"/>
      <c r="CQ291" s="3235">
        <f t="shared" ref="CQ291:CQ297" si="852">$G291</f>
        <v>134166092</v>
      </c>
      <c r="CR291" s="3236">
        <f t="shared" ref="CR291:CR297" si="853">VLOOKUP($E291,CQ$442:CT$453,2,FALSE)*CQ291*($K291)+IF($G291&lt;&gt;0,($H291/$G291)*CQ291,0)*(1-$K291)</f>
        <v>101178031.47000001</v>
      </c>
      <c r="CS291" s="3236">
        <f t="shared" ref="CS291:CS297" si="854">VLOOKUP($E291,CQ$442:CT$453,3,FALSE)*CQ291*($K291)+IF($G291&lt;&gt;0,($I291/$G291)*CQ291,0)*(1-$K291)</f>
        <v>0</v>
      </c>
      <c r="CT291" s="3236">
        <f t="shared" ref="CT291:CT297" si="855">VLOOKUP($E291,CQ$442:CT$453,4,FALSE)*CQ291*($K291)+(CQ291-CR291-CS291)*(1-$K291)</f>
        <v>32988060.529999986</v>
      </c>
      <c r="CU291" s="3264"/>
      <c r="CY291" s="3235">
        <f t="shared" ref="CY291:CY297" si="856">$G291</f>
        <v>134166092</v>
      </c>
      <c r="CZ291" s="3236">
        <f t="shared" ref="CZ291:CZ297" si="857">VLOOKUP($E291,CY$442:DB$453,2,FALSE)*CY291*($K291)+IF($G291&lt;&gt;0,($H291/$G291)*CY291,0)*(1-$K291)</f>
        <v>101178031.47000001</v>
      </c>
      <c r="DA291" s="3236">
        <f t="shared" ref="DA291:DA297" si="858">VLOOKUP($E291,CY$442:DB$453,3,FALSE)*CY291*($K291)+IF($G291&lt;&gt;0,($I291/$G291)*CY291,0)*(1-$K291)</f>
        <v>0</v>
      </c>
      <c r="DB291" s="3236">
        <f t="shared" ref="DB291:DB297" si="859">VLOOKUP($E291,CY$442:DB$453,4,FALSE)*CY291*($K291)+(CY291-CZ291-DA291)*(1-$K291)</f>
        <v>32988060.529999986</v>
      </c>
      <c r="DC291" s="3264"/>
      <c r="DG291" s="3235">
        <f t="shared" ref="DG291:DG297" si="860">$G291</f>
        <v>134166092</v>
      </c>
      <c r="DH291" s="3236">
        <f t="shared" ref="DH291:DH297" si="861">VLOOKUP($E291,DG$442:DJ$453,2,FALSE)*DG291*($K291)+IF($G291&lt;&gt;0,($H291/$G291)*DG291,0)*(1-$K291)</f>
        <v>101178031.47000001</v>
      </c>
      <c r="DI291" s="3236">
        <f t="shared" ref="DI291:DI297" si="862">VLOOKUP($E291,DG$442:DJ$453,3,FALSE)*DG291*($K291)+IF($G291&lt;&gt;0,($I291/$G291)*DG291,0)*(1-$K291)</f>
        <v>0</v>
      </c>
      <c r="DJ291" s="3236">
        <f t="shared" ref="DJ291:DJ297" si="863">VLOOKUP($E291,DG$442:DJ$453,4,FALSE)*DG291*($K291)+(DG291-DH291-DI291)*(1-$K291)</f>
        <v>32988060.529999986</v>
      </c>
      <c r="DK291" s="3264"/>
      <c r="DO291" s="3235">
        <f t="shared" ref="DO291:DO297" si="864">$G291</f>
        <v>134166092</v>
      </c>
      <c r="DP291" s="3236">
        <f t="shared" ref="DP291:DP297" si="865">VLOOKUP($E291,DO$442:DR$453,2,FALSE)*DO291*($K291)+IF($G291&lt;&gt;0,($H291/$G291)*DO291,0)*(1-$K291)</f>
        <v>101178031.47000001</v>
      </c>
      <c r="DQ291" s="3236">
        <f t="shared" ref="DQ291:DQ297" si="866">VLOOKUP($E291,DO$442:DR$453,3,FALSE)*DO291*($K291)+IF($G291&lt;&gt;0,($I291/$G291)*DO291,0)*(1-$K291)</f>
        <v>0</v>
      </c>
      <c r="DR291" s="3236">
        <f t="shared" ref="DR291:DR297" si="867">VLOOKUP($E291,DO$442:DR$453,4,FALSE)*DO291*($K291)+(DO291-DP291-DQ291)*(1-$K291)</f>
        <v>32988060.529999986</v>
      </c>
      <c r="DS291" s="3264"/>
      <c r="DW291" s="3235">
        <f t="shared" ref="DW291:DW297" si="868">$G291</f>
        <v>134166092</v>
      </c>
      <c r="DX291" s="3236">
        <f t="shared" ref="DX291:DX297" si="869">VLOOKUP($E291,DW$442:DZ$453,2,FALSE)*DW291*($K291)+IF($G291&lt;&gt;0,($H291/$G291)*DW291,0)*(1-$K291)</f>
        <v>101178031.47000001</v>
      </c>
      <c r="DY291" s="3236">
        <f t="shared" ref="DY291:DY297" si="870">VLOOKUP($E291,DW$442:DZ$453,3,FALSE)*DW291*($K291)+IF($G291&lt;&gt;0,($I291/$G291)*DW291,0)*(1-$K291)</f>
        <v>0</v>
      </c>
      <c r="DZ291" s="3236">
        <f t="shared" ref="DZ291:DZ297" si="871">VLOOKUP($E291,DW$442:DZ$453,4,FALSE)*DW291*($K291)+(DW291-DX291-DY291)*(1-$K291)</f>
        <v>32988060.529999986</v>
      </c>
      <c r="EA291" s="3264"/>
      <c r="EE291" s="3235">
        <f t="shared" ref="EE291:EE297" si="872">$G291</f>
        <v>134166092</v>
      </c>
      <c r="EF291" s="3236">
        <f t="shared" ref="EF291:EF297" si="873">VLOOKUP($E291,EE$442:EH$453,2,FALSE)*EE291*($K291)+IF($G291&lt;&gt;0,($H291/$G291)*EE291,0)*(1-$K291)</f>
        <v>101178031.47000001</v>
      </c>
      <c r="EG291" s="3236">
        <f t="shared" ref="EG291:EG297" si="874">VLOOKUP($E291,EE$442:EH$453,3,FALSE)*EE291*($K291)+IF($G291&lt;&gt;0,($I291/$G291)*EE291,0)*(1-$K291)</f>
        <v>0</v>
      </c>
      <c r="EH291" s="3236">
        <f t="shared" ref="EH291:EH297" si="875">VLOOKUP($E291,EE$442:EH$453,4,FALSE)*EE291*($K291)+(EE291-EF291-EG291)*(1-$K291)</f>
        <v>32988060.529999986</v>
      </c>
      <c r="EI291" s="3264"/>
      <c r="EM291" s="3235">
        <f t="shared" ref="EM291:EM297" si="876">$G291</f>
        <v>134166092</v>
      </c>
      <c r="EN291" s="3236">
        <f t="shared" ref="EN291:EN297" si="877">VLOOKUP($E291,EM$442:EP$453,2,FALSE)*EM291*($K291)+IF($G291&lt;&gt;0,($H291/$G291)*EM291,0)*(1-$K291)</f>
        <v>101178031.47000001</v>
      </c>
      <c r="EO291" s="3236">
        <f t="shared" ref="EO291:EO297" si="878">VLOOKUP($E291,EM$442:EP$453,3,FALSE)*EM291*($K291)+IF($G291&lt;&gt;0,($I291/$G291)*EM291,0)*(1-$K291)</f>
        <v>0</v>
      </c>
      <c r="EP291" s="3236">
        <f t="shared" ref="EP291:EP297" si="879">VLOOKUP($E291,EM$442:EP$453,4,FALSE)*EM291*($K291)+(EM291-EN291-EO291)*(1-$K291)</f>
        <v>32988060.529999986</v>
      </c>
      <c r="EQ291" s="3264"/>
      <c r="EU291" s="3235">
        <f t="shared" ref="EU291:EU297" si="880">$G291</f>
        <v>134166092</v>
      </c>
      <c r="EV291" s="3236">
        <f t="shared" ref="EV291:EV297" si="881">VLOOKUP($E291,EU$442:EX$453,2,FALSE)*EU291*($K291)+IF($G291&lt;&gt;0,($H291/$G291)*EU291,0)*(1-$K291)</f>
        <v>101178031.47000001</v>
      </c>
      <c r="EW291" s="3236">
        <f t="shared" ref="EW291:EW297" si="882">VLOOKUP($E291,EU$442:EX$453,3,FALSE)*EU291*($K291)+IF($G291&lt;&gt;0,($I291/$G291)*EU291,0)*(1-$K291)</f>
        <v>0</v>
      </c>
      <c r="EX291" s="3236">
        <f t="shared" ref="EX291:EX297" si="883">VLOOKUP($E291,EU$442:EX$453,4,FALSE)*EU291*($K291)+(EU291-EV291-EW291)*(1-$K291)</f>
        <v>32988060.529999986</v>
      </c>
      <c r="EY291" s="3264"/>
      <c r="FC291" s="3235">
        <f t="shared" ref="FC291:FC297" si="884">$G291</f>
        <v>134166092</v>
      </c>
      <c r="FD291" s="3236">
        <f t="shared" ref="FD291:FD297" si="885">VLOOKUP($E291,FC$442:FF$453,2,FALSE)*FC291*($K291)+IF($G291&lt;&gt;0,($H291/$G291)*FC291,0)*(1-$K291)</f>
        <v>101178031.47000001</v>
      </c>
      <c r="FE291" s="3236">
        <f t="shared" ref="FE291:FE297" si="886">VLOOKUP($E291,FC$442:FF$453,3,FALSE)*FC291*($K291)+IF($G291&lt;&gt;0,($I291/$G291)*FC291,0)*(1-$K291)</f>
        <v>0</v>
      </c>
      <c r="FF291" s="3236">
        <f t="shared" ref="FF291:FF297" si="887">VLOOKUP($E291,FC$442:FF$453,4,FALSE)*FC291*($K291)+(FC291-FD291-FE291)*(1-$K291)</f>
        <v>32988060.529999986</v>
      </c>
      <c r="FG291" s="3264"/>
      <c r="FK291" s="3235">
        <f t="shared" ref="FK291:FK297" si="888">$G291</f>
        <v>134166092</v>
      </c>
      <c r="FL291" s="3236">
        <f t="shared" ref="FL291:FL297" si="889">VLOOKUP($E291,FK$442:FN$453,2,FALSE)*FK291*($K291)+IF($G291&lt;&gt;0,($H291/$G291)*FK291,0)*(1-$K291)</f>
        <v>101178031.47000001</v>
      </c>
      <c r="FM291" s="3236">
        <f t="shared" ref="FM291:FM297" si="890">VLOOKUP($E291,FK$442:FN$453,3,FALSE)*FK291*($K291)+IF($G291&lt;&gt;0,($I291/$G291)*FK291,0)*(1-$K291)</f>
        <v>0</v>
      </c>
      <c r="FN291" s="3236">
        <f t="shared" ref="FN291:FN297" si="891">VLOOKUP($E291,FK$442:FN$453,4,FALSE)*FK291*($K291)+(FK291-FL291-FM291)*(1-$K291)</f>
        <v>32988060.529999986</v>
      </c>
      <c r="FO291" s="3264"/>
    </row>
    <row r="292" spans="1:171">
      <c r="A292" s="2102"/>
      <c r="B292" s="2693" t="s">
        <v>619</v>
      </c>
      <c r="C292" s="2464">
        <v>114</v>
      </c>
      <c r="D292" s="2171">
        <v>407.4</v>
      </c>
      <c r="E292" s="2424" t="str">
        <f>'Sch 3B - Other Items'!E16</f>
        <v>DIRECT</v>
      </c>
      <c r="F292" s="2171"/>
      <c r="G292" s="2424">
        <f>'Sch 3B - Other Items'!G16</f>
        <v>66572207</v>
      </c>
      <c r="H292" s="2424">
        <f>'Sch 3B - Other Items'!H16</f>
        <v>35561739.260000005</v>
      </c>
      <c r="I292" s="2424">
        <f>'Sch 3B - Other Items'!I16</f>
        <v>0</v>
      </c>
      <c r="J292" s="3465">
        <f>'Sch 3B - Other Items'!J16</f>
        <v>31010467.999999996</v>
      </c>
      <c r="K292" s="3205">
        <f t="shared" si="811"/>
        <v>0</v>
      </c>
      <c r="O292" s="3235">
        <f t="shared" si="812"/>
        <v>66572207</v>
      </c>
      <c r="P292" s="3236">
        <f t="shared" si="813"/>
        <v>35561739.260000005</v>
      </c>
      <c r="Q292" s="3236">
        <f t="shared" si="814"/>
        <v>0</v>
      </c>
      <c r="R292" s="3236">
        <f t="shared" si="815"/>
        <v>31010467.739999995</v>
      </c>
      <c r="S292" s="3264"/>
      <c r="W292" s="3235">
        <f t="shared" si="816"/>
        <v>66572207</v>
      </c>
      <c r="X292" s="3236">
        <f t="shared" si="817"/>
        <v>35561739.260000005</v>
      </c>
      <c r="Y292" s="3236">
        <f t="shared" si="818"/>
        <v>0</v>
      </c>
      <c r="Z292" s="3236">
        <f t="shared" si="819"/>
        <v>31010467.739999995</v>
      </c>
      <c r="AA292" s="3264"/>
      <c r="AE292" s="3235">
        <f t="shared" si="820"/>
        <v>66572207</v>
      </c>
      <c r="AF292" s="3236">
        <f t="shared" si="821"/>
        <v>35561739.260000005</v>
      </c>
      <c r="AG292" s="3236">
        <f t="shared" si="822"/>
        <v>0</v>
      </c>
      <c r="AH292" s="3236">
        <f t="shared" si="823"/>
        <v>31010467.739999995</v>
      </c>
      <c r="AI292" s="3264"/>
      <c r="AM292" s="3235">
        <f t="shared" si="824"/>
        <v>66572207</v>
      </c>
      <c r="AN292" s="3236">
        <f t="shared" si="825"/>
        <v>35561739.260000005</v>
      </c>
      <c r="AO292" s="3236">
        <f t="shared" si="826"/>
        <v>0</v>
      </c>
      <c r="AP292" s="3236">
        <f t="shared" si="827"/>
        <v>31010467.739999995</v>
      </c>
      <c r="AQ292" s="3264"/>
      <c r="AU292" s="3235">
        <f t="shared" si="828"/>
        <v>66572207</v>
      </c>
      <c r="AV292" s="3236">
        <f t="shared" si="829"/>
        <v>35561739.260000005</v>
      </c>
      <c r="AW292" s="3236">
        <f t="shared" si="830"/>
        <v>0</v>
      </c>
      <c r="AX292" s="3236">
        <f t="shared" si="831"/>
        <v>31010467.739999995</v>
      </c>
      <c r="AY292" s="3264"/>
      <c r="BC292" s="3235">
        <f t="shared" si="832"/>
        <v>66572207</v>
      </c>
      <c r="BD292" s="3236">
        <f t="shared" si="833"/>
        <v>35561739.260000005</v>
      </c>
      <c r="BE292" s="3236">
        <f t="shared" si="834"/>
        <v>0</v>
      </c>
      <c r="BF292" s="3236">
        <f t="shared" si="835"/>
        <v>31010467.739999995</v>
      </c>
      <c r="BG292" s="3264"/>
      <c r="BK292" s="3235">
        <f t="shared" si="836"/>
        <v>66572207</v>
      </c>
      <c r="BL292" s="3236">
        <f t="shared" si="837"/>
        <v>35561739.260000005</v>
      </c>
      <c r="BM292" s="3236">
        <f t="shared" si="838"/>
        <v>0</v>
      </c>
      <c r="BN292" s="3236">
        <f t="shared" si="839"/>
        <v>31010467.739999995</v>
      </c>
      <c r="BO292" s="3264"/>
      <c r="BS292" s="3235">
        <f t="shared" si="840"/>
        <v>66572207</v>
      </c>
      <c r="BT292" s="3236">
        <f t="shared" si="841"/>
        <v>35561739.260000005</v>
      </c>
      <c r="BU292" s="3236">
        <f t="shared" si="842"/>
        <v>0</v>
      </c>
      <c r="BV292" s="3236">
        <f t="shared" si="843"/>
        <v>31010467.739999995</v>
      </c>
      <c r="BW292" s="3264"/>
      <c r="CA292" s="3235">
        <f t="shared" si="844"/>
        <v>66572207</v>
      </c>
      <c r="CB292" s="3236">
        <f t="shared" si="845"/>
        <v>35561739.260000005</v>
      </c>
      <c r="CC292" s="3236">
        <f t="shared" si="846"/>
        <v>0</v>
      </c>
      <c r="CD292" s="3236">
        <f t="shared" si="847"/>
        <v>31010467.739999995</v>
      </c>
      <c r="CE292" s="3264"/>
      <c r="CI292" s="3235">
        <f t="shared" si="848"/>
        <v>66572207</v>
      </c>
      <c r="CJ292" s="3236">
        <f t="shared" si="849"/>
        <v>35561739.260000005</v>
      </c>
      <c r="CK292" s="3236">
        <f t="shared" si="850"/>
        <v>0</v>
      </c>
      <c r="CL292" s="3236">
        <f t="shared" si="851"/>
        <v>31010467.739999995</v>
      </c>
      <c r="CM292" s="3264"/>
      <c r="CQ292" s="3235">
        <f t="shared" si="852"/>
        <v>66572207</v>
      </c>
      <c r="CR292" s="3236">
        <f t="shared" si="853"/>
        <v>35561739.260000005</v>
      </c>
      <c r="CS292" s="3236">
        <f t="shared" si="854"/>
        <v>0</v>
      </c>
      <c r="CT292" s="3236">
        <f t="shared" si="855"/>
        <v>31010467.739999995</v>
      </c>
      <c r="CU292" s="3264"/>
      <c r="CY292" s="3235">
        <f t="shared" si="856"/>
        <v>66572207</v>
      </c>
      <c r="CZ292" s="3236">
        <f t="shared" si="857"/>
        <v>35561739.260000005</v>
      </c>
      <c r="DA292" s="3236">
        <f t="shared" si="858"/>
        <v>0</v>
      </c>
      <c r="DB292" s="3236">
        <f t="shared" si="859"/>
        <v>31010467.739999995</v>
      </c>
      <c r="DC292" s="3264"/>
      <c r="DG292" s="3235">
        <f t="shared" si="860"/>
        <v>66572207</v>
      </c>
      <c r="DH292" s="3236">
        <f t="shared" si="861"/>
        <v>35561739.260000005</v>
      </c>
      <c r="DI292" s="3236">
        <f t="shared" si="862"/>
        <v>0</v>
      </c>
      <c r="DJ292" s="3236">
        <f t="shared" si="863"/>
        <v>31010467.739999995</v>
      </c>
      <c r="DK292" s="3264"/>
      <c r="DO292" s="3235">
        <f t="shared" si="864"/>
        <v>66572207</v>
      </c>
      <c r="DP292" s="3236">
        <f t="shared" si="865"/>
        <v>35561739.260000005</v>
      </c>
      <c r="DQ292" s="3236">
        <f t="shared" si="866"/>
        <v>0</v>
      </c>
      <c r="DR292" s="3236">
        <f t="shared" si="867"/>
        <v>31010467.739999995</v>
      </c>
      <c r="DS292" s="3264"/>
      <c r="DW292" s="3235">
        <f t="shared" si="868"/>
        <v>66572207</v>
      </c>
      <c r="DX292" s="3236">
        <f t="shared" si="869"/>
        <v>35561739.260000005</v>
      </c>
      <c r="DY292" s="3236">
        <f t="shared" si="870"/>
        <v>0</v>
      </c>
      <c r="DZ292" s="3236">
        <f t="shared" si="871"/>
        <v>31010467.739999995</v>
      </c>
      <c r="EA292" s="3264"/>
      <c r="EE292" s="3235">
        <f t="shared" si="872"/>
        <v>66572207</v>
      </c>
      <c r="EF292" s="3236">
        <f t="shared" si="873"/>
        <v>35561739.260000005</v>
      </c>
      <c r="EG292" s="3236">
        <f t="shared" si="874"/>
        <v>0</v>
      </c>
      <c r="EH292" s="3236">
        <f t="shared" si="875"/>
        <v>31010467.739999995</v>
      </c>
      <c r="EI292" s="3264"/>
      <c r="EM292" s="3235">
        <f t="shared" si="876"/>
        <v>66572207</v>
      </c>
      <c r="EN292" s="3236">
        <f t="shared" si="877"/>
        <v>35561739.260000005</v>
      </c>
      <c r="EO292" s="3236">
        <f t="shared" si="878"/>
        <v>0</v>
      </c>
      <c r="EP292" s="3236">
        <f t="shared" si="879"/>
        <v>31010467.739999995</v>
      </c>
      <c r="EQ292" s="3264"/>
      <c r="EU292" s="3235">
        <f t="shared" si="880"/>
        <v>66572207</v>
      </c>
      <c r="EV292" s="3236">
        <f t="shared" si="881"/>
        <v>35561739.260000005</v>
      </c>
      <c r="EW292" s="3236">
        <f t="shared" si="882"/>
        <v>0</v>
      </c>
      <c r="EX292" s="3236">
        <f t="shared" si="883"/>
        <v>31010467.739999995</v>
      </c>
      <c r="EY292" s="3264"/>
      <c r="FC292" s="3235">
        <f t="shared" si="884"/>
        <v>66572207</v>
      </c>
      <c r="FD292" s="3236">
        <f t="shared" si="885"/>
        <v>35561739.260000005</v>
      </c>
      <c r="FE292" s="3236">
        <f t="shared" si="886"/>
        <v>0</v>
      </c>
      <c r="FF292" s="3236">
        <f t="shared" si="887"/>
        <v>31010467.739999995</v>
      </c>
      <c r="FG292" s="3264"/>
      <c r="FK292" s="3235">
        <f t="shared" si="888"/>
        <v>66572207</v>
      </c>
      <c r="FL292" s="3236">
        <f t="shared" si="889"/>
        <v>35561739.260000005</v>
      </c>
      <c r="FM292" s="3236">
        <f t="shared" si="890"/>
        <v>0</v>
      </c>
      <c r="FN292" s="3236">
        <f t="shared" si="891"/>
        <v>31010467.739999995</v>
      </c>
      <c r="FO292" s="3264"/>
    </row>
    <row r="293" spans="1:171">
      <c r="A293" s="2092"/>
      <c r="B293" s="2185" t="s">
        <v>388</v>
      </c>
      <c r="C293" s="2464">
        <v>114</v>
      </c>
      <c r="D293" s="2171">
        <v>411.6</v>
      </c>
      <c r="E293" s="2424" t="str">
        <f>'Sch 3B - Other Items'!E17</f>
        <v>DIRECT</v>
      </c>
      <c r="F293" s="2171"/>
      <c r="G293" s="2424">
        <f>'Sch 3B - Other Items'!G17</f>
        <v>611696</v>
      </c>
      <c r="H293" s="2424">
        <f>'Sch 3B - Other Items'!H17</f>
        <v>213537.98767209105</v>
      </c>
      <c r="I293" s="2424">
        <f>'Sch 3B - Other Items'!I17</f>
        <v>0</v>
      </c>
      <c r="J293" s="3465">
        <f>'Sch 3B - Other Items'!J17</f>
        <v>398158.40232790902</v>
      </c>
      <c r="K293" s="3205">
        <f t="shared" si="811"/>
        <v>0</v>
      </c>
      <c r="O293" s="3235">
        <f t="shared" si="812"/>
        <v>611696</v>
      </c>
      <c r="P293" s="3236">
        <f t="shared" si="813"/>
        <v>213537.98767209105</v>
      </c>
      <c r="Q293" s="3236">
        <f t="shared" si="814"/>
        <v>0</v>
      </c>
      <c r="R293" s="3236">
        <f t="shared" si="815"/>
        <v>398158.01232790895</v>
      </c>
      <c r="S293" s="3264"/>
      <c r="W293" s="3235">
        <f t="shared" si="816"/>
        <v>611696</v>
      </c>
      <c r="X293" s="3236">
        <f t="shared" si="817"/>
        <v>213537.98767209105</v>
      </c>
      <c r="Y293" s="3236">
        <f t="shared" si="818"/>
        <v>0</v>
      </c>
      <c r="Z293" s="3236">
        <f t="shared" si="819"/>
        <v>398158.01232790895</v>
      </c>
      <c r="AA293" s="3264"/>
      <c r="AE293" s="3235">
        <f t="shared" si="820"/>
        <v>611696</v>
      </c>
      <c r="AF293" s="3236">
        <f t="shared" si="821"/>
        <v>213537.98767209105</v>
      </c>
      <c r="AG293" s="3236">
        <f t="shared" si="822"/>
        <v>0</v>
      </c>
      <c r="AH293" s="3236">
        <f t="shared" si="823"/>
        <v>398158.01232790895</v>
      </c>
      <c r="AI293" s="3264"/>
      <c r="AM293" s="3235">
        <f t="shared" si="824"/>
        <v>611696</v>
      </c>
      <c r="AN293" s="3236">
        <f t="shared" si="825"/>
        <v>213537.98767209105</v>
      </c>
      <c r="AO293" s="3236">
        <f t="shared" si="826"/>
        <v>0</v>
      </c>
      <c r="AP293" s="3236">
        <f t="shared" si="827"/>
        <v>398158.01232790895</v>
      </c>
      <c r="AQ293" s="3264"/>
      <c r="AU293" s="3235">
        <f t="shared" si="828"/>
        <v>611696</v>
      </c>
      <c r="AV293" s="3236">
        <f t="shared" si="829"/>
        <v>213537.98767209105</v>
      </c>
      <c r="AW293" s="3236">
        <f t="shared" si="830"/>
        <v>0</v>
      </c>
      <c r="AX293" s="3236">
        <f t="shared" si="831"/>
        <v>398158.01232790895</v>
      </c>
      <c r="AY293" s="3264"/>
      <c r="BC293" s="3235">
        <f t="shared" si="832"/>
        <v>611696</v>
      </c>
      <c r="BD293" s="3236">
        <f t="shared" si="833"/>
        <v>213537.98767209105</v>
      </c>
      <c r="BE293" s="3236">
        <f t="shared" si="834"/>
        <v>0</v>
      </c>
      <c r="BF293" s="3236">
        <f t="shared" si="835"/>
        <v>398158.01232790895</v>
      </c>
      <c r="BG293" s="3264"/>
      <c r="BK293" s="3235">
        <f t="shared" si="836"/>
        <v>611696</v>
      </c>
      <c r="BL293" s="3236">
        <f t="shared" si="837"/>
        <v>213537.98767209105</v>
      </c>
      <c r="BM293" s="3236">
        <f t="shared" si="838"/>
        <v>0</v>
      </c>
      <c r="BN293" s="3236">
        <f t="shared" si="839"/>
        <v>398158.01232790895</v>
      </c>
      <c r="BO293" s="3264"/>
      <c r="BS293" s="3235">
        <f t="shared" si="840"/>
        <v>611696</v>
      </c>
      <c r="BT293" s="3236">
        <f t="shared" si="841"/>
        <v>213537.98767209105</v>
      </c>
      <c r="BU293" s="3236">
        <f t="shared" si="842"/>
        <v>0</v>
      </c>
      <c r="BV293" s="3236">
        <f t="shared" si="843"/>
        <v>398158.01232790895</v>
      </c>
      <c r="BW293" s="3264"/>
      <c r="CA293" s="3235">
        <f t="shared" si="844"/>
        <v>611696</v>
      </c>
      <c r="CB293" s="3236">
        <f t="shared" si="845"/>
        <v>213537.98767209105</v>
      </c>
      <c r="CC293" s="3236">
        <f t="shared" si="846"/>
        <v>0</v>
      </c>
      <c r="CD293" s="3236">
        <f t="shared" si="847"/>
        <v>398158.01232790895</v>
      </c>
      <c r="CE293" s="3264"/>
      <c r="CI293" s="3235">
        <f t="shared" si="848"/>
        <v>611696</v>
      </c>
      <c r="CJ293" s="3236">
        <f t="shared" si="849"/>
        <v>213537.98767209105</v>
      </c>
      <c r="CK293" s="3236">
        <f t="shared" si="850"/>
        <v>0</v>
      </c>
      <c r="CL293" s="3236">
        <f t="shared" si="851"/>
        <v>398158.01232790895</v>
      </c>
      <c r="CM293" s="3264"/>
      <c r="CQ293" s="3235">
        <f t="shared" si="852"/>
        <v>611696</v>
      </c>
      <c r="CR293" s="3236">
        <f t="shared" si="853"/>
        <v>213537.98767209105</v>
      </c>
      <c r="CS293" s="3236">
        <f t="shared" si="854"/>
        <v>0</v>
      </c>
      <c r="CT293" s="3236">
        <f t="shared" si="855"/>
        <v>398158.01232790895</v>
      </c>
      <c r="CU293" s="3264"/>
      <c r="CY293" s="3235">
        <f t="shared" si="856"/>
        <v>611696</v>
      </c>
      <c r="CZ293" s="3236">
        <f t="shared" si="857"/>
        <v>213537.98767209105</v>
      </c>
      <c r="DA293" s="3236">
        <f t="shared" si="858"/>
        <v>0</v>
      </c>
      <c r="DB293" s="3236">
        <f t="shared" si="859"/>
        <v>398158.01232790895</v>
      </c>
      <c r="DC293" s="3264"/>
      <c r="DG293" s="3235">
        <f t="shared" si="860"/>
        <v>611696</v>
      </c>
      <c r="DH293" s="3236">
        <f t="shared" si="861"/>
        <v>213537.98767209105</v>
      </c>
      <c r="DI293" s="3236">
        <f t="shared" si="862"/>
        <v>0</v>
      </c>
      <c r="DJ293" s="3236">
        <f t="shared" si="863"/>
        <v>398158.01232790895</v>
      </c>
      <c r="DK293" s="3264"/>
      <c r="DO293" s="3235">
        <f t="shared" si="864"/>
        <v>611696</v>
      </c>
      <c r="DP293" s="3236">
        <f t="shared" si="865"/>
        <v>213537.98767209105</v>
      </c>
      <c r="DQ293" s="3236">
        <f t="shared" si="866"/>
        <v>0</v>
      </c>
      <c r="DR293" s="3236">
        <f t="shared" si="867"/>
        <v>398158.01232790895</v>
      </c>
      <c r="DS293" s="3264"/>
      <c r="DW293" s="3235">
        <f t="shared" si="868"/>
        <v>611696</v>
      </c>
      <c r="DX293" s="3236">
        <f t="shared" si="869"/>
        <v>213537.98767209105</v>
      </c>
      <c r="DY293" s="3236">
        <f t="shared" si="870"/>
        <v>0</v>
      </c>
      <c r="DZ293" s="3236">
        <f t="shared" si="871"/>
        <v>398158.01232790895</v>
      </c>
      <c r="EA293" s="3264"/>
      <c r="EE293" s="3235">
        <f t="shared" si="872"/>
        <v>611696</v>
      </c>
      <c r="EF293" s="3236">
        <f t="shared" si="873"/>
        <v>213537.98767209105</v>
      </c>
      <c r="EG293" s="3236">
        <f t="shared" si="874"/>
        <v>0</v>
      </c>
      <c r="EH293" s="3236">
        <f t="shared" si="875"/>
        <v>398158.01232790895</v>
      </c>
      <c r="EI293" s="3264"/>
      <c r="EM293" s="3235">
        <f t="shared" si="876"/>
        <v>611696</v>
      </c>
      <c r="EN293" s="3236">
        <f t="shared" si="877"/>
        <v>213537.98767209105</v>
      </c>
      <c r="EO293" s="3236">
        <f t="shared" si="878"/>
        <v>0</v>
      </c>
      <c r="EP293" s="3236">
        <f t="shared" si="879"/>
        <v>398158.01232790895</v>
      </c>
      <c r="EQ293" s="3264"/>
      <c r="EU293" s="3235">
        <f t="shared" si="880"/>
        <v>611696</v>
      </c>
      <c r="EV293" s="3236">
        <f t="shared" si="881"/>
        <v>213537.98767209105</v>
      </c>
      <c r="EW293" s="3236">
        <f t="shared" si="882"/>
        <v>0</v>
      </c>
      <c r="EX293" s="3236">
        <f t="shared" si="883"/>
        <v>398158.01232790895</v>
      </c>
      <c r="EY293" s="3264"/>
      <c r="FC293" s="3235">
        <f t="shared" si="884"/>
        <v>611696</v>
      </c>
      <c r="FD293" s="3236">
        <f t="shared" si="885"/>
        <v>213537.98767209105</v>
      </c>
      <c r="FE293" s="3236">
        <f t="shared" si="886"/>
        <v>0</v>
      </c>
      <c r="FF293" s="3236">
        <f t="shared" si="887"/>
        <v>398158.01232790895</v>
      </c>
      <c r="FG293" s="3264"/>
      <c r="FK293" s="3235">
        <f t="shared" si="888"/>
        <v>611696</v>
      </c>
      <c r="FL293" s="3236">
        <f t="shared" si="889"/>
        <v>213537.98767209105</v>
      </c>
      <c r="FM293" s="3236">
        <f t="shared" si="890"/>
        <v>0</v>
      </c>
      <c r="FN293" s="3236">
        <f t="shared" si="891"/>
        <v>398158.01232790895</v>
      </c>
      <c r="FO293" s="3264"/>
    </row>
    <row r="294" spans="1:171">
      <c r="A294" s="2092"/>
      <c r="B294" s="2694" t="s">
        <v>620</v>
      </c>
      <c r="C294" s="2464">
        <v>114</v>
      </c>
      <c r="D294" s="2171" t="s">
        <v>42</v>
      </c>
      <c r="E294" s="2424" t="str">
        <f>'Sch 3B - Other Items'!E18</f>
        <v>DIRECT</v>
      </c>
      <c r="F294" s="2171"/>
      <c r="G294" s="2424">
        <f>'Sch 3B - Other Items'!G18</f>
        <v>5519</v>
      </c>
      <c r="H294" s="2424">
        <f>'Sch 3B - Other Items'!H18</f>
        <v>1926.5659657804031</v>
      </c>
      <c r="I294" s="2424">
        <f>'Sch 3B - Other Items'!I18</f>
        <v>0</v>
      </c>
      <c r="J294" s="3465">
        <f>'Sch 3B - Other Items'!J18</f>
        <v>3592.2340342195976</v>
      </c>
      <c r="K294" s="3205">
        <f t="shared" si="811"/>
        <v>0</v>
      </c>
      <c r="O294" s="3235">
        <f t="shared" si="812"/>
        <v>5519</v>
      </c>
      <c r="P294" s="3236">
        <f t="shared" si="813"/>
        <v>1926.5659657804028</v>
      </c>
      <c r="Q294" s="3236">
        <f t="shared" si="814"/>
        <v>0</v>
      </c>
      <c r="R294" s="3236">
        <f t="shared" si="815"/>
        <v>3592.4340342195974</v>
      </c>
      <c r="S294" s="3264"/>
      <c r="W294" s="3235">
        <f t="shared" si="816"/>
        <v>5519</v>
      </c>
      <c r="X294" s="3236">
        <f t="shared" si="817"/>
        <v>1926.5659657804028</v>
      </c>
      <c r="Y294" s="3236">
        <f t="shared" si="818"/>
        <v>0</v>
      </c>
      <c r="Z294" s="3236">
        <f t="shared" si="819"/>
        <v>3592.4340342195974</v>
      </c>
      <c r="AA294" s="3264"/>
      <c r="AE294" s="3235">
        <f t="shared" si="820"/>
        <v>5519</v>
      </c>
      <c r="AF294" s="3236">
        <f t="shared" si="821"/>
        <v>1926.5659657804028</v>
      </c>
      <c r="AG294" s="3236">
        <f t="shared" si="822"/>
        <v>0</v>
      </c>
      <c r="AH294" s="3236">
        <f t="shared" si="823"/>
        <v>3592.4340342195974</v>
      </c>
      <c r="AI294" s="3264"/>
      <c r="AM294" s="3235">
        <f t="shared" si="824"/>
        <v>5519</v>
      </c>
      <c r="AN294" s="3236">
        <f t="shared" si="825"/>
        <v>1926.5659657804028</v>
      </c>
      <c r="AO294" s="3236">
        <f t="shared" si="826"/>
        <v>0</v>
      </c>
      <c r="AP294" s="3236">
        <f t="shared" si="827"/>
        <v>3592.4340342195974</v>
      </c>
      <c r="AQ294" s="3264"/>
      <c r="AU294" s="3235">
        <f t="shared" si="828"/>
        <v>5519</v>
      </c>
      <c r="AV294" s="3236">
        <f t="shared" si="829"/>
        <v>1926.5659657804028</v>
      </c>
      <c r="AW294" s="3236">
        <f t="shared" si="830"/>
        <v>0</v>
      </c>
      <c r="AX294" s="3236">
        <f t="shared" si="831"/>
        <v>3592.4340342195974</v>
      </c>
      <c r="AY294" s="3264"/>
      <c r="BC294" s="3235">
        <f t="shared" si="832"/>
        <v>5519</v>
      </c>
      <c r="BD294" s="3236">
        <f t="shared" si="833"/>
        <v>1926.5659657804028</v>
      </c>
      <c r="BE294" s="3236">
        <f t="shared" si="834"/>
        <v>0</v>
      </c>
      <c r="BF294" s="3236">
        <f t="shared" si="835"/>
        <v>3592.4340342195974</v>
      </c>
      <c r="BG294" s="3264"/>
      <c r="BK294" s="3235">
        <f t="shared" si="836"/>
        <v>5519</v>
      </c>
      <c r="BL294" s="3236">
        <f t="shared" si="837"/>
        <v>1926.5659657804028</v>
      </c>
      <c r="BM294" s="3236">
        <f t="shared" si="838"/>
        <v>0</v>
      </c>
      <c r="BN294" s="3236">
        <f t="shared" si="839"/>
        <v>3592.4340342195974</v>
      </c>
      <c r="BO294" s="3264"/>
      <c r="BS294" s="3235">
        <f t="shared" si="840"/>
        <v>5519</v>
      </c>
      <c r="BT294" s="3236">
        <f t="shared" si="841"/>
        <v>1926.5659657804028</v>
      </c>
      <c r="BU294" s="3236">
        <f t="shared" si="842"/>
        <v>0</v>
      </c>
      <c r="BV294" s="3236">
        <f t="shared" si="843"/>
        <v>3592.4340342195974</v>
      </c>
      <c r="BW294" s="3264"/>
      <c r="CA294" s="3235">
        <f t="shared" si="844"/>
        <v>5519</v>
      </c>
      <c r="CB294" s="3236">
        <f t="shared" si="845"/>
        <v>1926.5659657804028</v>
      </c>
      <c r="CC294" s="3236">
        <f t="shared" si="846"/>
        <v>0</v>
      </c>
      <c r="CD294" s="3236">
        <f t="shared" si="847"/>
        <v>3592.4340342195974</v>
      </c>
      <c r="CE294" s="3264"/>
      <c r="CI294" s="3235">
        <f t="shared" si="848"/>
        <v>5519</v>
      </c>
      <c r="CJ294" s="3236">
        <f t="shared" si="849"/>
        <v>1926.5659657804028</v>
      </c>
      <c r="CK294" s="3236">
        <f t="shared" si="850"/>
        <v>0</v>
      </c>
      <c r="CL294" s="3236">
        <f t="shared" si="851"/>
        <v>3592.4340342195974</v>
      </c>
      <c r="CM294" s="3264"/>
      <c r="CQ294" s="3235">
        <f t="shared" si="852"/>
        <v>5519</v>
      </c>
      <c r="CR294" s="3236">
        <f t="shared" si="853"/>
        <v>1926.5659657804028</v>
      </c>
      <c r="CS294" s="3236">
        <f t="shared" si="854"/>
        <v>0</v>
      </c>
      <c r="CT294" s="3236">
        <f t="shared" si="855"/>
        <v>3592.4340342195974</v>
      </c>
      <c r="CU294" s="3264"/>
      <c r="CY294" s="3235">
        <f t="shared" si="856"/>
        <v>5519</v>
      </c>
      <c r="CZ294" s="3236">
        <f t="shared" si="857"/>
        <v>1926.5659657804028</v>
      </c>
      <c r="DA294" s="3236">
        <f t="shared" si="858"/>
        <v>0</v>
      </c>
      <c r="DB294" s="3236">
        <f t="shared" si="859"/>
        <v>3592.4340342195974</v>
      </c>
      <c r="DC294" s="3264"/>
      <c r="DG294" s="3235">
        <f t="shared" si="860"/>
        <v>5519</v>
      </c>
      <c r="DH294" s="3236">
        <f t="shared" si="861"/>
        <v>1926.5659657804028</v>
      </c>
      <c r="DI294" s="3236">
        <f t="shared" si="862"/>
        <v>0</v>
      </c>
      <c r="DJ294" s="3236">
        <f t="shared" si="863"/>
        <v>3592.4340342195974</v>
      </c>
      <c r="DK294" s="3264"/>
      <c r="DO294" s="3235">
        <f t="shared" si="864"/>
        <v>5519</v>
      </c>
      <c r="DP294" s="3236">
        <f t="shared" si="865"/>
        <v>1926.5659657804028</v>
      </c>
      <c r="DQ294" s="3236">
        <f t="shared" si="866"/>
        <v>0</v>
      </c>
      <c r="DR294" s="3236">
        <f t="shared" si="867"/>
        <v>3592.4340342195974</v>
      </c>
      <c r="DS294" s="3264"/>
      <c r="DW294" s="3235">
        <f t="shared" si="868"/>
        <v>5519</v>
      </c>
      <c r="DX294" s="3236">
        <f t="shared" si="869"/>
        <v>1926.5659657804028</v>
      </c>
      <c r="DY294" s="3236">
        <f t="shared" si="870"/>
        <v>0</v>
      </c>
      <c r="DZ294" s="3236">
        <f t="shared" si="871"/>
        <v>3592.4340342195974</v>
      </c>
      <c r="EA294" s="3264"/>
      <c r="EE294" s="3235">
        <f t="shared" si="872"/>
        <v>5519</v>
      </c>
      <c r="EF294" s="3236">
        <f t="shared" si="873"/>
        <v>1926.5659657804028</v>
      </c>
      <c r="EG294" s="3236">
        <f t="shared" si="874"/>
        <v>0</v>
      </c>
      <c r="EH294" s="3236">
        <f t="shared" si="875"/>
        <v>3592.4340342195974</v>
      </c>
      <c r="EI294" s="3264"/>
      <c r="EM294" s="3235">
        <f t="shared" si="876"/>
        <v>5519</v>
      </c>
      <c r="EN294" s="3236">
        <f t="shared" si="877"/>
        <v>1926.5659657804028</v>
      </c>
      <c r="EO294" s="3236">
        <f t="shared" si="878"/>
        <v>0</v>
      </c>
      <c r="EP294" s="3236">
        <f t="shared" si="879"/>
        <v>3592.4340342195974</v>
      </c>
      <c r="EQ294" s="3264"/>
      <c r="EU294" s="3235">
        <f t="shared" si="880"/>
        <v>5519</v>
      </c>
      <c r="EV294" s="3236">
        <f t="shared" si="881"/>
        <v>1926.5659657804028</v>
      </c>
      <c r="EW294" s="3236">
        <f t="shared" si="882"/>
        <v>0</v>
      </c>
      <c r="EX294" s="3236">
        <f t="shared" si="883"/>
        <v>3592.4340342195974</v>
      </c>
      <c r="EY294" s="3264"/>
      <c r="FC294" s="3235">
        <f t="shared" si="884"/>
        <v>5519</v>
      </c>
      <c r="FD294" s="3236">
        <f t="shared" si="885"/>
        <v>1926.5659657804028</v>
      </c>
      <c r="FE294" s="3236">
        <f t="shared" si="886"/>
        <v>0</v>
      </c>
      <c r="FF294" s="3236">
        <f t="shared" si="887"/>
        <v>3592.4340342195974</v>
      </c>
      <c r="FG294" s="3264"/>
      <c r="FK294" s="3235">
        <f t="shared" si="888"/>
        <v>5519</v>
      </c>
      <c r="FL294" s="3236">
        <f t="shared" si="889"/>
        <v>1926.5659657804028</v>
      </c>
      <c r="FM294" s="3236">
        <f t="shared" si="890"/>
        <v>0</v>
      </c>
      <c r="FN294" s="3236">
        <f t="shared" si="891"/>
        <v>3592.4340342195974</v>
      </c>
      <c r="FO294" s="3264"/>
    </row>
    <row r="295" spans="1:171">
      <c r="A295" s="2092"/>
      <c r="B295" s="2185" t="s">
        <v>389</v>
      </c>
      <c r="C295" s="2464">
        <v>114</v>
      </c>
      <c r="D295" s="2171">
        <v>411.8</v>
      </c>
      <c r="E295" s="2424" t="str">
        <f>'Sch 3B - Other Items'!E19</f>
        <v>PROD</v>
      </c>
      <c r="F295" s="2171"/>
      <c r="G295" s="2424">
        <f>'Sch 3B - Other Items'!G19</f>
        <v>0</v>
      </c>
      <c r="H295" s="2424">
        <f>'Sch 3B - Other Items'!H19</f>
        <v>0</v>
      </c>
      <c r="I295" s="2424">
        <f>'Sch 3B - Other Items'!I19</f>
        <v>0</v>
      </c>
      <c r="J295" s="3465">
        <f>'Sch 3B - Other Items'!J19</f>
        <v>0</v>
      </c>
      <c r="K295" s="3205">
        <f t="shared" si="811"/>
        <v>1</v>
      </c>
      <c r="O295" s="3235">
        <f t="shared" si="812"/>
        <v>0</v>
      </c>
      <c r="P295" s="3236">
        <f t="shared" si="813"/>
        <v>0</v>
      </c>
      <c r="Q295" s="3236">
        <f t="shared" si="814"/>
        <v>0</v>
      </c>
      <c r="R295" s="3236">
        <f t="shared" si="815"/>
        <v>0</v>
      </c>
      <c r="S295" s="3264"/>
      <c r="W295" s="3235">
        <f t="shared" si="816"/>
        <v>0</v>
      </c>
      <c r="X295" s="3236">
        <f t="shared" si="817"/>
        <v>0</v>
      </c>
      <c r="Y295" s="3236">
        <f t="shared" si="818"/>
        <v>0</v>
      </c>
      <c r="Z295" s="3236">
        <f t="shared" si="819"/>
        <v>0</v>
      </c>
      <c r="AA295" s="3264"/>
      <c r="AE295" s="3235">
        <f t="shared" si="820"/>
        <v>0</v>
      </c>
      <c r="AF295" s="3236">
        <f t="shared" si="821"/>
        <v>0</v>
      </c>
      <c r="AG295" s="3236">
        <f t="shared" si="822"/>
        <v>0</v>
      </c>
      <c r="AH295" s="3236">
        <f t="shared" si="823"/>
        <v>0</v>
      </c>
      <c r="AI295" s="3264"/>
      <c r="AM295" s="3235">
        <f t="shared" si="824"/>
        <v>0</v>
      </c>
      <c r="AN295" s="3236">
        <f t="shared" si="825"/>
        <v>0</v>
      </c>
      <c r="AO295" s="3236">
        <f t="shared" si="826"/>
        <v>0</v>
      </c>
      <c r="AP295" s="3236">
        <f t="shared" si="827"/>
        <v>0</v>
      </c>
      <c r="AQ295" s="3264"/>
      <c r="AU295" s="3235">
        <f t="shared" si="828"/>
        <v>0</v>
      </c>
      <c r="AV295" s="3236">
        <f t="shared" si="829"/>
        <v>0</v>
      </c>
      <c r="AW295" s="3236">
        <f t="shared" si="830"/>
        <v>0</v>
      </c>
      <c r="AX295" s="3236">
        <f t="shared" si="831"/>
        <v>0</v>
      </c>
      <c r="AY295" s="3264"/>
      <c r="BC295" s="3235">
        <f t="shared" si="832"/>
        <v>0</v>
      </c>
      <c r="BD295" s="3236">
        <f t="shared" si="833"/>
        <v>0</v>
      </c>
      <c r="BE295" s="3236">
        <f t="shared" si="834"/>
        <v>0</v>
      </c>
      <c r="BF295" s="3236">
        <f t="shared" si="835"/>
        <v>0</v>
      </c>
      <c r="BG295" s="3264"/>
      <c r="BK295" s="3235">
        <f t="shared" si="836"/>
        <v>0</v>
      </c>
      <c r="BL295" s="3236">
        <f t="shared" si="837"/>
        <v>0</v>
      </c>
      <c r="BM295" s="3236">
        <f t="shared" si="838"/>
        <v>0</v>
      </c>
      <c r="BN295" s="3236">
        <f t="shared" si="839"/>
        <v>0</v>
      </c>
      <c r="BO295" s="3264"/>
      <c r="BS295" s="3235">
        <f t="shared" si="840"/>
        <v>0</v>
      </c>
      <c r="BT295" s="3236">
        <f t="shared" si="841"/>
        <v>0</v>
      </c>
      <c r="BU295" s="3236">
        <f t="shared" si="842"/>
        <v>0</v>
      </c>
      <c r="BV295" s="3236">
        <f t="shared" si="843"/>
        <v>0</v>
      </c>
      <c r="BW295" s="3264"/>
      <c r="CA295" s="3235">
        <f t="shared" si="844"/>
        <v>0</v>
      </c>
      <c r="CB295" s="3236">
        <f t="shared" si="845"/>
        <v>0</v>
      </c>
      <c r="CC295" s="3236">
        <f t="shared" si="846"/>
        <v>0</v>
      </c>
      <c r="CD295" s="3236">
        <f t="shared" si="847"/>
        <v>0</v>
      </c>
      <c r="CE295" s="3264"/>
      <c r="CI295" s="3235">
        <f t="shared" si="848"/>
        <v>0</v>
      </c>
      <c r="CJ295" s="3236">
        <f t="shared" si="849"/>
        <v>0</v>
      </c>
      <c r="CK295" s="3236">
        <f t="shared" si="850"/>
        <v>0</v>
      </c>
      <c r="CL295" s="3236">
        <f t="shared" si="851"/>
        <v>0</v>
      </c>
      <c r="CM295" s="3264"/>
      <c r="CQ295" s="3235">
        <f t="shared" si="852"/>
        <v>0</v>
      </c>
      <c r="CR295" s="3236">
        <f t="shared" si="853"/>
        <v>0</v>
      </c>
      <c r="CS295" s="3236">
        <f t="shared" si="854"/>
        <v>0</v>
      </c>
      <c r="CT295" s="3236">
        <f t="shared" si="855"/>
        <v>0</v>
      </c>
      <c r="CU295" s="3264"/>
      <c r="CY295" s="3235">
        <f t="shared" si="856"/>
        <v>0</v>
      </c>
      <c r="CZ295" s="3236">
        <f t="shared" si="857"/>
        <v>0</v>
      </c>
      <c r="DA295" s="3236">
        <f t="shared" si="858"/>
        <v>0</v>
      </c>
      <c r="DB295" s="3236">
        <f t="shared" si="859"/>
        <v>0</v>
      </c>
      <c r="DC295" s="3264"/>
      <c r="DG295" s="3235">
        <f t="shared" si="860"/>
        <v>0</v>
      </c>
      <c r="DH295" s="3236">
        <f t="shared" si="861"/>
        <v>0</v>
      </c>
      <c r="DI295" s="3236">
        <f t="shared" si="862"/>
        <v>0</v>
      </c>
      <c r="DJ295" s="3236">
        <f t="shared" si="863"/>
        <v>0</v>
      </c>
      <c r="DK295" s="3264"/>
      <c r="DO295" s="3235">
        <f t="shared" si="864"/>
        <v>0</v>
      </c>
      <c r="DP295" s="3236">
        <f t="shared" si="865"/>
        <v>0</v>
      </c>
      <c r="DQ295" s="3236">
        <f t="shared" si="866"/>
        <v>0</v>
      </c>
      <c r="DR295" s="3236">
        <f t="shared" si="867"/>
        <v>0</v>
      </c>
      <c r="DS295" s="3264"/>
      <c r="DW295" s="3235">
        <f t="shared" si="868"/>
        <v>0</v>
      </c>
      <c r="DX295" s="3236">
        <f t="shared" si="869"/>
        <v>0</v>
      </c>
      <c r="DY295" s="3236">
        <f t="shared" si="870"/>
        <v>0</v>
      </c>
      <c r="DZ295" s="3236">
        <f t="shared" si="871"/>
        <v>0</v>
      </c>
      <c r="EA295" s="3264"/>
      <c r="EE295" s="3235">
        <f t="shared" si="872"/>
        <v>0</v>
      </c>
      <c r="EF295" s="3236">
        <f t="shared" si="873"/>
        <v>0</v>
      </c>
      <c r="EG295" s="3236">
        <f t="shared" si="874"/>
        <v>0</v>
      </c>
      <c r="EH295" s="3236">
        <f t="shared" si="875"/>
        <v>0</v>
      </c>
      <c r="EI295" s="3264"/>
      <c r="EM295" s="3235">
        <f t="shared" si="876"/>
        <v>0</v>
      </c>
      <c r="EN295" s="3236">
        <f t="shared" si="877"/>
        <v>0</v>
      </c>
      <c r="EO295" s="3236">
        <f t="shared" si="878"/>
        <v>0</v>
      </c>
      <c r="EP295" s="3236">
        <f t="shared" si="879"/>
        <v>0</v>
      </c>
      <c r="EQ295" s="3264"/>
      <c r="EU295" s="3235">
        <f t="shared" si="880"/>
        <v>0</v>
      </c>
      <c r="EV295" s="3236">
        <f t="shared" si="881"/>
        <v>0</v>
      </c>
      <c r="EW295" s="3236">
        <f t="shared" si="882"/>
        <v>0</v>
      </c>
      <c r="EX295" s="3236">
        <f t="shared" si="883"/>
        <v>0</v>
      </c>
      <c r="EY295" s="3264"/>
      <c r="FC295" s="3235">
        <f t="shared" si="884"/>
        <v>0</v>
      </c>
      <c r="FD295" s="3236">
        <f t="shared" si="885"/>
        <v>0</v>
      </c>
      <c r="FE295" s="3236">
        <f t="shared" si="886"/>
        <v>0</v>
      </c>
      <c r="FF295" s="3236">
        <f t="shared" si="887"/>
        <v>0</v>
      </c>
      <c r="FG295" s="3264"/>
      <c r="FK295" s="3235">
        <f t="shared" si="888"/>
        <v>0</v>
      </c>
      <c r="FL295" s="3236">
        <f t="shared" si="889"/>
        <v>0</v>
      </c>
      <c r="FM295" s="3236">
        <f t="shared" si="890"/>
        <v>0</v>
      </c>
      <c r="FN295" s="3236">
        <f t="shared" si="891"/>
        <v>0</v>
      </c>
      <c r="FO295" s="3264"/>
    </row>
    <row r="296" spans="1:171">
      <c r="A296" s="2092"/>
      <c r="B296" s="2694" t="s">
        <v>621</v>
      </c>
      <c r="C296" s="2464">
        <v>114</v>
      </c>
      <c r="D296" s="2171">
        <v>411.9</v>
      </c>
      <c r="E296" s="2424" t="str">
        <f>'Sch 3B - Other Items'!E20</f>
        <v>PROD</v>
      </c>
      <c r="F296" s="2171"/>
      <c r="G296" s="2424">
        <f>'Sch 3B - Other Items'!G20</f>
        <v>0</v>
      </c>
      <c r="H296" s="2424">
        <f>'Sch 3B - Other Items'!H20</f>
        <v>0</v>
      </c>
      <c r="I296" s="2424">
        <f>'Sch 3B - Other Items'!I20</f>
        <v>0</v>
      </c>
      <c r="J296" s="3465">
        <f>'Sch 3B - Other Items'!J20</f>
        <v>0</v>
      </c>
      <c r="K296" s="3205">
        <f t="shared" si="811"/>
        <v>1</v>
      </c>
      <c r="O296" s="3235">
        <f t="shared" si="812"/>
        <v>0</v>
      </c>
      <c r="P296" s="3236">
        <f t="shared" si="813"/>
        <v>0</v>
      </c>
      <c r="Q296" s="3236">
        <f t="shared" si="814"/>
        <v>0</v>
      </c>
      <c r="R296" s="3236">
        <f t="shared" si="815"/>
        <v>0</v>
      </c>
      <c r="S296" s="3264"/>
      <c r="W296" s="3235">
        <f t="shared" si="816"/>
        <v>0</v>
      </c>
      <c r="X296" s="3236">
        <f t="shared" si="817"/>
        <v>0</v>
      </c>
      <c r="Y296" s="3236">
        <f t="shared" si="818"/>
        <v>0</v>
      </c>
      <c r="Z296" s="3236">
        <f t="shared" si="819"/>
        <v>0</v>
      </c>
      <c r="AA296" s="3264"/>
      <c r="AE296" s="3235">
        <f t="shared" si="820"/>
        <v>0</v>
      </c>
      <c r="AF296" s="3236">
        <f t="shared" si="821"/>
        <v>0</v>
      </c>
      <c r="AG296" s="3236">
        <f t="shared" si="822"/>
        <v>0</v>
      </c>
      <c r="AH296" s="3236">
        <f t="shared" si="823"/>
        <v>0</v>
      </c>
      <c r="AI296" s="3264"/>
      <c r="AM296" s="3235">
        <f t="shared" si="824"/>
        <v>0</v>
      </c>
      <c r="AN296" s="3236">
        <f t="shared" si="825"/>
        <v>0</v>
      </c>
      <c r="AO296" s="3236">
        <f t="shared" si="826"/>
        <v>0</v>
      </c>
      <c r="AP296" s="3236">
        <f t="shared" si="827"/>
        <v>0</v>
      </c>
      <c r="AQ296" s="3264"/>
      <c r="AU296" s="3235">
        <f t="shared" si="828"/>
        <v>0</v>
      </c>
      <c r="AV296" s="3236">
        <f t="shared" si="829"/>
        <v>0</v>
      </c>
      <c r="AW296" s="3236">
        <f t="shared" si="830"/>
        <v>0</v>
      </c>
      <c r="AX296" s="3236">
        <f t="shared" si="831"/>
        <v>0</v>
      </c>
      <c r="AY296" s="3264"/>
      <c r="BC296" s="3235">
        <f t="shared" si="832"/>
        <v>0</v>
      </c>
      <c r="BD296" s="3236">
        <f t="shared" si="833"/>
        <v>0</v>
      </c>
      <c r="BE296" s="3236">
        <f t="shared" si="834"/>
        <v>0</v>
      </c>
      <c r="BF296" s="3236">
        <f t="shared" si="835"/>
        <v>0</v>
      </c>
      <c r="BG296" s="3264"/>
      <c r="BK296" s="3235">
        <f t="shared" si="836"/>
        <v>0</v>
      </c>
      <c r="BL296" s="3236">
        <f t="shared" si="837"/>
        <v>0</v>
      </c>
      <c r="BM296" s="3236">
        <f t="shared" si="838"/>
        <v>0</v>
      </c>
      <c r="BN296" s="3236">
        <f t="shared" si="839"/>
        <v>0</v>
      </c>
      <c r="BO296" s="3264"/>
      <c r="BS296" s="3235">
        <f t="shared" si="840"/>
        <v>0</v>
      </c>
      <c r="BT296" s="3236">
        <f t="shared" si="841"/>
        <v>0</v>
      </c>
      <c r="BU296" s="3236">
        <f t="shared" si="842"/>
        <v>0</v>
      </c>
      <c r="BV296" s="3236">
        <f t="shared" si="843"/>
        <v>0</v>
      </c>
      <c r="BW296" s="3264"/>
      <c r="CA296" s="3235">
        <f t="shared" si="844"/>
        <v>0</v>
      </c>
      <c r="CB296" s="3236">
        <f t="shared" si="845"/>
        <v>0</v>
      </c>
      <c r="CC296" s="3236">
        <f t="shared" si="846"/>
        <v>0</v>
      </c>
      <c r="CD296" s="3236">
        <f t="shared" si="847"/>
        <v>0</v>
      </c>
      <c r="CE296" s="3264"/>
      <c r="CI296" s="3235">
        <f t="shared" si="848"/>
        <v>0</v>
      </c>
      <c r="CJ296" s="3236">
        <f t="shared" si="849"/>
        <v>0</v>
      </c>
      <c r="CK296" s="3236">
        <f t="shared" si="850"/>
        <v>0</v>
      </c>
      <c r="CL296" s="3236">
        <f t="shared" si="851"/>
        <v>0</v>
      </c>
      <c r="CM296" s="3264"/>
      <c r="CQ296" s="3235">
        <f t="shared" si="852"/>
        <v>0</v>
      </c>
      <c r="CR296" s="3236">
        <f t="shared" si="853"/>
        <v>0</v>
      </c>
      <c r="CS296" s="3236">
        <f t="shared" si="854"/>
        <v>0</v>
      </c>
      <c r="CT296" s="3236">
        <f t="shared" si="855"/>
        <v>0</v>
      </c>
      <c r="CU296" s="3264"/>
      <c r="CY296" s="3235">
        <f t="shared" si="856"/>
        <v>0</v>
      </c>
      <c r="CZ296" s="3236">
        <f t="shared" si="857"/>
        <v>0</v>
      </c>
      <c r="DA296" s="3236">
        <f t="shared" si="858"/>
        <v>0</v>
      </c>
      <c r="DB296" s="3236">
        <f t="shared" si="859"/>
        <v>0</v>
      </c>
      <c r="DC296" s="3264"/>
      <c r="DG296" s="3235">
        <f t="shared" si="860"/>
        <v>0</v>
      </c>
      <c r="DH296" s="3236">
        <f t="shared" si="861"/>
        <v>0</v>
      </c>
      <c r="DI296" s="3236">
        <f t="shared" si="862"/>
        <v>0</v>
      </c>
      <c r="DJ296" s="3236">
        <f t="shared" si="863"/>
        <v>0</v>
      </c>
      <c r="DK296" s="3264"/>
      <c r="DO296" s="3235">
        <f t="shared" si="864"/>
        <v>0</v>
      </c>
      <c r="DP296" s="3236">
        <f t="shared" si="865"/>
        <v>0</v>
      </c>
      <c r="DQ296" s="3236">
        <f t="shared" si="866"/>
        <v>0</v>
      </c>
      <c r="DR296" s="3236">
        <f t="shared" si="867"/>
        <v>0</v>
      </c>
      <c r="DS296" s="3264"/>
      <c r="DW296" s="3235">
        <f t="shared" si="868"/>
        <v>0</v>
      </c>
      <c r="DX296" s="3236">
        <f t="shared" si="869"/>
        <v>0</v>
      </c>
      <c r="DY296" s="3236">
        <f t="shared" si="870"/>
        <v>0</v>
      </c>
      <c r="DZ296" s="3236">
        <f t="shared" si="871"/>
        <v>0</v>
      </c>
      <c r="EA296" s="3264"/>
      <c r="EE296" s="3235">
        <f t="shared" si="872"/>
        <v>0</v>
      </c>
      <c r="EF296" s="3236">
        <f t="shared" si="873"/>
        <v>0</v>
      </c>
      <c r="EG296" s="3236">
        <f t="shared" si="874"/>
        <v>0</v>
      </c>
      <c r="EH296" s="3236">
        <f t="shared" si="875"/>
        <v>0</v>
      </c>
      <c r="EI296" s="3264"/>
      <c r="EM296" s="3235">
        <f t="shared" si="876"/>
        <v>0</v>
      </c>
      <c r="EN296" s="3236">
        <f t="shared" si="877"/>
        <v>0</v>
      </c>
      <c r="EO296" s="3236">
        <f t="shared" si="878"/>
        <v>0</v>
      </c>
      <c r="EP296" s="3236">
        <f t="shared" si="879"/>
        <v>0</v>
      </c>
      <c r="EQ296" s="3264"/>
      <c r="EU296" s="3235">
        <f t="shared" si="880"/>
        <v>0</v>
      </c>
      <c r="EV296" s="3236">
        <f t="shared" si="881"/>
        <v>0</v>
      </c>
      <c r="EW296" s="3236">
        <f t="shared" si="882"/>
        <v>0</v>
      </c>
      <c r="EX296" s="3236">
        <f t="shared" si="883"/>
        <v>0</v>
      </c>
      <c r="EY296" s="3264"/>
      <c r="FC296" s="3235">
        <f t="shared" si="884"/>
        <v>0</v>
      </c>
      <c r="FD296" s="3236">
        <f t="shared" si="885"/>
        <v>0</v>
      </c>
      <c r="FE296" s="3236">
        <f t="shared" si="886"/>
        <v>0</v>
      </c>
      <c r="FF296" s="3236">
        <f t="shared" si="887"/>
        <v>0</v>
      </c>
      <c r="FG296" s="3264"/>
      <c r="FK296" s="3235">
        <f t="shared" si="888"/>
        <v>0</v>
      </c>
      <c r="FL296" s="3236">
        <f t="shared" si="889"/>
        <v>0</v>
      </c>
      <c r="FM296" s="3236">
        <f t="shared" si="890"/>
        <v>0</v>
      </c>
      <c r="FN296" s="3236">
        <f t="shared" si="891"/>
        <v>0</v>
      </c>
      <c r="FO296" s="3264"/>
    </row>
    <row r="297" spans="1:171">
      <c r="A297" s="2092"/>
      <c r="B297" s="2185" t="s">
        <v>181</v>
      </c>
      <c r="C297" s="2464">
        <v>114</v>
      </c>
      <c r="D297" s="2171">
        <v>421</v>
      </c>
      <c r="E297" s="2424" t="str">
        <f>'Sch 3B - Other Items'!E21</f>
        <v>DIRECT</v>
      </c>
      <c r="F297" s="2171"/>
      <c r="G297" s="2424">
        <f>'Sch 3B - Other Items'!G21</f>
        <v>-261571031</v>
      </c>
      <c r="H297" s="2424">
        <f>'Sch 3B - Other Items'!H21</f>
        <v>11756.068681033697</v>
      </c>
      <c r="I297" s="2424">
        <f>'Sch 3B - Other Items'!I21</f>
        <v>0</v>
      </c>
      <c r="J297" s="3465">
        <f>'Sch 3B - Other Items'!J21</f>
        <v>-261582787.08259478</v>
      </c>
      <c r="K297" s="3205">
        <f t="shared" si="811"/>
        <v>0</v>
      </c>
      <c r="O297" s="3235">
        <f t="shared" si="812"/>
        <v>-261571031</v>
      </c>
      <c r="P297" s="3236">
        <f t="shared" si="813"/>
        <v>11756.068681033697</v>
      </c>
      <c r="Q297" s="3236">
        <f t="shared" si="814"/>
        <v>0</v>
      </c>
      <c r="R297" s="3236">
        <f t="shared" si="815"/>
        <v>-261582787.06868103</v>
      </c>
      <c r="S297" s="3264"/>
      <c r="W297" s="3235">
        <f t="shared" si="816"/>
        <v>-261571031</v>
      </c>
      <c r="X297" s="3236">
        <f t="shared" si="817"/>
        <v>11756.068681033697</v>
      </c>
      <c r="Y297" s="3236">
        <f t="shared" si="818"/>
        <v>0</v>
      </c>
      <c r="Z297" s="3236">
        <f t="shared" si="819"/>
        <v>-261582787.06868103</v>
      </c>
      <c r="AA297" s="3264"/>
      <c r="AE297" s="3235">
        <f t="shared" si="820"/>
        <v>-261571031</v>
      </c>
      <c r="AF297" s="3236">
        <f t="shared" si="821"/>
        <v>11756.068681033697</v>
      </c>
      <c r="AG297" s="3236">
        <f t="shared" si="822"/>
        <v>0</v>
      </c>
      <c r="AH297" s="3236">
        <f t="shared" si="823"/>
        <v>-261582787.06868103</v>
      </c>
      <c r="AI297" s="3264"/>
      <c r="AM297" s="3235">
        <f t="shared" si="824"/>
        <v>-261571031</v>
      </c>
      <c r="AN297" s="3236">
        <f t="shared" si="825"/>
        <v>11756.068681033697</v>
      </c>
      <c r="AO297" s="3236">
        <f t="shared" si="826"/>
        <v>0</v>
      </c>
      <c r="AP297" s="3236">
        <f t="shared" si="827"/>
        <v>-261582787.06868103</v>
      </c>
      <c r="AQ297" s="3264"/>
      <c r="AU297" s="3235">
        <f t="shared" si="828"/>
        <v>-261571031</v>
      </c>
      <c r="AV297" s="3236">
        <f t="shared" si="829"/>
        <v>11756.068681033697</v>
      </c>
      <c r="AW297" s="3236">
        <f t="shared" si="830"/>
        <v>0</v>
      </c>
      <c r="AX297" s="3236">
        <f t="shared" si="831"/>
        <v>-261582787.06868103</v>
      </c>
      <c r="AY297" s="3264"/>
      <c r="BC297" s="3235">
        <f t="shared" si="832"/>
        <v>-261571031</v>
      </c>
      <c r="BD297" s="3236">
        <f t="shared" si="833"/>
        <v>11756.068681033697</v>
      </c>
      <c r="BE297" s="3236">
        <f t="shared" si="834"/>
        <v>0</v>
      </c>
      <c r="BF297" s="3236">
        <f t="shared" si="835"/>
        <v>-261582787.06868103</v>
      </c>
      <c r="BG297" s="3264"/>
      <c r="BK297" s="3235">
        <f t="shared" si="836"/>
        <v>-261571031</v>
      </c>
      <c r="BL297" s="3236">
        <f t="shared" si="837"/>
        <v>11756.068681033697</v>
      </c>
      <c r="BM297" s="3236">
        <f t="shared" si="838"/>
        <v>0</v>
      </c>
      <c r="BN297" s="3236">
        <f t="shared" si="839"/>
        <v>-261582787.06868103</v>
      </c>
      <c r="BO297" s="3264"/>
      <c r="BS297" s="3235">
        <f t="shared" si="840"/>
        <v>-261571031</v>
      </c>
      <c r="BT297" s="3236">
        <f t="shared" si="841"/>
        <v>11756.068681033697</v>
      </c>
      <c r="BU297" s="3236">
        <f t="shared" si="842"/>
        <v>0</v>
      </c>
      <c r="BV297" s="3236">
        <f t="shared" si="843"/>
        <v>-261582787.06868103</v>
      </c>
      <c r="BW297" s="3264"/>
      <c r="CA297" s="3235">
        <f t="shared" si="844"/>
        <v>-261571031</v>
      </c>
      <c r="CB297" s="3236">
        <f t="shared" si="845"/>
        <v>11756.068681033697</v>
      </c>
      <c r="CC297" s="3236">
        <f t="shared" si="846"/>
        <v>0</v>
      </c>
      <c r="CD297" s="3236">
        <f t="shared" si="847"/>
        <v>-261582787.06868103</v>
      </c>
      <c r="CE297" s="3264"/>
      <c r="CI297" s="3235">
        <f t="shared" si="848"/>
        <v>-261571031</v>
      </c>
      <c r="CJ297" s="3236">
        <f t="shared" si="849"/>
        <v>11756.068681033697</v>
      </c>
      <c r="CK297" s="3236">
        <f t="shared" si="850"/>
        <v>0</v>
      </c>
      <c r="CL297" s="3236">
        <f t="shared" si="851"/>
        <v>-261582787.06868103</v>
      </c>
      <c r="CM297" s="3264"/>
      <c r="CQ297" s="3235">
        <f t="shared" si="852"/>
        <v>-261571031</v>
      </c>
      <c r="CR297" s="3236">
        <f t="shared" si="853"/>
        <v>11756.068681033697</v>
      </c>
      <c r="CS297" s="3236">
        <f t="shared" si="854"/>
        <v>0</v>
      </c>
      <c r="CT297" s="3236">
        <f t="shared" si="855"/>
        <v>-261582787.06868103</v>
      </c>
      <c r="CU297" s="3264"/>
      <c r="CY297" s="3235">
        <f t="shared" si="856"/>
        <v>-261571031</v>
      </c>
      <c r="CZ297" s="3236">
        <f t="shared" si="857"/>
        <v>11756.068681033697</v>
      </c>
      <c r="DA297" s="3236">
        <f t="shared" si="858"/>
        <v>0</v>
      </c>
      <c r="DB297" s="3236">
        <f t="shared" si="859"/>
        <v>-261582787.06868103</v>
      </c>
      <c r="DC297" s="3264"/>
      <c r="DG297" s="3235">
        <f t="shared" si="860"/>
        <v>-261571031</v>
      </c>
      <c r="DH297" s="3236">
        <f t="shared" si="861"/>
        <v>11756.068681033697</v>
      </c>
      <c r="DI297" s="3236">
        <f t="shared" si="862"/>
        <v>0</v>
      </c>
      <c r="DJ297" s="3236">
        <f t="shared" si="863"/>
        <v>-261582787.06868103</v>
      </c>
      <c r="DK297" s="3264"/>
      <c r="DO297" s="3235">
        <f t="shared" si="864"/>
        <v>-261571031</v>
      </c>
      <c r="DP297" s="3236">
        <f t="shared" si="865"/>
        <v>11756.068681033697</v>
      </c>
      <c r="DQ297" s="3236">
        <f t="shared" si="866"/>
        <v>0</v>
      </c>
      <c r="DR297" s="3236">
        <f t="shared" si="867"/>
        <v>-261582787.06868103</v>
      </c>
      <c r="DS297" s="3264"/>
      <c r="DW297" s="3235">
        <f t="shared" si="868"/>
        <v>-261571031</v>
      </c>
      <c r="DX297" s="3236">
        <f t="shared" si="869"/>
        <v>11756.068681033697</v>
      </c>
      <c r="DY297" s="3236">
        <f t="shared" si="870"/>
        <v>0</v>
      </c>
      <c r="DZ297" s="3236">
        <f t="shared" si="871"/>
        <v>-261582787.06868103</v>
      </c>
      <c r="EA297" s="3264"/>
      <c r="EE297" s="3235">
        <f t="shared" si="872"/>
        <v>-261571031</v>
      </c>
      <c r="EF297" s="3236">
        <f t="shared" si="873"/>
        <v>11756.068681033697</v>
      </c>
      <c r="EG297" s="3236">
        <f t="shared" si="874"/>
        <v>0</v>
      </c>
      <c r="EH297" s="3236">
        <f t="shared" si="875"/>
        <v>-261582787.06868103</v>
      </c>
      <c r="EI297" s="3264"/>
      <c r="EM297" s="3235">
        <f t="shared" si="876"/>
        <v>-261571031</v>
      </c>
      <c r="EN297" s="3236">
        <f t="shared" si="877"/>
        <v>11756.068681033697</v>
      </c>
      <c r="EO297" s="3236">
        <f t="shared" si="878"/>
        <v>0</v>
      </c>
      <c r="EP297" s="3236">
        <f t="shared" si="879"/>
        <v>-261582787.06868103</v>
      </c>
      <c r="EQ297" s="3264"/>
      <c r="EU297" s="3235">
        <f t="shared" si="880"/>
        <v>-261571031</v>
      </c>
      <c r="EV297" s="3236">
        <f t="shared" si="881"/>
        <v>11756.068681033697</v>
      </c>
      <c r="EW297" s="3236">
        <f t="shared" si="882"/>
        <v>0</v>
      </c>
      <c r="EX297" s="3236">
        <f t="shared" si="883"/>
        <v>-261582787.06868103</v>
      </c>
      <c r="EY297" s="3264"/>
      <c r="FC297" s="3235">
        <f t="shared" si="884"/>
        <v>-261571031</v>
      </c>
      <c r="FD297" s="3236">
        <f t="shared" si="885"/>
        <v>11756.068681033697</v>
      </c>
      <c r="FE297" s="3236">
        <f t="shared" si="886"/>
        <v>0</v>
      </c>
      <c r="FF297" s="3236">
        <f t="shared" si="887"/>
        <v>-261582787.06868103</v>
      </c>
      <c r="FG297" s="3264"/>
      <c r="FK297" s="3235">
        <f t="shared" si="888"/>
        <v>-261571031</v>
      </c>
      <c r="FL297" s="3236">
        <f t="shared" si="889"/>
        <v>11756.068681033697</v>
      </c>
      <c r="FM297" s="3236">
        <f t="shared" si="890"/>
        <v>0</v>
      </c>
      <c r="FN297" s="3236">
        <f t="shared" si="891"/>
        <v>-261582787.06868103</v>
      </c>
      <c r="FO297" s="3264"/>
    </row>
    <row r="298" spans="1:171">
      <c r="A298" s="2196" t="s">
        <v>49</v>
      </c>
      <c r="B298" s="2103"/>
      <c r="C298" s="3256"/>
      <c r="D298" s="3257"/>
      <c r="E298" s="3257"/>
      <c r="F298" s="3258"/>
      <c r="G298" s="3265">
        <f>G291-G292+G293-G294+G295-G296+G297</f>
        <v>-193370969</v>
      </c>
      <c r="H298" s="3265">
        <f>H291-H292+H293-H294+H295-H296+H297</f>
        <v>65839659.700387351</v>
      </c>
      <c r="I298" s="3265">
        <f>I291-I292+I293-I294+I295-I296+I297</f>
        <v>0</v>
      </c>
      <c r="J298" s="3474">
        <f>J291-J292+J293-J294+J295-J296+J297</f>
        <v>-259210628.61430109</v>
      </c>
      <c r="K298" s="3205"/>
      <c r="O298" s="3306">
        <f>O291-O292+O293-O294+O295-O296+O297</f>
        <v>-193370969</v>
      </c>
      <c r="P298" s="3356">
        <f>P291-P292+P293-P294+P295-P296+P297</f>
        <v>65839659.700387351</v>
      </c>
      <c r="Q298" s="3356">
        <f>Q291-Q292+Q293-Q294+Q295-Q296+Q297</f>
        <v>0</v>
      </c>
      <c r="R298" s="3356">
        <f>R291-R292+R293-R294+R295-R296+R297</f>
        <v>-259210628.70038736</v>
      </c>
      <c r="S298" s="3264"/>
      <c r="W298" s="3306">
        <f>W291-W292+W293-W294+W295-W296+W297</f>
        <v>-193370969</v>
      </c>
      <c r="X298" s="3356">
        <f>X291-X292+X293-X294+X295-X296+X297</f>
        <v>65839659.700387351</v>
      </c>
      <c r="Y298" s="3356">
        <f>Y291-Y292+Y293-Y294+Y295-Y296+Y297</f>
        <v>0</v>
      </c>
      <c r="Z298" s="3356">
        <f>Z291-Z292+Z293-Z294+Z295-Z296+Z297</f>
        <v>-259210628.70038736</v>
      </c>
      <c r="AA298" s="3264"/>
      <c r="AE298" s="3306">
        <f>AE291-AE292+AE293-AE294+AE295-AE296+AE297</f>
        <v>-193370969</v>
      </c>
      <c r="AF298" s="3356">
        <f>AF291-AF292+AF293-AF294+AF295-AF296+AF297</f>
        <v>65839659.700387351</v>
      </c>
      <c r="AG298" s="3356">
        <f>AG291-AG292+AG293-AG294+AG295-AG296+AG297</f>
        <v>0</v>
      </c>
      <c r="AH298" s="3356">
        <f>AH291-AH292+AH293-AH294+AH295-AH296+AH297</f>
        <v>-259210628.70038736</v>
      </c>
      <c r="AI298" s="3264"/>
      <c r="AM298" s="3306">
        <f>AM291-AM292+AM293-AM294+AM295-AM296+AM297</f>
        <v>-193370969</v>
      </c>
      <c r="AN298" s="3356">
        <f>AN291-AN292+AN293-AN294+AN295-AN296+AN297</f>
        <v>65839659.700387351</v>
      </c>
      <c r="AO298" s="3356">
        <f>AO291-AO292+AO293-AO294+AO295-AO296+AO297</f>
        <v>0</v>
      </c>
      <c r="AP298" s="3356">
        <f>AP291-AP292+AP293-AP294+AP295-AP296+AP297</f>
        <v>-259210628.70038736</v>
      </c>
      <c r="AQ298" s="3264"/>
      <c r="AU298" s="3306">
        <f>AU291-AU292+AU293-AU294+AU295-AU296+AU297</f>
        <v>-193370969</v>
      </c>
      <c r="AV298" s="3356">
        <f>AV291-AV292+AV293-AV294+AV295-AV296+AV297</f>
        <v>65839659.700387351</v>
      </c>
      <c r="AW298" s="3356">
        <f>AW291-AW292+AW293-AW294+AW295-AW296+AW297</f>
        <v>0</v>
      </c>
      <c r="AX298" s="3356">
        <f>AX291-AX292+AX293-AX294+AX295-AX296+AX297</f>
        <v>-259210628.70038736</v>
      </c>
      <c r="AY298" s="3264"/>
      <c r="BC298" s="3306">
        <f>BC291-BC292+BC293-BC294+BC295-BC296+BC297</f>
        <v>-193370969</v>
      </c>
      <c r="BD298" s="3356">
        <f>BD291-BD292+BD293-BD294+BD295-BD296+BD297</f>
        <v>65839659.700387351</v>
      </c>
      <c r="BE298" s="3356">
        <f>BE291-BE292+BE293-BE294+BE295-BE296+BE297</f>
        <v>0</v>
      </c>
      <c r="BF298" s="3356">
        <f>BF291-BF292+BF293-BF294+BF295-BF296+BF297</f>
        <v>-259210628.70038736</v>
      </c>
      <c r="BG298" s="3264"/>
      <c r="BK298" s="3306">
        <f>BK291-BK292+BK293-BK294+BK295-BK296+BK297</f>
        <v>-193370969</v>
      </c>
      <c r="BL298" s="3356">
        <f>BL291-BL292+BL293-BL294+BL295-BL296+BL297</f>
        <v>65839659.700387351</v>
      </c>
      <c r="BM298" s="3356">
        <f>BM291-BM292+BM293-BM294+BM295-BM296+BM297</f>
        <v>0</v>
      </c>
      <c r="BN298" s="3356">
        <f>BN291-BN292+BN293-BN294+BN295-BN296+BN297</f>
        <v>-259210628.70038736</v>
      </c>
      <c r="BO298" s="3264"/>
      <c r="BS298" s="3306">
        <f>BS291-BS292+BS293-BS294+BS295-BS296+BS297</f>
        <v>-193370969</v>
      </c>
      <c r="BT298" s="3356">
        <f>BT291-BT292+BT293-BT294+BT295-BT296+BT297</f>
        <v>65839659.700387351</v>
      </c>
      <c r="BU298" s="3356">
        <f>BU291-BU292+BU293-BU294+BU295-BU296+BU297</f>
        <v>0</v>
      </c>
      <c r="BV298" s="3356">
        <f>BV291-BV292+BV293-BV294+BV295-BV296+BV297</f>
        <v>-259210628.70038736</v>
      </c>
      <c r="BW298" s="3264"/>
      <c r="CA298" s="3306">
        <f>CA291-CA292+CA293-CA294+CA295-CA296+CA297</f>
        <v>-193370969</v>
      </c>
      <c r="CB298" s="3356">
        <f>CB291-CB292+CB293-CB294+CB295-CB296+CB297</f>
        <v>65839659.700387351</v>
      </c>
      <c r="CC298" s="3356">
        <f>CC291-CC292+CC293-CC294+CC295-CC296+CC297</f>
        <v>0</v>
      </c>
      <c r="CD298" s="3356">
        <f>CD291-CD292+CD293-CD294+CD295-CD296+CD297</f>
        <v>-259210628.70038736</v>
      </c>
      <c r="CE298" s="3264"/>
      <c r="CI298" s="3306">
        <f>CI291-CI292+CI293-CI294+CI295-CI296+CI297</f>
        <v>-193370969</v>
      </c>
      <c r="CJ298" s="3356">
        <f>CJ291-CJ292+CJ293-CJ294+CJ295-CJ296+CJ297</f>
        <v>65839659.700387351</v>
      </c>
      <c r="CK298" s="3356">
        <f>CK291-CK292+CK293-CK294+CK295-CK296+CK297</f>
        <v>0</v>
      </c>
      <c r="CL298" s="3356">
        <f>CL291-CL292+CL293-CL294+CL295-CL296+CL297</f>
        <v>-259210628.70038736</v>
      </c>
      <c r="CM298" s="3264"/>
      <c r="CQ298" s="3306">
        <f>CQ291-CQ292+CQ293-CQ294+CQ295-CQ296+CQ297</f>
        <v>-193370969</v>
      </c>
      <c r="CR298" s="3356">
        <f>CR291-CR292+CR293-CR294+CR295-CR296+CR297</f>
        <v>65839659.700387351</v>
      </c>
      <c r="CS298" s="3356">
        <f>CS291-CS292+CS293-CS294+CS295-CS296+CS297</f>
        <v>0</v>
      </c>
      <c r="CT298" s="3356">
        <f>CT291-CT292+CT293-CT294+CT295-CT296+CT297</f>
        <v>-259210628.70038736</v>
      </c>
      <c r="CU298" s="3264"/>
      <c r="CY298" s="3306">
        <f>CY291-CY292+CY293-CY294+CY295-CY296+CY297</f>
        <v>-193370969</v>
      </c>
      <c r="CZ298" s="3356">
        <f>CZ291-CZ292+CZ293-CZ294+CZ295-CZ296+CZ297</f>
        <v>65839659.700387351</v>
      </c>
      <c r="DA298" s="3356">
        <f>DA291-DA292+DA293-DA294+DA295-DA296+DA297</f>
        <v>0</v>
      </c>
      <c r="DB298" s="3356">
        <f>DB291-DB292+DB293-DB294+DB295-DB296+DB297</f>
        <v>-259210628.70038736</v>
      </c>
      <c r="DC298" s="3264"/>
      <c r="DG298" s="3306">
        <f>DG291-DG292+DG293-DG294+DG295-DG296+DG297</f>
        <v>-193370969</v>
      </c>
      <c r="DH298" s="3356">
        <f>DH291-DH292+DH293-DH294+DH295-DH296+DH297</f>
        <v>65839659.700387351</v>
      </c>
      <c r="DI298" s="3356">
        <f>DI291-DI292+DI293-DI294+DI295-DI296+DI297</f>
        <v>0</v>
      </c>
      <c r="DJ298" s="3356">
        <f>DJ291-DJ292+DJ293-DJ294+DJ295-DJ296+DJ297</f>
        <v>-259210628.70038736</v>
      </c>
      <c r="DK298" s="3264"/>
      <c r="DO298" s="3306">
        <f>DO291-DO292+DO293-DO294+DO295-DO296+DO297</f>
        <v>-193370969</v>
      </c>
      <c r="DP298" s="3356">
        <f>DP291-DP292+DP293-DP294+DP295-DP296+DP297</f>
        <v>65839659.700387351</v>
      </c>
      <c r="DQ298" s="3356">
        <f>DQ291-DQ292+DQ293-DQ294+DQ295-DQ296+DQ297</f>
        <v>0</v>
      </c>
      <c r="DR298" s="3356">
        <f>DR291-DR292+DR293-DR294+DR295-DR296+DR297</f>
        <v>-259210628.70038736</v>
      </c>
      <c r="DS298" s="3264"/>
      <c r="DW298" s="3306">
        <f>DW291-DW292+DW293-DW294+DW295-DW296+DW297</f>
        <v>-193370969</v>
      </c>
      <c r="DX298" s="3356">
        <f>DX291-DX292+DX293-DX294+DX295-DX296+DX297</f>
        <v>65839659.700387351</v>
      </c>
      <c r="DY298" s="3356">
        <f>DY291-DY292+DY293-DY294+DY295-DY296+DY297</f>
        <v>0</v>
      </c>
      <c r="DZ298" s="3356">
        <f>DZ291-DZ292+DZ293-DZ294+DZ295-DZ296+DZ297</f>
        <v>-259210628.70038736</v>
      </c>
      <c r="EA298" s="3264"/>
      <c r="EE298" s="3306">
        <f>EE291-EE292+EE293-EE294+EE295-EE296+EE297</f>
        <v>-193370969</v>
      </c>
      <c r="EF298" s="3356">
        <f>EF291-EF292+EF293-EF294+EF295-EF296+EF297</f>
        <v>65839659.700387351</v>
      </c>
      <c r="EG298" s="3356">
        <f>EG291-EG292+EG293-EG294+EG295-EG296+EG297</f>
        <v>0</v>
      </c>
      <c r="EH298" s="3356">
        <f>EH291-EH292+EH293-EH294+EH295-EH296+EH297</f>
        <v>-259210628.70038736</v>
      </c>
      <c r="EI298" s="3264"/>
      <c r="EM298" s="3306">
        <f>EM291-EM292+EM293-EM294+EM295-EM296+EM297</f>
        <v>-193370969</v>
      </c>
      <c r="EN298" s="3356">
        <f>EN291-EN292+EN293-EN294+EN295-EN296+EN297</f>
        <v>65839659.700387351</v>
      </c>
      <c r="EO298" s="3356">
        <f>EO291-EO292+EO293-EO294+EO295-EO296+EO297</f>
        <v>0</v>
      </c>
      <c r="EP298" s="3356">
        <f>EP291-EP292+EP293-EP294+EP295-EP296+EP297</f>
        <v>-259210628.70038736</v>
      </c>
      <c r="EQ298" s="3264"/>
      <c r="EU298" s="3306">
        <f>EU291-EU292+EU293-EU294+EU295-EU296+EU297</f>
        <v>-193370969</v>
      </c>
      <c r="EV298" s="3356">
        <f>EV291-EV292+EV293-EV294+EV295-EV296+EV297</f>
        <v>65839659.700387351</v>
      </c>
      <c r="EW298" s="3356">
        <f>EW291-EW292+EW293-EW294+EW295-EW296+EW297</f>
        <v>0</v>
      </c>
      <c r="EX298" s="3356">
        <f>EX291-EX292+EX293-EX294+EX295-EX296+EX297</f>
        <v>-259210628.70038736</v>
      </c>
      <c r="EY298" s="3264"/>
      <c r="FC298" s="3306">
        <f>FC291-FC292+FC293-FC294+FC295-FC296+FC297</f>
        <v>-193370969</v>
      </c>
      <c r="FD298" s="3356">
        <f>FD291-FD292+FD293-FD294+FD295-FD296+FD297</f>
        <v>65839659.700387351</v>
      </c>
      <c r="FE298" s="3356">
        <f>FE291-FE292+FE293-FE294+FE295-FE296+FE297</f>
        <v>0</v>
      </c>
      <c r="FF298" s="3356">
        <f>FF291-FF292+FF293-FF294+FF295-FF296+FF297</f>
        <v>-259210628.70038736</v>
      </c>
      <c r="FG298" s="3264"/>
      <c r="FK298" s="3306">
        <f>FK291-FK292+FK293-FK294+FK295-FK296+FK297</f>
        <v>-193370969</v>
      </c>
      <c r="FL298" s="3356">
        <f>FL291-FL292+FL293-FL294+FL295-FL296+FL297</f>
        <v>65839659.700387351</v>
      </c>
      <c r="FM298" s="3356">
        <f>FM291-FM292+FM293-FM294+FM295-FM296+FM297</f>
        <v>0</v>
      </c>
      <c r="FN298" s="3356">
        <f>FN291-FN292+FN293-FN294+FN295-FN296+FN297</f>
        <v>-259210628.70038736</v>
      </c>
      <c r="FO298" s="3264"/>
    </row>
    <row r="299" spans="1:171">
      <c r="A299" s="3522"/>
      <c r="B299" s="2103"/>
      <c r="C299" s="2686"/>
      <c r="D299" s="2686"/>
      <c r="E299" s="2116"/>
      <c r="F299" s="2116"/>
      <c r="G299" s="2181"/>
      <c r="H299" s="2181"/>
      <c r="I299" s="2181"/>
      <c r="J299" s="2200"/>
      <c r="K299" s="3205"/>
      <c r="S299" s="3264"/>
      <c r="AA299" s="3264"/>
      <c r="AI299" s="3264"/>
      <c r="AQ299" s="3264"/>
      <c r="AY299" s="3264"/>
      <c r="BG299" s="3264"/>
      <c r="BO299" s="3264"/>
      <c r="BW299" s="3264"/>
      <c r="CE299" s="3264"/>
      <c r="CM299" s="3264"/>
      <c r="CU299" s="3264"/>
      <c r="DC299" s="3264"/>
      <c r="DK299" s="3264"/>
      <c r="DS299" s="3264"/>
      <c r="EA299" s="3264"/>
      <c r="EI299" s="3264"/>
      <c r="EQ299" s="3264"/>
      <c r="EY299" s="3264"/>
      <c r="FG299" s="3264"/>
      <c r="FO299" s="3264"/>
    </row>
    <row r="300" spans="1:171">
      <c r="A300" s="2102" t="s">
        <v>622</v>
      </c>
      <c r="B300" s="2103"/>
      <c r="C300" s="2116"/>
      <c r="D300" s="2116"/>
      <c r="E300" s="2116"/>
      <c r="F300" s="2116"/>
      <c r="G300" s="2181"/>
      <c r="H300" s="2181"/>
      <c r="I300" s="2181"/>
      <c r="J300" s="2200"/>
      <c r="K300" s="3205"/>
      <c r="S300" s="3264"/>
      <c r="AA300" s="3264"/>
      <c r="AI300" s="3264"/>
      <c r="AQ300" s="3264"/>
      <c r="AY300" s="3264"/>
      <c r="BG300" s="3264"/>
      <c r="BO300" s="3264"/>
      <c r="BW300" s="3264"/>
      <c r="CE300" s="3264"/>
      <c r="CM300" s="3264"/>
      <c r="CU300" s="3264"/>
      <c r="DC300" s="3264"/>
      <c r="DK300" s="3264"/>
      <c r="DS300" s="3264"/>
      <c r="EA300" s="3264"/>
      <c r="EI300" s="3264"/>
      <c r="EQ300" s="3264"/>
      <c r="EY300" s="3264"/>
      <c r="FG300" s="3264"/>
      <c r="FO300" s="3264"/>
    </row>
    <row r="301" spans="1:171">
      <c r="A301" s="2102"/>
      <c r="B301" s="2185" t="s">
        <v>64</v>
      </c>
      <c r="C301" s="2464">
        <v>310</v>
      </c>
      <c r="D301" s="2171">
        <v>447</v>
      </c>
      <c r="E301" s="2424" t="str">
        <f>'Sch 3B - Other Items'!E25</f>
        <v>PROD</v>
      </c>
      <c r="F301" s="2171"/>
      <c r="G301" s="2424">
        <f>'Sch 3B - Other Items'!G25</f>
        <v>640830574</v>
      </c>
      <c r="H301" s="2424">
        <f>'Sch 3B - Other Items'!H25</f>
        <v>640830574</v>
      </c>
      <c r="I301" s="2424">
        <f>'Sch 3B - Other Items'!I25</f>
        <v>0</v>
      </c>
      <c r="J301" s="3465">
        <f>'Sch 3B - Other Items'!J25</f>
        <v>0</v>
      </c>
      <c r="K301" s="3205">
        <f>IF($E301="DIRECT",0,1)</f>
        <v>1</v>
      </c>
      <c r="O301" s="3329">
        <f>O466</f>
        <v>640830574</v>
      </c>
      <c r="P301" s="3236">
        <f>VLOOKUP($E301,O$442:R$453,2,FALSE)*O301*($K301)+IF($G301&lt;&gt;0,($H301/$G301)*O301,0)*(1-$K301)</f>
        <v>640830574</v>
      </c>
      <c r="Q301" s="3236">
        <f>VLOOKUP($E301,O$442:R$453,3,FALSE)*O301*($K301)+IF($G301&lt;&gt;0,($I301/$G301)*O301,0)*(1-$K301)</f>
        <v>0</v>
      </c>
      <c r="R301" s="3236">
        <f>VLOOKUP($E301,O$442:R$453,4,FALSE)*O301*($K301)+(O301-P301-Q301)*(1-$K301)</f>
        <v>0</v>
      </c>
      <c r="S301" s="3264"/>
      <c r="W301" s="3329">
        <f>W466</f>
        <v>640830574</v>
      </c>
      <c r="X301" s="3236">
        <f>VLOOKUP($E301,W$442:Z$453,2,FALSE)*W301*($K301)+IF($G301&lt;&gt;0,($H301/$G301)*W301,0)*(1-$K301)</f>
        <v>640830574</v>
      </c>
      <c r="Y301" s="3236">
        <f>VLOOKUP($E301,W$442:Z$453,3,FALSE)*W301*($K301)+IF($G301&lt;&gt;0,($I301/$G301)*W301,0)*(1-$K301)</f>
        <v>0</v>
      </c>
      <c r="Z301" s="3236">
        <f>VLOOKUP($E301,W$442:Z$453,4,FALSE)*W301*($K301)+(W301-X301-Y301)*(1-$K301)</f>
        <v>0</v>
      </c>
      <c r="AA301" s="3264"/>
      <c r="AE301" s="3329">
        <f>AE466</f>
        <v>640830574</v>
      </c>
      <c r="AF301" s="3236">
        <f>VLOOKUP($E301,AE$442:AH$453,2,FALSE)*AE301*($K301)+IF($G301&lt;&gt;0,($H301/$G301)*AE301,0)*(1-$K301)</f>
        <v>640830574</v>
      </c>
      <c r="AG301" s="3236">
        <f>VLOOKUP($E301,AE$442:AH$453,3,FALSE)*AE301*($K301)+IF($G301&lt;&gt;0,($I301/$G301)*AE301,0)*(1-$K301)</f>
        <v>0</v>
      </c>
      <c r="AH301" s="3236">
        <f>VLOOKUP($E301,AE$442:AH$453,4,FALSE)*AE301*($K301)+(AE301-AF301-AG301)*(1-$K301)</f>
        <v>0</v>
      </c>
      <c r="AI301" s="3264"/>
      <c r="AM301" s="3329">
        <f>AM466</f>
        <v>640830574</v>
      </c>
      <c r="AN301" s="3236">
        <f>VLOOKUP($E301,AM$442:AP$453,2,FALSE)*AM301*($K301)+IF($G301&lt;&gt;0,($H301/$G301)*AM301,0)*(1-$K301)</f>
        <v>640830574</v>
      </c>
      <c r="AO301" s="3236">
        <f>VLOOKUP($E301,AM$442:AP$453,3,FALSE)*AM301*($K301)+IF($G301&lt;&gt;0,($I301/$G301)*AM301,0)*(1-$K301)</f>
        <v>0</v>
      </c>
      <c r="AP301" s="3236">
        <f>VLOOKUP($E301,AM$442:AP$453,4,FALSE)*AM301*($K301)+(AM301-AN301-AO301)*(1-$K301)</f>
        <v>0</v>
      </c>
      <c r="AQ301" s="3264"/>
      <c r="AU301" s="3329">
        <f>AU466</f>
        <v>640830574</v>
      </c>
      <c r="AV301" s="3236">
        <f>VLOOKUP($E301,AU$442:AX$453,2,FALSE)*AU301*($K301)+IF($G301&lt;&gt;0,($H301/$G301)*AU301,0)*(1-$K301)</f>
        <v>640830574</v>
      </c>
      <c r="AW301" s="3236">
        <f>VLOOKUP($E301,AU$442:AX$453,3,FALSE)*AU301*($K301)+IF($G301&lt;&gt;0,($I301/$G301)*AU301,0)*(1-$K301)</f>
        <v>0</v>
      </c>
      <c r="AX301" s="3236">
        <f>VLOOKUP($E301,AU$442:AX$453,4,FALSE)*AU301*($K301)+(AU301-AV301-AW301)*(1-$K301)</f>
        <v>0</v>
      </c>
      <c r="AY301" s="3264"/>
      <c r="BC301" s="3329">
        <f>BC466</f>
        <v>640830574</v>
      </c>
      <c r="BD301" s="3236">
        <f>VLOOKUP($E301,BC$442:BF$453,2,FALSE)*BC301*($K301)+IF($G301&lt;&gt;0,($H301/$G301)*BC301,0)*(1-$K301)</f>
        <v>640830574</v>
      </c>
      <c r="BE301" s="3236">
        <f>VLOOKUP($E301,BC$442:BF$453,3,FALSE)*BC301*($K301)+IF($G301&lt;&gt;0,($I301/$G301)*BC301,0)*(1-$K301)</f>
        <v>0</v>
      </c>
      <c r="BF301" s="3236">
        <f>VLOOKUP($E301,BC$442:BF$453,4,FALSE)*BC301*($K301)+(BC301-BD301-BE301)*(1-$K301)</f>
        <v>0</v>
      </c>
      <c r="BG301" s="3264"/>
      <c r="BK301" s="3329">
        <f>BK466</f>
        <v>640830574</v>
      </c>
      <c r="BL301" s="3236">
        <f>VLOOKUP($E301,BK$442:BN$453,2,FALSE)*BK301*($K301)+IF($G301&lt;&gt;0,($H301/$G301)*BK301,0)*(1-$K301)</f>
        <v>640830574</v>
      </c>
      <c r="BM301" s="3236">
        <f>VLOOKUP($E301,BK$442:BN$453,3,FALSE)*BK301*($K301)+IF($G301&lt;&gt;0,($I301/$G301)*BK301,0)*(1-$K301)</f>
        <v>0</v>
      </c>
      <c r="BN301" s="3236">
        <f>VLOOKUP($E301,BK$442:BN$453,4,FALSE)*BK301*($K301)+(BK301-BL301-BM301)*(1-$K301)</f>
        <v>0</v>
      </c>
      <c r="BO301" s="3264"/>
      <c r="BS301" s="3329">
        <f>BS466</f>
        <v>640830574</v>
      </c>
      <c r="BT301" s="3236">
        <f>VLOOKUP($E301,BS$442:BV$453,2,FALSE)*BS301*($K301)+IF($G301&lt;&gt;0,($H301/$G301)*BS301,0)*(1-$K301)</f>
        <v>640830574</v>
      </c>
      <c r="BU301" s="3236">
        <f>VLOOKUP($E301,BS$442:BV$453,3,FALSE)*BS301*($K301)+IF($G301&lt;&gt;0,($I301/$G301)*BS301,0)*(1-$K301)</f>
        <v>0</v>
      </c>
      <c r="BV301" s="3236">
        <f>VLOOKUP($E301,BS$442:BV$453,4,FALSE)*BS301*($K301)+(BS301-BT301-BU301)*(1-$K301)</f>
        <v>0</v>
      </c>
      <c r="BW301" s="3264"/>
      <c r="CA301" s="3329">
        <f>CA466</f>
        <v>640830574</v>
      </c>
      <c r="CB301" s="3236">
        <f>VLOOKUP($E301,CA$442:CD$453,2,FALSE)*CA301*($K301)+IF($G301&lt;&gt;0,($H301/$G301)*CA301,0)*(1-$K301)</f>
        <v>640830574</v>
      </c>
      <c r="CC301" s="3236">
        <f>VLOOKUP($E301,CA$442:CD$453,3,FALSE)*CA301*($K301)+IF($G301&lt;&gt;0,($I301/$G301)*CA301,0)*(1-$K301)</f>
        <v>0</v>
      </c>
      <c r="CD301" s="3236">
        <f>VLOOKUP($E301,CA$442:CD$453,4,FALSE)*CA301*($K301)+(CA301-CB301-CC301)*(1-$K301)</f>
        <v>0</v>
      </c>
      <c r="CE301" s="3264"/>
      <c r="CI301" s="3329">
        <f>CI466</f>
        <v>640830574</v>
      </c>
      <c r="CJ301" s="3236">
        <f>VLOOKUP($E301,CI$442:CL$453,2,FALSE)*CI301*($K301)+IF($G301&lt;&gt;0,($H301/$G301)*CI301,0)*(1-$K301)</f>
        <v>640830574</v>
      </c>
      <c r="CK301" s="3236">
        <f>VLOOKUP($E301,CI$442:CL$453,3,FALSE)*CI301*($K301)+IF($G301&lt;&gt;0,($I301/$G301)*CI301,0)*(1-$K301)</f>
        <v>0</v>
      </c>
      <c r="CL301" s="3236">
        <f>VLOOKUP($E301,CI$442:CL$453,4,FALSE)*CI301*($K301)+(CI301-CJ301-CK301)*(1-$K301)</f>
        <v>0</v>
      </c>
      <c r="CM301" s="3264"/>
      <c r="CQ301" s="3329">
        <f>CQ466</f>
        <v>640830574</v>
      </c>
      <c r="CR301" s="3236">
        <f>VLOOKUP($E301,CQ$442:CT$453,2,FALSE)*CQ301*($K301)+IF($G301&lt;&gt;0,($H301/$G301)*CQ301,0)*(1-$K301)</f>
        <v>640830574</v>
      </c>
      <c r="CS301" s="3236">
        <f>VLOOKUP($E301,CQ$442:CT$453,3,FALSE)*CQ301*($K301)+IF($G301&lt;&gt;0,($I301/$G301)*CQ301,0)*(1-$K301)</f>
        <v>0</v>
      </c>
      <c r="CT301" s="3236">
        <f>VLOOKUP($E301,CQ$442:CT$453,4,FALSE)*CQ301*($K301)+(CQ301-CR301-CS301)*(1-$K301)</f>
        <v>0</v>
      </c>
      <c r="CU301" s="3264"/>
      <c r="CY301" s="3329">
        <f>CY466</f>
        <v>640830574</v>
      </c>
      <c r="CZ301" s="3236">
        <f>VLOOKUP($E301,CY$442:DB$453,2,FALSE)*CY301*($K301)+IF($G301&lt;&gt;0,($H301/$G301)*CY301,0)*(1-$K301)</f>
        <v>640830574</v>
      </c>
      <c r="DA301" s="3236">
        <f>VLOOKUP($E301,CY$442:DB$453,3,FALSE)*CY301*($K301)+IF($G301&lt;&gt;0,($I301/$G301)*CY301,0)*(1-$K301)</f>
        <v>0</v>
      </c>
      <c r="DB301" s="3236">
        <f>VLOOKUP($E301,CY$442:DB$453,4,FALSE)*CY301*($K301)+(CY301-CZ301-DA301)*(1-$K301)</f>
        <v>0</v>
      </c>
      <c r="DC301" s="3264"/>
      <c r="DG301" s="3329">
        <f>DG466</f>
        <v>640830574</v>
      </c>
      <c r="DH301" s="3236">
        <f>VLOOKUP($E301,DG$442:DJ$453,2,FALSE)*DG301*($K301)+IF($G301&lt;&gt;0,($H301/$G301)*DG301,0)*(1-$K301)</f>
        <v>640830574</v>
      </c>
      <c r="DI301" s="3236">
        <f>VLOOKUP($E301,DG$442:DJ$453,3,FALSE)*DG301*($K301)+IF($G301&lt;&gt;0,($I301/$G301)*DG301,0)*(1-$K301)</f>
        <v>0</v>
      </c>
      <c r="DJ301" s="3236">
        <f>VLOOKUP($E301,DG$442:DJ$453,4,FALSE)*DG301*($K301)+(DG301-DH301-DI301)*(1-$K301)</f>
        <v>0</v>
      </c>
      <c r="DK301" s="3264"/>
      <c r="DO301" s="3329">
        <f>DO466</f>
        <v>640830574</v>
      </c>
      <c r="DP301" s="3236">
        <f>VLOOKUP($E301,DO$442:DR$453,2,FALSE)*DO301*($K301)+IF($G301&lt;&gt;0,($H301/$G301)*DO301,0)*(1-$K301)</f>
        <v>640830574</v>
      </c>
      <c r="DQ301" s="3236">
        <f>VLOOKUP($E301,DO$442:DR$453,3,FALSE)*DO301*($K301)+IF($G301&lt;&gt;0,($I301/$G301)*DO301,0)*(1-$K301)</f>
        <v>0</v>
      </c>
      <c r="DR301" s="3236">
        <f>VLOOKUP($E301,DO$442:DR$453,4,FALSE)*DO301*($K301)+(DO301-DP301-DQ301)*(1-$K301)</f>
        <v>0</v>
      </c>
      <c r="DS301" s="3264"/>
      <c r="DW301" s="3329">
        <f>DW466</f>
        <v>640830574</v>
      </c>
      <c r="DX301" s="3236">
        <f>VLOOKUP($E301,DW$442:DZ$453,2,FALSE)*DW301*($K301)+IF($G301&lt;&gt;0,($H301/$G301)*DW301,0)*(1-$K301)</f>
        <v>640830574</v>
      </c>
      <c r="DY301" s="3236">
        <f>VLOOKUP($E301,DW$442:DZ$453,3,FALSE)*DW301*($K301)+IF($G301&lt;&gt;0,($I301/$G301)*DW301,0)*(1-$K301)</f>
        <v>0</v>
      </c>
      <c r="DZ301" s="3236">
        <f>VLOOKUP($E301,DW$442:DZ$453,4,FALSE)*DW301*($K301)+(DW301-DX301-DY301)*(1-$K301)</f>
        <v>0</v>
      </c>
      <c r="EA301" s="3264"/>
      <c r="EE301" s="3329">
        <f>EE466</f>
        <v>640830574</v>
      </c>
      <c r="EF301" s="3236">
        <f>VLOOKUP($E301,EE$442:EH$453,2,FALSE)*EE301*($K301)+IF($G301&lt;&gt;0,($H301/$G301)*EE301,0)*(1-$K301)</f>
        <v>640830574</v>
      </c>
      <c r="EG301" s="3236">
        <f>VLOOKUP($E301,EE$442:EH$453,3,FALSE)*EE301*($K301)+IF($G301&lt;&gt;0,($I301/$G301)*EE301,0)*(1-$K301)</f>
        <v>0</v>
      </c>
      <c r="EH301" s="3236">
        <f>VLOOKUP($E301,EE$442:EH$453,4,FALSE)*EE301*($K301)+(EE301-EF301-EG301)*(1-$K301)</f>
        <v>0</v>
      </c>
      <c r="EI301" s="3264"/>
      <c r="EM301" s="3329">
        <f>EM466</f>
        <v>640830574</v>
      </c>
      <c r="EN301" s="3236">
        <f>VLOOKUP($E301,EM$442:EP$453,2,FALSE)*EM301*($K301)+IF($G301&lt;&gt;0,($H301/$G301)*EM301,0)*(1-$K301)</f>
        <v>640830574</v>
      </c>
      <c r="EO301" s="3236">
        <f>VLOOKUP($E301,EM$442:EP$453,3,FALSE)*EM301*($K301)+IF($G301&lt;&gt;0,($I301/$G301)*EM301,0)*(1-$K301)</f>
        <v>0</v>
      </c>
      <c r="EP301" s="3236">
        <f>VLOOKUP($E301,EM$442:EP$453,4,FALSE)*EM301*($K301)+(EM301-EN301-EO301)*(1-$K301)</f>
        <v>0</v>
      </c>
      <c r="EQ301" s="3264"/>
      <c r="EU301" s="3329">
        <f>EU466</f>
        <v>640830574</v>
      </c>
      <c r="EV301" s="3236">
        <f>VLOOKUP($E301,EU$442:EX$453,2,FALSE)*EU301*($K301)+IF($G301&lt;&gt;0,($H301/$G301)*EU301,0)*(1-$K301)</f>
        <v>640830574</v>
      </c>
      <c r="EW301" s="3236">
        <f>VLOOKUP($E301,EU$442:EX$453,3,FALSE)*EU301*($K301)+IF($G301&lt;&gt;0,($I301/$G301)*EU301,0)*(1-$K301)</f>
        <v>0</v>
      </c>
      <c r="EX301" s="3236">
        <f>VLOOKUP($E301,EU$442:EX$453,4,FALSE)*EU301*($K301)+(EU301-EV301-EW301)*(1-$K301)</f>
        <v>0</v>
      </c>
      <c r="EY301" s="3264"/>
      <c r="FC301" s="3329">
        <f>FC466</f>
        <v>640830574</v>
      </c>
      <c r="FD301" s="3236">
        <f>VLOOKUP($E301,FC$442:FF$453,2,FALSE)*FC301*($K301)+IF($G301&lt;&gt;0,($H301/$G301)*FC301,0)*(1-$K301)</f>
        <v>640830574</v>
      </c>
      <c r="FE301" s="3236">
        <f>VLOOKUP($E301,FC$442:FF$453,3,FALSE)*FC301*($K301)+IF($G301&lt;&gt;0,($I301/$G301)*FC301,0)*(1-$K301)</f>
        <v>0</v>
      </c>
      <c r="FF301" s="3236">
        <f>VLOOKUP($E301,FC$442:FF$453,4,FALSE)*FC301*($K301)+(FC301-FD301-FE301)*(1-$K301)</f>
        <v>0</v>
      </c>
      <c r="FG301" s="3264"/>
      <c r="FK301" s="3329">
        <f>FK466</f>
        <v>640830574</v>
      </c>
      <c r="FL301" s="3236">
        <f>VLOOKUP($E301,FK$442:FN$453,2,FALSE)*FK301*($K301)+IF($G301&lt;&gt;0,($H301/$G301)*FK301,0)*(1-$K301)</f>
        <v>640830574</v>
      </c>
      <c r="FM301" s="3236">
        <f>VLOOKUP($E301,FK$442:FN$453,3,FALSE)*FK301*($K301)+IF($G301&lt;&gt;0,($I301/$G301)*FK301,0)*(1-$K301)</f>
        <v>0</v>
      </c>
      <c r="FN301" s="3236">
        <f>VLOOKUP($E301,FK$442:FN$453,4,FALSE)*FK301*($K301)+(FK301-FL301-FM301)*(1-$K301)</f>
        <v>0</v>
      </c>
      <c r="FO301" s="3264"/>
    </row>
    <row r="302" spans="1:171">
      <c r="A302" s="2091" t="s">
        <v>65</v>
      </c>
      <c r="B302" s="2100"/>
      <c r="C302" s="3256"/>
      <c r="D302" s="3257"/>
      <c r="E302" s="3257"/>
      <c r="F302" s="3258"/>
      <c r="G302" s="3265">
        <f>SUM(G301)</f>
        <v>640830574</v>
      </c>
      <c r="H302" s="3265">
        <f>SUM(H301)</f>
        <v>640830574</v>
      </c>
      <c r="I302" s="3265">
        <f>SUM(I301)</f>
        <v>0</v>
      </c>
      <c r="J302" s="3474">
        <f>SUM(J301)</f>
        <v>0</v>
      </c>
      <c r="K302" s="3205"/>
      <c r="O302" s="3306">
        <f>SUM(O301)</f>
        <v>640830574</v>
      </c>
      <c r="P302" s="3356">
        <f>SUM(P301)</f>
        <v>640830574</v>
      </c>
      <c r="Q302" s="3356">
        <f>SUM(Q301)</f>
        <v>0</v>
      </c>
      <c r="R302" s="3356">
        <f>SUM(R301)</f>
        <v>0</v>
      </c>
      <c r="S302" s="3264"/>
      <c r="W302" s="3306">
        <f>SUM(W301)</f>
        <v>640830574</v>
      </c>
      <c r="X302" s="3356">
        <f>SUM(X301)</f>
        <v>640830574</v>
      </c>
      <c r="Y302" s="3356">
        <f>SUM(Y301)</f>
        <v>0</v>
      </c>
      <c r="Z302" s="3356">
        <f>SUM(Z301)</f>
        <v>0</v>
      </c>
      <c r="AA302" s="3264"/>
      <c r="AE302" s="3306">
        <f>SUM(AE301)</f>
        <v>640830574</v>
      </c>
      <c r="AF302" s="3356">
        <f>SUM(AF301)</f>
        <v>640830574</v>
      </c>
      <c r="AG302" s="3356">
        <f>SUM(AG301)</f>
        <v>0</v>
      </c>
      <c r="AH302" s="3356">
        <f>SUM(AH301)</f>
        <v>0</v>
      </c>
      <c r="AI302" s="3264"/>
      <c r="AM302" s="3306">
        <f>SUM(AM301)</f>
        <v>640830574</v>
      </c>
      <c r="AN302" s="3356">
        <f>SUM(AN301)</f>
        <v>640830574</v>
      </c>
      <c r="AO302" s="3356">
        <f>SUM(AO301)</f>
        <v>0</v>
      </c>
      <c r="AP302" s="3356">
        <f>SUM(AP301)</f>
        <v>0</v>
      </c>
      <c r="AQ302" s="3264"/>
      <c r="AU302" s="3306">
        <f>SUM(AU301)</f>
        <v>640830574</v>
      </c>
      <c r="AV302" s="3356">
        <f>SUM(AV301)</f>
        <v>640830574</v>
      </c>
      <c r="AW302" s="3356">
        <f>SUM(AW301)</f>
        <v>0</v>
      </c>
      <c r="AX302" s="3356">
        <f>SUM(AX301)</f>
        <v>0</v>
      </c>
      <c r="AY302" s="3264"/>
      <c r="BC302" s="3306">
        <f>SUM(BC301)</f>
        <v>640830574</v>
      </c>
      <c r="BD302" s="3356">
        <f>SUM(BD301)</f>
        <v>640830574</v>
      </c>
      <c r="BE302" s="3356">
        <f>SUM(BE301)</f>
        <v>0</v>
      </c>
      <c r="BF302" s="3356">
        <f>SUM(BF301)</f>
        <v>0</v>
      </c>
      <c r="BG302" s="3264"/>
      <c r="BK302" s="3306">
        <f>SUM(BK301)</f>
        <v>640830574</v>
      </c>
      <c r="BL302" s="3356">
        <f>SUM(BL301)</f>
        <v>640830574</v>
      </c>
      <c r="BM302" s="3356">
        <f>SUM(BM301)</f>
        <v>0</v>
      </c>
      <c r="BN302" s="3356">
        <f>SUM(BN301)</f>
        <v>0</v>
      </c>
      <c r="BO302" s="3264"/>
      <c r="BS302" s="3306">
        <f>SUM(BS301)</f>
        <v>640830574</v>
      </c>
      <c r="BT302" s="3356">
        <f>SUM(BT301)</f>
        <v>640830574</v>
      </c>
      <c r="BU302" s="3356">
        <f>SUM(BU301)</f>
        <v>0</v>
      </c>
      <c r="BV302" s="3356">
        <f>SUM(BV301)</f>
        <v>0</v>
      </c>
      <c r="BW302" s="3264"/>
      <c r="CA302" s="3306">
        <f>SUM(CA301)</f>
        <v>640830574</v>
      </c>
      <c r="CB302" s="3356">
        <f>SUM(CB301)</f>
        <v>640830574</v>
      </c>
      <c r="CC302" s="3356">
        <f>SUM(CC301)</f>
        <v>0</v>
      </c>
      <c r="CD302" s="3356">
        <f>SUM(CD301)</f>
        <v>0</v>
      </c>
      <c r="CE302" s="3264"/>
      <c r="CI302" s="3306">
        <f>SUM(CI301)</f>
        <v>640830574</v>
      </c>
      <c r="CJ302" s="3356">
        <f>SUM(CJ301)</f>
        <v>640830574</v>
      </c>
      <c r="CK302" s="3356">
        <f>SUM(CK301)</f>
        <v>0</v>
      </c>
      <c r="CL302" s="3356">
        <f>SUM(CL301)</f>
        <v>0</v>
      </c>
      <c r="CM302" s="3264"/>
      <c r="CQ302" s="3306">
        <f>SUM(CQ301)</f>
        <v>640830574</v>
      </c>
      <c r="CR302" s="3356">
        <f>SUM(CR301)</f>
        <v>640830574</v>
      </c>
      <c r="CS302" s="3356">
        <f>SUM(CS301)</f>
        <v>0</v>
      </c>
      <c r="CT302" s="3356">
        <f>SUM(CT301)</f>
        <v>0</v>
      </c>
      <c r="CU302" s="3264"/>
      <c r="CY302" s="3306">
        <f>SUM(CY301)</f>
        <v>640830574</v>
      </c>
      <c r="CZ302" s="3356">
        <f>SUM(CZ301)</f>
        <v>640830574</v>
      </c>
      <c r="DA302" s="3356">
        <f>SUM(DA301)</f>
        <v>0</v>
      </c>
      <c r="DB302" s="3356">
        <f>SUM(DB301)</f>
        <v>0</v>
      </c>
      <c r="DC302" s="3264"/>
      <c r="DG302" s="3306">
        <f>SUM(DG301)</f>
        <v>640830574</v>
      </c>
      <c r="DH302" s="3356">
        <f>SUM(DH301)</f>
        <v>640830574</v>
      </c>
      <c r="DI302" s="3356">
        <f>SUM(DI301)</f>
        <v>0</v>
      </c>
      <c r="DJ302" s="3356">
        <f>SUM(DJ301)</f>
        <v>0</v>
      </c>
      <c r="DK302" s="3264"/>
      <c r="DO302" s="3306">
        <f>SUM(DO301)</f>
        <v>640830574</v>
      </c>
      <c r="DP302" s="3356">
        <f>SUM(DP301)</f>
        <v>640830574</v>
      </c>
      <c r="DQ302" s="3356">
        <f>SUM(DQ301)</f>
        <v>0</v>
      </c>
      <c r="DR302" s="3356">
        <f>SUM(DR301)</f>
        <v>0</v>
      </c>
      <c r="DS302" s="3264"/>
      <c r="DW302" s="3306">
        <f>SUM(DW301)</f>
        <v>640830574</v>
      </c>
      <c r="DX302" s="3356">
        <f>SUM(DX301)</f>
        <v>640830574</v>
      </c>
      <c r="DY302" s="3356">
        <f>SUM(DY301)</f>
        <v>0</v>
      </c>
      <c r="DZ302" s="3356">
        <f>SUM(DZ301)</f>
        <v>0</v>
      </c>
      <c r="EA302" s="3264"/>
      <c r="EE302" s="3306">
        <f>SUM(EE301)</f>
        <v>640830574</v>
      </c>
      <c r="EF302" s="3356">
        <f>SUM(EF301)</f>
        <v>640830574</v>
      </c>
      <c r="EG302" s="3356">
        <f>SUM(EG301)</f>
        <v>0</v>
      </c>
      <c r="EH302" s="3356">
        <f>SUM(EH301)</f>
        <v>0</v>
      </c>
      <c r="EI302" s="3264"/>
      <c r="EM302" s="3306">
        <f>SUM(EM301)</f>
        <v>640830574</v>
      </c>
      <c r="EN302" s="3356">
        <f>SUM(EN301)</f>
        <v>640830574</v>
      </c>
      <c r="EO302" s="3356">
        <f>SUM(EO301)</f>
        <v>0</v>
      </c>
      <c r="EP302" s="3356">
        <f>SUM(EP301)</f>
        <v>0</v>
      </c>
      <c r="EQ302" s="3264"/>
      <c r="EU302" s="3306">
        <f>SUM(EU301)</f>
        <v>640830574</v>
      </c>
      <c r="EV302" s="3356">
        <f>SUM(EV301)</f>
        <v>640830574</v>
      </c>
      <c r="EW302" s="3356">
        <f>SUM(EW301)</f>
        <v>0</v>
      </c>
      <c r="EX302" s="3356">
        <f>SUM(EX301)</f>
        <v>0</v>
      </c>
      <c r="EY302" s="3264"/>
      <c r="FC302" s="3306">
        <f>SUM(FC301)</f>
        <v>640830574</v>
      </c>
      <c r="FD302" s="3356">
        <f>SUM(FD301)</f>
        <v>640830574</v>
      </c>
      <c r="FE302" s="3356">
        <f>SUM(FE301)</f>
        <v>0</v>
      </c>
      <c r="FF302" s="3356">
        <f>SUM(FF301)</f>
        <v>0</v>
      </c>
      <c r="FG302" s="3264"/>
      <c r="FK302" s="3306">
        <f>SUM(FK301)</f>
        <v>640830574</v>
      </c>
      <c r="FL302" s="3356">
        <f>SUM(FL301)</f>
        <v>640830574</v>
      </c>
      <c r="FM302" s="3356">
        <f>SUM(FM301)</f>
        <v>0</v>
      </c>
      <c r="FN302" s="3356">
        <f>SUM(FN301)</f>
        <v>0</v>
      </c>
      <c r="FO302" s="3264"/>
    </row>
    <row r="303" spans="1:171">
      <c r="A303" s="2260"/>
      <c r="B303" s="2100"/>
      <c r="C303" s="2116"/>
      <c r="D303" s="2116"/>
      <c r="E303" s="2116"/>
      <c r="F303" s="2116"/>
      <c r="G303" s="2181"/>
      <c r="H303" s="2181"/>
      <c r="I303" s="2181"/>
      <c r="J303" s="2200"/>
      <c r="K303" s="3205"/>
      <c r="S303" s="3264"/>
      <c r="AA303" s="3264"/>
      <c r="AI303" s="3264"/>
      <c r="AQ303" s="3264"/>
      <c r="AY303" s="3264"/>
      <c r="BG303" s="3264"/>
      <c r="BO303" s="3264"/>
      <c r="BW303" s="3264"/>
      <c r="CE303" s="3264"/>
      <c r="CM303" s="3264"/>
      <c r="CU303" s="3264"/>
      <c r="DC303" s="3264"/>
      <c r="DK303" s="3264"/>
      <c r="DS303" s="3264"/>
      <c r="EA303" s="3264"/>
      <c r="EI303" s="3264"/>
      <c r="EQ303" s="3264"/>
      <c r="EY303" s="3264"/>
      <c r="FG303" s="3264"/>
      <c r="FO303" s="3264"/>
    </row>
    <row r="304" spans="1:171">
      <c r="A304" s="2096" t="s">
        <v>43</v>
      </c>
      <c r="B304" s="2100"/>
      <c r="C304" s="2116"/>
      <c r="D304" s="2116"/>
      <c r="E304" s="2116"/>
      <c r="F304" s="2116"/>
      <c r="G304" s="2181"/>
      <c r="H304" s="2181"/>
      <c r="I304" s="2181"/>
      <c r="J304" s="2200"/>
      <c r="K304" s="3205"/>
      <c r="S304" s="3264"/>
      <c r="AA304" s="3264"/>
      <c r="AI304" s="3264"/>
      <c r="AQ304" s="3264"/>
      <c r="AY304" s="3264"/>
      <c r="BG304" s="3264"/>
      <c r="BO304" s="3264"/>
      <c r="BW304" s="3264"/>
      <c r="CE304" s="3264"/>
      <c r="CM304" s="3264"/>
      <c r="CU304" s="3264"/>
      <c r="DC304" s="3264"/>
      <c r="DK304" s="3264"/>
      <c r="DS304" s="3264"/>
      <c r="EA304" s="3264"/>
      <c r="EI304" s="3264"/>
      <c r="EQ304" s="3264"/>
      <c r="EY304" s="3264"/>
      <c r="FG304" s="3264"/>
      <c r="FO304" s="3264"/>
    </row>
    <row r="305" spans="1:171">
      <c r="A305" s="2092"/>
      <c r="B305" s="2290" t="s">
        <v>325</v>
      </c>
      <c r="C305" s="2464">
        <v>300</v>
      </c>
      <c r="D305" s="2171">
        <v>450</v>
      </c>
      <c r="E305" s="2424" t="str">
        <f>'Sch 3B - Other Items'!E29</f>
        <v>DIST</v>
      </c>
      <c r="F305" s="2171"/>
      <c r="G305" s="2424">
        <f>'Sch 3B - Other Items'!G29</f>
        <v>-758</v>
      </c>
      <c r="H305" s="2424">
        <f>'Sch 3B - Other Items'!H29</f>
        <v>0</v>
      </c>
      <c r="I305" s="2424">
        <f>'Sch 3B - Other Items'!I29</f>
        <v>0</v>
      </c>
      <c r="J305" s="3465">
        <f>'Sch 3B - Other Items'!J29</f>
        <v>-758</v>
      </c>
      <c r="K305" s="3205">
        <f t="shared" ref="K305:K311" si="892">IF($E305="DIRECT",0,1)</f>
        <v>1</v>
      </c>
      <c r="O305" s="3235">
        <f>$G305</f>
        <v>-758</v>
      </c>
      <c r="P305" s="3236">
        <f t="shared" ref="P305:P311" si="893">VLOOKUP($E305,O$442:R$453,2,FALSE)*O305*($K305)+IF($G305&lt;&gt;0,($H305/$G305)*O305,0)*(1-$K305)</f>
        <v>0</v>
      </c>
      <c r="Q305" s="3236">
        <f t="shared" ref="Q305:Q311" si="894">VLOOKUP($E305,O$442:R$453,3,FALSE)*O305*($K305)+IF($G305&lt;&gt;0,($I305/$G305)*O305,0)*(1-$K305)</f>
        <v>0</v>
      </c>
      <c r="R305" s="3236">
        <f t="shared" ref="R305:R311" si="895">VLOOKUP($E305,O$442:R$453,4,FALSE)*O305*($K305)+(O305-P305-Q305)*(1-$K305)</f>
        <v>-758</v>
      </c>
      <c r="S305" s="3264"/>
      <c r="W305" s="3235">
        <f>$G305</f>
        <v>-758</v>
      </c>
      <c r="X305" s="3236">
        <f t="shared" ref="X305:X311" si="896">VLOOKUP($E305,W$442:Z$453,2,FALSE)*W305*($K305)+IF($G305&lt;&gt;0,($H305/$G305)*W305,0)*(1-$K305)</f>
        <v>0</v>
      </c>
      <c r="Y305" s="3236">
        <f t="shared" ref="Y305:Y311" si="897">VLOOKUP($E305,W$442:Z$453,3,FALSE)*W305*($K305)+IF($G305&lt;&gt;0,($I305/$G305)*W305,0)*(1-$K305)</f>
        <v>0</v>
      </c>
      <c r="Z305" s="3236">
        <f t="shared" ref="Z305:Z311" si="898">VLOOKUP($E305,W$442:Z$453,4,FALSE)*W305*($K305)+(W305-X305-Y305)*(1-$K305)</f>
        <v>-758</v>
      </c>
      <c r="AA305" s="3264"/>
      <c r="AE305" s="3235">
        <f>$G305</f>
        <v>-758</v>
      </c>
      <c r="AF305" s="3236">
        <f t="shared" ref="AF305:AF311" si="899">VLOOKUP($E305,AE$442:AH$453,2,FALSE)*AE305*($K305)+IF($G305&lt;&gt;0,($H305/$G305)*AE305,0)*(1-$K305)</f>
        <v>0</v>
      </c>
      <c r="AG305" s="3236">
        <f t="shared" ref="AG305:AG311" si="900">VLOOKUP($E305,AE$442:AH$453,3,FALSE)*AE305*($K305)+IF($G305&lt;&gt;0,($I305/$G305)*AE305,0)*(1-$K305)</f>
        <v>0</v>
      </c>
      <c r="AH305" s="3236">
        <f t="shared" ref="AH305:AH311" si="901">VLOOKUP($E305,AE$442:AH$453,4,FALSE)*AE305*($K305)+(AE305-AF305-AG305)*(1-$K305)</f>
        <v>-758</v>
      </c>
      <c r="AI305" s="3264"/>
      <c r="AM305" s="3235">
        <f>$G305</f>
        <v>-758</v>
      </c>
      <c r="AN305" s="3236">
        <f t="shared" ref="AN305:AN311" si="902">VLOOKUP($E305,AM$442:AP$453,2,FALSE)*AM305*($K305)+IF($G305&lt;&gt;0,($H305/$G305)*AM305,0)*(1-$K305)</f>
        <v>0</v>
      </c>
      <c r="AO305" s="3236">
        <f t="shared" ref="AO305:AO311" si="903">VLOOKUP($E305,AM$442:AP$453,3,FALSE)*AM305*($K305)+IF($G305&lt;&gt;0,($I305/$G305)*AM305,0)*(1-$K305)</f>
        <v>0</v>
      </c>
      <c r="AP305" s="3236">
        <f t="shared" ref="AP305:AP311" si="904">VLOOKUP($E305,AM$442:AP$453,4,FALSE)*AM305*($K305)+(AM305-AN305-AO305)*(1-$K305)</f>
        <v>-758</v>
      </c>
      <c r="AQ305" s="3264"/>
      <c r="AU305" s="3235">
        <f>$G305</f>
        <v>-758</v>
      </c>
      <c r="AV305" s="3236">
        <f t="shared" ref="AV305:AV311" si="905">VLOOKUP($E305,AU$442:AX$453,2,FALSE)*AU305*($K305)+IF($G305&lt;&gt;0,($H305/$G305)*AU305,0)*(1-$K305)</f>
        <v>0</v>
      </c>
      <c r="AW305" s="3236">
        <f t="shared" ref="AW305:AW311" si="906">VLOOKUP($E305,AU$442:AX$453,3,FALSE)*AU305*($K305)+IF($G305&lt;&gt;0,($I305/$G305)*AU305,0)*(1-$K305)</f>
        <v>0</v>
      </c>
      <c r="AX305" s="3236">
        <f t="shared" ref="AX305:AX311" si="907">VLOOKUP($E305,AU$442:AX$453,4,FALSE)*AU305*($K305)+(AU305-AV305-AW305)*(1-$K305)</f>
        <v>-758</v>
      </c>
      <c r="AY305" s="3264"/>
      <c r="BC305" s="3235">
        <f>$G305</f>
        <v>-758</v>
      </c>
      <c r="BD305" s="3236">
        <f t="shared" ref="BD305:BD311" si="908">VLOOKUP($E305,BC$442:BF$453,2,FALSE)*BC305*($K305)+IF($G305&lt;&gt;0,($H305/$G305)*BC305,0)*(1-$K305)</f>
        <v>0</v>
      </c>
      <c r="BE305" s="3236">
        <f t="shared" ref="BE305:BE311" si="909">VLOOKUP($E305,BC$442:BF$453,3,FALSE)*BC305*($K305)+IF($G305&lt;&gt;0,($I305/$G305)*BC305,0)*(1-$K305)</f>
        <v>0</v>
      </c>
      <c r="BF305" s="3236">
        <f t="shared" ref="BF305:BF311" si="910">VLOOKUP($E305,BC$442:BF$453,4,FALSE)*BC305*($K305)+(BC305-BD305-BE305)*(1-$K305)</f>
        <v>-758</v>
      </c>
      <c r="BG305" s="3264"/>
      <c r="BK305" s="3235">
        <f>$G305</f>
        <v>-758</v>
      </c>
      <c r="BL305" s="3236">
        <f t="shared" ref="BL305:BL311" si="911">VLOOKUP($E305,BK$442:BN$453,2,FALSE)*BK305*($K305)+IF($G305&lt;&gt;0,($H305/$G305)*BK305,0)*(1-$K305)</f>
        <v>0</v>
      </c>
      <c r="BM305" s="3236">
        <f t="shared" ref="BM305:BM311" si="912">VLOOKUP($E305,BK$442:BN$453,3,FALSE)*BK305*($K305)+IF($G305&lt;&gt;0,($I305/$G305)*BK305,0)*(1-$K305)</f>
        <v>0</v>
      </c>
      <c r="BN305" s="3236">
        <f t="shared" ref="BN305:BN311" si="913">VLOOKUP($E305,BK$442:BN$453,4,FALSE)*BK305*($K305)+(BK305-BL305-BM305)*(1-$K305)</f>
        <v>-758</v>
      </c>
      <c r="BO305" s="3264"/>
      <c r="BS305" s="3235">
        <f>$G305</f>
        <v>-758</v>
      </c>
      <c r="BT305" s="3236">
        <f t="shared" ref="BT305:BT311" si="914">VLOOKUP($E305,BS$442:BV$453,2,FALSE)*BS305*($K305)+IF($G305&lt;&gt;0,($H305/$G305)*BS305,0)*(1-$K305)</f>
        <v>0</v>
      </c>
      <c r="BU305" s="3236">
        <f t="shared" ref="BU305:BU311" si="915">VLOOKUP($E305,BS$442:BV$453,3,FALSE)*BS305*($K305)+IF($G305&lt;&gt;0,($I305/$G305)*BS305,0)*(1-$K305)</f>
        <v>0</v>
      </c>
      <c r="BV305" s="3236">
        <f t="shared" ref="BV305:BV311" si="916">VLOOKUP($E305,BS$442:BV$453,4,FALSE)*BS305*($K305)+(BS305-BT305-BU305)*(1-$K305)</f>
        <v>-758</v>
      </c>
      <c r="BW305" s="3264"/>
      <c r="CA305" s="3235">
        <f>$G305</f>
        <v>-758</v>
      </c>
      <c r="CB305" s="3236">
        <f t="shared" ref="CB305:CB311" si="917">VLOOKUP($E305,CA$442:CD$453,2,FALSE)*CA305*($K305)+IF($G305&lt;&gt;0,($H305/$G305)*CA305,0)*(1-$K305)</f>
        <v>0</v>
      </c>
      <c r="CC305" s="3236">
        <f t="shared" ref="CC305:CC311" si="918">VLOOKUP($E305,CA$442:CD$453,3,FALSE)*CA305*($K305)+IF($G305&lt;&gt;0,($I305/$G305)*CA305,0)*(1-$K305)</f>
        <v>0</v>
      </c>
      <c r="CD305" s="3236">
        <f t="shared" ref="CD305:CD311" si="919">VLOOKUP($E305,CA$442:CD$453,4,FALSE)*CA305*($K305)+(CA305-CB305-CC305)*(1-$K305)</f>
        <v>-758</v>
      </c>
      <c r="CE305" s="3264"/>
      <c r="CI305" s="3235">
        <f>$G305</f>
        <v>-758</v>
      </c>
      <c r="CJ305" s="3236">
        <f t="shared" ref="CJ305:CJ311" si="920">VLOOKUP($E305,CI$442:CL$453,2,FALSE)*CI305*($K305)+IF($G305&lt;&gt;0,($H305/$G305)*CI305,0)*(1-$K305)</f>
        <v>0</v>
      </c>
      <c r="CK305" s="3236">
        <f t="shared" ref="CK305:CK311" si="921">VLOOKUP($E305,CI$442:CL$453,3,FALSE)*CI305*($K305)+IF($G305&lt;&gt;0,($I305/$G305)*CI305,0)*(1-$K305)</f>
        <v>0</v>
      </c>
      <c r="CL305" s="3236">
        <f t="shared" ref="CL305:CL311" si="922">VLOOKUP($E305,CI$442:CL$453,4,FALSE)*CI305*($K305)+(CI305-CJ305-CK305)*(1-$K305)</f>
        <v>-758</v>
      </c>
      <c r="CM305" s="3264"/>
      <c r="CQ305" s="3235">
        <f>$G305</f>
        <v>-758</v>
      </c>
      <c r="CR305" s="3236">
        <f t="shared" ref="CR305:CR311" si="923">VLOOKUP($E305,CQ$442:CT$453,2,FALSE)*CQ305*($K305)+IF($G305&lt;&gt;0,($H305/$G305)*CQ305,0)*(1-$K305)</f>
        <v>0</v>
      </c>
      <c r="CS305" s="3236">
        <f t="shared" ref="CS305:CS311" si="924">VLOOKUP($E305,CQ$442:CT$453,3,FALSE)*CQ305*($K305)+IF($G305&lt;&gt;0,($I305/$G305)*CQ305,0)*(1-$K305)</f>
        <v>0</v>
      </c>
      <c r="CT305" s="3236">
        <f t="shared" ref="CT305:CT311" si="925">VLOOKUP($E305,CQ$442:CT$453,4,FALSE)*CQ305*($K305)+(CQ305-CR305-CS305)*(1-$K305)</f>
        <v>-758</v>
      </c>
      <c r="CU305" s="3264"/>
      <c r="CY305" s="3235">
        <f>$G305</f>
        <v>-758</v>
      </c>
      <c r="CZ305" s="3236">
        <f t="shared" ref="CZ305:CZ311" si="926">VLOOKUP($E305,CY$442:DB$453,2,FALSE)*CY305*($K305)+IF($G305&lt;&gt;0,($H305/$G305)*CY305,0)*(1-$K305)</f>
        <v>0</v>
      </c>
      <c r="DA305" s="3236">
        <f t="shared" ref="DA305:DA311" si="927">VLOOKUP($E305,CY$442:DB$453,3,FALSE)*CY305*($K305)+IF($G305&lt;&gt;0,($I305/$G305)*CY305,0)*(1-$K305)</f>
        <v>0</v>
      </c>
      <c r="DB305" s="3236">
        <f t="shared" ref="DB305:DB311" si="928">VLOOKUP($E305,CY$442:DB$453,4,FALSE)*CY305*($K305)+(CY305-CZ305-DA305)*(1-$K305)</f>
        <v>-758</v>
      </c>
      <c r="DC305" s="3264"/>
      <c r="DG305" s="3235">
        <f>$G305</f>
        <v>-758</v>
      </c>
      <c r="DH305" s="3236">
        <f t="shared" ref="DH305:DH311" si="929">VLOOKUP($E305,DG$442:DJ$453,2,FALSE)*DG305*($K305)+IF($G305&lt;&gt;0,($H305/$G305)*DG305,0)*(1-$K305)</f>
        <v>0</v>
      </c>
      <c r="DI305" s="3236">
        <f t="shared" ref="DI305:DI311" si="930">VLOOKUP($E305,DG$442:DJ$453,3,FALSE)*DG305*($K305)+IF($G305&lt;&gt;0,($I305/$G305)*DG305,0)*(1-$K305)</f>
        <v>0</v>
      </c>
      <c r="DJ305" s="3236">
        <f t="shared" ref="DJ305:DJ311" si="931">VLOOKUP($E305,DG$442:DJ$453,4,FALSE)*DG305*($K305)+(DG305-DH305-DI305)*(1-$K305)</f>
        <v>-758</v>
      </c>
      <c r="DK305" s="3264"/>
      <c r="DO305" s="3235">
        <f>$G305</f>
        <v>-758</v>
      </c>
      <c r="DP305" s="3236">
        <f t="shared" ref="DP305:DP311" si="932">VLOOKUP($E305,DO$442:DR$453,2,FALSE)*DO305*($K305)+IF($G305&lt;&gt;0,($H305/$G305)*DO305,0)*(1-$K305)</f>
        <v>0</v>
      </c>
      <c r="DQ305" s="3236">
        <f t="shared" ref="DQ305:DQ311" si="933">VLOOKUP($E305,DO$442:DR$453,3,FALSE)*DO305*($K305)+IF($G305&lt;&gt;0,($I305/$G305)*DO305,0)*(1-$K305)</f>
        <v>0</v>
      </c>
      <c r="DR305" s="3236">
        <f t="shared" ref="DR305:DR311" si="934">VLOOKUP($E305,DO$442:DR$453,4,FALSE)*DO305*($K305)+(DO305-DP305-DQ305)*(1-$K305)</f>
        <v>-758</v>
      </c>
      <c r="DS305" s="3264"/>
      <c r="DW305" s="3235">
        <f>$G305</f>
        <v>-758</v>
      </c>
      <c r="DX305" s="3236">
        <f t="shared" ref="DX305:DX311" si="935">VLOOKUP($E305,DW$442:DZ$453,2,FALSE)*DW305*($K305)+IF($G305&lt;&gt;0,($H305/$G305)*DW305,0)*(1-$K305)</f>
        <v>0</v>
      </c>
      <c r="DY305" s="3236">
        <f t="shared" ref="DY305:DY311" si="936">VLOOKUP($E305,DW$442:DZ$453,3,FALSE)*DW305*($K305)+IF($G305&lt;&gt;0,($I305/$G305)*DW305,0)*(1-$K305)</f>
        <v>0</v>
      </c>
      <c r="DZ305" s="3236">
        <f t="shared" ref="DZ305:DZ311" si="937">VLOOKUP($E305,DW$442:DZ$453,4,FALSE)*DW305*($K305)+(DW305-DX305-DY305)*(1-$K305)</f>
        <v>-758</v>
      </c>
      <c r="EA305" s="3264"/>
      <c r="EE305" s="3235">
        <f>$G305</f>
        <v>-758</v>
      </c>
      <c r="EF305" s="3236">
        <f t="shared" ref="EF305:EF311" si="938">VLOOKUP($E305,EE$442:EH$453,2,FALSE)*EE305*($K305)+IF($G305&lt;&gt;0,($H305/$G305)*EE305,0)*(1-$K305)</f>
        <v>0</v>
      </c>
      <c r="EG305" s="3236">
        <f t="shared" ref="EG305:EG311" si="939">VLOOKUP($E305,EE$442:EH$453,3,FALSE)*EE305*($K305)+IF($G305&lt;&gt;0,($I305/$G305)*EE305,0)*(1-$K305)</f>
        <v>0</v>
      </c>
      <c r="EH305" s="3236">
        <f t="shared" ref="EH305:EH311" si="940">VLOOKUP($E305,EE$442:EH$453,4,FALSE)*EE305*($K305)+(EE305-EF305-EG305)*(1-$K305)</f>
        <v>-758</v>
      </c>
      <c r="EI305" s="3264"/>
      <c r="EM305" s="3235">
        <f>$G305</f>
        <v>-758</v>
      </c>
      <c r="EN305" s="3236">
        <f t="shared" ref="EN305:EN311" si="941">VLOOKUP($E305,EM$442:EP$453,2,FALSE)*EM305*($K305)+IF($G305&lt;&gt;0,($H305/$G305)*EM305,0)*(1-$K305)</f>
        <v>0</v>
      </c>
      <c r="EO305" s="3236">
        <f t="shared" ref="EO305:EO311" si="942">VLOOKUP($E305,EM$442:EP$453,3,FALSE)*EM305*($K305)+IF($G305&lt;&gt;0,($I305/$G305)*EM305,0)*(1-$K305)</f>
        <v>0</v>
      </c>
      <c r="EP305" s="3236">
        <f t="shared" ref="EP305:EP311" si="943">VLOOKUP($E305,EM$442:EP$453,4,FALSE)*EM305*($K305)+(EM305-EN305-EO305)*(1-$K305)</f>
        <v>-758</v>
      </c>
      <c r="EQ305" s="3264"/>
      <c r="EU305" s="3235">
        <f>$G305</f>
        <v>-758</v>
      </c>
      <c r="EV305" s="3236">
        <f t="shared" ref="EV305:EV311" si="944">VLOOKUP($E305,EU$442:EX$453,2,FALSE)*EU305*($K305)+IF($G305&lt;&gt;0,($H305/$G305)*EU305,0)*(1-$K305)</f>
        <v>0</v>
      </c>
      <c r="EW305" s="3236">
        <f t="shared" ref="EW305:EW311" si="945">VLOOKUP($E305,EU$442:EX$453,3,FALSE)*EU305*($K305)+IF($G305&lt;&gt;0,($I305/$G305)*EU305,0)*(1-$K305)</f>
        <v>0</v>
      </c>
      <c r="EX305" s="3236">
        <f t="shared" ref="EX305:EX311" si="946">VLOOKUP($E305,EU$442:EX$453,4,FALSE)*EU305*($K305)+(EU305-EV305-EW305)*(1-$K305)</f>
        <v>-758</v>
      </c>
      <c r="EY305" s="3264"/>
      <c r="FC305" s="3235">
        <f>$G305</f>
        <v>-758</v>
      </c>
      <c r="FD305" s="3236">
        <f t="shared" ref="FD305:FD311" si="947">VLOOKUP($E305,FC$442:FF$453,2,FALSE)*FC305*($K305)+IF($G305&lt;&gt;0,($H305/$G305)*FC305,0)*(1-$K305)</f>
        <v>0</v>
      </c>
      <c r="FE305" s="3236">
        <f t="shared" ref="FE305:FE311" si="948">VLOOKUP($E305,FC$442:FF$453,3,FALSE)*FC305*($K305)+IF($G305&lt;&gt;0,($I305/$G305)*FC305,0)*(1-$K305)</f>
        <v>0</v>
      </c>
      <c r="FF305" s="3236">
        <f t="shared" ref="FF305:FF311" si="949">VLOOKUP($E305,FC$442:FF$453,4,FALSE)*FC305*($K305)+(FC305-FD305-FE305)*(1-$K305)</f>
        <v>-758</v>
      </c>
      <c r="FG305" s="3264"/>
      <c r="FK305" s="3235">
        <f>$G305</f>
        <v>-758</v>
      </c>
      <c r="FL305" s="3236">
        <f t="shared" ref="FL305:FL311" si="950">VLOOKUP($E305,FK$442:FN$453,2,FALSE)*FK305*($K305)+IF($G305&lt;&gt;0,($H305/$G305)*FK305,0)*(1-$K305)</f>
        <v>0</v>
      </c>
      <c r="FM305" s="3236">
        <f t="shared" ref="FM305:FM311" si="951">VLOOKUP($E305,FK$442:FN$453,3,FALSE)*FK305*($K305)+IF($G305&lt;&gt;0,($I305/$G305)*FK305,0)*(1-$K305)</f>
        <v>0</v>
      </c>
      <c r="FN305" s="3236">
        <f t="shared" ref="FN305:FN311" si="952">VLOOKUP($E305,FK$442:FN$453,4,FALSE)*FK305*($K305)+(FK305-FL305-FM305)*(1-$K305)</f>
        <v>-758</v>
      </c>
      <c r="FO305" s="3264"/>
    </row>
    <row r="306" spans="1:171">
      <c r="A306" s="2092"/>
      <c r="B306" s="2290" t="s">
        <v>545</v>
      </c>
      <c r="C306" s="2464">
        <v>300</v>
      </c>
      <c r="D306" s="2171" t="s">
        <v>44</v>
      </c>
      <c r="E306" s="2424" t="str">
        <f>'Sch 3B - Other Items'!E30</f>
        <v>DIST</v>
      </c>
      <c r="F306" s="2171"/>
      <c r="G306" s="2424">
        <f>'Sch 3B - Other Items'!G30</f>
        <v>16254690</v>
      </c>
      <c r="H306" s="2424">
        <f>'Sch 3B - Other Items'!H30</f>
        <v>0</v>
      </c>
      <c r="I306" s="2424">
        <f>'Sch 3B - Other Items'!I30</f>
        <v>0</v>
      </c>
      <c r="J306" s="3465">
        <f>'Sch 3B - Other Items'!J30</f>
        <v>16254690</v>
      </c>
      <c r="K306" s="3205">
        <f t="shared" si="892"/>
        <v>1</v>
      </c>
      <c r="O306" s="3235">
        <f>$G306</f>
        <v>16254690</v>
      </c>
      <c r="P306" s="3236">
        <f t="shared" si="893"/>
        <v>0</v>
      </c>
      <c r="Q306" s="3236">
        <f t="shared" si="894"/>
        <v>0</v>
      </c>
      <c r="R306" s="3236">
        <f t="shared" si="895"/>
        <v>16254690</v>
      </c>
      <c r="S306" s="3264"/>
      <c r="W306" s="3235">
        <f>$G306</f>
        <v>16254690</v>
      </c>
      <c r="X306" s="3236">
        <f t="shared" si="896"/>
        <v>0</v>
      </c>
      <c r="Y306" s="3236">
        <f t="shared" si="897"/>
        <v>0</v>
      </c>
      <c r="Z306" s="3236">
        <f t="shared" si="898"/>
        <v>16254690</v>
      </c>
      <c r="AA306" s="3264"/>
      <c r="AE306" s="3235">
        <f>$G306</f>
        <v>16254690</v>
      </c>
      <c r="AF306" s="3236">
        <f t="shared" si="899"/>
        <v>0</v>
      </c>
      <c r="AG306" s="3236">
        <f t="shared" si="900"/>
        <v>0</v>
      </c>
      <c r="AH306" s="3236">
        <f t="shared" si="901"/>
        <v>16254690</v>
      </c>
      <c r="AI306" s="3264"/>
      <c r="AM306" s="3235">
        <f>$G306</f>
        <v>16254690</v>
      </c>
      <c r="AN306" s="3236">
        <f t="shared" si="902"/>
        <v>0</v>
      </c>
      <c r="AO306" s="3236">
        <f t="shared" si="903"/>
        <v>0</v>
      </c>
      <c r="AP306" s="3236">
        <f t="shared" si="904"/>
        <v>16254690</v>
      </c>
      <c r="AQ306" s="3264"/>
      <c r="AU306" s="3235">
        <f>$G306</f>
        <v>16254690</v>
      </c>
      <c r="AV306" s="3236">
        <f t="shared" si="905"/>
        <v>0</v>
      </c>
      <c r="AW306" s="3236">
        <f t="shared" si="906"/>
        <v>0</v>
      </c>
      <c r="AX306" s="3236">
        <f t="shared" si="907"/>
        <v>16254690</v>
      </c>
      <c r="AY306" s="3264"/>
      <c r="BC306" s="3235">
        <f>$G306</f>
        <v>16254690</v>
      </c>
      <c r="BD306" s="3236">
        <f t="shared" si="908"/>
        <v>0</v>
      </c>
      <c r="BE306" s="3236">
        <f t="shared" si="909"/>
        <v>0</v>
      </c>
      <c r="BF306" s="3236">
        <f t="shared" si="910"/>
        <v>16254690</v>
      </c>
      <c r="BG306" s="3264"/>
      <c r="BK306" s="3235">
        <f>$G306</f>
        <v>16254690</v>
      </c>
      <c r="BL306" s="3236">
        <f t="shared" si="911"/>
        <v>0</v>
      </c>
      <c r="BM306" s="3236">
        <f t="shared" si="912"/>
        <v>0</v>
      </c>
      <c r="BN306" s="3236">
        <f t="shared" si="913"/>
        <v>16254690</v>
      </c>
      <c r="BO306" s="3264"/>
      <c r="BS306" s="3235">
        <f>$G306</f>
        <v>16254690</v>
      </c>
      <c r="BT306" s="3236">
        <f t="shared" si="914"/>
        <v>0</v>
      </c>
      <c r="BU306" s="3236">
        <f t="shared" si="915"/>
        <v>0</v>
      </c>
      <c r="BV306" s="3236">
        <f t="shared" si="916"/>
        <v>16254690</v>
      </c>
      <c r="BW306" s="3264"/>
      <c r="CA306" s="3235">
        <f>$G306</f>
        <v>16254690</v>
      </c>
      <c r="CB306" s="3236">
        <f t="shared" si="917"/>
        <v>0</v>
      </c>
      <c r="CC306" s="3236">
        <f t="shared" si="918"/>
        <v>0</v>
      </c>
      <c r="CD306" s="3236">
        <f t="shared" si="919"/>
        <v>16254690</v>
      </c>
      <c r="CE306" s="3264"/>
      <c r="CI306" s="3235">
        <f>$G306</f>
        <v>16254690</v>
      </c>
      <c r="CJ306" s="3236">
        <f t="shared" si="920"/>
        <v>0</v>
      </c>
      <c r="CK306" s="3236">
        <f t="shared" si="921"/>
        <v>0</v>
      </c>
      <c r="CL306" s="3236">
        <f t="shared" si="922"/>
        <v>16254690</v>
      </c>
      <c r="CM306" s="3264"/>
      <c r="CQ306" s="3235">
        <f>$G306</f>
        <v>16254690</v>
      </c>
      <c r="CR306" s="3236">
        <f t="shared" si="923"/>
        <v>0</v>
      </c>
      <c r="CS306" s="3236">
        <f t="shared" si="924"/>
        <v>0</v>
      </c>
      <c r="CT306" s="3236">
        <f t="shared" si="925"/>
        <v>16254690</v>
      </c>
      <c r="CU306" s="3264"/>
      <c r="CY306" s="3235">
        <f>$G306</f>
        <v>16254690</v>
      </c>
      <c r="CZ306" s="3236">
        <f t="shared" si="926"/>
        <v>0</v>
      </c>
      <c r="DA306" s="3236">
        <f t="shared" si="927"/>
        <v>0</v>
      </c>
      <c r="DB306" s="3236">
        <f t="shared" si="928"/>
        <v>16254690</v>
      </c>
      <c r="DC306" s="3264"/>
      <c r="DG306" s="3235">
        <f>$G306</f>
        <v>16254690</v>
      </c>
      <c r="DH306" s="3236">
        <f t="shared" si="929"/>
        <v>0</v>
      </c>
      <c r="DI306" s="3236">
        <f t="shared" si="930"/>
        <v>0</v>
      </c>
      <c r="DJ306" s="3236">
        <f t="shared" si="931"/>
        <v>16254690</v>
      </c>
      <c r="DK306" s="3264"/>
      <c r="DO306" s="3235">
        <f>$G306</f>
        <v>16254690</v>
      </c>
      <c r="DP306" s="3236">
        <f t="shared" si="932"/>
        <v>0</v>
      </c>
      <c r="DQ306" s="3236">
        <f t="shared" si="933"/>
        <v>0</v>
      </c>
      <c r="DR306" s="3236">
        <f t="shared" si="934"/>
        <v>16254690</v>
      </c>
      <c r="DS306" s="3264"/>
      <c r="DW306" s="3235">
        <f>$G306</f>
        <v>16254690</v>
      </c>
      <c r="DX306" s="3236">
        <f t="shared" si="935"/>
        <v>0</v>
      </c>
      <c r="DY306" s="3236">
        <f t="shared" si="936"/>
        <v>0</v>
      </c>
      <c r="DZ306" s="3236">
        <f t="shared" si="937"/>
        <v>16254690</v>
      </c>
      <c r="EA306" s="3264"/>
      <c r="EE306" s="3235">
        <f>$G306</f>
        <v>16254690</v>
      </c>
      <c r="EF306" s="3236">
        <f t="shared" si="938"/>
        <v>0</v>
      </c>
      <c r="EG306" s="3236">
        <f t="shared" si="939"/>
        <v>0</v>
      </c>
      <c r="EH306" s="3236">
        <f t="shared" si="940"/>
        <v>16254690</v>
      </c>
      <c r="EI306" s="3264"/>
      <c r="EM306" s="3235">
        <f>$G306</f>
        <v>16254690</v>
      </c>
      <c r="EN306" s="3236">
        <f t="shared" si="941"/>
        <v>0</v>
      </c>
      <c r="EO306" s="3236">
        <f t="shared" si="942"/>
        <v>0</v>
      </c>
      <c r="EP306" s="3236">
        <f t="shared" si="943"/>
        <v>16254690</v>
      </c>
      <c r="EQ306" s="3264"/>
      <c r="EU306" s="3235">
        <f>$G306</f>
        <v>16254690</v>
      </c>
      <c r="EV306" s="3236">
        <f t="shared" si="944"/>
        <v>0</v>
      </c>
      <c r="EW306" s="3236">
        <f t="shared" si="945"/>
        <v>0</v>
      </c>
      <c r="EX306" s="3236">
        <f t="shared" si="946"/>
        <v>16254690</v>
      </c>
      <c r="EY306" s="3264"/>
      <c r="FC306" s="3235">
        <f>$G306</f>
        <v>16254690</v>
      </c>
      <c r="FD306" s="3236">
        <f t="shared" si="947"/>
        <v>0</v>
      </c>
      <c r="FE306" s="3236">
        <f t="shared" si="948"/>
        <v>0</v>
      </c>
      <c r="FF306" s="3236">
        <f t="shared" si="949"/>
        <v>16254690</v>
      </c>
      <c r="FG306" s="3264"/>
      <c r="FK306" s="3235">
        <f>$G306</f>
        <v>16254690</v>
      </c>
      <c r="FL306" s="3236">
        <f t="shared" si="950"/>
        <v>0</v>
      </c>
      <c r="FM306" s="3236">
        <f t="shared" si="951"/>
        <v>0</v>
      </c>
      <c r="FN306" s="3236">
        <f t="shared" si="952"/>
        <v>16254690</v>
      </c>
      <c r="FO306" s="3264"/>
    </row>
    <row r="307" spans="1:171">
      <c r="A307" s="2092"/>
      <c r="B307" s="2290" t="s">
        <v>544</v>
      </c>
      <c r="C307" s="2464">
        <v>300</v>
      </c>
      <c r="D307" s="2171" t="s">
        <v>45</v>
      </c>
      <c r="E307" s="2424" t="str">
        <f>'Sch 3B - Other Items'!E31</f>
        <v>PROD</v>
      </c>
      <c r="F307" s="2171"/>
      <c r="G307" s="2424">
        <f>'Sch 3B - Other Items'!G31</f>
        <v>0</v>
      </c>
      <c r="H307" s="2424">
        <f>'Sch 3B - Other Items'!H31</f>
        <v>0</v>
      </c>
      <c r="I307" s="2424">
        <f>'Sch 3B - Other Items'!I31</f>
        <v>0</v>
      </c>
      <c r="J307" s="3465">
        <f>'Sch 3B - Other Items'!J31</f>
        <v>0</v>
      </c>
      <c r="K307" s="3205">
        <f t="shared" si="892"/>
        <v>1</v>
      </c>
      <c r="O307" s="3235">
        <f>$G307</f>
        <v>0</v>
      </c>
      <c r="P307" s="3236">
        <f t="shared" si="893"/>
        <v>0</v>
      </c>
      <c r="Q307" s="3236">
        <f t="shared" si="894"/>
        <v>0</v>
      </c>
      <c r="R307" s="3236">
        <f t="shared" si="895"/>
        <v>0</v>
      </c>
      <c r="S307" s="3264"/>
      <c r="W307" s="3235">
        <f>$G307</f>
        <v>0</v>
      </c>
      <c r="X307" s="3236">
        <f t="shared" si="896"/>
        <v>0</v>
      </c>
      <c r="Y307" s="3236">
        <f t="shared" si="897"/>
        <v>0</v>
      </c>
      <c r="Z307" s="3236">
        <f t="shared" si="898"/>
        <v>0</v>
      </c>
      <c r="AA307" s="3264"/>
      <c r="AE307" s="3235">
        <f>$G307</f>
        <v>0</v>
      </c>
      <c r="AF307" s="3236">
        <f t="shared" si="899"/>
        <v>0</v>
      </c>
      <c r="AG307" s="3236">
        <f t="shared" si="900"/>
        <v>0</v>
      </c>
      <c r="AH307" s="3236">
        <f t="shared" si="901"/>
        <v>0</v>
      </c>
      <c r="AI307" s="3264"/>
      <c r="AM307" s="3235">
        <f>$G307</f>
        <v>0</v>
      </c>
      <c r="AN307" s="3236">
        <f t="shared" si="902"/>
        <v>0</v>
      </c>
      <c r="AO307" s="3236">
        <f t="shared" si="903"/>
        <v>0</v>
      </c>
      <c r="AP307" s="3236">
        <f t="shared" si="904"/>
        <v>0</v>
      </c>
      <c r="AQ307" s="3264"/>
      <c r="AU307" s="3235">
        <f>$G307</f>
        <v>0</v>
      </c>
      <c r="AV307" s="3236">
        <f t="shared" si="905"/>
        <v>0</v>
      </c>
      <c r="AW307" s="3236">
        <f t="shared" si="906"/>
        <v>0</v>
      </c>
      <c r="AX307" s="3236">
        <f t="shared" si="907"/>
        <v>0</v>
      </c>
      <c r="AY307" s="3264"/>
      <c r="BC307" s="3235">
        <f>$G307</f>
        <v>0</v>
      </c>
      <c r="BD307" s="3236">
        <f t="shared" si="908"/>
        <v>0</v>
      </c>
      <c r="BE307" s="3236">
        <f t="shared" si="909"/>
        <v>0</v>
      </c>
      <c r="BF307" s="3236">
        <f t="shared" si="910"/>
        <v>0</v>
      </c>
      <c r="BG307" s="3264"/>
      <c r="BK307" s="3235">
        <f>$G307</f>
        <v>0</v>
      </c>
      <c r="BL307" s="3236">
        <f t="shared" si="911"/>
        <v>0</v>
      </c>
      <c r="BM307" s="3236">
        <f t="shared" si="912"/>
        <v>0</v>
      </c>
      <c r="BN307" s="3236">
        <f t="shared" si="913"/>
        <v>0</v>
      </c>
      <c r="BO307" s="3264"/>
      <c r="BS307" s="3235">
        <f>$G307</f>
        <v>0</v>
      </c>
      <c r="BT307" s="3236">
        <f t="shared" si="914"/>
        <v>0</v>
      </c>
      <c r="BU307" s="3236">
        <f t="shared" si="915"/>
        <v>0</v>
      </c>
      <c r="BV307" s="3236">
        <f t="shared" si="916"/>
        <v>0</v>
      </c>
      <c r="BW307" s="3264"/>
      <c r="CA307" s="3235">
        <f>$G307</f>
        <v>0</v>
      </c>
      <c r="CB307" s="3236">
        <f t="shared" si="917"/>
        <v>0</v>
      </c>
      <c r="CC307" s="3236">
        <f t="shared" si="918"/>
        <v>0</v>
      </c>
      <c r="CD307" s="3236">
        <f t="shared" si="919"/>
        <v>0</v>
      </c>
      <c r="CE307" s="3264"/>
      <c r="CI307" s="3235">
        <f>$G307</f>
        <v>0</v>
      </c>
      <c r="CJ307" s="3236">
        <f t="shared" si="920"/>
        <v>0</v>
      </c>
      <c r="CK307" s="3236">
        <f t="shared" si="921"/>
        <v>0</v>
      </c>
      <c r="CL307" s="3236">
        <f t="shared" si="922"/>
        <v>0</v>
      </c>
      <c r="CM307" s="3264"/>
      <c r="CQ307" s="3235">
        <f>$G307</f>
        <v>0</v>
      </c>
      <c r="CR307" s="3236">
        <f t="shared" si="923"/>
        <v>0</v>
      </c>
      <c r="CS307" s="3236">
        <f t="shared" si="924"/>
        <v>0</v>
      </c>
      <c r="CT307" s="3236">
        <f t="shared" si="925"/>
        <v>0</v>
      </c>
      <c r="CU307" s="3264"/>
      <c r="CY307" s="3235">
        <f>$G307</f>
        <v>0</v>
      </c>
      <c r="CZ307" s="3236">
        <f t="shared" si="926"/>
        <v>0</v>
      </c>
      <c r="DA307" s="3236">
        <f t="shared" si="927"/>
        <v>0</v>
      </c>
      <c r="DB307" s="3236">
        <f t="shared" si="928"/>
        <v>0</v>
      </c>
      <c r="DC307" s="3264"/>
      <c r="DG307" s="3235">
        <f>$G307</f>
        <v>0</v>
      </c>
      <c r="DH307" s="3236">
        <f t="shared" si="929"/>
        <v>0</v>
      </c>
      <c r="DI307" s="3236">
        <f t="shared" si="930"/>
        <v>0</v>
      </c>
      <c r="DJ307" s="3236">
        <f t="shared" si="931"/>
        <v>0</v>
      </c>
      <c r="DK307" s="3264"/>
      <c r="DO307" s="3235">
        <f>$G307</f>
        <v>0</v>
      </c>
      <c r="DP307" s="3236">
        <f t="shared" si="932"/>
        <v>0</v>
      </c>
      <c r="DQ307" s="3236">
        <f t="shared" si="933"/>
        <v>0</v>
      </c>
      <c r="DR307" s="3236">
        <f t="shared" si="934"/>
        <v>0</v>
      </c>
      <c r="DS307" s="3264"/>
      <c r="DW307" s="3235">
        <f>$G307</f>
        <v>0</v>
      </c>
      <c r="DX307" s="3236">
        <f t="shared" si="935"/>
        <v>0</v>
      </c>
      <c r="DY307" s="3236">
        <f t="shared" si="936"/>
        <v>0</v>
      </c>
      <c r="DZ307" s="3236">
        <f t="shared" si="937"/>
        <v>0</v>
      </c>
      <c r="EA307" s="3264"/>
      <c r="EE307" s="3235">
        <f>$G307</f>
        <v>0</v>
      </c>
      <c r="EF307" s="3236">
        <f t="shared" si="938"/>
        <v>0</v>
      </c>
      <c r="EG307" s="3236">
        <f t="shared" si="939"/>
        <v>0</v>
      </c>
      <c r="EH307" s="3236">
        <f t="shared" si="940"/>
        <v>0</v>
      </c>
      <c r="EI307" s="3264"/>
      <c r="EM307" s="3235">
        <f>$G307</f>
        <v>0</v>
      </c>
      <c r="EN307" s="3236">
        <f t="shared" si="941"/>
        <v>0</v>
      </c>
      <c r="EO307" s="3236">
        <f t="shared" si="942"/>
        <v>0</v>
      </c>
      <c r="EP307" s="3236">
        <f t="shared" si="943"/>
        <v>0</v>
      </c>
      <c r="EQ307" s="3264"/>
      <c r="EU307" s="3235">
        <f>$G307</f>
        <v>0</v>
      </c>
      <c r="EV307" s="3236">
        <f t="shared" si="944"/>
        <v>0</v>
      </c>
      <c r="EW307" s="3236">
        <f t="shared" si="945"/>
        <v>0</v>
      </c>
      <c r="EX307" s="3236">
        <f t="shared" si="946"/>
        <v>0</v>
      </c>
      <c r="EY307" s="3264"/>
      <c r="FC307" s="3235">
        <f>$G307</f>
        <v>0</v>
      </c>
      <c r="FD307" s="3236">
        <f t="shared" si="947"/>
        <v>0</v>
      </c>
      <c r="FE307" s="3236">
        <f t="shared" si="948"/>
        <v>0</v>
      </c>
      <c r="FF307" s="3236">
        <f t="shared" si="949"/>
        <v>0</v>
      </c>
      <c r="FG307" s="3264"/>
      <c r="FK307" s="3235">
        <f>$G307</f>
        <v>0</v>
      </c>
      <c r="FL307" s="3236">
        <f t="shared" si="950"/>
        <v>0</v>
      </c>
      <c r="FM307" s="3236">
        <f t="shared" si="951"/>
        <v>0</v>
      </c>
      <c r="FN307" s="3236">
        <f t="shared" si="952"/>
        <v>0</v>
      </c>
      <c r="FO307" s="3264"/>
    </row>
    <row r="308" spans="1:171">
      <c r="A308" s="2092"/>
      <c r="B308" s="2290" t="s">
        <v>543</v>
      </c>
      <c r="C308" s="2464">
        <v>300</v>
      </c>
      <c r="D308" s="2171" t="s">
        <v>46</v>
      </c>
      <c r="E308" s="2424" t="str">
        <f>'Sch 3B - Other Items'!E32</f>
        <v>TD</v>
      </c>
      <c r="F308" s="2171"/>
      <c r="G308" s="2424">
        <f>'Sch 3B - Other Items'!G32</f>
        <v>16990858</v>
      </c>
      <c r="H308" s="2424">
        <f>'Sch 3B - Other Items'!H32</f>
        <v>0</v>
      </c>
      <c r="I308" s="2424">
        <f>'Sch 3B - Other Items'!I32</f>
        <v>0</v>
      </c>
      <c r="J308" s="3465">
        <f>'Sch 3B - Other Items'!J32</f>
        <v>16990858</v>
      </c>
      <c r="K308" s="3205">
        <f t="shared" si="892"/>
        <v>1</v>
      </c>
      <c r="O308" s="3235">
        <f>$G308</f>
        <v>16990858</v>
      </c>
      <c r="P308" s="3236">
        <f t="shared" si="893"/>
        <v>0</v>
      </c>
      <c r="Q308" s="3236">
        <f t="shared" si="894"/>
        <v>4652398.6339452248</v>
      </c>
      <c r="R308" s="3236">
        <f t="shared" si="895"/>
        <v>12338459.366054775</v>
      </c>
      <c r="S308" s="3264"/>
      <c r="W308" s="3235">
        <f>$G308</f>
        <v>16990858</v>
      </c>
      <c r="X308" s="3236">
        <f t="shared" si="896"/>
        <v>0</v>
      </c>
      <c r="Y308" s="3236">
        <f t="shared" si="897"/>
        <v>4652398.6339452248</v>
      </c>
      <c r="Z308" s="3236">
        <f t="shared" si="898"/>
        <v>12338459.366054775</v>
      </c>
      <c r="AA308" s="3264"/>
      <c r="AE308" s="3235">
        <f>$G308</f>
        <v>16990858</v>
      </c>
      <c r="AF308" s="3236">
        <f t="shared" si="899"/>
        <v>0</v>
      </c>
      <c r="AG308" s="3236">
        <f t="shared" si="900"/>
        <v>4652398.6339452248</v>
      </c>
      <c r="AH308" s="3236">
        <f t="shared" si="901"/>
        <v>12338459.366054775</v>
      </c>
      <c r="AI308" s="3264"/>
      <c r="AM308" s="3235">
        <f>$G308</f>
        <v>16990858</v>
      </c>
      <c r="AN308" s="3236">
        <f t="shared" si="902"/>
        <v>0</v>
      </c>
      <c r="AO308" s="3236">
        <f t="shared" si="903"/>
        <v>4652398.6339452248</v>
      </c>
      <c r="AP308" s="3236">
        <f t="shared" si="904"/>
        <v>12338459.366054775</v>
      </c>
      <c r="AQ308" s="3264"/>
      <c r="AU308" s="3235">
        <f>$G308</f>
        <v>16990858</v>
      </c>
      <c r="AV308" s="3236">
        <f t="shared" si="905"/>
        <v>0</v>
      </c>
      <c r="AW308" s="3236">
        <f t="shared" si="906"/>
        <v>4652398.6339452248</v>
      </c>
      <c r="AX308" s="3236">
        <f t="shared" si="907"/>
        <v>12338459.366054775</v>
      </c>
      <c r="AY308" s="3264"/>
      <c r="BC308" s="3235">
        <f>$G308</f>
        <v>16990858</v>
      </c>
      <c r="BD308" s="3236">
        <f t="shared" si="908"/>
        <v>0</v>
      </c>
      <c r="BE308" s="3236">
        <f t="shared" si="909"/>
        <v>4652398.6339452248</v>
      </c>
      <c r="BF308" s="3236">
        <f t="shared" si="910"/>
        <v>12338459.366054775</v>
      </c>
      <c r="BG308" s="3264"/>
      <c r="BK308" s="3235">
        <f>$G308</f>
        <v>16990858</v>
      </c>
      <c r="BL308" s="3236">
        <f t="shared" si="911"/>
        <v>0</v>
      </c>
      <c r="BM308" s="3236">
        <f t="shared" si="912"/>
        <v>4652398.6339452248</v>
      </c>
      <c r="BN308" s="3236">
        <f t="shared" si="913"/>
        <v>12338459.366054775</v>
      </c>
      <c r="BO308" s="3264"/>
      <c r="BS308" s="3235">
        <f>$G308</f>
        <v>16990858</v>
      </c>
      <c r="BT308" s="3236">
        <f t="shared" si="914"/>
        <v>0</v>
      </c>
      <c r="BU308" s="3236">
        <f t="shared" si="915"/>
        <v>4652398.6339452248</v>
      </c>
      <c r="BV308" s="3236">
        <f t="shared" si="916"/>
        <v>12338459.366054775</v>
      </c>
      <c r="BW308" s="3264"/>
      <c r="CA308" s="3235">
        <f>$G308</f>
        <v>16990858</v>
      </c>
      <c r="CB308" s="3236">
        <f t="shared" si="917"/>
        <v>0</v>
      </c>
      <c r="CC308" s="3236">
        <f t="shared" si="918"/>
        <v>4652398.6339452248</v>
      </c>
      <c r="CD308" s="3236">
        <f t="shared" si="919"/>
        <v>12338459.366054775</v>
      </c>
      <c r="CE308" s="3264"/>
      <c r="CI308" s="3235">
        <f>$G308</f>
        <v>16990858</v>
      </c>
      <c r="CJ308" s="3236">
        <f t="shared" si="920"/>
        <v>0</v>
      </c>
      <c r="CK308" s="3236">
        <f t="shared" si="921"/>
        <v>4652398.6339452248</v>
      </c>
      <c r="CL308" s="3236">
        <f t="shared" si="922"/>
        <v>12338459.366054775</v>
      </c>
      <c r="CM308" s="3264"/>
      <c r="CQ308" s="3235">
        <f>$G308</f>
        <v>16990858</v>
      </c>
      <c r="CR308" s="3236">
        <f t="shared" si="923"/>
        <v>0</v>
      </c>
      <c r="CS308" s="3236">
        <f t="shared" si="924"/>
        <v>4652398.6339452248</v>
      </c>
      <c r="CT308" s="3236">
        <f t="shared" si="925"/>
        <v>12338459.366054775</v>
      </c>
      <c r="CU308" s="3264"/>
      <c r="CY308" s="3235">
        <f>$G308</f>
        <v>16990858</v>
      </c>
      <c r="CZ308" s="3236">
        <f t="shared" si="926"/>
        <v>0</v>
      </c>
      <c r="DA308" s="3236">
        <f t="shared" si="927"/>
        <v>4652398.6339452248</v>
      </c>
      <c r="DB308" s="3236">
        <f t="shared" si="928"/>
        <v>12338459.366054775</v>
      </c>
      <c r="DC308" s="3264"/>
      <c r="DG308" s="3235">
        <f>$G308</f>
        <v>16990858</v>
      </c>
      <c r="DH308" s="3236">
        <f t="shared" si="929"/>
        <v>0</v>
      </c>
      <c r="DI308" s="3236">
        <f t="shared" si="930"/>
        <v>4652398.6339452248</v>
      </c>
      <c r="DJ308" s="3236">
        <f t="shared" si="931"/>
        <v>12338459.366054775</v>
      </c>
      <c r="DK308" s="3264"/>
      <c r="DO308" s="3235">
        <f>$G308</f>
        <v>16990858</v>
      </c>
      <c r="DP308" s="3236">
        <f t="shared" si="932"/>
        <v>0</v>
      </c>
      <c r="DQ308" s="3236">
        <f t="shared" si="933"/>
        <v>4652398.6339452248</v>
      </c>
      <c r="DR308" s="3236">
        <f t="shared" si="934"/>
        <v>12338459.366054775</v>
      </c>
      <c r="DS308" s="3264"/>
      <c r="DW308" s="3235">
        <f>$G308</f>
        <v>16990858</v>
      </c>
      <c r="DX308" s="3236">
        <f t="shared" si="935"/>
        <v>0</v>
      </c>
      <c r="DY308" s="3236">
        <f t="shared" si="936"/>
        <v>4652398.6339452248</v>
      </c>
      <c r="DZ308" s="3236">
        <f t="shared" si="937"/>
        <v>12338459.366054775</v>
      </c>
      <c r="EA308" s="3264"/>
      <c r="EE308" s="3235">
        <f>$G308</f>
        <v>16990858</v>
      </c>
      <c r="EF308" s="3236">
        <f t="shared" si="938"/>
        <v>0</v>
      </c>
      <c r="EG308" s="3236">
        <f t="shared" si="939"/>
        <v>4652398.6339452248</v>
      </c>
      <c r="EH308" s="3236">
        <f t="shared" si="940"/>
        <v>12338459.366054775</v>
      </c>
      <c r="EI308" s="3264"/>
      <c r="EM308" s="3235">
        <f>$G308</f>
        <v>16990858</v>
      </c>
      <c r="EN308" s="3236">
        <f t="shared" si="941"/>
        <v>0</v>
      </c>
      <c r="EO308" s="3236">
        <f t="shared" si="942"/>
        <v>4652398.6339452248</v>
      </c>
      <c r="EP308" s="3236">
        <f t="shared" si="943"/>
        <v>12338459.366054775</v>
      </c>
      <c r="EQ308" s="3264"/>
      <c r="EU308" s="3235">
        <f>$G308</f>
        <v>16990858</v>
      </c>
      <c r="EV308" s="3236">
        <f t="shared" si="944"/>
        <v>0</v>
      </c>
      <c r="EW308" s="3236">
        <f t="shared" si="945"/>
        <v>4652398.6339452248</v>
      </c>
      <c r="EX308" s="3236">
        <f t="shared" si="946"/>
        <v>12338459.366054775</v>
      </c>
      <c r="EY308" s="3264"/>
      <c r="FC308" s="3235">
        <f>$G308</f>
        <v>16990858</v>
      </c>
      <c r="FD308" s="3236">
        <f t="shared" si="947"/>
        <v>0</v>
      </c>
      <c r="FE308" s="3236">
        <f t="shared" si="948"/>
        <v>4652398.6339452248</v>
      </c>
      <c r="FF308" s="3236">
        <f t="shared" si="949"/>
        <v>12338459.366054775</v>
      </c>
      <c r="FG308" s="3264"/>
      <c r="FK308" s="3235">
        <f>$G308</f>
        <v>16990858</v>
      </c>
      <c r="FL308" s="3236">
        <f t="shared" si="950"/>
        <v>0</v>
      </c>
      <c r="FM308" s="3236">
        <f t="shared" si="951"/>
        <v>4652398.6339452248</v>
      </c>
      <c r="FN308" s="3236">
        <f t="shared" si="952"/>
        <v>12338459.366054775</v>
      </c>
      <c r="FO308" s="3264"/>
    </row>
    <row r="309" spans="1:171">
      <c r="A309" s="2092"/>
      <c r="B309" s="2290" t="s">
        <v>327</v>
      </c>
      <c r="C309" s="2464">
        <v>300</v>
      </c>
      <c r="D309" s="2171">
        <v>455</v>
      </c>
      <c r="E309" s="2424" t="str">
        <f>'Sch 3B - Other Items'!E33</f>
        <v>DIST</v>
      </c>
      <c r="F309" s="2171"/>
      <c r="G309" s="2424">
        <f>'Sch 3B - Other Items'!G33</f>
        <v>0</v>
      </c>
      <c r="H309" s="2424">
        <f>'Sch 3B - Other Items'!H33</f>
        <v>0</v>
      </c>
      <c r="I309" s="2424">
        <f>'Sch 3B - Other Items'!I33</f>
        <v>0</v>
      </c>
      <c r="J309" s="3465">
        <f>'Sch 3B - Other Items'!J33</f>
        <v>0</v>
      </c>
      <c r="K309" s="3205">
        <f t="shared" si="892"/>
        <v>1</v>
      </c>
      <c r="O309" s="3235">
        <f>$G309</f>
        <v>0</v>
      </c>
      <c r="P309" s="3236">
        <f t="shared" si="893"/>
        <v>0</v>
      </c>
      <c r="Q309" s="3236">
        <f t="shared" si="894"/>
        <v>0</v>
      </c>
      <c r="R309" s="3236">
        <f t="shared" si="895"/>
        <v>0</v>
      </c>
      <c r="S309" s="3264"/>
      <c r="W309" s="3235">
        <f>$G309</f>
        <v>0</v>
      </c>
      <c r="X309" s="3236">
        <f t="shared" si="896"/>
        <v>0</v>
      </c>
      <c r="Y309" s="3236">
        <f t="shared" si="897"/>
        <v>0</v>
      </c>
      <c r="Z309" s="3236">
        <f t="shared" si="898"/>
        <v>0</v>
      </c>
      <c r="AA309" s="3264"/>
      <c r="AE309" s="3235">
        <f>$G309</f>
        <v>0</v>
      </c>
      <c r="AF309" s="3236">
        <f t="shared" si="899"/>
        <v>0</v>
      </c>
      <c r="AG309" s="3236">
        <f t="shared" si="900"/>
        <v>0</v>
      </c>
      <c r="AH309" s="3236">
        <f t="shared" si="901"/>
        <v>0</v>
      </c>
      <c r="AI309" s="3264"/>
      <c r="AM309" s="3235">
        <f>$G309</f>
        <v>0</v>
      </c>
      <c r="AN309" s="3236">
        <f t="shared" si="902"/>
        <v>0</v>
      </c>
      <c r="AO309" s="3236">
        <f t="shared" si="903"/>
        <v>0</v>
      </c>
      <c r="AP309" s="3236">
        <f t="shared" si="904"/>
        <v>0</v>
      </c>
      <c r="AQ309" s="3264"/>
      <c r="AU309" s="3235">
        <f>$G309</f>
        <v>0</v>
      </c>
      <c r="AV309" s="3236">
        <f t="shared" si="905"/>
        <v>0</v>
      </c>
      <c r="AW309" s="3236">
        <f t="shared" si="906"/>
        <v>0</v>
      </c>
      <c r="AX309" s="3236">
        <f t="shared" si="907"/>
        <v>0</v>
      </c>
      <c r="AY309" s="3264"/>
      <c r="BC309" s="3235">
        <f>$G309</f>
        <v>0</v>
      </c>
      <c r="BD309" s="3236">
        <f t="shared" si="908"/>
        <v>0</v>
      </c>
      <c r="BE309" s="3236">
        <f t="shared" si="909"/>
        <v>0</v>
      </c>
      <c r="BF309" s="3236">
        <f t="shared" si="910"/>
        <v>0</v>
      </c>
      <c r="BG309" s="3264"/>
      <c r="BK309" s="3235">
        <f>$G309</f>
        <v>0</v>
      </c>
      <c r="BL309" s="3236">
        <f t="shared" si="911"/>
        <v>0</v>
      </c>
      <c r="BM309" s="3236">
        <f t="shared" si="912"/>
        <v>0</v>
      </c>
      <c r="BN309" s="3236">
        <f t="shared" si="913"/>
        <v>0</v>
      </c>
      <c r="BO309" s="3264"/>
      <c r="BS309" s="3235">
        <f>$G309</f>
        <v>0</v>
      </c>
      <c r="BT309" s="3236">
        <f t="shared" si="914"/>
        <v>0</v>
      </c>
      <c r="BU309" s="3236">
        <f t="shared" si="915"/>
        <v>0</v>
      </c>
      <c r="BV309" s="3236">
        <f t="shared" si="916"/>
        <v>0</v>
      </c>
      <c r="BW309" s="3264"/>
      <c r="CA309" s="3235">
        <f>$G309</f>
        <v>0</v>
      </c>
      <c r="CB309" s="3236">
        <f t="shared" si="917"/>
        <v>0</v>
      </c>
      <c r="CC309" s="3236">
        <f t="shared" si="918"/>
        <v>0</v>
      </c>
      <c r="CD309" s="3236">
        <f t="shared" si="919"/>
        <v>0</v>
      </c>
      <c r="CE309" s="3264"/>
      <c r="CI309" s="3235">
        <f>$G309</f>
        <v>0</v>
      </c>
      <c r="CJ309" s="3236">
        <f t="shared" si="920"/>
        <v>0</v>
      </c>
      <c r="CK309" s="3236">
        <f t="shared" si="921"/>
        <v>0</v>
      </c>
      <c r="CL309" s="3236">
        <f t="shared" si="922"/>
        <v>0</v>
      </c>
      <c r="CM309" s="3264"/>
      <c r="CQ309" s="3235">
        <f>$G309</f>
        <v>0</v>
      </c>
      <c r="CR309" s="3236">
        <f t="shared" si="923"/>
        <v>0</v>
      </c>
      <c r="CS309" s="3236">
        <f t="shared" si="924"/>
        <v>0</v>
      </c>
      <c r="CT309" s="3236">
        <f t="shared" si="925"/>
        <v>0</v>
      </c>
      <c r="CU309" s="3264"/>
      <c r="CY309" s="3235">
        <f>$G309</f>
        <v>0</v>
      </c>
      <c r="CZ309" s="3236">
        <f t="shared" si="926"/>
        <v>0</v>
      </c>
      <c r="DA309" s="3236">
        <f t="shared" si="927"/>
        <v>0</v>
      </c>
      <c r="DB309" s="3236">
        <f t="shared" si="928"/>
        <v>0</v>
      </c>
      <c r="DC309" s="3264"/>
      <c r="DG309" s="3235">
        <f>$G309</f>
        <v>0</v>
      </c>
      <c r="DH309" s="3236">
        <f t="shared" si="929"/>
        <v>0</v>
      </c>
      <c r="DI309" s="3236">
        <f t="shared" si="930"/>
        <v>0</v>
      </c>
      <c r="DJ309" s="3236">
        <f t="shared" si="931"/>
        <v>0</v>
      </c>
      <c r="DK309" s="3264"/>
      <c r="DO309" s="3235">
        <f>$G309</f>
        <v>0</v>
      </c>
      <c r="DP309" s="3236">
        <f t="shared" si="932"/>
        <v>0</v>
      </c>
      <c r="DQ309" s="3236">
        <f t="shared" si="933"/>
        <v>0</v>
      </c>
      <c r="DR309" s="3236">
        <f t="shared" si="934"/>
        <v>0</v>
      </c>
      <c r="DS309" s="3264"/>
      <c r="DW309" s="3235">
        <f>$G309</f>
        <v>0</v>
      </c>
      <c r="DX309" s="3236">
        <f t="shared" si="935"/>
        <v>0</v>
      </c>
      <c r="DY309" s="3236">
        <f t="shared" si="936"/>
        <v>0</v>
      </c>
      <c r="DZ309" s="3236">
        <f t="shared" si="937"/>
        <v>0</v>
      </c>
      <c r="EA309" s="3264"/>
      <c r="EE309" s="3235">
        <f>$G309</f>
        <v>0</v>
      </c>
      <c r="EF309" s="3236">
        <f t="shared" si="938"/>
        <v>0</v>
      </c>
      <c r="EG309" s="3236">
        <f t="shared" si="939"/>
        <v>0</v>
      </c>
      <c r="EH309" s="3236">
        <f t="shared" si="940"/>
        <v>0</v>
      </c>
      <c r="EI309" s="3264"/>
      <c r="EM309" s="3235">
        <f>$G309</f>
        <v>0</v>
      </c>
      <c r="EN309" s="3236">
        <f t="shared" si="941"/>
        <v>0</v>
      </c>
      <c r="EO309" s="3236">
        <f t="shared" si="942"/>
        <v>0</v>
      </c>
      <c r="EP309" s="3236">
        <f t="shared" si="943"/>
        <v>0</v>
      </c>
      <c r="EQ309" s="3264"/>
      <c r="EU309" s="3235">
        <f>$G309</f>
        <v>0</v>
      </c>
      <c r="EV309" s="3236">
        <f t="shared" si="944"/>
        <v>0</v>
      </c>
      <c r="EW309" s="3236">
        <f t="shared" si="945"/>
        <v>0</v>
      </c>
      <c r="EX309" s="3236">
        <f t="shared" si="946"/>
        <v>0</v>
      </c>
      <c r="EY309" s="3264"/>
      <c r="FC309" s="3235">
        <f>$G309</f>
        <v>0</v>
      </c>
      <c r="FD309" s="3236">
        <f t="shared" si="947"/>
        <v>0</v>
      </c>
      <c r="FE309" s="3236">
        <f t="shared" si="948"/>
        <v>0</v>
      </c>
      <c r="FF309" s="3236">
        <f t="shared" si="949"/>
        <v>0</v>
      </c>
      <c r="FG309" s="3264"/>
      <c r="FK309" s="3235">
        <f>$G309</f>
        <v>0</v>
      </c>
      <c r="FL309" s="3236">
        <f t="shared" si="950"/>
        <v>0</v>
      </c>
      <c r="FM309" s="3236">
        <f t="shared" si="951"/>
        <v>0</v>
      </c>
      <c r="FN309" s="3236">
        <f t="shared" si="952"/>
        <v>0</v>
      </c>
      <c r="FO309" s="3264"/>
    </row>
    <row r="310" spans="1:171">
      <c r="A310" s="3480">
        <v>920</v>
      </c>
      <c r="B310" s="2290" t="s">
        <v>326</v>
      </c>
      <c r="C310" s="2464">
        <v>300</v>
      </c>
      <c r="D310" s="2171" t="s">
        <v>47</v>
      </c>
      <c r="E310" s="2424" t="str">
        <f>'Sch 3B - Other Items'!E34</f>
        <v>DIRECT</v>
      </c>
      <c r="F310" s="2171"/>
      <c r="G310" s="2424">
        <f>'Sch 3B - Other Items'!G34</f>
        <v>33809167</v>
      </c>
      <c r="H310" s="2424">
        <f>'Sch 3B - Other Items'!H34</f>
        <v>46941385.813219115</v>
      </c>
      <c r="I310" s="2424">
        <f>'Sch 3B - Other Items'!I34</f>
        <v>0</v>
      </c>
      <c r="J310" s="3465">
        <f>'Sch 3B - Other Items'!J34</f>
        <v>-13132218.503405668</v>
      </c>
      <c r="K310" s="3205">
        <f t="shared" si="892"/>
        <v>0</v>
      </c>
      <c r="N310" s="3434">
        <f>VLOOKUP($A310,'New Resources - Group'!$A$4:$Y$133,N$2,FALSE)*N$1</f>
        <v>0</v>
      </c>
      <c r="O310" s="3235">
        <f>$G310+N310</f>
        <v>33809167</v>
      </c>
      <c r="P310" s="3236">
        <f t="shared" si="893"/>
        <v>46941385.813219115</v>
      </c>
      <c r="Q310" s="3236">
        <f t="shared" si="894"/>
        <v>0</v>
      </c>
      <c r="R310" s="3236">
        <f t="shared" si="895"/>
        <v>-13132218.813219115</v>
      </c>
      <c r="S310" s="3264"/>
      <c r="V310" s="3434">
        <f>VLOOKUP($A310,'New Resources - Group'!$A$4:$Y$133,V$2,FALSE)*V$1</f>
        <v>0</v>
      </c>
      <c r="W310" s="3235">
        <f>$G310+V310</f>
        <v>33809167</v>
      </c>
      <c r="X310" s="3236">
        <f t="shared" si="896"/>
        <v>46941385.813219115</v>
      </c>
      <c r="Y310" s="3236">
        <f t="shared" si="897"/>
        <v>0</v>
      </c>
      <c r="Z310" s="3236">
        <f t="shared" si="898"/>
        <v>-13132218.813219115</v>
      </c>
      <c r="AA310" s="3264"/>
      <c r="AD310" s="3434">
        <f>VLOOKUP($A310,'New Resources - Group'!$A$4:$Y$133,AD$2,FALSE)*AD$1</f>
        <v>0</v>
      </c>
      <c r="AE310" s="3235">
        <f>$G310+AD310</f>
        <v>33809167</v>
      </c>
      <c r="AF310" s="3236">
        <f t="shared" si="899"/>
        <v>46941385.813219115</v>
      </c>
      <c r="AG310" s="3236">
        <f t="shared" si="900"/>
        <v>0</v>
      </c>
      <c r="AH310" s="3236">
        <f t="shared" si="901"/>
        <v>-13132218.813219115</v>
      </c>
      <c r="AI310" s="3264"/>
      <c r="AL310" s="3434">
        <f>VLOOKUP($A310,'New Resources - Group'!$A$4:$Y$133,AL$2,FALSE)*AL$1</f>
        <v>0</v>
      </c>
      <c r="AM310" s="3235">
        <f>$G310+AL310</f>
        <v>33809167</v>
      </c>
      <c r="AN310" s="3236">
        <f t="shared" si="902"/>
        <v>46941385.813219115</v>
      </c>
      <c r="AO310" s="3236">
        <f t="shared" si="903"/>
        <v>0</v>
      </c>
      <c r="AP310" s="3236">
        <f t="shared" si="904"/>
        <v>-13132218.813219115</v>
      </c>
      <c r="AQ310" s="3264"/>
      <c r="AT310" s="3434">
        <f>VLOOKUP($A310,'New Resources - Group'!$A$4:$Y$133,AT$2,FALSE)*AT$1</f>
        <v>0</v>
      </c>
      <c r="AU310" s="3235">
        <f>$G310+AT310</f>
        <v>33809167</v>
      </c>
      <c r="AV310" s="3236">
        <f t="shared" si="905"/>
        <v>46941385.813219115</v>
      </c>
      <c r="AW310" s="3236">
        <f t="shared" si="906"/>
        <v>0</v>
      </c>
      <c r="AX310" s="3236">
        <f t="shared" si="907"/>
        <v>-13132218.813219115</v>
      </c>
      <c r="AY310" s="3264"/>
      <c r="BB310" s="3434">
        <f>VLOOKUP($A310,'New Resources - Group'!$A$4:$Y$133,BB$2,FALSE)*BB$1</f>
        <v>0</v>
      </c>
      <c r="BC310" s="3235">
        <f>$G310+BB310</f>
        <v>33809167</v>
      </c>
      <c r="BD310" s="3236">
        <f t="shared" si="908"/>
        <v>46941385.813219115</v>
      </c>
      <c r="BE310" s="3236">
        <f t="shared" si="909"/>
        <v>0</v>
      </c>
      <c r="BF310" s="3236">
        <f t="shared" si="910"/>
        <v>-13132218.813219115</v>
      </c>
      <c r="BG310" s="3264"/>
      <c r="BJ310" s="3434">
        <f>VLOOKUP($A310,'New Resources - Group'!$A$4:$Y$133,BJ$2,FALSE)*BJ$1</f>
        <v>0</v>
      </c>
      <c r="BK310" s="3235">
        <f>$G310+BJ310</f>
        <v>33809167</v>
      </c>
      <c r="BL310" s="3236">
        <f t="shared" si="911"/>
        <v>46941385.813219115</v>
      </c>
      <c r="BM310" s="3236">
        <f t="shared" si="912"/>
        <v>0</v>
      </c>
      <c r="BN310" s="3236">
        <f t="shared" si="913"/>
        <v>-13132218.813219115</v>
      </c>
      <c r="BO310" s="3264"/>
      <c r="BR310" s="3434">
        <f>VLOOKUP($A310,'New Resources - Group'!$A$4:$Y$133,BR$2,FALSE)*BR$1</f>
        <v>0</v>
      </c>
      <c r="BS310" s="3235">
        <f>$G310+BR310</f>
        <v>33809167</v>
      </c>
      <c r="BT310" s="3236">
        <f t="shared" si="914"/>
        <v>46941385.813219115</v>
      </c>
      <c r="BU310" s="3236">
        <f t="shared" si="915"/>
        <v>0</v>
      </c>
      <c r="BV310" s="3236">
        <f t="shared" si="916"/>
        <v>-13132218.813219115</v>
      </c>
      <c r="BW310" s="3264"/>
      <c r="BZ310" s="3434">
        <f>VLOOKUP($A310,'New Resources - Group'!$A$4:$Y$133,BZ$2,FALSE)*BZ$1</f>
        <v>0</v>
      </c>
      <c r="CA310" s="3235">
        <f>$G310+BZ310</f>
        <v>33809167</v>
      </c>
      <c r="CB310" s="3236">
        <f t="shared" si="917"/>
        <v>46941385.813219115</v>
      </c>
      <c r="CC310" s="3236">
        <f t="shared" si="918"/>
        <v>0</v>
      </c>
      <c r="CD310" s="3236">
        <f t="shared" si="919"/>
        <v>-13132218.813219115</v>
      </c>
      <c r="CE310" s="3264"/>
      <c r="CH310" s="3434">
        <f>VLOOKUP($A310,'New Resources - Group'!$A$4:$Y$133,CH$2,FALSE)*CH$1</f>
        <v>0</v>
      </c>
      <c r="CI310" s="3235">
        <f>$G310+CH310</f>
        <v>33809167</v>
      </c>
      <c r="CJ310" s="3236">
        <f t="shared" si="920"/>
        <v>46941385.813219115</v>
      </c>
      <c r="CK310" s="3236">
        <f t="shared" si="921"/>
        <v>0</v>
      </c>
      <c r="CL310" s="3236">
        <f t="shared" si="922"/>
        <v>-13132218.813219115</v>
      </c>
      <c r="CM310" s="3264"/>
      <c r="CP310" s="3434">
        <f>VLOOKUP($A310,'New Resources - Group'!$A$4:$Y$133,CP$2,FALSE)*CP$1</f>
        <v>0</v>
      </c>
      <c r="CQ310" s="3235">
        <f>$G310+CP310</f>
        <v>33809167</v>
      </c>
      <c r="CR310" s="3236">
        <f t="shared" si="923"/>
        <v>46941385.813219115</v>
      </c>
      <c r="CS310" s="3236">
        <f t="shared" si="924"/>
        <v>0</v>
      </c>
      <c r="CT310" s="3236">
        <f t="shared" si="925"/>
        <v>-13132218.813219115</v>
      </c>
      <c r="CU310" s="3264"/>
      <c r="CX310" s="3434">
        <f>VLOOKUP($A310,'New Resources - Group'!$A$4:$Y$133,CX$2,FALSE)*CX$1</f>
        <v>0</v>
      </c>
      <c r="CY310" s="3235">
        <f>$G310+CX310</f>
        <v>33809167</v>
      </c>
      <c r="CZ310" s="3236">
        <f t="shared" si="926"/>
        <v>46941385.813219115</v>
      </c>
      <c r="DA310" s="3236">
        <f t="shared" si="927"/>
        <v>0</v>
      </c>
      <c r="DB310" s="3236">
        <f t="shared" si="928"/>
        <v>-13132218.813219115</v>
      </c>
      <c r="DC310" s="3264"/>
      <c r="DF310" s="3434">
        <f>VLOOKUP($A310,'New Resources - Group'!$A$4:$Y$133,DF$2,FALSE)*DF$1</f>
        <v>0</v>
      </c>
      <c r="DG310" s="3235">
        <f>$G310+DF310</f>
        <v>33809167</v>
      </c>
      <c r="DH310" s="3236">
        <f t="shared" si="929"/>
        <v>46941385.813219115</v>
      </c>
      <c r="DI310" s="3236">
        <f t="shared" si="930"/>
        <v>0</v>
      </c>
      <c r="DJ310" s="3236">
        <f t="shared" si="931"/>
        <v>-13132218.813219115</v>
      </c>
      <c r="DK310" s="3264"/>
      <c r="DN310" s="3434">
        <f>VLOOKUP($A310,'New Resources - Group'!$A$4:$Y$133,DN$2,FALSE)*DN$1</f>
        <v>0</v>
      </c>
      <c r="DO310" s="3235">
        <f>$G310+DN310</f>
        <v>33809167</v>
      </c>
      <c r="DP310" s="3236">
        <f t="shared" si="932"/>
        <v>46941385.813219115</v>
      </c>
      <c r="DQ310" s="3236">
        <f t="shared" si="933"/>
        <v>0</v>
      </c>
      <c r="DR310" s="3236">
        <f t="shared" si="934"/>
        <v>-13132218.813219115</v>
      </c>
      <c r="DS310" s="3264"/>
      <c r="DV310" s="3434">
        <f>VLOOKUP($A310,'New Resources - Group'!$A$4:$Y$133,DV$2,FALSE)*DV$1</f>
        <v>0</v>
      </c>
      <c r="DW310" s="3235">
        <f>$G310+DV310</f>
        <v>33809167</v>
      </c>
      <c r="DX310" s="3236">
        <f t="shared" si="935"/>
        <v>46941385.813219115</v>
      </c>
      <c r="DY310" s="3236">
        <f t="shared" si="936"/>
        <v>0</v>
      </c>
      <c r="DZ310" s="3236">
        <f t="shared" si="937"/>
        <v>-13132218.813219115</v>
      </c>
      <c r="EA310" s="3264"/>
      <c r="ED310" s="3434">
        <f>VLOOKUP($A310,'New Resources - Group'!$A$4:$Y$133,ED$2,FALSE)*ED$1</f>
        <v>0</v>
      </c>
      <c r="EE310" s="3235">
        <f>$G310+ED310</f>
        <v>33809167</v>
      </c>
      <c r="EF310" s="3236">
        <f t="shared" si="938"/>
        <v>46941385.813219115</v>
      </c>
      <c r="EG310" s="3236">
        <f t="shared" si="939"/>
        <v>0</v>
      </c>
      <c r="EH310" s="3236">
        <f t="shared" si="940"/>
        <v>-13132218.813219115</v>
      </c>
      <c r="EI310" s="3264"/>
      <c r="EL310" s="3434">
        <f>VLOOKUP($A310,'New Resources - Group'!$A$4:$Y$133,EL$2,FALSE)*EL$1</f>
        <v>0</v>
      </c>
      <c r="EM310" s="3235">
        <f>$G310+EL310</f>
        <v>33809167</v>
      </c>
      <c r="EN310" s="3236">
        <f t="shared" si="941"/>
        <v>46941385.813219115</v>
      </c>
      <c r="EO310" s="3236">
        <f t="shared" si="942"/>
        <v>0</v>
      </c>
      <c r="EP310" s="3236">
        <f t="shared" si="943"/>
        <v>-13132218.813219115</v>
      </c>
      <c r="EQ310" s="3264"/>
      <c r="ET310" s="3434">
        <f>VLOOKUP($A310,'New Resources - Group'!$A$4:$Y$133,ET$2,FALSE)*ET$1</f>
        <v>0</v>
      </c>
      <c r="EU310" s="3235">
        <f>$G310+ET310</f>
        <v>33809167</v>
      </c>
      <c r="EV310" s="3236">
        <f t="shared" si="944"/>
        <v>46941385.813219115</v>
      </c>
      <c r="EW310" s="3236">
        <f t="shared" si="945"/>
        <v>0</v>
      </c>
      <c r="EX310" s="3236">
        <f t="shared" si="946"/>
        <v>-13132218.813219115</v>
      </c>
      <c r="EY310" s="3264"/>
      <c r="FB310" s="3434">
        <f>VLOOKUP($A310,'New Resources - Group'!$A$4:$Y$133,FB$2,FALSE)*FB$1</f>
        <v>0</v>
      </c>
      <c r="FC310" s="3235">
        <f>$G310+FB310</f>
        <v>33809167</v>
      </c>
      <c r="FD310" s="3236">
        <f t="shared" si="947"/>
        <v>46941385.813219115</v>
      </c>
      <c r="FE310" s="3236">
        <f t="shared" si="948"/>
        <v>0</v>
      </c>
      <c r="FF310" s="3236">
        <f t="shared" si="949"/>
        <v>-13132218.813219115</v>
      </c>
      <c r="FG310" s="3264"/>
      <c r="FJ310" s="3434">
        <f>VLOOKUP($A310,'New Resources - Group'!$A$4:$Y$133,FJ$2,FALSE)*FJ$1</f>
        <v>0</v>
      </c>
      <c r="FK310" s="3235">
        <f>$G310+FJ310</f>
        <v>33809167</v>
      </c>
      <c r="FL310" s="3236">
        <f t="shared" si="950"/>
        <v>46941385.813219115</v>
      </c>
      <c r="FM310" s="3236">
        <f t="shared" si="951"/>
        <v>0</v>
      </c>
      <c r="FN310" s="3236">
        <f t="shared" si="952"/>
        <v>-13132218.813219115</v>
      </c>
      <c r="FO310" s="3264"/>
    </row>
    <row r="311" spans="1:171">
      <c r="A311" s="3480">
        <v>930</v>
      </c>
      <c r="B311" s="2290" t="s">
        <v>502</v>
      </c>
      <c r="C311" s="2464">
        <v>330</v>
      </c>
      <c r="D311" s="2464">
        <v>456.1</v>
      </c>
      <c r="E311" s="2424" t="str">
        <f>'Sch 3B - Other Items'!E35</f>
        <v>TRANS</v>
      </c>
      <c r="F311" s="2171"/>
      <c r="G311" s="2424">
        <f>'Sch 3B - Other Items'!G35</f>
        <v>34371414</v>
      </c>
      <c r="H311" s="2424">
        <f>'Sch 3B - Other Items'!H35</f>
        <v>0</v>
      </c>
      <c r="I311" s="2424">
        <f>'Sch 3B - Other Items'!I35</f>
        <v>0</v>
      </c>
      <c r="J311" s="3465">
        <f>'Sch 3B - Other Items'!J35</f>
        <v>34371414</v>
      </c>
      <c r="K311" s="3205">
        <f t="shared" si="892"/>
        <v>1</v>
      </c>
      <c r="N311" s="3434">
        <f>VLOOKUP($A311,'New Resources - Group'!$A$4:$Y$133,N$2,FALSE)*N$1</f>
        <v>0</v>
      </c>
      <c r="O311" s="3235">
        <f>$G311+N311</f>
        <v>34371414</v>
      </c>
      <c r="P311" s="3236">
        <f t="shared" si="893"/>
        <v>0</v>
      </c>
      <c r="Q311" s="3236">
        <f t="shared" si="894"/>
        <v>34371414</v>
      </c>
      <c r="R311" s="3236">
        <f t="shared" si="895"/>
        <v>0</v>
      </c>
      <c r="S311" s="3264"/>
      <c r="V311" s="3434">
        <f>VLOOKUP($A311,'New Resources - Group'!$A$4:$Y$133,V$2,FALSE)*V$1</f>
        <v>0</v>
      </c>
      <c r="W311" s="3235">
        <f>$G311+V311</f>
        <v>34371414</v>
      </c>
      <c r="X311" s="3236">
        <f t="shared" si="896"/>
        <v>0</v>
      </c>
      <c r="Y311" s="3236">
        <f t="shared" si="897"/>
        <v>34371414</v>
      </c>
      <c r="Z311" s="3236">
        <f t="shared" si="898"/>
        <v>0</v>
      </c>
      <c r="AA311" s="3264"/>
      <c r="AD311" s="3434">
        <f>VLOOKUP($A311,'New Resources - Group'!$A$4:$Y$133,AD$2,FALSE)*AD$1</f>
        <v>0</v>
      </c>
      <c r="AE311" s="3235">
        <f>$G311+AD311</f>
        <v>34371414</v>
      </c>
      <c r="AF311" s="3236">
        <f t="shared" si="899"/>
        <v>0</v>
      </c>
      <c r="AG311" s="3236">
        <f t="shared" si="900"/>
        <v>34371414</v>
      </c>
      <c r="AH311" s="3236">
        <f t="shared" si="901"/>
        <v>0</v>
      </c>
      <c r="AI311" s="3264"/>
      <c r="AL311" s="3434">
        <f>VLOOKUP($A311,'New Resources - Group'!$A$4:$Y$133,AL$2,FALSE)*AL$1</f>
        <v>0</v>
      </c>
      <c r="AM311" s="3235">
        <f>$G311+AL311</f>
        <v>34371414</v>
      </c>
      <c r="AN311" s="3236">
        <f t="shared" si="902"/>
        <v>0</v>
      </c>
      <c r="AO311" s="3236">
        <f t="shared" si="903"/>
        <v>34371414</v>
      </c>
      <c r="AP311" s="3236">
        <f t="shared" si="904"/>
        <v>0</v>
      </c>
      <c r="AQ311" s="3264"/>
      <c r="AT311" s="3434">
        <f>VLOOKUP($A311,'New Resources - Group'!$A$4:$Y$133,AT$2,FALSE)*AT$1</f>
        <v>0</v>
      </c>
      <c r="AU311" s="3235">
        <f>$G311+AT311</f>
        <v>34371414</v>
      </c>
      <c r="AV311" s="3236">
        <f t="shared" si="905"/>
        <v>0</v>
      </c>
      <c r="AW311" s="3236">
        <f t="shared" si="906"/>
        <v>34371414</v>
      </c>
      <c r="AX311" s="3236">
        <f t="shared" si="907"/>
        <v>0</v>
      </c>
      <c r="AY311" s="3264"/>
      <c r="BB311" s="3434">
        <f>VLOOKUP($A311,'New Resources - Group'!$A$4:$Y$133,BB$2,FALSE)*BB$1</f>
        <v>0</v>
      </c>
      <c r="BC311" s="3235">
        <f>$G311+BB311</f>
        <v>34371414</v>
      </c>
      <c r="BD311" s="3236">
        <f t="shared" si="908"/>
        <v>0</v>
      </c>
      <c r="BE311" s="3236">
        <f t="shared" si="909"/>
        <v>34371414</v>
      </c>
      <c r="BF311" s="3236">
        <f t="shared" si="910"/>
        <v>0</v>
      </c>
      <c r="BG311" s="3264"/>
      <c r="BJ311" s="3434">
        <f>VLOOKUP($A311,'New Resources - Group'!$A$4:$Y$133,BJ$2,FALSE)*BJ$1</f>
        <v>0</v>
      </c>
      <c r="BK311" s="3235">
        <f>$G311+BJ311</f>
        <v>34371414</v>
      </c>
      <c r="BL311" s="3236">
        <f t="shared" si="911"/>
        <v>0</v>
      </c>
      <c r="BM311" s="3236">
        <f t="shared" si="912"/>
        <v>34371414</v>
      </c>
      <c r="BN311" s="3236">
        <f t="shared" si="913"/>
        <v>0</v>
      </c>
      <c r="BO311" s="3264"/>
      <c r="BR311" s="3434">
        <f>VLOOKUP($A311,'New Resources - Group'!$A$4:$Y$133,BR$2,FALSE)*BR$1</f>
        <v>0</v>
      </c>
      <c r="BS311" s="3235">
        <f>$G311+BR311</f>
        <v>34371414</v>
      </c>
      <c r="BT311" s="3236">
        <f t="shared" si="914"/>
        <v>0</v>
      </c>
      <c r="BU311" s="3236">
        <f t="shared" si="915"/>
        <v>34371414</v>
      </c>
      <c r="BV311" s="3236">
        <f t="shared" si="916"/>
        <v>0</v>
      </c>
      <c r="BW311" s="3264"/>
      <c r="BZ311" s="3434">
        <f>VLOOKUP($A311,'New Resources - Group'!$A$4:$Y$133,BZ$2,FALSE)*BZ$1</f>
        <v>0</v>
      </c>
      <c r="CA311" s="3235">
        <f>$G311+BZ311</f>
        <v>34371414</v>
      </c>
      <c r="CB311" s="3236">
        <f t="shared" si="917"/>
        <v>0</v>
      </c>
      <c r="CC311" s="3236">
        <f t="shared" si="918"/>
        <v>34371414</v>
      </c>
      <c r="CD311" s="3236">
        <f t="shared" si="919"/>
        <v>0</v>
      </c>
      <c r="CE311" s="3264"/>
      <c r="CH311" s="3434">
        <f>VLOOKUP($A311,'New Resources - Group'!$A$4:$Y$133,CH$2,FALSE)*CH$1</f>
        <v>0</v>
      </c>
      <c r="CI311" s="3235">
        <f>$G311+CH311</f>
        <v>34371414</v>
      </c>
      <c r="CJ311" s="3236">
        <f t="shared" si="920"/>
        <v>0</v>
      </c>
      <c r="CK311" s="3236">
        <f t="shared" si="921"/>
        <v>34371414</v>
      </c>
      <c r="CL311" s="3236">
        <f t="shared" si="922"/>
        <v>0</v>
      </c>
      <c r="CM311" s="3264"/>
      <c r="CP311" s="3434">
        <f>VLOOKUP($A311,'New Resources - Group'!$A$4:$Y$133,CP$2,FALSE)*CP$1</f>
        <v>0</v>
      </c>
      <c r="CQ311" s="3235">
        <f>$G311+CP311</f>
        <v>34371414</v>
      </c>
      <c r="CR311" s="3236">
        <f t="shared" si="923"/>
        <v>0</v>
      </c>
      <c r="CS311" s="3236">
        <f t="shared" si="924"/>
        <v>34371414</v>
      </c>
      <c r="CT311" s="3236">
        <f t="shared" si="925"/>
        <v>0</v>
      </c>
      <c r="CU311" s="3264"/>
      <c r="CX311" s="3434">
        <f>VLOOKUP($A311,'New Resources - Group'!$A$4:$Y$133,CX$2,FALSE)*CX$1</f>
        <v>0</v>
      </c>
      <c r="CY311" s="3235">
        <f>$G311+CX311</f>
        <v>34371414</v>
      </c>
      <c r="CZ311" s="3236">
        <f t="shared" si="926"/>
        <v>0</v>
      </c>
      <c r="DA311" s="3236">
        <f t="shared" si="927"/>
        <v>34371414</v>
      </c>
      <c r="DB311" s="3236">
        <f t="shared" si="928"/>
        <v>0</v>
      </c>
      <c r="DC311" s="3264"/>
      <c r="DF311" s="3434">
        <f>VLOOKUP($A311,'New Resources - Group'!$A$4:$Y$133,DF$2,FALSE)*DF$1</f>
        <v>0</v>
      </c>
      <c r="DG311" s="3235">
        <f>$G311+DF311</f>
        <v>34371414</v>
      </c>
      <c r="DH311" s="3236">
        <f t="shared" si="929"/>
        <v>0</v>
      </c>
      <c r="DI311" s="3236">
        <f t="shared" si="930"/>
        <v>34371414</v>
      </c>
      <c r="DJ311" s="3236">
        <f t="shared" si="931"/>
        <v>0</v>
      </c>
      <c r="DK311" s="3264"/>
      <c r="DN311" s="3434">
        <f>VLOOKUP($A311,'New Resources - Group'!$A$4:$Y$133,DN$2,FALSE)*DN$1</f>
        <v>0</v>
      </c>
      <c r="DO311" s="3235">
        <f>$G311+DN311</f>
        <v>34371414</v>
      </c>
      <c r="DP311" s="3236">
        <f t="shared" si="932"/>
        <v>0</v>
      </c>
      <c r="DQ311" s="3236">
        <f t="shared" si="933"/>
        <v>34371414</v>
      </c>
      <c r="DR311" s="3236">
        <f t="shared" si="934"/>
        <v>0</v>
      </c>
      <c r="DS311" s="3264"/>
      <c r="DV311" s="3434">
        <f>VLOOKUP($A311,'New Resources - Group'!$A$4:$Y$133,DV$2,FALSE)*DV$1</f>
        <v>0</v>
      </c>
      <c r="DW311" s="3235">
        <f>$G311+DV311</f>
        <v>34371414</v>
      </c>
      <c r="DX311" s="3236">
        <f t="shared" si="935"/>
        <v>0</v>
      </c>
      <c r="DY311" s="3236">
        <f t="shared" si="936"/>
        <v>34371414</v>
      </c>
      <c r="DZ311" s="3236">
        <f t="shared" si="937"/>
        <v>0</v>
      </c>
      <c r="EA311" s="3264"/>
      <c r="ED311" s="3434">
        <f>VLOOKUP($A311,'New Resources - Group'!$A$4:$Y$133,ED$2,FALSE)*ED$1</f>
        <v>0</v>
      </c>
      <c r="EE311" s="3235">
        <f>$G311+ED311</f>
        <v>34371414</v>
      </c>
      <c r="EF311" s="3236">
        <f t="shared" si="938"/>
        <v>0</v>
      </c>
      <c r="EG311" s="3236">
        <f t="shared" si="939"/>
        <v>34371414</v>
      </c>
      <c r="EH311" s="3236">
        <f t="shared" si="940"/>
        <v>0</v>
      </c>
      <c r="EI311" s="3264"/>
      <c r="EL311" s="3434">
        <f>VLOOKUP($A311,'New Resources - Group'!$A$4:$Y$133,EL$2,FALSE)*EL$1</f>
        <v>0</v>
      </c>
      <c r="EM311" s="3235">
        <f>$G311+EL311</f>
        <v>34371414</v>
      </c>
      <c r="EN311" s="3236">
        <f t="shared" si="941"/>
        <v>0</v>
      </c>
      <c r="EO311" s="3236">
        <f t="shared" si="942"/>
        <v>34371414</v>
      </c>
      <c r="EP311" s="3236">
        <f t="shared" si="943"/>
        <v>0</v>
      </c>
      <c r="EQ311" s="3264"/>
      <c r="ET311" s="3434">
        <f>VLOOKUP($A311,'New Resources - Group'!$A$4:$Y$133,ET$2,FALSE)*ET$1</f>
        <v>0</v>
      </c>
      <c r="EU311" s="3235">
        <f>$G311+ET311</f>
        <v>34371414</v>
      </c>
      <c r="EV311" s="3236">
        <f t="shared" si="944"/>
        <v>0</v>
      </c>
      <c r="EW311" s="3236">
        <f t="shared" si="945"/>
        <v>34371414</v>
      </c>
      <c r="EX311" s="3236">
        <f t="shared" si="946"/>
        <v>0</v>
      </c>
      <c r="EY311" s="3264"/>
      <c r="FB311" s="3434">
        <f>VLOOKUP($A311,'New Resources - Group'!$A$4:$Y$133,FB$2,FALSE)*FB$1</f>
        <v>0</v>
      </c>
      <c r="FC311" s="3235">
        <f>$G311+FB311</f>
        <v>34371414</v>
      </c>
      <c r="FD311" s="3236">
        <f t="shared" si="947"/>
        <v>0</v>
      </c>
      <c r="FE311" s="3236">
        <f t="shared" si="948"/>
        <v>34371414</v>
      </c>
      <c r="FF311" s="3236">
        <f t="shared" si="949"/>
        <v>0</v>
      </c>
      <c r="FG311" s="3264"/>
      <c r="FJ311" s="3434">
        <f>VLOOKUP($A311,'New Resources - Group'!$A$4:$Y$133,FJ$2,FALSE)*FJ$1</f>
        <v>0</v>
      </c>
      <c r="FK311" s="3235">
        <f>$G311+FJ311</f>
        <v>34371414</v>
      </c>
      <c r="FL311" s="3236">
        <f t="shared" si="950"/>
        <v>0</v>
      </c>
      <c r="FM311" s="3236">
        <f t="shared" si="951"/>
        <v>34371414</v>
      </c>
      <c r="FN311" s="3236">
        <f t="shared" si="952"/>
        <v>0</v>
      </c>
      <c r="FO311" s="3264"/>
    </row>
    <row r="312" spans="1:171">
      <c r="A312" s="2102"/>
      <c r="B312" s="2290"/>
      <c r="C312" s="2116"/>
      <c r="D312" s="2098"/>
      <c r="E312" s="2116"/>
      <c r="F312" s="2116"/>
      <c r="G312" s="2181"/>
      <c r="H312" s="2181"/>
      <c r="I312" s="2181"/>
      <c r="J312" s="2200"/>
      <c r="K312" s="3205"/>
      <c r="S312" s="3264"/>
      <c r="AA312" s="3264"/>
      <c r="AI312" s="3264"/>
      <c r="AQ312" s="3264"/>
      <c r="AY312" s="3264"/>
      <c r="BG312" s="3264"/>
      <c r="BO312" s="3264"/>
      <c r="BW312" s="3264"/>
      <c r="CE312" s="3264"/>
      <c r="CM312" s="3264"/>
      <c r="CU312" s="3264"/>
      <c r="DC312" s="3264"/>
      <c r="DK312" s="3264"/>
      <c r="DS312" s="3264"/>
      <c r="EA312" s="3264"/>
      <c r="EI312" s="3264"/>
      <c r="EQ312" s="3264"/>
      <c r="EY312" s="3264"/>
      <c r="FG312" s="3264"/>
      <c r="FO312" s="3264"/>
    </row>
    <row r="313" spans="1:171">
      <c r="A313" s="2091" t="s">
        <v>48</v>
      </c>
      <c r="B313" s="2100"/>
      <c r="C313" s="3256"/>
      <c r="D313" s="3257"/>
      <c r="E313" s="3257"/>
      <c r="F313" s="3258"/>
      <c r="G313" s="3265">
        <f>SUM(G305:G311)</f>
        <v>101425371</v>
      </c>
      <c r="H313" s="3265">
        <f>SUM(H305:H311)</f>
        <v>46941385.813219115</v>
      </c>
      <c r="I313" s="3265">
        <f>SUM(I305:I311)</f>
        <v>0</v>
      </c>
      <c r="J313" s="3474">
        <f>SUM(J305:J311)</f>
        <v>54483985.496594332</v>
      </c>
      <c r="K313" s="3205"/>
      <c r="O313" s="3306">
        <f>SUM(O305:O311)</f>
        <v>101425371</v>
      </c>
      <c r="P313" s="3306">
        <f>SUM(P305:P311)</f>
        <v>46941385.813219115</v>
      </c>
      <c r="Q313" s="3306">
        <f>SUM(Q305:Q311)</f>
        <v>39023812.633945227</v>
      </c>
      <c r="R313" s="3306">
        <f>SUM(R305:R311)</f>
        <v>15460172.552835658</v>
      </c>
      <c r="S313" s="3264"/>
      <c r="W313" s="3306">
        <f>SUM(W305:W311)</f>
        <v>101425371</v>
      </c>
      <c r="X313" s="3306">
        <f>SUM(X305:X311)</f>
        <v>46941385.813219115</v>
      </c>
      <c r="Y313" s="3306">
        <f>SUM(Y305:Y311)</f>
        <v>39023812.633945227</v>
      </c>
      <c r="Z313" s="3306">
        <f>SUM(Z305:Z311)</f>
        <v>15460172.552835658</v>
      </c>
      <c r="AA313" s="3264"/>
      <c r="AE313" s="3306">
        <f>SUM(AE305:AE311)</f>
        <v>101425371</v>
      </c>
      <c r="AF313" s="3306">
        <f>SUM(AF305:AF311)</f>
        <v>46941385.813219115</v>
      </c>
      <c r="AG313" s="3306">
        <f>SUM(AG305:AG311)</f>
        <v>39023812.633945227</v>
      </c>
      <c r="AH313" s="3306">
        <f>SUM(AH305:AH311)</f>
        <v>15460172.552835658</v>
      </c>
      <c r="AI313" s="3264"/>
      <c r="AM313" s="3306">
        <f>SUM(AM305:AM311)</f>
        <v>101425371</v>
      </c>
      <c r="AN313" s="3306">
        <f>SUM(AN305:AN311)</f>
        <v>46941385.813219115</v>
      </c>
      <c r="AO313" s="3306">
        <f>SUM(AO305:AO311)</f>
        <v>39023812.633945227</v>
      </c>
      <c r="AP313" s="3306">
        <f>SUM(AP305:AP311)</f>
        <v>15460172.552835658</v>
      </c>
      <c r="AQ313" s="3264"/>
      <c r="AU313" s="3306">
        <f>SUM(AU305:AU311)</f>
        <v>101425371</v>
      </c>
      <c r="AV313" s="3306">
        <f>SUM(AV305:AV311)</f>
        <v>46941385.813219115</v>
      </c>
      <c r="AW313" s="3306">
        <f>SUM(AW305:AW311)</f>
        <v>39023812.633945227</v>
      </c>
      <c r="AX313" s="3306">
        <f>SUM(AX305:AX311)</f>
        <v>15460172.552835658</v>
      </c>
      <c r="AY313" s="3264"/>
      <c r="BC313" s="3306">
        <f>SUM(BC305:BC311)</f>
        <v>101425371</v>
      </c>
      <c r="BD313" s="3306">
        <f>SUM(BD305:BD311)</f>
        <v>46941385.813219115</v>
      </c>
      <c r="BE313" s="3306">
        <f>SUM(BE305:BE311)</f>
        <v>39023812.633945227</v>
      </c>
      <c r="BF313" s="3306">
        <f>SUM(BF305:BF311)</f>
        <v>15460172.552835658</v>
      </c>
      <c r="BG313" s="3264"/>
      <c r="BK313" s="3306">
        <f>SUM(BK305:BK311)</f>
        <v>101425371</v>
      </c>
      <c r="BL313" s="3306">
        <f>SUM(BL305:BL311)</f>
        <v>46941385.813219115</v>
      </c>
      <c r="BM313" s="3306">
        <f>SUM(BM305:BM311)</f>
        <v>39023812.633945227</v>
      </c>
      <c r="BN313" s="3306">
        <f>SUM(BN305:BN311)</f>
        <v>15460172.552835658</v>
      </c>
      <c r="BO313" s="3264"/>
      <c r="BS313" s="3306">
        <f>SUM(BS305:BS311)</f>
        <v>101425371</v>
      </c>
      <c r="BT313" s="3306">
        <f>SUM(BT305:BT311)</f>
        <v>46941385.813219115</v>
      </c>
      <c r="BU313" s="3306">
        <f>SUM(BU305:BU311)</f>
        <v>39023812.633945227</v>
      </c>
      <c r="BV313" s="3306">
        <f>SUM(BV305:BV311)</f>
        <v>15460172.552835658</v>
      </c>
      <c r="BW313" s="3264"/>
      <c r="CA313" s="3306">
        <f>SUM(CA305:CA311)</f>
        <v>101425371</v>
      </c>
      <c r="CB313" s="3306">
        <f>SUM(CB305:CB311)</f>
        <v>46941385.813219115</v>
      </c>
      <c r="CC313" s="3306">
        <f>SUM(CC305:CC311)</f>
        <v>39023812.633945227</v>
      </c>
      <c r="CD313" s="3306">
        <f>SUM(CD305:CD311)</f>
        <v>15460172.552835658</v>
      </c>
      <c r="CE313" s="3264"/>
      <c r="CI313" s="3306">
        <f>SUM(CI305:CI311)</f>
        <v>101425371</v>
      </c>
      <c r="CJ313" s="3306">
        <f>SUM(CJ305:CJ311)</f>
        <v>46941385.813219115</v>
      </c>
      <c r="CK313" s="3306">
        <f>SUM(CK305:CK311)</f>
        <v>39023812.633945227</v>
      </c>
      <c r="CL313" s="3306">
        <f>SUM(CL305:CL311)</f>
        <v>15460172.552835658</v>
      </c>
      <c r="CM313" s="3264"/>
      <c r="CQ313" s="3306">
        <f>SUM(CQ305:CQ311)</f>
        <v>101425371</v>
      </c>
      <c r="CR313" s="3306">
        <f>SUM(CR305:CR311)</f>
        <v>46941385.813219115</v>
      </c>
      <c r="CS313" s="3306">
        <f>SUM(CS305:CS311)</f>
        <v>39023812.633945227</v>
      </c>
      <c r="CT313" s="3306">
        <f>SUM(CT305:CT311)</f>
        <v>15460172.552835658</v>
      </c>
      <c r="CU313" s="3264"/>
      <c r="CY313" s="3306">
        <f>SUM(CY305:CY311)</f>
        <v>101425371</v>
      </c>
      <c r="CZ313" s="3306">
        <f>SUM(CZ305:CZ311)</f>
        <v>46941385.813219115</v>
      </c>
      <c r="DA313" s="3306">
        <f>SUM(DA305:DA311)</f>
        <v>39023812.633945227</v>
      </c>
      <c r="DB313" s="3306">
        <f>SUM(DB305:DB311)</f>
        <v>15460172.552835658</v>
      </c>
      <c r="DC313" s="3264"/>
      <c r="DG313" s="3306">
        <f>SUM(DG305:DG311)</f>
        <v>101425371</v>
      </c>
      <c r="DH313" s="3306">
        <f>SUM(DH305:DH311)</f>
        <v>46941385.813219115</v>
      </c>
      <c r="DI313" s="3306">
        <f>SUM(DI305:DI311)</f>
        <v>39023812.633945227</v>
      </c>
      <c r="DJ313" s="3306">
        <f>SUM(DJ305:DJ311)</f>
        <v>15460172.552835658</v>
      </c>
      <c r="DK313" s="3264"/>
      <c r="DO313" s="3306">
        <f>SUM(DO305:DO311)</f>
        <v>101425371</v>
      </c>
      <c r="DP313" s="3306">
        <f>SUM(DP305:DP311)</f>
        <v>46941385.813219115</v>
      </c>
      <c r="DQ313" s="3306">
        <f>SUM(DQ305:DQ311)</f>
        <v>39023812.633945227</v>
      </c>
      <c r="DR313" s="3306">
        <f>SUM(DR305:DR311)</f>
        <v>15460172.552835658</v>
      </c>
      <c r="DS313" s="3264"/>
      <c r="DW313" s="3306">
        <f>SUM(DW305:DW311)</f>
        <v>101425371</v>
      </c>
      <c r="DX313" s="3306">
        <f>SUM(DX305:DX311)</f>
        <v>46941385.813219115</v>
      </c>
      <c r="DY313" s="3306">
        <f>SUM(DY305:DY311)</f>
        <v>39023812.633945227</v>
      </c>
      <c r="DZ313" s="3306">
        <f>SUM(DZ305:DZ311)</f>
        <v>15460172.552835658</v>
      </c>
      <c r="EA313" s="3264"/>
      <c r="EE313" s="3306">
        <f>SUM(EE305:EE311)</f>
        <v>101425371</v>
      </c>
      <c r="EF313" s="3306">
        <f>SUM(EF305:EF311)</f>
        <v>46941385.813219115</v>
      </c>
      <c r="EG313" s="3306">
        <f>SUM(EG305:EG311)</f>
        <v>39023812.633945227</v>
      </c>
      <c r="EH313" s="3306">
        <f>SUM(EH305:EH311)</f>
        <v>15460172.552835658</v>
      </c>
      <c r="EI313" s="3264"/>
      <c r="EM313" s="3306">
        <f>SUM(EM305:EM311)</f>
        <v>101425371</v>
      </c>
      <c r="EN313" s="3306">
        <f>SUM(EN305:EN311)</f>
        <v>46941385.813219115</v>
      </c>
      <c r="EO313" s="3306">
        <f>SUM(EO305:EO311)</f>
        <v>39023812.633945227</v>
      </c>
      <c r="EP313" s="3306">
        <f>SUM(EP305:EP311)</f>
        <v>15460172.552835658</v>
      </c>
      <c r="EQ313" s="3264"/>
      <c r="EU313" s="3306">
        <f>SUM(EU305:EU311)</f>
        <v>101425371</v>
      </c>
      <c r="EV313" s="3306">
        <f>SUM(EV305:EV311)</f>
        <v>46941385.813219115</v>
      </c>
      <c r="EW313" s="3306">
        <f>SUM(EW305:EW311)</f>
        <v>39023812.633945227</v>
      </c>
      <c r="EX313" s="3306">
        <f>SUM(EX305:EX311)</f>
        <v>15460172.552835658</v>
      </c>
      <c r="EY313" s="3264"/>
      <c r="FC313" s="3306">
        <f>SUM(FC305:FC311)</f>
        <v>101425371</v>
      </c>
      <c r="FD313" s="3306">
        <f>SUM(FD305:FD311)</f>
        <v>46941385.813219115</v>
      </c>
      <c r="FE313" s="3306">
        <f>SUM(FE305:FE311)</f>
        <v>39023812.633945227</v>
      </c>
      <c r="FF313" s="3306">
        <f>SUM(FF305:FF311)</f>
        <v>15460172.552835658</v>
      </c>
      <c r="FG313" s="3264"/>
      <c r="FK313" s="3306">
        <f>SUM(FK305:FK311)</f>
        <v>101425371</v>
      </c>
      <c r="FL313" s="3306">
        <f>SUM(FL305:FL311)</f>
        <v>46941385.813219115</v>
      </c>
      <c r="FM313" s="3306">
        <f>SUM(FM305:FM311)</f>
        <v>39023812.633945227</v>
      </c>
      <c r="FN313" s="3306">
        <f>SUM(FN305:FN311)</f>
        <v>15460172.552835658</v>
      </c>
      <c r="FO313" s="3264"/>
    </row>
    <row r="314" spans="1:171">
      <c r="A314" s="2091"/>
      <c r="B314" s="2100"/>
      <c r="C314" s="2116"/>
      <c r="D314" s="2116"/>
      <c r="E314" s="2116"/>
      <c r="F314" s="2116"/>
      <c r="G314" s="3358"/>
      <c r="H314" s="3358"/>
      <c r="I314" s="3358"/>
      <c r="J314" s="3523"/>
      <c r="K314" s="3205"/>
      <c r="O314" s="2747"/>
      <c r="P314" s="2747"/>
      <c r="Q314" s="2747"/>
      <c r="R314" s="2747"/>
      <c r="S314" s="3264"/>
      <c r="W314" s="2747"/>
      <c r="X314" s="2747"/>
      <c r="Y314" s="2747"/>
      <c r="Z314" s="2747"/>
      <c r="AA314" s="3264"/>
      <c r="AE314" s="2747"/>
      <c r="AF314" s="2747"/>
      <c r="AG314" s="2747"/>
      <c r="AH314" s="2747"/>
      <c r="AI314" s="3264"/>
      <c r="AM314" s="2747"/>
      <c r="AN314" s="2747"/>
      <c r="AO314" s="2747"/>
      <c r="AP314" s="2747"/>
      <c r="AQ314" s="3264"/>
      <c r="AU314" s="2747"/>
      <c r="AV314" s="2747"/>
      <c r="AW314" s="2747"/>
      <c r="AX314" s="2747"/>
      <c r="AY314" s="3264"/>
      <c r="BC314" s="2747"/>
      <c r="BD314" s="2747"/>
      <c r="BE314" s="2747"/>
      <c r="BF314" s="2747"/>
      <c r="BG314" s="3264"/>
      <c r="BK314" s="2747"/>
      <c r="BL314" s="2747"/>
      <c r="BM314" s="2747"/>
      <c r="BN314" s="2747"/>
      <c r="BO314" s="3264"/>
      <c r="BS314" s="2747"/>
      <c r="BT314" s="2747"/>
      <c r="BU314" s="2747"/>
      <c r="BV314" s="2747"/>
      <c r="BW314" s="3264"/>
      <c r="CA314" s="2747"/>
      <c r="CB314" s="2747"/>
      <c r="CC314" s="2747"/>
      <c r="CD314" s="2747"/>
      <c r="CE314" s="3264"/>
      <c r="CI314" s="2747"/>
      <c r="CJ314" s="2747"/>
      <c r="CK314" s="2747"/>
      <c r="CL314" s="2747"/>
      <c r="CM314" s="3264"/>
      <c r="CQ314" s="2747"/>
      <c r="CR314" s="2747"/>
      <c r="CS314" s="2747"/>
      <c r="CT314" s="2747"/>
      <c r="CU314" s="3264"/>
      <c r="CY314" s="2747"/>
      <c r="CZ314" s="2747"/>
      <c r="DA314" s="2747"/>
      <c r="DB314" s="2747"/>
      <c r="DC314" s="3264"/>
      <c r="DG314" s="2747"/>
      <c r="DH314" s="2747"/>
      <c r="DI314" s="2747"/>
      <c r="DJ314" s="2747"/>
      <c r="DK314" s="3264"/>
      <c r="DO314" s="2747"/>
      <c r="DP314" s="2747"/>
      <c r="DQ314" s="2747"/>
      <c r="DR314" s="2747"/>
      <c r="DS314" s="3264"/>
      <c r="DW314" s="2747"/>
      <c r="DX314" s="2747"/>
      <c r="DY314" s="2747"/>
      <c r="DZ314" s="2747"/>
      <c r="EA314" s="3264"/>
      <c r="EE314" s="2747"/>
      <c r="EF314" s="2747"/>
      <c r="EG314" s="2747"/>
      <c r="EH314" s="2747"/>
      <c r="EI314" s="3264"/>
      <c r="EM314" s="2747"/>
      <c r="EN314" s="2747"/>
      <c r="EO314" s="2747"/>
      <c r="EP314" s="2747"/>
      <c r="EQ314" s="3264"/>
      <c r="EU314" s="2747"/>
      <c r="EV314" s="2747"/>
      <c r="EW314" s="2747"/>
      <c r="EX314" s="2747"/>
      <c r="EY314" s="3264"/>
      <c r="FC314" s="2747"/>
      <c r="FD314" s="2747"/>
      <c r="FE314" s="2747"/>
      <c r="FF314" s="2747"/>
      <c r="FG314" s="3264"/>
      <c r="FK314" s="2747"/>
      <c r="FL314" s="2747"/>
      <c r="FM314" s="2747"/>
      <c r="FN314" s="2747"/>
      <c r="FO314" s="3264"/>
    </row>
    <row r="315" spans="1:171">
      <c r="A315" s="2091" t="s">
        <v>49</v>
      </c>
      <c r="B315" s="2100"/>
      <c r="C315" s="3256"/>
      <c r="D315" s="3257"/>
      <c r="E315" s="3257"/>
      <c r="F315" s="3258"/>
      <c r="G315" s="3265">
        <f>+G313+G302+G298</f>
        <v>548884976</v>
      </c>
      <c r="H315" s="3265">
        <f>+H313+H302+H298</f>
        <v>753611619.51360643</v>
      </c>
      <c r="I315" s="3265">
        <f>+I313+I302+I298</f>
        <v>0</v>
      </c>
      <c r="J315" s="3474">
        <f>+J313+J302+J298</f>
        <v>-204726643.11770675</v>
      </c>
      <c r="K315" s="3205"/>
      <c r="O315" s="3306">
        <f>+O313+O302+O298</f>
        <v>548884976</v>
      </c>
      <c r="P315" s="3306">
        <f>+P313+P302+P298</f>
        <v>753611619.51360643</v>
      </c>
      <c r="Q315" s="3306">
        <f>+Q313+Q302+Q298</f>
        <v>39023812.633945227</v>
      </c>
      <c r="R315" s="3306">
        <f>+R313+R302+R298</f>
        <v>-243750456.14755172</v>
      </c>
      <c r="S315" s="3264"/>
      <c r="W315" s="3306">
        <f>+W313+W302+W298</f>
        <v>548884976</v>
      </c>
      <c r="X315" s="3306">
        <f>+X313+X302+X298</f>
        <v>753611619.51360643</v>
      </c>
      <c r="Y315" s="3306">
        <f>+Y313+Y302+Y298</f>
        <v>39023812.633945227</v>
      </c>
      <c r="Z315" s="3306">
        <f>+Z313+Z302+Z298</f>
        <v>-243750456.14755172</v>
      </c>
      <c r="AA315" s="3264"/>
      <c r="AE315" s="3306">
        <f>+AE313+AE302+AE298</f>
        <v>548884976</v>
      </c>
      <c r="AF315" s="3306">
        <f>+AF313+AF302+AF298</f>
        <v>753611619.51360643</v>
      </c>
      <c r="AG315" s="3306">
        <f>+AG313+AG302+AG298</f>
        <v>39023812.633945227</v>
      </c>
      <c r="AH315" s="3306">
        <f>+AH313+AH302+AH298</f>
        <v>-243750456.14755172</v>
      </c>
      <c r="AI315" s="3264"/>
      <c r="AM315" s="3306">
        <f>+AM313+AM302+AM298</f>
        <v>548884976</v>
      </c>
      <c r="AN315" s="3306">
        <f>+AN313+AN302+AN298</f>
        <v>753611619.51360643</v>
      </c>
      <c r="AO315" s="3306">
        <f>+AO313+AO302+AO298</f>
        <v>39023812.633945227</v>
      </c>
      <c r="AP315" s="3306">
        <f>+AP313+AP302+AP298</f>
        <v>-243750456.14755172</v>
      </c>
      <c r="AQ315" s="3264"/>
      <c r="AU315" s="3306">
        <f>+AU313+AU302+AU298</f>
        <v>548884976</v>
      </c>
      <c r="AV315" s="3306">
        <f>+AV313+AV302+AV298</f>
        <v>753611619.51360643</v>
      </c>
      <c r="AW315" s="3306">
        <f>+AW313+AW302+AW298</f>
        <v>39023812.633945227</v>
      </c>
      <c r="AX315" s="3306">
        <f>+AX313+AX302+AX298</f>
        <v>-243750456.14755172</v>
      </c>
      <c r="AY315" s="3264"/>
      <c r="BC315" s="3306">
        <f>+BC313+BC302+BC298</f>
        <v>548884976</v>
      </c>
      <c r="BD315" s="3306">
        <f>+BD313+BD302+BD298</f>
        <v>753611619.51360643</v>
      </c>
      <c r="BE315" s="3306">
        <f>+BE313+BE302+BE298</f>
        <v>39023812.633945227</v>
      </c>
      <c r="BF315" s="3306">
        <f>+BF313+BF302+BF298</f>
        <v>-243750456.14755172</v>
      </c>
      <c r="BG315" s="3264"/>
      <c r="BK315" s="3306">
        <f>+BK313+BK302+BK298</f>
        <v>548884976</v>
      </c>
      <c r="BL315" s="3306">
        <f>+BL313+BL302+BL298</f>
        <v>753611619.51360643</v>
      </c>
      <c r="BM315" s="3306">
        <f>+BM313+BM302+BM298</f>
        <v>39023812.633945227</v>
      </c>
      <c r="BN315" s="3306">
        <f>+BN313+BN302+BN298</f>
        <v>-243750456.14755172</v>
      </c>
      <c r="BO315" s="3264"/>
      <c r="BS315" s="3306">
        <f>+BS313+BS302+BS298</f>
        <v>548884976</v>
      </c>
      <c r="BT315" s="3306">
        <f>+BT313+BT302+BT298</f>
        <v>753611619.51360643</v>
      </c>
      <c r="BU315" s="3306">
        <f>+BU313+BU302+BU298</f>
        <v>39023812.633945227</v>
      </c>
      <c r="BV315" s="3306">
        <f>+BV313+BV302+BV298</f>
        <v>-243750456.14755172</v>
      </c>
      <c r="BW315" s="3264"/>
      <c r="CA315" s="3306">
        <f>+CA313+CA302+CA298</f>
        <v>548884976</v>
      </c>
      <c r="CB315" s="3306">
        <f>+CB313+CB302+CB298</f>
        <v>753611619.51360643</v>
      </c>
      <c r="CC315" s="3306">
        <f>+CC313+CC302+CC298</f>
        <v>39023812.633945227</v>
      </c>
      <c r="CD315" s="3306">
        <f>+CD313+CD302+CD298</f>
        <v>-243750456.14755172</v>
      </c>
      <c r="CE315" s="3264"/>
      <c r="CI315" s="3306">
        <f>+CI313+CI302+CI298</f>
        <v>548884976</v>
      </c>
      <c r="CJ315" s="3306">
        <f>+CJ313+CJ302+CJ298</f>
        <v>753611619.51360643</v>
      </c>
      <c r="CK315" s="3306">
        <f>+CK313+CK302+CK298</f>
        <v>39023812.633945227</v>
      </c>
      <c r="CL315" s="3306">
        <f>+CL313+CL302+CL298</f>
        <v>-243750456.14755172</v>
      </c>
      <c r="CM315" s="3264"/>
      <c r="CQ315" s="3306">
        <f>+CQ313+CQ302+CQ298</f>
        <v>548884976</v>
      </c>
      <c r="CR315" s="3306">
        <f>+CR313+CR302+CR298</f>
        <v>753611619.51360643</v>
      </c>
      <c r="CS315" s="3306">
        <f>+CS313+CS302+CS298</f>
        <v>39023812.633945227</v>
      </c>
      <c r="CT315" s="3306">
        <f>+CT313+CT302+CT298</f>
        <v>-243750456.14755172</v>
      </c>
      <c r="CU315" s="3264"/>
      <c r="CY315" s="3306">
        <f>+CY313+CY302+CY298</f>
        <v>548884976</v>
      </c>
      <c r="CZ315" s="3306">
        <f>+CZ313+CZ302+CZ298</f>
        <v>753611619.51360643</v>
      </c>
      <c r="DA315" s="3306">
        <f>+DA313+DA302+DA298</f>
        <v>39023812.633945227</v>
      </c>
      <c r="DB315" s="3306">
        <f>+DB313+DB302+DB298</f>
        <v>-243750456.14755172</v>
      </c>
      <c r="DC315" s="3264"/>
      <c r="DG315" s="3306">
        <f>+DG313+DG302+DG298</f>
        <v>548884976</v>
      </c>
      <c r="DH315" s="3306">
        <f>+DH313+DH302+DH298</f>
        <v>753611619.51360643</v>
      </c>
      <c r="DI315" s="3306">
        <f>+DI313+DI302+DI298</f>
        <v>39023812.633945227</v>
      </c>
      <c r="DJ315" s="3306">
        <f>+DJ313+DJ302+DJ298</f>
        <v>-243750456.14755172</v>
      </c>
      <c r="DK315" s="3264"/>
      <c r="DO315" s="3306">
        <f>+DO313+DO302+DO298</f>
        <v>548884976</v>
      </c>
      <c r="DP315" s="3306">
        <f>+DP313+DP302+DP298</f>
        <v>753611619.51360643</v>
      </c>
      <c r="DQ315" s="3306">
        <f>+DQ313+DQ302+DQ298</f>
        <v>39023812.633945227</v>
      </c>
      <c r="DR315" s="3306">
        <f>+DR313+DR302+DR298</f>
        <v>-243750456.14755172</v>
      </c>
      <c r="DS315" s="3264"/>
      <c r="DW315" s="3306">
        <f>+DW313+DW302+DW298</f>
        <v>548884976</v>
      </c>
      <c r="DX315" s="3306">
        <f>+DX313+DX302+DX298</f>
        <v>753611619.51360643</v>
      </c>
      <c r="DY315" s="3306">
        <f>+DY313+DY302+DY298</f>
        <v>39023812.633945227</v>
      </c>
      <c r="DZ315" s="3306">
        <f>+DZ313+DZ302+DZ298</f>
        <v>-243750456.14755172</v>
      </c>
      <c r="EA315" s="3264"/>
      <c r="EE315" s="3306">
        <f>+EE313+EE302+EE298</f>
        <v>548884976</v>
      </c>
      <c r="EF315" s="3306">
        <f>+EF313+EF302+EF298</f>
        <v>753611619.51360643</v>
      </c>
      <c r="EG315" s="3306">
        <f>+EG313+EG302+EG298</f>
        <v>39023812.633945227</v>
      </c>
      <c r="EH315" s="3306">
        <f>+EH313+EH302+EH298</f>
        <v>-243750456.14755172</v>
      </c>
      <c r="EI315" s="3264"/>
      <c r="EM315" s="3306">
        <f>+EM313+EM302+EM298</f>
        <v>548884976</v>
      </c>
      <c r="EN315" s="3306">
        <f>+EN313+EN302+EN298</f>
        <v>753611619.51360643</v>
      </c>
      <c r="EO315" s="3306">
        <f>+EO313+EO302+EO298</f>
        <v>39023812.633945227</v>
      </c>
      <c r="EP315" s="3306">
        <f>+EP313+EP302+EP298</f>
        <v>-243750456.14755172</v>
      </c>
      <c r="EQ315" s="3264"/>
      <c r="EU315" s="3306">
        <f>+EU313+EU302+EU298</f>
        <v>548884976</v>
      </c>
      <c r="EV315" s="3306">
        <f>+EV313+EV302+EV298</f>
        <v>753611619.51360643</v>
      </c>
      <c r="EW315" s="3306">
        <f>+EW313+EW302+EW298</f>
        <v>39023812.633945227</v>
      </c>
      <c r="EX315" s="3306">
        <f>+EX313+EX302+EX298</f>
        <v>-243750456.14755172</v>
      </c>
      <c r="EY315" s="3264"/>
      <c r="FC315" s="3306">
        <f>+FC313+FC302+FC298</f>
        <v>548884976</v>
      </c>
      <c r="FD315" s="3306">
        <f>+FD313+FD302+FD298</f>
        <v>753611619.51360643</v>
      </c>
      <c r="FE315" s="3306">
        <f>+FE313+FE302+FE298</f>
        <v>39023812.633945227</v>
      </c>
      <c r="FF315" s="3306">
        <f>+FF313+FF302+FF298</f>
        <v>-243750456.14755172</v>
      </c>
      <c r="FG315" s="3264"/>
      <c r="FK315" s="3306">
        <f>+FK313+FK302+FK298</f>
        <v>548884976</v>
      </c>
      <c r="FL315" s="3306">
        <f>+FL313+FL302+FL298</f>
        <v>753611619.51360643</v>
      </c>
      <c r="FM315" s="3306">
        <f>+FM313+FM302+FM298</f>
        <v>39023812.633945227</v>
      </c>
      <c r="FN315" s="3306">
        <f>+FN313+FN302+FN298</f>
        <v>-243750456.14755172</v>
      </c>
      <c r="FO315" s="3264"/>
    </row>
    <row r="316" spans="1:171">
      <c r="A316" s="2214" t="s">
        <v>67</v>
      </c>
      <c r="B316" s="2100"/>
      <c r="C316" s="2290"/>
      <c r="D316" s="2290"/>
      <c r="E316" s="2290"/>
      <c r="F316" s="2290"/>
      <c r="G316" s="2290"/>
      <c r="H316" s="2290"/>
      <c r="I316" s="2290"/>
      <c r="J316" s="3524"/>
      <c r="K316" s="3205"/>
      <c r="S316" s="3264"/>
      <c r="AA316" s="3264"/>
      <c r="AI316" s="3264"/>
      <c r="AQ316" s="3264"/>
      <c r="AY316" s="3264"/>
      <c r="BG316" s="3264"/>
      <c r="BO316" s="3264"/>
      <c r="BW316" s="3264"/>
      <c r="CE316" s="3264"/>
      <c r="CM316" s="3264"/>
      <c r="CU316" s="3264"/>
      <c r="DC316" s="3264"/>
      <c r="DK316" s="3264"/>
      <c r="DS316" s="3264"/>
      <c r="EA316" s="3264"/>
      <c r="EI316" s="3264"/>
      <c r="EQ316" s="3264"/>
      <c r="EY316" s="3264"/>
      <c r="FG316" s="3264"/>
      <c r="FO316" s="3264"/>
    </row>
    <row r="317" spans="1:171" ht="12" thickBot="1">
      <c r="A317" s="3525"/>
      <c r="B317" s="2716"/>
      <c r="C317" s="2716"/>
      <c r="D317" s="2716"/>
      <c r="E317" s="2716"/>
      <c r="F317" s="2716"/>
      <c r="G317" s="2716"/>
      <c r="H317" s="2716"/>
      <c r="I317" s="2716"/>
      <c r="J317" s="3526"/>
      <c r="K317" s="3205"/>
      <c r="S317" s="3264"/>
      <c r="AA317" s="3264"/>
      <c r="AI317" s="3264"/>
      <c r="AQ317" s="3264"/>
      <c r="AY317" s="3264"/>
      <c r="BG317" s="3264"/>
      <c r="BO317" s="3264"/>
      <c r="BW317" s="3264"/>
      <c r="CE317" s="3264"/>
      <c r="CM317" s="3264"/>
      <c r="CU317" s="3264"/>
      <c r="DC317" s="3264"/>
      <c r="DK317" s="3264"/>
      <c r="DS317" s="3264"/>
      <c r="EA317" s="3264"/>
      <c r="EI317" s="3264"/>
      <c r="EQ317" s="3264"/>
      <c r="EY317" s="3264"/>
      <c r="FG317" s="3264"/>
      <c r="FO317" s="3264"/>
    </row>
    <row r="318" spans="1:171" ht="12.75" thickTop="1" thickBot="1">
      <c r="A318" s="3527" t="s">
        <v>66</v>
      </c>
      <c r="B318" s="3362"/>
      <c r="C318" s="3362"/>
      <c r="D318" s="3362"/>
      <c r="E318" s="3362"/>
      <c r="F318" s="3363"/>
      <c r="G318" s="3363"/>
      <c r="H318" s="3363"/>
      <c r="I318" s="3362"/>
      <c r="J318" s="3528"/>
      <c r="K318" s="3205"/>
      <c r="S318" s="3264"/>
      <c r="AA318" s="3264"/>
      <c r="AI318" s="3264"/>
      <c r="AQ318" s="3264"/>
      <c r="AY318" s="3264"/>
      <c r="BG318" s="3264"/>
      <c r="BO318" s="3264"/>
      <c r="BW318" s="3264"/>
      <c r="CE318" s="3264"/>
      <c r="CM318" s="3264"/>
      <c r="CU318" s="3264"/>
      <c r="DC318" s="3264"/>
      <c r="DK318" s="3264"/>
      <c r="DS318" s="3264"/>
      <c r="EA318" s="3264"/>
      <c r="EI318" s="3264"/>
      <c r="EQ318" s="3264"/>
      <c r="EY318" s="3264"/>
      <c r="FG318" s="3264"/>
      <c r="FO318" s="3264"/>
    </row>
    <row r="319" spans="1:171">
      <c r="A319" s="3529"/>
      <c r="B319" s="3365"/>
      <c r="C319" s="3366"/>
      <c r="D319" s="3366"/>
      <c r="E319" s="3366"/>
      <c r="F319" s="3366"/>
      <c r="G319" s="3365"/>
      <c r="H319" s="3365"/>
      <c r="I319" s="3365"/>
      <c r="J319" s="3530"/>
      <c r="K319" s="3205"/>
      <c r="S319" s="3264"/>
      <c r="AA319" s="3264"/>
      <c r="AI319" s="3264"/>
      <c r="AQ319" s="3264"/>
      <c r="AY319" s="3264"/>
      <c r="BG319" s="3264"/>
      <c r="BO319" s="3264"/>
      <c r="BW319" s="3264"/>
      <c r="CE319" s="3264"/>
      <c r="CM319" s="3264"/>
      <c r="CU319" s="3264"/>
      <c r="DC319" s="3264"/>
      <c r="DK319" s="3264"/>
      <c r="DS319" s="3264"/>
      <c r="EA319" s="3264"/>
      <c r="EI319" s="3264"/>
      <c r="EQ319" s="3264"/>
      <c r="EY319" s="3264"/>
      <c r="FG319" s="3264"/>
      <c r="FO319" s="3264"/>
    </row>
    <row r="320" spans="1:171" ht="12" thickBot="1">
      <c r="A320" s="3515"/>
      <c r="B320" s="3347"/>
      <c r="G320" s="3369" t="s">
        <v>97</v>
      </c>
      <c r="H320" s="3369" t="s">
        <v>97</v>
      </c>
      <c r="I320" s="3369" t="s">
        <v>97</v>
      </c>
      <c r="J320" s="3531" t="s">
        <v>97</v>
      </c>
      <c r="K320" s="3205"/>
      <c r="S320" s="3264"/>
      <c r="AA320" s="3264"/>
      <c r="AI320" s="3264"/>
      <c r="AQ320" s="3264"/>
      <c r="AY320" s="3264"/>
      <c r="BG320" s="3264"/>
      <c r="BO320" s="3264"/>
      <c r="BW320" s="3264"/>
      <c r="CE320" s="3264"/>
      <c r="CM320" s="3264"/>
      <c r="CU320" s="3264"/>
      <c r="DC320" s="3264"/>
      <c r="DK320" s="3264"/>
      <c r="DS320" s="3264"/>
      <c r="EA320" s="3264"/>
      <c r="EI320" s="3264"/>
      <c r="EQ320" s="3264"/>
      <c r="EY320" s="3264"/>
      <c r="FG320" s="3264"/>
      <c r="FO320" s="3264"/>
    </row>
    <row r="321" spans="1:171" ht="12" thickBot="1">
      <c r="A321" s="3452"/>
      <c r="G321" s="2726" t="s">
        <v>104</v>
      </c>
      <c r="H321" s="2726" t="s">
        <v>105</v>
      </c>
      <c r="I321" s="2726" t="s">
        <v>106</v>
      </c>
      <c r="J321" s="3532" t="s">
        <v>511</v>
      </c>
      <c r="K321" s="3205"/>
      <c r="O321" s="2726" t="s">
        <v>104</v>
      </c>
      <c r="P321" s="2726" t="s">
        <v>105</v>
      </c>
      <c r="Q321" s="2726" t="s">
        <v>106</v>
      </c>
      <c r="R321" s="2726" t="s">
        <v>511</v>
      </c>
      <c r="S321" s="3205"/>
      <c r="W321" s="2726" t="s">
        <v>104</v>
      </c>
      <c r="X321" s="2726" t="s">
        <v>105</v>
      </c>
      <c r="Y321" s="2726" t="s">
        <v>106</v>
      </c>
      <c r="Z321" s="2726" t="s">
        <v>511</v>
      </c>
      <c r="AA321" s="3205"/>
      <c r="AE321" s="2726" t="s">
        <v>104</v>
      </c>
      <c r="AF321" s="2726" t="s">
        <v>105</v>
      </c>
      <c r="AG321" s="2726" t="s">
        <v>106</v>
      </c>
      <c r="AH321" s="2726" t="s">
        <v>511</v>
      </c>
      <c r="AI321" s="3205"/>
      <c r="AM321" s="2726" t="s">
        <v>104</v>
      </c>
      <c r="AN321" s="2726" t="s">
        <v>105</v>
      </c>
      <c r="AO321" s="2726" t="s">
        <v>106</v>
      </c>
      <c r="AP321" s="2726" t="s">
        <v>511</v>
      </c>
      <c r="AQ321" s="3205"/>
      <c r="AU321" s="2726" t="s">
        <v>104</v>
      </c>
      <c r="AV321" s="2726" t="s">
        <v>105</v>
      </c>
      <c r="AW321" s="2726" t="s">
        <v>106</v>
      </c>
      <c r="AX321" s="2726" t="s">
        <v>511</v>
      </c>
      <c r="AY321" s="3205"/>
      <c r="BC321" s="2726" t="s">
        <v>104</v>
      </c>
      <c r="BD321" s="2726" t="s">
        <v>105</v>
      </c>
      <c r="BE321" s="2726" t="s">
        <v>106</v>
      </c>
      <c r="BF321" s="2726" t="s">
        <v>511</v>
      </c>
      <c r="BG321" s="3205"/>
      <c r="BK321" s="2726" t="s">
        <v>104</v>
      </c>
      <c r="BL321" s="2726" t="s">
        <v>105</v>
      </c>
      <c r="BM321" s="2726" t="s">
        <v>106</v>
      </c>
      <c r="BN321" s="2726" t="s">
        <v>511</v>
      </c>
      <c r="BO321" s="3205"/>
      <c r="BS321" s="2726" t="s">
        <v>104</v>
      </c>
      <c r="BT321" s="2726" t="s">
        <v>105</v>
      </c>
      <c r="BU321" s="2726" t="s">
        <v>106</v>
      </c>
      <c r="BV321" s="2726" t="s">
        <v>511</v>
      </c>
      <c r="BW321" s="3205"/>
      <c r="CA321" s="2726" t="s">
        <v>104</v>
      </c>
      <c r="CB321" s="2726" t="s">
        <v>105</v>
      </c>
      <c r="CC321" s="2726" t="s">
        <v>106</v>
      </c>
      <c r="CD321" s="2726" t="s">
        <v>511</v>
      </c>
      <c r="CE321" s="3205"/>
      <c r="CI321" s="2726" t="s">
        <v>104</v>
      </c>
      <c r="CJ321" s="2726" t="s">
        <v>105</v>
      </c>
      <c r="CK321" s="2726" t="s">
        <v>106</v>
      </c>
      <c r="CL321" s="2726" t="s">
        <v>511</v>
      </c>
      <c r="CM321" s="3205"/>
      <c r="CQ321" s="2726" t="s">
        <v>104</v>
      </c>
      <c r="CR321" s="2726" t="s">
        <v>105</v>
      </c>
      <c r="CS321" s="2726" t="s">
        <v>106</v>
      </c>
      <c r="CT321" s="2726" t="s">
        <v>511</v>
      </c>
      <c r="CU321" s="3205"/>
      <c r="CY321" s="2726" t="s">
        <v>104</v>
      </c>
      <c r="CZ321" s="2726" t="s">
        <v>105</v>
      </c>
      <c r="DA321" s="2726" t="s">
        <v>106</v>
      </c>
      <c r="DB321" s="2726" t="s">
        <v>511</v>
      </c>
      <c r="DC321" s="3205"/>
      <c r="DG321" s="2726" t="s">
        <v>104</v>
      </c>
      <c r="DH321" s="2726" t="s">
        <v>105</v>
      </c>
      <c r="DI321" s="2726" t="s">
        <v>106</v>
      </c>
      <c r="DJ321" s="2726" t="s">
        <v>511</v>
      </c>
      <c r="DK321" s="3205"/>
      <c r="DO321" s="2726" t="s">
        <v>104</v>
      </c>
      <c r="DP321" s="2726" t="s">
        <v>105</v>
      </c>
      <c r="DQ321" s="2726" t="s">
        <v>106</v>
      </c>
      <c r="DR321" s="2726" t="s">
        <v>511</v>
      </c>
      <c r="DS321" s="3205"/>
      <c r="DW321" s="2726" t="s">
        <v>104</v>
      </c>
      <c r="DX321" s="2726" t="s">
        <v>105</v>
      </c>
      <c r="DY321" s="2726" t="s">
        <v>106</v>
      </c>
      <c r="DZ321" s="2726" t="s">
        <v>511</v>
      </c>
      <c r="EA321" s="3205"/>
      <c r="EE321" s="2726" t="s">
        <v>104</v>
      </c>
      <c r="EF321" s="2726" t="s">
        <v>105</v>
      </c>
      <c r="EG321" s="2726" t="s">
        <v>106</v>
      </c>
      <c r="EH321" s="2726" t="s">
        <v>511</v>
      </c>
      <c r="EI321" s="3205"/>
      <c r="EM321" s="2726" t="s">
        <v>104</v>
      </c>
      <c r="EN321" s="2726" t="s">
        <v>105</v>
      </c>
      <c r="EO321" s="2726" t="s">
        <v>106</v>
      </c>
      <c r="EP321" s="2726" t="s">
        <v>511</v>
      </c>
      <c r="EQ321" s="3205"/>
      <c r="EU321" s="2726" t="s">
        <v>104</v>
      </c>
      <c r="EV321" s="2726" t="s">
        <v>105</v>
      </c>
      <c r="EW321" s="2726" t="s">
        <v>106</v>
      </c>
      <c r="EX321" s="2726" t="s">
        <v>511</v>
      </c>
      <c r="EY321" s="3205"/>
      <c r="FC321" s="2726" t="s">
        <v>104</v>
      </c>
      <c r="FD321" s="2726" t="s">
        <v>105</v>
      </c>
      <c r="FE321" s="2726" t="s">
        <v>106</v>
      </c>
      <c r="FF321" s="2726" t="s">
        <v>511</v>
      </c>
      <c r="FG321" s="3205"/>
      <c r="FK321" s="2726" t="s">
        <v>104</v>
      </c>
      <c r="FL321" s="2726" t="s">
        <v>105</v>
      </c>
      <c r="FM321" s="2726" t="s">
        <v>106</v>
      </c>
      <c r="FN321" s="2726" t="s">
        <v>511</v>
      </c>
      <c r="FO321" s="3205"/>
    </row>
    <row r="322" spans="1:171">
      <c r="A322" s="2091" t="s">
        <v>50</v>
      </c>
      <c r="B322" s="2686"/>
      <c r="G322" s="3265">
        <f>G260</f>
        <v>2931166699.0700002</v>
      </c>
      <c r="H322" s="3265">
        <f>H260</f>
        <v>2250420319.9548378</v>
      </c>
      <c r="I322" s="3265">
        <f>I260</f>
        <v>0</v>
      </c>
      <c r="J322" s="3474">
        <f>J260</f>
        <v>680746379.22390342</v>
      </c>
      <c r="K322" s="3205"/>
      <c r="O322" s="3265">
        <f>O260</f>
        <v>2931166699.0700002</v>
      </c>
      <c r="P322" s="3265">
        <f>P260</f>
        <v>2250420319.9548378</v>
      </c>
      <c r="Q322" s="3265">
        <f>Q260</f>
        <v>76289071.233353645</v>
      </c>
      <c r="R322" s="3265">
        <f>R260</f>
        <v>604457307.8818084</v>
      </c>
      <c r="S322" s="3205"/>
      <c r="W322" s="3265">
        <f>W260</f>
        <v>2931166699.0700002</v>
      </c>
      <c r="X322" s="3265">
        <f>X260</f>
        <v>2250420319.9548378</v>
      </c>
      <c r="Y322" s="3265">
        <f>Y260</f>
        <v>76289071.233353645</v>
      </c>
      <c r="Z322" s="3265">
        <f>Z260</f>
        <v>604457307.8818084</v>
      </c>
      <c r="AA322" s="3205"/>
      <c r="AE322" s="3265">
        <f>AE260</f>
        <v>2931166699.0700002</v>
      </c>
      <c r="AF322" s="3265">
        <f>AF260</f>
        <v>2250420319.9548378</v>
      </c>
      <c r="AG322" s="3265">
        <f>AG260</f>
        <v>76289071.233353645</v>
      </c>
      <c r="AH322" s="3265">
        <f>AH260</f>
        <v>604457307.8818084</v>
      </c>
      <c r="AI322" s="3205"/>
      <c r="AM322" s="3265">
        <f>AM260</f>
        <v>2931166699.0700002</v>
      </c>
      <c r="AN322" s="3265">
        <f>AN260</f>
        <v>2250420319.9548378</v>
      </c>
      <c r="AO322" s="3265">
        <f>AO260</f>
        <v>76289071.233353645</v>
      </c>
      <c r="AP322" s="3265">
        <f>AP260</f>
        <v>604457307.8818084</v>
      </c>
      <c r="AQ322" s="3205"/>
      <c r="AU322" s="3265">
        <f>AU260</f>
        <v>2931166699.0700002</v>
      </c>
      <c r="AV322" s="3265">
        <f>AV260</f>
        <v>2250420319.9548378</v>
      </c>
      <c r="AW322" s="3265">
        <f>AW260</f>
        <v>76289071.233353645</v>
      </c>
      <c r="AX322" s="3265">
        <f>AX260</f>
        <v>604457307.8818084</v>
      </c>
      <c r="AY322" s="3205"/>
      <c r="BC322" s="3265">
        <f>BC260</f>
        <v>2931166699.0700002</v>
      </c>
      <c r="BD322" s="3265">
        <f>BD260</f>
        <v>2250420319.9548378</v>
      </c>
      <c r="BE322" s="3265">
        <f>BE260</f>
        <v>76289071.233353645</v>
      </c>
      <c r="BF322" s="3265">
        <f>BF260</f>
        <v>604457307.8818084</v>
      </c>
      <c r="BG322" s="3205"/>
      <c r="BK322" s="3265">
        <f>BK260</f>
        <v>2931166699.0700002</v>
      </c>
      <c r="BL322" s="3265">
        <f>BL260</f>
        <v>2250420319.9548378</v>
      </c>
      <c r="BM322" s="3265">
        <f>BM260</f>
        <v>76289071.233353645</v>
      </c>
      <c r="BN322" s="3265">
        <f>BN260</f>
        <v>604457307.8818084</v>
      </c>
      <c r="BO322" s="3205"/>
      <c r="BS322" s="3265">
        <f>BS260</f>
        <v>2931166699.0700002</v>
      </c>
      <c r="BT322" s="3265">
        <f>BT260</f>
        <v>2250420319.9548378</v>
      </c>
      <c r="BU322" s="3265">
        <f>BU260</f>
        <v>76289071.233353645</v>
      </c>
      <c r="BV322" s="3265">
        <f>BV260</f>
        <v>604457307.8818084</v>
      </c>
      <c r="BW322" s="3205"/>
      <c r="CA322" s="3265">
        <f>CA260</f>
        <v>2931166699.0700002</v>
      </c>
      <c r="CB322" s="3265">
        <f>CB260</f>
        <v>2250420319.9548378</v>
      </c>
      <c r="CC322" s="3265">
        <f>CC260</f>
        <v>76289071.233353645</v>
      </c>
      <c r="CD322" s="3265">
        <f>CD260</f>
        <v>604457307.8818084</v>
      </c>
      <c r="CE322" s="3205"/>
      <c r="CI322" s="3265">
        <f>CI260</f>
        <v>2931166699.0700002</v>
      </c>
      <c r="CJ322" s="3265">
        <f>CJ260</f>
        <v>2250420319.9548378</v>
      </c>
      <c r="CK322" s="3265">
        <f>CK260</f>
        <v>76289071.233353645</v>
      </c>
      <c r="CL322" s="3265">
        <f>CL260</f>
        <v>604457307.8818084</v>
      </c>
      <c r="CM322" s="3205"/>
      <c r="CQ322" s="3265">
        <f>CQ260</f>
        <v>2931166699.0700002</v>
      </c>
      <c r="CR322" s="3265">
        <f>CR260</f>
        <v>2250420319.9548378</v>
      </c>
      <c r="CS322" s="3265">
        <f>CS260</f>
        <v>76289071.233353645</v>
      </c>
      <c r="CT322" s="3265">
        <f>CT260</f>
        <v>604457307.8818084</v>
      </c>
      <c r="CU322" s="3205"/>
      <c r="CY322" s="3265">
        <f>CY260</f>
        <v>2931166699.0700002</v>
      </c>
      <c r="CZ322" s="3265">
        <f>CZ260</f>
        <v>2250420319.9548378</v>
      </c>
      <c r="DA322" s="3265">
        <f>DA260</f>
        <v>76289071.233353645</v>
      </c>
      <c r="DB322" s="3265">
        <f>DB260</f>
        <v>604457307.8818084</v>
      </c>
      <c r="DC322" s="3205"/>
      <c r="DG322" s="3265">
        <f>DG260</f>
        <v>2931166699.0700002</v>
      </c>
      <c r="DH322" s="3265">
        <f>DH260</f>
        <v>2250420319.9548378</v>
      </c>
      <c r="DI322" s="3265">
        <f>DI260</f>
        <v>76289071.233353645</v>
      </c>
      <c r="DJ322" s="3265">
        <f>DJ260</f>
        <v>604457307.8818084</v>
      </c>
      <c r="DK322" s="3205"/>
      <c r="DO322" s="3265">
        <f>DO260</f>
        <v>2931166699.0700002</v>
      </c>
      <c r="DP322" s="3265">
        <f>DP260</f>
        <v>2250420319.9548378</v>
      </c>
      <c r="DQ322" s="3265">
        <f>DQ260</f>
        <v>76289071.233353645</v>
      </c>
      <c r="DR322" s="3265">
        <f>DR260</f>
        <v>604457307.8818084</v>
      </c>
      <c r="DS322" s="3205"/>
      <c r="DW322" s="3265">
        <f>DW260</f>
        <v>2931166699.0700002</v>
      </c>
      <c r="DX322" s="3265">
        <f>DX260</f>
        <v>2250420319.9548378</v>
      </c>
      <c r="DY322" s="3265">
        <f>DY260</f>
        <v>76289071.233353645</v>
      </c>
      <c r="DZ322" s="3265">
        <f>DZ260</f>
        <v>604457307.8818084</v>
      </c>
      <c r="EA322" s="3205"/>
      <c r="EE322" s="3265">
        <f>EE260</f>
        <v>2931166699.0700002</v>
      </c>
      <c r="EF322" s="3265">
        <f>EF260</f>
        <v>2250420319.9548378</v>
      </c>
      <c r="EG322" s="3265">
        <f>EG260</f>
        <v>76289071.233353645</v>
      </c>
      <c r="EH322" s="3265">
        <f>EH260</f>
        <v>604457307.8818084</v>
      </c>
      <c r="EI322" s="3205"/>
      <c r="EM322" s="3265">
        <f>EM260</f>
        <v>2931166699.0700002</v>
      </c>
      <c r="EN322" s="3265">
        <f>EN260</f>
        <v>2250420319.9548378</v>
      </c>
      <c r="EO322" s="3265">
        <f>EO260</f>
        <v>76289071.233353645</v>
      </c>
      <c r="EP322" s="3265">
        <f>EP260</f>
        <v>604457307.8818084</v>
      </c>
      <c r="EQ322" s="3205"/>
      <c r="EU322" s="3265">
        <f>EU260</f>
        <v>2931166699.0700002</v>
      </c>
      <c r="EV322" s="3265">
        <f>EV260</f>
        <v>2250420319.9548378</v>
      </c>
      <c r="EW322" s="3265">
        <f>EW260</f>
        <v>76289071.233353645</v>
      </c>
      <c r="EX322" s="3265">
        <f>EX260</f>
        <v>604457307.8818084</v>
      </c>
      <c r="EY322" s="3205"/>
      <c r="FC322" s="3265">
        <f>FC260</f>
        <v>2931166699.0700002</v>
      </c>
      <c r="FD322" s="3265">
        <f>FD260</f>
        <v>2250420319.9548378</v>
      </c>
      <c r="FE322" s="3265">
        <f>FE260</f>
        <v>76289071.233353645</v>
      </c>
      <c r="FF322" s="3265">
        <f>FF260</f>
        <v>604457307.8818084</v>
      </c>
      <c r="FG322" s="3205"/>
      <c r="FK322" s="3265">
        <f>FK260</f>
        <v>2931166699.0700002</v>
      </c>
      <c r="FL322" s="3265">
        <f>FL260</f>
        <v>2250420319.9548378</v>
      </c>
      <c r="FM322" s="3265">
        <f>FM260</f>
        <v>76289071.233353645</v>
      </c>
      <c r="FN322" s="3265">
        <f>FN260</f>
        <v>604457307.8818084</v>
      </c>
      <c r="FO322" s="3205"/>
    </row>
    <row r="323" spans="1:171">
      <c r="A323" s="2214" t="s">
        <v>68</v>
      </c>
      <c r="B323" s="2686"/>
      <c r="G323" s="2181"/>
      <c r="H323" s="2181"/>
      <c r="I323" s="2181"/>
      <c r="J323" s="2200"/>
      <c r="K323" s="3205"/>
      <c r="O323" s="2181"/>
      <c r="P323" s="2181"/>
      <c r="Q323" s="2181"/>
      <c r="R323" s="3374"/>
      <c r="S323" s="3205"/>
      <c r="W323" s="2181"/>
      <c r="X323" s="2181"/>
      <c r="Y323" s="2181"/>
      <c r="Z323" s="3374"/>
      <c r="AA323" s="3205"/>
      <c r="AE323" s="2181"/>
      <c r="AF323" s="2181"/>
      <c r="AG323" s="2181"/>
      <c r="AH323" s="3374"/>
      <c r="AI323" s="3205"/>
      <c r="AM323" s="2181"/>
      <c r="AN323" s="2181"/>
      <c r="AO323" s="2181"/>
      <c r="AP323" s="3374"/>
      <c r="AQ323" s="3205"/>
      <c r="AU323" s="2181"/>
      <c r="AV323" s="2181"/>
      <c r="AW323" s="2181"/>
      <c r="AX323" s="3374"/>
      <c r="AY323" s="3205"/>
      <c r="BC323" s="2181"/>
      <c r="BD323" s="2181"/>
      <c r="BE323" s="2181"/>
      <c r="BF323" s="3374"/>
      <c r="BG323" s="3205"/>
      <c r="BK323" s="2181"/>
      <c r="BL323" s="2181"/>
      <c r="BM323" s="2181"/>
      <c r="BN323" s="3374"/>
      <c r="BO323" s="3205"/>
      <c r="BS323" s="2181"/>
      <c r="BT323" s="2181"/>
      <c r="BU323" s="2181"/>
      <c r="BV323" s="3374"/>
      <c r="BW323" s="3205"/>
      <c r="CA323" s="2181"/>
      <c r="CB323" s="2181"/>
      <c r="CC323" s="2181"/>
      <c r="CD323" s="3374"/>
      <c r="CE323" s="3205"/>
      <c r="CI323" s="2181"/>
      <c r="CJ323" s="2181"/>
      <c r="CK323" s="2181"/>
      <c r="CL323" s="3374"/>
      <c r="CM323" s="3205"/>
      <c r="CQ323" s="2181"/>
      <c r="CR323" s="2181"/>
      <c r="CS323" s="2181"/>
      <c r="CT323" s="3374"/>
      <c r="CU323" s="3205"/>
      <c r="CY323" s="2181"/>
      <c r="CZ323" s="2181"/>
      <c r="DA323" s="2181"/>
      <c r="DB323" s="3374"/>
      <c r="DC323" s="3205"/>
      <c r="DG323" s="2181"/>
      <c r="DH323" s="2181"/>
      <c r="DI323" s="2181"/>
      <c r="DJ323" s="3374"/>
      <c r="DK323" s="3205"/>
      <c r="DO323" s="2181"/>
      <c r="DP323" s="2181"/>
      <c r="DQ323" s="2181"/>
      <c r="DR323" s="3374"/>
      <c r="DS323" s="3205"/>
      <c r="DW323" s="2181"/>
      <c r="DX323" s="2181"/>
      <c r="DY323" s="2181"/>
      <c r="DZ323" s="3374"/>
      <c r="EA323" s="3205"/>
      <c r="EE323" s="2181"/>
      <c r="EF323" s="2181"/>
      <c r="EG323" s="2181"/>
      <c r="EH323" s="3374"/>
      <c r="EI323" s="3205"/>
      <c r="EM323" s="2181"/>
      <c r="EN323" s="2181"/>
      <c r="EO323" s="2181"/>
      <c r="EP323" s="3374"/>
      <c r="EQ323" s="3205"/>
      <c r="EU323" s="2181"/>
      <c r="EV323" s="2181"/>
      <c r="EW323" s="2181"/>
      <c r="EX323" s="3374"/>
      <c r="EY323" s="3205"/>
      <c r="FC323" s="2181"/>
      <c r="FD323" s="2181"/>
      <c r="FE323" s="2181"/>
      <c r="FF323" s="3374"/>
      <c r="FG323" s="3205"/>
      <c r="FK323" s="2181"/>
      <c r="FL323" s="2181"/>
      <c r="FM323" s="2181"/>
      <c r="FN323" s="3374"/>
      <c r="FO323" s="3205"/>
    </row>
    <row r="324" spans="1:171">
      <c r="A324" s="2214"/>
      <c r="B324" s="2686"/>
      <c r="G324" s="2181"/>
      <c r="H324" s="2181"/>
      <c r="I324" s="2181"/>
      <c r="J324" s="2200"/>
      <c r="K324" s="3205"/>
      <c r="O324" s="2181"/>
      <c r="P324" s="2181"/>
      <c r="Q324" s="2181"/>
      <c r="R324" s="3374"/>
      <c r="S324" s="3205"/>
      <c r="W324" s="2181"/>
      <c r="X324" s="2181"/>
      <c r="Y324" s="2181"/>
      <c r="Z324" s="3374"/>
      <c r="AA324" s="3205"/>
      <c r="AE324" s="2181"/>
      <c r="AF324" s="2181"/>
      <c r="AG324" s="2181"/>
      <c r="AH324" s="3374"/>
      <c r="AI324" s="3205"/>
      <c r="AM324" s="2181"/>
      <c r="AN324" s="2181"/>
      <c r="AO324" s="2181"/>
      <c r="AP324" s="3374"/>
      <c r="AQ324" s="3205"/>
      <c r="AU324" s="2181"/>
      <c r="AV324" s="2181"/>
      <c r="AW324" s="2181"/>
      <c r="AX324" s="3374"/>
      <c r="AY324" s="3205"/>
      <c r="BC324" s="2181"/>
      <c r="BD324" s="2181"/>
      <c r="BE324" s="2181"/>
      <c r="BF324" s="3374"/>
      <c r="BG324" s="3205"/>
      <c r="BK324" s="2181"/>
      <c r="BL324" s="2181"/>
      <c r="BM324" s="2181"/>
      <c r="BN324" s="3374"/>
      <c r="BO324" s="3205"/>
      <c r="BS324" s="2181"/>
      <c r="BT324" s="2181"/>
      <c r="BU324" s="2181"/>
      <c r="BV324" s="3374"/>
      <c r="BW324" s="3205"/>
      <c r="CA324" s="2181"/>
      <c r="CB324" s="2181"/>
      <c r="CC324" s="2181"/>
      <c r="CD324" s="3374"/>
      <c r="CE324" s="3205"/>
      <c r="CI324" s="2181"/>
      <c r="CJ324" s="2181"/>
      <c r="CK324" s="2181"/>
      <c r="CL324" s="3374"/>
      <c r="CM324" s="3205"/>
      <c r="CQ324" s="2181"/>
      <c r="CR324" s="2181"/>
      <c r="CS324" s="2181"/>
      <c r="CT324" s="3374"/>
      <c r="CU324" s="3205"/>
      <c r="CY324" s="2181"/>
      <c r="CZ324" s="2181"/>
      <c r="DA324" s="2181"/>
      <c r="DB324" s="3374"/>
      <c r="DC324" s="3205"/>
      <c r="DG324" s="2181"/>
      <c r="DH324" s="2181"/>
      <c r="DI324" s="2181"/>
      <c r="DJ324" s="3374"/>
      <c r="DK324" s="3205"/>
      <c r="DO324" s="2181"/>
      <c r="DP324" s="2181"/>
      <c r="DQ324" s="2181"/>
      <c r="DR324" s="3374"/>
      <c r="DS324" s="3205"/>
      <c r="DW324" s="2181"/>
      <c r="DX324" s="2181"/>
      <c r="DY324" s="2181"/>
      <c r="DZ324" s="3374"/>
      <c r="EA324" s="3205"/>
      <c r="EE324" s="2181"/>
      <c r="EF324" s="2181"/>
      <c r="EG324" s="2181"/>
      <c r="EH324" s="3374"/>
      <c r="EI324" s="3205"/>
      <c r="EM324" s="2181"/>
      <c r="EN324" s="2181"/>
      <c r="EO324" s="2181"/>
      <c r="EP324" s="3374"/>
      <c r="EQ324" s="3205"/>
      <c r="EU324" s="2181"/>
      <c r="EV324" s="2181"/>
      <c r="EW324" s="2181"/>
      <c r="EX324" s="3374"/>
      <c r="EY324" s="3205"/>
      <c r="FC324" s="2181"/>
      <c r="FD324" s="2181"/>
      <c r="FE324" s="2181"/>
      <c r="FF324" s="3374"/>
      <c r="FG324" s="3205"/>
      <c r="FK324" s="2181"/>
      <c r="FL324" s="2181"/>
      <c r="FM324" s="2181"/>
      <c r="FN324" s="3374"/>
      <c r="FO324" s="3205"/>
    </row>
    <row r="325" spans="1:171">
      <c r="A325" s="2091" t="s">
        <v>141</v>
      </c>
      <c r="B325" s="2686"/>
      <c r="G325" s="3265">
        <f>G167</f>
        <v>637120080.35280752</v>
      </c>
      <c r="H325" s="3265">
        <f>H167</f>
        <v>185807079.37114048</v>
      </c>
      <c r="I325" s="3265">
        <f>I167</f>
        <v>0</v>
      </c>
      <c r="J325" s="3474">
        <f>J167</f>
        <v>451313000.84413463</v>
      </c>
      <c r="K325" s="3205"/>
      <c r="O325" s="3265">
        <f>O167</f>
        <v>637120080.35280752</v>
      </c>
      <c r="P325" s="3265">
        <f>P167</f>
        <v>185807079.37114048</v>
      </c>
      <c r="Q325" s="3265">
        <f>Q167</f>
        <v>116982400.87034366</v>
      </c>
      <c r="R325" s="3265">
        <f>R167</f>
        <v>334330600.1113233</v>
      </c>
      <c r="S325" s="3205"/>
      <c r="W325" s="3265">
        <f>W167</f>
        <v>637120080.35280752</v>
      </c>
      <c r="X325" s="3265">
        <f>X167</f>
        <v>185807079.37114048</v>
      </c>
      <c r="Y325" s="3265">
        <f>Y167</f>
        <v>116982400.87034366</v>
      </c>
      <c r="Z325" s="3265">
        <f>Z167</f>
        <v>334330600.1113233</v>
      </c>
      <c r="AA325" s="3205"/>
      <c r="AE325" s="3265">
        <f>AE167</f>
        <v>637120080.35280752</v>
      </c>
      <c r="AF325" s="3265">
        <f>AF167</f>
        <v>185807079.37114048</v>
      </c>
      <c r="AG325" s="3265">
        <f>AG167</f>
        <v>116982400.87034366</v>
      </c>
      <c r="AH325" s="3265">
        <f>AH167</f>
        <v>334330600.1113233</v>
      </c>
      <c r="AI325" s="3205"/>
      <c r="AM325" s="3265">
        <f>AM167</f>
        <v>637120080.35280752</v>
      </c>
      <c r="AN325" s="3265">
        <f>AN167</f>
        <v>185807079.37114048</v>
      </c>
      <c r="AO325" s="3265">
        <f>AO167</f>
        <v>116982400.87034366</v>
      </c>
      <c r="AP325" s="3265">
        <f>AP167</f>
        <v>334330600.1113233</v>
      </c>
      <c r="AQ325" s="3205"/>
      <c r="AU325" s="3265">
        <f>AU167</f>
        <v>637120080.35280752</v>
      </c>
      <c r="AV325" s="3265">
        <f>AV167</f>
        <v>185807079.37114048</v>
      </c>
      <c r="AW325" s="3265">
        <f>AW167</f>
        <v>116982400.87034366</v>
      </c>
      <c r="AX325" s="3265">
        <f>AX167</f>
        <v>334330600.1113233</v>
      </c>
      <c r="AY325" s="3205"/>
      <c r="BC325" s="3265">
        <f>BC167</f>
        <v>637120080.35280752</v>
      </c>
      <c r="BD325" s="3265">
        <f>BD167</f>
        <v>185807079.37114048</v>
      </c>
      <c r="BE325" s="3265">
        <f>BE167</f>
        <v>116982400.87034366</v>
      </c>
      <c r="BF325" s="3265">
        <f>BF167</f>
        <v>334330600.1113233</v>
      </c>
      <c r="BG325" s="3205"/>
      <c r="BK325" s="3265">
        <f>BK167</f>
        <v>637120080.35280752</v>
      </c>
      <c r="BL325" s="3265">
        <f>BL167</f>
        <v>185807079.37114048</v>
      </c>
      <c r="BM325" s="3265">
        <f>BM167</f>
        <v>116982400.87034366</v>
      </c>
      <c r="BN325" s="3265">
        <f>BN167</f>
        <v>334330600.1113233</v>
      </c>
      <c r="BO325" s="3205"/>
      <c r="BS325" s="3265">
        <f>BS167</f>
        <v>637120080.35280752</v>
      </c>
      <c r="BT325" s="3265">
        <f>BT167</f>
        <v>185807079.37114048</v>
      </c>
      <c r="BU325" s="3265">
        <f>BU167</f>
        <v>116982400.87034366</v>
      </c>
      <c r="BV325" s="3265">
        <f>BV167</f>
        <v>334330600.1113233</v>
      </c>
      <c r="BW325" s="3205"/>
      <c r="CA325" s="3265">
        <f>CA167</f>
        <v>637120080.35280752</v>
      </c>
      <c r="CB325" s="3265">
        <f>CB167</f>
        <v>185807079.37114048</v>
      </c>
      <c r="CC325" s="3265">
        <f>CC167</f>
        <v>116982400.87034366</v>
      </c>
      <c r="CD325" s="3265">
        <f>CD167</f>
        <v>334330600.1113233</v>
      </c>
      <c r="CE325" s="3205"/>
      <c r="CI325" s="3265">
        <f>CI167</f>
        <v>637120080.35280752</v>
      </c>
      <c r="CJ325" s="3265">
        <f>CJ167</f>
        <v>185807079.37114048</v>
      </c>
      <c r="CK325" s="3265">
        <f>CK167</f>
        <v>116982400.87034366</v>
      </c>
      <c r="CL325" s="3265">
        <f>CL167</f>
        <v>334330600.1113233</v>
      </c>
      <c r="CM325" s="3205"/>
      <c r="CQ325" s="3265">
        <f>CQ167</f>
        <v>637120080.35280752</v>
      </c>
      <c r="CR325" s="3265">
        <f>CR167</f>
        <v>185807079.37114048</v>
      </c>
      <c r="CS325" s="3265">
        <f>CS167</f>
        <v>116982400.87034366</v>
      </c>
      <c r="CT325" s="3265">
        <f>CT167</f>
        <v>334330600.1113233</v>
      </c>
      <c r="CU325" s="3205"/>
      <c r="CY325" s="3265">
        <f>CY167</f>
        <v>637120080.35280752</v>
      </c>
      <c r="CZ325" s="3265">
        <f>CZ167</f>
        <v>185807079.37114048</v>
      </c>
      <c r="DA325" s="3265">
        <f>DA167</f>
        <v>116982400.87034366</v>
      </c>
      <c r="DB325" s="3265">
        <f>DB167</f>
        <v>334330600.1113233</v>
      </c>
      <c r="DC325" s="3205"/>
      <c r="DG325" s="3265">
        <f>DG167</f>
        <v>637120080.35280752</v>
      </c>
      <c r="DH325" s="3265">
        <f>DH167</f>
        <v>185807079.37114048</v>
      </c>
      <c r="DI325" s="3265">
        <f>DI167</f>
        <v>116982400.87034366</v>
      </c>
      <c r="DJ325" s="3265">
        <f>DJ167</f>
        <v>334330600.1113233</v>
      </c>
      <c r="DK325" s="3205"/>
      <c r="DO325" s="3265">
        <f>DO167</f>
        <v>637120080.35280752</v>
      </c>
      <c r="DP325" s="3265">
        <f>DP167</f>
        <v>185807079.37114048</v>
      </c>
      <c r="DQ325" s="3265">
        <f>DQ167</f>
        <v>116982400.87034366</v>
      </c>
      <c r="DR325" s="3265">
        <f>DR167</f>
        <v>334330600.1113233</v>
      </c>
      <c r="DS325" s="3205"/>
      <c r="DW325" s="3265">
        <f>DW167</f>
        <v>637120080.35280752</v>
      </c>
      <c r="DX325" s="3265">
        <f>DX167</f>
        <v>185807079.37114048</v>
      </c>
      <c r="DY325" s="3265">
        <f>DY167</f>
        <v>116982400.87034366</v>
      </c>
      <c r="DZ325" s="3265">
        <f>DZ167</f>
        <v>334330600.1113233</v>
      </c>
      <c r="EA325" s="3205"/>
      <c r="EE325" s="3265">
        <f>EE167</f>
        <v>637120080.35280752</v>
      </c>
      <c r="EF325" s="3265">
        <f>EF167</f>
        <v>185807079.37114048</v>
      </c>
      <c r="EG325" s="3265">
        <f>EG167</f>
        <v>116982400.87034366</v>
      </c>
      <c r="EH325" s="3265">
        <f>EH167</f>
        <v>334330600.1113233</v>
      </c>
      <c r="EI325" s="3205"/>
      <c r="EM325" s="3265">
        <f>EM167</f>
        <v>637120080.35280752</v>
      </c>
      <c r="EN325" s="3265">
        <f>EN167</f>
        <v>185807079.37114048</v>
      </c>
      <c r="EO325" s="3265">
        <f>EO167</f>
        <v>116982400.87034366</v>
      </c>
      <c r="EP325" s="3265">
        <f>EP167</f>
        <v>334330600.1113233</v>
      </c>
      <c r="EQ325" s="3205"/>
      <c r="EU325" s="3265">
        <f>EU167</f>
        <v>637120080.35280752</v>
      </c>
      <c r="EV325" s="3265">
        <f>EV167</f>
        <v>185807079.37114048</v>
      </c>
      <c r="EW325" s="3265">
        <f>EW167</f>
        <v>116982400.87034366</v>
      </c>
      <c r="EX325" s="3265">
        <f>EX167</f>
        <v>334330600.1113233</v>
      </c>
      <c r="EY325" s="3205"/>
      <c r="FC325" s="3265">
        <f>FC167</f>
        <v>637120080.35280752</v>
      </c>
      <c r="FD325" s="3265">
        <f>FD167</f>
        <v>185807079.37114048</v>
      </c>
      <c r="FE325" s="3265">
        <f>FE167</f>
        <v>116982400.87034366</v>
      </c>
      <c r="FF325" s="3265">
        <f>FF167</f>
        <v>334330600.1113233</v>
      </c>
      <c r="FG325" s="3205"/>
      <c r="FK325" s="3265">
        <f>FK167</f>
        <v>637120080.35280752</v>
      </c>
      <c r="FL325" s="3265">
        <f>FL167</f>
        <v>185807079.37114048</v>
      </c>
      <c r="FM325" s="3265">
        <f>FM167</f>
        <v>116982400.87034366</v>
      </c>
      <c r="FN325" s="3265">
        <f>FN167</f>
        <v>334330600.1113233</v>
      </c>
      <c r="FO325" s="3205"/>
    </row>
    <row r="326" spans="1:171">
      <c r="A326" s="2214" t="s">
        <v>252</v>
      </c>
      <c r="B326" s="2686"/>
      <c r="G326" s="2181"/>
      <c r="H326" s="2181"/>
      <c r="I326" s="2181"/>
      <c r="J326" s="2200"/>
      <c r="K326" s="3205"/>
      <c r="O326" s="2181"/>
      <c r="P326" s="2181"/>
      <c r="Q326" s="2181"/>
      <c r="R326" s="3374"/>
      <c r="S326" s="3205"/>
      <c r="W326" s="2181"/>
      <c r="X326" s="2181"/>
      <c r="Y326" s="2181"/>
      <c r="Z326" s="3374"/>
      <c r="AA326" s="3205"/>
      <c r="AE326" s="2181"/>
      <c r="AF326" s="2181"/>
      <c r="AG326" s="2181"/>
      <c r="AH326" s="3374"/>
      <c r="AI326" s="3205"/>
      <c r="AM326" s="2181"/>
      <c r="AN326" s="2181"/>
      <c r="AO326" s="2181"/>
      <c r="AP326" s="3374"/>
      <c r="AQ326" s="3205"/>
      <c r="AU326" s="2181"/>
      <c r="AV326" s="2181"/>
      <c r="AW326" s="2181"/>
      <c r="AX326" s="3374"/>
      <c r="AY326" s="3205"/>
      <c r="BC326" s="2181"/>
      <c r="BD326" s="2181"/>
      <c r="BE326" s="2181"/>
      <c r="BF326" s="3374"/>
      <c r="BG326" s="3205"/>
      <c r="BK326" s="2181"/>
      <c r="BL326" s="2181"/>
      <c r="BM326" s="2181"/>
      <c r="BN326" s="3374"/>
      <c r="BO326" s="3205"/>
      <c r="BS326" s="2181"/>
      <c r="BT326" s="2181"/>
      <c r="BU326" s="2181"/>
      <c r="BV326" s="3374"/>
      <c r="BW326" s="3205"/>
      <c r="CA326" s="2181"/>
      <c r="CB326" s="2181"/>
      <c r="CC326" s="2181"/>
      <c r="CD326" s="3374"/>
      <c r="CE326" s="3205"/>
      <c r="CI326" s="2181"/>
      <c r="CJ326" s="2181"/>
      <c r="CK326" s="2181"/>
      <c r="CL326" s="3374"/>
      <c r="CM326" s="3205"/>
      <c r="CQ326" s="2181"/>
      <c r="CR326" s="2181"/>
      <c r="CS326" s="2181"/>
      <c r="CT326" s="3374"/>
      <c r="CU326" s="3205"/>
      <c r="CY326" s="2181"/>
      <c r="CZ326" s="2181"/>
      <c r="DA326" s="2181"/>
      <c r="DB326" s="3374"/>
      <c r="DC326" s="3205"/>
      <c r="DG326" s="2181"/>
      <c r="DH326" s="2181"/>
      <c r="DI326" s="2181"/>
      <c r="DJ326" s="3374"/>
      <c r="DK326" s="3205"/>
      <c r="DO326" s="2181"/>
      <c r="DP326" s="2181"/>
      <c r="DQ326" s="2181"/>
      <c r="DR326" s="3374"/>
      <c r="DS326" s="3205"/>
      <c r="DW326" s="2181"/>
      <c r="DX326" s="2181"/>
      <c r="DY326" s="2181"/>
      <c r="DZ326" s="3374"/>
      <c r="EA326" s="3205"/>
      <c r="EE326" s="2181"/>
      <c r="EF326" s="2181"/>
      <c r="EG326" s="2181"/>
      <c r="EH326" s="3374"/>
      <c r="EI326" s="3205"/>
      <c r="EM326" s="2181"/>
      <c r="EN326" s="2181"/>
      <c r="EO326" s="2181"/>
      <c r="EP326" s="3374"/>
      <c r="EQ326" s="3205"/>
      <c r="EU326" s="2181"/>
      <c r="EV326" s="2181"/>
      <c r="EW326" s="2181"/>
      <c r="EX326" s="3374"/>
      <c r="EY326" s="3205"/>
      <c r="FC326" s="2181"/>
      <c r="FD326" s="2181"/>
      <c r="FE326" s="2181"/>
      <c r="FF326" s="3374"/>
      <c r="FG326" s="3205"/>
      <c r="FK326" s="2181"/>
      <c r="FL326" s="2181"/>
      <c r="FM326" s="2181"/>
      <c r="FN326" s="3374"/>
      <c r="FO326" s="3205"/>
    </row>
    <row r="327" spans="1:171">
      <c r="A327" s="2214"/>
      <c r="B327" s="2686"/>
      <c r="G327" s="2181"/>
      <c r="H327" s="2181"/>
      <c r="I327" s="2181"/>
      <c r="J327" s="2200"/>
      <c r="K327" s="3205"/>
      <c r="O327" s="2181"/>
      <c r="P327" s="2181"/>
      <c r="Q327" s="2181"/>
      <c r="R327" s="3374"/>
      <c r="S327" s="3205"/>
      <c r="W327" s="2181"/>
      <c r="X327" s="2181"/>
      <c r="Y327" s="2181"/>
      <c r="Z327" s="3374"/>
      <c r="AA327" s="3205"/>
      <c r="AE327" s="2181"/>
      <c r="AF327" s="2181"/>
      <c r="AG327" s="2181"/>
      <c r="AH327" s="3374"/>
      <c r="AI327" s="3205"/>
      <c r="AM327" s="2181"/>
      <c r="AN327" s="2181"/>
      <c r="AO327" s="2181"/>
      <c r="AP327" s="3374"/>
      <c r="AQ327" s="3205"/>
      <c r="AU327" s="2181"/>
      <c r="AV327" s="2181"/>
      <c r="AW327" s="2181"/>
      <c r="AX327" s="3374"/>
      <c r="AY327" s="3205"/>
      <c r="BC327" s="2181"/>
      <c r="BD327" s="2181"/>
      <c r="BE327" s="2181"/>
      <c r="BF327" s="3374"/>
      <c r="BG327" s="3205"/>
      <c r="BK327" s="2181"/>
      <c r="BL327" s="2181"/>
      <c r="BM327" s="2181"/>
      <c r="BN327" s="3374"/>
      <c r="BO327" s="3205"/>
      <c r="BS327" s="2181"/>
      <c r="BT327" s="2181"/>
      <c r="BU327" s="2181"/>
      <c r="BV327" s="3374"/>
      <c r="BW327" s="3205"/>
      <c r="CA327" s="2181"/>
      <c r="CB327" s="2181"/>
      <c r="CC327" s="2181"/>
      <c r="CD327" s="3374"/>
      <c r="CE327" s="3205"/>
      <c r="CI327" s="2181"/>
      <c r="CJ327" s="2181"/>
      <c r="CK327" s="2181"/>
      <c r="CL327" s="3374"/>
      <c r="CM327" s="3205"/>
      <c r="CQ327" s="2181"/>
      <c r="CR327" s="2181"/>
      <c r="CS327" s="2181"/>
      <c r="CT327" s="3374"/>
      <c r="CU327" s="3205"/>
      <c r="CY327" s="2181"/>
      <c r="CZ327" s="2181"/>
      <c r="DA327" s="2181"/>
      <c r="DB327" s="3374"/>
      <c r="DC327" s="3205"/>
      <c r="DG327" s="2181"/>
      <c r="DH327" s="2181"/>
      <c r="DI327" s="2181"/>
      <c r="DJ327" s="3374"/>
      <c r="DK327" s="3205"/>
      <c r="DO327" s="2181"/>
      <c r="DP327" s="2181"/>
      <c r="DQ327" s="2181"/>
      <c r="DR327" s="3374"/>
      <c r="DS327" s="3205"/>
      <c r="DW327" s="2181"/>
      <c r="DX327" s="2181"/>
      <c r="DY327" s="2181"/>
      <c r="DZ327" s="3374"/>
      <c r="EA327" s="3205"/>
      <c r="EE327" s="2181"/>
      <c r="EF327" s="2181"/>
      <c r="EG327" s="2181"/>
      <c r="EH327" s="3374"/>
      <c r="EI327" s="3205"/>
      <c r="EM327" s="2181"/>
      <c r="EN327" s="2181"/>
      <c r="EO327" s="2181"/>
      <c r="EP327" s="3374"/>
      <c r="EQ327" s="3205"/>
      <c r="EU327" s="2181"/>
      <c r="EV327" s="2181"/>
      <c r="EW327" s="2181"/>
      <c r="EX327" s="3374"/>
      <c r="EY327" s="3205"/>
      <c r="FC327" s="2181"/>
      <c r="FD327" s="2181"/>
      <c r="FE327" s="2181"/>
      <c r="FF327" s="3374"/>
      <c r="FG327" s="3205"/>
      <c r="FK327" s="2181"/>
      <c r="FL327" s="2181"/>
      <c r="FM327" s="2181"/>
      <c r="FN327" s="3374"/>
      <c r="FO327" s="3205"/>
    </row>
    <row r="328" spans="1:171">
      <c r="A328" s="2091" t="s">
        <v>39</v>
      </c>
      <c r="B328" s="2686"/>
      <c r="G328" s="3265">
        <f>G283</f>
        <v>448280187</v>
      </c>
      <c r="H328" s="3265">
        <f>H283</f>
        <v>20202897.194350448</v>
      </c>
      <c r="I328" s="3265">
        <f>I283</f>
        <v>0</v>
      </c>
      <c r="J328" s="3474">
        <f>J283</f>
        <v>428077289.79663622</v>
      </c>
      <c r="K328" s="3205"/>
      <c r="O328" s="3265">
        <f>O283</f>
        <v>448280187</v>
      </c>
      <c r="P328" s="3265">
        <f>P283</f>
        <v>20202897.194350448</v>
      </c>
      <c r="Q328" s="3265">
        <f>Q283</f>
        <v>8862833.1685796566</v>
      </c>
      <c r="R328" s="3265">
        <f>R283</f>
        <v>419214456.63706994</v>
      </c>
      <c r="S328" s="3205"/>
      <c r="W328" s="3265">
        <f>W283</f>
        <v>448280187</v>
      </c>
      <c r="X328" s="3265">
        <f>X283</f>
        <v>20202897.194350448</v>
      </c>
      <c r="Y328" s="3265">
        <f>Y283</f>
        <v>8862833.1685796566</v>
      </c>
      <c r="Z328" s="3265">
        <f>Z283</f>
        <v>419214456.63706994</v>
      </c>
      <c r="AA328" s="3205"/>
      <c r="AE328" s="3265">
        <f>AE283</f>
        <v>448280187</v>
      </c>
      <c r="AF328" s="3265">
        <f>AF283</f>
        <v>20202897.194350448</v>
      </c>
      <c r="AG328" s="3265">
        <f>AG283</f>
        <v>8862833.1685796566</v>
      </c>
      <c r="AH328" s="3265">
        <f>AH283</f>
        <v>419214456.63706994</v>
      </c>
      <c r="AI328" s="3205"/>
      <c r="AM328" s="3265">
        <f>AM283</f>
        <v>448280187</v>
      </c>
      <c r="AN328" s="3265">
        <f>AN283</f>
        <v>20202897.194350448</v>
      </c>
      <c r="AO328" s="3265">
        <f>AO283</f>
        <v>8862833.1685796566</v>
      </c>
      <c r="AP328" s="3265">
        <f>AP283</f>
        <v>419214456.63706994</v>
      </c>
      <c r="AQ328" s="3205"/>
      <c r="AU328" s="3265">
        <f>AU283</f>
        <v>448280187</v>
      </c>
      <c r="AV328" s="3265">
        <f>AV283</f>
        <v>20202897.194350448</v>
      </c>
      <c r="AW328" s="3265">
        <f>AW283</f>
        <v>8862833.1685796566</v>
      </c>
      <c r="AX328" s="3265">
        <f>AX283</f>
        <v>419214456.63706994</v>
      </c>
      <c r="AY328" s="3205"/>
      <c r="BC328" s="3265">
        <f>BC283</f>
        <v>448280187</v>
      </c>
      <c r="BD328" s="3265">
        <f>BD283</f>
        <v>20202897.194350448</v>
      </c>
      <c r="BE328" s="3265">
        <f>BE283</f>
        <v>8862833.1685796566</v>
      </c>
      <c r="BF328" s="3265">
        <f>BF283</f>
        <v>419214456.63706994</v>
      </c>
      <c r="BG328" s="3205"/>
      <c r="BK328" s="3265">
        <f>BK283</f>
        <v>448280187</v>
      </c>
      <c r="BL328" s="3265">
        <f>BL283</f>
        <v>20202897.194350448</v>
      </c>
      <c r="BM328" s="3265">
        <f>BM283</f>
        <v>8862833.1685796566</v>
      </c>
      <c r="BN328" s="3265">
        <f>BN283</f>
        <v>419214456.63706994</v>
      </c>
      <c r="BO328" s="3205"/>
      <c r="BS328" s="3265">
        <f>BS283</f>
        <v>448280187</v>
      </c>
      <c r="BT328" s="3265">
        <f>BT283</f>
        <v>20202897.194350448</v>
      </c>
      <c r="BU328" s="3265">
        <f>BU283</f>
        <v>8862833.1685796566</v>
      </c>
      <c r="BV328" s="3265">
        <f>BV283</f>
        <v>419214456.63706994</v>
      </c>
      <c r="BW328" s="3205"/>
      <c r="CA328" s="3265">
        <f>CA283</f>
        <v>448280187</v>
      </c>
      <c r="CB328" s="3265">
        <f>CB283</f>
        <v>20202897.194350448</v>
      </c>
      <c r="CC328" s="3265">
        <f>CC283</f>
        <v>8862833.1685796566</v>
      </c>
      <c r="CD328" s="3265">
        <f>CD283</f>
        <v>419214456.63706994</v>
      </c>
      <c r="CE328" s="3205"/>
      <c r="CI328" s="3265">
        <f>CI283</f>
        <v>448280187</v>
      </c>
      <c r="CJ328" s="3265">
        <f>CJ283</f>
        <v>20202897.194350448</v>
      </c>
      <c r="CK328" s="3265">
        <f>CK283</f>
        <v>8862833.1685796566</v>
      </c>
      <c r="CL328" s="3265">
        <f>CL283</f>
        <v>419214456.63706994</v>
      </c>
      <c r="CM328" s="3205"/>
      <c r="CQ328" s="3265">
        <f>CQ283</f>
        <v>448280187</v>
      </c>
      <c r="CR328" s="3265">
        <f>CR283</f>
        <v>20202897.194350448</v>
      </c>
      <c r="CS328" s="3265">
        <f>CS283</f>
        <v>8862833.1685796566</v>
      </c>
      <c r="CT328" s="3265">
        <f>CT283</f>
        <v>419214456.63706994</v>
      </c>
      <c r="CU328" s="3205"/>
      <c r="CY328" s="3265">
        <f>CY283</f>
        <v>448280187</v>
      </c>
      <c r="CZ328" s="3265">
        <f>CZ283</f>
        <v>20202897.194350448</v>
      </c>
      <c r="DA328" s="3265">
        <f>DA283</f>
        <v>8862833.1685796566</v>
      </c>
      <c r="DB328" s="3265">
        <f>DB283</f>
        <v>419214456.63706994</v>
      </c>
      <c r="DC328" s="3205"/>
      <c r="DG328" s="3265">
        <f>DG283</f>
        <v>448280187</v>
      </c>
      <c r="DH328" s="3265">
        <f>DH283</f>
        <v>20202897.194350448</v>
      </c>
      <c r="DI328" s="3265">
        <f>DI283</f>
        <v>8862833.1685796566</v>
      </c>
      <c r="DJ328" s="3265">
        <f>DJ283</f>
        <v>419214456.63706994</v>
      </c>
      <c r="DK328" s="3205"/>
      <c r="DO328" s="3265">
        <f>DO283</f>
        <v>448280187</v>
      </c>
      <c r="DP328" s="3265">
        <f>DP283</f>
        <v>20202897.194350448</v>
      </c>
      <c r="DQ328" s="3265">
        <f>DQ283</f>
        <v>8862833.1685796566</v>
      </c>
      <c r="DR328" s="3265">
        <f>DR283</f>
        <v>419214456.63706994</v>
      </c>
      <c r="DS328" s="3205"/>
      <c r="DW328" s="3265">
        <f>DW283</f>
        <v>448280187</v>
      </c>
      <c r="DX328" s="3265">
        <f>DX283</f>
        <v>20202897.194350448</v>
      </c>
      <c r="DY328" s="3265">
        <f>DY283</f>
        <v>8862833.1685796566</v>
      </c>
      <c r="DZ328" s="3265">
        <f>DZ283</f>
        <v>419214456.63706994</v>
      </c>
      <c r="EA328" s="3205"/>
      <c r="EE328" s="3265">
        <f>EE283</f>
        <v>448280187</v>
      </c>
      <c r="EF328" s="3265">
        <f>EF283</f>
        <v>20202897.194350448</v>
      </c>
      <c r="EG328" s="3265">
        <f>EG283</f>
        <v>8862833.1685796566</v>
      </c>
      <c r="EH328" s="3265">
        <f>EH283</f>
        <v>419214456.63706994</v>
      </c>
      <c r="EI328" s="3205"/>
      <c r="EM328" s="3265">
        <f>EM283</f>
        <v>448280187</v>
      </c>
      <c r="EN328" s="3265">
        <f>EN283</f>
        <v>20202897.194350448</v>
      </c>
      <c r="EO328" s="3265">
        <f>EO283</f>
        <v>8862833.1685796566</v>
      </c>
      <c r="EP328" s="3265">
        <f>EP283</f>
        <v>419214456.63706994</v>
      </c>
      <c r="EQ328" s="3205"/>
      <c r="EU328" s="3265">
        <f>EU283</f>
        <v>448280187</v>
      </c>
      <c r="EV328" s="3265">
        <f>EV283</f>
        <v>20202897.194350448</v>
      </c>
      <c r="EW328" s="3265">
        <f>EW283</f>
        <v>8862833.1685796566</v>
      </c>
      <c r="EX328" s="3265">
        <f>EX283</f>
        <v>419214456.63706994</v>
      </c>
      <c r="EY328" s="3205"/>
      <c r="FC328" s="3265">
        <f>FC283</f>
        <v>448280187</v>
      </c>
      <c r="FD328" s="3265">
        <f>FD283</f>
        <v>20202897.194350448</v>
      </c>
      <c r="FE328" s="3265">
        <f>FE283</f>
        <v>8862833.1685796566</v>
      </c>
      <c r="FF328" s="3265">
        <f>FF283</f>
        <v>419214456.63706994</v>
      </c>
      <c r="FG328" s="3205"/>
      <c r="FK328" s="3265">
        <f>FK283</f>
        <v>448280187</v>
      </c>
      <c r="FL328" s="3265">
        <f>FL283</f>
        <v>20202897.194350448</v>
      </c>
      <c r="FM328" s="3265">
        <f>FM283</f>
        <v>8862833.1685796566</v>
      </c>
      <c r="FN328" s="3265">
        <f>FN283</f>
        <v>419214456.63706994</v>
      </c>
      <c r="FO328" s="3205"/>
    </row>
    <row r="329" spans="1:171">
      <c r="A329" s="2214" t="s">
        <v>161</v>
      </c>
      <c r="B329" s="2686"/>
      <c r="G329" s="2181"/>
      <c r="H329" s="2181"/>
      <c r="I329" s="2181"/>
      <c r="J329" s="2200"/>
      <c r="K329" s="3205"/>
      <c r="O329" s="2181"/>
      <c r="P329" s="2181"/>
      <c r="Q329" s="2181"/>
      <c r="R329" s="3374"/>
      <c r="S329" s="3205"/>
      <c r="W329" s="2181"/>
      <c r="X329" s="2181"/>
      <c r="Y329" s="2181"/>
      <c r="Z329" s="3374"/>
      <c r="AA329" s="3205"/>
      <c r="AE329" s="2181"/>
      <c r="AF329" s="2181"/>
      <c r="AG329" s="2181"/>
      <c r="AH329" s="3374"/>
      <c r="AI329" s="3205"/>
      <c r="AM329" s="2181"/>
      <c r="AN329" s="2181"/>
      <c r="AO329" s="2181"/>
      <c r="AP329" s="3374"/>
      <c r="AQ329" s="3205"/>
      <c r="AU329" s="2181"/>
      <c r="AV329" s="2181"/>
      <c r="AW329" s="2181"/>
      <c r="AX329" s="3374"/>
      <c r="AY329" s="3205"/>
      <c r="BC329" s="2181"/>
      <c r="BD329" s="2181"/>
      <c r="BE329" s="2181"/>
      <c r="BF329" s="3374"/>
      <c r="BG329" s="3205"/>
      <c r="BK329" s="2181"/>
      <c r="BL329" s="2181"/>
      <c r="BM329" s="2181"/>
      <c r="BN329" s="3374"/>
      <c r="BO329" s="3205"/>
      <c r="BS329" s="2181"/>
      <c r="BT329" s="2181"/>
      <c r="BU329" s="2181"/>
      <c r="BV329" s="3374"/>
      <c r="BW329" s="3205"/>
      <c r="CA329" s="2181"/>
      <c r="CB329" s="2181"/>
      <c r="CC329" s="2181"/>
      <c r="CD329" s="3374"/>
      <c r="CE329" s="3205"/>
      <c r="CI329" s="2181"/>
      <c r="CJ329" s="2181"/>
      <c r="CK329" s="2181"/>
      <c r="CL329" s="3374"/>
      <c r="CM329" s="3205"/>
      <c r="CQ329" s="2181"/>
      <c r="CR329" s="2181"/>
      <c r="CS329" s="2181"/>
      <c r="CT329" s="3374"/>
      <c r="CU329" s="3205"/>
      <c r="CY329" s="2181"/>
      <c r="CZ329" s="2181"/>
      <c r="DA329" s="2181"/>
      <c r="DB329" s="3374"/>
      <c r="DC329" s="3205"/>
      <c r="DG329" s="2181"/>
      <c r="DH329" s="2181"/>
      <c r="DI329" s="2181"/>
      <c r="DJ329" s="3374"/>
      <c r="DK329" s="3205"/>
      <c r="DO329" s="2181"/>
      <c r="DP329" s="2181"/>
      <c r="DQ329" s="2181"/>
      <c r="DR329" s="3374"/>
      <c r="DS329" s="3205"/>
      <c r="DW329" s="2181"/>
      <c r="DX329" s="2181"/>
      <c r="DY329" s="2181"/>
      <c r="DZ329" s="3374"/>
      <c r="EA329" s="3205"/>
      <c r="EE329" s="2181"/>
      <c r="EF329" s="2181"/>
      <c r="EG329" s="2181"/>
      <c r="EH329" s="3374"/>
      <c r="EI329" s="3205"/>
      <c r="EM329" s="2181"/>
      <c r="EN329" s="2181"/>
      <c r="EO329" s="2181"/>
      <c r="EP329" s="3374"/>
      <c r="EQ329" s="3205"/>
      <c r="EU329" s="2181"/>
      <c r="EV329" s="2181"/>
      <c r="EW329" s="2181"/>
      <c r="EX329" s="3374"/>
      <c r="EY329" s="3205"/>
      <c r="FC329" s="2181"/>
      <c r="FD329" s="2181"/>
      <c r="FE329" s="2181"/>
      <c r="FF329" s="3374"/>
      <c r="FG329" s="3205"/>
      <c r="FK329" s="2181"/>
      <c r="FL329" s="2181"/>
      <c r="FM329" s="2181"/>
      <c r="FN329" s="3374"/>
      <c r="FO329" s="3205"/>
    </row>
    <row r="330" spans="1:171">
      <c r="A330" s="2214"/>
      <c r="B330" s="2686"/>
      <c r="G330" s="2181"/>
      <c r="H330" s="2181"/>
      <c r="I330" s="2181"/>
      <c r="J330" s="2200"/>
      <c r="K330" s="3205"/>
      <c r="O330" s="2181"/>
      <c r="P330" s="2181"/>
      <c r="Q330" s="2181"/>
      <c r="R330" s="3374"/>
      <c r="S330" s="3205"/>
      <c r="W330" s="2181"/>
      <c r="X330" s="2181"/>
      <c r="Y330" s="2181"/>
      <c r="Z330" s="3374"/>
      <c r="AA330" s="3205"/>
      <c r="AE330" s="2181"/>
      <c r="AF330" s="2181"/>
      <c r="AG330" s="2181"/>
      <c r="AH330" s="3374"/>
      <c r="AI330" s="3205"/>
      <c r="AM330" s="2181"/>
      <c r="AN330" s="2181"/>
      <c r="AO330" s="2181"/>
      <c r="AP330" s="3374"/>
      <c r="AQ330" s="3205"/>
      <c r="AU330" s="2181"/>
      <c r="AV330" s="2181"/>
      <c r="AW330" s="2181"/>
      <c r="AX330" s="3374"/>
      <c r="AY330" s="3205"/>
      <c r="BC330" s="2181"/>
      <c r="BD330" s="2181"/>
      <c r="BE330" s="2181"/>
      <c r="BF330" s="3374"/>
      <c r="BG330" s="3205"/>
      <c r="BK330" s="2181"/>
      <c r="BL330" s="2181"/>
      <c r="BM330" s="2181"/>
      <c r="BN330" s="3374"/>
      <c r="BO330" s="3205"/>
      <c r="BS330" s="2181"/>
      <c r="BT330" s="2181"/>
      <c r="BU330" s="2181"/>
      <c r="BV330" s="3374"/>
      <c r="BW330" s="3205"/>
      <c r="CA330" s="2181"/>
      <c r="CB330" s="2181"/>
      <c r="CC330" s="2181"/>
      <c r="CD330" s="3374"/>
      <c r="CE330" s="3205"/>
      <c r="CI330" s="2181"/>
      <c r="CJ330" s="2181"/>
      <c r="CK330" s="2181"/>
      <c r="CL330" s="3374"/>
      <c r="CM330" s="3205"/>
      <c r="CQ330" s="2181"/>
      <c r="CR330" s="2181"/>
      <c r="CS330" s="2181"/>
      <c r="CT330" s="3374"/>
      <c r="CU330" s="3205"/>
      <c r="CY330" s="2181"/>
      <c r="CZ330" s="2181"/>
      <c r="DA330" s="2181"/>
      <c r="DB330" s="3374"/>
      <c r="DC330" s="3205"/>
      <c r="DG330" s="2181"/>
      <c r="DH330" s="2181"/>
      <c r="DI330" s="2181"/>
      <c r="DJ330" s="3374"/>
      <c r="DK330" s="3205"/>
      <c r="DO330" s="2181"/>
      <c r="DP330" s="2181"/>
      <c r="DQ330" s="2181"/>
      <c r="DR330" s="3374"/>
      <c r="DS330" s="3205"/>
      <c r="DW330" s="2181"/>
      <c r="DX330" s="2181"/>
      <c r="DY330" s="2181"/>
      <c r="DZ330" s="3374"/>
      <c r="EA330" s="3205"/>
      <c r="EE330" s="2181"/>
      <c r="EF330" s="2181"/>
      <c r="EG330" s="2181"/>
      <c r="EH330" s="3374"/>
      <c r="EI330" s="3205"/>
      <c r="EM330" s="2181"/>
      <c r="EN330" s="2181"/>
      <c r="EO330" s="2181"/>
      <c r="EP330" s="3374"/>
      <c r="EQ330" s="3205"/>
      <c r="EU330" s="2181"/>
      <c r="EV330" s="2181"/>
      <c r="EW330" s="2181"/>
      <c r="EX330" s="3374"/>
      <c r="EY330" s="3205"/>
      <c r="FC330" s="2181"/>
      <c r="FD330" s="2181"/>
      <c r="FE330" s="2181"/>
      <c r="FF330" s="3374"/>
      <c r="FG330" s="3205"/>
      <c r="FK330" s="2181"/>
      <c r="FL330" s="2181"/>
      <c r="FM330" s="2181"/>
      <c r="FN330" s="3374"/>
      <c r="FO330" s="3205"/>
    </row>
    <row r="331" spans="1:171">
      <c r="A331" s="2091" t="s">
        <v>49</v>
      </c>
      <c r="B331" s="2686"/>
      <c r="G331" s="3265">
        <f>G315</f>
        <v>548884976</v>
      </c>
      <c r="H331" s="3265">
        <f>H315</f>
        <v>753611619.51360643</v>
      </c>
      <c r="I331" s="3265">
        <f>I315</f>
        <v>0</v>
      </c>
      <c r="J331" s="3474">
        <f>J315</f>
        <v>-204726643.11770675</v>
      </c>
      <c r="K331" s="3205"/>
      <c r="O331" s="3265">
        <f>O315</f>
        <v>548884976</v>
      </c>
      <c r="P331" s="3265">
        <f>P315</f>
        <v>753611619.51360643</v>
      </c>
      <c r="Q331" s="3265">
        <f>Q315</f>
        <v>39023812.633945227</v>
      </c>
      <c r="R331" s="3265">
        <f>R315</f>
        <v>-243750456.14755172</v>
      </c>
      <c r="S331" s="3205"/>
      <c r="W331" s="3265">
        <f>W315</f>
        <v>548884976</v>
      </c>
      <c r="X331" s="3265">
        <f>X315</f>
        <v>753611619.51360643</v>
      </c>
      <c r="Y331" s="3265">
        <f>Y315</f>
        <v>39023812.633945227</v>
      </c>
      <c r="Z331" s="3265">
        <f>Z315</f>
        <v>-243750456.14755172</v>
      </c>
      <c r="AA331" s="3205"/>
      <c r="AE331" s="3265">
        <f>AE315</f>
        <v>548884976</v>
      </c>
      <c r="AF331" s="3265">
        <f>AF315</f>
        <v>753611619.51360643</v>
      </c>
      <c r="AG331" s="3265">
        <f>AG315</f>
        <v>39023812.633945227</v>
      </c>
      <c r="AH331" s="3265">
        <f>AH315</f>
        <v>-243750456.14755172</v>
      </c>
      <c r="AI331" s="3205"/>
      <c r="AM331" s="3265">
        <f>AM315</f>
        <v>548884976</v>
      </c>
      <c r="AN331" s="3265">
        <f>AN315</f>
        <v>753611619.51360643</v>
      </c>
      <c r="AO331" s="3265">
        <f>AO315</f>
        <v>39023812.633945227</v>
      </c>
      <c r="AP331" s="3265">
        <f>AP315</f>
        <v>-243750456.14755172</v>
      </c>
      <c r="AQ331" s="3205"/>
      <c r="AU331" s="3265">
        <f>AU315</f>
        <v>548884976</v>
      </c>
      <c r="AV331" s="3265">
        <f>AV315</f>
        <v>753611619.51360643</v>
      </c>
      <c r="AW331" s="3265">
        <f>AW315</f>
        <v>39023812.633945227</v>
      </c>
      <c r="AX331" s="3265">
        <f>AX315</f>
        <v>-243750456.14755172</v>
      </c>
      <c r="AY331" s="3205"/>
      <c r="BC331" s="3265">
        <f>BC315</f>
        <v>548884976</v>
      </c>
      <c r="BD331" s="3265">
        <f>BD315</f>
        <v>753611619.51360643</v>
      </c>
      <c r="BE331" s="3265">
        <f>BE315</f>
        <v>39023812.633945227</v>
      </c>
      <c r="BF331" s="3265">
        <f>BF315</f>
        <v>-243750456.14755172</v>
      </c>
      <c r="BG331" s="3205"/>
      <c r="BK331" s="3265">
        <f>BK315</f>
        <v>548884976</v>
      </c>
      <c r="BL331" s="3265">
        <f>BL315</f>
        <v>753611619.51360643</v>
      </c>
      <c r="BM331" s="3265">
        <f>BM315</f>
        <v>39023812.633945227</v>
      </c>
      <c r="BN331" s="3265">
        <f>BN315</f>
        <v>-243750456.14755172</v>
      </c>
      <c r="BO331" s="3205"/>
      <c r="BS331" s="3265">
        <f>BS315</f>
        <v>548884976</v>
      </c>
      <c r="BT331" s="3265">
        <f>BT315</f>
        <v>753611619.51360643</v>
      </c>
      <c r="BU331" s="3265">
        <f>BU315</f>
        <v>39023812.633945227</v>
      </c>
      <c r="BV331" s="3265">
        <f>BV315</f>
        <v>-243750456.14755172</v>
      </c>
      <c r="BW331" s="3205"/>
      <c r="CA331" s="3265">
        <f>CA315</f>
        <v>548884976</v>
      </c>
      <c r="CB331" s="3265">
        <f>CB315</f>
        <v>753611619.51360643</v>
      </c>
      <c r="CC331" s="3265">
        <f>CC315</f>
        <v>39023812.633945227</v>
      </c>
      <c r="CD331" s="3265">
        <f>CD315</f>
        <v>-243750456.14755172</v>
      </c>
      <c r="CE331" s="3205"/>
      <c r="CI331" s="3265">
        <f>CI315</f>
        <v>548884976</v>
      </c>
      <c r="CJ331" s="3265">
        <f>CJ315</f>
        <v>753611619.51360643</v>
      </c>
      <c r="CK331" s="3265">
        <f>CK315</f>
        <v>39023812.633945227</v>
      </c>
      <c r="CL331" s="3265">
        <f>CL315</f>
        <v>-243750456.14755172</v>
      </c>
      <c r="CM331" s="3205"/>
      <c r="CQ331" s="3265">
        <f>CQ315</f>
        <v>548884976</v>
      </c>
      <c r="CR331" s="3265">
        <f>CR315</f>
        <v>753611619.51360643</v>
      </c>
      <c r="CS331" s="3265">
        <f>CS315</f>
        <v>39023812.633945227</v>
      </c>
      <c r="CT331" s="3265">
        <f>CT315</f>
        <v>-243750456.14755172</v>
      </c>
      <c r="CU331" s="3205"/>
      <c r="CY331" s="3265">
        <f>CY315</f>
        <v>548884976</v>
      </c>
      <c r="CZ331" s="3265">
        <f>CZ315</f>
        <v>753611619.51360643</v>
      </c>
      <c r="DA331" s="3265">
        <f>DA315</f>
        <v>39023812.633945227</v>
      </c>
      <c r="DB331" s="3265">
        <f>DB315</f>
        <v>-243750456.14755172</v>
      </c>
      <c r="DC331" s="3205"/>
      <c r="DG331" s="3265">
        <f>DG315</f>
        <v>548884976</v>
      </c>
      <c r="DH331" s="3265">
        <f>DH315</f>
        <v>753611619.51360643</v>
      </c>
      <c r="DI331" s="3265">
        <f>DI315</f>
        <v>39023812.633945227</v>
      </c>
      <c r="DJ331" s="3265">
        <f>DJ315</f>
        <v>-243750456.14755172</v>
      </c>
      <c r="DK331" s="3205"/>
      <c r="DO331" s="3265">
        <f>DO315</f>
        <v>548884976</v>
      </c>
      <c r="DP331" s="3265">
        <f>DP315</f>
        <v>753611619.51360643</v>
      </c>
      <c r="DQ331" s="3265">
        <f>DQ315</f>
        <v>39023812.633945227</v>
      </c>
      <c r="DR331" s="3265">
        <f>DR315</f>
        <v>-243750456.14755172</v>
      </c>
      <c r="DS331" s="3205"/>
      <c r="DW331" s="3265">
        <f>DW315</f>
        <v>548884976</v>
      </c>
      <c r="DX331" s="3265">
        <f>DX315</f>
        <v>753611619.51360643</v>
      </c>
      <c r="DY331" s="3265">
        <f>DY315</f>
        <v>39023812.633945227</v>
      </c>
      <c r="DZ331" s="3265">
        <f>DZ315</f>
        <v>-243750456.14755172</v>
      </c>
      <c r="EA331" s="3205"/>
      <c r="EE331" s="3265">
        <f>EE315</f>
        <v>548884976</v>
      </c>
      <c r="EF331" s="3265">
        <f>EF315</f>
        <v>753611619.51360643</v>
      </c>
      <c r="EG331" s="3265">
        <f>EG315</f>
        <v>39023812.633945227</v>
      </c>
      <c r="EH331" s="3265">
        <f>EH315</f>
        <v>-243750456.14755172</v>
      </c>
      <c r="EI331" s="3205"/>
      <c r="EM331" s="3265">
        <f>EM315</f>
        <v>548884976</v>
      </c>
      <c r="EN331" s="3265">
        <f>EN315</f>
        <v>753611619.51360643</v>
      </c>
      <c r="EO331" s="3265">
        <f>EO315</f>
        <v>39023812.633945227</v>
      </c>
      <c r="EP331" s="3265">
        <f>EP315</f>
        <v>-243750456.14755172</v>
      </c>
      <c r="EQ331" s="3205"/>
      <c r="EU331" s="3265">
        <f>EU315</f>
        <v>548884976</v>
      </c>
      <c r="EV331" s="3265">
        <f>EV315</f>
        <v>753611619.51360643</v>
      </c>
      <c r="EW331" s="3265">
        <f>EW315</f>
        <v>39023812.633945227</v>
      </c>
      <c r="EX331" s="3265">
        <f>EX315</f>
        <v>-243750456.14755172</v>
      </c>
      <c r="EY331" s="3205"/>
      <c r="FC331" s="3265">
        <f>FC315</f>
        <v>548884976</v>
      </c>
      <c r="FD331" s="3265">
        <f>FD315</f>
        <v>753611619.51360643</v>
      </c>
      <c r="FE331" s="3265">
        <f>FE315</f>
        <v>39023812.633945227</v>
      </c>
      <c r="FF331" s="3265">
        <f>FF315</f>
        <v>-243750456.14755172</v>
      </c>
      <c r="FG331" s="3205"/>
      <c r="FK331" s="3265">
        <f>FK315</f>
        <v>548884976</v>
      </c>
      <c r="FL331" s="3265">
        <f>FL315</f>
        <v>753611619.51360643</v>
      </c>
      <c r="FM331" s="3265">
        <f>FM315</f>
        <v>39023812.633945227</v>
      </c>
      <c r="FN331" s="3265">
        <f>FN315</f>
        <v>-243750456.14755172</v>
      </c>
      <c r="FO331" s="3205"/>
    </row>
    <row r="332" spans="1:171">
      <c r="A332" s="2214" t="s">
        <v>503</v>
      </c>
      <c r="B332" s="2686"/>
      <c r="G332" s="2181"/>
      <c r="H332" s="2181"/>
      <c r="I332" s="2181"/>
      <c r="J332" s="2200"/>
      <c r="K332" s="3205"/>
      <c r="O332" s="2181"/>
      <c r="P332" s="2181"/>
      <c r="Q332" s="2181"/>
      <c r="R332" s="3374"/>
      <c r="S332" s="3205"/>
      <c r="W332" s="2181"/>
      <c r="X332" s="2181"/>
      <c r="Y332" s="2181"/>
      <c r="Z332" s="3374"/>
      <c r="AA332" s="3205"/>
      <c r="AE332" s="2181"/>
      <c r="AF332" s="2181"/>
      <c r="AG332" s="2181"/>
      <c r="AH332" s="3374"/>
      <c r="AI332" s="3205"/>
      <c r="AM332" s="2181"/>
      <c r="AN332" s="2181"/>
      <c r="AO332" s="2181"/>
      <c r="AP332" s="3374"/>
      <c r="AQ332" s="3205"/>
      <c r="AU332" s="2181"/>
      <c r="AV332" s="2181"/>
      <c r="AW332" s="2181"/>
      <c r="AX332" s="3374"/>
      <c r="AY332" s="3205"/>
      <c r="BC332" s="2181"/>
      <c r="BD332" s="2181"/>
      <c r="BE332" s="2181"/>
      <c r="BF332" s="3374"/>
      <c r="BG332" s="3205"/>
      <c r="BK332" s="2181"/>
      <c r="BL332" s="2181"/>
      <c r="BM332" s="2181"/>
      <c r="BN332" s="3374"/>
      <c r="BO332" s="3205"/>
      <c r="BS332" s="2181"/>
      <c r="BT332" s="2181"/>
      <c r="BU332" s="2181"/>
      <c r="BV332" s="3374"/>
      <c r="BW332" s="3205"/>
      <c r="CA332" s="2181"/>
      <c r="CB332" s="2181"/>
      <c r="CC332" s="2181"/>
      <c r="CD332" s="3374"/>
      <c r="CE332" s="3205"/>
      <c r="CI332" s="2181"/>
      <c r="CJ332" s="2181"/>
      <c r="CK332" s="2181"/>
      <c r="CL332" s="3374"/>
      <c r="CM332" s="3205"/>
      <c r="CQ332" s="2181"/>
      <c r="CR332" s="2181"/>
      <c r="CS332" s="2181"/>
      <c r="CT332" s="3374"/>
      <c r="CU332" s="3205"/>
      <c r="CY332" s="2181"/>
      <c r="CZ332" s="2181"/>
      <c r="DA332" s="2181"/>
      <c r="DB332" s="3374"/>
      <c r="DC332" s="3205"/>
      <c r="DG332" s="2181"/>
      <c r="DH332" s="2181"/>
      <c r="DI332" s="2181"/>
      <c r="DJ332" s="3374"/>
      <c r="DK332" s="3205"/>
      <c r="DO332" s="2181"/>
      <c r="DP332" s="2181"/>
      <c r="DQ332" s="2181"/>
      <c r="DR332" s="3374"/>
      <c r="DS332" s="3205"/>
      <c r="DW332" s="2181"/>
      <c r="DX332" s="2181"/>
      <c r="DY332" s="2181"/>
      <c r="DZ332" s="3374"/>
      <c r="EA332" s="3205"/>
      <c r="EE332" s="2181"/>
      <c r="EF332" s="2181"/>
      <c r="EG332" s="2181"/>
      <c r="EH332" s="3374"/>
      <c r="EI332" s="3205"/>
      <c r="EM332" s="2181"/>
      <c r="EN332" s="2181"/>
      <c r="EO332" s="2181"/>
      <c r="EP332" s="3374"/>
      <c r="EQ332" s="3205"/>
      <c r="EU332" s="2181"/>
      <c r="EV332" s="2181"/>
      <c r="EW332" s="2181"/>
      <c r="EX332" s="3374"/>
      <c r="EY332" s="3205"/>
      <c r="FC332" s="2181"/>
      <c r="FD332" s="2181"/>
      <c r="FE332" s="2181"/>
      <c r="FF332" s="3374"/>
      <c r="FG332" s="3205"/>
      <c r="FK332" s="2181"/>
      <c r="FL332" s="2181"/>
      <c r="FM332" s="2181"/>
      <c r="FN332" s="3374"/>
      <c r="FO332" s="3205"/>
    </row>
    <row r="333" spans="1:171">
      <c r="A333" s="2214"/>
      <c r="B333" s="2686"/>
      <c r="G333" s="2181"/>
      <c r="H333" s="2181"/>
      <c r="I333" s="2181"/>
      <c r="J333" s="2200"/>
      <c r="K333" s="3205"/>
      <c r="O333" s="2181"/>
      <c r="P333" s="2181"/>
      <c r="Q333" s="2181"/>
      <c r="R333" s="3374"/>
      <c r="S333" s="3205"/>
      <c r="W333" s="2181"/>
      <c r="X333" s="2181"/>
      <c r="Y333" s="2181"/>
      <c r="Z333" s="3374"/>
      <c r="AA333" s="3205"/>
      <c r="AE333" s="2181"/>
      <c r="AF333" s="2181"/>
      <c r="AG333" s="2181"/>
      <c r="AH333" s="3374"/>
      <c r="AI333" s="3205"/>
      <c r="AM333" s="2181"/>
      <c r="AN333" s="2181"/>
      <c r="AO333" s="2181"/>
      <c r="AP333" s="3374"/>
      <c r="AQ333" s="3205"/>
      <c r="AU333" s="2181"/>
      <c r="AV333" s="2181"/>
      <c r="AW333" s="2181"/>
      <c r="AX333" s="3374"/>
      <c r="AY333" s="3205"/>
      <c r="BC333" s="2181"/>
      <c r="BD333" s="2181"/>
      <c r="BE333" s="2181"/>
      <c r="BF333" s="3374"/>
      <c r="BG333" s="3205"/>
      <c r="BK333" s="2181"/>
      <c r="BL333" s="2181"/>
      <c r="BM333" s="2181"/>
      <c r="BN333" s="3374"/>
      <c r="BO333" s="3205"/>
      <c r="BS333" s="2181"/>
      <c r="BT333" s="2181"/>
      <c r="BU333" s="2181"/>
      <c r="BV333" s="3374"/>
      <c r="BW333" s="3205"/>
      <c r="CA333" s="2181"/>
      <c r="CB333" s="2181"/>
      <c r="CC333" s="2181"/>
      <c r="CD333" s="3374"/>
      <c r="CE333" s="3205"/>
      <c r="CI333" s="2181"/>
      <c r="CJ333" s="2181"/>
      <c r="CK333" s="2181"/>
      <c r="CL333" s="3374"/>
      <c r="CM333" s="3205"/>
      <c r="CQ333" s="2181"/>
      <c r="CR333" s="2181"/>
      <c r="CS333" s="2181"/>
      <c r="CT333" s="3374"/>
      <c r="CU333" s="3205"/>
      <c r="CY333" s="2181"/>
      <c r="CZ333" s="2181"/>
      <c r="DA333" s="2181"/>
      <c r="DB333" s="3374"/>
      <c r="DC333" s="3205"/>
      <c r="DG333" s="2181"/>
      <c r="DH333" s="2181"/>
      <c r="DI333" s="2181"/>
      <c r="DJ333" s="3374"/>
      <c r="DK333" s="3205"/>
      <c r="DO333" s="2181"/>
      <c r="DP333" s="2181"/>
      <c r="DQ333" s="2181"/>
      <c r="DR333" s="3374"/>
      <c r="DS333" s="3205"/>
      <c r="DW333" s="2181"/>
      <c r="DX333" s="2181"/>
      <c r="DY333" s="2181"/>
      <c r="DZ333" s="3374"/>
      <c r="EA333" s="3205"/>
      <c r="EE333" s="2181"/>
      <c r="EF333" s="2181"/>
      <c r="EG333" s="2181"/>
      <c r="EH333" s="3374"/>
      <c r="EI333" s="3205"/>
      <c r="EM333" s="2181"/>
      <c r="EN333" s="2181"/>
      <c r="EO333" s="2181"/>
      <c r="EP333" s="3374"/>
      <c r="EQ333" s="3205"/>
      <c r="EU333" s="2181"/>
      <c r="EV333" s="2181"/>
      <c r="EW333" s="2181"/>
      <c r="EX333" s="3374"/>
      <c r="EY333" s="3205"/>
      <c r="FC333" s="2181"/>
      <c r="FD333" s="2181"/>
      <c r="FE333" s="2181"/>
      <c r="FF333" s="3374"/>
      <c r="FG333" s="3205"/>
      <c r="FK333" s="2181"/>
      <c r="FL333" s="2181"/>
      <c r="FM333" s="2181"/>
      <c r="FN333" s="3374"/>
      <c r="FO333" s="3205"/>
    </row>
    <row r="334" spans="1:171">
      <c r="A334" s="2091" t="s">
        <v>51</v>
      </c>
      <c r="B334" s="2686"/>
      <c r="G334" s="3265">
        <f>G322+G325+G328-G331</f>
        <v>3467681990.4228077</v>
      </c>
      <c r="H334" s="3265">
        <f>H322+H325+H328-H331</f>
        <v>1702818677.006722</v>
      </c>
      <c r="I334" s="3265">
        <f>I322+I325+I328-I331</f>
        <v>0</v>
      </c>
      <c r="J334" s="3474">
        <f>J322+J325+J328-J331</f>
        <v>1764863312.9823809</v>
      </c>
      <c r="K334" s="3205"/>
      <c r="O334" s="3265">
        <f>O322+O325+O328-O331</f>
        <v>3467681990.4228077</v>
      </c>
      <c r="P334" s="3265">
        <f>P322+P325+P328-P331</f>
        <v>1702818677.006722</v>
      </c>
      <c r="Q334" s="3265">
        <f>Q322+Q325+Q328-Q331</f>
        <v>163110492.63833174</v>
      </c>
      <c r="R334" s="3265">
        <f>R322+R325+R328-R331</f>
        <v>1601752820.7777534</v>
      </c>
      <c r="S334" s="3205"/>
      <c r="W334" s="3265">
        <f>W322+W325+W328-W331</f>
        <v>3467681990.4228077</v>
      </c>
      <c r="X334" s="3265">
        <f>X322+X325+X328-X331</f>
        <v>1702818677.006722</v>
      </c>
      <c r="Y334" s="3265">
        <f>Y322+Y325+Y328-Y331</f>
        <v>163110492.63833174</v>
      </c>
      <c r="Z334" s="3265">
        <f>Z322+Z325+Z328-Z331</f>
        <v>1601752820.7777534</v>
      </c>
      <c r="AA334" s="3205"/>
      <c r="AE334" s="3265">
        <f>AE322+AE325+AE328-AE331</f>
        <v>3467681990.4228077</v>
      </c>
      <c r="AF334" s="3265">
        <f>AF322+AF325+AF328-AF331</f>
        <v>1702818677.006722</v>
      </c>
      <c r="AG334" s="3265">
        <f>AG322+AG325+AG328-AG331</f>
        <v>163110492.63833174</v>
      </c>
      <c r="AH334" s="3265">
        <f>AH322+AH325+AH328-AH331</f>
        <v>1601752820.7777534</v>
      </c>
      <c r="AI334" s="3205"/>
      <c r="AM334" s="3265">
        <f>AM322+AM325+AM328-AM331</f>
        <v>3467681990.4228077</v>
      </c>
      <c r="AN334" s="3265">
        <f>AN322+AN325+AN328-AN331</f>
        <v>1702818677.006722</v>
      </c>
      <c r="AO334" s="3265">
        <f>AO322+AO325+AO328-AO331</f>
        <v>163110492.63833174</v>
      </c>
      <c r="AP334" s="3265">
        <f>AP322+AP325+AP328-AP331</f>
        <v>1601752820.7777534</v>
      </c>
      <c r="AQ334" s="3205"/>
      <c r="AU334" s="3265">
        <f>AU322+AU325+AU328-AU331</f>
        <v>3467681990.4228077</v>
      </c>
      <c r="AV334" s="3265">
        <f>AV322+AV325+AV328-AV331</f>
        <v>1702818677.006722</v>
      </c>
      <c r="AW334" s="3265">
        <f>AW322+AW325+AW328-AW331</f>
        <v>163110492.63833174</v>
      </c>
      <c r="AX334" s="3265">
        <f>AX322+AX325+AX328-AX331</f>
        <v>1601752820.7777534</v>
      </c>
      <c r="AY334" s="3205"/>
      <c r="BC334" s="3265">
        <f>BC322+BC325+BC328-BC331</f>
        <v>3467681990.4228077</v>
      </c>
      <c r="BD334" s="3265">
        <f>BD322+BD325+BD328-BD331</f>
        <v>1702818677.006722</v>
      </c>
      <c r="BE334" s="3265">
        <f>BE322+BE325+BE328-BE331</f>
        <v>163110492.63833174</v>
      </c>
      <c r="BF334" s="3265">
        <f>BF322+BF325+BF328-BF331</f>
        <v>1601752820.7777534</v>
      </c>
      <c r="BG334" s="3205"/>
      <c r="BK334" s="3265">
        <f>BK322+BK325+BK328-BK331</f>
        <v>3467681990.4228077</v>
      </c>
      <c r="BL334" s="3265">
        <f>BL322+BL325+BL328-BL331</f>
        <v>1702818677.006722</v>
      </c>
      <c r="BM334" s="3265">
        <f>BM322+BM325+BM328-BM331</f>
        <v>163110492.63833174</v>
      </c>
      <c r="BN334" s="3265">
        <f>BN322+BN325+BN328-BN331</f>
        <v>1601752820.7777534</v>
      </c>
      <c r="BO334" s="3205"/>
      <c r="BS334" s="3265">
        <f>BS322+BS325+BS328-BS331</f>
        <v>3467681990.4228077</v>
      </c>
      <c r="BT334" s="3265">
        <f>BT322+BT325+BT328-BT331</f>
        <v>1702818677.006722</v>
      </c>
      <c r="BU334" s="3265">
        <f>BU322+BU325+BU328-BU331</f>
        <v>163110492.63833174</v>
      </c>
      <c r="BV334" s="3265">
        <f>BV322+BV325+BV328-BV331</f>
        <v>1601752820.7777534</v>
      </c>
      <c r="BW334" s="3205"/>
      <c r="CA334" s="3265">
        <f>CA322+CA325+CA328-CA331</f>
        <v>3467681990.4228077</v>
      </c>
      <c r="CB334" s="3265">
        <f>CB322+CB325+CB328-CB331</f>
        <v>1702818677.006722</v>
      </c>
      <c r="CC334" s="3265">
        <f>CC322+CC325+CC328-CC331</f>
        <v>163110492.63833174</v>
      </c>
      <c r="CD334" s="3265">
        <f>CD322+CD325+CD328-CD331</f>
        <v>1601752820.7777534</v>
      </c>
      <c r="CE334" s="3205"/>
      <c r="CI334" s="3265">
        <f>CI322+CI325+CI328-CI331</f>
        <v>3467681990.4228077</v>
      </c>
      <c r="CJ334" s="3265">
        <f>CJ322+CJ325+CJ328-CJ331</f>
        <v>1702818677.006722</v>
      </c>
      <c r="CK334" s="3265">
        <f>CK322+CK325+CK328-CK331</f>
        <v>163110492.63833174</v>
      </c>
      <c r="CL334" s="3265">
        <f>CL322+CL325+CL328-CL331</f>
        <v>1601752820.7777534</v>
      </c>
      <c r="CM334" s="3205"/>
      <c r="CQ334" s="3265">
        <f>CQ322+CQ325+CQ328-CQ331</f>
        <v>3467681990.4228077</v>
      </c>
      <c r="CR334" s="3265">
        <f>CR322+CR325+CR328-CR331</f>
        <v>1702818677.006722</v>
      </c>
      <c r="CS334" s="3265">
        <f>CS322+CS325+CS328-CS331</f>
        <v>163110492.63833174</v>
      </c>
      <c r="CT334" s="3265">
        <f>CT322+CT325+CT328-CT331</f>
        <v>1601752820.7777534</v>
      </c>
      <c r="CU334" s="3205"/>
      <c r="CY334" s="3265">
        <f>CY322+CY325+CY328-CY331</f>
        <v>3467681990.4228077</v>
      </c>
      <c r="CZ334" s="3265">
        <f>CZ322+CZ325+CZ328-CZ331</f>
        <v>1702818677.006722</v>
      </c>
      <c r="DA334" s="3265">
        <f>DA322+DA325+DA328-DA331</f>
        <v>163110492.63833174</v>
      </c>
      <c r="DB334" s="3265">
        <f>DB322+DB325+DB328-DB331</f>
        <v>1601752820.7777534</v>
      </c>
      <c r="DC334" s="3205"/>
      <c r="DG334" s="3265">
        <f>DG322+DG325+DG328-DG331</f>
        <v>3467681990.4228077</v>
      </c>
      <c r="DH334" s="3265">
        <f>DH322+DH325+DH328-DH331</f>
        <v>1702818677.006722</v>
      </c>
      <c r="DI334" s="3265">
        <f>DI322+DI325+DI328-DI331</f>
        <v>163110492.63833174</v>
      </c>
      <c r="DJ334" s="3265">
        <f>DJ322+DJ325+DJ328-DJ331</f>
        <v>1601752820.7777534</v>
      </c>
      <c r="DK334" s="3205"/>
      <c r="DO334" s="3265">
        <f>DO322+DO325+DO328-DO331</f>
        <v>3467681990.4228077</v>
      </c>
      <c r="DP334" s="3265">
        <f>DP322+DP325+DP328-DP331</f>
        <v>1702818677.006722</v>
      </c>
      <c r="DQ334" s="3265">
        <f>DQ322+DQ325+DQ328-DQ331</f>
        <v>163110492.63833174</v>
      </c>
      <c r="DR334" s="3265">
        <f>DR322+DR325+DR328-DR331</f>
        <v>1601752820.7777534</v>
      </c>
      <c r="DS334" s="3205"/>
      <c r="DW334" s="3265">
        <f>DW322+DW325+DW328-DW331</f>
        <v>3467681990.4228077</v>
      </c>
      <c r="DX334" s="3265">
        <f>DX322+DX325+DX328-DX331</f>
        <v>1702818677.006722</v>
      </c>
      <c r="DY334" s="3265">
        <f>DY322+DY325+DY328-DY331</f>
        <v>163110492.63833174</v>
      </c>
      <c r="DZ334" s="3265">
        <f>DZ322+DZ325+DZ328-DZ331</f>
        <v>1601752820.7777534</v>
      </c>
      <c r="EA334" s="3205"/>
      <c r="EE334" s="3265">
        <f>EE322+EE325+EE328-EE331</f>
        <v>3467681990.4228077</v>
      </c>
      <c r="EF334" s="3265">
        <f>EF322+EF325+EF328-EF331</f>
        <v>1702818677.006722</v>
      </c>
      <c r="EG334" s="3265">
        <f>EG322+EG325+EG328-EG331</f>
        <v>163110492.63833174</v>
      </c>
      <c r="EH334" s="3265">
        <f>EH322+EH325+EH328-EH331</f>
        <v>1601752820.7777534</v>
      </c>
      <c r="EI334" s="3205"/>
      <c r="EM334" s="3265">
        <f>EM322+EM325+EM328-EM331</f>
        <v>3467681990.4228077</v>
      </c>
      <c r="EN334" s="3265">
        <f>EN322+EN325+EN328-EN331</f>
        <v>1702818677.006722</v>
      </c>
      <c r="EO334" s="3265">
        <f>EO322+EO325+EO328-EO331</f>
        <v>163110492.63833174</v>
      </c>
      <c r="EP334" s="3265">
        <f>EP322+EP325+EP328-EP331</f>
        <v>1601752820.7777534</v>
      </c>
      <c r="EQ334" s="3205"/>
      <c r="EU334" s="3265">
        <f>EU322+EU325+EU328-EU331</f>
        <v>3467681990.4228077</v>
      </c>
      <c r="EV334" s="3265">
        <f>EV322+EV325+EV328-EV331</f>
        <v>1702818677.006722</v>
      </c>
      <c r="EW334" s="3265">
        <f>EW322+EW325+EW328-EW331</f>
        <v>163110492.63833174</v>
      </c>
      <c r="EX334" s="3265">
        <f>EX322+EX325+EX328-EX331</f>
        <v>1601752820.7777534</v>
      </c>
      <c r="EY334" s="3205"/>
      <c r="FC334" s="3265">
        <f>FC322+FC325+FC328-FC331</f>
        <v>3467681990.4228077</v>
      </c>
      <c r="FD334" s="3265">
        <f>FD322+FD325+FD328-FD331</f>
        <v>1702818677.006722</v>
      </c>
      <c r="FE334" s="3265">
        <f>FE322+FE325+FE328-FE331</f>
        <v>163110492.63833174</v>
      </c>
      <c r="FF334" s="3265">
        <f>FF322+FF325+FF328-FF331</f>
        <v>1601752820.7777534</v>
      </c>
      <c r="FG334" s="3205"/>
      <c r="FK334" s="3265">
        <f>FK322+FK325+FK328-FK331</f>
        <v>3467681990.4228077</v>
      </c>
      <c r="FL334" s="3265">
        <f>FL322+FL325+FL328-FL331</f>
        <v>1702818677.006722</v>
      </c>
      <c r="FM334" s="3265">
        <f>FM322+FM325+FM328-FM331</f>
        <v>163110492.63833174</v>
      </c>
      <c r="FN334" s="3265">
        <f>FN322+FN325+FN328-FN331</f>
        <v>1601752820.7777534</v>
      </c>
      <c r="FO334" s="3205"/>
    </row>
    <row r="335" spans="1:171">
      <c r="A335" s="2214" t="s">
        <v>249</v>
      </c>
      <c r="B335" s="2100"/>
      <c r="G335" s="3375"/>
      <c r="H335" s="2686"/>
      <c r="I335" s="2686"/>
      <c r="J335" s="3533"/>
      <c r="K335" s="3205"/>
      <c r="S335" s="3264"/>
      <c r="AA335" s="3264"/>
      <c r="AI335" s="3264"/>
      <c r="AQ335" s="3264"/>
      <c r="AY335" s="3264"/>
      <c r="BG335" s="3264"/>
      <c r="BO335" s="3264"/>
      <c r="BW335" s="3264"/>
      <c r="CE335" s="3264"/>
      <c r="CM335" s="3264"/>
      <c r="CU335" s="3264"/>
      <c r="DC335" s="3264"/>
      <c r="DK335" s="3264"/>
      <c r="DS335" s="3264"/>
      <c r="EA335" s="3264"/>
      <c r="EI335" s="3264"/>
      <c r="EQ335" s="3264"/>
      <c r="EY335" s="3264"/>
      <c r="FG335" s="3264"/>
      <c r="FO335" s="3264"/>
    </row>
    <row r="336" spans="1:171">
      <c r="A336" s="3452"/>
      <c r="J336" s="3453"/>
      <c r="K336" s="3205"/>
      <c r="S336" s="3264"/>
      <c r="AA336" s="3264"/>
      <c r="AI336" s="3264"/>
      <c r="AQ336" s="3264"/>
      <c r="AY336" s="3264"/>
      <c r="BG336" s="3264"/>
      <c r="BO336" s="3264"/>
      <c r="BW336" s="3264"/>
      <c r="CE336" s="3264"/>
      <c r="CM336" s="3264"/>
      <c r="CU336" s="3264"/>
      <c r="DC336" s="3264"/>
      <c r="DK336" s="3264"/>
      <c r="DS336" s="3264"/>
      <c r="EA336" s="3264"/>
      <c r="EI336" s="3264"/>
      <c r="EQ336" s="3264"/>
      <c r="EY336" s="3264"/>
      <c r="FG336" s="3264"/>
      <c r="FO336" s="3264"/>
    </row>
    <row r="337" spans="1:171" ht="12" thickBot="1">
      <c r="A337" s="3534"/>
      <c r="B337" s="3379"/>
      <c r="C337" s="3379"/>
      <c r="D337" s="3379"/>
      <c r="E337" s="3379"/>
      <c r="F337" s="3379"/>
      <c r="G337" s="3379"/>
      <c r="H337" s="3379"/>
      <c r="I337" s="3379"/>
      <c r="J337" s="3535"/>
      <c r="K337" s="3205"/>
      <c r="S337" s="3264"/>
      <c r="AA337" s="3264"/>
      <c r="AI337" s="3264"/>
      <c r="AQ337" s="3264"/>
      <c r="AY337" s="3264"/>
      <c r="BG337" s="3264"/>
      <c r="BO337" s="3264"/>
      <c r="BW337" s="3264"/>
      <c r="CE337" s="3264"/>
      <c r="CM337" s="3264"/>
      <c r="CU337" s="3264"/>
      <c r="DC337" s="3264"/>
      <c r="DK337" s="3264"/>
      <c r="DS337" s="3264"/>
      <c r="EA337" s="3264"/>
      <c r="EI337" s="3264"/>
      <c r="EQ337" s="3264"/>
      <c r="EY337" s="3264"/>
      <c r="FG337" s="3264"/>
      <c r="FO337" s="3264"/>
    </row>
    <row r="338" spans="1:171" ht="12" thickBot="1">
      <c r="A338" s="3536" t="s">
        <v>504</v>
      </c>
      <c r="B338" s="3382"/>
      <c r="C338" s="2686"/>
      <c r="D338" s="2686"/>
      <c r="E338" s="2686"/>
      <c r="F338" s="2686"/>
      <c r="G338" s="2686"/>
      <c r="H338" s="2686"/>
      <c r="I338" s="2686"/>
      <c r="J338" s="3533"/>
      <c r="K338" s="3205"/>
      <c r="S338" s="3264"/>
      <c r="AA338" s="3264"/>
      <c r="AI338" s="3264"/>
      <c r="AQ338" s="3264"/>
      <c r="AY338" s="3264"/>
      <c r="BG338" s="3264"/>
      <c r="BO338" s="3264"/>
      <c r="BW338" s="3264"/>
      <c r="CE338" s="3264"/>
      <c r="CM338" s="3264"/>
      <c r="CU338" s="3264"/>
      <c r="DC338" s="3264"/>
      <c r="DK338" s="3264"/>
      <c r="DS338" s="3264"/>
      <c r="EA338" s="3264"/>
      <c r="EI338" s="3264"/>
      <c r="EQ338" s="3264"/>
      <c r="EY338" s="3264"/>
      <c r="FG338" s="3264"/>
      <c r="FO338" s="3264"/>
    </row>
    <row r="339" spans="1:171" ht="12" thickTop="1">
      <c r="A339" s="2260" t="s">
        <v>317</v>
      </c>
      <c r="B339" s="2686"/>
      <c r="G339" s="2686"/>
      <c r="H339" s="3383">
        <f>H334</f>
        <v>1702818677.006722</v>
      </c>
      <c r="I339" s="2686"/>
      <c r="J339" s="3533"/>
      <c r="K339" s="3205"/>
      <c r="P339" s="3383">
        <f>P334</f>
        <v>1702818677.006722</v>
      </c>
      <c r="S339" s="3264"/>
      <c r="X339" s="3383">
        <f>X334</f>
        <v>1702818677.006722</v>
      </c>
      <c r="AA339" s="3264"/>
      <c r="AF339" s="3383">
        <f>AF334</f>
        <v>1702818677.006722</v>
      </c>
      <c r="AI339" s="3264"/>
      <c r="AN339" s="3383">
        <f>AN334</f>
        <v>1702818677.006722</v>
      </c>
      <c r="AQ339" s="3264"/>
      <c r="AV339" s="3383">
        <f>AV334</f>
        <v>1702818677.006722</v>
      </c>
      <c r="AY339" s="3264"/>
      <c r="BD339" s="3383">
        <f>BD334</f>
        <v>1702818677.006722</v>
      </c>
      <c r="BG339" s="3264"/>
      <c r="BL339" s="3383">
        <f>BL334</f>
        <v>1702818677.006722</v>
      </c>
      <c r="BO339" s="3264"/>
      <c r="BT339" s="3383">
        <f>BT334</f>
        <v>1702818677.006722</v>
      </c>
      <c r="BW339" s="3264"/>
      <c r="CB339" s="3537">
        <f>CB334</f>
        <v>1702818677.006722</v>
      </c>
      <c r="CE339" s="3264"/>
      <c r="CJ339" s="3537">
        <f>CJ334</f>
        <v>1702818677.006722</v>
      </c>
      <c r="CM339" s="3264"/>
      <c r="CR339" s="3537">
        <f>CR334</f>
        <v>1702818677.006722</v>
      </c>
      <c r="CU339" s="3264"/>
      <c r="CZ339" s="3383">
        <f>CZ334</f>
        <v>1702818677.006722</v>
      </c>
      <c r="DC339" s="3264"/>
      <c r="DH339" s="3383">
        <f>DH334</f>
        <v>1702818677.006722</v>
      </c>
      <c r="DK339" s="3264"/>
      <c r="DP339" s="3383">
        <f>DP334</f>
        <v>1702818677.006722</v>
      </c>
      <c r="DS339" s="3264"/>
      <c r="DX339" s="3383">
        <f>DX334</f>
        <v>1702818677.006722</v>
      </c>
      <c r="EA339" s="3264"/>
      <c r="EF339" s="3383">
        <f>EF334</f>
        <v>1702818677.006722</v>
      </c>
      <c r="EI339" s="3264"/>
      <c r="EN339" s="3383">
        <f>EN334</f>
        <v>1702818677.006722</v>
      </c>
      <c r="EQ339" s="3264"/>
      <c r="EV339" s="3383">
        <f>EV334</f>
        <v>1702818677.006722</v>
      </c>
      <c r="EY339" s="3264"/>
      <c r="FD339" s="3383">
        <f>FD334</f>
        <v>1702818677.006722</v>
      </c>
      <c r="FG339" s="3264"/>
      <c r="FL339" s="3383">
        <f>FL334</f>
        <v>1702818677.006722</v>
      </c>
      <c r="FO339" s="3264"/>
    </row>
    <row r="340" spans="1:171">
      <c r="A340" s="2260" t="s">
        <v>106</v>
      </c>
      <c r="B340" s="2686"/>
      <c r="G340" s="2686"/>
      <c r="H340" s="3384">
        <f>+I334</f>
        <v>0</v>
      </c>
      <c r="I340" s="2686"/>
      <c r="J340" s="3533"/>
      <c r="K340" s="3205"/>
      <c r="P340" s="3384">
        <f>Q334</f>
        <v>163110492.63833174</v>
      </c>
      <c r="S340" s="3264"/>
      <c r="X340" s="3384">
        <f>Y334</f>
        <v>163110492.63833174</v>
      </c>
      <c r="AA340" s="3264"/>
      <c r="AF340" s="3384">
        <f>AG334</f>
        <v>163110492.63833174</v>
      </c>
      <c r="AI340" s="3264"/>
      <c r="AN340" s="3384">
        <f>AO334</f>
        <v>163110492.63833174</v>
      </c>
      <c r="AQ340" s="3264"/>
      <c r="AV340" s="3384">
        <f>AW334</f>
        <v>163110492.63833174</v>
      </c>
      <c r="AY340" s="3264"/>
      <c r="BD340" s="3384">
        <f>BE334</f>
        <v>163110492.63833174</v>
      </c>
      <c r="BG340" s="3264"/>
      <c r="BL340" s="3384">
        <f>BM334</f>
        <v>163110492.63833174</v>
      </c>
      <c r="BO340" s="3264"/>
      <c r="BT340" s="3384">
        <f>BU334</f>
        <v>163110492.63833174</v>
      </c>
      <c r="BW340" s="3264"/>
      <c r="CB340" s="3538">
        <f>CC334</f>
        <v>163110492.63833174</v>
      </c>
      <c r="CE340" s="3264"/>
      <c r="CJ340" s="3538">
        <f>CK334</f>
        <v>163110492.63833174</v>
      </c>
      <c r="CM340" s="3264"/>
      <c r="CR340" s="3538">
        <f>CS334</f>
        <v>163110492.63833174</v>
      </c>
      <c r="CU340" s="3264"/>
      <c r="CZ340" s="3384">
        <f>DA334</f>
        <v>163110492.63833174</v>
      </c>
      <c r="DC340" s="3264"/>
      <c r="DH340" s="3384">
        <f>DI334</f>
        <v>163110492.63833174</v>
      </c>
      <c r="DK340" s="3264"/>
      <c r="DP340" s="3384">
        <f>DQ334</f>
        <v>163110492.63833174</v>
      </c>
      <c r="DS340" s="3264"/>
      <c r="DX340" s="3384">
        <f>DY334</f>
        <v>163110492.63833174</v>
      </c>
      <c r="EA340" s="3264"/>
      <c r="EF340" s="3384">
        <f>EG334</f>
        <v>163110492.63833174</v>
      </c>
      <c r="EI340" s="3264"/>
      <c r="EN340" s="3384">
        <f>EO334</f>
        <v>163110492.63833174</v>
      </c>
      <c r="EQ340" s="3264"/>
      <c r="EV340" s="3384">
        <f>EW334</f>
        <v>163110492.63833174</v>
      </c>
      <c r="EY340" s="3264"/>
      <c r="FD340" s="3384">
        <f>FE334</f>
        <v>163110492.63833174</v>
      </c>
      <c r="FG340" s="3264"/>
      <c r="FL340" s="3384">
        <f>FM334</f>
        <v>163110492.63833174</v>
      </c>
      <c r="FO340" s="3264"/>
    </row>
    <row r="341" spans="1:171">
      <c r="A341" s="2260" t="s">
        <v>508</v>
      </c>
      <c r="B341" s="2686"/>
      <c r="G341" s="2686"/>
      <c r="H341" s="2424">
        <f>'Sch 4 - Average System Cost'!$D$34+'Sch 4 - Average System Cost'!$D$35</f>
        <v>0</v>
      </c>
      <c r="I341" s="2686"/>
      <c r="J341" s="3533"/>
      <c r="K341" s="3205"/>
      <c r="P341" s="2424">
        <f>$H$341</f>
        <v>0</v>
      </c>
      <c r="S341" s="3264"/>
      <c r="X341" s="2424">
        <f>$H$341</f>
        <v>0</v>
      </c>
      <c r="AA341" s="3264"/>
      <c r="AF341" s="2424">
        <f>$H$341</f>
        <v>0</v>
      </c>
      <c r="AI341" s="3264"/>
      <c r="AN341" s="2424">
        <f>$H$341</f>
        <v>0</v>
      </c>
      <c r="AQ341" s="3264"/>
      <c r="AV341" s="2424">
        <f>$H$341</f>
        <v>0</v>
      </c>
      <c r="AY341" s="3264"/>
      <c r="BD341" s="2424">
        <f>$H$341</f>
        <v>0</v>
      </c>
      <c r="BG341" s="3264"/>
      <c r="BL341" s="2424">
        <f>$H$341</f>
        <v>0</v>
      </c>
      <c r="BO341" s="3264"/>
      <c r="BT341" s="2424">
        <f>$H$341</f>
        <v>0</v>
      </c>
      <c r="BW341" s="3264"/>
      <c r="CB341" s="2424">
        <f>$H$341</f>
        <v>0</v>
      </c>
      <c r="CE341" s="3264"/>
      <c r="CJ341" s="2424">
        <f>$H$341</f>
        <v>0</v>
      </c>
      <c r="CM341" s="3264"/>
      <c r="CR341" s="2424">
        <f>$H$341</f>
        <v>0</v>
      </c>
      <c r="CU341" s="3264"/>
      <c r="CZ341" s="2424">
        <f>$H$341</f>
        <v>0</v>
      </c>
      <c r="DC341" s="3264"/>
      <c r="DH341" s="2424">
        <f>$H$341</f>
        <v>0</v>
      </c>
      <c r="DK341" s="3264"/>
      <c r="DP341" s="2424">
        <f>$H$341</f>
        <v>0</v>
      </c>
      <c r="DS341" s="3264"/>
      <c r="DX341" s="2424">
        <f>$H$341</f>
        <v>0</v>
      </c>
      <c r="EA341" s="3264"/>
      <c r="EF341" s="2424">
        <f>$H$341</f>
        <v>0</v>
      </c>
      <c r="EI341" s="3264"/>
      <c r="EN341" s="2424">
        <f>$H$341</f>
        <v>0</v>
      </c>
      <c r="EQ341" s="3264"/>
      <c r="EV341" s="2424">
        <f>$H$341</f>
        <v>0</v>
      </c>
      <c r="EY341" s="3264"/>
      <c r="FD341" s="2424">
        <f>$H$341</f>
        <v>0</v>
      </c>
      <c r="FG341" s="3264"/>
      <c r="FL341" s="2424">
        <f>$H$341</f>
        <v>0</v>
      </c>
      <c r="FO341" s="3264"/>
    </row>
    <row r="342" spans="1:171">
      <c r="A342" s="2096" t="s">
        <v>505</v>
      </c>
      <c r="B342" s="2686"/>
      <c r="G342" s="2686"/>
      <c r="H342" s="3385">
        <f>H339+H340-H341</f>
        <v>1702818677.006722</v>
      </c>
      <c r="I342" s="2686"/>
      <c r="J342" s="3533"/>
      <c r="K342" s="3205"/>
      <c r="P342" s="3385">
        <f>P339+P340-P341</f>
        <v>1865929169.6450536</v>
      </c>
      <c r="S342" s="3264"/>
      <c r="X342" s="3385">
        <f>X339+X340-X341</f>
        <v>1865929169.6450536</v>
      </c>
      <c r="AA342" s="3264"/>
      <c r="AF342" s="3385">
        <f>AF339+AF340-AF341</f>
        <v>1865929169.6450536</v>
      </c>
      <c r="AI342" s="3264"/>
      <c r="AN342" s="3385">
        <f>AN339+AN340-AN341</f>
        <v>1865929169.6450536</v>
      </c>
      <c r="AQ342" s="3264"/>
      <c r="AV342" s="3385">
        <f>AV339+AV340-AV341</f>
        <v>1865929169.6450536</v>
      </c>
      <c r="AY342" s="3264"/>
      <c r="BD342" s="3385">
        <f>BD339+BD340-BD341</f>
        <v>1865929169.6450536</v>
      </c>
      <c r="BG342" s="3264"/>
      <c r="BL342" s="3385">
        <f>BL339+BL340-BL341</f>
        <v>1865929169.6450536</v>
      </c>
      <c r="BO342" s="3264"/>
      <c r="BT342" s="3385">
        <f>BT339+BT340-BT341</f>
        <v>1865929169.6450536</v>
      </c>
      <c r="BW342" s="3264"/>
      <c r="CB342" s="3265">
        <f>CB339+CB340-CB341</f>
        <v>1865929169.6450536</v>
      </c>
      <c r="CE342" s="3264"/>
      <c r="CJ342" s="3265">
        <f>CJ339+CJ340-CJ341</f>
        <v>1865929169.6450536</v>
      </c>
      <c r="CM342" s="3264"/>
      <c r="CR342" s="3265">
        <f>CR339+CR340-CR341</f>
        <v>1865929169.6450536</v>
      </c>
      <c r="CU342" s="3264"/>
      <c r="CZ342" s="3385">
        <f>CZ339+CZ340-CZ341</f>
        <v>1865929169.6450536</v>
      </c>
      <c r="DC342" s="3264"/>
      <c r="DH342" s="3385">
        <f>DH339+DH340-DH341</f>
        <v>1865929169.6450536</v>
      </c>
      <c r="DK342" s="3264"/>
      <c r="DP342" s="3385">
        <f>DP339+DP340-DP341</f>
        <v>1865929169.6450536</v>
      </c>
      <c r="DS342" s="3264"/>
      <c r="DX342" s="3385">
        <f>DX339+DX340-DX341</f>
        <v>1865929169.6450536</v>
      </c>
      <c r="EA342" s="3264"/>
      <c r="EF342" s="3385">
        <f>EF339+EF340-EF341</f>
        <v>1865929169.6450536</v>
      </c>
      <c r="EI342" s="3264"/>
      <c r="EN342" s="3385">
        <f>EN339+EN340-EN341</f>
        <v>1865929169.6450536</v>
      </c>
      <c r="EQ342" s="3264"/>
      <c r="EV342" s="3385">
        <f>EV339+EV340-EV341</f>
        <v>1865929169.6450536</v>
      </c>
      <c r="EY342" s="3264"/>
      <c r="FD342" s="3385">
        <f>FD339+FD340-FD341</f>
        <v>1865929169.6450536</v>
      </c>
      <c r="FG342" s="3264"/>
      <c r="FL342" s="3385">
        <f>FL339+FL340-FL341</f>
        <v>1865929169.6450536</v>
      </c>
      <c r="FO342" s="3264"/>
    </row>
    <row r="343" spans="1:171" ht="12" thickBot="1">
      <c r="A343" s="3539"/>
      <c r="B343" s="2686"/>
      <c r="G343" s="2686"/>
      <c r="H343" s="2746"/>
      <c r="I343" s="2686"/>
      <c r="J343" s="3533"/>
      <c r="K343" s="3205"/>
      <c r="P343" s="2746"/>
      <c r="S343" s="3264"/>
      <c r="X343" s="2746"/>
      <c r="AA343" s="3264"/>
      <c r="AF343" s="2746"/>
      <c r="AI343" s="3264"/>
      <c r="AN343" s="2746"/>
      <c r="AQ343" s="3264"/>
      <c r="AV343" s="2746"/>
      <c r="AY343" s="3264"/>
      <c r="BD343" s="2746"/>
      <c r="BG343" s="3264"/>
      <c r="BL343" s="2746"/>
      <c r="BO343" s="3264"/>
      <c r="BT343" s="2746"/>
      <c r="BW343" s="3264"/>
      <c r="CE343" s="3264"/>
      <c r="CM343" s="3264"/>
      <c r="CU343" s="3264"/>
      <c r="CZ343" s="2746"/>
      <c r="DC343" s="3264"/>
      <c r="DH343" s="2746"/>
      <c r="DK343" s="3264"/>
      <c r="DP343" s="2746"/>
      <c r="DS343" s="3264"/>
      <c r="DX343" s="2746"/>
      <c r="EA343" s="3264"/>
      <c r="EF343" s="2746"/>
      <c r="EI343" s="3264"/>
      <c r="EN343" s="2746"/>
      <c r="EQ343" s="3264"/>
      <c r="EV343" s="2746"/>
      <c r="EY343" s="3264"/>
      <c r="FD343" s="2746"/>
      <c r="FG343" s="3264"/>
      <c r="FL343" s="2746"/>
      <c r="FO343" s="3264"/>
    </row>
    <row r="344" spans="1:171" ht="12.75" thickTop="1" thickBot="1">
      <c r="A344" s="3540" t="s">
        <v>506</v>
      </c>
      <c r="B344" s="3388"/>
      <c r="G344" s="2686"/>
      <c r="H344" s="2746"/>
      <c r="I344" s="2686"/>
      <c r="J344" s="3533"/>
      <c r="K344" s="3205"/>
      <c r="P344" s="2746"/>
      <c r="S344" s="3264"/>
      <c r="X344" s="2746"/>
      <c r="AA344" s="3264"/>
      <c r="AF344" s="2746"/>
      <c r="AI344" s="3264"/>
      <c r="AN344" s="2746"/>
      <c r="AQ344" s="3264"/>
      <c r="AV344" s="2746"/>
      <c r="AY344" s="3264"/>
      <c r="BD344" s="2746"/>
      <c r="BG344" s="3264"/>
      <c r="BL344" s="2746"/>
      <c r="BO344" s="3264"/>
      <c r="BT344" s="2746"/>
      <c r="BW344" s="3264"/>
      <c r="CE344" s="3264"/>
      <c r="CM344" s="3264"/>
      <c r="CU344" s="3264"/>
      <c r="CZ344" s="2746"/>
      <c r="DC344" s="3264"/>
      <c r="DH344" s="2746"/>
      <c r="DK344" s="3264"/>
      <c r="DP344" s="2746"/>
      <c r="DS344" s="3264"/>
      <c r="DX344" s="2746"/>
      <c r="EA344" s="3264"/>
      <c r="EF344" s="2746"/>
      <c r="EI344" s="3264"/>
      <c r="EN344" s="2746"/>
      <c r="EQ344" s="3264"/>
      <c r="EV344" s="2746"/>
      <c r="EY344" s="3264"/>
      <c r="FD344" s="2746"/>
      <c r="FG344" s="3264"/>
      <c r="FL344" s="2746"/>
      <c r="FO344" s="3264"/>
    </row>
    <row r="345" spans="1:171" ht="12" thickTop="1">
      <c r="A345" s="2260" t="s">
        <v>318</v>
      </c>
      <c r="B345" s="2686"/>
      <c r="G345" s="2686"/>
      <c r="H345" s="3389">
        <f>'Sch 4 - Average System Cost'!D39</f>
        <v>21165762</v>
      </c>
      <c r="I345" s="2686"/>
      <c r="J345" s="3533"/>
      <c r="K345" s="3205"/>
      <c r="P345" s="3389">
        <f>$H$345</f>
        <v>21165762</v>
      </c>
      <c r="Q345" s="2686"/>
      <c r="R345" s="2686"/>
      <c r="S345" s="3205"/>
      <c r="X345" s="3389">
        <f>$H$345</f>
        <v>21165762</v>
      </c>
      <c r="Y345" s="2686"/>
      <c r="Z345" s="2686"/>
      <c r="AA345" s="3205"/>
      <c r="AF345" s="3389">
        <f>$H$345</f>
        <v>21165762</v>
      </c>
      <c r="AG345" s="2686"/>
      <c r="AH345" s="2686"/>
      <c r="AI345" s="3205"/>
      <c r="AN345" s="3389">
        <f>$H$345</f>
        <v>21165762</v>
      </c>
      <c r="AO345" s="2686"/>
      <c r="AP345" s="2686"/>
      <c r="AQ345" s="3205"/>
      <c r="AV345" s="3389">
        <f>$H$345</f>
        <v>21165762</v>
      </c>
      <c r="AW345" s="2686"/>
      <c r="AX345" s="2686"/>
      <c r="AY345" s="3205"/>
      <c r="BD345" s="3389">
        <f>$H$345</f>
        <v>21165762</v>
      </c>
      <c r="BE345" s="2686"/>
      <c r="BF345" s="2686"/>
      <c r="BG345" s="3205"/>
      <c r="BL345" s="3389">
        <f>$H$345</f>
        <v>21165762</v>
      </c>
      <c r="BM345" s="2686"/>
      <c r="BN345" s="2686"/>
      <c r="BO345" s="3205"/>
      <c r="BT345" s="3389">
        <f>$H$345</f>
        <v>21165762</v>
      </c>
      <c r="BU345" s="2686"/>
      <c r="BV345" s="2686"/>
      <c r="BW345" s="3205"/>
      <c r="CB345" s="3389">
        <f>$H$345</f>
        <v>21165762</v>
      </c>
      <c r="CC345" s="2686"/>
      <c r="CD345" s="2686"/>
      <c r="CE345" s="3205"/>
      <c r="CJ345" s="3389">
        <f>$H$345</f>
        <v>21165762</v>
      </c>
      <c r="CK345" s="2686"/>
      <c r="CL345" s="2686"/>
      <c r="CM345" s="3205"/>
      <c r="CR345" s="3389">
        <f>$H$345</f>
        <v>21165762</v>
      </c>
      <c r="CS345" s="2686"/>
      <c r="CT345" s="2686"/>
      <c r="CU345" s="3205"/>
      <c r="CZ345" s="3389">
        <f>$H$345</f>
        <v>21165762</v>
      </c>
      <c r="DA345" s="2686"/>
      <c r="DB345" s="2686"/>
      <c r="DC345" s="3205"/>
      <c r="DH345" s="3389">
        <f>$H$345</f>
        <v>21165762</v>
      </c>
      <c r="DI345" s="2686"/>
      <c r="DJ345" s="2686"/>
      <c r="DK345" s="3205"/>
      <c r="DP345" s="3389">
        <f>$H$345</f>
        <v>21165762</v>
      </c>
      <c r="DQ345" s="2686"/>
      <c r="DR345" s="2686"/>
      <c r="DS345" s="3205"/>
      <c r="DX345" s="3389">
        <f>$H$345</f>
        <v>21165762</v>
      </c>
      <c r="DY345" s="2686"/>
      <c r="DZ345" s="2686"/>
      <c r="EA345" s="3205"/>
      <c r="EF345" s="3389">
        <f>$H$345</f>
        <v>21165762</v>
      </c>
      <c r="EG345" s="2686"/>
      <c r="EH345" s="2686"/>
      <c r="EI345" s="3205"/>
      <c r="EN345" s="3389">
        <f>$H$345</f>
        <v>21165762</v>
      </c>
      <c r="EO345" s="2686"/>
      <c r="EP345" s="2686"/>
      <c r="EQ345" s="3205"/>
      <c r="EV345" s="3389">
        <f>$H$345</f>
        <v>21165762</v>
      </c>
      <c r="EW345" s="2686"/>
      <c r="EX345" s="2686"/>
      <c r="EY345" s="3205"/>
      <c r="FD345" s="3389">
        <f>$H$345</f>
        <v>21165762</v>
      </c>
      <c r="FE345" s="2686"/>
      <c r="FF345" s="2686"/>
      <c r="FG345" s="3205"/>
      <c r="FL345" s="3389">
        <f>$H$345</f>
        <v>21165762</v>
      </c>
      <c r="FM345" s="2686"/>
      <c r="FN345" s="2686"/>
      <c r="FO345" s="3205"/>
    </row>
    <row r="346" spans="1:171">
      <c r="A346" s="2260" t="s">
        <v>319</v>
      </c>
      <c r="B346" s="2686"/>
      <c r="G346" s="2686"/>
      <c r="H346" s="3389">
        <f>'Sch 4 - Average System Cost'!$D$40+'Sch 4 - Average System Cost'!$D$43</f>
        <v>0</v>
      </c>
      <c r="I346" s="3390" t="s">
        <v>623</v>
      </c>
      <c r="J346" s="3541">
        <v>0</v>
      </c>
      <c r="K346" s="3205"/>
      <c r="P346" s="3389">
        <f>$H$346</f>
        <v>0</v>
      </c>
      <c r="Q346" s="3390" t="s">
        <v>623</v>
      </c>
      <c r="R346" s="3389">
        <v>0</v>
      </c>
      <c r="S346" s="3205"/>
      <c r="X346" s="3389">
        <f>$H$346</f>
        <v>0</v>
      </c>
      <c r="Y346" s="3390" t="s">
        <v>623</v>
      </c>
      <c r="Z346" s="3389">
        <v>0</v>
      </c>
      <c r="AA346" s="3205"/>
      <c r="AF346" s="3389">
        <f>$H$346</f>
        <v>0</v>
      </c>
      <c r="AG346" s="3390" t="s">
        <v>623</v>
      </c>
      <c r="AH346" s="3389">
        <v>0</v>
      </c>
      <c r="AI346" s="3205"/>
      <c r="AN346" s="3389">
        <f>$H$346</f>
        <v>0</v>
      </c>
      <c r="AO346" s="3390" t="s">
        <v>623</v>
      </c>
      <c r="AP346" s="3389">
        <v>0</v>
      </c>
      <c r="AQ346" s="3205"/>
      <c r="AV346" s="3389">
        <f>$H$346</f>
        <v>0</v>
      </c>
      <c r="AW346" s="3390" t="s">
        <v>623</v>
      </c>
      <c r="AX346" s="3389">
        <v>0</v>
      </c>
      <c r="AY346" s="3205"/>
      <c r="BD346" s="3389">
        <f>$H$346</f>
        <v>0</v>
      </c>
      <c r="BE346" s="3390" t="s">
        <v>623</v>
      </c>
      <c r="BF346" s="3389">
        <v>0</v>
      </c>
      <c r="BG346" s="3205"/>
      <c r="BL346" s="3389">
        <f>$H$346</f>
        <v>0</v>
      </c>
      <c r="BM346" s="3390" t="s">
        <v>623</v>
      </c>
      <c r="BN346" s="3389">
        <v>0</v>
      </c>
      <c r="BO346" s="3205"/>
      <c r="BT346" s="3389">
        <f>$H$346</f>
        <v>0</v>
      </c>
      <c r="BU346" s="3390" t="s">
        <v>623</v>
      </c>
      <c r="BV346" s="3389">
        <v>0</v>
      </c>
      <c r="BW346" s="3205"/>
      <c r="CB346" s="3389">
        <f>$H$346</f>
        <v>0</v>
      </c>
      <c r="CC346" s="3390" t="s">
        <v>623</v>
      </c>
      <c r="CD346" s="3389">
        <v>0</v>
      </c>
      <c r="CE346" s="3205"/>
      <c r="CJ346" s="3389">
        <f>$H$346</f>
        <v>0</v>
      </c>
      <c r="CK346" s="3390" t="s">
        <v>623</v>
      </c>
      <c r="CL346" s="3389">
        <v>0</v>
      </c>
      <c r="CM346" s="3205"/>
      <c r="CR346" s="3389">
        <f>$H$346</f>
        <v>0</v>
      </c>
      <c r="CS346" s="3390" t="s">
        <v>623</v>
      </c>
      <c r="CT346" s="3389">
        <v>0</v>
      </c>
      <c r="CU346" s="3205"/>
      <c r="CZ346" s="3389">
        <f>$H$346</f>
        <v>0</v>
      </c>
      <c r="DA346" s="3390" t="s">
        <v>623</v>
      </c>
      <c r="DB346" s="3389">
        <v>0</v>
      </c>
      <c r="DC346" s="3205"/>
      <c r="DH346" s="3389">
        <f>$H$346</f>
        <v>0</v>
      </c>
      <c r="DI346" s="3390" t="s">
        <v>623</v>
      </c>
      <c r="DJ346" s="3389">
        <v>0</v>
      </c>
      <c r="DK346" s="3205"/>
      <c r="DP346" s="3389">
        <f>$H$346</f>
        <v>0</v>
      </c>
      <c r="DQ346" s="3390" t="s">
        <v>623</v>
      </c>
      <c r="DR346" s="3389">
        <v>0</v>
      </c>
      <c r="DS346" s="3205"/>
      <c r="DX346" s="3389">
        <f>$H$346</f>
        <v>0</v>
      </c>
      <c r="DY346" s="3390" t="s">
        <v>623</v>
      </c>
      <c r="DZ346" s="3389">
        <v>0</v>
      </c>
      <c r="EA346" s="3205"/>
      <c r="EF346" s="3389">
        <f>$H$346</f>
        <v>0</v>
      </c>
      <c r="EG346" s="3390" t="s">
        <v>623</v>
      </c>
      <c r="EH346" s="3389">
        <v>0</v>
      </c>
      <c r="EI346" s="3205"/>
      <c r="EN346" s="3389">
        <f>$H$346</f>
        <v>0</v>
      </c>
      <c r="EO346" s="3390" t="s">
        <v>623</v>
      </c>
      <c r="EP346" s="3389">
        <v>0</v>
      </c>
      <c r="EQ346" s="3205"/>
      <c r="EV346" s="3389">
        <f>$H$346</f>
        <v>0</v>
      </c>
      <c r="EW346" s="3390" t="s">
        <v>623</v>
      </c>
      <c r="EX346" s="3389">
        <v>0</v>
      </c>
      <c r="EY346" s="3205"/>
      <c r="FD346" s="3389">
        <f>$H$346</f>
        <v>0</v>
      </c>
      <c r="FE346" s="3390" t="s">
        <v>623</v>
      </c>
      <c r="FF346" s="3389">
        <v>0</v>
      </c>
      <c r="FG346" s="3205"/>
      <c r="FL346" s="3389">
        <f>$H$346</f>
        <v>0</v>
      </c>
      <c r="FM346" s="3390" t="s">
        <v>623</v>
      </c>
      <c r="FN346" s="3389">
        <v>0</v>
      </c>
      <c r="FO346" s="3205"/>
    </row>
    <row r="347" spans="1:171">
      <c r="A347" s="2260" t="s">
        <v>509</v>
      </c>
      <c r="B347" s="2686"/>
      <c r="F347" s="507"/>
      <c r="G347" s="2686"/>
      <c r="H347" s="3391">
        <f>H345-H346</f>
        <v>21165762</v>
      </c>
      <c r="I347" s="2686"/>
      <c r="J347" s="3533"/>
      <c r="K347" s="3205"/>
      <c r="P347" s="3391">
        <f>P345-P346</f>
        <v>21165762</v>
      </c>
      <c r="Q347" s="2686"/>
      <c r="R347" s="2686"/>
      <c r="S347" s="3205"/>
      <c r="X347" s="3391">
        <f>X345-X346</f>
        <v>21165762</v>
      </c>
      <c r="Y347" s="2686"/>
      <c r="Z347" s="2686"/>
      <c r="AA347" s="3205"/>
      <c r="AF347" s="3391">
        <f>AF345-AF346</f>
        <v>21165762</v>
      </c>
      <c r="AG347" s="2686"/>
      <c r="AH347" s="2686"/>
      <c r="AI347" s="3205"/>
      <c r="AN347" s="3391">
        <f>AN345-AN346</f>
        <v>21165762</v>
      </c>
      <c r="AO347" s="2686"/>
      <c r="AP347" s="2686"/>
      <c r="AQ347" s="3205"/>
      <c r="AV347" s="3391">
        <f>AV345-AV346</f>
        <v>21165762</v>
      </c>
      <c r="AW347" s="2686"/>
      <c r="AX347" s="2686"/>
      <c r="AY347" s="3205"/>
      <c r="BD347" s="3391">
        <f>BD345-BD346</f>
        <v>21165762</v>
      </c>
      <c r="BE347" s="2686"/>
      <c r="BF347" s="2686"/>
      <c r="BG347" s="3205"/>
      <c r="BL347" s="3391">
        <f>BL345-BL346</f>
        <v>21165762</v>
      </c>
      <c r="BM347" s="2686"/>
      <c r="BN347" s="2686"/>
      <c r="BO347" s="3205"/>
      <c r="BT347" s="3391">
        <f>BT345-BT346</f>
        <v>21165762</v>
      </c>
      <c r="BU347" s="2686"/>
      <c r="BV347" s="2686"/>
      <c r="BW347" s="3205"/>
      <c r="CB347" s="3391">
        <f>CB345-CB346</f>
        <v>21165762</v>
      </c>
      <c r="CC347" s="2686"/>
      <c r="CD347" s="2686"/>
      <c r="CE347" s="3205"/>
      <c r="CJ347" s="3391">
        <f>CJ345-CJ346</f>
        <v>21165762</v>
      </c>
      <c r="CK347" s="2686"/>
      <c r="CL347" s="2686"/>
      <c r="CM347" s="3205"/>
      <c r="CR347" s="3391">
        <f>CR345-CR346</f>
        <v>21165762</v>
      </c>
      <c r="CS347" s="2686"/>
      <c r="CT347" s="2686"/>
      <c r="CU347" s="3205"/>
      <c r="CZ347" s="3391">
        <f>CZ345-CZ346</f>
        <v>21165762</v>
      </c>
      <c r="DA347" s="2686"/>
      <c r="DB347" s="2686"/>
      <c r="DC347" s="3205"/>
      <c r="DH347" s="3391">
        <f>DH345-DH346</f>
        <v>21165762</v>
      </c>
      <c r="DI347" s="2686"/>
      <c r="DJ347" s="2686"/>
      <c r="DK347" s="3205"/>
      <c r="DP347" s="3391">
        <f>DP345-DP346</f>
        <v>21165762</v>
      </c>
      <c r="DQ347" s="2686"/>
      <c r="DR347" s="2686"/>
      <c r="DS347" s="3205"/>
      <c r="DX347" s="3391">
        <f>DX345-DX346</f>
        <v>21165762</v>
      </c>
      <c r="DY347" s="2686"/>
      <c r="DZ347" s="2686"/>
      <c r="EA347" s="3205"/>
      <c r="EF347" s="3391">
        <f>EF345-EF346</f>
        <v>21165762</v>
      </c>
      <c r="EG347" s="2686"/>
      <c r="EH347" s="2686"/>
      <c r="EI347" s="3205"/>
      <c r="EN347" s="3391">
        <f>EN345-EN346</f>
        <v>21165762</v>
      </c>
      <c r="EO347" s="2686"/>
      <c r="EP347" s="2686"/>
      <c r="EQ347" s="3205"/>
      <c r="EV347" s="3391">
        <f>EV345-EV346</f>
        <v>21165762</v>
      </c>
      <c r="EW347" s="2686"/>
      <c r="EX347" s="2686"/>
      <c r="EY347" s="3205"/>
      <c r="FD347" s="3391">
        <f>FD345-FD346</f>
        <v>21165762</v>
      </c>
      <c r="FE347" s="2686"/>
      <c r="FF347" s="2686"/>
      <c r="FG347" s="3205"/>
      <c r="FL347" s="3391">
        <f>FL345-FL346</f>
        <v>21165762</v>
      </c>
      <c r="FM347" s="2686"/>
      <c r="FN347" s="2686"/>
      <c r="FO347" s="3205"/>
    </row>
    <row r="348" spans="1:171" ht="12" thickBot="1">
      <c r="A348" s="2260" t="s">
        <v>624</v>
      </c>
      <c r="B348" s="2686"/>
      <c r="G348" s="2686"/>
      <c r="H348" s="3389">
        <f>'Sch 4 - Average System Cost'!$D$42</f>
        <v>982091.35679999995</v>
      </c>
      <c r="I348" s="2686"/>
      <c r="J348" s="3533"/>
      <c r="K348" s="3205"/>
      <c r="P348" s="3389">
        <f>$H$348</f>
        <v>982091.35679999995</v>
      </c>
      <c r="Q348" s="2686"/>
      <c r="R348" s="2686"/>
      <c r="S348" s="3205"/>
      <c r="X348" s="3389">
        <f>$H$348</f>
        <v>982091.35679999995</v>
      </c>
      <c r="Y348" s="2686"/>
      <c r="Z348" s="2686"/>
      <c r="AA348" s="3205"/>
      <c r="AF348" s="3389">
        <f>$H$348</f>
        <v>982091.35679999995</v>
      </c>
      <c r="AG348" s="2686"/>
      <c r="AH348" s="2686"/>
      <c r="AI348" s="3205"/>
      <c r="AN348" s="3389">
        <f>$H$348</f>
        <v>982091.35679999995</v>
      </c>
      <c r="AO348" s="2686"/>
      <c r="AP348" s="2686"/>
      <c r="AQ348" s="3205"/>
      <c r="AV348" s="3389">
        <f>$H$348</f>
        <v>982091.35679999995</v>
      </c>
      <c r="AW348" s="2686"/>
      <c r="AX348" s="2686"/>
      <c r="AY348" s="3205"/>
      <c r="BD348" s="3389">
        <f>$H$348</f>
        <v>982091.35679999995</v>
      </c>
      <c r="BE348" s="2686"/>
      <c r="BF348" s="2686"/>
      <c r="BG348" s="3205"/>
      <c r="BL348" s="3389">
        <f>$H$348</f>
        <v>982091.35679999995</v>
      </c>
      <c r="BM348" s="2686"/>
      <c r="BN348" s="2686"/>
      <c r="BO348" s="3205"/>
      <c r="BT348" s="3389">
        <f>$H$348</f>
        <v>982091.35679999995</v>
      </c>
      <c r="BU348" s="2686"/>
      <c r="BV348" s="2686"/>
      <c r="BW348" s="3205"/>
      <c r="CB348" s="3389">
        <f>$H$348</f>
        <v>982091.35679999995</v>
      </c>
      <c r="CC348" s="2686"/>
      <c r="CD348" s="2686"/>
      <c r="CE348" s="3205"/>
      <c r="CJ348" s="3389">
        <f>$H$348</f>
        <v>982091.35679999995</v>
      </c>
      <c r="CK348" s="2686"/>
      <c r="CL348" s="2686"/>
      <c r="CM348" s="3205"/>
      <c r="CR348" s="3389">
        <f>$H$348</f>
        <v>982091.35679999995</v>
      </c>
      <c r="CS348" s="2686"/>
      <c r="CT348" s="2686"/>
      <c r="CU348" s="3205"/>
      <c r="CZ348" s="3389">
        <f>$H$348</f>
        <v>982091.35679999995</v>
      </c>
      <c r="DA348" s="2686"/>
      <c r="DB348" s="2686"/>
      <c r="DC348" s="3205"/>
      <c r="DH348" s="3389">
        <f>$H$348</f>
        <v>982091.35679999995</v>
      </c>
      <c r="DI348" s="2686"/>
      <c r="DJ348" s="2686"/>
      <c r="DK348" s="3205"/>
      <c r="DP348" s="3389">
        <f>$H$348</f>
        <v>982091.35679999995</v>
      </c>
      <c r="DQ348" s="2686"/>
      <c r="DR348" s="2686"/>
      <c r="DS348" s="3205"/>
      <c r="DX348" s="3389">
        <f>$H$348</f>
        <v>982091.35679999995</v>
      </c>
      <c r="DY348" s="2686"/>
      <c r="DZ348" s="2686"/>
      <c r="EA348" s="3205"/>
      <c r="EF348" s="3389">
        <f>$H$348</f>
        <v>982091.35679999995</v>
      </c>
      <c r="EG348" s="2686"/>
      <c r="EH348" s="2686"/>
      <c r="EI348" s="3205"/>
      <c r="EN348" s="3389">
        <f>$H$348</f>
        <v>982091.35679999995</v>
      </c>
      <c r="EO348" s="2686"/>
      <c r="EP348" s="2686"/>
      <c r="EQ348" s="3205"/>
      <c r="EV348" s="3389">
        <f>$H$348</f>
        <v>982091.35679999995</v>
      </c>
      <c r="EW348" s="2686"/>
      <c r="EX348" s="2686"/>
      <c r="EY348" s="3205"/>
      <c r="FD348" s="3389">
        <f>$H$348</f>
        <v>982091.35679999995</v>
      </c>
      <c r="FE348" s="2686"/>
      <c r="FF348" s="2686"/>
      <c r="FG348" s="3205"/>
      <c r="FL348" s="3389">
        <f>$H$348</f>
        <v>982091.35679999995</v>
      </c>
      <c r="FM348" s="2686"/>
      <c r="FN348" s="2686"/>
      <c r="FO348" s="3205"/>
    </row>
    <row r="349" spans="1:171" ht="12" thickBot="1">
      <c r="A349" s="2096" t="s">
        <v>507</v>
      </c>
      <c r="B349" s="2686"/>
      <c r="G349" s="2686"/>
      <c r="H349" s="3393">
        <f>H347+H348</f>
        <v>22147853.356800001</v>
      </c>
      <c r="I349" s="2686"/>
      <c r="J349" s="3533"/>
      <c r="K349" s="3205"/>
      <c r="P349" s="3393">
        <f>P347+P348</f>
        <v>22147853.356800001</v>
      </c>
      <c r="Q349" s="2686"/>
      <c r="R349" s="2686"/>
      <c r="S349" s="3205"/>
      <c r="X349" s="3393">
        <f>X347+X348</f>
        <v>22147853.356800001</v>
      </c>
      <c r="Y349" s="2686"/>
      <c r="Z349" s="2686"/>
      <c r="AA349" s="3205"/>
      <c r="AF349" s="3393">
        <f>AF347+AF348</f>
        <v>22147853.356800001</v>
      </c>
      <c r="AG349" s="2686"/>
      <c r="AH349" s="2686"/>
      <c r="AI349" s="3205"/>
      <c r="AN349" s="3393">
        <f>AN347+AN348</f>
        <v>22147853.356800001</v>
      </c>
      <c r="AO349" s="2686"/>
      <c r="AP349" s="2686"/>
      <c r="AQ349" s="3205"/>
      <c r="AV349" s="3393">
        <f>AV347+AV348</f>
        <v>22147853.356800001</v>
      </c>
      <c r="AW349" s="2686"/>
      <c r="AX349" s="2686"/>
      <c r="AY349" s="3205"/>
      <c r="BD349" s="3393">
        <f>BD347+BD348</f>
        <v>22147853.356800001</v>
      </c>
      <c r="BE349" s="2686"/>
      <c r="BF349" s="2686"/>
      <c r="BG349" s="3205"/>
      <c r="BL349" s="3393">
        <f>BL347+BL348</f>
        <v>22147853.356800001</v>
      </c>
      <c r="BM349" s="2686"/>
      <c r="BN349" s="2686"/>
      <c r="BO349" s="3205"/>
      <c r="BT349" s="3393">
        <f>BT347+BT348</f>
        <v>22147853.356800001</v>
      </c>
      <c r="BU349" s="2686"/>
      <c r="BV349" s="2686"/>
      <c r="BW349" s="3205"/>
      <c r="CB349" s="3542">
        <f>CB347+CB348</f>
        <v>22147853.356800001</v>
      </c>
      <c r="CC349" s="2686"/>
      <c r="CD349" s="2686"/>
      <c r="CE349" s="3205"/>
      <c r="CJ349" s="3542">
        <f>CJ347+CJ348</f>
        <v>22147853.356800001</v>
      </c>
      <c r="CK349" s="2686"/>
      <c r="CL349" s="2686"/>
      <c r="CM349" s="3205"/>
      <c r="CR349" s="3542">
        <f>CR347+CR348</f>
        <v>22147853.356800001</v>
      </c>
      <c r="CS349" s="2686"/>
      <c r="CT349" s="2686"/>
      <c r="CU349" s="3205"/>
      <c r="CZ349" s="3393">
        <f>CZ347+CZ348</f>
        <v>22147853.356800001</v>
      </c>
      <c r="DA349" s="2686"/>
      <c r="DB349" s="2686"/>
      <c r="DC349" s="3205"/>
      <c r="DH349" s="3393">
        <f>DH347+DH348</f>
        <v>22147853.356800001</v>
      </c>
      <c r="DI349" s="2686"/>
      <c r="DJ349" s="2686"/>
      <c r="DK349" s="3205"/>
      <c r="DP349" s="3393">
        <f>DP347+DP348</f>
        <v>22147853.356800001</v>
      </c>
      <c r="DQ349" s="2686"/>
      <c r="DR349" s="2686"/>
      <c r="DS349" s="3205"/>
      <c r="DX349" s="3393">
        <f>DX347+DX348</f>
        <v>22147853.356800001</v>
      </c>
      <c r="DY349" s="2686"/>
      <c r="DZ349" s="2686"/>
      <c r="EA349" s="3205"/>
      <c r="EF349" s="3393">
        <f>EF347+EF348</f>
        <v>22147853.356800001</v>
      </c>
      <c r="EG349" s="2686"/>
      <c r="EH349" s="2686"/>
      <c r="EI349" s="3205"/>
      <c r="EN349" s="3393">
        <f>EN347+EN348</f>
        <v>22147853.356800001</v>
      </c>
      <c r="EO349" s="2686"/>
      <c r="EP349" s="2686"/>
      <c r="EQ349" s="3205"/>
      <c r="EV349" s="3393">
        <f>EV347+EV348</f>
        <v>22147853.356800001</v>
      </c>
      <c r="EW349" s="2686"/>
      <c r="EX349" s="2686"/>
      <c r="EY349" s="3205"/>
      <c r="FD349" s="3393">
        <f>FD347+FD348</f>
        <v>22147853.356800001</v>
      </c>
      <c r="FE349" s="2686"/>
      <c r="FF349" s="2686"/>
      <c r="FG349" s="3205"/>
      <c r="FL349" s="3393">
        <f>FL347+FL348</f>
        <v>22147853.356800001</v>
      </c>
      <c r="FM349" s="2686"/>
      <c r="FN349" s="2686"/>
      <c r="FO349" s="3205"/>
    </row>
    <row r="350" spans="1:171" ht="12" thickBot="1">
      <c r="A350" s="2260"/>
      <c r="B350" s="2686"/>
      <c r="G350" s="2686"/>
      <c r="H350" s="2119"/>
      <c r="I350" s="2686"/>
      <c r="J350" s="3533"/>
      <c r="K350" s="3205"/>
      <c r="P350" s="2119"/>
      <c r="Q350" s="2686"/>
      <c r="R350" s="2686"/>
      <c r="S350" s="3205"/>
      <c r="X350" s="2119"/>
      <c r="Y350" s="2686"/>
      <c r="Z350" s="2686"/>
      <c r="AA350" s="3205"/>
      <c r="AF350" s="2119"/>
      <c r="AG350" s="2686"/>
      <c r="AH350" s="2686"/>
      <c r="AI350" s="3205"/>
      <c r="AN350" s="2119"/>
      <c r="AO350" s="2686"/>
      <c r="AP350" s="2686"/>
      <c r="AQ350" s="3205"/>
      <c r="AV350" s="2119"/>
      <c r="AW350" s="2686"/>
      <c r="AX350" s="2686"/>
      <c r="AY350" s="3205"/>
      <c r="BD350" s="2119"/>
      <c r="BE350" s="2686"/>
      <c r="BF350" s="2686"/>
      <c r="BG350" s="3205"/>
      <c r="BL350" s="2119"/>
      <c r="BM350" s="2686"/>
      <c r="BN350" s="2686"/>
      <c r="BO350" s="3205"/>
      <c r="BT350" s="2119"/>
      <c r="BU350" s="2686"/>
      <c r="BV350" s="2686"/>
      <c r="BW350" s="3205"/>
      <c r="CB350" s="2119"/>
      <c r="CC350" s="2686"/>
      <c r="CD350" s="2686"/>
      <c r="CE350" s="3205"/>
      <c r="CJ350" s="2119"/>
      <c r="CK350" s="2686"/>
      <c r="CL350" s="2686"/>
      <c r="CM350" s="3205"/>
      <c r="CR350" s="2119"/>
      <c r="CS350" s="2686"/>
      <c r="CT350" s="2686"/>
      <c r="CU350" s="3205"/>
      <c r="CZ350" s="2119"/>
      <c r="DA350" s="2686"/>
      <c r="DB350" s="2686"/>
      <c r="DC350" s="3205"/>
      <c r="DH350" s="2119"/>
      <c r="DI350" s="2686"/>
      <c r="DJ350" s="2686"/>
      <c r="DK350" s="3205"/>
      <c r="DP350" s="2119"/>
      <c r="DQ350" s="2686"/>
      <c r="DR350" s="2686"/>
      <c r="DS350" s="3205"/>
      <c r="DX350" s="2119"/>
      <c r="DY350" s="2686"/>
      <c r="DZ350" s="2686"/>
      <c r="EA350" s="3205"/>
      <c r="EF350" s="2119"/>
      <c r="EG350" s="2686"/>
      <c r="EH350" s="2686"/>
      <c r="EI350" s="3205"/>
      <c r="EN350" s="2119"/>
      <c r="EO350" s="2686"/>
      <c r="EP350" s="2686"/>
      <c r="EQ350" s="3205"/>
      <c r="EV350" s="2119"/>
      <c r="EW350" s="2686"/>
      <c r="EX350" s="2686"/>
      <c r="EY350" s="3205"/>
      <c r="FD350" s="2119"/>
      <c r="FE350" s="2686"/>
      <c r="FF350" s="2686"/>
      <c r="FG350" s="3205"/>
      <c r="FL350" s="2119"/>
      <c r="FM350" s="2686"/>
      <c r="FN350" s="2686"/>
      <c r="FO350" s="3205"/>
    </row>
    <row r="351" spans="1:171" ht="12.75" thickTop="1" thickBot="1">
      <c r="A351" s="3540" t="s">
        <v>320</v>
      </c>
      <c r="B351" s="3388"/>
      <c r="G351" s="2686"/>
      <c r="H351" s="3394">
        <f>H342/H349</f>
        <v>76.884140849881049</v>
      </c>
      <c r="I351" s="2686"/>
      <c r="J351" s="3533"/>
      <c r="K351" s="3205"/>
      <c r="L351" s="3387" t="s">
        <v>320</v>
      </c>
      <c r="M351" s="3543"/>
      <c r="P351" s="3394">
        <f>P342/P349</f>
        <v>84.248759443414045</v>
      </c>
      <c r="Q351" s="2686"/>
      <c r="R351" s="2686"/>
      <c r="S351" s="3205"/>
      <c r="T351" s="3387" t="s">
        <v>320</v>
      </c>
      <c r="U351" s="3543"/>
      <c r="X351" s="3394">
        <f>X342/X349</f>
        <v>84.248759443414045</v>
      </c>
      <c r="Y351" s="2686"/>
      <c r="Z351" s="2686"/>
      <c r="AA351" s="3205"/>
      <c r="AB351" s="3387" t="s">
        <v>320</v>
      </c>
      <c r="AC351" s="3543"/>
      <c r="AF351" s="3394">
        <f>AF342/AF349</f>
        <v>84.248759443414045</v>
      </c>
      <c r="AG351" s="2686"/>
      <c r="AH351" s="2686"/>
      <c r="AI351" s="3205"/>
      <c r="AJ351" s="3387" t="s">
        <v>320</v>
      </c>
      <c r="AK351" s="3543"/>
      <c r="AN351" s="3394">
        <f>AN342/AN349</f>
        <v>84.248759443414045</v>
      </c>
      <c r="AO351" s="2686"/>
      <c r="AP351" s="2686"/>
      <c r="AQ351" s="3205"/>
      <c r="AR351" s="3387" t="s">
        <v>320</v>
      </c>
      <c r="AS351" s="3543"/>
      <c r="AV351" s="3394">
        <f>AV342/AV349</f>
        <v>84.248759443414045</v>
      </c>
      <c r="AW351" s="2686"/>
      <c r="AX351" s="2686"/>
      <c r="AY351" s="3205"/>
      <c r="AZ351" s="3387" t="s">
        <v>320</v>
      </c>
      <c r="BA351" s="3543"/>
      <c r="BD351" s="3394">
        <f>BD342/BD349</f>
        <v>84.248759443414045</v>
      </c>
      <c r="BE351" s="2686"/>
      <c r="BF351" s="2686"/>
      <c r="BG351" s="3205"/>
      <c r="BH351" s="3387" t="s">
        <v>320</v>
      </c>
      <c r="BI351" s="3543"/>
      <c r="BL351" s="3394">
        <f>BL342/BL349</f>
        <v>84.248759443414045</v>
      </c>
      <c r="BM351" s="2686"/>
      <c r="BN351" s="2686"/>
      <c r="BO351" s="3205"/>
      <c r="BP351" s="3387" t="s">
        <v>320</v>
      </c>
      <c r="BQ351" s="3543"/>
      <c r="BT351" s="3394">
        <f>BT342/BT349</f>
        <v>84.248759443414045</v>
      </c>
      <c r="BU351" s="2686"/>
      <c r="BV351" s="2686"/>
      <c r="BW351" s="3205"/>
      <c r="BX351" s="3387" t="s">
        <v>320</v>
      </c>
      <c r="BY351" s="3543"/>
      <c r="CB351" s="3396">
        <f>CB342/CB349</f>
        <v>84.248759443414045</v>
      </c>
      <c r="CC351" s="2686"/>
      <c r="CD351" s="2686"/>
      <c r="CE351" s="3205"/>
      <c r="CF351" s="3387" t="s">
        <v>320</v>
      </c>
      <c r="CG351" s="3543"/>
      <c r="CJ351" s="3396">
        <f>CJ342/CJ349</f>
        <v>84.248759443414045</v>
      </c>
      <c r="CK351" s="2686"/>
      <c r="CL351" s="2686"/>
      <c r="CM351" s="3205"/>
      <c r="CN351" s="3387" t="s">
        <v>320</v>
      </c>
      <c r="CO351" s="3543"/>
      <c r="CR351" s="3396">
        <f>CR342/CR349</f>
        <v>84.248759443414045</v>
      </c>
      <c r="CS351" s="2686"/>
      <c r="CT351" s="2686"/>
      <c r="CU351" s="3205"/>
      <c r="CV351" s="3387" t="s">
        <v>320</v>
      </c>
      <c r="CW351" s="3543"/>
      <c r="CZ351" s="3394">
        <f>CZ342/CZ349</f>
        <v>84.248759443414045</v>
      </c>
      <c r="DA351" s="2686"/>
      <c r="DB351" s="2686"/>
      <c r="DC351" s="3205"/>
      <c r="DD351" s="3387" t="s">
        <v>320</v>
      </c>
      <c r="DE351" s="3543"/>
      <c r="DH351" s="3394">
        <f>DH342/DH349</f>
        <v>84.248759443414045</v>
      </c>
      <c r="DI351" s="2686"/>
      <c r="DJ351" s="2686"/>
      <c r="DK351" s="3205"/>
      <c r="DL351" s="3387" t="s">
        <v>320</v>
      </c>
      <c r="DM351" s="3543"/>
      <c r="DP351" s="3394">
        <f>DP342/DP349</f>
        <v>84.248759443414045</v>
      </c>
      <c r="DQ351" s="2686"/>
      <c r="DR351" s="2686"/>
      <c r="DS351" s="3205"/>
      <c r="DT351" s="3387" t="s">
        <v>320</v>
      </c>
      <c r="DU351" s="3543"/>
      <c r="DX351" s="3394">
        <f>DX342/DX349</f>
        <v>84.248759443414045</v>
      </c>
      <c r="DY351" s="2686"/>
      <c r="DZ351" s="2686"/>
      <c r="EA351" s="3205"/>
      <c r="EB351" s="3387" t="s">
        <v>320</v>
      </c>
      <c r="EC351" s="3543"/>
      <c r="EF351" s="3394">
        <f>EF342/EF349</f>
        <v>84.248759443414045</v>
      </c>
      <c r="EG351" s="2686"/>
      <c r="EH351" s="2686"/>
      <c r="EI351" s="3205"/>
      <c r="EJ351" s="3387" t="s">
        <v>320</v>
      </c>
      <c r="EK351" s="3543"/>
      <c r="EN351" s="3394">
        <f>EN342/EN349</f>
        <v>84.248759443414045</v>
      </c>
      <c r="EO351" s="2686"/>
      <c r="EP351" s="2686"/>
      <c r="EQ351" s="3205"/>
      <c r="ER351" s="3387" t="s">
        <v>320</v>
      </c>
      <c r="ES351" s="3543"/>
      <c r="EV351" s="3394">
        <f>EV342/EV349</f>
        <v>84.248759443414045</v>
      </c>
      <c r="EW351" s="2686"/>
      <c r="EX351" s="2686"/>
      <c r="EY351" s="3205"/>
      <c r="EZ351" s="3387" t="s">
        <v>320</v>
      </c>
      <c r="FA351" s="3543"/>
      <c r="FD351" s="3394">
        <f>FD342/FD349</f>
        <v>84.248759443414045</v>
      </c>
      <c r="FE351" s="2686"/>
      <c r="FF351" s="2686"/>
      <c r="FG351" s="3205"/>
      <c r="FH351" s="3387" t="s">
        <v>320</v>
      </c>
      <c r="FI351" s="3543"/>
      <c r="FL351" s="3544">
        <f>FL342/FL349</f>
        <v>84.248759443414045</v>
      </c>
      <c r="FM351" s="3545"/>
      <c r="FN351" s="2686"/>
      <c r="FO351" s="3205"/>
    </row>
    <row r="352" spans="1:171" ht="12.75" thickTop="1" thickBot="1">
      <c r="A352" s="3452"/>
      <c r="J352" s="3453"/>
      <c r="K352" s="3205"/>
      <c r="L352" s="3387" t="s">
        <v>673</v>
      </c>
      <c r="M352" s="3543"/>
      <c r="P352" s="3397">
        <f>(P351-$H351)/$H$351</f>
        <v>9.5788526894157122E-2</v>
      </c>
      <c r="S352" s="3205"/>
      <c r="T352" s="3387" t="s">
        <v>673</v>
      </c>
      <c r="U352" s="3543"/>
      <c r="X352" s="3397">
        <f>(X351-$H351)/$H$351</f>
        <v>9.5788526894157122E-2</v>
      </c>
      <c r="AA352" s="3205"/>
      <c r="AB352" s="3387" t="s">
        <v>673</v>
      </c>
      <c r="AC352" s="3543"/>
      <c r="AF352" s="3397">
        <f>(AF351-$H351)/$H$351</f>
        <v>9.5788526894157122E-2</v>
      </c>
      <c r="AI352" s="3205"/>
      <c r="AJ352" s="3387" t="s">
        <v>673</v>
      </c>
      <c r="AK352" s="3543"/>
      <c r="AN352" s="3397">
        <f>(AN351-$H351)/$H$351</f>
        <v>9.5788526894157122E-2</v>
      </c>
      <c r="AQ352" s="3205"/>
      <c r="AR352" s="3387" t="s">
        <v>673</v>
      </c>
      <c r="AS352" s="3543"/>
      <c r="AV352" s="3397">
        <f>(AV351-$H351)/$H$351</f>
        <v>9.5788526894157122E-2</v>
      </c>
      <c r="AY352" s="3205"/>
      <c r="AZ352" s="3387" t="s">
        <v>673</v>
      </c>
      <c r="BA352" s="3543"/>
      <c r="BD352" s="3397">
        <f>(BD351-$H351)/$H$351</f>
        <v>9.5788526894157122E-2</v>
      </c>
      <c r="BG352" s="3205"/>
      <c r="BH352" s="3387" t="s">
        <v>673</v>
      </c>
      <c r="BI352" s="3543"/>
      <c r="BL352" s="3397">
        <f>(BL351-$H351)/$H$351</f>
        <v>9.5788526894157122E-2</v>
      </c>
      <c r="BO352" s="3205"/>
      <c r="BP352" s="3387" t="s">
        <v>673</v>
      </c>
      <c r="BQ352" s="3543"/>
      <c r="BT352" s="3397">
        <f>(BT351-$H351)/$H$351</f>
        <v>9.5788526894157122E-2</v>
      </c>
      <c r="BW352" s="3205"/>
      <c r="BX352" s="3387" t="s">
        <v>673</v>
      </c>
      <c r="BY352" s="3543"/>
      <c r="CB352" s="3397">
        <f>(CB351-$H351)/$H$351</f>
        <v>9.5788526894157122E-2</v>
      </c>
      <c r="CE352" s="3205"/>
      <c r="CF352" s="3387" t="s">
        <v>673</v>
      </c>
      <c r="CG352" s="3543"/>
      <c r="CJ352" s="3397">
        <f>(CJ351-$H351)/$H$351</f>
        <v>9.5788526894157122E-2</v>
      </c>
      <c r="CM352" s="3205"/>
      <c r="CN352" s="3387" t="s">
        <v>673</v>
      </c>
      <c r="CO352" s="3543"/>
      <c r="CR352" s="3397">
        <f>(CR351-$H351)/$H$351</f>
        <v>9.5788526894157122E-2</v>
      </c>
      <c r="CU352" s="3205"/>
      <c r="CV352" s="3387" t="s">
        <v>673</v>
      </c>
      <c r="CW352" s="3543"/>
      <c r="CZ352" s="3397">
        <f>(CZ351-$H351)/$H$351</f>
        <v>9.5788526894157122E-2</v>
      </c>
      <c r="DC352" s="3205"/>
      <c r="DD352" s="3387" t="s">
        <v>673</v>
      </c>
      <c r="DE352" s="3543"/>
      <c r="DH352" s="3397">
        <f>(DH351-$H351)/$H$351</f>
        <v>9.5788526894157122E-2</v>
      </c>
      <c r="DK352" s="3205"/>
      <c r="DL352" s="3387" t="s">
        <v>673</v>
      </c>
      <c r="DM352" s="3543"/>
      <c r="DP352" s="3397">
        <f>(DP351-$H351)/$H$351</f>
        <v>9.5788526894157122E-2</v>
      </c>
      <c r="DS352" s="3205"/>
      <c r="DT352" s="3387" t="s">
        <v>673</v>
      </c>
      <c r="DU352" s="3543"/>
      <c r="DX352" s="3397">
        <f>(DX351-$H351)/$H$351</f>
        <v>9.5788526894157122E-2</v>
      </c>
      <c r="EA352" s="3205"/>
      <c r="EB352" s="3387" t="s">
        <v>673</v>
      </c>
      <c r="EC352" s="3543"/>
      <c r="EF352" s="3397">
        <f>(EF351-$H351)/$H$351</f>
        <v>9.5788526894157122E-2</v>
      </c>
      <c r="EI352" s="3205"/>
      <c r="EJ352" s="3387" t="s">
        <v>673</v>
      </c>
      <c r="EK352" s="3543"/>
      <c r="EN352" s="3397">
        <f>(EN351-$H351)/$H$351</f>
        <v>9.5788526894157122E-2</v>
      </c>
      <c r="EQ352" s="3205"/>
      <c r="ER352" s="3387" t="s">
        <v>673</v>
      </c>
      <c r="ES352" s="3543"/>
      <c r="EV352" s="3397">
        <f>(EV351-$H351)/$H$351</f>
        <v>9.5788526894157122E-2</v>
      </c>
      <c r="EY352" s="3205"/>
      <c r="EZ352" s="3387" t="s">
        <v>673</v>
      </c>
      <c r="FA352" s="3543"/>
      <c r="FD352" s="3397">
        <f>(FD351-$H351)/$H$351</f>
        <v>9.5788526894157122E-2</v>
      </c>
      <c r="FG352" s="3205"/>
      <c r="FH352" s="3387" t="s">
        <v>673</v>
      </c>
      <c r="FI352" s="3543"/>
      <c r="FL352" s="3397">
        <f>(FL351-$H351)/$H$351</f>
        <v>9.5788526894157122E-2</v>
      </c>
      <c r="FO352" s="3205"/>
    </row>
    <row r="353" spans="1:171" ht="12" thickTop="1">
      <c r="A353" s="3452"/>
      <c r="J353" s="3453"/>
      <c r="K353" s="3205"/>
      <c r="S353" s="3205"/>
      <c r="AA353" s="3205"/>
      <c r="AI353" s="3205"/>
      <c r="AQ353" s="3205"/>
      <c r="AY353" s="3205"/>
      <c r="BG353" s="3205"/>
      <c r="BO353" s="3205"/>
      <c r="BW353" s="3205"/>
      <c r="CE353" s="3205"/>
      <c r="CM353" s="3205"/>
      <c r="CU353" s="3205"/>
      <c r="DC353" s="3205"/>
      <c r="DK353" s="3205"/>
      <c r="DS353" s="3205"/>
      <c r="EA353" s="3205"/>
      <c r="EI353" s="3205"/>
      <c r="EQ353" s="3205"/>
      <c r="EY353" s="3205"/>
      <c r="FG353" s="3205"/>
      <c r="FO353" s="3205"/>
    </row>
    <row r="354" spans="1:171">
      <c r="A354" s="3452"/>
      <c r="J354" s="3453"/>
      <c r="K354" s="3205"/>
      <c r="P354" s="507" t="str">
        <f>IF(P352&gt;=0.025,"Material",IF(P352&gt;0.005,"Group","Not Material"))</f>
        <v>Material</v>
      </c>
      <c r="S354" s="3205"/>
      <c r="X354" s="507" t="str">
        <f>IF(X352&gt;=0.025,"Material",IF(X352&gt;0.005,"Group","Not Material"))</f>
        <v>Material</v>
      </c>
      <c r="AA354" s="3205"/>
      <c r="AF354" s="507" t="str">
        <f>IF(AF352&gt;=0.025,"Material",IF(AF352&gt;0.005,"Group","Not Material"))</f>
        <v>Material</v>
      </c>
      <c r="AI354" s="3205"/>
      <c r="AN354" s="507" t="str">
        <f>IF(AN352&gt;=0.025,"Material",IF(AN352&gt;0.005,"Group","Not Material"))</f>
        <v>Material</v>
      </c>
      <c r="AQ354" s="3205"/>
      <c r="AV354" s="507" t="str">
        <f>IF(AV352&gt;=0.025,"Material",IF(AV352&gt;0.005,"Group","Not Material"))</f>
        <v>Material</v>
      </c>
      <c r="AY354" s="3205"/>
      <c r="BD354" s="507" t="str">
        <f>IF(BD352&gt;=0.025,"Material",IF(BD352&gt;0.005,"Group","Not Material"))</f>
        <v>Material</v>
      </c>
      <c r="BG354" s="3205"/>
      <c r="BL354" s="507" t="str">
        <f>IF(BL352&gt;=0.025,"Material",IF(BL352&gt;0.005,"Group","Not Material"))</f>
        <v>Material</v>
      </c>
      <c r="BO354" s="3205"/>
      <c r="BT354" s="507" t="str">
        <f>IF(BT352&gt;=0.025,"Material",IF(BT352&gt;0.005,"Group","Not Material"))</f>
        <v>Material</v>
      </c>
      <c r="BW354" s="3205"/>
      <c r="CB354" s="507" t="str">
        <f>IF(CB352&gt;=0.025,"Material",IF(CB352&gt;0.005,"Group","Not Material"))</f>
        <v>Material</v>
      </c>
      <c r="CE354" s="3205"/>
      <c r="CJ354" s="507" t="str">
        <f>IF(CJ352&gt;=0.025,"Material",IF(CJ352&gt;0.005,"Group","Not Material"))</f>
        <v>Material</v>
      </c>
      <c r="CM354" s="3205"/>
      <c r="CR354" s="507" t="str">
        <f>IF(CR352&gt;=0.025,"Material",IF(CR352&gt;0.005,"Group","Not Material"))</f>
        <v>Material</v>
      </c>
      <c r="CU354" s="3205"/>
      <c r="CZ354" s="507" t="str">
        <f>IF(CZ352&gt;=0.025,"Material",IF(CZ352&gt;0.005,"Group","Not Material"))</f>
        <v>Material</v>
      </c>
      <c r="DC354" s="3205"/>
      <c r="DH354" s="507" t="str">
        <f>IF(DH352&gt;=0.025,"Material",IF(DH352&gt;0.005,"Group","Not Material"))</f>
        <v>Material</v>
      </c>
      <c r="DK354" s="3205"/>
      <c r="DP354" s="507" t="str">
        <f>IF(DP352&gt;=0.025,"Material",IF(DP352&gt;0.005,"Group","Not Material"))</f>
        <v>Material</v>
      </c>
      <c r="DS354" s="3205"/>
      <c r="DX354" s="507" t="str">
        <f>IF(DX352&gt;=0.025,"Material",IF(DX352&gt;0.005,"Group","Not Material"))</f>
        <v>Material</v>
      </c>
      <c r="EA354" s="3205"/>
      <c r="EF354" s="507" t="str">
        <f>IF(EF352&gt;=0.025,"Material",IF(EF352&gt;0.005,"Group","Not Material"))</f>
        <v>Material</v>
      </c>
      <c r="EI354" s="3205"/>
      <c r="EN354" s="507" t="str">
        <f>IF(EN352&gt;=0.025,"Material",IF(EN352&gt;0.005,"Group","Not Material"))</f>
        <v>Material</v>
      </c>
      <c r="EQ354" s="3205"/>
      <c r="EV354" s="507" t="str">
        <f>IF(EV352&gt;=0.025,"Material",IF(EV352&gt;0.005,"Group","Not Material"))</f>
        <v>Material</v>
      </c>
      <c r="EY354" s="3205"/>
      <c r="FD354" s="507" t="str">
        <f>IF(FD352&gt;=0.025,"Material",IF(FD352&gt;0.005,"Group","Not Material"))</f>
        <v>Material</v>
      </c>
      <c r="FG354" s="3205"/>
      <c r="FL354" s="507" t="str">
        <f>IF(FL352&gt;=0.025,"Material",IF(FL352&gt;0.005,"Group","Not Material"))</f>
        <v>Material</v>
      </c>
      <c r="FO354" s="3205"/>
    </row>
    <row r="355" spans="1:171">
      <c r="A355" s="3452"/>
      <c r="J355" s="3453"/>
      <c r="K355" s="3205"/>
      <c r="S355" s="3205"/>
      <c r="AA355" s="3205"/>
      <c r="AI355" s="3205"/>
      <c r="AQ355" s="3205"/>
      <c r="AY355" s="3205"/>
      <c r="BG355" s="3205"/>
      <c r="BO355" s="3205"/>
      <c r="BW355" s="3205"/>
      <c r="CE355" s="3205"/>
      <c r="CM355" s="3205"/>
      <c r="CU355" s="3205"/>
      <c r="DC355" s="3205"/>
      <c r="DK355" s="3205"/>
      <c r="DS355" s="3205"/>
      <c r="EA355" s="3205"/>
      <c r="EI355" s="3205"/>
      <c r="EQ355" s="3205"/>
      <c r="EY355" s="3205"/>
      <c r="FG355" s="3205"/>
      <c r="FO355" s="3205"/>
    </row>
    <row r="356" spans="1:171" ht="12" thickBot="1">
      <c r="A356" s="3546"/>
      <c r="B356" s="3547"/>
      <c r="C356" s="3547"/>
      <c r="D356" s="3547"/>
      <c r="E356" s="3547"/>
      <c r="F356" s="3547"/>
      <c r="G356" s="3547"/>
      <c r="H356" s="3547"/>
      <c r="I356" s="3547"/>
      <c r="J356" s="3548"/>
      <c r="K356" s="3205"/>
      <c r="S356" s="3205"/>
      <c r="AA356" s="3205"/>
      <c r="AI356" s="3205"/>
      <c r="AQ356" s="3205"/>
      <c r="AY356" s="3205"/>
      <c r="BG356" s="3205"/>
      <c r="BO356" s="3205"/>
      <c r="BW356" s="3205"/>
      <c r="CE356" s="3205"/>
      <c r="CM356" s="3205"/>
      <c r="CU356" s="3205"/>
      <c r="DC356" s="3205"/>
      <c r="DK356" s="3205"/>
      <c r="DS356" s="3205"/>
      <c r="EA356" s="3205"/>
      <c r="EI356" s="3205"/>
      <c r="EQ356" s="3205"/>
      <c r="EY356" s="3205"/>
      <c r="FG356" s="3205"/>
      <c r="FO356" s="3205"/>
    </row>
    <row r="357" spans="1:171" ht="12" thickTop="1">
      <c r="K357" s="3205"/>
      <c r="S357" s="3205"/>
      <c r="AA357" s="3205"/>
      <c r="AI357" s="3205"/>
      <c r="AQ357" s="3205"/>
      <c r="AY357" s="3205"/>
      <c r="BG357" s="3205"/>
      <c r="BO357" s="3205"/>
      <c r="BW357" s="3205"/>
      <c r="CE357" s="3205"/>
      <c r="CM357" s="3205"/>
      <c r="CU357" s="3205"/>
      <c r="DC357" s="3205"/>
      <c r="DK357" s="3205"/>
      <c r="DS357" s="3205"/>
      <c r="EA357" s="3205"/>
      <c r="EI357" s="3205"/>
      <c r="EQ357" s="3205"/>
      <c r="EY357" s="3205"/>
      <c r="FG357" s="3205"/>
      <c r="FO357" s="3205"/>
    </row>
    <row r="358" spans="1:171">
      <c r="K358" s="3205"/>
      <c r="S358" s="3205"/>
      <c r="AA358" s="3205"/>
      <c r="AI358" s="3205"/>
      <c r="AQ358" s="3205"/>
      <c r="AY358" s="3205"/>
      <c r="BG358" s="3205"/>
      <c r="BO358" s="3205"/>
      <c r="BW358" s="3205"/>
      <c r="CE358" s="3205"/>
      <c r="CM358" s="3205"/>
      <c r="CU358" s="3205"/>
      <c r="DC358" s="3205"/>
      <c r="DK358" s="3205"/>
      <c r="DS358" s="3205"/>
      <c r="EA358" s="3205"/>
      <c r="EI358" s="3205"/>
      <c r="EQ358" s="3205"/>
      <c r="EY358" s="3205"/>
      <c r="FG358" s="3205"/>
      <c r="FO358" s="3205"/>
    </row>
    <row r="359" spans="1:171">
      <c r="K359" s="3205"/>
      <c r="S359" s="3205"/>
      <c r="AA359" s="3205"/>
      <c r="AI359" s="3205"/>
      <c r="AQ359" s="3205"/>
      <c r="AY359" s="3205"/>
      <c r="BG359" s="3205"/>
      <c r="BO359" s="3205"/>
      <c r="BW359" s="3205"/>
      <c r="CE359" s="3205"/>
      <c r="CM359" s="3205"/>
      <c r="CU359" s="3205"/>
      <c r="DC359" s="3205"/>
      <c r="DK359" s="3205"/>
      <c r="DS359" s="3205"/>
      <c r="EA359" s="3205"/>
      <c r="EI359" s="3205"/>
      <c r="EQ359" s="3205"/>
      <c r="EY359" s="3205"/>
      <c r="FG359" s="3205"/>
      <c r="FO359" s="3205"/>
    </row>
    <row r="360" spans="1:171">
      <c r="K360" s="3205"/>
      <c r="S360" s="3205"/>
      <c r="AA360" s="3205"/>
      <c r="AI360" s="3205"/>
      <c r="AQ360" s="3205"/>
      <c r="AY360" s="3205"/>
      <c r="BG360" s="3205"/>
      <c r="BO360" s="3205"/>
      <c r="BW360" s="3205"/>
      <c r="CE360" s="3205"/>
      <c r="CM360" s="3205"/>
      <c r="CU360" s="3205"/>
      <c r="DC360" s="3205"/>
      <c r="DK360" s="3205"/>
      <c r="DS360" s="3205"/>
      <c r="EA360" s="3205"/>
      <c r="EI360" s="3205"/>
      <c r="EQ360" s="3205"/>
      <c r="EY360" s="3205"/>
      <c r="FG360" s="3205"/>
      <c r="FO360" s="3205"/>
    </row>
    <row r="361" spans="1:171">
      <c r="K361" s="3205"/>
      <c r="S361" s="3205"/>
      <c r="AA361" s="3205"/>
      <c r="AI361" s="3205"/>
      <c r="AQ361" s="3205"/>
      <c r="AY361" s="3205"/>
      <c r="BG361" s="3205"/>
      <c r="BO361" s="3205"/>
      <c r="BW361" s="3205"/>
      <c r="CE361" s="3205"/>
      <c r="CM361" s="3205"/>
      <c r="CU361" s="3205"/>
      <c r="DC361" s="3205"/>
      <c r="DK361" s="3205"/>
      <c r="DS361" s="3205"/>
      <c r="EA361" s="3205"/>
      <c r="EI361" s="3205"/>
      <c r="EQ361" s="3205"/>
      <c r="EY361" s="3205"/>
      <c r="FG361" s="3205"/>
      <c r="FO361" s="3205"/>
    </row>
    <row r="362" spans="1:171">
      <c r="K362" s="3205"/>
      <c r="S362" s="3205"/>
      <c r="AA362" s="3205"/>
      <c r="AI362" s="3205"/>
      <c r="AQ362" s="3205"/>
      <c r="AY362" s="3205"/>
      <c r="BG362" s="3205"/>
      <c r="BO362" s="3205"/>
      <c r="BW362" s="3205"/>
      <c r="CE362" s="3205"/>
      <c r="CM362" s="3205"/>
      <c r="CU362" s="3205"/>
      <c r="DC362" s="3205"/>
      <c r="DK362" s="3205"/>
      <c r="DS362" s="3205"/>
      <c r="EA362" s="3205"/>
      <c r="EI362" s="3205"/>
      <c r="EQ362" s="3205"/>
      <c r="EY362" s="3205"/>
      <c r="FG362" s="3205"/>
      <c r="FO362" s="3205"/>
    </row>
    <row r="363" spans="1:171">
      <c r="K363" s="3205"/>
      <c r="S363" s="3205"/>
      <c r="AA363" s="3205"/>
      <c r="AI363" s="3205"/>
      <c r="AQ363" s="3205"/>
      <c r="AY363" s="3205"/>
      <c r="BG363" s="3205"/>
      <c r="BO363" s="3205"/>
      <c r="BW363" s="3205"/>
      <c r="CE363" s="3205"/>
      <c r="CM363" s="3205"/>
      <c r="CU363" s="3205"/>
      <c r="DC363" s="3205"/>
      <c r="DK363" s="3205"/>
      <c r="DS363" s="3205"/>
      <c r="EA363" s="3205"/>
      <c r="EI363" s="3205"/>
      <c r="EQ363" s="3205"/>
      <c r="EY363" s="3205"/>
      <c r="FG363" s="3205"/>
      <c r="FO363" s="3205"/>
    </row>
    <row r="364" spans="1:171">
      <c r="K364" s="3205"/>
      <c r="S364" s="3205"/>
      <c r="AA364" s="3205"/>
      <c r="AI364" s="3205"/>
      <c r="AQ364" s="3205"/>
      <c r="AY364" s="3205"/>
      <c r="BG364" s="3205"/>
      <c r="BO364" s="3205"/>
      <c r="BW364" s="3205"/>
      <c r="CE364" s="3205"/>
      <c r="CM364" s="3205"/>
      <c r="CU364" s="3205"/>
      <c r="DC364" s="3205"/>
      <c r="DK364" s="3205"/>
      <c r="DS364" s="3205"/>
      <c r="EA364" s="3205"/>
      <c r="EI364" s="3205"/>
      <c r="EQ364" s="3205"/>
      <c r="EY364" s="3205"/>
      <c r="FG364" s="3205"/>
      <c r="FO364" s="3205"/>
    </row>
    <row r="365" spans="1:171">
      <c r="K365" s="3205"/>
      <c r="S365" s="3205"/>
      <c r="AA365" s="3205"/>
      <c r="AI365" s="3205"/>
      <c r="AQ365" s="3205"/>
      <c r="AY365" s="3205"/>
      <c r="BG365" s="3205"/>
      <c r="BO365" s="3205"/>
      <c r="BW365" s="3205"/>
      <c r="CE365" s="3205"/>
      <c r="CM365" s="3205"/>
      <c r="CU365" s="3205"/>
      <c r="DC365" s="3205"/>
      <c r="DK365" s="3205"/>
      <c r="DS365" s="3205"/>
      <c r="EA365" s="3205"/>
      <c r="EI365" s="3205"/>
      <c r="EQ365" s="3205"/>
      <c r="EY365" s="3205"/>
      <c r="FG365" s="3205"/>
      <c r="FO365" s="3205"/>
    </row>
    <row r="366" spans="1:171">
      <c r="K366" s="3205"/>
      <c r="S366" s="3205"/>
      <c r="AA366" s="3205"/>
      <c r="AI366" s="3205"/>
      <c r="AQ366" s="3205"/>
      <c r="AY366" s="3205"/>
      <c r="BG366" s="3205"/>
      <c r="BO366" s="3205"/>
      <c r="BW366" s="3205"/>
      <c r="CE366" s="3205"/>
      <c r="CM366" s="3205"/>
      <c r="CU366" s="3205"/>
      <c r="DC366" s="3205"/>
      <c r="DK366" s="3205"/>
      <c r="DP366" s="3383"/>
      <c r="DS366" s="3205"/>
      <c r="EA366" s="3205"/>
      <c r="EI366" s="3205"/>
      <c r="EQ366" s="3205"/>
      <c r="EY366" s="3205"/>
      <c r="FG366" s="3205"/>
      <c r="FO366" s="3205"/>
    </row>
    <row r="367" spans="1:171">
      <c r="K367" s="3205"/>
      <c r="S367" s="3205"/>
      <c r="AA367" s="3205"/>
      <c r="AI367" s="3205"/>
      <c r="AQ367" s="3205"/>
      <c r="AY367" s="3205"/>
      <c r="BG367" s="3205"/>
      <c r="BO367" s="3205"/>
      <c r="BW367" s="3205"/>
      <c r="CE367" s="3205"/>
      <c r="CM367" s="3205"/>
      <c r="CU367" s="3205"/>
      <c r="DC367" s="3205"/>
      <c r="DK367" s="3205"/>
      <c r="DP367" s="3384"/>
      <c r="DS367" s="3205"/>
      <c r="EA367" s="3205"/>
      <c r="EI367" s="3205"/>
      <c r="EQ367" s="3205"/>
      <c r="EY367" s="3205"/>
      <c r="FG367" s="3205"/>
      <c r="FO367" s="3205"/>
    </row>
    <row r="368" spans="1:171">
      <c r="K368" s="3205"/>
      <c r="S368" s="3205"/>
      <c r="AA368" s="3205"/>
      <c r="AI368" s="3205"/>
      <c r="AQ368" s="3205"/>
      <c r="AY368" s="3205"/>
      <c r="BG368" s="3205"/>
      <c r="BO368" s="3205"/>
      <c r="BW368" s="3205"/>
      <c r="CE368" s="3205"/>
      <c r="CM368" s="3205"/>
      <c r="CU368" s="3205"/>
      <c r="DC368" s="3205"/>
      <c r="DK368" s="3205"/>
      <c r="DP368" s="2424"/>
      <c r="DS368" s="3205"/>
      <c r="EA368" s="3205"/>
      <c r="EI368" s="3205"/>
      <c r="EQ368" s="3205"/>
      <c r="EY368" s="3205"/>
      <c r="FG368" s="3205"/>
      <c r="FO368" s="3205"/>
    </row>
    <row r="369" spans="2:171">
      <c r="D369" s="3136"/>
      <c r="E369" s="3090" t="s">
        <v>520</v>
      </c>
      <c r="G369" s="3091" t="s">
        <v>104</v>
      </c>
      <c r="H369" s="3091" t="s">
        <v>105</v>
      </c>
      <c r="I369" s="3091" t="s">
        <v>106</v>
      </c>
      <c r="J369" s="3092" t="s">
        <v>511</v>
      </c>
      <c r="K369" s="3205"/>
      <c r="O369" s="3091" t="s">
        <v>104</v>
      </c>
      <c r="P369" s="3091" t="s">
        <v>105</v>
      </c>
      <c r="Q369" s="3091" t="s">
        <v>106</v>
      </c>
      <c r="R369" s="3092" t="s">
        <v>511</v>
      </c>
      <c r="S369" s="3205"/>
      <c r="W369" s="3091" t="s">
        <v>104</v>
      </c>
      <c r="X369" s="3091" t="s">
        <v>105</v>
      </c>
      <c r="Y369" s="3091" t="s">
        <v>106</v>
      </c>
      <c r="Z369" s="3092" t="s">
        <v>511</v>
      </c>
      <c r="AA369" s="3205"/>
      <c r="AE369" s="3091" t="s">
        <v>104</v>
      </c>
      <c r="AF369" s="3091" t="s">
        <v>105</v>
      </c>
      <c r="AG369" s="3091" t="s">
        <v>106</v>
      </c>
      <c r="AH369" s="3092" t="s">
        <v>511</v>
      </c>
      <c r="AI369" s="3205"/>
      <c r="AM369" s="3091" t="s">
        <v>104</v>
      </c>
      <c r="AN369" s="3091" t="s">
        <v>105</v>
      </c>
      <c r="AO369" s="3091" t="s">
        <v>106</v>
      </c>
      <c r="AP369" s="3092" t="s">
        <v>511</v>
      </c>
      <c r="AQ369" s="3205"/>
      <c r="AU369" s="3091" t="s">
        <v>104</v>
      </c>
      <c r="AV369" s="3091" t="s">
        <v>105</v>
      </c>
      <c r="AW369" s="3091" t="s">
        <v>106</v>
      </c>
      <c r="AX369" s="3092" t="s">
        <v>511</v>
      </c>
      <c r="AY369" s="3205"/>
      <c r="BC369" s="3091" t="s">
        <v>104</v>
      </c>
      <c r="BD369" s="3091" t="s">
        <v>105</v>
      </c>
      <c r="BE369" s="3091" t="s">
        <v>106</v>
      </c>
      <c r="BF369" s="3092" t="s">
        <v>511</v>
      </c>
      <c r="BG369" s="3205"/>
      <c r="BK369" s="3091" t="s">
        <v>104</v>
      </c>
      <c r="BL369" s="3091" t="s">
        <v>105</v>
      </c>
      <c r="BM369" s="3091" t="s">
        <v>106</v>
      </c>
      <c r="BN369" s="3092" t="s">
        <v>511</v>
      </c>
      <c r="BO369" s="3205"/>
      <c r="BS369" s="3091" t="s">
        <v>104</v>
      </c>
      <c r="BT369" s="3091" t="s">
        <v>105</v>
      </c>
      <c r="BU369" s="3091" t="s">
        <v>106</v>
      </c>
      <c r="BV369" s="3092" t="s">
        <v>511</v>
      </c>
      <c r="BW369" s="3205"/>
      <c r="CA369" s="3091" t="s">
        <v>104</v>
      </c>
      <c r="CB369" s="3091" t="s">
        <v>105</v>
      </c>
      <c r="CC369" s="3091" t="s">
        <v>106</v>
      </c>
      <c r="CD369" s="3092" t="s">
        <v>511</v>
      </c>
      <c r="CE369" s="3205"/>
      <c r="CI369" s="3091" t="s">
        <v>104</v>
      </c>
      <c r="CJ369" s="3091" t="s">
        <v>105</v>
      </c>
      <c r="CK369" s="3091" t="s">
        <v>106</v>
      </c>
      <c r="CL369" s="3092" t="s">
        <v>511</v>
      </c>
      <c r="CM369" s="3205"/>
      <c r="CQ369" s="3091" t="s">
        <v>104</v>
      </c>
      <c r="CR369" s="3091" t="s">
        <v>105</v>
      </c>
      <c r="CS369" s="3091" t="s">
        <v>106</v>
      </c>
      <c r="CT369" s="3092" t="s">
        <v>511</v>
      </c>
      <c r="CU369" s="3205"/>
      <c r="CY369" s="3091" t="s">
        <v>104</v>
      </c>
      <c r="CZ369" s="3091" t="s">
        <v>105</v>
      </c>
      <c r="DA369" s="3091" t="s">
        <v>106</v>
      </c>
      <c r="DB369" s="3092" t="s">
        <v>511</v>
      </c>
      <c r="DC369" s="3205"/>
      <c r="DG369" s="3091" t="s">
        <v>104</v>
      </c>
      <c r="DH369" s="3091" t="s">
        <v>105</v>
      </c>
      <c r="DI369" s="3091" t="s">
        <v>106</v>
      </c>
      <c r="DJ369" s="3092" t="s">
        <v>511</v>
      </c>
      <c r="DK369" s="3205"/>
      <c r="DO369" s="3091" t="s">
        <v>104</v>
      </c>
      <c r="DP369" s="3091" t="s">
        <v>105</v>
      </c>
      <c r="DQ369" s="3091" t="s">
        <v>106</v>
      </c>
      <c r="DR369" s="3092" t="s">
        <v>511</v>
      </c>
      <c r="DS369" s="3205"/>
      <c r="DW369" s="3091" t="s">
        <v>104</v>
      </c>
      <c r="DX369" s="3091" t="s">
        <v>105</v>
      </c>
      <c r="DY369" s="3091" t="s">
        <v>106</v>
      </c>
      <c r="DZ369" s="3092" t="s">
        <v>511</v>
      </c>
      <c r="EA369" s="3205"/>
      <c r="EE369" s="3091" t="s">
        <v>104</v>
      </c>
      <c r="EF369" s="3091" t="s">
        <v>105</v>
      </c>
      <c r="EG369" s="3091" t="s">
        <v>106</v>
      </c>
      <c r="EH369" s="3092" t="s">
        <v>511</v>
      </c>
      <c r="EI369" s="3205"/>
      <c r="EM369" s="3091" t="s">
        <v>104</v>
      </c>
      <c r="EN369" s="3091" t="s">
        <v>105</v>
      </c>
      <c r="EO369" s="3091" t="s">
        <v>106</v>
      </c>
      <c r="EP369" s="3092" t="s">
        <v>511</v>
      </c>
      <c r="EQ369" s="3205"/>
      <c r="EU369" s="3091" t="s">
        <v>104</v>
      </c>
      <c r="EV369" s="3091" t="s">
        <v>105</v>
      </c>
      <c r="EW369" s="3091" t="s">
        <v>106</v>
      </c>
      <c r="EX369" s="3092" t="s">
        <v>511</v>
      </c>
      <c r="EY369" s="3205"/>
      <c r="FC369" s="3091" t="s">
        <v>104</v>
      </c>
      <c r="FD369" s="3091" t="s">
        <v>105</v>
      </c>
      <c r="FE369" s="3091" t="s">
        <v>106</v>
      </c>
      <c r="FF369" s="3092" t="s">
        <v>511</v>
      </c>
      <c r="FG369" s="3205"/>
      <c r="FK369" s="3091" t="s">
        <v>104</v>
      </c>
      <c r="FL369" s="3091" t="s">
        <v>105</v>
      </c>
      <c r="FM369" s="3091" t="s">
        <v>106</v>
      </c>
      <c r="FN369" s="3092" t="s">
        <v>511</v>
      </c>
      <c r="FO369" s="3205"/>
    </row>
    <row r="370" spans="2:171">
      <c r="B370" s="3398" t="s">
        <v>516</v>
      </c>
      <c r="C370" s="3086" t="s">
        <v>105</v>
      </c>
      <c r="D370" s="3086"/>
      <c r="E370" s="3234" t="str">
        <f>Ratios!C13</f>
        <v>PROD</v>
      </c>
      <c r="G370" s="2424">
        <f>Ratios!D13</f>
        <v>32635584</v>
      </c>
      <c r="H370" s="2424">
        <f>Ratios!E13</f>
        <v>32635584</v>
      </c>
      <c r="I370" s="2424">
        <f>Ratios!F13</f>
        <v>0</v>
      </c>
      <c r="J370" s="2424">
        <f>Ratios!G13</f>
        <v>0</v>
      </c>
      <c r="K370" s="3205">
        <f t="shared" ref="K370:K376" si="953">IF($E370="DIRECT",0,1)</f>
        <v>1</v>
      </c>
      <c r="O370" s="2424">
        <f t="shared" ref="O370:O376" si="954">$G370</f>
        <v>32635584</v>
      </c>
      <c r="P370" s="2424">
        <f t="shared" ref="P370:P375" si="955">$H370</f>
        <v>32635584</v>
      </c>
      <c r="Q370" s="2424">
        <f t="shared" ref="Q370:Q375" si="956">$I370</f>
        <v>0</v>
      </c>
      <c r="R370" s="2424">
        <f t="shared" ref="R370:R375" si="957">$J370</f>
        <v>0</v>
      </c>
      <c r="S370" s="3205"/>
      <c r="W370" s="2424">
        <f t="shared" ref="W370:W376" si="958">$G370</f>
        <v>32635584</v>
      </c>
      <c r="X370" s="2424">
        <f t="shared" ref="X370:X375" si="959">$H370</f>
        <v>32635584</v>
      </c>
      <c r="Y370" s="2424">
        <f t="shared" ref="Y370:Y375" si="960">$I370</f>
        <v>0</v>
      </c>
      <c r="Z370" s="2424">
        <f t="shared" ref="Z370:Z375" si="961">$J370</f>
        <v>0</v>
      </c>
      <c r="AA370" s="3205"/>
      <c r="AE370" s="2424">
        <f t="shared" ref="AE370:AE376" si="962">$G370</f>
        <v>32635584</v>
      </c>
      <c r="AF370" s="2424">
        <f t="shared" ref="AF370:AF375" si="963">$H370</f>
        <v>32635584</v>
      </c>
      <c r="AG370" s="2424">
        <f t="shared" ref="AG370:AG375" si="964">$I370</f>
        <v>0</v>
      </c>
      <c r="AH370" s="2424">
        <f t="shared" ref="AH370:AH375" si="965">$J370</f>
        <v>0</v>
      </c>
      <c r="AI370" s="3205"/>
      <c r="AM370" s="2424">
        <f t="shared" ref="AM370:AM376" si="966">$G370</f>
        <v>32635584</v>
      </c>
      <c r="AN370" s="2424">
        <f t="shared" ref="AN370:AN375" si="967">$H370</f>
        <v>32635584</v>
      </c>
      <c r="AO370" s="2424">
        <f t="shared" ref="AO370:AO375" si="968">$I370</f>
        <v>0</v>
      </c>
      <c r="AP370" s="2424">
        <f t="shared" ref="AP370:AP375" si="969">$J370</f>
        <v>0</v>
      </c>
      <c r="AQ370" s="3205"/>
      <c r="AU370" s="2424">
        <f t="shared" ref="AU370:AU376" si="970">$G370</f>
        <v>32635584</v>
      </c>
      <c r="AV370" s="2424">
        <f t="shared" ref="AV370:AV375" si="971">$H370</f>
        <v>32635584</v>
      </c>
      <c r="AW370" s="2424">
        <f t="shared" ref="AW370:AW375" si="972">$I370</f>
        <v>0</v>
      </c>
      <c r="AX370" s="2424">
        <f t="shared" ref="AX370:AX375" si="973">$J370</f>
        <v>0</v>
      </c>
      <c r="AY370" s="3205"/>
      <c r="BC370" s="2424">
        <f t="shared" ref="BC370:BC376" si="974">$G370</f>
        <v>32635584</v>
      </c>
      <c r="BD370" s="2424">
        <f t="shared" ref="BD370:BD375" si="975">$H370</f>
        <v>32635584</v>
      </c>
      <c r="BE370" s="2424">
        <f t="shared" ref="BE370:BE375" si="976">$I370</f>
        <v>0</v>
      </c>
      <c r="BF370" s="2424">
        <f t="shared" ref="BF370:BF375" si="977">$J370</f>
        <v>0</v>
      </c>
      <c r="BG370" s="3205"/>
      <c r="BK370" s="2424">
        <f t="shared" ref="BK370:BK376" si="978">$G370</f>
        <v>32635584</v>
      </c>
      <c r="BL370" s="2424">
        <f t="shared" ref="BL370:BL375" si="979">$H370</f>
        <v>32635584</v>
      </c>
      <c r="BM370" s="2424">
        <f t="shared" ref="BM370:BM375" si="980">$I370</f>
        <v>0</v>
      </c>
      <c r="BN370" s="2424">
        <f t="shared" ref="BN370:BN375" si="981">$J370</f>
        <v>0</v>
      </c>
      <c r="BO370" s="3205"/>
      <c r="BS370" s="2424">
        <f t="shared" ref="BS370:BS376" si="982">$G370</f>
        <v>32635584</v>
      </c>
      <c r="BT370" s="2424">
        <f t="shared" ref="BT370:BT375" si="983">$H370</f>
        <v>32635584</v>
      </c>
      <c r="BU370" s="2424">
        <f t="shared" ref="BU370:BU375" si="984">$I370</f>
        <v>0</v>
      </c>
      <c r="BV370" s="2424">
        <f t="shared" ref="BV370:BV375" si="985">$J370</f>
        <v>0</v>
      </c>
      <c r="BW370" s="3205"/>
      <c r="CA370" s="2424">
        <f t="shared" ref="CA370:CA376" si="986">$G370</f>
        <v>32635584</v>
      </c>
      <c r="CB370" s="2424">
        <f t="shared" ref="CB370:CB375" si="987">$H370</f>
        <v>32635584</v>
      </c>
      <c r="CC370" s="2424">
        <f t="shared" ref="CC370:CC375" si="988">$I370</f>
        <v>0</v>
      </c>
      <c r="CD370" s="2424">
        <f t="shared" ref="CD370:CD375" si="989">$J370</f>
        <v>0</v>
      </c>
      <c r="CE370" s="3205"/>
      <c r="CI370" s="2424">
        <f t="shared" ref="CI370:CI376" si="990">$G370</f>
        <v>32635584</v>
      </c>
      <c r="CJ370" s="2424">
        <f t="shared" ref="CJ370:CJ375" si="991">$H370</f>
        <v>32635584</v>
      </c>
      <c r="CK370" s="2424">
        <f t="shared" ref="CK370:CK375" si="992">$I370</f>
        <v>0</v>
      </c>
      <c r="CL370" s="2424">
        <f t="shared" ref="CL370:CL375" si="993">$J370</f>
        <v>0</v>
      </c>
      <c r="CM370" s="3205"/>
      <c r="CQ370" s="2424">
        <f t="shared" ref="CQ370:CQ376" si="994">$G370</f>
        <v>32635584</v>
      </c>
      <c r="CR370" s="2424">
        <f t="shared" ref="CR370:CR375" si="995">$H370</f>
        <v>32635584</v>
      </c>
      <c r="CS370" s="2424">
        <f t="shared" ref="CS370:CS375" si="996">$I370</f>
        <v>0</v>
      </c>
      <c r="CT370" s="2424">
        <f t="shared" ref="CT370:CT375" si="997">$J370</f>
        <v>0</v>
      </c>
      <c r="CU370" s="3205"/>
      <c r="CY370" s="2424">
        <f t="shared" ref="CY370:CY376" si="998">$G370</f>
        <v>32635584</v>
      </c>
      <c r="CZ370" s="2424">
        <f t="shared" ref="CZ370:CZ375" si="999">$H370</f>
        <v>32635584</v>
      </c>
      <c r="DA370" s="2424">
        <f t="shared" ref="DA370:DA375" si="1000">$I370</f>
        <v>0</v>
      </c>
      <c r="DB370" s="2424">
        <f t="shared" ref="DB370:DB375" si="1001">$J370</f>
        <v>0</v>
      </c>
      <c r="DC370" s="3205"/>
      <c r="DG370" s="2424">
        <f t="shared" ref="DG370:DG376" si="1002">$G370</f>
        <v>32635584</v>
      </c>
      <c r="DH370" s="2424">
        <f t="shared" ref="DH370:DH375" si="1003">$H370</f>
        <v>32635584</v>
      </c>
      <c r="DI370" s="2424">
        <f t="shared" ref="DI370:DI375" si="1004">$I370</f>
        <v>0</v>
      </c>
      <c r="DJ370" s="2424">
        <f t="shared" ref="DJ370:DJ375" si="1005">$J370</f>
        <v>0</v>
      </c>
      <c r="DK370" s="3205"/>
      <c r="DO370" s="2424">
        <f t="shared" ref="DO370:DO376" si="1006">$G370</f>
        <v>32635584</v>
      </c>
      <c r="DP370" s="2424">
        <f t="shared" ref="DP370:DP375" si="1007">$H370</f>
        <v>32635584</v>
      </c>
      <c r="DQ370" s="2424">
        <f t="shared" ref="DQ370:DQ375" si="1008">$I370</f>
        <v>0</v>
      </c>
      <c r="DR370" s="2424">
        <f t="shared" ref="DR370:DR375" si="1009">$J370</f>
        <v>0</v>
      </c>
      <c r="DS370" s="3205"/>
      <c r="DW370" s="2424">
        <f t="shared" ref="DW370:DW376" si="1010">$G370</f>
        <v>32635584</v>
      </c>
      <c r="DX370" s="2424">
        <f t="shared" ref="DX370:DX375" si="1011">$H370</f>
        <v>32635584</v>
      </c>
      <c r="DY370" s="2424">
        <f t="shared" ref="DY370:DY375" si="1012">$I370</f>
        <v>0</v>
      </c>
      <c r="DZ370" s="2424">
        <f t="shared" ref="DZ370:DZ375" si="1013">$J370</f>
        <v>0</v>
      </c>
      <c r="EA370" s="3205"/>
      <c r="EE370" s="2424">
        <f t="shared" ref="EE370:EE376" si="1014">$G370</f>
        <v>32635584</v>
      </c>
      <c r="EF370" s="2424">
        <f t="shared" ref="EF370:EF375" si="1015">$H370</f>
        <v>32635584</v>
      </c>
      <c r="EG370" s="2424">
        <f t="shared" ref="EG370:EG375" si="1016">$I370</f>
        <v>0</v>
      </c>
      <c r="EH370" s="2424">
        <f t="shared" ref="EH370:EH375" si="1017">$J370</f>
        <v>0</v>
      </c>
      <c r="EI370" s="3205"/>
      <c r="EM370" s="2424">
        <f t="shared" ref="EM370:EM376" si="1018">$G370</f>
        <v>32635584</v>
      </c>
      <c r="EN370" s="2424">
        <f t="shared" ref="EN370:EN375" si="1019">$H370</f>
        <v>32635584</v>
      </c>
      <c r="EO370" s="2424">
        <f t="shared" ref="EO370:EO375" si="1020">$I370</f>
        <v>0</v>
      </c>
      <c r="EP370" s="2424">
        <f t="shared" ref="EP370:EP375" si="1021">$J370</f>
        <v>0</v>
      </c>
      <c r="EQ370" s="3205"/>
      <c r="EU370" s="2424">
        <f t="shared" ref="EU370:EU376" si="1022">$G370</f>
        <v>32635584</v>
      </c>
      <c r="EV370" s="2424">
        <f t="shared" ref="EV370:EV375" si="1023">$H370</f>
        <v>32635584</v>
      </c>
      <c r="EW370" s="2424">
        <f t="shared" ref="EW370:EW375" si="1024">$I370</f>
        <v>0</v>
      </c>
      <c r="EX370" s="2424">
        <f t="shared" ref="EX370:EX375" si="1025">$J370</f>
        <v>0</v>
      </c>
      <c r="EY370" s="3205"/>
      <c r="FC370" s="2424">
        <f t="shared" ref="FC370:FC376" si="1026">$G370</f>
        <v>32635584</v>
      </c>
      <c r="FD370" s="2424">
        <f t="shared" ref="FD370:FD375" si="1027">$H370</f>
        <v>32635584</v>
      </c>
      <c r="FE370" s="2424">
        <f t="shared" ref="FE370:FE375" si="1028">$I370</f>
        <v>0</v>
      </c>
      <c r="FF370" s="2424">
        <f t="shared" ref="FF370:FF375" si="1029">$J370</f>
        <v>0</v>
      </c>
      <c r="FG370" s="3205"/>
      <c r="FK370" s="2424">
        <f t="shared" ref="FK370:FK376" si="1030">$G370</f>
        <v>32635584</v>
      </c>
      <c r="FL370" s="2424">
        <f t="shared" ref="FL370:FL375" si="1031">$H370</f>
        <v>32635584</v>
      </c>
      <c r="FM370" s="2424">
        <f t="shared" ref="FM370:FM375" si="1032">$I370</f>
        <v>0</v>
      </c>
      <c r="FN370" s="2424">
        <f t="shared" ref="FN370:FN375" si="1033">$J370</f>
        <v>0</v>
      </c>
      <c r="FO370" s="3205"/>
    </row>
    <row r="371" spans="2:171">
      <c r="B371" s="3136"/>
      <c r="C371" s="3086" t="s">
        <v>106</v>
      </c>
      <c r="D371" s="3086"/>
      <c r="E371" s="3234" t="str">
        <f>Ratios!C14</f>
        <v>TRANS</v>
      </c>
      <c r="G371" s="2424">
        <f>Ratios!D14</f>
        <v>10498560</v>
      </c>
      <c r="H371" s="2424">
        <f>Ratios!E14</f>
        <v>0</v>
      </c>
      <c r="I371" s="2424">
        <f>Ratios!F14</f>
        <v>0</v>
      </c>
      <c r="J371" s="2424">
        <f>Ratios!G14</f>
        <v>10498560</v>
      </c>
      <c r="K371" s="3205">
        <f t="shared" si="953"/>
        <v>1</v>
      </c>
      <c r="O371" s="2424">
        <f t="shared" si="954"/>
        <v>10498560</v>
      </c>
      <c r="P371" s="2424">
        <f t="shared" si="955"/>
        <v>0</v>
      </c>
      <c r="Q371" s="2424">
        <f t="shared" si="956"/>
        <v>0</v>
      </c>
      <c r="R371" s="2424">
        <f t="shared" si="957"/>
        <v>10498560</v>
      </c>
      <c r="S371" s="3205"/>
      <c r="W371" s="2424">
        <f t="shared" si="958"/>
        <v>10498560</v>
      </c>
      <c r="X371" s="2424">
        <f t="shared" si="959"/>
        <v>0</v>
      </c>
      <c r="Y371" s="2424">
        <f t="shared" si="960"/>
        <v>0</v>
      </c>
      <c r="Z371" s="2424">
        <f t="shared" si="961"/>
        <v>10498560</v>
      </c>
      <c r="AA371" s="3205"/>
      <c r="AE371" s="2424">
        <f t="shared" si="962"/>
        <v>10498560</v>
      </c>
      <c r="AF371" s="2424">
        <f t="shared" si="963"/>
        <v>0</v>
      </c>
      <c r="AG371" s="2424">
        <f t="shared" si="964"/>
        <v>0</v>
      </c>
      <c r="AH371" s="2424">
        <f t="shared" si="965"/>
        <v>10498560</v>
      </c>
      <c r="AI371" s="3205"/>
      <c r="AM371" s="2424">
        <f t="shared" si="966"/>
        <v>10498560</v>
      </c>
      <c r="AN371" s="2424">
        <f t="shared" si="967"/>
        <v>0</v>
      </c>
      <c r="AO371" s="2424">
        <f t="shared" si="968"/>
        <v>0</v>
      </c>
      <c r="AP371" s="2424">
        <f t="shared" si="969"/>
        <v>10498560</v>
      </c>
      <c r="AQ371" s="3205"/>
      <c r="AU371" s="2424">
        <f t="shared" si="970"/>
        <v>10498560</v>
      </c>
      <c r="AV371" s="2424">
        <f t="shared" si="971"/>
        <v>0</v>
      </c>
      <c r="AW371" s="2424">
        <f t="shared" si="972"/>
        <v>0</v>
      </c>
      <c r="AX371" s="2424">
        <f t="shared" si="973"/>
        <v>10498560</v>
      </c>
      <c r="AY371" s="3205"/>
      <c r="BC371" s="2424">
        <f t="shared" si="974"/>
        <v>10498560</v>
      </c>
      <c r="BD371" s="2424">
        <f t="shared" si="975"/>
        <v>0</v>
      </c>
      <c r="BE371" s="2424">
        <f t="shared" si="976"/>
        <v>0</v>
      </c>
      <c r="BF371" s="2424">
        <f t="shared" si="977"/>
        <v>10498560</v>
      </c>
      <c r="BG371" s="3205"/>
      <c r="BK371" s="2424">
        <f t="shared" si="978"/>
        <v>10498560</v>
      </c>
      <c r="BL371" s="2424">
        <f t="shared" si="979"/>
        <v>0</v>
      </c>
      <c r="BM371" s="2424">
        <f t="shared" si="980"/>
        <v>0</v>
      </c>
      <c r="BN371" s="2424">
        <f t="shared" si="981"/>
        <v>10498560</v>
      </c>
      <c r="BO371" s="3205"/>
      <c r="BS371" s="2424">
        <f t="shared" si="982"/>
        <v>10498560</v>
      </c>
      <c r="BT371" s="2424">
        <f t="shared" si="983"/>
        <v>0</v>
      </c>
      <c r="BU371" s="2424">
        <f t="shared" si="984"/>
        <v>0</v>
      </c>
      <c r="BV371" s="2424">
        <f t="shared" si="985"/>
        <v>10498560</v>
      </c>
      <c r="BW371" s="3205"/>
      <c r="CA371" s="2424">
        <f t="shared" si="986"/>
        <v>10498560</v>
      </c>
      <c r="CB371" s="2424">
        <f t="shared" si="987"/>
        <v>0</v>
      </c>
      <c r="CC371" s="2424">
        <f t="shared" si="988"/>
        <v>0</v>
      </c>
      <c r="CD371" s="2424">
        <f t="shared" si="989"/>
        <v>10498560</v>
      </c>
      <c r="CE371" s="3205"/>
      <c r="CI371" s="2424">
        <f t="shared" si="990"/>
        <v>10498560</v>
      </c>
      <c r="CJ371" s="2424">
        <f t="shared" si="991"/>
        <v>0</v>
      </c>
      <c r="CK371" s="2424">
        <f t="shared" si="992"/>
        <v>0</v>
      </c>
      <c r="CL371" s="2424">
        <f t="shared" si="993"/>
        <v>10498560</v>
      </c>
      <c r="CM371" s="3205"/>
      <c r="CQ371" s="2424">
        <f t="shared" si="994"/>
        <v>10498560</v>
      </c>
      <c r="CR371" s="2424">
        <f t="shared" si="995"/>
        <v>0</v>
      </c>
      <c r="CS371" s="2424">
        <f t="shared" si="996"/>
        <v>0</v>
      </c>
      <c r="CT371" s="2424">
        <f t="shared" si="997"/>
        <v>10498560</v>
      </c>
      <c r="CU371" s="3205"/>
      <c r="CY371" s="2424">
        <f t="shared" si="998"/>
        <v>10498560</v>
      </c>
      <c r="CZ371" s="2424">
        <f t="shared" si="999"/>
        <v>0</v>
      </c>
      <c r="DA371" s="2424">
        <f t="shared" si="1000"/>
        <v>0</v>
      </c>
      <c r="DB371" s="2424">
        <f t="shared" si="1001"/>
        <v>10498560</v>
      </c>
      <c r="DC371" s="3205"/>
      <c r="DG371" s="2424">
        <f t="shared" si="1002"/>
        <v>10498560</v>
      </c>
      <c r="DH371" s="2424">
        <f t="shared" si="1003"/>
        <v>0</v>
      </c>
      <c r="DI371" s="2424">
        <f t="shared" si="1004"/>
        <v>0</v>
      </c>
      <c r="DJ371" s="2424">
        <f t="shared" si="1005"/>
        <v>10498560</v>
      </c>
      <c r="DK371" s="3205"/>
      <c r="DO371" s="2424">
        <f t="shared" si="1006"/>
        <v>10498560</v>
      </c>
      <c r="DP371" s="2424">
        <f t="shared" si="1007"/>
        <v>0</v>
      </c>
      <c r="DQ371" s="2424">
        <f t="shared" si="1008"/>
        <v>0</v>
      </c>
      <c r="DR371" s="2424">
        <f t="shared" si="1009"/>
        <v>10498560</v>
      </c>
      <c r="DS371" s="3205"/>
      <c r="DW371" s="2424">
        <f t="shared" si="1010"/>
        <v>10498560</v>
      </c>
      <c r="DX371" s="2424">
        <f t="shared" si="1011"/>
        <v>0</v>
      </c>
      <c r="DY371" s="2424">
        <f t="shared" si="1012"/>
        <v>0</v>
      </c>
      <c r="DZ371" s="2424">
        <f t="shared" si="1013"/>
        <v>10498560</v>
      </c>
      <c r="EA371" s="3205"/>
      <c r="EE371" s="2424">
        <f t="shared" si="1014"/>
        <v>10498560</v>
      </c>
      <c r="EF371" s="2424">
        <f t="shared" si="1015"/>
        <v>0</v>
      </c>
      <c r="EG371" s="2424">
        <f t="shared" si="1016"/>
        <v>0</v>
      </c>
      <c r="EH371" s="2424">
        <f t="shared" si="1017"/>
        <v>10498560</v>
      </c>
      <c r="EI371" s="3205"/>
      <c r="EM371" s="2424">
        <f t="shared" si="1018"/>
        <v>10498560</v>
      </c>
      <c r="EN371" s="2424">
        <f t="shared" si="1019"/>
        <v>0</v>
      </c>
      <c r="EO371" s="2424">
        <f t="shared" si="1020"/>
        <v>0</v>
      </c>
      <c r="EP371" s="2424">
        <f t="shared" si="1021"/>
        <v>10498560</v>
      </c>
      <c r="EQ371" s="3205"/>
      <c r="EU371" s="2424">
        <f t="shared" si="1022"/>
        <v>10498560</v>
      </c>
      <c r="EV371" s="2424">
        <f t="shared" si="1023"/>
        <v>0</v>
      </c>
      <c r="EW371" s="2424">
        <f t="shared" si="1024"/>
        <v>0</v>
      </c>
      <c r="EX371" s="2424">
        <f t="shared" si="1025"/>
        <v>10498560</v>
      </c>
      <c r="EY371" s="3205"/>
      <c r="FC371" s="2424">
        <f t="shared" si="1026"/>
        <v>10498560</v>
      </c>
      <c r="FD371" s="2424">
        <f t="shared" si="1027"/>
        <v>0</v>
      </c>
      <c r="FE371" s="2424">
        <f t="shared" si="1028"/>
        <v>0</v>
      </c>
      <c r="FF371" s="2424">
        <f t="shared" si="1029"/>
        <v>10498560</v>
      </c>
      <c r="FG371" s="3205"/>
      <c r="FK371" s="2424">
        <f t="shared" si="1030"/>
        <v>10498560</v>
      </c>
      <c r="FL371" s="2424">
        <f t="shared" si="1031"/>
        <v>0</v>
      </c>
      <c r="FM371" s="2424">
        <f t="shared" si="1032"/>
        <v>0</v>
      </c>
      <c r="FN371" s="2424">
        <f t="shared" si="1033"/>
        <v>10498560</v>
      </c>
      <c r="FO371" s="3205"/>
    </row>
    <row r="372" spans="2:171">
      <c r="B372" s="3136"/>
      <c r="C372" s="3086" t="s">
        <v>511</v>
      </c>
      <c r="D372" s="3086"/>
      <c r="E372" s="3234" t="str">
        <f>Ratios!C15</f>
        <v>DIST</v>
      </c>
      <c r="G372" s="2424">
        <f>Ratios!D15</f>
        <v>40805168</v>
      </c>
      <c r="H372" s="2424">
        <f>Ratios!E15</f>
        <v>0</v>
      </c>
      <c r="I372" s="2424">
        <f>Ratios!F15</f>
        <v>0</v>
      </c>
      <c r="J372" s="2424">
        <f>Ratios!G15</f>
        <v>40805168</v>
      </c>
      <c r="K372" s="3205">
        <f t="shared" si="953"/>
        <v>1</v>
      </c>
      <c r="O372" s="2424">
        <f t="shared" si="954"/>
        <v>40805168</v>
      </c>
      <c r="P372" s="2424">
        <f t="shared" si="955"/>
        <v>0</v>
      </c>
      <c r="Q372" s="2424">
        <f t="shared" si="956"/>
        <v>0</v>
      </c>
      <c r="R372" s="2424">
        <f t="shared" si="957"/>
        <v>40805168</v>
      </c>
      <c r="S372" s="3205"/>
      <c r="W372" s="2424">
        <f t="shared" si="958"/>
        <v>40805168</v>
      </c>
      <c r="X372" s="2424">
        <f t="shared" si="959"/>
        <v>0</v>
      </c>
      <c r="Y372" s="2424">
        <f t="shared" si="960"/>
        <v>0</v>
      </c>
      <c r="Z372" s="2424">
        <f t="shared" si="961"/>
        <v>40805168</v>
      </c>
      <c r="AA372" s="3205"/>
      <c r="AE372" s="2424">
        <f t="shared" si="962"/>
        <v>40805168</v>
      </c>
      <c r="AF372" s="2424">
        <f t="shared" si="963"/>
        <v>0</v>
      </c>
      <c r="AG372" s="2424">
        <f t="shared" si="964"/>
        <v>0</v>
      </c>
      <c r="AH372" s="2424">
        <f t="shared" si="965"/>
        <v>40805168</v>
      </c>
      <c r="AI372" s="3205"/>
      <c r="AM372" s="2424">
        <f t="shared" si="966"/>
        <v>40805168</v>
      </c>
      <c r="AN372" s="2424">
        <f t="shared" si="967"/>
        <v>0</v>
      </c>
      <c r="AO372" s="2424">
        <f t="shared" si="968"/>
        <v>0</v>
      </c>
      <c r="AP372" s="2424">
        <f t="shared" si="969"/>
        <v>40805168</v>
      </c>
      <c r="AQ372" s="3205"/>
      <c r="AU372" s="2424">
        <f t="shared" si="970"/>
        <v>40805168</v>
      </c>
      <c r="AV372" s="2424">
        <f t="shared" si="971"/>
        <v>0</v>
      </c>
      <c r="AW372" s="2424">
        <f t="shared" si="972"/>
        <v>0</v>
      </c>
      <c r="AX372" s="2424">
        <f t="shared" si="973"/>
        <v>40805168</v>
      </c>
      <c r="AY372" s="3205"/>
      <c r="BC372" s="2424">
        <f t="shared" si="974"/>
        <v>40805168</v>
      </c>
      <c r="BD372" s="2424">
        <f t="shared" si="975"/>
        <v>0</v>
      </c>
      <c r="BE372" s="2424">
        <f t="shared" si="976"/>
        <v>0</v>
      </c>
      <c r="BF372" s="2424">
        <f t="shared" si="977"/>
        <v>40805168</v>
      </c>
      <c r="BG372" s="3205"/>
      <c r="BK372" s="2424">
        <f t="shared" si="978"/>
        <v>40805168</v>
      </c>
      <c r="BL372" s="2424">
        <f t="shared" si="979"/>
        <v>0</v>
      </c>
      <c r="BM372" s="2424">
        <f t="shared" si="980"/>
        <v>0</v>
      </c>
      <c r="BN372" s="2424">
        <f t="shared" si="981"/>
        <v>40805168</v>
      </c>
      <c r="BO372" s="3205"/>
      <c r="BS372" s="2424">
        <f t="shared" si="982"/>
        <v>40805168</v>
      </c>
      <c r="BT372" s="2424">
        <f t="shared" si="983"/>
        <v>0</v>
      </c>
      <c r="BU372" s="2424">
        <f t="shared" si="984"/>
        <v>0</v>
      </c>
      <c r="BV372" s="2424">
        <f t="shared" si="985"/>
        <v>40805168</v>
      </c>
      <c r="BW372" s="3205"/>
      <c r="CA372" s="2424">
        <f t="shared" si="986"/>
        <v>40805168</v>
      </c>
      <c r="CB372" s="2424">
        <f t="shared" si="987"/>
        <v>0</v>
      </c>
      <c r="CC372" s="2424">
        <f t="shared" si="988"/>
        <v>0</v>
      </c>
      <c r="CD372" s="2424">
        <f t="shared" si="989"/>
        <v>40805168</v>
      </c>
      <c r="CE372" s="3205"/>
      <c r="CI372" s="2424">
        <f t="shared" si="990"/>
        <v>40805168</v>
      </c>
      <c r="CJ372" s="2424">
        <f t="shared" si="991"/>
        <v>0</v>
      </c>
      <c r="CK372" s="2424">
        <f t="shared" si="992"/>
        <v>0</v>
      </c>
      <c r="CL372" s="2424">
        <f t="shared" si="993"/>
        <v>40805168</v>
      </c>
      <c r="CM372" s="3205"/>
      <c r="CQ372" s="2424">
        <f t="shared" si="994"/>
        <v>40805168</v>
      </c>
      <c r="CR372" s="2424">
        <f t="shared" si="995"/>
        <v>0</v>
      </c>
      <c r="CS372" s="2424">
        <f t="shared" si="996"/>
        <v>0</v>
      </c>
      <c r="CT372" s="2424">
        <f t="shared" si="997"/>
        <v>40805168</v>
      </c>
      <c r="CU372" s="3205"/>
      <c r="CY372" s="2424">
        <f t="shared" si="998"/>
        <v>40805168</v>
      </c>
      <c r="CZ372" s="2424">
        <f t="shared" si="999"/>
        <v>0</v>
      </c>
      <c r="DA372" s="2424">
        <f t="shared" si="1000"/>
        <v>0</v>
      </c>
      <c r="DB372" s="2424">
        <f t="shared" si="1001"/>
        <v>40805168</v>
      </c>
      <c r="DC372" s="3205"/>
      <c r="DG372" s="2424">
        <f t="shared" si="1002"/>
        <v>40805168</v>
      </c>
      <c r="DH372" s="2424">
        <f t="shared" si="1003"/>
        <v>0</v>
      </c>
      <c r="DI372" s="2424">
        <f t="shared" si="1004"/>
        <v>0</v>
      </c>
      <c r="DJ372" s="2424">
        <f t="shared" si="1005"/>
        <v>40805168</v>
      </c>
      <c r="DK372" s="3205"/>
      <c r="DO372" s="2424">
        <f t="shared" si="1006"/>
        <v>40805168</v>
      </c>
      <c r="DP372" s="2424">
        <f t="shared" si="1007"/>
        <v>0</v>
      </c>
      <c r="DQ372" s="2424">
        <f t="shared" si="1008"/>
        <v>0</v>
      </c>
      <c r="DR372" s="2424">
        <f t="shared" si="1009"/>
        <v>40805168</v>
      </c>
      <c r="DS372" s="3205"/>
      <c r="DW372" s="2424">
        <f t="shared" si="1010"/>
        <v>40805168</v>
      </c>
      <c r="DX372" s="2424">
        <f t="shared" si="1011"/>
        <v>0</v>
      </c>
      <c r="DY372" s="2424">
        <f t="shared" si="1012"/>
        <v>0</v>
      </c>
      <c r="DZ372" s="2424">
        <f t="shared" si="1013"/>
        <v>40805168</v>
      </c>
      <c r="EA372" s="3205"/>
      <c r="EE372" s="2424">
        <f t="shared" si="1014"/>
        <v>40805168</v>
      </c>
      <c r="EF372" s="2424">
        <f t="shared" si="1015"/>
        <v>0</v>
      </c>
      <c r="EG372" s="2424">
        <f t="shared" si="1016"/>
        <v>0</v>
      </c>
      <c r="EH372" s="2424">
        <f t="shared" si="1017"/>
        <v>40805168</v>
      </c>
      <c r="EI372" s="3205"/>
      <c r="EM372" s="2424">
        <f t="shared" si="1018"/>
        <v>40805168</v>
      </c>
      <c r="EN372" s="2424">
        <f t="shared" si="1019"/>
        <v>0</v>
      </c>
      <c r="EO372" s="2424">
        <f t="shared" si="1020"/>
        <v>0</v>
      </c>
      <c r="EP372" s="2424">
        <f t="shared" si="1021"/>
        <v>40805168</v>
      </c>
      <c r="EQ372" s="3205"/>
      <c r="EU372" s="2424">
        <f t="shared" si="1022"/>
        <v>40805168</v>
      </c>
      <c r="EV372" s="2424">
        <f t="shared" si="1023"/>
        <v>0</v>
      </c>
      <c r="EW372" s="2424">
        <f t="shared" si="1024"/>
        <v>0</v>
      </c>
      <c r="EX372" s="2424">
        <f t="shared" si="1025"/>
        <v>40805168</v>
      </c>
      <c r="EY372" s="3205"/>
      <c r="FC372" s="2424">
        <f t="shared" si="1026"/>
        <v>40805168</v>
      </c>
      <c r="FD372" s="2424">
        <f t="shared" si="1027"/>
        <v>0</v>
      </c>
      <c r="FE372" s="2424">
        <f t="shared" si="1028"/>
        <v>0</v>
      </c>
      <c r="FF372" s="2424">
        <f t="shared" si="1029"/>
        <v>40805168</v>
      </c>
      <c r="FG372" s="3205"/>
      <c r="FK372" s="2424">
        <f t="shared" si="1030"/>
        <v>40805168</v>
      </c>
      <c r="FL372" s="2424">
        <f t="shared" si="1031"/>
        <v>0</v>
      </c>
      <c r="FM372" s="2424">
        <f t="shared" si="1032"/>
        <v>0</v>
      </c>
      <c r="FN372" s="2424">
        <f t="shared" si="1033"/>
        <v>40805168</v>
      </c>
      <c r="FO372" s="3205"/>
    </row>
    <row r="373" spans="2:171">
      <c r="B373" s="3136"/>
      <c r="C373" s="3086" t="s">
        <v>512</v>
      </c>
      <c r="D373" s="3086"/>
      <c r="E373" s="3234" t="str">
        <f>Ratios!C16</f>
        <v>DIST</v>
      </c>
      <c r="G373" s="2424">
        <f>Ratios!D16</f>
        <v>10042836</v>
      </c>
      <c r="H373" s="2424">
        <f>Ratios!E16</f>
        <v>0</v>
      </c>
      <c r="I373" s="2424">
        <f>Ratios!F16</f>
        <v>0</v>
      </c>
      <c r="J373" s="2424">
        <f>Ratios!G16</f>
        <v>10042836</v>
      </c>
      <c r="K373" s="3205">
        <f t="shared" si="953"/>
        <v>1</v>
      </c>
      <c r="O373" s="2424">
        <f t="shared" si="954"/>
        <v>10042836</v>
      </c>
      <c r="P373" s="2424">
        <f t="shared" si="955"/>
        <v>0</v>
      </c>
      <c r="Q373" s="2424">
        <f t="shared" si="956"/>
        <v>0</v>
      </c>
      <c r="R373" s="2424">
        <f t="shared" si="957"/>
        <v>10042836</v>
      </c>
      <c r="S373" s="3205"/>
      <c r="W373" s="2424">
        <f t="shared" si="958"/>
        <v>10042836</v>
      </c>
      <c r="X373" s="2424">
        <f t="shared" si="959"/>
        <v>0</v>
      </c>
      <c r="Y373" s="2424">
        <f t="shared" si="960"/>
        <v>0</v>
      </c>
      <c r="Z373" s="2424">
        <f t="shared" si="961"/>
        <v>10042836</v>
      </c>
      <c r="AA373" s="3205"/>
      <c r="AE373" s="2424">
        <f t="shared" si="962"/>
        <v>10042836</v>
      </c>
      <c r="AF373" s="2424">
        <f t="shared" si="963"/>
        <v>0</v>
      </c>
      <c r="AG373" s="2424">
        <f t="shared" si="964"/>
        <v>0</v>
      </c>
      <c r="AH373" s="2424">
        <f t="shared" si="965"/>
        <v>10042836</v>
      </c>
      <c r="AI373" s="3205"/>
      <c r="AM373" s="2424">
        <f t="shared" si="966"/>
        <v>10042836</v>
      </c>
      <c r="AN373" s="2424">
        <f t="shared" si="967"/>
        <v>0</v>
      </c>
      <c r="AO373" s="2424">
        <f t="shared" si="968"/>
        <v>0</v>
      </c>
      <c r="AP373" s="2424">
        <f t="shared" si="969"/>
        <v>10042836</v>
      </c>
      <c r="AQ373" s="3205"/>
      <c r="AU373" s="2424">
        <f t="shared" si="970"/>
        <v>10042836</v>
      </c>
      <c r="AV373" s="2424">
        <f t="shared" si="971"/>
        <v>0</v>
      </c>
      <c r="AW373" s="2424">
        <f t="shared" si="972"/>
        <v>0</v>
      </c>
      <c r="AX373" s="2424">
        <f t="shared" si="973"/>
        <v>10042836</v>
      </c>
      <c r="AY373" s="3205"/>
      <c r="BC373" s="2424">
        <f t="shared" si="974"/>
        <v>10042836</v>
      </c>
      <c r="BD373" s="2424">
        <f t="shared" si="975"/>
        <v>0</v>
      </c>
      <c r="BE373" s="2424">
        <f t="shared" si="976"/>
        <v>0</v>
      </c>
      <c r="BF373" s="2424">
        <f t="shared" si="977"/>
        <v>10042836</v>
      </c>
      <c r="BG373" s="3205"/>
      <c r="BK373" s="2424">
        <f t="shared" si="978"/>
        <v>10042836</v>
      </c>
      <c r="BL373" s="2424">
        <f t="shared" si="979"/>
        <v>0</v>
      </c>
      <c r="BM373" s="2424">
        <f t="shared" si="980"/>
        <v>0</v>
      </c>
      <c r="BN373" s="2424">
        <f t="shared" si="981"/>
        <v>10042836</v>
      </c>
      <c r="BO373" s="3205"/>
      <c r="BS373" s="2424">
        <f t="shared" si="982"/>
        <v>10042836</v>
      </c>
      <c r="BT373" s="2424">
        <f t="shared" si="983"/>
        <v>0</v>
      </c>
      <c r="BU373" s="2424">
        <f t="shared" si="984"/>
        <v>0</v>
      </c>
      <c r="BV373" s="2424">
        <f t="shared" si="985"/>
        <v>10042836</v>
      </c>
      <c r="BW373" s="3205"/>
      <c r="CA373" s="2424">
        <f t="shared" si="986"/>
        <v>10042836</v>
      </c>
      <c r="CB373" s="2424">
        <f t="shared" si="987"/>
        <v>0</v>
      </c>
      <c r="CC373" s="2424">
        <f t="shared" si="988"/>
        <v>0</v>
      </c>
      <c r="CD373" s="2424">
        <f t="shared" si="989"/>
        <v>10042836</v>
      </c>
      <c r="CE373" s="3205"/>
      <c r="CI373" s="2424">
        <f t="shared" si="990"/>
        <v>10042836</v>
      </c>
      <c r="CJ373" s="2424">
        <f t="shared" si="991"/>
        <v>0</v>
      </c>
      <c r="CK373" s="2424">
        <f t="shared" si="992"/>
        <v>0</v>
      </c>
      <c r="CL373" s="2424">
        <f t="shared" si="993"/>
        <v>10042836</v>
      </c>
      <c r="CM373" s="3205"/>
      <c r="CQ373" s="2424">
        <f t="shared" si="994"/>
        <v>10042836</v>
      </c>
      <c r="CR373" s="2424">
        <f t="shared" si="995"/>
        <v>0</v>
      </c>
      <c r="CS373" s="2424">
        <f t="shared" si="996"/>
        <v>0</v>
      </c>
      <c r="CT373" s="2424">
        <f t="shared" si="997"/>
        <v>10042836</v>
      </c>
      <c r="CU373" s="3205"/>
      <c r="CY373" s="2424">
        <f t="shared" si="998"/>
        <v>10042836</v>
      </c>
      <c r="CZ373" s="2424">
        <f t="shared" si="999"/>
        <v>0</v>
      </c>
      <c r="DA373" s="2424">
        <f t="shared" si="1000"/>
        <v>0</v>
      </c>
      <c r="DB373" s="2424">
        <f t="shared" si="1001"/>
        <v>10042836</v>
      </c>
      <c r="DC373" s="3205"/>
      <c r="DG373" s="2424">
        <f t="shared" si="1002"/>
        <v>10042836</v>
      </c>
      <c r="DH373" s="2424">
        <f t="shared" si="1003"/>
        <v>0</v>
      </c>
      <c r="DI373" s="2424">
        <f t="shared" si="1004"/>
        <v>0</v>
      </c>
      <c r="DJ373" s="2424">
        <f t="shared" si="1005"/>
        <v>10042836</v>
      </c>
      <c r="DK373" s="3205"/>
      <c r="DO373" s="2424">
        <f t="shared" si="1006"/>
        <v>10042836</v>
      </c>
      <c r="DP373" s="2424">
        <f t="shared" si="1007"/>
        <v>0</v>
      </c>
      <c r="DQ373" s="2424">
        <f t="shared" si="1008"/>
        <v>0</v>
      </c>
      <c r="DR373" s="2424">
        <f t="shared" si="1009"/>
        <v>10042836</v>
      </c>
      <c r="DS373" s="3205"/>
      <c r="DW373" s="2424">
        <f t="shared" si="1010"/>
        <v>10042836</v>
      </c>
      <c r="DX373" s="2424">
        <f t="shared" si="1011"/>
        <v>0</v>
      </c>
      <c r="DY373" s="2424">
        <f t="shared" si="1012"/>
        <v>0</v>
      </c>
      <c r="DZ373" s="2424">
        <f t="shared" si="1013"/>
        <v>10042836</v>
      </c>
      <c r="EA373" s="3205"/>
      <c r="EE373" s="2424">
        <f t="shared" si="1014"/>
        <v>10042836</v>
      </c>
      <c r="EF373" s="2424">
        <f t="shared" si="1015"/>
        <v>0</v>
      </c>
      <c r="EG373" s="2424">
        <f t="shared" si="1016"/>
        <v>0</v>
      </c>
      <c r="EH373" s="2424">
        <f t="shared" si="1017"/>
        <v>10042836</v>
      </c>
      <c r="EI373" s="3205"/>
      <c r="EM373" s="2424">
        <f t="shared" si="1018"/>
        <v>10042836</v>
      </c>
      <c r="EN373" s="2424">
        <f t="shared" si="1019"/>
        <v>0</v>
      </c>
      <c r="EO373" s="2424">
        <f t="shared" si="1020"/>
        <v>0</v>
      </c>
      <c r="EP373" s="2424">
        <f t="shared" si="1021"/>
        <v>10042836</v>
      </c>
      <c r="EQ373" s="3205"/>
      <c r="EU373" s="2424">
        <f t="shared" si="1022"/>
        <v>10042836</v>
      </c>
      <c r="EV373" s="2424">
        <f t="shared" si="1023"/>
        <v>0</v>
      </c>
      <c r="EW373" s="2424">
        <f t="shared" si="1024"/>
        <v>0</v>
      </c>
      <c r="EX373" s="2424">
        <f t="shared" si="1025"/>
        <v>10042836</v>
      </c>
      <c r="EY373" s="3205"/>
      <c r="FC373" s="2424">
        <f t="shared" si="1026"/>
        <v>10042836</v>
      </c>
      <c r="FD373" s="2424">
        <f t="shared" si="1027"/>
        <v>0</v>
      </c>
      <c r="FE373" s="2424">
        <f t="shared" si="1028"/>
        <v>0</v>
      </c>
      <c r="FF373" s="2424">
        <f t="shared" si="1029"/>
        <v>10042836</v>
      </c>
      <c r="FG373" s="3205"/>
      <c r="FK373" s="2424">
        <f t="shared" si="1030"/>
        <v>10042836</v>
      </c>
      <c r="FL373" s="2424">
        <f t="shared" si="1031"/>
        <v>0</v>
      </c>
      <c r="FM373" s="2424">
        <f t="shared" si="1032"/>
        <v>0</v>
      </c>
      <c r="FN373" s="2424">
        <f t="shared" si="1033"/>
        <v>10042836</v>
      </c>
      <c r="FO373" s="3205"/>
    </row>
    <row r="374" spans="2:171">
      <c r="B374" s="3136"/>
      <c r="C374" s="3399" t="s">
        <v>513</v>
      </c>
      <c r="D374" s="3399"/>
      <c r="E374" s="3234" t="str">
        <f>Ratios!C17</f>
        <v>DIST</v>
      </c>
      <c r="G374" s="2424">
        <f>Ratios!D17</f>
        <v>2377648</v>
      </c>
      <c r="H374" s="2424">
        <f>Ratios!E17</f>
        <v>0</v>
      </c>
      <c r="I374" s="2424">
        <f>Ratios!F17</f>
        <v>0</v>
      </c>
      <c r="J374" s="2424">
        <f>Ratios!G17</f>
        <v>2377648</v>
      </c>
      <c r="K374" s="3205">
        <f t="shared" si="953"/>
        <v>1</v>
      </c>
      <c r="O374" s="2424">
        <f t="shared" si="954"/>
        <v>2377648</v>
      </c>
      <c r="P374" s="2424">
        <f t="shared" si="955"/>
        <v>0</v>
      </c>
      <c r="Q374" s="2424">
        <f t="shared" si="956"/>
        <v>0</v>
      </c>
      <c r="R374" s="2424">
        <f t="shared" si="957"/>
        <v>2377648</v>
      </c>
      <c r="S374" s="3205"/>
      <c r="W374" s="2424">
        <f t="shared" si="958"/>
        <v>2377648</v>
      </c>
      <c r="X374" s="2424">
        <f t="shared" si="959"/>
        <v>0</v>
      </c>
      <c r="Y374" s="2424">
        <f t="shared" si="960"/>
        <v>0</v>
      </c>
      <c r="Z374" s="2424">
        <f t="shared" si="961"/>
        <v>2377648</v>
      </c>
      <c r="AA374" s="3205"/>
      <c r="AE374" s="2424">
        <f t="shared" si="962"/>
        <v>2377648</v>
      </c>
      <c r="AF374" s="2424">
        <f t="shared" si="963"/>
        <v>0</v>
      </c>
      <c r="AG374" s="2424">
        <f t="shared" si="964"/>
        <v>0</v>
      </c>
      <c r="AH374" s="2424">
        <f t="shared" si="965"/>
        <v>2377648</v>
      </c>
      <c r="AI374" s="3205"/>
      <c r="AM374" s="2424">
        <f t="shared" si="966"/>
        <v>2377648</v>
      </c>
      <c r="AN374" s="2424">
        <f t="shared" si="967"/>
        <v>0</v>
      </c>
      <c r="AO374" s="2424">
        <f t="shared" si="968"/>
        <v>0</v>
      </c>
      <c r="AP374" s="2424">
        <f t="shared" si="969"/>
        <v>2377648</v>
      </c>
      <c r="AQ374" s="3205"/>
      <c r="AU374" s="2424">
        <f t="shared" si="970"/>
        <v>2377648</v>
      </c>
      <c r="AV374" s="2424">
        <f t="shared" si="971"/>
        <v>0</v>
      </c>
      <c r="AW374" s="2424">
        <f t="shared" si="972"/>
        <v>0</v>
      </c>
      <c r="AX374" s="2424">
        <f t="shared" si="973"/>
        <v>2377648</v>
      </c>
      <c r="AY374" s="3205"/>
      <c r="BC374" s="2424">
        <f t="shared" si="974"/>
        <v>2377648</v>
      </c>
      <c r="BD374" s="2424">
        <f t="shared" si="975"/>
        <v>0</v>
      </c>
      <c r="BE374" s="2424">
        <f t="shared" si="976"/>
        <v>0</v>
      </c>
      <c r="BF374" s="2424">
        <f t="shared" si="977"/>
        <v>2377648</v>
      </c>
      <c r="BG374" s="3205"/>
      <c r="BK374" s="2424">
        <f t="shared" si="978"/>
        <v>2377648</v>
      </c>
      <c r="BL374" s="2424">
        <f t="shared" si="979"/>
        <v>0</v>
      </c>
      <c r="BM374" s="2424">
        <f t="shared" si="980"/>
        <v>0</v>
      </c>
      <c r="BN374" s="2424">
        <f t="shared" si="981"/>
        <v>2377648</v>
      </c>
      <c r="BO374" s="3205"/>
      <c r="BS374" s="2424">
        <f t="shared" si="982"/>
        <v>2377648</v>
      </c>
      <c r="BT374" s="2424">
        <f t="shared" si="983"/>
        <v>0</v>
      </c>
      <c r="BU374" s="2424">
        <f t="shared" si="984"/>
        <v>0</v>
      </c>
      <c r="BV374" s="2424">
        <f t="shared" si="985"/>
        <v>2377648</v>
      </c>
      <c r="BW374" s="3205"/>
      <c r="CA374" s="2424">
        <f t="shared" si="986"/>
        <v>2377648</v>
      </c>
      <c r="CB374" s="2424">
        <f t="shared" si="987"/>
        <v>0</v>
      </c>
      <c r="CC374" s="2424">
        <f t="shared" si="988"/>
        <v>0</v>
      </c>
      <c r="CD374" s="2424">
        <f t="shared" si="989"/>
        <v>2377648</v>
      </c>
      <c r="CE374" s="3205"/>
      <c r="CI374" s="2424">
        <f t="shared" si="990"/>
        <v>2377648</v>
      </c>
      <c r="CJ374" s="2424">
        <f t="shared" si="991"/>
        <v>0</v>
      </c>
      <c r="CK374" s="2424">
        <f t="shared" si="992"/>
        <v>0</v>
      </c>
      <c r="CL374" s="2424">
        <f t="shared" si="993"/>
        <v>2377648</v>
      </c>
      <c r="CM374" s="3205"/>
      <c r="CQ374" s="2424">
        <f t="shared" si="994"/>
        <v>2377648</v>
      </c>
      <c r="CR374" s="2424">
        <f t="shared" si="995"/>
        <v>0</v>
      </c>
      <c r="CS374" s="2424">
        <f t="shared" si="996"/>
        <v>0</v>
      </c>
      <c r="CT374" s="2424">
        <f t="shared" si="997"/>
        <v>2377648</v>
      </c>
      <c r="CU374" s="3205"/>
      <c r="CY374" s="2424">
        <f t="shared" si="998"/>
        <v>2377648</v>
      </c>
      <c r="CZ374" s="2424">
        <f t="shared" si="999"/>
        <v>0</v>
      </c>
      <c r="DA374" s="2424">
        <f t="shared" si="1000"/>
        <v>0</v>
      </c>
      <c r="DB374" s="2424">
        <f t="shared" si="1001"/>
        <v>2377648</v>
      </c>
      <c r="DC374" s="3205"/>
      <c r="DG374" s="2424">
        <f t="shared" si="1002"/>
        <v>2377648</v>
      </c>
      <c r="DH374" s="2424">
        <f t="shared" si="1003"/>
        <v>0</v>
      </c>
      <c r="DI374" s="2424">
        <f t="shared" si="1004"/>
        <v>0</v>
      </c>
      <c r="DJ374" s="2424">
        <f t="shared" si="1005"/>
        <v>2377648</v>
      </c>
      <c r="DK374" s="3205"/>
      <c r="DO374" s="2424">
        <f t="shared" si="1006"/>
        <v>2377648</v>
      </c>
      <c r="DP374" s="2424">
        <f t="shared" si="1007"/>
        <v>0</v>
      </c>
      <c r="DQ374" s="2424">
        <f t="shared" si="1008"/>
        <v>0</v>
      </c>
      <c r="DR374" s="2424">
        <f t="shared" si="1009"/>
        <v>2377648</v>
      </c>
      <c r="DS374" s="3205"/>
      <c r="DW374" s="2424">
        <f t="shared" si="1010"/>
        <v>2377648</v>
      </c>
      <c r="DX374" s="2424">
        <f t="shared" si="1011"/>
        <v>0</v>
      </c>
      <c r="DY374" s="2424">
        <f t="shared" si="1012"/>
        <v>0</v>
      </c>
      <c r="DZ374" s="2424">
        <f t="shared" si="1013"/>
        <v>2377648</v>
      </c>
      <c r="EA374" s="3205"/>
      <c r="EE374" s="2424">
        <f t="shared" si="1014"/>
        <v>2377648</v>
      </c>
      <c r="EF374" s="2424">
        <f t="shared" si="1015"/>
        <v>0</v>
      </c>
      <c r="EG374" s="2424">
        <f t="shared" si="1016"/>
        <v>0</v>
      </c>
      <c r="EH374" s="2424">
        <f t="shared" si="1017"/>
        <v>2377648</v>
      </c>
      <c r="EI374" s="3205"/>
      <c r="EM374" s="2424">
        <f t="shared" si="1018"/>
        <v>2377648</v>
      </c>
      <c r="EN374" s="2424">
        <f t="shared" si="1019"/>
        <v>0</v>
      </c>
      <c r="EO374" s="2424">
        <f t="shared" si="1020"/>
        <v>0</v>
      </c>
      <c r="EP374" s="2424">
        <f t="shared" si="1021"/>
        <v>2377648</v>
      </c>
      <c r="EQ374" s="3205"/>
      <c r="EU374" s="2424">
        <f t="shared" si="1022"/>
        <v>2377648</v>
      </c>
      <c r="EV374" s="2424">
        <f t="shared" si="1023"/>
        <v>0</v>
      </c>
      <c r="EW374" s="2424">
        <f t="shared" si="1024"/>
        <v>0</v>
      </c>
      <c r="EX374" s="2424">
        <f t="shared" si="1025"/>
        <v>2377648</v>
      </c>
      <c r="EY374" s="3205"/>
      <c r="FC374" s="2424">
        <f t="shared" si="1026"/>
        <v>2377648</v>
      </c>
      <c r="FD374" s="2424">
        <f t="shared" si="1027"/>
        <v>0</v>
      </c>
      <c r="FE374" s="2424">
        <f t="shared" si="1028"/>
        <v>0</v>
      </c>
      <c r="FF374" s="2424">
        <f t="shared" si="1029"/>
        <v>2377648</v>
      </c>
      <c r="FG374" s="3205"/>
      <c r="FK374" s="2424">
        <f t="shared" si="1030"/>
        <v>2377648</v>
      </c>
      <c r="FL374" s="2424">
        <f t="shared" si="1031"/>
        <v>0</v>
      </c>
      <c r="FM374" s="2424">
        <f t="shared" si="1032"/>
        <v>0</v>
      </c>
      <c r="FN374" s="2424">
        <f t="shared" si="1033"/>
        <v>2377648</v>
      </c>
      <c r="FO374" s="3205"/>
    </row>
    <row r="375" spans="2:171">
      <c r="B375" s="3136"/>
      <c r="C375" s="3086" t="s">
        <v>514</v>
      </c>
      <c r="D375" s="3086"/>
      <c r="E375" s="3234" t="str">
        <f>Ratios!C18</f>
        <v>DIST</v>
      </c>
      <c r="G375" s="2424">
        <f>Ratios!D18</f>
        <v>834733</v>
      </c>
      <c r="H375" s="2424">
        <f>Ratios!E18</f>
        <v>0</v>
      </c>
      <c r="I375" s="2424">
        <f>Ratios!F18</f>
        <v>0</v>
      </c>
      <c r="J375" s="2424">
        <f>Ratios!G18</f>
        <v>834733</v>
      </c>
      <c r="K375" s="3205">
        <f t="shared" si="953"/>
        <v>1</v>
      </c>
      <c r="O375" s="2424">
        <f t="shared" si="954"/>
        <v>834733</v>
      </c>
      <c r="P375" s="2424">
        <f t="shared" si="955"/>
        <v>0</v>
      </c>
      <c r="Q375" s="2424">
        <f t="shared" si="956"/>
        <v>0</v>
      </c>
      <c r="R375" s="2424">
        <f t="shared" si="957"/>
        <v>834733</v>
      </c>
      <c r="S375" s="3205"/>
      <c r="W375" s="2424">
        <f t="shared" si="958"/>
        <v>834733</v>
      </c>
      <c r="X375" s="2424">
        <f t="shared" si="959"/>
        <v>0</v>
      </c>
      <c r="Y375" s="2424">
        <f t="shared" si="960"/>
        <v>0</v>
      </c>
      <c r="Z375" s="2424">
        <f t="shared" si="961"/>
        <v>834733</v>
      </c>
      <c r="AA375" s="3205"/>
      <c r="AE375" s="2424">
        <f t="shared" si="962"/>
        <v>834733</v>
      </c>
      <c r="AF375" s="2424">
        <f t="shared" si="963"/>
        <v>0</v>
      </c>
      <c r="AG375" s="2424">
        <f t="shared" si="964"/>
        <v>0</v>
      </c>
      <c r="AH375" s="2424">
        <f t="shared" si="965"/>
        <v>834733</v>
      </c>
      <c r="AI375" s="3205"/>
      <c r="AM375" s="2424">
        <f t="shared" si="966"/>
        <v>834733</v>
      </c>
      <c r="AN375" s="2424">
        <f t="shared" si="967"/>
        <v>0</v>
      </c>
      <c r="AO375" s="2424">
        <f t="shared" si="968"/>
        <v>0</v>
      </c>
      <c r="AP375" s="2424">
        <f t="shared" si="969"/>
        <v>834733</v>
      </c>
      <c r="AQ375" s="3205"/>
      <c r="AU375" s="2424">
        <f t="shared" si="970"/>
        <v>834733</v>
      </c>
      <c r="AV375" s="2424">
        <f t="shared" si="971"/>
        <v>0</v>
      </c>
      <c r="AW375" s="2424">
        <f t="shared" si="972"/>
        <v>0</v>
      </c>
      <c r="AX375" s="2424">
        <f t="shared" si="973"/>
        <v>834733</v>
      </c>
      <c r="AY375" s="3205"/>
      <c r="BC375" s="2424">
        <f t="shared" si="974"/>
        <v>834733</v>
      </c>
      <c r="BD375" s="2424">
        <f t="shared" si="975"/>
        <v>0</v>
      </c>
      <c r="BE375" s="2424">
        <f t="shared" si="976"/>
        <v>0</v>
      </c>
      <c r="BF375" s="2424">
        <f t="shared" si="977"/>
        <v>834733</v>
      </c>
      <c r="BG375" s="3205"/>
      <c r="BK375" s="2424">
        <f t="shared" si="978"/>
        <v>834733</v>
      </c>
      <c r="BL375" s="2424">
        <f t="shared" si="979"/>
        <v>0</v>
      </c>
      <c r="BM375" s="2424">
        <f t="shared" si="980"/>
        <v>0</v>
      </c>
      <c r="BN375" s="2424">
        <f t="shared" si="981"/>
        <v>834733</v>
      </c>
      <c r="BO375" s="3205"/>
      <c r="BS375" s="2424">
        <f t="shared" si="982"/>
        <v>834733</v>
      </c>
      <c r="BT375" s="2424">
        <f t="shared" si="983"/>
        <v>0</v>
      </c>
      <c r="BU375" s="2424">
        <f t="shared" si="984"/>
        <v>0</v>
      </c>
      <c r="BV375" s="2424">
        <f t="shared" si="985"/>
        <v>834733</v>
      </c>
      <c r="BW375" s="3205"/>
      <c r="CA375" s="2424">
        <f t="shared" si="986"/>
        <v>834733</v>
      </c>
      <c r="CB375" s="2424">
        <f t="shared" si="987"/>
        <v>0</v>
      </c>
      <c r="CC375" s="2424">
        <f t="shared" si="988"/>
        <v>0</v>
      </c>
      <c r="CD375" s="2424">
        <f t="shared" si="989"/>
        <v>834733</v>
      </c>
      <c r="CE375" s="3205"/>
      <c r="CI375" s="2424">
        <f t="shared" si="990"/>
        <v>834733</v>
      </c>
      <c r="CJ375" s="2424">
        <f t="shared" si="991"/>
        <v>0</v>
      </c>
      <c r="CK375" s="2424">
        <f t="shared" si="992"/>
        <v>0</v>
      </c>
      <c r="CL375" s="2424">
        <f t="shared" si="993"/>
        <v>834733</v>
      </c>
      <c r="CM375" s="3205"/>
      <c r="CQ375" s="2424">
        <f t="shared" si="994"/>
        <v>834733</v>
      </c>
      <c r="CR375" s="2424">
        <f t="shared" si="995"/>
        <v>0</v>
      </c>
      <c r="CS375" s="2424">
        <f t="shared" si="996"/>
        <v>0</v>
      </c>
      <c r="CT375" s="2424">
        <f t="shared" si="997"/>
        <v>834733</v>
      </c>
      <c r="CU375" s="3205"/>
      <c r="CY375" s="2424">
        <f t="shared" si="998"/>
        <v>834733</v>
      </c>
      <c r="CZ375" s="2424">
        <f t="shared" si="999"/>
        <v>0</v>
      </c>
      <c r="DA375" s="2424">
        <f t="shared" si="1000"/>
        <v>0</v>
      </c>
      <c r="DB375" s="2424">
        <f t="shared" si="1001"/>
        <v>834733</v>
      </c>
      <c r="DC375" s="3205"/>
      <c r="DG375" s="2424">
        <f t="shared" si="1002"/>
        <v>834733</v>
      </c>
      <c r="DH375" s="2424">
        <f t="shared" si="1003"/>
        <v>0</v>
      </c>
      <c r="DI375" s="2424">
        <f t="shared" si="1004"/>
        <v>0</v>
      </c>
      <c r="DJ375" s="2424">
        <f t="shared" si="1005"/>
        <v>834733</v>
      </c>
      <c r="DK375" s="3205"/>
      <c r="DO375" s="2424">
        <f t="shared" si="1006"/>
        <v>834733</v>
      </c>
      <c r="DP375" s="2424">
        <f t="shared" si="1007"/>
        <v>0</v>
      </c>
      <c r="DQ375" s="2424">
        <f t="shared" si="1008"/>
        <v>0</v>
      </c>
      <c r="DR375" s="2424">
        <f t="shared" si="1009"/>
        <v>834733</v>
      </c>
      <c r="DS375" s="3205"/>
      <c r="DW375" s="2424">
        <f t="shared" si="1010"/>
        <v>834733</v>
      </c>
      <c r="DX375" s="2424">
        <f t="shared" si="1011"/>
        <v>0</v>
      </c>
      <c r="DY375" s="2424">
        <f t="shared" si="1012"/>
        <v>0</v>
      </c>
      <c r="DZ375" s="2424">
        <f t="shared" si="1013"/>
        <v>834733</v>
      </c>
      <c r="EA375" s="3205"/>
      <c r="EE375" s="2424">
        <f t="shared" si="1014"/>
        <v>834733</v>
      </c>
      <c r="EF375" s="2424">
        <f t="shared" si="1015"/>
        <v>0</v>
      </c>
      <c r="EG375" s="2424">
        <f t="shared" si="1016"/>
        <v>0</v>
      </c>
      <c r="EH375" s="2424">
        <f t="shared" si="1017"/>
        <v>834733</v>
      </c>
      <c r="EI375" s="3205"/>
      <c r="EM375" s="2424">
        <f t="shared" si="1018"/>
        <v>834733</v>
      </c>
      <c r="EN375" s="2424">
        <f t="shared" si="1019"/>
        <v>0</v>
      </c>
      <c r="EO375" s="2424">
        <f t="shared" si="1020"/>
        <v>0</v>
      </c>
      <c r="EP375" s="2424">
        <f t="shared" si="1021"/>
        <v>834733</v>
      </c>
      <c r="EQ375" s="3205"/>
      <c r="EU375" s="2424">
        <f t="shared" si="1022"/>
        <v>834733</v>
      </c>
      <c r="EV375" s="2424">
        <f t="shared" si="1023"/>
        <v>0</v>
      </c>
      <c r="EW375" s="2424">
        <f t="shared" si="1024"/>
        <v>0</v>
      </c>
      <c r="EX375" s="2424">
        <f t="shared" si="1025"/>
        <v>834733</v>
      </c>
      <c r="EY375" s="3205"/>
      <c r="FC375" s="2424">
        <f t="shared" si="1026"/>
        <v>834733</v>
      </c>
      <c r="FD375" s="2424">
        <f t="shared" si="1027"/>
        <v>0</v>
      </c>
      <c r="FE375" s="2424">
        <f t="shared" si="1028"/>
        <v>0</v>
      </c>
      <c r="FF375" s="2424">
        <f t="shared" si="1029"/>
        <v>834733</v>
      </c>
      <c r="FG375" s="3205"/>
      <c r="FK375" s="2424">
        <f t="shared" si="1030"/>
        <v>834733</v>
      </c>
      <c r="FL375" s="2424">
        <f t="shared" si="1031"/>
        <v>0</v>
      </c>
      <c r="FM375" s="2424">
        <f t="shared" si="1032"/>
        <v>0</v>
      </c>
      <c r="FN375" s="2424">
        <f t="shared" si="1033"/>
        <v>834733</v>
      </c>
      <c r="FO375" s="3205"/>
    </row>
    <row r="376" spans="2:171">
      <c r="B376" s="3136"/>
      <c r="C376" s="3086" t="s">
        <v>517</v>
      </c>
      <c r="D376" s="3086"/>
      <c r="E376" s="3234" t="str">
        <f>Ratios!C19</f>
        <v>PTD</v>
      </c>
      <c r="G376" s="2424">
        <f>Ratios!D19</f>
        <v>42547415</v>
      </c>
      <c r="H376" s="2424">
        <f>Ratios!E19</f>
        <v>14852939.347491231</v>
      </c>
      <c r="I376" s="2424">
        <f>Ratios!F19</f>
        <v>0</v>
      </c>
      <c r="J376" s="2424">
        <f>Ratios!G19</f>
        <v>27694475.652508773</v>
      </c>
      <c r="K376" s="3205">
        <f t="shared" si="953"/>
        <v>1</v>
      </c>
      <c r="O376" s="2424">
        <f t="shared" si="954"/>
        <v>42547415</v>
      </c>
      <c r="P376" s="2424">
        <f>VLOOKUP($E376,O$442:R$453,2,FALSE)*O376*($K376)+IF($G376&lt;&gt;0,($H376/$G376)*O376,0)*(1-$K376)</f>
        <v>14852939.347491231</v>
      </c>
      <c r="Q376" s="2424">
        <f>VLOOKUP($E376,O$442:R$453,3,FALSE)*O376*($K376)+IF($G376&lt;&gt;0,($I376/$G376)*O376,0)*(1-$K376)</f>
        <v>7583239.2156747524</v>
      </c>
      <c r="R376" s="2424">
        <f>VLOOKUP($E376,O$442:R$453,4,FALSE)*O376*($K376)+(O376-P376-Q376)*(1-$K376)</f>
        <v>20111236.436834019</v>
      </c>
      <c r="S376" s="3205"/>
      <c r="W376" s="2424">
        <f t="shared" si="958"/>
        <v>42547415</v>
      </c>
      <c r="X376" s="2424">
        <f>VLOOKUP($E376,W$442:Z$453,2,FALSE)*W376*($K376)+IF($G376&lt;&gt;0,($H376/$G376)*W376,0)*(1-$K376)</f>
        <v>14852939.347491231</v>
      </c>
      <c r="Y376" s="2424">
        <f>VLOOKUP($E376,W$442:Z$453,3,FALSE)*W376*($K376)+IF($G376&lt;&gt;0,($I376/$G376)*W376,0)*(1-$K376)</f>
        <v>7583239.2156747524</v>
      </c>
      <c r="Z376" s="2424">
        <f>VLOOKUP($E376,W$442:Z$453,4,FALSE)*W376*($K376)+(W376-X376-Y376)*(1-$K376)</f>
        <v>20111236.436834019</v>
      </c>
      <c r="AA376" s="3205"/>
      <c r="AE376" s="2424">
        <f t="shared" si="962"/>
        <v>42547415</v>
      </c>
      <c r="AF376" s="2424">
        <f>VLOOKUP($E376,AE$442:AH$453,2,FALSE)*AE376*($K376)+IF($G376&lt;&gt;0,($H376/$G376)*AE376,0)*(1-$K376)</f>
        <v>14852939.347491231</v>
      </c>
      <c r="AG376" s="2424">
        <f>VLOOKUP($E376,AE$442:AH$453,3,FALSE)*AE376*($K376)+IF($G376&lt;&gt;0,($I376/$G376)*AE376,0)*(1-$K376)</f>
        <v>7583239.2156747524</v>
      </c>
      <c r="AH376" s="2424">
        <f>VLOOKUP($E376,AE$442:AH$453,4,FALSE)*AE376*($K376)+(AE376-AF376-AG376)*(1-$K376)</f>
        <v>20111236.436834019</v>
      </c>
      <c r="AI376" s="3205"/>
      <c r="AM376" s="2424">
        <f t="shared" si="966"/>
        <v>42547415</v>
      </c>
      <c r="AN376" s="2424">
        <f>VLOOKUP($E376,AM$442:AP$453,2,FALSE)*AM376*($K376)+IF($G376&lt;&gt;0,($H376/$G376)*AM376,0)*(1-$K376)</f>
        <v>14852939.347491231</v>
      </c>
      <c r="AO376" s="2424">
        <f>VLOOKUP($E376,AM$442:AP$453,3,FALSE)*AM376*($K376)+IF($G376&lt;&gt;0,($I376/$G376)*AM376,0)*(1-$K376)</f>
        <v>7583239.2156747524</v>
      </c>
      <c r="AP376" s="2424">
        <f>VLOOKUP($E376,AM$442:AP$453,4,FALSE)*AM376*($K376)+(AM376-AN376-AO376)*(1-$K376)</f>
        <v>20111236.436834019</v>
      </c>
      <c r="AQ376" s="3205"/>
      <c r="AU376" s="2424">
        <f t="shared" si="970"/>
        <v>42547415</v>
      </c>
      <c r="AV376" s="2424">
        <f>VLOOKUP($E376,AU$442:AX$453,2,FALSE)*AU376*($K376)+IF($G376&lt;&gt;0,($H376/$G376)*AU376,0)*(1-$K376)</f>
        <v>14852939.347491231</v>
      </c>
      <c r="AW376" s="2424">
        <f>VLOOKUP($E376,AU$442:AX$453,3,FALSE)*AU376*($K376)+IF($G376&lt;&gt;0,($I376/$G376)*AU376,0)*(1-$K376)</f>
        <v>7583239.2156747524</v>
      </c>
      <c r="AX376" s="2424">
        <f>VLOOKUP($E376,AU$442:AX$453,4,FALSE)*AU376*($K376)+(AU376-AV376-AW376)*(1-$K376)</f>
        <v>20111236.436834019</v>
      </c>
      <c r="AY376" s="3205"/>
      <c r="BC376" s="2424">
        <f t="shared" si="974"/>
        <v>42547415</v>
      </c>
      <c r="BD376" s="2424">
        <f>VLOOKUP($E376,BC$442:BF$453,2,FALSE)*BC376*($K376)+IF($G376&lt;&gt;0,($H376/$G376)*BC376,0)*(1-$K376)</f>
        <v>14852939.347491231</v>
      </c>
      <c r="BE376" s="2424">
        <f>VLOOKUP($E376,BC$442:BF$453,3,FALSE)*BC376*($K376)+IF($G376&lt;&gt;0,($I376/$G376)*BC376,0)*(1-$K376)</f>
        <v>7583239.2156747524</v>
      </c>
      <c r="BF376" s="2424">
        <f>VLOOKUP($E376,BC$442:BF$453,4,FALSE)*BC376*($K376)+(BC376-BD376-BE376)*(1-$K376)</f>
        <v>20111236.436834019</v>
      </c>
      <c r="BG376" s="3205"/>
      <c r="BK376" s="2424">
        <f t="shared" si="978"/>
        <v>42547415</v>
      </c>
      <c r="BL376" s="2424">
        <f>VLOOKUP($E376,BK$442:BN$453,2,FALSE)*BK376*($K376)+IF($G376&lt;&gt;0,($H376/$G376)*BK376,0)*(1-$K376)</f>
        <v>14852939.347491231</v>
      </c>
      <c r="BM376" s="2424">
        <f>VLOOKUP($E376,BK$442:BN$453,3,FALSE)*BK376*($K376)+IF($G376&lt;&gt;0,($I376/$G376)*BK376,0)*(1-$K376)</f>
        <v>7583239.2156747524</v>
      </c>
      <c r="BN376" s="2424">
        <f>VLOOKUP($E376,BK$442:BN$453,4,FALSE)*BK376*($K376)+(BK376-BL376-BM376)*(1-$K376)</f>
        <v>20111236.436834019</v>
      </c>
      <c r="BO376" s="3205"/>
      <c r="BS376" s="2424">
        <f t="shared" si="982"/>
        <v>42547415</v>
      </c>
      <c r="BT376" s="2424">
        <f>VLOOKUP($E376,BS$442:BV$453,2,FALSE)*BS376*($K376)+IF($G376&lt;&gt;0,($H376/$G376)*BS376,0)*(1-$K376)</f>
        <v>14852939.347491231</v>
      </c>
      <c r="BU376" s="2424">
        <f>VLOOKUP($E376,BS$442:BV$453,3,FALSE)*BS376*($K376)+IF($G376&lt;&gt;0,($I376/$G376)*BS376,0)*(1-$K376)</f>
        <v>7583239.2156747524</v>
      </c>
      <c r="BV376" s="2424">
        <f>VLOOKUP($E376,BS$442:BV$453,4,FALSE)*BS376*($K376)+(BS376-BT376-BU376)*(1-$K376)</f>
        <v>20111236.436834019</v>
      </c>
      <c r="BW376" s="3205"/>
      <c r="CA376" s="2424">
        <f t="shared" si="986"/>
        <v>42547415</v>
      </c>
      <c r="CB376" s="2424">
        <f>VLOOKUP($E376,CA$442:CD$453,2,FALSE)*CA376*($K376)+IF($G376&lt;&gt;0,($H376/$G376)*CA376,0)*(1-$K376)</f>
        <v>14852939.347491231</v>
      </c>
      <c r="CC376" s="2424">
        <f>VLOOKUP($E376,CA$442:CD$453,3,FALSE)*CA376*($K376)+IF($G376&lt;&gt;0,($I376/$G376)*CA376,0)*(1-$K376)</f>
        <v>7583239.2156747524</v>
      </c>
      <c r="CD376" s="2424">
        <f>VLOOKUP($E376,CA$442:CD$453,4,FALSE)*CA376*($K376)+(CA376-CB376-CC376)*(1-$K376)</f>
        <v>20111236.436834019</v>
      </c>
      <c r="CE376" s="3205"/>
      <c r="CI376" s="2424">
        <f t="shared" si="990"/>
        <v>42547415</v>
      </c>
      <c r="CJ376" s="2424">
        <f>VLOOKUP($E376,CI$442:CL$453,2,FALSE)*CI376*($K376)+IF($G376&lt;&gt;0,($H376/$G376)*CI376,0)*(1-$K376)</f>
        <v>14852939.347491231</v>
      </c>
      <c r="CK376" s="2424">
        <f>VLOOKUP($E376,CI$442:CL$453,3,FALSE)*CI376*($K376)+IF($G376&lt;&gt;0,($I376/$G376)*CI376,0)*(1-$K376)</f>
        <v>7583239.2156747524</v>
      </c>
      <c r="CL376" s="2424">
        <f>VLOOKUP($E376,CI$442:CL$453,4,FALSE)*CI376*($K376)+(CI376-CJ376-CK376)*(1-$K376)</f>
        <v>20111236.436834019</v>
      </c>
      <c r="CM376" s="3205"/>
      <c r="CQ376" s="2424">
        <f t="shared" si="994"/>
        <v>42547415</v>
      </c>
      <c r="CR376" s="2424">
        <f>VLOOKUP($E376,CQ$442:CT$453,2,FALSE)*CQ376*($K376)+IF($G376&lt;&gt;0,($H376/$G376)*CQ376,0)*(1-$K376)</f>
        <v>14852939.347491231</v>
      </c>
      <c r="CS376" s="2424">
        <f>VLOOKUP($E376,CQ$442:CT$453,3,FALSE)*CQ376*($K376)+IF($G376&lt;&gt;0,($I376/$G376)*CQ376,0)*(1-$K376)</f>
        <v>7583239.2156747524</v>
      </c>
      <c r="CT376" s="2424">
        <f>VLOOKUP($E376,CQ$442:CT$453,4,FALSE)*CQ376*($K376)+(CQ376-CR376-CS376)*(1-$K376)</f>
        <v>20111236.436834019</v>
      </c>
      <c r="CU376" s="3205"/>
      <c r="CY376" s="2424">
        <f t="shared" si="998"/>
        <v>42547415</v>
      </c>
      <c r="CZ376" s="2424">
        <f>VLOOKUP($E376,CY$442:DB$453,2,FALSE)*CY376*($K376)+IF($G376&lt;&gt;0,($H376/$G376)*CY376,0)*(1-$K376)</f>
        <v>14852939.347491231</v>
      </c>
      <c r="DA376" s="2424">
        <f>VLOOKUP($E376,CY$442:DB$453,3,FALSE)*CY376*($K376)+IF($G376&lt;&gt;0,($I376/$G376)*CY376,0)*(1-$K376)</f>
        <v>7583239.2156747524</v>
      </c>
      <c r="DB376" s="2424">
        <f>VLOOKUP($E376,CY$442:DB$453,4,FALSE)*CY376*($K376)+(CY376-CZ376-DA376)*(1-$K376)</f>
        <v>20111236.436834019</v>
      </c>
      <c r="DC376" s="3205"/>
      <c r="DG376" s="2424">
        <f t="shared" si="1002"/>
        <v>42547415</v>
      </c>
      <c r="DH376" s="2424">
        <f>VLOOKUP($E376,DG$442:DJ$453,2,FALSE)*DG376*($K376)+IF($G376&lt;&gt;0,($H376/$G376)*DG376,0)*(1-$K376)</f>
        <v>14852939.347491231</v>
      </c>
      <c r="DI376" s="2424">
        <f>VLOOKUP($E376,DG$442:DJ$453,3,FALSE)*DG376*($K376)+IF($G376&lt;&gt;0,($I376/$G376)*DG376,0)*(1-$K376)</f>
        <v>7583239.2156747524</v>
      </c>
      <c r="DJ376" s="2424">
        <f>VLOOKUP($E376,DG$442:DJ$453,4,FALSE)*DG376*($K376)+(DG376-DH376-DI376)*(1-$K376)</f>
        <v>20111236.436834019</v>
      </c>
      <c r="DK376" s="3205"/>
      <c r="DO376" s="2424">
        <f t="shared" si="1006"/>
        <v>42547415</v>
      </c>
      <c r="DP376" s="2424">
        <f>VLOOKUP($E376,DO$442:DR$453,2,FALSE)*DO376*($K376)+IF($G376&lt;&gt;0,($H376/$G376)*DO376,0)*(1-$K376)</f>
        <v>14852939.347491231</v>
      </c>
      <c r="DQ376" s="2424">
        <f>VLOOKUP($E376,DO$442:DR$453,3,FALSE)*DO376*($K376)+IF($G376&lt;&gt;0,($I376/$G376)*DO376,0)*(1-$K376)</f>
        <v>7583239.2156747524</v>
      </c>
      <c r="DR376" s="2424">
        <f>VLOOKUP($E376,DO$442:DR$453,4,FALSE)*DO376*($K376)+(DO376-DP376-DQ376)*(1-$K376)</f>
        <v>20111236.436834019</v>
      </c>
      <c r="DS376" s="3205"/>
      <c r="DW376" s="2424">
        <f t="shared" si="1010"/>
        <v>42547415</v>
      </c>
      <c r="DX376" s="2424">
        <f>VLOOKUP($E376,DW$442:DZ$453,2,FALSE)*DW376*($K376)+IF($G376&lt;&gt;0,($H376/$G376)*DW376,0)*(1-$K376)</f>
        <v>14852939.347491231</v>
      </c>
      <c r="DY376" s="2424">
        <f>VLOOKUP($E376,DW$442:DZ$453,3,FALSE)*DW376*($K376)+IF($G376&lt;&gt;0,($I376/$G376)*DW376,0)*(1-$K376)</f>
        <v>7583239.2156747524</v>
      </c>
      <c r="DZ376" s="2424">
        <f>VLOOKUP($E376,DW$442:DZ$453,4,FALSE)*DW376*($K376)+(DW376-DX376-DY376)*(1-$K376)</f>
        <v>20111236.436834019</v>
      </c>
      <c r="EA376" s="3205"/>
      <c r="EE376" s="2424">
        <f t="shared" si="1014"/>
        <v>42547415</v>
      </c>
      <c r="EF376" s="2424">
        <f>VLOOKUP($E376,EE$442:EH$453,2,FALSE)*EE376*($K376)+IF($G376&lt;&gt;0,($H376/$G376)*EE376,0)*(1-$K376)</f>
        <v>14852939.347491231</v>
      </c>
      <c r="EG376" s="2424">
        <f>VLOOKUP($E376,EE$442:EH$453,3,FALSE)*EE376*($K376)+IF($G376&lt;&gt;0,($I376/$G376)*EE376,0)*(1-$K376)</f>
        <v>7583239.2156747524</v>
      </c>
      <c r="EH376" s="2424">
        <f>VLOOKUP($E376,EE$442:EH$453,4,FALSE)*EE376*($K376)+(EE376-EF376-EG376)*(1-$K376)</f>
        <v>20111236.436834019</v>
      </c>
      <c r="EI376" s="3205"/>
      <c r="EM376" s="2424">
        <f t="shared" si="1018"/>
        <v>42547415</v>
      </c>
      <c r="EN376" s="2424">
        <f>VLOOKUP($E376,EM$442:EP$453,2,FALSE)*EM376*($K376)+IF($G376&lt;&gt;0,($H376/$G376)*EM376,0)*(1-$K376)</f>
        <v>14852939.347491231</v>
      </c>
      <c r="EO376" s="2424">
        <f>VLOOKUP($E376,EM$442:EP$453,3,FALSE)*EM376*($K376)+IF($G376&lt;&gt;0,($I376/$G376)*EM376,0)*(1-$K376)</f>
        <v>7583239.2156747524</v>
      </c>
      <c r="EP376" s="2424">
        <f>VLOOKUP($E376,EM$442:EP$453,4,FALSE)*EM376*($K376)+(EM376-EN376-EO376)*(1-$K376)</f>
        <v>20111236.436834019</v>
      </c>
      <c r="EQ376" s="3205"/>
      <c r="EU376" s="2424">
        <f t="shared" si="1022"/>
        <v>42547415</v>
      </c>
      <c r="EV376" s="2424">
        <f>VLOOKUP($E376,EU$442:EX$453,2,FALSE)*EU376*($K376)+IF($G376&lt;&gt;0,($H376/$G376)*EU376,0)*(1-$K376)</f>
        <v>14852939.347491231</v>
      </c>
      <c r="EW376" s="2424">
        <f>VLOOKUP($E376,EU$442:EX$453,3,FALSE)*EU376*($K376)+IF($G376&lt;&gt;0,($I376/$G376)*EU376,0)*(1-$K376)</f>
        <v>7583239.2156747524</v>
      </c>
      <c r="EX376" s="2424">
        <f>VLOOKUP($E376,EU$442:EX$453,4,FALSE)*EU376*($K376)+(EU376-EV376-EW376)*(1-$K376)</f>
        <v>20111236.436834019</v>
      </c>
      <c r="EY376" s="3205"/>
      <c r="FC376" s="2424">
        <f t="shared" si="1026"/>
        <v>42547415</v>
      </c>
      <c r="FD376" s="2424">
        <f>VLOOKUP($E376,FC$442:FF$453,2,FALSE)*FC376*($K376)+IF($G376&lt;&gt;0,($H376/$G376)*FC376,0)*(1-$K376)</f>
        <v>14852939.347491231</v>
      </c>
      <c r="FE376" s="2424">
        <f>VLOOKUP($E376,FC$442:FF$453,3,FALSE)*FC376*($K376)+IF($G376&lt;&gt;0,($I376/$G376)*FC376,0)*(1-$K376)</f>
        <v>7583239.2156747524</v>
      </c>
      <c r="FF376" s="2424">
        <f>VLOOKUP($E376,FC$442:FF$453,4,FALSE)*FC376*($K376)+(FC376-FD376-FE376)*(1-$K376)</f>
        <v>20111236.436834019</v>
      </c>
      <c r="FG376" s="3205"/>
      <c r="FK376" s="2424">
        <f t="shared" si="1030"/>
        <v>42547415</v>
      </c>
      <c r="FL376" s="2424">
        <f>VLOOKUP($E376,FK$442:FN$453,2,FALSE)*FK376*($K376)+IF($G376&lt;&gt;0,($H376/$G376)*FK376,0)*(1-$K376)</f>
        <v>14852939.347491231</v>
      </c>
      <c r="FM376" s="2424">
        <f>VLOOKUP($E376,FK$442:FN$453,3,FALSE)*FK376*($K376)+IF($G376&lt;&gt;0,($I376/$G376)*FK376,0)*(1-$K376)</f>
        <v>7583239.2156747524</v>
      </c>
      <c r="FN376" s="2424">
        <f>VLOOKUP($E376,FK$442:FN$453,4,FALSE)*FK376*($K376)+(FK376-FL376-FM376)*(1-$K376)</f>
        <v>20111236.436834019</v>
      </c>
      <c r="FO376" s="3205"/>
    </row>
    <row r="377" spans="2:171">
      <c r="K377" s="3205"/>
      <c r="S377" s="3205"/>
      <c r="AA377" s="3205"/>
      <c r="AI377" s="3205"/>
      <c r="AQ377" s="3205"/>
      <c r="AY377" s="3205"/>
      <c r="BG377" s="3205"/>
      <c r="BO377" s="3205"/>
      <c r="BW377" s="3205"/>
      <c r="CE377" s="3205"/>
      <c r="CM377" s="3205"/>
      <c r="CU377" s="3205"/>
      <c r="DC377" s="3205"/>
      <c r="DK377" s="3205"/>
      <c r="DS377" s="3205"/>
      <c r="EA377" s="3205"/>
      <c r="EI377" s="3205"/>
      <c r="EQ377" s="3205"/>
      <c r="EY377" s="3205"/>
      <c r="FG377" s="3205"/>
      <c r="FO377" s="3205"/>
    </row>
    <row r="378" spans="2:171">
      <c r="C378" s="3086" t="s">
        <v>522</v>
      </c>
      <c r="G378" s="3244">
        <f>SUM(G370:G377)</f>
        <v>139741944</v>
      </c>
      <c r="H378" s="3244">
        <f>SUM(H370:H377)</f>
        <v>47488523.347491235</v>
      </c>
      <c r="I378" s="3244">
        <f>SUM(I370:I377)</f>
        <v>0</v>
      </c>
      <c r="J378" s="3244">
        <f>SUM(J370:J377)</f>
        <v>92253420.652508765</v>
      </c>
      <c r="K378" s="3205"/>
      <c r="O378" s="3244">
        <f>SUM(O370:O377)</f>
        <v>139741944</v>
      </c>
      <c r="P378" s="3244">
        <f>SUM(P370:P377)</f>
        <v>47488523.347491235</v>
      </c>
      <c r="Q378" s="3244">
        <f>SUM(Q370:Q377)</f>
        <v>7583239.2156747524</v>
      </c>
      <c r="R378" s="3244">
        <f>SUM(R370:R377)</f>
        <v>84670181.436834022</v>
      </c>
      <c r="S378" s="3205"/>
      <c r="W378" s="3244">
        <f>SUM(W370:W377)</f>
        <v>139741944</v>
      </c>
      <c r="X378" s="3244">
        <f>SUM(X370:X377)</f>
        <v>47488523.347491235</v>
      </c>
      <c r="Y378" s="3244">
        <f>SUM(Y370:Y377)</f>
        <v>7583239.2156747524</v>
      </c>
      <c r="Z378" s="3244">
        <f>SUM(Z370:Z377)</f>
        <v>84670181.436834022</v>
      </c>
      <c r="AA378" s="3205"/>
      <c r="AE378" s="3244">
        <f>SUM(AE370:AE377)</f>
        <v>139741944</v>
      </c>
      <c r="AF378" s="3244">
        <f>SUM(AF370:AF377)</f>
        <v>47488523.347491235</v>
      </c>
      <c r="AG378" s="3244">
        <f>SUM(AG370:AG377)</f>
        <v>7583239.2156747524</v>
      </c>
      <c r="AH378" s="3244">
        <f>SUM(AH370:AH377)</f>
        <v>84670181.436834022</v>
      </c>
      <c r="AI378" s="3205"/>
      <c r="AM378" s="3244">
        <f>SUM(AM370:AM377)</f>
        <v>139741944</v>
      </c>
      <c r="AN378" s="3244">
        <f>SUM(AN370:AN377)</f>
        <v>47488523.347491235</v>
      </c>
      <c r="AO378" s="3244">
        <f>SUM(AO370:AO377)</f>
        <v>7583239.2156747524</v>
      </c>
      <c r="AP378" s="3244">
        <f>SUM(AP370:AP377)</f>
        <v>84670181.436834022</v>
      </c>
      <c r="AQ378" s="3205"/>
      <c r="AU378" s="3244">
        <f>SUM(AU370:AU377)</f>
        <v>139741944</v>
      </c>
      <c r="AV378" s="3244">
        <f>SUM(AV370:AV377)</f>
        <v>47488523.347491235</v>
      </c>
      <c r="AW378" s="3244">
        <f>SUM(AW370:AW377)</f>
        <v>7583239.2156747524</v>
      </c>
      <c r="AX378" s="3244">
        <f>SUM(AX370:AX377)</f>
        <v>84670181.436834022</v>
      </c>
      <c r="AY378" s="3205"/>
      <c r="BC378" s="3244">
        <f>SUM(BC370:BC377)</f>
        <v>139741944</v>
      </c>
      <c r="BD378" s="3244">
        <f>SUM(BD370:BD377)</f>
        <v>47488523.347491235</v>
      </c>
      <c r="BE378" s="3244">
        <f>SUM(BE370:BE377)</f>
        <v>7583239.2156747524</v>
      </c>
      <c r="BF378" s="3244">
        <f>SUM(BF370:BF377)</f>
        <v>84670181.436834022</v>
      </c>
      <c r="BG378" s="3205"/>
      <c r="BK378" s="3244">
        <f>SUM(BK370:BK377)</f>
        <v>139741944</v>
      </c>
      <c r="BL378" s="3244">
        <f>SUM(BL370:BL377)</f>
        <v>47488523.347491235</v>
      </c>
      <c r="BM378" s="3244">
        <f>SUM(BM370:BM377)</f>
        <v>7583239.2156747524</v>
      </c>
      <c r="BN378" s="3244">
        <f>SUM(BN370:BN377)</f>
        <v>84670181.436834022</v>
      </c>
      <c r="BO378" s="3205"/>
      <c r="BS378" s="3244">
        <f>SUM(BS370:BS377)</f>
        <v>139741944</v>
      </c>
      <c r="BT378" s="3244">
        <f>SUM(BT370:BT377)</f>
        <v>47488523.347491235</v>
      </c>
      <c r="BU378" s="3244">
        <f>SUM(BU370:BU377)</f>
        <v>7583239.2156747524</v>
      </c>
      <c r="BV378" s="3244">
        <f>SUM(BV370:BV377)</f>
        <v>84670181.436834022</v>
      </c>
      <c r="BW378" s="3205"/>
      <c r="CA378" s="3244">
        <f>SUM(CA370:CA377)</f>
        <v>139741944</v>
      </c>
      <c r="CB378" s="3244">
        <f>SUM(CB370:CB377)</f>
        <v>47488523.347491235</v>
      </c>
      <c r="CC378" s="3244">
        <f>SUM(CC370:CC377)</f>
        <v>7583239.2156747524</v>
      </c>
      <c r="CD378" s="3244">
        <f>SUM(CD370:CD377)</f>
        <v>84670181.436834022</v>
      </c>
      <c r="CE378" s="3205"/>
      <c r="CI378" s="3244">
        <f>SUM(CI370:CI377)</f>
        <v>139741944</v>
      </c>
      <c r="CJ378" s="3244">
        <f>SUM(CJ370:CJ377)</f>
        <v>47488523.347491235</v>
      </c>
      <c r="CK378" s="3244">
        <f>SUM(CK370:CK377)</f>
        <v>7583239.2156747524</v>
      </c>
      <c r="CL378" s="3244">
        <f>SUM(CL370:CL377)</f>
        <v>84670181.436834022</v>
      </c>
      <c r="CM378" s="3205"/>
      <c r="CQ378" s="3244">
        <f>SUM(CQ370:CQ377)</f>
        <v>139741944</v>
      </c>
      <c r="CR378" s="3244">
        <f>SUM(CR370:CR377)</f>
        <v>47488523.347491235</v>
      </c>
      <c r="CS378" s="3244">
        <f>SUM(CS370:CS377)</f>
        <v>7583239.2156747524</v>
      </c>
      <c r="CT378" s="3244">
        <f>SUM(CT370:CT377)</f>
        <v>84670181.436834022</v>
      </c>
      <c r="CU378" s="3205"/>
      <c r="CY378" s="3244">
        <f>SUM(CY370:CY377)</f>
        <v>139741944</v>
      </c>
      <c r="CZ378" s="3244">
        <f>SUM(CZ370:CZ377)</f>
        <v>47488523.347491235</v>
      </c>
      <c r="DA378" s="3244">
        <f>SUM(DA370:DA377)</f>
        <v>7583239.2156747524</v>
      </c>
      <c r="DB378" s="3244">
        <f>SUM(DB370:DB377)</f>
        <v>84670181.436834022</v>
      </c>
      <c r="DC378" s="3205"/>
      <c r="DG378" s="3244">
        <f>SUM(DG370:DG377)</f>
        <v>139741944</v>
      </c>
      <c r="DH378" s="3244">
        <f>SUM(DH370:DH377)</f>
        <v>47488523.347491235</v>
      </c>
      <c r="DI378" s="3244">
        <f>SUM(DI370:DI377)</f>
        <v>7583239.2156747524</v>
      </c>
      <c r="DJ378" s="3244">
        <f>SUM(DJ370:DJ377)</f>
        <v>84670181.436834022</v>
      </c>
      <c r="DK378" s="3205"/>
      <c r="DO378" s="3244">
        <f>SUM(DO370:DO377)</f>
        <v>139741944</v>
      </c>
      <c r="DP378" s="3244">
        <f>SUM(DP370:DP377)</f>
        <v>47488523.347491235</v>
      </c>
      <c r="DQ378" s="3244">
        <f>SUM(DQ370:DQ377)</f>
        <v>7583239.2156747524</v>
      </c>
      <c r="DR378" s="3244">
        <f>SUM(DR370:DR377)</f>
        <v>84670181.436834022</v>
      </c>
      <c r="DS378" s="3205"/>
      <c r="DW378" s="3244">
        <f>SUM(DW370:DW377)</f>
        <v>139741944</v>
      </c>
      <c r="DX378" s="3244">
        <f>SUM(DX370:DX377)</f>
        <v>47488523.347491235</v>
      </c>
      <c r="DY378" s="3244">
        <f>SUM(DY370:DY377)</f>
        <v>7583239.2156747524</v>
      </c>
      <c r="DZ378" s="3244">
        <f>SUM(DZ370:DZ377)</f>
        <v>84670181.436834022</v>
      </c>
      <c r="EA378" s="3205"/>
      <c r="EE378" s="3244">
        <f>SUM(EE370:EE377)</f>
        <v>139741944</v>
      </c>
      <c r="EF378" s="3244">
        <f>SUM(EF370:EF377)</f>
        <v>47488523.347491235</v>
      </c>
      <c r="EG378" s="3244">
        <f>SUM(EG370:EG377)</f>
        <v>7583239.2156747524</v>
      </c>
      <c r="EH378" s="3244">
        <f>SUM(EH370:EH377)</f>
        <v>84670181.436834022</v>
      </c>
      <c r="EI378" s="3205"/>
      <c r="EM378" s="3244">
        <f>SUM(EM370:EM377)</f>
        <v>139741944</v>
      </c>
      <c r="EN378" s="3244">
        <f>SUM(EN370:EN377)</f>
        <v>47488523.347491235</v>
      </c>
      <c r="EO378" s="3244">
        <f>SUM(EO370:EO377)</f>
        <v>7583239.2156747524</v>
      </c>
      <c r="EP378" s="3244">
        <f>SUM(EP370:EP377)</f>
        <v>84670181.436834022</v>
      </c>
      <c r="EQ378" s="3205"/>
      <c r="EU378" s="3244">
        <f>SUM(EU370:EU377)</f>
        <v>139741944</v>
      </c>
      <c r="EV378" s="3244">
        <f>SUM(EV370:EV377)</f>
        <v>47488523.347491235</v>
      </c>
      <c r="EW378" s="3244">
        <f>SUM(EW370:EW377)</f>
        <v>7583239.2156747524</v>
      </c>
      <c r="EX378" s="3244">
        <f>SUM(EX370:EX377)</f>
        <v>84670181.436834022</v>
      </c>
      <c r="EY378" s="3205"/>
      <c r="FC378" s="3244">
        <f>SUM(FC370:FC377)</f>
        <v>139741944</v>
      </c>
      <c r="FD378" s="3244">
        <f>SUM(FD370:FD377)</f>
        <v>47488523.347491235</v>
      </c>
      <c r="FE378" s="3244">
        <f>SUM(FE370:FE377)</f>
        <v>7583239.2156747524</v>
      </c>
      <c r="FF378" s="3244">
        <f>SUM(FF370:FF377)</f>
        <v>84670181.436834022</v>
      </c>
      <c r="FG378" s="3205"/>
      <c r="FK378" s="3244">
        <f>SUM(FK370:FK377)</f>
        <v>139741944</v>
      </c>
      <c r="FL378" s="3244">
        <f>SUM(FL370:FL377)</f>
        <v>47488523.347491235</v>
      </c>
      <c r="FM378" s="3244">
        <f>SUM(FM370:FM377)</f>
        <v>7583239.2156747524</v>
      </c>
      <c r="FN378" s="3244">
        <f>SUM(FN370:FN377)</f>
        <v>84670181.436834022</v>
      </c>
      <c r="FO378" s="3205"/>
    </row>
    <row r="379" spans="2:171">
      <c r="D379" s="3400" t="s">
        <v>629</v>
      </c>
      <c r="E379" s="3401"/>
      <c r="G379" s="3402">
        <f>SUM(H379:J379)</f>
        <v>1</v>
      </c>
      <c r="H379" s="3402">
        <f>H378/$G378</f>
        <v>0.33983013251548322</v>
      </c>
      <c r="I379" s="3402">
        <f>I378/$G378</f>
        <v>0</v>
      </c>
      <c r="J379" s="3402">
        <f>J378/$G378</f>
        <v>0.66016986748451678</v>
      </c>
      <c r="K379" s="3205"/>
      <c r="L379" s="3403" t="s">
        <v>629</v>
      </c>
      <c r="O379" s="3404">
        <f>SUM(P379:R379)</f>
        <v>1</v>
      </c>
      <c r="P379" s="3404">
        <f>P378/$G378</f>
        <v>0.33983013251548322</v>
      </c>
      <c r="Q379" s="3404">
        <f>Q378/$G378</f>
        <v>5.4266020627813452E-2</v>
      </c>
      <c r="R379" s="3404">
        <f>R378/$G378</f>
        <v>0.6059038468567034</v>
      </c>
      <c r="S379" s="3205"/>
      <c r="T379" s="3403" t="s">
        <v>629</v>
      </c>
      <c r="W379" s="3404">
        <f>SUM(X379:Z379)</f>
        <v>1</v>
      </c>
      <c r="X379" s="3404">
        <f>X378/$G378</f>
        <v>0.33983013251548322</v>
      </c>
      <c r="Y379" s="3404">
        <f>Y378/$G378</f>
        <v>5.4266020627813452E-2</v>
      </c>
      <c r="Z379" s="3404">
        <f>Z378/$G378</f>
        <v>0.6059038468567034</v>
      </c>
      <c r="AA379" s="3205"/>
      <c r="AB379" s="3403" t="s">
        <v>629</v>
      </c>
      <c r="AE379" s="3404">
        <f>SUM(AF379:AH379)</f>
        <v>1</v>
      </c>
      <c r="AF379" s="3404">
        <f>AF378/$G378</f>
        <v>0.33983013251548322</v>
      </c>
      <c r="AG379" s="3404">
        <f>AG378/$G378</f>
        <v>5.4266020627813452E-2</v>
      </c>
      <c r="AH379" s="3404">
        <f>AH378/$G378</f>
        <v>0.6059038468567034</v>
      </c>
      <c r="AI379" s="3205"/>
      <c r="AJ379" s="3403" t="s">
        <v>629</v>
      </c>
      <c r="AM379" s="3404">
        <f>SUM(AN379:AP379)</f>
        <v>1</v>
      </c>
      <c r="AN379" s="3404">
        <f>AN378/$G378</f>
        <v>0.33983013251548322</v>
      </c>
      <c r="AO379" s="3404">
        <f>AO378/$G378</f>
        <v>5.4266020627813452E-2</v>
      </c>
      <c r="AP379" s="3404">
        <f>AP378/$G378</f>
        <v>0.6059038468567034</v>
      </c>
      <c r="AQ379" s="3205"/>
      <c r="AR379" s="3403" t="s">
        <v>629</v>
      </c>
      <c r="AU379" s="3404">
        <f>SUM(AV379:AX379)</f>
        <v>1</v>
      </c>
      <c r="AV379" s="3404">
        <f>AV378/$G378</f>
        <v>0.33983013251548322</v>
      </c>
      <c r="AW379" s="3404">
        <f>AW378/$G378</f>
        <v>5.4266020627813452E-2</v>
      </c>
      <c r="AX379" s="3404">
        <f>AX378/$G378</f>
        <v>0.6059038468567034</v>
      </c>
      <c r="AY379" s="3205"/>
      <c r="AZ379" s="3403" t="s">
        <v>629</v>
      </c>
      <c r="BC379" s="3404">
        <f>SUM(BD379:BF379)</f>
        <v>1</v>
      </c>
      <c r="BD379" s="3404">
        <f>BD378/$G378</f>
        <v>0.33983013251548322</v>
      </c>
      <c r="BE379" s="3404">
        <f>BE378/$G378</f>
        <v>5.4266020627813452E-2</v>
      </c>
      <c r="BF379" s="3404">
        <f>BF378/$G378</f>
        <v>0.6059038468567034</v>
      </c>
      <c r="BG379" s="3205"/>
      <c r="BH379" s="3403" t="s">
        <v>629</v>
      </c>
      <c r="BK379" s="3404">
        <f>SUM(BL379:BN379)</f>
        <v>1</v>
      </c>
      <c r="BL379" s="3404">
        <f>BL378/$G378</f>
        <v>0.33983013251548322</v>
      </c>
      <c r="BM379" s="3404">
        <f>BM378/$G378</f>
        <v>5.4266020627813452E-2</v>
      </c>
      <c r="BN379" s="3404">
        <f>BN378/$G378</f>
        <v>0.6059038468567034</v>
      </c>
      <c r="BO379" s="3205"/>
      <c r="BP379" s="3403" t="s">
        <v>629</v>
      </c>
      <c r="BS379" s="3404">
        <f>SUM(BT379:BV379)</f>
        <v>1</v>
      </c>
      <c r="BT379" s="3404">
        <f>BT378/$G378</f>
        <v>0.33983013251548322</v>
      </c>
      <c r="BU379" s="3404">
        <f>BU378/$G378</f>
        <v>5.4266020627813452E-2</v>
      </c>
      <c r="BV379" s="3404">
        <f>BV378/$G378</f>
        <v>0.6059038468567034</v>
      </c>
      <c r="BW379" s="3205"/>
      <c r="BX379" s="3403" t="s">
        <v>629</v>
      </c>
      <c r="CA379" s="3404">
        <f>SUM(CB379:CD379)</f>
        <v>1</v>
      </c>
      <c r="CB379" s="3404">
        <f>CB378/$G378</f>
        <v>0.33983013251548322</v>
      </c>
      <c r="CC379" s="3404">
        <f>CC378/$G378</f>
        <v>5.4266020627813452E-2</v>
      </c>
      <c r="CD379" s="3404">
        <f>CD378/$G378</f>
        <v>0.6059038468567034</v>
      </c>
      <c r="CE379" s="3205"/>
      <c r="CF379" s="3403" t="s">
        <v>629</v>
      </c>
      <c r="CI379" s="3404">
        <f>SUM(CJ379:CL379)</f>
        <v>1</v>
      </c>
      <c r="CJ379" s="3404">
        <f>CJ378/$G378</f>
        <v>0.33983013251548322</v>
      </c>
      <c r="CK379" s="3404">
        <f>CK378/$G378</f>
        <v>5.4266020627813452E-2</v>
      </c>
      <c r="CL379" s="3404">
        <f>CL378/$G378</f>
        <v>0.6059038468567034</v>
      </c>
      <c r="CM379" s="3205"/>
      <c r="CN379" s="3403" t="s">
        <v>629</v>
      </c>
      <c r="CQ379" s="3404">
        <f>SUM(CR379:CT379)</f>
        <v>1</v>
      </c>
      <c r="CR379" s="3404">
        <f>CR378/$G378</f>
        <v>0.33983013251548322</v>
      </c>
      <c r="CS379" s="3404">
        <f>CS378/$G378</f>
        <v>5.4266020627813452E-2</v>
      </c>
      <c r="CT379" s="3404">
        <f>CT378/$G378</f>
        <v>0.6059038468567034</v>
      </c>
      <c r="CU379" s="3205"/>
      <c r="CV379" s="3403" t="s">
        <v>629</v>
      </c>
      <c r="CY379" s="3404">
        <f>SUM(CZ379:DB379)</f>
        <v>1</v>
      </c>
      <c r="CZ379" s="3404">
        <f>CZ378/$G378</f>
        <v>0.33983013251548322</v>
      </c>
      <c r="DA379" s="3404">
        <f>DA378/$G378</f>
        <v>5.4266020627813452E-2</v>
      </c>
      <c r="DB379" s="3404">
        <f>DB378/$G378</f>
        <v>0.6059038468567034</v>
      </c>
      <c r="DC379" s="3205"/>
      <c r="DD379" s="3403" t="s">
        <v>629</v>
      </c>
      <c r="DG379" s="3404">
        <f>SUM(DH379:DJ379)</f>
        <v>1</v>
      </c>
      <c r="DH379" s="3404">
        <f>DH378/$G378</f>
        <v>0.33983013251548322</v>
      </c>
      <c r="DI379" s="3404">
        <f>DI378/$G378</f>
        <v>5.4266020627813452E-2</v>
      </c>
      <c r="DJ379" s="3404">
        <f>DJ378/$G378</f>
        <v>0.6059038468567034</v>
      </c>
      <c r="DK379" s="3205"/>
      <c r="DL379" s="3403" t="s">
        <v>629</v>
      </c>
      <c r="DO379" s="3404">
        <f>SUM(DP379:DR379)</f>
        <v>1</v>
      </c>
      <c r="DP379" s="3404">
        <f>DP378/$G378</f>
        <v>0.33983013251548322</v>
      </c>
      <c r="DQ379" s="3404">
        <f>DQ378/$G378</f>
        <v>5.4266020627813452E-2</v>
      </c>
      <c r="DR379" s="3404">
        <f>DR378/$G378</f>
        <v>0.6059038468567034</v>
      </c>
      <c r="DS379" s="3205"/>
      <c r="DT379" s="3403" t="s">
        <v>629</v>
      </c>
      <c r="DW379" s="3404">
        <f>SUM(DX379:DZ379)</f>
        <v>1</v>
      </c>
      <c r="DX379" s="3404">
        <f>DX378/$G378</f>
        <v>0.33983013251548322</v>
      </c>
      <c r="DY379" s="3404">
        <f>DY378/$G378</f>
        <v>5.4266020627813452E-2</v>
      </c>
      <c r="DZ379" s="3404">
        <f>DZ378/$G378</f>
        <v>0.6059038468567034</v>
      </c>
      <c r="EA379" s="3205"/>
      <c r="EB379" s="3403" t="s">
        <v>629</v>
      </c>
      <c r="EE379" s="3404">
        <f>SUM(EF379:EH379)</f>
        <v>1</v>
      </c>
      <c r="EF379" s="3404">
        <f>EF378/$G378</f>
        <v>0.33983013251548322</v>
      </c>
      <c r="EG379" s="3404">
        <f>EG378/$G378</f>
        <v>5.4266020627813452E-2</v>
      </c>
      <c r="EH379" s="3404">
        <f>EH378/$G378</f>
        <v>0.6059038468567034</v>
      </c>
      <c r="EI379" s="3205"/>
      <c r="EJ379" s="3403" t="s">
        <v>629</v>
      </c>
      <c r="EM379" s="3404">
        <f>SUM(EN379:EP379)</f>
        <v>1</v>
      </c>
      <c r="EN379" s="3404">
        <f>EN378/$G378</f>
        <v>0.33983013251548322</v>
      </c>
      <c r="EO379" s="3404">
        <f>EO378/$G378</f>
        <v>5.4266020627813452E-2</v>
      </c>
      <c r="EP379" s="3404">
        <f>EP378/$G378</f>
        <v>0.6059038468567034</v>
      </c>
      <c r="EQ379" s="3205"/>
      <c r="ER379" s="3403" t="s">
        <v>629</v>
      </c>
      <c r="EU379" s="3404">
        <f>SUM(EV379:EX379)</f>
        <v>1</v>
      </c>
      <c r="EV379" s="3404">
        <f>EV378/$G378</f>
        <v>0.33983013251548322</v>
      </c>
      <c r="EW379" s="3404">
        <f>EW378/$G378</f>
        <v>5.4266020627813452E-2</v>
      </c>
      <c r="EX379" s="3404">
        <f>EX378/$G378</f>
        <v>0.6059038468567034</v>
      </c>
      <c r="EY379" s="3205"/>
      <c r="EZ379" s="3403" t="s">
        <v>629</v>
      </c>
      <c r="FC379" s="3404">
        <f>SUM(FD379:FF379)</f>
        <v>1</v>
      </c>
      <c r="FD379" s="3404">
        <f>FD378/$G378</f>
        <v>0.33983013251548322</v>
      </c>
      <c r="FE379" s="3404">
        <f>FE378/$G378</f>
        <v>5.4266020627813452E-2</v>
      </c>
      <c r="FF379" s="3404">
        <f>FF378/$G378</f>
        <v>0.6059038468567034</v>
      </c>
      <c r="FG379" s="3205"/>
      <c r="FH379" s="3403" t="s">
        <v>629</v>
      </c>
      <c r="FK379" s="3404">
        <f>SUM(FL379:FN379)</f>
        <v>1</v>
      </c>
      <c r="FL379" s="3404">
        <f>FL378/$G378</f>
        <v>0.33983013251548322</v>
      </c>
      <c r="FM379" s="3404">
        <f>FM378/$G378</f>
        <v>5.4266020627813452E-2</v>
      </c>
      <c r="FN379" s="3404">
        <f>FN378/$G378</f>
        <v>0.6059038468567034</v>
      </c>
      <c r="FO379" s="3205"/>
    </row>
    <row r="380" spans="2:171">
      <c r="K380" s="3205"/>
      <c r="S380" s="3205"/>
      <c r="AA380" s="3205"/>
      <c r="AI380" s="3205"/>
      <c r="AQ380" s="3205"/>
      <c r="AY380" s="3205"/>
      <c r="BG380" s="3205"/>
      <c r="BO380" s="3205"/>
      <c r="BW380" s="3205"/>
      <c r="CE380" s="3205"/>
      <c r="CM380" s="3205"/>
      <c r="CU380" s="3205"/>
      <c r="DC380" s="3205"/>
      <c r="DK380" s="3205"/>
      <c r="DS380" s="3205"/>
      <c r="EA380" s="3205"/>
      <c r="EI380" s="3205"/>
      <c r="EQ380" s="3205"/>
      <c r="EY380" s="3205"/>
      <c r="FG380" s="3205"/>
      <c r="FO380" s="3205"/>
    </row>
    <row r="381" spans="2:171">
      <c r="E381" s="3090" t="s">
        <v>520</v>
      </c>
      <c r="G381" s="3091" t="s">
        <v>104</v>
      </c>
      <c r="H381" s="3091" t="s">
        <v>105</v>
      </c>
      <c r="I381" s="3091" t="s">
        <v>106</v>
      </c>
      <c r="J381" s="3092" t="s">
        <v>511</v>
      </c>
      <c r="K381" s="3205"/>
      <c r="O381" s="3091" t="s">
        <v>104</v>
      </c>
      <c r="P381" s="3091" t="s">
        <v>105</v>
      </c>
      <c r="Q381" s="3091" t="s">
        <v>106</v>
      </c>
      <c r="R381" s="3092" t="s">
        <v>511</v>
      </c>
      <c r="S381" s="3205"/>
      <c r="W381" s="3091" t="s">
        <v>104</v>
      </c>
      <c r="X381" s="3091" t="s">
        <v>105</v>
      </c>
      <c r="Y381" s="3091" t="s">
        <v>106</v>
      </c>
      <c r="Z381" s="3092" t="s">
        <v>511</v>
      </c>
      <c r="AA381" s="3205"/>
      <c r="AE381" s="3091" t="s">
        <v>104</v>
      </c>
      <c r="AF381" s="3091" t="s">
        <v>105</v>
      </c>
      <c r="AG381" s="3091" t="s">
        <v>106</v>
      </c>
      <c r="AH381" s="3092" t="s">
        <v>511</v>
      </c>
      <c r="AI381" s="3205"/>
      <c r="AM381" s="3091" t="s">
        <v>104</v>
      </c>
      <c r="AN381" s="3091" t="s">
        <v>105</v>
      </c>
      <c r="AO381" s="3091" t="s">
        <v>106</v>
      </c>
      <c r="AP381" s="3092" t="s">
        <v>511</v>
      </c>
      <c r="AQ381" s="3205"/>
      <c r="AU381" s="3091" t="s">
        <v>104</v>
      </c>
      <c r="AV381" s="3091" t="s">
        <v>105</v>
      </c>
      <c r="AW381" s="3091" t="s">
        <v>106</v>
      </c>
      <c r="AX381" s="3092" t="s">
        <v>511</v>
      </c>
      <c r="AY381" s="3205"/>
      <c r="BC381" s="3091" t="s">
        <v>104</v>
      </c>
      <c r="BD381" s="3091" t="s">
        <v>105</v>
      </c>
      <c r="BE381" s="3091" t="s">
        <v>106</v>
      </c>
      <c r="BF381" s="3092" t="s">
        <v>511</v>
      </c>
      <c r="BG381" s="3205"/>
      <c r="BK381" s="3091" t="s">
        <v>104</v>
      </c>
      <c r="BL381" s="3091" t="s">
        <v>105</v>
      </c>
      <c r="BM381" s="3091" t="s">
        <v>106</v>
      </c>
      <c r="BN381" s="3092" t="s">
        <v>511</v>
      </c>
      <c r="BO381" s="3205"/>
      <c r="BS381" s="3091" t="s">
        <v>104</v>
      </c>
      <c r="BT381" s="3091" t="s">
        <v>105</v>
      </c>
      <c r="BU381" s="3091" t="s">
        <v>106</v>
      </c>
      <c r="BV381" s="3092" t="s">
        <v>511</v>
      </c>
      <c r="BW381" s="3205"/>
      <c r="CA381" s="3091" t="s">
        <v>104</v>
      </c>
      <c r="CB381" s="3091" t="s">
        <v>105</v>
      </c>
      <c r="CC381" s="3091" t="s">
        <v>106</v>
      </c>
      <c r="CD381" s="3092" t="s">
        <v>511</v>
      </c>
      <c r="CE381" s="3205"/>
      <c r="CI381" s="3091" t="s">
        <v>104</v>
      </c>
      <c r="CJ381" s="3091" t="s">
        <v>105</v>
      </c>
      <c r="CK381" s="3091" t="s">
        <v>106</v>
      </c>
      <c r="CL381" s="3092" t="s">
        <v>511</v>
      </c>
      <c r="CM381" s="3205"/>
      <c r="CQ381" s="3091" t="s">
        <v>104</v>
      </c>
      <c r="CR381" s="3091" t="s">
        <v>105</v>
      </c>
      <c r="CS381" s="3091" t="s">
        <v>106</v>
      </c>
      <c r="CT381" s="3092" t="s">
        <v>511</v>
      </c>
      <c r="CU381" s="3205"/>
      <c r="CY381" s="3091" t="s">
        <v>104</v>
      </c>
      <c r="CZ381" s="3091" t="s">
        <v>105</v>
      </c>
      <c r="DA381" s="3091" t="s">
        <v>106</v>
      </c>
      <c r="DB381" s="3092" t="s">
        <v>511</v>
      </c>
      <c r="DC381" s="3205"/>
      <c r="DG381" s="3091" t="s">
        <v>104</v>
      </c>
      <c r="DH381" s="3091" t="s">
        <v>105</v>
      </c>
      <c r="DI381" s="3091" t="s">
        <v>106</v>
      </c>
      <c r="DJ381" s="3092" t="s">
        <v>511</v>
      </c>
      <c r="DK381" s="3205"/>
      <c r="DO381" s="3091" t="s">
        <v>104</v>
      </c>
      <c r="DP381" s="3091" t="s">
        <v>105</v>
      </c>
      <c r="DQ381" s="3091" t="s">
        <v>106</v>
      </c>
      <c r="DR381" s="3092" t="s">
        <v>511</v>
      </c>
      <c r="DS381" s="3205"/>
      <c r="DW381" s="3091" t="s">
        <v>104</v>
      </c>
      <c r="DX381" s="3091" t="s">
        <v>105</v>
      </c>
      <c r="DY381" s="3091" t="s">
        <v>106</v>
      </c>
      <c r="DZ381" s="3092" t="s">
        <v>511</v>
      </c>
      <c r="EA381" s="3205"/>
      <c r="EE381" s="3091" t="s">
        <v>104</v>
      </c>
      <c r="EF381" s="3091" t="s">
        <v>105</v>
      </c>
      <c r="EG381" s="3091" t="s">
        <v>106</v>
      </c>
      <c r="EH381" s="3092" t="s">
        <v>511</v>
      </c>
      <c r="EI381" s="3205"/>
      <c r="EM381" s="3091" t="s">
        <v>104</v>
      </c>
      <c r="EN381" s="3091" t="s">
        <v>105</v>
      </c>
      <c r="EO381" s="3091" t="s">
        <v>106</v>
      </c>
      <c r="EP381" s="3092" t="s">
        <v>511</v>
      </c>
      <c r="EQ381" s="3205"/>
      <c r="EU381" s="3091" t="s">
        <v>104</v>
      </c>
      <c r="EV381" s="3091" t="s">
        <v>105</v>
      </c>
      <c r="EW381" s="3091" t="s">
        <v>106</v>
      </c>
      <c r="EX381" s="3092" t="s">
        <v>511</v>
      </c>
      <c r="EY381" s="3205"/>
      <c r="FC381" s="3091" t="s">
        <v>104</v>
      </c>
      <c r="FD381" s="3091" t="s">
        <v>105</v>
      </c>
      <c r="FE381" s="3091" t="s">
        <v>106</v>
      </c>
      <c r="FF381" s="3092" t="s">
        <v>511</v>
      </c>
      <c r="FG381" s="3205"/>
      <c r="FK381" s="3091" t="s">
        <v>104</v>
      </c>
      <c r="FL381" s="3091" t="s">
        <v>105</v>
      </c>
      <c r="FM381" s="3091" t="s">
        <v>106</v>
      </c>
      <c r="FN381" s="3092" t="s">
        <v>511</v>
      </c>
      <c r="FO381" s="3205"/>
    </row>
    <row r="382" spans="2:171">
      <c r="B382" s="3086"/>
      <c r="C382" s="3086" t="s">
        <v>125</v>
      </c>
      <c r="D382" s="3405"/>
      <c r="E382" s="3234" t="str">
        <f t="shared" ref="E382:E393" si="1034">E37</f>
        <v>PTD</v>
      </c>
      <c r="G382" s="2424">
        <f t="shared" ref="G382:J393" si="1035">G37</f>
        <v>5100521</v>
      </c>
      <c r="H382" s="2424">
        <f t="shared" si="1035"/>
        <v>1780548.3377452032</v>
      </c>
      <c r="I382" s="2424">
        <f t="shared" si="1035"/>
        <v>0</v>
      </c>
      <c r="J382" s="2424">
        <f t="shared" si="1035"/>
        <v>3319972.6622547973</v>
      </c>
      <c r="K382" s="3205">
        <f t="shared" ref="K382:K393" si="1036">IF($E382="DIRECT",0,1)</f>
        <v>1</v>
      </c>
      <c r="L382" s="3405"/>
      <c r="N382" s="3406"/>
      <c r="O382" s="2424">
        <f t="shared" ref="O382:R382" si="1037">O37</f>
        <v>5100521</v>
      </c>
      <c r="P382" s="2424">
        <f t="shared" si="1037"/>
        <v>1780548.3377452032</v>
      </c>
      <c r="Q382" s="2424">
        <f t="shared" si="1037"/>
        <v>909067.46902420756</v>
      </c>
      <c r="R382" s="2424">
        <f t="shared" si="1037"/>
        <v>2410905.1932305894</v>
      </c>
      <c r="S382" s="3264"/>
      <c r="T382" s="3405"/>
      <c r="V382" s="3406"/>
      <c r="W382" s="2424">
        <f t="shared" ref="W382:Z382" si="1038">W37</f>
        <v>5100521</v>
      </c>
      <c r="X382" s="2424">
        <f t="shared" si="1038"/>
        <v>1780548.3377452032</v>
      </c>
      <c r="Y382" s="2424">
        <f t="shared" si="1038"/>
        <v>909067.46902420756</v>
      </c>
      <c r="Z382" s="2424">
        <f t="shared" si="1038"/>
        <v>2410905.1932305894</v>
      </c>
      <c r="AA382" s="3264"/>
      <c r="AB382" s="3405"/>
      <c r="AD382" s="3406"/>
      <c r="AE382" s="2424">
        <f t="shared" ref="AE382:AH382" si="1039">AE37</f>
        <v>5100521</v>
      </c>
      <c r="AF382" s="2424">
        <f t="shared" si="1039"/>
        <v>1780548.3377452032</v>
      </c>
      <c r="AG382" s="2424">
        <f t="shared" si="1039"/>
        <v>909067.46902420756</v>
      </c>
      <c r="AH382" s="2424">
        <f t="shared" si="1039"/>
        <v>2410905.1932305894</v>
      </c>
      <c r="AI382" s="3264"/>
      <c r="AJ382" s="3405"/>
      <c r="AL382" s="3406"/>
      <c r="AM382" s="2424">
        <f t="shared" ref="AM382:AP382" si="1040">AM37</f>
        <v>5100521</v>
      </c>
      <c r="AN382" s="2424">
        <f t="shared" si="1040"/>
        <v>1780548.3377452032</v>
      </c>
      <c r="AO382" s="2424">
        <f t="shared" si="1040"/>
        <v>909067.46902420756</v>
      </c>
      <c r="AP382" s="2424">
        <f t="shared" si="1040"/>
        <v>2410905.1932305894</v>
      </c>
      <c r="AQ382" s="3264"/>
      <c r="AR382" s="3405"/>
      <c r="AT382" s="3406"/>
      <c r="AU382" s="2424">
        <f t="shared" ref="AU382:AX382" si="1041">AU37</f>
        <v>5100521</v>
      </c>
      <c r="AV382" s="2424">
        <f t="shared" si="1041"/>
        <v>1780548.3377452032</v>
      </c>
      <c r="AW382" s="2424">
        <f t="shared" si="1041"/>
        <v>909067.46902420756</v>
      </c>
      <c r="AX382" s="2424">
        <f t="shared" si="1041"/>
        <v>2410905.1932305894</v>
      </c>
      <c r="AY382" s="3264"/>
      <c r="AZ382" s="3405"/>
      <c r="BB382" s="3406"/>
      <c r="BC382" s="2424">
        <f t="shared" ref="BC382:BF382" si="1042">BC37</f>
        <v>5100521</v>
      </c>
      <c r="BD382" s="2424">
        <f t="shared" si="1042"/>
        <v>1780548.3377452032</v>
      </c>
      <c r="BE382" s="2424">
        <f t="shared" si="1042"/>
        <v>909067.46902420756</v>
      </c>
      <c r="BF382" s="2424">
        <f t="shared" si="1042"/>
        <v>2410905.1932305894</v>
      </c>
      <c r="BG382" s="3264"/>
      <c r="BH382" s="3405"/>
      <c r="BJ382" s="3406"/>
      <c r="BK382" s="2424">
        <f t="shared" ref="BK382:BN382" si="1043">BK37</f>
        <v>5100521</v>
      </c>
      <c r="BL382" s="2424">
        <f t="shared" si="1043"/>
        <v>1780548.3377452032</v>
      </c>
      <c r="BM382" s="2424">
        <f t="shared" si="1043"/>
        <v>909067.46902420756</v>
      </c>
      <c r="BN382" s="2424">
        <f t="shared" si="1043"/>
        <v>2410905.1932305894</v>
      </c>
      <c r="BO382" s="3264"/>
      <c r="BP382" s="3405"/>
      <c r="BR382" s="3406"/>
      <c r="BS382" s="2424">
        <f t="shared" ref="BS382:BV382" si="1044">BS37</f>
        <v>5100521</v>
      </c>
      <c r="BT382" s="2424">
        <f t="shared" si="1044"/>
        <v>1780548.3377452032</v>
      </c>
      <c r="BU382" s="2424">
        <f t="shared" si="1044"/>
        <v>909067.46902420756</v>
      </c>
      <c r="BV382" s="2424">
        <f t="shared" si="1044"/>
        <v>2410905.1932305894</v>
      </c>
      <c r="BW382" s="3264"/>
      <c r="BX382" s="3405"/>
      <c r="BZ382" s="3406"/>
      <c r="CA382" s="2424">
        <f t="shared" ref="CA382:CD382" si="1045">CA37</f>
        <v>5100521</v>
      </c>
      <c r="CB382" s="2424">
        <f t="shared" si="1045"/>
        <v>1780548.3377452032</v>
      </c>
      <c r="CC382" s="2424">
        <f t="shared" si="1045"/>
        <v>909067.46902420756</v>
      </c>
      <c r="CD382" s="2424">
        <f t="shared" si="1045"/>
        <v>2410905.1932305894</v>
      </c>
      <c r="CE382" s="3264"/>
      <c r="CF382" s="3405"/>
      <c r="CH382" s="3406"/>
      <c r="CI382" s="2424">
        <f t="shared" ref="CI382:CL382" si="1046">CI37</f>
        <v>5100521</v>
      </c>
      <c r="CJ382" s="2424">
        <f t="shared" si="1046"/>
        <v>1780548.3377452032</v>
      </c>
      <c r="CK382" s="2424">
        <f t="shared" si="1046"/>
        <v>909067.46902420756</v>
      </c>
      <c r="CL382" s="2424">
        <f t="shared" si="1046"/>
        <v>2410905.1932305894</v>
      </c>
      <c r="CM382" s="3264"/>
      <c r="CN382" s="3405"/>
      <c r="CP382" s="3406"/>
      <c r="CQ382" s="2424">
        <f t="shared" ref="CQ382:CT382" si="1047">CQ37</f>
        <v>5100521</v>
      </c>
      <c r="CR382" s="2424">
        <f t="shared" si="1047"/>
        <v>1780548.3377452032</v>
      </c>
      <c r="CS382" s="2424">
        <f t="shared" si="1047"/>
        <v>909067.46902420756</v>
      </c>
      <c r="CT382" s="2424">
        <f t="shared" si="1047"/>
        <v>2410905.1932305894</v>
      </c>
      <c r="CU382" s="3264"/>
      <c r="CV382" s="3405"/>
      <c r="CX382" s="3406"/>
      <c r="CY382" s="2424">
        <f t="shared" ref="CY382:DB382" si="1048">CY37</f>
        <v>5100521</v>
      </c>
      <c r="CZ382" s="2424">
        <f t="shared" si="1048"/>
        <v>1780548.3377452032</v>
      </c>
      <c r="DA382" s="2424">
        <f t="shared" si="1048"/>
        <v>909067.46902420756</v>
      </c>
      <c r="DB382" s="2424">
        <f t="shared" si="1048"/>
        <v>2410905.1932305894</v>
      </c>
      <c r="DC382" s="3264"/>
      <c r="DD382" s="3405"/>
      <c r="DF382" s="3406"/>
      <c r="DG382" s="2424">
        <f t="shared" ref="DG382:DJ382" si="1049">DG37</f>
        <v>5100521</v>
      </c>
      <c r="DH382" s="2424">
        <f t="shared" si="1049"/>
        <v>1780548.3377452032</v>
      </c>
      <c r="DI382" s="2424">
        <f t="shared" si="1049"/>
        <v>909067.46902420756</v>
      </c>
      <c r="DJ382" s="2424">
        <f t="shared" si="1049"/>
        <v>2410905.1932305894</v>
      </c>
      <c r="DK382" s="3264"/>
      <c r="DL382" s="3405"/>
      <c r="DN382" s="3406"/>
      <c r="DO382" s="2424">
        <f t="shared" ref="DO382:DR382" si="1050">DO37</f>
        <v>5100521</v>
      </c>
      <c r="DP382" s="2424">
        <f t="shared" si="1050"/>
        <v>1780548.3377452032</v>
      </c>
      <c r="DQ382" s="2424">
        <f t="shared" si="1050"/>
        <v>909067.46902420756</v>
      </c>
      <c r="DR382" s="2424">
        <f t="shared" si="1050"/>
        <v>2410905.1932305894</v>
      </c>
      <c r="DS382" s="3264"/>
      <c r="DT382" s="3405"/>
      <c r="DV382" s="3406"/>
      <c r="DW382" s="2424">
        <f t="shared" ref="DW382:DZ382" si="1051">DW37</f>
        <v>5100521</v>
      </c>
      <c r="DX382" s="2424">
        <f t="shared" si="1051"/>
        <v>1780548.3377452032</v>
      </c>
      <c r="DY382" s="2424">
        <f t="shared" si="1051"/>
        <v>909067.46902420756</v>
      </c>
      <c r="DZ382" s="2424">
        <f t="shared" si="1051"/>
        <v>2410905.1932305894</v>
      </c>
      <c r="EA382" s="3264"/>
      <c r="EB382" s="3405"/>
      <c r="ED382" s="3406"/>
      <c r="EE382" s="2424">
        <f t="shared" ref="EE382:EH382" si="1052">EE37</f>
        <v>5100521</v>
      </c>
      <c r="EF382" s="2424">
        <f t="shared" si="1052"/>
        <v>1780548.3377452032</v>
      </c>
      <c r="EG382" s="2424">
        <f t="shared" si="1052"/>
        <v>909067.46902420756</v>
      </c>
      <c r="EH382" s="2424">
        <f t="shared" si="1052"/>
        <v>2410905.1932305894</v>
      </c>
      <c r="EI382" s="3264"/>
      <c r="EJ382" s="3405"/>
      <c r="EL382" s="3406"/>
      <c r="EM382" s="2424">
        <f t="shared" ref="EM382:EP382" si="1053">EM37</f>
        <v>5100521</v>
      </c>
      <c r="EN382" s="2424">
        <f t="shared" si="1053"/>
        <v>1780548.3377452032</v>
      </c>
      <c r="EO382" s="2424">
        <f t="shared" si="1053"/>
        <v>909067.46902420756</v>
      </c>
      <c r="EP382" s="2424">
        <f t="shared" si="1053"/>
        <v>2410905.1932305894</v>
      </c>
      <c r="EQ382" s="3264"/>
      <c r="ER382" s="3405"/>
      <c r="ET382" s="3406"/>
      <c r="EU382" s="2424">
        <f t="shared" ref="EU382:EX382" si="1054">EU37</f>
        <v>5100521</v>
      </c>
      <c r="EV382" s="2424">
        <f t="shared" si="1054"/>
        <v>1780548.3377452032</v>
      </c>
      <c r="EW382" s="2424">
        <f t="shared" si="1054"/>
        <v>909067.46902420756</v>
      </c>
      <c r="EX382" s="2424">
        <f t="shared" si="1054"/>
        <v>2410905.1932305894</v>
      </c>
      <c r="EY382" s="3264"/>
      <c r="EZ382" s="3405"/>
      <c r="FB382" s="3406"/>
      <c r="FC382" s="2424">
        <f t="shared" ref="FC382:FF382" si="1055">FC37</f>
        <v>5100521</v>
      </c>
      <c r="FD382" s="2424">
        <f t="shared" si="1055"/>
        <v>1780548.3377452032</v>
      </c>
      <c r="FE382" s="2424">
        <f t="shared" si="1055"/>
        <v>909067.46902420756</v>
      </c>
      <c r="FF382" s="2424">
        <f t="shared" si="1055"/>
        <v>2410905.1932305894</v>
      </c>
      <c r="FG382" s="3264"/>
      <c r="FH382" s="3405"/>
      <c r="FJ382" s="3406"/>
      <c r="FK382" s="2424">
        <f t="shared" ref="FK382:FN382" si="1056">FK37</f>
        <v>5100521</v>
      </c>
      <c r="FL382" s="2424">
        <f t="shared" si="1056"/>
        <v>1780548.3377452032</v>
      </c>
      <c r="FM382" s="2424">
        <f t="shared" si="1056"/>
        <v>909067.46902420756</v>
      </c>
      <c r="FN382" s="2424">
        <f t="shared" si="1056"/>
        <v>2410905.1932305894</v>
      </c>
      <c r="FO382" s="3264"/>
    </row>
    <row r="383" spans="2:171">
      <c r="B383" s="3086"/>
      <c r="C383" s="3086" t="s">
        <v>126</v>
      </c>
      <c r="D383" s="3405"/>
      <c r="E383" s="3234" t="str">
        <f t="shared" si="1034"/>
        <v>PTD</v>
      </c>
      <c r="G383" s="2424">
        <f t="shared" si="1035"/>
        <v>126721170</v>
      </c>
      <c r="H383" s="2424">
        <f t="shared" si="1035"/>
        <v>44237278.623228356</v>
      </c>
      <c r="I383" s="2424">
        <f t="shared" si="1035"/>
        <v>0</v>
      </c>
      <c r="J383" s="2424">
        <f t="shared" si="1035"/>
        <v>82483891.376771659</v>
      </c>
      <c r="K383" s="3205">
        <f t="shared" si="1036"/>
        <v>1</v>
      </c>
      <c r="L383" s="3405"/>
      <c r="N383" s="3406"/>
      <c r="O383" s="2424">
        <f t="shared" ref="O383:R383" si="1057">O38</f>
        <v>126721170</v>
      </c>
      <c r="P383" s="2424">
        <f t="shared" si="1057"/>
        <v>44237278.623228356</v>
      </c>
      <c r="Q383" s="2424">
        <f t="shared" si="1057"/>
        <v>22585554.158817567</v>
      </c>
      <c r="R383" s="2424">
        <f t="shared" si="1057"/>
        <v>59898337.217954084</v>
      </c>
      <c r="S383" s="3264"/>
      <c r="T383" s="3405"/>
      <c r="V383" s="3406"/>
      <c r="W383" s="2424">
        <f t="shared" ref="W383:Z383" si="1058">W38</f>
        <v>126721170</v>
      </c>
      <c r="X383" s="2424">
        <f t="shared" si="1058"/>
        <v>44237278.623228356</v>
      </c>
      <c r="Y383" s="2424">
        <f t="shared" si="1058"/>
        <v>22585554.158817567</v>
      </c>
      <c r="Z383" s="2424">
        <f t="shared" si="1058"/>
        <v>59898337.217954084</v>
      </c>
      <c r="AA383" s="3264"/>
      <c r="AB383" s="3405"/>
      <c r="AD383" s="3406"/>
      <c r="AE383" s="2424">
        <f t="shared" ref="AE383:AH383" si="1059">AE38</f>
        <v>126721170</v>
      </c>
      <c r="AF383" s="2424">
        <f t="shared" si="1059"/>
        <v>44237278.623228356</v>
      </c>
      <c r="AG383" s="2424">
        <f t="shared" si="1059"/>
        <v>22585554.158817567</v>
      </c>
      <c r="AH383" s="2424">
        <f t="shared" si="1059"/>
        <v>59898337.217954084</v>
      </c>
      <c r="AI383" s="3264"/>
      <c r="AJ383" s="3405"/>
      <c r="AL383" s="3406"/>
      <c r="AM383" s="2424">
        <f t="shared" ref="AM383:AP383" si="1060">AM38</f>
        <v>126721170</v>
      </c>
      <c r="AN383" s="2424">
        <f t="shared" si="1060"/>
        <v>44237278.623228356</v>
      </c>
      <c r="AO383" s="2424">
        <f t="shared" si="1060"/>
        <v>22585554.158817567</v>
      </c>
      <c r="AP383" s="2424">
        <f t="shared" si="1060"/>
        <v>59898337.217954084</v>
      </c>
      <c r="AQ383" s="3264"/>
      <c r="AR383" s="3405"/>
      <c r="AT383" s="3406"/>
      <c r="AU383" s="2424">
        <f t="shared" ref="AU383:AX383" si="1061">AU38</f>
        <v>126721170</v>
      </c>
      <c r="AV383" s="2424">
        <f t="shared" si="1061"/>
        <v>44237278.623228356</v>
      </c>
      <c r="AW383" s="2424">
        <f t="shared" si="1061"/>
        <v>22585554.158817567</v>
      </c>
      <c r="AX383" s="2424">
        <f t="shared" si="1061"/>
        <v>59898337.217954084</v>
      </c>
      <c r="AY383" s="3264"/>
      <c r="AZ383" s="3405"/>
      <c r="BB383" s="3406"/>
      <c r="BC383" s="2424">
        <f t="shared" ref="BC383:BF383" si="1062">BC38</f>
        <v>126721170</v>
      </c>
      <c r="BD383" s="2424">
        <f t="shared" si="1062"/>
        <v>44237278.623228356</v>
      </c>
      <c r="BE383" s="2424">
        <f t="shared" si="1062"/>
        <v>22585554.158817567</v>
      </c>
      <c r="BF383" s="2424">
        <f t="shared" si="1062"/>
        <v>59898337.217954084</v>
      </c>
      <c r="BG383" s="3264"/>
      <c r="BH383" s="3405"/>
      <c r="BJ383" s="3406"/>
      <c r="BK383" s="2424">
        <f t="shared" ref="BK383:BN383" si="1063">BK38</f>
        <v>126721170</v>
      </c>
      <c r="BL383" s="2424">
        <f t="shared" si="1063"/>
        <v>44237278.623228356</v>
      </c>
      <c r="BM383" s="2424">
        <f t="shared" si="1063"/>
        <v>22585554.158817567</v>
      </c>
      <c r="BN383" s="2424">
        <f t="shared" si="1063"/>
        <v>59898337.217954084</v>
      </c>
      <c r="BO383" s="3264"/>
      <c r="BP383" s="3405"/>
      <c r="BR383" s="3406"/>
      <c r="BS383" s="2424">
        <f t="shared" ref="BS383:BV383" si="1064">BS38</f>
        <v>126721170</v>
      </c>
      <c r="BT383" s="2424">
        <f t="shared" si="1064"/>
        <v>44237278.623228356</v>
      </c>
      <c r="BU383" s="2424">
        <f t="shared" si="1064"/>
        <v>22585554.158817567</v>
      </c>
      <c r="BV383" s="2424">
        <f t="shared" si="1064"/>
        <v>59898337.217954084</v>
      </c>
      <c r="BW383" s="3264"/>
      <c r="BX383" s="3405"/>
      <c r="BZ383" s="3406"/>
      <c r="CA383" s="2424">
        <f t="shared" ref="CA383:CD383" si="1065">CA38</f>
        <v>126721170</v>
      </c>
      <c r="CB383" s="2424">
        <f t="shared" si="1065"/>
        <v>44237278.623228356</v>
      </c>
      <c r="CC383" s="2424">
        <f t="shared" si="1065"/>
        <v>22585554.158817567</v>
      </c>
      <c r="CD383" s="2424">
        <f t="shared" si="1065"/>
        <v>59898337.217954084</v>
      </c>
      <c r="CE383" s="3264"/>
      <c r="CF383" s="3405"/>
      <c r="CH383" s="3406"/>
      <c r="CI383" s="2424">
        <f t="shared" ref="CI383:CL383" si="1066">CI38</f>
        <v>126721170</v>
      </c>
      <c r="CJ383" s="2424">
        <f t="shared" si="1066"/>
        <v>44237278.623228356</v>
      </c>
      <c r="CK383" s="2424">
        <f t="shared" si="1066"/>
        <v>22585554.158817567</v>
      </c>
      <c r="CL383" s="2424">
        <f t="shared" si="1066"/>
        <v>59898337.217954084</v>
      </c>
      <c r="CM383" s="3264"/>
      <c r="CN383" s="3405"/>
      <c r="CP383" s="3406"/>
      <c r="CQ383" s="2424">
        <f t="shared" ref="CQ383:CT383" si="1067">CQ38</f>
        <v>126721170</v>
      </c>
      <c r="CR383" s="2424">
        <f t="shared" si="1067"/>
        <v>44237278.623228356</v>
      </c>
      <c r="CS383" s="2424">
        <f t="shared" si="1067"/>
        <v>22585554.158817567</v>
      </c>
      <c r="CT383" s="2424">
        <f t="shared" si="1067"/>
        <v>59898337.217954084</v>
      </c>
      <c r="CU383" s="3264"/>
      <c r="CV383" s="3405"/>
      <c r="CX383" s="3406"/>
      <c r="CY383" s="2424">
        <f t="shared" ref="CY383:DB383" si="1068">CY38</f>
        <v>126721170</v>
      </c>
      <c r="CZ383" s="2424">
        <f t="shared" si="1068"/>
        <v>44237278.623228356</v>
      </c>
      <c r="DA383" s="2424">
        <f t="shared" si="1068"/>
        <v>22585554.158817567</v>
      </c>
      <c r="DB383" s="2424">
        <f t="shared" si="1068"/>
        <v>59898337.217954084</v>
      </c>
      <c r="DC383" s="3264"/>
      <c r="DD383" s="3405"/>
      <c r="DF383" s="3406"/>
      <c r="DG383" s="2424">
        <f t="shared" ref="DG383:DJ383" si="1069">DG38</f>
        <v>126721170</v>
      </c>
      <c r="DH383" s="2424">
        <f t="shared" si="1069"/>
        <v>44237278.623228356</v>
      </c>
      <c r="DI383" s="2424">
        <f t="shared" si="1069"/>
        <v>22585554.158817567</v>
      </c>
      <c r="DJ383" s="2424">
        <f t="shared" si="1069"/>
        <v>59898337.217954084</v>
      </c>
      <c r="DK383" s="3264"/>
      <c r="DL383" s="3405"/>
      <c r="DN383" s="3406"/>
      <c r="DO383" s="2424">
        <f t="shared" ref="DO383:DR383" si="1070">DO38</f>
        <v>126721170</v>
      </c>
      <c r="DP383" s="2424">
        <f t="shared" si="1070"/>
        <v>44237278.623228356</v>
      </c>
      <c r="DQ383" s="2424">
        <f t="shared" si="1070"/>
        <v>22585554.158817567</v>
      </c>
      <c r="DR383" s="2424">
        <f t="shared" si="1070"/>
        <v>59898337.217954084</v>
      </c>
      <c r="DS383" s="3264"/>
      <c r="DT383" s="3405"/>
      <c r="DV383" s="3406"/>
      <c r="DW383" s="2424">
        <f t="shared" ref="DW383:DZ383" si="1071">DW38</f>
        <v>126721170</v>
      </c>
      <c r="DX383" s="2424">
        <f t="shared" si="1071"/>
        <v>44237278.623228356</v>
      </c>
      <c r="DY383" s="2424">
        <f t="shared" si="1071"/>
        <v>22585554.158817567</v>
      </c>
      <c r="DZ383" s="2424">
        <f t="shared" si="1071"/>
        <v>59898337.217954084</v>
      </c>
      <c r="EA383" s="3264"/>
      <c r="EB383" s="3405"/>
      <c r="ED383" s="3406"/>
      <c r="EE383" s="2424">
        <f t="shared" ref="EE383:EH383" si="1072">EE38</f>
        <v>126721170</v>
      </c>
      <c r="EF383" s="2424">
        <f t="shared" si="1072"/>
        <v>44237278.623228356</v>
      </c>
      <c r="EG383" s="2424">
        <f t="shared" si="1072"/>
        <v>22585554.158817567</v>
      </c>
      <c r="EH383" s="2424">
        <f t="shared" si="1072"/>
        <v>59898337.217954084</v>
      </c>
      <c r="EI383" s="3264"/>
      <c r="EJ383" s="3405"/>
      <c r="EL383" s="3406"/>
      <c r="EM383" s="2424">
        <f t="shared" ref="EM383:EP383" si="1073">EM38</f>
        <v>126721170</v>
      </c>
      <c r="EN383" s="2424">
        <f t="shared" si="1073"/>
        <v>44237278.623228356</v>
      </c>
      <c r="EO383" s="2424">
        <f t="shared" si="1073"/>
        <v>22585554.158817567</v>
      </c>
      <c r="EP383" s="2424">
        <f t="shared" si="1073"/>
        <v>59898337.217954084</v>
      </c>
      <c r="EQ383" s="3264"/>
      <c r="ER383" s="3405"/>
      <c r="ET383" s="3406"/>
      <c r="EU383" s="2424">
        <f t="shared" ref="EU383:EX383" si="1074">EU38</f>
        <v>126721170</v>
      </c>
      <c r="EV383" s="2424">
        <f t="shared" si="1074"/>
        <v>44237278.623228356</v>
      </c>
      <c r="EW383" s="2424">
        <f t="shared" si="1074"/>
        <v>22585554.158817567</v>
      </c>
      <c r="EX383" s="2424">
        <f t="shared" si="1074"/>
        <v>59898337.217954084</v>
      </c>
      <c r="EY383" s="3264"/>
      <c r="EZ383" s="3405"/>
      <c r="FB383" s="3406"/>
      <c r="FC383" s="2424">
        <f t="shared" ref="FC383:FF383" si="1075">FC38</f>
        <v>126721170</v>
      </c>
      <c r="FD383" s="2424">
        <f t="shared" si="1075"/>
        <v>44237278.623228356</v>
      </c>
      <c r="FE383" s="2424">
        <f t="shared" si="1075"/>
        <v>22585554.158817567</v>
      </c>
      <c r="FF383" s="2424">
        <f t="shared" si="1075"/>
        <v>59898337.217954084</v>
      </c>
      <c r="FG383" s="3264"/>
      <c r="FH383" s="3405"/>
      <c r="FJ383" s="3406"/>
      <c r="FK383" s="2424">
        <f t="shared" ref="FK383:FN383" si="1076">FK38</f>
        <v>126721170</v>
      </c>
      <c r="FL383" s="2424">
        <f t="shared" si="1076"/>
        <v>44237278.623228356</v>
      </c>
      <c r="FM383" s="2424">
        <f t="shared" si="1076"/>
        <v>22585554.158817567</v>
      </c>
      <c r="FN383" s="2424">
        <f t="shared" si="1076"/>
        <v>59898337.217954084</v>
      </c>
      <c r="FO383" s="3264"/>
    </row>
    <row r="384" spans="2:171">
      <c r="B384" s="3086"/>
      <c r="C384" s="3086" t="s">
        <v>127</v>
      </c>
      <c r="D384" s="3405"/>
      <c r="E384" s="3234" t="str">
        <f t="shared" si="1034"/>
        <v>LABOR</v>
      </c>
      <c r="G384" s="2424">
        <f t="shared" si="1035"/>
        <v>31597697</v>
      </c>
      <c r="H384" s="2424">
        <f t="shared" si="1035"/>
        <v>10737849.558694087</v>
      </c>
      <c r="I384" s="2424">
        <f t="shared" si="1035"/>
        <v>0</v>
      </c>
      <c r="J384" s="2424">
        <f t="shared" si="1035"/>
        <v>20859847.441305913</v>
      </c>
      <c r="K384" s="3264">
        <f t="shared" si="1036"/>
        <v>1</v>
      </c>
      <c r="L384" s="3405"/>
      <c r="N384" s="3406"/>
      <c r="O384" s="2424">
        <f t="shared" ref="O384:R384" si="1077">O39</f>
        <v>31597697</v>
      </c>
      <c r="P384" s="2424">
        <f t="shared" si="1077"/>
        <v>10737849.558694087</v>
      </c>
      <c r="Q384" s="2424">
        <f t="shared" si="1077"/>
        <v>1714681.2771933991</v>
      </c>
      <c r="R384" s="2424">
        <f t="shared" si="1077"/>
        <v>19145166.164112516</v>
      </c>
      <c r="S384" s="3264"/>
      <c r="T384" s="3405"/>
      <c r="V384" s="3406"/>
      <c r="W384" s="2424">
        <f t="shared" ref="W384:Z384" si="1078">W39</f>
        <v>31597697</v>
      </c>
      <c r="X384" s="2424">
        <f t="shared" si="1078"/>
        <v>10737849.558694087</v>
      </c>
      <c r="Y384" s="2424">
        <f t="shared" si="1078"/>
        <v>1714681.2771933991</v>
      </c>
      <c r="Z384" s="2424">
        <f t="shared" si="1078"/>
        <v>19145166.164112516</v>
      </c>
      <c r="AA384" s="3264"/>
      <c r="AB384" s="3405"/>
      <c r="AD384" s="3406"/>
      <c r="AE384" s="2424">
        <f t="shared" ref="AE384:AH384" si="1079">AE39</f>
        <v>31597697</v>
      </c>
      <c r="AF384" s="2424">
        <f t="shared" si="1079"/>
        <v>10737849.558694087</v>
      </c>
      <c r="AG384" s="2424">
        <f t="shared" si="1079"/>
        <v>1714681.2771933991</v>
      </c>
      <c r="AH384" s="2424">
        <f t="shared" si="1079"/>
        <v>19145166.164112516</v>
      </c>
      <c r="AI384" s="3264"/>
      <c r="AJ384" s="3405"/>
      <c r="AL384" s="3406"/>
      <c r="AM384" s="2424">
        <f t="shared" ref="AM384:AP384" si="1080">AM39</f>
        <v>31597697</v>
      </c>
      <c r="AN384" s="2424">
        <f t="shared" si="1080"/>
        <v>10737849.558694087</v>
      </c>
      <c r="AO384" s="2424">
        <f t="shared" si="1080"/>
        <v>1714681.2771933991</v>
      </c>
      <c r="AP384" s="2424">
        <f t="shared" si="1080"/>
        <v>19145166.164112516</v>
      </c>
      <c r="AQ384" s="3264"/>
      <c r="AR384" s="3405"/>
      <c r="AT384" s="3406"/>
      <c r="AU384" s="2424">
        <f t="shared" ref="AU384:AX384" si="1081">AU39</f>
        <v>31597697</v>
      </c>
      <c r="AV384" s="2424">
        <f t="shared" si="1081"/>
        <v>10737849.558694087</v>
      </c>
      <c r="AW384" s="2424">
        <f t="shared" si="1081"/>
        <v>1714681.2771933991</v>
      </c>
      <c r="AX384" s="2424">
        <f t="shared" si="1081"/>
        <v>19145166.164112516</v>
      </c>
      <c r="AY384" s="3264"/>
      <c r="AZ384" s="3405"/>
      <c r="BB384" s="3406"/>
      <c r="BC384" s="2424">
        <f t="shared" ref="BC384:BF384" si="1082">BC39</f>
        <v>31597697</v>
      </c>
      <c r="BD384" s="2424">
        <f t="shared" si="1082"/>
        <v>10737849.558694087</v>
      </c>
      <c r="BE384" s="2424">
        <f t="shared" si="1082"/>
        <v>1714681.2771933991</v>
      </c>
      <c r="BF384" s="2424">
        <f t="shared" si="1082"/>
        <v>19145166.164112516</v>
      </c>
      <c r="BG384" s="3264"/>
      <c r="BH384" s="3405"/>
      <c r="BJ384" s="3406"/>
      <c r="BK384" s="2424">
        <f t="shared" ref="BK384:BN384" si="1083">BK39</f>
        <v>31597697</v>
      </c>
      <c r="BL384" s="2424">
        <f t="shared" si="1083"/>
        <v>10737849.558694087</v>
      </c>
      <c r="BM384" s="2424">
        <f t="shared" si="1083"/>
        <v>1714681.2771933991</v>
      </c>
      <c r="BN384" s="2424">
        <f t="shared" si="1083"/>
        <v>19145166.164112516</v>
      </c>
      <c r="BO384" s="3264"/>
      <c r="BP384" s="3405"/>
      <c r="BR384" s="3406"/>
      <c r="BS384" s="2424">
        <f t="shared" ref="BS384:BV384" si="1084">BS39</f>
        <v>31597697</v>
      </c>
      <c r="BT384" s="2424">
        <f t="shared" si="1084"/>
        <v>10737849.558694087</v>
      </c>
      <c r="BU384" s="2424">
        <f t="shared" si="1084"/>
        <v>1714681.2771933991</v>
      </c>
      <c r="BV384" s="2424">
        <f t="shared" si="1084"/>
        <v>19145166.164112516</v>
      </c>
      <c r="BW384" s="3264"/>
      <c r="BX384" s="3405"/>
      <c r="BZ384" s="3406"/>
      <c r="CA384" s="2424">
        <f t="shared" ref="CA384:CD384" si="1085">CA39</f>
        <v>31597697</v>
      </c>
      <c r="CB384" s="2424">
        <f t="shared" si="1085"/>
        <v>10737849.558694087</v>
      </c>
      <c r="CC384" s="2424">
        <f t="shared" si="1085"/>
        <v>1714681.2771933991</v>
      </c>
      <c r="CD384" s="2424">
        <f t="shared" si="1085"/>
        <v>19145166.164112516</v>
      </c>
      <c r="CE384" s="3264"/>
      <c r="CF384" s="3405"/>
      <c r="CH384" s="3406"/>
      <c r="CI384" s="2424">
        <f t="shared" ref="CI384:CL384" si="1086">CI39</f>
        <v>31597697</v>
      </c>
      <c r="CJ384" s="2424">
        <f t="shared" si="1086"/>
        <v>10737849.558694087</v>
      </c>
      <c r="CK384" s="2424">
        <f t="shared" si="1086"/>
        <v>1714681.2771933991</v>
      </c>
      <c r="CL384" s="2424">
        <f t="shared" si="1086"/>
        <v>19145166.164112516</v>
      </c>
      <c r="CM384" s="3264"/>
      <c r="CN384" s="3405"/>
      <c r="CP384" s="3406"/>
      <c r="CQ384" s="2424">
        <f t="shared" ref="CQ384:CT384" si="1087">CQ39</f>
        <v>31597697</v>
      </c>
      <c r="CR384" s="2424">
        <f t="shared" si="1087"/>
        <v>10737849.558694087</v>
      </c>
      <c r="CS384" s="2424">
        <f t="shared" si="1087"/>
        <v>1714681.2771933991</v>
      </c>
      <c r="CT384" s="2424">
        <f t="shared" si="1087"/>
        <v>19145166.164112516</v>
      </c>
      <c r="CU384" s="3264"/>
      <c r="CV384" s="3405"/>
      <c r="CX384" s="3406"/>
      <c r="CY384" s="2424">
        <f t="shared" ref="CY384:DB384" si="1088">CY39</f>
        <v>31597697</v>
      </c>
      <c r="CZ384" s="2424">
        <f t="shared" si="1088"/>
        <v>10737849.558694087</v>
      </c>
      <c r="DA384" s="2424">
        <f t="shared" si="1088"/>
        <v>1714681.2771933991</v>
      </c>
      <c r="DB384" s="2424">
        <f t="shared" si="1088"/>
        <v>19145166.164112516</v>
      </c>
      <c r="DC384" s="3264"/>
      <c r="DD384" s="3405"/>
      <c r="DF384" s="3406"/>
      <c r="DG384" s="2424">
        <f t="shared" ref="DG384:DJ384" si="1089">DG39</f>
        <v>31597697</v>
      </c>
      <c r="DH384" s="2424">
        <f t="shared" si="1089"/>
        <v>10737849.558694087</v>
      </c>
      <c r="DI384" s="2424">
        <f t="shared" si="1089"/>
        <v>1714681.2771933991</v>
      </c>
      <c r="DJ384" s="2424">
        <f t="shared" si="1089"/>
        <v>19145166.164112516</v>
      </c>
      <c r="DK384" s="3264"/>
      <c r="DL384" s="3405"/>
      <c r="DN384" s="3406"/>
      <c r="DO384" s="2424">
        <f t="shared" ref="DO384:DR384" si="1090">DO39</f>
        <v>31597697</v>
      </c>
      <c r="DP384" s="2424">
        <f t="shared" si="1090"/>
        <v>10737849.558694087</v>
      </c>
      <c r="DQ384" s="2424">
        <f t="shared" si="1090"/>
        <v>1714681.2771933991</v>
      </c>
      <c r="DR384" s="2424">
        <f t="shared" si="1090"/>
        <v>19145166.164112516</v>
      </c>
      <c r="DS384" s="3264"/>
      <c r="DT384" s="3405"/>
      <c r="DV384" s="3406"/>
      <c r="DW384" s="2424">
        <f t="shared" ref="DW384:DZ384" si="1091">DW39</f>
        <v>31597697</v>
      </c>
      <c r="DX384" s="2424">
        <f t="shared" si="1091"/>
        <v>10737849.558694087</v>
      </c>
      <c r="DY384" s="2424">
        <f t="shared" si="1091"/>
        <v>1714681.2771933991</v>
      </c>
      <c r="DZ384" s="2424">
        <f t="shared" si="1091"/>
        <v>19145166.164112516</v>
      </c>
      <c r="EA384" s="3264"/>
      <c r="EB384" s="3405"/>
      <c r="ED384" s="3406"/>
      <c r="EE384" s="2424">
        <f t="shared" ref="EE384:EH384" si="1092">EE39</f>
        <v>31597697</v>
      </c>
      <c r="EF384" s="2424">
        <f t="shared" si="1092"/>
        <v>10737849.558694087</v>
      </c>
      <c r="EG384" s="2424">
        <f t="shared" si="1092"/>
        <v>1714681.2771933991</v>
      </c>
      <c r="EH384" s="2424">
        <f t="shared" si="1092"/>
        <v>19145166.164112516</v>
      </c>
      <c r="EI384" s="3264"/>
      <c r="EJ384" s="3405"/>
      <c r="EL384" s="3406"/>
      <c r="EM384" s="2424">
        <f t="shared" ref="EM384:EP384" si="1093">EM39</f>
        <v>31597697</v>
      </c>
      <c r="EN384" s="2424">
        <f t="shared" si="1093"/>
        <v>10737849.558694087</v>
      </c>
      <c r="EO384" s="2424">
        <f t="shared" si="1093"/>
        <v>1714681.2771933991</v>
      </c>
      <c r="EP384" s="2424">
        <f t="shared" si="1093"/>
        <v>19145166.164112516</v>
      </c>
      <c r="EQ384" s="3264"/>
      <c r="ER384" s="3405"/>
      <c r="ET384" s="3406"/>
      <c r="EU384" s="2424">
        <f t="shared" ref="EU384:EX384" si="1094">EU39</f>
        <v>31597697</v>
      </c>
      <c r="EV384" s="2424">
        <f t="shared" si="1094"/>
        <v>10737849.558694087</v>
      </c>
      <c r="EW384" s="2424">
        <f t="shared" si="1094"/>
        <v>1714681.2771933991</v>
      </c>
      <c r="EX384" s="2424">
        <f t="shared" si="1094"/>
        <v>19145166.164112516</v>
      </c>
      <c r="EY384" s="3264"/>
      <c r="EZ384" s="3405"/>
      <c r="FB384" s="3406"/>
      <c r="FC384" s="2424">
        <f t="shared" ref="FC384:FF384" si="1095">FC39</f>
        <v>31597697</v>
      </c>
      <c r="FD384" s="2424">
        <f t="shared" si="1095"/>
        <v>10737849.558694087</v>
      </c>
      <c r="FE384" s="2424">
        <f t="shared" si="1095"/>
        <v>1714681.2771933991</v>
      </c>
      <c r="FF384" s="2424">
        <f t="shared" si="1095"/>
        <v>19145166.164112516</v>
      </c>
      <c r="FG384" s="3264"/>
      <c r="FH384" s="3405"/>
      <c r="FJ384" s="3406"/>
      <c r="FK384" s="2424">
        <f t="shared" ref="FK384:FN384" si="1096">FK39</f>
        <v>31597697</v>
      </c>
      <c r="FL384" s="2424">
        <f t="shared" si="1096"/>
        <v>10737849.558694087</v>
      </c>
      <c r="FM384" s="2424">
        <f t="shared" si="1096"/>
        <v>1714681.2771933991</v>
      </c>
      <c r="FN384" s="2424">
        <f t="shared" si="1096"/>
        <v>19145166.164112516</v>
      </c>
      <c r="FO384" s="3264"/>
    </row>
    <row r="385" spans="2:171">
      <c r="B385" s="3086"/>
      <c r="C385" s="3086" t="s">
        <v>128</v>
      </c>
      <c r="D385" s="3405"/>
      <c r="E385" s="3234" t="str">
        <f t="shared" si="1034"/>
        <v>TD</v>
      </c>
      <c r="G385" s="2424">
        <f t="shared" si="1035"/>
        <v>3994065</v>
      </c>
      <c r="H385" s="2424">
        <f t="shared" si="1035"/>
        <v>0</v>
      </c>
      <c r="I385" s="2424">
        <f t="shared" si="1035"/>
        <v>0</v>
      </c>
      <c r="J385" s="2424">
        <f t="shared" si="1035"/>
        <v>3994065</v>
      </c>
      <c r="K385" s="3264">
        <f t="shared" si="1036"/>
        <v>1</v>
      </c>
      <c r="L385" s="3405"/>
      <c r="N385" s="3406"/>
      <c r="O385" s="2424">
        <f t="shared" ref="O385:R385" si="1097">O40</f>
        <v>3994065.0000000005</v>
      </c>
      <c r="P385" s="2424">
        <f t="shared" si="1097"/>
        <v>0</v>
      </c>
      <c r="Q385" s="2424">
        <f t="shared" si="1097"/>
        <v>1093645.9212294305</v>
      </c>
      <c r="R385" s="2424">
        <f t="shared" si="1097"/>
        <v>2900419.07877057</v>
      </c>
      <c r="S385" s="3264"/>
      <c r="T385" s="3405"/>
      <c r="V385" s="3406"/>
      <c r="W385" s="2424">
        <f t="shared" ref="W385:Z385" si="1098">W40</f>
        <v>3994065.0000000005</v>
      </c>
      <c r="X385" s="2424">
        <f t="shared" si="1098"/>
        <v>0</v>
      </c>
      <c r="Y385" s="2424">
        <f t="shared" si="1098"/>
        <v>1093645.9212294305</v>
      </c>
      <c r="Z385" s="2424">
        <f t="shared" si="1098"/>
        <v>2900419.07877057</v>
      </c>
      <c r="AA385" s="3264"/>
      <c r="AB385" s="3405"/>
      <c r="AD385" s="3406"/>
      <c r="AE385" s="2424">
        <f t="shared" ref="AE385:AH385" si="1099">AE40</f>
        <v>3994065.0000000005</v>
      </c>
      <c r="AF385" s="2424">
        <f t="shared" si="1099"/>
        <v>0</v>
      </c>
      <c r="AG385" s="2424">
        <f t="shared" si="1099"/>
        <v>1093645.9212294305</v>
      </c>
      <c r="AH385" s="2424">
        <f t="shared" si="1099"/>
        <v>2900419.07877057</v>
      </c>
      <c r="AI385" s="3264"/>
      <c r="AJ385" s="3405"/>
      <c r="AL385" s="3406"/>
      <c r="AM385" s="2424">
        <f t="shared" ref="AM385:AP385" si="1100">AM40</f>
        <v>3994065.0000000005</v>
      </c>
      <c r="AN385" s="2424">
        <f t="shared" si="1100"/>
        <v>0</v>
      </c>
      <c r="AO385" s="2424">
        <f t="shared" si="1100"/>
        <v>1093645.9212294305</v>
      </c>
      <c r="AP385" s="2424">
        <f t="shared" si="1100"/>
        <v>2900419.07877057</v>
      </c>
      <c r="AQ385" s="3264"/>
      <c r="AR385" s="3405"/>
      <c r="AT385" s="3406"/>
      <c r="AU385" s="2424">
        <f t="shared" ref="AU385:AX385" si="1101">AU40</f>
        <v>3994065.0000000005</v>
      </c>
      <c r="AV385" s="2424">
        <f t="shared" si="1101"/>
        <v>0</v>
      </c>
      <c r="AW385" s="2424">
        <f t="shared" si="1101"/>
        <v>1093645.9212294305</v>
      </c>
      <c r="AX385" s="2424">
        <f t="shared" si="1101"/>
        <v>2900419.07877057</v>
      </c>
      <c r="AY385" s="3264"/>
      <c r="AZ385" s="3405"/>
      <c r="BB385" s="3406"/>
      <c r="BC385" s="2424">
        <f t="shared" ref="BC385:BF385" si="1102">BC40</f>
        <v>3994065.0000000005</v>
      </c>
      <c r="BD385" s="2424">
        <f t="shared" si="1102"/>
        <v>0</v>
      </c>
      <c r="BE385" s="2424">
        <f t="shared" si="1102"/>
        <v>1093645.9212294305</v>
      </c>
      <c r="BF385" s="2424">
        <f t="shared" si="1102"/>
        <v>2900419.07877057</v>
      </c>
      <c r="BG385" s="3264"/>
      <c r="BH385" s="3405"/>
      <c r="BJ385" s="3406"/>
      <c r="BK385" s="2424">
        <f t="shared" ref="BK385:BN385" si="1103">BK40</f>
        <v>3994065.0000000005</v>
      </c>
      <c r="BL385" s="2424">
        <f t="shared" si="1103"/>
        <v>0</v>
      </c>
      <c r="BM385" s="2424">
        <f t="shared" si="1103"/>
        <v>1093645.9212294305</v>
      </c>
      <c r="BN385" s="2424">
        <f t="shared" si="1103"/>
        <v>2900419.07877057</v>
      </c>
      <c r="BO385" s="3264"/>
      <c r="BP385" s="3405"/>
      <c r="BR385" s="3406"/>
      <c r="BS385" s="2424">
        <f t="shared" ref="BS385:BV385" si="1104">BS40</f>
        <v>3994065.0000000005</v>
      </c>
      <c r="BT385" s="2424">
        <f t="shared" si="1104"/>
        <v>0</v>
      </c>
      <c r="BU385" s="2424">
        <f t="shared" si="1104"/>
        <v>1093645.9212294305</v>
      </c>
      <c r="BV385" s="2424">
        <f t="shared" si="1104"/>
        <v>2900419.07877057</v>
      </c>
      <c r="BW385" s="3264"/>
      <c r="BX385" s="3405"/>
      <c r="BZ385" s="3406"/>
      <c r="CA385" s="2424">
        <f t="shared" ref="CA385:CD385" si="1105">CA40</f>
        <v>3994065.0000000005</v>
      </c>
      <c r="CB385" s="2424">
        <f t="shared" si="1105"/>
        <v>0</v>
      </c>
      <c r="CC385" s="2424">
        <f t="shared" si="1105"/>
        <v>1093645.9212294305</v>
      </c>
      <c r="CD385" s="2424">
        <f t="shared" si="1105"/>
        <v>2900419.07877057</v>
      </c>
      <c r="CE385" s="3264"/>
      <c r="CF385" s="3405"/>
      <c r="CH385" s="3406"/>
      <c r="CI385" s="2424">
        <f t="shared" ref="CI385:CL385" si="1106">CI40</f>
        <v>3994065.0000000005</v>
      </c>
      <c r="CJ385" s="2424">
        <f t="shared" si="1106"/>
        <v>0</v>
      </c>
      <c r="CK385" s="2424">
        <f t="shared" si="1106"/>
        <v>1093645.9212294305</v>
      </c>
      <c r="CL385" s="2424">
        <f t="shared" si="1106"/>
        <v>2900419.07877057</v>
      </c>
      <c r="CM385" s="3264"/>
      <c r="CN385" s="3405"/>
      <c r="CP385" s="3406"/>
      <c r="CQ385" s="2424">
        <f t="shared" ref="CQ385:CT385" si="1107">CQ40</f>
        <v>3994065.0000000005</v>
      </c>
      <c r="CR385" s="2424">
        <f t="shared" si="1107"/>
        <v>0</v>
      </c>
      <c r="CS385" s="2424">
        <f t="shared" si="1107"/>
        <v>1093645.9212294305</v>
      </c>
      <c r="CT385" s="2424">
        <f t="shared" si="1107"/>
        <v>2900419.07877057</v>
      </c>
      <c r="CU385" s="3264"/>
      <c r="CV385" s="3405"/>
      <c r="CX385" s="3406"/>
      <c r="CY385" s="2424">
        <f t="shared" ref="CY385:DB385" si="1108">CY40</f>
        <v>3994065.0000000005</v>
      </c>
      <c r="CZ385" s="2424">
        <f t="shared" si="1108"/>
        <v>0</v>
      </c>
      <c r="DA385" s="2424">
        <f t="shared" si="1108"/>
        <v>1093645.9212294305</v>
      </c>
      <c r="DB385" s="2424">
        <f t="shared" si="1108"/>
        <v>2900419.07877057</v>
      </c>
      <c r="DC385" s="3264"/>
      <c r="DD385" s="3405"/>
      <c r="DF385" s="3406"/>
      <c r="DG385" s="2424">
        <f t="shared" ref="DG385:DJ385" si="1109">DG40</f>
        <v>3994065.0000000005</v>
      </c>
      <c r="DH385" s="2424">
        <f t="shared" si="1109"/>
        <v>0</v>
      </c>
      <c r="DI385" s="2424">
        <f t="shared" si="1109"/>
        <v>1093645.9212294305</v>
      </c>
      <c r="DJ385" s="2424">
        <f t="shared" si="1109"/>
        <v>2900419.07877057</v>
      </c>
      <c r="DK385" s="3264"/>
      <c r="DL385" s="3405"/>
      <c r="DN385" s="3406"/>
      <c r="DO385" s="2424">
        <f t="shared" ref="DO385:DR385" si="1110">DO40</f>
        <v>3994065.0000000005</v>
      </c>
      <c r="DP385" s="2424">
        <f t="shared" si="1110"/>
        <v>0</v>
      </c>
      <c r="DQ385" s="2424">
        <f t="shared" si="1110"/>
        <v>1093645.9212294305</v>
      </c>
      <c r="DR385" s="2424">
        <f t="shared" si="1110"/>
        <v>2900419.07877057</v>
      </c>
      <c r="DS385" s="3264"/>
      <c r="DT385" s="3405"/>
      <c r="DV385" s="3406"/>
      <c r="DW385" s="2424">
        <f t="shared" ref="DW385:DZ385" si="1111">DW40</f>
        <v>3994065.0000000005</v>
      </c>
      <c r="DX385" s="2424">
        <f t="shared" si="1111"/>
        <v>0</v>
      </c>
      <c r="DY385" s="2424">
        <f t="shared" si="1111"/>
        <v>1093645.9212294305</v>
      </c>
      <c r="DZ385" s="2424">
        <f t="shared" si="1111"/>
        <v>2900419.07877057</v>
      </c>
      <c r="EA385" s="3264"/>
      <c r="EB385" s="3405"/>
      <c r="ED385" s="3406"/>
      <c r="EE385" s="2424">
        <f t="shared" ref="EE385:EH385" si="1112">EE40</f>
        <v>3994065.0000000005</v>
      </c>
      <c r="EF385" s="2424">
        <f t="shared" si="1112"/>
        <v>0</v>
      </c>
      <c r="EG385" s="2424">
        <f t="shared" si="1112"/>
        <v>1093645.9212294305</v>
      </c>
      <c r="EH385" s="2424">
        <f t="shared" si="1112"/>
        <v>2900419.07877057</v>
      </c>
      <c r="EI385" s="3264"/>
      <c r="EJ385" s="3405"/>
      <c r="EL385" s="3406"/>
      <c r="EM385" s="2424">
        <f t="shared" ref="EM385:EP385" si="1113">EM40</f>
        <v>3994065.0000000005</v>
      </c>
      <c r="EN385" s="2424">
        <f t="shared" si="1113"/>
        <v>0</v>
      </c>
      <c r="EO385" s="2424">
        <f t="shared" si="1113"/>
        <v>1093645.9212294305</v>
      </c>
      <c r="EP385" s="2424">
        <f t="shared" si="1113"/>
        <v>2900419.07877057</v>
      </c>
      <c r="EQ385" s="3264"/>
      <c r="ER385" s="3405"/>
      <c r="ET385" s="3406"/>
      <c r="EU385" s="2424">
        <f t="shared" ref="EU385:EX385" si="1114">EU40</f>
        <v>3994065.0000000005</v>
      </c>
      <c r="EV385" s="2424">
        <f t="shared" si="1114"/>
        <v>0</v>
      </c>
      <c r="EW385" s="2424">
        <f t="shared" si="1114"/>
        <v>1093645.9212294305</v>
      </c>
      <c r="EX385" s="2424">
        <f t="shared" si="1114"/>
        <v>2900419.07877057</v>
      </c>
      <c r="EY385" s="3264"/>
      <c r="EZ385" s="3405"/>
      <c r="FB385" s="3406"/>
      <c r="FC385" s="2424">
        <f t="shared" ref="FC385:FF385" si="1115">FC40</f>
        <v>3994065.0000000005</v>
      </c>
      <c r="FD385" s="2424">
        <f t="shared" si="1115"/>
        <v>0</v>
      </c>
      <c r="FE385" s="2424">
        <f t="shared" si="1115"/>
        <v>1093645.9212294305</v>
      </c>
      <c r="FF385" s="2424">
        <f t="shared" si="1115"/>
        <v>2900419.07877057</v>
      </c>
      <c r="FG385" s="3264"/>
      <c r="FH385" s="3405"/>
      <c r="FJ385" s="3406"/>
      <c r="FK385" s="2424">
        <f t="shared" ref="FK385:FN385" si="1116">FK40</f>
        <v>3994065.0000000005</v>
      </c>
      <c r="FL385" s="2424">
        <f t="shared" si="1116"/>
        <v>0</v>
      </c>
      <c r="FM385" s="2424">
        <f t="shared" si="1116"/>
        <v>1093645.9212294305</v>
      </c>
      <c r="FN385" s="2424">
        <f t="shared" si="1116"/>
        <v>2900419.07877057</v>
      </c>
      <c r="FO385" s="3264"/>
    </row>
    <row r="386" spans="2:171">
      <c r="B386" s="3086"/>
      <c r="C386" s="3086" t="s">
        <v>129</v>
      </c>
      <c r="D386" s="3405"/>
      <c r="E386" s="3234" t="str">
        <f t="shared" si="1034"/>
        <v>PTD</v>
      </c>
      <c r="G386" s="2424">
        <f t="shared" si="1035"/>
        <v>1969191</v>
      </c>
      <c r="H386" s="2424">
        <f t="shared" si="1035"/>
        <v>687427.76703650749</v>
      </c>
      <c r="I386" s="2424">
        <f t="shared" si="1035"/>
        <v>0</v>
      </c>
      <c r="J386" s="2424">
        <f t="shared" si="1035"/>
        <v>1281763.2329634926</v>
      </c>
      <c r="K386" s="3264">
        <f t="shared" si="1036"/>
        <v>1</v>
      </c>
      <c r="L386" s="3405"/>
      <c r="N386" s="3406"/>
      <c r="O386" s="2424">
        <f t="shared" ref="O386:R386" si="1117">O41</f>
        <v>1969191.0000000002</v>
      </c>
      <c r="P386" s="2424">
        <f t="shared" si="1117"/>
        <v>687427.7670365076</v>
      </c>
      <c r="Q386" s="2424">
        <f t="shared" si="1117"/>
        <v>350969.53397412703</v>
      </c>
      <c r="R386" s="2424">
        <f t="shared" si="1117"/>
        <v>930793.6989893656</v>
      </c>
      <c r="S386" s="3264"/>
      <c r="T386" s="3405"/>
      <c r="V386" s="3406"/>
      <c r="W386" s="2424">
        <f t="shared" ref="W386:Z386" si="1118">W41</f>
        <v>1969191.0000000002</v>
      </c>
      <c r="X386" s="2424">
        <f t="shared" si="1118"/>
        <v>687427.7670365076</v>
      </c>
      <c r="Y386" s="2424">
        <f t="shared" si="1118"/>
        <v>350969.53397412703</v>
      </c>
      <c r="Z386" s="2424">
        <f t="shared" si="1118"/>
        <v>930793.6989893656</v>
      </c>
      <c r="AA386" s="3264"/>
      <c r="AB386" s="3405"/>
      <c r="AD386" s="3406"/>
      <c r="AE386" s="2424">
        <f t="shared" ref="AE386:AH386" si="1119">AE41</f>
        <v>1969191.0000000002</v>
      </c>
      <c r="AF386" s="2424">
        <f t="shared" si="1119"/>
        <v>687427.7670365076</v>
      </c>
      <c r="AG386" s="2424">
        <f t="shared" si="1119"/>
        <v>350969.53397412703</v>
      </c>
      <c r="AH386" s="2424">
        <f t="shared" si="1119"/>
        <v>930793.6989893656</v>
      </c>
      <c r="AI386" s="3264"/>
      <c r="AJ386" s="3405"/>
      <c r="AL386" s="3406"/>
      <c r="AM386" s="2424">
        <f t="shared" ref="AM386:AP386" si="1120">AM41</f>
        <v>1969191.0000000002</v>
      </c>
      <c r="AN386" s="2424">
        <f t="shared" si="1120"/>
        <v>687427.7670365076</v>
      </c>
      <c r="AO386" s="2424">
        <f t="shared" si="1120"/>
        <v>350969.53397412703</v>
      </c>
      <c r="AP386" s="2424">
        <f t="shared" si="1120"/>
        <v>930793.6989893656</v>
      </c>
      <c r="AQ386" s="3264"/>
      <c r="AR386" s="3405"/>
      <c r="AT386" s="3406"/>
      <c r="AU386" s="2424">
        <f t="shared" ref="AU386:AX386" si="1121">AU41</f>
        <v>1969191.0000000002</v>
      </c>
      <c r="AV386" s="2424">
        <f t="shared" si="1121"/>
        <v>687427.7670365076</v>
      </c>
      <c r="AW386" s="2424">
        <f t="shared" si="1121"/>
        <v>350969.53397412703</v>
      </c>
      <c r="AX386" s="2424">
        <f t="shared" si="1121"/>
        <v>930793.6989893656</v>
      </c>
      <c r="AY386" s="3264"/>
      <c r="AZ386" s="3405"/>
      <c r="BB386" s="3406"/>
      <c r="BC386" s="2424">
        <f t="shared" ref="BC386:BF386" si="1122">BC41</f>
        <v>1969191.0000000002</v>
      </c>
      <c r="BD386" s="2424">
        <f t="shared" si="1122"/>
        <v>687427.7670365076</v>
      </c>
      <c r="BE386" s="2424">
        <f t="shared" si="1122"/>
        <v>350969.53397412703</v>
      </c>
      <c r="BF386" s="2424">
        <f t="shared" si="1122"/>
        <v>930793.6989893656</v>
      </c>
      <c r="BG386" s="3264"/>
      <c r="BH386" s="3405"/>
      <c r="BJ386" s="3406"/>
      <c r="BK386" s="2424">
        <f t="shared" ref="BK386:BN386" si="1123">BK41</f>
        <v>1969191.0000000002</v>
      </c>
      <c r="BL386" s="2424">
        <f t="shared" si="1123"/>
        <v>687427.7670365076</v>
      </c>
      <c r="BM386" s="2424">
        <f t="shared" si="1123"/>
        <v>350969.53397412703</v>
      </c>
      <c r="BN386" s="2424">
        <f t="shared" si="1123"/>
        <v>930793.6989893656</v>
      </c>
      <c r="BO386" s="3264"/>
      <c r="BP386" s="3405"/>
      <c r="BR386" s="3406"/>
      <c r="BS386" s="2424">
        <f t="shared" ref="BS386:BV386" si="1124">BS41</f>
        <v>1969191.0000000002</v>
      </c>
      <c r="BT386" s="2424">
        <f t="shared" si="1124"/>
        <v>687427.7670365076</v>
      </c>
      <c r="BU386" s="2424">
        <f t="shared" si="1124"/>
        <v>350969.53397412703</v>
      </c>
      <c r="BV386" s="2424">
        <f t="shared" si="1124"/>
        <v>930793.6989893656</v>
      </c>
      <c r="BW386" s="3264"/>
      <c r="BX386" s="3405"/>
      <c r="BZ386" s="3406"/>
      <c r="CA386" s="2424">
        <f t="shared" ref="CA386:CD386" si="1125">CA41</f>
        <v>1969191.0000000002</v>
      </c>
      <c r="CB386" s="2424">
        <f t="shared" si="1125"/>
        <v>687427.7670365076</v>
      </c>
      <c r="CC386" s="2424">
        <f t="shared" si="1125"/>
        <v>350969.53397412703</v>
      </c>
      <c r="CD386" s="2424">
        <f t="shared" si="1125"/>
        <v>930793.6989893656</v>
      </c>
      <c r="CE386" s="3264"/>
      <c r="CF386" s="3405"/>
      <c r="CH386" s="3406"/>
      <c r="CI386" s="2424">
        <f t="shared" ref="CI386:CL386" si="1126">CI41</f>
        <v>1969191.0000000002</v>
      </c>
      <c r="CJ386" s="2424">
        <f t="shared" si="1126"/>
        <v>687427.7670365076</v>
      </c>
      <c r="CK386" s="2424">
        <f t="shared" si="1126"/>
        <v>350969.53397412703</v>
      </c>
      <c r="CL386" s="2424">
        <f t="shared" si="1126"/>
        <v>930793.6989893656</v>
      </c>
      <c r="CM386" s="3264"/>
      <c r="CN386" s="3405"/>
      <c r="CP386" s="3406"/>
      <c r="CQ386" s="2424">
        <f t="shared" ref="CQ386:CT386" si="1127">CQ41</f>
        <v>1969191.0000000002</v>
      </c>
      <c r="CR386" s="2424">
        <f t="shared" si="1127"/>
        <v>687427.7670365076</v>
      </c>
      <c r="CS386" s="2424">
        <f t="shared" si="1127"/>
        <v>350969.53397412703</v>
      </c>
      <c r="CT386" s="2424">
        <f t="shared" si="1127"/>
        <v>930793.6989893656</v>
      </c>
      <c r="CU386" s="3264"/>
      <c r="CV386" s="3405"/>
      <c r="CX386" s="3406"/>
      <c r="CY386" s="2424">
        <f t="shared" ref="CY386:DB386" si="1128">CY41</f>
        <v>1969191.0000000002</v>
      </c>
      <c r="CZ386" s="2424">
        <f t="shared" si="1128"/>
        <v>687427.7670365076</v>
      </c>
      <c r="DA386" s="2424">
        <f t="shared" si="1128"/>
        <v>350969.53397412703</v>
      </c>
      <c r="DB386" s="2424">
        <f t="shared" si="1128"/>
        <v>930793.6989893656</v>
      </c>
      <c r="DC386" s="3264"/>
      <c r="DD386" s="3405"/>
      <c r="DF386" s="3406"/>
      <c r="DG386" s="2424">
        <f t="shared" ref="DG386:DJ386" si="1129">DG41</f>
        <v>1969191.0000000002</v>
      </c>
      <c r="DH386" s="2424">
        <f t="shared" si="1129"/>
        <v>687427.7670365076</v>
      </c>
      <c r="DI386" s="2424">
        <f t="shared" si="1129"/>
        <v>350969.53397412703</v>
      </c>
      <c r="DJ386" s="2424">
        <f t="shared" si="1129"/>
        <v>930793.6989893656</v>
      </c>
      <c r="DK386" s="3264"/>
      <c r="DL386" s="3405"/>
      <c r="DN386" s="3406"/>
      <c r="DO386" s="2424">
        <f t="shared" ref="DO386:DR386" si="1130">DO41</f>
        <v>1969191.0000000002</v>
      </c>
      <c r="DP386" s="2424">
        <f t="shared" si="1130"/>
        <v>687427.7670365076</v>
      </c>
      <c r="DQ386" s="2424">
        <f t="shared" si="1130"/>
        <v>350969.53397412703</v>
      </c>
      <c r="DR386" s="2424">
        <f t="shared" si="1130"/>
        <v>930793.6989893656</v>
      </c>
      <c r="DS386" s="3264"/>
      <c r="DT386" s="3405"/>
      <c r="DV386" s="3406"/>
      <c r="DW386" s="2424">
        <f t="shared" ref="DW386:DZ386" si="1131">DW41</f>
        <v>1969191.0000000002</v>
      </c>
      <c r="DX386" s="2424">
        <f t="shared" si="1131"/>
        <v>687427.7670365076</v>
      </c>
      <c r="DY386" s="2424">
        <f t="shared" si="1131"/>
        <v>350969.53397412703</v>
      </c>
      <c r="DZ386" s="2424">
        <f t="shared" si="1131"/>
        <v>930793.6989893656</v>
      </c>
      <c r="EA386" s="3264"/>
      <c r="EB386" s="3405"/>
      <c r="ED386" s="3406"/>
      <c r="EE386" s="2424">
        <f t="shared" ref="EE386:EH386" si="1132">EE41</f>
        <v>1969191.0000000002</v>
      </c>
      <c r="EF386" s="2424">
        <f t="shared" si="1132"/>
        <v>687427.7670365076</v>
      </c>
      <c r="EG386" s="2424">
        <f t="shared" si="1132"/>
        <v>350969.53397412703</v>
      </c>
      <c r="EH386" s="2424">
        <f t="shared" si="1132"/>
        <v>930793.6989893656</v>
      </c>
      <c r="EI386" s="3264"/>
      <c r="EJ386" s="3405"/>
      <c r="EL386" s="3406"/>
      <c r="EM386" s="2424">
        <f t="shared" ref="EM386:EP386" si="1133">EM41</f>
        <v>1969191.0000000002</v>
      </c>
      <c r="EN386" s="2424">
        <f t="shared" si="1133"/>
        <v>687427.7670365076</v>
      </c>
      <c r="EO386" s="2424">
        <f t="shared" si="1133"/>
        <v>350969.53397412703</v>
      </c>
      <c r="EP386" s="2424">
        <f t="shared" si="1133"/>
        <v>930793.6989893656</v>
      </c>
      <c r="EQ386" s="3264"/>
      <c r="ER386" s="3405"/>
      <c r="ET386" s="3406"/>
      <c r="EU386" s="2424">
        <f t="shared" ref="EU386:EX386" si="1134">EU41</f>
        <v>1969191.0000000002</v>
      </c>
      <c r="EV386" s="2424">
        <f t="shared" si="1134"/>
        <v>687427.7670365076</v>
      </c>
      <c r="EW386" s="2424">
        <f t="shared" si="1134"/>
        <v>350969.53397412703</v>
      </c>
      <c r="EX386" s="2424">
        <f t="shared" si="1134"/>
        <v>930793.6989893656</v>
      </c>
      <c r="EY386" s="3264"/>
      <c r="EZ386" s="3405"/>
      <c r="FB386" s="3406"/>
      <c r="FC386" s="2424">
        <f t="shared" ref="FC386:FF386" si="1135">FC41</f>
        <v>1969191.0000000002</v>
      </c>
      <c r="FD386" s="2424">
        <f t="shared" si="1135"/>
        <v>687427.7670365076</v>
      </c>
      <c r="FE386" s="2424">
        <f t="shared" si="1135"/>
        <v>350969.53397412703</v>
      </c>
      <c r="FF386" s="2424">
        <f t="shared" si="1135"/>
        <v>930793.6989893656</v>
      </c>
      <c r="FG386" s="3264"/>
      <c r="FH386" s="3405"/>
      <c r="FJ386" s="3406"/>
      <c r="FK386" s="2424">
        <f t="shared" ref="FK386:FN386" si="1136">FK41</f>
        <v>1969191.0000000002</v>
      </c>
      <c r="FL386" s="2424">
        <f t="shared" si="1136"/>
        <v>687427.7670365076</v>
      </c>
      <c r="FM386" s="2424">
        <f t="shared" si="1136"/>
        <v>350969.53397412703</v>
      </c>
      <c r="FN386" s="2424">
        <f t="shared" si="1136"/>
        <v>930793.6989893656</v>
      </c>
      <c r="FO386" s="3264"/>
    </row>
    <row r="387" spans="2:171">
      <c r="B387" s="3086"/>
      <c r="C387" s="3086" t="s">
        <v>130</v>
      </c>
      <c r="D387" s="3405"/>
      <c r="E387" s="3234" t="str">
        <f t="shared" si="1034"/>
        <v>PTD</v>
      </c>
      <c r="G387" s="2424">
        <f t="shared" si="1035"/>
        <v>32372182</v>
      </c>
      <c r="H387" s="2424">
        <f t="shared" si="1035"/>
        <v>11300852.373568345</v>
      </c>
      <c r="I387" s="2424">
        <f t="shared" si="1035"/>
        <v>0</v>
      </c>
      <c r="J387" s="2424">
        <f t="shared" si="1035"/>
        <v>21071329.626431659</v>
      </c>
      <c r="K387" s="3264">
        <f t="shared" si="1036"/>
        <v>1</v>
      </c>
      <c r="L387" s="3405"/>
      <c r="N387" s="3406"/>
      <c r="O387" s="2424">
        <f t="shared" ref="O387:R387" si="1137">O42</f>
        <v>32372182</v>
      </c>
      <c r="P387" s="2424">
        <f t="shared" si="1137"/>
        <v>11300852.373568345</v>
      </c>
      <c r="Q387" s="2424">
        <f t="shared" si="1137"/>
        <v>5769704.2238490945</v>
      </c>
      <c r="R387" s="2424">
        <f t="shared" si="1137"/>
        <v>15301625.402582562</v>
      </c>
      <c r="S387" s="3264"/>
      <c r="T387" s="3405"/>
      <c r="V387" s="3406"/>
      <c r="W387" s="2424">
        <f t="shared" ref="W387:Z387" si="1138">W42</f>
        <v>32372182</v>
      </c>
      <c r="X387" s="2424">
        <f t="shared" si="1138"/>
        <v>11300852.373568345</v>
      </c>
      <c r="Y387" s="2424">
        <f t="shared" si="1138"/>
        <v>5769704.2238490945</v>
      </c>
      <c r="Z387" s="2424">
        <f t="shared" si="1138"/>
        <v>15301625.402582562</v>
      </c>
      <c r="AA387" s="3264"/>
      <c r="AB387" s="3405"/>
      <c r="AD387" s="3406"/>
      <c r="AE387" s="2424">
        <f t="shared" ref="AE387:AH387" si="1139">AE42</f>
        <v>32372182</v>
      </c>
      <c r="AF387" s="2424">
        <f t="shared" si="1139"/>
        <v>11300852.373568345</v>
      </c>
      <c r="AG387" s="2424">
        <f t="shared" si="1139"/>
        <v>5769704.2238490945</v>
      </c>
      <c r="AH387" s="2424">
        <f t="shared" si="1139"/>
        <v>15301625.402582562</v>
      </c>
      <c r="AI387" s="3264"/>
      <c r="AJ387" s="3405"/>
      <c r="AL387" s="3406"/>
      <c r="AM387" s="2424">
        <f t="shared" ref="AM387:AP387" si="1140">AM42</f>
        <v>32372182</v>
      </c>
      <c r="AN387" s="2424">
        <f t="shared" si="1140"/>
        <v>11300852.373568345</v>
      </c>
      <c r="AO387" s="2424">
        <f t="shared" si="1140"/>
        <v>5769704.2238490945</v>
      </c>
      <c r="AP387" s="2424">
        <f t="shared" si="1140"/>
        <v>15301625.402582562</v>
      </c>
      <c r="AQ387" s="3264"/>
      <c r="AR387" s="3405"/>
      <c r="AT387" s="3406"/>
      <c r="AU387" s="2424">
        <f t="shared" ref="AU387:AX387" si="1141">AU42</f>
        <v>32372182</v>
      </c>
      <c r="AV387" s="2424">
        <f t="shared" si="1141"/>
        <v>11300852.373568345</v>
      </c>
      <c r="AW387" s="2424">
        <f t="shared" si="1141"/>
        <v>5769704.2238490945</v>
      </c>
      <c r="AX387" s="2424">
        <f t="shared" si="1141"/>
        <v>15301625.402582562</v>
      </c>
      <c r="AY387" s="3264"/>
      <c r="AZ387" s="3405"/>
      <c r="BB387" s="3406"/>
      <c r="BC387" s="2424">
        <f t="shared" ref="BC387:BF387" si="1142">BC42</f>
        <v>32372182</v>
      </c>
      <c r="BD387" s="2424">
        <f t="shared" si="1142"/>
        <v>11300852.373568345</v>
      </c>
      <c r="BE387" s="2424">
        <f t="shared" si="1142"/>
        <v>5769704.2238490945</v>
      </c>
      <c r="BF387" s="2424">
        <f t="shared" si="1142"/>
        <v>15301625.402582562</v>
      </c>
      <c r="BG387" s="3264"/>
      <c r="BH387" s="3405"/>
      <c r="BJ387" s="3406"/>
      <c r="BK387" s="2424">
        <f t="shared" ref="BK387:BN387" si="1143">BK42</f>
        <v>32372182</v>
      </c>
      <c r="BL387" s="2424">
        <f t="shared" si="1143"/>
        <v>11300852.373568345</v>
      </c>
      <c r="BM387" s="2424">
        <f t="shared" si="1143"/>
        <v>5769704.2238490945</v>
      </c>
      <c r="BN387" s="2424">
        <f t="shared" si="1143"/>
        <v>15301625.402582562</v>
      </c>
      <c r="BO387" s="3264"/>
      <c r="BP387" s="3405"/>
      <c r="BR387" s="3406"/>
      <c r="BS387" s="2424">
        <f t="shared" ref="BS387:BV387" si="1144">BS42</f>
        <v>32372182</v>
      </c>
      <c r="BT387" s="2424">
        <f t="shared" si="1144"/>
        <v>11300852.373568345</v>
      </c>
      <c r="BU387" s="2424">
        <f t="shared" si="1144"/>
        <v>5769704.2238490945</v>
      </c>
      <c r="BV387" s="2424">
        <f t="shared" si="1144"/>
        <v>15301625.402582562</v>
      </c>
      <c r="BW387" s="3264"/>
      <c r="BX387" s="3405"/>
      <c r="BZ387" s="3406"/>
      <c r="CA387" s="2424">
        <f t="shared" ref="CA387:CD387" si="1145">CA42</f>
        <v>32372182</v>
      </c>
      <c r="CB387" s="2424">
        <f t="shared" si="1145"/>
        <v>11300852.373568345</v>
      </c>
      <c r="CC387" s="2424">
        <f t="shared" si="1145"/>
        <v>5769704.2238490945</v>
      </c>
      <c r="CD387" s="2424">
        <f t="shared" si="1145"/>
        <v>15301625.402582562</v>
      </c>
      <c r="CE387" s="3264"/>
      <c r="CF387" s="3405"/>
      <c r="CH387" s="3406"/>
      <c r="CI387" s="2424">
        <f t="shared" ref="CI387:CL387" si="1146">CI42</f>
        <v>32372182</v>
      </c>
      <c r="CJ387" s="2424">
        <f t="shared" si="1146"/>
        <v>11300852.373568345</v>
      </c>
      <c r="CK387" s="2424">
        <f t="shared" si="1146"/>
        <v>5769704.2238490945</v>
      </c>
      <c r="CL387" s="2424">
        <f t="shared" si="1146"/>
        <v>15301625.402582562</v>
      </c>
      <c r="CM387" s="3264"/>
      <c r="CN387" s="3405"/>
      <c r="CP387" s="3406"/>
      <c r="CQ387" s="2424">
        <f t="shared" ref="CQ387:CT387" si="1147">CQ42</f>
        <v>32372182</v>
      </c>
      <c r="CR387" s="2424">
        <f t="shared" si="1147"/>
        <v>11300852.373568345</v>
      </c>
      <c r="CS387" s="2424">
        <f t="shared" si="1147"/>
        <v>5769704.2238490945</v>
      </c>
      <c r="CT387" s="2424">
        <f t="shared" si="1147"/>
        <v>15301625.402582562</v>
      </c>
      <c r="CU387" s="3264"/>
      <c r="CV387" s="3405"/>
      <c r="CX387" s="3406"/>
      <c r="CY387" s="2424">
        <f t="shared" ref="CY387:DB387" si="1148">CY42</f>
        <v>32372182</v>
      </c>
      <c r="CZ387" s="2424">
        <f t="shared" si="1148"/>
        <v>11300852.373568345</v>
      </c>
      <c r="DA387" s="2424">
        <f t="shared" si="1148"/>
        <v>5769704.2238490945</v>
      </c>
      <c r="DB387" s="2424">
        <f t="shared" si="1148"/>
        <v>15301625.402582562</v>
      </c>
      <c r="DC387" s="3264"/>
      <c r="DD387" s="3405"/>
      <c r="DF387" s="3406"/>
      <c r="DG387" s="2424">
        <f t="shared" ref="DG387:DJ387" si="1149">DG42</f>
        <v>32372182</v>
      </c>
      <c r="DH387" s="2424">
        <f t="shared" si="1149"/>
        <v>11300852.373568345</v>
      </c>
      <c r="DI387" s="2424">
        <f t="shared" si="1149"/>
        <v>5769704.2238490945</v>
      </c>
      <c r="DJ387" s="2424">
        <f t="shared" si="1149"/>
        <v>15301625.402582562</v>
      </c>
      <c r="DK387" s="3264"/>
      <c r="DL387" s="3405"/>
      <c r="DN387" s="3406"/>
      <c r="DO387" s="2424">
        <f t="shared" ref="DO387:DR387" si="1150">DO42</f>
        <v>32372182</v>
      </c>
      <c r="DP387" s="2424">
        <f t="shared" si="1150"/>
        <v>11300852.373568345</v>
      </c>
      <c r="DQ387" s="2424">
        <f t="shared" si="1150"/>
        <v>5769704.2238490945</v>
      </c>
      <c r="DR387" s="2424">
        <f t="shared" si="1150"/>
        <v>15301625.402582562</v>
      </c>
      <c r="DS387" s="3264"/>
      <c r="DT387" s="3405"/>
      <c r="DV387" s="3406"/>
      <c r="DW387" s="2424">
        <f t="shared" ref="DW387:DZ387" si="1151">DW42</f>
        <v>32372182</v>
      </c>
      <c r="DX387" s="2424">
        <f t="shared" si="1151"/>
        <v>11300852.373568345</v>
      </c>
      <c r="DY387" s="2424">
        <f t="shared" si="1151"/>
        <v>5769704.2238490945</v>
      </c>
      <c r="DZ387" s="2424">
        <f t="shared" si="1151"/>
        <v>15301625.402582562</v>
      </c>
      <c r="EA387" s="3264"/>
      <c r="EB387" s="3405"/>
      <c r="ED387" s="3406"/>
      <c r="EE387" s="2424">
        <f t="shared" ref="EE387:EH387" si="1152">EE42</f>
        <v>32372182</v>
      </c>
      <c r="EF387" s="2424">
        <f t="shared" si="1152"/>
        <v>11300852.373568345</v>
      </c>
      <c r="EG387" s="2424">
        <f t="shared" si="1152"/>
        <v>5769704.2238490945</v>
      </c>
      <c r="EH387" s="2424">
        <f t="shared" si="1152"/>
        <v>15301625.402582562</v>
      </c>
      <c r="EI387" s="3264"/>
      <c r="EJ387" s="3405"/>
      <c r="EL387" s="3406"/>
      <c r="EM387" s="2424">
        <f t="shared" ref="EM387:EP387" si="1153">EM42</f>
        <v>32372182</v>
      </c>
      <c r="EN387" s="2424">
        <f t="shared" si="1153"/>
        <v>11300852.373568345</v>
      </c>
      <c r="EO387" s="2424">
        <f t="shared" si="1153"/>
        <v>5769704.2238490945</v>
      </c>
      <c r="EP387" s="2424">
        <f t="shared" si="1153"/>
        <v>15301625.402582562</v>
      </c>
      <c r="EQ387" s="3264"/>
      <c r="ER387" s="3405"/>
      <c r="ET387" s="3406"/>
      <c r="EU387" s="2424">
        <f t="shared" ref="EU387:EX387" si="1154">EU42</f>
        <v>32372182</v>
      </c>
      <c r="EV387" s="2424">
        <f t="shared" si="1154"/>
        <v>11300852.373568345</v>
      </c>
      <c r="EW387" s="2424">
        <f t="shared" si="1154"/>
        <v>5769704.2238490945</v>
      </c>
      <c r="EX387" s="2424">
        <f t="shared" si="1154"/>
        <v>15301625.402582562</v>
      </c>
      <c r="EY387" s="3264"/>
      <c r="EZ387" s="3405"/>
      <c r="FB387" s="3406"/>
      <c r="FC387" s="2424">
        <f t="shared" ref="FC387:FF387" si="1155">FC42</f>
        <v>32372182</v>
      </c>
      <c r="FD387" s="2424">
        <f t="shared" si="1155"/>
        <v>11300852.373568345</v>
      </c>
      <c r="FE387" s="2424">
        <f t="shared" si="1155"/>
        <v>5769704.2238490945</v>
      </c>
      <c r="FF387" s="2424">
        <f t="shared" si="1155"/>
        <v>15301625.402582562</v>
      </c>
      <c r="FG387" s="3264"/>
      <c r="FH387" s="3405"/>
      <c r="FJ387" s="3406"/>
      <c r="FK387" s="2424">
        <f t="shared" ref="FK387:FN387" si="1156">FK42</f>
        <v>32372182</v>
      </c>
      <c r="FL387" s="2424">
        <f t="shared" si="1156"/>
        <v>11300852.373568345</v>
      </c>
      <c r="FM387" s="2424">
        <f t="shared" si="1156"/>
        <v>5769704.2238490945</v>
      </c>
      <c r="FN387" s="2424">
        <f t="shared" si="1156"/>
        <v>15301625.402582562</v>
      </c>
      <c r="FO387" s="3264"/>
    </row>
    <row r="388" spans="2:171">
      <c r="B388" s="3086"/>
      <c r="C388" s="3086" t="s">
        <v>131</v>
      </c>
      <c r="D388" s="3405"/>
      <c r="E388" s="3234" t="str">
        <f t="shared" si="1034"/>
        <v>PTD</v>
      </c>
      <c r="G388" s="2424">
        <f t="shared" si="1035"/>
        <v>5973622</v>
      </c>
      <c r="H388" s="2424">
        <f t="shared" si="1035"/>
        <v>2085340.4431465287</v>
      </c>
      <c r="I388" s="2424">
        <f t="shared" si="1035"/>
        <v>0</v>
      </c>
      <c r="J388" s="2424">
        <f t="shared" si="1035"/>
        <v>3888281.5568534718</v>
      </c>
      <c r="K388" s="3264">
        <f t="shared" si="1036"/>
        <v>1</v>
      </c>
      <c r="L388" s="3405"/>
      <c r="N388" s="3406"/>
      <c r="O388" s="2424">
        <f t="shared" ref="O388:R388" si="1157">O43</f>
        <v>5973622</v>
      </c>
      <c r="P388" s="2424">
        <f t="shared" si="1157"/>
        <v>2085340.4431465287</v>
      </c>
      <c r="Q388" s="2424">
        <f t="shared" si="1157"/>
        <v>1064680.5360564783</v>
      </c>
      <c r="R388" s="2424">
        <f t="shared" si="1157"/>
        <v>2823601.0207969933</v>
      </c>
      <c r="S388" s="3264"/>
      <c r="T388" s="3405"/>
      <c r="V388" s="3406"/>
      <c r="W388" s="2424">
        <f t="shared" ref="W388:Z388" si="1158">W43</f>
        <v>5973622</v>
      </c>
      <c r="X388" s="2424">
        <f t="shared" si="1158"/>
        <v>2085340.4431465287</v>
      </c>
      <c r="Y388" s="2424">
        <f t="shared" si="1158"/>
        <v>1064680.5360564783</v>
      </c>
      <c r="Z388" s="2424">
        <f t="shared" si="1158"/>
        <v>2823601.0207969933</v>
      </c>
      <c r="AA388" s="3264"/>
      <c r="AB388" s="3405"/>
      <c r="AD388" s="3406"/>
      <c r="AE388" s="2424">
        <f t="shared" ref="AE388:AH388" si="1159">AE43</f>
        <v>5973622</v>
      </c>
      <c r="AF388" s="2424">
        <f t="shared" si="1159"/>
        <v>2085340.4431465287</v>
      </c>
      <c r="AG388" s="2424">
        <f t="shared" si="1159"/>
        <v>1064680.5360564783</v>
      </c>
      <c r="AH388" s="2424">
        <f t="shared" si="1159"/>
        <v>2823601.0207969933</v>
      </c>
      <c r="AI388" s="3264"/>
      <c r="AJ388" s="3405"/>
      <c r="AL388" s="3406"/>
      <c r="AM388" s="2424">
        <f t="shared" ref="AM388:AP388" si="1160">AM43</f>
        <v>5973622</v>
      </c>
      <c r="AN388" s="2424">
        <f t="shared" si="1160"/>
        <v>2085340.4431465287</v>
      </c>
      <c r="AO388" s="2424">
        <f t="shared" si="1160"/>
        <v>1064680.5360564783</v>
      </c>
      <c r="AP388" s="2424">
        <f t="shared" si="1160"/>
        <v>2823601.0207969933</v>
      </c>
      <c r="AQ388" s="3264"/>
      <c r="AR388" s="3405"/>
      <c r="AT388" s="3406"/>
      <c r="AU388" s="2424">
        <f t="shared" ref="AU388:AX388" si="1161">AU43</f>
        <v>5973622</v>
      </c>
      <c r="AV388" s="2424">
        <f t="shared" si="1161"/>
        <v>2085340.4431465287</v>
      </c>
      <c r="AW388" s="2424">
        <f t="shared" si="1161"/>
        <v>1064680.5360564783</v>
      </c>
      <c r="AX388" s="2424">
        <f t="shared" si="1161"/>
        <v>2823601.0207969933</v>
      </c>
      <c r="AY388" s="3264"/>
      <c r="AZ388" s="3405"/>
      <c r="BB388" s="3406"/>
      <c r="BC388" s="2424">
        <f t="shared" ref="BC388:BF388" si="1162">BC43</f>
        <v>5973622</v>
      </c>
      <c r="BD388" s="2424">
        <f t="shared" si="1162"/>
        <v>2085340.4431465287</v>
      </c>
      <c r="BE388" s="2424">
        <f t="shared" si="1162"/>
        <v>1064680.5360564783</v>
      </c>
      <c r="BF388" s="2424">
        <f t="shared" si="1162"/>
        <v>2823601.0207969933</v>
      </c>
      <c r="BG388" s="3264"/>
      <c r="BH388" s="3405"/>
      <c r="BJ388" s="3406"/>
      <c r="BK388" s="2424">
        <f t="shared" ref="BK388:BN388" si="1163">BK43</f>
        <v>5973622</v>
      </c>
      <c r="BL388" s="2424">
        <f t="shared" si="1163"/>
        <v>2085340.4431465287</v>
      </c>
      <c r="BM388" s="2424">
        <f t="shared" si="1163"/>
        <v>1064680.5360564783</v>
      </c>
      <c r="BN388" s="2424">
        <f t="shared" si="1163"/>
        <v>2823601.0207969933</v>
      </c>
      <c r="BO388" s="3264"/>
      <c r="BP388" s="3405"/>
      <c r="BR388" s="3406"/>
      <c r="BS388" s="2424">
        <f t="shared" ref="BS388:BV388" si="1164">BS43</f>
        <v>5973622</v>
      </c>
      <c r="BT388" s="2424">
        <f t="shared" si="1164"/>
        <v>2085340.4431465287</v>
      </c>
      <c r="BU388" s="2424">
        <f t="shared" si="1164"/>
        <v>1064680.5360564783</v>
      </c>
      <c r="BV388" s="2424">
        <f t="shared" si="1164"/>
        <v>2823601.0207969933</v>
      </c>
      <c r="BW388" s="3264"/>
      <c r="BX388" s="3405"/>
      <c r="BZ388" s="3406"/>
      <c r="CA388" s="2424">
        <f t="shared" ref="CA388:CD388" si="1165">CA43</f>
        <v>5973622</v>
      </c>
      <c r="CB388" s="2424">
        <f t="shared" si="1165"/>
        <v>2085340.4431465287</v>
      </c>
      <c r="CC388" s="2424">
        <f t="shared" si="1165"/>
        <v>1064680.5360564783</v>
      </c>
      <c r="CD388" s="2424">
        <f t="shared" si="1165"/>
        <v>2823601.0207969933</v>
      </c>
      <c r="CE388" s="3264"/>
      <c r="CF388" s="3405"/>
      <c r="CH388" s="3406"/>
      <c r="CI388" s="2424">
        <f t="shared" ref="CI388:CL388" si="1166">CI43</f>
        <v>5973622</v>
      </c>
      <c r="CJ388" s="2424">
        <f t="shared" si="1166"/>
        <v>2085340.4431465287</v>
      </c>
      <c r="CK388" s="2424">
        <f t="shared" si="1166"/>
        <v>1064680.5360564783</v>
      </c>
      <c r="CL388" s="2424">
        <f t="shared" si="1166"/>
        <v>2823601.0207969933</v>
      </c>
      <c r="CM388" s="3264"/>
      <c r="CN388" s="3405"/>
      <c r="CP388" s="3406"/>
      <c r="CQ388" s="2424">
        <f t="shared" ref="CQ388:CT388" si="1167">CQ43</f>
        <v>5973622</v>
      </c>
      <c r="CR388" s="2424">
        <f t="shared" si="1167"/>
        <v>2085340.4431465287</v>
      </c>
      <c r="CS388" s="2424">
        <f t="shared" si="1167"/>
        <v>1064680.5360564783</v>
      </c>
      <c r="CT388" s="2424">
        <f t="shared" si="1167"/>
        <v>2823601.0207969933</v>
      </c>
      <c r="CU388" s="3264"/>
      <c r="CV388" s="3405"/>
      <c r="CX388" s="3406"/>
      <c r="CY388" s="2424">
        <f t="shared" ref="CY388:DB388" si="1168">CY43</f>
        <v>5973622</v>
      </c>
      <c r="CZ388" s="2424">
        <f t="shared" si="1168"/>
        <v>2085340.4431465287</v>
      </c>
      <c r="DA388" s="2424">
        <f t="shared" si="1168"/>
        <v>1064680.5360564783</v>
      </c>
      <c r="DB388" s="2424">
        <f t="shared" si="1168"/>
        <v>2823601.0207969933</v>
      </c>
      <c r="DC388" s="3264"/>
      <c r="DD388" s="3405"/>
      <c r="DF388" s="3406"/>
      <c r="DG388" s="2424">
        <f t="shared" ref="DG388:DJ388" si="1169">DG43</f>
        <v>5973622</v>
      </c>
      <c r="DH388" s="2424">
        <f t="shared" si="1169"/>
        <v>2085340.4431465287</v>
      </c>
      <c r="DI388" s="2424">
        <f t="shared" si="1169"/>
        <v>1064680.5360564783</v>
      </c>
      <c r="DJ388" s="2424">
        <f t="shared" si="1169"/>
        <v>2823601.0207969933</v>
      </c>
      <c r="DK388" s="3264"/>
      <c r="DL388" s="3405"/>
      <c r="DN388" s="3406"/>
      <c r="DO388" s="2424">
        <f t="shared" ref="DO388:DR388" si="1170">DO43</f>
        <v>5973622</v>
      </c>
      <c r="DP388" s="2424">
        <f t="shared" si="1170"/>
        <v>2085340.4431465287</v>
      </c>
      <c r="DQ388" s="2424">
        <f t="shared" si="1170"/>
        <v>1064680.5360564783</v>
      </c>
      <c r="DR388" s="2424">
        <f t="shared" si="1170"/>
        <v>2823601.0207969933</v>
      </c>
      <c r="DS388" s="3264"/>
      <c r="DT388" s="3405"/>
      <c r="DV388" s="3406"/>
      <c r="DW388" s="2424">
        <f t="shared" ref="DW388:DZ388" si="1171">DW43</f>
        <v>5973622</v>
      </c>
      <c r="DX388" s="2424">
        <f t="shared" si="1171"/>
        <v>2085340.4431465287</v>
      </c>
      <c r="DY388" s="2424">
        <f t="shared" si="1171"/>
        <v>1064680.5360564783</v>
      </c>
      <c r="DZ388" s="2424">
        <f t="shared" si="1171"/>
        <v>2823601.0207969933</v>
      </c>
      <c r="EA388" s="3264"/>
      <c r="EB388" s="3405"/>
      <c r="ED388" s="3406"/>
      <c r="EE388" s="2424">
        <f t="shared" ref="EE388:EH388" si="1172">EE43</f>
        <v>5973622</v>
      </c>
      <c r="EF388" s="2424">
        <f t="shared" si="1172"/>
        <v>2085340.4431465287</v>
      </c>
      <c r="EG388" s="2424">
        <f t="shared" si="1172"/>
        <v>1064680.5360564783</v>
      </c>
      <c r="EH388" s="2424">
        <f t="shared" si="1172"/>
        <v>2823601.0207969933</v>
      </c>
      <c r="EI388" s="3264"/>
      <c r="EJ388" s="3405"/>
      <c r="EL388" s="3406"/>
      <c r="EM388" s="2424">
        <f t="shared" ref="EM388:EP388" si="1173">EM43</f>
        <v>5973622</v>
      </c>
      <c r="EN388" s="2424">
        <f t="shared" si="1173"/>
        <v>2085340.4431465287</v>
      </c>
      <c r="EO388" s="2424">
        <f t="shared" si="1173"/>
        <v>1064680.5360564783</v>
      </c>
      <c r="EP388" s="2424">
        <f t="shared" si="1173"/>
        <v>2823601.0207969933</v>
      </c>
      <c r="EQ388" s="3264"/>
      <c r="ER388" s="3405"/>
      <c r="ET388" s="3406"/>
      <c r="EU388" s="2424">
        <f t="shared" ref="EU388:EX388" si="1174">EU43</f>
        <v>5973622</v>
      </c>
      <c r="EV388" s="2424">
        <f t="shared" si="1174"/>
        <v>2085340.4431465287</v>
      </c>
      <c r="EW388" s="2424">
        <f t="shared" si="1174"/>
        <v>1064680.5360564783</v>
      </c>
      <c r="EX388" s="2424">
        <f t="shared" si="1174"/>
        <v>2823601.0207969933</v>
      </c>
      <c r="EY388" s="3264"/>
      <c r="EZ388" s="3405"/>
      <c r="FB388" s="3406"/>
      <c r="FC388" s="2424">
        <f t="shared" ref="FC388:FF388" si="1175">FC43</f>
        <v>5973622</v>
      </c>
      <c r="FD388" s="2424">
        <f t="shared" si="1175"/>
        <v>2085340.4431465287</v>
      </c>
      <c r="FE388" s="2424">
        <f t="shared" si="1175"/>
        <v>1064680.5360564783</v>
      </c>
      <c r="FF388" s="2424">
        <f t="shared" si="1175"/>
        <v>2823601.0207969933</v>
      </c>
      <c r="FG388" s="3264"/>
      <c r="FH388" s="3405"/>
      <c r="FJ388" s="3406"/>
      <c r="FK388" s="2424">
        <f t="shared" ref="FK388:FN388" si="1176">FK43</f>
        <v>5973622</v>
      </c>
      <c r="FL388" s="2424">
        <f t="shared" si="1176"/>
        <v>2085340.4431465287</v>
      </c>
      <c r="FM388" s="2424">
        <f t="shared" si="1176"/>
        <v>1064680.5360564783</v>
      </c>
      <c r="FN388" s="2424">
        <f t="shared" si="1176"/>
        <v>2823601.0207969933</v>
      </c>
      <c r="FO388" s="3264"/>
    </row>
    <row r="389" spans="2:171">
      <c r="B389" s="3086"/>
      <c r="C389" s="3086" t="s">
        <v>132</v>
      </c>
      <c r="D389" s="3405"/>
      <c r="E389" s="3234" t="str">
        <f t="shared" si="1034"/>
        <v>TD</v>
      </c>
      <c r="G389" s="2424">
        <f t="shared" si="1035"/>
        <v>2715513</v>
      </c>
      <c r="H389" s="2424">
        <f t="shared" si="1035"/>
        <v>0</v>
      </c>
      <c r="I389" s="2424">
        <f t="shared" si="1035"/>
        <v>0</v>
      </c>
      <c r="J389" s="2424">
        <f t="shared" si="1035"/>
        <v>2715513</v>
      </c>
      <c r="K389" s="3264">
        <f t="shared" si="1036"/>
        <v>1</v>
      </c>
      <c r="L389" s="3405"/>
      <c r="N389" s="3406"/>
      <c r="O389" s="2424">
        <f t="shared" ref="O389:R389" si="1177">O44</f>
        <v>2715513</v>
      </c>
      <c r="P389" s="2424">
        <f t="shared" si="1177"/>
        <v>0</v>
      </c>
      <c r="Q389" s="2424">
        <f t="shared" si="1177"/>
        <v>743555.67986387154</v>
      </c>
      <c r="R389" s="2424">
        <f t="shared" si="1177"/>
        <v>1971957.3201361285</v>
      </c>
      <c r="S389" s="3264"/>
      <c r="T389" s="3405"/>
      <c r="V389" s="3406"/>
      <c r="W389" s="2424">
        <f t="shared" ref="W389:Z389" si="1178">W44</f>
        <v>2715513</v>
      </c>
      <c r="X389" s="2424">
        <f t="shared" si="1178"/>
        <v>0</v>
      </c>
      <c r="Y389" s="2424">
        <f t="shared" si="1178"/>
        <v>743555.67986387154</v>
      </c>
      <c r="Z389" s="2424">
        <f t="shared" si="1178"/>
        <v>1971957.3201361285</v>
      </c>
      <c r="AA389" s="3264"/>
      <c r="AB389" s="3405"/>
      <c r="AD389" s="3406"/>
      <c r="AE389" s="2424">
        <f t="shared" ref="AE389:AH389" si="1179">AE44</f>
        <v>2715513</v>
      </c>
      <c r="AF389" s="2424">
        <f t="shared" si="1179"/>
        <v>0</v>
      </c>
      <c r="AG389" s="2424">
        <f t="shared" si="1179"/>
        <v>743555.67986387154</v>
      </c>
      <c r="AH389" s="2424">
        <f t="shared" si="1179"/>
        <v>1971957.3201361285</v>
      </c>
      <c r="AI389" s="3264"/>
      <c r="AJ389" s="3405"/>
      <c r="AL389" s="3406"/>
      <c r="AM389" s="2424">
        <f t="shared" ref="AM389:AP389" si="1180">AM44</f>
        <v>2715513</v>
      </c>
      <c r="AN389" s="2424">
        <f t="shared" si="1180"/>
        <v>0</v>
      </c>
      <c r="AO389" s="2424">
        <f t="shared" si="1180"/>
        <v>743555.67986387154</v>
      </c>
      <c r="AP389" s="2424">
        <f t="shared" si="1180"/>
        <v>1971957.3201361285</v>
      </c>
      <c r="AQ389" s="3264"/>
      <c r="AR389" s="3405"/>
      <c r="AT389" s="3406"/>
      <c r="AU389" s="2424">
        <f t="shared" ref="AU389:AX389" si="1181">AU44</f>
        <v>2715513</v>
      </c>
      <c r="AV389" s="2424">
        <f t="shared" si="1181"/>
        <v>0</v>
      </c>
      <c r="AW389" s="2424">
        <f t="shared" si="1181"/>
        <v>743555.67986387154</v>
      </c>
      <c r="AX389" s="2424">
        <f t="shared" si="1181"/>
        <v>1971957.3201361285</v>
      </c>
      <c r="AY389" s="3264"/>
      <c r="AZ389" s="3405"/>
      <c r="BB389" s="3406"/>
      <c r="BC389" s="2424">
        <f t="shared" ref="BC389:BF389" si="1182">BC44</f>
        <v>2715513</v>
      </c>
      <c r="BD389" s="2424">
        <f t="shared" si="1182"/>
        <v>0</v>
      </c>
      <c r="BE389" s="2424">
        <f t="shared" si="1182"/>
        <v>743555.67986387154</v>
      </c>
      <c r="BF389" s="2424">
        <f t="shared" si="1182"/>
        <v>1971957.3201361285</v>
      </c>
      <c r="BG389" s="3264"/>
      <c r="BH389" s="3405"/>
      <c r="BJ389" s="3406"/>
      <c r="BK389" s="2424">
        <f t="shared" ref="BK389:BN389" si="1183">BK44</f>
        <v>2715513</v>
      </c>
      <c r="BL389" s="2424">
        <f t="shared" si="1183"/>
        <v>0</v>
      </c>
      <c r="BM389" s="2424">
        <f t="shared" si="1183"/>
        <v>743555.67986387154</v>
      </c>
      <c r="BN389" s="2424">
        <f t="shared" si="1183"/>
        <v>1971957.3201361285</v>
      </c>
      <c r="BO389" s="3264"/>
      <c r="BP389" s="3405"/>
      <c r="BR389" s="3406"/>
      <c r="BS389" s="2424">
        <f t="shared" ref="BS389:BV389" si="1184">BS44</f>
        <v>2715513</v>
      </c>
      <c r="BT389" s="2424">
        <f t="shared" si="1184"/>
        <v>0</v>
      </c>
      <c r="BU389" s="2424">
        <f t="shared" si="1184"/>
        <v>743555.67986387154</v>
      </c>
      <c r="BV389" s="2424">
        <f t="shared" si="1184"/>
        <v>1971957.3201361285</v>
      </c>
      <c r="BW389" s="3264"/>
      <c r="BX389" s="3405"/>
      <c r="BZ389" s="3406"/>
      <c r="CA389" s="2424">
        <f t="shared" ref="CA389:CD389" si="1185">CA44</f>
        <v>2715513</v>
      </c>
      <c r="CB389" s="2424">
        <f t="shared" si="1185"/>
        <v>0</v>
      </c>
      <c r="CC389" s="2424">
        <f t="shared" si="1185"/>
        <v>743555.67986387154</v>
      </c>
      <c r="CD389" s="2424">
        <f t="shared" si="1185"/>
        <v>1971957.3201361285</v>
      </c>
      <c r="CE389" s="3264"/>
      <c r="CF389" s="3405"/>
      <c r="CH389" s="3406"/>
      <c r="CI389" s="2424">
        <f t="shared" ref="CI389:CL389" si="1186">CI44</f>
        <v>2715513</v>
      </c>
      <c r="CJ389" s="2424">
        <f t="shared" si="1186"/>
        <v>0</v>
      </c>
      <c r="CK389" s="2424">
        <f t="shared" si="1186"/>
        <v>743555.67986387154</v>
      </c>
      <c r="CL389" s="2424">
        <f t="shared" si="1186"/>
        <v>1971957.3201361285</v>
      </c>
      <c r="CM389" s="3264"/>
      <c r="CN389" s="3405"/>
      <c r="CP389" s="3406"/>
      <c r="CQ389" s="2424">
        <f t="shared" ref="CQ389:CT389" si="1187">CQ44</f>
        <v>2715513</v>
      </c>
      <c r="CR389" s="2424">
        <f t="shared" si="1187"/>
        <v>0</v>
      </c>
      <c r="CS389" s="2424">
        <f t="shared" si="1187"/>
        <v>743555.67986387154</v>
      </c>
      <c r="CT389" s="2424">
        <f t="shared" si="1187"/>
        <v>1971957.3201361285</v>
      </c>
      <c r="CU389" s="3264"/>
      <c r="CV389" s="3405"/>
      <c r="CX389" s="3406"/>
      <c r="CY389" s="2424">
        <f t="shared" ref="CY389:DB389" si="1188">CY44</f>
        <v>2715513</v>
      </c>
      <c r="CZ389" s="2424">
        <f t="shared" si="1188"/>
        <v>0</v>
      </c>
      <c r="DA389" s="2424">
        <f t="shared" si="1188"/>
        <v>743555.67986387154</v>
      </c>
      <c r="DB389" s="2424">
        <f t="shared" si="1188"/>
        <v>1971957.3201361285</v>
      </c>
      <c r="DC389" s="3264"/>
      <c r="DD389" s="3405"/>
      <c r="DF389" s="3406"/>
      <c r="DG389" s="2424">
        <f t="shared" ref="DG389:DJ389" si="1189">DG44</f>
        <v>2715513</v>
      </c>
      <c r="DH389" s="2424">
        <f t="shared" si="1189"/>
        <v>0</v>
      </c>
      <c r="DI389" s="2424">
        <f t="shared" si="1189"/>
        <v>743555.67986387154</v>
      </c>
      <c r="DJ389" s="2424">
        <f t="shared" si="1189"/>
        <v>1971957.3201361285</v>
      </c>
      <c r="DK389" s="3264"/>
      <c r="DL389" s="3405"/>
      <c r="DN389" s="3406"/>
      <c r="DO389" s="2424">
        <f t="shared" ref="DO389:DR389" si="1190">DO44</f>
        <v>2715513</v>
      </c>
      <c r="DP389" s="2424">
        <f t="shared" si="1190"/>
        <v>0</v>
      </c>
      <c r="DQ389" s="2424">
        <f t="shared" si="1190"/>
        <v>743555.67986387154</v>
      </c>
      <c r="DR389" s="2424">
        <f t="shared" si="1190"/>
        <v>1971957.3201361285</v>
      </c>
      <c r="DS389" s="3264"/>
      <c r="DT389" s="3405"/>
      <c r="DV389" s="3406"/>
      <c r="DW389" s="2424">
        <f t="shared" ref="DW389:DZ389" si="1191">DW44</f>
        <v>2715513</v>
      </c>
      <c r="DX389" s="2424">
        <f t="shared" si="1191"/>
        <v>0</v>
      </c>
      <c r="DY389" s="2424">
        <f t="shared" si="1191"/>
        <v>743555.67986387154</v>
      </c>
      <c r="DZ389" s="2424">
        <f t="shared" si="1191"/>
        <v>1971957.3201361285</v>
      </c>
      <c r="EA389" s="3264"/>
      <c r="EB389" s="3405"/>
      <c r="ED389" s="3406"/>
      <c r="EE389" s="2424">
        <f t="shared" ref="EE389:EH389" si="1192">EE44</f>
        <v>2715513</v>
      </c>
      <c r="EF389" s="2424">
        <f t="shared" si="1192"/>
        <v>0</v>
      </c>
      <c r="EG389" s="2424">
        <f t="shared" si="1192"/>
        <v>743555.67986387154</v>
      </c>
      <c r="EH389" s="2424">
        <f t="shared" si="1192"/>
        <v>1971957.3201361285</v>
      </c>
      <c r="EI389" s="3264"/>
      <c r="EJ389" s="3405"/>
      <c r="EL389" s="3406"/>
      <c r="EM389" s="2424">
        <f t="shared" ref="EM389:EP389" si="1193">EM44</f>
        <v>2715513</v>
      </c>
      <c r="EN389" s="2424">
        <f t="shared" si="1193"/>
        <v>0</v>
      </c>
      <c r="EO389" s="2424">
        <f t="shared" si="1193"/>
        <v>743555.67986387154</v>
      </c>
      <c r="EP389" s="2424">
        <f t="shared" si="1193"/>
        <v>1971957.3201361285</v>
      </c>
      <c r="EQ389" s="3264"/>
      <c r="ER389" s="3405"/>
      <c r="ET389" s="3406"/>
      <c r="EU389" s="2424">
        <f t="shared" ref="EU389:EX389" si="1194">EU44</f>
        <v>2715513</v>
      </c>
      <c r="EV389" s="2424">
        <f t="shared" si="1194"/>
        <v>0</v>
      </c>
      <c r="EW389" s="2424">
        <f t="shared" si="1194"/>
        <v>743555.67986387154</v>
      </c>
      <c r="EX389" s="2424">
        <f t="shared" si="1194"/>
        <v>1971957.3201361285</v>
      </c>
      <c r="EY389" s="3264"/>
      <c r="EZ389" s="3405"/>
      <c r="FB389" s="3406"/>
      <c r="FC389" s="2424">
        <f t="shared" ref="FC389:FF389" si="1195">FC44</f>
        <v>2715513</v>
      </c>
      <c r="FD389" s="2424">
        <f t="shared" si="1195"/>
        <v>0</v>
      </c>
      <c r="FE389" s="2424">
        <f t="shared" si="1195"/>
        <v>743555.67986387154</v>
      </c>
      <c r="FF389" s="2424">
        <f t="shared" si="1195"/>
        <v>1971957.3201361285</v>
      </c>
      <c r="FG389" s="3264"/>
      <c r="FH389" s="3405"/>
      <c r="FJ389" s="3406"/>
      <c r="FK389" s="2424">
        <f t="shared" ref="FK389:FN389" si="1196">FK44</f>
        <v>2715513</v>
      </c>
      <c r="FL389" s="2424">
        <f t="shared" si="1196"/>
        <v>0</v>
      </c>
      <c r="FM389" s="2424">
        <f t="shared" si="1196"/>
        <v>743555.67986387154</v>
      </c>
      <c r="FN389" s="2424">
        <f t="shared" si="1196"/>
        <v>1971957.3201361285</v>
      </c>
      <c r="FO389" s="3264"/>
    </row>
    <row r="390" spans="2:171">
      <c r="B390" s="3086"/>
      <c r="C390" s="3086" t="s">
        <v>133</v>
      </c>
      <c r="D390" s="3405"/>
      <c r="E390" s="3234" t="str">
        <f t="shared" si="1034"/>
        <v>PTD</v>
      </c>
      <c r="G390" s="2424">
        <f t="shared" si="1035"/>
        <v>105832047</v>
      </c>
      <c r="H390" s="2424">
        <f t="shared" si="1035"/>
        <v>36945064.11521925</v>
      </c>
      <c r="I390" s="2424">
        <f t="shared" si="1035"/>
        <v>0</v>
      </c>
      <c r="J390" s="2424">
        <f t="shared" si="1035"/>
        <v>68886982.88478075</v>
      </c>
      <c r="K390" s="3264">
        <f t="shared" si="1036"/>
        <v>1</v>
      </c>
      <c r="L390" s="3405"/>
      <c r="N390" s="3406"/>
      <c r="O390" s="2424">
        <f t="shared" ref="O390:R390" si="1197">O45</f>
        <v>105832047</v>
      </c>
      <c r="P390" s="2424">
        <f t="shared" si="1197"/>
        <v>36945064.11521925</v>
      </c>
      <c r="Q390" s="2424">
        <f t="shared" si="1197"/>
        <v>18862479.167900883</v>
      </c>
      <c r="R390" s="2424">
        <f t="shared" si="1197"/>
        <v>50024503.716879867</v>
      </c>
      <c r="S390" s="3264"/>
      <c r="T390" s="3405"/>
      <c r="V390" s="3406"/>
      <c r="W390" s="2424">
        <f t="shared" ref="W390:Z390" si="1198">W45</f>
        <v>105832047</v>
      </c>
      <c r="X390" s="2424">
        <f t="shared" si="1198"/>
        <v>36945064.11521925</v>
      </c>
      <c r="Y390" s="2424">
        <f t="shared" si="1198"/>
        <v>18862479.167900883</v>
      </c>
      <c r="Z390" s="2424">
        <f t="shared" si="1198"/>
        <v>50024503.716879867</v>
      </c>
      <c r="AA390" s="3264"/>
      <c r="AB390" s="3405"/>
      <c r="AD390" s="3406"/>
      <c r="AE390" s="2424">
        <f t="shared" ref="AE390:AH390" si="1199">AE45</f>
        <v>105832047</v>
      </c>
      <c r="AF390" s="2424">
        <f t="shared" si="1199"/>
        <v>36945064.11521925</v>
      </c>
      <c r="AG390" s="2424">
        <f t="shared" si="1199"/>
        <v>18862479.167900883</v>
      </c>
      <c r="AH390" s="2424">
        <f t="shared" si="1199"/>
        <v>50024503.716879867</v>
      </c>
      <c r="AI390" s="3264"/>
      <c r="AJ390" s="3405"/>
      <c r="AL390" s="3406"/>
      <c r="AM390" s="2424">
        <f t="shared" ref="AM390:AP390" si="1200">AM45</f>
        <v>105832047</v>
      </c>
      <c r="AN390" s="2424">
        <f t="shared" si="1200"/>
        <v>36945064.11521925</v>
      </c>
      <c r="AO390" s="2424">
        <f t="shared" si="1200"/>
        <v>18862479.167900883</v>
      </c>
      <c r="AP390" s="2424">
        <f t="shared" si="1200"/>
        <v>50024503.716879867</v>
      </c>
      <c r="AQ390" s="3264"/>
      <c r="AR390" s="3405"/>
      <c r="AT390" s="3406"/>
      <c r="AU390" s="2424">
        <f t="shared" ref="AU390:AX390" si="1201">AU45</f>
        <v>105832047</v>
      </c>
      <c r="AV390" s="2424">
        <f t="shared" si="1201"/>
        <v>36945064.11521925</v>
      </c>
      <c r="AW390" s="2424">
        <f t="shared" si="1201"/>
        <v>18862479.167900883</v>
      </c>
      <c r="AX390" s="2424">
        <f t="shared" si="1201"/>
        <v>50024503.716879867</v>
      </c>
      <c r="AY390" s="3264"/>
      <c r="AZ390" s="3405"/>
      <c r="BB390" s="3406"/>
      <c r="BC390" s="2424">
        <f t="shared" ref="BC390:BF390" si="1202">BC45</f>
        <v>105832047</v>
      </c>
      <c r="BD390" s="2424">
        <f t="shared" si="1202"/>
        <v>36945064.11521925</v>
      </c>
      <c r="BE390" s="2424">
        <f t="shared" si="1202"/>
        <v>18862479.167900883</v>
      </c>
      <c r="BF390" s="2424">
        <f t="shared" si="1202"/>
        <v>50024503.716879867</v>
      </c>
      <c r="BG390" s="3264"/>
      <c r="BH390" s="3405"/>
      <c r="BJ390" s="3406"/>
      <c r="BK390" s="2424">
        <f t="shared" ref="BK390:BN390" si="1203">BK45</f>
        <v>105832047</v>
      </c>
      <c r="BL390" s="2424">
        <f t="shared" si="1203"/>
        <v>36945064.11521925</v>
      </c>
      <c r="BM390" s="2424">
        <f t="shared" si="1203"/>
        <v>18862479.167900883</v>
      </c>
      <c r="BN390" s="2424">
        <f t="shared" si="1203"/>
        <v>50024503.716879867</v>
      </c>
      <c r="BO390" s="3264"/>
      <c r="BP390" s="3405"/>
      <c r="BR390" s="3406"/>
      <c r="BS390" s="2424">
        <f t="shared" ref="BS390:BV390" si="1204">BS45</f>
        <v>105832047</v>
      </c>
      <c r="BT390" s="2424">
        <f t="shared" si="1204"/>
        <v>36945064.11521925</v>
      </c>
      <c r="BU390" s="2424">
        <f t="shared" si="1204"/>
        <v>18862479.167900883</v>
      </c>
      <c r="BV390" s="2424">
        <f t="shared" si="1204"/>
        <v>50024503.716879867</v>
      </c>
      <c r="BW390" s="3264"/>
      <c r="BX390" s="3405"/>
      <c r="BZ390" s="3406"/>
      <c r="CA390" s="2424">
        <f t="shared" ref="CA390:CD390" si="1205">CA45</f>
        <v>105832047</v>
      </c>
      <c r="CB390" s="2424">
        <f t="shared" si="1205"/>
        <v>36945064.11521925</v>
      </c>
      <c r="CC390" s="2424">
        <f t="shared" si="1205"/>
        <v>18862479.167900883</v>
      </c>
      <c r="CD390" s="2424">
        <f t="shared" si="1205"/>
        <v>50024503.716879867</v>
      </c>
      <c r="CE390" s="3264"/>
      <c r="CF390" s="3405"/>
      <c r="CH390" s="3406"/>
      <c r="CI390" s="2424">
        <f t="shared" ref="CI390:CL390" si="1206">CI45</f>
        <v>105832047</v>
      </c>
      <c r="CJ390" s="2424">
        <f t="shared" si="1206"/>
        <v>36945064.11521925</v>
      </c>
      <c r="CK390" s="2424">
        <f t="shared" si="1206"/>
        <v>18862479.167900883</v>
      </c>
      <c r="CL390" s="2424">
        <f t="shared" si="1206"/>
        <v>50024503.716879867</v>
      </c>
      <c r="CM390" s="3264"/>
      <c r="CN390" s="3405"/>
      <c r="CP390" s="3406"/>
      <c r="CQ390" s="2424">
        <f t="shared" ref="CQ390:CT390" si="1207">CQ45</f>
        <v>105832047</v>
      </c>
      <c r="CR390" s="2424">
        <f t="shared" si="1207"/>
        <v>36945064.11521925</v>
      </c>
      <c r="CS390" s="2424">
        <f t="shared" si="1207"/>
        <v>18862479.167900883</v>
      </c>
      <c r="CT390" s="2424">
        <f t="shared" si="1207"/>
        <v>50024503.716879867</v>
      </c>
      <c r="CU390" s="3264"/>
      <c r="CV390" s="3405"/>
      <c r="CX390" s="3406"/>
      <c r="CY390" s="2424">
        <f t="shared" ref="CY390:DB390" si="1208">CY45</f>
        <v>105832047</v>
      </c>
      <c r="CZ390" s="2424">
        <f t="shared" si="1208"/>
        <v>36945064.11521925</v>
      </c>
      <c r="DA390" s="2424">
        <f t="shared" si="1208"/>
        <v>18862479.167900883</v>
      </c>
      <c r="DB390" s="2424">
        <f t="shared" si="1208"/>
        <v>50024503.716879867</v>
      </c>
      <c r="DC390" s="3264"/>
      <c r="DD390" s="3405"/>
      <c r="DF390" s="3406"/>
      <c r="DG390" s="2424">
        <f t="shared" ref="DG390:DJ390" si="1209">DG45</f>
        <v>105832047</v>
      </c>
      <c r="DH390" s="2424">
        <f t="shared" si="1209"/>
        <v>36945064.11521925</v>
      </c>
      <c r="DI390" s="2424">
        <f t="shared" si="1209"/>
        <v>18862479.167900883</v>
      </c>
      <c r="DJ390" s="2424">
        <f t="shared" si="1209"/>
        <v>50024503.716879867</v>
      </c>
      <c r="DK390" s="3264"/>
      <c r="DL390" s="3405"/>
      <c r="DN390" s="3406"/>
      <c r="DO390" s="2424">
        <f t="shared" ref="DO390:DR390" si="1210">DO45</f>
        <v>105832047</v>
      </c>
      <c r="DP390" s="2424">
        <f t="shared" si="1210"/>
        <v>36945064.11521925</v>
      </c>
      <c r="DQ390" s="2424">
        <f t="shared" si="1210"/>
        <v>18862479.167900883</v>
      </c>
      <c r="DR390" s="2424">
        <f t="shared" si="1210"/>
        <v>50024503.716879867</v>
      </c>
      <c r="DS390" s="3264"/>
      <c r="DT390" s="3405"/>
      <c r="DV390" s="3406"/>
      <c r="DW390" s="2424">
        <f t="shared" ref="DW390:DZ390" si="1211">DW45</f>
        <v>105832047</v>
      </c>
      <c r="DX390" s="2424">
        <f t="shared" si="1211"/>
        <v>36945064.11521925</v>
      </c>
      <c r="DY390" s="2424">
        <f t="shared" si="1211"/>
        <v>18862479.167900883</v>
      </c>
      <c r="DZ390" s="2424">
        <f t="shared" si="1211"/>
        <v>50024503.716879867</v>
      </c>
      <c r="EA390" s="3264"/>
      <c r="EB390" s="3405"/>
      <c r="ED390" s="3406"/>
      <c r="EE390" s="2424">
        <f t="shared" ref="EE390:EH390" si="1212">EE45</f>
        <v>105832047</v>
      </c>
      <c r="EF390" s="2424">
        <f t="shared" si="1212"/>
        <v>36945064.11521925</v>
      </c>
      <c r="EG390" s="2424">
        <f t="shared" si="1212"/>
        <v>18862479.167900883</v>
      </c>
      <c r="EH390" s="2424">
        <f t="shared" si="1212"/>
        <v>50024503.716879867</v>
      </c>
      <c r="EI390" s="3264"/>
      <c r="EJ390" s="3405"/>
      <c r="EL390" s="3406"/>
      <c r="EM390" s="2424">
        <f t="shared" ref="EM390:EP390" si="1213">EM45</f>
        <v>105832047</v>
      </c>
      <c r="EN390" s="2424">
        <f t="shared" si="1213"/>
        <v>36945064.11521925</v>
      </c>
      <c r="EO390" s="2424">
        <f t="shared" si="1213"/>
        <v>18862479.167900883</v>
      </c>
      <c r="EP390" s="2424">
        <f t="shared" si="1213"/>
        <v>50024503.716879867</v>
      </c>
      <c r="EQ390" s="3264"/>
      <c r="ER390" s="3405"/>
      <c r="ET390" s="3406"/>
      <c r="EU390" s="2424">
        <f t="shared" ref="EU390:EX390" si="1214">EU45</f>
        <v>105832047</v>
      </c>
      <c r="EV390" s="2424">
        <f t="shared" si="1214"/>
        <v>36945064.11521925</v>
      </c>
      <c r="EW390" s="2424">
        <f t="shared" si="1214"/>
        <v>18862479.167900883</v>
      </c>
      <c r="EX390" s="2424">
        <f t="shared" si="1214"/>
        <v>50024503.716879867</v>
      </c>
      <c r="EY390" s="3264"/>
      <c r="EZ390" s="3405"/>
      <c r="FB390" s="3406"/>
      <c r="FC390" s="2424">
        <f t="shared" ref="FC390:FF390" si="1215">FC45</f>
        <v>105832047</v>
      </c>
      <c r="FD390" s="2424">
        <f t="shared" si="1215"/>
        <v>36945064.11521925</v>
      </c>
      <c r="FE390" s="2424">
        <f t="shared" si="1215"/>
        <v>18862479.167900883</v>
      </c>
      <c r="FF390" s="2424">
        <f t="shared" si="1215"/>
        <v>50024503.716879867</v>
      </c>
      <c r="FG390" s="3264"/>
      <c r="FH390" s="3405"/>
      <c r="FJ390" s="3406"/>
      <c r="FK390" s="2424">
        <f t="shared" ref="FK390:FN390" si="1216">FK45</f>
        <v>105832047</v>
      </c>
      <c r="FL390" s="2424">
        <f t="shared" si="1216"/>
        <v>36945064.11521925</v>
      </c>
      <c r="FM390" s="2424">
        <f t="shared" si="1216"/>
        <v>18862479.167900883</v>
      </c>
      <c r="FN390" s="2424">
        <f t="shared" si="1216"/>
        <v>50024503.716879867</v>
      </c>
      <c r="FO390" s="3264"/>
    </row>
    <row r="391" spans="2:171">
      <c r="B391" s="3086"/>
      <c r="C391" s="3086" t="s">
        <v>134</v>
      </c>
      <c r="D391" s="3405"/>
      <c r="E391" s="3234" t="str">
        <f t="shared" si="1034"/>
        <v>PTD</v>
      </c>
      <c r="G391" s="2424">
        <f t="shared" si="1035"/>
        <v>381575</v>
      </c>
      <c r="H391" s="2424">
        <f t="shared" si="1035"/>
        <v>133204.57497873763</v>
      </c>
      <c r="I391" s="2424">
        <f t="shared" si="1035"/>
        <v>0</v>
      </c>
      <c r="J391" s="2424">
        <f t="shared" si="1035"/>
        <v>248370.42502126237</v>
      </c>
      <c r="K391" s="3264">
        <f t="shared" si="1036"/>
        <v>1</v>
      </c>
      <c r="L391" s="3405"/>
      <c r="N391" s="3406"/>
      <c r="O391" s="2424">
        <f t="shared" ref="O391:R391" si="1217">O46</f>
        <v>381575</v>
      </c>
      <c r="P391" s="2424">
        <f t="shared" si="1217"/>
        <v>133204.57497873763</v>
      </c>
      <c r="Q391" s="2424">
        <f t="shared" si="1217"/>
        <v>68008.232785025684</v>
      </c>
      <c r="R391" s="2424">
        <f t="shared" si="1217"/>
        <v>180362.19223623667</v>
      </c>
      <c r="S391" s="3264"/>
      <c r="T391" s="3405"/>
      <c r="V391" s="3406"/>
      <c r="W391" s="2424">
        <f t="shared" ref="W391:Z391" si="1218">W46</f>
        <v>381575</v>
      </c>
      <c r="X391" s="2424">
        <f t="shared" si="1218"/>
        <v>133204.57497873763</v>
      </c>
      <c r="Y391" s="2424">
        <f t="shared" si="1218"/>
        <v>68008.232785025684</v>
      </c>
      <c r="Z391" s="2424">
        <f t="shared" si="1218"/>
        <v>180362.19223623667</v>
      </c>
      <c r="AA391" s="3264"/>
      <c r="AB391" s="3405"/>
      <c r="AD391" s="3406"/>
      <c r="AE391" s="2424">
        <f t="shared" ref="AE391:AH391" si="1219">AE46</f>
        <v>381575</v>
      </c>
      <c r="AF391" s="2424">
        <f t="shared" si="1219"/>
        <v>133204.57497873763</v>
      </c>
      <c r="AG391" s="2424">
        <f t="shared" si="1219"/>
        <v>68008.232785025684</v>
      </c>
      <c r="AH391" s="2424">
        <f t="shared" si="1219"/>
        <v>180362.19223623667</v>
      </c>
      <c r="AI391" s="3264"/>
      <c r="AJ391" s="3405"/>
      <c r="AL391" s="3406"/>
      <c r="AM391" s="2424">
        <f t="shared" ref="AM391:AP391" si="1220">AM46</f>
        <v>381575</v>
      </c>
      <c r="AN391" s="2424">
        <f t="shared" si="1220"/>
        <v>133204.57497873763</v>
      </c>
      <c r="AO391" s="2424">
        <f t="shared" si="1220"/>
        <v>68008.232785025684</v>
      </c>
      <c r="AP391" s="2424">
        <f t="shared" si="1220"/>
        <v>180362.19223623667</v>
      </c>
      <c r="AQ391" s="3264"/>
      <c r="AR391" s="3405"/>
      <c r="AT391" s="3406"/>
      <c r="AU391" s="2424">
        <f t="shared" ref="AU391:AX391" si="1221">AU46</f>
        <v>381575</v>
      </c>
      <c r="AV391" s="2424">
        <f t="shared" si="1221"/>
        <v>133204.57497873763</v>
      </c>
      <c r="AW391" s="2424">
        <f t="shared" si="1221"/>
        <v>68008.232785025684</v>
      </c>
      <c r="AX391" s="2424">
        <f t="shared" si="1221"/>
        <v>180362.19223623667</v>
      </c>
      <c r="AY391" s="3264"/>
      <c r="AZ391" s="3405"/>
      <c r="BB391" s="3406"/>
      <c r="BC391" s="2424">
        <f t="shared" ref="BC391:BF391" si="1222">BC46</f>
        <v>381575</v>
      </c>
      <c r="BD391" s="2424">
        <f t="shared" si="1222"/>
        <v>133204.57497873763</v>
      </c>
      <c r="BE391" s="2424">
        <f t="shared" si="1222"/>
        <v>68008.232785025684</v>
      </c>
      <c r="BF391" s="2424">
        <f t="shared" si="1222"/>
        <v>180362.19223623667</v>
      </c>
      <c r="BG391" s="3264"/>
      <c r="BH391" s="3405"/>
      <c r="BJ391" s="3406"/>
      <c r="BK391" s="2424">
        <f t="shared" ref="BK391:BN391" si="1223">BK46</f>
        <v>381575</v>
      </c>
      <c r="BL391" s="2424">
        <f t="shared" si="1223"/>
        <v>133204.57497873763</v>
      </c>
      <c r="BM391" s="2424">
        <f t="shared" si="1223"/>
        <v>68008.232785025684</v>
      </c>
      <c r="BN391" s="2424">
        <f t="shared" si="1223"/>
        <v>180362.19223623667</v>
      </c>
      <c r="BO391" s="3264"/>
      <c r="BP391" s="3405"/>
      <c r="BR391" s="3406"/>
      <c r="BS391" s="2424">
        <f t="shared" ref="BS391:BV391" si="1224">BS46</f>
        <v>381575</v>
      </c>
      <c r="BT391" s="2424">
        <f t="shared" si="1224"/>
        <v>133204.57497873763</v>
      </c>
      <c r="BU391" s="2424">
        <f t="shared" si="1224"/>
        <v>68008.232785025684</v>
      </c>
      <c r="BV391" s="2424">
        <f t="shared" si="1224"/>
        <v>180362.19223623667</v>
      </c>
      <c r="BW391" s="3264"/>
      <c r="BX391" s="3405"/>
      <c r="BZ391" s="3406"/>
      <c r="CA391" s="2424">
        <f t="shared" ref="CA391:CD391" si="1225">CA46</f>
        <v>381575</v>
      </c>
      <c r="CB391" s="2424">
        <f t="shared" si="1225"/>
        <v>133204.57497873763</v>
      </c>
      <c r="CC391" s="2424">
        <f t="shared" si="1225"/>
        <v>68008.232785025684</v>
      </c>
      <c r="CD391" s="2424">
        <f t="shared" si="1225"/>
        <v>180362.19223623667</v>
      </c>
      <c r="CE391" s="3264"/>
      <c r="CF391" s="3405"/>
      <c r="CH391" s="3406"/>
      <c r="CI391" s="2424">
        <f t="shared" ref="CI391:CL391" si="1226">CI46</f>
        <v>381575</v>
      </c>
      <c r="CJ391" s="2424">
        <f t="shared" si="1226"/>
        <v>133204.57497873763</v>
      </c>
      <c r="CK391" s="2424">
        <f t="shared" si="1226"/>
        <v>68008.232785025684</v>
      </c>
      <c r="CL391" s="2424">
        <f t="shared" si="1226"/>
        <v>180362.19223623667</v>
      </c>
      <c r="CM391" s="3264"/>
      <c r="CN391" s="3405"/>
      <c r="CP391" s="3406"/>
      <c r="CQ391" s="2424">
        <f t="shared" ref="CQ391:CT391" si="1227">CQ46</f>
        <v>381575</v>
      </c>
      <c r="CR391" s="2424">
        <f t="shared" si="1227"/>
        <v>133204.57497873763</v>
      </c>
      <c r="CS391" s="2424">
        <f t="shared" si="1227"/>
        <v>68008.232785025684</v>
      </c>
      <c r="CT391" s="2424">
        <f t="shared" si="1227"/>
        <v>180362.19223623667</v>
      </c>
      <c r="CU391" s="3264"/>
      <c r="CV391" s="3405"/>
      <c r="CX391" s="3406"/>
      <c r="CY391" s="2424">
        <f t="shared" ref="CY391:DB391" si="1228">CY46</f>
        <v>381575</v>
      </c>
      <c r="CZ391" s="2424">
        <f t="shared" si="1228"/>
        <v>133204.57497873763</v>
      </c>
      <c r="DA391" s="2424">
        <f t="shared" si="1228"/>
        <v>68008.232785025684</v>
      </c>
      <c r="DB391" s="2424">
        <f t="shared" si="1228"/>
        <v>180362.19223623667</v>
      </c>
      <c r="DC391" s="3264"/>
      <c r="DD391" s="3405"/>
      <c r="DF391" s="3406"/>
      <c r="DG391" s="2424">
        <f t="shared" ref="DG391:DJ391" si="1229">DG46</f>
        <v>381575</v>
      </c>
      <c r="DH391" s="2424">
        <f t="shared" si="1229"/>
        <v>133204.57497873763</v>
      </c>
      <c r="DI391" s="2424">
        <f t="shared" si="1229"/>
        <v>68008.232785025684</v>
      </c>
      <c r="DJ391" s="2424">
        <f t="shared" si="1229"/>
        <v>180362.19223623667</v>
      </c>
      <c r="DK391" s="3264"/>
      <c r="DL391" s="3405"/>
      <c r="DN391" s="3406"/>
      <c r="DO391" s="2424">
        <f t="shared" ref="DO391:DR391" si="1230">DO46</f>
        <v>381575</v>
      </c>
      <c r="DP391" s="2424">
        <f t="shared" si="1230"/>
        <v>133204.57497873763</v>
      </c>
      <c r="DQ391" s="2424">
        <f t="shared" si="1230"/>
        <v>68008.232785025684</v>
      </c>
      <c r="DR391" s="2424">
        <f t="shared" si="1230"/>
        <v>180362.19223623667</v>
      </c>
      <c r="DS391" s="3264"/>
      <c r="DT391" s="3405"/>
      <c r="DV391" s="3406"/>
      <c r="DW391" s="2424">
        <f t="shared" ref="DW391:DZ391" si="1231">DW46</f>
        <v>381575</v>
      </c>
      <c r="DX391" s="2424">
        <f t="shared" si="1231"/>
        <v>133204.57497873763</v>
      </c>
      <c r="DY391" s="2424">
        <f t="shared" si="1231"/>
        <v>68008.232785025684</v>
      </c>
      <c r="DZ391" s="2424">
        <f t="shared" si="1231"/>
        <v>180362.19223623667</v>
      </c>
      <c r="EA391" s="3264"/>
      <c r="EB391" s="3405"/>
      <c r="ED391" s="3406"/>
      <c r="EE391" s="2424">
        <f t="shared" ref="EE391:EH391" si="1232">EE46</f>
        <v>381575</v>
      </c>
      <c r="EF391" s="2424">
        <f t="shared" si="1232"/>
        <v>133204.57497873763</v>
      </c>
      <c r="EG391" s="2424">
        <f t="shared" si="1232"/>
        <v>68008.232785025684</v>
      </c>
      <c r="EH391" s="2424">
        <f t="shared" si="1232"/>
        <v>180362.19223623667</v>
      </c>
      <c r="EI391" s="3264"/>
      <c r="EJ391" s="3405"/>
      <c r="EL391" s="3406"/>
      <c r="EM391" s="2424">
        <f t="shared" ref="EM391:EP391" si="1233">EM46</f>
        <v>381575</v>
      </c>
      <c r="EN391" s="2424">
        <f t="shared" si="1233"/>
        <v>133204.57497873763</v>
      </c>
      <c r="EO391" s="2424">
        <f t="shared" si="1233"/>
        <v>68008.232785025684</v>
      </c>
      <c r="EP391" s="2424">
        <f t="shared" si="1233"/>
        <v>180362.19223623667</v>
      </c>
      <c r="EQ391" s="3264"/>
      <c r="ER391" s="3405"/>
      <c r="ET391" s="3406"/>
      <c r="EU391" s="2424">
        <f t="shared" ref="EU391:EX391" si="1234">EU46</f>
        <v>381575</v>
      </c>
      <c r="EV391" s="2424">
        <f t="shared" si="1234"/>
        <v>133204.57497873763</v>
      </c>
      <c r="EW391" s="2424">
        <f t="shared" si="1234"/>
        <v>68008.232785025684</v>
      </c>
      <c r="EX391" s="2424">
        <f t="shared" si="1234"/>
        <v>180362.19223623667</v>
      </c>
      <c r="EY391" s="3264"/>
      <c r="EZ391" s="3405"/>
      <c r="FB391" s="3406"/>
      <c r="FC391" s="2424">
        <f t="shared" ref="FC391:FF391" si="1235">FC46</f>
        <v>381575</v>
      </c>
      <c r="FD391" s="2424">
        <f t="shared" si="1235"/>
        <v>133204.57497873763</v>
      </c>
      <c r="FE391" s="2424">
        <f t="shared" si="1235"/>
        <v>68008.232785025684</v>
      </c>
      <c r="FF391" s="2424">
        <f t="shared" si="1235"/>
        <v>180362.19223623667</v>
      </c>
      <c r="FG391" s="3264"/>
      <c r="FH391" s="3405"/>
      <c r="FJ391" s="3406"/>
      <c r="FK391" s="2424">
        <f t="shared" ref="FK391:FN391" si="1236">FK46</f>
        <v>381575</v>
      </c>
      <c r="FL391" s="2424">
        <f t="shared" si="1236"/>
        <v>133204.57497873763</v>
      </c>
      <c r="FM391" s="2424">
        <f t="shared" si="1236"/>
        <v>68008.232785025684</v>
      </c>
      <c r="FN391" s="2424">
        <f t="shared" si="1236"/>
        <v>180362.19223623667</v>
      </c>
      <c r="FO391" s="3264"/>
    </row>
    <row r="392" spans="2:171">
      <c r="B392" s="3086"/>
      <c r="C392" s="3086" t="s">
        <v>254</v>
      </c>
      <c r="D392" s="3405"/>
      <c r="E392" s="3234" t="str">
        <f t="shared" si="1034"/>
        <v>DIRECT</v>
      </c>
      <c r="G392" s="2424">
        <f t="shared" si="1035"/>
        <v>0</v>
      </c>
      <c r="H392" s="2424">
        <f t="shared" si="1035"/>
        <v>0</v>
      </c>
      <c r="I392" s="2424">
        <f t="shared" si="1035"/>
        <v>0</v>
      </c>
      <c r="J392" s="2424">
        <f t="shared" si="1035"/>
        <v>0</v>
      </c>
      <c r="K392" s="3264">
        <f t="shared" si="1036"/>
        <v>0</v>
      </c>
      <c r="L392" s="3405"/>
      <c r="N392" s="3406"/>
      <c r="O392" s="2424">
        <f t="shared" ref="O392:R392" si="1237">O47</f>
        <v>0</v>
      </c>
      <c r="P392" s="2424">
        <f t="shared" si="1237"/>
        <v>0</v>
      </c>
      <c r="Q392" s="2424">
        <f t="shared" si="1237"/>
        <v>0</v>
      </c>
      <c r="R392" s="2424">
        <f t="shared" si="1237"/>
        <v>0</v>
      </c>
      <c r="S392" s="3264"/>
      <c r="T392" s="3405"/>
      <c r="V392" s="3406"/>
      <c r="W392" s="2424">
        <f t="shared" ref="W392:Z392" si="1238">W47</f>
        <v>0</v>
      </c>
      <c r="X392" s="2424">
        <f t="shared" si="1238"/>
        <v>0</v>
      </c>
      <c r="Y392" s="2424">
        <f t="shared" si="1238"/>
        <v>0</v>
      </c>
      <c r="Z392" s="2424">
        <f t="shared" si="1238"/>
        <v>0</v>
      </c>
      <c r="AA392" s="3264"/>
      <c r="AB392" s="3405"/>
      <c r="AD392" s="3406"/>
      <c r="AE392" s="2424">
        <f t="shared" ref="AE392:AH392" si="1239">AE47</f>
        <v>0</v>
      </c>
      <c r="AF392" s="2424">
        <f t="shared" si="1239"/>
        <v>0</v>
      </c>
      <c r="AG392" s="2424">
        <f t="shared" si="1239"/>
        <v>0</v>
      </c>
      <c r="AH392" s="2424">
        <f t="shared" si="1239"/>
        <v>0</v>
      </c>
      <c r="AI392" s="3264"/>
      <c r="AJ392" s="3405"/>
      <c r="AL392" s="3406"/>
      <c r="AM392" s="2424">
        <f t="shared" ref="AM392:AP392" si="1240">AM47</f>
        <v>0</v>
      </c>
      <c r="AN392" s="2424">
        <f t="shared" si="1240"/>
        <v>0</v>
      </c>
      <c r="AO392" s="2424">
        <f t="shared" si="1240"/>
        <v>0</v>
      </c>
      <c r="AP392" s="2424">
        <f t="shared" si="1240"/>
        <v>0</v>
      </c>
      <c r="AQ392" s="3264"/>
      <c r="AR392" s="3405"/>
      <c r="AT392" s="3406"/>
      <c r="AU392" s="2424">
        <f t="shared" ref="AU392:AX392" si="1241">AU47</f>
        <v>0</v>
      </c>
      <c r="AV392" s="2424">
        <f t="shared" si="1241"/>
        <v>0</v>
      </c>
      <c r="AW392" s="2424">
        <f t="shared" si="1241"/>
        <v>0</v>
      </c>
      <c r="AX392" s="2424">
        <f t="shared" si="1241"/>
        <v>0</v>
      </c>
      <c r="AY392" s="3264"/>
      <c r="AZ392" s="3405"/>
      <c r="BB392" s="3406"/>
      <c r="BC392" s="2424">
        <f t="shared" ref="BC392:BF392" si="1242">BC47</f>
        <v>0</v>
      </c>
      <c r="BD392" s="2424">
        <f t="shared" si="1242"/>
        <v>0</v>
      </c>
      <c r="BE392" s="2424">
        <f t="shared" si="1242"/>
        <v>0</v>
      </c>
      <c r="BF392" s="2424">
        <f t="shared" si="1242"/>
        <v>0</v>
      </c>
      <c r="BG392" s="3264"/>
      <c r="BH392" s="3405"/>
      <c r="BJ392" s="3406"/>
      <c r="BK392" s="2424">
        <f t="shared" ref="BK392:BN392" si="1243">BK47</f>
        <v>0</v>
      </c>
      <c r="BL392" s="2424">
        <f t="shared" si="1243"/>
        <v>0</v>
      </c>
      <c r="BM392" s="2424">
        <f t="shared" si="1243"/>
        <v>0</v>
      </c>
      <c r="BN392" s="2424">
        <f t="shared" si="1243"/>
        <v>0</v>
      </c>
      <c r="BO392" s="3264"/>
      <c r="BP392" s="3405"/>
      <c r="BR392" s="3406"/>
      <c r="BS392" s="2424">
        <f t="shared" ref="BS392:BV392" si="1244">BS47</f>
        <v>0</v>
      </c>
      <c r="BT392" s="2424">
        <f t="shared" si="1244"/>
        <v>0</v>
      </c>
      <c r="BU392" s="2424">
        <f t="shared" si="1244"/>
        <v>0</v>
      </c>
      <c r="BV392" s="2424">
        <f t="shared" si="1244"/>
        <v>0</v>
      </c>
      <c r="BW392" s="3264"/>
      <c r="BX392" s="3405"/>
      <c r="BZ392" s="3406"/>
      <c r="CA392" s="2424">
        <f t="shared" ref="CA392:CD392" si="1245">CA47</f>
        <v>0</v>
      </c>
      <c r="CB392" s="2424">
        <f t="shared" si="1245"/>
        <v>0</v>
      </c>
      <c r="CC392" s="2424">
        <f t="shared" si="1245"/>
        <v>0</v>
      </c>
      <c r="CD392" s="2424">
        <f t="shared" si="1245"/>
        <v>0</v>
      </c>
      <c r="CE392" s="3264"/>
      <c r="CF392" s="3405"/>
      <c r="CH392" s="3406"/>
      <c r="CI392" s="2424">
        <f t="shared" ref="CI392:CL392" si="1246">CI47</f>
        <v>0</v>
      </c>
      <c r="CJ392" s="2424">
        <f t="shared" si="1246"/>
        <v>0</v>
      </c>
      <c r="CK392" s="2424">
        <f t="shared" si="1246"/>
        <v>0</v>
      </c>
      <c r="CL392" s="2424">
        <f t="shared" si="1246"/>
        <v>0</v>
      </c>
      <c r="CM392" s="3264"/>
      <c r="CN392" s="3405"/>
      <c r="CP392" s="3406"/>
      <c r="CQ392" s="2424">
        <f t="shared" ref="CQ392:CT392" si="1247">CQ47</f>
        <v>0</v>
      </c>
      <c r="CR392" s="2424">
        <f t="shared" si="1247"/>
        <v>0</v>
      </c>
      <c r="CS392" s="2424">
        <f t="shared" si="1247"/>
        <v>0</v>
      </c>
      <c r="CT392" s="2424">
        <f t="shared" si="1247"/>
        <v>0</v>
      </c>
      <c r="CU392" s="3264"/>
      <c r="CV392" s="3405"/>
      <c r="CX392" s="3406"/>
      <c r="CY392" s="2424">
        <f t="shared" ref="CY392:DB392" si="1248">CY47</f>
        <v>0</v>
      </c>
      <c r="CZ392" s="2424">
        <f t="shared" si="1248"/>
        <v>0</v>
      </c>
      <c r="DA392" s="2424">
        <f t="shared" si="1248"/>
        <v>0</v>
      </c>
      <c r="DB392" s="2424">
        <f t="shared" si="1248"/>
        <v>0</v>
      </c>
      <c r="DC392" s="3264"/>
      <c r="DD392" s="3405"/>
      <c r="DF392" s="3406"/>
      <c r="DG392" s="2424">
        <f t="shared" ref="DG392:DJ392" si="1249">DG47</f>
        <v>0</v>
      </c>
      <c r="DH392" s="2424">
        <f t="shared" si="1249"/>
        <v>0</v>
      </c>
      <c r="DI392" s="2424">
        <f t="shared" si="1249"/>
        <v>0</v>
      </c>
      <c r="DJ392" s="2424">
        <f t="shared" si="1249"/>
        <v>0</v>
      </c>
      <c r="DK392" s="3264"/>
      <c r="DL392" s="3405"/>
      <c r="DN392" s="3406"/>
      <c r="DO392" s="2424">
        <f t="shared" ref="DO392:DR392" si="1250">DO47</f>
        <v>0</v>
      </c>
      <c r="DP392" s="2424">
        <f t="shared" si="1250"/>
        <v>0</v>
      </c>
      <c r="DQ392" s="2424">
        <f t="shared" si="1250"/>
        <v>0</v>
      </c>
      <c r="DR392" s="2424">
        <f t="shared" si="1250"/>
        <v>0</v>
      </c>
      <c r="DS392" s="3264"/>
      <c r="DT392" s="3405"/>
      <c r="DV392" s="3406"/>
      <c r="DW392" s="2424">
        <f t="shared" ref="DW392:DZ392" si="1251">DW47</f>
        <v>0</v>
      </c>
      <c r="DX392" s="2424">
        <f t="shared" si="1251"/>
        <v>0</v>
      </c>
      <c r="DY392" s="2424">
        <f t="shared" si="1251"/>
        <v>0</v>
      </c>
      <c r="DZ392" s="2424">
        <f t="shared" si="1251"/>
        <v>0</v>
      </c>
      <c r="EA392" s="3264"/>
      <c r="EB392" s="3405"/>
      <c r="ED392" s="3406"/>
      <c r="EE392" s="2424">
        <f t="shared" ref="EE392:EH392" si="1252">EE47</f>
        <v>0</v>
      </c>
      <c r="EF392" s="2424">
        <f t="shared" si="1252"/>
        <v>0</v>
      </c>
      <c r="EG392" s="2424">
        <f t="shared" si="1252"/>
        <v>0</v>
      </c>
      <c r="EH392" s="2424">
        <f t="shared" si="1252"/>
        <v>0</v>
      </c>
      <c r="EI392" s="3264"/>
      <c r="EJ392" s="3405"/>
      <c r="EL392" s="3406"/>
      <c r="EM392" s="2424">
        <f t="shared" ref="EM392:EP392" si="1253">EM47</f>
        <v>0</v>
      </c>
      <c r="EN392" s="2424">
        <f t="shared" si="1253"/>
        <v>0</v>
      </c>
      <c r="EO392" s="2424">
        <f t="shared" si="1253"/>
        <v>0</v>
      </c>
      <c r="EP392" s="2424">
        <f t="shared" si="1253"/>
        <v>0</v>
      </c>
      <c r="EQ392" s="3264"/>
      <c r="ER392" s="3405"/>
      <c r="ET392" s="3406"/>
      <c r="EU392" s="2424">
        <f t="shared" ref="EU392:EX392" si="1254">EU47</f>
        <v>0</v>
      </c>
      <c r="EV392" s="2424">
        <f t="shared" si="1254"/>
        <v>0</v>
      </c>
      <c r="EW392" s="2424">
        <f t="shared" si="1254"/>
        <v>0</v>
      </c>
      <c r="EX392" s="2424">
        <f t="shared" si="1254"/>
        <v>0</v>
      </c>
      <c r="EY392" s="3264"/>
      <c r="EZ392" s="3405"/>
      <c r="FB392" s="3406"/>
      <c r="FC392" s="2424">
        <f t="shared" ref="FC392:FF392" si="1255">FC47</f>
        <v>0</v>
      </c>
      <c r="FD392" s="2424">
        <f t="shared" si="1255"/>
        <v>0</v>
      </c>
      <c r="FE392" s="2424">
        <f t="shared" si="1255"/>
        <v>0</v>
      </c>
      <c r="FF392" s="2424">
        <f t="shared" si="1255"/>
        <v>0</v>
      </c>
      <c r="FG392" s="3264"/>
      <c r="FH392" s="3405"/>
      <c r="FJ392" s="3406"/>
      <c r="FK392" s="2424">
        <f t="shared" ref="FK392:FN392" si="1256">FK47</f>
        <v>0</v>
      </c>
      <c r="FL392" s="2424">
        <f t="shared" si="1256"/>
        <v>0</v>
      </c>
      <c r="FM392" s="2424">
        <f t="shared" si="1256"/>
        <v>0</v>
      </c>
      <c r="FN392" s="2424">
        <f t="shared" si="1256"/>
        <v>0</v>
      </c>
      <c r="FO392" s="3264"/>
    </row>
    <row r="393" spans="2:171">
      <c r="B393" s="3086"/>
      <c r="C393" s="3086" t="s">
        <v>441</v>
      </c>
      <c r="D393" s="3405"/>
      <c r="E393" s="3234" t="str">
        <f t="shared" si="1034"/>
        <v>PTD</v>
      </c>
      <c r="G393" s="2424">
        <f t="shared" si="1035"/>
        <v>0</v>
      </c>
      <c r="H393" s="2424">
        <f t="shared" si="1035"/>
        <v>0</v>
      </c>
      <c r="I393" s="2424">
        <f t="shared" si="1035"/>
        <v>0</v>
      </c>
      <c r="J393" s="2424">
        <f t="shared" si="1035"/>
        <v>0</v>
      </c>
      <c r="K393" s="3264">
        <f t="shared" si="1036"/>
        <v>1</v>
      </c>
      <c r="L393" s="3405"/>
      <c r="N393" s="3406"/>
      <c r="O393" s="2424">
        <f t="shared" ref="O393:R393" si="1257">O48</f>
        <v>0</v>
      </c>
      <c r="P393" s="2424">
        <f t="shared" si="1257"/>
        <v>0</v>
      </c>
      <c r="Q393" s="2424">
        <f t="shared" si="1257"/>
        <v>0</v>
      </c>
      <c r="R393" s="2424">
        <f t="shared" si="1257"/>
        <v>0</v>
      </c>
      <c r="S393" s="3264"/>
      <c r="T393" s="3405"/>
      <c r="V393" s="3406"/>
      <c r="W393" s="2424">
        <f t="shared" ref="W393:Z393" si="1258">W48</f>
        <v>0</v>
      </c>
      <c r="X393" s="2424">
        <f t="shared" si="1258"/>
        <v>0</v>
      </c>
      <c r="Y393" s="2424">
        <f t="shared" si="1258"/>
        <v>0</v>
      </c>
      <c r="Z393" s="2424">
        <f t="shared" si="1258"/>
        <v>0</v>
      </c>
      <c r="AA393" s="3264"/>
      <c r="AB393" s="3405"/>
      <c r="AD393" s="3406"/>
      <c r="AE393" s="2424">
        <f t="shared" ref="AE393:AH393" si="1259">AE48</f>
        <v>0</v>
      </c>
      <c r="AF393" s="2424">
        <f t="shared" si="1259"/>
        <v>0</v>
      </c>
      <c r="AG393" s="2424">
        <f t="shared" si="1259"/>
        <v>0</v>
      </c>
      <c r="AH393" s="2424">
        <f t="shared" si="1259"/>
        <v>0</v>
      </c>
      <c r="AI393" s="3264"/>
      <c r="AJ393" s="3405"/>
      <c r="AL393" s="3406"/>
      <c r="AM393" s="2424">
        <f t="shared" ref="AM393:AP393" si="1260">AM48</f>
        <v>0</v>
      </c>
      <c r="AN393" s="2424">
        <f t="shared" si="1260"/>
        <v>0</v>
      </c>
      <c r="AO393" s="2424">
        <f t="shared" si="1260"/>
        <v>0</v>
      </c>
      <c r="AP393" s="2424">
        <f t="shared" si="1260"/>
        <v>0</v>
      </c>
      <c r="AQ393" s="3264"/>
      <c r="AR393" s="3405"/>
      <c r="AT393" s="3406"/>
      <c r="AU393" s="2424">
        <f t="shared" ref="AU393:AX393" si="1261">AU48</f>
        <v>0</v>
      </c>
      <c r="AV393" s="2424">
        <f t="shared" si="1261"/>
        <v>0</v>
      </c>
      <c r="AW393" s="2424">
        <f t="shared" si="1261"/>
        <v>0</v>
      </c>
      <c r="AX393" s="2424">
        <f t="shared" si="1261"/>
        <v>0</v>
      </c>
      <c r="AY393" s="3264"/>
      <c r="AZ393" s="3405"/>
      <c r="BB393" s="3406"/>
      <c r="BC393" s="2424">
        <f t="shared" ref="BC393:BF393" si="1262">BC48</f>
        <v>0</v>
      </c>
      <c r="BD393" s="2424">
        <f t="shared" si="1262"/>
        <v>0</v>
      </c>
      <c r="BE393" s="2424">
        <f t="shared" si="1262"/>
        <v>0</v>
      </c>
      <c r="BF393" s="2424">
        <f t="shared" si="1262"/>
        <v>0</v>
      </c>
      <c r="BG393" s="3264"/>
      <c r="BH393" s="3405"/>
      <c r="BJ393" s="3406"/>
      <c r="BK393" s="2424">
        <f t="shared" ref="BK393:BN393" si="1263">BK48</f>
        <v>0</v>
      </c>
      <c r="BL393" s="2424">
        <f t="shared" si="1263"/>
        <v>0</v>
      </c>
      <c r="BM393" s="2424">
        <f t="shared" si="1263"/>
        <v>0</v>
      </c>
      <c r="BN393" s="2424">
        <f t="shared" si="1263"/>
        <v>0</v>
      </c>
      <c r="BO393" s="3264"/>
      <c r="BP393" s="3405"/>
      <c r="BR393" s="3406"/>
      <c r="BS393" s="2424">
        <f t="shared" ref="BS393:BV393" si="1264">BS48</f>
        <v>0</v>
      </c>
      <c r="BT393" s="2424">
        <f t="shared" si="1264"/>
        <v>0</v>
      </c>
      <c r="BU393" s="2424">
        <f t="shared" si="1264"/>
        <v>0</v>
      </c>
      <c r="BV393" s="2424">
        <f t="shared" si="1264"/>
        <v>0</v>
      </c>
      <c r="BW393" s="3264"/>
      <c r="BX393" s="3405"/>
      <c r="BZ393" s="3406"/>
      <c r="CA393" s="2424">
        <f t="shared" ref="CA393:CD393" si="1265">CA48</f>
        <v>0</v>
      </c>
      <c r="CB393" s="2424">
        <f t="shared" si="1265"/>
        <v>0</v>
      </c>
      <c r="CC393" s="2424">
        <f t="shared" si="1265"/>
        <v>0</v>
      </c>
      <c r="CD393" s="2424">
        <f t="shared" si="1265"/>
        <v>0</v>
      </c>
      <c r="CE393" s="3264"/>
      <c r="CF393" s="3405"/>
      <c r="CH393" s="3406"/>
      <c r="CI393" s="2424">
        <f t="shared" ref="CI393:CL393" si="1266">CI48</f>
        <v>0</v>
      </c>
      <c r="CJ393" s="2424">
        <f t="shared" si="1266"/>
        <v>0</v>
      </c>
      <c r="CK393" s="2424">
        <f t="shared" si="1266"/>
        <v>0</v>
      </c>
      <c r="CL393" s="2424">
        <f t="shared" si="1266"/>
        <v>0</v>
      </c>
      <c r="CM393" s="3264"/>
      <c r="CN393" s="3405"/>
      <c r="CP393" s="3406"/>
      <c r="CQ393" s="2424">
        <f t="shared" ref="CQ393:CT393" si="1267">CQ48</f>
        <v>0</v>
      </c>
      <c r="CR393" s="2424">
        <f t="shared" si="1267"/>
        <v>0</v>
      </c>
      <c r="CS393" s="2424">
        <f t="shared" si="1267"/>
        <v>0</v>
      </c>
      <c r="CT393" s="2424">
        <f t="shared" si="1267"/>
        <v>0</v>
      </c>
      <c r="CU393" s="3264"/>
      <c r="CV393" s="3405"/>
      <c r="CX393" s="3406"/>
      <c r="CY393" s="2424">
        <f t="shared" ref="CY393:DB393" si="1268">CY48</f>
        <v>0</v>
      </c>
      <c r="CZ393" s="2424">
        <f t="shared" si="1268"/>
        <v>0</v>
      </c>
      <c r="DA393" s="2424">
        <f t="shared" si="1268"/>
        <v>0</v>
      </c>
      <c r="DB393" s="2424">
        <f t="shared" si="1268"/>
        <v>0</v>
      </c>
      <c r="DC393" s="3264"/>
      <c r="DD393" s="3405"/>
      <c r="DF393" s="3406"/>
      <c r="DG393" s="2424">
        <f t="shared" ref="DG393:DJ393" si="1269">DG48</f>
        <v>0</v>
      </c>
      <c r="DH393" s="2424">
        <f t="shared" si="1269"/>
        <v>0</v>
      </c>
      <c r="DI393" s="2424">
        <f t="shared" si="1269"/>
        <v>0</v>
      </c>
      <c r="DJ393" s="2424">
        <f t="shared" si="1269"/>
        <v>0</v>
      </c>
      <c r="DK393" s="3264"/>
      <c r="DL393" s="3405"/>
      <c r="DN393" s="3406"/>
      <c r="DO393" s="2424">
        <f t="shared" ref="DO393:DR393" si="1270">DO48</f>
        <v>0</v>
      </c>
      <c r="DP393" s="2424">
        <f t="shared" si="1270"/>
        <v>0</v>
      </c>
      <c r="DQ393" s="2424">
        <f t="shared" si="1270"/>
        <v>0</v>
      </c>
      <c r="DR393" s="2424">
        <f t="shared" si="1270"/>
        <v>0</v>
      </c>
      <c r="DS393" s="3264"/>
      <c r="DT393" s="3405"/>
      <c r="DV393" s="3406"/>
      <c r="DW393" s="2424">
        <f t="shared" ref="DW393:DZ393" si="1271">DW48</f>
        <v>0</v>
      </c>
      <c r="DX393" s="2424">
        <f t="shared" si="1271"/>
        <v>0</v>
      </c>
      <c r="DY393" s="2424">
        <f t="shared" si="1271"/>
        <v>0</v>
      </c>
      <c r="DZ393" s="2424">
        <f t="shared" si="1271"/>
        <v>0</v>
      </c>
      <c r="EA393" s="3264"/>
      <c r="EB393" s="3405"/>
      <c r="ED393" s="3406"/>
      <c r="EE393" s="2424">
        <f t="shared" ref="EE393:EH393" si="1272">EE48</f>
        <v>0</v>
      </c>
      <c r="EF393" s="2424">
        <f t="shared" si="1272"/>
        <v>0</v>
      </c>
      <c r="EG393" s="2424">
        <f t="shared" si="1272"/>
        <v>0</v>
      </c>
      <c r="EH393" s="2424">
        <f t="shared" si="1272"/>
        <v>0</v>
      </c>
      <c r="EI393" s="3264"/>
      <c r="EJ393" s="3405"/>
      <c r="EL393" s="3406"/>
      <c r="EM393" s="2424">
        <f t="shared" ref="EM393:EP393" si="1273">EM48</f>
        <v>0</v>
      </c>
      <c r="EN393" s="2424">
        <f t="shared" si="1273"/>
        <v>0</v>
      </c>
      <c r="EO393" s="2424">
        <f t="shared" si="1273"/>
        <v>0</v>
      </c>
      <c r="EP393" s="2424">
        <f t="shared" si="1273"/>
        <v>0</v>
      </c>
      <c r="EQ393" s="3264"/>
      <c r="ER393" s="3405"/>
      <c r="ET393" s="3406"/>
      <c r="EU393" s="2424">
        <f t="shared" ref="EU393:EX393" si="1274">EU48</f>
        <v>0</v>
      </c>
      <c r="EV393" s="2424">
        <f t="shared" si="1274"/>
        <v>0</v>
      </c>
      <c r="EW393" s="2424">
        <f t="shared" si="1274"/>
        <v>0</v>
      </c>
      <c r="EX393" s="2424">
        <f t="shared" si="1274"/>
        <v>0</v>
      </c>
      <c r="EY393" s="3264"/>
      <c r="EZ393" s="3405"/>
      <c r="FB393" s="3406"/>
      <c r="FC393" s="2424">
        <f t="shared" ref="FC393:FF393" si="1275">FC48</f>
        <v>0</v>
      </c>
      <c r="FD393" s="2424">
        <f t="shared" si="1275"/>
        <v>0</v>
      </c>
      <c r="FE393" s="2424">
        <f t="shared" si="1275"/>
        <v>0</v>
      </c>
      <c r="FF393" s="2424">
        <f t="shared" si="1275"/>
        <v>0</v>
      </c>
      <c r="FG393" s="3264"/>
      <c r="FH393" s="3405"/>
      <c r="FJ393" s="3406"/>
      <c r="FK393" s="2424">
        <f t="shared" ref="FK393:FN393" si="1276">FK48</f>
        <v>0</v>
      </c>
      <c r="FL393" s="2424">
        <f t="shared" si="1276"/>
        <v>0</v>
      </c>
      <c r="FM393" s="2424">
        <f t="shared" si="1276"/>
        <v>0</v>
      </c>
      <c r="FN393" s="2424">
        <f t="shared" si="1276"/>
        <v>0</v>
      </c>
      <c r="FO393" s="3264"/>
    </row>
    <row r="394" spans="2:171">
      <c r="B394" s="3086"/>
      <c r="C394" s="3086" t="s">
        <v>522</v>
      </c>
      <c r="D394" s="3405"/>
      <c r="E394" s="3406"/>
      <c r="F394" s="3406"/>
      <c r="G394" s="3244">
        <f>SUM(G382:G393)</f>
        <v>316657583</v>
      </c>
      <c r="H394" s="3244">
        <f>SUM(H382:H393)</f>
        <v>107907565.79361701</v>
      </c>
      <c r="I394" s="3244">
        <f>SUM(I382:I393)</f>
        <v>0</v>
      </c>
      <c r="J394" s="3244">
        <f>SUM(J382:J393)</f>
        <v>208750017.20638302</v>
      </c>
      <c r="K394" s="3264"/>
      <c r="L394" s="3405"/>
      <c r="M394" s="3406"/>
      <c r="N394" s="3406"/>
      <c r="O394" s="3244">
        <f>SUM(O382:O393)</f>
        <v>316657583</v>
      </c>
      <c r="P394" s="3244">
        <f>SUM(P382:P393)</f>
        <v>107907565.79361701</v>
      </c>
      <c r="Q394" s="3244">
        <f>SUM(Q382:Q393)</f>
        <v>53162346.200694084</v>
      </c>
      <c r="R394" s="3244">
        <f>SUM(R382:R393)</f>
        <v>155587671.00568891</v>
      </c>
      <c r="S394" s="3264"/>
      <c r="T394" s="3405"/>
      <c r="U394" s="3406"/>
      <c r="V394" s="3406"/>
      <c r="W394" s="3244">
        <f>SUM(W382:W393)</f>
        <v>316657583</v>
      </c>
      <c r="X394" s="3244">
        <f>SUM(X382:X393)</f>
        <v>107907565.79361701</v>
      </c>
      <c r="Y394" s="3244">
        <f>SUM(Y382:Y393)</f>
        <v>53162346.200694084</v>
      </c>
      <c r="Z394" s="3244">
        <f>SUM(Z382:Z393)</f>
        <v>155587671.00568891</v>
      </c>
      <c r="AA394" s="3264"/>
      <c r="AB394" s="3405"/>
      <c r="AC394" s="3406"/>
      <c r="AD394" s="3406"/>
      <c r="AE394" s="3244">
        <f>SUM(AE382:AE393)</f>
        <v>316657583</v>
      </c>
      <c r="AF394" s="3244">
        <f>SUM(AF382:AF393)</f>
        <v>107907565.79361701</v>
      </c>
      <c r="AG394" s="3244">
        <f>SUM(AG382:AG393)</f>
        <v>53162346.200694084</v>
      </c>
      <c r="AH394" s="3244">
        <f>SUM(AH382:AH393)</f>
        <v>155587671.00568891</v>
      </c>
      <c r="AI394" s="3264"/>
      <c r="AJ394" s="3405"/>
      <c r="AK394" s="3406"/>
      <c r="AL394" s="3406"/>
      <c r="AM394" s="3244">
        <f>SUM(AM382:AM393)</f>
        <v>316657583</v>
      </c>
      <c r="AN394" s="3244">
        <f>SUM(AN382:AN393)</f>
        <v>107907565.79361701</v>
      </c>
      <c r="AO394" s="3244">
        <f>SUM(AO382:AO393)</f>
        <v>53162346.200694084</v>
      </c>
      <c r="AP394" s="3244">
        <f>SUM(AP382:AP393)</f>
        <v>155587671.00568891</v>
      </c>
      <c r="AQ394" s="3264"/>
      <c r="AR394" s="3405"/>
      <c r="AS394" s="3406"/>
      <c r="AT394" s="3406"/>
      <c r="AU394" s="3244">
        <f>SUM(AU382:AU393)</f>
        <v>316657583</v>
      </c>
      <c r="AV394" s="3244">
        <f>SUM(AV382:AV393)</f>
        <v>107907565.79361701</v>
      </c>
      <c r="AW394" s="3244">
        <f>SUM(AW382:AW393)</f>
        <v>53162346.200694084</v>
      </c>
      <c r="AX394" s="3244">
        <f>SUM(AX382:AX393)</f>
        <v>155587671.00568891</v>
      </c>
      <c r="AY394" s="3264"/>
      <c r="AZ394" s="3405"/>
      <c r="BA394" s="3406"/>
      <c r="BB394" s="3406"/>
      <c r="BC394" s="3244">
        <f>SUM(BC382:BC393)</f>
        <v>316657583</v>
      </c>
      <c r="BD394" s="3244">
        <f>SUM(BD382:BD393)</f>
        <v>107907565.79361701</v>
      </c>
      <c r="BE394" s="3244">
        <f>SUM(BE382:BE393)</f>
        <v>53162346.200694084</v>
      </c>
      <c r="BF394" s="3244">
        <f>SUM(BF382:BF393)</f>
        <v>155587671.00568891</v>
      </c>
      <c r="BG394" s="3264"/>
      <c r="BH394" s="3405"/>
      <c r="BI394" s="3406"/>
      <c r="BJ394" s="3406"/>
      <c r="BK394" s="3244">
        <f>SUM(BK382:BK393)</f>
        <v>316657583</v>
      </c>
      <c r="BL394" s="3244">
        <f>SUM(BL382:BL393)</f>
        <v>107907565.79361701</v>
      </c>
      <c r="BM394" s="3244">
        <f>SUM(BM382:BM393)</f>
        <v>53162346.200694084</v>
      </c>
      <c r="BN394" s="3244">
        <f>SUM(BN382:BN393)</f>
        <v>155587671.00568891</v>
      </c>
      <c r="BO394" s="3264"/>
      <c r="BP394" s="3405"/>
      <c r="BQ394" s="3406"/>
      <c r="BR394" s="3406"/>
      <c r="BS394" s="3244">
        <f>SUM(BS382:BS393)</f>
        <v>316657583</v>
      </c>
      <c r="BT394" s="3244">
        <f>SUM(BT382:BT393)</f>
        <v>107907565.79361701</v>
      </c>
      <c r="BU394" s="3244">
        <f>SUM(BU382:BU393)</f>
        <v>53162346.200694084</v>
      </c>
      <c r="BV394" s="3244">
        <f>SUM(BV382:BV393)</f>
        <v>155587671.00568891</v>
      </c>
      <c r="BW394" s="3264"/>
      <c r="BX394" s="3405"/>
      <c r="BY394" s="3406"/>
      <c r="BZ394" s="3406"/>
      <c r="CA394" s="3244">
        <f>SUM(CA382:CA393)</f>
        <v>316657583</v>
      </c>
      <c r="CB394" s="3244">
        <f>SUM(CB382:CB393)</f>
        <v>107907565.79361701</v>
      </c>
      <c r="CC394" s="3244">
        <f>SUM(CC382:CC393)</f>
        <v>53162346.200694084</v>
      </c>
      <c r="CD394" s="3244">
        <f>SUM(CD382:CD393)</f>
        <v>155587671.00568891</v>
      </c>
      <c r="CE394" s="3264"/>
      <c r="CF394" s="3405"/>
      <c r="CG394" s="3406"/>
      <c r="CH394" s="3406"/>
      <c r="CI394" s="3244">
        <f>SUM(CI382:CI393)</f>
        <v>316657583</v>
      </c>
      <c r="CJ394" s="3244">
        <f>SUM(CJ382:CJ393)</f>
        <v>107907565.79361701</v>
      </c>
      <c r="CK394" s="3244">
        <f>SUM(CK382:CK393)</f>
        <v>53162346.200694084</v>
      </c>
      <c r="CL394" s="3244">
        <f>SUM(CL382:CL393)</f>
        <v>155587671.00568891</v>
      </c>
      <c r="CM394" s="3264"/>
      <c r="CN394" s="3405"/>
      <c r="CO394" s="3406"/>
      <c r="CP394" s="3406"/>
      <c r="CQ394" s="3244">
        <f>SUM(CQ382:CQ393)</f>
        <v>316657583</v>
      </c>
      <c r="CR394" s="3244">
        <f>SUM(CR382:CR393)</f>
        <v>107907565.79361701</v>
      </c>
      <c r="CS394" s="3244">
        <f>SUM(CS382:CS393)</f>
        <v>53162346.200694084</v>
      </c>
      <c r="CT394" s="3244">
        <f>SUM(CT382:CT393)</f>
        <v>155587671.00568891</v>
      </c>
      <c r="CU394" s="3264"/>
      <c r="CV394" s="3405"/>
      <c r="CW394" s="3406"/>
      <c r="CX394" s="3406"/>
      <c r="CY394" s="3244">
        <f>SUM(CY382:CY393)</f>
        <v>316657583</v>
      </c>
      <c r="CZ394" s="3244">
        <f>SUM(CZ382:CZ393)</f>
        <v>107907565.79361701</v>
      </c>
      <c r="DA394" s="3244">
        <f>SUM(DA382:DA393)</f>
        <v>53162346.200694084</v>
      </c>
      <c r="DB394" s="3244">
        <f>SUM(DB382:DB393)</f>
        <v>155587671.00568891</v>
      </c>
      <c r="DC394" s="3264"/>
      <c r="DD394" s="3405"/>
      <c r="DE394" s="3406"/>
      <c r="DF394" s="3406"/>
      <c r="DG394" s="3244">
        <f>SUM(DG382:DG393)</f>
        <v>316657583</v>
      </c>
      <c r="DH394" s="3244">
        <f>SUM(DH382:DH393)</f>
        <v>107907565.79361701</v>
      </c>
      <c r="DI394" s="3244">
        <f>SUM(DI382:DI393)</f>
        <v>53162346.200694084</v>
      </c>
      <c r="DJ394" s="3244">
        <f>SUM(DJ382:DJ393)</f>
        <v>155587671.00568891</v>
      </c>
      <c r="DK394" s="3264"/>
      <c r="DL394" s="3405"/>
      <c r="DM394" s="3406"/>
      <c r="DN394" s="3406"/>
      <c r="DO394" s="3244">
        <f>SUM(DO382:DO393)</f>
        <v>316657583</v>
      </c>
      <c r="DP394" s="3244">
        <f>SUM(DP382:DP393)</f>
        <v>107907565.79361701</v>
      </c>
      <c r="DQ394" s="3244">
        <f>SUM(DQ382:DQ393)</f>
        <v>53162346.200694084</v>
      </c>
      <c r="DR394" s="3244">
        <f>SUM(DR382:DR393)</f>
        <v>155587671.00568891</v>
      </c>
      <c r="DS394" s="3264"/>
      <c r="DT394" s="3405"/>
      <c r="DU394" s="3406"/>
      <c r="DV394" s="3406"/>
      <c r="DW394" s="3244">
        <f>SUM(DW382:DW393)</f>
        <v>316657583</v>
      </c>
      <c r="DX394" s="3244">
        <f>SUM(DX382:DX393)</f>
        <v>107907565.79361701</v>
      </c>
      <c r="DY394" s="3244">
        <f>SUM(DY382:DY393)</f>
        <v>53162346.200694084</v>
      </c>
      <c r="DZ394" s="3244">
        <f>SUM(DZ382:DZ393)</f>
        <v>155587671.00568891</v>
      </c>
      <c r="EA394" s="3264"/>
      <c r="EB394" s="3405"/>
      <c r="EC394" s="3406"/>
      <c r="ED394" s="3406"/>
      <c r="EE394" s="3244">
        <f>SUM(EE382:EE393)</f>
        <v>316657583</v>
      </c>
      <c r="EF394" s="3244">
        <f>SUM(EF382:EF393)</f>
        <v>107907565.79361701</v>
      </c>
      <c r="EG394" s="3244">
        <f>SUM(EG382:EG393)</f>
        <v>53162346.200694084</v>
      </c>
      <c r="EH394" s="3244">
        <f>SUM(EH382:EH393)</f>
        <v>155587671.00568891</v>
      </c>
      <c r="EI394" s="3264"/>
      <c r="EJ394" s="3405"/>
      <c r="EK394" s="3406"/>
      <c r="EL394" s="3406"/>
      <c r="EM394" s="3244">
        <f>SUM(EM382:EM393)</f>
        <v>316657583</v>
      </c>
      <c r="EN394" s="3244">
        <f>SUM(EN382:EN393)</f>
        <v>107907565.79361701</v>
      </c>
      <c r="EO394" s="3244">
        <f>SUM(EO382:EO393)</f>
        <v>53162346.200694084</v>
      </c>
      <c r="EP394" s="3244">
        <f>SUM(EP382:EP393)</f>
        <v>155587671.00568891</v>
      </c>
      <c r="EQ394" s="3264"/>
      <c r="ER394" s="3405"/>
      <c r="ES394" s="3406"/>
      <c r="ET394" s="3406"/>
      <c r="EU394" s="3244">
        <f>SUM(EU382:EU393)</f>
        <v>316657583</v>
      </c>
      <c r="EV394" s="3244">
        <f>SUM(EV382:EV393)</f>
        <v>107907565.79361701</v>
      </c>
      <c r="EW394" s="3244">
        <f>SUM(EW382:EW393)</f>
        <v>53162346.200694084</v>
      </c>
      <c r="EX394" s="3244">
        <f>SUM(EX382:EX393)</f>
        <v>155587671.00568891</v>
      </c>
      <c r="EY394" s="3264"/>
      <c r="EZ394" s="3405"/>
      <c r="FA394" s="3406"/>
      <c r="FB394" s="3406"/>
      <c r="FC394" s="3244">
        <f>SUM(FC382:FC393)</f>
        <v>316657583</v>
      </c>
      <c r="FD394" s="3244">
        <f>SUM(FD382:FD393)</f>
        <v>107907565.79361701</v>
      </c>
      <c r="FE394" s="3244">
        <f>SUM(FE382:FE393)</f>
        <v>53162346.200694084</v>
      </c>
      <c r="FF394" s="3244">
        <f>SUM(FF382:FF393)</f>
        <v>155587671.00568891</v>
      </c>
      <c r="FG394" s="3264"/>
      <c r="FH394" s="3405"/>
      <c r="FI394" s="3406"/>
      <c r="FJ394" s="3406"/>
      <c r="FK394" s="3244">
        <f>SUM(FK382:FK393)</f>
        <v>316657583</v>
      </c>
      <c r="FL394" s="3244">
        <f>SUM(FL382:FL393)</f>
        <v>107907565.79361701</v>
      </c>
      <c r="FM394" s="3244">
        <f>SUM(FM382:FM393)</f>
        <v>53162346.200694084</v>
      </c>
      <c r="FN394" s="3244">
        <f>SUM(FN382:FN393)</f>
        <v>155587671.00568891</v>
      </c>
      <c r="FO394" s="3264"/>
    </row>
    <row r="395" spans="2:171">
      <c r="B395" s="3114"/>
      <c r="C395" s="3114" t="s">
        <v>523</v>
      </c>
      <c r="D395" s="3407" t="s">
        <v>630</v>
      </c>
      <c r="E395" s="3408"/>
      <c r="F395" s="3408"/>
      <c r="G395" s="3402">
        <f>H395+I395+J395</f>
        <v>1</v>
      </c>
      <c r="H395" s="3402">
        <f>H394/G394</f>
        <v>0.34077050917683854</v>
      </c>
      <c r="I395" s="3402">
        <f>I394/G394</f>
        <v>0</v>
      </c>
      <c r="J395" s="3402">
        <f>J394/G394</f>
        <v>0.65922949082316151</v>
      </c>
      <c r="K395" s="3264"/>
      <c r="L395" s="3403" t="s">
        <v>630</v>
      </c>
      <c r="M395" s="3408"/>
      <c r="N395" s="3408"/>
      <c r="O395" s="3402">
        <f>P395+Q395+R395</f>
        <v>1</v>
      </c>
      <c r="P395" s="3402">
        <f>P394/O394</f>
        <v>0.34077050917683854</v>
      </c>
      <c r="Q395" s="3402">
        <f>Q394/O394</f>
        <v>0.16788590911683327</v>
      </c>
      <c r="R395" s="3402">
        <f>R394/O394</f>
        <v>0.49134358170632819</v>
      </c>
      <c r="S395" s="3409"/>
      <c r="T395" s="3403" t="s">
        <v>630</v>
      </c>
      <c r="U395" s="3408"/>
      <c r="V395" s="3408"/>
      <c r="W395" s="3402">
        <f>X395+Y395+Z395</f>
        <v>1</v>
      </c>
      <c r="X395" s="3402">
        <f>X394/W394</f>
        <v>0.34077050917683854</v>
      </c>
      <c r="Y395" s="3402">
        <f>Y394/W394</f>
        <v>0.16788590911683327</v>
      </c>
      <c r="Z395" s="3402">
        <f>Z394/W394</f>
        <v>0.49134358170632819</v>
      </c>
      <c r="AA395" s="3409"/>
      <c r="AB395" s="3403" t="s">
        <v>630</v>
      </c>
      <c r="AC395" s="3408"/>
      <c r="AD395" s="3408"/>
      <c r="AE395" s="3402">
        <f>AF395+AG395+AH395</f>
        <v>1</v>
      </c>
      <c r="AF395" s="3402">
        <f>AF394/AE394</f>
        <v>0.34077050917683854</v>
      </c>
      <c r="AG395" s="3402">
        <f>AG394/AE394</f>
        <v>0.16788590911683327</v>
      </c>
      <c r="AH395" s="3402">
        <f>AH394/AE394</f>
        <v>0.49134358170632819</v>
      </c>
      <c r="AI395" s="3409"/>
      <c r="AJ395" s="3403" t="s">
        <v>630</v>
      </c>
      <c r="AK395" s="3408"/>
      <c r="AL395" s="3408"/>
      <c r="AM395" s="3402">
        <f>AN395+AO395+AP395</f>
        <v>1</v>
      </c>
      <c r="AN395" s="3402">
        <f>AN394/AM394</f>
        <v>0.34077050917683854</v>
      </c>
      <c r="AO395" s="3402">
        <f>AO394/AM394</f>
        <v>0.16788590911683327</v>
      </c>
      <c r="AP395" s="3402">
        <f>AP394/AM394</f>
        <v>0.49134358170632819</v>
      </c>
      <c r="AQ395" s="3409"/>
      <c r="AR395" s="3403" t="s">
        <v>630</v>
      </c>
      <c r="AS395" s="3408"/>
      <c r="AT395" s="3408"/>
      <c r="AU395" s="3402">
        <f>AV395+AW395+AX395</f>
        <v>1</v>
      </c>
      <c r="AV395" s="3402">
        <f>AV394/AU394</f>
        <v>0.34077050917683854</v>
      </c>
      <c r="AW395" s="3402">
        <f>AW394/AU394</f>
        <v>0.16788590911683327</v>
      </c>
      <c r="AX395" s="3402">
        <f>AX394/AU394</f>
        <v>0.49134358170632819</v>
      </c>
      <c r="AY395" s="3409"/>
      <c r="AZ395" s="3403" t="s">
        <v>630</v>
      </c>
      <c r="BA395" s="3408"/>
      <c r="BB395" s="3408"/>
      <c r="BC395" s="3402">
        <f>BD395+BE395+BF395</f>
        <v>1</v>
      </c>
      <c r="BD395" s="3402">
        <f>BD394/BC394</f>
        <v>0.34077050917683854</v>
      </c>
      <c r="BE395" s="3402">
        <f>BE394/BC394</f>
        <v>0.16788590911683327</v>
      </c>
      <c r="BF395" s="3402">
        <f>BF394/BC394</f>
        <v>0.49134358170632819</v>
      </c>
      <c r="BG395" s="3409"/>
      <c r="BH395" s="3403" t="s">
        <v>630</v>
      </c>
      <c r="BI395" s="3408"/>
      <c r="BJ395" s="3408"/>
      <c r="BK395" s="3402">
        <f>BL395+BM395+BN395</f>
        <v>1</v>
      </c>
      <c r="BL395" s="3402">
        <f>BL394/BK394</f>
        <v>0.34077050917683854</v>
      </c>
      <c r="BM395" s="3402">
        <f>BM394/BK394</f>
        <v>0.16788590911683327</v>
      </c>
      <c r="BN395" s="3402">
        <f>BN394/BK394</f>
        <v>0.49134358170632819</v>
      </c>
      <c r="BO395" s="3409"/>
      <c r="BP395" s="3403" t="s">
        <v>630</v>
      </c>
      <c r="BQ395" s="3408"/>
      <c r="BR395" s="3408"/>
      <c r="BS395" s="3402">
        <f>BT395+BU395+BV395</f>
        <v>1</v>
      </c>
      <c r="BT395" s="3402">
        <f>BT394/BS394</f>
        <v>0.34077050917683854</v>
      </c>
      <c r="BU395" s="3402">
        <f>BU394/BS394</f>
        <v>0.16788590911683327</v>
      </c>
      <c r="BV395" s="3402">
        <f>BV394/BS394</f>
        <v>0.49134358170632819</v>
      </c>
      <c r="BW395" s="3409"/>
      <c r="BX395" s="3403" t="s">
        <v>630</v>
      </c>
      <c r="BY395" s="3408"/>
      <c r="BZ395" s="3408"/>
      <c r="CA395" s="3402">
        <f>CB395+CC395+CD395</f>
        <v>1</v>
      </c>
      <c r="CB395" s="3402">
        <f>CB394/CA394</f>
        <v>0.34077050917683854</v>
      </c>
      <c r="CC395" s="3402">
        <f>CC394/CA394</f>
        <v>0.16788590911683327</v>
      </c>
      <c r="CD395" s="3402">
        <f>CD394/CA394</f>
        <v>0.49134358170632819</v>
      </c>
      <c r="CE395" s="3409"/>
      <c r="CF395" s="3403" t="s">
        <v>630</v>
      </c>
      <c r="CG395" s="3408"/>
      <c r="CH395" s="3408"/>
      <c r="CI395" s="3402">
        <f>CJ395+CK395+CL395</f>
        <v>1</v>
      </c>
      <c r="CJ395" s="3402">
        <f>CJ394/CI394</f>
        <v>0.34077050917683854</v>
      </c>
      <c r="CK395" s="3402">
        <f>CK394/CI394</f>
        <v>0.16788590911683327</v>
      </c>
      <c r="CL395" s="3402">
        <f>CL394/CI394</f>
        <v>0.49134358170632819</v>
      </c>
      <c r="CM395" s="3409"/>
      <c r="CN395" s="3403" t="s">
        <v>630</v>
      </c>
      <c r="CO395" s="3408"/>
      <c r="CP395" s="3408"/>
      <c r="CQ395" s="3402">
        <f>CR395+CS395+CT395</f>
        <v>1</v>
      </c>
      <c r="CR395" s="3402">
        <f>CR394/CQ394</f>
        <v>0.34077050917683854</v>
      </c>
      <c r="CS395" s="3402">
        <f>CS394/CQ394</f>
        <v>0.16788590911683327</v>
      </c>
      <c r="CT395" s="3402">
        <f>CT394/CQ394</f>
        <v>0.49134358170632819</v>
      </c>
      <c r="CU395" s="3409"/>
      <c r="CV395" s="3403" t="s">
        <v>630</v>
      </c>
      <c r="CW395" s="3408"/>
      <c r="CX395" s="3408"/>
      <c r="CY395" s="3402">
        <f>CZ395+DA395+DB395</f>
        <v>1</v>
      </c>
      <c r="CZ395" s="3402">
        <f>CZ394/CY394</f>
        <v>0.34077050917683854</v>
      </c>
      <c r="DA395" s="3402">
        <f>DA394/CY394</f>
        <v>0.16788590911683327</v>
      </c>
      <c r="DB395" s="3402">
        <f>DB394/CY394</f>
        <v>0.49134358170632819</v>
      </c>
      <c r="DC395" s="3409"/>
      <c r="DD395" s="3403" t="s">
        <v>630</v>
      </c>
      <c r="DE395" s="3408"/>
      <c r="DF395" s="3408"/>
      <c r="DG395" s="3402">
        <f>DH395+DI395+DJ395</f>
        <v>1</v>
      </c>
      <c r="DH395" s="3402">
        <f>DH394/DG394</f>
        <v>0.34077050917683854</v>
      </c>
      <c r="DI395" s="3402">
        <f>DI394/DG394</f>
        <v>0.16788590911683327</v>
      </c>
      <c r="DJ395" s="3402">
        <f>DJ394/DG394</f>
        <v>0.49134358170632819</v>
      </c>
      <c r="DK395" s="3409"/>
      <c r="DL395" s="3403" t="s">
        <v>630</v>
      </c>
      <c r="DM395" s="3408"/>
      <c r="DN395" s="3408"/>
      <c r="DO395" s="3402">
        <f>DP395+DQ395+DR395</f>
        <v>1</v>
      </c>
      <c r="DP395" s="3402">
        <f>DP394/DO394</f>
        <v>0.34077050917683854</v>
      </c>
      <c r="DQ395" s="3402">
        <f>DQ394/DO394</f>
        <v>0.16788590911683327</v>
      </c>
      <c r="DR395" s="3402">
        <f>DR394/DO394</f>
        <v>0.49134358170632819</v>
      </c>
      <c r="DS395" s="3409"/>
      <c r="DT395" s="3403" t="s">
        <v>630</v>
      </c>
      <c r="DU395" s="3408"/>
      <c r="DV395" s="3408"/>
      <c r="DW395" s="3402">
        <f>DX395+DY395+DZ395</f>
        <v>1</v>
      </c>
      <c r="DX395" s="3402">
        <f>DX394/DW394</f>
        <v>0.34077050917683854</v>
      </c>
      <c r="DY395" s="3402">
        <f>DY394/DW394</f>
        <v>0.16788590911683327</v>
      </c>
      <c r="DZ395" s="3402">
        <f>DZ394/DW394</f>
        <v>0.49134358170632819</v>
      </c>
      <c r="EA395" s="3409"/>
      <c r="EB395" s="3403" t="s">
        <v>630</v>
      </c>
      <c r="EC395" s="3408"/>
      <c r="ED395" s="3408"/>
      <c r="EE395" s="3402">
        <f>EF395+EG395+EH395</f>
        <v>1</v>
      </c>
      <c r="EF395" s="3402">
        <f>EF394/EE394</f>
        <v>0.34077050917683854</v>
      </c>
      <c r="EG395" s="3402">
        <f>EG394/EE394</f>
        <v>0.16788590911683327</v>
      </c>
      <c r="EH395" s="3402">
        <f>EH394/EE394</f>
        <v>0.49134358170632819</v>
      </c>
      <c r="EI395" s="3409"/>
      <c r="EJ395" s="3403" t="s">
        <v>630</v>
      </c>
      <c r="EK395" s="3408"/>
      <c r="EL395" s="3408"/>
      <c r="EM395" s="3402">
        <f>EN395+EO395+EP395</f>
        <v>1</v>
      </c>
      <c r="EN395" s="3402">
        <f>EN394/EM394</f>
        <v>0.34077050917683854</v>
      </c>
      <c r="EO395" s="3402">
        <f>EO394/EM394</f>
        <v>0.16788590911683327</v>
      </c>
      <c r="EP395" s="3402">
        <f>EP394/EM394</f>
        <v>0.49134358170632819</v>
      </c>
      <c r="EQ395" s="3409"/>
      <c r="ER395" s="3403" t="s">
        <v>630</v>
      </c>
      <c r="ES395" s="3408"/>
      <c r="ET395" s="3408"/>
      <c r="EU395" s="3402">
        <f>EV395+EW395+EX395</f>
        <v>1</v>
      </c>
      <c r="EV395" s="3402">
        <f>EV394/EU394</f>
        <v>0.34077050917683854</v>
      </c>
      <c r="EW395" s="3402">
        <f>EW394/EU394</f>
        <v>0.16788590911683327</v>
      </c>
      <c r="EX395" s="3402">
        <f>EX394/EU394</f>
        <v>0.49134358170632819</v>
      </c>
      <c r="EY395" s="3409"/>
      <c r="EZ395" s="3403" t="s">
        <v>630</v>
      </c>
      <c r="FA395" s="3408"/>
      <c r="FB395" s="3408"/>
      <c r="FC395" s="3402">
        <f>FD395+FE395+FF395</f>
        <v>1</v>
      </c>
      <c r="FD395" s="3402">
        <f>FD394/FC394</f>
        <v>0.34077050917683854</v>
      </c>
      <c r="FE395" s="3402">
        <f>FE394/FC394</f>
        <v>0.16788590911683327</v>
      </c>
      <c r="FF395" s="3402">
        <f>FF394/FC394</f>
        <v>0.49134358170632819</v>
      </c>
      <c r="FG395" s="3409"/>
      <c r="FH395" s="3403" t="s">
        <v>630</v>
      </c>
      <c r="FI395" s="3408"/>
      <c r="FJ395" s="3408"/>
      <c r="FK395" s="3402">
        <f>FL395+FM395+FN395</f>
        <v>1</v>
      </c>
      <c r="FL395" s="3402">
        <f>FL394/FK394</f>
        <v>0.34077050917683854</v>
      </c>
      <c r="FM395" s="3402">
        <f>FM394/FK394</f>
        <v>0.16788590911683327</v>
      </c>
      <c r="FN395" s="3402">
        <f>FN394/FK394</f>
        <v>0.49134358170632819</v>
      </c>
      <c r="FO395" s="3409"/>
    </row>
    <row r="396" spans="2:171">
      <c r="K396" s="3264"/>
      <c r="S396" s="3409"/>
      <c r="AA396" s="3409"/>
      <c r="AI396" s="3409"/>
      <c r="AQ396" s="3409"/>
      <c r="AY396" s="3409"/>
      <c r="BG396" s="3409"/>
      <c r="BO396" s="3409"/>
      <c r="BW396" s="3409"/>
      <c r="CE396" s="3409"/>
      <c r="CM396" s="3409"/>
      <c r="CU396" s="3409"/>
      <c r="DC396" s="3409"/>
      <c r="DK396" s="3409"/>
      <c r="DS396" s="3409"/>
      <c r="EA396" s="3409"/>
      <c r="EI396" s="3409"/>
      <c r="EQ396" s="3409"/>
      <c r="EY396" s="3409"/>
      <c r="FG396" s="3409"/>
      <c r="FO396" s="3409"/>
    </row>
    <row r="397" spans="2:171">
      <c r="E397" s="3090" t="s">
        <v>520</v>
      </c>
      <c r="G397" s="3091" t="s">
        <v>104</v>
      </c>
      <c r="H397" s="3091" t="s">
        <v>105</v>
      </c>
      <c r="I397" s="3091" t="s">
        <v>106</v>
      </c>
      <c r="J397" s="3092" t="s">
        <v>511</v>
      </c>
      <c r="K397" s="3264"/>
      <c r="O397" s="3091" t="s">
        <v>104</v>
      </c>
      <c r="P397" s="3091" t="s">
        <v>105</v>
      </c>
      <c r="Q397" s="3091" t="s">
        <v>106</v>
      </c>
      <c r="R397" s="3092" t="s">
        <v>511</v>
      </c>
      <c r="S397" s="3264"/>
      <c r="W397" s="3091" t="s">
        <v>104</v>
      </c>
      <c r="X397" s="3091" t="s">
        <v>105</v>
      </c>
      <c r="Y397" s="3091" t="s">
        <v>106</v>
      </c>
      <c r="Z397" s="3092" t="s">
        <v>511</v>
      </c>
      <c r="AA397" s="3264"/>
      <c r="AE397" s="3091" t="s">
        <v>104</v>
      </c>
      <c r="AF397" s="3091" t="s">
        <v>105</v>
      </c>
      <c r="AG397" s="3091" t="s">
        <v>106</v>
      </c>
      <c r="AH397" s="3092" t="s">
        <v>511</v>
      </c>
      <c r="AI397" s="3264"/>
      <c r="AM397" s="3091" t="s">
        <v>104</v>
      </c>
      <c r="AN397" s="3091" t="s">
        <v>105</v>
      </c>
      <c r="AO397" s="3091" t="s">
        <v>106</v>
      </c>
      <c r="AP397" s="3092" t="s">
        <v>511</v>
      </c>
      <c r="AQ397" s="3264"/>
      <c r="AU397" s="3091" t="s">
        <v>104</v>
      </c>
      <c r="AV397" s="3091" t="s">
        <v>105</v>
      </c>
      <c r="AW397" s="3091" t="s">
        <v>106</v>
      </c>
      <c r="AX397" s="3092" t="s">
        <v>511</v>
      </c>
      <c r="AY397" s="3264"/>
      <c r="BC397" s="3091" t="s">
        <v>104</v>
      </c>
      <c r="BD397" s="3091" t="s">
        <v>105</v>
      </c>
      <c r="BE397" s="3091" t="s">
        <v>106</v>
      </c>
      <c r="BF397" s="3092" t="s">
        <v>511</v>
      </c>
      <c r="BG397" s="3264"/>
      <c r="BK397" s="3091" t="s">
        <v>104</v>
      </c>
      <c r="BL397" s="3091" t="s">
        <v>105</v>
      </c>
      <c r="BM397" s="3091" t="s">
        <v>106</v>
      </c>
      <c r="BN397" s="3092" t="s">
        <v>511</v>
      </c>
      <c r="BO397" s="3264"/>
      <c r="BS397" s="3091" t="s">
        <v>104</v>
      </c>
      <c r="BT397" s="3091" t="s">
        <v>105</v>
      </c>
      <c r="BU397" s="3091" t="s">
        <v>106</v>
      </c>
      <c r="BV397" s="3092" t="s">
        <v>511</v>
      </c>
      <c r="BW397" s="3264"/>
      <c r="CA397" s="3091" t="s">
        <v>104</v>
      </c>
      <c r="CB397" s="3091" t="s">
        <v>105</v>
      </c>
      <c r="CC397" s="3091" t="s">
        <v>106</v>
      </c>
      <c r="CD397" s="3092" t="s">
        <v>511</v>
      </c>
      <c r="CE397" s="3264"/>
      <c r="CI397" s="3091" t="s">
        <v>104</v>
      </c>
      <c r="CJ397" s="3091" t="s">
        <v>105</v>
      </c>
      <c r="CK397" s="3091" t="s">
        <v>106</v>
      </c>
      <c r="CL397" s="3092" t="s">
        <v>511</v>
      </c>
      <c r="CM397" s="3264"/>
      <c r="CQ397" s="3091" t="s">
        <v>104</v>
      </c>
      <c r="CR397" s="3091" t="s">
        <v>105</v>
      </c>
      <c r="CS397" s="3091" t="s">
        <v>106</v>
      </c>
      <c r="CT397" s="3092" t="s">
        <v>511</v>
      </c>
      <c r="CU397" s="3264"/>
      <c r="CY397" s="3091" t="s">
        <v>104</v>
      </c>
      <c r="CZ397" s="3091" t="s">
        <v>105</v>
      </c>
      <c r="DA397" s="3091" t="s">
        <v>106</v>
      </c>
      <c r="DB397" s="3092" t="s">
        <v>511</v>
      </c>
      <c r="DC397" s="3264"/>
      <c r="DG397" s="3091" t="s">
        <v>104</v>
      </c>
      <c r="DH397" s="3091" t="s">
        <v>105</v>
      </c>
      <c r="DI397" s="3091" t="s">
        <v>106</v>
      </c>
      <c r="DJ397" s="3092" t="s">
        <v>511</v>
      </c>
      <c r="DK397" s="3264"/>
      <c r="DO397" s="3091" t="s">
        <v>104</v>
      </c>
      <c r="DP397" s="3091" t="s">
        <v>105</v>
      </c>
      <c r="DQ397" s="3091" t="s">
        <v>106</v>
      </c>
      <c r="DR397" s="3092" t="s">
        <v>511</v>
      </c>
      <c r="DS397" s="3264"/>
      <c r="DW397" s="3091" t="s">
        <v>104</v>
      </c>
      <c r="DX397" s="3091" t="s">
        <v>105</v>
      </c>
      <c r="DY397" s="3091" t="s">
        <v>106</v>
      </c>
      <c r="DZ397" s="3092" t="s">
        <v>511</v>
      </c>
      <c r="EA397" s="3264"/>
      <c r="EE397" s="3091" t="s">
        <v>104</v>
      </c>
      <c r="EF397" s="3091" t="s">
        <v>105</v>
      </c>
      <c r="EG397" s="3091" t="s">
        <v>106</v>
      </c>
      <c r="EH397" s="3092" t="s">
        <v>511</v>
      </c>
      <c r="EI397" s="3264"/>
      <c r="EM397" s="3091" t="s">
        <v>104</v>
      </c>
      <c r="EN397" s="3091" t="s">
        <v>105</v>
      </c>
      <c r="EO397" s="3091" t="s">
        <v>106</v>
      </c>
      <c r="EP397" s="3092" t="s">
        <v>511</v>
      </c>
      <c r="EQ397" s="3264"/>
      <c r="EU397" s="3091" t="s">
        <v>104</v>
      </c>
      <c r="EV397" s="3091" t="s">
        <v>105</v>
      </c>
      <c r="EW397" s="3091" t="s">
        <v>106</v>
      </c>
      <c r="EX397" s="3092" t="s">
        <v>511</v>
      </c>
      <c r="EY397" s="3264"/>
      <c r="FC397" s="3091" t="s">
        <v>104</v>
      </c>
      <c r="FD397" s="3091" t="s">
        <v>105</v>
      </c>
      <c r="FE397" s="3091" t="s">
        <v>106</v>
      </c>
      <c r="FF397" s="3092" t="s">
        <v>511</v>
      </c>
      <c r="FG397" s="3264"/>
      <c r="FK397" s="3091" t="s">
        <v>104</v>
      </c>
      <c r="FL397" s="3091" t="s">
        <v>105</v>
      </c>
      <c r="FM397" s="3091" t="s">
        <v>106</v>
      </c>
      <c r="FN397" s="3092" t="s">
        <v>511</v>
      </c>
      <c r="FO397" s="3264"/>
    </row>
    <row r="398" spans="2:171">
      <c r="B398" s="3086"/>
      <c r="C398" s="3086" t="s">
        <v>111</v>
      </c>
      <c r="D398" s="3405"/>
      <c r="E398" s="3234" t="s">
        <v>392</v>
      </c>
      <c r="G398" s="2424">
        <f t="shared" ref="G398:J401" si="1277">G22</f>
        <v>1034308926</v>
      </c>
      <c r="H398" s="2424">
        <f t="shared" si="1277"/>
        <v>1034308926</v>
      </c>
      <c r="I398" s="2424">
        <f t="shared" si="1277"/>
        <v>0</v>
      </c>
      <c r="J398" s="2424">
        <f t="shared" si="1277"/>
        <v>0</v>
      </c>
      <c r="K398" s="3264"/>
      <c r="L398" s="3405"/>
      <c r="M398" s="3406"/>
      <c r="N398" s="3406"/>
      <c r="O398" s="2424">
        <f t="shared" ref="O398:R398" si="1278">O22</f>
        <v>1034308926</v>
      </c>
      <c r="P398" s="2424">
        <f t="shared" si="1278"/>
        <v>1034308926</v>
      </c>
      <c r="Q398" s="2424">
        <f t="shared" si="1278"/>
        <v>0</v>
      </c>
      <c r="R398" s="2424">
        <f t="shared" si="1278"/>
        <v>0</v>
      </c>
      <c r="S398" s="3264"/>
      <c r="T398" s="3405"/>
      <c r="U398" s="3406"/>
      <c r="V398" s="3406"/>
      <c r="W398" s="2424">
        <f t="shared" ref="W398:Z398" si="1279">W22</f>
        <v>1034308926</v>
      </c>
      <c r="X398" s="2424">
        <f t="shared" si="1279"/>
        <v>1034308926</v>
      </c>
      <c r="Y398" s="2424">
        <f t="shared" si="1279"/>
        <v>0</v>
      </c>
      <c r="Z398" s="2424">
        <f t="shared" si="1279"/>
        <v>0</v>
      </c>
      <c r="AA398" s="3264"/>
      <c r="AB398" s="3405"/>
      <c r="AC398" s="3406"/>
      <c r="AD398" s="3406"/>
      <c r="AE398" s="2424">
        <f t="shared" ref="AE398:AH398" si="1280">AE22</f>
        <v>1034308926</v>
      </c>
      <c r="AF398" s="2424">
        <f t="shared" si="1280"/>
        <v>1034308926</v>
      </c>
      <c r="AG398" s="2424">
        <f t="shared" si="1280"/>
        <v>0</v>
      </c>
      <c r="AH398" s="2424">
        <f t="shared" si="1280"/>
        <v>0</v>
      </c>
      <c r="AI398" s="3264"/>
      <c r="AJ398" s="3405"/>
      <c r="AK398" s="3406"/>
      <c r="AL398" s="3406"/>
      <c r="AM398" s="2424">
        <f t="shared" ref="AM398:AP398" si="1281">AM22</f>
        <v>1034308926</v>
      </c>
      <c r="AN398" s="2424">
        <f t="shared" si="1281"/>
        <v>1034308926</v>
      </c>
      <c r="AO398" s="2424">
        <f t="shared" si="1281"/>
        <v>0</v>
      </c>
      <c r="AP398" s="2424">
        <f t="shared" si="1281"/>
        <v>0</v>
      </c>
      <c r="AQ398" s="3264"/>
      <c r="AR398" s="3405"/>
      <c r="AS398" s="3406"/>
      <c r="AT398" s="3406"/>
      <c r="AU398" s="2424">
        <f t="shared" ref="AU398:AX398" si="1282">AU22</f>
        <v>1034308926</v>
      </c>
      <c r="AV398" s="2424">
        <f t="shared" si="1282"/>
        <v>1034308926</v>
      </c>
      <c r="AW398" s="2424">
        <f t="shared" si="1282"/>
        <v>0</v>
      </c>
      <c r="AX398" s="2424">
        <f t="shared" si="1282"/>
        <v>0</v>
      </c>
      <c r="AY398" s="3264"/>
      <c r="AZ398" s="3405"/>
      <c r="BA398" s="3406"/>
      <c r="BB398" s="3406"/>
      <c r="BC398" s="2424">
        <f t="shared" ref="BC398:BF398" si="1283">BC22</f>
        <v>1034308926</v>
      </c>
      <c r="BD398" s="2424">
        <f t="shared" si="1283"/>
        <v>1034308926</v>
      </c>
      <c r="BE398" s="2424">
        <f t="shared" si="1283"/>
        <v>0</v>
      </c>
      <c r="BF398" s="2424">
        <f t="shared" si="1283"/>
        <v>0</v>
      </c>
      <c r="BG398" s="3264"/>
      <c r="BH398" s="3405"/>
      <c r="BI398" s="3406"/>
      <c r="BJ398" s="3406"/>
      <c r="BK398" s="2424">
        <f t="shared" ref="BK398:BN398" si="1284">BK22</f>
        <v>1034308926</v>
      </c>
      <c r="BL398" s="2424">
        <f t="shared" si="1284"/>
        <v>1034308926</v>
      </c>
      <c r="BM398" s="2424">
        <f t="shared" si="1284"/>
        <v>0</v>
      </c>
      <c r="BN398" s="2424">
        <f t="shared" si="1284"/>
        <v>0</v>
      </c>
      <c r="BO398" s="3264"/>
      <c r="BP398" s="3405"/>
      <c r="BQ398" s="3406"/>
      <c r="BR398" s="3406"/>
      <c r="BS398" s="2424">
        <f t="shared" ref="BS398:BV398" si="1285">BS22</f>
        <v>1034308926</v>
      </c>
      <c r="BT398" s="2424">
        <f t="shared" si="1285"/>
        <v>1034308926</v>
      </c>
      <c r="BU398" s="2424">
        <f t="shared" si="1285"/>
        <v>0</v>
      </c>
      <c r="BV398" s="2424">
        <f t="shared" si="1285"/>
        <v>0</v>
      </c>
      <c r="BW398" s="3264"/>
      <c r="BX398" s="3405"/>
      <c r="BY398" s="3406"/>
      <c r="BZ398" s="3406"/>
      <c r="CA398" s="2424">
        <f t="shared" ref="CA398:CD398" si="1286">CA22</f>
        <v>1034308926</v>
      </c>
      <c r="CB398" s="2424">
        <f t="shared" si="1286"/>
        <v>1034308926</v>
      </c>
      <c r="CC398" s="2424">
        <f t="shared" si="1286"/>
        <v>0</v>
      </c>
      <c r="CD398" s="2424">
        <f t="shared" si="1286"/>
        <v>0</v>
      </c>
      <c r="CE398" s="3264"/>
      <c r="CF398" s="3405"/>
      <c r="CG398" s="3406"/>
      <c r="CH398" s="3406"/>
      <c r="CI398" s="2424">
        <f t="shared" ref="CI398:CL398" si="1287">CI22</f>
        <v>1034308926</v>
      </c>
      <c r="CJ398" s="2424">
        <f t="shared" si="1287"/>
        <v>1034308926</v>
      </c>
      <c r="CK398" s="2424">
        <f t="shared" si="1287"/>
        <v>0</v>
      </c>
      <c r="CL398" s="2424">
        <f t="shared" si="1287"/>
        <v>0</v>
      </c>
      <c r="CM398" s="3264"/>
      <c r="CN398" s="3405"/>
      <c r="CO398" s="3406"/>
      <c r="CP398" s="3406"/>
      <c r="CQ398" s="2424">
        <f t="shared" ref="CQ398:CT398" si="1288">CQ22</f>
        <v>1034308926</v>
      </c>
      <c r="CR398" s="2424">
        <f t="shared" si="1288"/>
        <v>1034308926</v>
      </c>
      <c r="CS398" s="2424">
        <f t="shared" si="1288"/>
        <v>0</v>
      </c>
      <c r="CT398" s="2424">
        <f t="shared" si="1288"/>
        <v>0</v>
      </c>
      <c r="CU398" s="3264"/>
      <c r="CV398" s="3405"/>
      <c r="CW398" s="3406"/>
      <c r="CX398" s="3406"/>
      <c r="CY398" s="2424">
        <f t="shared" ref="CY398:DB398" si="1289">CY22</f>
        <v>1034308926</v>
      </c>
      <c r="CZ398" s="2424">
        <f t="shared" si="1289"/>
        <v>1034308926</v>
      </c>
      <c r="DA398" s="2424">
        <f t="shared" si="1289"/>
        <v>0</v>
      </c>
      <c r="DB398" s="2424">
        <f t="shared" si="1289"/>
        <v>0</v>
      </c>
      <c r="DC398" s="3264"/>
      <c r="DD398" s="3405"/>
      <c r="DE398" s="3406"/>
      <c r="DF398" s="3406"/>
      <c r="DG398" s="2424">
        <f t="shared" ref="DG398:DJ398" si="1290">DG22</f>
        <v>1034308926</v>
      </c>
      <c r="DH398" s="2424">
        <f t="shared" si="1290"/>
        <v>1034308926</v>
      </c>
      <c r="DI398" s="2424">
        <f t="shared" si="1290"/>
        <v>0</v>
      </c>
      <c r="DJ398" s="2424">
        <f t="shared" si="1290"/>
        <v>0</v>
      </c>
      <c r="DK398" s="3264"/>
      <c r="DL398" s="3405"/>
      <c r="DM398" s="3406"/>
      <c r="DN398" s="3406"/>
      <c r="DO398" s="2424">
        <f t="shared" ref="DO398:DR398" si="1291">DO22</f>
        <v>1034308926</v>
      </c>
      <c r="DP398" s="2424">
        <f t="shared" si="1291"/>
        <v>1034308926</v>
      </c>
      <c r="DQ398" s="2424">
        <f t="shared" si="1291"/>
        <v>0</v>
      </c>
      <c r="DR398" s="2424">
        <f t="shared" si="1291"/>
        <v>0</v>
      </c>
      <c r="DS398" s="3264"/>
      <c r="DT398" s="3405"/>
      <c r="DU398" s="3406"/>
      <c r="DV398" s="3406"/>
      <c r="DW398" s="2424">
        <f t="shared" ref="DW398:DZ398" si="1292">DW22</f>
        <v>1034308926</v>
      </c>
      <c r="DX398" s="2424">
        <f t="shared" si="1292"/>
        <v>1034308926</v>
      </c>
      <c r="DY398" s="2424">
        <f t="shared" si="1292"/>
        <v>0</v>
      </c>
      <c r="DZ398" s="2424">
        <f t="shared" si="1292"/>
        <v>0</v>
      </c>
      <c r="EA398" s="3264"/>
      <c r="EB398" s="3405"/>
      <c r="EC398" s="3406"/>
      <c r="ED398" s="3406"/>
      <c r="EE398" s="2424">
        <f t="shared" ref="EE398:EH398" si="1293">EE22</f>
        <v>1034308926</v>
      </c>
      <c r="EF398" s="2424">
        <f t="shared" si="1293"/>
        <v>1034308926</v>
      </c>
      <c r="EG398" s="2424">
        <f t="shared" si="1293"/>
        <v>0</v>
      </c>
      <c r="EH398" s="2424">
        <f t="shared" si="1293"/>
        <v>0</v>
      </c>
      <c r="EI398" s="3264"/>
      <c r="EJ398" s="3405"/>
      <c r="EK398" s="3406"/>
      <c r="EL398" s="3406"/>
      <c r="EM398" s="2424">
        <f t="shared" ref="EM398:EP398" si="1294">EM22</f>
        <v>1034308926</v>
      </c>
      <c r="EN398" s="2424">
        <f t="shared" si="1294"/>
        <v>1034308926</v>
      </c>
      <c r="EO398" s="2424">
        <f t="shared" si="1294"/>
        <v>0</v>
      </c>
      <c r="EP398" s="2424">
        <f t="shared" si="1294"/>
        <v>0</v>
      </c>
      <c r="EQ398" s="3264"/>
      <c r="ER398" s="3405"/>
      <c r="ES398" s="3406"/>
      <c r="ET398" s="3406"/>
      <c r="EU398" s="2424">
        <f t="shared" ref="EU398:EX398" si="1295">EU22</f>
        <v>1034308926</v>
      </c>
      <c r="EV398" s="2424">
        <f t="shared" si="1295"/>
        <v>1034308926</v>
      </c>
      <c r="EW398" s="2424">
        <f t="shared" si="1295"/>
        <v>0</v>
      </c>
      <c r="EX398" s="2424">
        <f t="shared" si="1295"/>
        <v>0</v>
      </c>
      <c r="EY398" s="3264"/>
      <c r="EZ398" s="3405"/>
      <c r="FA398" s="3406"/>
      <c r="FB398" s="3406"/>
      <c r="FC398" s="2424">
        <f t="shared" ref="FC398:FF398" si="1296">FC22</f>
        <v>1034308926</v>
      </c>
      <c r="FD398" s="2424">
        <f t="shared" si="1296"/>
        <v>1034308926</v>
      </c>
      <c r="FE398" s="2424">
        <f t="shared" si="1296"/>
        <v>0</v>
      </c>
      <c r="FF398" s="2424">
        <f t="shared" si="1296"/>
        <v>0</v>
      </c>
      <c r="FG398" s="3264"/>
      <c r="FH398" s="3405"/>
      <c r="FI398" s="3406"/>
      <c r="FJ398" s="3406"/>
      <c r="FK398" s="2424">
        <f t="shared" ref="FK398:FN398" si="1297">FK22</f>
        <v>1034308926</v>
      </c>
      <c r="FL398" s="2424">
        <f t="shared" si="1297"/>
        <v>1034308926</v>
      </c>
      <c r="FM398" s="2424">
        <f t="shared" si="1297"/>
        <v>0</v>
      </c>
      <c r="FN398" s="2424">
        <f t="shared" si="1297"/>
        <v>0</v>
      </c>
      <c r="FO398" s="3264"/>
    </row>
    <row r="399" spans="2:171">
      <c r="B399" s="3086"/>
      <c r="C399" s="3086" t="s">
        <v>113</v>
      </c>
      <c r="D399" s="3405"/>
      <c r="E399" s="3234" t="s">
        <v>392</v>
      </c>
      <c r="G399" s="2424">
        <f t="shared" si="1277"/>
        <v>0</v>
      </c>
      <c r="H399" s="2424">
        <f t="shared" si="1277"/>
        <v>0</v>
      </c>
      <c r="I399" s="2424">
        <f t="shared" si="1277"/>
        <v>0</v>
      </c>
      <c r="J399" s="2424">
        <f t="shared" si="1277"/>
        <v>0</v>
      </c>
      <c r="K399" s="3264"/>
      <c r="L399" s="3405"/>
      <c r="M399" s="3406"/>
      <c r="N399" s="3406"/>
      <c r="O399" s="2424">
        <f t="shared" ref="O399:R399" si="1298">O23</f>
        <v>0</v>
      </c>
      <c r="P399" s="2424">
        <f t="shared" si="1298"/>
        <v>0</v>
      </c>
      <c r="Q399" s="2424">
        <f t="shared" si="1298"/>
        <v>0</v>
      </c>
      <c r="R399" s="2424">
        <f t="shared" si="1298"/>
        <v>0</v>
      </c>
      <c r="S399" s="3264"/>
      <c r="T399" s="3405"/>
      <c r="U399" s="3406"/>
      <c r="V399" s="3406"/>
      <c r="W399" s="2424">
        <f t="shared" ref="W399:Z399" si="1299">W23</f>
        <v>0</v>
      </c>
      <c r="X399" s="2424">
        <f t="shared" si="1299"/>
        <v>0</v>
      </c>
      <c r="Y399" s="2424">
        <f t="shared" si="1299"/>
        <v>0</v>
      </c>
      <c r="Z399" s="2424">
        <f t="shared" si="1299"/>
        <v>0</v>
      </c>
      <c r="AA399" s="3264"/>
      <c r="AB399" s="3405"/>
      <c r="AC399" s="3406"/>
      <c r="AD399" s="3406"/>
      <c r="AE399" s="2424">
        <f t="shared" ref="AE399:AH399" si="1300">AE23</f>
        <v>0</v>
      </c>
      <c r="AF399" s="2424">
        <f t="shared" si="1300"/>
        <v>0</v>
      </c>
      <c r="AG399" s="2424">
        <f t="shared" si="1300"/>
        <v>0</v>
      </c>
      <c r="AH399" s="2424">
        <f t="shared" si="1300"/>
        <v>0</v>
      </c>
      <c r="AI399" s="3264"/>
      <c r="AJ399" s="3405"/>
      <c r="AK399" s="3406"/>
      <c r="AL399" s="3406"/>
      <c r="AM399" s="2424">
        <f t="shared" ref="AM399:AP399" si="1301">AM23</f>
        <v>0</v>
      </c>
      <c r="AN399" s="2424">
        <f t="shared" si="1301"/>
        <v>0</v>
      </c>
      <c r="AO399" s="2424">
        <f t="shared" si="1301"/>
        <v>0</v>
      </c>
      <c r="AP399" s="2424">
        <f t="shared" si="1301"/>
        <v>0</v>
      </c>
      <c r="AQ399" s="3264"/>
      <c r="AR399" s="3405"/>
      <c r="AS399" s="3406"/>
      <c r="AT399" s="3406"/>
      <c r="AU399" s="2424">
        <f t="shared" ref="AU399:AX399" si="1302">AU23</f>
        <v>0</v>
      </c>
      <c r="AV399" s="2424">
        <f t="shared" si="1302"/>
        <v>0</v>
      </c>
      <c r="AW399" s="2424">
        <f t="shared" si="1302"/>
        <v>0</v>
      </c>
      <c r="AX399" s="2424">
        <f t="shared" si="1302"/>
        <v>0</v>
      </c>
      <c r="AY399" s="3264"/>
      <c r="AZ399" s="3405"/>
      <c r="BA399" s="3406"/>
      <c r="BB399" s="3406"/>
      <c r="BC399" s="2424">
        <f t="shared" ref="BC399:BF399" si="1303">BC23</f>
        <v>0</v>
      </c>
      <c r="BD399" s="2424">
        <f t="shared" si="1303"/>
        <v>0</v>
      </c>
      <c r="BE399" s="2424">
        <f t="shared" si="1303"/>
        <v>0</v>
      </c>
      <c r="BF399" s="2424">
        <f t="shared" si="1303"/>
        <v>0</v>
      </c>
      <c r="BG399" s="3264"/>
      <c r="BH399" s="3405"/>
      <c r="BI399" s="3406"/>
      <c r="BJ399" s="3406"/>
      <c r="BK399" s="2424">
        <f t="shared" ref="BK399:BN399" si="1304">BK23</f>
        <v>0</v>
      </c>
      <c r="BL399" s="2424">
        <f t="shared" si="1304"/>
        <v>0</v>
      </c>
      <c r="BM399" s="2424">
        <f t="shared" si="1304"/>
        <v>0</v>
      </c>
      <c r="BN399" s="2424">
        <f t="shared" si="1304"/>
        <v>0</v>
      </c>
      <c r="BO399" s="3264"/>
      <c r="BP399" s="3405"/>
      <c r="BQ399" s="3406"/>
      <c r="BR399" s="3406"/>
      <c r="BS399" s="2424">
        <f t="shared" ref="BS399:BV399" si="1305">BS23</f>
        <v>0</v>
      </c>
      <c r="BT399" s="2424">
        <f t="shared" si="1305"/>
        <v>0</v>
      </c>
      <c r="BU399" s="2424">
        <f t="shared" si="1305"/>
        <v>0</v>
      </c>
      <c r="BV399" s="2424">
        <f t="shared" si="1305"/>
        <v>0</v>
      </c>
      <c r="BW399" s="3264"/>
      <c r="BX399" s="3405"/>
      <c r="BY399" s="3406"/>
      <c r="BZ399" s="3406"/>
      <c r="CA399" s="2424">
        <f t="shared" ref="CA399:CD399" si="1306">CA23</f>
        <v>0</v>
      </c>
      <c r="CB399" s="2424">
        <f t="shared" si="1306"/>
        <v>0</v>
      </c>
      <c r="CC399" s="2424">
        <f t="shared" si="1306"/>
        <v>0</v>
      </c>
      <c r="CD399" s="2424">
        <f t="shared" si="1306"/>
        <v>0</v>
      </c>
      <c r="CE399" s="3264"/>
      <c r="CF399" s="3405"/>
      <c r="CG399" s="3406"/>
      <c r="CH399" s="3406"/>
      <c r="CI399" s="2424">
        <f t="shared" ref="CI399:CL399" si="1307">CI23</f>
        <v>0</v>
      </c>
      <c r="CJ399" s="2424">
        <f t="shared" si="1307"/>
        <v>0</v>
      </c>
      <c r="CK399" s="2424">
        <f t="shared" si="1307"/>
        <v>0</v>
      </c>
      <c r="CL399" s="2424">
        <f t="shared" si="1307"/>
        <v>0</v>
      </c>
      <c r="CM399" s="3264"/>
      <c r="CN399" s="3405"/>
      <c r="CO399" s="3406"/>
      <c r="CP399" s="3406"/>
      <c r="CQ399" s="2424">
        <f t="shared" ref="CQ399:CT399" si="1308">CQ23</f>
        <v>0</v>
      </c>
      <c r="CR399" s="2424">
        <f t="shared" si="1308"/>
        <v>0</v>
      </c>
      <c r="CS399" s="2424">
        <f t="shared" si="1308"/>
        <v>0</v>
      </c>
      <c r="CT399" s="2424">
        <f t="shared" si="1308"/>
        <v>0</v>
      </c>
      <c r="CU399" s="3264"/>
      <c r="CV399" s="3405"/>
      <c r="CW399" s="3406"/>
      <c r="CX399" s="3406"/>
      <c r="CY399" s="2424">
        <f t="shared" ref="CY399:DB399" si="1309">CY23</f>
        <v>0</v>
      </c>
      <c r="CZ399" s="2424">
        <f t="shared" si="1309"/>
        <v>0</v>
      </c>
      <c r="DA399" s="2424">
        <f t="shared" si="1309"/>
        <v>0</v>
      </c>
      <c r="DB399" s="2424">
        <f t="shared" si="1309"/>
        <v>0</v>
      </c>
      <c r="DC399" s="3264"/>
      <c r="DD399" s="3405"/>
      <c r="DE399" s="3406"/>
      <c r="DF399" s="3406"/>
      <c r="DG399" s="2424">
        <f t="shared" ref="DG399:DJ399" si="1310">DG23</f>
        <v>0</v>
      </c>
      <c r="DH399" s="2424">
        <f t="shared" si="1310"/>
        <v>0</v>
      </c>
      <c r="DI399" s="2424">
        <f t="shared" si="1310"/>
        <v>0</v>
      </c>
      <c r="DJ399" s="2424">
        <f t="shared" si="1310"/>
        <v>0</v>
      </c>
      <c r="DK399" s="3264"/>
      <c r="DL399" s="3405"/>
      <c r="DM399" s="3406"/>
      <c r="DN399" s="3406"/>
      <c r="DO399" s="2424">
        <f t="shared" ref="DO399:DR399" si="1311">DO23</f>
        <v>0</v>
      </c>
      <c r="DP399" s="2424">
        <f t="shared" si="1311"/>
        <v>0</v>
      </c>
      <c r="DQ399" s="2424">
        <f t="shared" si="1311"/>
        <v>0</v>
      </c>
      <c r="DR399" s="2424">
        <f t="shared" si="1311"/>
        <v>0</v>
      </c>
      <c r="DS399" s="3264"/>
      <c r="DT399" s="3405"/>
      <c r="DU399" s="3406"/>
      <c r="DV399" s="3406"/>
      <c r="DW399" s="2424">
        <f t="shared" ref="DW399:DZ399" si="1312">DW23</f>
        <v>0</v>
      </c>
      <c r="DX399" s="2424">
        <f t="shared" si="1312"/>
        <v>0</v>
      </c>
      <c r="DY399" s="2424">
        <f t="shared" si="1312"/>
        <v>0</v>
      </c>
      <c r="DZ399" s="2424">
        <f t="shared" si="1312"/>
        <v>0</v>
      </c>
      <c r="EA399" s="3264"/>
      <c r="EB399" s="3405"/>
      <c r="EC399" s="3406"/>
      <c r="ED399" s="3406"/>
      <c r="EE399" s="2424">
        <f t="shared" ref="EE399:EH399" si="1313">EE23</f>
        <v>0</v>
      </c>
      <c r="EF399" s="2424">
        <f t="shared" si="1313"/>
        <v>0</v>
      </c>
      <c r="EG399" s="2424">
        <f t="shared" si="1313"/>
        <v>0</v>
      </c>
      <c r="EH399" s="2424">
        <f t="shared" si="1313"/>
        <v>0</v>
      </c>
      <c r="EI399" s="3264"/>
      <c r="EJ399" s="3405"/>
      <c r="EK399" s="3406"/>
      <c r="EL399" s="3406"/>
      <c r="EM399" s="2424">
        <f t="shared" ref="EM399:EP399" si="1314">EM23</f>
        <v>0</v>
      </c>
      <c r="EN399" s="2424">
        <f t="shared" si="1314"/>
        <v>0</v>
      </c>
      <c r="EO399" s="2424">
        <f t="shared" si="1314"/>
        <v>0</v>
      </c>
      <c r="EP399" s="2424">
        <f t="shared" si="1314"/>
        <v>0</v>
      </c>
      <c r="EQ399" s="3264"/>
      <c r="ER399" s="3405"/>
      <c r="ES399" s="3406"/>
      <c r="ET399" s="3406"/>
      <c r="EU399" s="2424">
        <f t="shared" ref="EU399:EX399" si="1315">EU23</f>
        <v>0</v>
      </c>
      <c r="EV399" s="2424">
        <f t="shared" si="1315"/>
        <v>0</v>
      </c>
      <c r="EW399" s="2424">
        <f t="shared" si="1315"/>
        <v>0</v>
      </c>
      <c r="EX399" s="2424">
        <f t="shared" si="1315"/>
        <v>0</v>
      </c>
      <c r="EY399" s="3264"/>
      <c r="EZ399" s="3405"/>
      <c r="FA399" s="3406"/>
      <c r="FB399" s="3406"/>
      <c r="FC399" s="2424">
        <f t="shared" ref="FC399:FF399" si="1316">FC23</f>
        <v>0</v>
      </c>
      <c r="FD399" s="2424">
        <f t="shared" si="1316"/>
        <v>0</v>
      </c>
      <c r="FE399" s="2424">
        <f t="shared" si="1316"/>
        <v>0</v>
      </c>
      <c r="FF399" s="2424">
        <f t="shared" si="1316"/>
        <v>0</v>
      </c>
      <c r="FG399" s="3264"/>
      <c r="FH399" s="3405"/>
      <c r="FI399" s="3406"/>
      <c r="FJ399" s="3406"/>
      <c r="FK399" s="2424">
        <f t="shared" ref="FK399:FN399" si="1317">FK23</f>
        <v>0</v>
      </c>
      <c r="FL399" s="2424">
        <f t="shared" si="1317"/>
        <v>0</v>
      </c>
      <c r="FM399" s="2424">
        <f t="shared" si="1317"/>
        <v>0</v>
      </c>
      <c r="FN399" s="2424">
        <f t="shared" si="1317"/>
        <v>0</v>
      </c>
      <c r="FO399" s="3264"/>
    </row>
    <row r="400" spans="2:171">
      <c r="B400" s="3086"/>
      <c r="C400" s="3086" t="s">
        <v>115</v>
      </c>
      <c r="D400" s="3405"/>
      <c r="E400" s="3234" t="s">
        <v>392</v>
      </c>
      <c r="G400" s="2424">
        <f t="shared" si="1277"/>
        <v>788941762</v>
      </c>
      <c r="H400" s="2424">
        <f t="shared" si="1277"/>
        <v>788941762</v>
      </c>
      <c r="I400" s="2424">
        <f t="shared" si="1277"/>
        <v>0</v>
      </c>
      <c r="J400" s="2424">
        <f t="shared" si="1277"/>
        <v>0</v>
      </c>
      <c r="K400" s="3264"/>
      <c r="L400" s="3405"/>
      <c r="M400" s="3406"/>
      <c r="N400" s="3406"/>
      <c r="O400" s="2424">
        <f t="shared" ref="O400:R400" si="1318">O24</f>
        <v>788941762</v>
      </c>
      <c r="P400" s="2424">
        <f t="shared" si="1318"/>
        <v>788941762</v>
      </c>
      <c r="Q400" s="2424">
        <f t="shared" si="1318"/>
        <v>0</v>
      </c>
      <c r="R400" s="2424">
        <f t="shared" si="1318"/>
        <v>0</v>
      </c>
      <c r="S400" s="3264"/>
      <c r="T400" s="3405"/>
      <c r="U400" s="3406"/>
      <c r="V400" s="3406"/>
      <c r="W400" s="2424">
        <f t="shared" ref="W400:Z400" si="1319">W24</f>
        <v>788941762</v>
      </c>
      <c r="X400" s="2424">
        <f t="shared" si="1319"/>
        <v>788941762</v>
      </c>
      <c r="Y400" s="2424">
        <f t="shared" si="1319"/>
        <v>0</v>
      </c>
      <c r="Z400" s="2424">
        <f t="shared" si="1319"/>
        <v>0</v>
      </c>
      <c r="AA400" s="3264"/>
      <c r="AB400" s="3405"/>
      <c r="AC400" s="3406"/>
      <c r="AD400" s="3406"/>
      <c r="AE400" s="2424">
        <f t="shared" ref="AE400:AH400" si="1320">AE24</f>
        <v>788941762</v>
      </c>
      <c r="AF400" s="2424">
        <f t="shared" si="1320"/>
        <v>788941762</v>
      </c>
      <c r="AG400" s="2424">
        <f t="shared" si="1320"/>
        <v>0</v>
      </c>
      <c r="AH400" s="2424">
        <f t="shared" si="1320"/>
        <v>0</v>
      </c>
      <c r="AI400" s="3264"/>
      <c r="AJ400" s="3405"/>
      <c r="AK400" s="3406"/>
      <c r="AL400" s="3406"/>
      <c r="AM400" s="2424">
        <f t="shared" ref="AM400:AP400" si="1321">AM24</f>
        <v>788941762</v>
      </c>
      <c r="AN400" s="2424">
        <f t="shared" si="1321"/>
        <v>788941762</v>
      </c>
      <c r="AO400" s="2424">
        <f t="shared" si="1321"/>
        <v>0</v>
      </c>
      <c r="AP400" s="2424">
        <f t="shared" si="1321"/>
        <v>0</v>
      </c>
      <c r="AQ400" s="3264"/>
      <c r="AR400" s="3405"/>
      <c r="AS400" s="3406"/>
      <c r="AT400" s="3406"/>
      <c r="AU400" s="2424">
        <f t="shared" ref="AU400:AX400" si="1322">AU24</f>
        <v>788941762</v>
      </c>
      <c r="AV400" s="2424">
        <f t="shared" si="1322"/>
        <v>788941762</v>
      </c>
      <c r="AW400" s="2424">
        <f t="shared" si="1322"/>
        <v>0</v>
      </c>
      <c r="AX400" s="2424">
        <f t="shared" si="1322"/>
        <v>0</v>
      </c>
      <c r="AY400" s="3264"/>
      <c r="AZ400" s="3405"/>
      <c r="BA400" s="3406"/>
      <c r="BB400" s="3406"/>
      <c r="BC400" s="2424">
        <f t="shared" ref="BC400:BF400" si="1323">BC24</f>
        <v>788941762</v>
      </c>
      <c r="BD400" s="2424">
        <f t="shared" si="1323"/>
        <v>788941762</v>
      </c>
      <c r="BE400" s="2424">
        <f t="shared" si="1323"/>
        <v>0</v>
      </c>
      <c r="BF400" s="2424">
        <f t="shared" si="1323"/>
        <v>0</v>
      </c>
      <c r="BG400" s="3264"/>
      <c r="BH400" s="3405"/>
      <c r="BI400" s="3406"/>
      <c r="BJ400" s="3406"/>
      <c r="BK400" s="2424">
        <f t="shared" ref="BK400:BN400" si="1324">BK24</f>
        <v>788941762</v>
      </c>
      <c r="BL400" s="2424">
        <f t="shared" si="1324"/>
        <v>788941762</v>
      </c>
      <c r="BM400" s="2424">
        <f t="shared" si="1324"/>
        <v>0</v>
      </c>
      <c r="BN400" s="2424">
        <f t="shared" si="1324"/>
        <v>0</v>
      </c>
      <c r="BO400" s="3264"/>
      <c r="BP400" s="3405"/>
      <c r="BQ400" s="3406"/>
      <c r="BR400" s="3406"/>
      <c r="BS400" s="2424">
        <f t="shared" ref="BS400:BV400" si="1325">BS24</f>
        <v>788941762</v>
      </c>
      <c r="BT400" s="2424">
        <f t="shared" si="1325"/>
        <v>788941762</v>
      </c>
      <c r="BU400" s="2424">
        <f t="shared" si="1325"/>
        <v>0</v>
      </c>
      <c r="BV400" s="2424">
        <f t="shared" si="1325"/>
        <v>0</v>
      </c>
      <c r="BW400" s="3264"/>
      <c r="BX400" s="3405"/>
      <c r="BY400" s="3406"/>
      <c r="BZ400" s="3406"/>
      <c r="CA400" s="2424">
        <f t="shared" ref="CA400:CD400" si="1326">CA24</f>
        <v>788941762</v>
      </c>
      <c r="CB400" s="2424">
        <f t="shared" si="1326"/>
        <v>788941762</v>
      </c>
      <c r="CC400" s="2424">
        <f t="shared" si="1326"/>
        <v>0</v>
      </c>
      <c r="CD400" s="2424">
        <f t="shared" si="1326"/>
        <v>0</v>
      </c>
      <c r="CE400" s="3264"/>
      <c r="CF400" s="3405"/>
      <c r="CG400" s="3406"/>
      <c r="CH400" s="3406"/>
      <c r="CI400" s="2424">
        <f t="shared" ref="CI400:CL400" si="1327">CI24</f>
        <v>788941762</v>
      </c>
      <c r="CJ400" s="2424">
        <f t="shared" si="1327"/>
        <v>788941762</v>
      </c>
      <c r="CK400" s="2424">
        <f t="shared" si="1327"/>
        <v>0</v>
      </c>
      <c r="CL400" s="2424">
        <f t="shared" si="1327"/>
        <v>0</v>
      </c>
      <c r="CM400" s="3264"/>
      <c r="CN400" s="3405"/>
      <c r="CO400" s="3406"/>
      <c r="CP400" s="3406"/>
      <c r="CQ400" s="2424">
        <f t="shared" ref="CQ400:CT400" si="1328">CQ24</f>
        <v>788941762</v>
      </c>
      <c r="CR400" s="2424">
        <f t="shared" si="1328"/>
        <v>788941762</v>
      </c>
      <c r="CS400" s="2424">
        <f t="shared" si="1328"/>
        <v>0</v>
      </c>
      <c r="CT400" s="2424">
        <f t="shared" si="1328"/>
        <v>0</v>
      </c>
      <c r="CU400" s="3264"/>
      <c r="CV400" s="3405"/>
      <c r="CW400" s="3406"/>
      <c r="CX400" s="3406"/>
      <c r="CY400" s="2424">
        <f t="shared" ref="CY400:DB400" si="1329">CY24</f>
        <v>788941762</v>
      </c>
      <c r="CZ400" s="2424">
        <f t="shared" si="1329"/>
        <v>788941762</v>
      </c>
      <c r="DA400" s="2424">
        <f t="shared" si="1329"/>
        <v>0</v>
      </c>
      <c r="DB400" s="2424">
        <f t="shared" si="1329"/>
        <v>0</v>
      </c>
      <c r="DC400" s="3264"/>
      <c r="DD400" s="3405"/>
      <c r="DE400" s="3406"/>
      <c r="DF400" s="3406"/>
      <c r="DG400" s="2424">
        <f t="shared" ref="DG400:DJ400" si="1330">DG24</f>
        <v>788941762</v>
      </c>
      <c r="DH400" s="2424">
        <f t="shared" si="1330"/>
        <v>788941762</v>
      </c>
      <c r="DI400" s="2424">
        <f t="shared" si="1330"/>
        <v>0</v>
      </c>
      <c r="DJ400" s="2424">
        <f t="shared" si="1330"/>
        <v>0</v>
      </c>
      <c r="DK400" s="3264"/>
      <c r="DL400" s="3405"/>
      <c r="DM400" s="3406"/>
      <c r="DN400" s="3406"/>
      <c r="DO400" s="2424">
        <f t="shared" ref="DO400:DR400" si="1331">DO24</f>
        <v>788941762</v>
      </c>
      <c r="DP400" s="2424">
        <f t="shared" si="1331"/>
        <v>788941762</v>
      </c>
      <c r="DQ400" s="2424">
        <f t="shared" si="1331"/>
        <v>0</v>
      </c>
      <c r="DR400" s="2424">
        <f t="shared" si="1331"/>
        <v>0</v>
      </c>
      <c r="DS400" s="3264"/>
      <c r="DT400" s="3405"/>
      <c r="DU400" s="3406"/>
      <c r="DV400" s="3406"/>
      <c r="DW400" s="2424">
        <f t="shared" ref="DW400:DZ400" si="1332">DW24</f>
        <v>788941762</v>
      </c>
      <c r="DX400" s="2424">
        <f t="shared" si="1332"/>
        <v>788941762</v>
      </c>
      <c r="DY400" s="2424">
        <f t="shared" si="1332"/>
        <v>0</v>
      </c>
      <c r="DZ400" s="2424">
        <f t="shared" si="1332"/>
        <v>0</v>
      </c>
      <c r="EA400" s="3264"/>
      <c r="EB400" s="3405"/>
      <c r="EC400" s="3406"/>
      <c r="ED400" s="3406"/>
      <c r="EE400" s="2424">
        <f t="shared" ref="EE400:EH400" si="1333">EE24</f>
        <v>788941762</v>
      </c>
      <c r="EF400" s="2424">
        <f t="shared" si="1333"/>
        <v>788941762</v>
      </c>
      <c r="EG400" s="2424">
        <f t="shared" si="1333"/>
        <v>0</v>
      </c>
      <c r="EH400" s="2424">
        <f t="shared" si="1333"/>
        <v>0</v>
      </c>
      <c r="EI400" s="3264"/>
      <c r="EJ400" s="3405"/>
      <c r="EK400" s="3406"/>
      <c r="EL400" s="3406"/>
      <c r="EM400" s="2424">
        <f t="shared" ref="EM400:EP400" si="1334">EM24</f>
        <v>788941762</v>
      </c>
      <c r="EN400" s="2424">
        <f t="shared" si="1334"/>
        <v>788941762</v>
      </c>
      <c r="EO400" s="2424">
        <f t="shared" si="1334"/>
        <v>0</v>
      </c>
      <c r="EP400" s="2424">
        <f t="shared" si="1334"/>
        <v>0</v>
      </c>
      <c r="EQ400" s="3264"/>
      <c r="ER400" s="3405"/>
      <c r="ES400" s="3406"/>
      <c r="ET400" s="3406"/>
      <c r="EU400" s="2424">
        <f t="shared" ref="EU400:EX400" si="1335">EU24</f>
        <v>788941762</v>
      </c>
      <c r="EV400" s="2424">
        <f t="shared" si="1335"/>
        <v>788941762</v>
      </c>
      <c r="EW400" s="2424">
        <f t="shared" si="1335"/>
        <v>0</v>
      </c>
      <c r="EX400" s="2424">
        <f t="shared" si="1335"/>
        <v>0</v>
      </c>
      <c r="EY400" s="3264"/>
      <c r="EZ400" s="3405"/>
      <c r="FA400" s="3406"/>
      <c r="FB400" s="3406"/>
      <c r="FC400" s="2424">
        <f t="shared" ref="FC400:FF400" si="1336">FC24</f>
        <v>788941762</v>
      </c>
      <c r="FD400" s="2424">
        <f t="shared" si="1336"/>
        <v>788941762</v>
      </c>
      <c r="FE400" s="2424">
        <f t="shared" si="1336"/>
        <v>0</v>
      </c>
      <c r="FF400" s="2424">
        <f t="shared" si="1336"/>
        <v>0</v>
      </c>
      <c r="FG400" s="3264"/>
      <c r="FH400" s="3405"/>
      <c r="FI400" s="3406"/>
      <c r="FJ400" s="3406"/>
      <c r="FK400" s="2424">
        <f t="shared" ref="FK400:FN400" si="1337">FK24</f>
        <v>788941762</v>
      </c>
      <c r="FL400" s="2424">
        <f t="shared" si="1337"/>
        <v>788941762</v>
      </c>
      <c r="FM400" s="2424">
        <f t="shared" si="1337"/>
        <v>0</v>
      </c>
      <c r="FN400" s="2424">
        <f t="shared" si="1337"/>
        <v>0</v>
      </c>
      <c r="FO400" s="3264"/>
    </row>
    <row r="401" spans="2:171">
      <c r="B401" s="3086"/>
      <c r="C401" s="3086" t="s">
        <v>117</v>
      </c>
      <c r="D401" s="3405"/>
      <c r="E401" s="3234" t="s">
        <v>392</v>
      </c>
      <c r="G401" s="2424">
        <f t="shared" si="1277"/>
        <v>2079134143</v>
      </c>
      <c r="H401" s="2424">
        <f t="shared" si="1277"/>
        <v>2079134143</v>
      </c>
      <c r="I401" s="2424">
        <f t="shared" si="1277"/>
        <v>0</v>
      </c>
      <c r="J401" s="2424">
        <f t="shared" si="1277"/>
        <v>0</v>
      </c>
      <c r="K401" s="3264"/>
      <c r="L401" s="3405"/>
      <c r="M401" s="3406"/>
      <c r="N401" s="3406"/>
      <c r="O401" s="2424">
        <f t="shared" ref="O401:R401" si="1338">O25</f>
        <v>2079134143</v>
      </c>
      <c r="P401" s="2424">
        <f t="shared" si="1338"/>
        <v>2079134143</v>
      </c>
      <c r="Q401" s="2424">
        <f t="shared" si="1338"/>
        <v>0</v>
      </c>
      <c r="R401" s="2424">
        <f t="shared" si="1338"/>
        <v>0</v>
      </c>
      <c r="S401" s="3264"/>
      <c r="T401" s="3405"/>
      <c r="U401" s="3406"/>
      <c r="V401" s="3406"/>
      <c r="W401" s="2424">
        <f t="shared" ref="W401:Z401" si="1339">W25</f>
        <v>2079134143</v>
      </c>
      <c r="X401" s="2424">
        <f t="shared" si="1339"/>
        <v>2079134143</v>
      </c>
      <c r="Y401" s="2424">
        <f t="shared" si="1339"/>
        <v>0</v>
      </c>
      <c r="Z401" s="2424">
        <f t="shared" si="1339"/>
        <v>0</v>
      </c>
      <c r="AA401" s="3264"/>
      <c r="AB401" s="3405"/>
      <c r="AC401" s="3406"/>
      <c r="AD401" s="3406"/>
      <c r="AE401" s="2424">
        <f t="shared" ref="AE401:AH401" si="1340">AE25</f>
        <v>2079134143</v>
      </c>
      <c r="AF401" s="2424">
        <f t="shared" si="1340"/>
        <v>2079134143</v>
      </c>
      <c r="AG401" s="2424">
        <f t="shared" si="1340"/>
        <v>0</v>
      </c>
      <c r="AH401" s="2424">
        <f t="shared" si="1340"/>
        <v>0</v>
      </c>
      <c r="AI401" s="3264"/>
      <c r="AJ401" s="3405"/>
      <c r="AK401" s="3406"/>
      <c r="AL401" s="3406"/>
      <c r="AM401" s="2424">
        <f t="shared" ref="AM401:AP401" si="1341">AM25</f>
        <v>2079134143</v>
      </c>
      <c r="AN401" s="2424">
        <f t="shared" si="1341"/>
        <v>2079134143</v>
      </c>
      <c r="AO401" s="2424">
        <f t="shared" si="1341"/>
        <v>0</v>
      </c>
      <c r="AP401" s="2424">
        <f t="shared" si="1341"/>
        <v>0</v>
      </c>
      <c r="AQ401" s="3264"/>
      <c r="AR401" s="3405"/>
      <c r="AS401" s="3406"/>
      <c r="AT401" s="3406"/>
      <c r="AU401" s="2424">
        <f t="shared" ref="AU401:AX401" si="1342">AU25</f>
        <v>2079134143</v>
      </c>
      <c r="AV401" s="2424">
        <f t="shared" si="1342"/>
        <v>2079134143</v>
      </c>
      <c r="AW401" s="2424">
        <f t="shared" si="1342"/>
        <v>0</v>
      </c>
      <c r="AX401" s="2424">
        <f t="shared" si="1342"/>
        <v>0</v>
      </c>
      <c r="AY401" s="3264"/>
      <c r="AZ401" s="3405"/>
      <c r="BA401" s="3406"/>
      <c r="BB401" s="3406"/>
      <c r="BC401" s="2424">
        <f t="shared" ref="BC401:BF401" si="1343">BC25</f>
        <v>2079134143</v>
      </c>
      <c r="BD401" s="2424">
        <f t="shared" si="1343"/>
        <v>2079134143</v>
      </c>
      <c r="BE401" s="2424">
        <f t="shared" si="1343"/>
        <v>0</v>
      </c>
      <c r="BF401" s="2424">
        <f t="shared" si="1343"/>
        <v>0</v>
      </c>
      <c r="BG401" s="3264"/>
      <c r="BH401" s="3405"/>
      <c r="BI401" s="3406"/>
      <c r="BJ401" s="3406"/>
      <c r="BK401" s="2424">
        <f t="shared" ref="BK401:BN401" si="1344">BK25</f>
        <v>2079134143</v>
      </c>
      <c r="BL401" s="2424">
        <f t="shared" si="1344"/>
        <v>2079134143</v>
      </c>
      <c r="BM401" s="2424">
        <f t="shared" si="1344"/>
        <v>0</v>
      </c>
      <c r="BN401" s="2424">
        <f t="shared" si="1344"/>
        <v>0</v>
      </c>
      <c r="BO401" s="3264"/>
      <c r="BP401" s="3405"/>
      <c r="BQ401" s="3406"/>
      <c r="BR401" s="3406"/>
      <c r="BS401" s="2424">
        <f t="shared" ref="BS401:BV401" si="1345">BS25</f>
        <v>2079134143</v>
      </c>
      <c r="BT401" s="2424">
        <f t="shared" si="1345"/>
        <v>2079134143</v>
      </c>
      <c r="BU401" s="2424">
        <f t="shared" si="1345"/>
        <v>0</v>
      </c>
      <c r="BV401" s="2424">
        <f t="shared" si="1345"/>
        <v>0</v>
      </c>
      <c r="BW401" s="3264"/>
      <c r="BX401" s="3405"/>
      <c r="BY401" s="3406"/>
      <c r="BZ401" s="3406"/>
      <c r="CA401" s="2424">
        <f t="shared" ref="CA401:CD401" si="1346">CA25</f>
        <v>2079134143</v>
      </c>
      <c r="CB401" s="2424">
        <f t="shared" si="1346"/>
        <v>2079134143</v>
      </c>
      <c r="CC401" s="2424">
        <f t="shared" si="1346"/>
        <v>0</v>
      </c>
      <c r="CD401" s="2424">
        <f t="shared" si="1346"/>
        <v>0</v>
      </c>
      <c r="CE401" s="3264"/>
      <c r="CF401" s="3405"/>
      <c r="CG401" s="3406"/>
      <c r="CH401" s="3406"/>
      <c r="CI401" s="2424">
        <f t="shared" ref="CI401:CL401" si="1347">CI25</f>
        <v>2079134143</v>
      </c>
      <c r="CJ401" s="2424">
        <f t="shared" si="1347"/>
        <v>2079134143</v>
      </c>
      <c r="CK401" s="2424">
        <f t="shared" si="1347"/>
        <v>0</v>
      </c>
      <c r="CL401" s="2424">
        <f t="shared" si="1347"/>
        <v>0</v>
      </c>
      <c r="CM401" s="3264"/>
      <c r="CN401" s="3405"/>
      <c r="CO401" s="3406"/>
      <c r="CP401" s="3406"/>
      <c r="CQ401" s="2424">
        <f t="shared" ref="CQ401:CT401" si="1348">CQ25</f>
        <v>2079134143</v>
      </c>
      <c r="CR401" s="2424">
        <f t="shared" si="1348"/>
        <v>2079134143</v>
      </c>
      <c r="CS401" s="2424">
        <f t="shared" si="1348"/>
        <v>0</v>
      </c>
      <c r="CT401" s="2424">
        <f t="shared" si="1348"/>
        <v>0</v>
      </c>
      <c r="CU401" s="3264"/>
      <c r="CV401" s="3405"/>
      <c r="CW401" s="3406"/>
      <c r="CX401" s="3406"/>
      <c r="CY401" s="2424">
        <f t="shared" ref="CY401:DB401" si="1349">CY25</f>
        <v>2079134143</v>
      </c>
      <c r="CZ401" s="2424">
        <f t="shared" si="1349"/>
        <v>2079134143</v>
      </c>
      <c r="DA401" s="2424">
        <f t="shared" si="1349"/>
        <v>0</v>
      </c>
      <c r="DB401" s="2424">
        <f t="shared" si="1349"/>
        <v>0</v>
      </c>
      <c r="DC401" s="3264"/>
      <c r="DD401" s="3405"/>
      <c r="DE401" s="3406"/>
      <c r="DF401" s="3406"/>
      <c r="DG401" s="2424">
        <f t="shared" ref="DG401:DJ401" si="1350">DG25</f>
        <v>2079134143</v>
      </c>
      <c r="DH401" s="2424">
        <f t="shared" si="1350"/>
        <v>2079134143</v>
      </c>
      <c r="DI401" s="2424">
        <f t="shared" si="1350"/>
        <v>0</v>
      </c>
      <c r="DJ401" s="2424">
        <f t="shared" si="1350"/>
        <v>0</v>
      </c>
      <c r="DK401" s="3264"/>
      <c r="DL401" s="3405"/>
      <c r="DM401" s="3406"/>
      <c r="DN401" s="3406"/>
      <c r="DO401" s="2424">
        <f t="shared" ref="DO401:DR401" si="1351">DO25</f>
        <v>2079134143</v>
      </c>
      <c r="DP401" s="2424">
        <f t="shared" si="1351"/>
        <v>2079134143</v>
      </c>
      <c r="DQ401" s="2424">
        <f t="shared" si="1351"/>
        <v>0</v>
      </c>
      <c r="DR401" s="2424">
        <f t="shared" si="1351"/>
        <v>0</v>
      </c>
      <c r="DS401" s="3264"/>
      <c r="DT401" s="3405"/>
      <c r="DU401" s="3406"/>
      <c r="DV401" s="3406"/>
      <c r="DW401" s="2424">
        <f t="shared" ref="DW401:DZ401" si="1352">DW25</f>
        <v>2079134143</v>
      </c>
      <c r="DX401" s="2424">
        <f t="shared" si="1352"/>
        <v>2079134143</v>
      </c>
      <c r="DY401" s="2424">
        <f t="shared" si="1352"/>
        <v>0</v>
      </c>
      <c r="DZ401" s="2424">
        <f t="shared" si="1352"/>
        <v>0</v>
      </c>
      <c r="EA401" s="3264"/>
      <c r="EB401" s="3405"/>
      <c r="EC401" s="3406"/>
      <c r="ED401" s="3406"/>
      <c r="EE401" s="2424">
        <f t="shared" ref="EE401:EH401" si="1353">EE25</f>
        <v>2079134143</v>
      </c>
      <c r="EF401" s="2424">
        <f t="shared" si="1353"/>
        <v>2079134143</v>
      </c>
      <c r="EG401" s="2424">
        <f t="shared" si="1353"/>
        <v>0</v>
      </c>
      <c r="EH401" s="2424">
        <f t="shared" si="1353"/>
        <v>0</v>
      </c>
      <c r="EI401" s="3264"/>
      <c r="EJ401" s="3405"/>
      <c r="EK401" s="3406"/>
      <c r="EL401" s="3406"/>
      <c r="EM401" s="2424">
        <f t="shared" ref="EM401:EP401" si="1354">EM25</f>
        <v>2079134143</v>
      </c>
      <c r="EN401" s="2424">
        <f t="shared" si="1354"/>
        <v>2079134143</v>
      </c>
      <c r="EO401" s="2424">
        <f t="shared" si="1354"/>
        <v>0</v>
      </c>
      <c r="EP401" s="2424">
        <f t="shared" si="1354"/>
        <v>0</v>
      </c>
      <c r="EQ401" s="3264"/>
      <c r="ER401" s="3405"/>
      <c r="ES401" s="3406"/>
      <c r="ET401" s="3406"/>
      <c r="EU401" s="2424">
        <f t="shared" ref="EU401:EX401" si="1355">EU25</f>
        <v>2079134143</v>
      </c>
      <c r="EV401" s="2424">
        <f t="shared" si="1355"/>
        <v>2079134143</v>
      </c>
      <c r="EW401" s="2424">
        <f t="shared" si="1355"/>
        <v>0</v>
      </c>
      <c r="EX401" s="2424">
        <f t="shared" si="1355"/>
        <v>0</v>
      </c>
      <c r="EY401" s="3264"/>
      <c r="EZ401" s="3405"/>
      <c r="FA401" s="3406"/>
      <c r="FB401" s="3406"/>
      <c r="FC401" s="2424">
        <f t="shared" ref="FC401:FF401" si="1356">FC25</f>
        <v>2079134143</v>
      </c>
      <c r="FD401" s="2424">
        <f t="shared" si="1356"/>
        <v>2079134143</v>
      </c>
      <c r="FE401" s="2424">
        <f t="shared" si="1356"/>
        <v>0</v>
      </c>
      <c r="FF401" s="2424">
        <f t="shared" si="1356"/>
        <v>0</v>
      </c>
      <c r="FG401" s="3264"/>
      <c r="FH401" s="3405"/>
      <c r="FI401" s="3406"/>
      <c r="FJ401" s="3406"/>
      <c r="FK401" s="2424">
        <f t="shared" ref="FK401:FN401" si="1357">FK25</f>
        <v>2079134143</v>
      </c>
      <c r="FL401" s="2424">
        <f t="shared" si="1357"/>
        <v>2079134143</v>
      </c>
      <c r="FM401" s="2424">
        <f t="shared" si="1357"/>
        <v>0</v>
      </c>
      <c r="FN401" s="2424">
        <f t="shared" si="1357"/>
        <v>0</v>
      </c>
      <c r="FO401" s="3264"/>
    </row>
    <row r="402" spans="2:171">
      <c r="B402" s="3086"/>
      <c r="C402" s="3086" t="s">
        <v>119</v>
      </c>
      <c r="D402" s="3405"/>
      <c r="E402" s="3234"/>
      <c r="G402" s="2424">
        <f>SUM(G398:G401)</f>
        <v>3902384831</v>
      </c>
      <c r="H402" s="2424">
        <f t="shared" ref="H402:J402" si="1358">SUM(H398:H401)</f>
        <v>3902384831</v>
      </c>
      <c r="I402" s="2424">
        <f t="shared" si="1358"/>
        <v>0</v>
      </c>
      <c r="J402" s="2424">
        <f t="shared" si="1358"/>
        <v>0</v>
      </c>
      <c r="K402" s="3264"/>
      <c r="L402" s="3405"/>
      <c r="M402" s="3406"/>
      <c r="N402" s="3406"/>
      <c r="O402" s="2424">
        <f>SUM(O398:O401)</f>
        <v>3902384831</v>
      </c>
      <c r="P402" s="2424">
        <f t="shared" ref="P402:R402" si="1359">SUM(P398:P401)</f>
        <v>3902384831</v>
      </c>
      <c r="Q402" s="2424">
        <f t="shared" si="1359"/>
        <v>0</v>
      </c>
      <c r="R402" s="2424">
        <f t="shared" si="1359"/>
        <v>0</v>
      </c>
      <c r="S402" s="3264"/>
      <c r="T402" s="3405"/>
      <c r="U402" s="3406"/>
      <c r="V402" s="3406"/>
      <c r="W402" s="2424">
        <f>SUM(W398:W401)</f>
        <v>3902384831</v>
      </c>
      <c r="X402" s="2424">
        <f t="shared" ref="X402:Z402" si="1360">SUM(X398:X401)</f>
        <v>3902384831</v>
      </c>
      <c r="Y402" s="2424">
        <f t="shared" si="1360"/>
        <v>0</v>
      </c>
      <c r="Z402" s="2424">
        <f t="shared" si="1360"/>
        <v>0</v>
      </c>
      <c r="AA402" s="3264"/>
      <c r="AB402" s="3405"/>
      <c r="AC402" s="3406"/>
      <c r="AD402" s="3406"/>
      <c r="AE402" s="2424">
        <f>SUM(AE398:AE401)</f>
        <v>3902384831</v>
      </c>
      <c r="AF402" s="2424">
        <f t="shared" ref="AF402:AH402" si="1361">SUM(AF398:AF401)</f>
        <v>3902384831</v>
      </c>
      <c r="AG402" s="2424">
        <f t="shared" si="1361"/>
        <v>0</v>
      </c>
      <c r="AH402" s="2424">
        <f t="shared" si="1361"/>
        <v>0</v>
      </c>
      <c r="AI402" s="3264"/>
      <c r="AJ402" s="3405"/>
      <c r="AK402" s="3406"/>
      <c r="AL402" s="3406"/>
      <c r="AM402" s="2424">
        <f>SUM(AM398:AM401)</f>
        <v>3902384831</v>
      </c>
      <c r="AN402" s="2424">
        <f t="shared" ref="AN402:AP402" si="1362">SUM(AN398:AN401)</f>
        <v>3902384831</v>
      </c>
      <c r="AO402" s="2424">
        <f t="shared" si="1362"/>
        <v>0</v>
      </c>
      <c r="AP402" s="2424">
        <f t="shared" si="1362"/>
        <v>0</v>
      </c>
      <c r="AQ402" s="3264"/>
      <c r="AR402" s="3405"/>
      <c r="AS402" s="3406"/>
      <c r="AT402" s="3406"/>
      <c r="AU402" s="2424">
        <f>SUM(AU398:AU401)</f>
        <v>3902384831</v>
      </c>
      <c r="AV402" s="2424">
        <f t="shared" ref="AV402:AX402" si="1363">SUM(AV398:AV401)</f>
        <v>3902384831</v>
      </c>
      <c r="AW402" s="2424">
        <f t="shared" si="1363"/>
        <v>0</v>
      </c>
      <c r="AX402" s="2424">
        <f t="shared" si="1363"/>
        <v>0</v>
      </c>
      <c r="AY402" s="3264"/>
      <c r="AZ402" s="3405"/>
      <c r="BA402" s="3406"/>
      <c r="BB402" s="3406"/>
      <c r="BC402" s="2424">
        <f>SUM(BC398:BC401)</f>
        <v>3902384831</v>
      </c>
      <c r="BD402" s="2424">
        <f t="shared" ref="BD402:BF402" si="1364">SUM(BD398:BD401)</f>
        <v>3902384831</v>
      </c>
      <c r="BE402" s="2424">
        <f t="shared" si="1364"/>
        <v>0</v>
      </c>
      <c r="BF402" s="2424">
        <f t="shared" si="1364"/>
        <v>0</v>
      </c>
      <c r="BG402" s="3264"/>
      <c r="BH402" s="3405"/>
      <c r="BI402" s="3406"/>
      <c r="BJ402" s="3406"/>
      <c r="BK402" s="2424">
        <f>SUM(BK398:BK401)</f>
        <v>3902384831</v>
      </c>
      <c r="BL402" s="2424">
        <f t="shared" ref="BL402:BN402" si="1365">SUM(BL398:BL401)</f>
        <v>3902384831</v>
      </c>
      <c r="BM402" s="2424">
        <f t="shared" si="1365"/>
        <v>0</v>
      </c>
      <c r="BN402" s="2424">
        <f t="shared" si="1365"/>
        <v>0</v>
      </c>
      <c r="BO402" s="3264"/>
      <c r="BP402" s="3405"/>
      <c r="BQ402" s="3406"/>
      <c r="BR402" s="3406"/>
      <c r="BS402" s="2424">
        <f>SUM(BS398:BS401)</f>
        <v>3902384831</v>
      </c>
      <c r="BT402" s="2424">
        <f t="shared" ref="BT402:BV402" si="1366">SUM(BT398:BT401)</f>
        <v>3902384831</v>
      </c>
      <c r="BU402" s="2424">
        <f t="shared" si="1366"/>
        <v>0</v>
      </c>
      <c r="BV402" s="2424">
        <f t="shared" si="1366"/>
        <v>0</v>
      </c>
      <c r="BW402" s="3264"/>
      <c r="BX402" s="3405"/>
      <c r="BY402" s="3406"/>
      <c r="BZ402" s="3406"/>
      <c r="CA402" s="2424">
        <f>SUM(CA398:CA401)</f>
        <v>3902384831</v>
      </c>
      <c r="CB402" s="2424">
        <f t="shared" ref="CB402:CD402" si="1367">SUM(CB398:CB401)</f>
        <v>3902384831</v>
      </c>
      <c r="CC402" s="2424">
        <f t="shared" si="1367"/>
        <v>0</v>
      </c>
      <c r="CD402" s="2424">
        <f t="shared" si="1367"/>
        <v>0</v>
      </c>
      <c r="CE402" s="3264"/>
      <c r="CF402" s="3405"/>
      <c r="CG402" s="3406"/>
      <c r="CH402" s="3406"/>
      <c r="CI402" s="2424">
        <f>SUM(CI398:CI401)</f>
        <v>3902384831</v>
      </c>
      <c r="CJ402" s="2424">
        <f t="shared" ref="CJ402:CL402" si="1368">SUM(CJ398:CJ401)</f>
        <v>3902384831</v>
      </c>
      <c r="CK402" s="2424">
        <f t="shared" si="1368"/>
        <v>0</v>
      </c>
      <c r="CL402" s="2424">
        <f t="shared" si="1368"/>
        <v>0</v>
      </c>
      <c r="CM402" s="3264"/>
      <c r="CN402" s="3405"/>
      <c r="CO402" s="3406"/>
      <c r="CP402" s="3406"/>
      <c r="CQ402" s="2424">
        <f>SUM(CQ398:CQ401)</f>
        <v>3902384831</v>
      </c>
      <c r="CR402" s="2424">
        <f t="shared" ref="CR402:CT402" si="1369">SUM(CR398:CR401)</f>
        <v>3902384831</v>
      </c>
      <c r="CS402" s="2424">
        <f t="shared" si="1369"/>
        <v>0</v>
      </c>
      <c r="CT402" s="2424">
        <f t="shared" si="1369"/>
        <v>0</v>
      </c>
      <c r="CU402" s="3264"/>
      <c r="CV402" s="3405"/>
      <c r="CW402" s="3406"/>
      <c r="CX402" s="3406"/>
      <c r="CY402" s="2424">
        <f>SUM(CY398:CY401)</f>
        <v>3902384831</v>
      </c>
      <c r="CZ402" s="2424">
        <f t="shared" ref="CZ402:DB402" si="1370">SUM(CZ398:CZ401)</f>
        <v>3902384831</v>
      </c>
      <c r="DA402" s="2424">
        <f t="shared" si="1370"/>
        <v>0</v>
      </c>
      <c r="DB402" s="2424">
        <f t="shared" si="1370"/>
        <v>0</v>
      </c>
      <c r="DC402" s="3264"/>
      <c r="DD402" s="3405"/>
      <c r="DE402" s="3406"/>
      <c r="DF402" s="3406"/>
      <c r="DG402" s="2424">
        <f>SUM(DG398:DG401)</f>
        <v>3902384831</v>
      </c>
      <c r="DH402" s="2424">
        <f t="shared" ref="DH402:DJ402" si="1371">SUM(DH398:DH401)</f>
        <v>3902384831</v>
      </c>
      <c r="DI402" s="2424">
        <f t="shared" si="1371"/>
        <v>0</v>
      </c>
      <c r="DJ402" s="2424">
        <f t="shared" si="1371"/>
        <v>0</v>
      </c>
      <c r="DK402" s="3264"/>
      <c r="DL402" s="3405"/>
      <c r="DM402" s="3406"/>
      <c r="DN402" s="3406"/>
      <c r="DO402" s="2424">
        <f>SUM(DO398:DO401)</f>
        <v>3902384831</v>
      </c>
      <c r="DP402" s="2424">
        <f t="shared" ref="DP402:DR402" si="1372">SUM(DP398:DP401)</f>
        <v>3902384831</v>
      </c>
      <c r="DQ402" s="2424">
        <f t="shared" si="1372"/>
        <v>0</v>
      </c>
      <c r="DR402" s="2424">
        <f t="shared" si="1372"/>
        <v>0</v>
      </c>
      <c r="DS402" s="3264"/>
      <c r="DT402" s="3405"/>
      <c r="DU402" s="3406"/>
      <c r="DV402" s="3406"/>
      <c r="DW402" s="2424">
        <f>SUM(DW398:DW401)</f>
        <v>3902384831</v>
      </c>
      <c r="DX402" s="2424">
        <f t="shared" ref="DX402:DZ402" si="1373">SUM(DX398:DX401)</f>
        <v>3902384831</v>
      </c>
      <c r="DY402" s="2424">
        <f t="shared" si="1373"/>
        <v>0</v>
      </c>
      <c r="DZ402" s="2424">
        <f t="shared" si="1373"/>
        <v>0</v>
      </c>
      <c r="EA402" s="3264"/>
      <c r="EB402" s="3405"/>
      <c r="EC402" s="3406"/>
      <c r="ED402" s="3406"/>
      <c r="EE402" s="2424">
        <f>SUM(EE398:EE401)</f>
        <v>3902384831</v>
      </c>
      <c r="EF402" s="2424">
        <f t="shared" ref="EF402:EH402" si="1374">SUM(EF398:EF401)</f>
        <v>3902384831</v>
      </c>
      <c r="EG402" s="2424">
        <f t="shared" si="1374"/>
        <v>0</v>
      </c>
      <c r="EH402" s="2424">
        <f t="shared" si="1374"/>
        <v>0</v>
      </c>
      <c r="EI402" s="3264"/>
      <c r="EJ402" s="3405"/>
      <c r="EK402" s="3406"/>
      <c r="EL402" s="3406"/>
      <c r="EM402" s="2424">
        <f>SUM(EM398:EM401)</f>
        <v>3902384831</v>
      </c>
      <c r="EN402" s="2424">
        <f t="shared" ref="EN402:EP402" si="1375">SUM(EN398:EN401)</f>
        <v>3902384831</v>
      </c>
      <c r="EO402" s="2424">
        <f t="shared" si="1375"/>
        <v>0</v>
      </c>
      <c r="EP402" s="2424">
        <f t="shared" si="1375"/>
        <v>0</v>
      </c>
      <c r="EQ402" s="3264"/>
      <c r="ER402" s="3405"/>
      <c r="ES402" s="3406"/>
      <c r="ET402" s="3406"/>
      <c r="EU402" s="2424">
        <f>SUM(EU398:EU401)</f>
        <v>3902384831</v>
      </c>
      <c r="EV402" s="2424">
        <f t="shared" ref="EV402:EX402" si="1376">SUM(EV398:EV401)</f>
        <v>3902384831</v>
      </c>
      <c r="EW402" s="2424">
        <f t="shared" si="1376"/>
        <v>0</v>
      </c>
      <c r="EX402" s="2424">
        <f t="shared" si="1376"/>
        <v>0</v>
      </c>
      <c r="EY402" s="3264"/>
      <c r="EZ402" s="3405"/>
      <c r="FA402" s="3406"/>
      <c r="FB402" s="3406"/>
      <c r="FC402" s="2424">
        <f>SUM(FC398:FC401)</f>
        <v>3902384831</v>
      </c>
      <c r="FD402" s="2424">
        <f t="shared" ref="FD402:FF402" si="1377">SUM(FD398:FD401)</f>
        <v>3902384831</v>
      </c>
      <c r="FE402" s="2424">
        <f t="shared" si="1377"/>
        <v>0</v>
      </c>
      <c r="FF402" s="2424">
        <f t="shared" si="1377"/>
        <v>0</v>
      </c>
      <c r="FG402" s="3264"/>
      <c r="FH402" s="3405"/>
      <c r="FI402" s="3406"/>
      <c r="FJ402" s="3406"/>
      <c r="FK402" s="2424">
        <f>SUM(FK398:FK401)</f>
        <v>3902384831</v>
      </c>
      <c r="FL402" s="2424">
        <f t="shared" ref="FL402:FN402" si="1378">SUM(FL398:FL401)</f>
        <v>3902384831</v>
      </c>
      <c r="FM402" s="2424">
        <f t="shared" si="1378"/>
        <v>0</v>
      </c>
      <c r="FN402" s="2424">
        <f t="shared" si="1378"/>
        <v>0</v>
      </c>
      <c r="FO402" s="3264"/>
    </row>
    <row r="403" spans="2:171">
      <c r="B403" s="3086"/>
      <c r="C403" s="3086" t="s">
        <v>525</v>
      </c>
      <c r="D403" s="3405"/>
      <c r="E403" s="3234" t="s">
        <v>391</v>
      </c>
      <c r="G403" s="2424">
        <f>G30</f>
        <v>1992381238</v>
      </c>
      <c r="H403" s="2424">
        <f t="shared" ref="H403:J403" si="1379">H30</f>
        <v>0</v>
      </c>
      <c r="I403" s="2424">
        <f t="shared" si="1379"/>
        <v>0</v>
      </c>
      <c r="J403" s="2424">
        <f t="shared" si="1379"/>
        <v>1992381238</v>
      </c>
      <c r="K403" s="3264"/>
      <c r="L403" s="3405"/>
      <c r="M403" s="3406"/>
      <c r="N403" s="3406"/>
      <c r="O403" s="2424">
        <f>O30</f>
        <v>1992381238</v>
      </c>
      <c r="P403" s="2424">
        <f t="shared" ref="P403:R403" si="1380">P30</f>
        <v>0</v>
      </c>
      <c r="Q403" s="2424">
        <f t="shared" si="1380"/>
        <v>1992381238</v>
      </c>
      <c r="R403" s="2424">
        <f t="shared" si="1380"/>
        <v>0</v>
      </c>
      <c r="S403" s="3264"/>
      <c r="T403" s="3405"/>
      <c r="U403" s="3406"/>
      <c r="V403" s="3406"/>
      <c r="W403" s="2424">
        <f>W30</f>
        <v>1992381238</v>
      </c>
      <c r="X403" s="2424">
        <f t="shared" ref="X403:Z403" si="1381">X30</f>
        <v>0</v>
      </c>
      <c r="Y403" s="2424">
        <f t="shared" si="1381"/>
        <v>1992381238</v>
      </c>
      <c r="Z403" s="2424">
        <f t="shared" si="1381"/>
        <v>0</v>
      </c>
      <c r="AA403" s="3264"/>
      <c r="AB403" s="3405"/>
      <c r="AC403" s="3406"/>
      <c r="AD403" s="3406"/>
      <c r="AE403" s="2424">
        <f>AE30</f>
        <v>1992381238</v>
      </c>
      <c r="AF403" s="2424">
        <f t="shared" ref="AF403:AH403" si="1382">AF30</f>
        <v>0</v>
      </c>
      <c r="AG403" s="2424">
        <f t="shared" si="1382"/>
        <v>1992381238</v>
      </c>
      <c r="AH403" s="2424">
        <f t="shared" si="1382"/>
        <v>0</v>
      </c>
      <c r="AI403" s="3264"/>
      <c r="AJ403" s="3405"/>
      <c r="AK403" s="3406"/>
      <c r="AL403" s="3406"/>
      <c r="AM403" s="2424">
        <f>AM30</f>
        <v>1992381238</v>
      </c>
      <c r="AN403" s="2424">
        <f t="shared" ref="AN403:AP403" si="1383">AN30</f>
        <v>0</v>
      </c>
      <c r="AO403" s="2424">
        <f t="shared" si="1383"/>
        <v>1992381238</v>
      </c>
      <c r="AP403" s="2424">
        <f t="shared" si="1383"/>
        <v>0</v>
      </c>
      <c r="AQ403" s="3264"/>
      <c r="AR403" s="3405"/>
      <c r="AS403" s="3406"/>
      <c r="AT403" s="3406"/>
      <c r="AU403" s="2424">
        <f>AU30</f>
        <v>1992381238</v>
      </c>
      <c r="AV403" s="2424">
        <f t="shared" ref="AV403:AX403" si="1384">AV30</f>
        <v>0</v>
      </c>
      <c r="AW403" s="2424">
        <f t="shared" si="1384"/>
        <v>1992381238</v>
      </c>
      <c r="AX403" s="2424">
        <f t="shared" si="1384"/>
        <v>0</v>
      </c>
      <c r="AY403" s="3264"/>
      <c r="AZ403" s="3405"/>
      <c r="BA403" s="3406"/>
      <c r="BB403" s="3406"/>
      <c r="BC403" s="2424">
        <f>BC30</f>
        <v>1992381238</v>
      </c>
      <c r="BD403" s="2424">
        <f t="shared" ref="BD403:BF403" si="1385">BD30</f>
        <v>0</v>
      </c>
      <c r="BE403" s="2424">
        <f t="shared" si="1385"/>
        <v>1992381238</v>
      </c>
      <c r="BF403" s="2424">
        <f t="shared" si="1385"/>
        <v>0</v>
      </c>
      <c r="BG403" s="3264"/>
      <c r="BH403" s="3405"/>
      <c r="BI403" s="3406"/>
      <c r="BJ403" s="3406"/>
      <c r="BK403" s="2424">
        <f>BK30</f>
        <v>1992381238</v>
      </c>
      <c r="BL403" s="2424">
        <f t="shared" ref="BL403:BN403" si="1386">BL30</f>
        <v>0</v>
      </c>
      <c r="BM403" s="2424">
        <f t="shared" si="1386"/>
        <v>1992381238</v>
      </c>
      <c r="BN403" s="2424">
        <f t="shared" si="1386"/>
        <v>0</v>
      </c>
      <c r="BO403" s="3264"/>
      <c r="BP403" s="3405"/>
      <c r="BQ403" s="3406"/>
      <c r="BR403" s="3406"/>
      <c r="BS403" s="2424">
        <f>BS30</f>
        <v>1992381238</v>
      </c>
      <c r="BT403" s="2424">
        <f t="shared" ref="BT403:BV403" si="1387">BT30</f>
        <v>0</v>
      </c>
      <c r="BU403" s="2424">
        <f t="shared" si="1387"/>
        <v>1992381238</v>
      </c>
      <c r="BV403" s="2424">
        <f t="shared" si="1387"/>
        <v>0</v>
      </c>
      <c r="BW403" s="3264"/>
      <c r="BX403" s="3405"/>
      <c r="BY403" s="3406"/>
      <c r="BZ403" s="3406"/>
      <c r="CA403" s="2424">
        <f>CA30</f>
        <v>1992381238</v>
      </c>
      <c r="CB403" s="2424">
        <f t="shared" ref="CB403:CD403" si="1388">CB30</f>
        <v>0</v>
      </c>
      <c r="CC403" s="2424">
        <f t="shared" si="1388"/>
        <v>1992381238</v>
      </c>
      <c r="CD403" s="2424">
        <f t="shared" si="1388"/>
        <v>0</v>
      </c>
      <c r="CE403" s="3264"/>
      <c r="CF403" s="3405"/>
      <c r="CG403" s="3406"/>
      <c r="CH403" s="3406"/>
      <c r="CI403" s="2424">
        <f>CI30</f>
        <v>1992381238</v>
      </c>
      <c r="CJ403" s="2424">
        <f t="shared" ref="CJ403:CL403" si="1389">CJ30</f>
        <v>0</v>
      </c>
      <c r="CK403" s="2424">
        <f t="shared" si="1389"/>
        <v>1992381238</v>
      </c>
      <c r="CL403" s="2424">
        <f t="shared" si="1389"/>
        <v>0</v>
      </c>
      <c r="CM403" s="3264"/>
      <c r="CN403" s="3405"/>
      <c r="CO403" s="3406"/>
      <c r="CP403" s="3406"/>
      <c r="CQ403" s="2424">
        <f>CQ30</f>
        <v>1992381238</v>
      </c>
      <c r="CR403" s="2424">
        <f t="shared" ref="CR403:CT403" si="1390">CR30</f>
        <v>0</v>
      </c>
      <c r="CS403" s="2424">
        <f t="shared" si="1390"/>
        <v>1992381238</v>
      </c>
      <c r="CT403" s="2424">
        <f t="shared" si="1390"/>
        <v>0</v>
      </c>
      <c r="CU403" s="3264"/>
      <c r="CV403" s="3405"/>
      <c r="CW403" s="3406"/>
      <c r="CX403" s="3406"/>
      <c r="CY403" s="2424">
        <f>CY30</f>
        <v>1992381238</v>
      </c>
      <c r="CZ403" s="2424">
        <f t="shared" ref="CZ403:DB403" si="1391">CZ30</f>
        <v>0</v>
      </c>
      <c r="DA403" s="2424">
        <f t="shared" si="1391"/>
        <v>1992381238</v>
      </c>
      <c r="DB403" s="2424">
        <f t="shared" si="1391"/>
        <v>0</v>
      </c>
      <c r="DC403" s="3264"/>
      <c r="DD403" s="3405"/>
      <c r="DE403" s="3406"/>
      <c r="DF403" s="3406"/>
      <c r="DG403" s="2424">
        <f>DG30</f>
        <v>1992381238</v>
      </c>
      <c r="DH403" s="2424">
        <f t="shared" ref="DH403:DJ403" si="1392">DH30</f>
        <v>0</v>
      </c>
      <c r="DI403" s="2424">
        <f t="shared" si="1392"/>
        <v>1992381238</v>
      </c>
      <c r="DJ403" s="2424">
        <f t="shared" si="1392"/>
        <v>0</v>
      </c>
      <c r="DK403" s="3264"/>
      <c r="DL403" s="3405"/>
      <c r="DM403" s="3406"/>
      <c r="DN403" s="3406"/>
      <c r="DO403" s="2424">
        <f>DO30</f>
        <v>1992381238</v>
      </c>
      <c r="DP403" s="2424">
        <f t="shared" ref="DP403:DR403" si="1393">DP30</f>
        <v>0</v>
      </c>
      <c r="DQ403" s="2424">
        <f t="shared" si="1393"/>
        <v>1992381238</v>
      </c>
      <c r="DR403" s="2424">
        <f t="shared" si="1393"/>
        <v>0</v>
      </c>
      <c r="DS403" s="3264"/>
      <c r="DT403" s="3405"/>
      <c r="DU403" s="3406"/>
      <c r="DV403" s="3406"/>
      <c r="DW403" s="2424">
        <f>DW30</f>
        <v>1992381238</v>
      </c>
      <c r="DX403" s="2424">
        <f t="shared" ref="DX403:DZ403" si="1394">DX30</f>
        <v>0</v>
      </c>
      <c r="DY403" s="2424">
        <f t="shared" si="1394"/>
        <v>1992381238</v>
      </c>
      <c r="DZ403" s="2424">
        <f t="shared" si="1394"/>
        <v>0</v>
      </c>
      <c r="EA403" s="3264"/>
      <c r="EB403" s="3405"/>
      <c r="EC403" s="3406"/>
      <c r="ED403" s="3406"/>
      <c r="EE403" s="2424">
        <f>EE30</f>
        <v>1992381238</v>
      </c>
      <c r="EF403" s="2424">
        <f t="shared" ref="EF403:EH403" si="1395">EF30</f>
        <v>0</v>
      </c>
      <c r="EG403" s="2424">
        <f t="shared" si="1395"/>
        <v>1992381238</v>
      </c>
      <c r="EH403" s="2424">
        <f t="shared" si="1395"/>
        <v>0</v>
      </c>
      <c r="EI403" s="3264"/>
      <c r="EJ403" s="3405"/>
      <c r="EK403" s="3406"/>
      <c r="EL403" s="3406"/>
      <c r="EM403" s="2424">
        <f>EM30</f>
        <v>1992381238</v>
      </c>
      <c r="EN403" s="2424">
        <f t="shared" ref="EN403:EP403" si="1396">EN30</f>
        <v>0</v>
      </c>
      <c r="EO403" s="2424">
        <f t="shared" si="1396"/>
        <v>1992381238</v>
      </c>
      <c r="EP403" s="2424">
        <f t="shared" si="1396"/>
        <v>0</v>
      </c>
      <c r="EQ403" s="3264"/>
      <c r="ER403" s="3405"/>
      <c r="ES403" s="3406"/>
      <c r="ET403" s="3406"/>
      <c r="EU403" s="2424">
        <f>EU30</f>
        <v>1992381238</v>
      </c>
      <c r="EV403" s="2424">
        <f t="shared" ref="EV403:EX403" si="1397">EV30</f>
        <v>0</v>
      </c>
      <c r="EW403" s="2424">
        <f t="shared" si="1397"/>
        <v>1992381238</v>
      </c>
      <c r="EX403" s="2424">
        <f t="shared" si="1397"/>
        <v>0</v>
      </c>
      <c r="EY403" s="3264"/>
      <c r="EZ403" s="3405"/>
      <c r="FA403" s="3406"/>
      <c r="FB403" s="3406"/>
      <c r="FC403" s="2424">
        <f>FC30</f>
        <v>1992381238</v>
      </c>
      <c r="FD403" s="2424">
        <f t="shared" ref="FD403:FF403" si="1398">FD30</f>
        <v>0</v>
      </c>
      <c r="FE403" s="2424">
        <f t="shared" si="1398"/>
        <v>1992381238</v>
      </c>
      <c r="FF403" s="2424">
        <f t="shared" si="1398"/>
        <v>0</v>
      </c>
      <c r="FG403" s="3264"/>
      <c r="FH403" s="3405"/>
      <c r="FI403" s="3406"/>
      <c r="FJ403" s="3406"/>
      <c r="FK403" s="2424">
        <f>FK30</f>
        <v>1992381238</v>
      </c>
      <c r="FL403" s="2424">
        <f t="shared" ref="FL403:FN403" si="1399">FL30</f>
        <v>0</v>
      </c>
      <c r="FM403" s="2424">
        <f t="shared" si="1399"/>
        <v>1992381238</v>
      </c>
      <c r="FN403" s="2424">
        <f t="shared" si="1399"/>
        <v>0</v>
      </c>
      <c r="FO403" s="3264"/>
    </row>
    <row r="404" spans="2:171">
      <c r="B404" s="3086"/>
      <c r="C404" s="3086" t="s">
        <v>122</v>
      </c>
      <c r="D404" s="3405"/>
      <c r="E404" s="3234" t="s">
        <v>390</v>
      </c>
      <c r="G404" s="2424">
        <f>G33</f>
        <v>5283922742</v>
      </c>
      <c r="H404" s="2424">
        <f t="shared" ref="H404:J404" si="1400">H33</f>
        <v>0</v>
      </c>
      <c r="I404" s="2424">
        <f t="shared" si="1400"/>
        <v>0</v>
      </c>
      <c r="J404" s="2424">
        <f t="shared" si="1400"/>
        <v>5283922742</v>
      </c>
      <c r="K404" s="3264"/>
      <c r="L404" s="3405"/>
      <c r="M404" s="3406"/>
      <c r="N404" s="3406"/>
      <c r="O404" s="2424">
        <f>O33</f>
        <v>5283922742</v>
      </c>
      <c r="P404" s="2424">
        <f t="shared" ref="P404:R404" si="1401">P33</f>
        <v>0</v>
      </c>
      <c r="Q404" s="2424">
        <f t="shared" si="1401"/>
        <v>0</v>
      </c>
      <c r="R404" s="2424">
        <f t="shared" si="1401"/>
        <v>5283922742</v>
      </c>
      <c r="S404" s="3264"/>
      <c r="T404" s="3405"/>
      <c r="U404" s="3406"/>
      <c r="V404" s="3406"/>
      <c r="W404" s="2424">
        <f>W33</f>
        <v>5283922742</v>
      </c>
      <c r="X404" s="2424">
        <f t="shared" ref="X404:Z404" si="1402">X33</f>
        <v>0</v>
      </c>
      <c r="Y404" s="2424">
        <f t="shared" si="1402"/>
        <v>0</v>
      </c>
      <c r="Z404" s="2424">
        <f t="shared" si="1402"/>
        <v>5283922742</v>
      </c>
      <c r="AA404" s="3264"/>
      <c r="AB404" s="3405"/>
      <c r="AC404" s="3406"/>
      <c r="AD404" s="3406"/>
      <c r="AE404" s="2424">
        <f>AE33</f>
        <v>5283922742</v>
      </c>
      <c r="AF404" s="2424">
        <f t="shared" ref="AF404:AH404" si="1403">AF33</f>
        <v>0</v>
      </c>
      <c r="AG404" s="2424">
        <f t="shared" si="1403"/>
        <v>0</v>
      </c>
      <c r="AH404" s="2424">
        <f t="shared" si="1403"/>
        <v>5283922742</v>
      </c>
      <c r="AI404" s="3264"/>
      <c r="AJ404" s="3405"/>
      <c r="AK404" s="3406"/>
      <c r="AL404" s="3406"/>
      <c r="AM404" s="2424">
        <f>AM33</f>
        <v>5283922742</v>
      </c>
      <c r="AN404" s="2424">
        <f t="shared" ref="AN404:AP404" si="1404">AN33</f>
        <v>0</v>
      </c>
      <c r="AO404" s="2424">
        <f t="shared" si="1404"/>
        <v>0</v>
      </c>
      <c r="AP404" s="2424">
        <f t="shared" si="1404"/>
        <v>5283922742</v>
      </c>
      <c r="AQ404" s="3264"/>
      <c r="AR404" s="3405"/>
      <c r="AS404" s="3406"/>
      <c r="AT404" s="3406"/>
      <c r="AU404" s="2424">
        <f>AU33</f>
        <v>5283922742</v>
      </c>
      <c r="AV404" s="2424">
        <f t="shared" ref="AV404:AX404" si="1405">AV33</f>
        <v>0</v>
      </c>
      <c r="AW404" s="2424">
        <f t="shared" si="1405"/>
        <v>0</v>
      </c>
      <c r="AX404" s="2424">
        <f t="shared" si="1405"/>
        <v>5283922742</v>
      </c>
      <c r="AY404" s="3264"/>
      <c r="AZ404" s="3405"/>
      <c r="BA404" s="3406"/>
      <c r="BB404" s="3406"/>
      <c r="BC404" s="2424">
        <f>BC33</f>
        <v>5283922742</v>
      </c>
      <c r="BD404" s="2424">
        <f t="shared" ref="BD404:BF404" si="1406">BD33</f>
        <v>0</v>
      </c>
      <c r="BE404" s="2424">
        <f t="shared" si="1406"/>
        <v>0</v>
      </c>
      <c r="BF404" s="2424">
        <f t="shared" si="1406"/>
        <v>5283922742</v>
      </c>
      <c r="BG404" s="3264"/>
      <c r="BH404" s="3405"/>
      <c r="BI404" s="3406"/>
      <c r="BJ404" s="3406"/>
      <c r="BK404" s="2424">
        <f>BK33</f>
        <v>5283922742</v>
      </c>
      <c r="BL404" s="2424">
        <f t="shared" ref="BL404:BN404" si="1407">BL33</f>
        <v>0</v>
      </c>
      <c r="BM404" s="2424">
        <f t="shared" si="1407"/>
        <v>0</v>
      </c>
      <c r="BN404" s="2424">
        <f t="shared" si="1407"/>
        <v>5283922742</v>
      </c>
      <c r="BO404" s="3264"/>
      <c r="BP404" s="3405"/>
      <c r="BQ404" s="3406"/>
      <c r="BR404" s="3406"/>
      <c r="BS404" s="2424">
        <f>BS33</f>
        <v>5283922742</v>
      </c>
      <c r="BT404" s="2424">
        <f t="shared" ref="BT404:BV404" si="1408">BT33</f>
        <v>0</v>
      </c>
      <c r="BU404" s="2424">
        <f t="shared" si="1408"/>
        <v>0</v>
      </c>
      <c r="BV404" s="2424">
        <f t="shared" si="1408"/>
        <v>5283922742</v>
      </c>
      <c r="BW404" s="3264"/>
      <c r="BX404" s="3405"/>
      <c r="BY404" s="3406"/>
      <c r="BZ404" s="3406"/>
      <c r="CA404" s="2424">
        <f>CA33</f>
        <v>5283922742</v>
      </c>
      <c r="CB404" s="2424">
        <f t="shared" ref="CB404:CD404" si="1409">CB33</f>
        <v>0</v>
      </c>
      <c r="CC404" s="2424">
        <f t="shared" si="1409"/>
        <v>0</v>
      </c>
      <c r="CD404" s="2424">
        <f t="shared" si="1409"/>
        <v>5283922742</v>
      </c>
      <c r="CE404" s="3264"/>
      <c r="CF404" s="3405"/>
      <c r="CG404" s="3406"/>
      <c r="CH404" s="3406"/>
      <c r="CI404" s="2424">
        <f>CI33</f>
        <v>5283922742</v>
      </c>
      <c r="CJ404" s="2424">
        <f t="shared" ref="CJ404:CL404" si="1410">CJ33</f>
        <v>0</v>
      </c>
      <c r="CK404" s="2424">
        <f t="shared" si="1410"/>
        <v>0</v>
      </c>
      <c r="CL404" s="2424">
        <f t="shared" si="1410"/>
        <v>5283922742</v>
      </c>
      <c r="CM404" s="3264"/>
      <c r="CN404" s="3405"/>
      <c r="CO404" s="3406"/>
      <c r="CP404" s="3406"/>
      <c r="CQ404" s="2424">
        <f>CQ33</f>
        <v>5283922742</v>
      </c>
      <c r="CR404" s="2424">
        <f t="shared" ref="CR404:CT404" si="1411">CR33</f>
        <v>0</v>
      </c>
      <c r="CS404" s="2424">
        <f t="shared" si="1411"/>
        <v>0</v>
      </c>
      <c r="CT404" s="2424">
        <f t="shared" si="1411"/>
        <v>5283922742</v>
      </c>
      <c r="CU404" s="3264"/>
      <c r="CV404" s="3405"/>
      <c r="CW404" s="3406"/>
      <c r="CX404" s="3406"/>
      <c r="CY404" s="2424">
        <f>CY33</f>
        <v>5283922742</v>
      </c>
      <c r="CZ404" s="2424">
        <f t="shared" ref="CZ404:DB404" si="1412">CZ33</f>
        <v>0</v>
      </c>
      <c r="DA404" s="2424">
        <f t="shared" si="1412"/>
        <v>0</v>
      </c>
      <c r="DB404" s="2424">
        <f t="shared" si="1412"/>
        <v>5283922742</v>
      </c>
      <c r="DC404" s="3264"/>
      <c r="DD404" s="3405"/>
      <c r="DE404" s="3406"/>
      <c r="DF404" s="3406"/>
      <c r="DG404" s="2424">
        <f>DG33</f>
        <v>5283922742</v>
      </c>
      <c r="DH404" s="2424">
        <f t="shared" ref="DH404:DJ404" si="1413">DH33</f>
        <v>0</v>
      </c>
      <c r="DI404" s="2424">
        <f t="shared" si="1413"/>
        <v>0</v>
      </c>
      <c r="DJ404" s="2424">
        <f t="shared" si="1413"/>
        <v>5283922742</v>
      </c>
      <c r="DK404" s="3264"/>
      <c r="DL404" s="3405"/>
      <c r="DM404" s="3406"/>
      <c r="DN404" s="3406"/>
      <c r="DO404" s="2424">
        <f>DO33</f>
        <v>5283922742</v>
      </c>
      <c r="DP404" s="2424">
        <f t="shared" ref="DP404:DR404" si="1414">DP33</f>
        <v>0</v>
      </c>
      <c r="DQ404" s="2424">
        <f t="shared" si="1414"/>
        <v>0</v>
      </c>
      <c r="DR404" s="2424">
        <f t="shared" si="1414"/>
        <v>5283922742</v>
      </c>
      <c r="DS404" s="3264"/>
      <c r="DT404" s="3405"/>
      <c r="DU404" s="3406"/>
      <c r="DV404" s="3406"/>
      <c r="DW404" s="2424">
        <f>DW33</f>
        <v>5283922742</v>
      </c>
      <c r="DX404" s="2424">
        <f t="shared" ref="DX404:DZ404" si="1415">DX33</f>
        <v>0</v>
      </c>
      <c r="DY404" s="2424">
        <f t="shared" si="1415"/>
        <v>0</v>
      </c>
      <c r="DZ404" s="2424">
        <f t="shared" si="1415"/>
        <v>5283922742</v>
      </c>
      <c r="EA404" s="3264"/>
      <c r="EB404" s="3405"/>
      <c r="EC404" s="3406"/>
      <c r="ED404" s="3406"/>
      <c r="EE404" s="2424">
        <f>EE33</f>
        <v>5283922742</v>
      </c>
      <c r="EF404" s="2424">
        <f t="shared" ref="EF404:EH404" si="1416">EF33</f>
        <v>0</v>
      </c>
      <c r="EG404" s="2424">
        <f t="shared" si="1416"/>
        <v>0</v>
      </c>
      <c r="EH404" s="2424">
        <f t="shared" si="1416"/>
        <v>5283922742</v>
      </c>
      <c r="EI404" s="3264"/>
      <c r="EJ404" s="3405"/>
      <c r="EK404" s="3406"/>
      <c r="EL404" s="3406"/>
      <c r="EM404" s="2424">
        <f>EM33</f>
        <v>5283922742</v>
      </c>
      <c r="EN404" s="2424">
        <f t="shared" ref="EN404:EP404" si="1417">EN33</f>
        <v>0</v>
      </c>
      <c r="EO404" s="2424">
        <f t="shared" si="1417"/>
        <v>0</v>
      </c>
      <c r="EP404" s="2424">
        <f t="shared" si="1417"/>
        <v>5283922742</v>
      </c>
      <c r="EQ404" s="3264"/>
      <c r="ER404" s="3405"/>
      <c r="ES404" s="3406"/>
      <c r="ET404" s="3406"/>
      <c r="EU404" s="2424">
        <f>EU33</f>
        <v>5283922742</v>
      </c>
      <c r="EV404" s="2424">
        <f t="shared" ref="EV404:EX404" si="1418">EV33</f>
        <v>0</v>
      </c>
      <c r="EW404" s="2424">
        <f t="shared" si="1418"/>
        <v>0</v>
      </c>
      <c r="EX404" s="2424">
        <f t="shared" si="1418"/>
        <v>5283922742</v>
      </c>
      <c r="EY404" s="3264"/>
      <c r="EZ404" s="3405"/>
      <c r="FA404" s="3406"/>
      <c r="FB404" s="3406"/>
      <c r="FC404" s="2424">
        <f>FC33</f>
        <v>5283922742</v>
      </c>
      <c r="FD404" s="2424">
        <f t="shared" ref="FD404:FF404" si="1419">FD33</f>
        <v>0</v>
      </c>
      <c r="FE404" s="2424">
        <f t="shared" si="1419"/>
        <v>0</v>
      </c>
      <c r="FF404" s="2424">
        <f t="shared" si="1419"/>
        <v>5283922742</v>
      </c>
      <c r="FG404" s="3264"/>
      <c r="FH404" s="3405"/>
      <c r="FI404" s="3406"/>
      <c r="FJ404" s="3406"/>
      <c r="FK404" s="2424">
        <f>FK33</f>
        <v>5283922742</v>
      </c>
      <c r="FL404" s="2424">
        <f t="shared" ref="FL404:FN404" si="1420">FL33</f>
        <v>0</v>
      </c>
      <c r="FM404" s="2424">
        <f t="shared" si="1420"/>
        <v>0</v>
      </c>
      <c r="FN404" s="2424">
        <f t="shared" si="1420"/>
        <v>5283922742</v>
      </c>
      <c r="FO404" s="3264"/>
    </row>
    <row r="405" spans="2:171">
      <c r="B405" s="3086"/>
      <c r="C405" s="3086" t="s">
        <v>522</v>
      </c>
      <c r="D405" s="3405"/>
      <c r="E405" s="3095"/>
      <c r="F405" s="3406"/>
      <c r="G405" s="3244">
        <f>G402+G403+G404</f>
        <v>11178688811</v>
      </c>
      <c r="H405" s="3244">
        <f>H402+H403+H404</f>
        <v>3902384831</v>
      </c>
      <c r="I405" s="3244">
        <f>I402+I403+I404</f>
        <v>0</v>
      </c>
      <c r="J405" s="3244">
        <f>J402+J403+J404</f>
        <v>7276303980</v>
      </c>
      <c r="K405" s="3264"/>
      <c r="L405" s="3405"/>
      <c r="M405" s="3406"/>
      <c r="N405" s="3406"/>
      <c r="O405" s="3244">
        <f>O402+O403+O404</f>
        <v>11178688811</v>
      </c>
      <c r="P405" s="3244">
        <f>P402+P403+P404</f>
        <v>3902384831</v>
      </c>
      <c r="Q405" s="3244">
        <f>Q402+Q403+Q404</f>
        <v>1992381238</v>
      </c>
      <c r="R405" s="3244">
        <f>R402+R403+R404</f>
        <v>5283922742</v>
      </c>
      <c r="S405" s="3264"/>
      <c r="T405" s="3405"/>
      <c r="U405" s="3406"/>
      <c r="V405" s="3406"/>
      <c r="W405" s="3244">
        <f>W402+W403+W404</f>
        <v>11178688811</v>
      </c>
      <c r="X405" s="3244">
        <f>X402+X403+X404</f>
        <v>3902384831</v>
      </c>
      <c r="Y405" s="3244">
        <f>Y402+Y403+Y404</f>
        <v>1992381238</v>
      </c>
      <c r="Z405" s="3244">
        <f>Z402+Z403+Z404</f>
        <v>5283922742</v>
      </c>
      <c r="AA405" s="3264"/>
      <c r="AB405" s="3405"/>
      <c r="AC405" s="3406"/>
      <c r="AD405" s="3406"/>
      <c r="AE405" s="3244">
        <f>AE402+AE403+AE404</f>
        <v>11178688811</v>
      </c>
      <c r="AF405" s="3244">
        <f>AF402+AF403+AF404</f>
        <v>3902384831</v>
      </c>
      <c r="AG405" s="3244">
        <f>AG402+AG403+AG404</f>
        <v>1992381238</v>
      </c>
      <c r="AH405" s="3244">
        <f>AH402+AH403+AH404</f>
        <v>5283922742</v>
      </c>
      <c r="AI405" s="3264"/>
      <c r="AJ405" s="3405"/>
      <c r="AK405" s="3406"/>
      <c r="AL405" s="3406"/>
      <c r="AM405" s="3244">
        <f>AM402+AM403+AM404</f>
        <v>11178688811</v>
      </c>
      <c r="AN405" s="3244">
        <f>AN402+AN403+AN404</f>
        <v>3902384831</v>
      </c>
      <c r="AO405" s="3244">
        <f>AO402+AO403+AO404</f>
        <v>1992381238</v>
      </c>
      <c r="AP405" s="3244">
        <f>AP402+AP403+AP404</f>
        <v>5283922742</v>
      </c>
      <c r="AQ405" s="3264"/>
      <c r="AR405" s="3405"/>
      <c r="AS405" s="3406"/>
      <c r="AT405" s="3406"/>
      <c r="AU405" s="3244">
        <f>AU402+AU403+AU404</f>
        <v>11178688811</v>
      </c>
      <c r="AV405" s="3244">
        <f>AV402+AV403+AV404</f>
        <v>3902384831</v>
      </c>
      <c r="AW405" s="3244">
        <f>AW402+AW403+AW404</f>
        <v>1992381238</v>
      </c>
      <c r="AX405" s="3244">
        <f>AX402+AX403+AX404</f>
        <v>5283922742</v>
      </c>
      <c r="AY405" s="3264"/>
      <c r="AZ405" s="3405"/>
      <c r="BA405" s="3406"/>
      <c r="BB405" s="3406"/>
      <c r="BC405" s="3244">
        <f>BC402+BC403+BC404</f>
        <v>11178688811</v>
      </c>
      <c r="BD405" s="3244">
        <f>BD402+BD403+BD404</f>
        <v>3902384831</v>
      </c>
      <c r="BE405" s="3244">
        <f>BE402+BE403+BE404</f>
        <v>1992381238</v>
      </c>
      <c r="BF405" s="3244">
        <f>BF402+BF403+BF404</f>
        <v>5283922742</v>
      </c>
      <c r="BG405" s="3264"/>
      <c r="BH405" s="3405"/>
      <c r="BI405" s="3406"/>
      <c r="BJ405" s="3406"/>
      <c r="BK405" s="3244">
        <f>BK402+BK403+BK404</f>
        <v>11178688811</v>
      </c>
      <c r="BL405" s="3244">
        <f>BL402+BL403+BL404</f>
        <v>3902384831</v>
      </c>
      <c r="BM405" s="3244">
        <f>BM402+BM403+BM404</f>
        <v>1992381238</v>
      </c>
      <c r="BN405" s="3244">
        <f>BN402+BN403+BN404</f>
        <v>5283922742</v>
      </c>
      <c r="BO405" s="3264"/>
      <c r="BP405" s="3405"/>
      <c r="BQ405" s="3406"/>
      <c r="BR405" s="3406"/>
      <c r="BS405" s="3244">
        <f>BS402+BS403+BS404</f>
        <v>11178688811</v>
      </c>
      <c r="BT405" s="3244">
        <f>BT402+BT403+BT404</f>
        <v>3902384831</v>
      </c>
      <c r="BU405" s="3244">
        <f>BU402+BU403+BU404</f>
        <v>1992381238</v>
      </c>
      <c r="BV405" s="3244">
        <f>BV402+BV403+BV404</f>
        <v>5283922742</v>
      </c>
      <c r="BW405" s="3264"/>
      <c r="BX405" s="3405"/>
      <c r="BY405" s="3406"/>
      <c r="BZ405" s="3406"/>
      <c r="CA405" s="3244">
        <f>CA402+CA403+CA404</f>
        <v>11178688811</v>
      </c>
      <c r="CB405" s="3244">
        <f>CB402+CB403+CB404</f>
        <v>3902384831</v>
      </c>
      <c r="CC405" s="3244">
        <f>CC402+CC403+CC404</f>
        <v>1992381238</v>
      </c>
      <c r="CD405" s="3244">
        <f>CD402+CD403+CD404</f>
        <v>5283922742</v>
      </c>
      <c r="CE405" s="3264"/>
      <c r="CF405" s="3405"/>
      <c r="CG405" s="3406"/>
      <c r="CH405" s="3406"/>
      <c r="CI405" s="3244">
        <f>CI402+CI403+CI404</f>
        <v>11178688811</v>
      </c>
      <c r="CJ405" s="3244">
        <f>CJ402+CJ403+CJ404</f>
        <v>3902384831</v>
      </c>
      <c r="CK405" s="3244">
        <f>CK402+CK403+CK404</f>
        <v>1992381238</v>
      </c>
      <c r="CL405" s="3244">
        <f>CL402+CL403+CL404</f>
        <v>5283922742</v>
      </c>
      <c r="CM405" s="3264"/>
      <c r="CN405" s="3405"/>
      <c r="CO405" s="3406"/>
      <c r="CP405" s="3406"/>
      <c r="CQ405" s="3244">
        <f>CQ402+CQ403+CQ404</f>
        <v>11178688811</v>
      </c>
      <c r="CR405" s="3244">
        <f>CR402+CR403+CR404</f>
        <v>3902384831</v>
      </c>
      <c r="CS405" s="3244">
        <f>CS402+CS403+CS404</f>
        <v>1992381238</v>
      </c>
      <c r="CT405" s="3244">
        <f>CT402+CT403+CT404</f>
        <v>5283922742</v>
      </c>
      <c r="CU405" s="3264"/>
      <c r="CV405" s="3405"/>
      <c r="CW405" s="3406"/>
      <c r="CX405" s="3406"/>
      <c r="CY405" s="3244">
        <f>CY402+CY403+CY404</f>
        <v>11178688811</v>
      </c>
      <c r="CZ405" s="3244">
        <f>CZ402+CZ403+CZ404</f>
        <v>3902384831</v>
      </c>
      <c r="DA405" s="3244">
        <f>DA402+DA403+DA404</f>
        <v>1992381238</v>
      </c>
      <c r="DB405" s="3244">
        <f>DB402+DB403+DB404</f>
        <v>5283922742</v>
      </c>
      <c r="DC405" s="3264"/>
      <c r="DD405" s="3405"/>
      <c r="DE405" s="3406"/>
      <c r="DF405" s="3406"/>
      <c r="DG405" s="3244">
        <f>DG402+DG403+DG404</f>
        <v>11178688811</v>
      </c>
      <c r="DH405" s="3244">
        <f>DH402+DH403+DH404</f>
        <v>3902384831</v>
      </c>
      <c r="DI405" s="3244">
        <f>DI402+DI403+DI404</f>
        <v>1992381238</v>
      </c>
      <c r="DJ405" s="3244">
        <f>DJ402+DJ403+DJ404</f>
        <v>5283922742</v>
      </c>
      <c r="DK405" s="3264"/>
      <c r="DL405" s="3405"/>
      <c r="DM405" s="3406"/>
      <c r="DN405" s="3406"/>
      <c r="DO405" s="3244">
        <f>DO402+DO403+DO404</f>
        <v>11178688811</v>
      </c>
      <c r="DP405" s="3244">
        <f>DP402+DP403+DP404</f>
        <v>3902384831</v>
      </c>
      <c r="DQ405" s="3244">
        <f>DQ402+DQ403+DQ404</f>
        <v>1992381238</v>
      </c>
      <c r="DR405" s="3244">
        <f>DR402+DR403+DR404</f>
        <v>5283922742</v>
      </c>
      <c r="DS405" s="3264"/>
      <c r="DT405" s="3405"/>
      <c r="DU405" s="3406"/>
      <c r="DV405" s="3406"/>
      <c r="DW405" s="3244">
        <f>DW402+DW403+DW404</f>
        <v>11178688811</v>
      </c>
      <c r="DX405" s="3244">
        <f>DX402+DX403+DX404</f>
        <v>3902384831</v>
      </c>
      <c r="DY405" s="3244">
        <f>DY402+DY403+DY404</f>
        <v>1992381238</v>
      </c>
      <c r="DZ405" s="3244">
        <f>DZ402+DZ403+DZ404</f>
        <v>5283922742</v>
      </c>
      <c r="EA405" s="3264"/>
      <c r="EB405" s="3405"/>
      <c r="EC405" s="3406"/>
      <c r="ED405" s="3406"/>
      <c r="EE405" s="3244">
        <f>EE402+EE403+EE404</f>
        <v>11178688811</v>
      </c>
      <c r="EF405" s="3244">
        <f>EF402+EF403+EF404</f>
        <v>3902384831</v>
      </c>
      <c r="EG405" s="3244">
        <f>EG402+EG403+EG404</f>
        <v>1992381238</v>
      </c>
      <c r="EH405" s="3244">
        <f>EH402+EH403+EH404</f>
        <v>5283922742</v>
      </c>
      <c r="EI405" s="3264"/>
      <c r="EJ405" s="3405"/>
      <c r="EK405" s="3406"/>
      <c r="EL405" s="3406"/>
      <c r="EM405" s="3244">
        <f>EM402+EM403+EM404</f>
        <v>11178688811</v>
      </c>
      <c r="EN405" s="3244">
        <f>EN402+EN403+EN404</f>
        <v>3902384831</v>
      </c>
      <c r="EO405" s="3244">
        <f>EO402+EO403+EO404</f>
        <v>1992381238</v>
      </c>
      <c r="EP405" s="3244">
        <f>EP402+EP403+EP404</f>
        <v>5283922742</v>
      </c>
      <c r="EQ405" s="3264"/>
      <c r="ER405" s="3405"/>
      <c r="ES405" s="3406"/>
      <c r="ET405" s="3406"/>
      <c r="EU405" s="3244">
        <f>EU402+EU403+EU404</f>
        <v>11178688811</v>
      </c>
      <c r="EV405" s="3244">
        <f>EV402+EV403+EV404</f>
        <v>3902384831</v>
      </c>
      <c r="EW405" s="3244">
        <f>EW402+EW403+EW404</f>
        <v>1992381238</v>
      </c>
      <c r="EX405" s="3244">
        <f>EX402+EX403+EX404</f>
        <v>5283922742</v>
      </c>
      <c r="EY405" s="3264"/>
      <c r="EZ405" s="3405"/>
      <c r="FA405" s="3406"/>
      <c r="FB405" s="3406"/>
      <c r="FC405" s="3244">
        <f>FC402+FC403+FC404</f>
        <v>11178688811</v>
      </c>
      <c r="FD405" s="3244">
        <f>FD402+FD403+FD404</f>
        <v>3902384831</v>
      </c>
      <c r="FE405" s="3244">
        <f>FE402+FE403+FE404</f>
        <v>1992381238</v>
      </c>
      <c r="FF405" s="3244">
        <f>FF402+FF403+FF404</f>
        <v>5283922742</v>
      </c>
      <c r="FG405" s="3264"/>
      <c r="FH405" s="3405"/>
      <c r="FI405" s="3406"/>
      <c r="FJ405" s="3406"/>
      <c r="FK405" s="3244">
        <f>FK402+FK403+FK404</f>
        <v>11178688811</v>
      </c>
      <c r="FL405" s="3244">
        <f>FL402+FL403+FL404</f>
        <v>3902384831</v>
      </c>
      <c r="FM405" s="3244">
        <f>FM402+FM403+FM404</f>
        <v>1992381238</v>
      </c>
      <c r="FN405" s="3244">
        <f>FN402+FN403+FN404</f>
        <v>5283922742</v>
      </c>
      <c r="FO405" s="3264"/>
    </row>
    <row r="406" spans="2:171">
      <c r="B406" s="3114"/>
      <c r="C406" s="3114" t="s">
        <v>337</v>
      </c>
      <c r="D406" s="3407" t="s">
        <v>625</v>
      </c>
      <c r="E406" s="3125"/>
      <c r="F406" s="3410"/>
      <c r="G406" s="3402">
        <f>H406+I406+J406</f>
        <v>1</v>
      </c>
      <c r="H406" s="3402">
        <f>IF($G405=0,0,H405/G405)</f>
        <v>0.34909146295941201</v>
      </c>
      <c r="I406" s="3402">
        <f>IF($G405=0,0,I405/G405)</f>
        <v>0</v>
      </c>
      <c r="J406" s="3402">
        <f>IF($G405=0,0,J405/G405)</f>
        <v>0.65090853704058804</v>
      </c>
      <c r="K406" s="3411"/>
      <c r="L406" s="3403" t="s">
        <v>625</v>
      </c>
      <c r="M406" s="3412"/>
      <c r="N406" s="3410"/>
      <c r="O406" s="3402">
        <f>P406+Q406+R406</f>
        <v>1</v>
      </c>
      <c r="P406" s="3402">
        <f>IF($G405=0,0,P405/O405)</f>
        <v>0.34909146295941201</v>
      </c>
      <c r="Q406" s="3402">
        <f>IF($G405=0,0,Q405/O405)</f>
        <v>0.17823031588816271</v>
      </c>
      <c r="R406" s="3402">
        <f>IF($G405=0,0,R405/O405)</f>
        <v>0.4726782211524253</v>
      </c>
      <c r="S406" s="3411"/>
      <c r="T406" s="3403" t="s">
        <v>625</v>
      </c>
      <c r="U406" s="3412"/>
      <c r="V406" s="3410"/>
      <c r="W406" s="3402">
        <f>X406+Y406+Z406</f>
        <v>1</v>
      </c>
      <c r="X406" s="3402">
        <f>IF($G405=0,0,X405/W405)</f>
        <v>0.34909146295941201</v>
      </c>
      <c r="Y406" s="3402">
        <f>IF($G405=0,0,Y405/W405)</f>
        <v>0.17823031588816271</v>
      </c>
      <c r="Z406" s="3402">
        <f>IF($G405=0,0,Z405/W405)</f>
        <v>0.4726782211524253</v>
      </c>
      <c r="AA406" s="3411"/>
      <c r="AB406" s="3403" t="s">
        <v>625</v>
      </c>
      <c r="AC406" s="3412"/>
      <c r="AD406" s="3410"/>
      <c r="AE406" s="3402">
        <f>AF406+AG406+AH406</f>
        <v>1</v>
      </c>
      <c r="AF406" s="3402">
        <f>IF($G405=0,0,AF405/AE405)</f>
        <v>0.34909146295941201</v>
      </c>
      <c r="AG406" s="3402">
        <f>IF($G405=0,0,AG405/AE405)</f>
        <v>0.17823031588816271</v>
      </c>
      <c r="AH406" s="3402">
        <f>IF($G405=0,0,AH405/AE405)</f>
        <v>0.4726782211524253</v>
      </c>
      <c r="AI406" s="3411"/>
      <c r="AJ406" s="3403" t="s">
        <v>625</v>
      </c>
      <c r="AK406" s="3412"/>
      <c r="AL406" s="3410"/>
      <c r="AM406" s="3402">
        <f>AN406+AO406+AP406</f>
        <v>1</v>
      </c>
      <c r="AN406" s="3402">
        <f>IF($G405=0,0,AN405/AM405)</f>
        <v>0.34909146295941201</v>
      </c>
      <c r="AO406" s="3402">
        <f>IF($G405=0,0,AO405/AM405)</f>
        <v>0.17823031588816271</v>
      </c>
      <c r="AP406" s="3402">
        <f>IF($G405=0,0,AP405/AM405)</f>
        <v>0.4726782211524253</v>
      </c>
      <c r="AQ406" s="3411"/>
      <c r="AR406" s="3403" t="s">
        <v>625</v>
      </c>
      <c r="AS406" s="3412"/>
      <c r="AT406" s="3410"/>
      <c r="AU406" s="3402">
        <f>AV406+AW406+AX406</f>
        <v>1</v>
      </c>
      <c r="AV406" s="3402">
        <f>IF($G405=0,0,AV405/AU405)</f>
        <v>0.34909146295941201</v>
      </c>
      <c r="AW406" s="3402">
        <f>IF($G405=0,0,AW405/AU405)</f>
        <v>0.17823031588816271</v>
      </c>
      <c r="AX406" s="3402">
        <f>IF($G405=0,0,AX405/AU405)</f>
        <v>0.4726782211524253</v>
      </c>
      <c r="AY406" s="3411"/>
      <c r="AZ406" s="3403" t="s">
        <v>625</v>
      </c>
      <c r="BA406" s="3412"/>
      <c r="BB406" s="3410"/>
      <c r="BC406" s="3402">
        <f>BD406+BE406+BF406</f>
        <v>1</v>
      </c>
      <c r="BD406" s="3402">
        <f>IF($G405=0,0,BD405/BC405)</f>
        <v>0.34909146295941201</v>
      </c>
      <c r="BE406" s="3402">
        <f>IF($G405=0,0,BE405/BC405)</f>
        <v>0.17823031588816271</v>
      </c>
      <c r="BF406" s="3402">
        <f>IF($G405=0,0,BF405/BC405)</f>
        <v>0.4726782211524253</v>
      </c>
      <c r="BG406" s="3411"/>
      <c r="BH406" s="3403" t="s">
        <v>625</v>
      </c>
      <c r="BI406" s="3412"/>
      <c r="BJ406" s="3410"/>
      <c r="BK406" s="3402">
        <f>BL406+BM406+BN406</f>
        <v>1</v>
      </c>
      <c r="BL406" s="3402">
        <f>IF($G405=0,0,BL405/BK405)</f>
        <v>0.34909146295941201</v>
      </c>
      <c r="BM406" s="3402">
        <f>IF($G405=0,0,BM405/BK405)</f>
        <v>0.17823031588816271</v>
      </c>
      <c r="BN406" s="3402">
        <f>IF($G405=0,0,BN405/BK405)</f>
        <v>0.4726782211524253</v>
      </c>
      <c r="BO406" s="3411"/>
      <c r="BP406" s="3403" t="s">
        <v>625</v>
      </c>
      <c r="BQ406" s="3412"/>
      <c r="BR406" s="3410"/>
      <c r="BS406" s="3402">
        <f>BT406+BU406+BV406</f>
        <v>1</v>
      </c>
      <c r="BT406" s="3402">
        <f>IF($G405=0,0,BT405/BS405)</f>
        <v>0.34909146295941201</v>
      </c>
      <c r="BU406" s="3402">
        <f>IF($G405=0,0,BU405/BS405)</f>
        <v>0.17823031588816271</v>
      </c>
      <c r="BV406" s="3402">
        <f>IF($G405=0,0,BV405/BS405)</f>
        <v>0.4726782211524253</v>
      </c>
      <c r="BW406" s="3411"/>
      <c r="BX406" s="3403" t="s">
        <v>625</v>
      </c>
      <c r="BY406" s="3412"/>
      <c r="BZ406" s="3410"/>
      <c r="CA406" s="3402">
        <f>CB406+CC406+CD406</f>
        <v>1</v>
      </c>
      <c r="CB406" s="3402">
        <f>IF($G405=0,0,CB405/CA405)</f>
        <v>0.34909146295941201</v>
      </c>
      <c r="CC406" s="3402">
        <f>IF($G405=0,0,CC405/CA405)</f>
        <v>0.17823031588816271</v>
      </c>
      <c r="CD406" s="3402">
        <f>IF($G405=0,0,CD405/CA405)</f>
        <v>0.4726782211524253</v>
      </c>
      <c r="CE406" s="3411"/>
      <c r="CF406" s="3403" t="s">
        <v>625</v>
      </c>
      <c r="CG406" s="3412"/>
      <c r="CH406" s="3410"/>
      <c r="CI406" s="3402">
        <f>CJ406+CK406+CL406</f>
        <v>1</v>
      </c>
      <c r="CJ406" s="3402">
        <f>IF($G405=0,0,CJ405/CI405)</f>
        <v>0.34909146295941201</v>
      </c>
      <c r="CK406" s="3402">
        <f>IF($G405=0,0,CK405/CI405)</f>
        <v>0.17823031588816271</v>
      </c>
      <c r="CL406" s="3402">
        <f>IF($G405=0,0,CL405/CI405)</f>
        <v>0.4726782211524253</v>
      </c>
      <c r="CM406" s="3411"/>
      <c r="CN406" s="3403" t="s">
        <v>625</v>
      </c>
      <c r="CO406" s="3412"/>
      <c r="CP406" s="3410"/>
      <c r="CQ406" s="3402">
        <f>CR406+CS406+CT406</f>
        <v>1</v>
      </c>
      <c r="CR406" s="3402">
        <f>IF($G405=0,0,CR405/CQ405)</f>
        <v>0.34909146295941201</v>
      </c>
      <c r="CS406" s="3402">
        <f>IF($G405=0,0,CS405/CQ405)</f>
        <v>0.17823031588816271</v>
      </c>
      <c r="CT406" s="3402">
        <f>IF($G405=0,0,CT405/CQ405)</f>
        <v>0.4726782211524253</v>
      </c>
      <c r="CU406" s="3411"/>
      <c r="CV406" s="3403" t="s">
        <v>625</v>
      </c>
      <c r="CW406" s="3412"/>
      <c r="CX406" s="3410"/>
      <c r="CY406" s="3402">
        <f>CZ406+DA406+DB406</f>
        <v>1</v>
      </c>
      <c r="CZ406" s="3402">
        <f>IF($G405=0,0,CZ405/CY405)</f>
        <v>0.34909146295941201</v>
      </c>
      <c r="DA406" s="3402">
        <f>IF($G405=0,0,DA405/CY405)</f>
        <v>0.17823031588816271</v>
      </c>
      <c r="DB406" s="3402">
        <f>IF($G405=0,0,DB405/CY405)</f>
        <v>0.4726782211524253</v>
      </c>
      <c r="DC406" s="3411"/>
      <c r="DD406" s="3403" t="s">
        <v>625</v>
      </c>
      <c r="DE406" s="3412"/>
      <c r="DF406" s="3410"/>
      <c r="DG406" s="3402">
        <f>DH406+DI406+DJ406</f>
        <v>1</v>
      </c>
      <c r="DH406" s="3402">
        <f>IF($G405=0,0,DH405/DG405)</f>
        <v>0.34909146295941201</v>
      </c>
      <c r="DI406" s="3402">
        <f>IF($G405=0,0,DI405/DG405)</f>
        <v>0.17823031588816271</v>
      </c>
      <c r="DJ406" s="3402">
        <f>IF($G405=0,0,DJ405/DG405)</f>
        <v>0.4726782211524253</v>
      </c>
      <c r="DK406" s="3411"/>
      <c r="DL406" s="3403" t="s">
        <v>625</v>
      </c>
      <c r="DM406" s="3412"/>
      <c r="DN406" s="3410"/>
      <c r="DO406" s="3402">
        <f>DP406+DQ406+DR406</f>
        <v>1</v>
      </c>
      <c r="DP406" s="3402">
        <f>IF($G405=0,0,DP405/DO405)</f>
        <v>0.34909146295941201</v>
      </c>
      <c r="DQ406" s="3402">
        <f>IF($G405=0,0,DQ405/DO405)</f>
        <v>0.17823031588816271</v>
      </c>
      <c r="DR406" s="3402">
        <f>IF($G405=0,0,DR405/DO405)</f>
        <v>0.4726782211524253</v>
      </c>
      <c r="DS406" s="3411"/>
      <c r="DT406" s="3403" t="s">
        <v>625</v>
      </c>
      <c r="DU406" s="3412"/>
      <c r="DV406" s="3410"/>
      <c r="DW406" s="3402">
        <f>DX406+DY406+DZ406</f>
        <v>1</v>
      </c>
      <c r="DX406" s="3402">
        <f>IF($G405=0,0,DX405/DW405)</f>
        <v>0.34909146295941201</v>
      </c>
      <c r="DY406" s="3402">
        <f>IF($G405=0,0,DY405/DW405)</f>
        <v>0.17823031588816271</v>
      </c>
      <c r="DZ406" s="3402">
        <f>IF($G405=0,0,DZ405/DW405)</f>
        <v>0.4726782211524253</v>
      </c>
      <c r="EA406" s="3411"/>
      <c r="EB406" s="3403" t="s">
        <v>625</v>
      </c>
      <c r="EC406" s="3412"/>
      <c r="ED406" s="3410"/>
      <c r="EE406" s="3402">
        <f>EF406+EG406+EH406</f>
        <v>1</v>
      </c>
      <c r="EF406" s="3402">
        <f>IF($G405=0,0,EF405/EE405)</f>
        <v>0.34909146295941201</v>
      </c>
      <c r="EG406" s="3402">
        <f>IF($G405=0,0,EG405/EE405)</f>
        <v>0.17823031588816271</v>
      </c>
      <c r="EH406" s="3402">
        <f>IF($G405=0,0,EH405/EE405)</f>
        <v>0.4726782211524253</v>
      </c>
      <c r="EI406" s="3411"/>
      <c r="EJ406" s="3403" t="s">
        <v>625</v>
      </c>
      <c r="EK406" s="3412"/>
      <c r="EL406" s="3410"/>
      <c r="EM406" s="3402">
        <f>EN406+EO406+EP406</f>
        <v>1</v>
      </c>
      <c r="EN406" s="3402">
        <f>IF($G405=0,0,EN405/EM405)</f>
        <v>0.34909146295941201</v>
      </c>
      <c r="EO406" s="3402">
        <f>IF($G405=0,0,EO405/EM405)</f>
        <v>0.17823031588816271</v>
      </c>
      <c r="EP406" s="3402">
        <f>IF($G405=0,0,EP405/EM405)</f>
        <v>0.4726782211524253</v>
      </c>
      <c r="EQ406" s="3411"/>
      <c r="ER406" s="3403" t="s">
        <v>625</v>
      </c>
      <c r="ES406" s="3412"/>
      <c r="ET406" s="3410"/>
      <c r="EU406" s="3402">
        <f>EV406+EW406+EX406</f>
        <v>1</v>
      </c>
      <c r="EV406" s="3402">
        <f>IF($G405=0,0,EV405/EU405)</f>
        <v>0.34909146295941201</v>
      </c>
      <c r="EW406" s="3402">
        <f>IF($G405=0,0,EW405/EU405)</f>
        <v>0.17823031588816271</v>
      </c>
      <c r="EX406" s="3402">
        <f>IF($G405=0,0,EX405/EU405)</f>
        <v>0.4726782211524253</v>
      </c>
      <c r="EY406" s="3411"/>
      <c r="EZ406" s="3403" t="s">
        <v>625</v>
      </c>
      <c r="FA406" s="3412"/>
      <c r="FB406" s="3410"/>
      <c r="FC406" s="3402">
        <f>FD406+FE406+FF406</f>
        <v>1</v>
      </c>
      <c r="FD406" s="3402">
        <f>IF($G405=0,0,FD405/FC405)</f>
        <v>0.34909146295941201</v>
      </c>
      <c r="FE406" s="3402">
        <f>IF($G405=0,0,FE405/FC405)</f>
        <v>0.17823031588816271</v>
      </c>
      <c r="FF406" s="3402">
        <f>IF($G405=0,0,FF405/FC405)</f>
        <v>0.4726782211524253</v>
      </c>
      <c r="FG406" s="3411"/>
      <c r="FH406" s="3403" t="s">
        <v>625</v>
      </c>
      <c r="FI406" s="3412"/>
      <c r="FJ406" s="3410"/>
      <c r="FK406" s="3402">
        <f>FL406+FM406+FN406</f>
        <v>1</v>
      </c>
      <c r="FL406" s="3402">
        <f>IF($G405=0,0,FL405/FK405)</f>
        <v>0.34909146295941201</v>
      </c>
      <c r="FM406" s="3402">
        <f>IF($G405=0,0,FM405/FK405)</f>
        <v>0.17823031588816271</v>
      </c>
      <c r="FN406" s="3402">
        <f>IF($G405=0,0,FN405/FK405)</f>
        <v>0.4726782211524253</v>
      </c>
      <c r="FO406" s="3411"/>
    </row>
    <row r="407" spans="2:171">
      <c r="K407" s="3264"/>
      <c r="S407" s="3264"/>
      <c r="AA407" s="3264"/>
      <c r="AI407" s="3264"/>
      <c r="AQ407" s="3264"/>
      <c r="AY407" s="3264"/>
      <c r="BG407" s="3264"/>
      <c r="BO407" s="3264"/>
      <c r="BW407" s="3264"/>
      <c r="CE407" s="3264"/>
      <c r="CM407" s="3264"/>
      <c r="CU407" s="3264"/>
      <c r="DC407" s="3264"/>
      <c r="DK407" s="3264"/>
      <c r="DS407" s="3264"/>
      <c r="EA407" s="3264"/>
      <c r="EI407" s="3264"/>
      <c r="EQ407" s="3264"/>
      <c r="EY407" s="3264"/>
      <c r="FG407" s="3264"/>
      <c r="FO407" s="3264"/>
    </row>
    <row r="408" spans="2:171">
      <c r="E408" s="3090" t="s">
        <v>520</v>
      </c>
      <c r="G408" s="3091" t="s">
        <v>104</v>
      </c>
      <c r="H408" s="3091" t="s">
        <v>105</v>
      </c>
      <c r="I408" s="3091" t="s">
        <v>106</v>
      </c>
      <c r="J408" s="3092" t="s">
        <v>511</v>
      </c>
      <c r="K408" s="3264"/>
      <c r="O408" s="3091" t="s">
        <v>104</v>
      </c>
      <c r="P408" s="3091" t="s">
        <v>105</v>
      </c>
      <c r="Q408" s="3091" t="s">
        <v>106</v>
      </c>
      <c r="R408" s="3092" t="s">
        <v>511</v>
      </c>
      <c r="S408" s="3411"/>
      <c r="W408" s="3091" t="s">
        <v>104</v>
      </c>
      <c r="X408" s="3091" t="s">
        <v>105</v>
      </c>
      <c r="Y408" s="3091" t="s">
        <v>106</v>
      </c>
      <c r="Z408" s="3092" t="s">
        <v>511</v>
      </c>
      <c r="AA408" s="3411"/>
      <c r="AE408" s="3091" t="s">
        <v>104</v>
      </c>
      <c r="AF408" s="3091" t="s">
        <v>105</v>
      </c>
      <c r="AG408" s="3091" t="s">
        <v>106</v>
      </c>
      <c r="AH408" s="3092" t="s">
        <v>511</v>
      </c>
      <c r="AI408" s="3411"/>
      <c r="AM408" s="3091" t="s">
        <v>104</v>
      </c>
      <c r="AN408" s="3091" t="s">
        <v>105</v>
      </c>
      <c r="AO408" s="3091" t="s">
        <v>106</v>
      </c>
      <c r="AP408" s="3092" t="s">
        <v>511</v>
      </c>
      <c r="AQ408" s="3411"/>
      <c r="AU408" s="3091" t="s">
        <v>104</v>
      </c>
      <c r="AV408" s="3091" t="s">
        <v>105</v>
      </c>
      <c r="AW408" s="3091" t="s">
        <v>106</v>
      </c>
      <c r="AX408" s="3092" t="s">
        <v>511</v>
      </c>
      <c r="AY408" s="3411"/>
      <c r="BC408" s="3091" t="s">
        <v>104</v>
      </c>
      <c r="BD408" s="3091" t="s">
        <v>105</v>
      </c>
      <c r="BE408" s="3091" t="s">
        <v>106</v>
      </c>
      <c r="BF408" s="3092" t="s">
        <v>511</v>
      </c>
      <c r="BG408" s="3411"/>
      <c r="BK408" s="3091" t="s">
        <v>104</v>
      </c>
      <c r="BL408" s="3091" t="s">
        <v>105</v>
      </c>
      <c r="BM408" s="3091" t="s">
        <v>106</v>
      </c>
      <c r="BN408" s="3092" t="s">
        <v>511</v>
      </c>
      <c r="BO408" s="3411"/>
      <c r="BS408" s="3091" t="s">
        <v>104</v>
      </c>
      <c r="BT408" s="3091" t="s">
        <v>105</v>
      </c>
      <c r="BU408" s="3091" t="s">
        <v>106</v>
      </c>
      <c r="BV408" s="3092" t="s">
        <v>511</v>
      </c>
      <c r="BW408" s="3411"/>
      <c r="CA408" s="3091" t="s">
        <v>104</v>
      </c>
      <c r="CB408" s="3091" t="s">
        <v>105</v>
      </c>
      <c r="CC408" s="3091" t="s">
        <v>106</v>
      </c>
      <c r="CD408" s="3092" t="s">
        <v>511</v>
      </c>
      <c r="CE408" s="3411"/>
      <c r="CI408" s="3091" t="s">
        <v>104</v>
      </c>
      <c r="CJ408" s="3091" t="s">
        <v>105</v>
      </c>
      <c r="CK408" s="3091" t="s">
        <v>106</v>
      </c>
      <c r="CL408" s="3092" t="s">
        <v>511</v>
      </c>
      <c r="CM408" s="3411"/>
      <c r="CQ408" s="3091" t="s">
        <v>104</v>
      </c>
      <c r="CR408" s="3091" t="s">
        <v>105</v>
      </c>
      <c r="CS408" s="3091" t="s">
        <v>106</v>
      </c>
      <c r="CT408" s="3092" t="s">
        <v>511</v>
      </c>
      <c r="CU408" s="3411"/>
      <c r="CY408" s="3091" t="s">
        <v>104</v>
      </c>
      <c r="CZ408" s="3091" t="s">
        <v>105</v>
      </c>
      <c r="DA408" s="3091" t="s">
        <v>106</v>
      </c>
      <c r="DB408" s="3092" t="s">
        <v>511</v>
      </c>
      <c r="DC408" s="3411"/>
      <c r="DG408" s="3091" t="s">
        <v>104</v>
      </c>
      <c r="DH408" s="3091" t="s">
        <v>105</v>
      </c>
      <c r="DI408" s="3091" t="s">
        <v>106</v>
      </c>
      <c r="DJ408" s="3092" t="s">
        <v>511</v>
      </c>
      <c r="DK408" s="3411"/>
      <c r="DO408" s="3091" t="s">
        <v>104</v>
      </c>
      <c r="DP408" s="3091" t="s">
        <v>105</v>
      </c>
      <c r="DQ408" s="3091" t="s">
        <v>106</v>
      </c>
      <c r="DR408" s="3092" t="s">
        <v>511</v>
      </c>
      <c r="DS408" s="3411"/>
      <c r="DW408" s="3091" t="s">
        <v>104</v>
      </c>
      <c r="DX408" s="3091" t="s">
        <v>105</v>
      </c>
      <c r="DY408" s="3091" t="s">
        <v>106</v>
      </c>
      <c r="DZ408" s="3092" t="s">
        <v>511</v>
      </c>
      <c r="EA408" s="3411"/>
      <c r="EE408" s="3091" t="s">
        <v>104</v>
      </c>
      <c r="EF408" s="3091" t="s">
        <v>105</v>
      </c>
      <c r="EG408" s="3091" t="s">
        <v>106</v>
      </c>
      <c r="EH408" s="3092" t="s">
        <v>511</v>
      </c>
      <c r="EI408" s="3411"/>
      <c r="EM408" s="3091" t="s">
        <v>104</v>
      </c>
      <c r="EN408" s="3091" t="s">
        <v>105</v>
      </c>
      <c r="EO408" s="3091" t="s">
        <v>106</v>
      </c>
      <c r="EP408" s="3092" t="s">
        <v>511</v>
      </c>
      <c r="EQ408" s="3411"/>
      <c r="EU408" s="3091" t="s">
        <v>104</v>
      </c>
      <c r="EV408" s="3091" t="s">
        <v>105</v>
      </c>
      <c r="EW408" s="3091" t="s">
        <v>106</v>
      </c>
      <c r="EX408" s="3092" t="s">
        <v>511</v>
      </c>
      <c r="EY408" s="3411"/>
      <c r="FC408" s="3091" t="s">
        <v>104</v>
      </c>
      <c r="FD408" s="3091" t="s">
        <v>105</v>
      </c>
      <c r="FE408" s="3091" t="s">
        <v>106</v>
      </c>
      <c r="FF408" s="3092" t="s">
        <v>511</v>
      </c>
      <c r="FG408" s="3411"/>
      <c r="FK408" s="3091" t="s">
        <v>104</v>
      </c>
      <c r="FL408" s="3091" t="s">
        <v>105</v>
      </c>
      <c r="FM408" s="3091" t="s">
        <v>106</v>
      </c>
      <c r="FN408" s="3092" t="s">
        <v>511</v>
      </c>
      <c r="FO408" s="3411"/>
    </row>
    <row r="409" spans="2:171">
      <c r="B409" s="3086"/>
      <c r="C409" s="3086" t="s">
        <v>526</v>
      </c>
      <c r="D409" s="3405"/>
      <c r="E409" s="3234"/>
      <c r="G409" s="2424">
        <f>G405</f>
        <v>11178688811</v>
      </c>
      <c r="H409" s="2424">
        <f t="shared" ref="H409:J409" si="1421">H405</f>
        <v>3902384831</v>
      </c>
      <c r="I409" s="2424">
        <f t="shared" si="1421"/>
        <v>0</v>
      </c>
      <c r="J409" s="2424">
        <f t="shared" si="1421"/>
        <v>7276303980</v>
      </c>
      <c r="K409" s="3411"/>
      <c r="L409" s="3405"/>
      <c r="M409" s="3406"/>
      <c r="N409" s="3406"/>
      <c r="O409" s="2424">
        <f>O405</f>
        <v>11178688811</v>
      </c>
      <c r="P409" s="2424">
        <f t="shared" ref="P409:R409" si="1422">P405</f>
        <v>3902384831</v>
      </c>
      <c r="Q409" s="2424">
        <f t="shared" si="1422"/>
        <v>1992381238</v>
      </c>
      <c r="R409" s="2424">
        <f t="shared" si="1422"/>
        <v>5283922742</v>
      </c>
      <c r="S409" s="3411"/>
      <c r="T409" s="3405"/>
      <c r="U409" s="3406"/>
      <c r="V409" s="3406"/>
      <c r="W409" s="2424">
        <f>W405</f>
        <v>11178688811</v>
      </c>
      <c r="X409" s="2424">
        <f t="shared" ref="X409:Z409" si="1423">X405</f>
        <v>3902384831</v>
      </c>
      <c r="Y409" s="2424">
        <f t="shared" si="1423"/>
        <v>1992381238</v>
      </c>
      <c r="Z409" s="2424">
        <f t="shared" si="1423"/>
        <v>5283922742</v>
      </c>
      <c r="AA409" s="3411"/>
      <c r="AB409" s="3405"/>
      <c r="AC409" s="3406"/>
      <c r="AD409" s="3406"/>
      <c r="AE409" s="2424">
        <f>AE405</f>
        <v>11178688811</v>
      </c>
      <c r="AF409" s="2424">
        <f t="shared" ref="AF409:AH409" si="1424">AF405</f>
        <v>3902384831</v>
      </c>
      <c r="AG409" s="2424">
        <f t="shared" si="1424"/>
        <v>1992381238</v>
      </c>
      <c r="AH409" s="2424">
        <f t="shared" si="1424"/>
        <v>5283922742</v>
      </c>
      <c r="AI409" s="3411"/>
      <c r="AJ409" s="3405"/>
      <c r="AK409" s="3406"/>
      <c r="AL409" s="3406"/>
      <c r="AM409" s="2424">
        <f>AM405</f>
        <v>11178688811</v>
      </c>
      <c r="AN409" s="2424">
        <f t="shared" ref="AN409:AP409" si="1425">AN405</f>
        <v>3902384831</v>
      </c>
      <c r="AO409" s="2424">
        <f t="shared" si="1425"/>
        <v>1992381238</v>
      </c>
      <c r="AP409" s="2424">
        <f t="shared" si="1425"/>
        <v>5283922742</v>
      </c>
      <c r="AQ409" s="3411"/>
      <c r="AR409" s="3405"/>
      <c r="AS409" s="3406"/>
      <c r="AT409" s="3406"/>
      <c r="AU409" s="2424">
        <f>AU405</f>
        <v>11178688811</v>
      </c>
      <c r="AV409" s="2424">
        <f t="shared" ref="AV409:AX409" si="1426">AV405</f>
        <v>3902384831</v>
      </c>
      <c r="AW409" s="2424">
        <f t="shared" si="1426"/>
        <v>1992381238</v>
      </c>
      <c r="AX409" s="2424">
        <f t="shared" si="1426"/>
        <v>5283922742</v>
      </c>
      <c r="AY409" s="3411"/>
      <c r="AZ409" s="3405"/>
      <c r="BA409" s="3406"/>
      <c r="BB409" s="3406"/>
      <c r="BC409" s="2424">
        <f>BC405</f>
        <v>11178688811</v>
      </c>
      <c r="BD409" s="2424">
        <f t="shared" ref="BD409:BF409" si="1427">BD405</f>
        <v>3902384831</v>
      </c>
      <c r="BE409" s="2424">
        <f t="shared" si="1427"/>
        <v>1992381238</v>
      </c>
      <c r="BF409" s="2424">
        <f t="shared" si="1427"/>
        <v>5283922742</v>
      </c>
      <c r="BG409" s="3411"/>
      <c r="BH409" s="3405"/>
      <c r="BI409" s="3406"/>
      <c r="BJ409" s="3406"/>
      <c r="BK409" s="2424">
        <f>BK405</f>
        <v>11178688811</v>
      </c>
      <c r="BL409" s="2424">
        <f t="shared" ref="BL409:BN409" si="1428">BL405</f>
        <v>3902384831</v>
      </c>
      <c r="BM409" s="2424">
        <f t="shared" si="1428"/>
        <v>1992381238</v>
      </c>
      <c r="BN409" s="2424">
        <f t="shared" si="1428"/>
        <v>5283922742</v>
      </c>
      <c r="BO409" s="3411"/>
      <c r="BP409" s="3405"/>
      <c r="BQ409" s="3406"/>
      <c r="BR409" s="3406"/>
      <c r="BS409" s="2424">
        <f>BS405</f>
        <v>11178688811</v>
      </c>
      <c r="BT409" s="2424">
        <f t="shared" ref="BT409:BV409" si="1429">BT405</f>
        <v>3902384831</v>
      </c>
      <c r="BU409" s="2424">
        <f t="shared" si="1429"/>
        <v>1992381238</v>
      </c>
      <c r="BV409" s="2424">
        <f t="shared" si="1429"/>
        <v>5283922742</v>
      </c>
      <c r="BW409" s="3411"/>
      <c r="BX409" s="3405"/>
      <c r="BY409" s="3406"/>
      <c r="BZ409" s="3406"/>
      <c r="CA409" s="2424">
        <f>CA405</f>
        <v>11178688811</v>
      </c>
      <c r="CB409" s="2424">
        <f t="shared" ref="CB409:CD409" si="1430">CB405</f>
        <v>3902384831</v>
      </c>
      <c r="CC409" s="2424">
        <f t="shared" si="1430"/>
        <v>1992381238</v>
      </c>
      <c r="CD409" s="2424">
        <f t="shared" si="1430"/>
        <v>5283922742</v>
      </c>
      <c r="CE409" s="3411"/>
      <c r="CF409" s="3405"/>
      <c r="CG409" s="3406"/>
      <c r="CH409" s="3406"/>
      <c r="CI409" s="2424">
        <f>CI405</f>
        <v>11178688811</v>
      </c>
      <c r="CJ409" s="2424">
        <f t="shared" ref="CJ409:CL409" si="1431">CJ405</f>
        <v>3902384831</v>
      </c>
      <c r="CK409" s="2424">
        <f t="shared" si="1431"/>
        <v>1992381238</v>
      </c>
      <c r="CL409" s="2424">
        <f t="shared" si="1431"/>
        <v>5283922742</v>
      </c>
      <c r="CM409" s="3411"/>
      <c r="CN409" s="3405"/>
      <c r="CO409" s="3406"/>
      <c r="CP409" s="3406"/>
      <c r="CQ409" s="2424">
        <f>CQ405</f>
        <v>11178688811</v>
      </c>
      <c r="CR409" s="2424">
        <f t="shared" ref="CR409:CT409" si="1432">CR405</f>
        <v>3902384831</v>
      </c>
      <c r="CS409" s="2424">
        <f t="shared" si="1432"/>
        <v>1992381238</v>
      </c>
      <c r="CT409" s="2424">
        <f t="shared" si="1432"/>
        <v>5283922742</v>
      </c>
      <c r="CU409" s="3411"/>
      <c r="CV409" s="3405"/>
      <c r="CW409" s="3406"/>
      <c r="CX409" s="3406"/>
      <c r="CY409" s="2424">
        <f>CY405</f>
        <v>11178688811</v>
      </c>
      <c r="CZ409" s="2424">
        <f t="shared" ref="CZ409:DB409" si="1433">CZ405</f>
        <v>3902384831</v>
      </c>
      <c r="DA409" s="2424">
        <f t="shared" si="1433"/>
        <v>1992381238</v>
      </c>
      <c r="DB409" s="2424">
        <f t="shared" si="1433"/>
        <v>5283922742</v>
      </c>
      <c r="DC409" s="3411"/>
      <c r="DD409" s="3405"/>
      <c r="DE409" s="3406"/>
      <c r="DF409" s="3406"/>
      <c r="DG409" s="2424">
        <f>DG405</f>
        <v>11178688811</v>
      </c>
      <c r="DH409" s="2424">
        <f t="shared" ref="DH409:DJ409" si="1434">DH405</f>
        <v>3902384831</v>
      </c>
      <c r="DI409" s="2424">
        <f t="shared" si="1434"/>
        <v>1992381238</v>
      </c>
      <c r="DJ409" s="2424">
        <f t="shared" si="1434"/>
        <v>5283922742</v>
      </c>
      <c r="DK409" s="3411"/>
      <c r="DL409" s="3405"/>
      <c r="DM409" s="3406"/>
      <c r="DN409" s="3406"/>
      <c r="DO409" s="2424">
        <f>DO405</f>
        <v>11178688811</v>
      </c>
      <c r="DP409" s="2424">
        <f t="shared" ref="DP409:DR409" si="1435">DP405</f>
        <v>3902384831</v>
      </c>
      <c r="DQ409" s="2424">
        <f t="shared" si="1435"/>
        <v>1992381238</v>
      </c>
      <c r="DR409" s="2424">
        <f t="shared" si="1435"/>
        <v>5283922742</v>
      </c>
      <c r="DS409" s="3411"/>
      <c r="DT409" s="3405"/>
      <c r="DU409" s="3406"/>
      <c r="DV409" s="3406"/>
      <c r="DW409" s="2424">
        <f>DW405</f>
        <v>11178688811</v>
      </c>
      <c r="DX409" s="2424">
        <f t="shared" ref="DX409:DZ409" si="1436">DX405</f>
        <v>3902384831</v>
      </c>
      <c r="DY409" s="2424">
        <f t="shared" si="1436"/>
        <v>1992381238</v>
      </c>
      <c r="DZ409" s="2424">
        <f t="shared" si="1436"/>
        <v>5283922742</v>
      </c>
      <c r="EA409" s="3411"/>
      <c r="EB409" s="3405"/>
      <c r="EC409" s="3406"/>
      <c r="ED409" s="3406"/>
      <c r="EE409" s="2424">
        <f>EE405</f>
        <v>11178688811</v>
      </c>
      <c r="EF409" s="2424">
        <f t="shared" ref="EF409:EH409" si="1437">EF405</f>
        <v>3902384831</v>
      </c>
      <c r="EG409" s="2424">
        <f t="shared" si="1437"/>
        <v>1992381238</v>
      </c>
      <c r="EH409" s="2424">
        <f t="shared" si="1437"/>
        <v>5283922742</v>
      </c>
      <c r="EI409" s="3411"/>
      <c r="EJ409" s="3405"/>
      <c r="EK409" s="3406"/>
      <c r="EL409" s="3406"/>
      <c r="EM409" s="2424">
        <f>EM405</f>
        <v>11178688811</v>
      </c>
      <c r="EN409" s="2424">
        <f t="shared" ref="EN409:EP409" si="1438">EN405</f>
        <v>3902384831</v>
      </c>
      <c r="EO409" s="2424">
        <f t="shared" si="1438"/>
        <v>1992381238</v>
      </c>
      <c r="EP409" s="2424">
        <f t="shared" si="1438"/>
        <v>5283922742</v>
      </c>
      <c r="EQ409" s="3411"/>
      <c r="ER409" s="3405"/>
      <c r="ES409" s="3406"/>
      <c r="ET409" s="3406"/>
      <c r="EU409" s="2424">
        <f>EU405</f>
        <v>11178688811</v>
      </c>
      <c r="EV409" s="2424">
        <f t="shared" ref="EV409:EX409" si="1439">EV405</f>
        <v>3902384831</v>
      </c>
      <c r="EW409" s="2424">
        <f t="shared" si="1439"/>
        <v>1992381238</v>
      </c>
      <c r="EX409" s="2424">
        <f t="shared" si="1439"/>
        <v>5283922742</v>
      </c>
      <c r="EY409" s="3411"/>
      <c r="EZ409" s="3405"/>
      <c r="FA409" s="3406"/>
      <c r="FB409" s="3406"/>
      <c r="FC409" s="2424">
        <f>FC405</f>
        <v>11178688811</v>
      </c>
      <c r="FD409" s="2424">
        <f t="shared" ref="FD409:FF409" si="1440">FD405</f>
        <v>3902384831</v>
      </c>
      <c r="FE409" s="2424">
        <f t="shared" si="1440"/>
        <v>1992381238</v>
      </c>
      <c r="FF409" s="2424">
        <f t="shared" si="1440"/>
        <v>5283922742</v>
      </c>
      <c r="FG409" s="3411"/>
      <c r="FH409" s="3405"/>
      <c r="FI409" s="3406"/>
      <c r="FJ409" s="3406"/>
      <c r="FK409" s="2424">
        <f>FK405</f>
        <v>11178688811</v>
      </c>
      <c r="FL409" s="2424">
        <f t="shared" ref="FL409:FN409" si="1441">FL405</f>
        <v>3902384831</v>
      </c>
      <c r="FM409" s="2424">
        <f t="shared" si="1441"/>
        <v>1992381238</v>
      </c>
      <c r="FN409" s="2424">
        <f t="shared" si="1441"/>
        <v>5283922742</v>
      </c>
      <c r="FO409" s="3411"/>
    </row>
    <row r="410" spans="2:171">
      <c r="B410" s="3086"/>
      <c r="C410" s="3086" t="s">
        <v>527</v>
      </c>
      <c r="D410" s="3405"/>
      <c r="E410" s="3234" t="str">
        <f>E16</f>
        <v>DIST</v>
      </c>
      <c r="G410" s="2424">
        <f t="shared" ref="G410:J412" si="1442">G16</f>
        <v>114202</v>
      </c>
      <c r="H410" s="2424">
        <f t="shared" si="1442"/>
        <v>0</v>
      </c>
      <c r="I410" s="2424">
        <f t="shared" si="1442"/>
        <v>0</v>
      </c>
      <c r="J410" s="2424">
        <f t="shared" si="1442"/>
        <v>114202</v>
      </c>
      <c r="K410" s="3264"/>
      <c r="L410" s="3405"/>
      <c r="M410" s="3406"/>
      <c r="N410" s="3406"/>
      <c r="O410" s="2424">
        <f t="shared" ref="O410:R410" si="1443">O16</f>
        <v>114202</v>
      </c>
      <c r="P410" s="2424">
        <f t="shared" si="1443"/>
        <v>0</v>
      </c>
      <c r="Q410" s="2424">
        <f t="shared" si="1443"/>
        <v>0</v>
      </c>
      <c r="R410" s="2424">
        <f t="shared" si="1443"/>
        <v>114202</v>
      </c>
      <c r="S410" s="3264"/>
      <c r="T410" s="3405"/>
      <c r="U410" s="3406"/>
      <c r="V410" s="3406"/>
      <c r="W410" s="2424">
        <f t="shared" ref="W410:Z410" si="1444">W16</f>
        <v>114202</v>
      </c>
      <c r="X410" s="2424">
        <f t="shared" si="1444"/>
        <v>0</v>
      </c>
      <c r="Y410" s="2424">
        <f t="shared" si="1444"/>
        <v>0</v>
      </c>
      <c r="Z410" s="2424">
        <f t="shared" si="1444"/>
        <v>114202</v>
      </c>
      <c r="AA410" s="3264"/>
      <c r="AB410" s="3405"/>
      <c r="AC410" s="3406"/>
      <c r="AD410" s="3406"/>
      <c r="AE410" s="2424">
        <f t="shared" ref="AE410:AH410" si="1445">AE16</f>
        <v>114202</v>
      </c>
      <c r="AF410" s="2424">
        <f t="shared" si="1445"/>
        <v>0</v>
      </c>
      <c r="AG410" s="2424">
        <f t="shared" si="1445"/>
        <v>0</v>
      </c>
      <c r="AH410" s="2424">
        <f t="shared" si="1445"/>
        <v>114202</v>
      </c>
      <c r="AI410" s="3264"/>
      <c r="AJ410" s="3405"/>
      <c r="AK410" s="3406"/>
      <c r="AL410" s="3406"/>
      <c r="AM410" s="2424">
        <f t="shared" ref="AM410:AP410" si="1446">AM16</f>
        <v>114202</v>
      </c>
      <c r="AN410" s="2424">
        <f t="shared" si="1446"/>
        <v>0</v>
      </c>
      <c r="AO410" s="2424">
        <f t="shared" si="1446"/>
        <v>0</v>
      </c>
      <c r="AP410" s="2424">
        <f t="shared" si="1446"/>
        <v>114202</v>
      </c>
      <c r="AQ410" s="3264"/>
      <c r="AR410" s="3405"/>
      <c r="AS410" s="3406"/>
      <c r="AT410" s="3406"/>
      <c r="AU410" s="2424">
        <f t="shared" ref="AU410:AX410" si="1447">AU16</f>
        <v>114202</v>
      </c>
      <c r="AV410" s="2424">
        <f t="shared" si="1447"/>
        <v>0</v>
      </c>
      <c r="AW410" s="2424">
        <f t="shared" si="1447"/>
        <v>0</v>
      </c>
      <c r="AX410" s="2424">
        <f t="shared" si="1447"/>
        <v>114202</v>
      </c>
      <c r="AY410" s="3264"/>
      <c r="AZ410" s="3405"/>
      <c r="BA410" s="3406"/>
      <c r="BB410" s="3406"/>
      <c r="BC410" s="2424">
        <f t="shared" ref="BC410:BF410" si="1448">BC16</f>
        <v>114202</v>
      </c>
      <c r="BD410" s="2424">
        <f t="shared" si="1448"/>
        <v>0</v>
      </c>
      <c r="BE410" s="2424">
        <f t="shared" si="1448"/>
        <v>0</v>
      </c>
      <c r="BF410" s="2424">
        <f t="shared" si="1448"/>
        <v>114202</v>
      </c>
      <c r="BG410" s="3264"/>
      <c r="BH410" s="3405"/>
      <c r="BI410" s="3406"/>
      <c r="BJ410" s="3406"/>
      <c r="BK410" s="2424">
        <f t="shared" ref="BK410:BN410" si="1449">BK16</f>
        <v>114202</v>
      </c>
      <c r="BL410" s="2424">
        <f t="shared" si="1449"/>
        <v>0</v>
      </c>
      <c r="BM410" s="2424">
        <f t="shared" si="1449"/>
        <v>0</v>
      </c>
      <c r="BN410" s="2424">
        <f t="shared" si="1449"/>
        <v>114202</v>
      </c>
      <c r="BO410" s="3264"/>
      <c r="BP410" s="3405"/>
      <c r="BQ410" s="3406"/>
      <c r="BR410" s="3406"/>
      <c r="BS410" s="2424">
        <f t="shared" ref="BS410:BV410" si="1450">BS16</f>
        <v>114202</v>
      </c>
      <c r="BT410" s="2424">
        <f t="shared" si="1450"/>
        <v>0</v>
      </c>
      <c r="BU410" s="2424">
        <f t="shared" si="1450"/>
        <v>0</v>
      </c>
      <c r="BV410" s="2424">
        <f t="shared" si="1450"/>
        <v>114202</v>
      </c>
      <c r="BW410" s="3264"/>
      <c r="BX410" s="3405"/>
      <c r="BY410" s="3406"/>
      <c r="BZ410" s="3406"/>
      <c r="CA410" s="2424">
        <f t="shared" ref="CA410:CD410" si="1451">CA16</f>
        <v>114202</v>
      </c>
      <c r="CB410" s="2424">
        <f t="shared" si="1451"/>
        <v>0</v>
      </c>
      <c r="CC410" s="2424">
        <f t="shared" si="1451"/>
        <v>0</v>
      </c>
      <c r="CD410" s="2424">
        <f t="shared" si="1451"/>
        <v>114202</v>
      </c>
      <c r="CE410" s="3264"/>
      <c r="CF410" s="3405"/>
      <c r="CG410" s="3406"/>
      <c r="CH410" s="3406"/>
      <c r="CI410" s="2424">
        <f t="shared" ref="CI410:CL410" si="1452">CI16</f>
        <v>114202</v>
      </c>
      <c r="CJ410" s="2424">
        <f t="shared" si="1452"/>
        <v>0</v>
      </c>
      <c r="CK410" s="2424">
        <f t="shared" si="1452"/>
        <v>0</v>
      </c>
      <c r="CL410" s="2424">
        <f t="shared" si="1452"/>
        <v>114202</v>
      </c>
      <c r="CM410" s="3264"/>
      <c r="CN410" s="3405"/>
      <c r="CO410" s="3406"/>
      <c r="CP410" s="3406"/>
      <c r="CQ410" s="2424">
        <f t="shared" ref="CQ410:CT410" si="1453">CQ16</f>
        <v>114202</v>
      </c>
      <c r="CR410" s="2424">
        <f t="shared" si="1453"/>
        <v>0</v>
      </c>
      <c r="CS410" s="2424">
        <f t="shared" si="1453"/>
        <v>0</v>
      </c>
      <c r="CT410" s="2424">
        <f t="shared" si="1453"/>
        <v>114202</v>
      </c>
      <c r="CU410" s="3264"/>
      <c r="CV410" s="3405"/>
      <c r="CW410" s="3406"/>
      <c r="CX410" s="3406"/>
      <c r="CY410" s="2424">
        <f t="shared" ref="CY410:DB410" si="1454">CY16</f>
        <v>114202</v>
      </c>
      <c r="CZ410" s="2424">
        <f t="shared" si="1454"/>
        <v>0</v>
      </c>
      <c r="DA410" s="2424">
        <f t="shared" si="1454"/>
        <v>0</v>
      </c>
      <c r="DB410" s="2424">
        <f t="shared" si="1454"/>
        <v>114202</v>
      </c>
      <c r="DC410" s="3264"/>
      <c r="DD410" s="3405"/>
      <c r="DE410" s="3406"/>
      <c r="DF410" s="3406"/>
      <c r="DG410" s="2424">
        <f t="shared" ref="DG410:DJ410" si="1455">DG16</f>
        <v>114202</v>
      </c>
      <c r="DH410" s="2424">
        <f t="shared" si="1455"/>
        <v>0</v>
      </c>
      <c r="DI410" s="2424">
        <f t="shared" si="1455"/>
        <v>0</v>
      </c>
      <c r="DJ410" s="2424">
        <f t="shared" si="1455"/>
        <v>114202</v>
      </c>
      <c r="DK410" s="3264"/>
      <c r="DL410" s="3405"/>
      <c r="DM410" s="3406"/>
      <c r="DN410" s="3406"/>
      <c r="DO410" s="2424">
        <f t="shared" ref="DO410:DR410" si="1456">DO16</f>
        <v>114202</v>
      </c>
      <c r="DP410" s="2424">
        <f t="shared" si="1456"/>
        <v>0</v>
      </c>
      <c r="DQ410" s="2424">
        <f t="shared" si="1456"/>
        <v>0</v>
      </c>
      <c r="DR410" s="2424">
        <f t="shared" si="1456"/>
        <v>114202</v>
      </c>
      <c r="DS410" s="3264"/>
      <c r="DT410" s="3405"/>
      <c r="DU410" s="3406"/>
      <c r="DV410" s="3406"/>
      <c r="DW410" s="2424">
        <f t="shared" ref="DW410:DZ410" si="1457">DW16</f>
        <v>114202</v>
      </c>
      <c r="DX410" s="2424">
        <f t="shared" si="1457"/>
        <v>0</v>
      </c>
      <c r="DY410" s="2424">
        <f t="shared" si="1457"/>
        <v>0</v>
      </c>
      <c r="DZ410" s="2424">
        <f t="shared" si="1457"/>
        <v>114202</v>
      </c>
      <c r="EA410" s="3264"/>
      <c r="EB410" s="3405"/>
      <c r="EC410" s="3406"/>
      <c r="ED410" s="3406"/>
      <c r="EE410" s="2424">
        <f t="shared" ref="EE410:EH410" si="1458">EE16</f>
        <v>114202</v>
      </c>
      <c r="EF410" s="2424">
        <f t="shared" si="1458"/>
        <v>0</v>
      </c>
      <c r="EG410" s="2424">
        <f t="shared" si="1458"/>
        <v>0</v>
      </c>
      <c r="EH410" s="2424">
        <f t="shared" si="1458"/>
        <v>114202</v>
      </c>
      <c r="EI410" s="3264"/>
      <c r="EJ410" s="3405"/>
      <c r="EK410" s="3406"/>
      <c r="EL410" s="3406"/>
      <c r="EM410" s="2424">
        <f t="shared" ref="EM410:EP410" si="1459">EM16</f>
        <v>114202</v>
      </c>
      <c r="EN410" s="2424">
        <f t="shared" si="1459"/>
        <v>0</v>
      </c>
      <c r="EO410" s="2424">
        <f t="shared" si="1459"/>
        <v>0</v>
      </c>
      <c r="EP410" s="2424">
        <f t="shared" si="1459"/>
        <v>114202</v>
      </c>
      <c r="EQ410" s="3264"/>
      <c r="ER410" s="3405"/>
      <c r="ES410" s="3406"/>
      <c r="ET410" s="3406"/>
      <c r="EU410" s="2424">
        <f t="shared" ref="EU410:EX410" si="1460">EU16</f>
        <v>114202</v>
      </c>
      <c r="EV410" s="2424">
        <f t="shared" si="1460"/>
        <v>0</v>
      </c>
      <c r="EW410" s="2424">
        <f t="shared" si="1460"/>
        <v>0</v>
      </c>
      <c r="EX410" s="2424">
        <f t="shared" si="1460"/>
        <v>114202</v>
      </c>
      <c r="EY410" s="3264"/>
      <c r="EZ410" s="3405"/>
      <c r="FA410" s="3406"/>
      <c r="FB410" s="3406"/>
      <c r="FC410" s="2424">
        <f t="shared" ref="FC410:FF410" si="1461">FC16</f>
        <v>114202</v>
      </c>
      <c r="FD410" s="2424">
        <f t="shared" si="1461"/>
        <v>0</v>
      </c>
      <c r="FE410" s="2424">
        <f t="shared" si="1461"/>
        <v>0</v>
      </c>
      <c r="FF410" s="2424">
        <f t="shared" si="1461"/>
        <v>114202</v>
      </c>
      <c r="FG410" s="3264"/>
      <c r="FH410" s="3405"/>
      <c r="FI410" s="3406"/>
      <c r="FJ410" s="3406"/>
      <c r="FK410" s="2424">
        <f t="shared" ref="FK410:FN410" si="1462">FK16</f>
        <v>114202</v>
      </c>
      <c r="FL410" s="2424">
        <f t="shared" si="1462"/>
        <v>0</v>
      </c>
      <c r="FM410" s="2424">
        <f t="shared" si="1462"/>
        <v>0</v>
      </c>
      <c r="FN410" s="2424">
        <f t="shared" si="1462"/>
        <v>114202</v>
      </c>
      <c r="FO410" s="3264"/>
    </row>
    <row r="411" spans="2:171">
      <c r="B411" s="3086"/>
      <c r="C411" s="3086" t="s">
        <v>528</v>
      </c>
      <c r="D411" s="3405"/>
      <c r="E411" s="3234" t="str">
        <f t="shared" ref="E411:E412" si="1463">E17</f>
        <v>DIRECT</v>
      </c>
      <c r="G411" s="2424">
        <f t="shared" si="1442"/>
        <v>80196650</v>
      </c>
      <c r="H411" s="2424">
        <f t="shared" si="1442"/>
        <v>55817303.479669861</v>
      </c>
      <c r="I411" s="2424">
        <f t="shared" si="1442"/>
        <v>0</v>
      </c>
      <c r="J411" s="2424">
        <f t="shared" si="1442"/>
        <v>24379345.720330127</v>
      </c>
      <c r="K411" s="3264"/>
      <c r="L411" s="3405"/>
      <c r="M411" s="3406"/>
      <c r="N411" s="3406"/>
      <c r="O411" s="2424">
        <f t="shared" ref="O411:R411" si="1464">O17</f>
        <v>80196650</v>
      </c>
      <c r="P411" s="2424">
        <f t="shared" si="1464"/>
        <v>55817303.479669861</v>
      </c>
      <c r="Q411" s="2424">
        <f t="shared" si="1464"/>
        <v>0</v>
      </c>
      <c r="R411" s="2424">
        <f t="shared" si="1464"/>
        <v>24379346.520330139</v>
      </c>
      <c r="S411" s="3264"/>
      <c r="T411" s="3405"/>
      <c r="U411" s="3406"/>
      <c r="V411" s="3406"/>
      <c r="W411" s="2424">
        <f t="shared" ref="W411:Z411" si="1465">W17</f>
        <v>80196650</v>
      </c>
      <c r="X411" s="2424">
        <f t="shared" si="1465"/>
        <v>55817303.479669861</v>
      </c>
      <c r="Y411" s="2424">
        <f t="shared" si="1465"/>
        <v>0</v>
      </c>
      <c r="Z411" s="2424">
        <f t="shared" si="1465"/>
        <v>24379346.520330139</v>
      </c>
      <c r="AA411" s="3264"/>
      <c r="AB411" s="3405"/>
      <c r="AC411" s="3406"/>
      <c r="AD411" s="3406"/>
      <c r="AE411" s="2424">
        <f t="shared" ref="AE411:AH411" si="1466">AE17</f>
        <v>80196650</v>
      </c>
      <c r="AF411" s="2424">
        <f t="shared" si="1466"/>
        <v>55817303.479669861</v>
      </c>
      <c r="AG411" s="2424">
        <f t="shared" si="1466"/>
        <v>0</v>
      </c>
      <c r="AH411" s="2424">
        <f t="shared" si="1466"/>
        <v>24379346.520330139</v>
      </c>
      <c r="AI411" s="3264"/>
      <c r="AJ411" s="3405"/>
      <c r="AK411" s="3406"/>
      <c r="AL411" s="3406"/>
      <c r="AM411" s="2424">
        <f t="shared" ref="AM411:AP411" si="1467">AM17</f>
        <v>80196650</v>
      </c>
      <c r="AN411" s="2424">
        <f t="shared" si="1467"/>
        <v>55817303.479669861</v>
      </c>
      <c r="AO411" s="2424">
        <f t="shared" si="1467"/>
        <v>0</v>
      </c>
      <c r="AP411" s="2424">
        <f t="shared" si="1467"/>
        <v>24379346.520330139</v>
      </c>
      <c r="AQ411" s="3264"/>
      <c r="AR411" s="3405"/>
      <c r="AS411" s="3406"/>
      <c r="AT411" s="3406"/>
      <c r="AU411" s="2424">
        <f t="shared" ref="AU411:AX411" si="1468">AU17</f>
        <v>80196650</v>
      </c>
      <c r="AV411" s="2424">
        <f t="shared" si="1468"/>
        <v>55817303.479669861</v>
      </c>
      <c r="AW411" s="2424">
        <f t="shared" si="1468"/>
        <v>0</v>
      </c>
      <c r="AX411" s="2424">
        <f t="shared" si="1468"/>
        <v>24379346.520330139</v>
      </c>
      <c r="AY411" s="3264"/>
      <c r="AZ411" s="3405"/>
      <c r="BA411" s="3406"/>
      <c r="BB411" s="3406"/>
      <c r="BC411" s="2424">
        <f t="shared" ref="BC411:BF411" si="1469">BC17</f>
        <v>80196650</v>
      </c>
      <c r="BD411" s="2424">
        <f t="shared" si="1469"/>
        <v>55817303.479669861</v>
      </c>
      <c r="BE411" s="2424">
        <f t="shared" si="1469"/>
        <v>0</v>
      </c>
      <c r="BF411" s="2424">
        <f t="shared" si="1469"/>
        <v>24379346.520330139</v>
      </c>
      <c r="BG411" s="3264"/>
      <c r="BH411" s="3405"/>
      <c r="BI411" s="3406"/>
      <c r="BJ411" s="3406"/>
      <c r="BK411" s="2424">
        <f t="shared" ref="BK411:BN411" si="1470">BK17</f>
        <v>80196650</v>
      </c>
      <c r="BL411" s="2424">
        <f t="shared" si="1470"/>
        <v>55817303.479669861</v>
      </c>
      <c r="BM411" s="2424">
        <f t="shared" si="1470"/>
        <v>0</v>
      </c>
      <c r="BN411" s="2424">
        <f t="shared" si="1470"/>
        <v>24379346.520330139</v>
      </c>
      <c r="BO411" s="3264"/>
      <c r="BP411" s="3405"/>
      <c r="BQ411" s="3406"/>
      <c r="BR411" s="3406"/>
      <c r="BS411" s="2424">
        <f t="shared" ref="BS411:BV411" si="1471">BS17</f>
        <v>80196650</v>
      </c>
      <c r="BT411" s="2424">
        <f t="shared" si="1471"/>
        <v>55817303.479669861</v>
      </c>
      <c r="BU411" s="2424">
        <f t="shared" si="1471"/>
        <v>0</v>
      </c>
      <c r="BV411" s="2424">
        <f t="shared" si="1471"/>
        <v>24379346.520330139</v>
      </c>
      <c r="BW411" s="3264"/>
      <c r="BX411" s="3405"/>
      <c r="BY411" s="3406"/>
      <c r="BZ411" s="3406"/>
      <c r="CA411" s="2424">
        <f t="shared" ref="CA411:CD411" si="1472">CA17</f>
        <v>80196650</v>
      </c>
      <c r="CB411" s="2424">
        <f t="shared" si="1472"/>
        <v>55817303.479669861</v>
      </c>
      <c r="CC411" s="2424">
        <f t="shared" si="1472"/>
        <v>0</v>
      </c>
      <c r="CD411" s="2424">
        <f t="shared" si="1472"/>
        <v>24379346.520330139</v>
      </c>
      <c r="CE411" s="3264"/>
      <c r="CF411" s="3405"/>
      <c r="CG411" s="3406"/>
      <c r="CH411" s="3406"/>
      <c r="CI411" s="2424">
        <f t="shared" ref="CI411:CL411" si="1473">CI17</f>
        <v>80196650</v>
      </c>
      <c r="CJ411" s="2424">
        <f t="shared" si="1473"/>
        <v>55817303.479669861</v>
      </c>
      <c r="CK411" s="2424">
        <f t="shared" si="1473"/>
        <v>0</v>
      </c>
      <c r="CL411" s="2424">
        <f t="shared" si="1473"/>
        <v>24379346.520330139</v>
      </c>
      <c r="CM411" s="3264"/>
      <c r="CN411" s="3405"/>
      <c r="CO411" s="3406"/>
      <c r="CP411" s="3406"/>
      <c r="CQ411" s="2424">
        <f t="shared" ref="CQ411:CT411" si="1474">CQ17</f>
        <v>80196650</v>
      </c>
      <c r="CR411" s="2424">
        <f t="shared" si="1474"/>
        <v>55817303.479669861</v>
      </c>
      <c r="CS411" s="2424">
        <f t="shared" si="1474"/>
        <v>0</v>
      </c>
      <c r="CT411" s="2424">
        <f t="shared" si="1474"/>
        <v>24379346.520330139</v>
      </c>
      <c r="CU411" s="3264"/>
      <c r="CV411" s="3405"/>
      <c r="CW411" s="3406"/>
      <c r="CX411" s="3406"/>
      <c r="CY411" s="2424">
        <f t="shared" ref="CY411:DB411" si="1475">CY17</f>
        <v>80196650</v>
      </c>
      <c r="CZ411" s="2424">
        <f t="shared" si="1475"/>
        <v>55817303.479669861</v>
      </c>
      <c r="DA411" s="2424">
        <f t="shared" si="1475"/>
        <v>0</v>
      </c>
      <c r="DB411" s="2424">
        <f t="shared" si="1475"/>
        <v>24379346.520330139</v>
      </c>
      <c r="DC411" s="3264"/>
      <c r="DD411" s="3405"/>
      <c r="DE411" s="3406"/>
      <c r="DF411" s="3406"/>
      <c r="DG411" s="2424">
        <f t="shared" ref="DG411:DJ411" si="1476">DG17</f>
        <v>80196650</v>
      </c>
      <c r="DH411" s="2424">
        <f t="shared" si="1476"/>
        <v>55817303.479669861</v>
      </c>
      <c r="DI411" s="2424">
        <f t="shared" si="1476"/>
        <v>0</v>
      </c>
      <c r="DJ411" s="2424">
        <f t="shared" si="1476"/>
        <v>24379346.520330139</v>
      </c>
      <c r="DK411" s="3264"/>
      <c r="DL411" s="3405"/>
      <c r="DM411" s="3406"/>
      <c r="DN411" s="3406"/>
      <c r="DO411" s="2424">
        <f t="shared" ref="DO411:DR411" si="1477">DO17</f>
        <v>80196650</v>
      </c>
      <c r="DP411" s="2424">
        <f t="shared" si="1477"/>
        <v>55817303.479669861</v>
      </c>
      <c r="DQ411" s="2424">
        <f t="shared" si="1477"/>
        <v>0</v>
      </c>
      <c r="DR411" s="2424">
        <f t="shared" si="1477"/>
        <v>24379346.520330139</v>
      </c>
      <c r="DS411" s="3264"/>
      <c r="DT411" s="3405"/>
      <c r="DU411" s="3406"/>
      <c r="DV411" s="3406"/>
      <c r="DW411" s="2424">
        <f t="shared" ref="DW411:DZ411" si="1478">DW17</f>
        <v>80196650</v>
      </c>
      <c r="DX411" s="2424">
        <f t="shared" si="1478"/>
        <v>55817303.479669861</v>
      </c>
      <c r="DY411" s="2424">
        <f t="shared" si="1478"/>
        <v>0</v>
      </c>
      <c r="DZ411" s="2424">
        <f t="shared" si="1478"/>
        <v>24379346.520330139</v>
      </c>
      <c r="EA411" s="3264"/>
      <c r="EB411" s="3405"/>
      <c r="EC411" s="3406"/>
      <c r="ED411" s="3406"/>
      <c r="EE411" s="2424">
        <f t="shared" ref="EE411:EH411" si="1479">EE17</f>
        <v>80196650</v>
      </c>
      <c r="EF411" s="2424">
        <f t="shared" si="1479"/>
        <v>55817303.479669861</v>
      </c>
      <c r="EG411" s="2424">
        <f t="shared" si="1479"/>
        <v>0</v>
      </c>
      <c r="EH411" s="2424">
        <f t="shared" si="1479"/>
        <v>24379346.520330139</v>
      </c>
      <c r="EI411" s="3264"/>
      <c r="EJ411" s="3405"/>
      <c r="EK411" s="3406"/>
      <c r="EL411" s="3406"/>
      <c r="EM411" s="2424">
        <f t="shared" ref="EM411:EP411" si="1480">EM17</f>
        <v>80196650</v>
      </c>
      <c r="EN411" s="2424">
        <f t="shared" si="1480"/>
        <v>55817303.479669861</v>
      </c>
      <c r="EO411" s="2424">
        <f t="shared" si="1480"/>
        <v>0</v>
      </c>
      <c r="EP411" s="2424">
        <f t="shared" si="1480"/>
        <v>24379346.520330139</v>
      </c>
      <c r="EQ411" s="3264"/>
      <c r="ER411" s="3405"/>
      <c r="ES411" s="3406"/>
      <c r="ET411" s="3406"/>
      <c r="EU411" s="2424">
        <f t="shared" ref="EU411:EX411" si="1481">EU17</f>
        <v>80196650</v>
      </c>
      <c r="EV411" s="2424">
        <f t="shared" si="1481"/>
        <v>55817303.479669861</v>
      </c>
      <c r="EW411" s="2424">
        <f t="shared" si="1481"/>
        <v>0</v>
      </c>
      <c r="EX411" s="2424">
        <f t="shared" si="1481"/>
        <v>24379346.520330139</v>
      </c>
      <c r="EY411" s="3264"/>
      <c r="EZ411" s="3405"/>
      <c r="FA411" s="3406"/>
      <c r="FB411" s="3406"/>
      <c r="FC411" s="2424">
        <f t="shared" ref="FC411:FF411" si="1482">FC17</f>
        <v>80196650</v>
      </c>
      <c r="FD411" s="2424">
        <f t="shared" si="1482"/>
        <v>55817303.479669861</v>
      </c>
      <c r="FE411" s="2424">
        <f t="shared" si="1482"/>
        <v>0</v>
      </c>
      <c r="FF411" s="2424">
        <f t="shared" si="1482"/>
        <v>24379346.520330139</v>
      </c>
      <c r="FG411" s="3264"/>
      <c r="FH411" s="3405"/>
      <c r="FI411" s="3406"/>
      <c r="FJ411" s="3406"/>
      <c r="FK411" s="2424">
        <f t="shared" ref="FK411:FN411" si="1483">FK17</f>
        <v>80196650</v>
      </c>
      <c r="FL411" s="2424">
        <f t="shared" si="1483"/>
        <v>55817303.479669861</v>
      </c>
      <c r="FM411" s="2424">
        <f t="shared" si="1483"/>
        <v>0</v>
      </c>
      <c r="FN411" s="2424">
        <f t="shared" si="1483"/>
        <v>24379346.520330139</v>
      </c>
      <c r="FO411" s="3264"/>
    </row>
    <row r="412" spans="2:171">
      <c r="B412" s="3086"/>
      <c r="C412" s="3086" t="s">
        <v>542</v>
      </c>
      <c r="D412" s="3405"/>
      <c r="E412" s="3234" t="str">
        <f t="shared" si="1463"/>
        <v>DIRECT</v>
      </c>
      <c r="G412" s="2424">
        <f t="shared" si="1442"/>
        <v>75530269</v>
      </c>
      <c r="H412" s="2424">
        <f t="shared" si="1442"/>
        <v>10321488.568474432</v>
      </c>
      <c r="I412" s="2424">
        <f t="shared" si="1442"/>
        <v>0</v>
      </c>
      <c r="J412" s="2424">
        <f t="shared" si="1442"/>
        <v>65208779.001525573</v>
      </c>
      <c r="K412" s="3264"/>
      <c r="L412" s="3405"/>
      <c r="M412" s="3406"/>
      <c r="N412" s="3406"/>
      <c r="O412" s="2424">
        <f t="shared" ref="O412:R412" si="1484">O18</f>
        <v>75530269</v>
      </c>
      <c r="P412" s="2424">
        <f t="shared" si="1484"/>
        <v>10321488.568474432</v>
      </c>
      <c r="Q412" s="2424">
        <f t="shared" si="1484"/>
        <v>0</v>
      </c>
      <c r="R412" s="2424">
        <f t="shared" si="1484"/>
        <v>65208780.431525566</v>
      </c>
      <c r="S412" s="3264"/>
      <c r="T412" s="3405"/>
      <c r="U412" s="3406"/>
      <c r="V412" s="3406"/>
      <c r="W412" s="2424">
        <f t="shared" ref="W412:Z412" si="1485">W18</f>
        <v>75530269</v>
      </c>
      <c r="X412" s="2424">
        <f t="shared" si="1485"/>
        <v>10321488.568474432</v>
      </c>
      <c r="Y412" s="2424">
        <f t="shared" si="1485"/>
        <v>0</v>
      </c>
      <c r="Z412" s="2424">
        <f t="shared" si="1485"/>
        <v>65208780.431525566</v>
      </c>
      <c r="AA412" s="3264"/>
      <c r="AB412" s="3405"/>
      <c r="AC412" s="3406"/>
      <c r="AD412" s="3406"/>
      <c r="AE412" s="2424">
        <f t="shared" ref="AE412:AH412" si="1486">AE18</f>
        <v>75530269</v>
      </c>
      <c r="AF412" s="2424">
        <f t="shared" si="1486"/>
        <v>10321488.568474432</v>
      </c>
      <c r="AG412" s="2424">
        <f t="shared" si="1486"/>
        <v>0</v>
      </c>
      <c r="AH412" s="2424">
        <f t="shared" si="1486"/>
        <v>65208780.431525566</v>
      </c>
      <c r="AI412" s="3264"/>
      <c r="AJ412" s="3405"/>
      <c r="AK412" s="3406"/>
      <c r="AL412" s="3406"/>
      <c r="AM412" s="2424">
        <f t="shared" ref="AM412:AP412" si="1487">AM18</f>
        <v>75530269</v>
      </c>
      <c r="AN412" s="2424">
        <f t="shared" si="1487"/>
        <v>10321488.568474432</v>
      </c>
      <c r="AO412" s="2424">
        <f t="shared" si="1487"/>
        <v>0</v>
      </c>
      <c r="AP412" s="2424">
        <f t="shared" si="1487"/>
        <v>65208780.431525566</v>
      </c>
      <c r="AQ412" s="3264"/>
      <c r="AR412" s="3405"/>
      <c r="AS412" s="3406"/>
      <c r="AT412" s="3406"/>
      <c r="AU412" s="2424">
        <f t="shared" ref="AU412:AX412" si="1488">AU18</f>
        <v>75530269</v>
      </c>
      <c r="AV412" s="2424">
        <f t="shared" si="1488"/>
        <v>10321488.568474432</v>
      </c>
      <c r="AW412" s="2424">
        <f t="shared" si="1488"/>
        <v>0</v>
      </c>
      <c r="AX412" s="2424">
        <f t="shared" si="1488"/>
        <v>65208780.431525566</v>
      </c>
      <c r="AY412" s="3264"/>
      <c r="AZ412" s="3405"/>
      <c r="BA412" s="3406"/>
      <c r="BB412" s="3406"/>
      <c r="BC412" s="2424">
        <f t="shared" ref="BC412:BF412" si="1489">BC18</f>
        <v>75530269</v>
      </c>
      <c r="BD412" s="2424">
        <f t="shared" si="1489"/>
        <v>10321488.568474432</v>
      </c>
      <c r="BE412" s="2424">
        <f t="shared" si="1489"/>
        <v>0</v>
      </c>
      <c r="BF412" s="2424">
        <f t="shared" si="1489"/>
        <v>65208780.431525566</v>
      </c>
      <c r="BG412" s="3264"/>
      <c r="BH412" s="3405"/>
      <c r="BI412" s="3406"/>
      <c r="BJ412" s="3406"/>
      <c r="BK412" s="2424">
        <f t="shared" ref="BK412:BN412" si="1490">BK18</f>
        <v>75530269</v>
      </c>
      <c r="BL412" s="2424">
        <f t="shared" si="1490"/>
        <v>10321488.568474432</v>
      </c>
      <c r="BM412" s="2424">
        <f t="shared" si="1490"/>
        <v>0</v>
      </c>
      <c r="BN412" s="2424">
        <f t="shared" si="1490"/>
        <v>65208780.431525566</v>
      </c>
      <c r="BO412" s="3264"/>
      <c r="BP412" s="3405"/>
      <c r="BQ412" s="3406"/>
      <c r="BR412" s="3406"/>
      <c r="BS412" s="2424">
        <f t="shared" ref="BS412:BV412" si="1491">BS18</f>
        <v>75530269</v>
      </c>
      <c r="BT412" s="2424">
        <f t="shared" si="1491"/>
        <v>10321488.568474432</v>
      </c>
      <c r="BU412" s="2424">
        <f t="shared" si="1491"/>
        <v>0</v>
      </c>
      <c r="BV412" s="2424">
        <f t="shared" si="1491"/>
        <v>65208780.431525566</v>
      </c>
      <c r="BW412" s="3264"/>
      <c r="BX412" s="3405"/>
      <c r="BY412" s="3406"/>
      <c r="BZ412" s="3406"/>
      <c r="CA412" s="2424">
        <f t="shared" ref="CA412:CD412" si="1492">CA18</f>
        <v>75530269</v>
      </c>
      <c r="CB412" s="2424">
        <f t="shared" si="1492"/>
        <v>10321488.568474432</v>
      </c>
      <c r="CC412" s="2424">
        <f t="shared" si="1492"/>
        <v>0</v>
      </c>
      <c r="CD412" s="2424">
        <f t="shared" si="1492"/>
        <v>65208780.431525566</v>
      </c>
      <c r="CE412" s="3264"/>
      <c r="CF412" s="3405"/>
      <c r="CG412" s="3406"/>
      <c r="CH412" s="3406"/>
      <c r="CI412" s="2424">
        <f t="shared" ref="CI412:CL412" si="1493">CI18</f>
        <v>75530269</v>
      </c>
      <c r="CJ412" s="2424">
        <f t="shared" si="1493"/>
        <v>10321488.568474432</v>
      </c>
      <c r="CK412" s="2424">
        <f t="shared" si="1493"/>
        <v>0</v>
      </c>
      <c r="CL412" s="2424">
        <f t="shared" si="1493"/>
        <v>65208780.431525566</v>
      </c>
      <c r="CM412" s="3264"/>
      <c r="CN412" s="3405"/>
      <c r="CO412" s="3406"/>
      <c r="CP412" s="3406"/>
      <c r="CQ412" s="2424">
        <f t="shared" ref="CQ412:CT412" si="1494">CQ18</f>
        <v>75530269</v>
      </c>
      <c r="CR412" s="2424">
        <f t="shared" si="1494"/>
        <v>10321488.568474432</v>
      </c>
      <c r="CS412" s="2424">
        <f t="shared" si="1494"/>
        <v>0</v>
      </c>
      <c r="CT412" s="2424">
        <f t="shared" si="1494"/>
        <v>65208780.431525566</v>
      </c>
      <c r="CU412" s="3264"/>
      <c r="CV412" s="3405"/>
      <c r="CW412" s="3406"/>
      <c r="CX412" s="3406"/>
      <c r="CY412" s="2424">
        <f t="shared" ref="CY412:DB412" si="1495">CY18</f>
        <v>75530269</v>
      </c>
      <c r="CZ412" s="2424">
        <f t="shared" si="1495"/>
        <v>10321488.568474432</v>
      </c>
      <c r="DA412" s="2424">
        <f t="shared" si="1495"/>
        <v>0</v>
      </c>
      <c r="DB412" s="2424">
        <f t="shared" si="1495"/>
        <v>65208780.431525566</v>
      </c>
      <c r="DC412" s="3264"/>
      <c r="DD412" s="3405"/>
      <c r="DE412" s="3406"/>
      <c r="DF412" s="3406"/>
      <c r="DG412" s="2424">
        <f t="shared" ref="DG412:DJ412" si="1496">DG18</f>
        <v>75530269</v>
      </c>
      <c r="DH412" s="2424">
        <f t="shared" si="1496"/>
        <v>10321488.568474432</v>
      </c>
      <c r="DI412" s="2424">
        <f t="shared" si="1496"/>
        <v>0</v>
      </c>
      <c r="DJ412" s="2424">
        <f t="shared" si="1496"/>
        <v>65208780.431525566</v>
      </c>
      <c r="DK412" s="3264"/>
      <c r="DL412" s="3405"/>
      <c r="DM412" s="3406"/>
      <c r="DN412" s="3406"/>
      <c r="DO412" s="2424">
        <f t="shared" ref="DO412:DR412" si="1497">DO18</f>
        <v>75530269</v>
      </c>
      <c r="DP412" s="2424">
        <f t="shared" si="1497"/>
        <v>10321488.568474432</v>
      </c>
      <c r="DQ412" s="2424">
        <f t="shared" si="1497"/>
        <v>0</v>
      </c>
      <c r="DR412" s="2424">
        <f t="shared" si="1497"/>
        <v>65208780.431525566</v>
      </c>
      <c r="DS412" s="3264"/>
      <c r="DT412" s="3405"/>
      <c r="DU412" s="3406"/>
      <c r="DV412" s="3406"/>
      <c r="DW412" s="2424">
        <f t="shared" ref="DW412:DZ412" si="1498">DW18</f>
        <v>75530269</v>
      </c>
      <c r="DX412" s="2424">
        <f t="shared" si="1498"/>
        <v>10321488.568474432</v>
      </c>
      <c r="DY412" s="2424">
        <f t="shared" si="1498"/>
        <v>0</v>
      </c>
      <c r="DZ412" s="2424">
        <f t="shared" si="1498"/>
        <v>65208780.431525566</v>
      </c>
      <c r="EA412" s="3264"/>
      <c r="EB412" s="3405"/>
      <c r="EC412" s="3406"/>
      <c r="ED412" s="3406"/>
      <c r="EE412" s="2424">
        <f t="shared" ref="EE412:EH412" si="1499">EE18</f>
        <v>75530269</v>
      </c>
      <c r="EF412" s="2424">
        <f t="shared" si="1499"/>
        <v>10321488.568474432</v>
      </c>
      <c r="EG412" s="2424">
        <f t="shared" si="1499"/>
        <v>0</v>
      </c>
      <c r="EH412" s="2424">
        <f t="shared" si="1499"/>
        <v>65208780.431525566</v>
      </c>
      <c r="EI412" s="3264"/>
      <c r="EJ412" s="3405"/>
      <c r="EK412" s="3406"/>
      <c r="EL412" s="3406"/>
      <c r="EM412" s="2424">
        <f t="shared" ref="EM412:EP412" si="1500">EM18</f>
        <v>75530269</v>
      </c>
      <c r="EN412" s="2424">
        <f t="shared" si="1500"/>
        <v>10321488.568474432</v>
      </c>
      <c r="EO412" s="2424">
        <f t="shared" si="1500"/>
        <v>0</v>
      </c>
      <c r="EP412" s="2424">
        <f t="shared" si="1500"/>
        <v>65208780.431525566</v>
      </c>
      <c r="EQ412" s="3264"/>
      <c r="ER412" s="3405"/>
      <c r="ES412" s="3406"/>
      <c r="ET412" s="3406"/>
      <c r="EU412" s="2424">
        <f t="shared" ref="EU412:EX412" si="1501">EU18</f>
        <v>75530269</v>
      </c>
      <c r="EV412" s="2424">
        <f t="shared" si="1501"/>
        <v>10321488.568474432</v>
      </c>
      <c r="EW412" s="2424">
        <f t="shared" si="1501"/>
        <v>0</v>
      </c>
      <c r="EX412" s="2424">
        <f t="shared" si="1501"/>
        <v>65208780.431525566</v>
      </c>
      <c r="EY412" s="3264"/>
      <c r="EZ412" s="3405"/>
      <c r="FA412" s="3406"/>
      <c r="FB412" s="3406"/>
      <c r="FC412" s="2424">
        <f t="shared" ref="FC412:FF412" si="1502">FC18</f>
        <v>75530269</v>
      </c>
      <c r="FD412" s="2424">
        <f t="shared" si="1502"/>
        <v>10321488.568474432</v>
      </c>
      <c r="FE412" s="2424">
        <f t="shared" si="1502"/>
        <v>0</v>
      </c>
      <c r="FF412" s="2424">
        <f t="shared" si="1502"/>
        <v>65208780.431525566</v>
      </c>
      <c r="FG412" s="3264"/>
      <c r="FH412" s="3405"/>
      <c r="FI412" s="3406"/>
      <c r="FJ412" s="3406"/>
      <c r="FK412" s="2424">
        <f t="shared" ref="FK412:FN412" si="1503">FK18</f>
        <v>75530269</v>
      </c>
      <c r="FL412" s="2424">
        <f t="shared" si="1503"/>
        <v>10321488.568474432</v>
      </c>
      <c r="FM412" s="2424">
        <f t="shared" si="1503"/>
        <v>0</v>
      </c>
      <c r="FN412" s="2424">
        <f t="shared" si="1503"/>
        <v>65208780.431525566</v>
      </c>
      <c r="FO412" s="3264"/>
    </row>
    <row r="413" spans="2:171">
      <c r="B413" s="3086"/>
      <c r="C413" s="3086" t="s">
        <v>339</v>
      </c>
      <c r="D413" s="3405"/>
      <c r="E413" s="3234"/>
      <c r="G413" s="2424">
        <f>G394</f>
        <v>316657583</v>
      </c>
      <c r="H413" s="2424">
        <f t="shared" ref="H413:J413" si="1504">H394</f>
        <v>107907565.79361701</v>
      </c>
      <c r="I413" s="2424">
        <f t="shared" si="1504"/>
        <v>0</v>
      </c>
      <c r="J413" s="2424">
        <f t="shared" si="1504"/>
        <v>208750017.20638302</v>
      </c>
      <c r="K413" s="3264"/>
      <c r="L413" s="3405"/>
      <c r="M413" s="3406"/>
      <c r="N413" s="3406"/>
      <c r="O413" s="2424">
        <f>O394</f>
        <v>316657583</v>
      </c>
      <c r="P413" s="2424">
        <f t="shared" ref="P413:R413" si="1505">P394</f>
        <v>107907565.79361701</v>
      </c>
      <c r="Q413" s="2424">
        <f t="shared" si="1505"/>
        <v>53162346.200694084</v>
      </c>
      <c r="R413" s="2424">
        <f t="shared" si="1505"/>
        <v>155587671.00568891</v>
      </c>
      <c r="S413" s="3264"/>
      <c r="T413" s="3405"/>
      <c r="U413" s="3406"/>
      <c r="V413" s="3406"/>
      <c r="W413" s="2424">
        <f>W394</f>
        <v>316657583</v>
      </c>
      <c r="X413" s="2424">
        <f t="shared" ref="X413:Z413" si="1506">X394</f>
        <v>107907565.79361701</v>
      </c>
      <c r="Y413" s="2424">
        <f t="shared" si="1506"/>
        <v>53162346.200694084</v>
      </c>
      <c r="Z413" s="2424">
        <f t="shared" si="1506"/>
        <v>155587671.00568891</v>
      </c>
      <c r="AA413" s="3264"/>
      <c r="AB413" s="3405"/>
      <c r="AC413" s="3406"/>
      <c r="AD413" s="3406"/>
      <c r="AE413" s="2424">
        <f>AE394</f>
        <v>316657583</v>
      </c>
      <c r="AF413" s="2424">
        <f t="shared" ref="AF413:AH413" si="1507">AF394</f>
        <v>107907565.79361701</v>
      </c>
      <c r="AG413" s="2424">
        <f t="shared" si="1507"/>
        <v>53162346.200694084</v>
      </c>
      <c r="AH413" s="2424">
        <f t="shared" si="1507"/>
        <v>155587671.00568891</v>
      </c>
      <c r="AI413" s="3264"/>
      <c r="AJ413" s="3405"/>
      <c r="AK413" s="3406"/>
      <c r="AL413" s="3406"/>
      <c r="AM413" s="2424">
        <f>AM394</f>
        <v>316657583</v>
      </c>
      <c r="AN413" s="2424">
        <f t="shared" ref="AN413:AP413" si="1508">AN394</f>
        <v>107907565.79361701</v>
      </c>
      <c r="AO413" s="2424">
        <f t="shared" si="1508"/>
        <v>53162346.200694084</v>
      </c>
      <c r="AP413" s="2424">
        <f t="shared" si="1508"/>
        <v>155587671.00568891</v>
      </c>
      <c r="AQ413" s="3264"/>
      <c r="AR413" s="3405"/>
      <c r="AS413" s="3406"/>
      <c r="AT413" s="3406"/>
      <c r="AU413" s="2424">
        <f>AU394</f>
        <v>316657583</v>
      </c>
      <c r="AV413" s="2424">
        <f t="shared" ref="AV413:AX413" si="1509">AV394</f>
        <v>107907565.79361701</v>
      </c>
      <c r="AW413" s="2424">
        <f t="shared" si="1509"/>
        <v>53162346.200694084</v>
      </c>
      <c r="AX413" s="2424">
        <f t="shared" si="1509"/>
        <v>155587671.00568891</v>
      </c>
      <c r="AY413" s="3264"/>
      <c r="AZ413" s="3405"/>
      <c r="BA413" s="3406"/>
      <c r="BB413" s="3406"/>
      <c r="BC413" s="2424">
        <f>BC394</f>
        <v>316657583</v>
      </c>
      <c r="BD413" s="2424">
        <f t="shared" ref="BD413:BF413" si="1510">BD394</f>
        <v>107907565.79361701</v>
      </c>
      <c r="BE413" s="2424">
        <f t="shared" si="1510"/>
        <v>53162346.200694084</v>
      </c>
      <c r="BF413" s="2424">
        <f t="shared" si="1510"/>
        <v>155587671.00568891</v>
      </c>
      <c r="BG413" s="3264"/>
      <c r="BH413" s="3405"/>
      <c r="BI413" s="3406"/>
      <c r="BJ413" s="3406"/>
      <c r="BK413" s="2424">
        <f>BK394</f>
        <v>316657583</v>
      </c>
      <c r="BL413" s="2424">
        <f t="shared" ref="BL413:BN413" si="1511">BL394</f>
        <v>107907565.79361701</v>
      </c>
      <c r="BM413" s="2424">
        <f t="shared" si="1511"/>
        <v>53162346.200694084</v>
      </c>
      <c r="BN413" s="2424">
        <f t="shared" si="1511"/>
        <v>155587671.00568891</v>
      </c>
      <c r="BO413" s="3264"/>
      <c r="BP413" s="3405"/>
      <c r="BQ413" s="3406"/>
      <c r="BR413" s="3406"/>
      <c r="BS413" s="2424">
        <f>BS394</f>
        <v>316657583</v>
      </c>
      <c r="BT413" s="2424">
        <f t="shared" ref="BT413:BV413" si="1512">BT394</f>
        <v>107907565.79361701</v>
      </c>
      <c r="BU413" s="2424">
        <f t="shared" si="1512"/>
        <v>53162346.200694084</v>
      </c>
      <c r="BV413" s="2424">
        <f t="shared" si="1512"/>
        <v>155587671.00568891</v>
      </c>
      <c r="BW413" s="3264"/>
      <c r="BX413" s="3405"/>
      <c r="BY413" s="3406"/>
      <c r="BZ413" s="3406"/>
      <c r="CA413" s="2424">
        <f>CA394</f>
        <v>316657583</v>
      </c>
      <c r="CB413" s="2424">
        <f t="shared" ref="CB413:CD413" si="1513">CB394</f>
        <v>107907565.79361701</v>
      </c>
      <c r="CC413" s="2424">
        <f t="shared" si="1513"/>
        <v>53162346.200694084</v>
      </c>
      <c r="CD413" s="2424">
        <f t="shared" si="1513"/>
        <v>155587671.00568891</v>
      </c>
      <c r="CE413" s="3264"/>
      <c r="CF413" s="3405"/>
      <c r="CG413" s="3406"/>
      <c r="CH413" s="3406"/>
      <c r="CI413" s="2424">
        <f>CI394</f>
        <v>316657583</v>
      </c>
      <c r="CJ413" s="2424">
        <f t="shared" ref="CJ413:CL413" si="1514">CJ394</f>
        <v>107907565.79361701</v>
      </c>
      <c r="CK413" s="2424">
        <f t="shared" si="1514"/>
        <v>53162346.200694084</v>
      </c>
      <c r="CL413" s="2424">
        <f t="shared" si="1514"/>
        <v>155587671.00568891</v>
      </c>
      <c r="CM413" s="3264"/>
      <c r="CN413" s="3405"/>
      <c r="CO413" s="3406"/>
      <c r="CP413" s="3406"/>
      <c r="CQ413" s="2424">
        <f>CQ394</f>
        <v>316657583</v>
      </c>
      <c r="CR413" s="2424">
        <f t="shared" ref="CR413:CT413" si="1515">CR394</f>
        <v>107907565.79361701</v>
      </c>
      <c r="CS413" s="2424">
        <f t="shared" si="1515"/>
        <v>53162346.200694084</v>
      </c>
      <c r="CT413" s="2424">
        <f t="shared" si="1515"/>
        <v>155587671.00568891</v>
      </c>
      <c r="CU413" s="3264"/>
      <c r="CV413" s="3405"/>
      <c r="CW413" s="3406"/>
      <c r="CX413" s="3406"/>
      <c r="CY413" s="2424">
        <f>CY394</f>
        <v>316657583</v>
      </c>
      <c r="CZ413" s="2424">
        <f t="shared" ref="CZ413:DB413" si="1516">CZ394</f>
        <v>107907565.79361701</v>
      </c>
      <c r="DA413" s="2424">
        <f t="shared" si="1516"/>
        <v>53162346.200694084</v>
      </c>
      <c r="DB413" s="2424">
        <f t="shared" si="1516"/>
        <v>155587671.00568891</v>
      </c>
      <c r="DC413" s="3264"/>
      <c r="DD413" s="3405"/>
      <c r="DE413" s="3406"/>
      <c r="DF413" s="3406"/>
      <c r="DG413" s="2424">
        <f>DG394</f>
        <v>316657583</v>
      </c>
      <c r="DH413" s="2424">
        <f t="shared" ref="DH413:DJ413" si="1517">DH394</f>
        <v>107907565.79361701</v>
      </c>
      <c r="DI413" s="2424">
        <f t="shared" si="1517"/>
        <v>53162346.200694084</v>
      </c>
      <c r="DJ413" s="2424">
        <f t="shared" si="1517"/>
        <v>155587671.00568891</v>
      </c>
      <c r="DK413" s="3264"/>
      <c r="DL413" s="3405"/>
      <c r="DM413" s="3406"/>
      <c r="DN413" s="3406"/>
      <c r="DO413" s="2424">
        <f>DO394</f>
        <v>316657583</v>
      </c>
      <c r="DP413" s="2424">
        <f t="shared" ref="DP413:DR413" si="1518">DP394</f>
        <v>107907565.79361701</v>
      </c>
      <c r="DQ413" s="2424">
        <f t="shared" si="1518"/>
        <v>53162346.200694084</v>
      </c>
      <c r="DR413" s="2424">
        <f t="shared" si="1518"/>
        <v>155587671.00568891</v>
      </c>
      <c r="DS413" s="3264"/>
      <c r="DT413" s="3405"/>
      <c r="DU413" s="3406"/>
      <c r="DV413" s="3406"/>
      <c r="DW413" s="2424">
        <f>DW394</f>
        <v>316657583</v>
      </c>
      <c r="DX413" s="2424">
        <f t="shared" ref="DX413:DZ413" si="1519">DX394</f>
        <v>107907565.79361701</v>
      </c>
      <c r="DY413" s="2424">
        <f t="shared" si="1519"/>
        <v>53162346.200694084</v>
      </c>
      <c r="DZ413" s="2424">
        <f t="shared" si="1519"/>
        <v>155587671.00568891</v>
      </c>
      <c r="EA413" s="3264"/>
      <c r="EB413" s="3405"/>
      <c r="EC413" s="3406"/>
      <c r="ED413" s="3406"/>
      <c r="EE413" s="2424">
        <f>EE394</f>
        <v>316657583</v>
      </c>
      <c r="EF413" s="2424">
        <f t="shared" ref="EF413:EH413" si="1520">EF394</f>
        <v>107907565.79361701</v>
      </c>
      <c r="EG413" s="2424">
        <f t="shared" si="1520"/>
        <v>53162346.200694084</v>
      </c>
      <c r="EH413" s="2424">
        <f t="shared" si="1520"/>
        <v>155587671.00568891</v>
      </c>
      <c r="EI413" s="3264"/>
      <c r="EJ413" s="3405"/>
      <c r="EK413" s="3406"/>
      <c r="EL413" s="3406"/>
      <c r="EM413" s="2424">
        <f>EM394</f>
        <v>316657583</v>
      </c>
      <c r="EN413" s="2424">
        <f t="shared" ref="EN413:EP413" si="1521">EN394</f>
        <v>107907565.79361701</v>
      </c>
      <c r="EO413" s="2424">
        <f t="shared" si="1521"/>
        <v>53162346.200694084</v>
      </c>
      <c r="EP413" s="2424">
        <f t="shared" si="1521"/>
        <v>155587671.00568891</v>
      </c>
      <c r="EQ413" s="3264"/>
      <c r="ER413" s="3405"/>
      <c r="ES413" s="3406"/>
      <c r="ET413" s="3406"/>
      <c r="EU413" s="2424">
        <f>EU394</f>
        <v>316657583</v>
      </c>
      <c r="EV413" s="2424">
        <f t="shared" ref="EV413:EX413" si="1522">EV394</f>
        <v>107907565.79361701</v>
      </c>
      <c r="EW413" s="2424">
        <f t="shared" si="1522"/>
        <v>53162346.200694084</v>
      </c>
      <c r="EX413" s="2424">
        <f t="shared" si="1522"/>
        <v>155587671.00568891</v>
      </c>
      <c r="EY413" s="3264"/>
      <c r="EZ413" s="3405"/>
      <c r="FA413" s="3406"/>
      <c r="FB413" s="3406"/>
      <c r="FC413" s="2424">
        <f>FC394</f>
        <v>316657583</v>
      </c>
      <c r="FD413" s="2424">
        <f t="shared" ref="FD413:FF413" si="1523">FD394</f>
        <v>107907565.79361701</v>
      </c>
      <c r="FE413" s="2424">
        <f t="shared" si="1523"/>
        <v>53162346.200694084</v>
      </c>
      <c r="FF413" s="2424">
        <f t="shared" si="1523"/>
        <v>155587671.00568891</v>
      </c>
      <c r="FG413" s="3264"/>
      <c r="FH413" s="3405"/>
      <c r="FI413" s="3406"/>
      <c r="FJ413" s="3406"/>
      <c r="FK413" s="2424">
        <f>FK394</f>
        <v>316657583</v>
      </c>
      <c r="FL413" s="2424">
        <f t="shared" ref="FL413:FN413" si="1524">FL394</f>
        <v>107907565.79361701</v>
      </c>
      <c r="FM413" s="2424">
        <f t="shared" si="1524"/>
        <v>53162346.200694084</v>
      </c>
      <c r="FN413" s="2424">
        <f t="shared" si="1524"/>
        <v>155587671.00568891</v>
      </c>
      <c r="FO413" s="3264"/>
    </row>
    <row r="414" spans="2:171">
      <c r="B414" s="3086"/>
      <c r="C414" s="3086" t="s">
        <v>522</v>
      </c>
      <c r="D414" s="3405"/>
      <c r="E414" s="3095"/>
      <c r="F414" s="3406"/>
      <c r="G414" s="3244">
        <f>SUM(G409:G413)</f>
        <v>11651187515</v>
      </c>
      <c r="H414" s="3244">
        <f>SUM(H409:H413)</f>
        <v>4076431188.8417616</v>
      </c>
      <c r="I414" s="3244">
        <f>SUM(I409:I413)</f>
        <v>0</v>
      </c>
      <c r="J414" s="3244">
        <f>SUM(J409:J413)</f>
        <v>7574756323.9282389</v>
      </c>
      <c r="K414" s="3264"/>
      <c r="L414" s="3405"/>
      <c r="M414" s="3406"/>
      <c r="N414" s="3406"/>
      <c r="O414" s="3244">
        <f>SUM(O409:O413)</f>
        <v>11651187515</v>
      </c>
      <c r="P414" s="3244">
        <f>SUM(P409:P413)</f>
        <v>4076431188.8417616</v>
      </c>
      <c r="Q414" s="3244">
        <f>SUM(Q409:Q413)</f>
        <v>2045543584.2006941</v>
      </c>
      <c r="R414" s="3244">
        <f>SUM(R409:R413)</f>
        <v>5529212741.9575443</v>
      </c>
      <c r="S414" s="3264"/>
      <c r="T414" s="3405"/>
      <c r="U414" s="3406"/>
      <c r="V414" s="3406"/>
      <c r="W414" s="3244">
        <f>SUM(W409:W413)</f>
        <v>11651187515</v>
      </c>
      <c r="X414" s="3244">
        <f>SUM(X409:X413)</f>
        <v>4076431188.8417616</v>
      </c>
      <c r="Y414" s="3244">
        <f>SUM(Y409:Y413)</f>
        <v>2045543584.2006941</v>
      </c>
      <c r="Z414" s="3244">
        <f>SUM(Z409:Z413)</f>
        <v>5529212741.9575443</v>
      </c>
      <c r="AA414" s="3264"/>
      <c r="AB414" s="3405"/>
      <c r="AC414" s="3406"/>
      <c r="AD414" s="3406"/>
      <c r="AE414" s="3244">
        <f>SUM(AE409:AE413)</f>
        <v>11651187515</v>
      </c>
      <c r="AF414" s="3244">
        <f>SUM(AF409:AF413)</f>
        <v>4076431188.8417616</v>
      </c>
      <c r="AG414" s="3244">
        <f>SUM(AG409:AG413)</f>
        <v>2045543584.2006941</v>
      </c>
      <c r="AH414" s="3244">
        <f>SUM(AH409:AH413)</f>
        <v>5529212741.9575443</v>
      </c>
      <c r="AI414" s="3264"/>
      <c r="AJ414" s="3405"/>
      <c r="AK414" s="3406"/>
      <c r="AL414" s="3406"/>
      <c r="AM414" s="3244">
        <f>SUM(AM409:AM413)</f>
        <v>11651187515</v>
      </c>
      <c r="AN414" s="3244">
        <f>SUM(AN409:AN413)</f>
        <v>4076431188.8417616</v>
      </c>
      <c r="AO414" s="3244">
        <f>SUM(AO409:AO413)</f>
        <v>2045543584.2006941</v>
      </c>
      <c r="AP414" s="3244">
        <f>SUM(AP409:AP413)</f>
        <v>5529212741.9575443</v>
      </c>
      <c r="AQ414" s="3264"/>
      <c r="AR414" s="3405"/>
      <c r="AS414" s="3406"/>
      <c r="AT414" s="3406"/>
      <c r="AU414" s="3244">
        <f>SUM(AU409:AU413)</f>
        <v>11651187515</v>
      </c>
      <c r="AV414" s="3244">
        <f>SUM(AV409:AV413)</f>
        <v>4076431188.8417616</v>
      </c>
      <c r="AW414" s="3244">
        <f>SUM(AW409:AW413)</f>
        <v>2045543584.2006941</v>
      </c>
      <c r="AX414" s="3244">
        <f>SUM(AX409:AX413)</f>
        <v>5529212741.9575443</v>
      </c>
      <c r="AY414" s="3264"/>
      <c r="AZ414" s="3405"/>
      <c r="BA414" s="3406"/>
      <c r="BB414" s="3406"/>
      <c r="BC414" s="3244">
        <f>SUM(BC409:BC413)</f>
        <v>11651187515</v>
      </c>
      <c r="BD414" s="3244">
        <f>SUM(BD409:BD413)</f>
        <v>4076431188.8417616</v>
      </c>
      <c r="BE414" s="3244">
        <f>SUM(BE409:BE413)</f>
        <v>2045543584.2006941</v>
      </c>
      <c r="BF414" s="3244">
        <f>SUM(BF409:BF413)</f>
        <v>5529212741.9575443</v>
      </c>
      <c r="BG414" s="3264"/>
      <c r="BH414" s="3405"/>
      <c r="BI414" s="3406"/>
      <c r="BJ414" s="3406"/>
      <c r="BK414" s="3244">
        <f>SUM(BK409:BK413)</f>
        <v>11651187515</v>
      </c>
      <c r="BL414" s="3244">
        <f>SUM(BL409:BL413)</f>
        <v>4076431188.8417616</v>
      </c>
      <c r="BM414" s="3244">
        <f>SUM(BM409:BM413)</f>
        <v>2045543584.2006941</v>
      </c>
      <c r="BN414" s="3244">
        <f>SUM(BN409:BN413)</f>
        <v>5529212741.9575443</v>
      </c>
      <c r="BO414" s="3264"/>
      <c r="BP414" s="3405"/>
      <c r="BQ414" s="3406"/>
      <c r="BR414" s="3406"/>
      <c r="BS414" s="3244">
        <f>SUM(BS409:BS413)</f>
        <v>11651187515</v>
      </c>
      <c r="BT414" s="3244">
        <f>SUM(BT409:BT413)</f>
        <v>4076431188.8417616</v>
      </c>
      <c r="BU414" s="3244">
        <f>SUM(BU409:BU413)</f>
        <v>2045543584.2006941</v>
      </c>
      <c r="BV414" s="3244">
        <f>SUM(BV409:BV413)</f>
        <v>5529212741.9575443</v>
      </c>
      <c r="BW414" s="3264"/>
      <c r="BX414" s="3405"/>
      <c r="BY414" s="3406"/>
      <c r="BZ414" s="3406"/>
      <c r="CA414" s="3244">
        <f>SUM(CA409:CA413)</f>
        <v>11651187515</v>
      </c>
      <c r="CB414" s="3244">
        <f>SUM(CB409:CB413)</f>
        <v>4076431188.8417616</v>
      </c>
      <c r="CC414" s="3244">
        <f>SUM(CC409:CC413)</f>
        <v>2045543584.2006941</v>
      </c>
      <c r="CD414" s="3244">
        <f>SUM(CD409:CD413)</f>
        <v>5529212741.9575443</v>
      </c>
      <c r="CE414" s="3264"/>
      <c r="CF414" s="3405"/>
      <c r="CG414" s="3406"/>
      <c r="CH414" s="3406"/>
      <c r="CI414" s="3244">
        <f>SUM(CI409:CI413)</f>
        <v>11651187515</v>
      </c>
      <c r="CJ414" s="3244">
        <f>SUM(CJ409:CJ413)</f>
        <v>4076431188.8417616</v>
      </c>
      <c r="CK414" s="3244">
        <f>SUM(CK409:CK413)</f>
        <v>2045543584.2006941</v>
      </c>
      <c r="CL414" s="3244">
        <f>SUM(CL409:CL413)</f>
        <v>5529212741.9575443</v>
      </c>
      <c r="CM414" s="3264"/>
      <c r="CN414" s="3405"/>
      <c r="CO414" s="3406"/>
      <c r="CP414" s="3406"/>
      <c r="CQ414" s="3244">
        <f>SUM(CQ409:CQ413)</f>
        <v>11651187515</v>
      </c>
      <c r="CR414" s="3244">
        <f>SUM(CR409:CR413)</f>
        <v>4076431188.8417616</v>
      </c>
      <c r="CS414" s="3244">
        <f>SUM(CS409:CS413)</f>
        <v>2045543584.2006941</v>
      </c>
      <c r="CT414" s="3244">
        <f>SUM(CT409:CT413)</f>
        <v>5529212741.9575443</v>
      </c>
      <c r="CU414" s="3264"/>
      <c r="CV414" s="3405"/>
      <c r="CW414" s="3406"/>
      <c r="CX414" s="3406"/>
      <c r="CY414" s="3244">
        <f>SUM(CY409:CY413)</f>
        <v>11651187515</v>
      </c>
      <c r="CZ414" s="3244">
        <f>SUM(CZ409:CZ413)</f>
        <v>4076431188.8417616</v>
      </c>
      <c r="DA414" s="3244">
        <f>SUM(DA409:DA413)</f>
        <v>2045543584.2006941</v>
      </c>
      <c r="DB414" s="3244">
        <f>SUM(DB409:DB413)</f>
        <v>5529212741.9575443</v>
      </c>
      <c r="DC414" s="3264"/>
      <c r="DD414" s="3405"/>
      <c r="DE414" s="3406"/>
      <c r="DF414" s="3406"/>
      <c r="DG414" s="3244">
        <f>SUM(DG409:DG413)</f>
        <v>11651187515</v>
      </c>
      <c r="DH414" s="3244">
        <f>SUM(DH409:DH413)</f>
        <v>4076431188.8417616</v>
      </c>
      <c r="DI414" s="3244">
        <f>SUM(DI409:DI413)</f>
        <v>2045543584.2006941</v>
      </c>
      <c r="DJ414" s="3244">
        <f>SUM(DJ409:DJ413)</f>
        <v>5529212741.9575443</v>
      </c>
      <c r="DK414" s="3264"/>
      <c r="DL414" s="3405"/>
      <c r="DM414" s="3406"/>
      <c r="DN414" s="3406"/>
      <c r="DO414" s="3244">
        <f>SUM(DO409:DO413)</f>
        <v>11651187515</v>
      </c>
      <c r="DP414" s="3244">
        <f>SUM(DP409:DP413)</f>
        <v>4076431188.8417616</v>
      </c>
      <c r="DQ414" s="3244">
        <f>SUM(DQ409:DQ413)</f>
        <v>2045543584.2006941</v>
      </c>
      <c r="DR414" s="3244">
        <f>SUM(DR409:DR413)</f>
        <v>5529212741.9575443</v>
      </c>
      <c r="DS414" s="3264"/>
      <c r="DT414" s="3405"/>
      <c r="DU414" s="3406"/>
      <c r="DV414" s="3406"/>
      <c r="DW414" s="3244">
        <f>SUM(DW409:DW413)</f>
        <v>11651187515</v>
      </c>
      <c r="DX414" s="3244">
        <f>SUM(DX409:DX413)</f>
        <v>4076431188.8417616</v>
      </c>
      <c r="DY414" s="3244">
        <f>SUM(DY409:DY413)</f>
        <v>2045543584.2006941</v>
      </c>
      <c r="DZ414" s="3244">
        <f>SUM(DZ409:DZ413)</f>
        <v>5529212741.9575443</v>
      </c>
      <c r="EA414" s="3264"/>
      <c r="EB414" s="3405"/>
      <c r="EC414" s="3406"/>
      <c r="ED414" s="3406"/>
      <c r="EE414" s="3244">
        <f>SUM(EE409:EE413)</f>
        <v>11651187515</v>
      </c>
      <c r="EF414" s="3244">
        <f>SUM(EF409:EF413)</f>
        <v>4076431188.8417616</v>
      </c>
      <c r="EG414" s="3244">
        <f>SUM(EG409:EG413)</f>
        <v>2045543584.2006941</v>
      </c>
      <c r="EH414" s="3244">
        <f>SUM(EH409:EH413)</f>
        <v>5529212741.9575443</v>
      </c>
      <c r="EI414" s="3264"/>
      <c r="EJ414" s="3405"/>
      <c r="EK414" s="3406"/>
      <c r="EL414" s="3406"/>
      <c r="EM414" s="3244">
        <f>SUM(EM409:EM413)</f>
        <v>11651187515</v>
      </c>
      <c r="EN414" s="3244">
        <f>SUM(EN409:EN413)</f>
        <v>4076431188.8417616</v>
      </c>
      <c r="EO414" s="3244">
        <f>SUM(EO409:EO413)</f>
        <v>2045543584.2006941</v>
      </c>
      <c r="EP414" s="3244">
        <f>SUM(EP409:EP413)</f>
        <v>5529212741.9575443</v>
      </c>
      <c r="EQ414" s="3264"/>
      <c r="ER414" s="3405"/>
      <c r="ES414" s="3406"/>
      <c r="ET414" s="3406"/>
      <c r="EU414" s="3244">
        <f>SUM(EU409:EU413)</f>
        <v>11651187515</v>
      </c>
      <c r="EV414" s="3244">
        <f>SUM(EV409:EV413)</f>
        <v>4076431188.8417616</v>
      </c>
      <c r="EW414" s="3244">
        <f>SUM(EW409:EW413)</f>
        <v>2045543584.2006941</v>
      </c>
      <c r="EX414" s="3244">
        <f>SUM(EX409:EX413)</f>
        <v>5529212741.9575443</v>
      </c>
      <c r="EY414" s="3264"/>
      <c r="EZ414" s="3405"/>
      <c r="FA414" s="3406"/>
      <c r="FB414" s="3406"/>
      <c r="FC414" s="3244">
        <f>SUM(FC409:FC413)</f>
        <v>11651187515</v>
      </c>
      <c r="FD414" s="3244">
        <f>SUM(FD409:FD413)</f>
        <v>4076431188.8417616</v>
      </c>
      <c r="FE414" s="3244">
        <f>SUM(FE409:FE413)</f>
        <v>2045543584.2006941</v>
      </c>
      <c r="FF414" s="3244">
        <f>SUM(FF409:FF413)</f>
        <v>5529212741.9575443</v>
      </c>
      <c r="FG414" s="3264"/>
      <c r="FH414" s="3405"/>
      <c r="FI414" s="3406"/>
      <c r="FJ414" s="3406"/>
      <c r="FK414" s="3244">
        <f>SUM(FK409:FK413)</f>
        <v>11651187515</v>
      </c>
      <c r="FL414" s="3244">
        <f>SUM(FL409:FL413)</f>
        <v>4076431188.8417616</v>
      </c>
      <c r="FM414" s="3244">
        <f>SUM(FM409:FM413)</f>
        <v>2045543584.2006941</v>
      </c>
      <c r="FN414" s="3244">
        <f>SUM(FN409:FN413)</f>
        <v>5529212741.9575443</v>
      </c>
      <c r="FO414" s="3264"/>
    </row>
    <row r="415" spans="2:171">
      <c r="B415" s="3114"/>
      <c r="C415" s="3114" t="s">
        <v>340</v>
      </c>
      <c r="D415" s="3407" t="s">
        <v>626</v>
      </c>
      <c r="E415" s="3125"/>
      <c r="F415" s="3412"/>
      <c r="G415" s="3402">
        <f>H415+I415+J415</f>
        <v>0.99999999980860321</v>
      </c>
      <c r="H415" s="3402">
        <f>IF($G414=0,0,H414/G414)</f>
        <v>0.34987259312354835</v>
      </c>
      <c r="I415" s="3402">
        <f>IF($G414=0,0,I414/G414)</f>
        <v>0</v>
      </c>
      <c r="J415" s="3402">
        <f>IF($G414=0,0,J414/G414)</f>
        <v>0.65012740668505486</v>
      </c>
      <c r="K415" s="3411"/>
      <c r="L415" s="3403" t="s">
        <v>626</v>
      </c>
      <c r="M415" s="3412"/>
      <c r="N415" s="3412"/>
      <c r="O415" s="3402">
        <f>P415+Q415+R415</f>
        <v>1</v>
      </c>
      <c r="P415" s="3402">
        <f>IF($G414=0,0,P414/O414)</f>
        <v>0.34987259312354835</v>
      </c>
      <c r="Q415" s="3402">
        <f>IF($G414=0,0,Q414/O414)</f>
        <v>0.17556524444973659</v>
      </c>
      <c r="R415" s="3402">
        <f>IF($G414=0,0,R414/O414)</f>
        <v>0.47456216242671506</v>
      </c>
      <c r="S415" s="3411"/>
      <c r="T415" s="3403" t="s">
        <v>626</v>
      </c>
      <c r="U415" s="3412"/>
      <c r="V415" s="3412"/>
      <c r="W415" s="3402">
        <f>X415+Y415+Z415</f>
        <v>1</v>
      </c>
      <c r="X415" s="3402">
        <f>IF($G414=0,0,X414/W414)</f>
        <v>0.34987259312354835</v>
      </c>
      <c r="Y415" s="3402">
        <f>IF($G414=0,0,Y414/W414)</f>
        <v>0.17556524444973659</v>
      </c>
      <c r="Z415" s="3402">
        <f>IF($G414=0,0,Z414/W414)</f>
        <v>0.47456216242671506</v>
      </c>
      <c r="AA415" s="3411"/>
      <c r="AB415" s="3403" t="s">
        <v>626</v>
      </c>
      <c r="AC415" s="3412"/>
      <c r="AD415" s="3412"/>
      <c r="AE415" s="3402">
        <f>AF415+AG415+AH415</f>
        <v>1</v>
      </c>
      <c r="AF415" s="3402">
        <f>IF($G414=0,0,AF414/AE414)</f>
        <v>0.34987259312354835</v>
      </c>
      <c r="AG415" s="3402">
        <f>IF($G414=0,0,AG414/AE414)</f>
        <v>0.17556524444973659</v>
      </c>
      <c r="AH415" s="3402">
        <f>IF($G414=0,0,AH414/AE414)</f>
        <v>0.47456216242671506</v>
      </c>
      <c r="AI415" s="3411"/>
      <c r="AJ415" s="3403" t="s">
        <v>626</v>
      </c>
      <c r="AK415" s="3412"/>
      <c r="AL415" s="3412"/>
      <c r="AM415" s="3402">
        <f>AN415+AO415+AP415</f>
        <v>1</v>
      </c>
      <c r="AN415" s="3402">
        <f>IF($G414=0,0,AN414/AM414)</f>
        <v>0.34987259312354835</v>
      </c>
      <c r="AO415" s="3402">
        <f>IF($G414=0,0,AO414/AM414)</f>
        <v>0.17556524444973659</v>
      </c>
      <c r="AP415" s="3402">
        <f>IF($G414=0,0,AP414/AM414)</f>
        <v>0.47456216242671506</v>
      </c>
      <c r="AQ415" s="3411"/>
      <c r="AR415" s="3403" t="s">
        <v>626</v>
      </c>
      <c r="AS415" s="3412"/>
      <c r="AT415" s="3412"/>
      <c r="AU415" s="3402">
        <f>AV415+AW415+AX415</f>
        <v>1</v>
      </c>
      <c r="AV415" s="3402">
        <f>IF($G414=0,0,AV414/AU414)</f>
        <v>0.34987259312354835</v>
      </c>
      <c r="AW415" s="3402">
        <f>IF($G414=0,0,AW414/AU414)</f>
        <v>0.17556524444973659</v>
      </c>
      <c r="AX415" s="3402">
        <f>IF($G414=0,0,AX414/AU414)</f>
        <v>0.47456216242671506</v>
      </c>
      <c r="AY415" s="3411"/>
      <c r="AZ415" s="3403" t="s">
        <v>626</v>
      </c>
      <c r="BA415" s="3412"/>
      <c r="BB415" s="3412"/>
      <c r="BC415" s="3402">
        <f>BD415+BE415+BF415</f>
        <v>1</v>
      </c>
      <c r="BD415" s="3402">
        <f>IF($G414=0,0,BD414/BC414)</f>
        <v>0.34987259312354835</v>
      </c>
      <c r="BE415" s="3402">
        <f>IF($G414=0,0,BE414/BC414)</f>
        <v>0.17556524444973659</v>
      </c>
      <c r="BF415" s="3402">
        <f>IF($G414=0,0,BF414/BC414)</f>
        <v>0.47456216242671506</v>
      </c>
      <c r="BG415" s="3411"/>
      <c r="BH415" s="3403" t="s">
        <v>626</v>
      </c>
      <c r="BI415" s="3412"/>
      <c r="BJ415" s="3412"/>
      <c r="BK415" s="3402">
        <f>BL415+BM415+BN415</f>
        <v>1</v>
      </c>
      <c r="BL415" s="3402">
        <f>IF($G414=0,0,BL414/BK414)</f>
        <v>0.34987259312354835</v>
      </c>
      <c r="BM415" s="3402">
        <f>IF($G414=0,0,BM414/BK414)</f>
        <v>0.17556524444973659</v>
      </c>
      <c r="BN415" s="3402">
        <f>IF($G414=0,0,BN414/BK414)</f>
        <v>0.47456216242671506</v>
      </c>
      <c r="BO415" s="3411"/>
      <c r="BP415" s="3403" t="s">
        <v>626</v>
      </c>
      <c r="BQ415" s="3412"/>
      <c r="BR415" s="3412"/>
      <c r="BS415" s="3402">
        <f>BT415+BU415+BV415</f>
        <v>1</v>
      </c>
      <c r="BT415" s="3402">
        <f>IF($G414=0,0,BT414/BS414)</f>
        <v>0.34987259312354835</v>
      </c>
      <c r="BU415" s="3402">
        <f>IF($G414=0,0,BU414/BS414)</f>
        <v>0.17556524444973659</v>
      </c>
      <c r="BV415" s="3402">
        <f>IF($G414=0,0,BV414/BS414)</f>
        <v>0.47456216242671506</v>
      </c>
      <c r="BW415" s="3411"/>
      <c r="BX415" s="3403" t="s">
        <v>626</v>
      </c>
      <c r="BY415" s="3412"/>
      <c r="BZ415" s="3412"/>
      <c r="CA415" s="3402">
        <f>CB415+CC415+CD415</f>
        <v>1</v>
      </c>
      <c r="CB415" s="3402">
        <f>IF($G414=0,0,CB414/CA414)</f>
        <v>0.34987259312354835</v>
      </c>
      <c r="CC415" s="3402">
        <f>IF($G414=0,0,CC414/CA414)</f>
        <v>0.17556524444973659</v>
      </c>
      <c r="CD415" s="3402">
        <f>IF($G414=0,0,CD414/CA414)</f>
        <v>0.47456216242671506</v>
      </c>
      <c r="CE415" s="3411"/>
      <c r="CF415" s="3403" t="s">
        <v>626</v>
      </c>
      <c r="CG415" s="3412"/>
      <c r="CH415" s="3412"/>
      <c r="CI415" s="3402">
        <f>CJ415+CK415+CL415</f>
        <v>1</v>
      </c>
      <c r="CJ415" s="3402">
        <f>IF($G414=0,0,CJ414/CI414)</f>
        <v>0.34987259312354835</v>
      </c>
      <c r="CK415" s="3402">
        <f>IF($G414=0,0,CK414/CI414)</f>
        <v>0.17556524444973659</v>
      </c>
      <c r="CL415" s="3402">
        <f>IF($G414=0,0,CL414/CI414)</f>
        <v>0.47456216242671506</v>
      </c>
      <c r="CM415" s="3411"/>
      <c r="CN415" s="3403" t="s">
        <v>626</v>
      </c>
      <c r="CO415" s="3412"/>
      <c r="CP415" s="3412"/>
      <c r="CQ415" s="3402">
        <f>CR415+CS415+CT415</f>
        <v>1</v>
      </c>
      <c r="CR415" s="3402">
        <f>IF($G414=0,0,CR414/CQ414)</f>
        <v>0.34987259312354835</v>
      </c>
      <c r="CS415" s="3402">
        <f>IF($G414=0,0,CS414/CQ414)</f>
        <v>0.17556524444973659</v>
      </c>
      <c r="CT415" s="3402">
        <f>IF($G414=0,0,CT414/CQ414)</f>
        <v>0.47456216242671506</v>
      </c>
      <c r="CU415" s="3411"/>
      <c r="CV415" s="3403" t="s">
        <v>626</v>
      </c>
      <c r="CW415" s="3412"/>
      <c r="CX415" s="3412"/>
      <c r="CY415" s="3402">
        <f>CZ415+DA415+DB415</f>
        <v>1</v>
      </c>
      <c r="CZ415" s="3402">
        <f>IF($G414=0,0,CZ414/CY414)</f>
        <v>0.34987259312354835</v>
      </c>
      <c r="DA415" s="3402">
        <f>IF($G414=0,0,DA414/CY414)</f>
        <v>0.17556524444973659</v>
      </c>
      <c r="DB415" s="3402">
        <f>IF($G414=0,0,DB414/CY414)</f>
        <v>0.47456216242671506</v>
      </c>
      <c r="DC415" s="3411"/>
      <c r="DD415" s="3403" t="s">
        <v>626</v>
      </c>
      <c r="DE415" s="3412"/>
      <c r="DF415" s="3412"/>
      <c r="DG415" s="3402">
        <f>DH415+DI415+DJ415</f>
        <v>1</v>
      </c>
      <c r="DH415" s="3402">
        <f>IF($G414=0,0,DH414/DG414)</f>
        <v>0.34987259312354835</v>
      </c>
      <c r="DI415" s="3402">
        <f>IF($G414=0,0,DI414/DG414)</f>
        <v>0.17556524444973659</v>
      </c>
      <c r="DJ415" s="3402">
        <f>IF($G414=0,0,DJ414/DG414)</f>
        <v>0.47456216242671506</v>
      </c>
      <c r="DK415" s="3411"/>
      <c r="DL415" s="3403" t="s">
        <v>626</v>
      </c>
      <c r="DM415" s="3412"/>
      <c r="DN415" s="3412"/>
      <c r="DO415" s="3402">
        <f>DP415+DQ415+DR415</f>
        <v>1</v>
      </c>
      <c r="DP415" s="3402">
        <f>IF($G414=0,0,DP414/DO414)</f>
        <v>0.34987259312354835</v>
      </c>
      <c r="DQ415" s="3402">
        <f>IF($G414=0,0,DQ414/DO414)</f>
        <v>0.17556524444973659</v>
      </c>
      <c r="DR415" s="3402">
        <f>IF($G414=0,0,DR414/DO414)</f>
        <v>0.47456216242671506</v>
      </c>
      <c r="DS415" s="3411"/>
      <c r="DT415" s="3403" t="s">
        <v>626</v>
      </c>
      <c r="DU415" s="3412"/>
      <c r="DV415" s="3412"/>
      <c r="DW415" s="3402">
        <f>DX415+DY415+DZ415</f>
        <v>1</v>
      </c>
      <c r="DX415" s="3402">
        <f>IF($G414=0,0,DX414/DW414)</f>
        <v>0.34987259312354835</v>
      </c>
      <c r="DY415" s="3402">
        <f>IF($G414=0,0,DY414/DW414)</f>
        <v>0.17556524444973659</v>
      </c>
      <c r="DZ415" s="3402">
        <f>IF($G414=0,0,DZ414/DW414)</f>
        <v>0.47456216242671506</v>
      </c>
      <c r="EA415" s="3411"/>
      <c r="EB415" s="3403" t="s">
        <v>626</v>
      </c>
      <c r="EC415" s="3412"/>
      <c r="ED415" s="3412"/>
      <c r="EE415" s="3402">
        <f>EF415+EG415+EH415</f>
        <v>1</v>
      </c>
      <c r="EF415" s="3402">
        <f>IF($G414=0,0,EF414/EE414)</f>
        <v>0.34987259312354835</v>
      </c>
      <c r="EG415" s="3402">
        <f>IF($G414=0,0,EG414/EE414)</f>
        <v>0.17556524444973659</v>
      </c>
      <c r="EH415" s="3402">
        <f>IF($G414=0,0,EH414/EE414)</f>
        <v>0.47456216242671506</v>
      </c>
      <c r="EI415" s="3411"/>
      <c r="EJ415" s="3403" t="s">
        <v>626</v>
      </c>
      <c r="EK415" s="3412"/>
      <c r="EL415" s="3412"/>
      <c r="EM415" s="3402">
        <f>EN415+EO415+EP415</f>
        <v>1</v>
      </c>
      <c r="EN415" s="3402">
        <f>IF($G414=0,0,EN414/EM414)</f>
        <v>0.34987259312354835</v>
      </c>
      <c r="EO415" s="3402">
        <f>IF($G414=0,0,EO414/EM414)</f>
        <v>0.17556524444973659</v>
      </c>
      <c r="EP415" s="3402">
        <f>IF($G414=0,0,EP414/EM414)</f>
        <v>0.47456216242671506</v>
      </c>
      <c r="EQ415" s="3411"/>
      <c r="ER415" s="3403" t="s">
        <v>626</v>
      </c>
      <c r="ES415" s="3412"/>
      <c r="ET415" s="3412"/>
      <c r="EU415" s="3402">
        <f>EV415+EW415+EX415</f>
        <v>1</v>
      </c>
      <c r="EV415" s="3402">
        <f>IF($G414=0,0,EV414/EU414)</f>
        <v>0.34987259312354835</v>
      </c>
      <c r="EW415" s="3402">
        <f>IF($G414=0,0,EW414/EU414)</f>
        <v>0.17556524444973659</v>
      </c>
      <c r="EX415" s="3402">
        <f>IF($G414=0,0,EX414/EU414)</f>
        <v>0.47456216242671506</v>
      </c>
      <c r="EY415" s="3411"/>
      <c r="EZ415" s="3403" t="s">
        <v>626</v>
      </c>
      <c r="FA415" s="3412"/>
      <c r="FB415" s="3412"/>
      <c r="FC415" s="3402">
        <f>FD415+FE415+FF415</f>
        <v>1</v>
      </c>
      <c r="FD415" s="3402">
        <f>IF($G414=0,0,FD414/FC414)</f>
        <v>0.34987259312354835</v>
      </c>
      <c r="FE415" s="3402">
        <f>IF($G414=0,0,FE414/FC414)</f>
        <v>0.17556524444973659</v>
      </c>
      <c r="FF415" s="3402">
        <f>IF($G414=0,0,FF414/FC414)</f>
        <v>0.47456216242671506</v>
      </c>
      <c r="FG415" s="3411"/>
      <c r="FH415" s="3403" t="s">
        <v>626</v>
      </c>
      <c r="FI415" s="3412"/>
      <c r="FJ415" s="3412"/>
      <c r="FK415" s="3402">
        <f>FL415+FM415+FN415</f>
        <v>1</v>
      </c>
      <c r="FL415" s="3402">
        <f>IF($G414=0,0,FL414/FK414)</f>
        <v>0.34987259312354835</v>
      </c>
      <c r="FM415" s="3402">
        <f>IF($G414=0,0,FM414/FK414)</f>
        <v>0.17556524444973659</v>
      </c>
      <c r="FN415" s="3402">
        <f>IF($G414=0,0,FN414/FK414)</f>
        <v>0.47456216242671506</v>
      </c>
      <c r="FO415" s="3411"/>
    </row>
    <row r="416" spans="2:171">
      <c r="K416" s="3264"/>
      <c r="S416" s="3264"/>
      <c r="AA416" s="3264"/>
      <c r="AI416" s="3264"/>
      <c r="AQ416" s="3264"/>
      <c r="AY416" s="3264"/>
      <c r="BG416" s="3264"/>
      <c r="BO416" s="3264"/>
      <c r="BW416" s="3264"/>
      <c r="CE416" s="3264"/>
      <c r="CM416" s="3264"/>
      <c r="CU416" s="3264"/>
      <c r="DC416" s="3264"/>
      <c r="DK416" s="3264"/>
      <c r="DS416" s="3264"/>
      <c r="EA416" s="3264"/>
      <c r="EI416" s="3264"/>
      <c r="EQ416" s="3264"/>
      <c r="EY416" s="3264"/>
      <c r="FG416" s="3264"/>
      <c r="FO416" s="3264"/>
    </row>
    <row r="417" spans="2:171">
      <c r="E417" s="3090" t="s">
        <v>520</v>
      </c>
      <c r="G417" s="3091" t="s">
        <v>104</v>
      </c>
      <c r="H417" s="3091" t="s">
        <v>105</v>
      </c>
      <c r="I417" s="3091" t="s">
        <v>106</v>
      </c>
      <c r="J417" s="3092" t="s">
        <v>511</v>
      </c>
      <c r="K417" s="3411"/>
      <c r="O417" s="3091" t="s">
        <v>104</v>
      </c>
      <c r="P417" s="3091" t="s">
        <v>105</v>
      </c>
      <c r="Q417" s="3091" t="s">
        <v>106</v>
      </c>
      <c r="R417" s="3092" t="s">
        <v>511</v>
      </c>
      <c r="S417" s="3411"/>
      <c r="W417" s="3091" t="s">
        <v>104</v>
      </c>
      <c r="X417" s="3091" t="s">
        <v>105</v>
      </c>
      <c r="Y417" s="3091" t="s">
        <v>106</v>
      </c>
      <c r="Z417" s="3092" t="s">
        <v>511</v>
      </c>
      <c r="AA417" s="3411"/>
      <c r="AE417" s="3091" t="s">
        <v>104</v>
      </c>
      <c r="AF417" s="3091" t="s">
        <v>105</v>
      </c>
      <c r="AG417" s="3091" t="s">
        <v>106</v>
      </c>
      <c r="AH417" s="3092" t="s">
        <v>511</v>
      </c>
      <c r="AI417" s="3411"/>
      <c r="AM417" s="3091" t="s">
        <v>104</v>
      </c>
      <c r="AN417" s="3091" t="s">
        <v>105</v>
      </c>
      <c r="AO417" s="3091" t="s">
        <v>106</v>
      </c>
      <c r="AP417" s="3092" t="s">
        <v>511</v>
      </c>
      <c r="AQ417" s="3411"/>
      <c r="AU417" s="3091" t="s">
        <v>104</v>
      </c>
      <c r="AV417" s="3091" t="s">
        <v>105</v>
      </c>
      <c r="AW417" s="3091" t="s">
        <v>106</v>
      </c>
      <c r="AX417" s="3092" t="s">
        <v>511</v>
      </c>
      <c r="AY417" s="3411"/>
      <c r="BC417" s="3091" t="s">
        <v>104</v>
      </c>
      <c r="BD417" s="3091" t="s">
        <v>105</v>
      </c>
      <c r="BE417" s="3091" t="s">
        <v>106</v>
      </c>
      <c r="BF417" s="3092" t="s">
        <v>511</v>
      </c>
      <c r="BG417" s="3411"/>
      <c r="BK417" s="3091" t="s">
        <v>104</v>
      </c>
      <c r="BL417" s="3091" t="s">
        <v>105</v>
      </c>
      <c r="BM417" s="3091" t="s">
        <v>106</v>
      </c>
      <c r="BN417" s="3092" t="s">
        <v>511</v>
      </c>
      <c r="BO417" s="3411"/>
      <c r="BS417" s="3091" t="s">
        <v>104</v>
      </c>
      <c r="BT417" s="3091" t="s">
        <v>105</v>
      </c>
      <c r="BU417" s="3091" t="s">
        <v>106</v>
      </c>
      <c r="BV417" s="3092" t="s">
        <v>511</v>
      </c>
      <c r="BW417" s="3411"/>
      <c r="CA417" s="3091" t="s">
        <v>104</v>
      </c>
      <c r="CB417" s="3091" t="s">
        <v>105</v>
      </c>
      <c r="CC417" s="3091" t="s">
        <v>106</v>
      </c>
      <c r="CD417" s="3092" t="s">
        <v>511</v>
      </c>
      <c r="CE417" s="3411"/>
      <c r="CI417" s="3091" t="s">
        <v>104</v>
      </c>
      <c r="CJ417" s="3091" t="s">
        <v>105</v>
      </c>
      <c r="CK417" s="3091" t="s">
        <v>106</v>
      </c>
      <c r="CL417" s="3092" t="s">
        <v>511</v>
      </c>
      <c r="CM417" s="3411"/>
      <c r="CQ417" s="3091" t="s">
        <v>104</v>
      </c>
      <c r="CR417" s="3091" t="s">
        <v>105</v>
      </c>
      <c r="CS417" s="3091" t="s">
        <v>106</v>
      </c>
      <c r="CT417" s="3092" t="s">
        <v>511</v>
      </c>
      <c r="CU417" s="3411"/>
      <c r="CY417" s="3091" t="s">
        <v>104</v>
      </c>
      <c r="CZ417" s="3091" t="s">
        <v>105</v>
      </c>
      <c r="DA417" s="3091" t="s">
        <v>106</v>
      </c>
      <c r="DB417" s="3092" t="s">
        <v>511</v>
      </c>
      <c r="DC417" s="3411"/>
      <c r="DG417" s="3091" t="s">
        <v>104</v>
      </c>
      <c r="DH417" s="3091" t="s">
        <v>105</v>
      </c>
      <c r="DI417" s="3091" t="s">
        <v>106</v>
      </c>
      <c r="DJ417" s="3092" t="s">
        <v>511</v>
      </c>
      <c r="DK417" s="3411"/>
      <c r="DO417" s="3091" t="s">
        <v>104</v>
      </c>
      <c r="DP417" s="3091" t="s">
        <v>105</v>
      </c>
      <c r="DQ417" s="3091" t="s">
        <v>106</v>
      </c>
      <c r="DR417" s="3092" t="s">
        <v>511</v>
      </c>
      <c r="DS417" s="3411"/>
      <c r="DW417" s="3091" t="s">
        <v>104</v>
      </c>
      <c r="DX417" s="3091" t="s">
        <v>105</v>
      </c>
      <c r="DY417" s="3091" t="s">
        <v>106</v>
      </c>
      <c r="DZ417" s="3092" t="s">
        <v>511</v>
      </c>
      <c r="EA417" s="3411"/>
      <c r="EE417" s="3091" t="s">
        <v>104</v>
      </c>
      <c r="EF417" s="3091" t="s">
        <v>105</v>
      </c>
      <c r="EG417" s="3091" t="s">
        <v>106</v>
      </c>
      <c r="EH417" s="3092" t="s">
        <v>511</v>
      </c>
      <c r="EI417" s="3411"/>
      <c r="EM417" s="3091" t="s">
        <v>104</v>
      </c>
      <c r="EN417" s="3091" t="s">
        <v>105</v>
      </c>
      <c r="EO417" s="3091" t="s">
        <v>106</v>
      </c>
      <c r="EP417" s="3092" t="s">
        <v>511</v>
      </c>
      <c r="EQ417" s="3411"/>
      <c r="EU417" s="3091" t="s">
        <v>104</v>
      </c>
      <c r="EV417" s="3091" t="s">
        <v>105</v>
      </c>
      <c r="EW417" s="3091" t="s">
        <v>106</v>
      </c>
      <c r="EX417" s="3092" t="s">
        <v>511</v>
      </c>
      <c r="EY417" s="3411"/>
      <c r="FC417" s="3091" t="s">
        <v>104</v>
      </c>
      <c r="FD417" s="3091" t="s">
        <v>105</v>
      </c>
      <c r="FE417" s="3091" t="s">
        <v>106</v>
      </c>
      <c r="FF417" s="3092" t="s">
        <v>511</v>
      </c>
      <c r="FG417" s="3411"/>
      <c r="FK417" s="3091" t="s">
        <v>104</v>
      </c>
      <c r="FL417" s="3091" t="s">
        <v>105</v>
      </c>
      <c r="FM417" s="3091" t="s">
        <v>106</v>
      </c>
      <c r="FN417" s="3092" t="s">
        <v>511</v>
      </c>
      <c r="FO417" s="3411"/>
    </row>
    <row r="418" spans="2:171">
      <c r="B418" s="3086"/>
      <c r="C418" s="3086" t="s">
        <v>121</v>
      </c>
      <c r="D418" s="3405"/>
      <c r="E418" s="3234" t="s">
        <v>391</v>
      </c>
      <c r="G418" s="2424">
        <f t="shared" ref="G418:J419" si="1525">G403</f>
        <v>1992381238</v>
      </c>
      <c r="H418" s="2424">
        <f t="shared" si="1525"/>
        <v>0</v>
      </c>
      <c r="I418" s="2424">
        <f t="shared" si="1525"/>
        <v>0</v>
      </c>
      <c r="J418" s="2424">
        <f t="shared" si="1525"/>
        <v>1992381238</v>
      </c>
      <c r="K418" s="3264"/>
      <c r="L418" s="3405"/>
      <c r="M418" s="3406"/>
      <c r="N418" s="3406"/>
      <c r="O418" s="2424">
        <f t="shared" ref="O418:R418" si="1526">O403</f>
        <v>1992381238</v>
      </c>
      <c r="P418" s="2424">
        <f t="shared" si="1526"/>
        <v>0</v>
      </c>
      <c r="Q418" s="2424">
        <f t="shared" si="1526"/>
        <v>1992381238</v>
      </c>
      <c r="R418" s="2424">
        <f t="shared" si="1526"/>
        <v>0</v>
      </c>
      <c r="S418" s="3264"/>
      <c r="T418" s="3405"/>
      <c r="U418" s="3406"/>
      <c r="V418" s="3406"/>
      <c r="W418" s="2424">
        <f t="shared" ref="W418:Z418" si="1527">W403</f>
        <v>1992381238</v>
      </c>
      <c r="X418" s="2424">
        <f t="shared" si="1527"/>
        <v>0</v>
      </c>
      <c r="Y418" s="2424">
        <f t="shared" si="1527"/>
        <v>1992381238</v>
      </c>
      <c r="Z418" s="2424">
        <f t="shared" si="1527"/>
        <v>0</v>
      </c>
      <c r="AA418" s="3264"/>
      <c r="AB418" s="3405"/>
      <c r="AC418" s="3406"/>
      <c r="AD418" s="3406"/>
      <c r="AE418" s="2424">
        <f t="shared" ref="AE418:AH418" si="1528">AE403</f>
        <v>1992381238</v>
      </c>
      <c r="AF418" s="2424">
        <f t="shared" si="1528"/>
        <v>0</v>
      </c>
      <c r="AG418" s="2424">
        <f t="shared" si="1528"/>
        <v>1992381238</v>
      </c>
      <c r="AH418" s="2424">
        <f t="shared" si="1528"/>
        <v>0</v>
      </c>
      <c r="AI418" s="3264"/>
      <c r="AJ418" s="3405"/>
      <c r="AK418" s="3406"/>
      <c r="AL418" s="3406"/>
      <c r="AM418" s="2424">
        <f t="shared" ref="AM418:AP418" si="1529">AM403</f>
        <v>1992381238</v>
      </c>
      <c r="AN418" s="2424">
        <f t="shared" si="1529"/>
        <v>0</v>
      </c>
      <c r="AO418" s="2424">
        <f t="shared" si="1529"/>
        <v>1992381238</v>
      </c>
      <c r="AP418" s="2424">
        <f t="shared" si="1529"/>
        <v>0</v>
      </c>
      <c r="AQ418" s="3264"/>
      <c r="AR418" s="3405"/>
      <c r="AS418" s="3406"/>
      <c r="AT418" s="3406"/>
      <c r="AU418" s="2424">
        <f t="shared" ref="AU418:AX418" si="1530">AU403</f>
        <v>1992381238</v>
      </c>
      <c r="AV418" s="2424">
        <f t="shared" si="1530"/>
        <v>0</v>
      </c>
      <c r="AW418" s="2424">
        <f t="shared" si="1530"/>
        <v>1992381238</v>
      </c>
      <c r="AX418" s="2424">
        <f t="shared" si="1530"/>
        <v>0</v>
      </c>
      <c r="AY418" s="3264"/>
      <c r="AZ418" s="3405"/>
      <c r="BA418" s="3406"/>
      <c r="BB418" s="3406"/>
      <c r="BC418" s="2424">
        <f t="shared" ref="BC418:BF418" si="1531">BC403</f>
        <v>1992381238</v>
      </c>
      <c r="BD418" s="2424">
        <f t="shared" si="1531"/>
        <v>0</v>
      </c>
      <c r="BE418" s="2424">
        <f t="shared" si="1531"/>
        <v>1992381238</v>
      </c>
      <c r="BF418" s="2424">
        <f t="shared" si="1531"/>
        <v>0</v>
      </c>
      <c r="BG418" s="3264"/>
      <c r="BH418" s="3405"/>
      <c r="BI418" s="3406"/>
      <c r="BJ418" s="3406"/>
      <c r="BK418" s="2424">
        <f t="shared" ref="BK418:BN418" si="1532">BK403</f>
        <v>1992381238</v>
      </c>
      <c r="BL418" s="2424">
        <f t="shared" si="1532"/>
        <v>0</v>
      </c>
      <c r="BM418" s="2424">
        <f t="shared" si="1532"/>
        <v>1992381238</v>
      </c>
      <c r="BN418" s="2424">
        <f t="shared" si="1532"/>
        <v>0</v>
      </c>
      <c r="BO418" s="3264"/>
      <c r="BP418" s="3405"/>
      <c r="BQ418" s="3406"/>
      <c r="BR418" s="3406"/>
      <c r="BS418" s="2424">
        <f t="shared" ref="BS418:BV418" si="1533">BS403</f>
        <v>1992381238</v>
      </c>
      <c r="BT418" s="2424">
        <f t="shared" si="1533"/>
        <v>0</v>
      </c>
      <c r="BU418" s="2424">
        <f t="shared" si="1533"/>
        <v>1992381238</v>
      </c>
      <c r="BV418" s="2424">
        <f t="shared" si="1533"/>
        <v>0</v>
      </c>
      <c r="BW418" s="3264"/>
      <c r="BX418" s="3405"/>
      <c r="BY418" s="3406"/>
      <c r="BZ418" s="3406"/>
      <c r="CA418" s="2424">
        <f t="shared" ref="CA418:CD418" si="1534">CA403</f>
        <v>1992381238</v>
      </c>
      <c r="CB418" s="2424">
        <f t="shared" si="1534"/>
        <v>0</v>
      </c>
      <c r="CC418" s="2424">
        <f t="shared" si="1534"/>
        <v>1992381238</v>
      </c>
      <c r="CD418" s="2424">
        <f t="shared" si="1534"/>
        <v>0</v>
      </c>
      <c r="CE418" s="3264"/>
      <c r="CF418" s="3405"/>
      <c r="CG418" s="3406"/>
      <c r="CH418" s="3406"/>
      <c r="CI418" s="2424">
        <f t="shared" ref="CI418:CL418" si="1535">CI403</f>
        <v>1992381238</v>
      </c>
      <c r="CJ418" s="2424">
        <f t="shared" si="1535"/>
        <v>0</v>
      </c>
      <c r="CK418" s="2424">
        <f t="shared" si="1535"/>
        <v>1992381238</v>
      </c>
      <c r="CL418" s="2424">
        <f t="shared" si="1535"/>
        <v>0</v>
      </c>
      <c r="CM418" s="3264"/>
      <c r="CN418" s="3405"/>
      <c r="CO418" s="3406"/>
      <c r="CP418" s="3406"/>
      <c r="CQ418" s="2424">
        <f t="shared" ref="CQ418:CT418" si="1536">CQ403</f>
        <v>1992381238</v>
      </c>
      <c r="CR418" s="2424">
        <f t="shared" si="1536"/>
        <v>0</v>
      </c>
      <c r="CS418" s="2424">
        <f t="shared" si="1536"/>
        <v>1992381238</v>
      </c>
      <c r="CT418" s="2424">
        <f t="shared" si="1536"/>
        <v>0</v>
      </c>
      <c r="CU418" s="3264"/>
      <c r="CV418" s="3405"/>
      <c r="CW418" s="3406"/>
      <c r="CX418" s="3406"/>
      <c r="CY418" s="2424">
        <f t="shared" ref="CY418:DB418" si="1537">CY403</f>
        <v>1992381238</v>
      </c>
      <c r="CZ418" s="2424">
        <f t="shared" si="1537"/>
        <v>0</v>
      </c>
      <c r="DA418" s="2424">
        <f t="shared" si="1537"/>
        <v>1992381238</v>
      </c>
      <c r="DB418" s="2424">
        <f t="shared" si="1537"/>
        <v>0</v>
      </c>
      <c r="DC418" s="3264"/>
      <c r="DD418" s="3405"/>
      <c r="DE418" s="3406"/>
      <c r="DF418" s="3406"/>
      <c r="DG418" s="2424">
        <f t="shared" ref="DG418:DJ418" si="1538">DG403</f>
        <v>1992381238</v>
      </c>
      <c r="DH418" s="2424">
        <f t="shared" si="1538"/>
        <v>0</v>
      </c>
      <c r="DI418" s="2424">
        <f t="shared" si="1538"/>
        <v>1992381238</v>
      </c>
      <c r="DJ418" s="2424">
        <f t="shared" si="1538"/>
        <v>0</v>
      </c>
      <c r="DK418" s="3264"/>
      <c r="DL418" s="3405"/>
      <c r="DM418" s="3406"/>
      <c r="DN418" s="3406"/>
      <c r="DO418" s="2424">
        <f t="shared" ref="DO418:DR418" si="1539">DO403</f>
        <v>1992381238</v>
      </c>
      <c r="DP418" s="2424">
        <f t="shared" si="1539"/>
        <v>0</v>
      </c>
      <c r="DQ418" s="2424">
        <f t="shared" si="1539"/>
        <v>1992381238</v>
      </c>
      <c r="DR418" s="2424">
        <f t="shared" si="1539"/>
        <v>0</v>
      </c>
      <c r="DS418" s="3264"/>
      <c r="DT418" s="3405"/>
      <c r="DU418" s="3406"/>
      <c r="DV418" s="3406"/>
      <c r="DW418" s="2424">
        <f t="shared" ref="DW418:DZ418" si="1540">DW403</f>
        <v>1992381238</v>
      </c>
      <c r="DX418" s="2424">
        <f t="shared" si="1540"/>
        <v>0</v>
      </c>
      <c r="DY418" s="2424">
        <f t="shared" si="1540"/>
        <v>1992381238</v>
      </c>
      <c r="DZ418" s="2424">
        <f t="shared" si="1540"/>
        <v>0</v>
      </c>
      <c r="EA418" s="3264"/>
      <c r="EB418" s="3405"/>
      <c r="EC418" s="3406"/>
      <c r="ED418" s="3406"/>
      <c r="EE418" s="2424">
        <f t="shared" ref="EE418:EH418" si="1541">EE403</f>
        <v>1992381238</v>
      </c>
      <c r="EF418" s="2424">
        <f t="shared" si="1541"/>
        <v>0</v>
      </c>
      <c r="EG418" s="2424">
        <f t="shared" si="1541"/>
        <v>1992381238</v>
      </c>
      <c r="EH418" s="2424">
        <f t="shared" si="1541"/>
        <v>0</v>
      </c>
      <c r="EI418" s="3264"/>
      <c r="EJ418" s="3405"/>
      <c r="EK418" s="3406"/>
      <c r="EL418" s="3406"/>
      <c r="EM418" s="2424">
        <f t="shared" ref="EM418:EP418" si="1542">EM403</f>
        <v>1992381238</v>
      </c>
      <c r="EN418" s="2424">
        <f t="shared" si="1542"/>
        <v>0</v>
      </c>
      <c r="EO418" s="2424">
        <f t="shared" si="1542"/>
        <v>1992381238</v>
      </c>
      <c r="EP418" s="2424">
        <f t="shared" si="1542"/>
        <v>0</v>
      </c>
      <c r="EQ418" s="3264"/>
      <c r="ER418" s="3405"/>
      <c r="ES418" s="3406"/>
      <c r="ET418" s="3406"/>
      <c r="EU418" s="2424">
        <f t="shared" ref="EU418:EX418" si="1543">EU403</f>
        <v>1992381238</v>
      </c>
      <c r="EV418" s="2424">
        <f t="shared" si="1543"/>
        <v>0</v>
      </c>
      <c r="EW418" s="2424">
        <f t="shared" si="1543"/>
        <v>1992381238</v>
      </c>
      <c r="EX418" s="2424">
        <f t="shared" si="1543"/>
        <v>0</v>
      </c>
      <c r="EY418" s="3264"/>
      <c r="EZ418" s="3405"/>
      <c r="FA418" s="3406"/>
      <c r="FB418" s="3406"/>
      <c r="FC418" s="2424">
        <f t="shared" ref="FC418:FF418" si="1544">FC403</f>
        <v>1992381238</v>
      </c>
      <c r="FD418" s="2424">
        <f t="shared" si="1544"/>
        <v>0</v>
      </c>
      <c r="FE418" s="2424">
        <f t="shared" si="1544"/>
        <v>1992381238</v>
      </c>
      <c r="FF418" s="2424">
        <f t="shared" si="1544"/>
        <v>0</v>
      </c>
      <c r="FG418" s="3264"/>
      <c r="FH418" s="3405"/>
      <c r="FI418" s="3406"/>
      <c r="FJ418" s="3406"/>
      <c r="FK418" s="2424">
        <f t="shared" ref="FK418:FN418" si="1545">FK403</f>
        <v>1992381238</v>
      </c>
      <c r="FL418" s="2424">
        <f t="shared" si="1545"/>
        <v>0</v>
      </c>
      <c r="FM418" s="2424">
        <f t="shared" si="1545"/>
        <v>1992381238</v>
      </c>
      <c r="FN418" s="2424">
        <f t="shared" si="1545"/>
        <v>0</v>
      </c>
      <c r="FO418" s="3264"/>
    </row>
    <row r="419" spans="2:171">
      <c r="B419" s="3086"/>
      <c r="C419" s="3086" t="s">
        <v>122</v>
      </c>
      <c r="D419" s="3405"/>
      <c r="E419" s="3234" t="s">
        <v>390</v>
      </c>
      <c r="G419" s="2424">
        <f t="shared" si="1525"/>
        <v>5283922742</v>
      </c>
      <c r="H419" s="2424">
        <f t="shared" si="1525"/>
        <v>0</v>
      </c>
      <c r="I419" s="2424">
        <f t="shared" si="1525"/>
        <v>0</v>
      </c>
      <c r="J419" s="2424">
        <f t="shared" si="1525"/>
        <v>5283922742</v>
      </c>
      <c r="K419" s="3411"/>
      <c r="L419" s="3405"/>
      <c r="M419" s="3406"/>
      <c r="N419" s="3406"/>
      <c r="O419" s="2424">
        <f t="shared" ref="O419:R419" si="1546">O404</f>
        <v>5283922742</v>
      </c>
      <c r="P419" s="2424">
        <f t="shared" si="1546"/>
        <v>0</v>
      </c>
      <c r="Q419" s="2424">
        <f t="shared" si="1546"/>
        <v>0</v>
      </c>
      <c r="R419" s="2424">
        <f t="shared" si="1546"/>
        <v>5283922742</v>
      </c>
      <c r="S419" s="3411"/>
      <c r="T419" s="3405"/>
      <c r="U419" s="3406"/>
      <c r="V419" s="3406"/>
      <c r="W419" s="2424">
        <f t="shared" ref="W419:Z419" si="1547">W404</f>
        <v>5283922742</v>
      </c>
      <c r="X419" s="2424">
        <f t="shared" si="1547"/>
        <v>0</v>
      </c>
      <c r="Y419" s="2424">
        <f t="shared" si="1547"/>
        <v>0</v>
      </c>
      <c r="Z419" s="2424">
        <f t="shared" si="1547"/>
        <v>5283922742</v>
      </c>
      <c r="AA419" s="3411"/>
      <c r="AB419" s="3405"/>
      <c r="AC419" s="3406"/>
      <c r="AD419" s="3406"/>
      <c r="AE419" s="2424">
        <f t="shared" ref="AE419:AH419" si="1548">AE404</f>
        <v>5283922742</v>
      </c>
      <c r="AF419" s="2424">
        <f t="shared" si="1548"/>
        <v>0</v>
      </c>
      <c r="AG419" s="2424">
        <f t="shared" si="1548"/>
        <v>0</v>
      </c>
      <c r="AH419" s="2424">
        <f t="shared" si="1548"/>
        <v>5283922742</v>
      </c>
      <c r="AI419" s="3411"/>
      <c r="AJ419" s="3405"/>
      <c r="AK419" s="3406"/>
      <c r="AL419" s="3406"/>
      <c r="AM419" s="2424">
        <f t="shared" ref="AM419:AP419" si="1549">AM404</f>
        <v>5283922742</v>
      </c>
      <c r="AN419" s="2424">
        <f t="shared" si="1549"/>
        <v>0</v>
      </c>
      <c r="AO419" s="2424">
        <f t="shared" si="1549"/>
        <v>0</v>
      </c>
      <c r="AP419" s="2424">
        <f t="shared" si="1549"/>
        <v>5283922742</v>
      </c>
      <c r="AQ419" s="3411"/>
      <c r="AR419" s="3405"/>
      <c r="AS419" s="3406"/>
      <c r="AT419" s="3406"/>
      <c r="AU419" s="2424">
        <f t="shared" ref="AU419:AX419" si="1550">AU404</f>
        <v>5283922742</v>
      </c>
      <c r="AV419" s="2424">
        <f t="shared" si="1550"/>
        <v>0</v>
      </c>
      <c r="AW419" s="2424">
        <f t="shared" si="1550"/>
        <v>0</v>
      </c>
      <c r="AX419" s="2424">
        <f t="shared" si="1550"/>
        <v>5283922742</v>
      </c>
      <c r="AY419" s="3411"/>
      <c r="AZ419" s="3405"/>
      <c r="BA419" s="3406"/>
      <c r="BB419" s="3406"/>
      <c r="BC419" s="2424">
        <f t="shared" ref="BC419:BF419" si="1551">BC404</f>
        <v>5283922742</v>
      </c>
      <c r="BD419" s="2424">
        <f t="shared" si="1551"/>
        <v>0</v>
      </c>
      <c r="BE419" s="2424">
        <f t="shared" si="1551"/>
        <v>0</v>
      </c>
      <c r="BF419" s="2424">
        <f t="shared" si="1551"/>
        <v>5283922742</v>
      </c>
      <c r="BG419" s="3411"/>
      <c r="BH419" s="3405"/>
      <c r="BI419" s="3406"/>
      <c r="BJ419" s="3406"/>
      <c r="BK419" s="2424">
        <f t="shared" ref="BK419:BN419" si="1552">BK404</f>
        <v>5283922742</v>
      </c>
      <c r="BL419" s="2424">
        <f t="shared" si="1552"/>
        <v>0</v>
      </c>
      <c r="BM419" s="2424">
        <f t="shared" si="1552"/>
        <v>0</v>
      </c>
      <c r="BN419" s="2424">
        <f t="shared" si="1552"/>
        <v>5283922742</v>
      </c>
      <c r="BO419" s="3411"/>
      <c r="BP419" s="3405"/>
      <c r="BQ419" s="3406"/>
      <c r="BR419" s="3406"/>
      <c r="BS419" s="2424">
        <f t="shared" ref="BS419:BV419" si="1553">BS404</f>
        <v>5283922742</v>
      </c>
      <c r="BT419" s="2424">
        <f t="shared" si="1553"/>
        <v>0</v>
      </c>
      <c r="BU419" s="2424">
        <f t="shared" si="1553"/>
        <v>0</v>
      </c>
      <c r="BV419" s="2424">
        <f t="shared" si="1553"/>
        <v>5283922742</v>
      </c>
      <c r="BW419" s="3411"/>
      <c r="BX419" s="3405"/>
      <c r="BY419" s="3406"/>
      <c r="BZ419" s="3406"/>
      <c r="CA419" s="2424">
        <f t="shared" ref="CA419:CD419" si="1554">CA404</f>
        <v>5283922742</v>
      </c>
      <c r="CB419" s="2424">
        <f t="shared" si="1554"/>
        <v>0</v>
      </c>
      <c r="CC419" s="2424">
        <f t="shared" si="1554"/>
        <v>0</v>
      </c>
      <c r="CD419" s="2424">
        <f t="shared" si="1554"/>
        <v>5283922742</v>
      </c>
      <c r="CE419" s="3411"/>
      <c r="CF419" s="3405"/>
      <c r="CG419" s="3406"/>
      <c r="CH419" s="3406"/>
      <c r="CI419" s="2424">
        <f t="shared" ref="CI419:CL419" si="1555">CI404</f>
        <v>5283922742</v>
      </c>
      <c r="CJ419" s="2424">
        <f t="shared" si="1555"/>
        <v>0</v>
      </c>
      <c r="CK419" s="2424">
        <f t="shared" si="1555"/>
        <v>0</v>
      </c>
      <c r="CL419" s="2424">
        <f t="shared" si="1555"/>
        <v>5283922742</v>
      </c>
      <c r="CM419" s="3411"/>
      <c r="CN419" s="3405"/>
      <c r="CO419" s="3406"/>
      <c r="CP419" s="3406"/>
      <c r="CQ419" s="2424">
        <f t="shared" ref="CQ419:CT419" si="1556">CQ404</f>
        <v>5283922742</v>
      </c>
      <c r="CR419" s="2424">
        <f t="shared" si="1556"/>
        <v>0</v>
      </c>
      <c r="CS419" s="2424">
        <f t="shared" si="1556"/>
        <v>0</v>
      </c>
      <c r="CT419" s="2424">
        <f t="shared" si="1556"/>
        <v>5283922742</v>
      </c>
      <c r="CU419" s="3411"/>
      <c r="CV419" s="3405"/>
      <c r="CW419" s="3406"/>
      <c r="CX419" s="3406"/>
      <c r="CY419" s="2424">
        <f t="shared" ref="CY419:DB419" si="1557">CY404</f>
        <v>5283922742</v>
      </c>
      <c r="CZ419" s="2424">
        <f t="shared" si="1557"/>
        <v>0</v>
      </c>
      <c r="DA419" s="2424">
        <f t="shared" si="1557"/>
        <v>0</v>
      </c>
      <c r="DB419" s="2424">
        <f t="shared" si="1557"/>
        <v>5283922742</v>
      </c>
      <c r="DC419" s="3411"/>
      <c r="DD419" s="3405"/>
      <c r="DE419" s="3406"/>
      <c r="DF419" s="3406"/>
      <c r="DG419" s="2424">
        <f t="shared" ref="DG419:DJ419" si="1558">DG404</f>
        <v>5283922742</v>
      </c>
      <c r="DH419" s="2424">
        <f t="shared" si="1558"/>
        <v>0</v>
      </c>
      <c r="DI419" s="2424">
        <f t="shared" si="1558"/>
        <v>0</v>
      </c>
      <c r="DJ419" s="2424">
        <f t="shared" si="1558"/>
        <v>5283922742</v>
      </c>
      <c r="DK419" s="3411"/>
      <c r="DL419" s="3405"/>
      <c r="DM419" s="3406"/>
      <c r="DN419" s="3406"/>
      <c r="DO419" s="2424">
        <f t="shared" ref="DO419:DR419" si="1559">DO404</f>
        <v>5283922742</v>
      </c>
      <c r="DP419" s="2424">
        <f t="shared" si="1559"/>
        <v>0</v>
      </c>
      <c r="DQ419" s="2424">
        <f t="shared" si="1559"/>
        <v>0</v>
      </c>
      <c r="DR419" s="2424">
        <f t="shared" si="1559"/>
        <v>5283922742</v>
      </c>
      <c r="DS419" s="3411"/>
      <c r="DT419" s="3405"/>
      <c r="DU419" s="3406"/>
      <c r="DV419" s="3406"/>
      <c r="DW419" s="2424">
        <f t="shared" ref="DW419:DZ419" si="1560">DW404</f>
        <v>5283922742</v>
      </c>
      <c r="DX419" s="2424">
        <f t="shared" si="1560"/>
        <v>0</v>
      </c>
      <c r="DY419" s="2424">
        <f t="shared" si="1560"/>
        <v>0</v>
      </c>
      <c r="DZ419" s="2424">
        <f t="shared" si="1560"/>
        <v>5283922742</v>
      </c>
      <c r="EA419" s="3411"/>
      <c r="EB419" s="3405"/>
      <c r="EC419" s="3406"/>
      <c r="ED419" s="3406"/>
      <c r="EE419" s="2424">
        <f t="shared" ref="EE419:EH419" si="1561">EE404</f>
        <v>5283922742</v>
      </c>
      <c r="EF419" s="2424">
        <f t="shared" si="1561"/>
        <v>0</v>
      </c>
      <c r="EG419" s="2424">
        <f t="shared" si="1561"/>
        <v>0</v>
      </c>
      <c r="EH419" s="2424">
        <f t="shared" si="1561"/>
        <v>5283922742</v>
      </c>
      <c r="EI419" s="3411"/>
      <c r="EJ419" s="3405"/>
      <c r="EK419" s="3406"/>
      <c r="EL419" s="3406"/>
      <c r="EM419" s="2424">
        <f t="shared" ref="EM419:EP419" si="1562">EM404</f>
        <v>5283922742</v>
      </c>
      <c r="EN419" s="2424">
        <f t="shared" si="1562"/>
        <v>0</v>
      </c>
      <c r="EO419" s="2424">
        <f t="shared" si="1562"/>
        <v>0</v>
      </c>
      <c r="EP419" s="2424">
        <f t="shared" si="1562"/>
        <v>5283922742</v>
      </c>
      <c r="EQ419" s="3411"/>
      <c r="ER419" s="3405"/>
      <c r="ES419" s="3406"/>
      <c r="ET419" s="3406"/>
      <c r="EU419" s="2424">
        <f t="shared" ref="EU419:EX419" si="1563">EU404</f>
        <v>5283922742</v>
      </c>
      <c r="EV419" s="2424">
        <f t="shared" si="1563"/>
        <v>0</v>
      </c>
      <c r="EW419" s="2424">
        <f t="shared" si="1563"/>
        <v>0</v>
      </c>
      <c r="EX419" s="2424">
        <f t="shared" si="1563"/>
        <v>5283922742</v>
      </c>
      <c r="EY419" s="3411"/>
      <c r="EZ419" s="3405"/>
      <c r="FA419" s="3406"/>
      <c r="FB419" s="3406"/>
      <c r="FC419" s="2424">
        <f t="shared" ref="FC419:FF419" si="1564">FC404</f>
        <v>5283922742</v>
      </c>
      <c r="FD419" s="2424">
        <f t="shared" si="1564"/>
        <v>0</v>
      </c>
      <c r="FE419" s="2424">
        <f t="shared" si="1564"/>
        <v>0</v>
      </c>
      <c r="FF419" s="2424">
        <f t="shared" si="1564"/>
        <v>5283922742</v>
      </c>
      <c r="FG419" s="3411"/>
      <c r="FH419" s="3405"/>
      <c r="FI419" s="3406"/>
      <c r="FJ419" s="3406"/>
      <c r="FK419" s="2424">
        <f t="shared" ref="FK419:FN419" si="1565">FK404</f>
        <v>5283922742</v>
      </c>
      <c r="FL419" s="2424">
        <f t="shared" si="1565"/>
        <v>0</v>
      </c>
      <c r="FM419" s="2424">
        <f t="shared" si="1565"/>
        <v>0</v>
      </c>
      <c r="FN419" s="2424">
        <f t="shared" si="1565"/>
        <v>5283922742</v>
      </c>
      <c r="FO419" s="3411"/>
    </row>
    <row r="420" spans="2:171">
      <c r="B420" s="3086"/>
      <c r="C420" s="3086" t="s">
        <v>522</v>
      </c>
      <c r="D420" s="3405"/>
      <c r="E420" s="3095"/>
      <c r="F420" s="3406"/>
      <c r="G420" s="3244">
        <f>SUM(G418:G419)</f>
        <v>7276303980</v>
      </c>
      <c r="H420" s="3244">
        <f>SUM(H418:H419)</f>
        <v>0</v>
      </c>
      <c r="I420" s="3244">
        <f>SUM(I418:I419)</f>
        <v>0</v>
      </c>
      <c r="J420" s="3244">
        <f>SUM(J418:J419)</f>
        <v>7276303980</v>
      </c>
      <c r="K420" s="3264"/>
      <c r="L420" s="3405"/>
      <c r="M420" s="3406"/>
      <c r="N420" s="3406"/>
      <c r="O420" s="3244">
        <f>SUM(O418:O419)</f>
        <v>7276303980</v>
      </c>
      <c r="P420" s="3244">
        <f>SUM(P418:P419)</f>
        <v>0</v>
      </c>
      <c r="Q420" s="3244">
        <f>SUM(Q418:Q419)</f>
        <v>1992381238</v>
      </c>
      <c r="R420" s="3244">
        <f>SUM(R418:R419)</f>
        <v>5283922742</v>
      </c>
      <c r="S420" s="3264"/>
      <c r="T420" s="3405"/>
      <c r="U420" s="3406"/>
      <c r="V420" s="3406"/>
      <c r="W420" s="3244">
        <f>SUM(W418:W419)</f>
        <v>7276303980</v>
      </c>
      <c r="X420" s="3244">
        <f>SUM(X418:X419)</f>
        <v>0</v>
      </c>
      <c r="Y420" s="3244">
        <f>SUM(Y418:Y419)</f>
        <v>1992381238</v>
      </c>
      <c r="Z420" s="3244">
        <f>SUM(Z418:Z419)</f>
        <v>5283922742</v>
      </c>
      <c r="AA420" s="3264"/>
      <c r="AB420" s="3405"/>
      <c r="AC420" s="3406"/>
      <c r="AD420" s="3406"/>
      <c r="AE420" s="3244">
        <f>SUM(AE418:AE419)</f>
        <v>7276303980</v>
      </c>
      <c r="AF420" s="3244">
        <f>SUM(AF418:AF419)</f>
        <v>0</v>
      </c>
      <c r="AG420" s="3244">
        <f>SUM(AG418:AG419)</f>
        <v>1992381238</v>
      </c>
      <c r="AH420" s="3244">
        <f>SUM(AH418:AH419)</f>
        <v>5283922742</v>
      </c>
      <c r="AI420" s="3264"/>
      <c r="AJ420" s="3405"/>
      <c r="AK420" s="3406"/>
      <c r="AL420" s="3406"/>
      <c r="AM420" s="3244">
        <f>SUM(AM418:AM419)</f>
        <v>7276303980</v>
      </c>
      <c r="AN420" s="3244">
        <f>SUM(AN418:AN419)</f>
        <v>0</v>
      </c>
      <c r="AO420" s="3244">
        <f>SUM(AO418:AO419)</f>
        <v>1992381238</v>
      </c>
      <c r="AP420" s="3244">
        <f>SUM(AP418:AP419)</f>
        <v>5283922742</v>
      </c>
      <c r="AQ420" s="3264"/>
      <c r="AR420" s="3405"/>
      <c r="AS420" s="3406"/>
      <c r="AT420" s="3406"/>
      <c r="AU420" s="3244">
        <f>SUM(AU418:AU419)</f>
        <v>7276303980</v>
      </c>
      <c r="AV420" s="3244">
        <f>SUM(AV418:AV419)</f>
        <v>0</v>
      </c>
      <c r="AW420" s="3244">
        <f>SUM(AW418:AW419)</f>
        <v>1992381238</v>
      </c>
      <c r="AX420" s="3244">
        <f>SUM(AX418:AX419)</f>
        <v>5283922742</v>
      </c>
      <c r="AY420" s="3264"/>
      <c r="AZ420" s="3405"/>
      <c r="BA420" s="3406"/>
      <c r="BB420" s="3406"/>
      <c r="BC420" s="3244">
        <f>SUM(BC418:BC419)</f>
        <v>7276303980</v>
      </c>
      <c r="BD420" s="3244">
        <f>SUM(BD418:BD419)</f>
        <v>0</v>
      </c>
      <c r="BE420" s="3244">
        <f>SUM(BE418:BE419)</f>
        <v>1992381238</v>
      </c>
      <c r="BF420" s="3244">
        <f>SUM(BF418:BF419)</f>
        <v>5283922742</v>
      </c>
      <c r="BG420" s="3264"/>
      <c r="BH420" s="3405"/>
      <c r="BI420" s="3406"/>
      <c r="BJ420" s="3406"/>
      <c r="BK420" s="3244">
        <f>SUM(BK418:BK419)</f>
        <v>7276303980</v>
      </c>
      <c r="BL420" s="3244">
        <f>SUM(BL418:BL419)</f>
        <v>0</v>
      </c>
      <c r="BM420" s="3244">
        <f>SUM(BM418:BM419)</f>
        <v>1992381238</v>
      </c>
      <c r="BN420" s="3244">
        <f>SUM(BN418:BN419)</f>
        <v>5283922742</v>
      </c>
      <c r="BO420" s="3264"/>
      <c r="BP420" s="3405"/>
      <c r="BQ420" s="3406"/>
      <c r="BR420" s="3406"/>
      <c r="BS420" s="3244">
        <f>SUM(BS418:BS419)</f>
        <v>7276303980</v>
      </c>
      <c r="BT420" s="3244">
        <f>SUM(BT418:BT419)</f>
        <v>0</v>
      </c>
      <c r="BU420" s="3244">
        <f>SUM(BU418:BU419)</f>
        <v>1992381238</v>
      </c>
      <c r="BV420" s="3244">
        <f>SUM(BV418:BV419)</f>
        <v>5283922742</v>
      </c>
      <c r="BW420" s="3264"/>
      <c r="BX420" s="3405"/>
      <c r="BY420" s="3406"/>
      <c r="BZ420" s="3406"/>
      <c r="CA420" s="3244">
        <f>SUM(CA418:CA419)</f>
        <v>7276303980</v>
      </c>
      <c r="CB420" s="3244">
        <f>SUM(CB418:CB419)</f>
        <v>0</v>
      </c>
      <c r="CC420" s="3244">
        <f>SUM(CC418:CC419)</f>
        <v>1992381238</v>
      </c>
      <c r="CD420" s="3244">
        <f>SUM(CD418:CD419)</f>
        <v>5283922742</v>
      </c>
      <c r="CE420" s="3264"/>
      <c r="CF420" s="3405"/>
      <c r="CG420" s="3406"/>
      <c r="CH420" s="3406"/>
      <c r="CI420" s="3244">
        <f>SUM(CI418:CI419)</f>
        <v>7276303980</v>
      </c>
      <c r="CJ420" s="3244">
        <f>SUM(CJ418:CJ419)</f>
        <v>0</v>
      </c>
      <c r="CK420" s="3244">
        <f>SUM(CK418:CK419)</f>
        <v>1992381238</v>
      </c>
      <c r="CL420" s="3244">
        <f>SUM(CL418:CL419)</f>
        <v>5283922742</v>
      </c>
      <c r="CM420" s="3264"/>
      <c r="CN420" s="3405"/>
      <c r="CO420" s="3406"/>
      <c r="CP420" s="3406"/>
      <c r="CQ420" s="3244">
        <f>SUM(CQ418:CQ419)</f>
        <v>7276303980</v>
      </c>
      <c r="CR420" s="3244">
        <f>SUM(CR418:CR419)</f>
        <v>0</v>
      </c>
      <c r="CS420" s="3244">
        <f>SUM(CS418:CS419)</f>
        <v>1992381238</v>
      </c>
      <c r="CT420" s="3244">
        <f>SUM(CT418:CT419)</f>
        <v>5283922742</v>
      </c>
      <c r="CU420" s="3264"/>
      <c r="CV420" s="3405"/>
      <c r="CW420" s="3406"/>
      <c r="CX420" s="3406"/>
      <c r="CY420" s="3244">
        <f>SUM(CY418:CY419)</f>
        <v>7276303980</v>
      </c>
      <c r="CZ420" s="3244">
        <f>SUM(CZ418:CZ419)</f>
        <v>0</v>
      </c>
      <c r="DA420" s="3244">
        <f>SUM(DA418:DA419)</f>
        <v>1992381238</v>
      </c>
      <c r="DB420" s="3244">
        <f>SUM(DB418:DB419)</f>
        <v>5283922742</v>
      </c>
      <c r="DC420" s="3264"/>
      <c r="DD420" s="3405"/>
      <c r="DE420" s="3406"/>
      <c r="DF420" s="3406"/>
      <c r="DG420" s="3244">
        <f>SUM(DG418:DG419)</f>
        <v>7276303980</v>
      </c>
      <c r="DH420" s="3244">
        <f>SUM(DH418:DH419)</f>
        <v>0</v>
      </c>
      <c r="DI420" s="3244">
        <f>SUM(DI418:DI419)</f>
        <v>1992381238</v>
      </c>
      <c r="DJ420" s="3244">
        <f>SUM(DJ418:DJ419)</f>
        <v>5283922742</v>
      </c>
      <c r="DK420" s="3264"/>
      <c r="DL420" s="3405"/>
      <c r="DM420" s="3406"/>
      <c r="DN420" s="3406"/>
      <c r="DO420" s="3244">
        <f>SUM(DO418:DO419)</f>
        <v>7276303980</v>
      </c>
      <c r="DP420" s="3244">
        <f>SUM(DP418:DP419)</f>
        <v>0</v>
      </c>
      <c r="DQ420" s="3244">
        <f>SUM(DQ418:DQ419)</f>
        <v>1992381238</v>
      </c>
      <c r="DR420" s="3244">
        <f>SUM(DR418:DR419)</f>
        <v>5283922742</v>
      </c>
      <c r="DS420" s="3264"/>
      <c r="DT420" s="3405"/>
      <c r="DU420" s="3406"/>
      <c r="DV420" s="3406"/>
      <c r="DW420" s="3244">
        <f>SUM(DW418:DW419)</f>
        <v>7276303980</v>
      </c>
      <c r="DX420" s="3244">
        <f>SUM(DX418:DX419)</f>
        <v>0</v>
      </c>
      <c r="DY420" s="3244">
        <f>SUM(DY418:DY419)</f>
        <v>1992381238</v>
      </c>
      <c r="DZ420" s="3244">
        <f>SUM(DZ418:DZ419)</f>
        <v>5283922742</v>
      </c>
      <c r="EA420" s="3264"/>
      <c r="EB420" s="3405"/>
      <c r="EC420" s="3406"/>
      <c r="ED420" s="3406"/>
      <c r="EE420" s="3244">
        <f>SUM(EE418:EE419)</f>
        <v>7276303980</v>
      </c>
      <c r="EF420" s="3244">
        <f>SUM(EF418:EF419)</f>
        <v>0</v>
      </c>
      <c r="EG420" s="3244">
        <f>SUM(EG418:EG419)</f>
        <v>1992381238</v>
      </c>
      <c r="EH420" s="3244">
        <f>SUM(EH418:EH419)</f>
        <v>5283922742</v>
      </c>
      <c r="EI420" s="3264"/>
      <c r="EJ420" s="3405"/>
      <c r="EK420" s="3406"/>
      <c r="EL420" s="3406"/>
      <c r="EM420" s="3244">
        <f>SUM(EM418:EM419)</f>
        <v>7276303980</v>
      </c>
      <c r="EN420" s="3244">
        <f>SUM(EN418:EN419)</f>
        <v>0</v>
      </c>
      <c r="EO420" s="3244">
        <f>SUM(EO418:EO419)</f>
        <v>1992381238</v>
      </c>
      <c r="EP420" s="3244">
        <f>SUM(EP418:EP419)</f>
        <v>5283922742</v>
      </c>
      <c r="EQ420" s="3264"/>
      <c r="ER420" s="3405"/>
      <c r="ES420" s="3406"/>
      <c r="ET420" s="3406"/>
      <c r="EU420" s="3244">
        <f>SUM(EU418:EU419)</f>
        <v>7276303980</v>
      </c>
      <c r="EV420" s="3244">
        <f>SUM(EV418:EV419)</f>
        <v>0</v>
      </c>
      <c r="EW420" s="3244">
        <f>SUM(EW418:EW419)</f>
        <v>1992381238</v>
      </c>
      <c r="EX420" s="3244">
        <f>SUM(EX418:EX419)</f>
        <v>5283922742</v>
      </c>
      <c r="EY420" s="3264"/>
      <c r="EZ420" s="3405"/>
      <c r="FA420" s="3406"/>
      <c r="FB420" s="3406"/>
      <c r="FC420" s="3244">
        <f>SUM(FC418:FC419)</f>
        <v>7276303980</v>
      </c>
      <c r="FD420" s="3244">
        <f>SUM(FD418:FD419)</f>
        <v>0</v>
      </c>
      <c r="FE420" s="3244">
        <f>SUM(FE418:FE419)</f>
        <v>1992381238</v>
      </c>
      <c r="FF420" s="3244">
        <f>SUM(FF418:FF419)</f>
        <v>5283922742</v>
      </c>
      <c r="FG420" s="3264"/>
      <c r="FH420" s="3405"/>
      <c r="FI420" s="3406"/>
      <c r="FJ420" s="3406"/>
      <c r="FK420" s="3244">
        <f>SUM(FK418:FK419)</f>
        <v>7276303980</v>
      </c>
      <c r="FL420" s="3244">
        <f>SUM(FL418:FL419)</f>
        <v>0</v>
      </c>
      <c r="FM420" s="3244">
        <f>SUM(FM418:FM419)</f>
        <v>1992381238</v>
      </c>
      <c r="FN420" s="3244">
        <f>SUM(FN418:FN419)</f>
        <v>5283922742</v>
      </c>
      <c r="FO420" s="3264"/>
    </row>
    <row r="421" spans="2:171">
      <c r="B421" s="3114"/>
      <c r="C421" s="3114" t="s">
        <v>342</v>
      </c>
      <c r="D421" s="3407" t="s">
        <v>627</v>
      </c>
      <c r="E421" s="3139"/>
      <c r="F421" s="3412"/>
      <c r="G421" s="3402">
        <f>H421+I421+J421</f>
        <v>1</v>
      </c>
      <c r="H421" s="3402">
        <f>IF($G420=0,0,H420/G420)</f>
        <v>0</v>
      </c>
      <c r="I421" s="3402">
        <f>IF($G420=0,0,I420/G420)</f>
        <v>0</v>
      </c>
      <c r="J421" s="3402">
        <f>IF($G420=0,0,J420/G420)</f>
        <v>1</v>
      </c>
      <c r="K421" s="3411"/>
      <c r="L421" s="3403" t="s">
        <v>627</v>
      </c>
      <c r="M421" s="3412"/>
      <c r="N421" s="3412"/>
      <c r="O421" s="3402">
        <f>P421+Q421+R421</f>
        <v>1</v>
      </c>
      <c r="P421" s="3402">
        <f>IF($G420=0,0,P420/O420)</f>
        <v>0</v>
      </c>
      <c r="Q421" s="3402">
        <f>IF($G420=0,0,Q420/O420)</f>
        <v>0.2738177574049071</v>
      </c>
      <c r="R421" s="3402">
        <f>IF($G420=0,0,R420/O420)</f>
        <v>0.7261822425950929</v>
      </c>
      <c r="S421" s="3411"/>
      <c r="T421" s="3403" t="s">
        <v>627</v>
      </c>
      <c r="U421" s="3412"/>
      <c r="V421" s="3412"/>
      <c r="W421" s="3402">
        <f>X421+Y421+Z421</f>
        <v>1</v>
      </c>
      <c r="X421" s="3402">
        <f>IF($G420=0,0,X420/W420)</f>
        <v>0</v>
      </c>
      <c r="Y421" s="3402">
        <f>IF($G420=0,0,Y420/W420)</f>
        <v>0.2738177574049071</v>
      </c>
      <c r="Z421" s="3402">
        <f>IF($G420=0,0,Z420/W420)</f>
        <v>0.7261822425950929</v>
      </c>
      <c r="AA421" s="3411"/>
      <c r="AB421" s="3403" t="s">
        <v>627</v>
      </c>
      <c r="AC421" s="3412"/>
      <c r="AD421" s="3412"/>
      <c r="AE421" s="3402">
        <f>AF421+AG421+AH421</f>
        <v>1</v>
      </c>
      <c r="AF421" s="3402">
        <f>IF($G420=0,0,AF420/AE420)</f>
        <v>0</v>
      </c>
      <c r="AG421" s="3402">
        <f>IF($G420=0,0,AG420/AE420)</f>
        <v>0.2738177574049071</v>
      </c>
      <c r="AH421" s="3402">
        <f>IF($G420=0,0,AH420/AE420)</f>
        <v>0.7261822425950929</v>
      </c>
      <c r="AI421" s="3411"/>
      <c r="AJ421" s="3403" t="s">
        <v>627</v>
      </c>
      <c r="AK421" s="3412"/>
      <c r="AL421" s="3412"/>
      <c r="AM421" s="3402">
        <f>AN421+AO421+AP421</f>
        <v>1</v>
      </c>
      <c r="AN421" s="3402">
        <f>IF($G420=0,0,AN420/AM420)</f>
        <v>0</v>
      </c>
      <c r="AO421" s="3402">
        <f>IF($G420=0,0,AO420/AM420)</f>
        <v>0.2738177574049071</v>
      </c>
      <c r="AP421" s="3402">
        <f>IF($G420=0,0,AP420/AM420)</f>
        <v>0.7261822425950929</v>
      </c>
      <c r="AQ421" s="3411"/>
      <c r="AR421" s="3403" t="s">
        <v>627</v>
      </c>
      <c r="AS421" s="3412"/>
      <c r="AT421" s="3412"/>
      <c r="AU421" s="3402">
        <f>AV421+AW421+AX421</f>
        <v>1</v>
      </c>
      <c r="AV421" s="3402">
        <f>IF($G420=0,0,AV420/AU420)</f>
        <v>0</v>
      </c>
      <c r="AW421" s="3402">
        <f>IF($G420=0,0,AW420/AU420)</f>
        <v>0.2738177574049071</v>
      </c>
      <c r="AX421" s="3402">
        <f>IF($G420=0,0,AX420/AU420)</f>
        <v>0.7261822425950929</v>
      </c>
      <c r="AY421" s="3411"/>
      <c r="AZ421" s="3403" t="s">
        <v>627</v>
      </c>
      <c r="BA421" s="3412"/>
      <c r="BB421" s="3412"/>
      <c r="BC421" s="3402">
        <f>BD421+BE421+BF421</f>
        <v>1</v>
      </c>
      <c r="BD421" s="3402">
        <f>IF($G420=0,0,BD420/BC420)</f>
        <v>0</v>
      </c>
      <c r="BE421" s="3402">
        <f>IF($G420=0,0,BE420/BC420)</f>
        <v>0.2738177574049071</v>
      </c>
      <c r="BF421" s="3402">
        <f>IF($G420=0,0,BF420/BC420)</f>
        <v>0.7261822425950929</v>
      </c>
      <c r="BG421" s="3411"/>
      <c r="BH421" s="3403" t="s">
        <v>627</v>
      </c>
      <c r="BI421" s="3412"/>
      <c r="BJ421" s="3412"/>
      <c r="BK421" s="3402">
        <f>BL421+BM421+BN421</f>
        <v>1</v>
      </c>
      <c r="BL421" s="3402">
        <f>IF($G420=0,0,BL420/BK420)</f>
        <v>0</v>
      </c>
      <c r="BM421" s="3402">
        <f>IF($G420=0,0,BM420/BK420)</f>
        <v>0.2738177574049071</v>
      </c>
      <c r="BN421" s="3402">
        <f>IF($G420=0,0,BN420/BK420)</f>
        <v>0.7261822425950929</v>
      </c>
      <c r="BO421" s="3411"/>
      <c r="BP421" s="3403" t="s">
        <v>627</v>
      </c>
      <c r="BQ421" s="3412"/>
      <c r="BR421" s="3412"/>
      <c r="BS421" s="3402">
        <f>BT421+BU421+BV421</f>
        <v>1</v>
      </c>
      <c r="BT421" s="3402">
        <f>IF($G420=0,0,BT420/BS420)</f>
        <v>0</v>
      </c>
      <c r="BU421" s="3402">
        <f>IF($G420=0,0,BU420/BS420)</f>
        <v>0.2738177574049071</v>
      </c>
      <c r="BV421" s="3402">
        <f>IF($G420=0,0,BV420/BS420)</f>
        <v>0.7261822425950929</v>
      </c>
      <c r="BW421" s="3411"/>
      <c r="BX421" s="3403" t="s">
        <v>627</v>
      </c>
      <c r="BY421" s="3412"/>
      <c r="BZ421" s="3412"/>
      <c r="CA421" s="3402">
        <f>CB421+CC421+CD421</f>
        <v>1</v>
      </c>
      <c r="CB421" s="3402">
        <f>IF($G420=0,0,CB420/CA420)</f>
        <v>0</v>
      </c>
      <c r="CC421" s="3402">
        <f>IF($G420=0,0,CC420/CA420)</f>
        <v>0.2738177574049071</v>
      </c>
      <c r="CD421" s="3402">
        <f>IF($G420=0,0,CD420/CA420)</f>
        <v>0.7261822425950929</v>
      </c>
      <c r="CE421" s="3411"/>
      <c r="CF421" s="3403" t="s">
        <v>627</v>
      </c>
      <c r="CG421" s="3412"/>
      <c r="CH421" s="3412"/>
      <c r="CI421" s="3402">
        <f>CJ421+CK421+CL421</f>
        <v>1</v>
      </c>
      <c r="CJ421" s="3402">
        <f>IF($G420=0,0,CJ420/CI420)</f>
        <v>0</v>
      </c>
      <c r="CK421" s="3402">
        <f>IF($G420=0,0,CK420/CI420)</f>
        <v>0.2738177574049071</v>
      </c>
      <c r="CL421" s="3402">
        <f>IF($G420=0,0,CL420/CI420)</f>
        <v>0.7261822425950929</v>
      </c>
      <c r="CM421" s="3411"/>
      <c r="CN421" s="3403" t="s">
        <v>627</v>
      </c>
      <c r="CO421" s="3412"/>
      <c r="CP421" s="3412"/>
      <c r="CQ421" s="3402">
        <f>CR421+CS421+CT421</f>
        <v>1</v>
      </c>
      <c r="CR421" s="3402">
        <f>IF($G420=0,0,CR420/CQ420)</f>
        <v>0</v>
      </c>
      <c r="CS421" s="3402">
        <f>IF($G420=0,0,CS420/CQ420)</f>
        <v>0.2738177574049071</v>
      </c>
      <c r="CT421" s="3402">
        <f>IF($G420=0,0,CT420/CQ420)</f>
        <v>0.7261822425950929</v>
      </c>
      <c r="CU421" s="3411"/>
      <c r="CV421" s="3403" t="s">
        <v>627</v>
      </c>
      <c r="CW421" s="3412"/>
      <c r="CX421" s="3412"/>
      <c r="CY421" s="3402">
        <f>CZ421+DA421+DB421</f>
        <v>1</v>
      </c>
      <c r="CZ421" s="3402">
        <f>IF($G420=0,0,CZ420/CY420)</f>
        <v>0</v>
      </c>
      <c r="DA421" s="3402">
        <f>IF($G420=0,0,DA420/CY420)</f>
        <v>0.2738177574049071</v>
      </c>
      <c r="DB421" s="3402">
        <f>IF($G420=0,0,DB420/CY420)</f>
        <v>0.7261822425950929</v>
      </c>
      <c r="DC421" s="3411"/>
      <c r="DD421" s="3403" t="s">
        <v>627</v>
      </c>
      <c r="DE421" s="3412"/>
      <c r="DF421" s="3412"/>
      <c r="DG421" s="3402">
        <f>DH421+DI421+DJ421</f>
        <v>1</v>
      </c>
      <c r="DH421" s="3402">
        <f>IF($G420=0,0,DH420/DG420)</f>
        <v>0</v>
      </c>
      <c r="DI421" s="3402">
        <f>IF($G420=0,0,DI420/DG420)</f>
        <v>0.2738177574049071</v>
      </c>
      <c r="DJ421" s="3402">
        <f>IF($G420=0,0,DJ420/DG420)</f>
        <v>0.7261822425950929</v>
      </c>
      <c r="DK421" s="3411"/>
      <c r="DL421" s="3403" t="s">
        <v>627</v>
      </c>
      <c r="DM421" s="3412"/>
      <c r="DN421" s="3412"/>
      <c r="DO421" s="3402">
        <f>DP421+DQ421+DR421</f>
        <v>1</v>
      </c>
      <c r="DP421" s="3402">
        <f>IF($G420=0,0,DP420/DO420)</f>
        <v>0</v>
      </c>
      <c r="DQ421" s="3402">
        <f>IF($G420=0,0,DQ420/DO420)</f>
        <v>0.2738177574049071</v>
      </c>
      <c r="DR421" s="3402">
        <f>IF($G420=0,0,DR420/DO420)</f>
        <v>0.7261822425950929</v>
      </c>
      <c r="DS421" s="3411"/>
      <c r="DT421" s="3403" t="s">
        <v>627</v>
      </c>
      <c r="DU421" s="3412"/>
      <c r="DV421" s="3412"/>
      <c r="DW421" s="3402">
        <f>DX421+DY421+DZ421</f>
        <v>1</v>
      </c>
      <c r="DX421" s="3402">
        <f>IF($G420=0,0,DX420/DW420)</f>
        <v>0</v>
      </c>
      <c r="DY421" s="3402">
        <f>IF($G420=0,0,DY420/DW420)</f>
        <v>0.2738177574049071</v>
      </c>
      <c r="DZ421" s="3402">
        <f>IF($G420=0,0,DZ420/DW420)</f>
        <v>0.7261822425950929</v>
      </c>
      <c r="EA421" s="3411"/>
      <c r="EB421" s="3403" t="s">
        <v>627</v>
      </c>
      <c r="EC421" s="3412"/>
      <c r="ED421" s="3412"/>
      <c r="EE421" s="3402">
        <f>EF421+EG421+EH421</f>
        <v>1</v>
      </c>
      <c r="EF421" s="3402">
        <f>IF($G420=0,0,EF420/EE420)</f>
        <v>0</v>
      </c>
      <c r="EG421" s="3402">
        <f>IF($G420=0,0,EG420/EE420)</f>
        <v>0.2738177574049071</v>
      </c>
      <c r="EH421" s="3402">
        <f>IF($G420=0,0,EH420/EE420)</f>
        <v>0.7261822425950929</v>
      </c>
      <c r="EI421" s="3411"/>
      <c r="EJ421" s="3403" t="s">
        <v>627</v>
      </c>
      <c r="EK421" s="3412"/>
      <c r="EL421" s="3412"/>
      <c r="EM421" s="3402">
        <f>EN421+EO421+EP421</f>
        <v>1</v>
      </c>
      <c r="EN421" s="3402">
        <f>IF($G420=0,0,EN420/EM420)</f>
        <v>0</v>
      </c>
      <c r="EO421" s="3402">
        <f>IF($G420=0,0,EO420/EM420)</f>
        <v>0.2738177574049071</v>
      </c>
      <c r="EP421" s="3402">
        <f>IF($G420=0,0,EP420/EM420)</f>
        <v>0.7261822425950929</v>
      </c>
      <c r="EQ421" s="3411"/>
      <c r="ER421" s="3403" t="s">
        <v>627</v>
      </c>
      <c r="ES421" s="3412"/>
      <c r="ET421" s="3412"/>
      <c r="EU421" s="3402">
        <f>EV421+EW421+EX421</f>
        <v>1</v>
      </c>
      <c r="EV421" s="3402">
        <f>IF($G420=0,0,EV420/EU420)</f>
        <v>0</v>
      </c>
      <c r="EW421" s="3402">
        <f>IF($G420=0,0,EW420/EU420)</f>
        <v>0.2738177574049071</v>
      </c>
      <c r="EX421" s="3402">
        <f>IF($G420=0,0,EX420/EU420)</f>
        <v>0.7261822425950929</v>
      </c>
      <c r="EY421" s="3411"/>
      <c r="EZ421" s="3403" t="s">
        <v>627</v>
      </c>
      <c r="FA421" s="3412"/>
      <c r="FB421" s="3412"/>
      <c r="FC421" s="3402">
        <f>FD421+FE421+FF421</f>
        <v>1</v>
      </c>
      <c r="FD421" s="3402">
        <f>IF($G420=0,0,FD420/FC420)</f>
        <v>0</v>
      </c>
      <c r="FE421" s="3402">
        <f>IF($G420=0,0,FE420/FC420)</f>
        <v>0.2738177574049071</v>
      </c>
      <c r="FF421" s="3402">
        <f>IF($G420=0,0,FF420/FC420)</f>
        <v>0.7261822425950929</v>
      </c>
      <c r="FG421" s="3411"/>
      <c r="FH421" s="3403" t="s">
        <v>627</v>
      </c>
      <c r="FI421" s="3412"/>
      <c r="FJ421" s="3412"/>
      <c r="FK421" s="3402">
        <f>FL421+FM421+FN421</f>
        <v>1</v>
      </c>
      <c r="FL421" s="3402">
        <f>IF($G420=0,0,FL420/FK420)</f>
        <v>0</v>
      </c>
      <c r="FM421" s="3402">
        <f>IF($G420=0,0,FM420/FK420)</f>
        <v>0.2738177574049071</v>
      </c>
      <c r="FN421" s="3402">
        <f>IF($G420=0,0,FN420/FK420)</f>
        <v>0.7261822425950929</v>
      </c>
      <c r="FO421" s="3411"/>
    </row>
    <row r="422" spans="2:171">
      <c r="K422" s="3264"/>
      <c r="S422" s="3264"/>
      <c r="AA422" s="3264"/>
      <c r="AI422" s="3264"/>
      <c r="AQ422" s="3264"/>
      <c r="AY422" s="3264"/>
      <c r="BG422" s="3264"/>
      <c r="BO422" s="3264"/>
      <c r="BW422" s="3264"/>
      <c r="CE422" s="3264"/>
      <c r="CM422" s="3264"/>
      <c r="CU422" s="3264"/>
      <c r="DC422" s="3264"/>
      <c r="DK422" s="3264"/>
      <c r="DS422" s="3264"/>
      <c r="EA422" s="3264"/>
      <c r="EI422" s="3264"/>
      <c r="EQ422" s="3264"/>
      <c r="EY422" s="3264"/>
      <c r="FG422" s="3264"/>
      <c r="FO422" s="3264"/>
    </row>
    <row r="423" spans="2:171">
      <c r="E423" s="3090" t="s">
        <v>520</v>
      </c>
      <c r="G423" s="3091" t="s">
        <v>104</v>
      </c>
      <c r="H423" s="3091" t="s">
        <v>105</v>
      </c>
      <c r="I423" s="3091" t="s">
        <v>106</v>
      </c>
      <c r="J423" s="3092" t="s">
        <v>511</v>
      </c>
      <c r="K423" s="3411"/>
      <c r="O423" s="3091" t="s">
        <v>104</v>
      </c>
      <c r="P423" s="3091" t="s">
        <v>105</v>
      </c>
      <c r="Q423" s="3091" t="s">
        <v>106</v>
      </c>
      <c r="R423" s="3092" t="s">
        <v>511</v>
      </c>
      <c r="S423" s="3411"/>
      <c r="W423" s="3091" t="s">
        <v>104</v>
      </c>
      <c r="X423" s="3091" t="s">
        <v>105</v>
      </c>
      <c r="Y423" s="3091" t="s">
        <v>106</v>
      </c>
      <c r="Z423" s="3092" t="s">
        <v>511</v>
      </c>
      <c r="AA423" s="3411"/>
      <c r="AE423" s="3091" t="s">
        <v>104</v>
      </c>
      <c r="AF423" s="3091" t="s">
        <v>105</v>
      </c>
      <c r="AG423" s="3091" t="s">
        <v>106</v>
      </c>
      <c r="AH423" s="3092" t="s">
        <v>511</v>
      </c>
      <c r="AI423" s="3411"/>
      <c r="AM423" s="3091" t="s">
        <v>104</v>
      </c>
      <c r="AN423" s="3091" t="s">
        <v>105</v>
      </c>
      <c r="AO423" s="3091" t="s">
        <v>106</v>
      </c>
      <c r="AP423" s="3092" t="s">
        <v>511</v>
      </c>
      <c r="AQ423" s="3411"/>
      <c r="AU423" s="3091" t="s">
        <v>104</v>
      </c>
      <c r="AV423" s="3091" t="s">
        <v>105</v>
      </c>
      <c r="AW423" s="3091" t="s">
        <v>106</v>
      </c>
      <c r="AX423" s="3092" t="s">
        <v>511</v>
      </c>
      <c r="AY423" s="3411"/>
      <c r="BC423" s="3091" t="s">
        <v>104</v>
      </c>
      <c r="BD423" s="3091" t="s">
        <v>105</v>
      </c>
      <c r="BE423" s="3091" t="s">
        <v>106</v>
      </c>
      <c r="BF423" s="3092" t="s">
        <v>511</v>
      </c>
      <c r="BG423" s="3411"/>
      <c r="BK423" s="3091" t="s">
        <v>104</v>
      </c>
      <c r="BL423" s="3091" t="s">
        <v>105</v>
      </c>
      <c r="BM423" s="3091" t="s">
        <v>106</v>
      </c>
      <c r="BN423" s="3092" t="s">
        <v>511</v>
      </c>
      <c r="BO423" s="3411"/>
      <c r="BS423" s="3091" t="s">
        <v>104</v>
      </c>
      <c r="BT423" s="3091" t="s">
        <v>105</v>
      </c>
      <c r="BU423" s="3091" t="s">
        <v>106</v>
      </c>
      <c r="BV423" s="3092" t="s">
        <v>511</v>
      </c>
      <c r="BW423" s="3411"/>
      <c r="CA423" s="3091" t="s">
        <v>104</v>
      </c>
      <c r="CB423" s="3091" t="s">
        <v>105</v>
      </c>
      <c r="CC423" s="3091" t="s">
        <v>106</v>
      </c>
      <c r="CD423" s="3092" t="s">
        <v>511</v>
      </c>
      <c r="CE423" s="3411"/>
      <c r="CI423" s="3091" t="s">
        <v>104</v>
      </c>
      <c r="CJ423" s="3091" t="s">
        <v>105</v>
      </c>
      <c r="CK423" s="3091" t="s">
        <v>106</v>
      </c>
      <c r="CL423" s="3092" t="s">
        <v>511</v>
      </c>
      <c r="CM423" s="3411"/>
      <c r="CQ423" s="3091" t="s">
        <v>104</v>
      </c>
      <c r="CR423" s="3091" t="s">
        <v>105</v>
      </c>
      <c r="CS423" s="3091" t="s">
        <v>106</v>
      </c>
      <c r="CT423" s="3092" t="s">
        <v>511</v>
      </c>
      <c r="CU423" s="3411"/>
      <c r="CY423" s="3091" t="s">
        <v>104</v>
      </c>
      <c r="CZ423" s="3091" t="s">
        <v>105</v>
      </c>
      <c r="DA423" s="3091" t="s">
        <v>106</v>
      </c>
      <c r="DB423" s="3092" t="s">
        <v>511</v>
      </c>
      <c r="DC423" s="3411"/>
      <c r="DG423" s="3091" t="s">
        <v>104</v>
      </c>
      <c r="DH423" s="3091" t="s">
        <v>105</v>
      </c>
      <c r="DI423" s="3091" t="s">
        <v>106</v>
      </c>
      <c r="DJ423" s="3092" t="s">
        <v>511</v>
      </c>
      <c r="DK423" s="3411"/>
      <c r="DO423" s="3091" t="s">
        <v>104</v>
      </c>
      <c r="DP423" s="3091" t="s">
        <v>105</v>
      </c>
      <c r="DQ423" s="3091" t="s">
        <v>106</v>
      </c>
      <c r="DR423" s="3092" t="s">
        <v>511</v>
      </c>
      <c r="DS423" s="3411"/>
      <c r="DW423" s="3091" t="s">
        <v>104</v>
      </c>
      <c r="DX423" s="3091" t="s">
        <v>105</v>
      </c>
      <c r="DY423" s="3091" t="s">
        <v>106</v>
      </c>
      <c r="DZ423" s="3092" t="s">
        <v>511</v>
      </c>
      <c r="EA423" s="3411"/>
      <c r="EE423" s="3091" t="s">
        <v>104</v>
      </c>
      <c r="EF423" s="3091" t="s">
        <v>105</v>
      </c>
      <c r="EG423" s="3091" t="s">
        <v>106</v>
      </c>
      <c r="EH423" s="3092" t="s">
        <v>511</v>
      </c>
      <c r="EI423" s="3411"/>
      <c r="EM423" s="3091" t="s">
        <v>104</v>
      </c>
      <c r="EN423" s="3091" t="s">
        <v>105</v>
      </c>
      <c r="EO423" s="3091" t="s">
        <v>106</v>
      </c>
      <c r="EP423" s="3092" t="s">
        <v>511</v>
      </c>
      <c r="EQ423" s="3411"/>
      <c r="EU423" s="3091" t="s">
        <v>104</v>
      </c>
      <c r="EV423" s="3091" t="s">
        <v>105</v>
      </c>
      <c r="EW423" s="3091" t="s">
        <v>106</v>
      </c>
      <c r="EX423" s="3092" t="s">
        <v>511</v>
      </c>
      <c r="EY423" s="3411"/>
      <c r="FC423" s="3091" t="s">
        <v>104</v>
      </c>
      <c r="FD423" s="3091" t="s">
        <v>105</v>
      </c>
      <c r="FE423" s="3091" t="s">
        <v>106</v>
      </c>
      <c r="FF423" s="3092" t="s">
        <v>511</v>
      </c>
      <c r="FG423" s="3411"/>
      <c r="FK423" s="3091" t="s">
        <v>104</v>
      </c>
      <c r="FL423" s="3091" t="s">
        <v>105</v>
      </c>
      <c r="FM423" s="3091" t="s">
        <v>106</v>
      </c>
      <c r="FN423" s="3092" t="s">
        <v>511</v>
      </c>
      <c r="FO423" s="3411"/>
    </row>
    <row r="424" spans="2:171">
      <c r="C424" s="3086" t="s">
        <v>121</v>
      </c>
      <c r="D424" s="3405"/>
      <c r="E424" s="3234" t="s">
        <v>391</v>
      </c>
      <c r="G424" s="2424">
        <f>G403</f>
        <v>1992381238</v>
      </c>
      <c r="H424" s="2424">
        <f t="shared" ref="H424:J425" si="1566">H403</f>
        <v>0</v>
      </c>
      <c r="I424" s="2424">
        <f t="shared" si="1566"/>
        <v>0</v>
      </c>
      <c r="J424" s="2424">
        <f t="shared" si="1566"/>
        <v>1992381238</v>
      </c>
      <c r="K424" s="3264">
        <f t="shared" ref="K424:K429" si="1567">IF($E424="DIRECT",0,1)</f>
        <v>1</v>
      </c>
      <c r="L424" s="3405"/>
      <c r="N424" s="3406"/>
      <c r="O424" s="2424">
        <f>O403</f>
        <v>1992381238</v>
      </c>
      <c r="P424" s="2424">
        <f t="shared" ref="P424:R424" si="1568">P403</f>
        <v>0</v>
      </c>
      <c r="Q424" s="2424">
        <f t="shared" si="1568"/>
        <v>1992381238</v>
      </c>
      <c r="R424" s="2424">
        <f t="shared" si="1568"/>
        <v>0</v>
      </c>
      <c r="S424" s="3264"/>
      <c r="T424" s="3405"/>
      <c r="V424" s="3406"/>
      <c r="W424" s="2424">
        <f>W403</f>
        <v>1992381238</v>
      </c>
      <c r="X424" s="2424">
        <f t="shared" ref="X424:Z424" si="1569">X403</f>
        <v>0</v>
      </c>
      <c r="Y424" s="2424">
        <f t="shared" si="1569"/>
        <v>1992381238</v>
      </c>
      <c r="Z424" s="2424">
        <f t="shared" si="1569"/>
        <v>0</v>
      </c>
      <c r="AA424" s="3264"/>
      <c r="AB424" s="3405"/>
      <c r="AD424" s="3406"/>
      <c r="AE424" s="2424">
        <f>AE403</f>
        <v>1992381238</v>
      </c>
      <c r="AF424" s="2424">
        <f t="shared" ref="AF424:AH424" si="1570">AF403</f>
        <v>0</v>
      </c>
      <c r="AG424" s="2424">
        <f t="shared" si="1570"/>
        <v>1992381238</v>
      </c>
      <c r="AH424" s="2424">
        <f t="shared" si="1570"/>
        <v>0</v>
      </c>
      <c r="AI424" s="3264"/>
      <c r="AJ424" s="3405"/>
      <c r="AL424" s="3406"/>
      <c r="AM424" s="2424">
        <f>AM403</f>
        <v>1992381238</v>
      </c>
      <c r="AN424" s="2424">
        <f t="shared" ref="AN424:AP424" si="1571">AN403</f>
        <v>0</v>
      </c>
      <c r="AO424" s="2424">
        <f t="shared" si="1571"/>
        <v>1992381238</v>
      </c>
      <c r="AP424" s="2424">
        <f t="shared" si="1571"/>
        <v>0</v>
      </c>
      <c r="AQ424" s="3264"/>
      <c r="AR424" s="3405"/>
      <c r="AT424" s="3406"/>
      <c r="AU424" s="2424">
        <f>AU403</f>
        <v>1992381238</v>
      </c>
      <c r="AV424" s="2424">
        <f t="shared" ref="AV424:AX424" si="1572">AV403</f>
        <v>0</v>
      </c>
      <c r="AW424" s="2424">
        <f t="shared" si="1572"/>
        <v>1992381238</v>
      </c>
      <c r="AX424" s="2424">
        <f t="shared" si="1572"/>
        <v>0</v>
      </c>
      <c r="AY424" s="3264"/>
      <c r="AZ424" s="3405"/>
      <c r="BB424" s="3406"/>
      <c r="BC424" s="2424">
        <f>BC403</f>
        <v>1992381238</v>
      </c>
      <c r="BD424" s="2424">
        <f t="shared" ref="BD424:BF424" si="1573">BD403</f>
        <v>0</v>
      </c>
      <c r="BE424" s="2424">
        <f t="shared" si="1573"/>
        <v>1992381238</v>
      </c>
      <c r="BF424" s="2424">
        <f t="shared" si="1573"/>
        <v>0</v>
      </c>
      <c r="BG424" s="3264"/>
      <c r="BH424" s="3405"/>
      <c r="BJ424" s="3406"/>
      <c r="BK424" s="2424">
        <f>BK403</f>
        <v>1992381238</v>
      </c>
      <c r="BL424" s="2424">
        <f t="shared" ref="BL424:BN424" si="1574">BL403</f>
        <v>0</v>
      </c>
      <c r="BM424" s="2424">
        <f t="shared" si="1574"/>
        <v>1992381238</v>
      </c>
      <c r="BN424" s="2424">
        <f t="shared" si="1574"/>
        <v>0</v>
      </c>
      <c r="BO424" s="3264"/>
      <c r="BP424" s="3405"/>
      <c r="BR424" s="3406"/>
      <c r="BS424" s="2424">
        <f>BS403</f>
        <v>1992381238</v>
      </c>
      <c r="BT424" s="2424">
        <f t="shared" ref="BT424:BV424" si="1575">BT403</f>
        <v>0</v>
      </c>
      <c r="BU424" s="2424">
        <f t="shared" si="1575"/>
        <v>1992381238</v>
      </c>
      <c r="BV424" s="2424">
        <f t="shared" si="1575"/>
        <v>0</v>
      </c>
      <c r="BW424" s="3264"/>
      <c r="BX424" s="3405"/>
      <c r="BZ424" s="3406"/>
      <c r="CA424" s="2424">
        <f>CA403</f>
        <v>1992381238</v>
      </c>
      <c r="CB424" s="2424">
        <f t="shared" ref="CB424:CD424" si="1576">CB403</f>
        <v>0</v>
      </c>
      <c r="CC424" s="2424">
        <f t="shared" si="1576"/>
        <v>1992381238</v>
      </c>
      <c r="CD424" s="2424">
        <f t="shared" si="1576"/>
        <v>0</v>
      </c>
      <c r="CE424" s="3264"/>
      <c r="CF424" s="3405"/>
      <c r="CH424" s="3406"/>
      <c r="CI424" s="2424">
        <f>CI403</f>
        <v>1992381238</v>
      </c>
      <c r="CJ424" s="2424">
        <f t="shared" ref="CJ424:CL424" si="1577">CJ403</f>
        <v>0</v>
      </c>
      <c r="CK424" s="2424">
        <f t="shared" si="1577"/>
        <v>1992381238</v>
      </c>
      <c r="CL424" s="2424">
        <f t="shared" si="1577"/>
        <v>0</v>
      </c>
      <c r="CM424" s="3264"/>
      <c r="CN424" s="3405"/>
      <c r="CP424" s="3406"/>
      <c r="CQ424" s="2424">
        <f>CQ403</f>
        <v>1992381238</v>
      </c>
      <c r="CR424" s="2424">
        <f t="shared" ref="CR424:CT424" si="1578">CR403</f>
        <v>0</v>
      </c>
      <c r="CS424" s="2424">
        <f t="shared" si="1578"/>
        <v>1992381238</v>
      </c>
      <c r="CT424" s="2424">
        <f t="shared" si="1578"/>
        <v>0</v>
      </c>
      <c r="CU424" s="3264"/>
      <c r="CV424" s="3405"/>
      <c r="CX424" s="3406"/>
      <c r="CY424" s="2424">
        <f>CY403</f>
        <v>1992381238</v>
      </c>
      <c r="CZ424" s="2424">
        <f t="shared" ref="CZ424:DB424" si="1579">CZ403</f>
        <v>0</v>
      </c>
      <c r="DA424" s="2424">
        <f t="shared" si="1579"/>
        <v>1992381238</v>
      </c>
      <c r="DB424" s="2424">
        <f t="shared" si="1579"/>
        <v>0</v>
      </c>
      <c r="DC424" s="3264"/>
      <c r="DD424" s="3405"/>
      <c r="DF424" s="3406"/>
      <c r="DG424" s="2424">
        <f>DG403</f>
        <v>1992381238</v>
      </c>
      <c r="DH424" s="2424">
        <f t="shared" ref="DH424:DJ424" si="1580">DH403</f>
        <v>0</v>
      </c>
      <c r="DI424" s="2424">
        <f t="shared" si="1580"/>
        <v>1992381238</v>
      </c>
      <c r="DJ424" s="2424">
        <f t="shared" si="1580"/>
        <v>0</v>
      </c>
      <c r="DK424" s="3264"/>
      <c r="DL424" s="3405"/>
      <c r="DN424" s="3406"/>
      <c r="DO424" s="2424">
        <f>DO403</f>
        <v>1992381238</v>
      </c>
      <c r="DP424" s="2424">
        <f t="shared" ref="DP424:DR424" si="1581">DP403</f>
        <v>0</v>
      </c>
      <c r="DQ424" s="2424">
        <f t="shared" si="1581"/>
        <v>1992381238</v>
      </c>
      <c r="DR424" s="2424">
        <f t="shared" si="1581"/>
        <v>0</v>
      </c>
      <c r="DS424" s="3264"/>
      <c r="DT424" s="3405"/>
      <c r="DV424" s="3406"/>
      <c r="DW424" s="2424">
        <f>DW403</f>
        <v>1992381238</v>
      </c>
      <c r="DX424" s="2424">
        <f t="shared" ref="DX424:DZ424" si="1582">DX403</f>
        <v>0</v>
      </c>
      <c r="DY424" s="2424">
        <f t="shared" si="1582"/>
        <v>1992381238</v>
      </c>
      <c r="DZ424" s="2424">
        <f t="shared" si="1582"/>
        <v>0</v>
      </c>
      <c r="EA424" s="3264"/>
      <c r="EB424" s="3405"/>
      <c r="ED424" s="3406"/>
      <c r="EE424" s="2424">
        <f>EE403</f>
        <v>1992381238</v>
      </c>
      <c r="EF424" s="2424">
        <f t="shared" ref="EF424:EH424" si="1583">EF403</f>
        <v>0</v>
      </c>
      <c r="EG424" s="2424">
        <f t="shared" si="1583"/>
        <v>1992381238</v>
      </c>
      <c r="EH424" s="2424">
        <f t="shared" si="1583"/>
        <v>0</v>
      </c>
      <c r="EI424" s="3264"/>
      <c r="EJ424" s="3405"/>
      <c r="EL424" s="3406"/>
      <c r="EM424" s="2424">
        <f>EM403</f>
        <v>1992381238</v>
      </c>
      <c r="EN424" s="2424">
        <f t="shared" ref="EN424:EP424" si="1584">EN403</f>
        <v>0</v>
      </c>
      <c r="EO424" s="2424">
        <f t="shared" si="1584"/>
        <v>1992381238</v>
      </c>
      <c r="EP424" s="2424">
        <f t="shared" si="1584"/>
        <v>0</v>
      </c>
      <c r="EQ424" s="3264"/>
      <c r="ER424" s="3405"/>
      <c r="ET424" s="3406"/>
      <c r="EU424" s="2424">
        <f>EU403</f>
        <v>1992381238</v>
      </c>
      <c r="EV424" s="2424">
        <f t="shared" ref="EV424:EX424" si="1585">EV403</f>
        <v>0</v>
      </c>
      <c r="EW424" s="2424">
        <f t="shared" si="1585"/>
        <v>1992381238</v>
      </c>
      <c r="EX424" s="2424">
        <f t="shared" si="1585"/>
        <v>0</v>
      </c>
      <c r="EY424" s="3264"/>
      <c r="EZ424" s="3405"/>
      <c r="FB424" s="3406"/>
      <c r="FC424" s="2424">
        <f>FC403</f>
        <v>1992381238</v>
      </c>
      <c r="FD424" s="2424">
        <f t="shared" ref="FD424:FF424" si="1586">FD403</f>
        <v>0</v>
      </c>
      <c r="FE424" s="2424">
        <f t="shared" si="1586"/>
        <v>1992381238</v>
      </c>
      <c r="FF424" s="2424">
        <f t="shared" si="1586"/>
        <v>0</v>
      </c>
      <c r="FG424" s="3264"/>
      <c r="FH424" s="3405"/>
      <c r="FJ424" s="3406"/>
      <c r="FK424" s="2424">
        <f>FK403</f>
        <v>1992381238</v>
      </c>
      <c r="FL424" s="2424">
        <f t="shared" ref="FL424:FN424" si="1587">FL403</f>
        <v>0</v>
      </c>
      <c r="FM424" s="2424">
        <f t="shared" si="1587"/>
        <v>1992381238</v>
      </c>
      <c r="FN424" s="2424">
        <f t="shared" si="1587"/>
        <v>0</v>
      </c>
      <c r="FO424" s="3264"/>
    </row>
    <row r="425" spans="2:171">
      <c r="C425" s="3086" t="s">
        <v>122</v>
      </c>
      <c r="D425" s="3405"/>
      <c r="E425" s="3234" t="s">
        <v>390</v>
      </c>
      <c r="G425" s="2424">
        <f>G404</f>
        <v>5283922742</v>
      </c>
      <c r="H425" s="2424">
        <f t="shared" si="1566"/>
        <v>0</v>
      </c>
      <c r="I425" s="2424">
        <f t="shared" si="1566"/>
        <v>0</v>
      </c>
      <c r="J425" s="2424">
        <f t="shared" si="1566"/>
        <v>5283922742</v>
      </c>
      <c r="K425" s="3264">
        <f t="shared" si="1567"/>
        <v>1</v>
      </c>
      <c r="L425" s="3405"/>
      <c r="N425" s="3406"/>
      <c r="O425" s="2424">
        <f>O404</f>
        <v>5283922742</v>
      </c>
      <c r="P425" s="2424">
        <f t="shared" ref="P425:R425" si="1588">P404</f>
        <v>0</v>
      </c>
      <c r="Q425" s="2424">
        <f t="shared" si="1588"/>
        <v>0</v>
      </c>
      <c r="R425" s="2424">
        <f t="shared" si="1588"/>
        <v>5283922742</v>
      </c>
      <c r="S425" s="3264"/>
      <c r="T425" s="3405"/>
      <c r="V425" s="3406"/>
      <c r="W425" s="2424">
        <f>W404</f>
        <v>5283922742</v>
      </c>
      <c r="X425" s="2424">
        <f t="shared" ref="X425:Z425" si="1589">X404</f>
        <v>0</v>
      </c>
      <c r="Y425" s="2424">
        <f t="shared" si="1589"/>
        <v>0</v>
      </c>
      <c r="Z425" s="2424">
        <f t="shared" si="1589"/>
        <v>5283922742</v>
      </c>
      <c r="AA425" s="3264"/>
      <c r="AB425" s="3405"/>
      <c r="AD425" s="3406"/>
      <c r="AE425" s="2424">
        <f>AE404</f>
        <v>5283922742</v>
      </c>
      <c r="AF425" s="2424">
        <f t="shared" ref="AF425:AH425" si="1590">AF404</f>
        <v>0</v>
      </c>
      <c r="AG425" s="2424">
        <f t="shared" si="1590"/>
        <v>0</v>
      </c>
      <c r="AH425" s="2424">
        <f t="shared" si="1590"/>
        <v>5283922742</v>
      </c>
      <c r="AI425" s="3264"/>
      <c r="AJ425" s="3405"/>
      <c r="AL425" s="3406"/>
      <c r="AM425" s="2424">
        <f>AM404</f>
        <v>5283922742</v>
      </c>
      <c r="AN425" s="2424">
        <f t="shared" ref="AN425:AP425" si="1591">AN404</f>
        <v>0</v>
      </c>
      <c r="AO425" s="2424">
        <f t="shared" si="1591"/>
        <v>0</v>
      </c>
      <c r="AP425" s="2424">
        <f t="shared" si="1591"/>
        <v>5283922742</v>
      </c>
      <c r="AQ425" s="3264"/>
      <c r="AR425" s="3405"/>
      <c r="AT425" s="3406"/>
      <c r="AU425" s="2424">
        <f>AU404</f>
        <v>5283922742</v>
      </c>
      <c r="AV425" s="2424">
        <f t="shared" ref="AV425:AX425" si="1592">AV404</f>
        <v>0</v>
      </c>
      <c r="AW425" s="2424">
        <f t="shared" si="1592"/>
        <v>0</v>
      </c>
      <c r="AX425" s="2424">
        <f t="shared" si="1592"/>
        <v>5283922742</v>
      </c>
      <c r="AY425" s="3264"/>
      <c r="AZ425" s="3405"/>
      <c r="BB425" s="3406"/>
      <c r="BC425" s="2424">
        <f>BC404</f>
        <v>5283922742</v>
      </c>
      <c r="BD425" s="2424">
        <f t="shared" ref="BD425:BF425" si="1593">BD404</f>
        <v>0</v>
      </c>
      <c r="BE425" s="2424">
        <f t="shared" si="1593"/>
        <v>0</v>
      </c>
      <c r="BF425" s="2424">
        <f t="shared" si="1593"/>
        <v>5283922742</v>
      </c>
      <c r="BG425" s="3264"/>
      <c r="BH425" s="3405"/>
      <c r="BJ425" s="3406"/>
      <c r="BK425" s="2424">
        <f>BK404</f>
        <v>5283922742</v>
      </c>
      <c r="BL425" s="2424">
        <f t="shared" ref="BL425:BN425" si="1594">BL404</f>
        <v>0</v>
      </c>
      <c r="BM425" s="2424">
        <f t="shared" si="1594"/>
        <v>0</v>
      </c>
      <c r="BN425" s="2424">
        <f t="shared" si="1594"/>
        <v>5283922742</v>
      </c>
      <c r="BO425" s="3264"/>
      <c r="BP425" s="3405"/>
      <c r="BR425" s="3406"/>
      <c r="BS425" s="2424">
        <f>BS404</f>
        <v>5283922742</v>
      </c>
      <c r="BT425" s="2424">
        <f t="shared" ref="BT425:BV425" si="1595">BT404</f>
        <v>0</v>
      </c>
      <c r="BU425" s="2424">
        <f t="shared" si="1595"/>
        <v>0</v>
      </c>
      <c r="BV425" s="2424">
        <f t="shared" si="1595"/>
        <v>5283922742</v>
      </c>
      <c r="BW425" s="3264"/>
      <c r="BX425" s="3405"/>
      <c r="BZ425" s="3406"/>
      <c r="CA425" s="2424">
        <f>CA404</f>
        <v>5283922742</v>
      </c>
      <c r="CB425" s="2424">
        <f t="shared" ref="CB425:CD425" si="1596">CB404</f>
        <v>0</v>
      </c>
      <c r="CC425" s="2424">
        <f t="shared" si="1596"/>
        <v>0</v>
      </c>
      <c r="CD425" s="2424">
        <f t="shared" si="1596"/>
        <v>5283922742</v>
      </c>
      <c r="CE425" s="3264"/>
      <c r="CF425" s="3405"/>
      <c r="CH425" s="3406"/>
      <c r="CI425" s="2424">
        <f>CI404</f>
        <v>5283922742</v>
      </c>
      <c r="CJ425" s="2424">
        <f t="shared" ref="CJ425:CL425" si="1597">CJ404</f>
        <v>0</v>
      </c>
      <c r="CK425" s="2424">
        <f t="shared" si="1597"/>
        <v>0</v>
      </c>
      <c r="CL425" s="2424">
        <f t="shared" si="1597"/>
        <v>5283922742</v>
      </c>
      <c r="CM425" s="3264"/>
      <c r="CN425" s="3405"/>
      <c r="CP425" s="3406"/>
      <c r="CQ425" s="2424">
        <f>CQ404</f>
        <v>5283922742</v>
      </c>
      <c r="CR425" s="2424">
        <f t="shared" ref="CR425:CT425" si="1598">CR404</f>
        <v>0</v>
      </c>
      <c r="CS425" s="2424">
        <f t="shared" si="1598"/>
        <v>0</v>
      </c>
      <c r="CT425" s="2424">
        <f t="shared" si="1598"/>
        <v>5283922742</v>
      </c>
      <c r="CU425" s="3264"/>
      <c r="CV425" s="3405"/>
      <c r="CX425" s="3406"/>
      <c r="CY425" s="2424">
        <f>CY404</f>
        <v>5283922742</v>
      </c>
      <c r="CZ425" s="2424">
        <f t="shared" ref="CZ425:DB425" si="1599">CZ404</f>
        <v>0</v>
      </c>
      <c r="DA425" s="2424">
        <f t="shared" si="1599"/>
        <v>0</v>
      </c>
      <c r="DB425" s="2424">
        <f t="shared" si="1599"/>
        <v>5283922742</v>
      </c>
      <c r="DC425" s="3264"/>
      <c r="DD425" s="3405"/>
      <c r="DF425" s="3406"/>
      <c r="DG425" s="2424">
        <f>DG404</f>
        <v>5283922742</v>
      </c>
      <c r="DH425" s="2424">
        <f t="shared" ref="DH425:DJ425" si="1600">DH404</f>
        <v>0</v>
      </c>
      <c r="DI425" s="2424">
        <f t="shared" si="1600"/>
        <v>0</v>
      </c>
      <c r="DJ425" s="2424">
        <f t="shared" si="1600"/>
        <v>5283922742</v>
      </c>
      <c r="DK425" s="3264"/>
      <c r="DL425" s="3405"/>
      <c r="DN425" s="3406"/>
      <c r="DO425" s="2424">
        <f>DO404</f>
        <v>5283922742</v>
      </c>
      <c r="DP425" s="2424">
        <f t="shared" ref="DP425:DR425" si="1601">DP404</f>
        <v>0</v>
      </c>
      <c r="DQ425" s="2424">
        <f t="shared" si="1601"/>
        <v>0</v>
      </c>
      <c r="DR425" s="2424">
        <f t="shared" si="1601"/>
        <v>5283922742</v>
      </c>
      <c r="DS425" s="3264"/>
      <c r="DT425" s="3405"/>
      <c r="DV425" s="3406"/>
      <c r="DW425" s="2424">
        <f>DW404</f>
        <v>5283922742</v>
      </c>
      <c r="DX425" s="2424">
        <f t="shared" ref="DX425:DZ425" si="1602">DX404</f>
        <v>0</v>
      </c>
      <c r="DY425" s="2424">
        <f t="shared" si="1602"/>
        <v>0</v>
      </c>
      <c r="DZ425" s="2424">
        <f t="shared" si="1602"/>
        <v>5283922742</v>
      </c>
      <c r="EA425" s="3264"/>
      <c r="EB425" s="3405"/>
      <c r="ED425" s="3406"/>
      <c r="EE425" s="2424">
        <f>EE404</f>
        <v>5283922742</v>
      </c>
      <c r="EF425" s="2424">
        <f t="shared" ref="EF425:EH425" si="1603">EF404</f>
        <v>0</v>
      </c>
      <c r="EG425" s="2424">
        <f t="shared" si="1603"/>
        <v>0</v>
      </c>
      <c r="EH425" s="2424">
        <f t="shared" si="1603"/>
        <v>5283922742</v>
      </c>
      <c r="EI425" s="3264"/>
      <c r="EJ425" s="3405"/>
      <c r="EL425" s="3406"/>
      <c r="EM425" s="2424">
        <f>EM404</f>
        <v>5283922742</v>
      </c>
      <c r="EN425" s="2424">
        <f t="shared" ref="EN425:EP425" si="1604">EN404</f>
        <v>0</v>
      </c>
      <c r="EO425" s="2424">
        <f t="shared" si="1604"/>
        <v>0</v>
      </c>
      <c r="EP425" s="2424">
        <f t="shared" si="1604"/>
        <v>5283922742</v>
      </c>
      <c r="EQ425" s="3264"/>
      <c r="ER425" s="3405"/>
      <c r="ET425" s="3406"/>
      <c r="EU425" s="2424">
        <f>EU404</f>
        <v>5283922742</v>
      </c>
      <c r="EV425" s="2424">
        <f t="shared" ref="EV425:EX425" si="1605">EV404</f>
        <v>0</v>
      </c>
      <c r="EW425" s="2424">
        <f t="shared" si="1605"/>
        <v>0</v>
      </c>
      <c r="EX425" s="2424">
        <f t="shared" si="1605"/>
        <v>5283922742</v>
      </c>
      <c r="EY425" s="3264"/>
      <c r="EZ425" s="3405"/>
      <c r="FB425" s="3406"/>
      <c r="FC425" s="2424">
        <f>FC404</f>
        <v>5283922742</v>
      </c>
      <c r="FD425" s="2424">
        <f t="shared" ref="FD425:FF425" si="1606">FD404</f>
        <v>0</v>
      </c>
      <c r="FE425" s="2424">
        <f t="shared" si="1606"/>
        <v>0</v>
      </c>
      <c r="FF425" s="2424">
        <f t="shared" si="1606"/>
        <v>5283922742</v>
      </c>
      <c r="FG425" s="3264"/>
      <c r="FH425" s="3405"/>
      <c r="FJ425" s="3406"/>
      <c r="FK425" s="2424">
        <f>FK404</f>
        <v>5283922742</v>
      </c>
      <c r="FL425" s="2424">
        <f t="shared" ref="FL425:FN425" si="1607">FL404</f>
        <v>0</v>
      </c>
      <c r="FM425" s="2424">
        <f t="shared" si="1607"/>
        <v>0</v>
      </c>
      <c r="FN425" s="2424">
        <f t="shared" si="1607"/>
        <v>5283922742</v>
      </c>
      <c r="FO425" s="3264"/>
    </row>
    <row r="426" spans="2:171">
      <c r="C426" s="3086" t="s">
        <v>527</v>
      </c>
      <c r="D426" s="3405"/>
      <c r="E426" s="3234" t="str">
        <f>E16</f>
        <v>DIST</v>
      </c>
      <c r="G426" s="2424">
        <f>I410+J410</f>
        <v>114202</v>
      </c>
      <c r="H426" s="2424">
        <v>0</v>
      </c>
      <c r="I426" s="2424">
        <f>I410</f>
        <v>0</v>
      </c>
      <c r="J426" s="2424">
        <f>J410</f>
        <v>114202</v>
      </c>
      <c r="K426" s="3264">
        <f t="shared" si="1567"/>
        <v>1</v>
      </c>
      <c r="L426" s="3405"/>
      <c r="N426" s="3406"/>
      <c r="O426" s="2424">
        <f>Q410+R410</f>
        <v>114202</v>
      </c>
      <c r="P426" s="2424">
        <v>0</v>
      </c>
      <c r="Q426" s="2424">
        <f>Q410</f>
        <v>0</v>
      </c>
      <c r="R426" s="2424">
        <f>R410</f>
        <v>114202</v>
      </c>
      <c r="S426" s="3264"/>
      <c r="T426" s="3405"/>
      <c r="V426" s="3406"/>
      <c r="W426" s="2424">
        <f>Y410+Z410</f>
        <v>114202</v>
      </c>
      <c r="X426" s="2424">
        <v>0</v>
      </c>
      <c r="Y426" s="2424">
        <f>Y410</f>
        <v>0</v>
      </c>
      <c r="Z426" s="2424">
        <f>Z410</f>
        <v>114202</v>
      </c>
      <c r="AA426" s="3264"/>
      <c r="AB426" s="3405"/>
      <c r="AD426" s="3406"/>
      <c r="AE426" s="2424">
        <f>AG410+AH410</f>
        <v>114202</v>
      </c>
      <c r="AF426" s="2424">
        <v>0</v>
      </c>
      <c r="AG426" s="2424">
        <f>AG410</f>
        <v>0</v>
      </c>
      <c r="AH426" s="2424">
        <f>AH410</f>
        <v>114202</v>
      </c>
      <c r="AI426" s="3264"/>
      <c r="AJ426" s="3405"/>
      <c r="AL426" s="3406"/>
      <c r="AM426" s="2424">
        <f>AO410+AP410</f>
        <v>114202</v>
      </c>
      <c r="AN426" s="2424">
        <v>0</v>
      </c>
      <c r="AO426" s="2424">
        <f>AO410</f>
        <v>0</v>
      </c>
      <c r="AP426" s="2424">
        <f>AP410</f>
        <v>114202</v>
      </c>
      <c r="AQ426" s="3264"/>
      <c r="AR426" s="3405"/>
      <c r="AT426" s="3406"/>
      <c r="AU426" s="2424">
        <f>AW410+AX410</f>
        <v>114202</v>
      </c>
      <c r="AV426" s="2424">
        <v>0</v>
      </c>
      <c r="AW426" s="2424">
        <f>AW410</f>
        <v>0</v>
      </c>
      <c r="AX426" s="2424">
        <f>AX410</f>
        <v>114202</v>
      </c>
      <c r="AY426" s="3264"/>
      <c r="AZ426" s="3405"/>
      <c r="BB426" s="3406"/>
      <c r="BC426" s="2424">
        <f>BE410+BF410</f>
        <v>114202</v>
      </c>
      <c r="BD426" s="2424">
        <v>0</v>
      </c>
      <c r="BE426" s="2424">
        <f>BE410</f>
        <v>0</v>
      </c>
      <c r="BF426" s="2424">
        <f>BF410</f>
        <v>114202</v>
      </c>
      <c r="BG426" s="3264"/>
      <c r="BH426" s="3405"/>
      <c r="BJ426" s="3406"/>
      <c r="BK426" s="2424">
        <f>BM410+BN410</f>
        <v>114202</v>
      </c>
      <c r="BL426" s="2424">
        <v>0</v>
      </c>
      <c r="BM426" s="2424">
        <f>BM410</f>
        <v>0</v>
      </c>
      <c r="BN426" s="2424">
        <f>BN410</f>
        <v>114202</v>
      </c>
      <c r="BO426" s="3264"/>
      <c r="BP426" s="3405"/>
      <c r="BR426" s="3406"/>
      <c r="BS426" s="2424">
        <f>BU410+BV410</f>
        <v>114202</v>
      </c>
      <c r="BT426" s="2424">
        <v>0</v>
      </c>
      <c r="BU426" s="2424">
        <f>BU410</f>
        <v>0</v>
      </c>
      <c r="BV426" s="2424">
        <f>BV410</f>
        <v>114202</v>
      </c>
      <c r="BW426" s="3264"/>
      <c r="BX426" s="3405"/>
      <c r="BZ426" s="3406"/>
      <c r="CA426" s="2424">
        <f>CC410+CD410</f>
        <v>114202</v>
      </c>
      <c r="CB426" s="2424">
        <v>0</v>
      </c>
      <c r="CC426" s="2424">
        <f>CC410</f>
        <v>0</v>
      </c>
      <c r="CD426" s="2424">
        <f>CD410</f>
        <v>114202</v>
      </c>
      <c r="CE426" s="3264"/>
      <c r="CF426" s="3405"/>
      <c r="CH426" s="3406"/>
      <c r="CI426" s="2424">
        <f>CK410+CL410</f>
        <v>114202</v>
      </c>
      <c r="CJ426" s="2424">
        <v>0</v>
      </c>
      <c r="CK426" s="2424">
        <f>CK410</f>
        <v>0</v>
      </c>
      <c r="CL426" s="2424">
        <f>CL410</f>
        <v>114202</v>
      </c>
      <c r="CM426" s="3264"/>
      <c r="CN426" s="3405"/>
      <c r="CP426" s="3406"/>
      <c r="CQ426" s="2424">
        <f>CS410+CT410</f>
        <v>114202</v>
      </c>
      <c r="CR426" s="2424">
        <v>0</v>
      </c>
      <c r="CS426" s="2424">
        <f>CS410</f>
        <v>0</v>
      </c>
      <c r="CT426" s="2424">
        <f>CT410</f>
        <v>114202</v>
      </c>
      <c r="CU426" s="3264"/>
      <c r="CV426" s="3405"/>
      <c r="CX426" s="3406"/>
      <c r="CY426" s="2424">
        <f>DA410+DB410</f>
        <v>114202</v>
      </c>
      <c r="CZ426" s="2424">
        <v>0</v>
      </c>
      <c r="DA426" s="2424">
        <f>DA410</f>
        <v>0</v>
      </c>
      <c r="DB426" s="2424">
        <f>DB410</f>
        <v>114202</v>
      </c>
      <c r="DC426" s="3264"/>
      <c r="DD426" s="3405"/>
      <c r="DF426" s="3406"/>
      <c r="DG426" s="2424">
        <f>DI410+DJ410</f>
        <v>114202</v>
      </c>
      <c r="DH426" s="2424">
        <v>0</v>
      </c>
      <c r="DI426" s="2424">
        <f>DI410</f>
        <v>0</v>
      </c>
      <c r="DJ426" s="2424">
        <f>DJ410</f>
        <v>114202</v>
      </c>
      <c r="DK426" s="3264"/>
      <c r="DL426" s="3405"/>
      <c r="DN426" s="3406"/>
      <c r="DO426" s="2424">
        <f>DQ410+DR410</f>
        <v>114202</v>
      </c>
      <c r="DP426" s="2424">
        <v>0</v>
      </c>
      <c r="DQ426" s="2424">
        <f>DQ410</f>
        <v>0</v>
      </c>
      <c r="DR426" s="2424">
        <f>DR410</f>
        <v>114202</v>
      </c>
      <c r="DS426" s="3264"/>
      <c r="DT426" s="3405"/>
      <c r="DV426" s="3406"/>
      <c r="DW426" s="2424">
        <f>DY410+DZ410</f>
        <v>114202</v>
      </c>
      <c r="DX426" s="2424">
        <v>0</v>
      </c>
      <c r="DY426" s="2424">
        <f>DY410</f>
        <v>0</v>
      </c>
      <c r="DZ426" s="2424">
        <f>DZ410</f>
        <v>114202</v>
      </c>
      <c r="EA426" s="3264"/>
      <c r="EB426" s="3405"/>
      <c r="ED426" s="3406"/>
      <c r="EE426" s="2424">
        <f>EG410+EH410</f>
        <v>114202</v>
      </c>
      <c r="EF426" s="2424">
        <v>0</v>
      </c>
      <c r="EG426" s="2424">
        <f>EG410</f>
        <v>0</v>
      </c>
      <c r="EH426" s="2424">
        <f>EH410</f>
        <v>114202</v>
      </c>
      <c r="EI426" s="3264"/>
      <c r="EJ426" s="3405"/>
      <c r="EL426" s="3406"/>
      <c r="EM426" s="2424">
        <f>EO410+EP410</f>
        <v>114202</v>
      </c>
      <c r="EN426" s="2424">
        <v>0</v>
      </c>
      <c r="EO426" s="2424">
        <f>EO410</f>
        <v>0</v>
      </c>
      <c r="EP426" s="2424">
        <f>EP410</f>
        <v>114202</v>
      </c>
      <c r="EQ426" s="3264"/>
      <c r="ER426" s="3405"/>
      <c r="ET426" s="3406"/>
      <c r="EU426" s="2424">
        <f>EW410+EX410</f>
        <v>114202</v>
      </c>
      <c r="EV426" s="2424">
        <v>0</v>
      </c>
      <c r="EW426" s="2424">
        <f>EW410</f>
        <v>0</v>
      </c>
      <c r="EX426" s="2424">
        <f>EX410</f>
        <v>114202</v>
      </c>
      <c r="EY426" s="3264"/>
      <c r="EZ426" s="3405"/>
      <c r="FB426" s="3406"/>
      <c r="FC426" s="2424">
        <f>FE410+FF410</f>
        <v>114202</v>
      </c>
      <c r="FD426" s="2424">
        <v>0</v>
      </c>
      <c r="FE426" s="2424">
        <f>FE410</f>
        <v>0</v>
      </c>
      <c r="FF426" s="2424">
        <f>FF410</f>
        <v>114202</v>
      </c>
      <c r="FG426" s="3264"/>
      <c r="FH426" s="3405"/>
      <c r="FJ426" s="3406"/>
      <c r="FK426" s="2424">
        <f>FM410+FN410</f>
        <v>114202</v>
      </c>
      <c r="FL426" s="2424">
        <v>0</v>
      </c>
      <c r="FM426" s="2424">
        <f>FM410</f>
        <v>0</v>
      </c>
      <c r="FN426" s="2424">
        <f>FN410</f>
        <v>114202</v>
      </c>
      <c r="FO426" s="3264"/>
    </row>
    <row r="427" spans="2:171">
      <c r="C427" s="3086" t="s">
        <v>528</v>
      </c>
      <c r="D427" s="3405"/>
      <c r="E427" s="3234" t="str">
        <f t="shared" ref="E427:E428" si="1608">E17</f>
        <v>DIRECT</v>
      </c>
      <c r="G427" s="2424">
        <f t="shared" ref="G427:G428" si="1609">I411+J411</f>
        <v>24379345.720330127</v>
      </c>
      <c r="H427" s="2424">
        <v>0</v>
      </c>
      <c r="I427" s="2424">
        <f t="shared" ref="I427:J428" si="1610">I411</f>
        <v>0</v>
      </c>
      <c r="J427" s="2424">
        <f t="shared" si="1610"/>
        <v>24379345.720330127</v>
      </c>
      <c r="K427" s="3264">
        <f t="shared" si="1567"/>
        <v>0</v>
      </c>
      <c r="L427" s="3405"/>
      <c r="N427" s="3406"/>
      <c r="O427" s="2424">
        <f t="shared" ref="O427:O428" si="1611">Q411+R411</f>
        <v>24379346.520330139</v>
      </c>
      <c r="P427" s="2424">
        <v>0</v>
      </c>
      <c r="Q427" s="2424">
        <f t="shared" ref="Q427:R427" si="1612">Q411</f>
        <v>0</v>
      </c>
      <c r="R427" s="2424">
        <f t="shared" si="1612"/>
        <v>24379346.520330139</v>
      </c>
      <c r="S427" s="3264"/>
      <c r="T427" s="3405"/>
      <c r="V427" s="3406"/>
      <c r="W427" s="2424">
        <f t="shared" ref="W427:W428" si="1613">Y411+Z411</f>
        <v>24379346.520330139</v>
      </c>
      <c r="X427" s="2424">
        <v>0</v>
      </c>
      <c r="Y427" s="2424">
        <f t="shared" ref="Y427:Z427" si="1614">Y411</f>
        <v>0</v>
      </c>
      <c r="Z427" s="2424">
        <f t="shared" si="1614"/>
        <v>24379346.520330139</v>
      </c>
      <c r="AA427" s="3264"/>
      <c r="AB427" s="3405"/>
      <c r="AD427" s="3406"/>
      <c r="AE427" s="2424">
        <f t="shared" ref="AE427:AE428" si="1615">AG411+AH411</f>
        <v>24379346.520330139</v>
      </c>
      <c r="AF427" s="2424">
        <v>0</v>
      </c>
      <c r="AG427" s="2424">
        <f t="shared" ref="AG427:AH427" si="1616">AG411</f>
        <v>0</v>
      </c>
      <c r="AH427" s="2424">
        <f t="shared" si="1616"/>
        <v>24379346.520330139</v>
      </c>
      <c r="AI427" s="3264"/>
      <c r="AJ427" s="3405"/>
      <c r="AL427" s="3406"/>
      <c r="AM427" s="2424">
        <f t="shared" ref="AM427:AM428" si="1617">AO411+AP411</f>
        <v>24379346.520330139</v>
      </c>
      <c r="AN427" s="2424">
        <v>0</v>
      </c>
      <c r="AO427" s="2424">
        <f t="shared" ref="AO427:AP427" si="1618">AO411</f>
        <v>0</v>
      </c>
      <c r="AP427" s="2424">
        <f t="shared" si="1618"/>
        <v>24379346.520330139</v>
      </c>
      <c r="AQ427" s="3264"/>
      <c r="AR427" s="3405"/>
      <c r="AT427" s="3406"/>
      <c r="AU427" s="2424">
        <f t="shared" ref="AU427:AU428" si="1619">AW411+AX411</f>
        <v>24379346.520330139</v>
      </c>
      <c r="AV427" s="2424">
        <v>0</v>
      </c>
      <c r="AW427" s="2424">
        <f t="shared" ref="AW427:AX427" si="1620">AW411</f>
        <v>0</v>
      </c>
      <c r="AX427" s="2424">
        <f t="shared" si="1620"/>
        <v>24379346.520330139</v>
      </c>
      <c r="AY427" s="3264"/>
      <c r="AZ427" s="3405"/>
      <c r="BB427" s="3406"/>
      <c r="BC427" s="2424">
        <f t="shared" ref="BC427:BC428" si="1621">BE411+BF411</f>
        <v>24379346.520330139</v>
      </c>
      <c r="BD427" s="2424">
        <v>0</v>
      </c>
      <c r="BE427" s="2424">
        <f t="shared" ref="BE427:BF427" si="1622">BE411</f>
        <v>0</v>
      </c>
      <c r="BF427" s="2424">
        <f t="shared" si="1622"/>
        <v>24379346.520330139</v>
      </c>
      <c r="BG427" s="3264"/>
      <c r="BH427" s="3405"/>
      <c r="BJ427" s="3406"/>
      <c r="BK427" s="2424">
        <f t="shared" ref="BK427:BK428" si="1623">BM411+BN411</f>
        <v>24379346.520330139</v>
      </c>
      <c r="BL427" s="2424">
        <v>0</v>
      </c>
      <c r="BM427" s="2424">
        <f t="shared" ref="BM427:BN427" si="1624">BM411</f>
        <v>0</v>
      </c>
      <c r="BN427" s="2424">
        <f t="shared" si="1624"/>
        <v>24379346.520330139</v>
      </c>
      <c r="BO427" s="3264"/>
      <c r="BP427" s="3405"/>
      <c r="BR427" s="3406"/>
      <c r="BS427" s="2424">
        <f t="shared" ref="BS427:BS428" si="1625">BU411+BV411</f>
        <v>24379346.520330139</v>
      </c>
      <c r="BT427" s="2424">
        <v>0</v>
      </c>
      <c r="BU427" s="2424">
        <f t="shared" ref="BU427:BV427" si="1626">BU411</f>
        <v>0</v>
      </c>
      <c r="BV427" s="2424">
        <f t="shared" si="1626"/>
        <v>24379346.520330139</v>
      </c>
      <c r="BW427" s="3264"/>
      <c r="BX427" s="3405"/>
      <c r="BZ427" s="3406"/>
      <c r="CA427" s="2424">
        <f t="shared" ref="CA427:CA428" si="1627">CC411+CD411</f>
        <v>24379346.520330139</v>
      </c>
      <c r="CB427" s="2424">
        <v>0</v>
      </c>
      <c r="CC427" s="2424">
        <f t="shared" ref="CC427:CD427" si="1628">CC411</f>
        <v>0</v>
      </c>
      <c r="CD427" s="2424">
        <f t="shared" si="1628"/>
        <v>24379346.520330139</v>
      </c>
      <c r="CE427" s="3264"/>
      <c r="CF427" s="3405"/>
      <c r="CH427" s="3406"/>
      <c r="CI427" s="2424">
        <f t="shared" ref="CI427:CI428" si="1629">CK411+CL411</f>
        <v>24379346.520330139</v>
      </c>
      <c r="CJ427" s="2424">
        <v>0</v>
      </c>
      <c r="CK427" s="2424">
        <f t="shared" ref="CK427:CL427" si="1630">CK411</f>
        <v>0</v>
      </c>
      <c r="CL427" s="2424">
        <f t="shared" si="1630"/>
        <v>24379346.520330139</v>
      </c>
      <c r="CM427" s="3264"/>
      <c r="CN427" s="3405"/>
      <c r="CP427" s="3406"/>
      <c r="CQ427" s="2424">
        <f t="shared" ref="CQ427:CQ428" si="1631">CS411+CT411</f>
        <v>24379346.520330139</v>
      </c>
      <c r="CR427" s="2424">
        <v>0</v>
      </c>
      <c r="CS427" s="2424">
        <f t="shared" ref="CS427:CT427" si="1632">CS411</f>
        <v>0</v>
      </c>
      <c r="CT427" s="2424">
        <f t="shared" si="1632"/>
        <v>24379346.520330139</v>
      </c>
      <c r="CU427" s="3264"/>
      <c r="CV427" s="3405"/>
      <c r="CX427" s="3406"/>
      <c r="CY427" s="2424">
        <f t="shared" ref="CY427:CY428" si="1633">DA411+DB411</f>
        <v>24379346.520330139</v>
      </c>
      <c r="CZ427" s="2424">
        <v>0</v>
      </c>
      <c r="DA427" s="2424">
        <f t="shared" ref="DA427:DB427" si="1634">DA411</f>
        <v>0</v>
      </c>
      <c r="DB427" s="2424">
        <f t="shared" si="1634"/>
        <v>24379346.520330139</v>
      </c>
      <c r="DC427" s="3264"/>
      <c r="DD427" s="3405"/>
      <c r="DF427" s="3406"/>
      <c r="DG427" s="2424">
        <f t="shared" ref="DG427:DG428" si="1635">DI411+DJ411</f>
        <v>24379346.520330139</v>
      </c>
      <c r="DH427" s="2424">
        <v>0</v>
      </c>
      <c r="DI427" s="2424">
        <f t="shared" ref="DI427:DJ427" si="1636">DI411</f>
        <v>0</v>
      </c>
      <c r="DJ427" s="2424">
        <f t="shared" si="1636"/>
        <v>24379346.520330139</v>
      </c>
      <c r="DK427" s="3264"/>
      <c r="DL427" s="3405"/>
      <c r="DN427" s="3406"/>
      <c r="DO427" s="2424">
        <f t="shared" ref="DO427:DO428" si="1637">DQ411+DR411</f>
        <v>24379346.520330139</v>
      </c>
      <c r="DP427" s="2424">
        <v>0</v>
      </c>
      <c r="DQ427" s="2424">
        <f t="shared" ref="DQ427:DR427" si="1638">DQ411</f>
        <v>0</v>
      </c>
      <c r="DR427" s="2424">
        <f t="shared" si="1638"/>
        <v>24379346.520330139</v>
      </c>
      <c r="DS427" s="3264"/>
      <c r="DT427" s="3405"/>
      <c r="DV427" s="3406"/>
      <c r="DW427" s="2424">
        <f t="shared" ref="DW427:DW428" si="1639">DY411+DZ411</f>
        <v>24379346.520330139</v>
      </c>
      <c r="DX427" s="2424">
        <v>0</v>
      </c>
      <c r="DY427" s="2424">
        <f t="shared" ref="DY427:DZ427" si="1640">DY411</f>
        <v>0</v>
      </c>
      <c r="DZ427" s="2424">
        <f t="shared" si="1640"/>
        <v>24379346.520330139</v>
      </c>
      <c r="EA427" s="3264"/>
      <c r="EB427" s="3405"/>
      <c r="ED427" s="3406"/>
      <c r="EE427" s="2424">
        <f t="shared" ref="EE427:EE428" si="1641">EG411+EH411</f>
        <v>24379346.520330139</v>
      </c>
      <c r="EF427" s="2424">
        <v>0</v>
      </c>
      <c r="EG427" s="2424">
        <f t="shared" ref="EG427:EH427" si="1642">EG411</f>
        <v>0</v>
      </c>
      <c r="EH427" s="2424">
        <f t="shared" si="1642"/>
        <v>24379346.520330139</v>
      </c>
      <c r="EI427" s="3264"/>
      <c r="EJ427" s="3405"/>
      <c r="EL427" s="3406"/>
      <c r="EM427" s="2424">
        <f t="shared" ref="EM427:EM428" si="1643">EO411+EP411</f>
        <v>24379346.520330139</v>
      </c>
      <c r="EN427" s="2424">
        <v>0</v>
      </c>
      <c r="EO427" s="2424">
        <f t="shared" ref="EO427:EP427" si="1644">EO411</f>
        <v>0</v>
      </c>
      <c r="EP427" s="2424">
        <f t="shared" si="1644"/>
        <v>24379346.520330139</v>
      </c>
      <c r="EQ427" s="3264"/>
      <c r="ER427" s="3405"/>
      <c r="ET427" s="3406"/>
      <c r="EU427" s="2424">
        <f t="shared" ref="EU427:EU428" si="1645">EW411+EX411</f>
        <v>24379346.520330139</v>
      </c>
      <c r="EV427" s="2424">
        <v>0</v>
      </c>
      <c r="EW427" s="2424">
        <f t="shared" ref="EW427:EX427" si="1646">EW411</f>
        <v>0</v>
      </c>
      <c r="EX427" s="2424">
        <f t="shared" si="1646"/>
        <v>24379346.520330139</v>
      </c>
      <c r="EY427" s="3264"/>
      <c r="EZ427" s="3405"/>
      <c r="FB427" s="3406"/>
      <c r="FC427" s="2424">
        <f t="shared" ref="FC427:FC428" si="1647">FE411+FF411</f>
        <v>24379346.520330139</v>
      </c>
      <c r="FD427" s="2424">
        <v>0</v>
      </c>
      <c r="FE427" s="2424">
        <f t="shared" ref="FE427:FF427" si="1648">FE411</f>
        <v>0</v>
      </c>
      <c r="FF427" s="2424">
        <f t="shared" si="1648"/>
        <v>24379346.520330139</v>
      </c>
      <c r="FG427" s="3264"/>
      <c r="FH427" s="3405"/>
      <c r="FJ427" s="3406"/>
      <c r="FK427" s="2424">
        <f t="shared" ref="FK427:FK428" si="1649">FM411+FN411</f>
        <v>24379346.520330139</v>
      </c>
      <c r="FL427" s="2424">
        <v>0</v>
      </c>
      <c r="FM427" s="2424">
        <f t="shared" ref="FM427:FN427" si="1650">FM411</f>
        <v>0</v>
      </c>
      <c r="FN427" s="2424">
        <f t="shared" si="1650"/>
        <v>24379346.520330139</v>
      </c>
      <c r="FO427" s="3264"/>
    </row>
    <row r="428" spans="2:171">
      <c r="C428" s="3086" t="s">
        <v>542</v>
      </c>
      <c r="D428" s="3405"/>
      <c r="E428" s="3234" t="str">
        <f t="shared" si="1608"/>
        <v>DIRECT</v>
      </c>
      <c r="G428" s="2424">
        <f t="shared" si="1609"/>
        <v>65208779.001525573</v>
      </c>
      <c r="H428" s="2424">
        <v>0</v>
      </c>
      <c r="I428" s="2424">
        <f t="shared" si="1610"/>
        <v>0</v>
      </c>
      <c r="J428" s="2424">
        <f t="shared" si="1610"/>
        <v>65208779.001525573</v>
      </c>
      <c r="K428" s="3264">
        <f t="shared" si="1567"/>
        <v>0</v>
      </c>
      <c r="L428" s="3405"/>
      <c r="N428" s="3406"/>
      <c r="O428" s="2424">
        <f t="shared" si="1611"/>
        <v>65208780.431525566</v>
      </c>
      <c r="P428" s="2424">
        <v>0</v>
      </c>
      <c r="Q428" s="2424">
        <f t="shared" ref="Q428:R428" si="1651">Q412</f>
        <v>0</v>
      </c>
      <c r="R428" s="2424">
        <f t="shared" si="1651"/>
        <v>65208780.431525566</v>
      </c>
      <c r="S428" s="3264"/>
      <c r="T428" s="3405"/>
      <c r="V428" s="3406"/>
      <c r="W428" s="2424">
        <f t="shared" si="1613"/>
        <v>65208780.431525566</v>
      </c>
      <c r="X428" s="2424">
        <v>0</v>
      </c>
      <c r="Y428" s="2424">
        <f t="shared" ref="Y428:Z428" si="1652">Y412</f>
        <v>0</v>
      </c>
      <c r="Z428" s="2424">
        <f t="shared" si="1652"/>
        <v>65208780.431525566</v>
      </c>
      <c r="AA428" s="3264"/>
      <c r="AB428" s="3405"/>
      <c r="AD428" s="3406"/>
      <c r="AE428" s="2424">
        <f t="shared" si="1615"/>
        <v>65208780.431525566</v>
      </c>
      <c r="AF428" s="2424">
        <v>0</v>
      </c>
      <c r="AG428" s="2424">
        <f t="shared" ref="AG428:AH428" si="1653">AG412</f>
        <v>0</v>
      </c>
      <c r="AH428" s="2424">
        <f t="shared" si="1653"/>
        <v>65208780.431525566</v>
      </c>
      <c r="AI428" s="3264"/>
      <c r="AJ428" s="3405"/>
      <c r="AL428" s="3406"/>
      <c r="AM428" s="2424">
        <f t="shared" si="1617"/>
        <v>65208780.431525566</v>
      </c>
      <c r="AN428" s="2424">
        <v>0</v>
      </c>
      <c r="AO428" s="2424">
        <f t="shared" ref="AO428:AP428" si="1654">AO412</f>
        <v>0</v>
      </c>
      <c r="AP428" s="2424">
        <f t="shared" si="1654"/>
        <v>65208780.431525566</v>
      </c>
      <c r="AQ428" s="3264"/>
      <c r="AR428" s="3405"/>
      <c r="AT428" s="3406"/>
      <c r="AU428" s="2424">
        <f t="shared" si="1619"/>
        <v>65208780.431525566</v>
      </c>
      <c r="AV428" s="2424">
        <v>0</v>
      </c>
      <c r="AW428" s="2424">
        <f t="shared" ref="AW428:AX428" si="1655">AW412</f>
        <v>0</v>
      </c>
      <c r="AX428" s="2424">
        <f t="shared" si="1655"/>
        <v>65208780.431525566</v>
      </c>
      <c r="AY428" s="3264"/>
      <c r="AZ428" s="3405"/>
      <c r="BB428" s="3406"/>
      <c r="BC428" s="2424">
        <f t="shared" si="1621"/>
        <v>65208780.431525566</v>
      </c>
      <c r="BD428" s="2424">
        <v>0</v>
      </c>
      <c r="BE428" s="2424">
        <f t="shared" ref="BE428:BF428" si="1656">BE412</f>
        <v>0</v>
      </c>
      <c r="BF428" s="2424">
        <f t="shared" si="1656"/>
        <v>65208780.431525566</v>
      </c>
      <c r="BG428" s="3264"/>
      <c r="BH428" s="3405"/>
      <c r="BJ428" s="3406"/>
      <c r="BK428" s="2424">
        <f t="shared" si="1623"/>
        <v>65208780.431525566</v>
      </c>
      <c r="BL428" s="2424">
        <v>0</v>
      </c>
      <c r="BM428" s="2424">
        <f t="shared" ref="BM428:BN428" si="1657">BM412</f>
        <v>0</v>
      </c>
      <c r="BN428" s="2424">
        <f t="shared" si="1657"/>
        <v>65208780.431525566</v>
      </c>
      <c r="BO428" s="3264"/>
      <c r="BP428" s="3405"/>
      <c r="BR428" s="3406"/>
      <c r="BS428" s="2424">
        <f t="shared" si="1625"/>
        <v>65208780.431525566</v>
      </c>
      <c r="BT428" s="2424">
        <v>0</v>
      </c>
      <c r="BU428" s="2424">
        <f t="shared" ref="BU428:BV428" si="1658">BU412</f>
        <v>0</v>
      </c>
      <c r="BV428" s="2424">
        <f t="shared" si="1658"/>
        <v>65208780.431525566</v>
      </c>
      <c r="BW428" s="3264"/>
      <c r="BX428" s="3405"/>
      <c r="BZ428" s="3406"/>
      <c r="CA428" s="2424">
        <f t="shared" si="1627"/>
        <v>65208780.431525566</v>
      </c>
      <c r="CB428" s="2424">
        <v>0</v>
      </c>
      <c r="CC428" s="2424">
        <f t="shared" ref="CC428:CD428" si="1659">CC412</f>
        <v>0</v>
      </c>
      <c r="CD428" s="2424">
        <f t="shared" si="1659"/>
        <v>65208780.431525566</v>
      </c>
      <c r="CE428" s="3264"/>
      <c r="CF428" s="3405"/>
      <c r="CH428" s="3406"/>
      <c r="CI428" s="2424">
        <f t="shared" si="1629"/>
        <v>65208780.431525566</v>
      </c>
      <c r="CJ428" s="2424">
        <v>0</v>
      </c>
      <c r="CK428" s="2424">
        <f t="shared" ref="CK428:CL428" si="1660">CK412</f>
        <v>0</v>
      </c>
      <c r="CL428" s="2424">
        <f t="shared" si="1660"/>
        <v>65208780.431525566</v>
      </c>
      <c r="CM428" s="3264"/>
      <c r="CN428" s="3405"/>
      <c r="CP428" s="3406"/>
      <c r="CQ428" s="2424">
        <f t="shared" si="1631"/>
        <v>65208780.431525566</v>
      </c>
      <c r="CR428" s="2424">
        <v>0</v>
      </c>
      <c r="CS428" s="2424">
        <f t="shared" ref="CS428:CT428" si="1661">CS412</f>
        <v>0</v>
      </c>
      <c r="CT428" s="2424">
        <f t="shared" si="1661"/>
        <v>65208780.431525566</v>
      </c>
      <c r="CU428" s="3264"/>
      <c r="CV428" s="3405"/>
      <c r="CX428" s="3406"/>
      <c r="CY428" s="2424">
        <f t="shared" si="1633"/>
        <v>65208780.431525566</v>
      </c>
      <c r="CZ428" s="2424">
        <v>0</v>
      </c>
      <c r="DA428" s="2424">
        <f t="shared" ref="DA428:DB428" si="1662">DA412</f>
        <v>0</v>
      </c>
      <c r="DB428" s="2424">
        <f t="shared" si="1662"/>
        <v>65208780.431525566</v>
      </c>
      <c r="DC428" s="3264"/>
      <c r="DD428" s="3405"/>
      <c r="DF428" s="3406"/>
      <c r="DG428" s="2424">
        <f t="shared" si="1635"/>
        <v>65208780.431525566</v>
      </c>
      <c r="DH428" s="2424">
        <v>0</v>
      </c>
      <c r="DI428" s="2424">
        <f t="shared" ref="DI428:DJ428" si="1663">DI412</f>
        <v>0</v>
      </c>
      <c r="DJ428" s="2424">
        <f t="shared" si="1663"/>
        <v>65208780.431525566</v>
      </c>
      <c r="DK428" s="3264"/>
      <c r="DL428" s="3405"/>
      <c r="DN428" s="3406"/>
      <c r="DO428" s="2424">
        <f t="shared" si="1637"/>
        <v>65208780.431525566</v>
      </c>
      <c r="DP428" s="2424">
        <v>0</v>
      </c>
      <c r="DQ428" s="2424">
        <f t="shared" ref="DQ428:DR428" si="1664">DQ412</f>
        <v>0</v>
      </c>
      <c r="DR428" s="2424">
        <f t="shared" si="1664"/>
        <v>65208780.431525566</v>
      </c>
      <c r="DS428" s="3264"/>
      <c r="DT428" s="3405"/>
      <c r="DV428" s="3406"/>
      <c r="DW428" s="2424">
        <f t="shared" si="1639"/>
        <v>65208780.431525566</v>
      </c>
      <c r="DX428" s="2424">
        <v>0</v>
      </c>
      <c r="DY428" s="2424">
        <f t="shared" ref="DY428:DZ428" si="1665">DY412</f>
        <v>0</v>
      </c>
      <c r="DZ428" s="2424">
        <f t="shared" si="1665"/>
        <v>65208780.431525566</v>
      </c>
      <c r="EA428" s="3264"/>
      <c r="EB428" s="3405"/>
      <c r="ED428" s="3406"/>
      <c r="EE428" s="2424">
        <f t="shared" si="1641"/>
        <v>65208780.431525566</v>
      </c>
      <c r="EF428" s="2424">
        <v>0</v>
      </c>
      <c r="EG428" s="2424">
        <f t="shared" ref="EG428:EH428" si="1666">EG412</f>
        <v>0</v>
      </c>
      <c r="EH428" s="2424">
        <f t="shared" si="1666"/>
        <v>65208780.431525566</v>
      </c>
      <c r="EI428" s="3264"/>
      <c r="EJ428" s="3405"/>
      <c r="EL428" s="3406"/>
      <c r="EM428" s="2424">
        <f t="shared" si="1643"/>
        <v>65208780.431525566</v>
      </c>
      <c r="EN428" s="2424">
        <v>0</v>
      </c>
      <c r="EO428" s="2424">
        <f t="shared" ref="EO428:EP428" si="1667">EO412</f>
        <v>0</v>
      </c>
      <c r="EP428" s="2424">
        <f t="shared" si="1667"/>
        <v>65208780.431525566</v>
      </c>
      <c r="EQ428" s="3264"/>
      <c r="ER428" s="3405"/>
      <c r="ET428" s="3406"/>
      <c r="EU428" s="2424">
        <f t="shared" si="1645"/>
        <v>65208780.431525566</v>
      </c>
      <c r="EV428" s="2424">
        <v>0</v>
      </c>
      <c r="EW428" s="2424">
        <f t="shared" ref="EW428:EX428" si="1668">EW412</f>
        <v>0</v>
      </c>
      <c r="EX428" s="2424">
        <f t="shared" si="1668"/>
        <v>65208780.431525566</v>
      </c>
      <c r="EY428" s="3264"/>
      <c r="EZ428" s="3405"/>
      <c r="FB428" s="3406"/>
      <c r="FC428" s="2424">
        <f t="shared" si="1647"/>
        <v>65208780.431525566</v>
      </c>
      <c r="FD428" s="2424">
        <v>0</v>
      </c>
      <c r="FE428" s="2424">
        <f t="shared" ref="FE428:FF428" si="1669">FE412</f>
        <v>0</v>
      </c>
      <c r="FF428" s="2424">
        <f t="shared" si="1669"/>
        <v>65208780.431525566</v>
      </c>
      <c r="FG428" s="3264"/>
      <c r="FH428" s="3405"/>
      <c r="FJ428" s="3406"/>
      <c r="FK428" s="2424">
        <f t="shared" si="1649"/>
        <v>65208780.431525566</v>
      </c>
      <c r="FL428" s="2424">
        <v>0</v>
      </c>
      <c r="FM428" s="2424">
        <f t="shared" ref="FM428:FN428" si="1670">FM412</f>
        <v>0</v>
      </c>
      <c r="FN428" s="2424">
        <f t="shared" si="1670"/>
        <v>65208780.431525566</v>
      </c>
      <c r="FO428" s="3264"/>
    </row>
    <row r="429" spans="2:171">
      <c r="C429" s="3086" t="s">
        <v>796</v>
      </c>
      <c r="D429" s="3405"/>
      <c r="E429" s="3234" t="s">
        <v>109</v>
      </c>
      <c r="G429" s="2424">
        <f>I394+J394</f>
        <v>208750017.20638302</v>
      </c>
      <c r="H429" s="2424">
        <v>0</v>
      </c>
      <c r="I429" s="2424">
        <f>I394</f>
        <v>0</v>
      </c>
      <c r="J429" s="2424">
        <f>J394</f>
        <v>208750017.20638302</v>
      </c>
      <c r="K429" s="3264">
        <f t="shared" si="1567"/>
        <v>1</v>
      </c>
      <c r="L429" s="3405"/>
      <c r="N429" s="3406"/>
      <c r="O429" s="2424">
        <f>Q394+R394</f>
        <v>208750017.20638299</v>
      </c>
      <c r="P429" s="2424">
        <v>0</v>
      </c>
      <c r="Q429" s="2424">
        <f>Q394</f>
        <v>53162346.200694084</v>
      </c>
      <c r="R429" s="2424">
        <f>R394</f>
        <v>155587671.00568891</v>
      </c>
      <c r="S429" s="3264"/>
      <c r="T429" s="3405"/>
      <c r="V429" s="3406"/>
      <c r="W429" s="2424">
        <f>Y394+Z394</f>
        <v>208750017.20638299</v>
      </c>
      <c r="X429" s="2424">
        <v>0</v>
      </c>
      <c r="Y429" s="2424">
        <f>Y394</f>
        <v>53162346.200694084</v>
      </c>
      <c r="Z429" s="2424">
        <f>Z394</f>
        <v>155587671.00568891</v>
      </c>
      <c r="AA429" s="3264"/>
      <c r="AB429" s="3405"/>
      <c r="AD429" s="3406"/>
      <c r="AE429" s="2424">
        <f>AG394+AH394</f>
        <v>208750017.20638299</v>
      </c>
      <c r="AF429" s="2424">
        <v>0</v>
      </c>
      <c r="AG429" s="2424">
        <f>AG394</f>
        <v>53162346.200694084</v>
      </c>
      <c r="AH429" s="2424">
        <f>AH394</f>
        <v>155587671.00568891</v>
      </c>
      <c r="AI429" s="3264"/>
      <c r="AJ429" s="3405"/>
      <c r="AL429" s="3406"/>
      <c r="AM429" s="2424">
        <f>AO394+AP394</f>
        <v>208750017.20638299</v>
      </c>
      <c r="AN429" s="2424">
        <v>0</v>
      </c>
      <c r="AO429" s="2424">
        <f>AO394</f>
        <v>53162346.200694084</v>
      </c>
      <c r="AP429" s="2424">
        <f>AP394</f>
        <v>155587671.00568891</v>
      </c>
      <c r="AQ429" s="3264"/>
      <c r="AR429" s="3405"/>
      <c r="AT429" s="3406"/>
      <c r="AU429" s="2424">
        <f>AW394+AX394</f>
        <v>208750017.20638299</v>
      </c>
      <c r="AV429" s="2424">
        <v>0</v>
      </c>
      <c r="AW429" s="2424">
        <f>AW394</f>
        <v>53162346.200694084</v>
      </c>
      <c r="AX429" s="2424">
        <f>AX394</f>
        <v>155587671.00568891</v>
      </c>
      <c r="AY429" s="3264"/>
      <c r="AZ429" s="3405"/>
      <c r="BB429" s="3406"/>
      <c r="BC429" s="2424">
        <f>BE394+BF394</f>
        <v>208750017.20638299</v>
      </c>
      <c r="BD429" s="2424">
        <v>0</v>
      </c>
      <c r="BE429" s="2424">
        <f>BE394</f>
        <v>53162346.200694084</v>
      </c>
      <c r="BF429" s="2424">
        <f>BF394</f>
        <v>155587671.00568891</v>
      </c>
      <c r="BG429" s="3264"/>
      <c r="BH429" s="3405"/>
      <c r="BJ429" s="3406"/>
      <c r="BK429" s="2424">
        <f>BM394+BN394</f>
        <v>208750017.20638299</v>
      </c>
      <c r="BL429" s="2424">
        <v>0</v>
      </c>
      <c r="BM429" s="2424">
        <f>BM394</f>
        <v>53162346.200694084</v>
      </c>
      <c r="BN429" s="2424">
        <f>BN394</f>
        <v>155587671.00568891</v>
      </c>
      <c r="BO429" s="3264"/>
      <c r="BP429" s="3405"/>
      <c r="BR429" s="3406"/>
      <c r="BS429" s="2424">
        <f>BU394+BV394</f>
        <v>208750017.20638299</v>
      </c>
      <c r="BT429" s="2424">
        <v>0</v>
      </c>
      <c r="BU429" s="2424">
        <f>BU394</f>
        <v>53162346.200694084</v>
      </c>
      <c r="BV429" s="2424">
        <f>BV394</f>
        <v>155587671.00568891</v>
      </c>
      <c r="BW429" s="3264"/>
      <c r="BX429" s="3405"/>
      <c r="BZ429" s="3406"/>
      <c r="CA429" s="2424">
        <f>CC394+CD394</f>
        <v>208750017.20638299</v>
      </c>
      <c r="CB429" s="2424">
        <v>0</v>
      </c>
      <c r="CC429" s="2424">
        <f>CC394</f>
        <v>53162346.200694084</v>
      </c>
      <c r="CD429" s="2424">
        <f>CD394</f>
        <v>155587671.00568891</v>
      </c>
      <c r="CE429" s="3264"/>
      <c r="CF429" s="3405"/>
      <c r="CH429" s="3406"/>
      <c r="CI429" s="2424">
        <f>CK394+CL394</f>
        <v>208750017.20638299</v>
      </c>
      <c r="CJ429" s="2424">
        <v>0</v>
      </c>
      <c r="CK429" s="2424">
        <f>CK394</f>
        <v>53162346.200694084</v>
      </c>
      <c r="CL429" s="2424">
        <f>CL394</f>
        <v>155587671.00568891</v>
      </c>
      <c r="CM429" s="3264"/>
      <c r="CN429" s="3405"/>
      <c r="CP429" s="3406"/>
      <c r="CQ429" s="2424">
        <f>CS394+CT394</f>
        <v>208750017.20638299</v>
      </c>
      <c r="CR429" s="2424">
        <v>0</v>
      </c>
      <c r="CS429" s="2424">
        <f>CS394</f>
        <v>53162346.200694084</v>
      </c>
      <c r="CT429" s="2424">
        <f>CT394</f>
        <v>155587671.00568891</v>
      </c>
      <c r="CU429" s="3264"/>
      <c r="CV429" s="3405"/>
      <c r="CX429" s="3406"/>
      <c r="CY429" s="2424">
        <f>DA394+DB394</f>
        <v>208750017.20638299</v>
      </c>
      <c r="CZ429" s="2424">
        <v>0</v>
      </c>
      <c r="DA429" s="2424">
        <f>DA394</f>
        <v>53162346.200694084</v>
      </c>
      <c r="DB429" s="2424">
        <f>DB394</f>
        <v>155587671.00568891</v>
      </c>
      <c r="DC429" s="3264"/>
      <c r="DD429" s="3405"/>
      <c r="DF429" s="3406"/>
      <c r="DG429" s="2424">
        <f>DI394+DJ394</f>
        <v>208750017.20638299</v>
      </c>
      <c r="DH429" s="2424">
        <v>0</v>
      </c>
      <c r="DI429" s="2424">
        <f>DI394</f>
        <v>53162346.200694084</v>
      </c>
      <c r="DJ429" s="2424">
        <f>DJ394</f>
        <v>155587671.00568891</v>
      </c>
      <c r="DK429" s="3264"/>
      <c r="DL429" s="3405"/>
      <c r="DN429" s="3406"/>
      <c r="DO429" s="2424">
        <f>DQ394+DR394</f>
        <v>208750017.20638299</v>
      </c>
      <c r="DP429" s="2424">
        <v>0</v>
      </c>
      <c r="DQ429" s="2424">
        <f>DQ394</f>
        <v>53162346.200694084</v>
      </c>
      <c r="DR429" s="2424">
        <f>DR394</f>
        <v>155587671.00568891</v>
      </c>
      <c r="DS429" s="3264"/>
      <c r="DT429" s="3405"/>
      <c r="DV429" s="3406"/>
      <c r="DW429" s="2424">
        <f>DY394+DZ394</f>
        <v>208750017.20638299</v>
      </c>
      <c r="DX429" s="2424">
        <v>0</v>
      </c>
      <c r="DY429" s="2424">
        <f>DY394</f>
        <v>53162346.200694084</v>
      </c>
      <c r="DZ429" s="2424">
        <f>DZ394</f>
        <v>155587671.00568891</v>
      </c>
      <c r="EA429" s="3264"/>
      <c r="EB429" s="3405"/>
      <c r="ED429" s="3406"/>
      <c r="EE429" s="2424">
        <f>EG394+EH394</f>
        <v>208750017.20638299</v>
      </c>
      <c r="EF429" s="2424">
        <v>0</v>
      </c>
      <c r="EG429" s="2424">
        <f>EG394</f>
        <v>53162346.200694084</v>
      </c>
      <c r="EH429" s="2424">
        <f>EH394</f>
        <v>155587671.00568891</v>
      </c>
      <c r="EI429" s="3264"/>
      <c r="EJ429" s="3405"/>
      <c r="EL429" s="3406"/>
      <c r="EM429" s="2424">
        <f>EO394+EP394</f>
        <v>208750017.20638299</v>
      </c>
      <c r="EN429" s="2424">
        <v>0</v>
      </c>
      <c r="EO429" s="2424">
        <f>EO394</f>
        <v>53162346.200694084</v>
      </c>
      <c r="EP429" s="2424">
        <f>EP394</f>
        <v>155587671.00568891</v>
      </c>
      <c r="EQ429" s="3264"/>
      <c r="ER429" s="3405"/>
      <c r="ET429" s="3406"/>
      <c r="EU429" s="2424">
        <f>EW394+EX394</f>
        <v>208750017.20638299</v>
      </c>
      <c r="EV429" s="2424">
        <v>0</v>
      </c>
      <c r="EW429" s="2424">
        <f>EW394</f>
        <v>53162346.200694084</v>
      </c>
      <c r="EX429" s="2424">
        <f>EX394</f>
        <v>155587671.00568891</v>
      </c>
      <c r="EY429" s="3264"/>
      <c r="EZ429" s="3405"/>
      <c r="FB429" s="3406"/>
      <c r="FC429" s="2424">
        <f>FE394+FF394</f>
        <v>208750017.20638299</v>
      </c>
      <c r="FD429" s="2424">
        <v>0</v>
      </c>
      <c r="FE429" s="2424">
        <f>FE394</f>
        <v>53162346.200694084</v>
      </c>
      <c r="FF429" s="2424">
        <f>FF394</f>
        <v>155587671.00568891</v>
      </c>
      <c r="FG429" s="3264"/>
      <c r="FH429" s="3405"/>
      <c r="FJ429" s="3406"/>
      <c r="FK429" s="2424">
        <f>FM394+FN394</f>
        <v>208750017.20638299</v>
      </c>
      <c r="FL429" s="2424">
        <v>0</v>
      </c>
      <c r="FM429" s="2424">
        <f>FM394</f>
        <v>53162346.200694084</v>
      </c>
      <c r="FN429" s="2424">
        <f>FN394</f>
        <v>155587671.00568891</v>
      </c>
      <c r="FO429" s="3264"/>
    </row>
    <row r="430" spans="2:171">
      <c r="C430" s="3086" t="s">
        <v>522</v>
      </c>
      <c r="D430" s="3405"/>
      <c r="E430" s="3413"/>
      <c r="F430" s="3406"/>
      <c r="G430" s="3244">
        <f>SUM(G424:G429)</f>
        <v>7574756323.9282389</v>
      </c>
      <c r="H430" s="3244">
        <f>SUM(H424:H429)</f>
        <v>0</v>
      </c>
      <c r="I430" s="3244">
        <f>SUM(I424:I429)</f>
        <v>0</v>
      </c>
      <c r="J430" s="3244">
        <f>SUM(J424:J429)</f>
        <v>7574756323.9282389</v>
      </c>
      <c r="K430" s="3264"/>
      <c r="L430" s="3405"/>
      <c r="N430" s="3406"/>
      <c r="O430" s="3244">
        <f>SUM(O424:O429)</f>
        <v>7574756326.1582384</v>
      </c>
      <c r="P430" s="3244">
        <f>SUM(P424:P429)</f>
        <v>0</v>
      </c>
      <c r="Q430" s="3244">
        <f>SUM(Q424:Q429)</f>
        <v>2045543584.2006941</v>
      </c>
      <c r="R430" s="3244">
        <f>SUM(R424:R429)</f>
        <v>5529212741.9575443</v>
      </c>
      <c r="S430" s="3264"/>
      <c r="T430" s="3405"/>
      <c r="V430" s="3406"/>
      <c r="W430" s="3244">
        <f>SUM(W424:W429)</f>
        <v>7574756326.1582384</v>
      </c>
      <c r="X430" s="3244">
        <f>SUM(X424:X429)</f>
        <v>0</v>
      </c>
      <c r="Y430" s="3244">
        <f>SUM(Y424:Y429)</f>
        <v>2045543584.2006941</v>
      </c>
      <c r="Z430" s="3244">
        <f>SUM(Z424:Z429)</f>
        <v>5529212741.9575443</v>
      </c>
      <c r="AA430" s="3264"/>
      <c r="AB430" s="3405"/>
      <c r="AD430" s="3406"/>
      <c r="AE430" s="3244">
        <f>SUM(AE424:AE429)</f>
        <v>7574756326.1582384</v>
      </c>
      <c r="AF430" s="3244">
        <f>SUM(AF424:AF429)</f>
        <v>0</v>
      </c>
      <c r="AG430" s="3244">
        <f>SUM(AG424:AG429)</f>
        <v>2045543584.2006941</v>
      </c>
      <c r="AH430" s="3244">
        <f>SUM(AH424:AH429)</f>
        <v>5529212741.9575443</v>
      </c>
      <c r="AI430" s="3264"/>
      <c r="AJ430" s="3405"/>
      <c r="AL430" s="3406"/>
      <c r="AM430" s="3244">
        <f>SUM(AM424:AM429)</f>
        <v>7574756326.1582384</v>
      </c>
      <c r="AN430" s="3244">
        <f>SUM(AN424:AN429)</f>
        <v>0</v>
      </c>
      <c r="AO430" s="3244">
        <f>SUM(AO424:AO429)</f>
        <v>2045543584.2006941</v>
      </c>
      <c r="AP430" s="3244">
        <f>SUM(AP424:AP429)</f>
        <v>5529212741.9575443</v>
      </c>
      <c r="AQ430" s="3264"/>
      <c r="AR430" s="3405"/>
      <c r="AT430" s="3406"/>
      <c r="AU430" s="3244">
        <f>SUM(AU424:AU429)</f>
        <v>7574756326.1582384</v>
      </c>
      <c r="AV430" s="3244">
        <f>SUM(AV424:AV429)</f>
        <v>0</v>
      </c>
      <c r="AW430" s="3244">
        <f>SUM(AW424:AW429)</f>
        <v>2045543584.2006941</v>
      </c>
      <c r="AX430" s="3244">
        <f>SUM(AX424:AX429)</f>
        <v>5529212741.9575443</v>
      </c>
      <c r="AY430" s="3264"/>
      <c r="AZ430" s="3405"/>
      <c r="BB430" s="3406"/>
      <c r="BC430" s="3244">
        <f>SUM(BC424:BC429)</f>
        <v>7574756326.1582384</v>
      </c>
      <c r="BD430" s="3244">
        <f>SUM(BD424:BD429)</f>
        <v>0</v>
      </c>
      <c r="BE430" s="3244">
        <f>SUM(BE424:BE429)</f>
        <v>2045543584.2006941</v>
      </c>
      <c r="BF430" s="3244">
        <f>SUM(BF424:BF429)</f>
        <v>5529212741.9575443</v>
      </c>
      <c r="BG430" s="3264"/>
      <c r="BH430" s="3405"/>
      <c r="BJ430" s="3406"/>
      <c r="BK430" s="3244">
        <f>SUM(BK424:BK429)</f>
        <v>7574756326.1582384</v>
      </c>
      <c r="BL430" s="3244">
        <f>SUM(BL424:BL429)</f>
        <v>0</v>
      </c>
      <c r="BM430" s="3244">
        <f>SUM(BM424:BM429)</f>
        <v>2045543584.2006941</v>
      </c>
      <c r="BN430" s="3244">
        <f>SUM(BN424:BN429)</f>
        <v>5529212741.9575443</v>
      </c>
      <c r="BO430" s="3264"/>
      <c r="BP430" s="3405"/>
      <c r="BR430" s="3406"/>
      <c r="BS430" s="3244">
        <f>SUM(BS424:BS429)</f>
        <v>7574756326.1582384</v>
      </c>
      <c r="BT430" s="3244">
        <f>SUM(BT424:BT429)</f>
        <v>0</v>
      </c>
      <c r="BU430" s="3244">
        <f>SUM(BU424:BU429)</f>
        <v>2045543584.2006941</v>
      </c>
      <c r="BV430" s="3244">
        <f>SUM(BV424:BV429)</f>
        <v>5529212741.9575443</v>
      </c>
      <c r="BW430" s="3264"/>
      <c r="BX430" s="3405"/>
      <c r="BZ430" s="3406"/>
      <c r="CA430" s="3244">
        <f>SUM(CA424:CA429)</f>
        <v>7574756326.1582384</v>
      </c>
      <c r="CB430" s="3244">
        <f>SUM(CB424:CB429)</f>
        <v>0</v>
      </c>
      <c r="CC430" s="3244">
        <f>SUM(CC424:CC429)</f>
        <v>2045543584.2006941</v>
      </c>
      <c r="CD430" s="3244">
        <f>SUM(CD424:CD429)</f>
        <v>5529212741.9575443</v>
      </c>
      <c r="CE430" s="3264"/>
      <c r="CF430" s="3405"/>
      <c r="CH430" s="3406"/>
      <c r="CI430" s="3244">
        <f>SUM(CI424:CI429)</f>
        <v>7574756326.1582384</v>
      </c>
      <c r="CJ430" s="3244">
        <f>SUM(CJ424:CJ429)</f>
        <v>0</v>
      </c>
      <c r="CK430" s="3244">
        <f>SUM(CK424:CK429)</f>
        <v>2045543584.2006941</v>
      </c>
      <c r="CL430" s="3244">
        <f>SUM(CL424:CL429)</f>
        <v>5529212741.9575443</v>
      </c>
      <c r="CM430" s="3264"/>
      <c r="CN430" s="3405"/>
      <c r="CP430" s="3406"/>
      <c r="CQ430" s="3244">
        <f>SUM(CQ424:CQ429)</f>
        <v>7574756326.1582384</v>
      </c>
      <c r="CR430" s="3244">
        <f>SUM(CR424:CR429)</f>
        <v>0</v>
      </c>
      <c r="CS430" s="3244">
        <f>SUM(CS424:CS429)</f>
        <v>2045543584.2006941</v>
      </c>
      <c r="CT430" s="3244">
        <f>SUM(CT424:CT429)</f>
        <v>5529212741.9575443</v>
      </c>
      <c r="CU430" s="3264"/>
      <c r="CV430" s="3405"/>
      <c r="CX430" s="3406"/>
      <c r="CY430" s="3244">
        <f>SUM(CY424:CY429)</f>
        <v>7574756326.1582384</v>
      </c>
      <c r="CZ430" s="3244">
        <f>SUM(CZ424:CZ429)</f>
        <v>0</v>
      </c>
      <c r="DA430" s="3244">
        <f>SUM(DA424:DA429)</f>
        <v>2045543584.2006941</v>
      </c>
      <c r="DB430" s="3244">
        <f>SUM(DB424:DB429)</f>
        <v>5529212741.9575443</v>
      </c>
      <c r="DC430" s="3264"/>
      <c r="DD430" s="3405"/>
      <c r="DF430" s="3406"/>
      <c r="DG430" s="3244">
        <f>SUM(DG424:DG429)</f>
        <v>7574756326.1582384</v>
      </c>
      <c r="DH430" s="3244">
        <f>SUM(DH424:DH429)</f>
        <v>0</v>
      </c>
      <c r="DI430" s="3244">
        <f>SUM(DI424:DI429)</f>
        <v>2045543584.2006941</v>
      </c>
      <c r="DJ430" s="3244">
        <f>SUM(DJ424:DJ429)</f>
        <v>5529212741.9575443</v>
      </c>
      <c r="DK430" s="3264"/>
      <c r="DL430" s="3405"/>
      <c r="DN430" s="3406"/>
      <c r="DO430" s="3244">
        <f>SUM(DO424:DO429)</f>
        <v>7574756326.1582384</v>
      </c>
      <c r="DP430" s="3244">
        <f>SUM(DP424:DP429)</f>
        <v>0</v>
      </c>
      <c r="DQ430" s="3244">
        <f>SUM(DQ424:DQ429)</f>
        <v>2045543584.2006941</v>
      </c>
      <c r="DR430" s="3244">
        <f>SUM(DR424:DR429)</f>
        <v>5529212741.9575443</v>
      </c>
      <c r="DS430" s="3264"/>
      <c r="DT430" s="3405"/>
      <c r="DV430" s="3406"/>
      <c r="DW430" s="3244">
        <f>SUM(DW424:DW429)</f>
        <v>7574756326.1582384</v>
      </c>
      <c r="DX430" s="3244">
        <f>SUM(DX424:DX429)</f>
        <v>0</v>
      </c>
      <c r="DY430" s="3244">
        <f>SUM(DY424:DY429)</f>
        <v>2045543584.2006941</v>
      </c>
      <c r="DZ430" s="3244">
        <f>SUM(DZ424:DZ429)</f>
        <v>5529212741.9575443</v>
      </c>
      <c r="EA430" s="3264"/>
      <c r="EB430" s="3405"/>
      <c r="ED430" s="3406"/>
      <c r="EE430" s="3244">
        <f>SUM(EE424:EE429)</f>
        <v>7574756326.1582384</v>
      </c>
      <c r="EF430" s="3244">
        <f>SUM(EF424:EF429)</f>
        <v>0</v>
      </c>
      <c r="EG430" s="3244">
        <f>SUM(EG424:EG429)</f>
        <v>2045543584.2006941</v>
      </c>
      <c r="EH430" s="3244">
        <f>SUM(EH424:EH429)</f>
        <v>5529212741.9575443</v>
      </c>
      <c r="EI430" s="3264"/>
      <c r="EJ430" s="3405"/>
      <c r="EL430" s="3406"/>
      <c r="EM430" s="3244">
        <f>SUM(EM424:EM429)</f>
        <v>7574756326.1582384</v>
      </c>
      <c r="EN430" s="3244">
        <f>SUM(EN424:EN429)</f>
        <v>0</v>
      </c>
      <c r="EO430" s="3244">
        <f>SUM(EO424:EO429)</f>
        <v>2045543584.2006941</v>
      </c>
      <c r="EP430" s="3244">
        <f>SUM(EP424:EP429)</f>
        <v>5529212741.9575443</v>
      </c>
      <c r="EQ430" s="3264"/>
      <c r="ER430" s="3405"/>
      <c r="ET430" s="3406"/>
      <c r="EU430" s="3244">
        <f>SUM(EU424:EU429)</f>
        <v>7574756326.1582384</v>
      </c>
      <c r="EV430" s="3244">
        <f>SUM(EV424:EV429)</f>
        <v>0</v>
      </c>
      <c r="EW430" s="3244">
        <f>SUM(EW424:EW429)</f>
        <v>2045543584.2006941</v>
      </c>
      <c r="EX430" s="3244">
        <f>SUM(EX424:EX429)</f>
        <v>5529212741.9575443</v>
      </c>
      <c r="EY430" s="3264"/>
      <c r="EZ430" s="3405"/>
      <c r="FB430" s="3406"/>
      <c r="FC430" s="3244">
        <f>SUM(FC424:FC429)</f>
        <v>7574756326.1582384</v>
      </c>
      <c r="FD430" s="3244">
        <f>SUM(FD424:FD429)</f>
        <v>0</v>
      </c>
      <c r="FE430" s="3244">
        <f>SUM(FE424:FE429)</f>
        <v>2045543584.2006941</v>
      </c>
      <c r="FF430" s="3244">
        <f>SUM(FF424:FF429)</f>
        <v>5529212741.9575443</v>
      </c>
      <c r="FG430" s="3264"/>
      <c r="FH430" s="3405"/>
      <c r="FJ430" s="3406"/>
      <c r="FK430" s="3244">
        <f>SUM(FK424:FK429)</f>
        <v>7574756326.1582384</v>
      </c>
      <c r="FL430" s="3244">
        <f>SUM(FL424:FL429)</f>
        <v>0</v>
      </c>
      <c r="FM430" s="3244">
        <f>SUM(FM424:FM429)</f>
        <v>2045543584.2006941</v>
      </c>
      <c r="FN430" s="3244">
        <f>SUM(FN424:FN429)</f>
        <v>5529212741.9575443</v>
      </c>
      <c r="FO430" s="3264"/>
    </row>
    <row r="431" spans="2:171">
      <c r="C431" s="3114" t="s">
        <v>797</v>
      </c>
      <c r="D431" s="3407" t="s">
        <v>628</v>
      </c>
      <c r="E431" s="3412"/>
      <c r="F431" s="3412"/>
      <c r="G431" s="3402">
        <f>H431+I431+J431</f>
        <v>1</v>
      </c>
      <c r="H431" s="3402">
        <f>H430/G430</f>
        <v>0</v>
      </c>
      <c r="I431" s="3402">
        <f>I430/G430</f>
        <v>0</v>
      </c>
      <c r="J431" s="3402">
        <f>J430/G430</f>
        <v>1</v>
      </c>
      <c r="K431" s="3411"/>
      <c r="L431" s="3403" t="s">
        <v>628</v>
      </c>
      <c r="M431" s="3412"/>
      <c r="N431" s="3412"/>
      <c r="O431" s="3402">
        <f>P431+Q431+R431</f>
        <v>1</v>
      </c>
      <c r="P431" s="3402">
        <f>P430/O430</f>
        <v>0</v>
      </c>
      <c r="Q431" s="3402">
        <f>Q430/O430</f>
        <v>0.27004744392063529</v>
      </c>
      <c r="R431" s="3402">
        <f>R430/O430</f>
        <v>0.72995255607936471</v>
      </c>
      <c r="S431" s="3411"/>
      <c r="T431" s="3403" t="s">
        <v>628</v>
      </c>
      <c r="U431" s="3412"/>
      <c r="V431" s="3412"/>
      <c r="W431" s="3402">
        <f>X431+Y431+Z431</f>
        <v>1</v>
      </c>
      <c r="X431" s="3402">
        <f>X430/W430</f>
        <v>0</v>
      </c>
      <c r="Y431" s="3402">
        <f>Y430/W430</f>
        <v>0.27004744392063529</v>
      </c>
      <c r="Z431" s="3402">
        <f>Z430/W430</f>
        <v>0.72995255607936471</v>
      </c>
      <c r="AA431" s="3411"/>
      <c r="AB431" s="3403" t="s">
        <v>628</v>
      </c>
      <c r="AC431" s="3412"/>
      <c r="AD431" s="3412"/>
      <c r="AE431" s="3402">
        <f>AF431+AG431+AH431</f>
        <v>1</v>
      </c>
      <c r="AF431" s="3402">
        <f>AF430/AE430</f>
        <v>0</v>
      </c>
      <c r="AG431" s="3402">
        <f>AG430/AE430</f>
        <v>0.27004744392063529</v>
      </c>
      <c r="AH431" s="3402">
        <f>AH430/AE430</f>
        <v>0.72995255607936471</v>
      </c>
      <c r="AI431" s="3411"/>
      <c r="AJ431" s="3403" t="s">
        <v>628</v>
      </c>
      <c r="AK431" s="3412"/>
      <c r="AL431" s="3412"/>
      <c r="AM431" s="3402">
        <f>AN431+AO431+AP431</f>
        <v>1</v>
      </c>
      <c r="AN431" s="3402">
        <f>AN430/AM430</f>
        <v>0</v>
      </c>
      <c r="AO431" s="3402">
        <f>AO430/AM430</f>
        <v>0.27004744392063529</v>
      </c>
      <c r="AP431" s="3402">
        <f>AP430/AM430</f>
        <v>0.72995255607936471</v>
      </c>
      <c r="AQ431" s="3411"/>
      <c r="AR431" s="3403" t="s">
        <v>628</v>
      </c>
      <c r="AS431" s="3412"/>
      <c r="AT431" s="3412"/>
      <c r="AU431" s="3402">
        <f>AV431+AW431+AX431</f>
        <v>1</v>
      </c>
      <c r="AV431" s="3402">
        <f>AV430/AU430</f>
        <v>0</v>
      </c>
      <c r="AW431" s="3402">
        <f>AW430/AU430</f>
        <v>0.27004744392063529</v>
      </c>
      <c r="AX431" s="3402">
        <f>AX430/AU430</f>
        <v>0.72995255607936471</v>
      </c>
      <c r="AY431" s="3411"/>
      <c r="AZ431" s="3403" t="s">
        <v>628</v>
      </c>
      <c r="BA431" s="3412"/>
      <c r="BB431" s="3412"/>
      <c r="BC431" s="3402">
        <f>BD431+BE431+BF431</f>
        <v>1</v>
      </c>
      <c r="BD431" s="3402">
        <f>BD430/BC430</f>
        <v>0</v>
      </c>
      <c r="BE431" s="3402">
        <f>BE430/BC430</f>
        <v>0.27004744392063529</v>
      </c>
      <c r="BF431" s="3402">
        <f>BF430/BC430</f>
        <v>0.72995255607936471</v>
      </c>
      <c r="BG431" s="3411"/>
      <c r="BH431" s="3403" t="s">
        <v>628</v>
      </c>
      <c r="BI431" s="3412"/>
      <c r="BJ431" s="3412"/>
      <c r="BK431" s="3402">
        <f>BL431+BM431+BN431</f>
        <v>1</v>
      </c>
      <c r="BL431" s="3402">
        <f>BL430/BK430</f>
        <v>0</v>
      </c>
      <c r="BM431" s="3402">
        <f>BM430/BK430</f>
        <v>0.27004744392063529</v>
      </c>
      <c r="BN431" s="3402">
        <f>BN430/BK430</f>
        <v>0.72995255607936471</v>
      </c>
      <c r="BO431" s="3411"/>
      <c r="BP431" s="3403" t="s">
        <v>628</v>
      </c>
      <c r="BQ431" s="3412"/>
      <c r="BR431" s="3412"/>
      <c r="BS431" s="3402">
        <f>BT431+BU431+BV431</f>
        <v>1</v>
      </c>
      <c r="BT431" s="3402">
        <f>BT430/BS430</f>
        <v>0</v>
      </c>
      <c r="BU431" s="3402">
        <f>BU430/BS430</f>
        <v>0.27004744392063529</v>
      </c>
      <c r="BV431" s="3402">
        <f>BV430/BS430</f>
        <v>0.72995255607936471</v>
      </c>
      <c r="BW431" s="3411"/>
      <c r="BX431" s="3403" t="s">
        <v>628</v>
      </c>
      <c r="BY431" s="3412"/>
      <c r="BZ431" s="3412"/>
      <c r="CA431" s="3402">
        <f>CB431+CC431+CD431</f>
        <v>1</v>
      </c>
      <c r="CB431" s="3402">
        <f>CB430/CA430</f>
        <v>0</v>
      </c>
      <c r="CC431" s="3402">
        <f>CC430/CA430</f>
        <v>0.27004744392063529</v>
      </c>
      <c r="CD431" s="3402">
        <f>CD430/CA430</f>
        <v>0.72995255607936471</v>
      </c>
      <c r="CE431" s="3411"/>
      <c r="CF431" s="3403" t="s">
        <v>628</v>
      </c>
      <c r="CG431" s="3412"/>
      <c r="CH431" s="3412"/>
      <c r="CI431" s="3402">
        <f>CJ431+CK431+CL431</f>
        <v>1</v>
      </c>
      <c r="CJ431" s="3402">
        <f>CJ430/CI430</f>
        <v>0</v>
      </c>
      <c r="CK431" s="3402">
        <f>CK430/CI430</f>
        <v>0.27004744392063529</v>
      </c>
      <c r="CL431" s="3402">
        <f>CL430/CI430</f>
        <v>0.72995255607936471</v>
      </c>
      <c r="CM431" s="3411"/>
      <c r="CN431" s="3403" t="s">
        <v>628</v>
      </c>
      <c r="CO431" s="3412"/>
      <c r="CP431" s="3412"/>
      <c r="CQ431" s="3402">
        <f>CR431+CS431+CT431</f>
        <v>1</v>
      </c>
      <c r="CR431" s="3402">
        <f>CR430/CQ430</f>
        <v>0</v>
      </c>
      <c r="CS431" s="3402">
        <f>CS430/CQ430</f>
        <v>0.27004744392063529</v>
      </c>
      <c r="CT431" s="3402">
        <f>CT430/CQ430</f>
        <v>0.72995255607936471</v>
      </c>
      <c r="CU431" s="3411"/>
      <c r="CV431" s="3403" t="s">
        <v>628</v>
      </c>
      <c r="CW431" s="3412"/>
      <c r="CX431" s="3412"/>
      <c r="CY431" s="3402">
        <f>CZ431+DA431+DB431</f>
        <v>1</v>
      </c>
      <c r="CZ431" s="3402">
        <f>CZ430/CY430</f>
        <v>0</v>
      </c>
      <c r="DA431" s="3402">
        <f>DA430/CY430</f>
        <v>0.27004744392063529</v>
      </c>
      <c r="DB431" s="3402">
        <f>DB430/CY430</f>
        <v>0.72995255607936471</v>
      </c>
      <c r="DC431" s="3411"/>
      <c r="DD431" s="3403" t="s">
        <v>628</v>
      </c>
      <c r="DE431" s="3412"/>
      <c r="DF431" s="3412"/>
      <c r="DG431" s="3402">
        <f>DH431+DI431+DJ431</f>
        <v>1</v>
      </c>
      <c r="DH431" s="3402">
        <f>DH430/DG430</f>
        <v>0</v>
      </c>
      <c r="DI431" s="3402">
        <f>DI430/DG430</f>
        <v>0.27004744392063529</v>
      </c>
      <c r="DJ431" s="3402">
        <f>DJ430/DG430</f>
        <v>0.72995255607936471</v>
      </c>
      <c r="DK431" s="3411"/>
      <c r="DL431" s="3403" t="s">
        <v>628</v>
      </c>
      <c r="DM431" s="3412"/>
      <c r="DN431" s="3412"/>
      <c r="DO431" s="3402">
        <f>DP431+DQ431+DR431</f>
        <v>1</v>
      </c>
      <c r="DP431" s="3402">
        <f>DP430/DO430</f>
        <v>0</v>
      </c>
      <c r="DQ431" s="3402">
        <f>DQ430/DO430</f>
        <v>0.27004744392063529</v>
      </c>
      <c r="DR431" s="3402">
        <f>DR430/DO430</f>
        <v>0.72995255607936471</v>
      </c>
      <c r="DS431" s="3411"/>
      <c r="DT431" s="3403" t="s">
        <v>628</v>
      </c>
      <c r="DU431" s="3412"/>
      <c r="DV431" s="3412"/>
      <c r="DW431" s="3402">
        <f>DX431+DY431+DZ431</f>
        <v>1</v>
      </c>
      <c r="DX431" s="3402">
        <f>DX430/DW430</f>
        <v>0</v>
      </c>
      <c r="DY431" s="3402">
        <f>DY430/DW430</f>
        <v>0.27004744392063529</v>
      </c>
      <c r="DZ431" s="3402">
        <f>DZ430/DW430</f>
        <v>0.72995255607936471</v>
      </c>
      <c r="EA431" s="3411"/>
      <c r="EB431" s="3403" t="s">
        <v>628</v>
      </c>
      <c r="EC431" s="3412"/>
      <c r="ED431" s="3412"/>
      <c r="EE431" s="3402">
        <f>EF431+EG431+EH431</f>
        <v>1</v>
      </c>
      <c r="EF431" s="3402">
        <f>EF430/EE430</f>
        <v>0</v>
      </c>
      <c r="EG431" s="3402">
        <f>EG430/EE430</f>
        <v>0.27004744392063529</v>
      </c>
      <c r="EH431" s="3402">
        <f>EH430/EE430</f>
        <v>0.72995255607936471</v>
      </c>
      <c r="EI431" s="3411"/>
      <c r="EJ431" s="3403" t="s">
        <v>628</v>
      </c>
      <c r="EK431" s="3412"/>
      <c r="EL431" s="3412"/>
      <c r="EM431" s="3402">
        <f>EN431+EO431+EP431</f>
        <v>1</v>
      </c>
      <c r="EN431" s="3402">
        <f>EN430/EM430</f>
        <v>0</v>
      </c>
      <c r="EO431" s="3402">
        <f>EO430/EM430</f>
        <v>0.27004744392063529</v>
      </c>
      <c r="EP431" s="3402">
        <f>EP430/EM430</f>
        <v>0.72995255607936471</v>
      </c>
      <c r="EQ431" s="3411"/>
      <c r="ER431" s="3403" t="s">
        <v>628</v>
      </c>
      <c r="ES431" s="3412"/>
      <c r="ET431" s="3412"/>
      <c r="EU431" s="3402">
        <f>EV431+EW431+EX431</f>
        <v>1</v>
      </c>
      <c r="EV431" s="3402">
        <f>EV430/EU430</f>
        <v>0</v>
      </c>
      <c r="EW431" s="3402">
        <f>EW430/EU430</f>
        <v>0.27004744392063529</v>
      </c>
      <c r="EX431" s="3402">
        <f>EX430/EU430</f>
        <v>0.72995255607936471</v>
      </c>
      <c r="EY431" s="3411"/>
      <c r="EZ431" s="3403" t="s">
        <v>628</v>
      </c>
      <c r="FA431" s="3412"/>
      <c r="FB431" s="3412"/>
      <c r="FC431" s="3402">
        <f>FD431+FE431+FF431</f>
        <v>1</v>
      </c>
      <c r="FD431" s="3402">
        <f>FD430/FC430</f>
        <v>0</v>
      </c>
      <c r="FE431" s="3402">
        <f>FE430/FC430</f>
        <v>0.27004744392063529</v>
      </c>
      <c r="FF431" s="3402">
        <f>FF430/FC430</f>
        <v>0.72995255607936471</v>
      </c>
      <c r="FG431" s="3411"/>
      <c r="FH431" s="3403" t="s">
        <v>628</v>
      </c>
      <c r="FI431" s="3412"/>
      <c r="FJ431" s="3412"/>
      <c r="FK431" s="3402">
        <f>FL431+FM431+FN431</f>
        <v>1</v>
      </c>
      <c r="FL431" s="3402">
        <f>FL430/FK430</f>
        <v>0</v>
      </c>
      <c r="FM431" s="3402">
        <f>FM430/FK430</f>
        <v>0.27004744392063529</v>
      </c>
      <c r="FN431" s="3402">
        <f>FN430/FK430</f>
        <v>0.72995255607936471</v>
      </c>
      <c r="FO431" s="3411"/>
    </row>
    <row r="432" spans="2:171">
      <c r="K432" s="3264"/>
      <c r="S432" s="3264"/>
      <c r="AA432" s="3264"/>
      <c r="AI432" s="3264"/>
      <c r="AQ432" s="3264"/>
      <c r="AY432" s="3264"/>
      <c r="BG432" s="3264"/>
      <c r="BO432" s="3264"/>
      <c r="BW432" s="3264"/>
      <c r="CE432" s="3264"/>
      <c r="CM432" s="3264"/>
      <c r="CU432" s="3264"/>
      <c r="DC432" s="3264"/>
      <c r="DK432" s="3264"/>
      <c r="DS432" s="3264"/>
      <c r="EA432" s="3264"/>
      <c r="EI432" s="3264"/>
      <c r="EQ432" s="3264"/>
      <c r="EY432" s="3264"/>
      <c r="FG432" s="3264"/>
      <c r="FO432" s="3264"/>
    </row>
    <row r="433" spans="2:171">
      <c r="E433" s="3090" t="s">
        <v>520</v>
      </c>
      <c r="G433" s="3091" t="s">
        <v>104</v>
      </c>
      <c r="H433" s="3091" t="s">
        <v>105</v>
      </c>
      <c r="I433" s="3091" t="s">
        <v>106</v>
      </c>
      <c r="J433" s="3092" t="s">
        <v>511</v>
      </c>
      <c r="K433" s="3264"/>
      <c r="O433" s="3091" t="s">
        <v>104</v>
      </c>
      <c r="P433" s="3091" t="s">
        <v>105</v>
      </c>
      <c r="Q433" s="3091" t="s">
        <v>106</v>
      </c>
      <c r="R433" s="3092" t="s">
        <v>511</v>
      </c>
      <c r="S433" s="3264"/>
      <c r="W433" s="3091" t="s">
        <v>104</v>
      </c>
      <c r="X433" s="3091" t="s">
        <v>105</v>
      </c>
      <c r="Y433" s="3091" t="s">
        <v>106</v>
      </c>
      <c r="Z433" s="3092" t="s">
        <v>511</v>
      </c>
      <c r="AA433" s="3264"/>
      <c r="AE433" s="3091" t="s">
        <v>104</v>
      </c>
      <c r="AF433" s="3091" t="s">
        <v>105</v>
      </c>
      <c r="AG433" s="3091" t="s">
        <v>106</v>
      </c>
      <c r="AH433" s="3092" t="s">
        <v>511</v>
      </c>
      <c r="AI433" s="3264"/>
      <c r="AM433" s="3091" t="s">
        <v>104</v>
      </c>
      <c r="AN433" s="3091" t="s">
        <v>105</v>
      </c>
      <c r="AO433" s="3091" t="s">
        <v>106</v>
      </c>
      <c r="AP433" s="3092" t="s">
        <v>511</v>
      </c>
      <c r="AQ433" s="3264"/>
      <c r="AU433" s="3091" t="s">
        <v>104</v>
      </c>
      <c r="AV433" s="3091" t="s">
        <v>105</v>
      </c>
      <c r="AW433" s="3091" t="s">
        <v>106</v>
      </c>
      <c r="AX433" s="3092" t="s">
        <v>511</v>
      </c>
      <c r="AY433" s="3264"/>
      <c r="BC433" s="3091" t="s">
        <v>104</v>
      </c>
      <c r="BD433" s="3091" t="s">
        <v>105</v>
      </c>
      <c r="BE433" s="3091" t="s">
        <v>106</v>
      </c>
      <c r="BF433" s="3092" t="s">
        <v>511</v>
      </c>
      <c r="BG433" s="3264"/>
      <c r="BK433" s="3091" t="s">
        <v>104</v>
      </c>
      <c r="BL433" s="3091" t="s">
        <v>105</v>
      </c>
      <c r="BM433" s="3091" t="s">
        <v>106</v>
      </c>
      <c r="BN433" s="3092" t="s">
        <v>511</v>
      </c>
      <c r="BO433" s="3264"/>
      <c r="BS433" s="3091" t="s">
        <v>104</v>
      </c>
      <c r="BT433" s="3091" t="s">
        <v>105</v>
      </c>
      <c r="BU433" s="3091" t="s">
        <v>106</v>
      </c>
      <c r="BV433" s="3092" t="s">
        <v>511</v>
      </c>
      <c r="BW433" s="3264"/>
      <c r="CA433" s="3091" t="s">
        <v>104</v>
      </c>
      <c r="CB433" s="3091" t="s">
        <v>105</v>
      </c>
      <c r="CC433" s="3091" t="s">
        <v>106</v>
      </c>
      <c r="CD433" s="3092" t="s">
        <v>511</v>
      </c>
      <c r="CE433" s="3264"/>
      <c r="CI433" s="3091" t="s">
        <v>104</v>
      </c>
      <c r="CJ433" s="3091" t="s">
        <v>105</v>
      </c>
      <c r="CK433" s="3091" t="s">
        <v>106</v>
      </c>
      <c r="CL433" s="3092" t="s">
        <v>511</v>
      </c>
      <c r="CM433" s="3264"/>
      <c r="CQ433" s="3091" t="s">
        <v>104</v>
      </c>
      <c r="CR433" s="3091" t="s">
        <v>105</v>
      </c>
      <c r="CS433" s="3091" t="s">
        <v>106</v>
      </c>
      <c r="CT433" s="3092" t="s">
        <v>511</v>
      </c>
      <c r="CU433" s="3264"/>
      <c r="CY433" s="3091" t="s">
        <v>104</v>
      </c>
      <c r="CZ433" s="3091" t="s">
        <v>105</v>
      </c>
      <c r="DA433" s="3091" t="s">
        <v>106</v>
      </c>
      <c r="DB433" s="3092" t="s">
        <v>511</v>
      </c>
      <c r="DC433" s="3264"/>
      <c r="DG433" s="3091" t="s">
        <v>104</v>
      </c>
      <c r="DH433" s="3091" t="s">
        <v>105</v>
      </c>
      <c r="DI433" s="3091" t="s">
        <v>106</v>
      </c>
      <c r="DJ433" s="3092" t="s">
        <v>511</v>
      </c>
      <c r="DK433" s="3264"/>
      <c r="DO433" s="3091" t="s">
        <v>104</v>
      </c>
      <c r="DP433" s="3091" t="s">
        <v>105</v>
      </c>
      <c r="DQ433" s="3091" t="s">
        <v>106</v>
      </c>
      <c r="DR433" s="3092" t="s">
        <v>511</v>
      </c>
      <c r="DS433" s="3264"/>
      <c r="DW433" s="3091" t="s">
        <v>104</v>
      </c>
      <c r="DX433" s="3091" t="s">
        <v>105</v>
      </c>
      <c r="DY433" s="3091" t="s">
        <v>106</v>
      </c>
      <c r="DZ433" s="3092" t="s">
        <v>511</v>
      </c>
      <c r="EA433" s="3264"/>
      <c r="EE433" s="3091" t="s">
        <v>104</v>
      </c>
      <c r="EF433" s="3091" t="s">
        <v>105</v>
      </c>
      <c r="EG433" s="3091" t="s">
        <v>106</v>
      </c>
      <c r="EH433" s="3092" t="s">
        <v>511</v>
      </c>
      <c r="EI433" s="3264"/>
      <c r="EM433" s="3091" t="s">
        <v>104</v>
      </c>
      <c r="EN433" s="3091" t="s">
        <v>105</v>
      </c>
      <c r="EO433" s="3091" t="s">
        <v>106</v>
      </c>
      <c r="EP433" s="3092" t="s">
        <v>511</v>
      </c>
      <c r="EQ433" s="3264"/>
      <c r="EU433" s="3091" t="s">
        <v>104</v>
      </c>
      <c r="EV433" s="3091" t="s">
        <v>105</v>
      </c>
      <c r="EW433" s="3091" t="s">
        <v>106</v>
      </c>
      <c r="EX433" s="3092" t="s">
        <v>511</v>
      </c>
      <c r="EY433" s="3264"/>
      <c r="FC433" s="3091" t="s">
        <v>104</v>
      </c>
      <c r="FD433" s="3091" t="s">
        <v>105</v>
      </c>
      <c r="FE433" s="3091" t="s">
        <v>106</v>
      </c>
      <c r="FF433" s="3092" t="s">
        <v>511</v>
      </c>
      <c r="FG433" s="3264"/>
      <c r="FK433" s="3091" t="s">
        <v>104</v>
      </c>
      <c r="FL433" s="3091" t="s">
        <v>105</v>
      </c>
      <c r="FM433" s="3091" t="s">
        <v>106</v>
      </c>
      <c r="FN433" s="3092" t="s">
        <v>511</v>
      </c>
      <c r="FO433" s="3264"/>
    </row>
    <row r="434" spans="2:171">
      <c r="B434" s="3086"/>
      <c r="C434" s="3086" t="s">
        <v>126</v>
      </c>
      <c r="D434" s="3405"/>
      <c r="E434" s="3234" t="str">
        <f t="shared" ref="E434:E435" si="1671">E383</f>
        <v>PTD</v>
      </c>
      <c r="G434" s="2424">
        <f t="shared" ref="G434:J435" si="1672">G383</f>
        <v>126721170</v>
      </c>
      <c r="H434" s="2424">
        <f t="shared" si="1672"/>
        <v>44237278.623228356</v>
      </c>
      <c r="I434" s="2424">
        <f t="shared" si="1672"/>
        <v>0</v>
      </c>
      <c r="J434" s="2424">
        <f t="shared" si="1672"/>
        <v>82483891.376771659</v>
      </c>
      <c r="K434" s="3411"/>
      <c r="L434" s="3405"/>
      <c r="M434" s="3406"/>
      <c r="N434" s="3406"/>
      <c r="O434" s="2424">
        <f t="shared" ref="O434:R434" si="1673">O383</f>
        <v>126721170</v>
      </c>
      <c r="P434" s="2424">
        <f t="shared" si="1673"/>
        <v>44237278.623228356</v>
      </c>
      <c r="Q434" s="2424">
        <f t="shared" si="1673"/>
        <v>22585554.158817567</v>
      </c>
      <c r="R434" s="2424">
        <f t="shared" si="1673"/>
        <v>59898337.217954084</v>
      </c>
      <c r="S434" s="3411"/>
      <c r="T434" s="3405"/>
      <c r="U434" s="3406"/>
      <c r="V434" s="3406"/>
      <c r="W434" s="2424">
        <f t="shared" ref="W434:Z434" si="1674">W383</f>
        <v>126721170</v>
      </c>
      <c r="X434" s="2424">
        <f t="shared" si="1674"/>
        <v>44237278.623228356</v>
      </c>
      <c r="Y434" s="2424">
        <f t="shared" si="1674"/>
        <v>22585554.158817567</v>
      </c>
      <c r="Z434" s="2424">
        <f t="shared" si="1674"/>
        <v>59898337.217954084</v>
      </c>
      <c r="AA434" s="3411"/>
      <c r="AB434" s="3405"/>
      <c r="AC434" s="3406"/>
      <c r="AD434" s="3406"/>
      <c r="AE434" s="2424">
        <f t="shared" ref="AE434:AH434" si="1675">AE383</f>
        <v>126721170</v>
      </c>
      <c r="AF434" s="2424">
        <f t="shared" si="1675"/>
        <v>44237278.623228356</v>
      </c>
      <c r="AG434" s="2424">
        <f t="shared" si="1675"/>
        <v>22585554.158817567</v>
      </c>
      <c r="AH434" s="2424">
        <f t="shared" si="1675"/>
        <v>59898337.217954084</v>
      </c>
      <c r="AI434" s="3411"/>
      <c r="AJ434" s="3405"/>
      <c r="AK434" s="3406"/>
      <c r="AL434" s="3406"/>
      <c r="AM434" s="2424">
        <f t="shared" ref="AM434:AP434" si="1676">AM383</f>
        <v>126721170</v>
      </c>
      <c r="AN434" s="2424">
        <f t="shared" si="1676"/>
        <v>44237278.623228356</v>
      </c>
      <c r="AO434" s="2424">
        <f t="shared" si="1676"/>
        <v>22585554.158817567</v>
      </c>
      <c r="AP434" s="2424">
        <f t="shared" si="1676"/>
        <v>59898337.217954084</v>
      </c>
      <c r="AQ434" s="3411"/>
      <c r="AR434" s="3405"/>
      <c r="AS434" s="3406"/>
      <c r="AT434" s="3406"/>
      <c r="AU434" s="2424">
        <f t="shared" ref="AU434:AX434" si="1677">AU383</f>
        <v>126721170</v>
      </c>
      <c r="AV434" s="2424">
        <f t="shared" si="1677"/>
        <v>44237278.623228356</v>
      </c>
      <c r="AW434" s="2424">
        <f t="shared" si="1677"/>
        <v>22585554.158817567</v>
      </c>
      <c r="AX434" s="2424">
        <f t="shared" si="1677"/>
        <v>59898337.217954084</v>
      </c>
      <c r="AY434" s="3411"/>
      <c r="AZ434" s="3405"/>
      <c r="BA434" s="3406"/>
      <c r="BB434" s="3406"/>
      <c r="BC434" s="2424">
        <f t="shared" ref="BC434:BF434" si="1678">BC383</f>
        <v>126721170</v>
      </c>
      <c r="BD434" s="2424">
        <f t="shared" si="1678"/>
        <v>44237278.623228356</v>
      </c>
      <c r="BE434" s="2424">
        <f t="shared" si="1678"/>
        <v>22585554.158817567</v>
      </c>
      <c r="BF434" s="2424">
        <f t="shared" si="1678"/>
        <v>59898337.217954084</v>
      </c>
      <c r="BG434" s="3411"/>
      <c r="BH434" s="3405"/>
      <c r="BI434" s="3406"/>
      <c r="BJ434" s="3406"/>
      <c r="BK434" s="2424">
        <f t="shared" ref="BK434:BN434" si="1679">BK383</f>
        <v>126721170</v>
      </c>
      <c r="BL434" s="2424">
        <f t="shared" si="1679"/>
        <v>44237278.623228356</v>
      </c>
      <c r="BM434" s="2424">
        <f t="shared" si="1679"/>
        <v>22585554.158817567</v>
      </c>
      <c r="BN434" s="2424">
        <f t="shared" si="1679"/>
        <v>59898337.217954084</v>
      </c>
      <c r="BO434" s="3411"/>
      <c r="BP434" s="3405"/>
      <c r="BQ434" s="3406"/>
      <c r="BR434" s="3406"/>
      <c r="BS434" s="2424">
        <f t="shared" ref="BS434:BV434" si="1680">BS383</f>
        <v>126721170</v>
      </c>
      <c r="BT434" s="2424">
        <f t="shared" si="1680"/>
        <v>44237278.623228356</v>
      </c>
      <c r="BU434" s="2424">
        <f t="shared" si="1680"/>
        <v>22585554.158817567</v>
      </c>
      <c r="BV434" s="2424">
        <f t="shared" si="1680"/>
        <v>59898337.217954084</v>
      </c>
      <c r="BW434" s="3411"/>
      <c r="BX434" s="3405"/>
      <c r="BY434" s="3406"/>
      <c r="BZ434" s="3406"/>
      <c r="CA434" s="2424">
        <f t="shared" ref="CA434:CD434" si="1681">CA383</f>
        <v>126721170</v>
      </c>
      <c r="CB434" s="2424">
        <f t="shared" si="1681"/>
        <v>44237278.623228356</v>
      </c>
      <c r="CC434" s="2424">
        <f t="shared" si="1681"/>
        <v>22585554.158817567</v>
      </c>
      <c r="CD434" s="2424">
        <f t="shared" si="1681"/>
        <v>59898337.217954084</v>
      </c>
      <c r="CE434" s="3411"/>
      <c r="CF434" s="3405"/>
      <c r="CG434" s="3406"/>
      <c r="CH434" s="3406"/>
      <c r="CI434" s="2424">
        <f t="shared" ref="CI434:CL434" si="1682">CI383</f>
        <v>126721170</v>
      </c>
      <c r="CJ434" s="2424">
        <f t="shared" si="1682"/>
        <v>44237278.623228356</v>
      </c>
      <c r="CK434" s="2424">
        <f t="shared" si="1682"/>
        <v>22585554.158817567</v>
      </c>
      <c r="CL434" s="2424">
        <f t="shared" si="1682"/>
        <v>59898337.217954084</v>
      </c>
      <c r="CM434" s="3411"/>
      <c r="CN434" s="3405"/>
      <c r="CO434" s="3406"/>
      <c r="CP434" s="3406"/>
      <c r="CQ434" s="2424">
        <f t="shared" ref="CQ434:CT434" si="1683">CQ383</f>
        <v>126721170</v>
      </c>
      <c r="CR434" s="2424">
        <f t="shared" si="1683"/>
        <v>44237278.623228356</v>
      </c>
      <c r="CS434" s="2424">
        <f t="shared" si="1683"/>
        <v>22585554.158817567</v>
      </c>
      <c r="CT434" s="2424">
        <f t="shared" si="1683"/>
        <v>59898337.217954084</v>
      </c>
      <c r="CU434" s="3411"/>
      <c r="CV434" s="3405"/>
      <c r="CW434" s="3406"/>
      <c r="CX434" s="3406"/>
      <c r="CY434" s="2424">
        <f t="shared" ref="CY434:DB434" si="1684">CY383</f>
        <v>126721170</v>
      </c>
      <c r="CZ434" s="2424">
        <f t="shared" si="1684"/>
        <v>44237278.623228356</v>
      </c>
      <c r="DA434" s="2424">
        <f t="shared" si="1684"/>
        <v>22585554.158817567</v>
      </c>
      <c r="DB434" s="2424">
        <f t="shared" si="1684"/>
        <v>59898337.217954084</v>
      </c>
      <c r="DC434" s="3411"/>
      <c r="DD434" s="3405"/>
      <c r="DE434" s="3406"/>
      <c r="DF434" s="3406"/>
      <c r="DG434" s="2424">
        <f t="shared" ref="DG434:DJ434" si="1685">DG383</f>
        <v>126721170</v>
      </c>
      <c r="DH434" s="2424">
        <f t="shared" si="1685"/>
        <v>44237278.623228356</v>
      </c>
      <c r="DI434" s="2424">
        <f t="shared" si="1685"/>
        <v>22585554.158817567</v>
      </c>
      <c r="DJ434" s="2424">
        <f t="shared" si="1685"/>
        <v>59898337.217954084</v>
      </c>
      <c r="DK434" s="3411"/>
      <c r="DL434" s="3405"/>
      <c r="DM434" s="3406"/>
      <c r="DN434" s="3406"/>
      <c r="DO434" s="2424">
        <f t="shared" ref="DO434:DR434" si="1686">DO383</f>
        <v>126721170</v>
      </c>
      <c r="DP434" s="2424">
        <f t="shared" si="1686"/>
        <v>44237278.623228356</v>
      </c>
      <c r="DQ434" s="2424">
        <f t="shared" si="1686"/>
        <v>22585554.158817567</v>
      </c>
      <c r="DR434" s="2424">
        <f t="shared" si="1686"/>
        <v>59898337.217954084</v>
      </c>
      <c r="DS434" s="3411"/>
      <c r="DT434" s="3405"/>
      <c r="DU434" s="3406"/>
      <c r="DV434" s="3406"/>
      <c r="DW434" s="2424">
        <f t="shared" ref="DW434:DZ434" si="1687">DW383</f>
        <v>126721170</v>
      </c>
      <c r="DX434" s="2424">
        <f t="shared" si="1687"/>
        <v>44237278.623228356</v>
      </c>
      <c r="DY434" s="2424">
        <f t="shared" si="1687"/>
        <v>22585554.158817567</v>
      </c>
      <c r="DZ434" s="2424">
        <f t="shared" si="1687"/>
        <v>59898337.217954084</v>
      </c>
      <c r="EA434" s="3411"/>
      <c r="EB434" s="3405"/>
      <c r="EC434" s="3406"/>
      <c r="ED434" s="3406"/>
      <c r="EE434" s="2424">
        <f t="shared" ref="EE434:EH434" si="1688">EE383</f>
        <v>126721170</v>
      </c>
      <c r="EF434" s="2424">
        <f t="shared" si="1688"/>
        <v>44237278.623228356</v>
      </c>
      <c r="EG434" s="2424">
        <f t="shared" si="1688"/>
        <v>22585554.158817567</v>
      </c>
      <c r="EH434" s="2424">
        <f t="shared" si="1688"/>
        <v>59898337.217954084</v>
      </c>
      <c r="EI434" s="3411"/>
      <c r="EJ434" s="3405"/>
      <c r="EK434" s="3406"/>
      <c r="EL434" s="3406"/>
      <c r="EM434" s="2424">
        <f t="shared" ref="EM434:EP434" si="1689">EM383</f>
        <v>126721170</v>
      </c>
      <c r="EN434" s="2424">
        <f t="shared" si="1689"/>
        <v>44237278.623228356</v>
      </c>
      <c r="EO434" s="2424">
        <f t="shared" si="1689"/>
        <v>22585554.158817567</v>
      </c>
      <c r="EP434" s="2424">
        <f t="shared" si="1689"/>
        <v>59898337.217954084</v>
      </c>
      <c r="EQ434" s="3411"/>
      <c r="ER434" s="3405"/>
      <c r="ES434" s="3406"/>
      <c r="ET434" s="3406"/>
      <c r="EU434" s="2424">
        <f t="shared" ref="EU434:EX434" si="1690">EU383</f>
        <v>126721170</v>
      </c>
      <c r="EV434" s="2424">
        <f t="shared" si="1690"/>
        <v>44237278.623228356</v>
      </c>
      <c r="EW434" s="2424">
        <f t="shared" si="1690"/>
        <v>22585554.158817567</v>
      </c>
      <c r="EX434" s="2424">
        <f t="shared" si="1690"/>
        <v>59898337.217954084</v>
      </c>
      <c r="EY434" s="3411"/>
      <c r="EZ434" s="3405"/>
      <c r="FA434" s="3406"/>
      <c r="FB434" s="3406"/>
      <c r="FC434" s="2424">
        <f t="shared" ref="FC434:FF434" si="1691">FC383</f>
        <v>126721170</v>
      </c>
      <c r="FD434" s="2424">
        <f t="shared" si="1691"/>
        <v>44237278.623228356</v>
      </c>
      <c r="FE434" s="2424">
        <f t="shared" si="1691"/>
        <v>22585554.158817567</v>
      </c>
      <c r="FF434" s="2424">
        <f t="shared" si="1691"/>
        <v>59898337.217954084</v>
      </c>
      <c r="FG434" s="3411"/>
      <c r="FH434" s="3405"/>
      <c r="FI434" s="3406"/>
      <c r="FJ434" s="3406"/>
      <c r="FK434" s="2424">
        <f t="shared" ref="FK434:FN434" si="1692">FK383</f>
        <v>126721170</v>
      </c>
      <c r="FL434" s="2424">
        <f t="shared" si="1692"/>
        <v>44237278.623228356</v>
      </c>
      <c r="FM434" s="2424">
        <f t="shared" si="1692"/>
        <v>22585554.158817567</v>
      </c>
      <c r="FN434" s="2424">
        <f t="shared" si="1692"/>
        <v>59898337.217954084</v>
      </c>
      <c r="FO434" s="3411"/>
    </row>
    <row r="435" spans="2:171">
      <c r="B435" s="3086"/>
      <c r="C435" s="3086" t="s">
        <v>127</v>
      </c>
      <c r="D435" s="3405"/>
      <c r="E435" s="3234" t="str">
        <f t="shared" si="1671"/>
        <v>LABOR</v>
      </c>
      <c r="G435" s="2424">
        <f t="shared" si="1672"/>
        <v>31597697</v>
      </c>
      <c r="H435" s="2424">
        <f t="shared" si="1672"/>
        <v>10737849.558694087</v>
      </c>
      <c r="I435" s="2424">
        <f t="shared" si="1672"/>
        <v>0</v>
      </c>
      <c r="J435" s="2424">
        <f t="shared" si="1672"/>
        <v>20859847.441305913</v>
      </c>
      <c r="K435" s="3264"/>
      <c r="L435" s="3405"/>
      <c r="M435" s="3406"/>
      <c r="N435" s="3406"/>
      <c r="O435" s="2424">
        <f t="shared" ref="O435:R435" si="1693">O384</f>
        <v>31597697</v>
      </c>
      <c r="P435" s="2424">
        <f t="shared" si="1693"/>
        <v>10737849.558694087</v>
      </c>
      <c r="Q435" s="2424">
        <f t="shared" si="1693"/>
        <v>1714681.2771933991</v>
      </c>
      <c r="R435" s="2424">
        <f t="shared" si="1693"/>
        <v>19145166.164112516</v>
      </c>
      <c r="S435" s="3264"/>
      <c r="T435" s="3405"/>
      <c r="U435" s="3406"/>
      <c r="V435" s="3406"/>
      <c r="W435" s="2424">
        <f t="shared" ref="W435:Z435" si="1694">W384</f>
        <v>31597697</v>
      </c>
      <c r="X435" s="2424">
        <f t="shared" si="1694"/>
        <v>10737849.558694087</v>
      </c>
      <c r="Y435" s="2424">
        <f t="shared" si="1694"/>
        <v>1714681.2771933991</v>
      </c>
      <c r="Z435" s="2424">
        <f t="shared" si="1694"/>
        <v>19145166.164112516</v>
      </c>
      <c r="AA435" s="3264"/>
      <c r="AB435" s="3405"/>
      <c r="AC435" s="3406"/>
      <c r="AD435" s="3406"/>
      <c r="AE435" s="2424">
        <f t="shared" ref="AE435:AH435" si="1695">AE384</f>
        <v>31597697</v>
      </c>
      <c r="AF435" s="2424">
        <f t="shared" si="1695"/>
        <v>10737849.558694087</v>
      </c>
      <c r="AG435" s="2424">
        <f t="shared" si="1695"/>
        <v>1714681.2771933991</v>
      </c>
      <c r="AH435" s="2424">
        <f t="shared" si="1695"/>
        <v>19145166.164112516</v>
      </c>
      <c r="AI435" s="3264"/>
      <c r="AJ435" s="3405"/>
      <c r="AK435" s="3406"/>
      <c r="AL435" s="3406"/>
      <c r="AM435" s="2424">
        <f t="shared" ref="AM435:AP435" si="1696">AM384</f>
        <v>31597697</v>
      </c>
      <c r="AN435" s="2424">
        <f t="shared" si="1696"/>
        <v>10737849.558694087</v>
      </c>
      <c r="AO435" s="2424">
        <f t="shared" si="1696"/>
        <v>1714681.2771933991</v>
      </c>
      <c r="AP435" s="2424">
        <f t="shared" si="1696"/>
        <v>19145166.164112516</v>
      </c>
      <c r="AQ435" s="3264"/>
      <c r="AR435" s="3405"/>
      <c r="AS435" s="3406"/>
      <c r="AT435" s="3406"/>
      <c r="AU435" s="2424">
        <f t="shared" ref="AU435:AX435" si="1697">AU384</f>
        <v>31597697</v>
      </c>
      <c r="AV435" s="2424">
        <f t="shared" si="1697"/>
        <v>10737849.558694087</v>
      </c>
      <c r="AW435" s="2424">
        <f t="shared" si="1697"/>
        <v>1714681.2771933991</v>
      </c>
      <c r="AX435" s="2424">
        <f t="shared" si="1697"/>
        <v>19145166.164112516</v>
      </c>
      <c r="AY435" s="3264"/>
      <c r="AZ435" s="3405"/>
      <c r="BA435" s="3406"/>
      <c r="BB435" s="3406"/>
      <c r="BC435" s="2424">
        <f t="shared" ref="BC435:BF435" si="1698">BC384</f>
        <v>31597697</v>
      </c>
      <c r="BD435" s="2424">
        <f t="shared" si="1698"/>
        <v>10737849.558694087</v>
      </c>
      <c r="BE435" s="2424">
        <f t="shared" si="1698"/>
        <v>1714681.2771933991</v>
      </c>
      <c r="BF435" s="2424">
        <f t="shared" si="1698"/>
        <v>19145166.164112516</v>
      </c>
      <c r="BG435" s="3264"/>
      <c r="BH435" s="3405"/>
      <c r="BI435" s="3406"/>
      <c r="BJ435" s="3406"/>
      <c r="BK435" s="2424">
        <f t="shared" ref="BK435:BN435" si="1699">BK384</f>
        <v>31597697</v>
      </c>
      <c r="BL435" s="2424">
        <f t="shared" si="1699"/>
        <v>10737849.558694087</v>
      </c>
      <c r="BM435" s="2424">
        <f t="shared" si="1699"/>
        <v>1714681.2771933991</v>
      </c>
      <c r="BN435" s="2424">
        <f t="shared" si="1699"/>
        <v>19145166.164112516</v>
      </c>
      <c r="BO435" s="3264"/>
      <c r="BP435" s="3405"/>
      <c r="BQ435" s="3406"/>
      <c r="BR435" s="3406"/>
      <c r="BS435" s="2424">
        <f t="shared" ref="BS435:BV435" si="1700">BS384</f>
        <v>31597697</v>
      </c>
      <c r="BT435" s="2424">
        <f t="shared" si="1700"/>
        <v>10737849.558694087</v>
      </c>
      <c r="BU435" s="2424">
        <f t="shared" si="1700"/>
        <v>1714681.2771933991</v>
      </c>
      <c r="BV435" s="2424">
        <f t="shared" si="1700"/>
        <v>19145166.164112516</v>
      </c>
      <c r="BW435" s="3264"/>
      <c r="BX435" s="3405"/>
      <c r="BY435" s="3406"/>
      <c r="BZ435" s="3406"/>
      <c r="CA435" s="2424">
        <f t="shared" ref="CA435:CD435" si="1701">CA384</f>
        <v>31597697</v>
      </c>
      <c r="CB435" s="2424">
        <f t="shared" si="1701"/>
        <v>10737849.558694087</v>
      </c>
      <c r="CC435" s="2424">
        <f t="shared" si="1701"/>
        <v>1714681.2771933991</v>
      </c>
      <c r="CD435" s="2424">
        <f t="shared" si="1701"/>
        <v>19145166.164112516</v>
      </c>
      <c r="CE435" s="3264"/>
      <c r="CF435" s="3405"/>
      <c r="CG435" s="3406"/>
      <c r="CH435" s="3406"/>
      <c r="CI435" s="2424">
        <f t="shared" ref="CI435:CL435" si="1702">CI384</f>
        <v>31597697</v>
      </c>
      <c r="CJ435" s="2424">
        <f t="shared" si="1702"/>
        <v>10737849.558694087</v>
      </c>
      <c r="CK435" s="2424">
        <f t="shared" si="1702"/>
        <v>1714681.2771933991</v>
      </c>
      <c r="CL435" s="2424">
        <f t="shared" si="1702"/>
        <v>19145166.164112516</v>
      </c>
      <c r="CM435" s="3264"/>
      <c r="CN435" s="3405"/>
      <c r="CO435" s="3406"/>
      <c r="CP435" s="3406"/>
      <c r="CQ435" s="2424">
        <f t="shared" ref="CQ435:CT435" si="1703">CQ384</f>
        <v>31597697</v>
      </c>
      <c r="CR435" s="2424">
        <f t="shared" si="1703"/>
        <v>10737849.558694087</v>
      </c>
      <c r="CS435" s="2424">
        <f t="shared" si="1703"/>
        <v>1714681.2771933991</v>
      </c>
      <c r="CT435" s="2424">
        <f t="shared" si="1703"/>
        <v>19145166.164112516</v>
      </c>
      <c r="CU435" s="3264"/>
      <c r="CV435" s="3405"/>
      <c r="CW435" s="3406"/>
      <c r="CX435" s="3406"/>
      <c r="CY435" s="2424">
        <f t="shared" ref="CY435:DB435" si="1704">CY384</f>
        <v>31597697</v>
      </c>
      <c r="CZ435" s="2424">
        <f t="shared" si="1704"/>
        <v>10737849.558694087</v>
      </c>
      <c r="DA435" s="2424">
        <f t="shared" si="1704"/>
        <v>1714681.2771933991</v>
      </c>
      <c r="DB435" s="2424">
        <f t="shared" si="1704"/>
        <v>19145166.164112516</v>
      </c>
      <c r="DC435" s="3264"/>
      <c r="DD435" s="3405"/>
      <c r="DE435" s="3406"/>
      <c r="DF435" s="3406"/>
      <c r="DG435" s="2424">
        <f t="shared" ref="DG435:DJ435" si="1705">DG384</f>
        <v>31597697</v>
      </c>
      <c r="DH435" s="2424">
        <f t="shared" si="1705"/>
        <v>10737849.558694087</v>
      </c>
      <c r="DI435" s="2424">
        <f t="shared" si="1705"/>
        <v>1714681.2771933991</v>
      </c>
      <c r="DJ435" s="2424">
        <f t="shared" si="1705"/>
        <v>19145166.164112516</v>
      </c>
      <c r="DK435" s="3264"/>
      <c r="DL435" s="3405"/>
      <c r="DM435" s="3406"/>
      <c r="DN435" s="3406"/>
      <c r="DO435" s="2424">
        <f t="shared" ref="DO435:DR435" si="1706">DO384</f>
        <v>31597697</v>
      </c>
      <c r="DP435" s="2424">
        <f t="shared" si="1706"/>
        <v>10737849.558694087</v>
      </c>
      <c r="DQ435" s="2424">
        <f t="shared" si="1706"/>
        <v>1714681.2771933991</v>
      </c>
      <c r="DR435" s="2424">
        <f t="shared" si="1706"/>
        <v>19145166.164112516</v>
      </c>
      <c r="DS435" s="3264"/>
      <c r="DT435" s="3405"/>
      <c r="DU435" s="3406"/>
      <c r="DV435" s="3406"/>
      <c r="DW435" s="2424">
        <f t="shared" ref="DW435:DZ435" si="1707">DW384</f>
        <v>31597697</v>
      </c>
      <c r="DX435" s="2424">
        <f t="shared" si="1707"/>
        <v>10737849.558694087</v>
      </c>
      <c r="DY435" s="2424">
        <f t="shared" si="1707"/>
        <v>1714681.2771933991</v>
      </c>
      <c r="DZ435" s="2424">
        <f t="shared" si="1707"/>
        <v>19145166.164112516</v>
      </c>
      <c r="EA435" s="3264"/>
      <c r="EB435" s="3405"/>
      <c r="EC435" s="3406"/>
      <c r="ED435" s="3406"/>
      <c r="EE435" s="2424">
        <f t="shared" ref="EE435:EH435" si="1708">EE384</f>
        <v>31597697</v>
      </c>
      <c r="EF435" s="2424">
        <f t="shared" si="1708"/>
        <v>10737849.558694087</v>
      </c>
      <c r="EG435" s="2424">
        <f t="shared" si="1708"/>
        <v>1714681.2771933991</v>
      </c>
      <c r="EH435" s="2424">
        <f t="shared" si="1708"/>
        <v>19145166.164112516</v>
      </c>
      <c r="EI435" s="3264"/>
      <c r="EJ435" s="3405"/>
      <c r="EK435" s="3406"/>
      <c r="EL435" s="3406"/>
      <c r="EM435" s="2424">
        <f t="shared" ref="EM435:EP435" si="1709">EM384</f>
        <v>31597697</v>
      </c>
      <c r="EN435" s="2424">
        <f t="shared" si="1709"/>
        <v>10737849.558694087</v>
      </c>
      <c r="EO435" s="2424">
        <f t="shared" si="1709"/>
        <v>1714681.2771933991</v>
      </c>
      <c r="EP435" s="2424">
        <f t="shared" si="1709"/>
        <v>19145166.164112516</v>
      </c>
      <c r="EQ435" s="3264"/>
      <c r="ER435" s="3405"/>
      <c r="ES435" s="3406"/>
      <c r="ET435" s="3406"/>
      <c r="EU435" s="2424">
        <f t="shared" ref="EU435:EX435" si="1710">EU384</f>
        <v>31597697</v>
      </c>
      <c r="EV435" s="2424">
        <f t="shared" si="1710"/>
        <v>10737849.558694087</v>
      </c>
      <c r="EW435" s="2424">
        <f t="shared" si="1710"/>
        <v>1714681.2771933991</v>
      </c>
      <c r="EX435" s="2424">
        <f t="shared" si="1710"/>
        <v>19145166.164112516</v>
      </c>
      <c r="EY435" s="3264"/>
      <c r="EZ435" s="3405"/>
      <c r="FA435" s="3406"/>
      <c r="FB435" s="3406"/>
      <c r="FC435" s="2424">
        <f t="shared" ref="FC435:FF435" si="1711">FC384</f>
        <v>31597697</v>
      </c>
      <c r="FD435" s="2424">
        <f t="shared" si="1711"/>
        <v>10737849.558694087</v>
      </c>
      <c r="FE435" s="2424">
        <f t="shared" si="1711"/>
        <v>1714681.2771933991</v>
      </c>
      <c r="FF435" s="2424">
        <f t="shared" si="1711"/>
        <v>19145166.164112516</v>
      </c>
      <c r="FG435" s="3264"/>
      <c r="FH435" s="3405"/>
      <c r="FI435" s="3406"/>
      <c r="FJ435" s="3406"/>
      <c r="FK435" s="2424">
        <f t="shared" ref="FK435:FN435" si="1712">FK384</f>
        <v>31597697</v>
      </c>
      <c r="FL435" s="2424">
        <f t="shared" si="1712"/>
        <v>10737849.558694087</v>
      </c>
      <c r="FM435" s="2424">
        <f t="shared" si="1712"/>
        <v>1714681.2771933991</v>
      </c>
      <c r="FN435" s="2424">
        <f t="shared" si="1712"/>
        <v>19145166.164112516</v>
      </c>
      <c r="FO435" s="3264"/>
    </row>
    <row r="436" spans="2:171">
      <c r="B436" s="3086"/>
      <c r="C436" s="3086" t="s">
        <v>133</v>
      </c>
      <c r="D436" s="3405"/>
      <c r="E436" s="3234" t="str">
        <f t="shared" ref="E436:E437" si="1713">E390</f>
        <v>PTD</v>
      </c>
      <c r="G436" s="2424">
        <f t="shared" ref="G436:J437" si="1714">G390</f>
        <v>105832047</v>
      </c>
      <c r="H436" s="2424">
        <f t="shared" si="1714"/>
        <v>36945064.11521925</v>
      </c>
      <c r="I436" s="2424">
        <f t="shared" si="1714"/>
        <v>0</v>
      </c>
      <c r="J436" s="2424">
        <f t="shared" si="1714"/>
        <v>68886982.88478075</v>
      </c>
      <c r="K436" s="3264"/>
      <c r="L436" s="3405"/>
      <c r="M436" s="3406"/>
      <c r="N436" s="3406"/>
      <c r="O436" s="2424">
        <f t="shared" ref="O436:R436" si="1715">O390</f>
        <v>105832047</v>
      </c>
      <c r="P436" s="2424">
        <f t="shared" si="1715"/>
        <v>36945064.11521925</v>
      </c>
      <c r="Q436" s="2424">
        <f t="shared" si="1715"/>
        <v>18862479.167900883</v>
      </c>
      <c r="R436" s="2424">
        <f t="shared" si="1715"/>
        <v>50024503.716879867</v>
      </c>
      <c r="S436" s="3264"/>
      <c r="T436" s="3405"/>
      <c r="U436" s="3406"/>
      <c r="V436" s="3406"/>
      <c r="W436" s="2424">
        <f t="shared" ref="W436:Z436" si="1716">W390</f>
        <v>105832047</v>
      </c>
      <c r="X436" s="2424">
        <f t="shared" si="1716"/>
        <v>36945064.11521925</v>
      </c>
      <c r="Y436" s="2424">
        <f t="shared" si="1716"/>
        <v>18862479.167900883</v>
      </c>
      <c r="Z436" s="2424">
        <f t="shared" si="1716"/>
        <v>50024503.716879867</v>
      </c>
      <c r="AA436" s="3264"/>
      <c r="AB436" s="3405"/>
      <c r="AC436" s="3406"/>
      <c r="AD436" s="3406"/>
      <c r="AE436" s="2424">
        <f t="shared" ref="AE436:AH436" si="1717">AE390</f>
        <v>105832047</v>
      </c>
      <c r="AF436" s="2424">
        <f t="shared" si="1717"/>
        <v>36945064.11521925</v>
      </c>
      <c r="AG436" s="2424">
        <f t="shared" si="1717"/>
        <v>18862479.167900883</v>
      </c>
      <c r="AH436" s="2424">
        <f t="shared" si="1717"/>
        <v>50024503.716879867</v>
      </c>
      <c r="AI436" s="3264"/>
      <c r="AJ436" s="3405"/>
      <c r="AK436" s="3406"/>
      <c r="AL436" s="3406"/>
      <c r="AM436" s="2424">
        <f t="shared" ref="AM436:AP436" si="1718">AM390</f>
        <v>105832047</v>
      </c>
      <c r="AN436" s="2424">
        <f t="shared" si="1718"/>
        <v>36945064.11521925</v>
      </c>
      <c r="AO436" s="2424">
        <f t="shared" si="1718"/>
        <v>18862479.167900883</v>
      </c>
      <c r="AP436" s="2424">
        <f t="shared" si="1718"/>
        <v>50024503.716879867</v>
      </c>
      <c r="AQ436" s="3264"/>
      <c r="AR436" s="3405"/>
      <c r="AS436" s="3406"/>
      <c r="AT436" s="3406"/>
      <c r="AU436" s="2424">
        <f t="shared" ref="AU436:AX436" si="1719">AU390</f>
        <v>105832047</v>
      </c>
      <c r="AV436" s="2424">
        <f t="shared" si="1719"/>
        <v>36945064.11521925</v>
      </c>
      <c r="AW436" s="2424">
        <f t="shared" si="1719"/>
        <v>18862479.167900883</v>
      </c>
      <c r="AX436" s="2424">
        <f t="shared" si="1719"/>
        <v>50024503.716879867</v>
      </c>
      <c r="AY436" s="3264"/>
      <c r="AZ436" s="3405"/>
      <c r="BA436" s="3406"/>
      <c r="BB436" s="3406"/>
      <c r="BC436" s="2424">
        <f t="shared" ref="BC436:BF436" si="1720">BC390</f>
        <v>105832047</v>
      </c>
      <c r="BD436" s="2424">
        <f t="shared" si="1720"/>
        <v>36945064.11521925</v>
      </c>
      <c r="BE436" s="2424">
        <f t="shared" si="1720"/>
        <v>18862479.167900883</v>
      </c>
      <c r="BF436" s="2424">
        <f t="shared" si="1720"/>
        <v>50024503.716879867</v>
      </c>
      <c r="BG436" s="3264"/>
      <c r="BH436" s="3405"/>
      <c r="BI436" s="3406"/>
      <c r="BJ436" s="3406"/>
      <c r="BK436" s="2424">
        <f t="shared" ref="BK436:BN436" si="1721">BK390</f>
        <v>105832047</v>
      </c>
      <c r="BL436" s="2424">
        <f t="shared" si="1721"/>
        <v>36945064.11521925</v>
      </c>
      <c r="BM436" s="2424">
        <f t="shared" si="1721"/>
        <v>18862479.167900883</v>
      </c>
      <c r="BN436" s="2424">
        <f t="shared" si="1721"/>
        <v>50024503.716879867</v>
      </c>
      <c r="BO436" s="3264"/>
      <c r="BP436" s="3405"/>
      <c r="BQ436" s="3406"/>
      <c r="BR436" s="3406"/>
      <c r="BS436" s="2424">
        <f t="shared" ref="BS436:BV436" si="1722">BS390</f>
        <v>105832047</v>
      </c>
      <c r="BT436" s="2424">
        <f t="shared" si="1722"/>
        <v>36945064.11521925</v>
      </c>
      <c r="BU436" s="2424">
        <f t="shared" si="1722"/>
        <v>18862479.167900883</v>
      </c>
      <c r="BV436" s="2424">
        <f t="shared" si="1722"/>
        <v>50024503.716879867</v>
      </c>
      <c r="BW436" s="3264"/>
      <c r="BX436" s="3405"/>
      <c r="BY436" s="3406"/>
      <c r="BZ436" s="3406"/>
      <c r="CA436" s="2424">
        <f t="shared" ref="CA436:CD436" si="1723">CA390</f>
        <v>105832047</v>
      </c>
      <c r="CB436" s="2424">
        <f t="shared" si="1723"/>
        <v>36945064.11521925</v>
      </c>
      <c r="CC436" s="2424">
        <f t="shared" si="1723"/>
        <v>18862479.167900883</v>
      </c>
      <c r="CD436" s="2424">
        <f t="shared" si="1723"/>
        <v>50024503.716879867</v>
      </c>
      <c r="CE436" s="3264"/>
      <c r="CF436" s="3405"/>
      <c r="CG436" s="3406"/>
      <c r="CH436" s="3406"/>
      <c r="CI436" s="2424">
        <f t="shared" ref="CI436:CL436" si="1724">CI390</f>
        <v>105832047</v>
      </c>
      <c r="CJ436" s="2424">
        <f t="shared" si="1724"/>
        <v>36945064.11521925</v>
      </c>
      <c r="CK436" s="2424">
        <f t="shared" si="1724"/>
        <v>18862479.167900883</v>
      </c>
      <c r="CL436" s="2424">
        <f t="shared" si="1724"/>
        <v>50024503.716879867</v>
      </c>
      <c r="CM436" s="3264"/>
      <c r="CN436" s="3405"/>
      <c r="CO436" s="3406"/>
      <c r="CP436" s="3406"/>
      <c r="CQ436" s="2424">
        <f t="shared" ref="CQ436:CT436" si="1725">CQ390</f>
        <v>105832047</v>
      </c>
      <c r="CR436" s="2424">
        <f t="shared" si="1725"/>
        <v>36945064.11521925</v>
      </c>
      <c r="CS436" s="2424">
        <f t="shared" si="1725"/>
        <v>18862479.167900883</v>
      </c>
      <c r="CT436" s="2424">
        <f t="shared" si="1725"/>
        <v>50024503.716879867</v>
      </c>
      <c r="CU436" s="3264"/>
      <c r="CV436" s="3405"/>
      <c r="CW436" s="3406"/>
      <c r="CX436" s="3406"/>
      <c r="CY436" s="2424">
        <f t="shared" ref="CY436:DB436" si="1726">CY390</f>
        <v>105832047</v>
      </c>
      <c r="CZ436" s="2424">
        <f t="shared" si="1726"/>
        <v>36945064.11521925</v>
      </c>
      <c r="DA436" s="2424">
        <f t="shared" si="1726"/>
        <v>18862479.167900883</v>
      </c>
      <c r="DB436" s="2424">
        <f t="shared" si="1726"/>
        <v>50024503.716879867</v>
      </c>
      <c r="DC436" s="3264"/>
      <c r="DD436" s="3405"/>
      <c r="DE436" s="3406"/>
      <c r="DF436" s="3406"/>
      <c r="DG436" s="2424">
        <f t="shared" ref="DG436:DJ436" si="1727">DG390</f>
        <v>105832047</v>
      </c>
      <c r="DH436" s="2424">
        <f t="shared" si="1727"/>
        <v>36945064.11521925</v>
      </c>
      <c r="DI436" s="2424">
        <f t="shared" si="1727"/>
        <v>18862479.167900883</v>
      </c>
      <c r="DJ436" s="2424">
        <f t="shared" si="1727"/>
        <v>50024503.716879867</v>
      </c>
      <c r="DK436" s="3264"/>
      <c r="DL436" s="3405"/>
      <c r="DM436" s="3406"/>
      <c r="DN436" s="3406"/>
      <c r="DO436" s="2424">
        <f t="shared" ref="DO436:DR436" si="1728">DO390</f>
        <v>105832047</v>
      </c>
      <c r="DP436" s="2424">
        <f t="shared" si="1728"/>
        <v>36945064.11521925</v>
      </c>
      <c r="DQ436" s="2424">
        <f t="shared" si="1728"/>
        <v>18862479.167900883</v>
      </c>
      <c r="DR436" s="2424">
        <f t="shared" si="1728"/>
        <v>50024503.716879867</v>
      </c>
      <c r="DS436" s="3264"/>
      <c r="DT436" s="3405"/>
      <c r="DU436" s="3406"/>
      <c r="DV436" s="3406"/>
      <c r="DW436" s="2424">
        <f t="shared" ref="DW436:DZ436" si="1729">DW390</f>
        <v>105832047</v>
      </c>
      <c r="DX436" s="2424">
        <f t="shared" si="1729"/>
        <v>36945064.11521925</v>
      </c>
      <c r="DY436" s="2424">
        <f t="shared" si="1729"/>
        <v>18862479.167900883</v>
      </c>
      <c r="DZ436" s="2424">
        <f t="shared" si="1729"/>
        <v>50024503.716879867</v>
      </c>
      <c r="EA436" s="3264"/>
      <c r="EB436" s="3405"/>
      <c r="EC436" s="3406"/>
      <c r="ED436" s="3406"/>
      <c r="EE436" s="2424">
        <f t="shared" ref="EE436:EH436" si="1730">EE390</f>
        <v>105832047</v>
      </c>
      <c r="EF436" s="2424">
        <f t="shared" si="1730"/>
        <v>36945064.11521925</v>
      </c>
      <c r="EG436" s="2424">
        <f t="shared" si="1730"/>
        <v>18862479.167900883</v>
      </c>
      <c r="EH436" s="2424">
        <f t="shared" si="1730"/>
        <v>50024503.716879867</v>
      </c>
      <c r="EI436" s="3264"/>
      <c r="EJ436" s="3405"/>
      <c r="EK436" s="3406"/>
      <c r="EL436" s="3406"/>
      <c r="EM436" s="2424">
        <f t="shared" ref="EM436:EP436" si="1731">EM390</f>
        <v>105832047</v>
      </c>
      <c r="EN436" s="2424">
        <f t="shared" si="1731"/>
        <v>36945064.11521925</v>
      </c>
      <c r="EO436" s="2424">
        <f t="shared" si="1731"/>
        <v>18862479.167900883</v>
      </c>
      <c r="EP436" s="2424">
        <f t="shared" si="1731"/>
        <v>50024503.716879867</v>
      </c>
      <c r="EQ436" s="3264"/>
      <c r="ER436" s="3405"/>
      <c r="ES436" s="3406"/>
      <c r="ET436" s="3406"/>
      <c r="EU436" s="2424">
        <f t="shared" ref="EU436:EX436" si="1732">EU390</f>
        <v>105832047</v>
      </c>
      <c r="EV436" s="2424">
        <f t="shared" si="1732"/>
        <v>36945064.11521925</v>
      </c>
      <c r="EW436" s="2424">
        <f t="shared" si="1732"/>
        <v>18862479.167900883</v>
      </c>
      <c r="EX436" s="2424">
        <f t="shared" si="1732"/>
        <v>50024503.716879867</v>
      </c>
      <c r="EY436" s="3264"/>
      <c r="EZ436" s="3405"/>
      <c r="FA436" s="3406"/>
      <c r="FB436" s="3406"/>
      <c r="FC436" s="2424">
        <f t="shared" ref="FC436:FF436" si="1733">FC390</f>
        <v>105832047</v>
      </c>
      <c r="FD436" s="2424">
        <f t="shared" si="1733"/>
        <v>36945064.11521925</v>
      </c>
      <c r="FE436" s="2424">
        <f t="shared" si="1733"/>
        <v>18862479.167900883</v>
      </c>
      <c r="FF436" s="2424">
        <f t="shared" si="1733"/>
        <v>50024503.716879867</v>
      </c>
      <c r="FG436" s="3264"/>
      <c r="FH436" s="3405"/>
      <c r="FI436" s="3406"/>
      <c r="FJ436" s="3406"/>
      <c r="FK436" s="2424">
        <f t="shared" ref="FK436:FN436" si="1734">FK390</f>
        <v>105832047</v>
      </c>
      <c r="FL436" s="2424">
        <f t="shared" si="1734"/>
        <v>36945064.11521925</v>
      </c>
      <c r="FM436" s="2424">
        <f t="shared" si="1734"/>
        <v>18862479.167900883</v>
      </c>
      <c r="FN436" s="2424">
        <f t="shared" si="1734"/>
        <v>50024503.716879867</v>
      </c>
      <c r="FO436" s="3264"/>
    </row>
    <row r="437" spans="2:171">
      <c r="B437" s="3086"/>
      <c r="C437" s="3086" t="s">
        <v>134</v>
      </c>
      <c r="D437" s="3405"/>
      <c r="E437" s="3234" t="str">
        <f t="shared" si="1713"/>
        <v>PTD</v>
      </c>
      <c r="G437" s="2424">
        <f t="shared" si="1714"/>
        <v>381575</v>
      </c>
      <c r="H437" s="2424">
        <f t="shared" si="1714"/>
        <v>133204.57497873763</v>
      </c>
      <c r="I437" s="2424">
        <f t="shared" si="1714"/>
        <v>0</v>
      </c>
      <c r="J437" s="2424">
        <f t="shared" si="1714"/>
        <v>248370.42502126237</v>
      </c>
      <c r="K437" s="3411"/>
      <c r="L437" s="3405"/>
      <c r="M437" s="3406"/>
      <c r="N437" s="3406"/>
      <c r="O437" s="2424">
        <f t="shared" ref="O437:R437" si="1735">O391</f>
        <v>381575</v>
      </c>
      <c r="P437" s="2424">
        <f t="shared" si="1735"/>
        <v>133204.57497873763</v>
      </c>
      <c r="Q437" s="2424">
        <f t="shared" si="1735"/>
        <v>68008.232785025684</v>
      </c>
      <c r="R437" s="2424">
        <f t="shared" si="1735"/>
        <v>180362.19223623667</v>
      </c>
      <c r="S437" s="3411"/>
      <c r="T437" s="3405"/>
      <c r="U437" s="3406"/>
      <c r="V437" s="3406"/>
      <c r="W437" s="2424">
        <f t="shared" ref="W437:Z437" si="1736">W391</f>
        <v>381575</v>
      </c>
      <c r="X437" s="2424">
        <f t="shared" si="1736"/>
        <v>133204.57497873763</v>
      </c>
      <c r="Y437" s="2424">
        <f t="shared" si="1736"/>
        <v>68008.232785025684</v>
      </c>
      <c r="Z437" s="2424">
        <f t="shared" si="1736"/>
        <v>180362.19223623667</v>
      </c>
      <c r="AA437" s="3411"/>
      <c r="AB437" s="3405"/>
      <c r="AC437" s="3406"/>
      <c r="AD437" s="3406"/>
      <c r="AE437" s="2424">
        <f t="shared" ref="AE437:AH437" si="1737">AE391</f>
        <v>381575</v>
      </c>
      <c r="AF437" s="2424">
        <f t="shared" si="1737"/>
        <v>133204.57497873763</v>
      </c>
      <c r="AG437" s="2424">
        <f t="shared" si="1737"/>
        <v>68008.232785025684</v>
      </c>
      <c r="AH437" s="2424">
        <f t="shared" si="1737"/>
        <v>180362.19223623667</v>
      </c>
      <c r="AI437" s="3411"/>
      <c r="AJ437" s="3405"/>
      <c r="AK437" s="3406"/>
      <c r="AL437" s="3406"/>
      <c r="AM437" s="2424">
        <f t="shared" ref="AM437:AP437" si="1738">AM391</f>
        <v>381575</v>
      </c>
      <c r="AN437" s="2424">
        <f t="shared" si="1738"/>
        <v>133204.57497873763</v>
      </c>
      <c r="AO437" s="2424">
        <f t="shared" si="1738"/>
        <v>68008.232785025684</v>
      </c>
      <c r="AP437" s="2424">
        <f t="shared" si="1738"/>
        <v>180362.19223623667</v>
      </c>
      <c r="AQ437" s="3411"/>
      <c r="AR437" s="3405"/>
      <c r="AS437" s="3406"/>
      <c r="AT437" s="3406"/>
      <c r="AU437" s="2424">
        <f t="shared" ref="AU437:AX437" si="1739">AU391</f>
        <v>381575</v>
      </c>
      <c r="AV437" s="2424">
        <f t="shared" si="1739"/>
        <v>133204.57497873763</v>
      </c>
      <c r="AW437" s="2424">
        <f t="shared" si="1739"/>
        <v>68008.232785025684</v>
      </c>
      <c r="AX437" s="2424">
        <f t="shared" si="1739"/>
        <v>180362.19223623667</v>
      </c>
      <c r="AY437" s="3411"/>
      <c r="AZ437" s="3405"/>
      <c r="BA437" s="3406"/>
      <c r="BB437" s="3406"/>
      <c r="BC437" s="2424">
        <f t="shared" ref="BC437:BF437" si="1740">BC391</f>
        <v>381575</v>
      </c>
      <c r="BD437" s="2424">
        <f t="shared" si="1740"/>
        <v>133204.57497873763</v>
      </c>
      <c r="BE437" s="2424">
        <f t="shared" si="1740"/>
        <v>68008.232785025684</v>
      </c>
      <c r="BF437" s="2424">
        <f t="shared" si="1740"/>
        <v>180362.19223623667</v>
      </c>
      <c r="BG437" s="3411"/>
      <c r="BH437" s="3405"/>
      <c r="BI437" s="3406"/>
      <c r="BJ437" s="3406"/>
      <c r="BK437" s="2424">
        <f t="shared" ref="BK437:BN437" si="1741">BK391</f>
        <v>381575</v>
      </c>
      <c r="BL437" s="2424">
        <f t="shared" si="1741"/>
        <v>133204.57497873763</v>
      </c>
      <c r="BM437" s="2424">
        <f t="shared" si="1741"/>
        <v>68008.232785025684</v>
      </c>
      <c r="BN437" s="2424">
        <f t="shared" si="1741"/>
        <v>180362.19223623667</v>
      </c>
      <c r="BO437" s="3411"/>
      <c r="BP437" s="3405"/>
      <c r="BQ437" s="3406"/>
      <c r="BR437" s="3406"/>
      <c r="BS437" s="2424">
        <f t="shared" ref="BS437:BV437" si="1742">BS391</f>
        <v>381575</v>
      </c>
      <c r="BT437" s="2424">
        <f t="shared" si="1742"/>
        <v>133204.57497873763</v>
      </c>
      <c r="BU437" s="2424">
        <f t="shared" si="1742"/>
        <v>68008.232785025684</v>
      </c>
      <c r="BV437" s="2424">
        <f t="shared" si="1742"/>
        <v>180362.19223623667</v>
      </c>
      <c r="BW437" s="3411"/>
      <c r="BX437" s="3405"/>
      <c r="BY437" s="3406"/>
      <c r="BZ437" s="3406"/>
      <c r="CA437" s="2424">
        <f t="shared" ref="CA437:CD437" si="1743">CA391</f>
        <v>381575</v>
      </c>
      <c r="CB437" s="2424">
        <f t="shared" si="1743"/>
        <v>133204.57497873763</v>
      </c>
      <c r="CC437" s="2424">
        <f t="shared" si="1743"/>
        <v>68008.232785025684</v>
      </c>
      <c r="CD437" s="2424">
        <f t="shared" si="1743"/>
        <v>180362.19223623667</v>
      </c>
      <c r="CE437" s="3411"/>
      <c r="CF437" s="3405"/>
      <c r="CG437" s="3406"/>
      <c r="CH437" s="3406"/>
      <c r="CI437" s="2424">
        <f t="shared" ref="CI437:CL437" si="1744">CI391</f>
        <v>381575</v>
      </c>
      <c r="CJ437" s="2424">
        <f t="shared" si="1744"/>
        <v>133204.57497873763</v>
      </c>
      <c r="CK437" s="2424">
        <f t="shared" si="1744"/>
        <v>68008.232785025684</v>
      </c>
      <c r="CL437" s="2424">
        <f t="shared" si="1744"/>
        <v>180362.19223623667</v>
      </c>
      <c r="CM437" s="3411"/>
      <c r="CN437" s="3405"/>
      <c r="CO437" s="3406"/>
      <c r="CP437" s="3406"/>
      <c r="CQ437" s="2424">
        <f t="shared" ref="CQ437:CT437" si="1745">CQ391</f>
        <v>381575</v>
      </c>
      <c r="CR437" s="2424">
        <f t="shared" si="1745"/>
        <v>133204.57497873763</v>
      </c>
      <c r="CS437" s="2424">
        <f t="shared" si="1745"/>
        <v>68008.232785025684</v>
      </c>
      <c r="CT437" s="2424">
        <f t="shared" si="1745"/>
        <v>180362.19223623667</v>
      </c>
      <c r="CU437" s="3411"/>
      <c r="CV437" s="3405"/>
      <c r="CW437" s="3406"/>
      <c r="CX437" s="3406"/>
      <c r="CY437" s="2424">
        <f t="shared" ref="CY437:DB437" si="1746">CY391</f>
        <v>381575</v>
      </c>
      <c r="CZ437" s="2424">
        <f t="shared" si="1746"/>
        <v>133204.57497873763</v>
      </c>
      <c r="DA437" s="2424">
        <f t="shared" si="1746"/>
        <v>68008.232785025684</v>
      </c>
      <c r="DB437" s="2424">
        <f t="shared" si="1746"/>
        <v>180362.19223623667</v>
      </c>
      <c r="DC437" s="3411"/>
      <c r="DD437" s="3405"/>
      <c r="DE437" s="3406"/>
      <c r="DF437" s="3406"/>
      <c r="DG437" s="2424">
        <f t="shared" ref="DG437:DJ437" si="1747">DG391</f>
        <v>381575</v>
      </c>
      <c r="DH437" s="2424">
        <f t="shared" si="1747"/>
        <v>133204.57497873763</v>
      </c>
      <c r="DI437" s="2424">
        <f t="shared" si="1747"/>
        <v>68008.232785025684</v>
      </c>
      <c r="DJ437" s="2424">
        <f t="shared" si="1747"/>
        <v>180362.19223623667</v>
      </c>
      <c r="DK437" s="3411"/>
      <c r="DL437" s="3405"/>
      <c r="DM437" s="3406"/>
      <c r="DN437" s="3406"/>
      <c r="DO437" s="2424">
        <f t="shared" ref="DO437:DR437" si="1748">DO391</f>
        <v>381575</v>
      </c>
      <c r="DP437" s="2424">
        <f t="shared" si="1748"/>
        <v>133204.57497873763</v>
      </c>
      <c r="DQ437" s="2424">
        <f t="shared" si="1748"/>
        <v>68008.232785025684</v>
      </c>
      <c r="DR437" s="2424">
        <f t="shared" si="1748"/>
        <v>180362.19223623667</v>
      </c>
      <c r="DS437" s="3411"/>
      <c r="DT437" s="3405"/>
      <c r="DU437" s="3406"/>
      <c r="DV437" s="3406"/>
      <c r="DW437" s="2424">
        <f t="shared" ref="DW437:DZ437" si="1749">DW391</f>
        <v>381575</v>
      </c>
      <c r="DX437" s="2424">
        <f t="shared" si="1749"/>
        <v>133204.57497873763</v>
      </c>
      <c r="DY437" s="2424">
        <f t="shared" si="1749"/>
        <v>68008.232785025684</v>
      </c>
      <c r="DZ437" s="2424">
        <f t="shared" si="1749"/>
        <v>180362.19223623667</v>
      </c>
      <c r="EA437" s="3411"/>
      <c r="EB437" s="3405"/>
      <c r="EC437" s="3406"/>
      <c r="ED437" s="3406"/>
      <c r="EE437" s="2424">
        <f t="shared" ref="EE437:EH437" si="1750">EE391</f>
        <v>381575</v>
      </c>
      <c r="EF437" s="2424">
        <f t="shared" si="1750"/>
        <v>133204.57497873763</v>
      </c>
      <c r="EG437" s="2424">
        <f t="shared" si="1750"/>
        <v>68008.232785025684</v>
      </c>
      <c r="EH437" s="2424">
        <f t="shared" si="1750"/>
        <v>180362.19223623667</v>
      </c>
      <c r="EI437" s="3411"/>
      <c r="EJ437" s="3405"/>
      <c r="EK437" s="3406"/>
      <c r="EL437" s="3406"/>
      <c r="EM437" s="2424">
        <f t="shared" ref="EM437:EP437" si="1751">EM391</f>
        <v>381575</v>
      </c>
      <c r="EN437" s="2424">
        <f t="shared" si="1751"/>
        <v>133204.57497873763</v>
      </c>
      <c r="EO437" s="2424">
        <f t="shared" si="1751"/>
        <v>68008.232785025684</v>
      </c>
      <c r="EP437" s="2424">
        <f t="shared" si="1751"/>
        <v>180362.19223623667</v>
      </c>
      <c r="EQ437" s="3411"/>
      <c r="ER437" s="3405"/>
      <c r="ES437" s="3406"/>
      <c r="ET437" s="3406"/>
      <c r="EU437" s="2424">
        <f t="shared" ref="EU437:EX437" si="1752">EU391</f>
        <v>381575</v>
      </c>
      <c r="EV437" s="2424">
        <f t="shared" si="1752"/>
        <v>133204.57497873763</v>
      </c>
      <c r="EW437" s="2424">
        <f t="shared" si="1752"/>
        <v>68008.232785025684</v>
      </c>
      <c r="EX437" s="2424">
        <f t="shared" si="1752"/>
        <v>180362.19223623667</v>
      </c>
      <c r="EY437" s="3411"/>
      <c r="EZ437" s="3405"/>
      <c r="FA437" s="3406"/>
      <c r="FB437" s="3406"/>
      <c r="FC437" s="2424">
        <f t="shared" ref="FC437:FF437" si="1753">FC391</f>
        <v>381575</v>
      </c>
      <c r="FD437" s="2424">
        <f t="shared" si="1753"/>
        <v>133204.57497873763</v>
      </c>
      <c r="FE437" s="2424">
        <f t="shared" si="1753"/>
        <v>68008.232785025684</v>
      </c>
      <c r="FF437" s="2424">
        <f t="shared" si="1753"/>
        <v>180362.19223623667</v>
      </c>
      <c r="FG437" s="3411"/>
      <c r="FH437" s="3405"/>
      <c r="FI437" s="3406"/>
      <c r="FJ437" s="3406"/>
      <c r="FK437" s="2424">
        <f t="shared" ref="FK437:FN437" si="1754">FK391</f>
        <v>381575</v>
      </c>
      <c r="FL437" s="2424">
        <f t="shared" si="1754"/>
        <v>133204.57497873763</v>
      </c>
      <c r="FM437" s="2424">
        <f t="shared" si="1754"/>
        <v>68008.232785025684</v>
      </c>
      <c r="FN437" s="2424">
        <f t="shared" si="1754"/>
        <v>180362.19223623667</v>
      </c>
      <c r="FO437" s="3411"/>
    </row>
    <row r="438" spans="2:171">
      <c r="B438" s="3086"/>
      <c r="C438" s="3086" t="s">
        <v>522</v>
      </c>
      <c r="D438" s="3405"/>
      <c r="E438" s="3095"/>
      <c r="F438" s="3406"/>
      <c r="G438" s="3244">
        <f>SUM(G434:G437)</f>
        <v>264532489</v>
      </c>
      <c r="H438" s="3244">
        <f>SUM(H434:H437)</f>
        <v>92053396.87212044</v>
      </c>
      <c r="I438" s="3244">
        <f>SUM(I434:I437)</f>
        <v>0</v>
      </c>
      <c r="J438" s="3244">
        <f>SUM(J434:J437)</f>
        <v>172479092.12787959</v>
      </c>
      <c r="K438" s="3264"/>
      <c r="L438" s="3405"/>
      <c r="M438" s="3406"/>
      <c r="N438" s="3406"/>
      <c r="O438" s="3244">
        <f>SUM(O434:O437)</f>
        <v>264532489</v>
      </c>
      <c r="P438" s="3244">
        <f>SUM(P434:P437)</f>
        <v>92053396.87212044</v>
      </c>
      <c r="Q438" s="3244">
        <f>SUM(Q434:Q437)</f>
        <v>43230722.836696871</v>
      </c>
      <c r="R438" s="3244">
        <f>SUM(R434:R437)</f>
        <v>129248369.29118271</v>
      </c>
      <c r="S438" s="3264"/>
      <c r="T438" s="3405"/>
      <c r="U438" s="3406"/>
      <c r="V438" s="3406"/>
      <c r="W438" s="3244">
        <f>SUM(W434:W437)</f>
        <v>264532489</v>
      </c>
      <c r="X438" s="3244">
        <f>SUM(X434:X437)</f>
        <v>92053396.87212044</v>
      </c>
      <c r="Y438" s="3244">
        <f>SUM(Y434:Y437)</f>
        <v>43230722.836696871</v>
      </c>
      <c r="Z438" s="3244">
        <f>SUM(Z434:Z437)</f>
        <v>129248369.29118271</v>
      </c>
      <c r="AA438" s="3264"/>
      <c r="AB438" s="3405"/>
      <c r="AC438" s="3406"/>
      <c r="AD438" s="3406"/>
      <c r="AE438" s="3244">
        <f>SUM(AE434:AE437)</f>
        <v>264532489</v>
      </c>
      <c r="AF438" s="3244">
        <f>SUM(AF434:AF437)</f>
        <v>92053396.87212044</v>
      </c>
      <c r="AG438" s="3244">
        <f>SUM(AG434:AG437)</f>
        <v>43230722.836696871</v>
      </c>
      <c r="AH438" s="3244">
        <f>SUM(AH434:AH437)</f>
        <v>129248369.29118271</v>
      </c>
      <c r="AI438" s="3264"/>
      <c r="AJ438" s="3405"/>
      <c r="AK438" s="3406"/>
      <c r="AL438" s="3406"/>
      <c r="AM438" s="3244">
        <f>SUM(AM434:AM437)</f>
        <v>264532489</v>
      </c>
      <c r="AN438" s="3244">
        <f>SUM(AN434:AN437)</f>
        <v>92053396.87212044</v>
      </c>
      <c r="AO438" s="3244">
        <f>SUM(AO434:AO437)</f>
        <v>43230722.836696871</v>
      </c>
      <c r="AP438" s="3244">
        <f>SUM(AP434:AP437)</f>
        <v>129248369.29118271</v>
      </c>
      <c r="AQ438" s="3264"/>
      <c r="AR438" s="3405"/>
      <c r="AS438" s="3406"/>
      <c r="AT438" s="3406"/>
      <c r="AU438" s="3244">
        <f>SUM(AU434:AU437)</f>
        <v>264532489</v>
      </c>
      <c r="AV438" s="3244">
        <f>SUM(AV434:AV437)</f>
        <v>92053396.87212044</v>
      </c>
      <c r="AW438" s="3244">
        <f>SUM(AW434:AW437)</f>
        <v>43230722.836696871</v>
      </c>
      <c r="AX438" s="3244">
        <f>SUM(AX434:AX437)</f>
        <v>129248369.29118271</v>
      </c>
      <c r="AY438" s="3264"/>
      <c r="AZ438" s="3405"/>
      <c r="BA438" s="3406"/>
      <c r="BB438" s="3406"/>
      <c r="BC438" s="3244">
        <f>SUM(BC434:BC437)</f>
        <v>264532489</v>
      </c>
      <c r="BD438" s="3244">
        <f>SUM(BD434:BD437)</f>
        <v>92053396.87212044</v>
      </c>
      <c r="BE438" s="3244">
        <f>SUM(BE434:BE437)</f>
        <v>43230722.836696871</v>
      </c>
      <c r="BF438" s="3244">
        <f>SUM(BF434:BF437)</f>
        <v>129248369.29118271</v>
      </c>
      <c r="BG438" s="3264"/>
      <c r="BH438" s="3405"/>
      <c r="BI438" s="3406"/>
      <c r="BJ438" s="3406"/>
      <c r="BK438" s="3244">
        <f>SUM(BK434:BK437)</f>
        <v>264532489</v>
      </c>
      <c r="BL438" s="3244">
        <f>SUM(BL434:BL437)</f>
        <v>92053396.87212044</v>
      </c>
      <c r="BM438" s="3244">
        <f>SUM(BM434:BM437)</f>
        <v>43230722.836696871</v>
      </c>
      <c r="BN438" s="3244">
        <f>SUM(BN434:BN437)</f>
        <v>129248369.29118271</v>
      </c>
      <c r="BO438" s="3264"/>
      <c r="BP438" s="3405"/>
      <c r="BQ438" s="3406"/>
      <c r="BR438" s="3406"/>
      <c r="BS438" s="3244">
        <f>SUM(BS434:BS437)</f>
        <v>264532489</v>
      </c>
      <c r="BT438" s="3244">
        <f>SUM(BT434:BT437)</f>
        <v>92053396.87212044</v>
      </c>
      <c r="BU438" s="3244">
        <f>SUM(BU434:BU437)</f>
        <v>43230722.836696871</v>
      </c>
      <c r="BV438" s="3244">
        <f>SUM(BV434:BV437)</f>
        <v>129248369.29118271</v>
      </c>
      <c r="BW438" s="3264"/>
      <c r="BX438" s="3405"/>
      <c r="BY438" s="3406"/>
      <c r="BZ438" s="3406"/>
      <c r="CA438" s="3244">
        <f>SUM(CA434:CA437)</f>
        <v>264532489</v>
      </c>
      <c r="CB438" s="3244">
        <f>SUM(CB434:CB437)</f>
        <v>92053396.87212044</v>
      </c>
      <c r="CC438" s="3244">
        <f>SUM(CC434:CC437)</f>
        <v>43230722.836696871</v>
      </c>
      <c r="CD438" s="3244">
        <f>SUM(CD434:CD437)</f>
        <v>129248369.29118271</v>
      </c>
      <c r="CE438" s="3264"/>
      <c r="CF438" s="3405"/>
      <c r="CG438" s="3406"/>
      <c r="CH438" s="3406"/>
      <c r="CI438" s="3244">
        <f>SUM(CI434:CI437)</f>
        <v>264532489</v>
      </c>
      <c r="CJ438" s="3244">
        <f>SUM(CJ434:CJ437)</f>
        <v>92053396.87212044</v>
      </c>
      <c r="CK438" s="3244">
        <f>SUM(CK434:CK437)</f>
        <v>43230722.836696871</v>
      </c>
      <c r="CL438" s="3244">
        <f>SUM(CL434:CL437)</f>
        <v>129248369.29118271</v>
      </c>
      <c r="CM438" s="3264"/>
      <c r="CN438" s="3405"/>
      <c r="CO438" s="3406"/>
      <c r="CP438" s="3406"/>
      <c r="CQ438" s="3244">
        <f>SUM(CQ434:CQ437)</f>
        <v>264532489</v>
      </c>
      <c r="CR438" s="3244">
        <f>SUM(CR434:CR437)</f>
        <v>92053396.87212044</v>
      </c>
      <c r="CS438" s="3244">
        <f>SUM(CS434:CS437)</f>
        <v>43230722.836696871</v>
      </c>
      <c r="CT438" s="3244">
        <f>SUM(CT434:CT437)</f>
        <v>129248369.29118271</v>
      </c>
      <c r="CU438" s="3264"/>
      <c r="CV438" s="3405"/>
      <c r="CW438" s="3406"/>
      <c r="CX438" s="3406"/>
      <c r="CY438" s="3244">
        <f>SUM(CY434:CY437)</f>
        <v>264532489</v>
      </c>
      <c r="CZ438" s="3244">
        <f>SUM(CZ434:CZ437)</f>
        <v>92053396.87212044</v>
      </c>
      <c r="DA438" s="3244">
        <f>SUM(DA434:DA437)</f>
        <v>43230722.836696871</v>
      </c>
      <c r="DB438" s="3244">
        <f>SUM(DB434:DB437)</f>
        <v>129248369.29118271</v>
      </c>
      <c r="DC438" s="3264"/>
      <c r="DD438" s="3405"/>
      <c r="DE438" s="3406"/>
      <c r="DF438" s="3406"/>
      <c r="DG438" s="3244">
        <f>SUM(DG434:DG437)</f>
        <v>264532489</v>
      </c>
      <c r="DH438" s="3244">
        <f>SUM(DH434:DH437)</f>
        <v>92053396.87212044</v>
      </c>
      <c r="DI438" s="3244">
        <f>SUM(DI434:DI437)</f>
        <v>43230722.836696871</v>
      </c>
      <c r="DJ438" s="3244">
        <f>SUM(DJ434:DJ437)</f>
        <v>129248369.29118271</v>
      </c>
      <c r="DK438" s="3264"/>
      <c r="DL438" s="3405"/>
      <c r="DM438" s="3406"/>
      <c r="DN438" s="3406"/>
      <c r="DO438" s="3244">
        <f>SUM(DO434:DO437)</f>
        <v>264532489</v>
      </c>
      <c r="DP438" s="3244">
        <f>SUM(DP434:DP437)</f>
        <v>92053396.87212044</v>
      </c>
      <c r="DQ438" s="3244">
        <f>SUM(DQ434:DQ437)</f>
        <v>43230722.836696871</v>
      </c>
      <c r="DR438" s="3244">
        <f>SUM(DR434:DR437)</f>
        <v>129248369.29118271</v>
      </c>
      <c r="DS438" s="3264"/>
      <c r="DT438" s="3405"/>
      <c r="DU438" s="3406"/>
      <c r="DV438" s="3406"/>
      <c r="DW438" s="3244">
        <f>SUM(DW434:DW437)</f>
        <v>264532489</v>
      </c>
      <c r="DX438" s="3244">
        <f>SUM(DX434:DX437)</f>
        <v>92053396.87212044</v>
      </c>
      <c r="DY438" s="3244">
        <f>SUM(DY434:DY437)</f>
        <v>43230722.836696871</v>
      </c>
      <c r="DZ438" s="3244">
        <f>SUM(DZ434:DZ437)</f>
        <v>129248369.29118271</v>
      </c>
      <c r="EA438" s="3264"/>
      <c r="EB438" s="3405"/>
      <c r="EC438" s="3406"/>
      <c r="ED438" s="3406"/>
      <c r="EE438" s="3244">
        <f>SUM(EE434:EE437)</f>
        <v>264532489</v>
      </c>
      <c r="EF438" s="3244">
        <f>SUM(EF434:EF437)</f>
        <v>92053396.87212044</v>
      </c>
      <c r="EG438" s="3244">
        <f>SUM(EG434:EG437)</f>
        <v>43230722.836696871</v>
      </c>
      <c r="EH438" s="3244">
        <f>SUM(EH434:EH437)</f>
        <v>129248369.29118271</v>
      </c>
      <c r="EI438" s="3264"/>
      <c r="EJ438" s="3405"/>
      <c r="EK438" s="3406"/>
      <c r="EL438" s="3406"/>
      <c r="EM438" s="3244">
        <f>SUM(EM434:EM437)</f>
        <v>264532489</v>
      </c>
      <c r="EN438" s="3244">
        <f>SUM(EN434:EN437)</f>
        <v>92053396.87212044</v>
      </c>
      <c r="EO438" s="3244">
        <f>SUM(EO434:EO437)</f>
        <v>43230722.836696871</v>
      </c>
      <c r="EP438" s="3244">
        <f>SUM(EP434:EP437)</f>
        <v>129248369.29118271</v>
      </c>
      <c r="EQ438" s="3264"/>
      <c r="ER438" s="3405"/>
      <c r="ES438" s="3406"/>
      <c r="ET438" s="3406"/>
      <c r="EU438" s="3244">
        <f>SUM(EU434:EU437)</f>
        <v>264532489</v>
      </c>
      <c r="EV438" s="3244">
        <f>SUM(EV434:EV437)</f>
        <v>92053396.87212044</v>
      </c>
      <c r="EW438" s="3244">
        <f>SUM(EW434:EW437)</f>
        <v>43230722.836696871</v>
      </c>
      <c r="EX438" s="3244">
        <f>SUM(EX434:EX437)</f>
        <v>129248369.29118271</v>
      </c>
      <c r="EY438" s="3264"/>
      <c r="EZ438" s="3405"/>
      <c r="FA438" s="3406"/>
      <c r="FB438" s="3406"/>
      <c r="FC438" s="3244">
        <f>SUM(FC434:FC437)</f>
        <v>264532489</v>
      </c>
      <c r="FD438" s="3244">
        <f>SUM(FD434:FD437)</f>
        <v>92053396.87212044</v>
      </c>
      <c r="FE438" s="3244">
        <f>SUM(FE434:FE437)</f>
        <v>43230722.836696871</v>
      </c>
      <c r="FF438" s="3244">
        <f>SUM(FF434:FF437)</f>
        <v>129248369.29118271</v>
      </c>
      <c r="FG438" s="3264"/>
      <c r="FH438" s="3405"/>
      <c r="FI438" s="3406"/>
      <c r="FJ438" s="3406"/>
      <c r="FK438" s="3244">
        <f>SUM(FK434:FK437)</f>
        <v>264532489</v>
      </c>
      <c r="FL438" s="3244">
        <f>SUM(FL434:FL437)</f>
        <v>92053396.87212044</v>
      </c>
      <c r="FM438" s="3244">
        <f>SUM(FM434:FM437)</f>
        <v>43230722.836696871</v>
      </c>
      <c r="FN438" s="3244">
        <f>SUM(FN434:FN437)</f>
        <v>129248369.29118271</v>
      </c>
      <c r="FO438" s="3264"/>
    </row>
    <row r="439" spans="2:171">
      <c r="B439" s="3114"/>
      <c r="C439" s="3114" t="s">
        <v>344</v>
      </c>
      <c r="D439" s="3407" t="s">
        <v>631</v>
      </c>
      <c r="E439" s="3125"/>
      <c r="F439" s="3412"/>
      <c r="G439" s="3402">
        <f>SUM(H439:J439)</f>
        <v>1</v>
      </c>
      <c r="H439" s="3402">
        <f>H438/G438</f>
        <v>0.34798522185348824</v>
      </c>
      <c r="I439" s="3402">
        <f>I438/G438</f>
        <v>0</v>
      </c>
      <c r="J439" s="3402">
        <f>J438/G438</f>
        <v>0.65201477814651188</v>
      </c>
      <c r="K439" s="3264"/>
      <c r="L439" s="3403" t="s">
        <v>631</v>
      </c>
      <c r="M439" s="3412"/>
      <c r="N439" s="3412"/>
      <c r="O439" s="3402">
        <f>SUM(P439:R439)</f>
        <v>1</v>
      </c>
      <c r="P439" s="3402">
        <f>P438/O438</f>
        <v>0.34798522185348824</v>
      </c>
      <c r="Q439" s="3402">
        <f>Q438/O438</f>
        <v>0.16342311297988379</v>
      </c>
      <c r="R439" s="3402">
        <f>R438/O438</f>
        <v>0.48859166516662805</v>
      </c>
      <c r="S439" s="3264"/>
      <c r="T439" s="3403" t="s">
        <v>631</v>
      </c>
      <c r="U439" s="3412"/>
      <c r="V439" s="3412"/>
      <c r="W439" s="3402">
        <f>SUM(X439:Z439)</f>
        <v>1</v>
      </c>
      <c r="X439" s="3402">
        <f>X438/W438</f>
        <v>0.34798522185348824</v>
      </c>
      <c r="Y439" s="3402">
        <f>Y438/W438</f>
        <v>0.16342311297988379</v>
      </c>
      <c r="Z439" s="3402">
        <f>Z438/W438</f>
        <v>0.48859166516662805</v>
      </c>
      <c r="AA439" s="3264"/>
      <c r="AB439" s="3403" t="s">
        <v>631</v>
      </c>
      <c r="AC439" s="3412"/>
      <c r="AD439" s="3412"/>
      <c r="AE439" s="3402">
        <f>SUM(AF439:AH439)</f>
        <v>1</v>
      </c>
      <c r="AF439" s="3402">
        <f>AF438/AE438</f>
        <v>0.34798522185348824</v>
      </c>
      <c r="AG439" s="3402">
        <f>AG438/AE438</f>
        <v>0.16342311297988379</v>
      </c>
      <c r="AH439" s="3402">
        <f>AH438/AE438</f>
        <v>0.48859166516662805</v>
      </c>
      <c r="AI439" s="3264"/>
      <c r="AJ439" s="3403" t="s">
        <v>631</v>
      </c>
      <c r="AK439" s="3412"/>
      <c r="AL439" s="3412"/>
      <c r="AM439" s="3402">
        <f>SUM(AN439:AP439)</f>
        <v>1</v>
      </c>
      <c r="AN439" s="3402">
        <f>AN438/AM438</f>
        <v>0.34798522185348824</v>
      </c>
      <c r="AO439" s="3402">
        <f>AO438/AM438</f>
        <v>0.16342311297988379</v>
      </c>
      <c r="AP439" s="3402">
        <f>AP438/AM438</f>
        <v>0.48859166516662805</v>
      </c>
      <c r="AQ439" s="3264"/>
      <c r="AR439" s="3403" t="s">
        <v>631</v>
      </c>
      <c r="AS439" s="3412"/>
      <c r="AT439" s="3412"/>
      <c r="AU439" s="3402">
        <f>SUM(AV439:AX439)</f>
        <v>1</v>
      </c>
      <c r="AV439" s="3402">
        <f>AV438/AU438</f>
        <v>0.34798522185348824</v>
      </c>
      <c r="AW439" s="3402">
        <f>AW438/AU438</f>
        <v>0.16342311297988379</v>
      </c>
      <c r="AX439" s="3402">
        <f>AX438/AU438</f>
        <v>0.48859166516662805</v>
      </c>
      <c r="AY439" s="3264"/>
      <c r="AZ439" s="3403" t="s">
        <v>631</v>
      </c>
      <c r="BA439" s="3412"/>
      <c r="BB439" s="3412"/>
      <c r="BC439" s="3402">
        <f>SUM(BD439:BF439)</f>
        <v>1</v>
      </c>
      <c r="BD439" s="3402">
        <f>BD438/BC438</f>
        <v>0.34798522185348824</v>
      </c>
      <c r="BE439" s="3402">
        <f>BE438/BC438</f>
        <v>0.16342311297988379</v>
      </c>
      <c r="BF439" s="3402">
        <f>BF438/BC438</f>
        <v>0.48859166516662805</v>
      </c>
      <c r="BG439" s="3264"/>
      <c r="BH439" s="3403" t="s">
        <v>631</v>
      </c>
      <c r="BI439" s="3412"/>
      <c r="BJ439" s="3412"/>
      <c r="BK439" s="3402">
        <f>SUM(BL439:BN439)</f>
        <v>1</v>
      </c>
      <c r="BL439" s="3402">
        <f>BL438/BK438</f>
        <v>0.34798522185348824</v>
      </c>
      <c r="BM439" s="3402">
        <f>BM438/BK438</f>
        <v>0.16342311297988379</v>
      </c>
      <c r="BN439" s="3402">
        <f>BN438/BK438</f>
        <v>0.48859166516662805</v>
      </c>
      <c r="BO439" s="3264"/>
      <c r="BP439" s="3403" t="s">
        <v>631</v>
      </c>
      <c r="BQ439" s="3412"/>
      <c r="BR439" s="3412"/>
      <c r="BS439" s="3402">
        <f>SUM(BT439:BV439)</f>
        <v>1</v>
      </c>
      <c r="BT439" s="3402">
        <f>BT438/BS438</f>
        <v>0.34798522185348824</v>
      </c>
      <c r="BU439" s="3402">
        <f>BU438/BS438</f>
        <v>0.16342311297988379</v>
      </c>
      <c r="BV439" s="3402">
        <f>BV438/BS438</f>
        <v>0.48859166516662805</v>
      </c>
      <c r="BW439" s="3264"/>
      <c r="BX439" s="3403" t="s">
        <v>631</v>
      </c>
      <c r="BY439" s="3412"/>
      <c r="BZ439" s="3412"/>
      <c r="CA439" s="3402">
        <f>SUM(CB439:CD439)</f>
        <v>1</v>
      </c>
      <c r="CB439" s="3402">
        <f>CB438/CA438</f>
        <v>0.34798522185348824</v>
      </c>
      <c r="CC439" s="3402">
        <f>CC438/CA438</f>
        <v>0.16342311297988379</v>
      </c>
      <c r="CD439" s="3402">
        <f>CD438/CA438</f>
        <v>0.48859166516662805</v>
      </c>
      <c r="CE439" s="3264"/>
      <c r="CF439" s="3403" t="s">
        <v>631</v>
      </c>
      <c r="CG439" s="3412"/>
      <c r="CH439" s="3412"/>
      <c r="CI439" s="3402">
        <f>SUM(CJ439:CL439)</f>
        <v>1</v>
      </c>
      <c r="CJ439" s="3402">
        <f>CJ438/CI438</f>
        <v>0.34798522185348824</v>
      </c>
      <c r="CK439" s="3402">
        <f>CK438/CI438</f>
        <v>0.16342311297988379</v>
      </c>
      <c r="CL439" s="3402">
        <f>CL438/CI438</f>
        <v>0.48859166516662805</v>
      </c>
      <c r="CM439" s="3264"/>
      <c r="CN439" s="3403" t="s">
        <v>631</v>
      </c>
      <c r="CO439" s="3412"/>
      <c r="CP439" s="3412"/>
      <c r="CQ439" s="3402">
        <f>SUM(CR439:CT439)</f>
        <v>1</v>
      </c>
      <c r="CR439" s="3402">
        <f>CR438/CQ438</f>
        <v>0.34798522185348824</v>
      </c>
      <c r="CS439" s="3402">
        <f>CS438/CQ438</f>
        <v>0.16342311297988379</v>
      </c>
      <c r="CT439" s="3402">
        <f>CT438/CQ438</f>
        <v>0.48859166516662805</v>
      </c>
      <c r="CU439" s="3264"/>
      <c r="CV439" s="3403" t="s">
        <v>631</v>
      </c>
      <c r="CW439" s="3412"/>
      <c r="CX439" s="3412"/>
      <c r="CY439" s="3402">
        <f>SUM(CZ439:DB439)</f>
        <v>1</v>
      </c>
      <c r="CZ439" s="3402">
        <f>CZ438/CY438</f>
        <v>0.34798522185348824</v>
      </c>
      <c r="DA439" s="3402">
        <f>DA438/CY438</f>
        <v>0.16342311297988379</v>
      </c>
      <c r="DB439" s="3402">
        <f>DB438/CY438</f>
        <v>0.48859166516662805</v>
      </c>
      <c r="DC439" s="3264"/>
      <c r="DD439" s="3403" t="s">
        <v>631</v>
      </c>
      <c r="DE439" s="3412"/>
      <c r="DF439" s="3412"/>
      <c r="DG439" s="3402">
        <f>SUM(DH439:DJ439)</f>
        <v>1</v>
      </c>
      <c r="DH439" s="3402">
        <f>DH438/DG438</f>
        <v>0.34798522185348824</v>
      </c>
      <c r="DI439" s="3402">
        <f>DI438/DG438</f>
        <v>0.16342311297988379</v>
      </c>
      <c r="DJ439" s="3402">
        <f>DJ438/DG438</f>
        <v>0.48859166516662805</v>
      </c>
      <c r="DK439" s="3264"/>
      <c r="DL439" s="3403" t="s">
        <v>631</v>
      </c>
      <c r="DM439" s="3412"/>
      <c r="DN439" s="3412"/>
      <c r="DO439" s="3402">
        <f>SUM(DP439:DR439)</f>
        <v>1</v>
      </c>
      <c r="DP439" s="3402">
        <f>DP438/DO438</f>
        <v>0.34798522185348824</v>
      </c>
      <c r="DQ439" s="3402">
        <f>DQ438/DO438</f>
        <v>0.16342311297988379</v>
      </c>
      <c r="DR439" s="3402">
        <f>DR438/DO438</f>
        <v>0.48859166516662805</v>
      </c>
      <c r="DS439" s="3264"/>
      <c r="DT439" s="3403" t="s">
        <v>631</v>
      </c>
      <c r="DU439" s="3412"/>
      <c r="DV439" s="3412"/>
      <c r="DW439" s="3402">
        <f>SUM(DX439:DZ439)</f>
        <v>1</v>
      </c>
      <c r="DX439" s="3402">
        <f>DX438/DW438</f>
        <v>0.34798522185348824</v>
      </c>
      <c r="DY439" s="3402">
        <f>DY438/DW438</f>
        <v>0.16342311297988379</v>
      </c>
      <c r="DZ439" s="3402">
        <f>DZ438/DW438</f>
        <v>0.48859166516662805</v>
      </c>
      <c r="EA439" s="3264"/>
      <c r="EB439" s="3403" t="s">
        <v>631</v>
      </c>
      <c r="EC439" s="3412"/>
      <c r="ED439" s="3412"/>
      <c r="EE439" s="3402">
        <f>SUM(EF439:EH439)</f>
        <v>1</v>
      </c>
      <c r="EF439" s="3402">
        <f>EF438/EE438</f>
        <v>0.34798522185348824</v>
      </c>
      <c r="EG439" s="3402">
        <f>EG438/EE438</f>
        <v>0.16342311297988379</v>
      </c>
      <c r="EH439" s="3402">
        <f>EH438/EE438</f>
        <v>0.48859166516662805</v>
      </c>
      <c r="EI439" s="3264"/>
      <c r="EJ439" s="3403" t="s">
        <v>631</v>
      </c>
      <c r="EK439" s="3412"/>
      <c r="EL439" s="3412"/>
      <c r="EM439" s="3402">
        <f>SUM(EN439:EP439)</f>
        <v>1</v>
      </c>
      <c r="EN439" s="3402">
        <f>EN438/EM438</f>
        <v>0.34798522185348824</v>
      </c>
      <c r="EO439" s="3402">
        <f>EO438/EM438</f>
        <v>0.16342311297988379</v>
      </c>
      <c r="EP439" s="3402">
        <f>EP438/EM438</f>
        <v>0.48859166516662805</v>
      </c>
      <c r="EQ439" s="3264"/>
      <c r="ER439" s="3403" t="s">
        <v>631</v>
      </c>
      <c r="ES439" s="3412"/>
      <c r="ET439" s="3412"/>
      <c r="EU439" s="3402">
        <f>SUM(EV439:EX439)</f>
        <v>1</v>
      </c>
      <c r="EV439" s="3402">
        <f>EV438/EU438</f>
        <v>0.34798522185348824</v>
      </c>
      <c r="EW439" s="3402">
        <f>EW438/EU438</f>
        <v>0.16342311297988379</v>
      </c>
      <c r="EX439" s="3402">
        <f>EX438/EU438</f>
        <v>0.48859166516662805</v>
      </c>
      <c r="EY439" s="3264"/>
      <c r="EZ439" s="3403" t="s">
        <v>631</v>
      </c>
      <c r="FA439" s="3412"/>
      <c r="FB439" s="3412"/>
      <c r="FC439" s="3402">
        <f>SUM(FD439:FF439)</f>
        <v>1</v>
      </c>
      <c r="FD439" s="3402">
        <f>FD438/FC438</f>
        <v>0.34798522185348824</v>
      </c>
      <c r="FE439" s="3402">
        <f>FE438/FC438</f>
        <v>0.16342311297988379</v>
      </c>
      <c r="FF439" s="3402">
        <f>FF438/FC438</f>
        <v>0.48859166516662805</v>
      </c>
      <c r="FG439" s="3264"/>
      <c r="FH439" s="3403" t="s">
        <v>631</v>
      </c>
      <c r="FI439" s="3412"/>
      <c r="FJ439" s="3412"/>
      <c r="FK439" s="3402">
        <f>SUM(FL439:FN439)</f>
        <v>1</v>
      </c>
      <c r="FL439" s="3402">
        <f>FL438/FK438</f>
        <v>0.34798522185348824</v>
      </c>
      <c r="FM439" s="3402">
        <f>FM438/FK438</f>
        <v>0.16342311297988379</v>
      </c>
      <c r="FN439" s="3402">
        <f>FN438/FK438</f>
        <v>0.48859166516662805</v>
      </c>
      <c r="FO439" s="3264"/>
    </row>
    <row r="440" spans="2:171" ht="12" thickBot="1">
      <c r="K440" s="3411"/>
      <c r="S440" s="3264"/>
      <c r="AA440" s="3264"/>
      <c r="AI440" s="3264"/>
      <c r="AQ440" s="3264"/>
      <c r="AY440" s="3264"/>
      <c r="BG440" s="3264"/>
      <c r="BO440" s="3264"/>
      <c r="BW440" s="3264"/>
      <c r="CE440" s="3264"/>
      <c r="CM440" s="3264"/>
      <c r="CU440" s="3264"/>
      <c r="DC440" s="3264"/>
      <c r="DK440" s="3264"/>
      <c r="DS440" s="3264"/>
      <c r="EA440" s="3264"/>
      <c r="EI440" s="3264"/>
      <c r="EQ440" s="3264"/>
      <c r="EY440" s="3264"/>
      <c r="FG440" s="3264"/>
      <c r="FO440" s="3264"/>
    </row>
    <row r="441" spans="2:171" ht="12.75" thickTop="1" thickBot="1">
      <c r="D441" s="3405"/>
      <c r="E441" s="2747"/>
      <c r="F441" s="2747"/>
      <c r="G441" s="3414"/>
      <c r="H441" s="3415"/>
      <c r="I441" s="3415"/>
      <c r="J441" s="3416"/>
      <c r="K441" s="3264"/>
      <c r="O441" s="3414"/>
      <c r="P441" s="3415"/>
      <c r="Q441" s="3415"/>
      <c r="R441" s="3416"/>
      <c r="S441" s="3264"/>
      <c r="W441" s="3414"/>
      <c r="X441" s="3415"/>
      <c r="Y441" s="3415"/>
      <c r="Z441" s="3416"/>
      <c r="AA441" s="3264"/>
      <c r="AE441" s="3414"/>
      <c r="AF441" s="3415"/>
      <c r="AG441" s="3415"/>
      <c r="AH441" s="3416"/>
      <c r="AI441" s="3264"/>
      <c r="AM441" s="3414"/>
      <c r="AN441" s="3415"/>
      <c r="AO441" s="3415"/>
      <c r="AP441" s="3416"/>
      <c r="AQ441" s="3264"/>
      <c r="AU441" s="3414"/>
      <c r="AV441" s="3415"/>
      <c r="AW441" s="3415"/>
      <c r="AX441" s="3416"/>
      <c r="AY441" s="3264"/>
      <c r="BC441" s="3414"/>
      <c r="BD441" s="3415"/>
      <c r="BE441" s="3415"/>
      <c r="BF441" s="3416"/>
      <c r="BG441" s="3264"/>
      <c r="BK441" s="3414"/>
      <c r="BL441" s="3415"/>
      <c r="BM441" s="3415"/>
      <c r="BN441" s="3416"/>
      <c r="BO441" s="3264"/>
      <c r="BS441" s="3414"/>
      <c r="BT441" s="3415"/>
      <c r="BU441" s="3415"/>
      <c r="BV441" s="3416"/>
      <c r="BW441" s="3264"/>
      <c r="CA441" s="3414"/>
      <c r="CB441" s="3415"/>
      <c r="CC441" s="3415"/>
      <c r="CD441" s="3416"/>
      <c r="CE441" s="3264"/>
      <c r="CI441" s="3414"/>
      <c r="CJ441" s="3415"/>
      <c r="CK441" s="3415"/>
      <c r="CL441" s="3416"/>
      <c r="CM441" s="3264"/>
      <c r="CQ441" s="3414"/>
      <c r="CR441" s="3415"/>
      <c r="CS441" s="3415"/>
      <c r="CT441" s="3416"/>
      <c r="CU441" s="3264"/>
      <c r="CY441" s="3414"/>
      <c r="CZ441" s="3415"/>
      <c r="DA441" s="3415"/>
      <c r="DB441" s="3416"/>
      <c r="DC441" s="3264"/>
      <c r="DG441" s="3414"/>
      <c r="DH441" s="3415"/>
      <c r="DI441" s="3415"/>
      <c r="DJ441" s="3416"/>
      <c r="DK441" s="3264"/>
      <c r="DO441" s="3414"/>
      <c r="DP441" s="3415"/>
      <c r="DQ441" s="3415"/>
      <c r="DR441" s="3416"/>
      <c r="DS441" s="3264"/>
      <c r="DW441" s="3414"/>
      <c r="DX441" s="3415"/>
      <c r="DY441" s="3415"/>
      <c r="DZ441" s="3416"/>
      <c r="EA441" s="3264"/>
      <c r="EE441" s="3414"/>
      <c r="EF441" s="3415"/>
      <c r="EG441" s="3415"/>
      <c r="EH441" s="3416"/>
      <c r="EI441" s="3264"/>
      <c r="EM441" s="3414"/>
      <c r="EN441" s="3415"/>
      <c r="EO441" s="3415"/>
      <c r="EP441" s="3416"/>
      <c r="EQ441" s="3264"/>
      <c r="EU441" s="3414"/>
      <c r="EV441" s="3415"/>
      <c r="EW441" s="3415"/>
      <c r="EX441" s="3416"/>
      <c r="EY441" s="3264"/>
      <c r="FC441" s="3414"/>
      <c r="FD441" s="3415"/>
      <c r="FE441" s="3415"/>
      <c r="FF441" s="3416"/>
      <c r="FG441" s="3264"/>
      <c r="FK441" s="3414"/>
      <c r="FL441" s="3415"/>
      <c r="FM441" s="3415"/>
      <c r="FN441" s="3416"/>
      <c r="FO441" s="3264"/>
    </row>
    <row r="442" spans="2:171">
      <c r="D442" s="3417"/>
      <c r="E442" s="3418"/>
      <c r="F442" s="2747"/>
      <c r="G442" s="3419"/>
      <c r="H442" s="3420"/>
      <c r="I442" s="3420"/>
      <c r="J442" s="3421"/>
      <c r="K442" s="3264"/>
      <c r="O442" s="3419"/>
      <c r="P442" s="3420"/>
      <c r="Q442" s="3420"/>
      <c r="R442" s="3421"/>
      <c r="S442" s="3264"/>
      <c r="W442" s="3419"/>
      <c r="X442" s="3420"/>
      <c r="Y442" s="3420"/>
      <c r="Z442" s="3421"/>
      <c r="AA442" s="3264"/>
      <c r="AE442" s="3419"/>
      <c r="AF442" s="3420"/>
      <c r="AG442" s="3420"/>
      <c r="AH442" s="3421"/>
      <c r="AI442" s="3264"/>
      <c r="AM442" s="3419"/>
      <c r="AN442" s="3420"/>
      <c r="AO442" s="3420"/>
      <c r="AP442" s="3421"/>
      <c r="AQ442" s="3264"/>
      <c r="AU442" s="3419"/>
      <c r="AV442" s="3420"/>
      <c r="AW442" s="3420"/>
      <c r="AX442" s="3421"/>
      <c r="AY442" s="3264"/>
      <c r="BC442" s="3419"/>
      <c r="BD442" s="3420"/>
      <c r="BE442" s="3420"/>
      <c r="BF442" s="3421"/>
      <c r="BG442" s="3264"/>
      <c r="BK442" s="3419"/>
      <c r="BL442" s="3420"/>
      <c r="BM442" s="3420"/>
      <c r="BN442" s="3421"/>
      <c r="BO442" s="3264"/>
      <c r="BS442" s="3419"/>
      <c r="BT442" s="3420"/>
      <c r="BU442" s="3420"/>
      <c r="BV442" s="3421"/>
      <c r="BW442" s="3264"/>
      <c r="CA442" s="3419"/>
      <c r="CB442" s="3420"/>
      <c r="CC442" s="3420"/>
      <c r="CD442" s="3421"/>
      <c r="CE442" s="3264"/>
      <c r="CI442" s="3419"/>
      <c r="CJ442" s="3420"/>
      <c r="CK442" s="3420"/>
      <c r="CL442" s="3421"/>
      <c r="CM442" s="3264"/>
      <c r="CQ442" s="3419"/>
      <c r="CR442" s="3420"/>
      <c r="CS442" s="3420"/>
      <c r="CT442" s="3421"/>
      <c r="CU442" s="3264"/>
      <c r="CY442" s="3419"/>
      <c r="CZ442" s="3420"/>
      <c r="DA442" s="3420"/>
      <c r="DB442" s="3421"/>
      <c r="DC442" s="3264"/>
      <c r="DG442" s="3419"/>
      <c r="DH442" s="3420"/>
      <c r="DI442" s="3420"/>
      <c r="DJ442" s="3421"/>
      <c r="DK442" s="3264"/>
      <c r="DO442" s="3419"/>
      <c r="DP442" s="3420"/>
      <c r="DQ442" s="3420"/>
      <c r="DR442" s="3421"/>
      <c r="DS442" s="3264"/>
      <c r="DW442" s="3419"/>
      <c r="DX442" s="3420"/>
      <c r="DY442" s="3420"/>
      <c r="DZ442" s="3421"/>
      <c r="EA442" s="3264"/>
      <c r="EE442" s="3419"/>
      <c r="EF442" s="3420"/>
      <c r="EG442" s="3420"/>
      <c r="EH442" s="3421"/>
      <c r="EI442" s="3264"/>
      <c r="EM442" s="3419"/>
      <c r="EN442" s="3420"/>
      <c r="EO442" s="3420"/>
      <c r="EP442" s="3421"/>
      <c r="EQ442" s="3264"/>
      <c r="EU442" s="3419"/>
      <c r="EV442" s="3420"/>
      <c r="EW442" s="3420"/>
      <c r="EX442" s="3421"/>
      <c r="EY442" s="3264"/>
      <c r="FC442" s="3419"/>
      <c r="FD442" s="3420"/>
      <c r="FE442" s="3420"/>
      <c r="FF442" s="3421"/>
      <c r="FG442" s="3264"/>
      <c r="FK442" s="3419"/>
      <c r="FL442" s="3420"/>
      <c r="FM442" s="3420"/>
      <c r="FN442" s="3421"/>
      <c r="FO442" s="3264"/>
    </row>
    <row r="443" spans="2:171">
      <c r="D443" s="3417"/>
      <c r="E443" s="3418"/>
      <c r="F443" s="2747"/>
      <c r="G443" s="3419" t="s">
        <v>390</v>
      </c>
      <c r="H443" s="3422">
        <v>0</v>
      </c>
      <c r="I443" s="3422">
        <v>0</v>
      </c>
      <c r="J443" s="3423">
        <v>1</v>
      </c>
      <c r="K443" s="3411"/>
      <c r="O443" s="3419" t="s">
        <v>390</v>
      </c>
      <c r="P443" s="3422">
        <v>0</v>
      </c>
      <c r="Q443" s="3422">
        <v>0</v>
      </c>
      <c r="R443" s="3423">
        <v>1</v>
      </c>
      <c r="S443" s="3411"/>
      <c r="W443" s="3419" t="s">
        <v>390</v>
      </c>
      <c r="X443" s="3422">
        <v>0</v>
      </c>
      <c r="Y443" s="3422">
        <v>0</v>
      </c>
      <c r="Z443" s="3423">
        <v>1</v>
      </c>
      <c r="AA443" s="3411"/>
      <c r="AE443" s="3419" t="s">
        <v>390</v>
      </c>
      <c r="AF443" s="3422">
        <v>0</v>
      </c>
      <c r="AG443" s="3422">
        <v>0</v>
      </c>
      <c r="AH443" s="3423">
        <v>1</v>
      </c>
      <c r="AI443" s="3411"/>
      <c r="AM443" s="3419" t="s">
        <v>390</v>
      </c>
      <c r="AN443" s="3422">
        <v>0</v>
      </c>
      <c r="AO443" s="3422">
        <v>0</v>
      </c>
      <c r="AP443" s="3423">
        <v>1</v>
      </c>
      <c r="AQ443" s="3411"/>
      <c r="AU443" s="3419" t="s">
        <v>390</v>
      </c>
      <c r="AV443" s="3422">
        <v>0</v>
      </c>
      <c r="AW443" s="3422">
        <v>0</v>
      </c>
      <c r="AX443" s="3423">
        <v>1</v>
      </c>
      <c r="AY443" s="3411"/>
      <c r="BC443" s="3419" t="s">
        <v>390</v>
      </c>
      <c r="BD443" s="3422">
        <v>0</v>
      </c>
      <c r="BE443" s="3422">
        <v>0</v>
      </c>
      <c r="BF443" s="3423">
        <v>1</v>
      </c>
      <c r="BG443" s="3411"/>
      <c r="BK443" s="3419" t="s">
        <v>390</v>
      </c>
      <c r="BL443" s="3422">
        <v>0</v>
      </c>
      <c r="BM443" s="3422">
        <v>0</v>
      </c>
      <c r="BN443" s="3423">
        <v>1</v>
      </c>
      <c r="BO443" s="3411"/>
      <c r="BS443" s="3419" t="s">
        <v>390</v>
      </c>
      <c r="BT443" s="3422">
        <v>0</v>
      </c>
      <c r="BU443" s="3422">
        <v>0</v>
      </c>
      <c r="BV443" s="3423">
        <v>1</v>
      </c>
      <c r="BW443" s="3411"/>
      <c r="CA443" s="3419" t="s">
        <v>390</v>
      </c>
      <c r="CB443" s="3422">
        <v>0</v>
      </c>
      <c r="CC443" s="3422">
        <v>0</v>
      </c>
      <c r="CD443" s="3423">
        <v>1</v>
      </c>
      <c r="CE443" s="3411"/>
      <c r="CI443" s="3419" t="s">
        <v>390</v>
      </c>
      <c r="CJ443" s="3422">
        <v>0</v>
      </c>
      <c r="CK443" s="3422">
        <v>0</v>
      </c>
      <c r="CL443" s="3423">
        <v>1</v>
      </c>
      <c r="CM443" s="3411"/>
      <c r="CQ443" s="3419" t="s">
        <v>390</v>
      </c>
      <c r="CR443" s="3422">
        <v>0</v>
      </c>
      <c r="CS443" s="3422">
        <v>0</v>
      </c>
      <c r="CT443" s="3423">
        <v>1</v>
      </c>
      <c r="CU443" s="3411"/>
      <c r="CY443" s="3419" t="s">
        <v>390</v>
      </c>
      <c r="CZ443" s="3422">
        <v>0</v>
      </c>
      <c r="DA443" s="3422">
        <v>0</v>
      </c>
      <c r="DB443" s="3423">
        <v>1</v>
      </c>
      <c r="DC443" s="3411"/>
      <c r="DG443" s="3419" t="s">
        <v>390</v>
      </c>
      <c r="DH443" s="3422">
        <v>0</v>
      </c>
      <c r="DI443" s="3422">
        <v>0</v>
      </c>
      <c r="DJ443" s="3423">
        <v>1</v>
      </c>
      <c r="DK443" s="3411"/>
      <c r="DO443" s="3419" t="s">
        <v>390</v>
      </c>
      <c r="DP443" s="3422">
        <v>0</v>
      </c>
      <c r="DQ443" s="3422">
        <v>0</v>
      </c>
      <c r="DR443" s="3423">
        <v>1</v>
      </c>
      <c r="DS443" s="3411"/>
      <c r="DW443" s="3419" t="s">
        <v>390</v>
      </c>
      <c r="DX443" s="3422">
        <v>0</v>
      </c>
      <c r="DY443" s="3422">
        <v>0</v>
      </c>
      <c r="DZ443" s="3423">
        <v>1</v>
      </c>
      <c r="EA443" s="3411"/>
      <c r="EE443" s="3419" t="s">
        <v>390</v>
      </c>
      <c r="EF443" s="3422">
        <v>0</v>
      </c>
      <c r="EG443" s="3422">
        <v>0</v>
      </c>
      <c r="EH443" s="3423">
        <v>1</v>
      </c>
      <c r="EI443" s="3411"/>
      <c r="EM443" s="3419" t="s">
        <v>390</v>
      </c>
      <c r="EN443" s="3422">
        <v>0</v>
      </c>
      <c r="EO443" s="3422">
        <v>0</v>
      </c>
      <c r="EP443" s="3423">
        <v>1</v>
      </c>
      <c r="EQ443" s="3411"/>
      <c r="EU443" s="3419" t="s">
        <v>390</v>
      </c>
      <c r="EV443" s="3422">
        <v>0</v>
      </c>
      <c r="EW443" s="3422">
        <v>0</v>
      </c>
      <c r="EX443" s="3423">
        <v>1</v>
      </c>
      <c r="EY443" s="3411"/>
      <c r="FC443" s="3419" t="s">
        <v>390</v>
      </c>
      <c r="FD443" s="3422">
        <v>0</v>
      </c>
      <c r="FE443" s="3422">
        <v>0</v>
      </c>
      <c r="FF443" s="3423">
        <v>1</v>
      </c>
      <c r="FG443" s="3411"/>
      <c r="FK443" s="3419" t="s">
        <v>390</v>
      </c>
      <c r="FL443" s="3422">
        <v>0</v>
      </c>
      <c r="FM443" s="3422">
        <v>0</v>
      </c>
      <c r="FN443" s="3423">
        <v>1</v>
      </c>
      <c r="FO443" s="3411"/>
    </row>
    <row r="444" spans="2:171">
      <c r="D444" s="3417"/>
      <c r="E444" s="3418"/>
      <c r="F444" s="2747"/>
      <c r="G444" s="3419" t="s">
        <v>392</v>
      </c>
      <c r="H444" s="3422">
        <v>1</v>
      </c>
      <c r="I444" s="3422">
        <v>0</v>
      </c>
      <c r="J444" s="3423">
        <v>0</v>
      </c>
      <c r="K444" s="3264"/>
      <c r="O444" s="3419" t="s">
        <v>392</v>
      </c>
      <c r="P444" s="3422">
        <v>1</v>
      </c>
      <c r="Q444" s="3422">
        <v>0</v>
      </c>
      <c r="R444" s="3423">
        <v>0</v>
      </c>
      <c r="S444" s="3264"/>
      <c r="W444" s="3419" t="s">
        <v>392</v>
      </c>
      <c r="X444" s="3422">
        <v>1</v>
      </c>
      <c r="Y444" s="3422">
        <v>0</v>
      </c>
      <c r="Z444" s="3423">
        <v>0</v>
      </c>
      <c r="AA444" s="3264"/>
      <c r="AE444" s="3419" t="s">
        <v>392</v>
      </c>
      <c r="AF444" s="3422">
        <v>1</v>
      </c>
      <c r="AG444" s="3422">
        <v>0</v>
      </c>
      <c r="AH444" s="3423">
        <v>0</v>
      </c>
      <c r="AI444" s="3264"/>
      <c r="AM444" s="3419" t="s">
        <v>392</v>
      </c>
      <c r="AN444" s="3422">
        <v>1</v>
      </c>
      <c r="AO444" s="3422">
        <v>0</v>
      </c>
      <c r="AP444" s="3423">
        <v>0</v>
      </c>
      <c r="AQ444" s="3264"/>
      <c r="AU444" s="3419" t="s">
        <v>392</v>
      </c>
      <c r="AV444" s="3422">
        <v>1</v>
      </c>
      <c r="AW444" s="3422">
        <v>0</v>
      </c>
      <c r="AX444" s="3423">
        <v>0</v>
      </c>
      <c r="AY444" s="3264"/>
      <c r="BC444" s="3419" t="s">
        <v>392</v>
      </c>
      <c r="BD444" s="3422">
        <v>1</v>
      </c>
      <c r="BE444" s="3422">
        <v>0</v>
      </c>
      <c r="BF444" s="3423">
        <v>0</v>
      </c>
      <c r="BG444" s="3264"/>
      <c r="BK444" s="3419" t="s">
        <v>392</v>
      </c>
      <c r="BL444" s="3422">
        <v>1</v>
      </c>
      <c r="BM444" s="3422">
        <v>0</v>
      </c>
      <c r="BN444" s="3423">
        <v>0</v>
      </c>
      <c r="BO444" s="3264"/>
      <c r="BS444" s="3419" t="s">
        <v>392</v>
      </c>
      <c r="BT444" s="3422">
        <v>1</v>
      </c>
      <c r="BU444" s="3422">
        <v>0</v>
      </c>
      <c r="BV444" s="3423">
        <v>0</v>
      </c>
      <c r="BW444" s="3264"/>
      <c r="CA444" s="3419" t="s">
        <v>392</v>
      </c>
      <c r="CB444" s="3422">
        <v>1</v>
      </c>
      <c r="CC444" s="3422">
        <v>0</v>
      </c>
      <c r="CD444" s="3423">
        <v>0</v>
      </c>
      <c r="CE444" s="3264"/>
      <c r="CI444" s="3419" t="s">
        <v>392</v>
      </c>
      <c r="CJ444" s="3422">
        <v>1</v>
      </c>
      <c r="CK444" s="3422">
        <v>0</v>
      </c>
      <c r="CL444" s="3423">
        <v>0</v>
      </c>
      <c r="CM444" s="3264"/>
      <c r="CQ444" s="3419" t="s">
        <v>392</v>
      </c>
      <c r="CR444" s="3422">
        <v>1</v>
      </c>
      <c r="CS444" s="3422">
        <v>0</v>
      </c>
      <c r="CT444" s="3423">
        <v>0</v>
      </c>
      <c r="CU444" s="3264"/>
      <c r="CY444" s="3419" t="s">
        <v>392</v>
      </c>
      <c r="CZ444" s="3422">
        <v>1</v>
      </c>
      <c r="DA444" s="3422">
        <v>0</v>
      </c>
      <c r="DB444" s="3423">
        <v>0</v>
      </c>
      <c r="DC444" s="3264"/>
      <c r="DG444" s="3419" t="s">
        <v>392</v>
      </c>
      <c r="DH444" s="3422">
        <v>1</v>
      </c>
      <c r="DI444" s="3422">
        <v>0</v>
      </c>
      <c r="DJ444" s="3423">
        <v>0</v>
      </c>
      <c r="DK444" s="3264"/>
      <c r="DO444" s="3419" t="s">
        <v>392</v>
      </c>
      <c r="DP444" s="3422">
        <v>1</v>
      </c>
      <c r="DQ444" s="3422">
        <v>0</v>
      </c>
      <c r="DR444" s="3423">
        <v>0</v>
      </c>
      <c r="DS444" s="3264"/>
      <c r="DW444" s="3419" t="s">
        <v>392</v>
      </c>
      <c r="DX444" s="3422">
        <v>1</v>
      </c>
      <c r="DY444" s="3422">
        <v>0</v>
      </c>
      <c r="DZ444" s="3423">
        <v>0</v>
      </c>
      <c r="EA444" s="3264"/>
      <c r="EE444" s="3419" t="s">
        <v>392</v>
      </c>
      <c r="EF444" s="3422">
        <v>1</v>
      </c>
      <c r="EG444" s="3422">
        <v>0</v>
      </c>
      <c r="EH444" s="3423">
        <v>0</v>
      </c>
      <c r="EI444" s="3264"/>
      <c r="EM444" s="3419" t="s">
        <v>392</v>
      </c>
      <c r="EN444" s="3422">
        <v>1</v>
      </c>
      <c r="EO444" s="3422">
        <v>0</v>
      </c>
      <c r="EP444" s="3423">
        <v>0</v>
      </c>
      <c r="EQ444" s="3264"/>
      <c r="EU444" s="3419" t="s">
        <v>392</v>
      </c>
      <c r="EV444" s="3422">
        <v>1</v>
      </c>
      <c r="EW444" s="3422">
        <v>0</v>
      </c>
      <c r="EX444" s="3423">
        <v>0</v>
      </c>
      <c r="EY444" s="3264"/>
      <c r="FC444" s="3419" t="s">
        <v>392</v>
      </c>
      <c r="FD444" s="3422">
        <v>1</v>
      </c>
      <c r="FE444" s="3422">
        <v>0</v>
      </c>
      <c r="FF444" s="3423">
        <v>0</v>
      </c>
      <c r="FG444" s="3264"/>
      <c r="FK444" s="3419" t="s">
        <v>392</v>
      </c>
      <c r="FL444" s="3422">
        <v>1</v>
      </c>
      <c r="FM444" s="3422">
        <v>0</v>
      </c>
      <c r="FN444" s="3423">
        <v>0</v>
      </c>
      <c r="FO444" s="3264"/>
    </row>
    <row r="445" spans="2:171">
      <c r="D445" s="3417"/>
      <c r="E445" s="3418"/>
      <c r="F445" s="2747"/>
      <c r="G445" s="3419" t="s">
        <v>391</v>
      </c>
      <c r="H445" s="3422">
        <v>0</v>
      </c>
      <c r="I445" s="3422">
        <v>1</v>
      </c>
      <c r="J445" s="3423">
        <v>0</v>
      </c>
      <c r="K445" s="3264"/>
      <c r="O445" s="3419" t="s">
        <v>391</v>
      </c>
      <c r="P445" s="3422">
        <v>0</v>
      </c>
      <c r="Q445" s="3422">
        <v>1</v>
      </c>
      <c r="R445" s="3423">
        <v>0</v>
      </c>
      <c r="S445" s="3264"/>
      <c r="W445" s="3419" t="s">
        <v>391</v>
      </c>
      <c r="X445" s="3422">
        <v>0</v>
      </c>
      <c r="Y445" s="3422">
        <v>1</v>
      </c>
      <c r="Z445" s="3423">
        <v>0</v>
      </c>
      <c r="AA445" s="3264"/>
      <c r="AE445" s="3419" t="s">
        <v>391</v>
      </c>
      <c r="AF445" s="3422">
        <v>0</v>
      </c>
      <c r="AG445" s="3422">
        <v>1</v>
      </c>
      <c r="AH445" s="3423">
        <v>0</v>
      </c>
      <c r="AI445" s="3264"/>
      <c r="AM445" s="3419" t="s">
        <v>391</v>
      </c>
      <c r="AN445" s="3422">
        <v>0</v>
      </c>
      <c r="AO445" s="3422">
        <v>1</v>
      </c>
      <c r="AP445" s="3423">
        <v>0</v>
      </c>
      <c r="AQ445" s="3264"/>
      <c r="AU445" s="3419" t="s">
        <v>391</v>
      </c>
      <c r="AV445" s="3422">
        <v>0</v>
      </c>
      <c r="AW445" s="3422">
        <v>1</v>
      </c>
      <c r="AX445" s="3423">
        <v>0</v>
      </c>
      <c r="AY445" s="3264"/>
      <c r="BC445" s="3419" t="s">
        <v>391</v>
      </c>
      <c r="BD445" s="3422">
        <v>0</v>
      </c>
      <c r="BE445" s="3422">
        <v>1</v>
      </c>
      <c r="BF445" s="3423">
        <v>0</v>
      </c>
      <c r="BG445" s="3264"/>
      <c r="BK445" s="3419" t="s">
        <v>391</v>
      </c>
      <c r="BL445" s="3422">
        <v>0</v>
      </c>
      <c r="BM445" s="3422">
        <v>1</v>
      </c>
      <c r="BN445" s="3423">
        <v>0</v>
      </c>
      <c r="BO445" s="3264"/>
      <c r="BS445" s="3419" t="s">
        <v>391</v>
      </c>
      <c r="BT445" s="3422">
        <v>0</v>
      </c>
      <c r="BU445" s="3422">
        <v>1</v>
      </c>
      <c r="BV445" s="3423">
        <v>0</v>
      </c>
      <c r="BW445" s="3264"/>
      <c r="CA445" s="3419" t="s">
        <v>391</v>
      </c>
      <c r="CB445" s="3422">
        <v>0</v>
      </c>
      <c r="CC445" s="3422">
        <v>1</v>
      </c>
      <c r="CD445" s="3423">
        <v>0</v>
      </c>
      <c r="CE445" s="3264"/>
      <c r="CI445" s="3419" t="s">
        <v>391</v>
      </c>
      <c r="CJ445" s="3422">
        <v>0</v>
      </c>
      <c r="CK445" s="3422">
        <v>1</v>
      </c>
      <c r="CL445" s="3423">
        <v>0</v>
      </c>
      <c r="CM445" s="3264"/>
      <c r="CQ445" s="3419" t="s">
        <v>391</v>
      </c>
      <c r="CR445" s="3422">
        <v>0</v>
      </c>
      <c r="CS445" s="3422">
        <v>1</v>
      </c>
      <c r="CT445" s="3423">
        <v>0</v>
      </c>
      <c r="CU445" s="3264"/>
      <c r="CY445" s="3419" t="s">
        <v>391</v>
      </c>
      <c r="CZ445" s="3422">
        <v>0</v>
      </c>
      <c r="DA445" s="3422">
        <v>1</v>
      </c>
      <c r="DB445" s="3423">
        <v>0</v>
      </c>
      <c r="DC445" s="3264"/>
      <c r="DG445" s="3419" t="s">
        <v>391</v>
      </c>
      <c r="DH445" s="3422">
        <v>0</v>
      </c>
      <c r="DI445" s="3422">
        <v>1</v>
      </c>
      <c r="DJ445" s="3423">
        <v>0</v>
      </c>
      <c r="DK445" s="3264"/>
      <c r="DO445" s="3419" t="s">
        <v>391</v>
      </c>
      <c r="DP445" s="3422">
        <v>0</v>
      </c>
      <c r="DQ445" s="3422">
        <v>1</v>
      </c>
      <c r="DR445" s="3423">
        <v>0</v>
      </c>
      <c r="DS445" s="3264"/>
      <c r="DW445" s="3419" t="s">
        <v>391</v>
      </c>
      <c r="DX445" s="3422">
        <v>0</v>
      </c>
      <c r="DY445" s="3422">
        <v>1</v>
      </c>
      <c r="DZ445" s="3423">
        <v>0</v>
      </c>
      <c r="EA445" s="3264"/>
      <c r="EE445" s="3419" t="s">
        <v>391</v>
      </c>
      <c r="EF445" s="3422">
        <v>0</v>
      </c>
      <c r="EG445" s="3422">
        <v>1</v>
      </c>
      <c r="EH445" s="3423">
        <v>0</v>
      </c>
      <c r="EI445" s="3264"/>
      <c r="EM445" s="3419" t="s">
        <v>391</v>
      </c>
      <c r="EN445" s="3422">
        <v>0</v>
      </c>
      <c r="EO445" s="3422">
        <v>1</v>
      </c>
      <c r="EP445" s="3423">
        <v>0</v>
      </c>
      <c r="EQ445" s="3264"/>
      <c r="EU445" s="3419" t="s">
        <v>391</v>
      </c>
      <c r="EV445" s="3422">
        <v>0</v>
      </c>
      <c r="EW445" s="3422">
        <v>1</v>
      </c>
      <c r="EX445" s="3423">
        <v>0</v>
      </c>
      <c r="EY445" s="3264"/>
      <c r="FC445" s="3419" t="s">
        <v>391</v>
      </c>
      <c r="FD445" s="3422">
        <v>0</v>
      </c>
      <c r="FE445" s="3422">
        <v>1</v>
      </c>
      <c r="FF445" s="3423">
        <v>0</v>
      </c>
      <c r="FG445" s="3264"/>
      <c r="FK445" s="3419" t="s">
        <v>391</v>
      </c>
      <c r="FL445" s="3422">
        <v>0</v>
      </c>
      <c r="FM445" s="3422">
        <v>1</v>
      </c>
      <c r="FN445" s="3423">
        <v>0</v>
      </c>
      <c r="FO445" s="3264"/>
    </row>
    <row r="446" spans="2:171">
      <c r="D446" s="3417"/>
      <c r="E446" s="3418"/>
      <c r="F446" s="2747"/>
      <c r="G446" s="3419" t="s">
        <v>90</v>
      </c>
      <c r="H446" s="3422">
        <v>0</v>
      </c>
      <c r="I446" s="3422">
        <v>0</v>
      </c>
      <c r="J446" s="3423">
        <v>0</v>
      </c>
      <c r="K446" s="3411"/>
      <c r="O446" s="3419" t="s">
        <v>90</v>
      </c>
      <c r="P446" s="3422">
        <v>0</v>
      </c>
      <c r="Q446" s="3422">
        <v>0</v>
      </c>
      <c r="R446" s="3423">
        <v>0</v>
      </c>
      <c r="S446" s="3411"/>
      <c r="W446" s="3419" t="s">
        <v>90</v>
      </c>
      <c r="X446" s="3422">
        <v>0</v>
      </c>
      <c r="Y446" s="3422">
        <v>0</v>
      </c>
      <c r="Z446" s="3423">
        <v>0</v>
      </c>
      <c r="AA446" s="3411"/>
      <c r="AE446" s="3419" t="s">
        <v>90</v>
      </c>
      <c r="AF446" s="3422">
        <v>0</v>
      </c>
      <c r="AG446" s="3422">
        <v>0</v>
      </c>
      <c r="AH446" s="3423">
        <v>0</v>
      </c>
      <c r="AI446" s="3411"/>
      <c r="AM446" s="3419" t="s">
        <v>90</v>
      </c>
      <c r="AN446" s="3422">
        <v>0</v>
      </c>
      <c r="AO446" s="3422">
        <v>0</v>
      </c>
      <c r="AP446" s="3423">
        <v>0</v>
      </c>
      <c r="AQ446" s="3411"/>
      <c r="AU446" s="3419" t="s">
        <v>90</v>
      </c>
      <c r="AV446" s="3422">
        <v>0</v>
      </c>
      <c r="AW446" s="3422">
        <v>0</v>
      </c>
      <c r="AX446" s="3423">
        <v>0</v>
      </c>
      <c r="AY446" s="3411"/>
      <c r="BC446" s="3419" t="s">
        <v>90</v>
      </c>
      <c r="BD446" s="3422">
        <v>0</v>
      </c>
      <c r="BE446" s="3422">
        <v>0</v>
      </c>
      <c r="BF446" s="3423">
        <v>0</v>
      </c>
      <c r="BG446" s="3411"/>
      <c r="BK446" s="3419" t="s">
        <v>90</v>
      </c>
      <c r="BL446" s="3422">
        <v>0</v>
      </c>
      <c r="BM446" s="3422">
        <v>0</v>
      </c>
      <c r="BN446" s="3423">
        <v>0</v>
      </c>
      <c r="BO446" s="3411"/>
      <c r="BS446" s="3419" t="s">
        <v>90</v>
      </c>
      <c r="BT446" s="3422">
        <v>0</v>
      </c>
      <c r="BU446" s="3422">
        <v>0</v>
      </c>
      <c r="BV446" s="3423">
        <v>0</v>
      </c>
      <c r="BW446" s="3411"/>
      <c r="CA446" s="3419" t="s">
        <v>90</v>
      </c>
      <c r="CB446" s="3422">
        <v>0</v>
      </c>
      <c r="CC446" s="3422">
        <v>0</v>
      </c>
      <c r="CD446" s="3423">
        <v>0</v>
      </c>
      <c r="CE446" s="3411"/>
      <c r="CI446" s="3419" t="s">
        <v>90</v>
      </c>
      <c r="CJ446" s="3422">
        <v>0</v>
      </c>
      <c r="CK446" s="3422">
        <v>0</v>
      </c>
      <c r="CL446" s="3423">
        <v>0</v>
      </c>
      <c r="CM446" s="3411"/>
      <c r="CQ446" s="3419" t="s">
        <v>90</v>
      </c>
      <c r="CR446" s="3422">
        <v>0</v>
      </c>
      <c r="CS446" s="3422">
        <v>0</v>
      </c>
      <c r="CT446" s="3423">
        <v>0</v>
      </c>
      <c r="CU446" s="3411"/>
      <c r="CY446" s="3419" t="s">
        <v>90</v>
      </c>
      <c r="CZ446" s="3422">
        <v>0</v>
      </c>
      <c r="DA446" s="3422">
        <v>0</v>
      </c>
      <c r="DB446" s="3423">
        <v>0</v>
      </c>
      <c r="DC446" s="3411"/>
      <c r="DG446" s="3419" t="s">
        <v>90</v>
      </c>
      <c r="DH446" s="3422">
        <v>0</v>
      </c>
      <c r="DI446" s="3422">
        <v>0</v>
      </c>
      <c r="DJ446" s="3423">
        <v>0</v>
      </c>
      <c r="DK446" s="3411"/>
      <c r="DO446" s="3419" t="s">
        <v>90</v>
      </c>
      <c r="DP446" s="3422">
        <v>0</v>
      </c>
      <c r="DQ446" s="3422">
        <v>0</v>
      </c>
      <c r="DR446" s="3423">
        <v>0</v>
      </c>
      <c r="DS446" s="3411"/>
      <c r="DW446" s="3419" t="s">
        <v>90</v>
      </c>
      <c r="DX446" s="3422">
        <v>0</v>
      </c>
      <c r="DY446" s="3422">
        <v>0</v>
      </c>
      <c r="DZ446" s="3423">
        <v>0</v>
      </c>
      <c r="EA446" s="3411"/>
      <c r="EE446" s="3419" t="s">
        <v>90</v>
      </c>
      <c r="EF446" s="3422">
        <v>0</v>
      </c>
      <c r="EG446" s="3422">
        <v>0</v>
      </c>
      <c r="EH446" s="3423">
        <v>0</v>
      </c>
      <c r="EI446" s="3411"/>
      <c r="EM446" s="3419" t="s">
        <v>90</v>
      </c>
      <c r="EN446" s="3422">
        <v>0</v>
      </c>
      <c r="EO446" s="3422">
        <v>0</v>
      </c>
      <c r="EP446" s="3423">
        <v>0</v>
      </c>
      <c r="EQ446" s="3411"/>
      <c r="EU446" s="3419" t="s">
        <v>90</v>
      </c>
      <c r="EV446" s="3422">
        <v>0</v>
      </c>
      <c r="EW446" s="3422">
        <v>0</v>
      </c>
      <c r="EX446" s="3423">
        <v>0</v>
      </c>
      <c r="EY446" s="3411"/>
      <c r="FC446" s="3419" t="s">
        <v>90</v>
      </c>
      <c r="FD446" s="3422">
        <v>0</v>
      </c>
      <c r="FE446" s="3422">
        <v>0</v>
      </c>
      <c r="FF446" s="3423">
        <v>0</v>
      </c>
      <c r="FG446" s="3411"/>
      <c r="FK446" s="3419" t="s">
        <v>90</v>
      </c>
      <c r="FL446" s="3422">
        <v>0</v>
      </c>
      <c r="FM446" s="3422">
        <v>0</v>
      </c>
      <c r="FN446" s="3423">
        <v>0</v>
      </c>
      <c r="FO446" s="3411"/>
    </row>
    <row r="447" spans="2:171">
      <c r="D447" s="3417"/>
      <c r="E447" s="3418"/>
      <c r="F447" s="2747"/>
      <c r="G447" s="3419" t="s">
        <v>91</v>
      </c>
      <c r="H447" s="3422">
        <f>H395</f>
        <v>0.34077050917683854</v>
      </c>
      <c r="I447" s="3422">
        <f>I395</f>
        <v>0</v>
      </c>
      <c r="J447" s="3423">
        <f>J395</f>
        <v>0.65922949082316151</v>
      </c>
      <c r="K447" s="3264"/>
      <c r="O447" s="3419" t="s">
        <v>91</v>
      </c>
      <c r="P447" s="3422">
        <f>P395</f>
        <v>0.34077050917683854</v>
      </c>
      <c r="Q447" s="3422">
        <f>Q395</f>
        <v>0.16788590911683327</v>
      </c>
      <c r="R447" s="3423">
        <f>R395</f>
        <v>0.49134358170632819</v>
      </c>
      <c r="S447" s="3264"/>
      <c r="W447" s="3419" t="s">
        <v>91</v>
      </c>
      <c r="X447" s="3422">
        <f>X395</f>
        <v>0.34077050917683854</v>
      </c>
      <c r="Y447" s="3422">
        <f>Y395</f>
        <v>0.16788590911683327</v>
      </c>
      <c r="Z447" s="3423">
        <f>Z395</f>
        <v>0.49134358170632819</v>
      </c>
      <c r="AA447" s="3264"/>
      <c r="AE447" s="3419" t="s">
        <v>91</v>
      </c>
      <c r="AF447" s="3422">
        <f>AF395</f>
        <v>0.34077050917683854</v>
      </c>
      <c r="AG447" s="3422">
        <f>AG395</f>
        <v>0.16788590911683327</v>
      </c>
      <c r="AH447" s="3423">
        <f>AH395</f>
        <v>0.49134358170632819</v>
      </c>
      <c r="AI447" s="3264"/>
      <c r="AM447" s="3419" t="s">
        <v>91</v>
      </c>
      <c r="AN447" s="3422">
        <f>AN395</f>
        <v>0.34077050917683854</v>
      </c>
      <c r="AO447" s="3422">
        <f>AO395</f>
        <v>0.16788590911683327</v>
      </c>
      <c r="AP447" s="3423">
        <f>AP395</f>
        <v>0.49134358170632819</v>
      </c>
      <c r="AQ447" s="3264"/>
      <c r="AU447" s="3419" t="s">
        <v>91</v>
      </c>
      <c r="AV447" s="3422">
        <f>AV395</f>
        <v>0.34077050917683854</v>
      </c>
      <c r="AW447" s="3422">
        <f>AW395</f>
        <v>0.16788590911683327</v>
      </c>
      <c r="AX447" s="3423">
        <f>AX395</f>
        <v>0.49134358170632819</v>
      </c>
      <c r="AY447" s="3264"/>
      <c r="BC447" s="3419" t="s">
        <v>91</v>
      </c>
      <c r="BD447" s="3422">
        <f>BD395</f>
        <v>0.34077050917683854</v>
      </c>
      <c r="BE447" s="3422">
        <f>BE395</f>
        <v>0.16788590911683327</v>
      </c>
      <c r="BF447" s="3423">
        <f>BF395</f>
        <v>0.49134358170632819</v>
      </c>
      <c r="BG447" s="3264"/>
      <c r="BK447" s="3419" t="s">
        <v>91</v>
      </c>
      <c r="BL447" s="3422">
        <f>BL395</f>
        <v>0.34077050917683854</v>
      </c>
      <c r="BM447" s="3422">
        <f>BM395</f>
        <v>0.16788590911683327</v>
      </c>
      <c r="BN447" s="3423">
        <f>BN395</f>
        <v>0.49134358170632819</v>
      </c>
      <c r="BO447" s="3264"/>
      <c r="BS447" s="3419" t="s">
        <v>91</v>
      </c>
      <c r="BT447" s="3422">
        <f>BT395</f>
        <v>0.34077050917683854</v>
      </c>
      <c r="BU447" s="3422">
        <f>BU395</f>
        <v>0.16788590911683327</v>
      </c>
      <c r="BV447" s="3423">
        <f>BV395</f>
        <v>0.49134358170632819</v>
      </c>
      <c r="BW447" s="3264"/>
      <c r="CA447" s="3419" t="s">
        <v>91</v>
      </c>
      <c r="CB447" s="3422">
        <f>CB395</f>
        <v>0.34077050917683854</v>
      </c>
      <c r="CC447" s="3422">
        <f>CC395</f>
        <v>0.16788590911683327</v>
      </c>
      <c r="CD447" s="3423">
        <f>CD395</f>
        <v>0.49134358170632819</v>
      </c>
      <c r="CE447" s="3264"/>
      <c r="CI447" s="3419" t="s">
        <v>91</v>
      </c>
      <c r="CJ447" s="3422">
        <f>CJ395</f>
        <v>0.34077050917683854</v>
      </c>
      <c r="CK447" s="3422">
        <f>CK395</f>
        <v>0.16788590911683327</v>
      </c>
      <c r="CL447" s="3423">
        <f>CL395</f>
        <v>0.49134358170632819</v>
      </c>
      <c r="CM447" s="3264"/>
      <c r="CQ447" s="3419" t="s">
        <v>91</v>
      </c>
      <c r="CR447" s="3422">
        <f>CR395</f>
        <v>0.34077050917683854</v>
      </c>
      <c r="CS447" s="3422">
        <f>CS395</f>
        <v>0.16788590911683327</v>
      </c>
      <c r="CT447" s="3423">
        <f>CT395</f>
        <v>0.49134358170632819</v>
      </c>
      <c r="CU447" s="3264"/>
      <c r="CY447" s="3419" t="s">
        <v>91</v>
      </c>
      <c r="CZ447" s="3422">
        <f>CZ395</f>
        <v>0.34077050917683854</v>
      </c>
      <c r="DA447" s="3422">
        <f>DA395</f>
        <v>0.16788590911683327</v>
      </c>
      <c r="DB447" s="3423">
        <f>DB395</f>
        <v>0.49134358170632819</v>
      </c>
      <c r="DC447" s="3264"/>
      <c r="DG447" s="3419" t="s">
        <v>91</v>
      </c>
      <c r="DH447" s="3422">
        <f>DH395</f>
        <v>0.34077050917683854</v>
      </c>
      <c r="DI447" s="3422">
        <f>DI395</f>
        <v>0.16788590911683327</v>
      </c>
      <c r="DJ447" s="3423">
        <f>DJ395</f>
        <v>0.49134358170632819</v>
      </c>
      <c r="DK447" s="3264"/>
      <c r="DO447" s="3419" t="s">
        <v>91</v>
      </c>
      <c r="DP447" s="3422">
        <f>DP395</f>
        <v>0.34077050917683854</v>
      </c>
      <c r="DQ447" s="3422">
        <f>DQ395</f>
        <v>0.16788590911683327</v>
      </c>
      <c r="DR447" s="3423">
        <f>DR395</f>
        <v>0.49134358170632819</v>
      </c>
      <c r="DS447" s="3264"/>
      <c r="DW447" s="3419" t="s">
        <v>91</v>
      </c>
      <c r="DX447" s="3422">
        <f>DX395</f>
        <v>0.34077050917683854</v>
      </c>
      <c r="DY447" s="3422">
        <f>DY395</f>
        <v>0.16788590911683327</v>
      </c>
      <c r="DZ447" s="3423">
        <f>DZ395</f>
        <v>0.49134358170632819</v>
      </c>
      <c r="EA447" s="3264"/>
      <c r="EE447" s="3419" t="s">
        <v>91</v>
      </c>
      <c r="EF447" s="3422">
        <f>EF395</f>
        <v>0.34077050917683854</v>
      </c>
      <c r="EG447" s="3422">
        <f>EG395</f>
        <v>0.16788590911683327</v>
      </c>
      <c r="EH447" s="3423">
        <f>EH395</f>
        <v>0.49134358170632819</v>
      </c>
      <c r="EI447" s="3264"/>
      <c r="EM447" s="3419" t="s">
        <v>91</v>
      </c>
      <c r="EN447" s="3422">
        <f>EN395</f>
        <v>0.34077050917683854</v>
      </c>
      <c r="EO447" s="3422">
        <f>EO395</f>
        <v>0.16788590911683327</v>
      </c>
      <c r="EP447" s="3423">
        <f>EP395</f>
        <v>0.49134358170632819</v>
      </c>
      <c r="EQ447" s="3264"/>
      <c r="EU447" s="3419" t="s">
        <v>91</v>
      </c>
      <c r="EV447" s="3422">
        <f>EV395</f>
        <v>0.34077050917683854</v>
      </c>
      <c r="EW447" s="3422">
        <f>EW395</f>
        <v>0.16788590911683327</v>
      </c>
      <c r="EX447" s="3423">
        <f>EX395</f>
        <v>0.49134358170632819</v>
      </c>
      <c r="EY447" s="3264"/>
      <c r="FC447" s="3419" t="s">
        <v>91</v>
      </c>
      <c r="FD447" s="3422">
        <f>FD395</f>
        <v>0.34077050917683854</v>
      </c>
      <c r="FE447" s="3422">
        <f>FE395</f>
        <v>0.16788590911683327</v>
      </c>
      <c r="FF447" s="3423">
        <f>FF395</f>
        <v>0.49134358170632819</v>
      </c>
      <c r="FG447" s="3264"/>
      <c r="FK447" s="3419" t="s">
        <v>91</v>
      </c>
      <c r="FL447" s="3422">
        <f>FL395</f>
        <v>0.34077050917683854</v>
      </c>
      <c r="FM447" s="3422">
        <f>FM395</f>
        <v>0.16788590911683327</v>
      </c>
      <c r="FN447" s="3423">
        <f>FN395</f>
        <v>0.49134358170632819</v>
      </c>
      <c r="FO447" s="3264"/>
    </row>
    <row r="448" spans="2:171">
      <c r="D448" s="3417"/>
      <c r="E448" s="3418"/>
      <c r="F448" s="2747"/>
      <c r="G448" s="3419" t="s">
        <v>93</v>
      </c>
      <c r="H448" s="3422">
        <f>H439</f>
        <v>0.34798522185348824</v>
      </c>
      <c r="I448" s="3422">
        <f>I439</f>
        <v>0</v>
      </c>
      <c r="J448" s="3423">
        <f>J439</f>
        <v>0.65201477814651188</v>
      </c>
      <c r="K448" s="3264"/>
      <c r="O448" s="3419" t="s">
        <v>93</v>
      </c>
      <c r="P448" s="3422">
        <f>P439</f>
        <v>0.34798522185348824</v>
      </c>
      <c r="Q448" s="3422">
        <f>Q439</f>
        <v>0.16342311297988379</v>
      </c>
      <c r="R448" s="3423">
        <f>R439</f>
        <v>0.48859166516662805</v>
      </c>
      <c r="S448" s="3264"/>
      <c r="W448" s="3419" t="s">
        <v>93</v>
      </c>
      <c r="X448" s="3422">
        <f>X439</f>
        <v>0.34798522185348824</v>
      </c>
      <c r="Y448" s="3422">
        <f>Y439</f>
        <v>0.16342311297988379</v>
      </c>
      <c r="Z448" s="3423">
        <f>Z439</f>
        <v>0.48859166516662805</v>
      </c>
      <c r="AA448" s="3264"/>
      <c r="AE448" s="3419" t="s">
        <v>93</v>
      </c>
      <c r="AF448" s="3422">
        <f>AF439</f>
        <v>0.34798522185348824</v>
      </c>
      <c r="AG448" s="3422">
        <f>AG439</f>
        <v>0.16342311297988379</v>
      </c>
      <c r="AH448" s="3423">
        <f>AH439</f>
        <v>0.48859166516662805</v>
      </c>
      <c r="AI448" s="3264"/>
      <c r="AM448" s="3419" t="s">
        <v>93</v>
      </c>
      <c r="AN448" s="3422">
        <f>AN439</f>
        <v>0.34798522185348824</v>
      </c>
      <c r="AO448" s="3422">
        <f>AO439</f>
        <v>0.16342311297988379</v>
      </c>
      <c r="AP448" s="3423">
        <f>AP439</f>
        <v>0.48859166516662805</v>
      </c>
      <c r="AQ448" s="3264"/>
      <c r="AU448" s="3419" t="s">
        <v>93</v>
      </c>
      <c r="AV448" s="3422">
        <f>AV439</f>
        <v>0.34798522185348824</v>
      </c>
      <c r="AW448" s="3422">
        <f>AW439</f>
        <v>0.16342311297988379</v>
      </c>
      <c r="AX448" s="3423">
        <f>AX439</f>
        <v>0.48859166516662805</v>
      </c>
      <c r="AY448" s="3264"/>
      <c r="BC448" s="3419" t="s">
        <v>93</v>
      </c>
      <c r="BD448" s="3422">
        <f>BD439</f>
        <v>0.34798522185348824</v>
      </c>
      <c r="BE448" s="3422">
        <f>BE439</f>
        <v>0.16342311297988379</v>
      </c>
      <c r="BF448" s="3423">
        <f>BF439</f>
        <v>0.48859166516662805</v>
      </c>
      <c r="BG448" s="3264"/>
      <c r="BK448" s="3419" t="s">
        <v>93</v>
      </c>
      <c r="BL448" s="3422">
        <f>BL439</f>
        <v>0.34798522185348824</v>
      </c>
      <c r="BM448" s="3422">
        <f>BM439</f>
        <v>0.16342311297988379</v>
      </c>
      <c r="BN448" s="3423">
        <f>BN439</f>
        <v>0.48859166516662805</v>
      </c>
      <c r="BO448" s="3264"/>
      <c r="BS448" s="3419" t="s">
        <v>93</v>
      </c>
      <c r="BT448" s="3422">
        <f>BT439</f>
        <v>0.34798522185348824</v>
      </c>
      <c r="BU448" s="3422">
        <f>BU439</f>
        <v>0.16342311297988379</v>
      </c>
      <c r="BV448" s="3423">
        <f>BV439</f>
        <v>0.48859166516662805</v>
      </c>
      <c r="BW448" s="3264"/>
      <c r="CA448" s="3419" t="s">
        <v>93</v>
      </c>
      <c r="CB448" s="3422">
        <f>CB439</f>
        <v>0.34798522185348824</v>
      </c>
      <c r="CC448" s="3422">
        <f>CC439</f>
        <v>0.16342311297988379</v>
      </c>
      <c r="CD448" s="3423">
        <f>CD439</f>
        <v>0.48859166516662805</v>
      </c>
      <c r="CE448" s="3264"/>
      <c r="CI448" s="3419" t="s">
        <v>93</v>
      </c>
      <c r="CJ448" s="3422">
        <f>CJ439</f>
        <v>0.34798522185348824</v>
      </c>
      <c r="CK448" s="3422">
        <f>CK439</f>
        <v>0.16342311297988379</v>
      </c>
      <c r="CL448" s="3423">
        <f>CL439</f>
        <v>0.48859166516662805</v>
      </c>
      <c r="CM448" s="3264"/>
      <c r="CQ448" s="3419" t="s">
        <v>93</v>
      </c>
      <c r="CR448" s="3422">
        <f>CR439</f>
        <v>0.34798522185348824</v>
      </c>
      <c r="CS448" s="3422">
        <f>CS439</f>
        <v>0.16342311297988379</v>
      </c>
      <c r="CT448" s="3423">
        <f>CT439</f>
        <v>0.48859166516662805</v>
      </c>
      <c r="CU448" s="3264"/>
      <c r="CY448" s="3419" t="s">
        <v>93</v>
      </c>
      <c r="CZ448" s="3422">
        <f>CZ439</f>
        <v>0.34798522185348824</v>
      </c>
      <c r="DA448" s="3422">
        <f>DA439</f>
        <v>0.16342311297988379</v>
      </c>
      <c r="DB448" s="3423">
        <f>DB439</f>
        <v>0.48859166516662805</v>
      </c>
      <c r="DC448" s="3264"/>
      <c r="DG448" s="3419" t="s">
        <v>93</v>
      </c>
      <c r="DH448" s="3422">
        <f>DH439</f>
        <v>0.34798522185348824</v>
      </c>
      <c r="DI448" s="3422">
        <f>DI439</f>
        <v>0.16342311297988379</v>
      </c>
      <c r="DJ448" s="3423">
        <f>DJ439</f>
        <v>0.48859166516662805</v>
      </c>
      <c r="DK448" s="3264"/>
      <c r="DO448" s="3419" t="s">
        <v>93</v>
      </c>
      <c r="DP448" s="3422">
        <f>DP439</f>
        <v>0.34798522185348824</v>
      </c>
      <c r="DQ448" s="3422">
        <f>DQ439</f>
        <v>0.16342311297988379</v>
      </c>
      <c r="DR448" s="3423">
        <f>DR439</f>
        <v>0.48859166516662805</v>
      </c>
      <c r="DS448" s="3264"/>
      <c r="DW448" s="3419" t="s">
        <v>93</v>
      </c>
      <c r="DX448" s="3422">
        <f>DX439</f>
        <v>0.34798522185348824</v>
      </c>
      <c r="DY448" s="3422">
        <f>DY439</f>
        <v>0.16342311297988379</v>
      </c>
      <c r="DZ448" s="3423">
        <f>DZ439</f>
        <v>0.48859166516662805</v>
      </c>
      <c r="EA448" s="3264"/>
      <c r="EE448" s="3419" t="s">
        <v>93</v>
      </c>
      <c r="EF448" s="3422">
        <f>EF439</f>
        <v>0.34798522185348824</v>
      </c>
      <c r="EG448" s="3422">
        <f>EG439</f>
        <v>0.16342311297988379</v>
      </c>
      <c r="EH448" s="3423">
        <f>EH439</f>
        <v>0.48859166516662805</v>
      </c>
      <c r="EI448" s="3264"/>
      <c r="EM448" s="3419" t="s">
        <v>93</v>
      </c>
      <c r="EN448" s="3422">
        <f>EN439</f>
        <v>0.34798522185348824</v>
      </c>
      <c r="EO448" s="3422">
        <f>EO439</f>
        <v>0.16342311297988379</v>
      </c>
      <c r="EP448" s="3423">
        <f>EP439</f>
        <v>0.48859166516662805</v>
      </c>
      <c r="EQ448" s="3264"/>
      <c r="EU448" s="3419" t="s">
        <v>93</v>
      </c>
      <c r="EV448" s="3422">
        <f>EV439</f>
        <v>0.34798522185348824</v>
      </c>
      <c r="EW448" s="3422">
        <f>EW439</f>
        <v>0.16342311297988379</v>
      </c>
      <c r="EX448" s="3423">
        <f>EX439</f>
        <v>0.48859166516662805</v>
      </c>
      <c r="EY448" s="3264"/>
      <c r="FC448" s="3419" t="s">
        <v>93</v>
      </c>
      <c r="FD448" s="3422">
        <f>FD439</f>
        <v>0.34798522185348824</v>
      </c>
      <c r="FE448" s="3422">
        <f>FE439</f>
        <v>0.16342311297988379</v>
      </c>
      <c r="FF448" s="3423">
        <f>FF439</f>
        <v>0.48859166516662805</v>
      </c>
      <c r="FG448" s="3264"/>
      <c r="FK448" s="3419" t="s">
        <v>93</v>
      </c>
      <c r="FL448" s="3422">
        <f>FL439</f>
        <v>0.34798522185348824</v>
      </c>
      <c r="FM448" s="3422">
        <f>FM439</f>
        <v>0.16342311297988379</v>
      </c>
      <c r="FN448" s="3423">
        <f>FN439</f>
        <v>0.48859166516662805</v>
      </c>
      <c r="FO448" s="3264"/>
    </row>
    <row r="449" spans="1:171">
      <c r="D449" s="3417"/>
      <c r="E449" s="3418"/>
      <c r="F449" s="2747"/>
      <c r="G449" s="3419" t="s">
        <v>95</v>
      </c>
      <c r="H449" s="3422">
        <f>H379</f>
        <v>0.33983013251548322</v>
      </c>
      <c r="I449" s="3422">
        <f>I379</f>
        <v>0</v>
      </c>
      <c r="J449" s="3423">
        <f>J379</f>
        <v>0.66016986748451678</v>
      </c>
      <c r="K449" s="3411"/>
      <c r="O449" s="3419" t="s">
        <v>95</v>
      </c>
      <c r="P449" s="3422">
        <f>P379</f>
        <v>0.33983013251548322</v>
      </c>
      <c r="Q449" s="3422">
        <f>Q379</f>
        <v>5.4266020627813452E-2</v>
      </c>
      <c r="R449" s="3423">
        <f>R379</f>
        <v>0.6059038468567034</v>
      </c>
      <c r="S449" s="3411"/>
      <c r="W449" s="3419" t="s">
        <v>95</v>
      </c>
      <c r="X449" s="3422">
        <f>X379</f>
        <v>0.33983013251548322</v>
      </c>
      <c r="Y449" s="3422">
        <f>Y379</f>
        <v>5.4266020627813452E-2</v>
      </c>
      <c r="Z449" s="3423">
        <f>Z379</f>
        <v>0.6059038468567034</v>
      </c>
      <c r="AA449" s="3411"/>
      <c r="AE449" s="3419" t="s">
        <v>95</v>
      </c>
      <c r="AF449" s="3422">
        <f>AF379</f>
        <v>0.33983013251548322</v>
      </c>
      <c r="AG449" s="3422">
        <f>AG379</f>
        <v>5.4266020627813452E-2</v>
      </c>
      <c r="AH449" s="3423">
        <f>AH379</f>
        <v>0.6059038468567034</v>
      </c>
      <c r="AI449" s="3411"/>
      <c r="AM449" s="3419" t="s">
        <v>95</v>
      </c>
      <c r="AN449" s="3422">
        <f>AN379</f>
        <v>0.33983013251548322</v>
      </c>
      <c r="AO449" s="3422">
        <f>AO379</f>
        <v>5.4266020627813452E-2</v>
      </c>
      <c r="AP449" s="3423">
        <f>AP379</f>
        <v>0.6059038468567034</v>
      </c>
      <c r="AQ449" s="3411"/>
      <c r="AU449" s="3419" t="s">
        <v>95</v>
      </c>
      <c r="AV449" s="3422">
        <f>AV379</f>
        <v>0.33983013251548322</v>
      </c>
      <c r="AW449" s="3422">
        <f>AW379</f>
        <v>5.4266020627813452E-2</v>
      </c>
      <c r="AX449" s="3423">
        <f>AX379</f>
        <v>0.6059038468567034</v>
      </c>
      <c r="AY449" s="3411"/>
      <c r="BC449" s="3419" t="s">
        <v>95</v>
      </c>
      <c r="BD449" s="3422">
        <f>BD379</f>
        <v>0.33983013251548322</v>
      </c>
      <c r="BE449" s="3422">
        <f>BE379</f>
        <v>5.4266020627813452E-2</v>
      </c>
      <c r="BF449" s="3423">
        <f>BF379</f>
        <v>0.6059038468567034</v>
      </c>
      <c r="BG449" s="3411"/>
      <c r="BK449" s="3419" t="s">
        <v>95</v>
      </c>
      <c r="BL449" s="3422">
        <f>BL379</f>
        <v>0.33983013251548322</v>
      </c>
      <c r="BM449" s="3422">
        <f>BM379</f>
        <v>5.4266020627813452E-2</v>
      </c>
      <c r="BN449" s="3423">
        <f>BN379</f>
        <v>0.6059038468567034</v>
      </c>
      <c r="BO449" s="3411"/>
      <c r="BS449" s="3419" t="s">
        <v>95</v>
      </c>
      <c r="BT449" s="3422">
        <f>BT379</f>
        <v>0.33983013251548322</v>
      </c>
      <c r="BU449" s="3422">
        <f>BU379</f>
        <v>5.4266020627813452E-2</v>
      </c>
      <c r="BV449" s="3423">
        <f>BV379</f>
        <v>0.6059038468567034</v>
      </c>
      <c r="BW449" s="3411"/>
      <c r="CA449" s="3419" t="s">
        <v>95</v>
      </c>
      <c r="CB449" s="3422">
        <f>CB379</f>
        <v>0.33983013251548322</v>
      </c>
      <c r="CC449" s="3422">
        <f>CC379</f>
        <v>5.4266020627813452E-2</v>
      </c>
      <c r="CD449" s="3423">
        <f>CD379</f>
        <v>0.6059038468567034</v>
      </c>
      <c r="CE449" s="3411"/>
      <c r="CI449" s="3419" t="s">
        <v>95</v>
      </c>
      <c r="CJ449" s="3422">
        <f>CJ379</f>
        <v>0.33983013251548322</v>
      </c>
      <c r="CK449" s="3422">
        <f>CK379</f>
        <v>5.4266020627813452E-2</v>
      </c>
      <c r="CL449" s="3423">
        <f>CL379</f>
        <v>0.6059038468567034</v>
      </c>
      <c r="CM449" s="3411"/>
      <c r="CQ449" s="3419" t="s">
        <v>95</v>
      </c>
      <c r="CR449" s="3422">
        <f>CR379</f>
        <v>0.33983013251548322</v>
      </c>
      <c r="CS449" s="3422">
        <f>CS379</f>
        <v>5.4266020627813452E-2</v>
      </c>
      <c r="CT449" s="3423">
        <f>CT379</f>
        <v>0.6059038468567034</v>
      </c>
      <c r="CU449" s="3411"/>
      <c r="CY449" s="3419" t="s">
        <v>95</v>
      </c>
      <c r="CZ449" s="3422">
        <f>CZ379</f>
        <v>0.33983013251548322</v>
      </c>
      <c r="DA449" s="3422">
        <f>DA379</f>
        <v>5.4266020627813452E-2</v>
      </c>
      <c r="DB449" s="3423">
        <f>DB379</f>
        <v>0.6059038468567034</v>
      </c>
      <c r="DC449" s="3411"/>
      <c r="DG449" s="3419" t="s">
        <v>95</v>
      </c>
      <c r="DH449" s="3422">
        <f>DH379</f>
        <v>0.33983013251548322</v>
      </c>
      <c r="DI449" s="3422">
        <f>DI379</f>
        <v>5.4266020627813452E-2</v>
      </c>
      <c r="DJ449" s="3423">
        <f>DJ379</f>
        <v>0.6059038468567034</v>
      </c>
      <c r="DK449" s="3411"/>
      <c r="DO449" s="3419" t="s">
        <v>95</v>
      </c>
      <c r="DP449" s="3422">
        <f>DP379</f>
        <v>0.33983013251548322</v>
      </c>
      <c r="DQ449" s="3422">
        <f>DQ379</f>
        <v>5.4266020627813452E-2</v>
      </c>
      <c r="DR449" s="3423">
        <f>DR379</f>
        <v>0.6059038468567034</v>
      </c>
      <c r="DS449" s="3411"/>
      <c r="DW449" s="3419" t="s">
        <v>95</v>
      </c>
      <c r="DX449" s="3422">
        <f>DX379</f>
        <v>0.33983013251548322</v>
      </c>
      <c r="DY449" s="3422">
        <f>DY379</f>
        <v>5.4266020627813452E-2</v>
      </c>
      <c r="DZ449" s="3423">
        <f>DZ379</f>
        <v>0.6059038468567034</v>
      </c>
      <c r="EA449" s="3411"/>
      <c r="EE449" s="3419" t="s">
        <v>95</v>
      </c>
      <c r="EF449" s="3422">
        <f>EF379</f>
        <v>0.33983013251548322</v>
      </c>
      <c r="EG449" s="3422">
        <f>EG379</f>
        <v>5.4266020627813452E-2</v>
      </c>
      <c r="EH449" s="3423">
        <f>EH379</f>
        <v>0.6059038468567034</v>
      </c>
      <c r="EI449" s="3411"/>
      <c r="EM449" s="3419" t="s">
        <v>95</v>
      </c>
      <c r="EN449" s="3422">
        <f>EN379</f>
        <v>0.33983013251548322</v>
      </c>
      <c r="EO449" s="3422">
        <f>EO379</f>
        <v>5.4266020627813452E-2</v>
      </c>
      <c r="EP449" s="3423">
        <f>EP379</f>
        <v>0.6059038468567034</v>
      </c>
      <c r="EQ449" s="3411"/>
      <c r="EU449" s="3419" t="s">
        <v>95</v>
      </c>
      <c r="EV449" s="3422">
        <f>EV379</f>
        <v>0.33983013251548322</v>
      </c>
      <c r="EW449" s="3422">
        <f>EW379</f>
        <v>5.4266020627813452E-2</v>
      </c>
      <c r="EX449" s="3423">
        <f>EX379</f>
        <v>0.6059038468567034</v>
      </c>
      <c r="EY449" s="3411"/>
      <c r="FC449" s="3419" t="s">
        <v>95</v>
      </c>
      <c r="FD449" s="3422">
        <f>FD379</f>
        <v>0.33983013251548322</v>
      </c>
      <c r="FE449" s="3422">
        <f>FE379</f>
        <v>5.4266020627813452E-2</v>
      </c>
      <c r="FF449" s="3423">
        <f>FF379</f>
        <v>0.6059038468567034</v>
      </c>
      <c r="FG449" s="3411"/>
      <c r="FK449" s="3419" t="s">
        <v>95</v>
      </c>
      <c r="FL449" s="3422">
        <f>FL379</f>
        <v>0.33983013251548322</v>
      </c>
      <c r="FM449" s="3422">
        <f>FM379</f>
        <v>5.4266020627813452E-2</v>
      </c>
      <c r="FN449" s="3423">
        <f>FN379</f>
        <v>0.6059038468567034</v>
      </c>
      <c r="FO449" s="3411"/>
    </row>
    <row r="450" spans="1:171">
      <c r="D450" s="3417"/>
      <c r="E450" s="3418"/>
      <c r="F450" s="2747"/>
      <c r="G450" s="3419" t="s">
        <v>99</v>
      </c>
      <c r="H450" s="3422">
        <f>H406</f>
        <v>0.34909146295941201</v>
      </c>
      <c r="I450" s="3422">
        <f>I406</f>
        <v>0</v>
      </c>
      <c r="J450" s="3423">
        <f>J406</f>
        <v>0.65090853704058804</v>
      </c>
      <c r="K450" s="3264"/>
      <c r="O450" s="3419" t="s">
        <v>99</v>
      </c>
      <c r="P450" s="3422">
        <f>P406</f>
        <v>0.34909146295941201</v>
      </c>
      <c r="Q450" s="3422">
        <f>Q406</f>
        <v>0.17823031588816271</v>
      </c>
      <c r="R450" s="3423">
        <f>R406</f>
        <v>0.4726782211524253</v>
      </c>
      <c r="S450" s="3264"/>
      <c r="W450" s="3419" t="s">
        <v>99</v>
      </c>
      <c r="X450" s="3422">
        <f>X406</f>
        <v>0.34909146295941201</v>
      </c>
      <c r="Y450" s="3422">
        <f>Y406</f>
        <v>0.17823031588816271</v>
      </c>
      <c r="Z450" s="3423">
        <f>Z406</f>
        <v>0.4726782211524253</v>
      </c>
      <c r="AA450" s="3264"/>
      <c r="AE450" s="3419" t="s">
        <v>99</v>
      </c>
      <c r="AF450" s="3422">
        <f>AF406</f>
        <v>0.34909146295941201</v>
      </c>
      <c r="AG450" s="3422">
        <f>AG406</f>
        <v>0.17823031588816271</v>
      </c>
      <c r="AH450" s="3423">
        <f>AH406</f>
        <v>0.4726782211524253</v>
      </c>
      <c r="AI450" s="3264"/>
      <c r="AM450" s="3419" t="s">
        <v>99</v>
      </c>
      <c r="AN450" s="3422">
        <f>AN406</f>
        <v>0.34909146295941201</v>
      </c>
      <c r="AO450" s="3422">
        <f>AO406</f>
        <v>0.17823031588816271</v>
      </c>
      <c r="AP450" s="3423">
        <f>AP406</f>
        <v>0.4726782211524253</v>
      </c>
      <c r="AQ450" s="3264"/>
      <c r="AU450" s="3419" t="s">
        <v>99</v>
      </c>
      <c r="AV450" s="3422">
        <f>AV406</f>
        <v>0.34909146295941201</v>
      </c>
      <c r="AW450" s="3422">
        <f>AW406</f>
        <v>0.17823031588816271</v>
      </c>
      <c r="AX450" s="3423">
        <f>AX406</f>
        <v>0.4726782211524253</v>
      </c>
      <c r="AY450" s="3264"/>
      <c r="BC450" s="3419" t="s">
        <v>99</v>
      </c>
      <c r="BD450" s="3422">
        <f>BD406</f>
        <v>0.34909146295941201</v>
      </c>
      <c r="BE450" s="3422">
        <f>BE406</f>
        <v>0.17823031588816271</v>
      </c>
      <c r="BF450" s="3423">
        <f>BF406</f>
        <v>0.4726782211524253</v>
      </c>
      <c r="BG450" s="3264"/>
      <c r="BK450" s="3419" t="s">
        <v>99</v>
      </c>
      <c r="BL450" s="3422">
        <f>BL406</f>
        <v>0.34909146295941201</v>
      </c>
      <c r="BM450" s="3422">
        <f>BM406</f>
        <v>0.17823031588816271</v>
      </c>
      <c r="BN450" s="3423">
        <f>BN406</f>
        <v>0.4726782211524253</v>
      </c>
      <c r="BO450" s="3264"/>
      <c r="BS450" s="3419" t="s">
        <v>99</v>
      </c>
      <c r="BT450" s="3422">
        <f>BT406</f>
        <v>0.34909146295941201</v>
      </c>
      <c r="BU450" s="3422">
        <f>BU406</f>
        <v>0.17823031588816271</v>
      </c>
      <c r="BV450" s="3423">
        <f>BV406</f>
        <v>0.4726782211524253</v>
      </c>
      <c r="BW450" s="3264"/>
      <c r="CA450" s="3419" t="s">
        <v>99</v>
      </c>
      <c r="CB450" s="3422">
        <f>CB406</f>
        <v>0.34909146295941201</v>
      </c>
      <c r="CC450" s="3422">
        <f>CC406</f>
        <v>0.17823031588816271</v>
      </c>
      <c r="CD450" s="3423">
        <f>CD406</f>
        <v>0.4726782211524253</v>
      </c>
      <c r="CE450" s="3264"/>
      <c r="CI450" s="3419" t="s">
        <v>99</v>
      </c>
      <c r="CJ450" s="3422">
        <f>CJ406</f>
        <v>0.34909146295941201</v>
      </c>
      <c r="CK450" s="3422">
        <f>CK406</f>
        <v>0.17823031588816271</v>
      </c>
      <c r="CL450" s="3423">
        <f>CL406</f>
        <v>0.4726782211524253</v>
      </c>
      <c r="CM450" s="3264"/>
      <c r="CQ450" s="3419" t="s">
        <v>99</v>
      </c>
      <c r="CR450" s="3422">
        <f>CR406</f>
        <v>0.34909146295941201</v>
      </c>
      <c r="CS450" s="3422">
        <f>CS406</f>
        <v>0.17823031588816271</v>
      </c>
      <c r="CT450" s="3423">
        <f>CT406</f>
        <v>0.4726782211524253</v>
      </c>
      <c r="CU450" s="3264"/>
      <c r="CY450" s="3419" t="s">
        <v>99</v>
      </c>
      <c r="CZ450" s="3422">
        <f>CZ406</f>
        <v>0.34909146295941201</v>
      </c>
      <c r="DA450" s="3422">
        <f>DA406</f>
        <v>0.17823031588816271</v>
      </c>
      <c r="DB450" s="3423">
        <f>DB406</f>
        <v>0.4726782211524253</v>
      </c>
      <c r="DC450" s="3264"/>
      <c r="DG450" s="3419" t="s">
        <v>99</v>
      </c>
      <c r="DH450" s="3422">
        <f>DH406</f>
        <v>0.34909146295941201</v>
      </c>
      <c r="DI450" s="3422">
        <f>DI406</f>
        <v>0.17823031588816271</v>
      </c>
      <c r="DJ450" s="3423">
        <f>DJ406</f>
        <v>0.4726782211524253</v>
      </c>
      <c r="DK450" s="3264"/>
      <c r="DO450" s="3419" t="s">
        <v>99</v>
      </c>
      <c r="DP450" s="3422">
        <f>DP406</f>
        <v>0.34909146295941201</v>
      </c>
      <c r="DQ450" s="3422">
        <f>DQ406</f>
        <v>0.17823031588816271</v>
      </c>
      <c r="DR450" s="3423">
        <f>DR406</f>
        <v>0.4726782211524253</v>
      </c>
      <c r="DS450" s="3264"/>
      <c r="DW450" s="3419" t="s">
        <v>99</v>
      </c>
      <c r="DX450" s="3422">
        <f>DX406</f>
        <v>0.34909146295941201</v>
      </c>
      <c r="DY450" s="3422">
        <f>DY406</f>
        <v>0.17823031588816271</v>
      </c>
      <c r="DZ450" s="3423">
        <f>DZ406</f>
        <v>0.4726782211524253</v>
      </c>
      <c r="EA450" s="3264"/>
      <c r="EE450" s="3419" t="s">
        <v>99</v>
      </c>
      <c r="EF450" s="3422">
        <f>EF406</f>
        <v>0.34909146295941201</v>
      </c>
      <c r="EG450" s="3422">
        <f>EG406</f>
        <v>0.17823031588816271</v>
      </c>
      <c r="EH450" s="3423">
        <f>EH406</f>
        <v>0.4726782211524253</v>
      </c>
      <c r="EI450" s="3264"/>
      <c r="EM450" s="3419" t="s">
        <v>99</v>
      </c>
      <c r="EN450" s="3422">
        <f>EN406</f>
        <v>0.34909146295941201</v>
      </c>
      <c r="EO450" s="3422">
        <f>EO406</f>
        <v>0.17823031588816271</v>
      </c>
      <c r="EP450" s="3423">
        <f>EP406</f>
        <v>0.4726782211524253</v>
      </c>
      <c r="EQ450" s="3264"/>
      <c r="EU450" s="3419" t="s">
        <v>99</v>
      </c>
      <c r="EV450" s="3422">
        <f>EV406</f>
        <v>0.34909146295941201</v>
      </c>
      <c r="EW450" s="3422">
        <f>EW406</f>
        <v>0.17823031588816271</v>
      </c>
      <c r="EX450" s="3423">
        <f>EX406</f>
        <v>0.4726782211524253</v>
      </c>
      <c r="EY450" s="3264"/>
      <c r="FC450" s="3419" t="s">
        <v>99</v>
      </c>
      <c r="FD450" s="3422">
        <f>FD406</f>
        <v>0.34909146295941201</v>
      </c>
      <c r="FE450" s="3422">
        <f>FE406</f>
        <v>0.17823031588816271</v>
      </c>
      <c r="FF450" s="3423">
        <f>FF406</f>
        <v>0.4726782211524253</v>
      </c>
      <c r="FG450" s="3264"/>
      <c r="FK450" s="3419" t="s">
        <v>99</v>
      </c>
      <c r="FL450" s="3422">
        <f>FL406</f>
        <v>0.34909146295941201</v>
      </c>
      <c r="FM450" s="3422">
        <f>FM406</f>
        <v>0.17823031588816271</v>
      </c>
      <c r="FN450" s="3423">
        <f>FN406</f>
        <v>0.4726782211524253</v>
      </c>
      <c r="FO450" s="3264"/>
    </row>
    <row r="451" spans="1:171">
      <c r="D451" s="3417"/>
      <c r="E451" s="3418"/>
      <c r="F451" s="2747"/>
      <c r="G451" s="3419" t="s">
        <v>108</v>
      </c>
      <c r="H451" s="3422">
        <f>H415</f>
        <v>0.34987259312354835</v>
      </c>
      <c r="I451" s="3422">
        <f>I415</f>
        <v>0</v>
      </c>
      <c r="J451" s="3423">
        <f>J415</f>
        <v>0.65012740668505486</v>
      </c>
      <c r="K451" s="3264"/>
      <c r="O451" s="3419" t="s">
        <v>108</v>
      </c>
      <c r="P451" s="3422">
        <f>P415</f>
        <v>0.34987259312354835</v>
      </c>
      <c r="Q451" s="3422">
        <f>Q415</f>
        <v>0.17556524444973659</v>
      </c>
      <c r="R451" s="3423">
        <f>R415</f>
        <v>0.47456216242671506</v>
      </c>
      <c r="S451" s="3264"/>
      <c r="W451" s="3419" t="s">
        <v>108</v>
      </c>
      <c r="X451" s="3422">
        <f>X415</f>
        <v>0.34987259312354835</v>
      </c>
      <c r="Y451" s="3422">
        <f>Y415</f>
        <v>0.17556524444973659</v>
      </c>
      <c r="Z451" s="3423">
        <f>Z415</f>
        <v>0.47456216242671506</v>
      </c>
      <c r="AA451" s="3264"/>
      <c r="AE451" s="3419" t="s">
        <v>108</v>
      </c>
      <c r="AF451" s="3422">
        <f>AF415</f>
        <v>0.34987259312354835</v>
      </c>
      <c r="AG451" s="3422">
        <f>AG415</f>
        <v>0.17556524444973659</v>
      </c>
      <c r="AH451" s="3423">
        <f>AH415</f>
        <v>0.47456216242671506</v>
      </c>
      <c r="AI451" s="3264"/>
      <c r="AM451" s="3419" t="s">
        <v>108</v>
      </c>
      <c r="AN451" s="3422">
        <f>AN415</f>
        <v>0.34987259312354835</v>
      </c>
      <c r="AO451" s="3422">
        <f>AO415</f>
        <v>0.17556524444973659</v>
      </c>
      <c r="AP451" s="3423">
        <f>AP415</f>
        <v>0.47456216242671506</v>
      </c>
      <c r="AQ451" s="3264"/>
      <c r="AU451" s="3419" t="s">
        <v>108</v>
      </c>
      <c r="AV451" s="3422">
        <f>AV415</f>
        <v>0.34987259312354835</v>
      </c>
      <c r="AW451" s="3422">
        <f>AW415</f>
        <v>0.17556524444973659</v>
      </c>
      <c r="AX451" s="3423">
        <f>AX415</f>
        <v>0.47456216242671506</v>
      </c>
      <c r="AY451" s="3264"/>
      <c r="BC451" s="3419" t="s">
        <v>108</v>
      </c>
      <c r="BD451" s="3422">
        <f>BD415</f>
        <v>0.34987259312354835</v>
      </c>
      <c r="BE451" s="3422">
        <f>BE415</f>
        <v>0.17556524444973659</v>
      </c>
      <c r="BF451" s="3423">
        <f>BF415</f>
        <v>0.47456216242671506</v>
      </c>
      <c r="BG451" s="3264"/>
      <c r="BK451" s="3419" t="s">
        <v>108</v>
      </c>
      <c r="BL451" s="3422">
        <f>BL415</f>
        <v>0.34987259312354835</v>
      </c>
      <c r="BM451" s="3422">
        <f>BM415</f>
        <v>0.17556524444973659</v>
      </c>
      <c r="BN451" s="3423">
        <f>BN415</f>
        <v>0.47456216242671506</v>
      </c>
      <c r="BO451" s="3264"/>
      <c r="BS451" s="3419" t="s">
        <v>108</v>
      </c>
      <c r="BT451" s="3422">
        <f>BT415</f>
        <v>0.34987259312354835</v>
      </c>
      <c r="BU451" s="3422">
        <f>BU415</f>
        <v>0.17556524444973659</v>
      </c>
      <c r="BV451" s="3423">
        <f>BV415</f>
        <v>0.47456216242671506</v>
      </c>
      <c r="BW451" s="3264"/>
      <c r="CA451" s="3419" t="s">
        <v>108</v>
      </c>
      <c r="CB451" s="3422">
        <f>CB415</f>
        <v>0.34987259312354835</v>
      </c>
      <c r="CC451" s="3422">
        <f>CC415</f>
        <v>0.17556524444973659</v>
      </c>
      <c r="CD451" s="3423">
        <f>CD415</f>
        <v>0.47456216242671506</v>
      </c>
      <c r="CE451" s="3264"/>
      <c r="CI451" s="3419" t="s">
        <v>108</v>
      </c>
      <c r="CJ451" s="3422">
        <f>CJ415</f>
        <v>0.34987259312354835</v>
      </c>
      <c r="CK451" s="3422">
        <f>CK415</f>
        <v>0.17556524444973659</v>
      </c>
      <c r="CL451" s="3423">
        <f>CL415</f>
        <v>0.47456216242671506</v>
      </c>
      <c r="CM451" s="3264"/>
      <c r="CQ451" s="3419" t="s">
        <v>108</v>
      </c>
      <c r="CR451" s="3422">
        <f>CR415</f>
        <v>0.34987259312354835</v>
      </c>
      <c r="CS451" s="3422">
        <f>CS415</f>
        <v>0.17556524444973659</v>
      </c>
      <c r="CT451" s="3423">
        <f>CT415</f>
        <v>0.47456216242671506</v>
      </c>
      <c r="CU451" s="3264"/>
      <c r="CY451" s="3419" t="s">
        <v>108</v>
      </c>
      <c r="CZ451" s="3422">
        <f>CZ415</f>
        <v>0.34987259312354835</v>
      </c>
      <c r="DA451" s="3422">
        <f>DA415</f>
        <v>0.17556524444973659</v>
      </c>
      <c r="DB451" s="3423">
        <f>DB415</f>
        <v>0.47456216242671506</v>
      </c>
      <c r="DC451" s="3264"/>
      <c r="DG451" s="3419" t="s">
        <v>108</v>
      </c>
      <c r="DH451" s="3422">
        <f>DH415</f>
        <v>0.34987259312354835</v>
      </c>
      <c r="DI451" s="3422">
        <f>DI415</f>
        <v>0.17556524444973659</v>
      </c>
      <c r="DJ451" s="3423">
        <f>DJ415</f>
        <v>0.47456216242671506</v>
      </c>
      <c r="DK451" s="3264"/>
      <c r="DO451" s="3419" t="s">
        <v>108</v>
      </c>
      <c r="DP451" s="3422">
        <f>DP415</f>
        <v>0.34987259312354835</v>
      </c>
      <c r="DQ451" s="3422">
        <f>DQ415</f>
        <v>0.17556524444973659</v>
      </c>
      <c r="DR451" s="3423">
        <f>DR415</f>
        <v>0.47456216242671506</v>
      </c>
      <c r="DS451" s="3264"/>
      <c r="DW451" s="3419" t="s">
        <v>108</v>
      </c>
      <c r="DX451" s="3422">
        <f>DX415</f>
        <v>0.34987259312354835</v>
      </c>
      <c r="DY451" s="3422">
        <f>DY415</f>
        <v>0.17556524444973659</v>
      </c>
      <c r="DZ451" s="3423">
        <f>DZ415</f>
        <v>0.47456216242671506</v>
      </c>
      <c r="EA451" s="3264"/>
      <c r="EE451" s="3419" t="s">
        <v>108</v>
      </c>
      <c r="EF451" s="3422">
        <f>EF415</f>
        <v>0.34987259312354835</v>
      </c>
      <c r="EG451" s="3422">
        <f>EG415</f>
        <v>0.17556524444973659</v>
      </c>
      <c r="EH451" s="3423">
        <f>EH415</f>
        <v>0.47456216242671506</v>
      </c>
      <c r="EI451" s="3264"/>
      <c r="EM451" s="3419" t="s">
        <v>108</v>
      </c>
      <c r="EN451" s="3422">
        <f>EN415</f>
        <v>0.34987259312354835</v>
      </c>
      <c r="EO451" s="3422">
        <f>EO415</f>
        <v>0.17556524444973659</v>
      </c>
      <c r="EP451" s="3423">
        <f>EP415</f>
        <v>0.47456216242671506</v>
      </c>
      <c r="EQ451" s="3264"/>
      <c r="EU451" s="3419" t="s">
        <v>108</v>
      </c>
      <c r="EV451" s="3422">
        <f>EV415</f>
        <v>0.34987259312354835</v>
      </c>
      <c r="EW451" s="3422">
        <f>EW415</f>
        <v>0.17556524444973659</v>
      </c>
      <c r="EX451" s="3423">
        <f>EX415</f>
        <v>0.47456216242671506</v>
      </c>
      <c r="EY451" s="3264"/>
      <c r="FC451" s="3419" t="s">
        <v>108</v>
      </c>
      <c r="FD451" s="3422">
        <f>FD415</f>
        <v>0.34987259312354835</v>
      </c>
      <c r="FE451" s="3422">
        <f>FE415</f>
        <v>0.17556524444973659</v>
      </c>
      <c r="FF451" s="3423">
        <f>FF415</f>
        <v>0.47456216242671506</v>
      </c>
      <c r="FG451" s="3264"/>
      <c r="FK451" s="3419" t="s">
        <v>108</v>
      </c>
      <c r="FL451" s="3422">
        <f>FL415</f>
        <v>0.34987259312354835</v>
      </c>
      <c r="FM451" s="3422">
        <f>FM415</f>
        <v>0.17556524444973659</v>
      </c>
      <c r="FN451" s="3423">
        <f>FN415</f>
        <v>0.47456216242671506</v>
      </c>
      <c r="FO451" s="3264"/>
    </row>
    <row r="452" spans="1:171">
      <c r="D452" s="3417"/>
      <c r="E452" s="3418"/>
      <c r="F452" s="2747"/>
      <c r="G452" s="3424" t="s">
        <v>109</v>
      </c>
      <c r="H452" s="3422">
        <f>H421</f>
        <v>0</v>
      </c>
      <c r="I452" s="3422">
        <f>I421</f>
        <v>0</v>
      </c>
      <c r="J452" s="3423">
        <f>J421</f>
        <v>1</v>
      </c>
      <c r="K452" s="3411"/>
      <c r="O452" s="3424" t="s">
        <v>109</v>
      </c>
      <c r="P452" s="3422">
        <f>P421</f>
        <v>0</v>
      </c>
      <c r="Q452" s="3422">
        <f>Q421</f>
        <v>0.2738177574049071</v>
      </c>
      <c r="R452" s="3423">
        <f>R421</f>
        <v>0.7261822425950929</v>
      </c>
      <c r="S452" s="3411"/>
      <c r="W452" s="3424" t="s">
        <v>109</v>
      </c>
      <c r="X452" s="3422">
        <f>X421</f>
        <v>0</v>
      </c>
      <c r="Y452" s="3422">
        <f>Y421</f>
        <v>0.2738177574049071</v>
      </c>
      <c r="Z452" s="3423">
        <f>Z421</f>
        <v>0.7261822425950929</v>
      </c>
      <c r="AA452" s="3411"/>
      <c r="AE452" s="3424" t="s">
        <v>109</v>
      </c>
      <c r="AF452" s="3422">
        <f>AF421</f>
        <v>0</v>
      </c>
      <c r="AG452" s="3422">
        <f>AG421</f>
        <v>0.2738177574049071</v>
      </c>
      <c r="AH452" s="3423">
        <f>AH421</f>
        <v>0.7261822425950929</v>
      </c>
      <c r="AI452" s="3411"/>
      <c r="AM452" s="3424" t="s">
        <v>109</v>
      </c>
      <c r="AN452" s="3422">
        <f>AN421</f>
        <v>0</v>
      </c>
      <c r="AO452" s="3422">
        <f>AO421</f>
        <v>0.2738177574049071</v>
      </c>
      <c r="AP452" s="3423">
        <f>AP421</f>
        <v>0.7261822425950929</v>
      </c>
      <c r="AQ452" s="3411"/>
      <c r="AU452" s="3424" t="s">
        <v>109</v>
      </c>
      <c r="AV452" s="3422">
        <f>AV421</f>
        <v>0</v>
      </c>
      <c r="AW452" s="3422">
        <f>AW421</f>
        <v>0.2738177574049071</v>
      </c>
      <c r="AX452" s="3423">
        <f>AX421</f>
        <v>0.7261822425950929</v>
      </c>
      <c r="AY452" s="3411"/>
      <c r="BC452" s="3424" t="s">
        <v>109</v>
      </c>
      <c r="BD452" s="3422">
        <f>BD421</f>
        <v>0</v>
      </c>
      <c r="BE452" s="3422">
        <f>BE421</f>
        <v>0.2738177574049071</v>
      </c>
      <c r="BF452" s="3423">
        <f>BF421</f>
        <v>0.7261822425950929</v>
      </c>
      <c r="BG452" s="3411"/>
      <c r="BK452" s="3424" t="s">
        <v>109</v>
      </c>
      <c r="BL452" s="3422">
        <f>BL421</f>
        <v>0</v>
      </c>
      <c r="BM452" s="3422">
        <f>BM421</f>
        <v>0.2738177574049071</v>
      </c>
      <c r="BN452" s="3423">
        <f>BN421</f>
        <v>0.7261822425950929</v>
      </c>
      <c r="BO452" s="3411"/>
      <c r="BS452" s="3424" t="s">
        <v>109</v>
      </c>
      <c r="BT452" s="3422">
        <f>BT421</f>
        <v>0</v>
      </c>
      <c r="BU452" s="3422">
        <f>BU421</f>
        <v>0.2738177574049071</v>
      </c>
      <c r="BV452" s="3423">
        <f>BV421</f>
        <v>0.7261822425950929</v>
      </c>
      <c r="BW452" s="3411"/>
      <c r="CA452" s="3424" t="s">
        <v>109</v>
      </c>
      <c r="CB452" s="3422">
        <f>CB421</f>
        <v>0</v>
      </c>
      <c r="CC452" s="3422">
        <f>CC421</f>
        <v>0.2738177574049071</v>
      </c>
      <c r="CD452" s="3423">
        <f>CD421</f>
        <v>0.7261822425950929</v>
      </c>
      <c r="CE452" s="3411"/>
      <c r="CI452" s="3424" t="s">
        <v>109</v>
      </c>
      <c r="CJ452" s="3422">
        <f>CJ421</f>
        <v>0</v>
      </c>
      <c r="CK452" s="3422">
        <f>CK421</f>
        <v>0.2738177574049071</v>
      </c>
      <c r="CL452" s="3423">
        <f>CL421</f>
        <v>0.7261822425950929</v>
      </c>
      <c r="CM452" s="3411"/>
      <c r="CQ452" s="3424" t="s">
        <v>109</v>
      </c>
      <c r="CR452" s="3422">
        <f>CR421</f>
        <v>0</v>
      </c>
      <c r="CS452" s="3422">
        <f>CS421</f>
        <v>0.2738177574049071</v>
      </c>
      <c r="CT452" s="3423">
        <f>CT421</f>
        <v>0.7261822425950929</v>
      </c>
      <c r="CU452" s="3411"/>
      <c r="CY452" s="3424" t="s">
        <v>109</v>
      </c>
      <c r="CZ452" s="3422">
        <f>CZ421</f>
        <v>0</v>
      </c>
      <c r="DA452" s="3422">
        <f>DA421</f>
        <v>0.2738177574049071</v>
      </c>
      <c r="DB452" s="3423">
        <f>DB421</f>
        <v>0.7261822425950929</v>
      </c>
      <c r="DC452" s="3411"/>
      <c r="DG452" s="3424" t="s">
        <v>109</v>
      </c>
      <c r="DH452" s="3422">
        <f>DH421</f>
        <v>0</v>
      </c>
      <c r="DI452" s="3422">
        <f>DI421</f>
        <v>0.2738177574049071</v>
      </c>
      <c r="DJ452" s="3423">
        <f>DJ421</f>
        <v>0.7261822425950929</v>
      </c>
      <c r="DK452" s="3411"/>
      <c r="DO452" s="3424" t="s">
        <v>109</v>
      </c>
      <c r="DP452" s="3422">
        <f>DP421</f>
        <v>0</v>
      </c>
      <c r="DQ452" s="3422">
        <f>DQ421</f>
        <v>0.2738177574049071</v>
      </c>
      <c r="DR452" s="3423">
        <f>DR421</f>
        <v>0.7261822425950929</v>
      </c>
      <c r="DS452" s="3411"/>
      <c r="DW452" s="3424" t="s">
        <v>109</v>
      </c>
      <c r="DX452" s="3422">
        <f>DX421</f>
        <v>0</v>
      </c>
      <c r="DY452" s="3422">
        <f>DY421</f>
        <v>0.2738177574049071</v>
      </c>
      <c r="DZ452" s="3423">
        <f>DZ421</f>
        <v>0.7261822425950929</v>
      </c>
      <c r="EA452" s="3411"/>
      <c r="EE452" s="3424" t="s">
        <v>109</v>
      </c>
      <c r="EF452" s="3422">
        <f>EF421</f>
        <v>0</v>
      </c>
      <c r="EG452" s="3422">
        <f>EG421</f>
        <v>0.2738177574049071</v>
      </c>
      <c r="EH452" s="3423">
        <f>EH421</f>
        <v>0.7261822425950929</v>
      </c>
      <c r="EI452" s="3411"/>
      <c r="EM452" s="3424" t="s">
        <v>109</v>
      </c>
      <c r="EN452" s="3422">
        <f>EN421</f>
        <v>0</v>
      </c>
      <c r="EO452" s="3422">
        <f>EO421</f>
        <v>0.2738177574049071</v>
      </c>
      <c r="EP452" s="3423">
        <f>EP421</f>
        <v>0.7261822425950929</v>
      </c>
      <c r="EQ452" s="3411"/>
      <c r="EU452" s="3424" t="s">
        <v>109</v>
      </c>
      <c r="EV452" s="3422">
        <f>EV421</f>
        <v>0</v>
      </c>
      <c r="EW452" s="3422">
        <f>EW421</f>
        <v>0.2738177574049071</v>
      </c>
      <c r="EX452" s="3423">
        <f>EX421</f>
        <v>0.7261822425950929</v>
      </c>
      <c r="EY452" s="3411"/>
      <c r="FC452" s="3424" t="s">
        <v>109</v>
      </c>
      <c r="FD452" s="3422">
        <f>FD421</f>
        <v>0</v>
      </c>
      <c r="FE452" s="3422">
        <f>FE421</f>
        <v>0.2738177574049071</v>
      </c>
      <c r="FF452" s="3423">
        <f>FF421</f>
        <v>0.7261822425950929</v>
      </c>
      <c r="FG452" s="3411"/>
      <c r="FK452" s="3424" t="s">
        <v>109</v>
      </c>
      <c r="FL452" s="3422">
        <f>FL421</f>
        <v>0</v>
      </c>
      <c r="FM452" s="3422">
        <f>FM421</f>
        <v>0.2738177574049071</v>
      </c>
      <c r="FN452" s="3423">
        <f>FN421</f>
        <v>0.7261822425950929</v>
      </c>
      <c r="FO452" s="3411"/>
    </row>
    <row r="453" spans="1:171" ht="12" thickBot="1">
      <c r="E453" s="2747"/>
      <c r="F453" s="2747"/>
      <c r="G453" s="3131"/>
      <c r="H453" s="3425"/>
      <c r="I453" s="3425"/>
      <c r="J453" s="3426"/>
      <c r="K453" s="3264"/>
      <c r="O453" s="3131"/>
      <c r="P453" s="3425"/>
      <c r="Q453" s="3425"/>
      <c r="R453" s="3426"/>
      <c r="S453" s="3264"/>
      <c r="W453" s="3131"/>
      <c r="X453" s="3425"/>
      <c r="Y453" s="3425"/>
      <c r="Z453" s="3426"/>
      <c r="AA453" s="3264"/>
      <c r="AE453" s="3131"/>
      <c r="AF453" s="3425"/>
      <c r="AG453" s="3425"/>
      <c r="AH453" s="3426"/>
      <c r="AI453" s="3264"/>
      <c r="AM453" s="3131"/>
      <c r="AN453" s="3425"/>
      <c r="AO453" s="3425"/>
      <c r="AP453" s="3426"/>
      <c r="AQ453" s="3264"/>
      <c r="AU453" s="3131"/>
      <c r="AV453" s="3425"/>
      <c r="AW453" s="3425"/>
      <c r="AX453" s="3426"/>
      <c r="AY453" s="3264"/>
      <c r="BC453" s="3131"/>
      <c r="BD453" s="3425"/>
      <c r="BE453" s="3425"/>
      <c r="BF453" s="3426"/>
      <c r="BG453" s="3264"/>
      <c r="BK453" s="3131"/>
      <c r="BL453" s="3425"/>
      <c r="BM453" s="3425"/>
      <c r="BN453" s="3426"/>
      <c r="BO453" s="3264"/>
      <c r="BS453" s="3131"/>
      <c r="BT453" s="3425"/>
      <c r="BU453" s="3425"/>
      <c r="BV453" s="3426"/>
      <c r="BW453" s="3264"/>
      <c r="CA453" s="3131"/>
      <c r="CB453" s="3425"/>
      <c r="CC453" s="3425"/>
      <c r="CD453" s="3426"/>
      <c r="CE453" s="3264"/>
      <c r="CI453" s="3131"/>
      <c r="CJ453" s="3425"/>
      <c r="CK453" s="3425"/>
      <c r="CL453" s="3426"/>
      <c r="CM453" s="3264"/>
      <c r="CQ453" s="3131"/>
      <c r="CR453" s="3425"/>
      <c r="CS453" s="3425"/>
      <c r="CT453" s="3426"/>
      <c r="CU453" s="3264"/>
      <c r="CY453" s="3131"/>
      <c r="CZ453" s="3425"/>
      <c r="DA453" s="3425"/>
      <c r="DB453" s="3426"/>
      <c r="DC453" s="3264"/>
      <c r="DG453" s="3131"/>
      <c r="DH453" s="3425"/>
      <c r="DI453" s="3425"/>
      <c r="DJ453" s="3426"/>
      <c r="DK453" s="3264"/>
      <c r="DO453" s="3131"/>
      <c r="DP453" s="3425"/>
      <c r="DQ453" s="3425"/>
      <c r="DR453" s="3426"/>
      <c r="DS453" s="3264"/>
      <c r="DW453" s="3131"/>
      <c r="DX453" s="3425"/>
      <c r="DY453" s="3425"/>
      <c r="DZ453" s="3426"/>
      <c r="EA453" s="3264"/>
      <c r="EE453" s="3131"/>
      <c r="EF453" s="3425"/>
      <c r="EG453" s="3425"/>
      <c r="EH453" s="3426"/>
      <c r="EI453" s="3264"/>
      <c r="EM453" s="3131"/>
      <c r="EN453" s="3425"/>
      <c r="EO453" s="3425"/>
      <c r="EP453" s="3426"/>
      <c r="EQ453" s="3264"/>
      <c r="EU453" s="3131"/>
      <c r="EV453" s="3425"/>
      <c r="EW453" s="3425"/>
      <c r="EX453" s="3426"/>
      <c r="EY453" s="3264"/>
      <c r="FC453" s="3131"/>
      <c r="FD453" s="3425"/>
      <c r="FE453" s="3425"/>
      <c r="FF453" s="3426"/>
      <c r="FG453" s="3264"/>
      <c r="FK453" s="3131"/>
      <c r="FL453" s="3425"/>
      <c r="FM453" s="3425"/>
      <c r="FN453" s="3426"/>
      <c r="FO453" s="3264"/>
    </row>
    <row r="454" spans="1:171" ht="12" thickTop="1">
      <c r="K454" s="3264"/>
      <c r="S454" s="3264"/>
      <c r="AA454" s="3264"/>
      <c r="AI454" s="3264"/>
      <c r="AQ454" s="3264"/>
      <c r="AY454" s="3264"/>
      <c r="BG454" s="3264"/>
      <c r="BO454" s="3264"/>
      <c r="BW454" s="3264"/>
      <c r="CE454" s="3264"/>
      <c r="CM454" s="3264"/>
      <c r="CU454" s="3264"/>
      <c r="DC454" s="3264"/>
      <c r="DK454" s="3264"/>
      <c r="DS454" s="3264"/>
      <c r="EA454" s="3264"/>
      <c r="EI454" s="3264"/>
      <c r="EQ454" s="3264"/>
      <c r="EY454" s="3264"/>
      <c r="FG454" s="3264"/>
      <c r="FO454" s="3264"/>
    </row>
    <row r="455" spans="1:171">
      <c r="K455" s="3264"/>
      <c r="S455" s="3264"/>
      <c r="AA455" s="3264"/>
      <c r="AI455" s="3264"/>
      <c r="AQ455" s="3264"/>
      <c r="AY455" s="3264"/>
      <c r="BG455" s="3264"/>
      <c r="BO455" s="3264"/>
      <c r="BW455" s="3264"/>
      <c r="CE455" s="3264"/>
      <c r="CM455" s="3264"/>
      <c r="CU455" s="3264"/>
      <c r="DC455" s="3264"/>
      <c r="DK455" s="3264"/>
      <c r="DS455" s="3264"/>
      <c r="EA455" s="3264"/>
      <c r="EI455" s="3264"/>
      <c r="EQ455" s="3264"/>
      <c r="EY455" s="3264"/>
      <c r="FG455" s="3264"/>
      <c r="FO455" s="3264"/>
    </row>
    <row r="456" spans="1:171">
      <c r="K456" s="3264"/>
      <c r="S456" s="3264"/>
      <c r="AA456" s="3264"/>
      <c r="AI456" s="3264"/>
      <c r="AQ456" s="3264"/>
      <c r="AY456" s="3264"/>
      <c r="BG456" s="3264"/>
      <c r="BO456" s="3264"/>
      <c r="BW456" s="3264"/>
      <c r="CE456" s="3264"/>
      <c r="CM456" s="3264"/>
      <c r="CU456" s="3264"/>
      <c r="DC456" s="3264"/>
      <c r="DK456" s="3264"/>
      <c r="DS456" s="3264"/>
      <c r="EA456" s="3264"/>
      <c r="EI456" s="3264"/>
      <c r="EQ456" s="3264"/>
      <c r="EY456" s="3264"/>
      <c r="FG456" s="3264"/>
      <c r="FO456" s="3264"/>
    </row>
    <row r="457" spans="1:171">
      <c r="K457" s="3264"/>
      <c r="S457" s="3264"/>
      <c r="AA457" s="3264"/>
      <c r="AI457" s="3264"/>
      <c r="AQ457" s="3264"/>
      <c r="AY457" s="3264"/>
      <c r="BG457" s="3264"/>
      <c r="BO457" s="3264"/>
      <c r="BW457" s="3264"/>
      <c r="CE457" s="3264"/>
      <c r="CM457" s="3264"/>
      <c r="CU457" s="3264"/>
      <c r="DC457" s="3264"/>
      <c r="DK457" s="3264"/>
      <c r="DS457" s="3264"/>
      <c r="EA457" s="3264"/>
      <c r="EI457" s="3264"/>
      <c r="EQ457" s="3264"/>
      <c r="EY457" s="3264"/>
      <c r="FG457" s="3264"/>
      <c r="FO457" s="3264"/>
    </row>
    <row r="458" spans="1:171">
      <c r="K458" s="3264"/>
      <c r="S458" s="3264"/>
      <c r="AA458" s="3264"/>
      <c r="AI458" s="3264"/>
      <c r="AQ458" s="3264"/>
      <c r="AY458" s="3264"/>
      <c r="BG458" s="3264"/>
      <c r="BO458" s="3264"/>
      <c r="BW458" s="3264"/>
      <c r="CE458" s="3264"/>
      <c r="CM458" s="3264"/>
      <c r="CU458" s="3264"/>
      <c r="DC458" s="3264"/>
      <c r="DK458" s="3264"/>
      <c r="DS458" s="3264"/>
      <c r="EA458" s="3264"/>
      <c r="EI458" s="3264"/>
      <c r="EQ458" s="3264"/>
      <c r="EY458" s="3264"/>
      <c r="FG458" s="3264"/>
      <c r="FO458" s="3264"/>
    </row>
    <row r="459" spans="1:171">
      <c r="K459" s="3264"/>
      <c r="S459" s="3264"/>
      <c r="AA459" s="3264"/>
      <c r="AI459" s="3264"/>
      <c r="AQ459" s="3264"/>
      <c r="AY459" s="3264"/>
      <c r="BG459" s="3264"/>
      <c r="BO459" s="3264"/>
      <c r="BW459" s="3264"/>
      <c r="CE459" s="3264"/>
      <c r="CM459" s="3264"/>
      <c r="CU459" s="3264"/>
      <c r="DC459" s="3264"/>
      <c r="DK459" s="3264"/>
      <c r="DS459" s="3264"/>
      <c r="EA459" s="3264"/>
      <c r="EI459" s="3264"/>
      <c r="EQ459" s="3264"/>
      <c r="EY459" s="3264"/>
      <c r="FG459" s="3264"/>
      <c r="FO459" s="3264"/>
    </row>
    <row r="460" spans="1:171">
      <c r="K460" s="3264"/>
      <c r="S460" s="3264"/>
      <c r="AA460" s="3264"/>
      <c r="AI460" s="3264"/>
      <c r="AQ460" s="3264"/>
      <c r="AY460" s="3264"/>
      <c r="BG460" s="3264"/>
      <c r="BO460" s="3264"/>
      <c r="BW460" s="3264"/>
      <c r="CE460" s="3264"/>
      <c r="CM460" s="3264"/>
      <c r="CU460" s="3264"/>
      <c r="DC460" s="3264"/>
      <c r="DK460" s="3264"/>
      <c r="DS460" s="3264"/>
      <c r="EA460" s="3264"/>
      <c r="EI460" s="3264"/>
      <c r="EQ460" s="3264"/>
      <c r="EY460" s="3264"/>
      <c r="FG460" s="3264"/>
      <c r="FO460" s="3264"/>
    </row>
    <row r="461" spans="1:171">
      <c r="A461" s="3205"/>
      <c r="B461" s="3205"/>
      <c r="C461" s="3205"/>
      <c r="D461" s="3205"/>
      <c r="E461" s="3205"/>
      <c r="F461" s="3205"/>
      <c r="G461" s="3205"/>
      <c r="H461" s="3205"/>
      <c r="I461" s="3205"/>
      <c r="J461" s="3205"/>
      <c r="K461" s="3264"/>
      <c r="L461" s="3205"/>
      <c r="M461" s="3205"/>
      <c r="N461" s="3205"/>
      <c r="O461" s="3205"/>
      <c r="P461" s="3205"/>
      <c r="Q461" s="3205"/>
      <c r="R461" s="3205"/>
      <c r="S461" s="3264"/>
      <c r="T461" s="3205"/>
      <c r="U461" s="3205"/>
      <c r="V461" s="3205"/>
      <c r="W461" s="3205"/>
      <c r="X461" s="3205"/>
      <c r="Y461" s="3205"/>
      <c r="Z461" s="3205"/>
      <c r="AA461" s="3264"/>
      <c r="AB461" s="3205"/>
      <c r="AC461" s="3205"/>
      <c r="AD461" s="3205"/>
      <c r="AE461" s="3205"/>
      <c r="AF461" s="3205"/>
      <c r="AG461" s="3205"/>
      <c r="AH461" s="3205"/>
      <c r="AI461" s="3264"/>
      <c r="AJ461" s="3205"/>
      <c r="AK461" s="3205"/>
      <c r="AL461" s="3205"/>
      <c r="AM461" s="3205"/>
      <c r="AN461" s="3205"/>
      <c r="AO461" s="3205"/>
      <c r="AP461" s="3205"/>
      <c r="AQ461" s="3264"/>
      <c r="AR461" s="3205"/>
      <c r="AS461" s="3205"/>
      <c r="AT461" s="3205"/>
      <c r="AU461" s="3205"/>
      <c r="AV461" s="3205"/>
      <c r="AW461" s="3205"/>
      <c r="AX461" s="3205"/>
      <c r="AY461" s="3264"/>
      <c r="AZ461" s="3205"/>
      <c r="BA461" s="3205"/>
      <c r="BB461" s="3205"/>
      <c r="BC461" s="3205"/>
      <c r="BD461" s="3205"/>
      <c r="BE461" s="3205"/>
      <c r="BF461" s="3205"/>
      <c r="BG461" s="3264"/>
      <c r="BH461" s="3205"/>
      <c r="BI461" s="3205"/>
      <c r="BJ461" s="3205"/>
      <c r="BK461" s="3205"/>
      <c r="BL461" s="3205"/>
      <c r="BM461" s="3205"/>
      <c r="BN461" s="3205"/>
      <c r="BO461" s="3264"/>
      <c r="BP461" s="3205"/>
      <c r="BQ461" s="3205"/>
      <c r="BR461" s="3205"/>
      <c r="BS461" s="3205"/>
      <c r="BT461" s="3205"/>
      <c r="BU461" s="3205"/>
      <c r="BV461" s="3205"/>
      <c r="BW461" s="3264"/>
      <c r="BX461" s="3205"/>
      <c r="BY461" s="3205"/>
      <c r="BZ461" s="3205"/>
      <c r="CA461" s="3205"/>
      <c r="CB461" s="3205"/>
      <c r="CC461" s="3205"/>
      <c r="CD461" s="3205"/>
      <c r="CE461" s="3264"/>
      <c r="CF461" s="3205"/>
      <c r="CG461" s="3205"/>
      <c r="CH461" s="3205"/>
      <c r="CI461" s="3205"/>
      <c r="CJ461" s="3205"/>
      <c r="CK461" s="3205"/>
      <c r="CL461" s="3205"/>
      <c r="CM461" s="3264"/>
      <c r="CN461" s="3205"/>
      <c r="CO461" s="3205"/>
      <c r="CP461" s="3205"/>
      <c r="CQ461" s="3205"/>
      <c r="CR461" s="3205"/>
      <c r="CS461" s="3205"/>
      <c r="CT461" s="3205"/>
      <c r="CU461" s="3264"/>
      <c r="CV461" s="3205"/>
      <c r="CW461" s="3205"/>
      <c r="CX461" s="3205"/>
      <c r="CY461" s="3205"/>
      <c r="CZ461" s="3205"/>
      <c r="DA461" s="3205"/>
      <c r="DB461" s="3205"/>
      <c r="DC461" s="3264"/>
      <c r="DD461" s="3205"/>
      <c r="DE461" s="3205"/>
      <c r="DF461" s="3205"/>
      <c r="DG461" s="3205"/>
      <c r="DH461" s="3205"/>
      <c r="DI461" s="3205"/>
      <c r="DJ461" s="3205"/>
      <c r="DK461" s="3264"/>
      <c r="DL461" s="3205"/>
      <c r="DM461" s="3205"/>
      <c r="DN461" s="3205"/>
      <c r="DO461" s="3205"/>
      <c r="DP461" s="3205"/>
      <c r="DQ461" s="3205"/>
      <c r="DR461" s="3205"/>
      <c r="DS461" s="3264"/>
      <c r="DT461" s="3205"/>
      <c r="DU461" s="3205"/>
      <c r="DV461" s="3205"/>
      <c r="DW461" s="3205"/>
      <c r="DX461" s="3205"/>
      <c r="DY461" s="3205"/>
      <c r="DZ461" s="3205"/>
      <c r="EA461" s="3264"/>
      <c r="EB461" s="3205"/>
      <c r="EC461" s="3205"/>
      <c r="ED461" s="3205"/>
      <c r="EE461" s="3205"/>
      <c r="EF461" s="3205"/>
      <c r="EG461" s="3205"/>
      <c r="EH461" s="3205"/>
      <c r="EI461" s="3264"/>
      <c r="EJ461" s="3205"/>
      <c r="EK461" s="3205"/>
      <c r="EL461" s="3205"/>
      <c r="EM461" s="3205"/>
      <c r="EN461" s="3205"/>
      <c r="EO461" s="3205"/>
      <c r="EP461" s="3205"/>
      <c r="EQ461" s="3264"/>
      <c r="ER461" s="3205"/>
      <c r="ES461" s="3205"/>
      <c r="ET461" s="3205"/>
      <c r="EU461" s="3205"/>
      <c r="EV461" s="3205"/>
      <c r="EW461" s="3205"/>
      <c r="EX461" s="3205"/>
      <c r="EY461" s="3264"/>
      <c r="EZ461" s="3205"/>
      <c r="FA461" s="3205"/>
      <c r="FB461" s="3205"/>
      <c r="FC461" s="3205"/>
      <c r="FD461" s="3205"/>
      <c r="FE461" s="3205"/>
      <c r="FF461" s="3205"/>
      <c r="FG461" s="3264"/>
      <c r="FH461" s="3205"/>
      <c r="FI461" s="3205"/>
      <c r="FJ461" s="3205"/>
      <c r="FK461" s="3205"/>
      <c r="FL461" s="3205"/>
      <c r="FM461" s="3205"/>
      <c r="FN461" s="3205"/>
      <c r="FO461" s="3264"/>
    </row>
    <row r="462" spans="1:171">
      <c r="K462" s="3264"/>
      <c r="S462" s="3264"/>
      <c r="AA462" s="3264"/>
      <c r="AI462" s="3264"/>
      <c r="AQ462" s="3264"/>
      <c r="AY462" s="3264"/>
      <c r="BG462" s="3264"/>
      <c r="BO462" s="3264"/>
      <c r="BW462" s="3264"/>
      <c r="CE462" s="3264"/>
      <c r="CM462" s="3264"/>
      <c r="CU462" s="3264"/>
      <c r="DC462" s="3264"/>
      <c r="DK462" s="3264"/>
      <c r="DS462" s="3264"/>
      <c r="EA462" s="3264"/>
      <c r="EI462" s="3264"/>
      <c r="EQ462" s="3264"/>
      <c r="EY462" s="3264"/>
      <c r="FG462" s="3264"/>
      <c r="FO462" s="3264"/>
    </row>
    <row r="463" spans="1:171">
      <c r="B463" s="507" t="s">
        <v>632</v>
      </c>
      <c r="G463" s="3427" t="s">
        <v>633</v>
      </c>
      <c r="K463" s="3264"/>
      <c r="S463" s="3264"/>
      <c r="AA463" s="3264"/>
      <c r="AI463" s="3264"/>
      <c r="AQ463" s="3264"/>
      <c r="AY463" s="3264"/>
      <c r="BG463" s="3264"/>
      <c r="BO463" s="3264"/>
      <c r="BW463" s="3264"/>
      <c r="CE463" s="3264"/>
      <c r="CM463" s="3264"/>
      <c r="CU463" s="3264"/>
      <c r="DC463" s="3264"/>
      <c r="DK463" s="3264"/>
      <c r="DS463" s="3264"/>
      <c r="EA463" s="3264"/>
      <c r="EI463" s="3264"/>
      <c r="EQ463" s="3264"/>
      <c r="EY463" s="3264"/>
      <c r="FG463" s="3264"/>
      <c r="FO463" s="3264"/>
    </row>
    <row r="464" spans="1:171">
      <c r="K464" s="3264"/>
      <c r="S464" s="3264"/>
      <c r="AA464" s="3264"/>
      <c r="AI464" s="3264"/>
      <c r="AQ464" s="3264"/>
      <c r="AY464" s="3264"/>
      <c r="BG464" s="3264"/>
      <c r="BO464" s="3264"/>
      <c r="BW464" s="3264"/>
      <c r="CE464" s="3264"/>
      <c r="CM464" s="3264"/>
      <c r="CU464" s="3264"/>
      <c r="DC464" s="3264"/>
      <c r="DK464" s="3264"/>
      <c r="DS464" s="3264"/>
      <c r="EA464" s="3264"/>
      <c r="EI464" s="3264"/>
      <c r="EQ464" s="3264"/>
      <c r="EY464" s="3264"/>
      <c r="FG464" s="3264"/>
      <c r="FO464" s="3264"/>
    </row>
    <row r="465" spans="1:171">
      <c r="B465" s="3909" t="s">
        <v>657</v>
      </c>
      <c r="C465" s="3910"/>
      <c r="D465" s="3910"/>
      <c r="E465" s="3910"/>
      <c r="F465" s="3428"/>
      <c r="G465" s="743">
        <f>G470+G484</f>
        <v>1085637524</v>
      </c>
      <c r="K465" s="3264"/>
      <c r="O465" s="743">
        <f>O470+O484</f>
        <v>1085637524</v>
      </c>
      <c r="S465" s="3264"/>
      <c r="W465" s="743">
        <f>W470+W484</f>
        <v>1085637524</v>
      </c>
      <c r="AA465" s="3264"/>
      <c r="AE465" s="743">
        <f>AE470+AE484</f>
        <v>1085637524</v>
      </c>
      <c r="AI465" s="3264"/>
      <c r="AM465" s="743">
        <f>AM470+AM484</f>
        <v>1085637524</v>
      </c>
      <c r="AQ465" s="3264"/>
      <c r="AU465" s="743">
        <f>AU470+AU484</f>
        <v>1085637524</v>
      </c>
      <c r="AY465" s="3264"/>
      <c r="BC465" s="743">
        <f>BC470+BC484</f>
        <v>1085637524</v>
      </c>
      <c r="BG465" s="3264"/>
      <c r="BK465" s="743">
        <f>BK470+BK484</f>
        <v>1085637524</v>
      </c>
      <c r="BO465" s="3264"/>
      <c r="BS465" s="743">
        <f>BS470+BS484</f>
        <v>1085637524</v>
      </c>
      <c r="BW465" s="3264"/>
      <c r="CA465" s="743">
        <f>CA470+CA484</f>
        <v>1085637524</v>
      </c>
      <c r="CE465" s="3264"/>
      <c r="CI465" s="743">
        <f>CI470+CI484</f>
        <v>1085637524</v>
      </c>
      <c r="CM465" s="3264"/>
      <c r="CQ465" s="743">
        <f>CQ470+CQ484</f>
        <v>1085637524</v>
      </c>
      <c r="CU465" s="3264"/>
      <c r="CY465" s="743">
        <f>CY470+CY484</f>
        <v>1085637524</v>
      </c>
      <c r="DC465" s="3264"/>
      <c r="DG465" s="743">
        <f>DG470+DG484</f>
        <v>1085637524</v>
      </c>
      <c r="DK465" s="3264"/>
      <c r="DO465" s="743">
        <f>DO470+DO484</f>
        <v>1085637524</v>
      </c>
      <c r="DS465" s="3264"/>
      <c r="DW465" s="743">
        <f>DW470+DW484</f>
        <v>1085637524</v>
      </c>
      <c r="EA465" s="3264"/>
      <c r="EE465" s="743">
        <f>EE470+EE484</f>
        <v>1085637524</v>
      </c>
      <c r="EI465" s="3264"/>
      <c r="EM465" s="743">
        <f>EM470+EM484</f>
        <v>1085637524</v>
      </c>
      <c r="EQ465" s="3264"/>
      <c r="EU465" s="743">
        <f>EU470+EU484</f>
        <v>1085637524</v>
      </c>
      <c r="EY465" s="3264"/>
      <c r="FC465" s="743">
        <f>FC470+FC484</f>
        <v>1085637524</v>
      </c>
      <c r="FG465" s="3264"/>
      <c r="FK465" s="743">
        <f>FK470+FK484</f>
        <v>1085637524</v>
      </c>
      <c r="FO465" s="3264"/>
    </row>
    <row r="466" spans="1:171">
      <c r="B466" s="3899" t="s">
        <v>658</v>
      </c>
      <c r="C466" s="3900"/>
      <c r="D466" s="3900"/>
      <c r="E466" s="3900"/>
      <c r="F466" s="3429"/>
      <c r="G466" s="743">
        <f>G489+G493</f>
        <v>640830574</v>
      </c>
      <c r="K466" s="3264"/>
      <c r="O466" s="743">
        <f>O489+O493</f>
        <v>640830574</v>
      </c>
      <c r="S466" s="3264"/>
      <c r="W466" s="743">
        <f>W489+W493</f>
        <v>640830574</v>
      </c>
      <c r="AA466" s="3264"/>
      <c r="AE466" s="743">
        <f>AE489+AE493</f>
        <v>640830574</v>
      </c>
      <c r="AI466" s="3264"/>
      <c r="AM466" s="743">
        <f>AM489+AM493</f>
        <v>640830574</v>
      </c>
      <c r="AQ466" s="3264"/>
      <c r="AU466" s="743">
        <f>AU489+AU493</f>
        <v>640830574</v>
      </c>
      <c r="AY466" s="3264"/>
      <c r="BC466" s="743">
        <f>BC489+BC493</f>
        <v>640830574</v>
      </c>
      <c r="BG466" s="3264"/>
      <c r="BK466" s="743">
        <f>BK489+BK493</f>
        <v>640830574</v>
      </c>
      <c r="BO466" s="3264"/>
      <c r="BS466" s="743">
        <f>BS489+BS493</f>
        <v>640830574</v>
      </c>
      <c r="BW466" s="3264"/>
      <c r="CA466" s="743">
        <f>CA489+CA493</f>
        <v>640830574</v>
      </c>
      <c r="CE466" s="3264"/>
      <c r="CI466" s="743">
        <f>CI489+CI493</f>
        <v>640830574</v>
      </c>
      <c r="CM466" s="3264"/>
      <c r="CQ466" s="743">
        <f>CQ489+CQ493</f>
        <v>640830574</v>
      </c>
      <c r="CU466" s="3264"/>
      <c r="CY466" s="743">
        <f>CY489+CY493</f>
        <v>640830574</v>
      </c>
      <c r="DC466" s="3264"/>
      <c r="DG466" s="743">
        <f>DG489+DG493</f>
        <v>640830574</v>
      </c>
      <c r="DK466" s="3264"/>
      <c r="DO466" s="743">
        <f>DO489+DO493</f>
        <v>640830574</v>
      </c>
      <c r="DS466" s="3264"/>
      <c r="DW466" s="743">
        <f>DW489+DW493</f>
        <v>640830574</v>
      </c>
      <c r="EA466" s="3264"/>
      <c r="EE466" s="743">
        <f>EE489+EE493</f>
        <v>640830574</v>
      </c>
      <c r="EI466" s="3264"/>
      <c r="EM466" s="743">
        <f>EM489+EM493</f>
        <v>640830574</v>
      </c>
      <c r="EQ466" s="3264"/>
      <c r="EU466" s="743">
        <f>EU489+EU493</f>
        <v>640830574</v>
      </c>
      <c r="EY466" s="3264"/>
      <c r="FC466" s="743">
        <f>FC489+FC493</f>
        <v>640830574</v>
      </c>
      <c r="FG466" s="3264"/>
      <c r="FK466" s="743">
        <f>FK489+FK493</f>
        <v>640830574</v>
      </c>
      <c r="FO466" s="3264"/>
    </row>
    <row r="467" spans="1:171">
      <c r="K467" s="3264"/>
      <c r="S467" s="3264"/>
      <c r="AA467" s="3264"/>
      <c r="AI467" s="3264"/>
      <c r="AQ467" s="3264"/>
      <c r="AY467" s="3264"/>
      <c r="BG467" s="3264"/>
      <c r="BO467" s="3264"/>
      <c r="BW467" s="3264"/>
      <c r="CE467" s="3264"/>
      <c r="CM467" s="3264"/>
      <c r="CU467" s="3264"/>
      <c r="DC467" s="3264"/>
      <c r="DK467" s="3264"/>
      <c r="DS467" s="3264"/>
      <c r="EA467" s="3264"/>
      <c r="EI467" s="3264"/>
      <c r="EQ467" s="3264"/>
      <c r="EY467" s="3264"/>
      <c r="FG467" s="3264"/>
      <c r="FO467" s="3264"/>
    </row>
    <row r="468" spans="1:171">
      <c r="K468" s="3264"/>
      <c r="S468" s="3264"/>
      <c r="AA468" s="3264"/>
      <c r="AI468" s="3264"/>
      <c r="AQ468" s="3264"/>
      <c r="AY468" s="3264"/>
      <c r="BG468" s="3264"/>
      <c r="BO468" s="3264"/>
      <c r="BW468" s="3264"/>
      <c r="CE468" s="3264"/>
      <c r="CM468" s="3264"/>
      <c r="CU468" s="3264"/>
      <c r="DC468" s="3264"/>
      <c r="DK468" s="3264"/>
      <c r="DS468" s="3264"/>
      <c r="EA468" s="3264"/>
      <c r="EI468" s="3264"/>
      <c r="EQ468" s="3264"/>
      <c r="EY468" s="3264"/>
      <c r="FG468" s="3264"/>
      <c r="FO468" s="3264"/>
    </row>
    <row r="469" spans="1:171">
      <c r="A469" s="3430"/>
      <c r="B469" s="3431" t="s">
        <v>634</v>
      </c>
      <c r="C469" s="3432"/>
      <c r="K469" s="3264"/>
      <c r="S469" s="3264"/>
      <c r="AA469" s="3264"/>
      <c r="AI469" s="3264"/>
      <c r="AQ469" s="3264"/>
      <c r="AY469" s="3264"/>
      <c r="BG469" s="3264"/>
      <c r="BO469" s="3264"/>
      <c r="BW469" s="3264"/>
      <c r="CE469" s="3264"/>
      <c r="CM469" s="3264"/>
      <c r="CU469" s="3264"/>
      <c r="DC469" s="3264"/>
      <c r="DK469" s="3264"/>
      <c r="DS469" s="3264"/>
      <c r="EA469" s="3264"/>
      <c r="EI469" s="3264"/>
      <c r="EQ469" s="3264"/>
      <c r="EY469" s="3264"/>
      <c r="FG469" s="3264"/>
      <c r="FO469" s="3264"/>
    </row>
    <row r="470" spans="1:171">
      <c r="A470" s="3433">
        <v>105000</v>
      </c>
      <c r="B470" s="3252"/>
      <c r="C470" s="3427" t="s">
        <v>638</v>
      </c>
      <c r="G470" s="3389">
        <f>'3-YEAR PP &amp; OSS Worksheet'!$D$11+'3-YEAR PP &amp; OSS Worksheet'!$D$12+'3-YEAR PP &amp; OSS Worksheet'!$D$13+'3-YEAR PP &amp; OSS Worksheet'!$D$15+'3-YEAR PP &amp; OSS Worksheet'!$D$16</f>
        <v>756332412</v>
      </c>
      <c r="K470" s="3264"/>
      <c r="N470" s="3434">
        <f>VLOOKUP($A470,'New Resources - Group'!$A$4:$Y$133,N$2,FALSE)*N$1</f>
        <v>0</v>
      </c>
      <c r="O470" s="3435">
        <f>$G470+N470</f>
        <v>756332412</v>
      </c>
      <c r="S470" s="3264"/>
      <c r="V470" s="3434">
        <f>VLOOKUP($A470,'New Resources - Group'!$A$4:$Y$133,V$2,FALSE)*V$1</f>
        <v>0</v>
      </c>
      <c r="W470" s="3435">
        <f>$G470+V470</f>
        <v>756332412</v>
      </c>
      <c r="AA470" s="3264"/>
      <c r="AD470" s="3434">
        <f>VLOOKUP($A470,'New Resources - Group'!$A$4:$Y$133,AD$2,FALSE)*AD$1</f>
        <v>0</v>
      </c>
      <c r="AE470" s="3435">
        <f>$G470+AD470</f>
        <v>756332412</v>
      </c>
      <c r="AI470" s="3264"/>
      <c r="AL470" s="3434">
        <f>VLOOKUP($A470,'New Resources - Group'!$A$4:$Y$133,AL$2,FALSE)*AL$1</f>
        <v>0</v>
      </c>
      <c r="AM470" s="3435">
        <f>$G470+AL470</f>
        <v>756332412</v>
      </c>
      <c r="AQ470" s="3264"/>
      <c r="AT470" s="3434">
        <f>VLOOKUP($A470,'New Resources - Group'!$A$4:$Y$133,AT$2,FALSE)*AT$1</f>
        <v>0</v>
      </c>
      <c r="AU470" s="3435">
        <f>$G470+AT470</f>
        <v>756332412</v>
      </c>
      <c r="AY470" s="3264"/>
      <c r="BB470" s="3434">
        <f>VLOOKUP($A470,'New Resources - Group'!$A$4:$Y$133,BB$2,FALSE)*BB$1</f>
        <v>0</v>
      </c>
      <c r="BC470" s="3435">
        <f>$G470+BB470</f>
        <v>756332412</v>
      </c>
      <c r="BG470" s="3264"/>
      <c r="BJ470" s="3434">
        <f>VLOOKUP($A470,'New Resources - Group'!$A$4:$Y$133,BJ$2,FALSE)*BJ$1</f>
        <v>0</v>
      </c>
      <c r="BK470" s="3435">
        <f>$G470+BJ470</f>
        <v>756332412</v>
      </c>
      <c r="BO470" s="3264"/>
      <c r="BR470" s="3434">
        <f>VLOOKUP($A470,'New Resources - Group'!$A$4:$Y$133,BR$2,FALSE)*BR$1</f>
        <v>0</v>
      </c>
      <c r="BS470" s="3435">
        <f>$G470+BR470</f>
        <v>756332412</v>
      </c>
      <c r="BW470" s="3264"/>
      <c r="BZ470" s="3434">
        <f>VLOOKUP($A470,'New Resources - Group'!$A$4:$Y$133,BZ$2,FALSE)*BZ$1</f>
        <v>0</v>
      </c>
      <c r="CA470" s="3435">
        <f>$G470+BZ470</f>
        <v>756332412</v>
      </c>
      <c r="CE470" s="3264"/>
      <c r="CH470" s="3434">
        <f>VLOOKUP($A470,'New Resources - Group'!$A$4:$Y$133,CH$2,FALSE)*CH$1</f>
        <v>0</v>
      </c>
      <c r="CI470" s="3435">
        <f>$G470+CH470</f>
        <v>756332412</v>
      </c>
      <c r="CM470" s="3264"/>
      <c r="CP470" s="3434">
        <f>VLOOKUP($A470,'New Resources - Group'!$A$4:$Y$133,CP$2,FALSE)*CP$1</f>
        <v>0</v>
      </c>
      <c r="CQ470" s="3435">
        <f>$G470+CP470</f>
        <v>756332412</v>
      </c>
      <c r="CU470" s="3264"/>
      <c r="CX470" s="3434">
        <f>VLOOKUP($A470,'New Resources - Group'!$A$4:$Y$133,CX$2,FALSE)*CX$1</f>
        <v>0</v>
      </c>
      <c r="CY470" s="3435">
        <f>$G470+CX470</f>
        <v>756332412</v>
      </c>
      <c r="DC470" s="3264"/>
      <c r="DF470" s="3434">
        <f>VLOOKUP($A470,'New Resources - Group'!$A$4:$Y$133,DF$2,FALSE)*DF$1</f>
        <v>0</v>
      </c>
      <c r="DG470" s="3435">
        <f>$G470+DF470</f>
        <v>756332412</v>
      </c>
      <c r="DK470" s="3264"/>
      <c r="DN470" s="3434">
        <f>VLOOKUP($A470,'New Resources - Group'!$A$4:$Y$133,DN$2,FALSE)*DN$1</f>
        <v>0</v>
      </c>
      <c r="DO470" s="3435">
        <f>$G470+DN470</f>
        <v>756332412</v>
      </c>
      <c r="DS470" s="3264"/>
      <c r="DV470" s="3434">
        <f>VLOOKUP($A470,'New Resources - Group'!$A$4:$Y$133,DV$2,FALSE)*DV$1</f>
        <v>0</v>
      </c>
      <c r="DW470" s="3435">
        <f>$G470+DV470</f>
        <v>756332412</v>
      </c>
      <c r="EA470" s="3264"/>
      <c r="ED470" s="3434">
        <f>VLOOKUP($A470,'New Resources - Group'!$A$4:$Y$133,ED$2,FALSE)*ED$1</f>
        <v>0</v>
      </c>
      <c r="EE470" s="3435">
        <f>$G470+ED470</f>
        <v>756332412</v>
      </c>
      <c r="EI470" s="3264"/>
      <c r="EL470" s="3434">
        <f>VLOOKUP($A470,'New Resources - Group'!$A$4:$Y$133,EL$2,FALSE)*EL$1</f>
        <v>0</v>
      </c>
      <c r="EM470" s="3435">
        <f>$G470+EL470</f>
        <v>756332412</v>
      </c>
      <c r="EQ470" s="3264"/>
      <c r="ET470" s="3434">
        <f>VLOOKUP($A470,'New Resources - Group'!$A$4:$Y$133,ET$2,FALSE)*ET$1</f>
        <v>0</v>
      </c>
      <c r="EU470" s="3435">
        <f>$G470+ET470</f>
        <v>756332412</v>
      </c>
      <c r="EY470" s="3264"/>
      <c r="FB470" s="3434">
        <f>VLOOKUP($A470,'New Resources - Group'!$A$4:$Y$133,FB$2,FALSE)*FB$1</f>
        <v>0</v>
      </c>
      <c r="FC470" s="3435">
        <f>$G470+FB470</f>
        <v>756332412</v>
      </c>
      <c r="FG470" s="3264"/>
      <c r="FJ470" s="3434">
        <f>VLOOKUP($A470,'New Resources - Group'!$A$4:$Y$133,FJ$2,FALSE)*FJ$1</f>
        <v>0</v>
      </c>
      <c r="FK470" s="3435">
        <f>$G470+FJ470</f>
        <v>756332412</v>
      </c>
      <c r="FO470" s="3264"/>
    </row>
    <row r="471" spans="1:171">
      <c r="B471" s="3252"/>
      <c r="K471" s="3264"/>
      <c r="S471" s="3264"/>
      <c r="AA471" s="3264"/>
      <c r="AI471" s="3264"/>
      <c r="AQ471" s="3264"/>
      <c r="AY471" s="3264"/>
      <c r="BG471" s="3264"/>
      <c r="BO471" s="3264"/>
      <c r="BW471" s="3264"/>
      <c r="CE471" s="3264"/>
      <c r="CM471" s="3264"/>
      <c r="CU471" s="3264"/>
      <c r="DC471" s="3264"/>
      <c r="DK471" s="3264"/>
      <c r="DS471" s="3264"/>
      <c r="EA471" s="3264"/>
      <c r="EI471" s="3264"/>
      <c r="EQ471" s="3264"/>
      <c r="EY471" s="3264"/>
      <c r="FG471" s="3264"/>
      <c r="FO471" s="3264"/>
    </row>
    <row r="472" spans="1:171">
      <c r="A472" s="3430"/>
      <c r="B472" s="3252"/>
      <c r="C472" s="3427"/>
      <c r="K472" s="3264"/>
      <c r="S472" s="3264"/>
      <c r="AA472" s="3264"/>
      <c r="AI472" s="3264"/>
      <c r="AQ472" s="3264"/>
      <c r="AY472" s="3264"/>
      <c r="BG472" s="3264"/>
      <c r="BO472" s="3264"/>
      <c r="BW472" s="3264"/>
      <c r="CE472" s="3264"/>
      <c r="CM472" s="3264"/>
      <c r="CU472" s="3264"/>
      <c r="DC472" s="3264"/>
      <c r="DK472" s="3264"/>
      <c r="DS472" s="3264"/>
      <c r="EA472" s="3264"/>
      <c r="EI472" s="3264"/>
      <c r="EQ472" s="3264"/>
      <c r="EY472" s="3264"/>
      <c r="FG472" s="3264"/>
      <c r="FO472" s="3264"/>
    </row>
    <row r="473" spans="1:171">
      <c r="A473" s="3433">
        <v>106000</v>
      </c>
      <c r="B473" s="3431"/>
      <c r="C473" s="3427" t="s">
        <v>639</v>
      </c>
      <c r="K473" s="3264"/>
      <c r="N473" s="3434">
        <f>VLOOKUP($A473,'New Resources - Group'!$A$4:$Y$133,N$2,FALSE)*N$1</f>
        <v>0</v>
      </c>
      <c r="S473" s="3264"/>
      <c r="V473" s="3434">
        <f>VLOOKUP($A473,'New Resources - Group'!$A$4:$Y$133,V$2,FALSE)*V$1</f>
        <v>0</v>
      </c>
      <c r="AA473" s="3264"/>
      <c r="AD473" s="3434">
        <f>VLOOKUP($A473,'New Resources - Group'!$A$4:$Y$133,AD$2,FALSE)*AD$1</f>
        <v>0</v>
      </c>
      <c r="AI473" s="3264"/>
      <c r="AL473" s="3434">
        <f>VLOOKUP($A473,'New Resources - Group'!$A$4:$Y$133,AL$2,FALSE)*AL$1</f>
        <v>0</v>
      </c>
      <c r="AQ473" s="3264"/>
      <c r="AT473" s="3434">
        <f>VLOOKUP($A473,'New Resources - Group'!$A$4:$Y$133,AT$2,FALSE)*AT$1</f>
        <v>0</v>
      </c>
      <c r="AY473" s="3264"/>
      <c r="BB473" s="3434">
        <f>VLOOKUP($A473,'New Resources - Group'!$A$4:$Y$133,BB$2,FALSE)*BB$1</f>
        <v>0</v>
      </c>
      <c r="BG473" s="3264"/>
      <c r="BJ473" s="3434">
        <f>VLOOKUP($A473,'New Resources - Group'!$A$4:$Y$133,BJ$2,FALSE)*BJ$1</f>
        <v>0</v>
      </c>
      <c r="BO473" s="3264"/>
      <c r="BR473" s="3434">
        <f>VLOOKUP($A473,'New Resources - Group'!$A$4:$Y$133,BR$2,FALSE)*BR$1</f>
        <v>0</v>
      </c>
      <c r="BW473" s="3264"/>
      <c r="BZ473" s="3434">
        <f>VLOOKUP($A473,'New Resources - Group'!$A$4:$Y$133,BZ$2,FALSE)*BZ$1</f>
        <v>0</v>
      </c>
      <c r="CE473" s="3264"/>
      <c r="CH473" s="3434">
        <f>VLOOKUP($A473,'New Resources - Group'!$A$4:$Y$133,CH$2,FALSE)*CH$1</f>
        <v>0</v>
      </c>
      <c r="CM473" s="3264"/>
      <c r="CP473" s="3434">
        <f>VLOOKUP($A473,'New Resources - Group'!$A$4:$Y$133,CP$2,FALSE)*CP$1</f>
        <v>0</v>
      </c>
      <c r="CU473" s="3264"/>
      <c r="CX473" s="3434">
        <f>VLOOKUP($A473,'New Resources - Group'!$A$4:$Y$133,CX$2,FALSE)*CX$1</f>
        <v>0</v>
      </c>
      <c r="DC473" s="3264"/>
      <c r="DF473" s="3434">
        <f>VLOOKUP($A473,'New Resources - Group'!$A$4:$Y$133,DF$2,FALSE)*DF$1</f>
        <v>0</v>
      </c>
      <c r="DK473" s="3264"/>
      <c r="DN473" s="3434">
        <f>VLOOKUP($A473,'New Resources - Group'!$A$4:$Y$133,DN$2,FALSE)*DN$1</f>
        <v>0</v>
      </c>
      <c r="DS473" s="3264"/>
      <c r="DV473" s="3434">
        <f>VLOOKUP($A473,'New Resources - Group'!$A$4:$Y$133,DV$2,FALSE)*DV$1</f>
        <v>0</v>
      </c>
      <c r="EA473" s="3264"/>
      <c r="ED473" s="3434">
        <f>VLOOKUP($A473,'New Resources - Group'!$A$4:$Y$133,ED$2,FALSE)*ED$1</f>
        <v>0</v>
      </c>
      <c r="EI473" s="3264"/>
      <c r="EL473" s="3434">
        <f>VLOOKUP($A473,'New Resources - Group'!$A$4:$Y$133,EL$2,FALSE)*EL$1</f>
        <v>0</v>
      </c>
      <c r="EQ473" s="3264"/>
      <c r="ET473" s="3434">
        <f>VLOOKUP($A473,'New Resources - Group'!$A$4:$Y$133,ET$2,FALSE)*ET$1</f>
        <v>0</v>
      </c>
      <c r="EY473" s="3264"/>
      <c r="FB473" s="3434">
        <f>VLOOKUP($A473,'New Resources - Group'!$A$4:$Y$133,FB$2,FALSE)*FB$1</f>
        <v>0</v>
      </c>
      <c r="FG473" s="3264"/>
      <c r="FJ473" s="3434">
        <f>VLOOKUP($A473,'New Resources - Group'!$A$4:$Y$133,FJ$2,FALSE)*FJ$1</f>
        <v>0</v>
      </c>
      <c r="FO473" s="3264"/>
    </row>
    <row r="474" spans="1:171">
      <c r="A474" s="3433">
        <v>107000</v>
      </c>
      <c r="B474" s="3431"/>
      <c r="C474" s="3427" t="s">
        <v>640</v>
      </c>
      <c r="K474" s="3264"/>
      <c r="N474" s="3434">
        <f>VLOOKUP($A474,'New Resources - Group'!$A$4:$Y$133,N$2,FALSE)*N$1</f>
        <v>0</v>
      </c>
      <c r="S474" s="3264"/>
      <c r="V474" s="3434">
        <f>VLOOKUP($A474,'New Resources - Group'!$A$4:$Y$133,V$2,FALSE)*V$1</f>
        <v>0</v>
      </c>
      <c r="AA474" s="3264"/>
      <c r="AD474" s="3434">
        <f>VLOOKUP($A474,'New Resources - Group'!$A$4:$Y$133,AD$2,FALSE)*AD$1</f>
        <v>0</v>
      </c>
      <c r="AI474" s="3264"/>
      <c r="AL474" s="3434">
        <f>VLOOKUP($A474,'New Resources - Group'!$A$4:$Y$133,AL$2,FALSE)*AL$1</f>
        <v>0</v>
      </c>
      <c r="AQ474" s="3264"/>
      <c r="AT474" s="3434">
        <f>VLOOKUP($A474,'New Resources - Group'!$A$4:$Y$133,AT$2,FALSE)*AT$1</f>
        <v>0</v>
      </c>
      <c r="AY474" s="3264"/>
      <c r="BB474" s="3434">
        <f>VLOOKUP($A474,'New Resources - Group'!$A$4:$Y$133,BB$2,FALSE)*BB$1</f>
        <v>0</v>
      </c>
      <c r="BG474" s="3264"/>
      <c r="BJ474" s="3434">
        <f>VLOOKUP($A474,'New Resources - Group'!$A$4:$Y$133,BJ$2,FALSE)*BJ$1</f>
        <v>0</v>
      </c>
      <c r="BO474" s="3264"/>
      <c r="BR474" s="3434">
        <f>VLOOKUP($A474,'New Resources - Group'!$A$4:$Y$133,BR$2,FALSE)*BR$1</f>
        <v>0</v>
      </c>
      <c r="BW474" s="3264"/>
      <c r="BZ474" s="3434">
        <f>VLOOKUP($A474,'New Resources - Group'!$A$4:$Y$133,BZ$2,FALSE)*BZ$1</f>
        <v>0</v>
      </c>
      <c r="CE474" s="3264"/>
      <c r="CH474" s="3434">
        <f>VLOOKUP($A474,'New Resources - Group'!$A$4:$Y$133,CH$2,FALSE)*CH$1</f>
        <v>0</v>
      </c>
      <c r="CM474" s="3264"/>
      <c r="CP474" s="3434">
        <f>VLOOKUP($A474,'New Resources - Group'!$A$4:$Y$133,CP$2,FALSE)*CP$1</f>
        <v>0</v>
      </c>
      <c r="CU474" s="3264"/>
      <c r="CX474" s="3434">
        <f>VLOOKUP($A474,'New Resources - Group'!$A$4:$Y$133,CX$2,FALSE)*CX$1</f>
        <v>0</v>
      </c>
      <c r="DC474" s="3264"/>
      <c r="DF474" s="3434">
        <f>VLOOKUP($A474,'New Resources - Group'!$A$4:$Y$133,DF$2,FALSE)*DF$1</f>
        <v>0</v>
      </c>
      <c r="DK474" s="3264"/>
      <c r="DN474" s="3434">
        <f>VLOOKUP($A474,'New Resources - Group'!$A$4:$Y$133,DN$2,FALSE)*DN$1</f>
        <v>0</v>
      </c>
      <c r="DS474" s="3264"/>
      <c r="DV474" s="3434">
        <f>VLOOKUP($A474,'New Resources - Group'!$A$4:$Y$133,DV$2,FALSE)*DV$1</f>
        <v>0</v>
      </c>
      <c r="EA474" s="3264"/>
      <c r="ED474" s="3434">
        <f>VLOOKUP($A474,'New Resources - Group'!$A$4:$Y$133,ED$2,FALSE)*ED$1</f>
        <v>0</v>
      </c>
      <c r="EI474" s="3264"/>
      <c r="EL474" s="3434">
        <f>VLOOKUP($A474,'New Resources - Group'!$A$4:$Y$133,EL$2,FALSE)*EL$1</f>
        <v>0</v>
      </c>
      <c r="EQ474" s="3264"/>
      <c r="ET474" s="3434">
        <f>VLOOKUP($A474,'New Resources - Group'!$A$4:$Y$133,ET$2,FALSE)*ET$1</f>
        <v>0</v>
      </c>
      <c r="EY474" s="3264"/>
      <c r="FB474" s="3434">
        <f>VLOOKUP($A474,'New Resources - Group'!$A$4:$Y$133,FB$2,FALSE)*FB$1</f>
        <v>0</v>
      </c>
      <c r="FG474" s="3264"/>
      <c r="FJ474" s="3434">
        <f>VLOOKUP($A474,'New Resources - Group'!$A$4:$Y$133,FJ$2,FALSE)*FJ$1</f>
        <v>0</v>
      </c>
      <c r="FO474" s="3264"/>
    </row>
    <row r="475" spans="1:171">
      <c r="A475" s="3433">
        <v>104000</v>
      </c>
      <c r="B475" s="3430"/>
      <c r="C475" s="3427" t="s">
        <v>641</v>
      </c>
      <c r="K475" s="3264"/>
      <c r="N475" s="3434">
        <f>VLOOKUP($A475,'New Resources - Group'!$A$4:$Y$133,N$2,FALSE)*N$1</f>
        <v>0</v>
      </c>
      <c r="O475" s="3436"/>
      <c r="S475" s="3264"/>
      <c r="V475" s="3434">
        <f>VLOOKUP($A475,'New Resources - Group'!$A$4:$Y$133,V$2,FALSE)*V$1</f>
        <v>0</v>
      </c>
      <c r="W475" s="3436"/>
      <c r="AA475" s="3264"/>
      <c r="AD475" s="3434">
        <f>VLOOKUP($A475,'New Resources - Group'!$A$4:$Y$133,AD$2,FALSE)*AD$1</f>
        <v>0</v>
      </c>
      <c r="AE475" s="3436"/>
      <c r="AI475" s="3264"/>
      <c r="AL475" s="3434">
        <f>VLOOKUP($A475,'New Resources - Group'!$A$4:$Y$133,AL$2,FALSE)*AL$1</f>
        <v>0</v>
      </c>
      <c r="AM475" s="3436"/>
      <c r="AQ475" s="3264"/>
      <c r="AT475" s="3434">
        <f>VLOOKUP($A475,'New Resources - Group'!$A$4:$Y$133,AT$2,FALSE)*AT$1</f>
        <v>0</v>
      </c>
      <c r="AU475" s="3436"/>
      <c r="AY475" s="3264"/>
      <c r="BB475" s="3434">
        <f>VLOOKUP($A475,'New Resources - Group'!$A$4:$Y$133,BB$2,FALSE)*BB$1</f>
        <v>0</v>
      </c>
      <c r="BC475" s="3436"/>
      <c r="BG475" s="3264"/>
      <c r="BJ475" s="3434">
        <f>VLOOKUP($A475,'New Resources - Group'!$A$4:$Y$133,BJ$2,FALSE)*BJ$1</f>
        <v>0</v>
      </c>
      <c r="BK475" s="3436"/>
      <c r="BO475" s="3264"/>
      <c r="BR475" s="3434">
        <f>VLOOKUP($A475,'New Resources - Group'!$A$4:$Y$133,BR$2,FALSE)*BR$1</f>
        <v>0</v>
      </c>
      <c r="BS475" s="3436"/>
      <c r="BW475" s="3264"/>
      <c r="BZ475" s="3434">
        <f>VLOOKUP($A475,'New Resources - Group'!$A$4:$Y$133,BZ$2,FALSE)*BZ$1</f>
        <v>0</v>
      </c>
      <c r="CA475" s="3436"/>
      <c r="CE475" s="3264"/>
      <c r="CH475" s="3434">
        <f>VLOOKUP($A475,'New Resources - Group'!$A$4:$Y$133,CH$2,FALSE)*CH$1</f>
        <v>0</v>
      </c>
      <c r="CI475" s="3436"/>
      <c r="CM475" s="3264"/>
      <c r="CP475" s="3434">
        <f>VLOOKUP($A475,'New Resources - Group'!$A$4:$Y$133,CP$2,FALSE)*CP$1</f>
        <v>0</v>
      </c>
      <c r="CQ475" s="3436"/>
      <c r="CU475" s="3264"/>
      <c r="CX475" s="3434">
        <f>VLOOKUP($A475,'New Resources - Group'!$A$4:$Y$133,CX$2,FALSE)*CX$1</f>
        <v>0</v>
      </c>
      <c r="CY475" s="3436"/>
      <c r="DC475" s="3264"/>
      <c r="DF475" s="3434">
        <f>VLOOKUP($A475,'New Resources - Group'!$A$4:$Y$133,DF$2,FALSE)*DF$1</f>
        <v>0</v>
      </c>
      <c r="DG475" s="3436"/>
      <c r="DK475" s="3264"/>
      <c r="DN475" s="3434">
        <f>VLOOKUP($A475,'New Resources - Group'!$A$4:$Y$133,DN$2,FALSE)*DN$1</f>
        <v>0</v>
      </c>
      <c r="DO475" s="3436"/>
      <c r="DS475" s="3264"/>
      <c r="DV475" s="3434">
        <f>VLOOKUP($A475,'New Resources - Group'!$A$4:$Y$133,DV$2,FALSE)*DV$1</f>
        <v>0</v>
      </c>
      <c r="DW475" s="3436"/>
      <c r="EA475" s="3264"/>
      <c r="ED475" s="3434">
        <f>VLOOKUP($A475,'New Resources - Group'!$A$4:$Y$133,ED$2,FALSE)*ED$1</f>
        <v>0</v>
      </c>
      <c r="EE475" s="3436"/>
      <c r="EI475" s="3264"/>
      <c r="EL475" s="3434">
        <f>VLOOKUP($A475,'New Resources - Group'!$A$4:$Y$133,EL$2,FALSE)*EL$1</f>
        <v>0</v>
      </c>
      <c r="EM475" s="3436"/>
      <c r="EQ475" s="3264"/>
      <c r="ET475" s="3434">
        <f>VLOOKUP($A475,'New Resources - Group'!$A$4:$Y$133,ET$2,FALSE)*ET$1</f>
        <v>0</v>
      </c>
      <c r="EU475" s="3436"/>
      <c r="EY475" s="3264"/>
      <c r="FB475" s="3434">
        <f>VLOOKUP($A475,'New Resources - Group'!$A$4:$Y$133,FB$2,FALSE)*FB$1</f>
        <v>0</v>
      </c>
      <c r="FC475" s="3436"/>
      <c r="FG475" s="3264"/>
      <c r="FJ475" s="3434">
        <f>VLOOKUP($A475,'New Resources - Group'!$A$4:$Y$133,FJ$2,FALSE)*FJ$1</f>
        <v>0</v>
      </c>
      <c r="FK475" s="3436"/>
      <c r="FO475" s="3264"/>
    </row>
    <row r="476" spans="1:171">
      <c r="A476" s="3430"/>
      <c r="B476" s="3430"/>
      <c r="C476" s="3427" t="s">
        <v>642</v>
      </c>
      <c r="K476" s="3264"/>
      <c r="N476" s="3436">
        <f>N473+N474-N475</f>
        <v>0</v>
      </c>
      <c r="O476" s="3436">
        <f>N476</f>
        <v>0</v>
      </c>
      <c r="S476" s="3264"/>
      <c r="V476" s="3436">
        <f>V473+V474-V475</f>
        <v>0</v>
      </c>
      <c r="W476" s="3436">
        <f>V476</f>
        <v>0</v>
      </c>
      <c r="AA476" s="3264"/>
      <c r="AD476" s="3436">
        <f>AD473+AD474-AD475</f>
        <v>0</v>
      </c>
      <c r="AE476" s="3436">
        <f>AD476</f>
        <v>0</v>
      </c>
      <c r="AI476" s="3264"/>
      <c r="AL476" s="3436">
        <f>AL473+AL474-AL475</f>
        <v>0</v>
      </c>
      <c r="AM476" s="3436">
        <f>AL476</f>
        <v>0</v>
      </c>
      <c r="AQ476" s="3264"/>
      <c r="AT476" s="3436">
        <f>AT473+AT474-AT475</f>
        <v>0</v>
      </c>
      <c r="AU476" s="3436">
        <f>AT476</f>
        <v>0</v>
      </c>
      <c r="AY476" s="3264"/>
      <c r="BB476" s="3436">
        <f>BB473+BB474-BB475</f>
        <v>0</v>
      </c>
      <c r="BC476" s="3436">
        <f>BB476</f>
        <v>0</v>
      </c>
      <c r="BG476" s="3264"/>
      <c r="BJ476" s="3436">
        <f>BJ473+BJ474-BJ475</f>
        <v>0</v>
      </c>
      <c r="BK476" s="3436">
        <f>BJ476</f>
        <v>0</v>
      </c>
      <c r="BO476" s="3264"/>
      <c r="BR476" s="3436">
        <f>BR473+BR474-BR475</f>
        <v>0</v>
      </c>
      <c r="BS476" s="3436">
        <f>BR476</f>
        <v>0</v>
      </c>
      <c r="BW476" s="3264"/>
      <c r="BZ476" s="3436">
        <f>BZ473+BZ474-BZ475</f>
        <v>0</v>
      </c>
      <c r="CA476" s="3436">
        <f>BZ476</f>
        <v>0</v>
      </c>
      <c r="CE476" s="3264"/>
      <c r="CH476" s="3436">
        <f>CH473+CH474-CH475</f>
        <v>0</v>
      </c>
      <c r="CI476" s="3436">
        <f>CH476</f>
        <v>0</v>
      </c>
      <c r="CM476" s="3264"/>
      <c r="CP476" s="3436">
        <f>CP473+CP474-CP475</f>
        <v>0</v>
      </c>
      <c r="CQ476" s="3436">
        <f>CP476</f>
        <v>0</v>
      </c>
      <c r="CU476" s="3264"/>
      <c r="CX476" s="3436">
        <f>CX473+CX474-CX475</f>
        <v>0</v>
      </c>
      <c r="CY476" s="3436">
        <f>CX476</f>
        <v>0</v>
      </c>
      <c r="DC476" s="3264"/>
      <c r="DF476" s="3436">
        <f>DF473+DF474-DF475</f>
        <v>0</v>
      </c>
      <c r="DG476" s="3436">
        <f>DF476</f>
        <v>0</v>
      </c>
      <c r="DK476" s="3264"/>
      <c r="DN476" s="3436">
        <f>DN473+DN474-DN475</f>
        <v>0</v>
      </c>
      <c r="DO476" s="3436">
        <f>DN476</f>
        <v>0</v>
      </c>
      <c r="DS476" s="3264"/>
      <c r="DV476" s="3436">
        <f>DV473+DV474-DV475</f>
        <v>0</v>
      </c>
      <c r="DW476" s="3436">
        <f>DV476</f>
        <v>0</v>
      </c>
      <c r="EA476" s="3264"/>
      <c r="ED476" s="3436">
        <f>ED473+ED474-ED475</f>
        <v>0</v>
      </c>
      <c r="EE476" s="3436">
        <f>ED476</f>
        <v>0</v>
      </c>
      <c r="EI476" s="3264"/>
      <c r="EL476" s="3436">
        <f>EL473+EL474-EL475</f>
        <v>0</v>
      </c>
      <c r="EM476" s="3436">
        <f>EL476</f>
        <v>0</v>
      </c>
      <c r="EQ476" s="3264"/>
      <c r="ET476" s="3436">
        <f>ET473+ET474-ET475</f>
        <v>0</v>
      </c>
      <c r="EU476" s="3436">
        <f>ET476</f>
        <v>0</v>
      </c>
      <c r="EY476" s="3264"/>
      <c r="FB476" s="3436">
        <f>FB473+FB474-FB475</f>
        <v>0</v>
      </c>
      <c r="FC476" s="3436">
        <f>FB476</f>
        <v>0</v>
      </c>
      <c r="FG476" s="3264"/>
      <c r="FJ476" s="3436">
        <f>FJ473+FJ474-FJ475</f>
        <v>0</v>
      </c>
      <c r="FK476" s="3436">
        <f>FJ476</f>
        <v>0</v>
      </c>
      <c r="FO476" s="3264"/>
    </row>
    <row r="477" spans="1:171">
      <c r="A477" s="3430"/>
      <c r="B477" s="3430"/>
      <c r="C477" s="3432"/>
      <c r="K477" s="3264"/>
      <c r="S477" s="3264"/>
      <c r="AA477" s="3264"/>
      <c r="AI477" s="3264"/>
      <c r="AQ477" s="3264"/>
      <c r="AY477" s="3264"/>
      <c r="BG477" s="3264"/>
      <c r="BO477" s="3264"/>
      <c r="BW477" s="3264"/>
      <c r="CE477" s="3264"/>
      <c r="CM477" s="3264"/>
      <c r="CU477" s="3264"/>
      <c r="DC477" s="3264"/>
      <c r="DK477" s="3264"/>
      <c r="DS477" s="3264"/>
      <c r="EA477" s="3264"/>
      <c r="EI477" s="3264"/>
      <c r="EQ477" s="3264"/>
      <c r="EY477" s="3264"/>
      <c r="FG477" s="3264"/>
      <c r="FO477" s="3264"/>
    </row>
    <row r="478" spans="1:171">
      <c r="A478" s="3430"/>
      <c r="B478" s="3430"/>
      <c r="C478" s="3437" t="s">
        <v>643</v>
      </c>
      <c r="G478" s="3389">
        <f>'3-YEAR PP &amp; OSS Worksheet'!$E$14+'3-YEAR PP &amp; OSS Worksheet'!$E$17+'3-YEAR PP &amp; OSS Worksheet'!$E$18+'3-YEAR PP &amp; OSS Worksheet'!$E$19+'3-YEAR PP &amp; OSS Worksheet'!$E$20</f>
        <v>4254131</v>
      </c>
      <c r="K478" s="3264"/>
      <c r="O478" s="3438">
        <f>$G478</f>
        <v>4254131</v>
      </c>
      <c r="S478" s="3264"/>
      <c r="W478" s="3438">
        <f>$G478</f>
        <v>4254131</v>
      </c>
      <c r="AA478" s="3264"/>
      <c r="AE478" s="3438">
        <f>$G478</f>
        <v>4254131</v>
      </c>
      <c r="AI478" s="3264"/>
      <c r="AM478" s="3438">
        <f>$G478</f>
        <v>4254131</v>
      </c>
      <c r="AQ478" s="3264"/>
      <c r="AU478" s="3438">
        <f>$G478</f>
        <v>4254131</v>
      </c>
      <c r="AY478" s="3264"/>
      <c r="BC478" s="3438">
        <f>$G478</f>
        <v>4254131</v>
      </c>
      <c r="BG478" s="3264"/>
      <c r="BK478" s="3438">
        <f>$G478</f>
        <v>4254131</v>
      </c>
      <c r="BO478" s="3264"/>
      <c r="BS478" s="3438">
        <f>$G478</f>
        <v>4254131</v>
      </c>
      <c r="BW478" s="3264"/>
      <c r="CA478" s="3438">
        <f>$G478</f>
        <v>4254131</v>
      </c>
      <c r="CE478" s="3264"/>
      <c r="CI478" s="3438">
        <f>$G478</f>
        <v>4254131</v>
      </c>
      <c r="CM478" s="3264"/>
      <c r="CQ478" s="3438">
        <f>$G478</f>
        <v>4254131</v>
      </c>
      <c r="CU478" s="3264"/>
      <c r="CY478" s="3438">
        <f>$G478</f>
        <v>4254131</v>
      </c>
      <c r="DC478" s="3264"/>
      <c r="DG478" s="3438">
        <f>$G478</f>
        <v>4254131</v>
      </c>
      <c r="DK478" s="3264"/>
      <c r="DO478" s="3438">
        <f>$G478</f>
        <v>4254131</v>
      </c>
      <c r="DS478" s="3264"/>
      <c r="DW478" s="3438">
        <f>$G478</f>
        <v>4254131</v>
      </c>
      <c r="EA478" s="3264"/>
      <c r="EE478" s="3438">
        <f>$G478</f>
        <v>4254131</v>
      </c>
      <c r="EI478" s="3264"/>
      <c r="EM478" s="3438">
        <f>$G478</f>
        <v>4254131</v>
      </c>
      <c r="EQ478" s="3264"/>
      <c r="EU478" s="3438">
        <f>$G478</f>
        <v>4254131</v>
      </c>
      <c r="EY478" s="3264"/>
      <c r="FC478" s="3438">
        <f>$G478</f>
        <v>4254131</v>
      </c>
      <c r="FG478" s="3264"/>
      <c r="FK478" s="3438">
        <f>$G478</f>
        <v>4254131</v>
      </c>
      <c r="FO478" s="3264"/>
    </row>
    <row r="479" spans="1:171">
      <c r="A479" s="3430"/>
      <c r="B479" s="3430"/>
      <c r="C479" s="3432"/>
      <c r="K479" s="3264"/>
      <c r="S479" s="3264"/>
      <c r="AA479" s="3264"/>
      <c r="AI479" s="3264"/>
      <c r="AQ479" s="3264"/>
      <c r="AY479" s="3264"/>
      <c r="BG479" s="3264"/>
      <c r="BO479" s="3264"/>
      <c r="BW479" s="3264"/>
      <c r="CE479" s="3264"/>
      <c r="CM479" s="3264"/>
      <c r="CU479" s="3264"/>
      <c r="DC479" s="3264"/>
      <c r="DK479" s="3264"/>
      <c r="DS479" s="3264"/>
      <c r="EA479" s="3264"/>
      <c r="EI479" s="3264"/>
      <c r="EQ479" s="3264"/>
      <c r="EY479" s="3264"/>
      <c r="FG479" s="3264"/>
      <c r="FO479" s="3264"/>
    </row>
    <row r="480" spans="1:171">
      <c r="A480" s="3430"/>
      <c r="B480" s="3430"/>
      <c r="C480" s="3439" t="s">
        <v>644</v>
      </c>
      <c r="K480" s="3264"/>
      <c r="O480" s="3436">
        <f>O478-O476</f>
        <v>4254131</v>
      </c>
      <c r="S480" s="3264"/>
      <c r="W480" s="3436">
        <f>W478-W476</f>
        <v>4254131</v>
      </c>
      <c r="AA480" s="3264"/>
      <c r="AE480" s="3436">
        <f>AE478-AE476</f>
        <v>4254131</v>
      </c>
      <c r="AI480" s="3264"/>
      <c r="AM480" s="3436">
        <f>AM478-AM476</f>
        <v>4254131</v>
      </c>
      <c r="AQ480" s="3264"/>
      <c r="AU480" s="3436">
        <f>AU478-AU476</f>
        <v>4254131</v>
      </c>
      <c r="AY480" s="3264"/>
      <c r="BC480" s="3436">
        <f>BC478-BC476</f>
        <v>4254131</v>
      </c>
      <c r="BG480" s="3264"/>
      <c r="BK480" s="3436">
        <f>BK478-BK476</f>
        <v>4254131</v>
      </c>
      <c r="BO480" s="3264"/>
      <c r="BS480" s="3436">
        <f>BS478-BS476</f>
        <v>4254131</v>
      </c>
      <c r="BW480" s="3264"/>
      <c r="CA480" s="3436">
        <f>CA478-CA476</f>
        <v>4254131</v>
      </c>
      <c r="CE480" s="3264"/>
      <c r="CI480" s="3436">
        <f>CI478-CI476</f>
        <v>4254131</v>
      </c>
      <c r="CM480" s="3264"/>
      <c r="CQ480" s="3436">
        <f>CQ478-CQ476</f>
        <v>4254131</v>
      </c>
      <c r="CU480" s="3264"/>
      <c r="CY480" s="3436">
        <f>CY478-CY476</f>
        <v>4254131</v>
      </c>
      <c r="DC480" s="3264"/>
      <c r="DG480" s="3436">
        <f>DG478-DG476</f>
        <v>4254131</v>
      </c>
      <c r="DK480" s="3264"/>
      <c r="DO480" s="3436">
        <f>DO478-DO476</f>
        <v>4254131</v>
      </c>
      <c r="DS480" s="3264"/>
      <c r="DW480" s="3436">
        <f>DW478-DW476</f>
        <v>4254131</v>
      </c>
      <c r="EA480" s="3264"/>
      <c r="EE480" s="3436">
        <f>EE478-EE476</f>
        <v>4254131</v>
      </c>
      <c r="EI480" s="3264"/>
      <c r="EM480" s="3436">
        <f>EM478-EM476</f>
        <v>4254131</v>
      </c>
      <c r="EQ480" s="3264"/>
      <c r="EU480" s="3436">
        <f>EU478-EU476</f>
        <v>4254131</v>
      </c>
      <c r="EY480" s="3264"/>
      <c r="FC480" s="3436">
        <f>FC478-FC476</f>
        <v>4254131</v>
      </c>
      <c r="FG480" s="3264"/>
      <c r="FK480" s="3436">
        <f>FK478-FK476</f>
        <v>4254131</v>
      </c>
      <c r="FO480" s="3264"/>
    </row>
    <row r="481" spans="1:171">
      <c r="A481" s="3430"/>
      <c r="B481" s="3430"/>
      <c r="C481" s="3440" t="s">
        <v>645</v>
      </c>
      <c r="K481" s="3264"/>
      <c r="O481" s="3436">
        <f>IF(O480&gt;0,O480,0)</f>
        <v>4254131</v>
      </c>
      <c r="S481" s="3264"/>
      <c r="W481" s="3436">
        <f>IF(W480&gt;0,W480,0)</f>
        <v>4254131</v>
      </c>
      <c r="AA481" s="3264"/>
      <c r="AE481" s="3436">
        <f>IF(AE480&gt;0,AE480,0)</f>
        <v>4254131</v>
      </c>
      <c r="AI481" s="3264"/>
      <c r="AM481" s="3436">
        <f>IF(AM480&gt;0,AM480,0)</f>
        <v>4254131</v>
      </c>
      <c r="AQ481" s="3264"/>
      <c r="AU481" s="3436">
        <f>IF(AU480&gt;0,AU480,0)</f>
        <v>4254131</v>
      </c>
      <c r="AY481" s="3264"/>
      <c r="BC481" s="3436">
        <f>IF(BC480&gt;0,BC480,0)</f>
        <v>4254131</v>
      </c>
      <c r="BG481" s="3264"/>
      <c r="BK481" s="3436">
        <f>IF(BK480&gt;0,BK480,0)</f>
        <v>4254131</v>
      </c>
      <c r="BO481" s="3264"/>
      <c r="BS481" s="3436">
        <f>IF(BS480&gt;0,BS480,0)</f>
        <v>4254131</v>
      </c>
      <c r="BW481" s="3264"/>
      <c r="CA481" s="3436">
        <f>IF(CA480&gt;0,CA480,0)</f>
        <v>4254131</v>
      </c>
      <c r="CE481" s="3264"/>
      <c r="CI481" s="3436">
        <f>IF(CI480&gt;0,CI480,0)</f>
        <v>4254131</v>
      </c>
      <c r="CM481" s="3264"/>
      <c r="CQ481" s="3436">
        <f>IF(CQ480&gt;0,CQ480,0)</f>
        <v>4254131</v>
      </c>
      <c r="CU481" s="3264"/>
      <c r="CY481" s="3436">
        <f>IF(CY480&gt;0,CY480,0)</f>
        <v>4254131</v>
      </c>
      <c r="DC481" s="3264"/>
      <c r="DG481" s="3436">
        <f>IF(DG480&gt;0,DG480,0)</f>
        <v>4254131</v>
      </c>
      <c r="DK481" s="3264"/>
      <c r="DO481" s="3436">
        <f>IF(DO480&gt;0,DO480,0)</f>
        <v>4254131</v>
      </c>
      <c r="DS481" s="3264"/>
      <c r="DW481" s="3436">
        <f>IF(DW480&gt;0,DW480,0)</f>
        <v>4254131</v>
      </c>
      <c r="EA481" s="3264"/>
      <c r="EE481" s="3436">
        <f>IF(EE480&gt;0,EE480,0)</f>
        <v>4254131</v>
      </c>
      <c r="EI481" s="3264"/>
      <c r="EM481" s="3436">
        <f>IF(EM480&gt;0,EM480,0)</f>
        <v>4254131</v>
      </c>
      <c r="EQ481" s="3264"/>
      <c r="EU481" s="3436">
        <f>IF(EU480&gt;0,EU480,0)</f>
        <v>4254131</v>
      </c>
      <c r="EY481" s="3264"/>
      <c r="FC481" s="3436">
        <f>IF(FC480&gt;0,FC480,0)</f>
        <v>4254131</v>
      </c>
      <c r="FG481" s="3264"/>
      <c r="FK481" s="3436">
        <f>IF(FK480&gt;0,FK480,0)</f>
        <v>4254131</v>
      </c>
      <c r="FO481" s="3264"/>
    </row>
    <row r="482" spans="1:171">
      <c r="A482" s="3430"/>
      <c r="B482" s="3430"/>
      <c r="C482" s="3441"/>
      <c r="K482" s="3264"/>
      <c r="S482" s="3264"/>
      <c r="AA482" s="3264"/>
      <c r="AI482" s="3264"/>
      <c r="AQ482" s="3264"/>
      <c r="AY482" s="3264"/>
      <c r="BG482" s="3264"/>
      <c r="BO482" s="3264"/>
      <c r="BW482" s="3264"/>
      <c r="CE482" s="3264"/>
      <c r="CM482" s="3264"/>
      <c r="CU482" s="3264"/>
      <c r="DC482" s="3264"/>
      <c r="DK482" s="3264"/>
      <c r="DS482" s="3264"/>
      <c r="EA482" s="3264"/>
      <c r="EI482" s="3264"/>
      <c r="EQ482" s="3264"/>
      <c r="EY482" s="3264"/>
      <c r="FG482" s="3264"/>
      <c r="FO482" s="3264"/>
    </row>
    <row r="483" spans="1:171">
      <c r="A483" s="3430"/>
      <c r="B483" s="3430"/>
      <c r="C483" s="3439" t="s">
        <v>646</v>
      </c>
      <c r="G483" s="3442">
        <f>G484/G478</f>
        <v>77.408314882639957</v>
      </c>
      <c r="K483" s="3264"/>
      <c r="O483" s="3443">
        <f>$G483</f>
        <v>77.408314882639957</v>
      </c>
      <c r="S483" s="3264"/>
      <c r="W483" s="3443">
        <f>$G483</f>
        <v>77.408314882639957</v>
      </c>
      <c r="AA483" s="3264"/>
      <c r="AE483" s="3443">
        <f>$G483</f>
        <v>77.408314882639957</v>
      </c>
      <c r="AI483" s="3264"/>
      <c r="AM483" s="3443">
        <f>$G483</f>
        <v>77.408314882639957</v>
      </c>
      <c r="AQ483" s="3264"/>
      <c r="AU483" s="3443">
        <f>$G483</f>
        <v>77.408314882639957</v>
      </c>
      <c r="AY483" s="3264"/>
      <c r="BC483" s="3443">
        <f>$G483</f>
        <v>77.408314882639957</v>
      </c>
      <c r="BG483" s="3264"/>
      <c r="BK483" s="3443">
        <f>$G483</f>
        <v>77.408314882639957</v>
      </c>
      <c r="BO483" s="3264"/>
      <c r="BS483" s="3443">
        <f>$G483</f>
        <v>77.408314882639957</v>
      </c>
      <c r="BW483" s="3264"/>
      <c r="CA483" s="3443">
        <f>$G483</f>
        <v>77.408314882639957</v>
      </c>
      <c r="CE483" s="3264"/>
      <c r="CI483" s="3443">
        <f>$G483</f>
        <v>77.408314882639957</v>
      </c>
      <c r="CM483" s="3264"/>
      <c r="CQ483" s="3443">
        <f>$G483</f>
        <v>77.408314882639957</v>
      </c>
      <c r="CU483" s="3264"/>
      <c r="CY483" s="3443">
        <f>$G483</f>
        <v>77.408314882639957</v>
      </c>
      <c r="DC483" s="3264"/>
      <c r="DG483" s="3443">
        <f>$G483</f>
        <v>77.408314882639957</v>
      </c>
      <c r="DK483" s="3264"/>
      <c r="DO483" s="3443">
        <f>$G483</f>
        <v>77.408314882639957</v>
      </c>
      <c r="DS483" s="3264"/>
      <c r="DW483" s="3443">
        <f>$G483</f>
        <v>77.408314882639957</v>
      </c>
      <c r="EA483" s="3264"/>
      <c r="EE483" s="3443">
        <f>$G483</f>
        <v>77.408314882639957</v>
      </c>
      <c r="EI483" s="3264"/>
      <c r="EM483" s="3443">
        <f>$G483</f>
        <v>77.408314882639957</v>
      </c>
      <c r="EQ483" s="3264"/>
      <c r="EU483" s="3443">
        <f>$G483</f>
        <v>77.408314882639957</v>
      </c>
      <c r="EY483" s="3264"/>
      <c r="FC483" s="3443">
        <f>$G483</f>
        <v>77.408314882639957</v>
      </c>
      <c r="FG483" s="3264"/>
      <c r="FK483" s="3443">
        <f>$G483</f>
        <v>77.408314882639957</v>
      </c>
      <c r="FO483" s="3264"/>
    </row>
    <row r="484" spans="1:171">
      <c r="A484" s="3430"/>
      <c r="B484" s="3549"/>
      <c r="C484" s="3444" t="s">
        <v>647</v>
      </c>
      <c r="G484" s="2424">
        <f>'3-YEAR PP &amp; OSS Worksheet'!$D$14+'3-YEAR PP &amp; OSS Worksheet'!$D$17+'3-YEAR PP &amp; OSS Worksheet'!$D$18+'3-YEAR PP &amp; OSS Worksheet'!$D$19+'3-YEAR PP &amp; OSS Worksheet'!$D$20</f>
        <v>329305112</v>
      </c>
      <c r="K484" s="3264"/>
      <c r="O484" s="3435">
        <f>O481*O483</f>
        <v>329305112</v>
      </c>
      <c r="S484" s="3264"/>
      <c r="W484" s="3435">
        <f>W481*W483</f>
        <v>329305112</v>
      </c>
      <c r="AA484" s="3264"/>
      <c r="AE484" s="3435">
        <f>AE481*AE483</f>
        <v>329305112</v>
      </c>
      <c r="AI484" s="3264"/>
      <c r="AM484" s="3435">
        <f>AM481*AM483</f>
        <v>329305112</v>
      </c>
      <c r="AQ484" s="3264"/>
      <c r="AU484" s="3435">
        <f>AU481*AU483</f>
        <v>329305112</v>
      </c>
      <c r="AY484" s="3264"/>
      <c r="BC484" s="3435">
        <f>BC481*BC483</f>
        <v>329305112</v>
      </c>
      <c r="BG484" s="3264"/>
      <c r="BK484" s="3435">
        <f>BK481*BK483</f>
        <v>329305112</v>
      </c>
      <c r="BO484" s="3264"/>
      <c r="BS484" s="3435">
        <f>BS481*BS483</f>
        <v>329305112</v>
      </c>
      <c r="BW484" s="3264"/>
      <c r="CA484" s="3435">
        <f>CA481*CA483</f>
        <v>329305112</v>
      </c>
      <c r="CE484" s="3264"/>
      <c r="CI484" s="3435">
        <f>CI481*CI483</f>
        <v>329305112</v>
      </c>
      <c r="CM484" s="3264"/>
      <c r="CQ484" s="3435">
        <f>CQ481*CQ483</f>
        <v>329305112</v>
      </c>
      <c r="CU484" s="3264"/>
      <c r="CY484" s="3435">
        <f>CY481*CY483</f>
        <v>329305112</v>
      </c>
      <c r="DC484" s="3264"/>
      <c r="DG484" s="3435">
        <f>DG481*DG483</f>
        <v>329305112</v>
      </c>
      <c r="DK484" s="3264"/>
      <c r="DO484" s="3435">
        <f>DO481*DO483</f>
        <v>329305112</v>
      </c>
      <c r="DS484" s="3264"/>
      <c r="DW484" s="3435">
        <f>DW481*DW483</f>
        <v>329305112</v>
      </c>
      <c r="EA484" s="3264"/>
      <c r="EE484" s="3435">
        <f>EE481*EE483</f>
        <v>329305112</v>
      </c>
      <c r="EI484" s="3264"/>
      <c r="EM484" s="3435">
        <f>EM481*EM483</f>
        <v>329305112</v>
      </c>
      <c r="EQ484" s="3264"/>
      <c r="EU484" s="3435">
        <f>EU481*EU483</f>
        <v>329305112</v>
      </c>
      <c r="EY484" s="3264"/>
      <c r="FC484" s="3435">
        <f>FC481*FC483</f>
        <v>329305112</v>
      </c>
      <c r="FG484" s="3264"/>
      <c r="FK484" s="3435">
        <f>FK481*FK483</f>
        <v>329305112</v>
      </c>
      <c r="FO484" s="3264"/>
    </row>
    <row r="485" spans="1:171">
      <c r="A485" s="3430"/>
      <c r="B485" s="3430"/>
      <c r="C485" s="3441"/>
      <c r="K485" s="3264"/>
      <c r="S485" s="3264"/>
      <c r="AA485" s="3264"/>
      <c r="AI485" s="3264"/>
      <c r="AQ485" s="3264"/>
      <c r="AY485" s="3264"/>
      <c r="BG485" s="3264"/>
      <c r="BO485" s="3264"/>
      <c r="BW485" s="3264"/>
      <c r="CE485" s="3264"/>
      <c r="CM485" s="3264"/>
      <c r="CU485" s="3264"/>
      <c r="DC485" s="3264"/>
      <c r="DK485" s="3264"/>
      <c r="DS485" s="3264"/>
      <c r="EA485" s="3264"/>
      <c r="EI485" s="3264"/>
      <c r="EQ485" s="3264"/>
      <c r="EY485" s="3264"/>
      <c r="FG485" s="3264"/>
      <c r="FO485" s="3264"/>
    </row>
    <row r="486" spans="1:171">
      <c r="A486" s="3430"/>
      <c r="B486" s="3430"/>
      <c r="C486" s="3441" t="s">
        <v>648</v>
      </c>
      <c r="G486" s="3389">
        <f>'3-YEAR PP &amp; OSS Worksheet'!$E$29+'3-YEAR PP &amp; OSS Worksheet'!$E$32+'3-YEAR PP &amp; OSS Worksheet'!$E$33+'3-YEAR PP &amp; OSS Worksheet'!$E$34+'3-YEAR PP &amp; OSS Worksheet'!$E$35</f>
        <v>9026924</v>
      </c>
      <c r="K486" s="3264"/>
      <c r="O486" s="3436">
        <f>$G486</f>
        <v>9026924</v>
      </c>
      <c r="S486" s="3264"/>
      <c r="W486" s="3436">
        <f>$G486</f>
        <v>9026924</v>
      </c>
      <c r="AA486" s="3264"/>
      <c r="AE486" s="3436">
        <f>$G486</f>
        <v>9026924</v>
      </c>
      <c r="AI486" s="3264"/>
      <c r="AM486" s="3436">
        <f>$G486</f>
        <v>9026924</v>
      </c>
      <c r="AQ486" s="3264"/>
      <c r="AU486" s="3436">
        <f>$G486</f>
        <v>9026924</v>
      </c>
      <c r="AY486" s="3264"/>
      <c r="BC486" s="3436">
        <f>$G486</f>
        <v>9026924</v>
      </c>
      <c r="BG486" s="3264"/>
      <c r="BK486" s="3436">
        <f>$G486</f>
        <v>9026924</v>
      </c>
      <c r="BO486" s="3264"/>
      <c r="BS486" s="3436">
        <f>$G486</f>
        <v>9026924</v>
      </c>
      <c r="BW486" s="3264"/>
      <c r="CA486" s="3436">
        <f>$G486</f>
        <v>9026924</v>
      </c>
      <c r="CE486" s="3264"/>
      <c r="CI486" s="3436">
        <f>$G486</f>
        <v>9026924</v>
      </c>
      <c r="CM486" s="3264"/>
      <c r="CQ486" s="3436">
        <f>$G486</f>
        <v>9026924</v>
      </c>
      <c r="CU486" s="3264"/>
      <c r="CY486" s="3436">
        <f>$G486</f>
        <v>9026924</v>
      </c>
      <c r="DC486" s="3264"/>
      <c r="DG486" s="3436">
        <f>$G486</f>
        <v>9026924</v>
      </c>
      <c r="DK486" s="3264"/>
      <c r="DO486" s="3436">
        <f>$G486</f>
        <v>9026924</v>
      </c>
      <c r="DS486" s="3264"/>
      <c r="DW486" s="3436">
        <f>$G486</f>
        <v>9026924</v>
      </c>
      <c r="EA486" s="3264"/>
      <c r="EE486" s="3436">
        <f>$G486</f>
        <v>9026924</v>
      </c>
      <c r="EI486" s="3264"/>
      <c r="EM486" s="3436">
        <f>$G486</f>
        <v>9026924</v>
      </c>
      <c r="EQ486" s="3264"/>
      <c r="EU486" s="3436">
        <f>$G486</f>
        <v>9026924</v>
      </c>
      <c r="EY486" s="3264"/>
      <c r="FC486" s="3436">
        <f>$G486</f>
        <v>9026924</v>
      </c>
      <c r="FG486" s="3264"/>
      <c r="FK486" s="3436">
        <f>$G486</f>
        <v>9026924</v>
      </c>
      <c r="FO486" s="3264"/>
    </row>
    <row r="487" spans="1:171">
      <c r="A487" s="3430"/>
      <c r="B487" s="3430"/>
      <c r="C487" s="3441" t="s">
        <v>649</v>
      </c>
      <c r="K487" s="3264"/>
      <c r="O487" s="3436">
        <f>IF(O480&gt;0,0,-O480)</f>
        <v>0</v>
      </c>
      <c r="S487" s="3264"/>
      <c r="W487" s="3436">
        <f>IF(W480&gt;0,0,-W480)</f>
        <v>0</v>
      </c>
      <c r="AA487" s="3264"/>
      <c r="AE487" s="3436">
        <f>IF(AE480&gt;0,0,-AE480)</f>
        <v>0</v>
      </c>
      <c r="AI487" s="3264"/>
      <c r="AM487" s="3436">
        <f>IF(AM480&gt;0,0,-AM480)</f>
        <v>0</v>
      </c>
      <c r="AQ487" s="3264"/>
      <c r="AU487" s="3436">
        <f>IF(AU480&gt;0,0,-AU480)</f>
        <v>0</v>
      </c>
      <c r="AY487" s="3264"/>
      <c r="BC487" s="3436">
        <f>IF(BC480&gt;0,0,-BC480)</f>
        <v>0</v>
      </c>
      <c r="BG487" s="3264"/>
      <c r="BK487" s="3436">
        <f>IF(BK480&gt;0,0,-BK480)</f>
        <v>0</v>
      </c>
      <c r="BO487" s="3264"/>
      <c r="BS487" s="3436">
        <f>IF(BS480&gt;0,0,-BS480)</f>
        <v>0</v>
      </c>
      <c r="BW487" s="3264"/>
      <c r="CA487" s="3436">
        <f>IF(CA480&gt;0,0,-CA480)</f>
        <v>0</v>
      </c>
      <c r="CE487" s="3264"/>
      <c r="CI487" s="3436">
        <f>IF(CI480&gt;0,0,-CI480)</f>
        <v>0</v>
      </c>
      <c r="CM487" s="3264"/>
      <c r="CQ487" s="3436">
        <f>IF(CQ480&gt;0,0,-CQ480)</f>
        <v>0</v>
      </c>
      <c r="CU487" s="3264"/>
      <c r="CY487" s="3436">
        <f>IF(CY480&gt;0,0,-CY480)</f>
        <v>0</v>
      </c>
      <c r="DC487" s="3264"/>
      <c r="DG487" s="3436">
        <f>IF(DG480&gt;0,0,-DG480)</f>
        <v>0</v>
      </c>
      <c r="DK487" s="3264"/>
      <c r="DO487" s="3436">
        <f>IF(DO480&gt;0,0,-DO480)</f>
        <v>0</v>
      </c>
      <c r="DS487" s="3264"/>
      <c r="DW487" s="3436">
        <f>IF(DW480&gt;0,0,-DW480)</f>
        <v>0</v>
      </c>
      <c r="EA487" s="3264"/>
      <c r="EE487" s="3436">
        <f>IF(EE480&gt;0,0,-EE480)</f>
        <v>0</v>
      </c>
      <c r="EI487" s="3264"/>
      <c r="EM487" s="3436">
        <f>IF(EM480&gt;0,0,-EM480)</f>
        <v>0</v>
      </c>
      <c r="EQ487" s="3264"/>
      <c r="EU487" s="3436">
        <f>IF(EU480&gt;0,0,-EU480)</f>
        <v>0</v>
      </c>
      <c r="EY487" s="3264"/>
      <c r="FC487" s="3436">
        <f>IF(FC480&gt;0,0,-FC480)</f>
        <v>0</v>
      </c>
      <c r="FG487" s="3264"/>
      <c r="FK487" s="3436">
        <f>IF(FK480&gt;0,0,-FK480)</f>
        <v>0</v>
      </c>
      <c r="FO487" s="3264"/>
    </row>
    <row r="488" spans="1:171">
      <c r="A488" s="3430"/>
      <c r="B488" s="3430"/>
      <c r="C488" s="3440" t="s">
        <v>650</v>
      </c>
      <c r="K488" s="3264"/>
      <c r="O488" s="3436">
        <f>SUM(O486:O487)</f>
        <v>9026924</v>
      </c>
      <c r="S488" s="3264"/>
      <c r="W488" s="3436">
        <f>SUM(W486:W487)</f>
        <v>9026924</v>
      </c>
      <c r="AA488" s="3264"/>
      <c r="AE488" s="3436">
        <f>SUM(AE486:AE487)</f>
        <v>9026924</v>
      </c>
      <c r="AI488" s="3264"/>
      <c r="AM488" s="3436">
        <f>SUM(AM486:AM487)</f>
        <v>9026924</v>
      </c>
      <c r="AQ488" s="3264"/>
      <c r="AU488" s="3436">
        <f>SUM(AU486:AU487)</f>
        <v>9026924</v>
      </c>
      <c r="AY488" s="3264"/>
      <c r="BC488" s="3436">
        <f>SUM(BC486:BC487)</f>
        <v>9026924</v>
      </c>
      <c r="BG488" s="3264"/>
      <c r="BK488" s="3436">
        <f>SUM(BK486:BK487)</f>
        <v>9026924</v>
      </c>
      <c r="BO488" s="3264"/>
      <c r="BS488" s="3436">
        <f>SUM(BS486:BS487)</f>
        <v>9026924</v>
      </c>
      <c r="BW488" s="3264"/>
      <c r="CA488" s="3436">
        <f>SUM(CA486:CA487)</f>
        <v>9026924</v>
      </c>
      <c r="CE488" s="3264"/>
      <c r="CI488" s="3436">
        <f>SUM(CI486:CI487)</f>
        <v>9026924</v>
      </c>
      <c r="CM488" s="3264"/>
      <c r="CQ488" s="3436">
        <f>SUM(CQ486:CQ487)</f>
        <v>9026924</v>
      </c>
      <c r="CU488" s="3264"/>
      <c r="CY488" s="3436">
        <f>SUM(CY486:CY487)</f>
        <v>9026924</v>
      </c>
      <c r="DC488" s="3264"/>
      <c r="DG488" s="3436">
        <f>SUM(DG486:DG487)</f>
        <v>9026924</v>
      </c>
      <c r="DK488" s="3264"/>
      <c r="DO488" s="3436">
        <f>SUM(DO486:DO487)</f>
        <v>9026924</v>
      </c>
      <c r="DS488" s="3264"/>
      <c r="DW488" s="3436">
        <f>SUM(DW486:DW487)</f>
        <v>9026924</v>
      </c>
      <c r="EA488" s="3264"/>
      <c r="EE488" s="3436">
        <f>SUM(EE486:EE487)</f>
        <v>9026924</v>
      </c>
      <c r="EI488" s="3264"/>
      <c r="EM488" s="3436">
        <f>SUM(EM486:EM487)</f>
        <v>9026924</v>
      </c>
      <c r="EQ488" s="3264"/>
      <c r="EU488" s="3436">
        <f>SUM(EU486:EU487)</f>
        <v>9026924</v>
      </c>
      <c r="EY488" s="3264"/>
      <c r="FC488" s="3436">
        <f>SUM(FC486:FC487)</f>
        <v>9026924</v>
      </c>
      <c r="FG488" s="3264"/>
      <c r="FK488" s="3436">
        <f>SUM(FK486:FK487)</f>
        <v>9026924</v>
      </c>
      <c r="FO488" s="3264"/>
    </row>
    <row r="489" spans="1:171">
      <c r="A489" s="3430"/>
      <c r="B489" s="3549"/>
      <c r="C489" s="3444" t="s">
        <v>651</v>
      </c>
      <c r="G489" s="2424">
        <f>'3-YEAR PP &amp; OSS Worksheet'!$D$29+'3-YEAR PP &amp; OSS Worksheet'!$D$32+'3-YEAR PP &amp; OSS Worksheet'!$D$33+'3-YEAR PP &amp; OSS Worksheet'!$D$34+'3-YEAR PP &amp; OSS Worksheet'!$D$35</f>
        <v>640505575</v>
      </c>
      <c r="K489" s="3264"/>
      <c r="O489" s="3435">
        <f>O488*O490</f>
        <v>640505575</v>
      </c>
      <c r="S489" s="3264"/>
      <c r="W489" s="3435">
        <f>W488*W490</f>
        <v>640505575</v>
      </c>
      <c r="AA489" s="3264"/>
      <c r="AE489" s="3435">
        <f>AE488*AE490</f>
        <v>640505575</v>
      </c>
      <c r="AI489" s="3264"/>
      <c r="AM489" s="3435">
        <f>AM488*AM490</f>
        <v>640505575</v>
      </c>
      <c r="AQ489" s="3264"/>
      <c r="AU489" s="3435">
        <f>AU488*AU490</f>
        <v>640505575</v>
      </c>
      <c r="AY489" s="3264"/>
      <c r="BC489" s="3435">
        <f>BC488*BC490</f>
        <v>640505575</v>
      </c>
      <c r="BG489" s="3264"/>
      <c r="BK489" s="3435">
        <f>BK488*BK490</f>
        <v>640505575</v>
      </c>
      <c r="BO489" s="3264"/>
      <c r="BS489" s="3435">
        <f>BS488*BS490</f>
        <v>640505575</v>
      </c>
      <c r="BW489" s="3264"/>
      <c r="CA489" s="3435">
        <f>CA488*CA490</f>
        <v>640505575</v>
      </c>
      <c r="CE489" s="3264"/>
      <c r="CI489" s="3435">
        <f>CI488*CI490</f>
        <v>640505575</v>
      </c>
      <c r="CM489" s="3264"/>
      <c r="CQ489" s="3435">
        <f>CQ488*CQ490</f>
        <v>640505575</v>
      </c>
      <c r="CU489" s="3264"/>
      <c r="CY489" s="3435">
        <f>CY488*CY490</f>
        <v>640505575</v>
      </c>
      <c r="DC489" s="3264"/>
      <c r="DG489" s="3435">
        <f>DG488*DG490</f>
        <v>640505575</v>
      </c>
      <c r="DK489" s="3264"/>
      <c r="DO489" s="3435">
        <f>DO488*DO490</f>
        <v>640505575</v>
      </c>
      <c r="DS489" s="3264"/>
      <c r="DW489" s="3435">
        <f>DW488*DW490</f>
        <v>640505575</v>
      </c>
      <c r="EA489" s="3264"/>
      <c r="EE489" s="3435">
        <f>EE488*EE490</f>
        <v>640505575</v>
      </c>
      <c r="EI489" s="3264"/>
      <c r="EM489" s="3435">
        <f>EM488*EM490</f>
        <v>640505575</v>
      </c>
      <c r="EQ489" s="3264"/>
      <c r="EU489" s="3435">
        <f>EU488*EU490</f>
        <v>640505575</v>
      </c>
      <c r="EY489" s="3264"/>
      <c r="FC489" s="3435">
        <f>FC488*FC490</f>
        <v>640505575</v>
      </c>
      <c r="FG489" s="3264"/>
      <c r="FK489" s="3435">
        <f>FK488*FK490</f>
        <v>640505575</v>
      </c>
      <c r="FO489" s="3264"/>
    </row>
    <row r="490" spans="1:171">
      <c r="A490" s="3430"/>
      <c r="B490" s="3430"/>
      <c r="C490" s="3439" t="s">
        <v>652</v>
      </c>
      <c r="G490" s="3442">
        <f>G489/G486</f>
        <v>70.955020226158993</v>
      </c>
      <c r="K490" s="3264"/>
      <c r="O490" s="3443">
        <f>$G490</f>
        <v>70.955020226158993</v>
      </c>
      <c r="S490" s="3264"/>
      <c r="W490" s="3443">
        <f>$G490</f>
        <v>70.955020226158993</v>
      </c>
      <c r="AA490" s="3264"/>
      <c r="AE490" s="3443">
        <f>$G490</f>
        <v>70.955020226158993</v>
      </c>
      <c r="AI490" s="3264"/>
      <c r="AM490" s="3443">
        <f>$G490</f>
        <v>70.955020226158993</v>
      </c>
      <c r="AQ490" s="3264"/>
      <c r="AU490" s="3443">
        <f>$G490</f>
        <v>70.955020226158993</v>
      </c>
      <c r="AY490" s="3264"/>
      <c r="BC490" s="3443">
        <f>$G490</f>
        <v>70.955020226158993</v>
      </c>
      <c r="BG490" s="3264"/>
      <c r="BK490" s="3443">
        <f>$G490</f>
        <v>70.955020226158993</v>
      </c>
      <c r="BO490" s="3264"/>
      <c r="BS490" s="3443">
        <f>$G490</f>
        <v>70.955020226158993</v>
      </c>
      <c r="BW490" s="3264"/>
      <c r="CA490" s="3443">
        <f>$G490</f>
        <v>70.955020226158993</v>
      </c>
      <c r="CE490" s="3264"/>
      <c r="CI490" s="3443">
        <f>$G490</f>
        <v>70.955020226158993</v>
      </c>
      <c r="CM490" s="3264"/>
      <c r="CQ490" s="3443">
        <f>$G490</f>
        <v>70.955020226158993</v>
      </c>
      <c r="CU490" s="3264"/>
      <c r="CY490" s="3443">
        <f>$G490</f>
        <v>70.955020226158993</v>
      </c>
      <c r="DC490" s="3264"/>
      <c r="DG490" s="3443">
        <f>$G490</f>
        <v>70.955020226158993</v>
      </c>
      <c r="DK490" s="3264"/>
      <c r="DO490" s="3443">
        <f>$G490</f>
        <v>70.955020226158993</v>
      </c>
      <c r="DS490" s="3264"/>
      <c r="DW490" s="3443">
        <f>$G490</f>
        <v>70.955020226158993</v>
      </c>
      <c r="EA490" s="3264"/>
      <c r="EE490" s="3443">
        <f>$G490</f>
        <v>70.955020226158993</v>
      </c>
      <c r="EI490" s="3264"/>
      <c r="EM490" s="3443">
        <f>$G490</f>
        <v>70.955020226158993</v>
      </c>
      <c r="EQ490" s="3264"/>
      <c r="EU490" s="3443">
        <f>$G490</f>
        <v>70.955020226158993</v>
      </c>
      <c r="EY490" s="3264"/>
      <c r="FC490" s="3443">
        <f>$G490</f>
        <v>70.955020226158993</v>
      </c>
      <c r="FG490" s="3264"/>
      <c r="FK490" s="3443">
        <f>$G490</f>
        <v>70.955020226158993</v>
      </c>
      <c r="FO490" s="3264"/>
    </row>
    <row r="491" spans="1:171">
      <c r="A491" s="3430"/>
      <c r="B491" s="507" t="s">
        <v>635</v>
      </c>
      <c r="C491" s="3432"/>
      <c r="K491" s="3264"/>
      <c r="S491" s="3264"/>
      <c r="AA491" s="3264"/>
      <c r="AI491" s="3264"/>
      <c r="AQ491" s="3264"/>
      <c r="AY491" s="3264"/>
      <c r="BG491" s="3264"/>
      <c r="BO491" s="3264"/>
      <c r="BW491" s="3264"/>
      <c r="CE491" s="3264"/>
      <c r="CM491" s="3264"/>
      <c r="CU491" s="3264"/>
      <c r="DC491" s="3264"/>
      <c r="DK491" s="3264"/>
      <c r="DS491" s="3264"/>
      <c r="EA491" s="3264"/>
      <c r="EI491" s="3264"/>
      <c r="EQ491" s="3264"/>
      <c r="EY491" s="3264"/>
      <c r="FG491" s="3264"/>
      <c r="FO491" s="3264"/>
    </row>
    <row r="492" spans="1:171">
      <c r="B492" s="507" t="s">
        <v>636</v>
      </c>
      <c r="K492" s="3264"/>
      <c r="S492" s="3264"/>
      <c r="AA492" s="3264"/>
      <c r="AI492" s="3264"/>
      <c r="AQ492" s="3264"/>
      <c r="AY492" s="3264"/>
      <c r="BG492" s="3264"/>
      <c r="BO492" s="3264"/>
      <c r="BW492" s="3264"/>
      <c r="CE492" s="3264"/>
      <c r="CM492" s="3264"/>
      <c r="CU492" s="3264"/>
      <c r="DC492" s="3264"/>
      <c r="DK492" s="3264"/>
      <c r="DS492" s="3264"/>
      <c r="EA492" s="3264"/>
      <c r="EI492" s="3264"/>
      <c r="EQ492" s="3264"/>
      <c r="EY492" s="3264"/>
      <c r="FG492" s="3264"/>
      <c r="FO492" s="3264"/>
    </row>
    <row r="493" spans="1:171">
      <c r="A493" s="3433">
        <v>103000</v>
      </c>
      <c r="B493" s="3550"/>
      <c r="C493" s="3444" t="s">
        <v>653</v>
      </c>
      <c r="G493" s="3551">
        <f>'3-YEAR PP &amp; OSS Worksheet'!$D$26+'3-YEAR PP &amp; OSS Worksheet'!$D$27+'3-YEAR PP &amp; OSS Worksheet'!$D$28+'3-YEAR PP &amp; OSS Worksheet'!$D$30+'3-YEAR PP &amp; OSS Worksheet'!$D$31</f>
        <v>324999</v>
      </c>
      <c r="K493" s="3264"/>
      <c r="N493" s="3434">
        <f>VLOOKUP($A493,'New Resources - Group'!$A$4:$Y$133,N$2,FALSE)*N$1</f>
        <v>0</v>
      </c>
      <c r="O493" s="3435">
        <f>$G493+N493</f>
        <v>324999</v>
      </c>
      <c r="S493" s="3264"/>
      <c r="V493" s="3434">
        <f>VLOOKUP($A493,'New Resources - Group'!$A$4:$Y$133,V$2,FALSE)*V$1</f>
        <v>0</v>
      </c>
      <c r="W493" s="3435">
        <f>$G493+V493</f>
        <v>324999</v>
      </c>
      <c r="AA493" s="3264"/>
      <c r="AD493" s="3434">
        <f>VLOOKUP($A493,'New Resources - Group'!$A$4:$Y$133,AD$2,FALSE)*AD$1</f>
        <v>0</v>
      </c>
      <c r="AE493" s="3435">
        <f>$G493+AD493</f>
        <v>324999</v>
      </c>
      <c r="AI493" s="3264"/>
      <c r="AL493" s="3434">
        <f>VLOOKUP($A493,'New Resources - Group'!$A$4:$Y$133,AL$2,FALSE)*AL$1</f>
        <v>0</v>
      </c>
      <c r="AM493" s="3435">
        <f>$G493+AL493</f>
        <v>324999</v>
      </c>
      <c r="AQ493" s="3264"/>
      <c r="AT493" s="3434">
        <f>VLOOKUP($A493,'New Resources - Group'!$A$4:$Y$133,AT$2,FALSE)*AT$1</f>
        <v>0</v>
      </c>
      <c r="AU493" s="3435">
        <f>$G493+AT493</f>
        <v>324999</v>
      </c>
      <c r="AY493" s="3264"/>
      <c r="BB493" s="3434">
        <f>VLOOKUP($A493,'New Resources - Group'!$A$4:$Y$133,BB$2,FALSE)*BB$1</f>
        <v>0</v>
      </c>
      <c r="BC493" s="3435">
        <f>$G493+BB493</f>
        <v>324999</v>
      </c>
      <c r="BG493" s="3264"/>
      <c r="BJ493" s="3434">
        <f>VLOOKUP($A493,'New Resources - Group'!$A$4:$Y$133,BJ$2,FALSE)*BJ$1</f>
        <v>0</v>
      </c>
      <c r="BK493" s="3435">
        <f>$G493+BJ493</f>
        <v>324999</v>
      </c>
      <c r="BO493" s="3264"/>
      <c r="BR493" s="3434">
        <f>VLOOKUP($A493,'New Resources - Group'!$A$4:$Y$133,BR$2,FALSE)*BR$1</f>
        <v>0</v>
      </c>
      <c r="BS493" s="3435">
        <f>$G493+BR493</f>
        <v>324999</v>
      </c>
      <c r="BW493" s="3264"/>
      <c r="BZ493" s="3434">
        <f>VLOOKUP($A493,'New Resources - Group'!$A$4:$Y$133,BZ$2,FALSE)*BZ$1</f>
        <v>0</v>
      </c>
      <c r="CA493" s="3435">
        <f>$G493+BZ493</f>
        <v>324999</v>
      </c>
      <c r="CE493" s="3264"/>
      <c r="CH493" s="3434">
        <f>VLOOKUP($A493,'New Resources - Group'!$A$4:$Y$133,CH$2,FALSE)*CH$1</f>
        <v>0</v>
      </c>
      <c r="CI493" s="3435">
        <f>$G493+CH493</f>
        <v>324999</v>
      </c>
      <c r="CM493" s="3264"/>
      <c r="CP493" s="3434">
        <f>VLOOKUP($A493,'New Resources - Group'!$A$4:$Y$133,CP$2,FALSE)*CP$1</f>
        <v>0</v>
      </c>
      <c r="CQ493" s="3435">
        <f>$G493+CP493</f>
        <v>324999</v>
      </c>
      <c r="CU493" s="3264"/>
      <c r="CX493" s="3434">
        <f>VLOOKUP($A493,'New Resources - Group'!$A$4:$Y$133,CX$2,FALSE)*CX$1</f>
        <v>0</v>
      </c>
      <c r="CY493" s="3435">
        <f>$G493+CX493</f>
        <v>324999</v>
      </c>
      <c r="DC493" s="3264"/>
      <c r="DF493" s="3434">
        <f>VLOOKUP($A493,'New Resources - Group'!$A$4:$Y$133,DF$2,FALSE)*DF$1</f>
        <v>0</v>
      </c>
      <c r="DG493" s="3435">
        <f>$G493+DF493</f>
        <v>324999</v>
      </c>
      <c r="DK493" s="3264"/>
      <c r="DN493" s="3434">
        <f>VLOOKUP($A493,'New Resources - Group'!$A$4:$Y$133,DN$2,FALSE)*DN$1</f>
        <v>0</v>
      </c>
      <c r="DO493" s="3435">
        <f>$G493+DN493</f>
        <v>324999</v>
      </c>
      <c r="DS493" s="3264"/>
      <c r="DV493" s="3434">
        <f>VLOOKUP($A493,'New Resources - Group'!$A$4:$Y$133,DV$2,FALSE)*DV$1</f>
        <v>0</v>
      </c>
      <c r="DW493" s="3435">
        <f>$G493+DV493</f>
        <v>324999</v>
      </c>
      <c r="EA493" s="3264"/>
      <c r="ED493" s="3434">
        <f>VLOOKUP($A493,'New Resources - Group'!$A$4:$Y$133,ED$2,FALSE)*ED$1</f>
        <v>0</v>
      </c>
      <c r="EE493" s="3435">
        <f>$G493+ED493</f>
        <v>324999</v>
      </c>
      <c r="EI493" s="3264"/>
      <c r="EL493" s="3434">
        <f>VLOOKUP($A493,'New Resources - Group'!$A$4:$Y$133,EL$2,FALSE)*EL$1</f>
        <v>0</v>
      </c>
      <c r="EM493" s="3435">
        <f>$G493+EL493</f>
        <v>324999</v>
      </c>
      <c r="EQ493" s="3264"/>
      <c r="ET493" s="3434">
        <f>VLOOKUP($A493,'New Resources - Group'!$A$4:$Y$133,ET$2,FALSE)*ET$1</f>
        <v>0</v>
      </c>
      <c r="EU493" s="3435">
        <f>$G493+ET493</f>
        <v>324999</v>
      </c>
      <c r="EY493" s="3264"/>
      <c r="FB493" s="3434">
        <f>VLOOKUP($A493,'New Resources - Group'!$A$4:$Y$133,FB$2,FALSE)*FB$1</f>
        <v>0</v>
      </c>
      <c r="FC493" s="3435">
        <f>$G493+FB493</f>
        <v>324999</v>
      </c>
      <c r="FG493" s="3264"/>
      <c r="FJ493" s="3434">
        <f>VLOOKUP($A493,'New Resources - Group'!$A$4:$Y$133,FJ$2,FALSE)*FJ$1</f>
        <v>0</v>
      </c>
      <c r="FK493" s="3435">
        <f>$G493+FJ493</f>
        <v>324999</v>
      </c>
      <c r="FO493" s="3264"/>
    </row>
    <row r="494" spans="1:171">
      <c r="A494" s="3430" t="s">
        <v>637</v>
      </c>
      <c r="K494" s="3264"/>
      <c r="S494" s="3264"/>
      <c r="AA494" s="3264"/>
      <c r="AI494" s="3264"/>
      <c r="AQ494" s="3264"/>
      <c r="AY494" s="3264"/>
      <c r="BG494" s="3264"/>
      <c r="BO494" s="3264"/>
      <c r="BW494" s="3264"/>
      <c r="CE494" s="3264"/>
      <c r="CM494" s="3264"/>
      <c r="CU494" s="3264"/>
      <c r="DC494" s="3264"/>
      <c r="DK494" s="3264"/>
      <c r="DS494" s="3264"/>
      <c r="EA494" s="3264"/>
      <c r="EI494" s="3264"/>
      <c r="EQ494" s="3264"/>
      <c r="EY494" s="3264"/>
      <c r="FG494" s="3264"/>
      <c r="FO494" s="3264"/>
    </row>
    <row r="495" spans="1:171">
      <c r="K495" s="3264"/>
      <c r="S495" s="3264"/>
      <c r="AA495" s="3264"/>
      <c r="AI495" s="3264"/>
      <c r="AQ495" s="3264"/>
      <c r="AY495" s="3264"/>
      <c r="BG495" s="3264"/>
      <c r="BO495" s="3264"/>
      <c r="BW495" s="3264"/>
      <c r="CE495" s="3264"/>
      <c r="CM495" s="3264"/>
      <c r="CU495" s="3264"/>
      <c r="DC495" s="3264"/>
      <c r="DK495" s="3264"/>
      <c r="DS495" s="3264"/>
      <c r="EA495" s="3264"/>
      <c r="EI495" s="3264"/>
      <c r="EQ495" s="3264"/>
      <c r="EY495" s="3264"/>
      <c r="FG495" s="3264"/>
      <c r="FO495" s="3264"/>
    </row>
    <row r="496" spans="1:171">
      <c r="A496" s="3205"/>
      <c r="B496" s="3205"/>
      <c r="C496" s="3205"/>
      <c r="D496" s="3205"/>
      <c r="E496" s="3205"/>
      <c r="F496" s="3205"/>
      <c r="G496" s="3205"/>
      <c r="H496" s="3205"/>
      <c r="I496" s="3205"/>
      <c r="J496" s="3205"/>
      <c r="K496" s="3205"/>
      <c r="L496" s="3205"/>
      <c r="M496" s="3205"/>
      <c r="N496" s="3205"/>
      <c r="O496" s="3205"/>
      <c r="P496" s="3205"/>
      <c r="Q496" s="3205"/>
      <c r="R496" s="3205"/>
      <c r="S496" s="3205"/>
      <c r="T496" s="3205"/>
      <c r="U496" s="3205"/>
      <c r="V496" s="3205"/>
      <c r="W496" s="3205"/>
      <c r="X496" s="3205"/>
      <c r="Y496" s="3205"/>
      <c r="Z496" s="3205"/>
      <c r="AA496" s="3205"/>
      <c r="AB496" s="3205"/>
      <c r="AC496" s="3205"/>
      <c r="AD496" s="3205"/>
      <c r="AE496" s="3205"/>
      <c r="AF496" s="3205"/>
      <c r="AG496" s="3205"/>
      <c r="AH496" s="3205"/>
      <c r="AI496" s="3205"/>
      <c r="AJ496" s="3205"/>
      <c r="AK496" s="3205"/>
      <c r="AL496" s="3205"/>
      <c r="AM496" s="3205"/>
      <c r="AN496" s="3205"/>
      <c r="AO496" s="3205"/>
      <c r="AP496" s="3205"/>
      <c r="AQ496" s="3205"/>
      <c r="AR496" s="3205"/>
      <c r="AS496" s="3205"/>
      <c r="AT496" s="3205"/>
      <c r="AU496" s="3205"/>
      <c r="AV496" s="3205"/>
      <c r="AW496" s="3205"/>
      <c r="AX496" s="3205"/>
      <c r="AY496" s="3205"/>
      <c r="AZ496" s="3205"/>
      <c r="BA496" s="3205"/>
      <c r="BB496" s="3205"/>
      <c r="BC496" s="3205"/>
      <c r="BD496" s="3205"/>
      <c r="BE496" s="3205"/>
      <c r="BF496" s="3205"/>
      <c r="BG496" s="3205"/>
      <c r="BH496" s="3205"/>
      <c r="BI496" s="3205"/>
      <c r="BJ496" s="3205"/>
      <c r="BK496" s="3205"/>
      <c r="BL496" s="3205"/>
      <c r="BM496" s="3205"/>
      <c r="BN496" s="3205"/>
      <c r="BO496" s="3205"/>
      <c r="BP496" s="3205"/>
      <c r="BQ496" s="3205"/>
      <c r="BR496" s="3205"/>
      <c r="BS496" s="3205"/>
      <c r="BT496" s="3205"/>
      <c r="BU496" s="3205"/>
      <c r="BV496" s="3205"/>
      <c r="BW496" s="3205"/>
      <c r="BX496" s="3205"/>
      <c r="BY496" s="3205"/>
      <c r="BZ496" s="3205"/>
      <c r="CA496" s="3205"/>
      <c r="CB496" s="3205"/>
      <c r="CC496" s="3205"/>
      <c r="CD496" s="3205"/>
      <c r="CE496" s="3205"/>
      <c r="CF496" s="3205"/>
      <c r="CG496" s="3205"/>
      <c r="CH496" s="3205"/>
      <c r="CI496" s="3205"/>
      <c r="CJ496" s="3205"/>
      <c r="CK496" s="3205"/>
      <c r="CL496" s="3205"/>
      <c r="CM496" s="3205"/>
      <c r="CN496" s="3205"/>
      <c r="CO496" s="3205"/>
      <c r="CP496" s="3205"/>
      <c r="CQ496" s="3205"/>
      <c r="CR496" s="3205"/>
      <c r="CS496" s="3205"/>
      <c r="CT496" s="3205"/>
      <c r="CU496" s="3205"/>
      <c r="CV496" s="3205"/>
      <c r="CW496" s="3205"/>
      <c r="CX496" s="3205"/>
      <c r="CY496" s="3205"/>
      <c r="CZ496" s="3205"/>
      <c r="DA496" s="3205"/>
      <c r="DB496" s="3205"/>
      <c r="DC496" s="3205"/>
      <c r="DD496" s="3205"/>
      <c r="DE496" s="3205"/>
      <c r="DF496" s="3205"/>
      <c r="DG496" s="3205"/>
      <c r="DH496" s="3205"/>
      <c r="DI496" s="3205"/>
      <c r="DJ496" s="3205"/>
      <c r="DK496" s="3205"/>
      <c r="DL496" s="3205"/>
      <c r="DM496" s="3205"/>
      <c r="DN496" s="3205"/>
      <c r="DO496" s="3205"/>
      <c r="DP496" s="3205"/>
      <c r="DQ496" s="3205"/>
      <c r="DR496" s="3205"/>
      <c r="DS496" s="3205"/>
      <c r="DT496" s="3205"/>
      <c r="DU496" s="3205"/>
      <c r="DV496" s="3205"/>
      <c r="DW496" s="3205"/>
      <c r="DX496" s="3205"/>
      <c r="DY496" s="3205"/>
      <c r="DZ496" s="3205"/>
      <c r="EA496" s="3205"/>
      <c r="EB496" s="3205"/>
      <c r="EC496" s="3205"/>
      <c r="ED496" s="3205"/>
      <c r="EE496" s="3205"/>
      <c r="EF496" s="3205"/>
      <c r="EG496" s="3205"/>
      <c r="EH496" s="3205"/>
      <c r="EI496" s="3205"/>
      <c r="EJ496" s="3205"/>
      <c r="EK496" s="3205"/>
      <c r="EL496" s="3205"/>
      <c r="EM496" s="3205"/>
      <c r="EN496" s="3205"/>
      <c r="EO496" s="3205"/>
      <c r="EP496" s="3205"/>
      <c r="EQ496" s="3205"/>
      <c r="ER496" s="3205"/>
      <c r="ES496" s="3205"/>
      <c r="ET496" s="3205"/>
      <c r="EU496" s="3205"/>
      <c r="EV496" s="3205"/>
      <c r="EW496" s="3205"/>
      <c r="EX496" s="3205"/>
      <c r="EY496" s="3205"/>
      <c r="EZ496" s="3205"/>
      <c r="FA496" s="3205"/>
      <c r="FB496" s="3205"/>
      <c r="FC496" s="3205"/>
      <c r="FD496" s="3205"/>
      <c r="FE496" s="3205"/>
      <c r="FF496" s="3205"/>
      <c r="FG496" s="3205"/>
      <c r="FH496" s="3205"/>
      <c r="FI496" s="3205"/>
      <c r="FJ496" s="3205"/>
      <c r="FK496" s="3205"/>
      <c r="FL496" s="3205"/>
      <c r="FM496" s="3205"/>
      <c r="FN496" s="3205"/>
      <c r="FO496" s="3205"/>
    </row>
  </sheetData>
  <mergeCells count="25">
    <mergeCell ref="B466:E466"/>
    <mergeCell ref="G12:G14"/>
    <mergeCell ref="H12:H14"/>
    <mergeCell ref="B264:B266"/>
    <mergeCell ref="E264:F265"/>
    <mergeCell ref="G264:G266"/>
    <mergeCell ref="H264:H266"/>
    <mergeCell ref="B171:B173"/>
    <mergeCell ref="E171:F172"/>
    <mergeCell ref="B287:B289"/>
    <mergeCell ref="B465:E465"/>
    <mergeCell ref="B12:B14"/>
    <mergeCell ref="E12:F13"/>
    <mergeCell ref="G171:G173"/>
    <mergeCell ref="H171:H173"/>
    <mergeCell ref="I12:I14"/>
    <mergeCell ref="H287:H289"/>
    <mergeCell ref="C5:E5"/>
    <mergeCell ref="C6:E6"/>
    <mergeCell ref="C7:E7"/>
    <mergeCell ref="I287:I289"/>
    <mergeCell ref="I171:I173"/>
    <mergeCell ref="I264:I266"/>
    <mergeCell ref="E287:F288"/>
    <mergeCell ref="G287:G289"/>
  </mergeCells>
  <phoneticPr fontId="0" type="noConversion"/>
  <hyperlinks>
    <hyperlink ref="A5" location="TOC!A1" display="TOC" xr:uid="{00000000-0004-0000-1100-000000000000}"/>
    <hyperlink ref="A6" location="'Materiality -  Group'!A15" display="é" xr:uid="{00000000-0004-0000-1100-000001000000}"/>
  </hyperlinks>
  <printOptions horizontalCentered="1" headings="1"/>
  <pageMargins left="0.5" right="0.5" top="1" bottom="0.75" header="0.5" footer="0.5"/>
  <pageSetup scale="39" orientation="portrait" r:id="rId1"/>
  <headerFooter alignWithMargins="0">
    <oddFooter>&amp;LFY 2026-2028 ASC Filing&amp;CPages &amp;P of &amp;N&amp;R&amp;A
&amp;D</oddFooter>
  </headerFooter>
  <rowBreaks count="5" manualBreakCount="5">
    <brk id="81" max="16383" man="1"/>
    <brk id="169" max="16383" man="1"/>
    <brk id="261" max="16383" man="1"/>
    <brk id="356" max="16383" man="1"/>
    <brk id="460" max="16383" man="1"/>
  </rowBreaks>
  <colBreaks count="2" manualBreakCount="2">
    <brk id="10" max="1048575" man="1"/>
    <brk id="27" max="1048575" man="1"/>
  </colBreaks>
  <customProperties>
    <customPr name="_pios_id" r:id="rId2"/>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indexed="56"/>
  </sheetPr>
  <dimension ref="A1:FO496"/>
  <sheetViews>
    <sheetView workbookViewId="0">
      <selection sqref="A1:XFD1048576"/>
    </sheetView>
  </sheetViews>
  <sheetFormatPr defaultColWidth="9" defaultRowHeight="11.25"/>
  <cols>
    <col min="1" max="1" width="8.625" style="493" customWidth="1"/>
    <col min="2" max="2" width="50.625" style="493" customWidth="1"/>
    <col min="3" max="3" width="24.5" style="493" customWidth="1"/>
    <col min="4" max="4" width="14.625" style="493" customWidth="1"/>
    <col min="5" max="5" width="10.625" style="493" customWidth="1"/>
    <col min="6" max="6" width="6.125" style="493" customWidth="1"/>
    <col min="7" max="10" width="16.625" style="493" customWidth="1"/>
    <col min="11" max="11" width="2.625" style="493" customWidth="1"/>
    <col min="12" max="12" width="25.75" style="493" customWidth="1"/>
    <col min="13" max="13" width="12.625" style="493" customWidth="1"/>
    <col min="14" max="14" width="17.5" style="493" customWidth="1"/>
    <col min="15" max="18" width="15.625" style="493" customWidth="1"/>
    <col min="19" max="19" width="2.625" style="493" customWidth="1"/>
    <col min="20" max="20" width="26.5" style="493" customWidth="1"/>
    <col min="21" max="26" width="15.625" style="493" customWidth="1"/>
    <col min="27" max="27" width="2.625" style="493" customWidth="1"/>
    <col min="28" max="28" width="26.25" style="493" customWidth="1"/>
    <col min="29" max="34" width="15.625" style="493" customWidth="1"/>
    <col min="35" max="35" width="2.625" style="493" customWidth="1"/>
    <col min="36" max="36" width="26" style="493" customWidth="1"/>
    <col min="37" max="42" width="15.625" style="493" customWidth="1"/>
    <col min="43" max="43" width="2.625" style="493" customWidth="1"/>
    <col min="44" max="44" width="26.125" style="493" customWidth="1"/>
    <col min="45" max="50" width="15.625" style="493" customWidth="1"/>
    <col min="51" max="51" width="2.625" style="493" customWidth="1"/>
    <col min="52" max="52" width="26" style="493" customWidth="1"/>
    <col min="53" max="58" width="15.625" style="493" customWidth="1"/>
    <col min="59" max="59" width="2.625" style="493" customWidth="1"/>
    <col min="60" max="60" width="26.5" style="493" customWidth="1"/>
    <col min="61" max="66" width="15.625" style="493" customWidth="1"/>
    <col min="67" max="67" width="2.625" style="493" customWidth="1"/>
    <col min="68" max="68" width="26.75" style="493" customWidth="1"/>
    <col min="69" max="74" width="15.625" style="493" customWidth="1"/>
    <col min="75" max="75" width="2.625" style="493" customWidth="1"/>
    <col min="76" max="76" width="26.75" style="493" customWidth="1"/>
    <col min="77" max="82" width="15.625" style="493" customWidth="1"/>
    <col min="83" max="83" width="2.625" style="493" customWidth="1"/>
    <col min="84" max="84" width="26.75" style="493" customWidth="1"/>
    <col min="85" max="90" width="15.625" style="493" customWidth="1"/>
    <col min="91" max="91" width="2.625" style="493" customWidth="1"/>
    <col min="92" max="92" width="26.625" style="493" customWidth="1"/>
    <col min="93" max="98" width="15.625" style="493" customWidth="1"/>
    <col min="99" max="99" width="2.625" style="493" customWidth="1"/>
    <col min="100" max="100" width="26.625" style="493" customWidth="1"/>
    <col min="101" max="106" width="15.625" style="493" customWidth="1"/>
    <col min="107" max="107" width="2.625" style="493" customWidth="1"/>
    <col min="108" max="108" width="26.375" style="493" customWidth="1"/>
    <col min="109" max="114" width="15.625" style="493" customWidth="1"/>
    <col min="115" max="115" width="2.625" style="493" customWidth="1"/>
    <col min="116" max="116" width="25.875" style="493" customWidth="1"/>
    <col min="117" max="122" width="15.625" style="493" customWidth="1"/>
    <col min="123" max="123" width="2.625" style="493" customWidth="1"/>
    <col min="124" max="124" width="26.625" style="493" customWidth="1"/>
    <col min="125" max="130" width="15.625" style="493" customWidth="1"/>
    <col min="131" max="131" width="2.625" style="493" customWidth="1"/>
    <col min="132" max="132" width="27.5" style="493" customWidth="1"/>
    <col min="133" max="138" width="15.625" style="493" customWidth="1"/>
    <col min="139" max="139" width="2.625" style="493" customWidth="1"/>
    <col min="140" max="140" width="25.875" style="493" customWidth="1"/>
    <col min="141" max="146" width="15.625" style="493" customWidth="1"/>
    <col min="147" max="147" width="2.625" style="493" customWidth="1"/>
    <col min="148" max="148" width="26.25" style="493" customWidth="1"/>
    <col min="149" max="154" width="15.625" style="493" customWidth="1"/>
    <col min="155" max="155" width="2.625" style="493" customWidth="1"/>
    <col min="156" max="156" width="26.5" style="493" customWidth="1"/>
    <col min="157" max="162" width="15.625" style="493" customWidth="1"/>
    <col min="163" max="163" width="2.625" style="493" customWidth="1"/>
    <col min="164" max="164" width="25.75" style="493" customWidth="1"/>
    <col min="165" max="165" width="18.625" style="493" customWidth="1"/>
    <col min="166" max="170" width="15.625" style="493" customWidth="1"/>
    <col min="171" max="171" width="2.625" style="493" customWidth="1"/>
    <col min="172" max="16384" width="9" style="493"/>
  </cols>
  <sheetData>
    <row r="1" spans="1:171">
      <c r="F1" s="3204" t="s">
        <v>605</v>
      </c>
      <c r="K1" s="3205"/>
      <c r="M1" s="3206" t="s">
        <v>654</v>
      </c>
      <c r="N1" s="3207">
        <v>1</v>
      </c>
      <c r="S1" s="3205"/>
      <c r="U1" s="3206" t="s">
        <v>654</v>
      </c>
      <c r="V1" s="3207">
        <v>1</v>
      </c>
      <c r="AA1" s="3205"/>
      <c r="AC1" s="3206" t="s">
        <v>654</v>
      </c>
      <c r="AD1" s="3207">
        <v>1</v>
      </c>
      <c r="AI1" s="3205"/>
      <c r="AK1" s="3206" t="s">
        <v>654</v>
      </c>
      <c r="AL1" s="3207">
        <v>1</v>
      </c>
      <c r="AQ1" s="3205"/>
      <c r="AS1" s="3206" t="s">
        <v>654</v>
      </c>
      <c r="AT1" s="3207">
        <v>1</v>
      </c>
      <c r="AY1" s="3205"/>
      <c r="BA1" s="3206" t="s">
        <v>654</v>
      </c>
      <c r="BB1" s="3207">
        <v>1</v>
      </c>
      <c r="BG1" s="3205"/>
      <c r="BI1" s="3206" t="s">
        <v>654</v>
      </c>
      <c r="BJ1" s="3207">
        <v>1</v>
      </c>
      <c r="BO1" s="3205"/>
      <c r="BQ1" s="3206" t="s">
        <v>654</v>
      </c>
      <c r="BR1" s="3207">
        <v>1</v>
      </c>
      <c r="BW1" s="3205"/>
      <c r="BY1" s="3206" t="s">
        <v>654</v>
      </c>
      <c r="BZ1" s="3207">
        <v>1</v>
      </c>
      <c r="CE1" s="3205"/>
      <c r="CG1" s="3206" t="s">
        <v>654</v>
      </c>
      <c r="CH1" s="3207">
        <v>1</v>
      </c>
      <c r="CM1" s="3205"/>
      <c r="CO1" s="3206" t="s">
        <v>654</v>
      </c>
      <c r="CP1" s="3207">
        <v>1</v>
      </c>
      <c r="CU1" s="3205"/>
      <c r="CW1" s="3206" t="s">
        <v>654</v>
      </c>
      <c r="CX1" s="3207">
        <v>1</v>
      </c>
      <c r="DC1" s="3205"/>
      <c r="DE1" s="3206" t="s">
        <v>654</v>
      </c>
      <c r="DF1" s="3207">
        <v>1</v>
      </c>
      <c r="DK1" s="3205"/>
      <c r="DM1" s="3206" t="s">
        <v>654</v>
      </c>
      <c r="DN1" s="3207">
        <v>1</v>
      </c>
      <c r="DS1" s="3205"/>
      <c r="DU1" s="3206" t="s">
        <v>654</v>
      </c>
      <c r="DV1" s="3207">
        <v>1</v>
      </c>
      <c r="EA1" s="3205"/>
      <c r="EC1" s="3206" t="s">
        <v>654</v>
      </c>
      <c r="ED1" s="3207">
        <v>1</v>
      </c>
      <c r="EI1" s="3205"/>
      <c r="EK1" s="3206" t="s">
        <v>654</v>
      </c>
      <c r="EL1" s="3207">
        <v>1</v>
      </c>
      <c r="EQ1" s="3205"/>
      <c r="ES1" s="3206" t="s">
        <v>654</v>
      </c>
      <c r="ET1" s="3207">
        <v>1</v>
      </c>
      <c r="EY1" s="3205"/>
      <c r="FA1" s="3206" t="s">
        <v>654</v>
      </c>
      <c r="FB1" s="3207">
        <v>1</v>
      </c>
      <c r="FG1" s="3205"/>
      <c r="FI1" s="3206" t="s">
        <v>654</v>
      </c>
      <c r="FJ1" s="3207">
        <v>1</v>
      </c>
      <c r="FO1" s="3205"/>
    </row>
    <row r="2" spans="1:171">
      <c r="A2" s="589"/>
      <c r="B2" s="589"/>
      <c r="C2" s="589"/>
      <c r="D2" s="589"/>
      <c r="E2" s="589"/>
      <c r="F2" s="3204" t="s">
        <v>606</v>
      </c>
      <c r="G2" s="589"/>
      <c r="H2" s="589"/>
      <c r="I2" s="589"/>
      <c r="J2" s="589"/>
      <c r="K2" s="3205"/>
      <c r="M2" s="3204" t="s">
        <v>655</v>
      </c>
      <c r="N2" s="3208">
        <v>6</v>
      </c>
      <c r="S2" s="3209"/>
      <c r="U2" s="3204" t="s">
        <v>655</v>
      </c>
      <c r="V2" s="3208">
        <v>7</v>
      </c>
      <c r="AA2" s="3209"/>
      <c r="AC2" s="3204" t="s">
        <v>655</v>
      </c>
      <c r="AD2" s="3208">
        <v>8</v>
      </c>
      <c r="AI2" s="3209"/>
      <c r="AK2" s="3204" t="s">
        <v>655</v>
      </c>
      <c r="AL2" s="3208">
        <v>9</v>
      </c>
      <c r="AQ2" s="3209"/>
      <c r="AS2" s="3204" t="s">
        <v>655</v>
      </c>
      <c r="AT2" s="3208">
        <v>10</v>
      </c>
      <c r="AY2" s="3209"/>
      <c r="BA2" s="3204" t="s">
        <v>655</v>
      </c>
      <c r="BB2" s="3208">
        <v>11</v>
      </c>
      <c r="BG2" s="3209"/>
      <c r="BI2" s="3204" t="s">
        <v>655</v>
      </c>
      <c r="BJ2" s="3208">
        <v>12</v>
      </c>
      <c r="BO2" s="3209"/>
      <c r="BQ2" s="3204" t="s">
        <v>655</v>
      </c>
      <c r="BR2" s="3208">
        <v>13</v>
      </c>
      <c r="BW2" s="3209"/>
      <c r="BY2" s="3204" t="s">
        <v>655</v>
      </c>
      <c r="BZ2" s="3208">
        <v>14</v>
      </c>
      <c r="CE2" s="3209"/>
      <c r="CG2" s="3204" t="s">
        <v>655</v>
      </c>
      <c r="CH2" s="3208">
        <v>15</v>
      </c>
      <c r="CM2" s="3209"/>
      <c r="CO2" s="3204" t="s">
        <v>655</v>
      </c>
      <c r="CP2" s="3208">
        <v>16</v>
      </c>
      <c r="CU2" s="3209"/>
      <c r="CW2" s="3204" t="s">
        <v>655</v>
      </c>
      <c r="CX2" s="3208">
        <v>17</v>
      </c>
      <c r="DC2" s="3209"/>
      <c r="DE2" s="3204" t="s">
        <v>655</v>
      </c>
      <c r="DF2" s="3208">
        <v>18</v>
      </c>
      <c r="DK2" s="3209"/>
      <c r="DM2" s="3204" t="s">
        <v>655</v>
      </c>
      <c r="DN2" s="3208">
        <v>19</v>
      </c>
      <c r="DS2" s="3209"/>
      <c r="DU2" s="3204" t="s">
        <v>655</v>
      </c>
      <c r="DV2" s="3208">
        <v>20</v>
      </c>
      <c r="EA2" s="3209"/>
      <c r="EC2" s="3204" t="s">
        <v>655</v>
      </c>
      <c r="ED2" s="3208">
        <v>21</v>
      </c>
      <c r="EI2" s="3209"/>
      <c r="EK2" s="3204" t="s">
        <v>655</v>
      </c>
      <c r="EL2" s="3208">
        <v>22</v>
      </c>
      <c r="EQ2" s="3209"/>
      <c r="ES2" s="3204" t="s">
        <v>655</v>
      </c>
      <c r="ET2" s="3208">
        <v>23</v>
      </c>
      <c r="EY2" s="3209"/>
      <c r="FA2" s="3204" t="s">
        <v>655</v>
      </c>
      <c r="FB2" s="3208">
        <v>24</v>
      </c>
      <c r="FG2" s="3209"/>
      <c r="FI2" s="3204" t="s">
        <v>655</v>
      </c>
      <c r="FJ2" s="3208">
        <v>25</v>
      </c>
      <c r="FO2" s="3209"/>
    </row>
    <row r="3" spans="1:171">
      <c r="F3" s="589" t="s">
        <v>607</v>
      </c>
      <c r="K3" s="3205"/>
      <c r="L3" s="504"/>
      <c r="O3" s="3210" t="str">
        <f ca="1">OFFSET('New Resources - Individual'!$A$1,3,N2-1)</f>
        <v/>
      </c>
      <c r="S3" s="3205"/>
      <c r="T3" s="504"/>
      <c r="W3" s="3210" t="str">
        <f ca="1">OFFSET('New Resources - Individual'!$A$1,3,V2-1)</f>
        <v/>
      </c>
      <c r="AA3" s="3205"/>
      <c r="AB3" s="504"/>
      <c r="AE3" s="3210" t="str">
        <f ca="1">OFFSET('New Resources - Individual'!$A$1,3,AD2-1)</f>
        <v/>
      </c>
      <c r="AI3" s="3205"/>
      <c r="AJ3" s="504"/>
      <c r="AM3" s="3210" t="str">
        <f ca="1">OFFSET('New Resources - Individual'!$A$1,3,AL2-1)</f>
        <v/>
      </c>
      <c r="AQ3" s="3205"/>
      <c r="AR3" s="504"/>
      <c r="AU3" s="3210" t="str">
        <f ca="1">OFFSET('New Resources - Individual'!$A$1,3,AT2-1)</f>
        <v/>
      </c>
      <c r="AY3" s="3205"/>
      <c r="AZ3" s="504"/>
      <c r="BC3" s="3210" t="str">
        <f ca="1">OFFSET('New Resources - Individual'!$A$1,3,BB2-1)</f>
        <v/>
      </c>
      <c r="BG3" s="3205"/>
      <c r="BH3" s="504"/>
      <c r="BK3" s="3210" t="str">
        <f ca="1">OFFSET('New Resources - Individual'!$A$1,3,BJ2-1)</f>
        <v/>
      </c>
      <c r="BO3" s="3205"/>
      <c r="BP3" s="504"/>
      <c r="BS3" s="3210" t="str">
        <f ca="1">OFFSET('New Resources - Individual'!$A$1,3,BR2-1)</f>
        <v/>
      </c>
      <c r="BW3" s="3205"/>
      <c r="BX3" s="504"/>
      <c r="CA3" s="3210" t="str">
        <f ca="1">OFFSET('New Resources - Individual'!$A$1,3,BZ2-1)</f>
        <v/>
      </c>
      <c r="CE3" s="3205"/>
      <c r="CF3" s="504"/>
      <c r="CI3" s="3210" t="str">
        <f ca="1">OFFSET('New Resources - Individual'!$A$1,3,CH2-1)</f>
        <v/>
      </c>
      <c r="CM3" s="3205"/>
      <c r="CN3" s="504"/>
      <c r="CQ3" s="3210" t="str">
        <f ca="1">OFFSET('New Resources - Individual'!$A$1,3,CP2-1)</f>
        <v/>
      </c>
      <c r="CU3" s="3205"/>
      <c r="CV3" s="504"/>
      <c r="CY3" s="3210" t="str">
        <f ca="1">OFFSET('New Resources - Individual'!$A$1,3,CX2-1)</f>
        <v/>
      </c>
      <c r="DC3" s="3205"/>
      <c r="DD3" s="504"/>
      <c r="DG3" s="3210" t="str">
        <f ca="1">OFFSET('New Resources - Individual'!$A$1,3,DF2-1)</f>
        <v/>
      </c>
      <c r="DK3" s="3205"/>
      <c r="DL3" s="504"/>
      <c r="DO3" s="3210" t="str">
        <f ca="1">OFFSET('New Resources - Individual'!$A$1,3,DN2-1)</f>
        <v/>
      </c>
      <c r="DS3" s="3205"/>
      <c r="DT3" s="504"/>
      <c r="DW3" s="3210" t="str">
        <f ca="1">OFFSET('New Resources - Individual'!$A$1,3,DV2-1)</f>
        <v/>
      </c>
      <c r="EA3" s="3205"/>
      <c r="EB3" s="504"/>
      <c r="EE3" s="3210" t="str">
        <f ca="1">OFFSET('New Resources - Individual'!$A$1,3,ED2-1)</f>
        <v/>
      </c>
      <c r="EI3" s="3205"/>
      <c r="EJ3" s="504"/>
      <c r="EM3" s="3210" t="str">
        <f ca="1">OFFSET('New Resources - Individual'!$A$1,3,EL2-1)</f>
        <v/>
      </c>
      <c r="EQ3" s="3205"/>
      <c r="ER3" s="504"/>
      <c r="EU3" s="3210" t="str">
        <f ca="1">OFFSET('New Resources - Individual'!$A$1,3,ET2-1)</f>
        <v/>
      </c>
      <c r="EY3" s="3205"/>
      <c r="EZ3" s="504"/>
      <c r="FC3" s="3210" t="str">
        <f ca="1">OFFSET('New Resources - Individual'!$A$1,3,FB2-1)</f>
        <v/>
      </c>
      <c r="FG3" s="3205"/>
      <c r="FH3" s="504"/>
      <c r="FK3" s="3210" t="str">
        <f ca="1">OFFSET('New Resources - Individual'!$A$1,3,FJ2-1)</f>
        <v/>
      </c>
      <c r="FO3" s="3205"/>
    </row>
    <row r="4" spans="1:171" ht="12" thickBot="1">
      <c r="A4" s="2139"/>
      <c r="B4" s="2449"/>
      <c r="C4" s="2292"/>
      <c r="D4" s="2292"/>
      <c r="E4" s="2689"/>
      <c r="K4" s="3205"/>
      <c r="M4" s="504"/>
      <c r="N4" s="1474" t="s">
        <v>656</v>
      </c>
      <c r="O4" s="504" t="s">
        <v>104</v>
      </c>
      <c r="P4" s="504" t="s">
        <v>105</v>
      </c>
      <c r="Q4" s="504" t="s">
        <v>106</v>
      </c>
      <c r="R4" s="504" t="s">
        <v>511</v>
      </c>
      <c r="S4" s="3205"/>
      <c r="U4" s="504"/>
      <c r="V4" s="504" t="s">
        <v>656</v>
      </c>
      <c r="W4" s="504" t="s">
        <v>104</v>
      </c>
      <c r="X4" s="504" t="s">
        <v>105</v>
      </c>
      <c r="Y4" s="504" t="s">
        <v>106</v>
      </c>
      <c r="Z4" s="504" t="s">
        <v>511</v>
      </c>
      <c r="AA4" s="3205"/>
      <c r="AC4" s="504"/>
      <c r="AD4" s="504" t="s">
        <v>656</v>
      </c>
      <c r="AE4" s="504" t="s">
        <v>104</v>
      </c>
      <c r="AF4" s="504" t="s">
        <v>105</v>
      </c>
      <c r="AG4" s="504" t="s">
        <v>106</v>
      </c>
      <c r="AH4" s="504" t="s">
        <v>511</v>
      </c>
      <c r="AI4" s="3205"/>
      <c r="AK4" s="504"/>
      <c r="AL4" s="504" t="s">
        <v>656</v>
      </c>
      <c r="AM4" s="504" t="s">
        <v>104</v>
      </c>
      <c r="AN4" s="504" t="s">
        <v>105</v>
      </c>
      <c r="AO4" s="504" t="s">
        <v>106</v>
      </c>
      <c r="AP4" s="504" t="s">
        <v>511</v>
      </c>
      <c r="AQ4" s="3205"/>
      <c r="AS4" s="504"/>
      <c r="AT4" s="504" t="s">
        <v>656</v>
      </c>
      <c r="AU4" s="504" t="s">
        <v>104</v>
      </c>
      <c r="AV4" s="504" t="s">
        <v>105</v>
      </c>
      <c r="AW4" s="504" t="s">
        <v>106</v>
      </c>
      <c r="AX4" s="504" t="s">
        <v>511</v>
      </c>
      <c r="AY4" s="3205"/>
      <c r="BA4" s="504"/>
      <c r="BB4" s="504" t="s">
        <v>656</v>
      </c>
      <c r="BC4" s="504" t="s">
        <v>104</v>
      </c>
      <c r="BD4" s="504" t="s">
        <v>105</v>
      </c>
      <c r="BE4" s="504" t="s">
        <v>106</v>
      </c>
      <c r="BF4" s="504" t="s">
        <v>511</v>
      </c>
      <c r="BG4" s="3205"/>
      <c r="BI4" s="504"/>
      <c r="BJ4" s="504" t="s">
        <v>656</v>
      </c>
      <c r="BK4" s="504" t="s">
        <v>104</v>
      </c>
      <c r="BL4" s="504" t="s">
        <v>105</v>
      </c>
      <c r="BM4" s="504" t="s">
        <v>106</v>
      </c>
      <c r="BN4" s="504" t="s">
        <v>511</v>
      </c>
      <c r="BO4" s="3205"/>
      <c r="BQ4" s="504"/>
      <c r="BR4" s="504" t="s">
        <v>656</v>
      </c>
      <c r="BS4" s="504" t="s">
        <v>104</v>
      </c>
      <c r="BT4" s="504" t="s">
        <v>105</v>
      </c>
      <c r="BU4" s="504" t="s">
        <v>106</v>
      </c>
      <c r="BV4" s="504" t="s">
        <v>511</v>
      </c>
      <c r="BW4" s="3205"/>
      <c r="BY4" s="504"/>
      <c r="BZ4" s="504" t="s">
        <v>656</v>
      </c>
      <c r="CA4" s="504" t="s">
        <v>104</v>
      </c>
      <c r="CB4" s="504" t="s">
        <v>105</v>
      </c>
      <c r="CC4" s="504" t="s">
        <v>106</v>
      </c>
      <c r="CD4" s="504" t="s">
        <v>511</v>
      </c>
      <c r="CE4" s="3205"/>
      <c r="CG4" s="504"/>
      <c r="CH4" s="504" t="s">
        <v>656</v>
      </c>
      <c r="CI4" s="504" t="s">
        <v>104</v>
      </c>
      <c r="CJ4" s="504" t="s">
        <v>105</v>
      </c>
      <c r="CK4" s="504" t="s">
        <v>106</v>
      </c>
      <c r="CL4" s="504" t="s">
        <v>511</v>
      </c>
      <c r="CM4" s="3205"/>
      <c r="CO4" s="504"/>
      <c r="CP4" s="504" t="s">
        <v>656</v>
      </c>
      <c r="CQ4" s="504" t="s">
        <v>104</v>
      </c>
      <c r="CR4" s="504" t="s">
        <v>105</v>
      </c>
      <c r="CS4" s="504" t="s">
        <v>106</v>
      </c>
      <c r="CT4" s="504" t="s">
        <v>511</v>
      </c>
      <c r="CU4" s="3205"/>
      <c r="CW4" s="504"/>
      <c r="CX4" s="504" t="s">
        <v>656</v>
      </c>
      <c r="CY4" s="504" t="s">
        <v>104</v>
      </c>
      <c r="CZ4" s="504" t="s">
        <v>105</v>
      </c>
      <c r="DA4" s="504" t="s">
        <v>106</v>
      </c>
      <c r="DB4" s="504" t="s">
        <v>511</v>
      </c>
      <c r="DC4" s="3205"/>
      <c r="DE4" s="504"/>
      <c r="DF4" s="504" t="s">
        <v>656</v>
      </c>
      <c r="DG4" s="504" t="s">
        <v>104</v>
      </c>
      <c r="DH4" s="504" t="s">
        <v>105</v>
      </c>
      <c r="DI4" s="504" t="s">
        <v>106</v>
      </c>
      <c r="DJ4" s="504" t="s">
        <v>511</v>
      </c>
      <c r="DK4" s="3205"/>
      <c r="DM4" s="504"/>
      <c r="DN4" s="504" t="s">
        <v>656</v>
      </c>
      <c r="DO4" s="504" t="s">
        <v>104</v>
      </c>
      <c r="DP4" s="504" t="s">
        <v>105</v>
      </c>
      <c r="DQ4" s="504" t="s">
        <v>106</v>
      </c>
      <c r="DR4" s="504" t="s">
        <v>511</v>
      </c>
      <c r="DS4" s="3205"/>
      <c r="DU4" s="504"/>
      <c r="DV4" s="504" t="s">
        <v>656</v>
      </c>
      <c r="DW4" s="504" t="s">
        <v>104</v>
      </c>
      <c r="DX4" s="504" t="s">
        <v>105</v>
      </c>
      <c r="DY4" s="504" t="s">
        <v>106</v>
      </c>
      <c r="DZ4" s="504" t="s">
        <v>511</v>
      </c>
      <c r="EA4" s="3205"/>
      <c r="EC4" s="504"/>
      <c r="ED4" s="504" t="s">
        <v>656</v>
      </c>
      <c r="EE4" s="504" t="s">
        <v>104</v>
      </c>
      <c r="EF4" s="504" t="s">
        <v>105</v>
      </c>
      <c r="EG4" s="504" t="s">
        <v>106</v>
      </c>
      <c r="EH4" s="504" t="s">
        <v>511</v>
      </c>
      <c r="EI4" s="3205"/>
      <c r="EK4" s="504"/>
      <c r="EL4" s="504" t="s">
        <v>656</v>
      </c>
      <c r="EM4" s="504" t="s">
        <v>104</v>
      </c>
      <c r="EN4" s="504" t="s">
        <v>105</v>
      </c>
      <c r="EO4" s="504" t="s">
        <v>106</v>
      </c>
      <c r="EP4" s="504" t="s">
        <v>511</v>
      </c>
      <c r="EQ4" s="3205"/>
      <c r="ES4" s="504"/>
      <c r="ET4" s="504" t="s">
        <v>656</v>
      </c>
      <c r="EU4" s="504" t="s">
        <v>104</v>
      </c>
      <c r="EV4" s="504" t="s">
        <v>105</v>
      </c>
      <c r="EW4" s="504" t="s">
        <v>106</v>
      </c>
      <c r="EX4" s="504" t="s">
        <v>511</v>
      </c>
      <c r="EY4" s="3205"/>
      <c r="FA4" s="504"/>
      <c r="FB4" s="504" t="s">
        <v>656</v>
      </c>
      <c r="FC4" s="504" t="s">
        <v>104</v>
      </c>
      <c r="FD4" s="504" t="s">
        <v>105</v>
      </c>
      <c r="FE4" s="504" t="s">
        <v>106</v>
      </c>
      <c r="FF4" s="504" t="s">
        <v>511</v>
      </c>
      <c r="FG4" s="3205"/>
      <c r="FI4" s="504"/>
      <c r="FJ4" s="504" t="s">
        <v>656</v>
      </c>
      <c r="FK4" s="504" t="s">
        <v>104</v>
      </c>
      <c r="FL4" s="504" t="s">
        <v>105</v>
      </c>
      <c r="FM4" s="504" t="s">
        <v>106</v>
      </c>
      <c r="FN4" s="504" t="s">
        <v>511</v>
      </c>
      <c r="FO4" s="3205"/>
    </row>
    <row r="5" spans="1:171">
      <c r="A5" s="2452" t="s">
        <v>685</v>
      </c>
      <c r="B5" s="2297" t="s">
        <v>571</v>
      </c>
      <c r="C5" s="3211" t="str">
        <f>'Sch 1- Rate Base '!E5</f>
        <v>PUGET SOUND ENERGY</v>
      </c>
      <c r="D5" s="3212"/>
      <c r="E5" s="3213"/>
      <c r="G5" s="3214"/>
      <c r="H5" s="3214"/>
      <c r="I5" s="3214"/>
      <c r="J5" s="3214"/>
      <c r="K5" s="3205"/>
      <c r="S5" s="3205"/>
      <c r="AA5" s="3205"/>
      <c r="AI5" s="3205"/>
      <c r="AQ5" s="3205"/>
      <c r="AY5" s="3205"/>
      <c r="BG5" s="3205"/>
      <c r="BO5" s="3205"/>
      <c r="BW5" s="3205"/>
      <c r="CE5" s="3205"/>
      <c r="CM5" s="3205"/>
      <c r="CU5" s="3205"/>
      <c r="DC5" s="3205"/>
      <c r="DK5" s="3205"/>
      <c r="DS5" s="3205"/>
      <c r="EA5" s="3205"/>
      <c r="EI5" s="3205"/>
      <c r="EQ5" s="3205"/>
      <c r="EY5" s="3205"/>
      <c r="FG5" s="3205"/>
      <c r="FO5" s="3205"/>
    </row>
    <row r="6" spans="1:171">
      <c r="A6" s="3215" t="s">
        <v>686</v>
      </c>
      <c r="B6" s="2297" t="s">
        <v>572</v>
      </c>
      <c r="C6" s="3216">
        <f>'Sch 1- Rate Base '!E6</f>
        <v>2023</v>
      </c>
      <c r="D6" s="3217"/>
      <c r="E6" s="3218"/>
      <c r="G6" s="3214"/>
      <c r="H6" s="3214"/>
      <c r="I6" s="3214"/>
      <c r="J6" s="3214"/>
      <c r="K6" s="3205"/>
      <c r="S6" s="3205"/>
      <c r="AA6" s="3205"/>
      <c r="AI6" s="3205"/>
      <c r="AQ6" s="3205"/>
      <c r="AY6" s="3205"/>
      <c r="BG6" s="3205"/>
      <c r="BO6" s="3205"/>
      <c r="BW6" s="3205"/>
      <c r="CE6" s="3205"/>
      <c r="CM6" s="3205"/>
      <c r="CU6" s="3205"/>
      <c r="DC6" s="3205"/>
      <c r="DK6" s="3205"/>
      <c r="DS6" s="3205"/>
      <c r="EA6" s="3205"/>
      <c r="EI6" s="3205"/>
      <c r="EQ6" s="3205"/>
      <c r="EY6" s="3205"/>
      <c r="FG6" s="3205"/>
      <c r="FO6" s="3205"/>
    </row>
    <row r="7" spans="1:171" ht="12" thickBot="1">
      <c r="B7" s="2297" t="s">
        <v>573</v>
      </c>
      <c r="C7" s="3219">
        <f>'Sch 1- Rate Base '!E7</f>
        <v>45474</v>
      </c>
      <c r="D7" s="3220"/>
      <c r="E7" s="3221"/>
      <c r="G7" s="3214"/>
      <c r="H7" s="3214"/>
      <c r="I7" s="3214"/>
      <c r="J7" s="3214"/>
      <c r="K7" s="3205"/>
      <c r="S7" s="3205"/>
      <c r="AA7" s="3205"/>
      <c r="AI7" s="3205"/>
      <c r="AQ7" s="3205"/>
      <c r="AY7" s="3205"/>
      <c r="BG7" s="3205"/>
      <c r="BO7" s="3205"/>
      <c r="BW7" s="3205"/>
      <c r="CE7" s="3205"/>
      <c r="CM7" s="3205"/>
      <c r="CU7" s="3205"/>
      <c r="DC7" s="3205"/>
      <c r="DK7" s="3205"/>
      <c r="DS7" s="3205"/>
      <c r="EA7" s="3205"/>
      <c r="EI7" s="3205"/>
      <c r="EQ7" s="3205"/>
      <c r="EY7" s="3205"/>
      <c r="FG7" s="3205"/>
      <c r="FO7" s="3205"/>
    </row>
    <row r="8" spans="1:171">
      <c r="B8" s="2449"/>
      <c r="C8" s="2292"/>
      <c r="D8" s="2292"/>
      <c r="E8" s="2689"/>
      <c r="G8" s="3214"/>
      <c r="H8" s="3214"/>
      <c r="I8" s="3214"/>
      <c r="J8" s="3214"/>
      <c r="K8" s="3205"/>
      <c r="S8" s="3205"/>
      <c r="AA8" s="3205"/>
      <c r="AI8" s="3205"/>
      <c r="AQ8" s="3205"/>
      <c r="AY8" s="3205"/>
      <c r="BG8" s="3205"/>
      <c r="BO8" s="3205"/>
      <c r="BW8" s="3205"/>
      <c r="CE8" s="3205"/>
      <c r="CM8" s="3205"/>
      <c r="CU8" s="3205"/>
      <c r="DC8" s="3205"/>
      <c r="DK8" s="3205"/>
      <c r="DS8" s="3205"/>
      <c r="EA8" s="3205"/>
      <c r="EI8" s="3205"/>
      <c r="EQ8" s="3205"/>
      <c r="EY8" s="3205"/>
      <c r="FG8" s="3205"/>
      <c r="FO8" s="3205"/>
    </row>
    <row r="9" spans="1:171">
      <c r="A9" s="493">
        <v>1</v>
      </c>
      <c r="B9" s="493">
        <v>2</v>
      </c>
      <c r="C9" s="493">
        <v>3</v>
      </c>
      <c r="D9" s="493">
        <v>4</v>
      </c>
      <c r="E9" s="493">
        <v>5</v>
      </c>
      <c r="F9" s="493">
        <v>6</v>
      </c>
      <c r="G9" s="3214"/>
      <c r="H9" s="3214" t="s">
        <v>97</v>
      </c>
      <c r="I9" s="3214"/>
      <c r="J9" s="3214"/>
      <c r="K9" s="3205"/>
      <c r="S9" s="3205"/>
      <c r="AA9" s="3205"/>
      <c r="AI9" s="3205"/>
      <c r="AQ9" s="3205"/>
      <c r="AY9" s="3205"/>
      <c r="BG9" s="3205"/>
      <c r="BO9" s="3205"/>
      <c r="BW9" s="3205"/>
      <c r="CE9" s="3205"/>
      <c r="CM9" s="3205"/>
      <c r="CU9" s="3205"/>
      <c r="DC9" s="3205"/>
      <c r="DK9" s="3205"/>
      <c r="DS9" s="3205"/>
      <c r="EA9" s="3205"/>
      <c r="EI9" s="3205"/>
      <c r="EQ9" s="3205"/>
      <c r="EY9" s="3205"/>
      <c r="FG9" s="3205"/>
      <c r="FO9" s="3205"/>
    </row>
    <row r="10" spans="1:171">
      <c r="G10" s="3214"/>
      <c r="H10" s="3214"/>
      <c r="I10" s="3214"/>
      <c r="J10" s="3214"/>
      <c r="K10" s="3205"/>
      <c r="S10" s="3205"/>
      <c r="AA10" s="3205"/>
      <c r="AI10" s="3205"/>
      <c r="AQ10" s="3205"/>
      <c r="AY10" s="3205"/>
      <c r="BG10" s="3205"/>
      <c r="BO10" s="3205"/>
      <c r="BW10" s="3205"/>
      <c r="CE10" s="3205"/>
      <c r="CM10" s="3205"/>
      <c r="CU10" s="3205"/>
      <c r="DC10" s="3205"/>
      <c r="DK10" s="3205"/>
      <c r="DS10" s="3205"/>
      <c r="EA10" s="3205"/>
      <c r="EI10" s="3205"/>
      <c r="EQ10" s="3205"/>
      <c r="EY10" s="3205"/>
      <c r="FG10" s="3205"/>
      <c r="FO10" s="3205"/>
    </row>
    <row r="11" spans="1:171" ht="12" thickBot="1">
      <c r="A11" s="3222" t="s">
        <v>323</v>
      </c>
      <c r="B11" s="3223"/>
      <c r="C11" s="3223"/>
      <c r="D11" s="3223"/>
      <c r="E11" s="3224"/>
      <c r="F11" s="3224"/>
      <c r="G11" s="3225"/>
      <c r="H11" s="3225"/>
      <c r="I11" s="3225"/>
      <c r="J11" s="3225"/>
      <c r="K11" s="3205"/>
      <c r="S11" s="3205"/>
      <c r="AA11" s="3205"/>
      <c r="AI11" s="3205"/>
      <c r="AQ11" s="3205"/>
      <c r="AY11" s="3205"/>
      <c r="BG11" s="3205"/>
      <c r="BO11" s="3205"/>
      <c r="BW11" s="3205"/>
      <c r="CE11" s="3205"/>
      <c r="CM11" s="3205"/>
      <c r="CU11" s="3205"/>
      <c r="DC11" s="3205"/>
      <c r="DK11" s="3205"/>
      <c r="DS11" s="3205"/>
      <c r="EA11" s="3205"/>
      <c r="EI11" s="3205"/>
      <c r="EQ11" s="3205"/>
      <c r="EY11" s="3205"/>
      <c r="FG11" s="3205"/>
      <c r="FO11" s="3205"/>
    </row>
    <row r="12" spans="1:171" ht="12.75" thickTop="1" thickBot="1">
      <c r="A12" s="3226"/>
      <c r="B12" s="3916" t="s">
        <v>100</v>
      </c>
      <c r="C12" s="2457" t="s">
        <v>274</v>
      </c>
      <c r="D12" s="3227"/>
      <c r="E12" s="3917" t="s">
        <v>608</v>
      </c>
      <c r="F12" s="3893"/>
      <c r="G12" s="3896" t="s">
        <v>104</v>
      </c>
      <c r="H12" s="3885" t="s">
        <v>105</v>
      </c>
      <c r="I12" s="3888" t="s">
        <v>106</v>
      </c>
      <c r="J12" s="3228"/>
      <c r="K12" s="3205"/>
      <c r="S12" s="3205"/>
      <c r="AA12" s="3205"/>
      <c r="AI12" s="3205"/>
      <c r="AQ12" s="3205"/>
      <c r="AY12" s="3205"/>
      <c r="BG12" s="3205"/>
      <c r="BO12" s="3205"/>
      <c r="BW12" s="3205"/>
      <c r="CE12" s="3205"/>
      <c r="CM12" s="3205"/>
      <c r="CU12" s="3205"/>
      <c r="DC12" s="3205"/>
      <c r="DK12" s="3205"/>
      <c r="DS12" s="3205"/>
      <c r="EA12" s="3205"/>
      <c r="EI12" s="3205"/>
      <c r="EQ12" s="3205"/>
      <c r="EY12" s="3205"/>
      <c r="FG12" s="3205"/>
      <c r="FO12" s="3205"/>
    </row>
    <row r="13" spans="1:171" ht="24.75" customHeight="1" thickBot="1">
      <c r="A13" s="3229"/>
      <c r="B13" s="3912"/>
      <c r="C13" s="2164" t="s">
        <v>270</v>
      </c>
      <c r="D13" s="2164" t="s">
        <v>96</v>
      </c>
      <c r="E13" s="3894"/>
      <c r="F13" s="3895"/>
      <c r="G13" s="3897"/>
      <c r="H13" s="3886"/>
      <c r="I13" s="3889"/>
      <c r="J13" s="2167" t="s">
        <v>98</v>
      </c>
      <c r="K13" s="3205"/>
      <c r="S13" s="3205"/>
      <c r="AA13" s="3205"/>
      <c r="AI13" s="3205"/>
      <c r="AQ13" s="3205"/>
      <c r="AY13" s="3205"/>
      <c r="BG13" s="3205"/>
      <c r="BO13" s="3205"/>
      <c r="BW13" s="3205"/>
      <c r="CE13" s="3205"/>
      <c r="CM13" s="3205"/>
      <c r="CU13" s="3205"/>
      <c r="DC13" s="3205"/>
      <c r="DK13" s="3205"/>
      <c r="DS13" s="3205"/>
      <c r="EA13" s="3205"/>
      <c r="EI13" s="3205"/>
      <c r="EQ13" s="3205"/>
      <c r="EY13" s="3205"/>
      <c r="FG13" s="3205"/>
      <c r="FO13" s="3205"/>
    </row>
    <row r="14" spans="1:171" ht="12" thickBot="1">
      <c r="A14" s="3230"/>
      <c r="B14" s="3913"/>
      <c r="C14" s="2646" t="s">
        <v>271</v>
      </c>
      <c r="D14" s="2646" t="s">
        <v>250</v>
      </c>
      <c r="E14" s="2646" t="s">
        <v>449</v>
      </c>
      <c r="F14" s="2646" t="s">
        <v>609</v>
      </c>
      <c r="G14" s="3902"/>
      <c r="H14" s="3904"/>
      <c r="I14" s="3915"/>
      <c r="J14" s="3231" t="s">
        <v>107</v>
      </c>
      <c r="K14" s="3205"/>
      <c r="S14" s="3205"/>
      <c r="AA14" s="3205"/>
      <c r="AI14" s="3205"/>
      <c r="AQ14" s="3205"/>
      <c r="AY14" s="3205"/>
      <c r="BG14" s="3205"/>
      <c r="BO14" s="3205"/>
      <c r="BW14" s="3205"/>
      <c r="CE14" s="3205"/>
      <c r="CM14" s="3205"/>
      <c r="CU14" s="3205"/>
      <c r="DC14" s="3205"/>
      <c r="DK14" s="3205"/>
      <c r="DS14" s="3205"/>
      <c r="EA14" s="3205"/>
      <c r="EI14" s="3205"/>
      <c r="EQ14" s="3205"/>
      <c r="EY14" s="3205"/>
      <c r="FG14" s="3205"/>
      <c r="FO14" s="3205"/>
    </row>
    <row r="15" spans="1:171">
      <c r="A15" s="2669" t="s">
        <v>472</v>
      </c>
      <c r="B15" s="2184"/>
      <c r="C15" s="2116"/>
      <c r="D15" s="2116"/>
      <c r="E15" s="2116"/>
      <c r="F15" s="2116"/>
      <c r="G15" s="2118"/>
      <c r="H15" s="2118"/>
      <c r="I15" s="2118"/>
      <c r="J15" s="2441"/>
      <c r="K15" s="3205"/>
      <c r="S15" s="3205"/>
      <c r="AA15" s="3205"/>
      <c r="AI15" s="3205"/>
      <c r="AQ15" s="3205"/>
      <c r="AY15" s="3205"/>
      <c r="BG15" s="3205"/>
      <c r="BO15" s="3205"/>
      <c r="BW15" s="3205"/>
      <c r="CE15" s="3205"/>
      <c r="CM15" s="3205"/>
      <c r="CU15" s="3205"/>
      <c r="DC15" s="3205"/>
      <c r="DK15" s="3205"/>
      <c r="DS15" s="3205"/>
      <c r="EA15" s="3205"/>
      <c r="EI15" s="3205"/>
      <c r="EQ15" s="3205"/>
      <c r="EY15" s="3205"/>
      <c r="FG15" s="3205"/>
      <c r="FO15" s="3205"/>
    </row>
    <row r="16" spans="1:171">
      <c r="A16" s="3232"/>
      <c r="B16" s="2103" t="s">
        <v>145</v>
      </c>
      <c r="C16" s="3233" t="s">
        <v>70</v>
      </c>
      <c r="D16" s="2464">
        <v>301</v>
      </c>
      <c r="E16" s="3234" t="str">
        <f>'Sch 1- Rate Base '!E16</f>
        <v>DIST</v>
      </c>
      <c r="F16" s="2171"/>
      <c r="G16" s="2424">
        <f>'Sch 1- Rate Base '!G16</f>
        <v>114202</v>
      </c>
      <c r="H16" s="2424">
        <f>'Sch 1- Rate Base '!H16</f>
        <v>0</v>
      </c>
      <c r="I16" s="2424">
        <f>'Sch 1- Rate Base '!I16</f>
        <v>0</v>
      </c>
      <c r="J16" s="2425">
        <f>'Sch 1- Rate Base '!J16</f>
        <v>114202</v>
      </c>
      <c r="K16" s="3205">
        <f>IF($E16="DIRECT",0,1)</f>
        <v>1</v>
      </c>
      <c r="O16" s="3235">
        <f>$G16</f>
        <v>114202</v>
      </c>
      <c r="P16" s="3236">
        <f>VLOOKUP($E16,O$442:R$453,2,FALSE)*O16*($K16)+IF($G16&gt;0,($H16/$G16)*O16,0)*(1-$K16)</f>
        <v>0</v>
      </c>
      <c r="Q16" s="3236">
        <f>VLOOKUP($E16,O$442:R$453,3,FALSE)*O16*($K16)+IF($G16&gt;0,($I16/$G16)*O16,0)*(1-$K16)</f>
        <v>0</v>
      </c>
      <c r="R16" s="3236">
        <f>VLOOKUP($E16,O$442:R$453,4,FALSE)*O16*($K16)+(O16-P16-Q16)*(1-$K16)</f>
        <v>114202</v>
      </c>
      <c r="S16" s="3237"/>
      <c r="W16" s="3235">
        <f>$G16</f>
        <v>114202</v>
      </c>
      <c r="X16" s="3236">
        <f>VLOOKUP($E16,W$442:Z$453,2,FALSE)*W16*($K16)+IF($G16&gt;0,($H16/$G16)*W16,0)*(1-$K16)</f>
        <v>0</v>
      </c>
      <c r="Y16" s="3236">
        <f>VLOOKUP($E16,W$442:Z$453,3,FALSE)*W16*($K16)+IF($G16&gt;0,($I16/$G16)*W16,0)*(1-$K16)</f>
        <v>0</v>
      </c>
      <c r="Z16" s="3236">
        <f>VLOOKUP($E16,W$442:Z$453,4,FALSE)*W16*($K16)+(W16-X16-Y16)*(1-$K16)</f>
        <v>114202</v>
      </c>
      <c r="AA16" s="3237"/>
      <c r="AE16" s="3235">
        <f>$G16</f>
        <v>114202</v>
      </c>
      <c r="AF16" s="3236">
        <f>VLOOKUP($E16,AE$442:AH$453,2,FALSE)*AE16*($K16)+IF($G16&gt;0,($H16/$G16)*AE16,0)*(1-$K16)</f>
        <v>0</v>
      </c>
      <c r="AG16" s="3236">
        <f>VLOOKUP($E16,AE$442:AH$453,3,FALSE)*AE16*($K16)+IF($G16&gt;0,($I16/$G16)*AE16,0)*(1-$K16)</f>
        <v>0</v>
      </c>
      <c r="AH16" s="3236">
        <f>VLOOKUP($E16,AE$442:AH$453,4,FALSE)*AE16*($K16)+(AE16-AF16-AG16)*(1-$K16)</f>
        <v>114202</v>
      </c>
      <c r="AI16" s="3237"/>
      <c r="AM16" s="3235">
        <f>$G16</f>
        <v>114202</v>
      </c>
      <c r="AN16" s="3236">
        <f>VLOOKUP($E16,AM$442:AP$453,2,FALSE)*AM16*($K16)+IF($G16&gt;0,($H16/$G16)*AM16,0)*(1-$K16)</f>
        <v>0</v>
      </c>
      <c r="AO16" s="3236">
        <f>VLOOKUP($E16,AM$442:AP$453,3,FALSE)*AM16*($K16)+IF($G16&gt;0,($I16/$G16)*AM16,0)*(1-$K16)</f>
        <v>0</v>
      </c>
      <c r="AP16" s="3236">
        <f>VLOOKUP($E16,AM$442:AP$453,4,FALSE)*AM16*($K16)+(AM16-AN16-AO16)*(1-$K16)</f>
        <v>114202</v>
      </c>
      <c r="AQ16" s="3237"/>
      <c r="AU16" s="3235">
        <f>$G16</f>
        <v>114202</v>
      </c>
      <c r="AV16" s="3236">
        <f>VLOOKUP($E16,AU$442:AX$453,2,FALSE)*AU16*($K16)+IF($G16&gt;0,($H16/$G16)*AU16,0)*(1-$K16)</f>
        <v>0</v>
      </c>
      <c r="AW16" s="3236">
        <f>VLOOKUP($E16,AU$442:AX$453,3,FALSE)*AU16*($K16)+IF($G16&gt;0,($I16/$G16)*AU16,0)*(1-$K16)</f>
        <v>0</v>
      </c>
      <c r="AX16" s="3236">
        <f>VLOOKUP($E16,AU$442:AX$453,4,FALSE)*AU16*($K16)+(AU16-AV16-AW16)*(1-$K16)</f>
        <v>114202</v>
      </c>
      <c r="AY16" s="3237"/>
      <c r="BC16" s="3235">
        <f>$G16</f>
        <v>114202</v>
      </c>
      <c r="BD16" s="3236">
        <f>VLOOKUP($E16,BC$442:BF$453,2,FALSE)*BC16*($K16)+IF($G16&gt;0,($H16/$G16)*BC16,0)*(1-$K16)</f>
        <v>0</v>
      </c>
      <c r="BE16" s="3236">
        <f>VLOOKUP($E16,BC$442:BF$453,3,FALSE)*BC16*($K16)+IF($G16&gt;0,($I16/$G16)*BC16,0)*(1-$K16)</f>
        <v>0</v>
      </c>
      <c r="BF16" s="3236">
        <f>VLOOKUP($E16,BC$442:BF$453,4,FALSE)*BC16*($K16)+(BC16-BD16-BE16)*(1-$K16)</f>
        <v>114202</v>
      </c>
      <c r="BG16" s="3237"/>
      <c r="BK16" s="3235">
        <f>$G16</f>
        <v>114202</v>
      </c>
      <c r="BL16" s="3236">
        <f>VLOOKUP($E16,BK$442:BN$453,2,FALSE)*BK16*($K16)+IF($G16&gt;0,($H16/$G16)*BK16,0)*(1-$K16)</f>
        <v>0</v>
      </c>
      <c r="BM16" s="3236">
        <f>VLOOKUP($E16,BK$442:BN$453,3,FALSE)*BK16*($K16)+IF($G16&gt;0,($I16/$G16)*BK16,0)*(1-$K16)</f>
        <v>0</v>
      </c>
      <c r="BN16" s="3236">
        <f>VLOOKUP($E16,BK$442:BN$453,4,FALSE)*BK16*($K16)+(BK16-BL16-BM16)*(1-$K16)</f>
        <v>114202</v>
      </c>
      <c r="BO16" s="3237"/>
      <c r="BS16" s="3235">
        <f>$G16</f>
        <v>114202</v>
      </c>
      <c r="BT16" s="3236">
        <f>VLOOKUP($E16,BS$442:BV$453,2,FALSE)*BS16*($K16)+IF($G16&gt;0,($H16/$G16)*BS16,0)*(1-$K16)</f>
        <v>0</v>
      </c>
      <c r="BU16" s="3236">
        <f>VLOOKUP($E16,BS$442:BV$453,3,FALSE)*BS16*($K16)+IF($G16&gt;0,($I16/$G16)*BS16,0)*(1-$K16)</f>
        <v>0</v>
      </c>
      <c r="BV16" s="3236">
        <f>VLOOKUP($E16,BS$442:BV$453,4,FALSE)*BS16*($K16)+(BS16-BT16-BU16)*(1-$K16)</f>
        <v>114202</v>
      </c>
      <c r="BW16" s="3237"/>
      <c r="CA16" s="3235">
        <f>$G16</f>
        <v>114202</v>
      </c>
      <c r="CB16" s="3236">
        <f>VLOOKUP($E16,CA$442:CD$453,2,FALSE)*CA16*($K16)+IF($G16&gt;0,($H16/$G16)*CA16,0)*(1-$K16)</f>
        <v>0</v>
      </c>
      <c r="CC16" s="3236">
        <f>VLOOKUP($E16,CA$442:CD$453,3,FALSE)*CA16*($K16)+IF($G16&gt;0,($I16/$G16)*CA16,0)*(1-$K16)</f>
        <v>0</v>
      </c>
      <c r="CD16" s="3236">
        <f>VLOOKUP($E16,CA$442:CD$453,4,FALSE)*CA16*($K16)+(CA16-CB16-CC16)*(1-$K16)</f>
        <v>114202</v>
      </c>
      <c r="CE16" s="3237"/>
      <c r="CI16" s="3235">
        <f>$G16</f>
        <v>114202</v>
      </c>
      <c r="CJ16" s="3236">
        <f>VLOOKUP($E16,CI$442:CL$453,2,FALSE)*CI16*($K16)+IF($G16&gt;0,($H16/$G16)*CI16,0)*(1-$K16)</f>
        <v>0</v>
      </c>
      <c r="CK16" s="3236">
        <f>VLOOKUP($E16,CI$442:CL$453,3,FALSE)*CI16*($K16)+IF($G16&gt;0,($I16/$G16)*CI16,0)*(1-$K16)</f>
        <v>0</v>
      </c>
      <c r="CL16" s="3236">
        <f>VLOOKUP($E16,CI$442:CL$453,4,FALSE)*CI16*($K16)+(CI16-CJ16-CK16)*(1-$K16)</f>
        <v>114202</v>
      </c>
      <c r="CM16" s="3237"/>
      <c r="CQ16" s="3235">
        <f>$G16</f>
        <v>114202</v>
      </c>
      <c r="CR16" s="3236">
        <f>VLOOKUP($E16,CQ$442:CT$453,2,FALSE)*CQ16*($K16)+IF($G16&gt;0,($H16/$G16)*CQ16,0)*(1-$K16)</f>
        <v>0</v>
      </c>
      <c r="CS16" s="3236">
        <f>VLOOKUP($E16,CQ$442:CT$453,3,FALSE)*CQ16*($K16)+IF($G16&gt;0,($I16/$G16)*CQ16,0)*(1-$K16)</f>
        <v>0</v>
      </c>
      <c r="CT16" s="3236">
        <f>VLOOKUP($E16,CQ$442:CT$453,4,FALSE)*CQ16*($K16)+(CQ16-CR16-CS16)*(1-$K16)</f>
        <v>114202</v>
      </c>
      <c r="CU16" s="3237"/>
      <c r="CY16" s="3235">
        <f>$G16</f>
        <v>114202</v>
      </c>
      <c r="CZ16" s="3236">
        <f>VLOOKUP($E16,CY$442:DB$453,2,FALSE)*CY16*($K16)+IF($G16&gt;0,($H16/$G16)*CY16,0)*(1-$K16)</f>
        <v>0</v>
      </c>
      <c r="DA16" s="3236">
        <f>VLOOKUP($E16,CY$442:DB$453,3,FALSE)*CY16*($K16)+IF($G16&gt;0,($I16/$G16)*CY16,0)*(1-$K16)</f>
        <v>0</v>
      </c>
      <c r="DB16" s="3236">
        <f>VLOOKUP($E16,CY$442:DB$453,4,FALSE)*CY16*($K16)+(CY16-CZ16-DA16)*(1-$K16)</f>
        <v>114202</v>
      </c>
      <c r="DC16" s="3237"/>
      <c r="DG16" s="3235">
        <f>$G16</f>
        <v>114202</v>
      </c>
      <c r="DH16" s="3236">
        <f>VLOOKUP($E16,DG$442:DJ$453,2,FALSE)*DG16*($K16)+IF($G16&gt;0,($H16/$G16)*DG16,0)*(1-$K16)</f>
        <v>0</v>
      </c>
      <c r="DI16" s="3236">
        <f>VLOOKUP($E16,DG$442:DJ$453,3,FALSE)*DG16*($K16)+IF($G16&gt;0,($I16/$G16)*DG16,0)*(1-$K16)</f>
        <v>0</v>
      </c>
      <c r="DJ16" s="3236">
        <f>VLOOKUP($E16,DG$442:DJ$453,4,FALSE)*DG16*($K16)+(DG16-DH16-DI16)*(1-$K16)</f>
        <v>114202</v>
      </c>
      <c r="DK16" s="3237"/>
      <c r="DO16" s="3235">
        <f>$G16</f>
        <v>114202</v>
      </c>
      <c r="DP16" s="3236">
        <f>VLOOKUP($E16,DO$442:DR$453,2,FALSE)*DO16*($K16)+IF($G16&gt;0,($H16/$G16)*DO16,0)*(1-$K16)</f>
        <v>0</v>
      </c>
      <c r="DQ16" s="3236">
        <f>VLOOKUP($E16,DO$442:DR$453,3,FALSE)*DO16*($K16)+IF($G16&gt;0,($I16/$G16)*DO16,0)*(1-$K16)</f>
        <v>0</v>
      </c>
      <c r="DR16" s="3236">
        <f>VLOOKUP($E16,DO$442:DR$453,4,FALSE)*DO16*($K16)+(DO16-DP16-DQ16)*(1-$K16)</f>
        <v>114202</v>
      </c>
      <c r="DS16" s="3237"/>
      <c r="DW16" s="3235">
        <f>$G16</f>
        <v>114202</v>
      </c>
      <c r="DX16" s="3236">
        <f>VLOOKUP($E16,DW$442:DZ$453,2,FALSE)*DW16*($K16)+IF($G16&gt;0,($H16/$G16)*DW16,0)*(1-$K16)</f>
        <v>0</v>
      </c>
      <c r="DY16" s="3236">
        <f>VLOOKUP($E16,DW$442:DZ$453,3,FALSE)*DW16*($K16)+IF($G16&gt;0,($I16/$G16)*DW16,0)*(1-$K16)</f>
        <v>0</v>
      </c>
      <c r="DZ16" s="3236">
        <f>VLOOKUP($E16,DW$442:DZ$453,4,FALSE)*DW16*($K16)+(DW16-DX16-DY16)*(1-$K16)</f>
        <v>114202</v>
      </c>
      <c r="EA16" s="3237"/>
      <c r="EE16" s="3235">
        <f>$G16</f>
        <v>114202</v>
      </c>
      <c r="EF16" s="3236">
        <f>VLOOKUP($E16,EE$442:EH$453,2,FALSE)*EE16*($K16)+IF($G16&gt;0,($H16/$G16)*EE16,0)*(1-$K16)</f>
        <v>0</v>
      </c>
      <c r="EG16" s="3236">
        <f>VLOOKUP($E16,EE$442:EH$453,3,FALSE)*EE16*($K16)+IF($G16&gt;0,($I16/$G16)*EE16,0)*(1-$K16)</f>
        <v>0</v>
      </c>
      <c r="EH16" s="3236">
        <f>VLOOKUP($E16,EE$442:EH$453,4,FALSE)*EE16*($K16)+(EE16-EF16-EG16)*(1-$K16)</f>
        <v>114202</v>
      </c>
      <c r="EI16" s="3237"/>
      <c r="EM16" s="3235">
        <f>$G16</f>
        <v>114202</v>
      </c>
      <c r="EN16" s="3236">
        <f>VLOOKUP($E16,EM$442:EP$453,2,FALSE)*EM16*($K16)+IF($G16&gt;0,($H16/$G16)*EM16,0)*(1-$K16)</f>
        <v>0</v>
      </c>
      <c r="EO16" s="3236">
        <f>VLOOKUP($E16,EM$442:EP$453,3,FALSE)*EM16*($K16)+IF($G16&gt;0,($I16/$G16)*EM16,0)*(1-$K16)</f>
        <v>0</v>
      </c>
      <c r="EP16" s="3236">
        <f>VLOOKUP($E16,EM$442:EP$453,4,FALSE)*EM16*($K16)+(EM16-EN16-EO16)*(1-$K16)</f>
        <v>114202</v>
      </c>
      <c r="EQ16" s="3237"/>
      <c r="EU16" s="3235">
        <f>$G16</f>
        <v>114202</v>
      </c>
      <c r="EV16" s="3236">
        <f>VLOOKUP($E16,EU$442:EX$453,2,FALSE)*EU16*($K16)+IF($G16&gt;0,($H16/$G16)*EU16,0)*(1-$K16)</f>
        <v>0</v>
      </c>
      <c r="EW16" s="3236">
        <f>VLOOKUP($E16,EU$442:EX$453,3,FALSE)*EU16*($K16)+IF($G16&gt;0,($I16/$G16)*EU16,0)*(1-$K16)</f>
        <v>0</v>
      </c>
      <c r="EX16" s="3236">
        <f>VLOOKUP($E16,EU$442:EX$453,4,FALSE)*EU16*($K16)+(EU16-EV16-EW16)*(1-$K16)</f>
        <v>114202</v>
      </c>
      <c r="EY16" s="3237"/>
      <c r="FC16" s="3235">
        <f>$G16</f>
        <v>114202</v>
      </c>
      <c r="FD16" s="3236">
        <f>VLOOKUP($E16,FC$442:FF$453,2,FALSE)*FC16*($K16)+IF($G16&gt;0,($H16/$G16)*FC16,0)*(1-$K16)</f>
        <v>0</v>
      </c>
      <c r="FE16" s="3236">
        <f>VLOOKUP($E16,FC$442:FF$453,3,FALSE)*FC16*($K16)+IF($G16&gt;0,($I16/$G16)*FC16,0)*(1-$K16)</f>
        <v>0</v>
      </c>
      <c r="FF16" s="3236">
        <f>VLOOKUP($E16,FC$442:FF$453,4,FALSE)*FC16*($K16)+(FC16-FD16-FE16)*(1-$K16)</f>
        <v>114202</v>
      </c>
      <c r="FG16" s="3237"/>
      <c r="FK16" s="3235">
        <f>$G16</f>
        <v>114202</v>
      </c>
      <c r="FL16" s="3236">
        <f>VLOOKUP($E16,FK$442:FN$453,2,FALSE)*FK16*($K16)+IF($G16&gt;0,($H16/$G16)*FK16,0)*(1-$K16)</f>
        <v>0</v>
      </c>
      <c r="FM16" s="3236">
        <f>VLOOKUP($E16,FK$442:FN$453,3,FALSE)*FK16*($K16)+IF($G16&gt;0,($I16/$G16)*FK16,0)*(1-$K16)</f>
        <v>0</v>
      </c>
      <c r="FN16" s="3236">
        <f>VLOOKUP($E16,FK$442:FN$453,4,FALSE)*FK16*($K16)+(FK16-FL16-FM16)*(1-$K16)</f>
        <v>114202</v>
      </c>
      <c r="FO16" s="3237"/>
    </row>
    <row r="17" spans="1:171">
      <c r="A17" s="3232"/>
      <c r="B17" s="2103" t="s">
        <v>146</v>
      </c>
      <c r="C17" s="3233" t="s">
        <v>70</v>
      </c>
      <c r="D17" s="2464">
        <v>302</v>
      </c>
      <c r="E17" s="3234" t="str">
        <f>'Sch 1- Rate Base '!E17</f>
        <v>DIRECT</v>
      </c>
      <c r="F17" s="2171"/>
      <c r="G17" s="2424">
        <f>'Sch 1- Rate Base '!G17</f>
        <v>80196650</v>
      </c>
      <c r="H17" s="2424">
        <f>'Sch 1- Rate Base '!H17</f>
        <v>55817303.479669861</v>
      </c>
      <c r="I17" s="2424">
        <f>'Sch 1- Rate Base '!I17</f>
        <v>0</v>
      </c>
      <c r="J17" s="2425">
        <f>'Sch 1- Rate Base '!J17</f>
        <v>24379345.720330127</v>
      </c>
      <c r="K17" s="3205">
        <f>IF($E17="DIRECT",0,1)</f>
        <v>0</v>
      </c>
      <c r="O17" s="3235">
        <f>$G17</f>
        <v>80196650</v>
      </c>
      <c r="P17" s="3236">
        <f>VLOOKUP($E17,O$442:R$453,2,FALSE)*O17*($K17)+IF($G17&gt;0,($H17/$G17)*O17,0)*(1-$K17)</f>
        <v>55817303.479669861</v>
      </c>
      <c r="Q17" s="3236">
        <f>VLOOKUP($E17,O$442:R$453,3,FALSE)*O17*($K17)+IF($G17&gt;0,($I17/$G17)*O17,0)*(1-$K17)</f>
        <v>0</v>
      </c>
      <c r="R17" s="3236">
        <f>VLOOKUP($E17,O$442:R$453,4,FALSE)*O17*($K17)+(O17-P17-Q17)*(1-$K17)</f>
        <v>24379346.520330139</v>
      </c>
      <c r="S17" s="3237"/>
      <c r="W17" s="3235">
        <f>$G17</f>
        <v>80196650</v>
      </c>
      <c r="X17" s="3236">
        <f>VLOOKUP($E17,W$442:Z$453,2,FALSE)*W17*($K17)+IF($G17&gt;0,($H17/$G17)*W17,0)*(1-$K17)</f>
        <v>55817303.479669861</v>
      </c>
      <c r="Y17" s="3236">
        <f>VLOOKUP($E17,W$442:Z$453,3,FALSE)*W17*($K17)+IF($G17&gt;0,($I17/$G17)*W17,0)*(1-$K17)</f>
        <v>0</v>
      </c>
      <c r="Z17" s="3236">
        <f>VLOOKUP($E17,W$442:Z$453,4,FALSE)*W17*($K17)+(W17-X17-Y17)*(1-$K17)</f>
        <v>24379346.520330139</v>
      </c>
      <c r="AA17" s="3237"/>
      <c r="AE17" s="3235">
        <f>$G17</f>
        <v>80196650</v>
      </c>
      <c r="AF17" s="3236">
        <f>VLOOKUP($E17,AE$442:AH$453,2,FALSE)*AE17*($K17)+IF($G17&gt;0,($H17/$G17)*AE17,0)*(1-$K17)</f>
        <v>55817303.479669861</v>
      </c>
      <c r="AG17" s="3236">
        <f>VLOOKUP($E17,AE$442:AH$453,3,FALSE)*AE17*($K17)+IF($G17&gt;0,($I17/$G17)*AE17,0)*(1-$K17)</f>
        <v>0</v>
      </c>
      <c r="AH17" s="3236">
        <f>VLOOKUP($E17,AE$442:AH$453,4,FALSE)*AE17*($K17)+(AE17-AF17-AG17)*(1-$K17)</f>
        <v>24379346.520330139</v>
      </c>
      <c r="AI17" s="3237"/>
      <c r="AM17" s="3235">
        <f>$G17</f>
        <v>80196650</v>
      </c>
      <c r="AN17" s="3236">
        <f>VLOOKUP($E17,AM$442:AP$453,2,FALSE)*AM17*($K17)+IF($G17&gt;0,($H17/$G17)*AM17,0)*(1-$K17)</f>
        <v>55817303.479669861</v>
      </c>
      <c r="AO17" s="3236">
        <f>VLOOKUP($E17,AM$442:AP$453,3,FALSE)*AM17*($K17)+IF($G17&gt;0,($I17/$G17)*AM17,0)*(1-$K17)</f>
        <v>0</v>
      </c>
      <c r="AP17" s="3236">
        <f>VLOOKUP($E17,AM$442:AP$453,4,FALSE)*AM17*($K17)+(AM17-AN17-AO17)*(1-$K17)</f>
        <v>24379346.520330139</v>
      </c>
      <c r="AQ17" s="3237"/>
      <c r="AU17" s="3235">
        <f>$G17</f>
        <v>80196650</v>
      </c>
      <c r="AV17" s="3236">
        <f>VLOOKUP($E17,AU$442:AX$453,2,FALSE)*AU17*($K17)+IF($G17&gt;0,($H17/$G17)*AU17,0)*(1-$K17)</f>
        <v>55817303.479669861</v>
      </c>
      <c r="AW17" s="3236">
        <f>VLOOKUP($E17,AU$442:AX$453,3,FALSE)*AU17*($K17)+IF($G17&gt;0,($I17/$G17)*AU17,0)*(1-$K17)</f>
        <v>0</v>
      </c>
      <c r="AX17" s="3236">
        <f>VLOOKUP($E17,AU$442:AX$453,4,FALSE)*AU17*($K17)+(AU17-AV17-AW17)*(1-$K17)</f>
        <v>24379346.520330139</v>
      </c>
      <c r="AY17" s="3237"/>
      <c r="BC17" s="3235">
        <f>$G17</f>
        <v>80196650</v>
      </c>
      <c r="BD17" s="3236">
        <f>VLOOKUP($E17,BC$442:BF$453,2,FALSE)*BC17*($K17)+IF($G17&gt;0,($H17/$G17)*BC17,0)*(1-$K17)</f>
        <v>55817303.479669861</v>
      </c>
      <c r="BE17" s="3236">
        <f>VLOOKUP($E17,BC$442:BF$453,3,FALSE)*BC17*($K17)+IF($G17&gt;0,($I17/$G17)*BC17,0)*(1-$K17)</f>
        <v>0</v>
      </c>
      <c r="BF17" s="3236">
        <f>VLOOKUP($E17,BC$442:BF$453,4,FALSE)*BC17*($K17)+(BC17-BD17-BE17)*(1-$K17)</f>
        <v>24379346.520330139</v>
      </c>
      <c r="BG17" s="3237"/>
      <c r="BK17" s="3235">
        <f>$G17</f>
        <v>80196650</v>
      </c>
      <c r="BL17" s="3236">
        <f>VLOOKUP($E17,BK$442:BN$453,2,FALSE)*BK17*($K17)+IF($G17&gt;0,($H17/$G17)*BK17,0)*(1-$K17)</f>
        <v>55817303.479669861</v>
      </c>
      <c r="BM17" s="3236">
        <f>VLOOKUP($E17,BK$442:BN$453,3,FALSE)*BK17*($K17)+IF($G17&gt;0,($I17/$G17)*BK17,0)*(1-$K17)</f>
        <v>0</v>
      </c>
      <c r="BN17" s="3236">
        <f>VLOOKUP($E17,BK$442:BN$453,4,FALSE)*BK17*($K17)+(BK17-BL17-BM17)*(1-$K17)</f>
        <v>24379346.520330139</v>
      </c>
      <c r="BO17" s="3237"/>
      <c r="BS17" s="3235">
        <f>$G17</f>
        <v>80196650</v>
      </c>
      <c r="BT17" s="3236">
        <f>VLOOKUP($E17,BS$442:BV$453,2,FALSE)*BS17*($K17)+IF($G17&gt;0,($H17/$G17)*BS17,0)*(1-$K17)</f>
        <v>55817303.479669861</v>
      </c>
      <c r="BU17" s="3236">
        <f>VLOOKUP($E17,BS$442:BV$453,3,FALSE)*BS17*($K17)+IF($G17&gt;0,($I17/$G17)*BS17,0)*(1-$K17)</f>
        <v>0</v>
      </c>
      <c r="BV17" s="3236">
        <f>VLOOKUP($E17,BS$442:BV$453,4,FALSE)*BS17*($K17)+(BS17-BT17-BU17)*(1-$K17)</f>
        <v>24379346.520330139</v>
      </c>
      <c r="BW17" s="3237"/>
      <c r="CA17" s="3235">
        <f>$G17</f>
        <v>80196650</v>
      </c>
      <c r="CB17" s="3236">
        <f>VLOOKUP($E17,CA$442:CD$453,2,FALSE)*CA17*($K17)+IF($G17&gt;0,($H17/$G17)*CA17,0)*(1-$K17)</f>
        <v>55817303.479669861</v>
      </c>
      <c r="CC17" s="3236">
        <f>VLOOKUP($E17,CA$442:CD$453,3,FALSE)*CA17*($K17)+IF($G17&gt;0,($I17/$G17)*CA17,0)*(1-$K17)</f>
        <v>0</v>
      </c>
      <c r="CD17" s="3236">
        <f>VLOOKUP($E17,CA$442:CD$453,4,FALSE)*CA17*($K17)+(CA17-CB17-CC17)*(1-$K17)</f>
        <v>24379346.520330139</v>
      </c>
      <c r="CE17" s="3237"/>
      <c r="CI17" s="3235">
        <f>$G17</f>
        <v>80196650</v>
      </c>
      <c r="CJ17" s="3236">
        <f>VLOOKUP($E17,CI$442:CL$453,2,FALSE)*CI17*($K17)+IF($G17&gt;0,($H17/$G17)*CI17,0)*(1-$K17)</f>
        <v>55817303.479669861</v>
      </c>
      <c r="CK17" s="3236">
        <f>VLOOKUP($E17,CI$442:CL$453,3,FALSE)*CI17*($K17)+IF($G17&gt;0,($I17/$G17)*CI17,0)*(1-$K17)</f>
        <v>0</v>
      </c>
      <c r="CL17" s="3236">
        <f>VLOOKUP($E17,CI$442:CL$453,4,FALSE)*CI17*($K17)+(CI17-CJ17-CK17)*(1-$K17)</f>
        <v>24379346.520330139</v>
      </c>
      <c r="CM17" s="3237"/>
      <c r="CQ17" s="3235">
        <f>$G17</f>
        <v>80196650</v>
      </c>
      <c r="CR17" s="3236">
        <f>VLOOKUP($E17,CQ$442:CT$453,2,FALSE)*CQ17*($K17)+IF($G17&gt;0,($H17/$G17)*CQ17,0)*(1-$K17)</f>
        <v>55817303.479669861</v>
      </c>
      <c r="CS17" s="3236">
        <f>VLOOKUP($E17,CQ$442:CT$453,3,FALSE)*CQ17*($K17)+IF($G17&gt;0,($I17/$G17)*CQ17,0)*(1-$K17)</f>
        <v>0</v>
      </c>
      <c r="CT17" s="3236">
        <f>VLOOKUP($E17,CQ$442:CT$453,4,FALSE)*CQ17*($K17)+(CQ17-CR17-CS17)*(1-$K17)</f>
        <v>24379346.520330139</v>
      </c>
      <c r="CU17" s="3237"/>
      <c r="CY17" s="3235">
        <f>$G17</f>
        <v>80196650</v>
      </c>
      <c r="CZ17" s="3236">
        <f>VLOOKUP($E17,CY$442:DB$453,2,FALSE)*CY17*($K17)+IF($G17&gt;0,($H17/$G17)*CY17,0)*(1-$K17)</f>
        <v>55817303.479669861</v>
      </c>
      <c r="DA17" s="3236">
        <f>VLOOKUP($E17,CY$442:DB$453,3,FALSE)*CY17*($K17)+IF($G17&gt;0,($I17/$G17)*CY17,0)*(1-$K17)</f>
        <v>0</v>
      </c>
      <c r="DB17" s="3236">
        <f>VLOOKUP($E17,CY$442:DB$453,4,FALSE)*CY17*($K17)+(CY17-CZ17-DA17)*(1-$K17)</f>
        <v>24379346.520330139</v>
      </c>
      <c r="DC17" s="3237"/>
      <c r="DG17" s="3235">
        <f>$G17</f>
        <v>80196650</v>
      </c>
      <c r="DH17" s="3236">
        <f>VLOOKUP($E17,DG$442:DJ$453,2,FALSE)*DG17*($K17)+IF($G17&gt;0,($H17/$G17)*DG17,0)*(1-$K17)</f>
        <v>55817303.479669861</v>
      </c>
      <c r="DI17" s="3236">
        <f>VLOOKUP($E17,DG$442:DJ$453,3,FALSE)*DG17*($K17)+IF($G17&gt;0,($I17/$G17)*DG17,0)*(1-$K17)</f>
        <v>0</v>
      </c>
      <c r="DJ17" s="3236">
        <f>VLOOKUP($E17,DG$442:DJ$453,4,FALSE)*DG17*($K17)+(DG17-DH17-DI17)*(1-$K17)</f>
        <v>24379346.520330139</v>
      </c>
      <c r="DK17" s="3237"/>
      <c r="DO17" s="3235">
        <f>$G17</f>
        <v>80196650</v>
      </c>
      <c r="DP17" s="3236">
        <f>VLOOKUP($E17,DO$442:DR$453,2,FALSE)*DO17*($K17)+IF($G17&gt;0,($H17/$G17)*DO17,0)*(1-$K17)</f>
        <v>55817303.479669861</v>
      </c>
      <c r="DQ17" s="3236">
        <f>VLOOKUP($E17,DO$442:DR$453,3,FALSE)*DO17*($K17)+IF($G17&gt;0,($I17/$G17)*DO17,0)*(1-$K17)</f>
        <v>0</v>
      </c>
      <c r="DR17" s="3236">
        <f>VLOOKUP($E17,DO$442:DR$453,4,FALSE)*DO17*($K17)+(DO17-DP17-DQ17)*(1-$K17)</f>
        <v>24379346.520330139</v>
      </c>
      <c r="DS17" s="3237"/>
      <c r="DW17" s="3235">
        <f>$G17</f>
        <v>80196650</v>
      </c>
      <c r="DX17" s="3236">
        <f>VLOOKUP($E17,DW$442:DZ$453,2,FALSE)*DW17*($K17)+IF($G17&gt;0,($H17/$G17)*DW17,0)*(1-$K17)</f>
        <v>55817303.479669861</v>
      </c>
      <c r="DY17" s="3236">
        <f>VLOOKUP($E17,DW$442:DZ$453,3,FALSE)*DW17*($K17)+IF($G17&gt;0,($I17/$G17)*DW17,0)*(1-$K17)</f>
        <v>0</v>
      </c>
      <c r="DZ17" s="3236">
        <f>VLOOKUP($E17,DW$442:DZ$453,4,FALSE)*DW17*($K17)+(DW17-DX17-DY17)*(1-$K17)</f>
        <v>24379346.520330139</v>
      </c>
      <c r="EA17" s="3237"/>
      <c r="EE17" s="3235">
        <f>$G17</f>
        <v>80196650</v>
      </c>
      <c r="EF17" s="3236">
        <f>VLOOKUP($E17,EE$442:EH$453,2,FALSE)*EE17*($K17)+IF($G17&gt;0,($H17/$G17)*EE17,0)*(1-$K17)</f>
        <v>55817303.479669861</v>
      </c>
      <c r="EG17" s="3236">
        <f>VLOOKUP($E17,EE$442:EH$453,3,FALSE)*EE17*($K17)+IF($G17&gt;0,($I17/$G17)*EE17,0)*(1-$K17)</f>
        <v>0</v>
      </c>
      <c r="EH17" s="3236">
        <f>VLOOKUP($E17,EE$442:EH$453,4,FALSE)*EE17*($K17)+(EE17-EF17-EG17)*(1-$K17)</f>
        <v>24379346.520330139</v>
      </c>
      <c r="EI17" s="3237"/>
      <c r="EM17" s="3235">
        <f>$G17</f>
        <v>80196650</v>
      </c>
      <c r="EN17" s="3236">
        <f>VLOOKUP($E17,EM$442:EP$453,2,FALSE)*EM17*($K17)+IF($G17&gt;0,($H17/$G17)*EM17,0)*(1-$K17)</f>
        <v>55817303.479669861</v>
      </c>
      <c r="EO17" s="3236">
        <f>VLOOKUP($E17,EM$442:EP$453,3,FALSE)*EM17*($K17)+IF($G17&gt;0,($I17/$G17)*EM17,0)*(1-$K17)</f>
        <v>0</v>
      </c>
      <c r="EP17" s="3236">
        <f>VLOOKUP($E17,EM$442:EP$453,4,FALSE)*EM17*($K17)+(EM17-EN17-EO17)*(1-$K17)</f>
        <v>24379346.520330139</v>
      </c>
      <c r="EQ17" s="3237"/>
      <c r="EU17" s="3235">
        <f>$G17</f>
        <v>80196650</v>
      </c>
      <c r="EV17" s="3236">
        <f>VLOOKUP($E17,EU$442:EX$453,2,FALSE)*EU17*($K17)+IF($G17&gt;0,($H17/$G17)*EU17,0)*(1-$K17)</f>
        <v>55817303.479669861</v>
      </c>
      <c r="EW17" s="3236">
        <f>VLOOKUP($E17,EU$442:EX$453,3,FALSE)*EU17*($K17)+IF($G17&gt;0,($I17/$G17)*EU17,0)*(1-$K17)</f>
        <v>0</v>
      </c>
      <c r="EX17" s="3236">
        <f>VLOOKUP($E17,EU$442:EX$453,4,FALSE)*EU17*($K17)+(EU17-EV17-EW17)*(1-$K17)</f>
        <v>24379346.520330139</v>
      </c>
      <c r="EY17" s="3237"/>
      <c r="FC17" s="3235">
        <f>$G17</f>
        <v>80196650</v>
      </c>
      <c r="FD17" s="3236">
        <f>VLOOKUP($E17,FC$442:FF$453,2,FALSE)*FC17*($K17)+IF($G17&gt;0,($H17/$G17)*FC17,0)*(1-$K17)</f>
        <v>55817303.479669861</v>
      </c>
      <c r="FE17" s="3236">
        <f>VLOOKUP($E17,FC$442:FF$453,3,FALSE)*FC17*($K17)+IF($G17&gt;0,($I17/$G17)*FC17,0)*(1-$K17)</f>
        <v>0</v>
      </c>
      <c r="FF17" s="3236">
        <f>VLOOKUP($E17,FC$442:FF$453,4,FALSE)*FC17*($K17)+(FC17-FD17-FE17)*(1-$K17)</f>
        <v>24379346.520330139</v>
      </c>
      <c r="FG17" s="3237"/>
      <c r="FK17" s="3235">
        <f>$G17</f>
        <v>80196650</v>
      </c>
      <c r="FL17" s="3236">
        <f>VLOOKUP($E17,FK$442:FN$453,2,FALSE)*FK17*($K17)+IF($G17&gt;0,($H17/$G17)*FK17,0)*(1-$K17)</f>
        <v>55817303.479669861</v>
      </c>
      <c r="FM17" s="3236">
        <f>VLOOKUP($E17,FK$442:FN$453,3,FALSE)*FK17*($K17)+IF($G17&gt;0,($I17/$G17)*FK17,0)*(1-$K17)</f>
        <v>0</v>
      </c>
      <c r="FN17" s="3236">
        <f>VLOOKUP($E17,FK$442:FN$453,4,FALSE)*FK17*($K17)+(FK17-FL17-FM17)*(1-$K17)</f>
        <v>24379346.520330139</v>
      </c>
      <c r="FO17" s="3237"/>
    </row>
    <row r="18" spans="1:171">
      <c r="A18" s="3232"/>
      <c r="B18" s="2103" t="s">
        <v>147</v>
      </c>
      <c r="C18" s="3238" t="s">
        <v>70</v>
      </c>
      <c r="D18" s="3239">
        <v>303</v>
      </c>
      <c r="E18" s="3234" t="str">
        <f>'Sch 1- Rate Base '!E18</f>
        <v>DIRECT</v>
      </c>
      <c r="F18" s="3240"/>
      <c r="G18" s="2424">
        <f>'Sch 1- Rate Base '!G18</f>
        <v>75530269</v>
      </c>
      <c r="H18" s="2424">
        <f>'Sch 1- Rate Base '!H18</f>
        <v>10321488.568474432</v>
      </c>
      <c r="I18" s="2424">
        <f>'Sch 1- Rate Base '!I18</f>
        <v>0</v>
      </c>
      <c r="J18" s="2425">
        <f>'Sch 1- Rate Base '!J18</f>
        <v>65208779.001525573</v>
      </c>
      <c r="K18" s="3205">
        <f>IF($E18="DIRECT",0,1)</f>
        <v>0</v>
      </c>
      <c r="O18" s="3235">
        <f>$G18</f>
        <v>75530269</v>
      </c>
      <c r="P18" s="3236">
        <f>VLOOKUP($E18,O$442:R$453,2,FALSE)*O18*($K18)+IF($G18&gt;0,($H18/$G18)*O18,0)*(1-$K18)</f>
        <v>10321488.568474432</v>
      </c>
      <c r="Q18" s="3236">
        <f>VLOOKUP($E18,O$442:R$453,3,FALSE)*O18*($K18)+IF($G18&gt;0,($I18/$G18)*O18,0)*(1-$K18)</f>
        <v>0</v>
      </c>
      <c r="R18" s="3236">
        <f>VLOOKUP($E18,O$442:R$453,4,FALSE)*O18*($K18)+(O18-P18-Q18)*(1-$K18)</f>
        <v>65208780.431525566</v>
      </c>
      <c r="S18" s="3237"/>
      <c r="W18" s="3235">
        <f>$G18</f>
        <v>75530269</v>
      </c>
      <c r="X18" s="3236">
        <f>VLOOKUP($E18,W$442:Z$453,2,FALSE)*W18*($K18)+IF($G18&gt;0,($H18/$G18)*W18,0)*(1-$K18)</f>
        <v>10321488.568474432</v>
      </c>
      <c r="Y18" s="3236">
        <f>VLOOKUP($E18,W$442:Z$453,3,FALSE)*W18*($K18)+IF($G18&gt;0,($I18/$G18)*W18,0)*(1-$K18)</f>
        <v>0</v>
      </c>
      <c r="Z18" s="3236">
        <f>VLOOKUP($E18,W$442:Z$453,4,FALSE)*W18*($K18)+(W18-X18-Y18)*(1-$K18)</f>
        <v>65208780.431525566</v>
      </c>
      <c r="AA18" s="3237"/>
      <c r="AE18" s="3235">
        <f>$G18</f>
        <v>75530269</v>
      </c>
      <c r="AF18" s="3236">
        <f>VLOOKUP($E18,AE$442:AH$453,2,FALSE)*AE18*($K18)+IF($G18&gt;0,($H18/$G18)*AE18,0)*(1-$K18)</f>
        <v>10321488.568474432</v>
      </c>
      <c r="AG18" s="3236">
        <f>VLOOKUP($E18,AE$442:AH$453,3,FALSE)*AE18*($K18)+IF($G18&gt;0,($I18/$G18)*AE18,0)*(1-$K18)</f>
        <v>0</v>
      </c>
      <c r="AH18" s="3236">
        <f>VLOOKUP($E18,AE$442:AH$453,4,FALSE)*AE18*($K18)+(AE18-AF18-AG18)*(1-$K18)</f>
        <v>65208780.431525566</v>
      </c>
      <c r="AI18" s="3237"/>
      <c r="AM18" s="3235">
        <f>$G18</f>
        <v>75530269</v>
      </c>
      <c r="AN18" s="3236">
        <f>VLOOKUP($E18,AM$442:AP$453,2,FALSE)*AM18*($K18)+IF($G18&gt;0,($H18/$G18)*AM18,0)*(1-$K18)</f>
        <v>10321488.568474432</v>
      </c>
      <c r="AO18" s="3236">
        <f>VLOOKUP($E18,AM$442:AP$453,3,FALSE)*AM18*($K18)+IF($G18&gt;0,($I18/$G18)*AM18,0)*(1-$K18)</f>
        <v>0</v>
      </c>
      <c r="AP18" s="3236">
        <f>VLOOKUP($E18,AM$442:AP$453,4,FALSE)*AM18*($K18)+(AM18-AN18-AO18)*(1-$K18)</f>
        <v>65208780.431525566</v>
      </c>
      <c r="AQ18" s="3237"/>
      <c r="AU18" s="3235">
        <f>$G18</f>
        <v>75530269</v>
      </c>
      <c r="AV18" s="3236">
        <f>VLOOKUP($E18,AU$442:AX$453,2,FALSE)*AU18*($K18)+IF($G18&gt;0,($H18/$G18)*AU18,0)*(1-$K18)</f>
        <v>10321488.568474432</v>
      </c>
      <c r="AW18" s="3236">
        <f>VLOOKUP($E18,AU$442:AX$453,3,FALSE)*AU18*($K18)+IF($G18&gt;0,($I18/$G18)*AU18,0)*(1-$K18)</f>
        <v>0</v>
      </c>
      <c r="AX18" s="3236">
        <f>VLOOKUP($E18,AU$442:AX$453,4,FALSE)*AU18*($K18)+(AU18-AV18-AW18)*(1-$K18)</f>
        <v>65208780.431525566</v>
      </c>
      <c r="AY18" s="3237"/>
      <c r="BC18" s="3235">
        <f>$G18</f>
        <v>75530269</v>
      </c>
      <c r="BD18" s="3236">
        <f>VLOOKUP($E18,BC$442:BF$453,2,FALSE)*BC18*($K18)+IF($G18&gt;0,($H18/$G18)*BC18,0)*(1-$K18)</f>
        <v>10321488.568474432</v>
      </c>
      <c r="BE18" s="3236">
        <f>VLOOKUP($E18,BC$442:BF$453,3,FALSE)*BC18*($K18)+IF($G18&gt;0,($I18/$G18)*BC18,0)*(1-$K18)</f>
        <v>0</v>
      </c>
      <c r="BF18" s="3236">
        <f>VLOOKUP($E18,BC$442:BF$453,4,FALSE)*BC18*($K18)+(BC18-BD18-BE18)*(1-$K18)</f>
        <v>65208780.431525566</v>
      </c>
      <c r="BG18" s="3237"/>
      <c r="BK18" s="3235">
        <f>$G18</f>
        <v>75530269</v>
      </c>
      <c r="BL18" s="3236">
        <f>VLOOKUP($E18,BK$442:BN$453,2,FALSE)*BK18*($K18)+IF($G18&gt;0,($H18/$G18)*BK18,0)*(1-$K18)</f>
        <v>10321488.568474432</v>
      </c>
      <c r="BM18" s="3236">
        <f>VLOOKUP($E18,BK$442:BN$453,3,FALSE)*BK18*($K18)+IF($G18&gt;0,($I18/$G18)*BK18,0)*(1-$K18)</f>
        <v>0</v>
      </c>
      <c r="BN18" s="3236">
        <f>VLOOKUP($E18,BK$442:BN$453,4,FALSE)*BK18*($K18)+(BK18-BL18-BM18)*(1-$K18)</f>
        <v>65208780.431525566</v>
      </c>
      <c r="BO18" s="3237"/>
      <c r="BS18" s="3235">
        <f>$G18</f>
        <v>75530269</v>
      </c>
      <c r="BT18" s="3236">
        <f>VLOOKUP($E18,BS$442:BV$453,2,FALSE)*BS18*($K18)+IF($G18&gt;0,($H18/$G18)*BS18,0)*(1-$K18)</f>
        <v>10321488.568474432</v>
      </c>
      <c r="BU18" s="3236">
        <f>VLOOKUP($E18,BS$442:BV$453,3,FALSE)*BS18*($K18)+IF($G18&gt;0,($I18/$G18)*BS18,0)*(1-$K18)</f>
        <v>0</v>
      </c>
      <c r="BV18" s="3236">
        <f>VLOOKUP($E18,BS$442:BV$453,4,FALSE)*BS18*($K18)+(BS18-BT18-BU18)*(1-$K18)</f>
        <v>65208780.431525566</v>
      </c>
      <c r="BW18" s="3237"/>
      <c r="CA18" s="3235">
        <f>$G18</f>
        <v>75530269</v>
      </c>
      <c r="CB18" s="3236">
        <f>VLOOKUP($E18,CA$442:CD$453,2,FALSE)*CA18*($K18)+IF($G18&gt;0,($H18/$G18)*CA18,0)*(1-$K18)</f>
        <v>10321488.568474432</v>
      </c>
      <c r="CC18" s="3236">
        <f>VLOOKUP($E18,CA$442:CD$453,3,FALSE)*CA18*($K18)+IF($G18&gt;0,($I18/$G18)*CA18,0)*(1-$K18)</f>
        <v>0</v>
      </c>
      <c r="CD18" s="3236">
        <f>VLOOKUP($E18,CA$442:CD$453,4,FALSE)*CA18*($K18)+(CA18-CB18-CC18)*(1-$K18)</f>
        <v>65208780.431525566</v>
      </c>
      <c r="CE18" s="3237"/>
      <c r="CI18" s="3235">
        <f>$G18</f>
        <v>75530269</v>
      </c>
      <c r="CJ18" s="3236">
        <f>VLOOKUP($E18,CI$442:CL$453,2,FALSE)*CI18*($K18)+IF($G18&gt;0,($H18/$G18)*CI18,0)*(1-$K18)</f>
        <v>10321488.568474432</v>
      </c>
      <c r="CK18" s="3236">
        <f>VLOOKUP($E18,CI$442:CL$453,3,FALSE)*CI18*($K18)+IF($G18&gt;0,($I18/$G18)*CI18,0)*(1-$K18)</f>
        <v>0</v>
      </c>
      <c r="CL18" s="3236">
        <f>VLOOKUP($E18,CI$442:CL$453,4,FALSE)*CI18*($K18)+(CI18-CJ18-CK18)*(1-$K18)</f>
        <v>65208780.431525566</v>
      </c>
      <c r="CM18" s="3237"/>
      <c r="CQ18" s="3235">
        <f>$G18</f>
        <v>75530269</v>
      </c>
      <c r="CR18" s="3236">
        <f>VLOOKUP($E18,CQ$442:CT$453,2,FALSE)*CQ18*($K18)+IF($G18&gt;0,($H18/$G18)*CQ18,0)*(1-$K18)</f>
        <v>10321488.568474432</v>
      </c>
      <c r="CS18" s="3236">
        <f>VLOOKUP($E18,CQ$442:CT$453,3,FALSE)*CQ18*($K18)+IF($G18&gt;0,($I18/$G18)*CQ18,0)*(1-$K18)</f>
        <v>0</v>
      </c>
      <c r="CT18" s="3236">
        <f>VLOOKUP($E18,CQ$442:CT$453,4,FALSE)*CQ18*($K18)+(CQ18-CR18-CS18)*(1-$K18)</f>
        <v>65208780.431525566</v>
      </c>
      <c r="CU18" s="3237"/>
      <c r="CY18" s="3235">
        <f>$G18</f>
        <v>75530269</v>
      </c>
      <c r="CZ18" s="3236">
        <f>VLOOKUP($E18,CY$442:DB$453,2,FALSE)*CY18*($K18)+IF($G18&gt;0,($H18/$G18)*CY18,0)*(1-$K18)</f>
        <v>10321488.568474432</v>
      </c>
      <c r="DA18" s="3236">
        <f>VLOOKUP($E18,CY$442:DB$453,3,FALSE)*CY18*($K18)+IF($G18&gt;0,($I18/$G18)*CY18,0)*(1-$K18)</f>
        <v>0</v>
      </c>
      <c r="DB18" s="3236">
        <f>VLOOKUP($E18,CY$442:DB$453,4,FALSE)*CY18*($K18)+(CY18-CZ18-DA18)*(1-$K18)</f>
        <v>65208780.431525566</v>
      </c>
      <c r="DC18" s="3237"/>
      <c r="DG18" s="3235">
        <f>$G18</f>
        <v>75530269</v>
      </c>
      <c r="DH18" s="3236">
        <f>VLOOKUP($E18,DG$442:DJ$453,2,FALSE)*DG18*($K18)+IF($G18&gt;0,($H18/$G18)*DG18,0)*(1-$K18)</f>
        <v>10321488.568474432</v>
      </c>
      <c r="DI18" s="3236">
        <f>VLOOKUP($E18,DG$442:DJ$453,3,FALSE)*DG18*($K18)+IF($G18&gt;0,($I18/$G18)*DG18,0)*(1-$K18)</f>
        <v>0</v>
      </c>
      <c r="DJ18" s="3236">
        <f>VLOOKUP($E18,DG$442:DJ$453,4,FALSE)*DG18*($K18)+(DG18-DH18-DI18)*(1-$K18)</f>
        <v>65208780.431525566</v>
      </c>
      <c r="DK18" s="3237"/>
      <c r="DO18" s="3235">
        <f>$G18</f>
        <v>75530269</v>
      </c>
      <c r="DP18" s="3236">
        <f>VLOOKUP($E18,DO$442:DR$453,2,FALSE)*DO18*($K18)+IF($G18&gt;0,($H18/$G18)*DO18,0)*(1-$K18)</f>
        <v>10321488.568474432</v>
      </c>
      <c r="DQ18" s="3236">
        <f>VLOOKUP($E18,DO$442:DR$453,3,FALSE)*DO18*($K18)+IF($G18&gt;0,($I18/$G18)*DO18,0)*(1-$K18)</f>
        <v>0</v>
      </c>
      <c r="DR18" s="3236">
        <f>VLOOKUP($E18,DO$442:DR$453,4,FALSE)*DO18*($K18)+(DO18-DP18-DQ18)*(1-$K18)</f>
        <v>65208780.431525566</v>
      </c>
      <c r="DS18" s="3237"/>
      <c r="DW18" s="3235">
        <f>$G18</f>
        <v>75530269</v>
      </c>
      <c r="DX18" s="3236">
        <f>VLOOKUP($E18,DW$442:DZ$453,2,FALSE)*DW18*($K18)+IF($G18&gt;0,($H18/$G18)*DW18,0)*(1-$K18)</f>
        <v>10321488.568474432</v>
      </c>
      <c r="DY18" s="3236">
        <f>VLOOKUP($E18,DW$442:DZ$453,3,FALSE)*DW18*($K18)+IF($G18&gt;0,($I18/$G18)*DW18,0)*(1-$K18)</f>
        <v>0</v>
      </c>
      <c r="DZ18" s="3236">
        <f>VLOOKUP($E18,DW$442:DZ$453,4,FALSE)*DW18*($K18)+(DW18-DX18-DY18)*(1-$K18)</f>
        <v>65208780.431525566</v>
      </c>
      <c r="EA18" s="3237"/>
      <c r="EE18" s="3235">
        <f>$G18</f>
        <v>75530269</v>
      </c>
      <c r="EF18" s="3236">
        <f>VLOOKUP($E18,EE$442:EH$453,2,FALSE)*EE18*($K18)+IF($G18&gt;0,($H18/$G18)*EE18,0)*(1-$K18)</f>
        <v>10321488.568474432</v>
      </c>
      <c r="EG18" s="3236">
        <f>VLOOKUP($E18,EE$442:EH$453,3,FALSE)*EE18*($K18)+IF($G18&gt;0,($I18/$G18)*EE18,0)*(1-$K18)</f>
        <v>0</v>
      </c>
      <c r="EH18" s="3236">
        <f>VLOOKUP($E18,EE$442:EH$453,4,FALSE)*EE18*($K18)+(EE18-EF18-EG18)*(1-$K18)</f>
        <v>65208780.431525566</v>
      </c>
      <c r="EI18" s="3237"/>
      <c r="EM18" s="3235">
        <f>$G18</f>
        <v>75530269</v>
      </c>
      <c r="EN18" s="3236">
        <f>VLOOKUP($E18,EM$442:EP$453,2,FALSE)*EM18*($K18)+IF($G18&gt;0,($H18/$G18)*EM18,0)*(1-$K18)</f>
        <v>10321488.568474432</v>
      </c>
      <c r="EO18" s="3236">
        <f>VLOOKUP($E18,EM$442:EP$453,3,FALSE)*EM18*($K18)+IF($G18&gt;0,($I18/$G18)*EM18,0)*(1-$K18)</f>
        <v>0</v>
      </c>
      <c r="EP18" s="3236">
        <f>VLOOKUP($E18,EM$442:EP$453,4,FALSE)*EM18*($K18)+(EM18-EN18-EO18)*(1-$K18)</f>
        <v>65208780.431525566</v>
      </c>
      <c r="EQ18" s="3237"/>
      <c r="EU18" s="3235">
        <f>$G18</f>
        <v>75530269</v>
      </c>
      <c r="EV18" s="3236">
        <f>VLOOKUP($E18,EU$442:EX$453,2,FALSE)*EU18*($K18)+IF($G18&gt;0,($H18/$G18)*EU18,0)*(1-$K18)</f>
        <v>10321488.568474432</v>
      </c>
      <c r="EW18" s="3236">
        <f>VLOOKUP($E18,EU$442:EX$453,3,FALSE)*EU18*($K18)+IF($G18&gt;0,($I18/$G18)*EU18,0)*(1-$K18)</f>
        <v>0</v>
      </c>
      <c r="EX18" s="3236">
        <f>VLOOKUP($E18,EU$442:EX$453,4,FALSE)*EU18*($K18)+(EU18-EV18-EW18)*(1-$K18)</f>
        <v>65208780.431525566</v>
      </c>
      <c r="EY18" s="3237"/>
      <c r="FC18" s="3235">
        <f>$G18</f>
        <v>75530269</v>
      </c>
      <c r="FD18" s="3236">
        <f>VLOOKUP($E18,FC$442:FF$453,2,FALSE)*FC18*($K18)+IF($G18&gt;0,($H18/$G18)*FC18,0)*(1-$K18)</f>
        <v>10321488.568474432</v>
      </c>
      <c r="FE18" s="3236">
        <f>VLOOKUP($E18,FC$442:FF$453,3,FALSE)*FC18*($K18)+IF($G18&gt;0,($I18/$G18)*FC18,0)*(1-$K18)</f>
        <v>0</v>
      </c>
      <c r="FF18" s="3236">
        <f>VLOOKUP($E18,FC$442:FF$453,4,FALSE)*FC18*($K18)+(FC18-FD18-FE18)*(1-$K18)</f>
        <v>65208780.431525566</v>
      </c>
      <c r="FG18" s="3237"/>
      <c r="FK18" s="3235">
        <f>$G18</f>
        <v>75530269</v>
      </c>
      <c r="FL18" s="3236">
        <f>VLOOKUP($E18,FK$442:FN$453,2,FALSE)*FK18*($K18)+IF($G18&gt;0,($H18/$G18)*FK18,0)*(1-$K18)</f>
        <v>10321488.568474432</v>
      </c>
      <c r="FM18" s="3236">
        <f>VLOOKUP($E18,FK$442:FN$453,3,FALSE)*FK18*($K18)+IF($G18&gt;0,($I18/$G18)*FK18,0)*(1-$K18)</f>
        <v>0</v>
      </c>
      <c r="FN18" s="3236">
        <f>VLOOKUP($E18,FK$442:FN$453,4,FALSE)*FK18*($K18)+(FK18-FL18-FM18)*(1-$K18)</f>
        <v>65208780.431525566</v>
      </c>
      <c r="FO18" s="3237"/>
    </row>
    <row r="19" spans="1:171">
      <c r="A19" s="2310" t="s">
        <v>438</v>
      </c>
      <c r="B19" s="2100"/>
      <c r="C19" s="3241"/>
      <c r="D19" s="3242"/>
      <c r="E19" s="3242"/>
      <c r="F19" s="3243"/>
      <c r="G19" s="3244">
        <f>SUM(G16:G18)</f>
        <v>155841121</v>
      </c>
      <c r="H19" s="3244">
        <f>SUM(H16:H18)</f>
        <v>66138792.048144296</v>
      </c>
      <c r="I19" s="3244">
        <f>SUM(I16:I18)</f>
        <v>0</v>
      </c>
      <c r="J19" s="3245">
        <f>SUM(J16:J18)</f>
        <v>89702326.7218557</v>
      </c>
      <c r="K19" s="3205"/>
      <c r="L19" s="3246"/>
      <c r="O19" s="3247">
        <f>SUM(O16:O18)</f>
        <v>155841121</v>
      </c>
      <c r="P19" s="3247">
        <f>SUM(P16:P18)</f>
        <v>66138792.048144296</v>
      </c>
      <c r="Q19" s="3247">
        <f>SUM(Q16:Q18)</f>
        <v>0</v>
      </c>
      <c r="R19" s="3247">
        <f>SUM(R16:R18)</f>
        <v>89702328.951855704</v>
      </c>
      <c r="S19" s="3237"/>
      <c r="T19" s="3246"/>
      <c r="W19" s="3247">
        <f>SUM(W16:W18)</f>
        <v>155841121</v>
      </c>
      <c r="X19" s="3247">
        <f>SUM(X16:X18)</f>
        <v>66138792.048144296</v>
      </c>
      <c r="Y19" s="3247">
        <f>SUM(Y16:Y18)</f>
        <v>0</v>
      </c>
      <c r="Z19" s="3247">
        <f>SUM(Z16:Z18)</f>
        <v>89702328.951855704</v>
      </c>
      <c r="AA19" s="3237"/>
      <c r="AB19" s="3246"/>
      <c r="AE19" s="3247">
        <f>SUM(AE16:AE18)</f>
        <v>155841121</v>
      </c>
      <c r="AF19" s="3247">
        <f>SUM(AF16:AF18)</f>
        <v>66138792.048144296</v>
      </c>
      <c r="AG19" s="3247">
        <f>SUM(AG16:AG18)</f>
        <v>0</v>
      </c>
      <c r="AH19" s="3247">
        <f>SUM(AH16:AH18)</f>
        <v>89702328.951855704</v>
      </c>
      <c r="AI19" s="3237"/>
      <c r="AJ19" s="3246"/>
      <c r="AM19" s="3247">
        <f>SUM(AM16:AM18)</f>
        <v>155841121</v>
      </c>
      <c r="AN19" s="3247">
        <f>SUM(AN16:AN18)</f>
        <v>66138792.048144296</v>
      </c>
      <c r="AO19" s="3247">
        <f>SUM(AO16:AO18)</f>
        <v>0</v>
      </c>
      <c r="AP19" s="3247">
        <f>SUM(AP16:AP18)</f>
        <v>89702328.951855704</v>
      </c>
      <c r="AQ19" s="3237"/>
      <c r="AR19" s="3246"/>
      <c r="AU19" s="3247">
        <f>SUM(AU16:AU18)</f>
        <v>155841121</v>
      </c>
      <c r="AV19" s="3247">
        <f>SUM(AV16:AV18)</f>
        <v>66138792.048144296</v>
      </c>
      <c r="AW19" s="3247">
        <f>SUM(AW16:AW18)</f>
        <v>0</v>
      </c>
      <c r="AX19" s="3247">
        <f>SUM(AX16:AX18)</f>
        <v>89702328.951855704</v>
      </c>
      <c r="AY19" s="3237"/>
      <c r="AZ19" s="3246"/>
      <c r="BC19" s="3247">
        <f>SUM(BC16:BC18)</f>
        <v>155841121</v>
      </c>
      <c r="BD19" s="3247">
        <f>SUM(BD16:BD18)</f>
        <v>66138792.048144296</v>
      </c>
      <c r="BE19" s="3247">
        <f>SUM(BE16:BE18)</f>
        <v>0</v>
      </c>
      <c r="BF19" s="3247">
        <f>SUM(BF16:BF18)</f>
        <v>89702328.951855704</v>
      </c>
      <c r="BG19" s="3237"/>
      <c r="BH19" s="3246"/>
      <c r="BK19" s="3247">
        <f>SUM(BK16:BK18)</f>
        <v>155841121</v>
      </c>
      <c r="BL19" s="3247">
        <f>SUM(BL16:BL18)</f>
        <v>66138792.048144296</v>
      </c>
      <c r="BM19" s="3247">
        <f>SUM(BM16:BM18)</f>
        <v>0</v>
      </c>
      <c r="BN19" s="3247">
        <f>SUM(BN16:BN18)</f>
        <v>89702328.951855704</v>
      </c>
      <c r="BO19" s="3237"/>
      <c r="BP19" s="3246"/>
      <c r="BS19" s="3247">
        <f>SUM(BS16:BS18)</f>
        <v>155841121</v>
      </c>
      <c r="BT19" s="3247">
        <f>SUM(BT16:BT18)</f>
        <v>66138792.048144296</v>
      </c>
      <c r="BU19" s="3247">
        <f>SUM(BU16:BU18)</f>
        <v>0</v>
      </c>
      <c r="BV19" s="3247">
        <f>SUM(BV16:BV18)</f>
        <v>89702328.951855704</v>
      </c>
      <c r="BW19" s="3237"/>
      <c r="BX19" s="3246"/>
      <c r="CA19" s="3247">
        <f>SUM(CA16:CA18)</f>
        <v>155841121</v>
      </c>
      <c r="CB19" s="3247">
        <f>SUM(CB16:CB18)</f>
        <v>66138792.048144296</v>
      </c>
      <c r="CC19" s="3247">
        <f>SUM(CC16:CC18)</f>
        <v>0</v>
      </c>
      <c r="CD19" s="3247">
        <f>SUM(CD16:CD18)</f>
        <v>89702328.951855704</v>
      </c>
      <c r="CE19" s="3237"/>
      <c r="CF19" s="3246"/>
      <c r="CI19" s="3247">
        <f>SUM(CI16:CI18)</f>
        <v>155841121</v>
      </c>
      <c r="CJ19" s="3247">
        <f>SUM(CJ16:CJ18)</f>
        <v>66138792.048144296</v>
      </c>
      <c r="CK19" s="3247">
        <f>SUM(CK16:CK18)</f>
        <v>0</v>
      </c>
      <c r="CL19" s="3247">
        <f>SUM(CL16:CL18)</f>
        <v>89702328.951855704</v>
      </c>
      <c r="CM19" s="3237"/>
      <c r="CN19" s="3246"/>
      <c r="CQ19" s="3247">
        <f>SUM(CQ16:CQ18)</f>
        <v>155841121</v>
      </c>
      <c r="CR19" s="3247">
        <f>SUM(CR16:CR18)</f>
        <v>66138792.048144296</v>
      </c>
      <c r="CS19" s="3247">
        <f>SUM(CS16:CS18)</f>
        <v>0</v>
      </c>
      <c r="CT19" s="3247">
        <f>SUM(CT16:CT18)</f>
        <v>89702328.951855704</v>
      </c>
      <c r="CU19" s="3237"/>
      <c r="CV19" s="3246"/>
      <c r="CY19" s="3247">
        <f>SUM(CY16:CY18)</f>
        <v>155841121</v>
      </c>
      <c r="CZ19" s="3247">
        <f>SUM(CZ16:CZ18)</f>
        <v>66138792.048144296</v>
      </c>
      <c r="DA19" s="3247">
        <f>SUM(DA16:DA18)</f>
        <v>0</v>
      </c>
      <c r="DB19" s="3247">
        <f>SUM(DB16:DB18)</f>
        <v>89702328.951855704</v>
      </c>
      <c r="DC19" s="3237"/>
      <c r="DD19" s="3246"/>
      <c r="DG19" s="3247">
        <f>SUM(DG16:DG18)</f>
        <v>155841121</v>
      </c>
      <c r="DH19" s="3247">
        <f>SUM(DH16:DH18)</f>
        <v>66138792.048144296</v>
      </c>
      <c r="DI19" s="3247">
        <f>SUM(DI16:DI18)</f>
        <v>0</v>
      </c>
      <c r="DJ19" s="3247">
        <f>SUM(DJ16:DJ18)</f>
        <v>89702328.951855704</v>
      </c>
      <c r="DK19" s="3237"/>
      <c r="DL19" s="3246"/>
      <c r="DO19" s="3247">
        <f>SUM(DO16:DO18)</f>
        <v>155841121</v>
      </c>
      <c r="DP19" s="3247">
        <f>SUM(DP16:DP18)</f>
        <v>66138792.048144296</v>
      </c>
      <c r="DQ19" s="3247">
        <f>SUM(DQ16:DQ18)</f>
        <v>0</v>
      </c>
      <c r="DR19" s="3247">
        <f>SUM(DR16:DR18)</f>
        <v>89702328.951855704</v>
      </c>
      <c r="DS19" s="3237"/>
      <c r="DT19" s="3246"/>
      <c r="DW19" s="3247">
        <f>SUM(DW16:DW18)</f>
        <v>155841121</v>
      </c>
      <c r="DX19" s="3247">
        <f>SUM(DX16:DX18)</f>
        <v>66138792.048144296</v>
      </c>
      <c r="DY19" s="3247">
        <f>SUM(DY16:DY18)</f>
        <v>0</v>
      </c>
      <c r="DZ19" s="3247">
        <f>SUM(DZ16:DZ18)</f>
        <v>89702328.951855704</v>
      </c>
      <c r="EA19" s="3237"/>
      <c r="EB19" s="3246"/>
      <c r="EE19" s="3247">
        <f>SUM(EE16:EE18)</f>
        <v>155841121</v>
      </c>
      <c r="EF19" s="3247">
        <f>SUM(EF16:EF18)</f>
        <v>66138792.048144296</v>
      </c>
      <c r="EG19" s="3247">
        <f>SUM(EG16:EG18)</f>
        <v>0</v>
      </c>
      <c r="EH19" s="3247">
        <f>SUM(EH16:EH18)</f>
        <v>89702328.951855704</v>
      </c>
      <c r="EI19" s="3237"/>
      <c r="EJ19" s="3246"/>
      <c r="EM19" s="3247">
        <f>SUM(EM16:EM18)</f>
        <v>155841121</v>
      </c>
      <c r="EN19" s="3247">
        <f>SUM(EN16:EN18)</f>
        <v>66138792.048144296</v>
      </c>
      <c r="EO19" s="3247">
        <f>SUM(EO16:EO18)</f>
        <v>0</v>
      </c>
      <c r="EP19" s="3247">
        <f>SUM(EP16:EP18)</f>
        <v>89702328.951855704</v>
      </c>
      <c r="EQ19" s="3237"/>
      <c r="ER19" s="3246"/>
      <c r="EU19" s="3247">
        <f>SUM(EU16:EU18)</f>
        <v>155841121</v>
      </c>
      <c r="EV19" s="3247">
        <f>SUM(EV16:EV18)</f>
        <v>66138792.048144296</v>
      </c>
      <c r="EW19" s="3247">
        <f>SUM(EW16:EW18)</f>
        <v>0</v>
      </c>
      <c r="EX19" s="3247">
        <f>SUM(EX16:EX18)</f>
        <v>89702328.951855704</v>
      </c>
      <c r="EY19" s="3237"/>
      <c r="EZ19" s="3246"/>
      <c r="FC19" s="3247">
        <f>SUM(FC16:FC18)</f>
        <v>155841121</v>
      </c>
      <c r="FD19" s="3247">
        <f>SUM(FD16:FD18)</f>
        <v>66138792.048144296</v>
      </c>
      <c r="FE19" s="3247">
        <f>SUM(FE16:FE18)</f>
        <v>0</v>
      </c>
      <c r="FF19" s="3247">
        <f>SUM(FF16:FF18)</f>
        <v>89702328.951855704</v>
      </c>
      <c r="FG19" s="3237"/>
      <c r="FH19" s="3246"/>
      <c r="FK19" s="3247">
        <f>SUM(FK16:FK18)</f>
        <v>155841121</v>
      </c>
      <c r="FL19" s="3247">
        <f>SUM(FL16:FL18)</f>
        <v>66138792.048144296</v>
      </c>
      <c r="FM19" s="3247">
        <f>SUM(FM16:FM18)</f>
        <v>0</v>
      </c>
      <c r="FN19" s="3247">
        <f>SUM(FN16:FN18)</f>
        <v>89702328.951855704</v>
      </c>
      <c r="FO19" s="3237"/>
    </row>
    <row r="20" spans="1:171">
      <c r="A20" s="3248"/>
      <c r="B20" s="2078"/>
      <c r="C20" s="2686"/>
      <c r="D20" s="2686"/>
      <c r="E20" s="3249"/>
      <c r="F20" s="3249"/>
      <c r="G20" s="3250"/>
      <c r="H20" s="3250"/>
      <c r="I20" s="3250"/>
      <c r="J20" s="3251"/>
      <c r="K20" s="3205"/>
      <c r="L20" s="3246"/>
      <c r="M20" s="2747"/>
      <c r="N20" s="2747"/>
      <c r="O20" s="3235"/>
      <c r="P20" s="3235"/>
      <c r="Q20" s="3235"/>
      <c r="R20" s="3235"/>
      <c r="S20" s="3237"/>
      <c r="T20" s="3246"/>
      <c r="U20" s="2747"/>
      <c r="V20" s="2747"/>
      <c r="W20" s="3235"/>
      <c r="X20" s="3235"/>
      <c r="Y20" s="3235"/>
      <c r="Z20" s="3235"/>
      <c r="AA20" s="3237"/>
      <c r="AB20" s="3246"/>
      <c r="AC20" s="2747"/>
      <c r="AD20" s="2747"/>
      <c r="AE20" s="3235"/>
      <c r="AF20" s="3235"/>
      <c r="AG20" s="3235"/>
      <c r="AH20" s="3235"/>
      <c r="AI20" s="3237"/>
      <c r="AJ20" s="3246"/>
      <c r="AK20" s="2747"/>
      <c r="AL20" s="2747"/>
      <c r="AM20" s="3235"/>
      <c r="AN20" s="3235"/>
      <c r="AO20" s="3235"/>
      <c r="AP20" s="3235"/>
      <c r="AQ20" s="3237"/>
      <c r="AR20" s="3246"/>
      <c r="AS20" s="2747"/>
      <c r="AT20" s="2747"/>
      <c r="AU20" s="3235"/>
      <c r="AV20" s="3235"/>
      <c r="AW20" s="3235"/>
      <c r="AX20" s="3235"/>
      <c r="AY20" s="3237"/>
      <c r="AZ20" s="3246"/>
      <c r="BA20" s="2747"/>
      <c r="BB20" s="2747"/>
      <c r="BC20" s="3235"/>
      <c r="BD20" s="3235"/>
      <c r="BE20" s="3235"/>
      <c r="BF20" s="3235"/>
      <c r="BG20" s="3237"/>
      <c r="BH20" s="3246"/>
      <c r="BI20" s="2747"/>
      <c r="BJ20" s="2747"/>
      <c r="BK20" s="3235"/>
      <c r="BL20" s="3235"/>
      <c r="BM20" s="3235"/>
      <c r="BN20" s="3235"/>
      <c r="BO20" s="3237"/>
      <c r="BP20" s="3246"/>
      <c r="BQ20" s="2747"/>
      <c r="BR20" s="2747"/>
      <c r="BS20" s="3235"/>
      <c r="BT20" s="3235"/>
      <c r="BU20" s="3235"/>
      <c r="BV20" s="3235"/>
      <c r="BW20" s="3237"/>
      <c r="BX20" s="3246"/>
      <c r="BY20" s="2747"/>
      <c r="BZ20" s="2747"/>
      <c r="CA20" s="3235"/>
      <c r="CB20" s="3235"/>
      <c r="CC20" s="3235"/>
      <c r="CD20" s="3235"/>
      <c r="CE20" s="3237"/>
      <c r="CF20" s="3246"/>
      <c r="CG20" s="2747"/>
      <c r="CH20" s="2747"/>
      <c r="CI20" s="3235"/>
      <c r="CJ20" s="3235"/>
      <c r="CK20" s="3235"/>
      <c r="CL20" s="3235"/>
      <c r="CM20" s="3237"/>
      <c r="CN20" s="3246"/>
      <c r="CO20" s="2747"/>
      <c r="CP20" s="2747"/>
      <c r="CQ20" s="3235"/>
      <c r="CR20" s="3235"/>
      <c r="CS20" s="3235"/>
      <c r="CT20" s="3235"/>
      <c r="CU20" s="3237"/>
      <c r="CV20" s="3246"/>
      <c r="CW20" s="2747"/>
      <c r="CX20" s="2747"/>
      <c r="CY20" s="3235"/>
      <c r="CZ20" s="3235"/>
      <c r="DA20" s="3235"/>
      <c r="DB20" s="3235"/>
      <c r="DC20" s="3237"/>
      <c r="DD20" s="3246"/>
      <c r="DE20" s="2747"/>
      <c r="DF20" s="2747"/>
      <c r="DG20" s="3235"/>
      <c r="DH20" s="3235"/>
      <c r="DI20" s="3235"/>
      <c r="DJ20" s="3235"/>
      <c r="DK20" s="3237"/>
      <c r="DL20" s="3246"/>
      <c r="DM20" s="2747"/>
      <c r="DN20" s="2747"/>
      <c r="DO20" s="3235"/>
      <c r="DP20" s="3235"/>
      <c r="DQ20" s="3235"/>
      <c r="DR20" s="3235"/>
      <c r="DS20" s="3237"/>
      <c r="DT20" s="3246"/>
      <c r="DU20" s="2747"/>
      <c r="DV20" s="2747"/>
      <c r="DW20" s="3235"/>
      <c r="DX20" s="3235"/>
      <c r="DY20" s="3235"/>
      <c r="DZ20" s="3235"/>
      <c r="EA20" s="3237"/>
      <c r="EB20" s="3246"/>
      <c r="EC20" s="2747"/>
      <c r="ED20" s="2747"/>
      <c r="EE20" s="3235"/>
      <c r="EF20" s="3235"/>
      <c r="EG20" s="3235"/>
      <c r="EH20" s="3235"/>
      <c r="EI20" s="3237"/>
      <c r="EJ20" s="3246"/>
      <c r="EK20" s="2747"/>
      <c r="EL20" s="2747"/>
      <c r="EM20" s="3235"/>
      <c r="EN20" s="3235"/>
      <c r="EO20" s="3235"/>
      <c r="EP20" s="3235"/>
      <c r="EQ20" s="3237"/>
      <c r="ER20" s="3246"/>
      <c r="ES20" s="2747"/>
      <c r="ET20" s="2747"/>
      <c r="EU20" s="3235"/>
      <c r="EV20" s="3235"/>
      <c r="EW20" s="3235"/>
      <c r="EX20" s="3235"/>
      <c r="EY20" s="3237"/>
      <c r="EZ20" s="3246"/>
      <c r="FA20" s="2747"/>
      <c r="FB20" s="2747"/>
      <c r="FC20" s="3235"/>
      <c r="FD20" s="3235"/>
      <c r="FE20" s="3235"/>
      <c r="FF20" s="3235"/>
      <c r="FG20" s="3237"/>
      <c r="FH20" s="3246"/>
      <c r="FI20" s="2747"/>
      <c r="FJ20" s="2747"/>
      <c r="FK20" s="3235"/>
      <c r="FL20" s="3235"/>
      <c r="FM20" s="3235"/>
      <c r="FN20" s="3235"/>
      <c r="FO20" s="3237"/>
    </row>
    <row r="21" spans="1:171">
      <c r="A21" s="2669" t="s">
        <v>110</v>
      </c>
      <c r="B21" s="3252"/>
      <c r="C21" s="2686"/>
      <c r="D21" s="2686"/>
      <c r="E21" s="3249"/>
      <c r="F21" s="3249"/>
      <c r="G21" s="2118"/>
      <c r="H21" s="2118"/>
      <c r="I21" s="2118"/>
      <c r="J21" s="2441"/>
      <c r="K21" s="3205"/>
      <c r="L21" s="3253"/>
      <c r="M21" s="2747"/>
      <c r="N21" s="2747"/>
      <c r="O21" s="2747"/>
      <c r="P21" s="3250"/>
      <c r="Q21" s="3250"/>
      <c r="R21" s="3250"/>
      <c r="S21" s="3237"/>
      <c r="T21" s="3253"/>
      <c r="U21" s="2747"/>
      <c r="V21" s="2747"/>
      <c r="W21" s="2747"/>
      <c r="X21" s="3250"/>
      <c r="Y21" s="3250"/>
      <c r="Z21" s="3250"/>
      <c r="AA21" s="3237"/>
      <c r="AB21" s="3253"/>
      <c r="AC21" s="2747"/>
      <c r="AD21" s="2747"/>
      <c r="AE21" s="2747"/>
      <c r="AF21" s="3250"/>
      <c r="AG21" s="3250"/>
      <c r="AH21" s="3250"/>
      <c r="AI21" s="3237"/>
      <c r="AJ21" s="3253"/>
      <c r="AK21" s="2747"/>
      <c r="AL21" s="2747"/>
      <c r="AM21" s="2747"/>
      <c r="AN21" s="3250"/>
      <c r="AO21" s="3250"/>
      <c r="AP21" s="3250"/>
      <c r="AQ21" s="3237"/>
      <c r="AR21" s="3253"/>
      <c r="AS21" s="2747"/>
      <c r="AT21" s="2747"/>
      <c r="AU21" s="2747"/>
      <c r="AV21" s="3250"/>
      <c r="AW21" s="3250"/>
      <c r="AX21" s="3250"/>
      <c r="AY21" s="3237"/>
      <c r="AZ21" s="3253"/>
      <c r="BA21" s="2747"/>
      <c r="BB21" s="2747"/>
      <c r="BC21" s="2747"/>
      <c r="BD21" s="3250"/>
      <c r="BE21" s="3250"/>
      <c r="BF21" s="3250"/>
      <c r="BG21" s="3237"/>
      <c r="BH21" s="3253"/>
      <c r="BI21" s="2747"/>
      <c r="BJ21" s="2747"/>
      <c r="BK21" s="2747"/>
      <c r="BL21" s="3250"/>
      <c r="BM21" s="3250"/>
      <c r="BN21" s="3250"/>
      <c r="BO21" s="3237"/>
      <c r="BP21" s="3253"/>
      <c r="BQ21" s="2747"/>
      <c r="BR21" s="2747"/>
      <c r="BS21" s="2747"/>
      <c r="BT21" s="3250"/>
      <c r="BU21" s="3250"/>
      <c r="BV21" s="3250"/>
      <c r="BW21" s="3237"/>
      <c r="BX21" s="3253"/>
      <c r="BY21" s="2747"/>
      <c r="BZ21" s="2747"/>
      <c r="CA21" s="2747"/>
      <c r="CB21" s="3250"/>
      <c r="CC21" s="3250"/>
      <c r="CD21" s="3250"/>
      <c r="CE21" s="3237"/>
      <c r="CF21" s="3253"/>
      <c r="CG21" s="2747"/>
      <c r="CH21" s="2747"/>
      <c r="CI21" s="2747"/>
      <c r="CJ21" s="3250"/>
      <c r="CK21" s="3250"/>
      <c r="CL21" s="3250"/>
      <c r="CM21" s="3237"/>
      <c r="CN21" s="3253"/>
      <c r="CO21" s="2747"/>
      <c r="CP21" s="2747"/>
      <c r="CQ21" s="2747"/>
      <c r="CR21" s="3250"/>
      <c r="CS21" s="3250"/>
      <c r="CT21" s="3250"/>
      <c r="CU21" s="3237"/>
      <c r="CV21" s="3253"/>
      <c r="CW21" s="2747"/>
      <c r="CX21" s="2747"/>
      <c r="CY21" s="2747"/>
      <c r="CZ21" s="3250"/>
      <c r="DA21" s="3250"/>
      <c r="DB21" s="3250"/>
      <c r="DC21" s="3237"/>
      <c r="DD21" s="3253"/>
      <c r="DE21" s="2747"/>
      <c r="DF21" s="2747"/>
      <c r="DG21" s="2747"/>
      <c r="DH21" s="3250"/>
      <c r="DI21" s="3250"/>
      <c r="DJ21" s="3250"/>
      <c r="DK21" s="3237"/>
      <c r="DL21" s="3253"/>
      <c r="DM21" s="2747"/>
      <c r="DN21" s="2747"/>
      <c r="DO21" s="2747"/>
      <c r="DP21" s="3250"/>
      <c r="DQ21" s="3250"/>
      <c r="DR21" s="3250"/>
      <c r="DS21" s="3237"/>
      <c r="DT21" s="3253"/>
      <c r="DU21" s="2747"/>
      <c r="DV21" s="2747"/>
      <c r="DW21" s="2747"/>
      <c r="DX21" s="3250"/>
      <c r="DY21" s="3250"/>
      <c r="DZ21" s="3250"/>
      <c r="EA21" s="3237"/>
      <c r="EB21" s="3253"/>
      <c r="EC21" s="2747"/>
      <c r="ED21" s="2747"/>
      <c r="EE21" s="2747"/>
      <c r="EF21" s="3250"/>
      <c r="EG21" s="3250"/>
      <c r="EH21" s="3250"/>
      <c r="EI21" s="3237"/>
      <c r="EJ21" s="3253"/>
      <c r="EK21" s="2747"/>
      <c r="EL21" s="2747"/>
      <c r="EM21" s="2747"/>
      <c r="EN21" s="3250"/>
      <c r="EO21" s="3250"/>
      <c r="EP21" s="3250"/>
      <c r="EQ21" s="3237"/>
      <c r="ER21" s="3253"/>
      <c r="ES21" s="2747"/>
      <c r="ET21" s="2747"/>
      <c r="EU21" s="2747"/>
      <c r="EV21" s="3250"/>
      <c r="EW21" s="3250"/>
      <c r="EX21" s="3250"/>
      <c r="EY21" s="3237"/>
      <c r="EZ21" s="3253"/>
      <c r="FA21" s="2747"/>
      <c r="FB21" s="2747"/>
      <c r="FC21" s="2747"/>
      <c r="FD21" s="3250"/>
      <c r="FE21" s="3250"/>
      <c r="FF21" s="3250"/>
      <c r="FG21" s="3237"/>
      <c r="FH21" s="3253"/>
      <c r="FI21" s="2747"/>
      <c r="FJ21" s="2747"/>
      <c r="FK21" s="2747"/>
      <c r="FL21" s="3250"/>
      <c r="FM21" s="3250"/>
      <c r="FN21" s="3250"/>
      <c r="FO21" s="3237"/>
    </row>
    <row r="22" spans="1:171">
      <c r="A22" s="3254">
        <v>110</v>
      </c>
      <c r="B22" s="2103" t="s">
        <v>111</v>
      </c>
      <c r="C22" s="3233" t="s">
        <v>70</v>
      </c>
      <c r="D22" s="2464" t="s">
        <v>112</v>
      </c>
      <c r="E22" s="3234" t="str">
        <f>'Sch 1- Rate Base '!E22</f>
        <v>PROD</v>
      </c>
      <c r="F22" s="2171"/>
      <c r="G22" s="2424">
        <f>'Sch 1- Rate Base '!G22</f>
        <v>1034308926</v>
      </c>
      <c r="H22" s="2424">
        <f>'Sch 1- Rate Base '!H22</f>
        <v>1034308926</v>
      </c>
      <c r="I22" s="2424">
        <f>'Sch 1- Rate Base '!I22</f>
        <v>0</v>
      </c>
      <c r="J22" s="2425">
        <f>'Sch 1- Rate Base '!J22</f>
        <v>0</v>
      </c>
      <c r="K22" s="3205">
        <f>IF($E22="DIRECT",0,1)</f>
        <v>1</v>
      </c>
      <c r="N22" s="3255">
        <f>VLOOKUP($A22,'New Resources - Individual'!$A$4:$Y$133,N$2,FALSE)*N$1</f>
        <v>0</v>
      </c>
      <c r="O22" s="3235">
        <f>$G22+N22</f>
        <v>1034308926</v>
      </c>
      <c r="P22" s="3236">
        <f>VLOOKUP($E22,O$442:R$453,2,FALSE)*O22*($K22)+IF($G22&gt;0,($H22/$G22)*O22,0)*(1-$K22)</f>
        <v>1034308926</v>
      </c>
      <c r="Q22" s="3236">
        <f>VLOOKUP($E22,O$442:R$453,3,FALSE)*O22*($K22)+IF($G22&gt;0,($I22/$G22)*O22,0)*(1-$K22)</f>
        <v>0</v>
      </c>
      <c r="R22" s="3236">
        <f>VLOOKUP($E22,O$442:R$453,4,FALSE)*O22*($K22)+(O22-P22-Q22)*(1-$K22)</f>
        <v>0</v>
      </c>
      <c r="S22" s="3237"/>
      <c r="V22" s="3255">
        <f>VLOOKUP($A22,'New Resources - Individual'!$A$4:$Y$133,V$2,FALSE)*V$1</f>
        <v>0</v>
      </c>
      <c r="W22" s="3235">
        <f>$G22+V22</f>
        <v>1034308926</v>
      </c>
      <c r="X22" s="3236">
        <f>VLOOKUP($E22,W$442:Z$453,2,FALSE)*W22*($K22)+IF($G22&gt;0,($H22/$G22)*W22,0)*(1-$K22)</f>
        <v>1034308926</v>
      </c>
      <c r="Y22" s="3236">
        <f>VLOOKUP($E22,W$442:Z$453,3,FALSE)*W22*($K22)+IF($G22&gt;0,($I22/$G22)*W22,0)*(1-$K22)</f>
        <v>0</v>
      </c>
      <c r="Z22" s="3236">
        <f>VLOOKUP($E22,W$442:Z$453,4,FALSE)*W22*($K22)+(W22-X22-Y22)*(1-$K22)</f>
        <v>0</v>
      </c>
      <c r="AA22" s="3237"/>
      <c r="AD22" s="3255">
        <f>VLOOKUP($A22,'New Resources - Individual'!$A$4:$Y$133,AD$2,FALSE)*AD$1</f>
        <v>0</v>
      </c>
      <c r="AE22" s="3235">
        <f>$G22+AD22</f>
        <v>1034308926</v>
      </c>
      <c r="AF22" s="3236">
        <f>VLOOKUP($E22,AE$442:AH$453,2,FALSE)*AE22*($K22)+IF($G22&gt;0,($H22/$G22)*AE22,0)*(1-$K22)</f>
        <v>1034308926</v>
      </c>
      <c r="AG22" s="3236">
        <f>VLOOKUP($E22,AE$442:AH$453,3,FALSE)*AE22*($K22)+IF($G22&gt;0,($I22/$G22)*AE22,0)*(1-$K22)</f>
        <v>0</v>
      </c>
      <c r="AH22" s="3236">
        <f>VLOOKUP($E22,AE$442:AH$453,4,FALSE)*AE22*($K22)+(AE22-AF22-AG22)*(1-$K22)</f>
        <v>0</v>
      </c>
      <c r="AI22" s="3237"/>
      <c r="AL22" s="3255">
        <f>VLOOKUP($A22,'New Resources - Individual'!$A$4:$Y$133,AL$2,FALSE)*AL$1</f>
        <v>0</v>
      </c>
      <c r="AM22" s="3235">
        <f>$G22+AL22</f>
        <v>1034308926</v>
      </c>
      <c r="AN22" s="3236">
        <f>VLOOKUP($E22,AM$442:AP$453,2,FALSE)*AM22*($K22)+IF($G22&gt;0,($H22/$G22)*AM22,0)*(1-$K22)</f>
        <v>1034308926</v>
      </c>
      <c r="AO22" s="3236">
        <f>VLOOKUP($E22,AM$442:AP$453,3,FALSE)*AM22*($K22)+IF($G22&gt;0,($I22/$G22)*AM22,0)*(1-$K22)</f>
        <v>0</v>
      </c>
      <c r="AP22" s="3236">
        <f>VLOOKUP($E22,AM$442:AP$453,4,FALSE)*AM22*($K22)+(AM22-AN22-AO22)*(1-$K22)</f>
        <v>0</v>
      </c>
      <c r="AQ22" s="3237"/>
      <c r="AT22" s="3255">
        <f>VLOOKUP($A22,'New Resources - Individual'!$A$4:$Y$133,AT$2,FALSE)*AT$1</f>
        <v>0</v>
      </c>
      <c r="AU22" s="3235">
        <f>$G22+AT22</f>
        <v>1034308926</v>
      </c>
      <c r="AV22" s="3236">
        <f>VLOOKUP($E22,AU$442:AX$453,2,FALSE)*AU22*($K22)+IF($G22&gt;0,($H22/$G22)*AU22,0)*(1-$K22)</f>
        <v>1034308926</v>
      </c>
      <c r="AW22" s="3236">
        <f>VLOOKUP($E22,AU$442:AX$453,3,FALSE)*AU22*($K22)+IF($G22&gt;0,($I22/$G22)*AU22,0)*(1-$K22)</f>
        <v>0</v>
      </c>
      <c r="AX22" s="3236">
        <f>VLOOKUP($E22,AU$442:AX$453,4,FALSE)*AU22*($K22)+(AU22-AV22-AW22)*(1-$K22)</f>
        <v>0</v>
      </c>
      <c r="AY22" s="3237"/>
      <c r="BB22" s="3255">
        <f>VLOOKUP($A22,'New Resources - Individual'!$A$4:$Y$133,BB$2,FALSE)*BB$1</f>
        <v>0</v>
      </c>
      <c r="BC22" s="3235">
        <f>$G22+BB22</f>
        <v>1034308926</v>
      </c>
      <c r="BD22" s="3236">
        <f>VLOOKUP($E22,BC$442:BF$453,2,FALSE)*BC22*($K22)+IF($G22&gt;0,($H22/$G22)*BC22,0)*(1-$K22)</f>
        <v>1034308926</v>
      </c>
      <c r="BE22" s="3236">
        <f>VLOOKUP($E22,BC$442:BF$453,3,FALSE)*BC22*($K22)+IF($G22&gt;0,($I22/$G22)*BC22,0)*(1-$K22)</f>
        <v>0</v>
      </c>
      <c r="BF22" s="3236">
        <f>VLOOKUP($E22,BC$442:BF$453,4,FALSE)*BC22*($K22)+(BC22-BD22-BE22)*(1-$K22)</f>
        <v>0</v>
      </c>
      <c r="BG22" s="3237"/>
      <c r="BJ22" s="3255">
        <f>VLOOKUP($A22,'New Resources - Individual'!$A$4:$Y$133,BJ$2,FALSE)*BJ$1</f>
        <v>0</v>
      </c>
      <c r="BK22" s="3235">
        <f>$G22+BJ22</f>
        <v>1034308926</v>
      </c>
      <c r="BL22" s="3236">
        <f>VLOOKUP($E22,BK$442:BN$453,2,FALSE)*BK22*($K22)+IF($G22&gt;0,($H22/$G22)*BK22,0)*(1-$K22)</f>
        <v>1034308926</v>
      </c>
      <c r="BM22" s="3236">
        <f>VLOOKUP($E22,BK$442:BN$453,3,FALSE)*BK22*($K22)+IF($G22&gt;0,($I22/$G22)*BK22,0)*(1-$K22)</f>
        <v>0</v>
      </c>
      <c r="BN22" s="3236">
        <f>VLOOKUP($E22,BK$442:BN$453,4,FALSE)*BK22*($K22)+(BK22-BL22-BM22)*(1-$K22)</f>
        <v>0</v>
      </c>
      <c r="BO22" s="3237"/>
      <c r="BR22" s="3255">
        <f>VLOOKUP($A22,'New Resources - Individual'!$A$4:$Y$133,BR$2,FALSE)*BR$1</f>
        <v>0</v>
      </c>
      <c r="BS22" s="3235">
        <f>$G22+BR22</f>
        <v>1034308926</v>
      </c>
      <c r="BT22" s="3236">
        <f>VLOOKUP($E22,BS$442:BV$453,2,FALSE)*BS22*($K22)+IF($G22&gt;0,($H22/$G22)*BS22,0)*(1-$K22)</f>
        <v>1034308926</v>
      </c>
      <c r="BU22" s="3236">
        <f>VLOOKUP($E22,BS$442:BV$453,3,FALSE)*BS22*($K22)+IF($G22&gt;0,($I22/$G22)*BS22,0)*(1-$K22)</f>
        <v>0</v>
      </c>
      <c r="BV22" s="3236">
        <f>VLOOKUP($E22,BS$442:BV$453,4,FALSE)*BS22*($K22)+(BS22-BT22-BU22)*(1-$K22)</f>
        <v>0</v>
      </c>
      <c r="BW22" s="3237"/>
      <c r="BZ22" s="3255">
        <f>VLOOKUP($A22,'New Resources - Individual'!$A$4:$Y$133,BZ$2,FALSE)*BZ$1</f>
        <v>0</v>
      </c>
      <c r="CA22" s="3235">
        <f>$G22+BZ22</f>
        <v>1034308926</v>
      </c>
      <c r="CB22" s="3236">
        <f>VLOOKUP($E22,CA$442:CD$453,2,FALSE)*CA22*($K22)+IF($G22&gt;0,($H22/$G22)*CA22,0)*(1-$K22)</f>
        <v>1034308926</v>
      </c>
      <c r="CC22" s="3236">
        <f>VLOOKUP($E22,CA$442:CD$453,3,FALSE)*CA22*($K22)+IF($G22&gt;0,($I22/$G22)*CA22,0)*(1-$K22)</f>
        <v>0</v>
      </c>
      <c r="CD22" s="3236">
        <f>VLOOKUP($E22,CA$442:CD$453,4,FALSE)*CA22*($K22)+(CA22-CB22-CC22)*(1-$K22)</f>
        <v>0</v>
      </c>
      <c r="CE22" s="3237"/>
      <c r="CH22" s="3255">
        <f>VLOOKUP($A22,'New Resources - Individual'!$A$4:$Y$133,CH$2,FALSE)*CH$1</f>
        <v>0</v>
      </c>
      <c r="CI22" s="3235">
        <f>$G22+CH22</f>
        <v>1034308926</v>
      </c>
      <c r="CJ22" s="3236">
        <f>VLOOKUP($E22,CI$442:CL$453,2,FALSE)*CI22*($K22)+IF($G22&gt;0,($H22/$G22)*CI22,0)*(1-$K22)</f>
        <v>1034308926</v>
      </c>
      <c r="CK22" s="3236">
        <f>VLOOKUP($E22,CI$442:CL$453,3,FALSE)*CI22*($K22)+IF($G22&gt;0,($I22/$G22)*CI22,0)*(1-$K22)</f>
        <v>0</v>
      </c>
      <c r="CL22" s="3236">
        <f>VLOOKUP($E22,CI$442:CL$453,4,FALSE)*CI22*($K22)+(CI22-CJ22-CK22)*(1-$K22)</f>
        <v>0</v>
      </c>
      <c r="CM22" s="3237"/>
      <c r="CP22" s="3255">
        <f>VLOOKUP($A22,'New Resources - Individual'!$A$4:$Y$133,CP$2,FALSE)*CP$1</f>
        <v>0</v>
      </c>
      <c r="CQ22" s="3235">
        <f>$G22+CP22</f>
        <v>1034308926</v>
      </c>
      <c r="CR22" s="3236">
        <f>VLOOKUP($E22,CQ$442:CT$453,2,FALSE)*CQ22*($K22)+IF($G22&gt;0,($H22/$G22)*CQ22,0)*(1-$K22)</f>
        <v>1034308926</v>
      </c>
      <c r="CS22" s="3236">
        <f>VLOOKUP($E22,CQ$442:CT$453,3,FALSE)*CQ22*($K22)+IF($G22&gt;0,($I22/$G22)*CQ22,0)*(1-$K22)</f>
        <v>0</v>
      </c>
      <c r="CT22" s="3236">
        <f>VLOOKUP($E22,CQ$442:CT$453,4,FALSE)*CQ22*($K22)+(CQ22-CR22-CS22)*(1-$K22)</f>
        <v>0</v>
      </c>
      <c r="CU22" s="3237"/>
      <c r="CX22" s="3255">
        <f>VLOOKUP($A22,'New Resources - Individual'!$A$4:$Y$133,CX$2,FALSE)*CX$1</f>
        <v>0</v>
      </c>
      <c r="CY22" s="3235">
        <f>$G22+CX22</f>
        <v>1034308926</v>
      </c>
      <c r="CZ22" s="3236">
        <f>VLOOKUP($E22,CY$442:DB$453,2,FALSE)*CY22*($K22)+IF($G22&gt;0,($H22/$G22)*CY22,0)*(1-$K22)</f>
        <v>1034308926</v>
      </c>
      <c r="DA22" s="3236">
        <f>VLOOKUP($E22,CY$442:DB$453,3,FALSE)*CY22*($K22)+IF($G22&gt;0,($I22/$G22)*CY22,0)*(1-$K22)</f>
        <v>0</v>
      </c>
      <c r="DB22" s="3236">
        <f>VLOOKUP($E22,CY$442:DB$453,4,FALSE)*CY22*($K22)+(CY22-CZ22-DA22)*(1-$K22)</f>
        <v>0</v>
      </c>
      <c r="DC22" s="3237"/>
      <c r="DF22" s="3255">
        <f>VLOOKUP($A22,'New Resources - Individual'!$A$4:$Y$133,DF$2,FALSE)*DF$1</f>
        <v>0</v>
      </c>
      <c r="DG22" s="3235">
        <f>$G22+DF22</f>
        <v>1034308926</v>
      </c>
      <c r="DH22" s="3236">
        <f>VLOOKUP($E22,DG$442:DJ$453,2,FALSE)*DG22*($K22)+IF($G22&gt;0,($H22/$G22)*DG22,0)*(1-$K22)</f>
        <v>1034308926</v>
      </c>
      <c r="DI22" s="3236">
        <f>VLOOKUP($E22,DG$442:DJ$453,3,FALSE)*DG22*($K22)+IF($G22&gt;0,($I22/$G22)*DG22,0)*(1-$K22)</f>
        <v>0</v>
      </c>
      <c r="DJ22" s="3236">
        <f>VLOOKUP($E22,DG$442:DJ$453,4,FALSE)*DG22*($K22)+(DG22-DH22-DI22)*(1-$K22)</f>
        <v>0</v>
      </c>
      <c r="DK22" s="3237"/>
      <c r="DN22" s="3255">
        <f>VLOOKUP($A22,'New Resources - Individual'!$A$4:$Y$133,DN$2,FALSE)*DN$1</f>
        <v>0</v>
      </c>
      <c r="DO22" s="3235">
        <f>$G22+DN22</f>
        <v>1034308926</v>
      </c>
      <c r="DP22" s="3236">
        <f>VLOOKUP($E22,DO$442:DR$453,2,FALSE)*DO22*($K22)+IF($G22&gt;0,($H22/$G22)*DO22,0)*(1-$K22)</f>
        <v>1034308926</v>
      </c>
      <c r="DQ22" s="3236">
        <f>VLOOKUP($E22,DO$442:DR$453,3,FALSE)*DO22*($K22)+IF($G22&gt;0,($I22/$G22)*DO22,0)*(1-$K22)</f>
        <v>0</v>
      </c>
      <c r="DR22" s="3236">
        <f>VLOOKUP($E22,DO$442:DR$453,4,FALSE)*DO22*($K22)+(DO22-DP22-DQ22)*(1-$K22)</f>
        <v>0</v>
      </c>
      <c r="DS22" s="3237"/>
      <c r="DV22" s="3255">
        <f>VLOOKUP($A22,'New Resources - Individual'!$A$4:$Y$133,DV$2,FALSE)*DV$1</f>
        <v>0</v>
      </c>
      <c r="DW22" s="3235">
        <f>$G22+DV22</f>
        <v>1034308926</v>
      </c>
      <c r="DX22" s="3236">
        <f>VLOOKUP($E22,DW$442:DZ$453,2,FALSE)*DW22*($K22)+IF($G22&gt;0,($H22/$G22)*DW22,0)*(1-$K22)</f>
        <v>1034308926</v>
      </c>
      <c r="DY22" s="3236">
        <f>VLOOKUP($E22,DW$442:DZ$453,3,FALSE)*DW22*($K22)+IF($G22&gt;0,($I22/$G22)*DW22,0)*(1-$K22)</f>
        <v>0</v>
      </c>
      <c r="DZ22" s="3236">
        <f>VLOOKUP($E22,DW$442:DZ$453,4,FALSE)*DW22*($K22)+(DW22-DX22-DY22)*(1-$K22)</f>
        <v>0</v>
      </c>
      <c r="EA22" s="3237"/>
      <c r="ED22" s="3255">
        <f>VLOOKUP($A22,'New Resources - Individual'!$A$4:$Y$133,ED$2,FALSE)*ED$1</f>
        <v>0</v>
      </c>
      <c r="EE22" s="3235">
        <f>$G22+ED22</f>
        <v>1034308926</v>
      </c>
      <c r="EF22" s="3236">
        <f>VLOOKUP($E22,EE$442:EH$453,2,FALSE)*EE22*($K22)+IF($G22&gt;0,($H22/$G22)*EE22,0)*(1-$K22)</f>
        <v>1034308926</v>
      </c>
      <c r="EG22" s="3236">
        <f>VLOOKUP($E22,EE$442:EH$453,3,FALSE)*EE22*($K22)+IF($G22&gt;0,($I22/$G22)*EE22,0)*(1-$K22)</f>
        <v>0</v>
      </c>
      <c r="EH22" s="3236">
        <f>VLOOKUP($E22,EE$442:EH$453,4,FALSE)*EE22*($K22)+(EE22-EF22-EG22)*(1-$K22)</f>
        <v>0</v>
      </c>
      <c r="EI22" s="3237"/>
      <c r="EL22" s="3255">
        <f>VLOOKUP($A22,'New Resources - Individual'!$A$4:$Y$133,EL$2,FALSE)*EL$1</f>
        <v>0</v>
      </c>
      <c r="EM22" s="3235">
        <f>$G22+EL22</f>
        <v>1034308926</v>
      </c>
      <c r="EN22" s="3236">
        <f>VLOOKUP($E22,EM$442:EP$453,2,FALSE)*EM22*($K22)+IF($G22&gt;0,($H22/$G22)*EM22,0)*(1-$K22)</f>
        <v>1034308926</v>
      </c>
      <c r="EO22" s="3236">
        <f>VLOOKUP($E22,EM$442:EP$453,3,FALSE)*EM22*($K22)+IF($G22&gt;0,($I22/$G22)*EM22,0)*(1-$K22)</f>
        <v>0</v>
      </c>
      <c r="EP22" s="3236">
        <f>VLOOKUP($E22,EM$442:EP$453,4,FALSE)*EM22*($K22)+(EM22-EN22-EO22)*(1-$K22)</f>
        <v>0</v>
      </c>
      <c r="EQ22" s="3237"/>
      <c r="ET22" s="3255">
        <f>VLOOKUP($A22,'New Resources - Individual'!$A$4:$Y$133,ET$2,FALSE)*ET$1</f>
        <v>0</v>
      </c>
      <c r="EU22" s="3235">
        <f>$G22+ET22</f>
        <v>1034308926</v>
      </c>
      <c r="EV22" s="3236">
        <f>VLOOKUP($E22,EU$442:EX$453,2,FALSE)*EU22*($K22)+IF($G22&gt;0,($H22/$G22)*EU22,0)*(1-$K22)</f>
        <v>1034308926</v>
      </c>
      <c r="EW22" s="3236">
        <f>VLOOKUP($E22,EU$442:EX$453,3,FALSE)*EU22*($K22)+IF($G22&gt;0,($I22/$G22)*EU22,0)*(1-$K22)</f>
        <v>0</v>
      </c>
      <c r="EX22" s="3236">
        <f>VLOOKUP($E22,EU$442:EX$453,4,FALSE)*EU22*($K22)+(EU22-EV22-EW22)*(1-$K22)</f>
        <v>0</v>
      </c>
      <c r="EY22" s="3237"/>
      <c r="FB22" s="3255">
        <f>VLOOKUP($A22,'New Resources - Individual'!$A$4:$Y$133,FB$2,FALSE)*FB$1</f>
        <v>0</v>
      </c>
      <c r="FC22" s="3235">
        <f>$G22+FB22</f>
        <v>1034308926</v>
      </c>
      <c r="FD22" s="3236">
        <f>VLOOKUP($E22,FC$442:FF$453,2,FALSE)*FC22*($K22)+IF($G22&gt;0,($H22/$G22)*FC22,0)*(1-$K22)</f>
        <v>1034308926</v>
      </c>
      <c r="FE22" s="3236">
        <f>VLOOKUP($E22,FC$442:FF$453,3,FALSE)*FC22*($K22)+IF($G22&gt;0,($I22/$G22)*FC22,0)*(1-$K22)</f>
        <v>0</v>
      </c>
      <c r="FF22" s="3236">
        <f>VLOOKUP($E22,FC$442:FF$453,4,FALSE)*FC22*($K22)+(FC22-FD22-FE22)*(1-$K22)</f>
        <v>0</v>
      </c>
      <c r="FG22" s="3237"/>
      <c r="FJ22" s="3255">
        <f>VLOOKUP($A22,'New Resources - Individual'!$A$4:$Y$133,FJ$2,FALSE)*FJ$1</f>
        <v>0</v>
      </c>
      <c r="FK22" s="3235">
        <f>$G22+FJ22</f>
        <v>1034308926</v>
      </c>
      <c r="FL22" s="3236">
        <f>VLOOKUP($E22,FK$442:FN$453,2,FALSE)*FK22*($K22)+IF($G22&gt;0,($H22/$G22)*FK22,0)*(1-$K22)</f>
        <v>1034308926</v>
      </c>
      <c r="FM22" s="3236">
        <f>VLOOKUP($E22,FK$442:FN$453,3,FALSE)*FK22*($K22)+IF($G22&gt;0,($I22/$G22)*FK22,0)*(1-$K22)</f>
        <v>0</v>
      </c>
      <c r="FN22" s="3236">
        <f>VLOOKUP($E22,FK$442:FN$453,4,FALSE)*FK22*($K22)+(FK22-FL22-FM22)*(1-$K22)</f>
        <v>0</v>
      </c>
      <c r="FO22" s="3237"/>
    </row>
    <row r="23" spans="1:171">
      <c r="A23" s="3254">
        <v>250</v>
      </c>
      <c r="B23" s="2103" t="s">
        <v>113</v>
      </c>
      <c r="C23" s="3233" t="s">
        <v>70</v>
      </c>
      <c r="D23" s="2464" t="s">
        <v>114</v>
      </c>
      <c r="E23" s="3234" t="str">
        <f>'Sch 1- Rate Base '!E23</f>
        <v>PROD</v>
      </c>
      <c r="F23" s="2171"/>
      <c r="G23" s="2424">
        <f>'Sch 1- Rate Base '!G23</f>
        <v>0</v>
      </c>
      <c r="H23" s="2424">
        <f>'Sch 1- Rate Base '!H23</f>
        <v>0</v>
      </c>
      <c r="I23" s="2424">
        <f>'Sch 1- Rate Base '!I23</f>
        <v>0</v>
      </c>
      <c r="J23" s="2425">
        <f>'Sch 1- Rate Base '!J23</f>
        <v>0</v>
      </c>
      <c r="K23" s="3205">
        <f>IF($E23="DIRECT",0,1)</f>
        <v>1</v>
      </c>
      <c r="N23" s="3255">
        <f>VLOOKUP($A23,'New Resources - Individual'!$A$4:$Y$133,N$2,FALSE)*N$1</f>
        <v>0</v>
      </c>
      <c r="O23" s="3235">
        <f>$G23+N23</f>
        <v>0</v>
      </c>
      <c r="P23" s="3236">
        <f>VLOOKUP($E23,O$442:R$453,2,FALSE)*O23*($K23)+IF($G23&gt;0,($H23/$G23)*O23,0)*(1-$K23)</f>
        <v>0</v>
      </c>
      <c r="Q23" s="3236">
        <f>VLOOKUP($E23,O$442:R$453,3,FALSE)*O23*($K23)+IF($G23&gt;0,($I23/$G23)*O23,0)*(1-$K23)</f>
        <v>0</v>
      </c>
      <c r="R23" s="3236">
        <f>VLOOKUP($E23,O$442:R$453,4,FALSE)*O23*($K23)+(O23-P23-Q23)*(1-$K23)</f>
        <v>0</v>
      </c>
      <c r="S23" s="3237"/>
      <c r="V23" s="3255">
        <f>VLOOKUP($A23,'New Resources - Individual'!$A$4:$Y$133,V$2,FALSE)*V$1</f>
        <v>0</v>
      </c>
      <c r="W23" s="3235">
        <f>$G23+V23</f>
        <v>0</v>
      </c>
      <c r="X23" s="3236">
        <f>VLOOKUP($E23,W$442:Z$453,2,FALSE)*W23*($K23)+IF($G23&gt;0,($H23/$G23)*W23,0)*(1-$K23)</f>
        <v>0</v>
      </c>
      <c r="Y23" s="3236">
        <f>VLOOKUP($E23,W$442:Z$453,3,FALSE)*W23*($K23)+IF($G23&gt;0,($I23/$G23)*W23,0)*(1-$K23)</f>
        <v>0</v>
      </c>
      <c r="Z23" s="3236">
        <f>VLOOKUP($E23,W$442:Z$453,4,FALSE)*W23*($K23)+(W23-X23-Y23)*(1-$K23)</f>
        <v>0</v>
      </c>
      <c r="AA23" s="3237"/>
      <c r="AD23" s="3255">
        <f>VLOOKUP($A23,'New Resources - Individual'!$A$4:$Y$133,AD$2,FALSE)*AD$1</f>
        <v>0</v>
      </c>
      <c r="AE23" s="3235">
        <f>$G23+AD23</f>
        <v>0</v>
      </c>
      <c r="AF23" s="3236">
        <f>VLOOKUP($E23,AE$442:AH$453,2,FALSE)*AE23*($K23)+IF($G23&gt;0,($H23/$G23)*AE23,0)*(1-$K23)</f>
        <v>0</v>
      </c>
      <c r="AG23" s="3236">
        <f>VLOOKUP($E23,AE$442:AH$453,3,FALSE)*AE23*($K23)+IF($G23&gt;0,($I23/$G23)*AE23,0)*(1-$K23)</f>
        <v>0</v>
      </c>
      <c r="AH23" s="3236">
        <f>VLOOKUP($E23,AE$442:AH$453,4,FALSE)*AE23*($K23)+(AE23-AF23-AG23)*(1-$K23)</f>
        <v>0</v>
      </c>
      <c r="AI23" s="3237"/>
      <c r="AL23" s="3255">
        <f>VLOOKUP($A23,'New Resources - Individual'!$A$4:$Y$133,AL$2,FALSE)*AL$1</f>
        <v>0</v>
      </c>
      <c r="AM23" s="3235">
        <f>$G23+AL23</f>
        <v>0</v>
      </c>
      <c r="AN23" s="3236">
        <f>VLOOKUP($E23,AM$442:AP$453,2,FALSE)*AM23*($K23)+IF($G23&gt;0,($H23/$G23)*AM23,0)*(1-$K23)</f>
        <v>0</v>
      </c>
      <c r="AO23" s="3236">
        <f>VLOOKUP($E23,AM$442:AP$453,3,FALSE)*AM23*($K23)+IF($G23&gt;0,($I23/$G23)*AM23,0)*(1-$K23)</f>
        <v>0</v>
      </c>
      <c r="AP23" s="3236">
        <f>VLOOKUP($E23,AM$442:AP$453,4,FALSE)*AM23*($K23)+(AM23-AN23-AO23)*(1-$K23)</f>
        <v>0</v>
      </c>
      <c r="AQ23" s="3237"/>
      <c r="AT23" s="3255">
        <f>VLOOKUP($A23,'New Resources - Individual'!$A$4:$Y$133,AT$2,FALSE)*AT$1</f>
        <v>0</v>
      </c>
      <c r="AU23" s="3235">
        <f>$G23+AT23</f>
        <v>0</v>
      </c>
      <c r="AV23" s="3236">
        <f>VLOOKUP($E23,AU$442:AX$453,2,FALSE)*AU23*($K23)+IF($G23&gt;0,($H23/$G23)*AU23,0)*(1-$K23)</f>
        <v>0</v>
      </c>
      <c r="AW23" s="3236">
        <f>VLOOKUP($E23,AU$442:AX$453,3,FALSE)*AU23*($K23)+IF($G23&gt;0,($I23/$G23)*AU23,0)*(1-$K23)</f>
        <v>0</v>
      </c>
      <c r="AX23" s="3236">
        <f>VLOOKUP($E23,AU$442:AX$453,4,FALSE)*AU23*($K23)+(AU23-AV23-AW23)*(1-$K23)</f>
        <v>0</v>
      </c>
      <c r="AY23" s="3237"/>
      <c r="BB23" s="3255">
        <f>VLOOKUP($A23,'New Resources - Individual'!$A$4:$Y$133,BB$2,FALSE)*BB$1</f>
        <v>0</v>
      </c>
      <c r="BC23" s="3235">
        <f>$G23+BB23</f>
        <v>0</v>
      </c>
      <c r="BD23" s="3236">
        <f>VLOOKUP($E23,BC$442:BF$453,2,FALSE)*BC23*($K23)+IF($G23&gt;0,($H23/$G23)*BC23,0)*(1-$K23)</f>
        <v>0</v>
      </c>
      <c r="BE23" s="3236">
        <f>VLOOKUP($E23,BC$442:BF$453,3,FALSE)*BC23*($K23)+IF($G23&gt;0,($I23/$G23)*BC23,0)*(1-$K23)</f>
        <v>0</v>
      </c>
      <c r="BF23" s="3236">
        <f>VLOOKUP($E23,BC$442:BF$453,4,FALSE)*BC23*($K23)+(BC23-BD23-BE23)*(1-$K23)</f>
        <v>0</v>
      </c>
      <c r="BG23" s="3237"/>
      <c r="BJ23" s="3255">
        <f>VLOOKUP($A23,'New Resources - Individual'!$A$4:$Y$133,BJ$2,FALSE)*BJ$1</f>
        <v>0</v>
      </c>
      <c r="BK23" s="3235">
        <f>$G23+BJ23</f>
        <v>0</v>
      </c>
      <c r="BL23" s="3236">
        <f>VLOOKUP($E23,BK$442:BN$453,2,FALSE)*BK23*($K23)+IF($G23&gt;0,($H23/$G23)*BK23,0)*(1-$K23)</f>
        <v>0</v>
      </c>
      <c r="BM23" s="3236">
        <f>VLOOKUP($E23,BK$442:BN$453,3,FALSE)*BK23*($K23)+IF($G23&gt;0,($I23/$G23)*BK23,0)*(1-$K23)</f>
        <v>0</v>
      </c>
      <c r="BN23" s="3236">
        <f>VLOOKUP($E23,BK$442:BN$453,4,FALSE)*BK23*($K23)+(BK23-BL23-BM23)*(1-$K23)</f>
        <v>0</v>
      </c>
      <c r="BO23" s="3237"/>
      <c r="BR23" s="3255">
        <f>VLOOKUP($A23,'New Resources - Individual'!$A$4:$Y$133,BR$2,FALSE)*BR$1</f>
        <v>0</v>
      </c>
      <c r="BS23" s="3235">
        <f>$G23+BR23</f>
        <v>0</v>
      </c>
      <c r="BT23" s="3236">
        <f>VLOOKUP($E23,BS$442:BV$453,2,FALSE)*BS23*($K23)+IF($G23&gt;0,($H23/$G23)*BS23,0)*(1-$K23)</f>
        <v>0</v>
      </c>
      <c r="BU23" s="3236">
        <f>VLOOKUP($E23,BS$442:BV$453,3,FALSE)*BS23*($K23)+IF($G23&gt;0,($I23/$G23)*BS23,0)*(1-$K23)</f>
        <v>0</v>
      </c>
      <c r="BV23" s="3236">
        <f>VLOOKUP($E23,BS$442:BV$453,4,FALSE)*BS23*($K23)+(BS23-BT23-BU23)*(1-$K23)</f>
        <v>0</v>
      </c>
      <c r="BW23" s="3237"/>
      <c r="BZ23" s="3255">
        <f>VLOOKUP($A23,'New Resources - Individual'!$A$4:$Y$133,BZ$2,FALSE)*BZ$1</f>
        <v>0</v>
      </c>
      <c r="CA23" s="3235">
        <f>$G23+BZ23</f>
        <v>0</v>
      </c>
      <c r="CB23" s="3236">
        <f>VLOOKUP($E23,CA$442:CD$453,2,FALSE)*CA23*($K23)+IF($G23&gt;0,($H23/$G23)*CA23,0)*(1-$K23)</f>
        <v>0</v>
      </c>
      <c r="CC23" s="3236">
        <f>VLOOKUP($E23,CA$442:CD$453,3,FALSE)*CA23*($K23)+IF($G23&gt;0,($I23/$G23)*CA23,0)*(1-$K23)</f>
        <v>0</v>
      </c>
      <c r="CD23" s="3236">
        <f>VLOOKUP($E23,CA$442:CD$453,4,FALSE)*CA23*($K23)+(CA23-CB23-CC23)*(1-$K23)</f>
        <v>0</v>
      </c>
      <c r="CE23" s="3237"/>
      <c r="CH23" s="3255">
        <f>VLOOKUP($A23,'New Resources - Individual'!$A$4:$Y$133,CH$2,FALSE)*CH$1</f>
        <v>0</v>
      </c>
      <c r="CI23" s="3235">
        <f>$G23+CH23</f>
        <v>0</v>
      </c>
      <c r="CJ23" s="3236">
        <f>VLOOKUP($E23,CI$442:CL$453,2,FALSE)*CI23*($K23)+IF($G23&gt;0,($H23/$G23)*CI23,0)*(1-$K23)</f>
        <v>0</v>
      </c>
      <c r="CK23" s="3236">
        <f>VLOOKUP($E23,CI$442:CL$453,3,FALSE)*CI23*($K23)+IF($G23&gt;0,($I23/$G23)*CI23,0)*(1-$K23)</f>
        <v>0</v>
      </c>
      <c r="CL23" s="3236">
        <f>VLOOKUP($E23,CI$442:CL$453,4,FALSE)*CI23*($K23)+(CI23-CJ23-CK23)*(1-$K23)</f>
        <v>0</v>
      </c>
      <c r="CM23" s="3237"/>
      <c r="CP23" s="3255">
        <f>VLOOKUP($A23,'New Resources - Individual'!$A$4:$Y$133,CP$2,FALSE)*CP$1</f>
        <v>0</v>
      </c>
      <c r="CQ23" s="3235">
        <f>$G23+CP23</f>
        <v>0</v>
      </c>
      <c r="CR23" s="3236">
        <f>VLOOKUP($E23,CQ$442:CT$453,2,FALSE)*CQ23*($K23)+IF($G23&gt;0,($H23/$G23)*CQ23,0)*(1-$K23)</f>
        <v>0</v>
      </c>
      <c r="CS23" s="3236">
        <f>VLOOKUP($E23,CQ$442:CT$453,3,FALSE)*CQ23*($K23)+IF($G23&gt;0,($I23/$G23)*CQ23,0)*(1-$K23)</f>
        <v>0</v>
      </c>
      <c r="CT23" s="3236">
        <f>VLOOKUP($E23,CQ$442:CT$453,4,FALSE)*CQ23*($K23)+(CQ23-CR23-CS23)*(1-$K23)</f>
        <v>0</v>
      </c>
      <c r="CU23" s="3237"/>
      <c r="CX23" s="3255">
        <f>VLOOKUP($A23,'New Resources - Individual'!$A$4:$Y$133,CX$2,FALSE)*CX$1</f>
        <v>0</v>
      </c>
      <c r="CY23" s="3235">
        <f>$G23+CX23</f>
        <v>0</v>
      </c>
      <c r="CZ23" s="3236">
        <f>VLOOKUP($E23,CY$442:DB$453,2,FALSE)*CY23*($K23)+IF($G23&gt;0,($H23/$G23)*CY23,0)*(1-$K23)</f>
        <v>0</v>
      </c>
      <c r="DA23" s="3236">
        <f>VLOOKUP($E23,CY$442:DB$453,3,FALSE)*CY23*($K23)+IF($G23&gt;0,($I23/$G23)*CY23,0)*(1-$K23)</f>
        <v>0</v>
      </c>
      <c r="DB23" s="3236">
        <f>VLOOKUP($E23,CY$442:DB$453,4,FALSE)*CY23*($K23)+(CY23-CZ23-DA23)*(1-$K23)</f>
        <v>0</v>
      </c>
      <c r="DC23" s="3237"/>
      <c r="DF23" s="3255">
        <f>VLOOKUP($A23,'New Resources - Individual'!$A$4:$Y$133,DF$2,FALSE)*DF$1</f>
        <v>0</v>
      </c>
      <c r="DG23" s="3235">
        <f>$G23+DF23</f>
        <v>0</v>
      </c>
      <c r="DH23" s="3236">
        <f>VLOOKUP($E23,DG$442:DJ$453,2,FALSE)*DG23*($K23)+IF($G23&gt;0,($H23/$G23)*DG23,0)*(1-$K23)</f>
        <v>0</v>
      </c>
      <c r="DI23" s="3236">
        <f>VLOOKUP($E23,DG$442:DJ$453,3,FALSE)*DG23*($K23)+IF($G23&gt;0,($I23/$G23)*DG23,0)*(1-$K23)</f>
        <v>0</v>
      </c>
      <c r="DJ23" s="3236">
        <f>VLOOKUP($E23,DG$442:DJ$453,4,FALSE)*DG23*($K23)+(DG23-DH23-DI23)*(1-$K23)</f>
        <v>0</v>
      </c>
      <c r="DK23" s="3237"/>
      <c r="DN23" s="3255">
        <f>VLOOKUP($A23,'New Resources - Individual'!$A$4:$Y$133,DN$2,FALSE)*DN$1</f>
        <v>0</v>
      </c>
      <c r="DO23" s="3235">
        <f>$G23+DN23</f>
        <v>0</v>
      </c>
      <c r="DP23" s="3236">
        <f>VLOOKUP($E23,DO$442:DR$453,2,FALSE)*DO23*($K23)+IF($G23&gt;0,($H23/$G23)*DO23,0)*(1-$K23)</f>
        <v>0</v>
      </c>
      <c r="DQ23" s="3236">
        <f>VLOOKUP($E23,DO$442:DR$453,3,FALSE)*DO23*($K23)+IF($G23&gt;0,($I23/$G23)*DO23,0)*(1-$K23)</f>
        <v>0</v>
      </c>
      <c r="DR23" s="3236">
        <f>VLOOKUP($E23,DO$442:DR$453,4,FALSE)*DO23*($K23)+(DO23-DP23-DQ23)*(1-$K23)</f>
        <v>0</v>
      </c>
      <c r="DS23" s="3237"/>
      <c r="DV23" s="3255">
        <f>VLOOKUP($A23,'New Resources - Individual'!$A$4:$Y$133,DV$2,FALSE)*DV$1</f>
        <v>0</v>
      </c>
      <c r="DW23" s="3235">
        <f>$G23+DV23</f>
        <v>0</v>
      </c>
      <c r="DX23" s="3236">
        <f>VLOOKUP($E23,DW$442:DZ$453,2,FALSE)*DW23*($K23)+IF($G23&gt;0,($H23/$G23)*DW23,0)*(1-$K23)</f>
        <v>0</v>
      </c>
      <c r="DY23" s="3236">
        <f>VLOOKUP($E23,DW$442:DZ$453,3,FALSE)*DW23*($K23)+IF($G23&gt;0,($I23/$G23)*DW23,0)*(1-$K23)</f>
        <v>0</v>
      </c>
      <c r="DZ23" s="3236">
        <f>VLOOKUP($E23,DW$442:DZ$453,4,FALSE)*DW23*($K23)+(DW23-DX23-DY23)*(1-$K23)</f>
        <v>0</v>
      </c>
      <c r="EA23" s="3237"/>
      <c r="ED23" s="3255">
        <f>VLOOKUP($A23,'New Resources - Individual'!$A$4:$Y$133,ED$2,FALSE)*ED$1</f>
        <v>0</v>
      </c>
      <c r="EE23" s="3235">
        <f>$G23+ED23</f>
        <v>0</v>
      </c>
      <c r="EF23" s="3236">
        <f>VLOOKUP($E23,EE$442:EH$453,2,FALSE)*EE23*($K23)+IF($G23&gt;0,($H23/$G23)*EE23,0)*(1-$K23)</f>
        <v>0</v>
      </c>
      <c r="EG23" s="3236">
        <f>VLOOKUP($E23,EE$442:EH$453,3,FALSE)*EE23*($K23)+IF($G23&gt;0,($I23/$G23)*EE23,0)*(1-$K23)</f>
        <v>0</v>
      </c>
      <c r="EH23" s="3236">
        <f>VLOOKUP($E23,EE$442:EH$453,4,FALSE)*EE23*($K23)+(EE23-EF23-EG23)*(1-$K23)</f>
        <v>0</v>
      </c>
      <c r="EI23" s="3237"/>
      <c r="EL23" s="3255">
        <f>VLOOKUP($A23,'New Resources - Individual'!$A$4:$Y$133,EL$2,FALSE)*EL$1</f>
        <v>0</v>
      </c>
      <c r="EM23" s="3235">
        <f>$G23+EL23</f>
        <v>0</v>
      </c>
      <c r="EN23" s="3236">
        <f>VLOOKUP($E23,EM$442:EP$453,2,FALSE)*EM23*($K23)+IF($G23&gt;0,($H23/$G23)*EM23,0)*(1-$K23)</f>
        <v>0</v>
      </c>
      <c r="EO23" s="3236">
        <f>VLOOKUP($E23,EM$442:EP$453,3,FALSE)*EM23*($K23)+IF($G23&gt;0,($I23/$G23)*EM23,0)*(1-$K23)</f>
        <v>0</v>
      </c>
      <c r="EP23" s="3236">
        <f>VLOOKUP($E23,EM$442:EP$453,4,FALSE)*EM23*($K23)+(EM23-EN23-EO23)*(1-$K23)</f>
        <v>0</v>
      </c>
      <c r="EQ23" s="3237"/>
      <c r="ET23" s="3255">
        <f>VLOOKUP($A23,'New Resources - Individual'!$A$4:$Y$133,ET$2,FALSE)*ET$1</f>
        <v>0</v>
      </c>
      <c r="EU23" s="3235">
        <f>$G23+ET23</f>
        <v>0</v>
      </c>
      <c r="EV23" s="3236">
        <f>VLOOKUP($E23,EU$442:EX$453,2,FALSE)*EU23*($K23)+IF($G23&gt;0,($H23/$G23)*EU23,0)*(1-$K23)</f>
        <v>0</v>
      </c>
      <c r="EW23" s="3236">
        <f>VLOOKUP($E23,EU$442:EX$453,3,FALSE)*EU23*($K23)+IF($G23&gt;0,($I23/$G23)*EU23,0)*(1-$K23)</f>
        <v>0</v>
      </c>
      <c r="EX23" s="3236">
        <f>VLOOKUP($E23,EU$442:EX$453,4,FALSE)*EU23*($K23)+(EU23-EV23-EW23)*(1-$K23)</f>
        <v>0</v>
      </c>
      <c r="EY23" s="3237"/>
      <c r="FB23" s="3255">
        <f>VLOOKUP($A23,'New Resources - Individual'!$A$4:$Y$133,FB$2,FALSE)*FB$1</f>
        <v>0</v>
      </c>
      <c r="FC23" s="3235">
        <f>$G23+FB23</f>
        <v>0</v>
      </c>
      <c r="FD23" s="3236">
        <f>VLOOKUP($E23,FC$442:FF$453,2,FALSE)*FC23*($K23)+IF($G23&gt;0,($H23/$G23)*FC23,0)*(1-$K23)</f>
        <v>0</v>
      </c>
      <c r="FE23" s="3236">
        <f>VLOOKUP($E23,FC$442:FF$453,3,FALSE)*FC23*($K23)+IF($G23&gt;0,($I23/$G23)*FC23,0)*(1-$K23)</f>
        <v>0</v>
      </c>
      <c r="FF23" s="3236">
        <f>VLOOKUP($E23,FC$442:FF$453,4,FALSE)*FC23*($K23)+(FC23-FD23-FE23)*(1-$K23)</f>
        <v>0</v>
      </c>
      <c r="FG23" s="3237"/>
      <c r="FJ23" s="3255">
        <f>VLOOKUP($A23,'New Resources - Individual'!$A$4:$Y$133,FJ$2,FALSE)*FJ$1</f>
        <v>0</v>
      </c>
      <c r="FK23" s="3235">
        <f>$G23+FJ23</f>
        <v>0</v>
      </c>
      <c r="FL23" s="3236">
        <f>VLOOKUP($E23,FK$442:FN$453,2,FALSE)*FK23*($K23)+IF($G23&gt;0,($H23/$G23)*FK23,0)*(1-$K23)</f>
        <v>0</v>
      </c>
      <c r="FM23" s="3236">
        <f>VLOOKUP($E23,FK$442:FN$453,3,FALSE)*FK23*($K23)+IF($G23&gt;0,($I23/$G23)*FK23,0)*(1-$K23)</f>
        <v>0</v>
      </c>
      <c r="FN23" s="3236">
        <f>VLOOKUP($E23,FK$442:FN$453,4,FALSE)*FK23*($K23)+(FK23-FL23-FM23)*(1-$K23)</f>
        <v>0</v>
      </c>
      <c r="FO23" s="3237"/>
    </row>
    <row r="24" spans="1:171">
      <c r="A24" s="3254">
        <v>380</v>
      </c>
      <c r="B24" s="2103" t="s">
        <v>115</v>
      </c>
      <c r="C24" s="3233" t="s">
        <v>70</v>
      </c>
      <c r="D24" s="2464" t="s">
        <v>116</v>
      </c>
      <c r="E24" s="3234" t="str">
        <f>'Sch 1- Rate Base '!E24</f>
        <v>PROD</v>
      </c>
      <c r="F24" s="2171"/>
      <c r="G24" s="2424">
        <f>'Sch 1- Rate Base '!G24</f>
        <v>788941762</v>
      </c>
      <c r="H24" s="2424">
        <f>'Sch 1- Rate Base '!H24</f>
        <v>788941762</v>
      </c>
      <c r="I24" s="2424">
        <f>'Sch 1- Rate Base '!I24</f>
        <v>0</v>
      </c>
      <c r="J24" s="2425">
        <f>'Sch 1- Rate Base '!J24</f>
        <v>0</v>
      </c>
      <c r="K24" s="3205">
        <f>IF($E24="DIRECT",0,1)</f>
        <v>1</v>
      </c>
      <c r="N24" s="3255">
        <f>VLOOKUP($A24,'New Resources - Individual'!$A$4:$Y$133,N$2,FALSE)*N$1</f>
        <v>0</v>
      </c>
      <c r="O24" s="3235">
        <f>$G24+N24</f>
        <v>788941762</v>
      </c>
      <c r="P24" s="3236">
        <f>VLOOKUP($E24,O$442:R$453,2,FALSE)*O24*($K24)+IF($G24&gt;0,($H24/$G24)*O24,0)*(1-$K24)</f>
        <v>788941762</v>
      </c>
      <c r="Q24" s="3236">
        <f>VLOOKUP($E24,O$442:R$453,3,FALSE)*O24*($K24)+IF($G24&gt;0,($I24/$G24)*O24,0)*(1-$K24)</f>
        <v>0</v>
      </c>
      <c r="R24" s="3236">
        <f>VLOOKUP($E24,O$442:R$453,4,FALSE)*O24*($K24)+(O24-P24-Q24)*(1-$K24)</f>
        <v>0</v>
      </c>
      <c r="S24" s="3237"/>
      <c r="V24" s="3255">
        <f>VLOOKUP($A24,'New Resources - Individual'!$A$4:$Y$133,V$2,FALSE)*V$1</f>
        <v>0</v>
      </c>
      <c r="W24" s="3235">
        <f>$G24+V24</f>
        <v>788941762</v>
      </c>
      <c r="X24" s="3236">
        <f>VLOOKUP($E24,W$442:Z$453,2,FALSE)*W24*($K24)+IF($G24&gt;0,($H24/$G24)*W24,0)*(1-$K24)</f>
        <v>788941762</v>
      </c>
      <c r="Y24" s="3236">
        <f>VLOOKUP($E24,W$442:Z$453,3,FALSE)*W24*($K24)+IF($G24&gt;0,($I24/$G24)*W24,0)*(1-$K24)</f>
        <v>0</v>
      </c>
      <c r="Z24" s="3236">
        <f>VLOOKUP($E24,W$442:Z$453,4,FALSE)*W24*($K24)+(W24-X24-Y24)*(1-$K24)</f>
        <v>0</v>
      </c>
      <c r="AA24" s="3237"/>
      <c r="AD24" s="3255">
        <f>VLOOKUP($A24,'New Resources - Individual'!$A$4:$Y$133,AD$2,FALSE)*AD$1</f>
        <v>0</v>
      </c>
      <c r="AE24" s="3235">
        <f>$G24+AD24</f>
        <v>788941762</v>
      </c>
      <c r="AF24" s="3236">
        <f>VLOOKUP($E24,AE$442:AH$453,2,FALSE)*AE24*($K24)+IF($G24&gt;0,($H24/$G24)*AE24,0)*(1-$K24)</f>
        <v>788941762</v>
      </c>
      <c r="AG24" s="3236">
        <f>VLOOKUP($E24,AE$442:AH$453,3,FALSE)*AE24*($K24)+IF($G24&gt;0,($I24/$G24)*AE24,0)*(1-$K24)</f>
        <v>0</v>
      </c>
      <c r="AH24" s="3236">
        <f>VLOOKUP($E24,AE$442:AH$453,4,FALSE)*AE24*($K24)+(AE24-AF24-AG24)*(1-$K24)</f>
        <v>0</v>
      </c>
      <c r="AI24" s="3237"/>
      <c r="AL24" s="3255">
        <f>VLOOKUP($A24,'New Resources - Individual'!$A$4:$Y$133,AL$2,FALSE)*AL$1</f>
        <v>0</v>
      </c>
      <c r="AM24" s="3235">
        <f>$G24+AL24</f>
        <v>788941762</v>
      </c>
      <c r="AN24" s="3236">
        <f>VLOOKUP($E24,AM$442:AP$453,2,FALSE)*AM24*($K24)+IF($G24&gt;0,($H24/$G24)*AM24,0)*(1-$K24)</f>
        <v>788941762</v>
      </c>
      <c r="AO24" s="3236">
        <f>VLOOKUP($E24,AM$442:AP$453,3,FALSE)*AM24*($K24)+IF($G24&gt;0,($I24/$G24)*AM24,0)*(1-$K24)</f>
        <v>0</v>
      </c>
      <c r="AP24" s="3236">
        <f>VLOOKUP($E24,AM$442:AP$453,4,FALSE)*AM24*($K24)+(AM24-AN24-AO24)*(1-$K24)</f>
        <v>0</v>
      </c>
      <c r="AQ24" s="3237"/>
      <c r="AT24" s="3255">
        <f>VLOOKUP($A24,'New Resources - Individual'!$A$4:$Y$133,AT$2,FALSE)*AT$1</f>
        <v>0</v>
      </c>
      <c r="AU24" s="3235">
        <f>$G24+AT24</f>
        <v>788941762</v>
      </c>
      <c r="AV24" s="3236">
        <f>VLOOKUP($E24,AU$442:AX$453,2,FALSE)*AU24*($K24)+IF($G24&gt;0,($H24/$G24)*AU24,0)*(1-$K24)</f>
        <v>788941762</v>
      </c>
      <c r="AW24" s="3236">
        <f>VLOOKUP($E24,AU$442:AX$453,3,FALSE)*AU24*($K24)+IF($G24&gt;0,($I24/$G24)*AU24,0)*(1-$K24)</f>
        <v>0</v>
      </c>
      <c r="AX24" s="3236">
        <f>VLOOKUP($E24,AU$442:AX$453,4,FALSE)*AU24*($K24)+(AU24-AV24-AW24)*(1-$K24)</f>
        <v>0</v>
      </c>
      <c r="AY24" s="3237"/>
      <c r="BB24" s="3255">
        <f>VLOOKUP($A24,'New Resources - Individual'!$A$4:$Y$133,BB$2,FALSE)*BB$1</f>
        <v>0</v>
      </c>
      <c r="BC24" s="3235">
        <f>$G24+BB24</f>
        <v>788941762</v>
      </c>
      <c r="BD24" s="3236">
        <f>VLOOKUP($E24,BC$442:BF$453,2,FALSE)*BC24*($K24)+IF($G24&gt;0,($H24/$G24)*BC24,0)*(1-$K24)</f>
        <v>788941762</v>
      </c>
      <c r="BE24" s="3236">
        <f>VLOOKUP($E24,BC$442:BF$453,3,FALSE)*BC24*($K24)+IF($G24&gt;0,($I24/$G24)*BC24,0)*(1-$K24)</f>
        <v>0</v>
      </c>
      <c r="BF24" s="3236">
        <f>VLOOKUP($E24,BC$442:BF$453,4,FALSE)*BC24*($K24)+(BC24-BD24-BE24)*(1-$K24)</f>
        <v>0</v>
      </c>
      <c r="BG24" s="3237"/>
      <c r="BJ24" s="3255">
        <f>VLOOKUP($A24,'New Resources - Individual'!$A$4:$Y$133,BJ$2,FALSE)*BJ$1</f>
        <v>0</v>
      </c>
      <c r="BK24" s="3235">
        <f>$G24+BJ24</f>
        <v>788941762</v>
      </c>
      <c r="BL24" s="3236">
        <f>VLOOKUP($E24,BK$442:BN$453,2,FALSE)*BK24*($K24)+IF($G24&gt;0,($H24/$G24)*BK24,0)*(1-$K24)</f>
        <v>788941762</v>
      </c>
      <c r="BM24" s="3236">
        <f>VLOOKUP($E24,BK$442:BN$453,3,FALSE)*BK24*($K24)+IF($G24&gt;0,($I24/$G24)*BK24,0)*(1-$K24)</f>
        <v>0</v>
      </c>
      <c r="BN24" s="3236">
        <f>VLOOKUP($E24,BK$442:BN$453,4,FALSE)*BK24*($K24)+(BK24-BL24-BM24)*(1-$K24)</f>
        <v>0</v>
      </c>
      <c r="BO24" s="3237"/>
      <c r="BR24" s="3255">
        <f>VLOOKUP($A24,'New Resources - Individual'!$A$4:$Y$133,BR$2,FALSE)*BR$1</f>
        <v>0</v>
      </c>
      <c r="BS24" s="3235">
        <f>$G24+BR24</f>
        <v>788941762</v>
      </c>
      <c r="BT24" s="3236">
        <f>VLOOKUP($E24,BS$442:BV$453,2,FALSE)*BS24*($K24)+IF($G24&gt;0,($H24/$G24)*BS24,0)*(1-$K24)</f>
        <v>788941762</v>
      </c>
      <c r="BU24" s="3236">
        <f>VLOOKUP($E24,BS$442:BV$453,3,FALSE)*BS24*($K24)+IF($G24&gt;0,($I24/$G24)*BS24,0)*(1-$K24)</f>
        <v>0</v>
      </c>
      <c r="BV24" s="3236">
        <f>VLOOKUP($E24,BS$442:BV$453,4,FALSE)*BS24*($K24)+(BS24-BT24-BU24)*(1-$K24)</f>
        <v>0</v>
      </c>
      <c r="BW24" s="3237"/>
      <c r="BZ24" s="3255">
        <f>VLOOKUP($A24,'New Resources - Individual'!$A$4:$Y$133,BZ$2,FALSE)*BZ$1</f>
        <v>0</v>
      </c>
      <c r="CA24" s="3235">
        <f>$G24+BZ24</f>
        <v>788941762</v>
      </c>
      <c r="CB24" s="3236">
        <f>VLOOKUP($E24,CA$442:CD$453,2,FALSE)*CA24*($K24)+IF($G24&gt;0,($H24/$G24)*CA24,0)*(1-$K24)</f>
        <v>788941762</v>
      </c>
      <c r="CC24" s="3236">
        <f>VLOOKUP($E24,CA$442:CD$453,3,FALSE)*CA24*($K24)+IF($G24&gt;0,($I24/$G24)*CA24,0)*(1-$K24)</f>
        <v>0</v>
      </c>
      <c r="CD24" s="3236">
        <f>VLOOKUP($E24,CA$442:CD$453,4,FALSE)*CA24*($K24)+(CA24-CB24-CC24)*(1-$K24)</f>
        <v>0</v>
      </c>
      <c r="CE24" s="3237"/>
      <c r="CH24" s="3255">
        <f>VLOOKUP($A24,'New Resources - Individual'!$A$4:$Y$133,CH$2,FALSE)*CH$1</f>
        <v>0</v>
      </c>
      <c r="CI24" s="3235">
        <f>$G24+CH24</f>
        <v>788941762</v>
      </c>
      <c r="CJ24" s="3236">
        <f>VLOOKUP($E24,CI$442:CL$453,2,FALSE)*CI24*($K24)+IF($G24&gt;0,($H24/$G24)*CI24,0)*(1-$K24)</f>
        <v>788941762</v>
      </c>
      <c r="CK24" s="3236">
        <f>VLOOKUP($E24,CI$442:CL$453,3,FALSE)*CI24*($K24)+IF($G24&gt;0,($I24/$G24)*CI24,0)*(1-$K24)</f>
        <v>0</v>
      </c>
      <c r="CL24" s="3236">
        <f>VLOOKUP($E24,CI$442:CL$453,4,FALSE)*CI24*($K24)+(CI24-CJ24-CK24)*(1-$K24)</f>
        <v>0</v>
      </c>
      <c r="CM24" s="3237"/>
      <c r="CP24" s="3255">
        <f>VLOOKUP($A24,'New Resources - Individual'!$A$4:$Y$133,CP$2,FALSE)*CP$1</f>
        <v>0</v>
      </c>
      <c r="CQ24" s="3235">
        <f>$G24+CP24</f>
        <v>788941762</v>
      </c>
      <c r="CR24" s="3236">
        <f>VLOOKUP($E24,CQ$442:CT$453,2,FALSE)*CQ24*($K24)+IF($G24&gt;0,($H24/$G24)*CQ24,0)*(1-$K24)</f>
        <v>788941762</v>
      </c>
      <c r="CS24" s="3236">
        <f>VLOOKUP($E24,CQ$442:CT$453,3,FALSE)*CQ24*($K24)+IF($G24&gt;0,($I24/$G24)*CQ24,0)*(1-$K24)</f>
        <v>0</v>
      </c>
      <c r="CT24" s="3236">
        <f>VLOOKUP($E24,CQ$442:CT$453,4,FALSE)*CQ24*($K24)+(CQ24-CR24-CS24)*(1-$K24)</f>
        <v>0</v>
      </c>
      <c r="CU24" s="3237"/>
      <c r="CX24" s="3255">
        <f>VLOOKUP($A24,'New Resources - Individual'!$A$4:$Y$133,CX$2,FALSE)*CX$1</f>
        <v>0</v>
      </c>
      <c r="CY24" s="3235">
        <f>$G24+CX24</f>
        <v>788941762</v>
      </c>
      <c r="CZ24" s="3236">
        <f>VLOOKUP($E24,CY$442:DB$453,2,FALSE)*CY24*($K24)+IF($G24&gt;0,($H24/$G24)*CY24,0)*(1-$K24)</f>
        <v>788941762</v>
      </c>
      <c r="DA24" s="3236">
        <f>VLOOKUP($E24,CY$442:DB$453,3,FALSE)*CY24*($K24)+IF($G24&gt;0,($I24/$G24)*CY24,0)*(1-$K24)</f>
        <v>0</v>
      </c>
      <c r="DB24" s="3236">
        <f>VLOOKUP($E24,CY$442:DB$453,4,FALSE)*CY24*($K24)+(CY24-CZ24-DA24)*(1-$K24)</f>
        <v>0</v>
      </c>
      <c r="DC24" s="3237"/>
      <c r="DF24" s="3255">
        <f>VLOOKUP($A24,'New Resources - Individual'!$A$4:$Y$133,DF$2,FALSE)*DF$1</f>
        <v>0</v>
      </c>
      <c r="DG24" s="3235">
        <f>$G24+DF24</f>
        <v>788941762</v>
      </c>
      <c r="DH24" s="3236">
        <f>VLOOKUP($E24,DG$442:DJ$453,2,FALSE)*DG24*($K24)+IF($G24&gt;0,($H24/$G24)*DG24,0)*(1-$K24)</f>
        <v>788941762</v>
      </c>
      <c r="DI24" s="3236">
        <f>VLOOKUP($E24,DG$442:DJ$453,3,FALSE)*DG24*($K24)+IF($G24&gt;0,($I24/$G24)*DG24,0)*(1-$K24)</f>
        <v>0</v>
      </c>
      <c r="DJ24" s="3236">
        <f>VLOOKUP($E24,DG$442:DJ$453,4,FALSE)*DG24*($K24)+(DG24-DH24-DI24)*(1-$K24)</f>
        <v>0</v>
      </c>
      <c r="DK24" s="3237"/>
      <c r="DN24" s="3255">
        <f>VLOOKUP($A24,'New Resources - Individual'!$A$4:$Y$133,DN$2,FALSE)*DN$1</f>
        <v>0</v>
      </c>
      <c r="DO24" s="3235">
        <f>$G24+DN24</f>
        <v>788941762</v>
      </c>
      <c r="DP24" s="3236">
        <f>VLOOKUP($E24,DO$442:DR$453,2,FALSE)*DO24*($K24)+IF($G24&gt;0,($H24/$G24)*DO24,0)*(1-$K24)</f>
        <v>788941762</v>
      </c>
      <c r="DQ24" s="3236">
        <f>VLOOKUP($E24,DO$442:DR$453,3,FALSE)*DO24*($K24)+IF($G24&gt;0,($I24/$G24)*DO24,0)*(1-$K24)</f>
        <v>0</v>
      </c>
      <c r="DR24" s="3236">
        <f>VLOOKUP($E24,DO$442:DR$453,4,FALSE)*DO24*($K24)+(DO24-DP24-DQ24)*(1-$K24)</f>
        <v>0</v>
      </c>
      <c r="DS24" s="3237"/>
      <c r="DV24" s="3255">
        <f>VLOOKUP($A24,'New Resources - Individual'!$A$4:$Y$133,DV$2,FALSE)*DV$1</f>
        <v>0</v>
      </c>
      <c r="DW24" s="3235">
        <f>$G24+DV24</f>
        <v>788941762</v>
      </c>
      <c r="DX24" s="3236">
        <f>VLOOKUP($E24,DW$442:DZ$453,2,FALSE)*DW24*($K24)+IF($G24&gt;0,($H24/$G24)*DW24,0)*(1-$K24)</f>
        <v>788941762</v>
      </c>
      <c r="DY24" s="3236">
        <f>VLOOKUP($E24,DW$442:DZ$453,3,FALSE)*DW24*($K24)+IF($G24&gt;0,($I24/$G24)*DW24,0)*(1-$K24)</f>
        <v>0</v>
      </c>
      <c r="DZ24" s="3236">
        <f>VLOOKUP($E24,DW$442:DZ$453,4,FALSE)*DW24*($K24)+(DW24-DX24-DY24)*(1-$K24)</f>
        <v>0</v>
      </c>
      <c r="EA24" s="3237"/>
      <c r="ED24" s="3255">
        <f>VLOOKUP($A24,'New Resources - Individual'!$A$4:$Y$133,ED$2,FALSE)*ED$1</f>
        <v>0</v>
      </c>
      <c r="EE24" s="3235">
        <f>$G24+ED24</f>
        <v>788941762</v>
      </c>
      <c r="EF24" s="3236">
        <f>VLOOKUP($E24,EE$442:EH$453,2,FALSE)*EE24*($K24)+IF($G24&gt;0,($H24/$G24)*EE24,0)*(1-$K24)</f>
        <v>788941762</v>
      </c>
      <c r="EG24" s="3236">
        <f>VLOOKUP($E24,EE$442:EH$453,3,FALSE)*EE24*($K24)+IF($G24&gt;0,($I24/$G24)*EE24,0)*(1-$K24)</f>
        <v>0</v>
      </c>
      <c r="EH24" s="3236">
        <f>VLOOKUP($E24,EE$442:EH$453,4,FALSE)*EE24*($K24)+(EE24-EF24-EG24)*(1-$K24)</f>
        <v>0</v>
      </c>
      <c r="EI24" s="3237"/>
      <c r="EL24" s="3255">
        <f>VLOOKUP($A24,'New Resources - Individual'!$A$4:$Y$133,EL$2,FALSE)*EL$1</f>
        <v>0</v>
      </c>
      <c r="EM24" s="3235">
        <f>$G24+EL24</f>
        <v>788941762</v>
      </c>
      <c r="EN24" s="3236">
        <f>VLOOKUP($E24,EM$442:EP$453,2,FALSE)*EM24*($K24)+IF($G24&gt;0,($H24/$G24)*EM24,0)*(1-$K24)</f>
        <v>788941762</v>
      </c>
      <c r="EO24" s="3236">
        <f>VLOOKUP($E24,EM$442:EP$453,3,FALSE)*EM24*($K24)+IF($G24&gt;0,($I24/$G24)*EM24,0)*(1-$K24)</f>
        <v>0</v>
      </c>
      <c r="EP24" s="3236">
        <f>VLOOKUP($E24,EM$442:EP$453,4,FALSE)*EM24*($K24)+(EM24-EN24-EO24)*(1-$K24)</f>
        <v>0</v>
      </c>
      <c r="EQ24" s="3237"/>
      <c r="ET24" s="3255">
        <f>VLOOKUP($A24,'New Resources - Individual'!$A$4:$Y$133,ET$2,FALSE)*ET$1</f>
        <v>0</v>
      </c>
      <c r="EU24" s="3235">
        <f>$G24+ET24</f>
        <v>788941762</v>
      </c>
      <c r="EV24" s="3236">
        <f>VLOOKUP($E24,EU$442:EX$453,2,FALSE)*EU24*($K24)+IF($G24&gt;0,($H24/$G24)*EU24,0)*(1-$K24)</f>
        <v>788941762</v>
      </c>
      <c r="EW24" s="3236">
        <f>VLOOKUP($E24,EU$442:EX$453,3,FALSE)*EU24*($K24)+IF($G24&gt;0,($I24/$G24)*EU24,0)*(1-$K24)</f>
        <v>0</v>
      </c>
      <c r="EX24" s="3236">
        <f>VLOOKUP($E24,EU$442:EX$453,4,FALSE)*EU24*($K24)+(EU24-EV24-EW24)*(1-$K24)</f>
        <v>0</v>
      </c>
      <c r="EY24" s="3237"/>
      <c r="FB24" s="3255">
        <f>VLOOKUP($A24,'New Resources - Individual'!$A$4:$Y$133,FB$2,FALSE)*FB$1</f>
        <v>0</v>
      </c>
      <c r="FC24" s="3235">
        <f>$G24+FB24</f>
        <v>788941762</v>
      </c>
      <c r="FD24" s="3236">
        <f>VLOOKUP($E24,FC$442:FF$453,2,FALSE)*FC24*($K24)+IF($G24&gt;0,($H24/$G24)*FC24,0)*(1-$K24)</f>
        <v>788941762</v>
      </c>
      <c r="FE24" s="3236">
        <f>VLOOKUP($E24,FC$442:FF$453,3,FALSE)*FC24*($K24)+IF($G24&gt;0,($I24/$G24)*FC24,0)*(1-$K24)</f>
        <v>0</v>
      </c>
      <c r="FF24" s="3236">
        <f>VLOOKUP($E24,FC$442:FF$453,4,FALSE)*FC24*($K24)+(FC24-FD24-FE24)*(1-$K24)</f>
        <v>0</v>
      </c>
      <c r="FG24" s="3237"/>
      <c r="FJ24" s="3255">
        <f>VLOOKUP($A24,'New Resources - Individual'!$A$4:$Y$133,FJ$2,FALSE)*FJ$1</f>
        <v>0</v>
      </c>
      <c r="FK24" s="3235">
        <f>$G24+FJ24</f>
        <v>788941762</v>
      </c>
      <c r="FL24" s="3236">
        <f>VLOOKUP($E24,FK$442:FN$453,2,FALSE)*FK24*($K24)+IF($G24&gt;0,($H24/$G24)*FK24,0)*(1-$K24)</f>
        <v>788941762</v>
      </c>
      <c r="FM24" s="3236">
        <f>VLOOKUP($E24,FK$442:FN$453,3,FALSE)*FK24*($K24)+IF($G24&gt;0,($I24/$G24)*FK24,0)*(1-$K24)</f>
        <v>0</v>
      </c>
      <c r="FN24" s="3236">
        <f>VLOOKUP($E24,FK$442:FN$453,4,FALSE)*FK24*($K24)+(FK24-FL24-FM24)*(1-$K24)</f>
        <v>0</v>
      </c>
      <c r="FO24" s="3237"/>
    </row>
    <row r="25" spans="1:171">
      <c r="A25" s="3254">
        <v>480</v>
      </c>
      <c r="B25" s="2103" t="s">
        <v>117</v>
      </c>
      <c r="C25" s="3233" t="s">
        <v>70</v>
      </c>
      <c r="D25" s="2464" t="s">
        <v>118</v>
      </c>
      <c r="E25" s="3234" t="str">
        <f>'Sch 1- Rate Base '!E25</f>
        <v>PROD</v>
      </c>
      <c r="F25" s="2171"/>
      <c r="G25" s="2424">
        <f>'Sch 1- Rate Base '!G25</f>
        <v>2079134143</v>
      </c>
      <c r="H25" s="2424">
        <f>'Sch 1- Rate Base '!H25</f>
        <v>2079134143</v>
      </c>
      <c r="I25" s="2424">
        <f>'Sch 1- Rate Base '!I25</f>
        <v>0</v>
      </c>
      <c r="J25" s="2425">
        <f>'Sch 1- Rate Base '!J25</f>
        <v>0</v>
      </c>
      <c r="K25" s="3205">
        <f>IF($E25="DIRECT",0,1)</f>
        <v>1</v>
      </c>
      <c r="N25" s="3255">
        <f>VLOOKUP($A25,'New Resources - Individual'!$A$4:$Y$133,N$2,FALSE)*N$1</f>
        <v>0</v>
      </c>
      <c r="O25" s="3235">
        <f>$G25+N25</f>
        <v>2079134143</v>
      </c>
      <c r="P25" s="3236">
        <f>VLOOKUP($E25,O$442:R$453,2,FALSE)*O25*($K25)+IF($G25&gt;0,($H25/$G25)*O25,0)*(1-$K25)</f>
        <v>2079134143</v>
      </c>
      <c r="Q25" s="3236">
        <f>VLOOKUP($E25,O$442:R$453,3,FALSE)*O25*($K25)+IF($G25&gt;0,($I25/$G25)*O25,0)*(1-$K25)</f>
        <v>0</v>
      </c>
      <c r="R25" s="3236">
        <f>VLOOKUP($E25,O$442:R$453,4,FALSE)*O25*($K25)+(O25-P25-Q25)*(1-$K25)</f>
        <v>0</v>
      </c>
      <c r="S25" s="3237"/>
      <c r="V25" s="3255">
        <f>VLOOKUP($A25,'New Resources - Individual'!$A$4:$Y$133,V$2,FALSE)*V$1</f>
        <v>0</v>
      </c>
      <c r="W25" s="3235">
        <f>$G25+V25</f>
        <v>2079134143</v>
      </c>
      <c r="X25" s="3236">
        <f>VLOOKUP($E25,W$442:Z$453,2,FALSE)*W25*($K25)+IF($G25&gt;0,($H25/$G25)*W25,0)*(1-$K25)</f>
        <v>2079134143</v>
      </c>
      <c r="Y25" s="3236">
        <f>VLOOKUP($E25,W$442:Z$453,3,FALSE)*W25*($K25)+IF($G25&gt;0,($I25/$G25)*W25,0)*(1-$K25)</f>
        <v>0</v>
      </c>
      <c r="Z25" s="3236">
        <f>VLOOKUP($E25,W$442:Z$453,4,FALSE)*W25*($K25)+(W25-X25-Y25)*(1-$K25)</f>
        <v>0</v>
      </c>
      <c r="AA25" s="3237"/>
      <c r="AD25" s="3255">
        <f>VLOOKUP($A25,'New Resources - Individual'!$A$4:$Y$133,AD$2,FALSE)*AD$1</f>
        <v>0</v>
      </c>
      <c r="AE25" s="3235">
        <f>$G25+AD25</f>
        <v>2079134143</v>
      </c>
      <c r="AF25" s="3236">
        <f>VLOOKUP($E25,AE$442:AH$453,2,FALSE)*AE25*($K25)+IF($G25&gt;0,($H25/$G25)*AE25,0)*(1-$K25)</f>
        <v>2079134143</v>
      </c>
      <c r="AG25" s="3236">
        <f>VLOOKUP($E25,AE$442:AH$453,3,FALSE)*AE25*($K25)+IF($G25&gt;0,($I25/$G25)*AE25,0)*(1-$K25)</f>
        <v>0</v>
      </c>
      <c r="AH25" s="3236">
        <f>VLOOKUP($E25,AE$442:AH$453,4,FALSE)*AE25*($K25)+(AE25-AF25-AG25)*(1-$K25)</f>
        <v>0</v>
      </c>
      <c r="AI25" s="3237"/>
      <c r="AL25" s="3255">
        <f>VLOOKUP($A25,'New Resources - Individual'!$A$4:$Y$133,AL$2,FALSE)*AL$1</f>
        <v>0</v>
      </c>
      <c r="AM25" s="3235">
        <f>$G25+AL25</f>
        <v>2079134143</v>
      </c>
      <c r="AN25" s="3236">
        <f>VLOOKUP($E25,AM$442:AP$453,2,FALSE)*AM25*($K25)+IF($G25&gt;0,($H25/$G25)*AM25,0)*(1-$K25)</f>
        <v>2079134143</v>
      </c>
      <c r="AO25" s="3236">
        <f>VLOOKUP($E25,AM$442:AP$453,3,FALSE)*AM25*($K25)+IF($G25&gt;0,($I25/$G25)*AM25,0)*(1-$K25)</f>
        <v>0</v>
      </c>
      <c r="AP25" s="3236">
        <f>VLOOKUP($E25,AM$442:AP$453,4,FALSE)*AM25*($K25)+(AM25-AN25-AO25)*(1-$K25)</f>
        <v>0</v>
      </c>
      <c r="AQ25" s="3237"/>
      <c r="AT25" s="3255">
        <f>VLOOKUP($A25,'New Resources - Individual'!$A$4:$Y$133,AT$2,FALSE)*AT$1</f>
        <v>0</v>
      </c>
      <c r="AU25" s="3235">
        <f>$G25+AT25</f>
        <v>2079134143</v>
      </c>
      <c r="AV25" s="3236">
        <f>VLOOKUP($E25,AU$442:AX$453,2,FALSE)*AU25*($K25)+IF($G25&gt;0,($H25/$G25)*AU25,0)*(1-$K25)</f>
        <v>2079134143</v>
      </c>
      <c r="AW25" s="3236">
        <f>VLOOKUP($E25,AU$442:AX$453,3,FALSE)*AU25*($K25)+IF($G25&gt;0,($I25/$G25)*AU25,0)*(1-$K25)</f>
        <v>0</v>
      </c>
      <c r="AX25" s="3236">
        <f>VLOOKUP($E25,AU$442:AX$453,4,FALSE)*AU25*($K25)+(AU25-AV25-AW25)*(1-$K25)</f>
        <v>0</v>
      </c>
      <c r="AY25" s="3237"/>
      <c r="BB25" s="3255">
        <f>VLOOKUP($A25,'New Resources - Individual'!$A$4:$Y$133,BB$2,FALSE)*BB$1</f>
        <v>0</v>
      </c>
      <c r="BC25" s="3235">
        <f>$G25+BB25</f>
        <v>2079134143</v>
      </c>
      <c r="BD25" s="3236">
        <f>VLOOKUP($E25,BC$442:BF$453,2,FALSE)*BC25*($K25)+IF($G25&gt;0,($H25/$G25)*BC25,0)*(1-$K25)</f>
        <v>2079134143</v>
      </c>
      <c r="BE25" s="3236">
        <f>VLOOKUP($E25,BC$442:BF$453,3,FALSE)*BC25*($K25)+IF($G25&gt;0,($I25/$G25)*BC25,0)*(1-$K25)</f>
        <v>0</v>
      </c>
      <c r="BF25" s="3236">
        <f>VLOOKUP($E25,BC$442:BF$453,4,FALSE)*BC25*($K25)+(BC25-BD25-BE25)*(1-$K25)</f>
        <v>0</v>
      </c>
      <c r="BG25" s="3237"/>
      <c r="BJ25" s="3255">
        <f>VLOOKUP($A25,'New Resources - Individual'!$A$4:$Y$133,BJ$2,FALSE)*BJ$1</f>
        <v>0</v>
      </c>
      <c r="BK25" s="3235">
        <f>$G25+BJ25</f>
        <v>2079134143</v>
      </c>
      <c r="BL25" s="3236">
        <f>VLOOKUP($E25,BK$442:BN$453,2,FALSE)*BK25*($K25)+IF($G25&gt;0,($H25/$G25)*BK25,0)*(1-$K25)</f>
        <v>2079134143</v>
      </c>
      <c r="BM25" s="3236">
        <f>VLOOKUP($E25,BK$442:BN$453,3,FALSE)*BK25*($K25)+IF($G25&gt;0,($I25/$G25)*BK25,0)*(1-$K25)</f>
        <v>0</v>
      </c>
      <c r="BN25" s="3236">
        <f>VLOOKUP($E25,BK$442:BN$453,4,FALSE)*BK25*($K25)+(BK25-BL25-BM25)*(1-$K25)</f>
        <v>0</v>
      </c>
      <c r="BO25" s="3237"/>
      <c r="BR25" s="3255">
        <f>VLOOKUP($A25,'New Resources - Individual'!$A$4:$Y$133,BR$2,FALSE)*BR$1</f>
        <v>0</v>
      </c>
      <c r="BS25" s="3235">
        <f>$G25+BR25</f>
        <v>2079134143</v>
      </c>
      <c r="BT25" s="3236">
        <f>VLOOKUP($E25,BS$442:BV$453,2,FALSE)*BS25*($K25)+IF($G25&gt;0,($H25/$G25)*BS25,0)*(1-$K25)</f>
        <v>2079134143</v>
      </c>
      <c r="BU25" s="3236">
        <f>VLOOKUP($E25,BS$442:BV$453,3,FALSE)*BS25*($K25)+IF($G25&gt;0,($I25/$G25)*BS25,0)*(1-$K25)</f>
        <v>0</v>
      </c>
      <c r="BV25" s="3236">
        <f>VLOOKUP($E25,BS$442:BV$453,4,FALSE)*BS25*($K25)+(BS25-BT25-BU25)*(1-$K25)</f>
        <v>0</v>
      </c>
      <c r="BW25" s="3237"/>
      <c r="BZ25" s="3255">
        <f>VLOOKUP($A25,'New Resources - Individual'!$A$4:$Y$133,BZ$2,FALSE)*BZ$1</f>
        <v>0</v>
      </c>
      <c r="CA25" s="3235">
        <f>$G25+BZ25</f>
        <v>2079134143</v>
      </c>
      <c r="CB25" s="3236">
        <f>VLOOKUP($E25,CA$442:CD$453,2,FALSE)*CA25*($K25)+IF($G25&gt;0,($H25/$G25)*CA25,0)*(1-$K25)</f>
        <v>2079134143</v>
      </c>
      <c r="CC25" s="3236">
        <f>VLOOKUP($E25,CA$442:CD$453,3,FALSE)*CA25*($K25)+IF($G25&gt;0,($I25/$G25)*CA25,0)*(1-$K25)</f>
        <v>0</v>
      </c>
      <c r="CD25" s="3236">
        <f>VLOOKUP($E25,CA$442:CD$453,4,FALSE)*CA25*($K25)+(CA25-CB25-CC25)*(1-$K25)</f>
        <v>0</v>
      </c>
      <c r="CE25" s="3237"/>
      <c r="CH25" s="3255">
        <f>VLOOKUP($A25,'New Resources - Individual'!$A$4:$Y$133,CH$2,FALSE)*CH$1</f>
        <v>0</v>
      </c>
      <c r="CI25" s="3235">
        <f>$G25+CH25</f>
        <v>2079134143</v>
      </c>
      <c r="CJ25" s="3236">
        <f>VLOOKUP($E25,CI$442:CL$453,2,FALSE)*CI25*($K25)+IF($G25&gt;0,($H25/$G25)*CI25,0)*(1-$K25)</f>
        <v>2079134143</v>
      </c>
      <c r="CK25" s="3236">
        <f>VLOOKUP($E25,CI$442:CL$453,3,FALSE)*CI25*($K25)+IF($G25&gt;0,($I25/$G25)*CI25,0)*(1-$K25)</f>
        <v>0</v>
      </c>
      <c r="CL25" s="3236">
        <f>VLOOKUP($E25,CI$442:CL$453,4,FALSE)*CI25*($K25)+(CI25-CJ25-CK25)*(1-$K25)</f>
        <v>0</v>
      </c>
      <c r="CM25" s="3237"/>
      <c r="CP25" s="3255">
        <f>VLOOKUP($A25,'New Resources - Individual'!$A$4:$Y$133,CP$2,FALSE)*CP$1</f>
        <v>0</v>
      </c>
      <c r="CQ25" s="3235">
        <f>$G25+CP25</f>
        <v>2079134143</v>
      </c>
      <c r="CR25" s="3236">
        <f>VLOOKUP($E25,CQ$442:CT$453,2,FALSE)*CQ25*($K25)+IF($G25&gt;0,($H25/$G25)*CQ25,0)*(1-$K25)</f>
        <v>2079134143</v>
      </c>
      <c r="CS25" s="3236">
        <f>VLOOKUP($E25,CQ$442:CT$453,3,FALSE)*CQ25*($K25)+IF($G25&gt;0,($I25/$G25)*CQ25,0)*(1-$K25)</f>
        <v>0</v>
      </c>
      <c r="CT25" s="3236">
        <f>VLOOKUP($E25,CQ$442:CT$453,4,FALSE)*CQ25*($K25)+(CQ25-CR25-CS25)*(1-$K25)</f>
        <v>0</v>
      </c>
      <c r="CU25" s="3237"/>
      <c r="CX25" s="3255">
        <f>VLOOKUP($A25,'New Resources - Individual'!$A$4:$Y$133,CX$2,FALSE)*CX$1</f>
        <v>0</v>
      </c>
      <c r="CY25" s="3235">
        <f>$G25+CX25</f>
        <v>2079134143</v>
      </c>
      <c r="CZ25" s="3236">
        <f>VLOOKUP($E25,CY$442:DB$453,2,FALSE)*CY25*($K25)+IF($G25&gt;0,($H25/$G25)*CY25,0)*(1-$K25)</f>
        <v>2079134143</v>
      </c>
      <c r="DA25" s="3236">
        <f>VLOOKUP($E25,CY$442:DB$453,3,FALSE)*CY25*($K25)+IF($G25&gt;0,($I25/$G25)*CY25,0)*(1-$K25)</f>
        <v>0</v>
      </c>
      <c r="DB25" s="3236">
        <f>VLOOKUP($E25,CY$442:DB$453,4,FALSE)*CY25*($K25)+(CY25-CZ25-DA25)*(1-$K25)</f>
        <v>0</v>
      </c>
      <c r="DC25" s="3237"/>
      <c r="DF25" s="3255">
        <f>VLOOKUP($A25,'New Resources - Individual'!$A$4:$Y$133,DF$2,FALSE)*DF$1</f>
        <v>0</v>
      </c>
      <c r="DG25" s="3235">
        <f>$G25+DF25</f>
        <v>2079134143</v>
      </c>
      <c r="DH25" s="3236">
        <f>VLOOKUP($E25,DG$442:DJ$453,2,FALSE)*DG25*($K25)+IF($G25&gt;0,($H25/$G25)*DG25,0)*(1-$K25)</f>
        <v>2079134143</v>
      </c>
      <c r="DI25" s="3236">
        <f>VLOOKUP($E25,DG$442:DJ$453,3,FALSE)*DG25*($K25)+IF($G25&gt;0,($I25/$G25)*DG25,0)*(1-$K25)</f>
        <v>0</v>
      </c>
      <c r="DJ25" s="3236">
        <f>VLOOKUP($E25,DG$442:DJ$453,4,FALSE)*DG25*($K25)+(DG25-DH25-DI25)*(1-$K25)</f>
        <v>0</v>
      </c>
      <c r="DK25" s="3237"/>
      <c r="DN25" s="3255">
        <f>VLOOKUP($A25,'New Resources - Individual'!$A$4:$Y$133,DN$2,FALSE)*DN$1</f>
        <v>0</v>
      </c>
      <c r="DO25" s="3235">
        <f>$G25+DN25</f>
        <v>2079134143</v>
      </c>
      <c r="DP25" s="3236">
        <f>VLOOKUP($E25,DO$442:DR$453,2,FALSE)*DO25*($K25)+IF($G25&gt;0,($H25/$G25)*DO25,0)*(1-$K25)</f>
        <v>2079134143</v>
      </c>
      <c r="DQ25" s="3236">
        <f>VLOOKUP($E25,DO$442:DR$453,3,FALSE)*DO25*($K25)+IF($G25&gt;0,($I25/$G25)*DO25,0)*(1-$K25)</f>
        <v>0</v>
      </c>
      <c r="DR25" s="3236">
        <f>VLOOKUP($E25,DO$442:DR$453,4,FALSE)*DO25*($K25)+(DO25-DP25-DQ25)*(1-$K25)</f>
        <v>0</v>
      </c>
      <c r="DS25" s="3237"/>
      <c r="DV25" s="3255">
        <f>VLOOKUP($A25,'New Resources - Individual'!$A$4:$Y$133,DV$2,FALSE)*DV$1</f>
        <v>0</v>
      </c>
      <c r="DW25" s="3235">
        <f>$G25+DV25</f>
        <v>2079134143</v>
      </c>
      <c r="DX25" s="3236">
        <f>VLOOKUP($E25,DW$442:DZ$453,2,FALSE)*DW25*($K25)+IF($G25&gt;0,($H25/$G25)*DW25,0)*(1-$K25)</f>
        <v>2079134143</v>
      </c>
      <c r="DY25" s="3236">
        <f>VLOOKUP($E25,DW$442:DZ$453,3,FALSE)*DW25*($K25)+IF($G25&gt;0,($I25/$G25)*DW25,0)*(1-$K25)</f>
        <v>0</v>
      </c>
      <c r="DZ25" s="3236">
        <f>VLOOKUP($E25,DW$442:DZ$453,4,FALSE)*DW25*($K25)+(DW25-DX25-DY25)*(1-$K25)</f>
        <v>0</v>
      </c>
      <c r="EA25" s="3237"/>
      <c r="ED25" s="3255">
        <f>VLOOKUP($A25,'New Resources - Individual'!$A$4:$Y$133,ED$2,FALSE)*ED$1</f>
        <v>0</v>
      </c>
      <c r="EE25" s="3235">
        <f>$G25+ED25</f>
        <v>2079134143</v>
      </c>
      <c r="EF25" s="3236">
        <f>VLOOKUP($E25,EE$442:EH$453,2,FALSE)*EE25*($K25)+IF($G25&gt;0,($H25/$G25)*EE25,0)*(1-$K25)</f>
        <v>2079134143</v>
      </c>
      <c r="EG25" s="3236">
        <f>VLOOKUP($E25,EE$442:EH$453,3,FALSE)*EE25*($K25)+IF($G25&gt;0,($I25/$G25)*EE25,0)*(1-$K25)</f>
        <v>0</v>
      </c>
      <c r="EH25" s="3236">
        <f>VLOOKUP($E25,EE$442:EH$453,4,FALSE)*EE25*($K25)+(EE25-EF25-EG25)*(1-$K25)</f>
        <v>0</v>
      </c>
      <c r="EI25" s="3237"/>
      <c r="EL25" s="3255">
        <f>VLOOKUP($A25,'New Resources - Individual'!$A$4:$Y$133,EL$2,FALSE)*EL$1</f>
        <v>0</v>
      </c>
      <c r="EM25" s="3235">
        <f>$G25+EL25</f>
        <v>2079134143</v>
      </c>
      <c r="EN25" s="3236">
        <f>VLOOKUP($E25,EM$442:EP$453,2,FALSE)*EM25*($K25)+IF($G25&gt;0,($H25/$G25)*EM25,0)*(1-$K25)</f>
        <v>2079134143</v>
      </c>
      <c r="EO25" s="3236">
        <f>VLOOKUP($E25,EM$442:EP$453,3,FALSE)*EM25*($K25)+IF($G25&gt;0,($I25/$G25)*EM25,0)*(1-$K25)</f>
        <v>0</v>
      </c>
      <c r="EP25" s="3236">
        <f>VLOOKUP($E25,EM$442:EP$453,4,FALSE)*EM25*($K25)+(EM25-EN25-EO25)*(1-$K25)</f>
        <v>0</v>
      </c>
      <c r="EQ25" s="3237"/>
      <c r="ET25" s="3255">
        <f>VLOOKUP($A25,'New Resources - Individual'!$A$4:$Y$133,ET$2,FALSE)*ET$1</f>
        <v>0</v>
      </c>
      <c r="EU25" s="3235">
        <f>$G25+ET25</f>
        <v>2079134143</v>
      </c>
      <c r="EV25" s="3236">
        <f>VLOOKUP($E25,EU$442:EX$453,2,FALSE)*EU25*($K25)+IF($G25&gt;0,($H25/$G25)*EU25,0)*(1-$K25)</f>
        <v>2079134143</v>
      </c>
      <c r="EW25" s="3236">
        <f>VLOOKUP($E25,EU$442:EX$453,3,FALSE)*EU25*($K25)+IF($G25&gt;0,($I25/$G25)*EU25,0)*(1-$K25)</f>
        <v>0</v>
      </c>
      <c r="EX25" s="3236">
        <f>VLOOKUP($E25,EU$442:EX$453,4,FALSE)*EU25*($K25)+(EU25-EV25-EW25)*(1-$K25)</f>
        <v>0</v>
      </c>
      <c r="EY25" s="3237"/>
      <c r="FB25" s="3255">
        <f>VLOOKUP($A25,'New Resources - Individual'!$A$4:$Y$133,FB$2,FALSE)*FB$1</f>
        <v>0</v>
      </c>
      <c r="FC25" s="3235">
        <f>$G25+FB25</f>
        <v>2079134143</v>
      </c>
      <c r="FD25" s="3236">
        <f>VLOOKUP($E25,FC$442:FF$453,2,FALSE)*FC25*($K25)+IF($G25&gt;0,($H25/$G25)*FC25,0)*(1-$K25)</f>
        <v>2079134143</v>
      </c>
      <c r="FE25" s="3236">
        <f>VLOOKUP($E25,FC$442:FF$453,3,FALSE)*FC25*($K25)+IF($G25&gt;0,($I25/$G25)*FC25,0)*(1-$K25)</f>
        <v>0</v>
      </c>
      <c r="FF25" s="3236">
        <f>VLOOKUP($E25,FC$442:FF$453,4,FALSE)*FC25*($K25)+(FC25-FD25-FE25)*(1-$K25)</f>
        <v>0</v>
      </c>
      <c r="FG25" s="3237"/>
      <c r="FJ25" s="3255">
        <f>VLOOKUP($A25,'New Resources - Individual'!$A$4:$Y$133,FJ$2,FALSE)*FJ$1</f>
        <v>0</v>
      </c>
      <c r="FK25" s="3235">
        <f>$G25+FJ25</f>
        <v>2079134143</v>
      </c>
      <c r="FL25" s="3236">
        <f>VLOOKUP($E25,FK$442:FN$453,2,FALSE)*FK25*($K25)+IF($G25&gt;0,($H25/$G25)*FK25,0)*(1-$K25)</f>
        <v>2079134143</v>
      </c>
      <c r="FM25" s="3236">
        <f>VLOOKUP($E25,FK$442:FN$453,3,FALSE)*FK25*($K25)+IF($G25&gt;0,($I25/$G25)*FK25,0)*(1-$K25)</f>
        <v>0</v>
      </c>
      <c r="FN25" s="3236">
        <f>VLOOKUP($E25,FK$442:FN$453,4,FALSE)*FK25*($K25)+(FK25-FL25-FM25)*(1-$K25)</f>
        <v>0</v>
      </c>
      <c r="FO25" s="3237"/>
    </row>
    <row r="26" spans="1:171">
      <c r="A26" s="3248" t="s">
        <v>119</v>
      </c>
      <c r="B26" s="2078"/>
      <c r="C26" s="3241"/>
      <c r="D26" s="3242"/>
      <c r="E26" s="3242"/>
      <c r="F26" s="3243"/>
      <c r="G26" s="3244">
        <f>SUM(G22:G25)</f>
        <v>3902384831</v>
      </c>
      <c r="H26" s="3244">
        <f>SUM(H22:H25)</f>
        <v>3902384831</v>
      </c>
      <c r="I26" s="3244">
        <f>SUM(I22:I25)</f>
        <v>0</v>
      </c>
      <c r="J26" s="3245">
        <f>SUM(J22:J25)</f>
        <v>0</v>
      </c>
      <c r="K26" s="3205"/>
      <c r="O26" s="3244">
        <f>SUM(O22:O25)</f>
        <v>3902384831</v>
      </c>
      <c r="P26" s="3244">
        <f>SUM(P22:P25)</f>
        <v>3902384831</v>
      </c>
      <c r="Q26" s="3244">
        <f>SUM(Q22:Q25)</f>
        <v>0</v>
      </c>
      <c r="R26" s="3244">
        <f>SUM(R22:R25)</f>
        <v>0</v>
      </c>
      <c r="S26" s="3237"/>
      <c r="W26" s="3244">
        <f>SUM(W22:W25)</f>
        <v>3902384831</v>
      </c>
      <c r="X26" s="3244">
        <f>SUM(X22:X25)</f>
        <v>3902384831</v>
      </c>
      <c r="Y26" s="3244">
        <f>SUM(Y22:Y25)</f>
        <v>0</v>
      </c>
      <c r="Z26" s="3244">
        <f>SUM(Z22:Z25)</f>
        <v>0</v>
      </c>
      <c r="AA26" s="3237"/>
      <c r="AE26" s="3244">
        <f>SUM(AE22:AE25)</f>
        <v>3902384831</v>
      </c>
      <c r="AF26" s="3244">
        <f>SUM(AF22:AF25)</f>
        <v>3902384831</v>
      </c>
      <c r="AG26" s="3244">
        <f>SUM(AG22:AG25)</f>
        <v>0</v>
      </c>
      <c r="AH26" s="3244">
        <f>SUM(AH22:AH25)</f>
        <v>0</v>
      </c>
      <c r="AI26" s="3237"/>
      <c r="AM26" s="3244">
        <f>SUM(AM22:AM25)</f>
        <v>3902384831</v>
      </c>
      <c r="AN26" s="3244">
        <f>SUM(AN22:AN25)</f>
        <v>3902384831</v>
      </c>
      <c r="AO26" s="3244">
        <f>SUM(AO22:AO25)</f>
        <v>0</v>
      </c>
      <c r="AP26" s="3244">
        <f>SUM(AP22:AP25)</f>
        <v>0</v>
      </c>
      <c r="AQ26" s="3237"/>
      <c r="AU26" s="3244">
        <f>SUM(AU22:AU25)</f>
        <v>3902384831</v>
      </c>
      <c r="AV26" s="3244">
        <f>SUM(AV22:AV25)</f>
        <v>3902384831</v>
      </c>
      <c r="AW26" s="3244">
        <f>SUM(AW22:AW25)</f>
        <v>0</v>
      </c>
      <c r="AX26" s="3244">
        <f>SUM(AX22:AX25)</f>
        <v>0</v>
      </c>
      <c r="AY26" s="3237"/>
      <c r="BC26" s="3244">
        <f>SUM(BC22:BC25)</f>
        <v>3902384831</v>
      </c>
      <c r="BD26" s="3244">
        <f>SUM(BD22:BD25)</f>
        <v>3902384831</v>
      </c>
      <c r="BE26" s="3244">
        <f>SUM(BE22:BE25)</f>
        <v>0</v>
      </c>
      <c r="BF26" s="3244">
        <f>SUM(BF22:BF25)</f>
        <v>0</v>
      </c>
      <c r="BG26" s="3237"/>
      <c r="BK26" s="3244">
        <f>SUM(BK22:BK25)</f>
        <v>3902384831</v>
      </c>
      <c r="BL26" s="3244">
        <f>SUM(BL22:BL25)</f>
        <v>3902384831</v>
      </c>
      <c r="BM26" s="3244">
        <f>SUM(BM22:BM25)</f>
        <v>0</v>
      </c>
      <c r="BN26" s="3244">
        <f>SUM(BN22:BN25)</f>
        <v>0</v>
      </c>
      <c r="BO26" s="3237"/>
      <c r="BS26" s="3244">
        <f>SUM(BS22:BS25)</f>
        <v>3902384831</v>
      </c>
      <c r="BT26" s="3244">
        <f>SUM(BT22:BT25)</f>
        <v>3902384831</v>
      </c>
      <c r="BU26" s="3244">
        <f>SUM(BU22:BU25)</f>
        <v>0</v>
      </c>
      <c r="BV26" s="3244">
        <f>SUM(BV22:BV25)</f>
        <v>0</v>
      </c>
      <c r="BW26" s="3237"/>
      <c r="CA26" s="3244">
        <f>SUM(CA22:CA25)</f>
        <v>3902384831</v>
      </c>
      <c r="CB26" s="3244">
        <f>SUM(CB22:CB25)</f>
        <v>3902384831</v>
      </c>
      <c r="CC26" s="3244">
        <f>SUM(CC22:CC25)</f>
        <v>0</v>
      </c>
      <c r="CD26" s="3244">
        <f>SUM(CD22:CD25)</f>
        <v>0</v>
      </c>
      <c r="CE26" s="3237"/>
      <c r="CI26" s="3244">
        <f>SUM(CI22:CI25)</f>
        <v>3902384831</v>
      </c>
      <c r="CJ26" s="3244">
        <f>SUM(CJ22:CJ25)</f>
        <v>3902384831</v>
      </c>
      <c r="CK26" s="3244">
        <f>SUM(CK22:CK25)</f>
        <v>0</v>
      </c>
      <c r="CL26" s="3244">
        <f>SUM(CL22:CL25)</f>
        <v>0</v>
      </c>
      <c r="CM26" s="3237"/>
      <c r="CQ26" s="3244">
        <f>SUM(CQ22:CQ25)</f>
        <v>3902384831</v>
      </c>
      <c r="CR26" s="3244">
        <f>SUM(CR22:CR25)</f>
        <v>3902384831</v>
      </c>
      <c r="CS26" s="3244">
        <f>SUM(CS22:CS25)</f>
        <v>0</v>
      </c>
      <c r="CT26" s="3244">
        <f>SUM(CT22:CT25)</f>
        <v>0</v>
      </c>
      <c r="CU26" s="3237"/>
      <c r="CY26" s="3244">
        <f>SUM(CY22:CY25)</f>
        <v>3902384831</v>
      </c>
      <c r="CZ26" s="3244">
        <f>SUM(CZ22:CZ25)</f>
        <v>3902384831</v>
      </c>
      <c r="DA26" s="3244">
        <f>SUM(DA22:DA25)</f>
        <v>0</v>
      </c>
      <c r="DB26" s="3244">
        <f>SUM(DB22:DB25)</f>
        <v>0</v>
      </c>
      <c r="DC26" s="3237"/>
      <c r="DG26" s="3244">
        <f>SUM(DG22:DG25)</f>
        <v>3902384831</v>
      </c>
      <c r="DH26" s="3244">
        <f>SUM(DH22:DH25)</f>
        <v>3902384831</v>
      </c>
      <c r="DI26" s="3244">
        <f>SUM(DI22:DI25)</f>
        <v>0</v>
      </c>
      <c r="DJ26" s="3244">
        <f>SUM(DJ22:DJ25)</f>
        <v>0</v>
      </c>
      <c r="DK26" s="3237"/>
      <c r="DO26" s="3244">
        <f>SUM(DO22:DO25)</f>
        <v>3902384831</v>
      </c>
      <c r="DP26" s="3244">
        <f>SUM(DP22:DP25)</f>
        <v>3902384831</v>
      </c>
      <c r="DQ26" s="3244">
        <f>SUM(DQ22:DQ25)</f>
        <v>0</v>
      </c>
      <c r="DR26" s="3244">
        <f>SUM(DR22:DR25)</f>
        <v>0</v>
      </c>
      <c r="DS26" s="3237"/>
      <c r="DW26" s="3244">
        <f>SUM(DW22:DW25)</f>
        <v>3902384831</v>
      </c>
      <c r="DX26" s="3244">
        <f>SUM(DX22:DX25)</f>
        <v>3902384831</v>
      </c>
      <c r="DY26" s="3244">
        <f>SUM(DY22:DY25)</f>
        <v>0</v>
      </c>
      <c r="DZ26" s="3244">
        <f>SUM(DZ22:DZ25)</f>
        <v>0</v>
      </c>
      <c r="EA26" s="3237"/>
      <c r="EE26" s="3244">
        <f>SUM(EE22:EE25)</f>
        <v>3902384831</v>
      </c>
      <c r="EF26" s="3244">
        <f>SUM(EF22:EF25)</f>
        <v>3902384831</v>
      </c>
      <c r="EG26" s="3244">
        <f>SUM(EG22:EG25)</f>
        <v>0</v>
      </c>
      <c r="EH26" s="3244">
        <f>SUM(EH22:EH25)</f>
        <v>0</v>
      </c>
      <c r="EI26" s="3237"/>
      <c r="EM26" s="3244">
        <f>SUM(EM22:EM25)</f>
        <v>3902384831</v>
      </c>
      <c r="EN26" s="3244">
        <f>SUM(EN22:EN25)</f>
        <v>3902384831</v>
      </c>
      <c r="EO26" s="3244">
        <f>SUM(EO22:EO25)</f>
        <v>0</v>
      </c>
      <c r="EP26" s="3244">
        <f>SUM(EP22:EP25)</f>
        <v>0</v>
      </c>
      <c r="EQ26" s="3237"/>
      <c r="EU26" s="3244">
        <f>SUM(EU22:EU25)</f>
        <v>3902384831</v>
      </c>
      <c r="EV26" s="3244">
        <f>SUM(EV22:EV25)</f>
        <v>3902384831</v>
      </c>
      <c r="EW26" s="3244">
        <f>SUM(EW22:EW25)</f>
        <v>0</v>
      </c>
      <c r="EX26" s="3244">
        <f>SUM(EX22:EX25)</f>
        <v>0</v>
      </c>
      <c r="EY26" s="3237"/>
      <c r="FC26" s="3244">
        <f>SUM(FC22:FC25)</f>
        <v>3902384831</v>
      </c>
      <c r="FD26" s="3244">
        <f>SUM(FD22:FD25)</f>
        <v>3902384831</v>
      </c>
      <c r="FE26" s="3244">
        <f>SUM(FE22:FE25)</f>
        <v>0</v>
      </c>
      <c r="FF26" s="3244">
        <f>SUM(FF22:FF25)</f>
        <v>0</v>
      </c>
      <c r="FG26" s="3237"/>
      <c r="FK26" s="3244">
        <f>SUM(FK22:FK25)</f>
        <v>3902384831</v>
      </c>
      <c r="FL26" s="3244">
        <f>SUM(FL22:FL25)</f>
        <v>3902384831</v>
      </c>
      <c r="FM26" s="3244">
        <f>SUM(FM22:FM25)</f>
        <v>0</v>
      </c>
      <c r="FN26" s="3244">
        <f>SUM(FN22:FN25)</f>
        <v>0</v>
      </c>
      <c r="FO26" s="3237"/>
    </row>
    <row r="27" spans="1:171">
      <c r="A27" s="3248"/>
      <c r="B27" s="2078"/>
      <c r="C27" s="2686"/>
      <c r="D27" s="2686"/>
      <c r="E27" s="3249"/>
      <c r="F27" s="3249"/>
      <c r="G27" s="2747"/>
      <c r="H27" s="2747"/>
      <c r="I27" s="2747"/>
      <c r="J27" s="2745"/>
      <c r="K27" s="3205"/>
      <c r="S27" s="3237"/>
      <c r="AA27" s="3237"/>
      <c r="AI27" s="3237"/>
      <c r="AQ27" s="3237"/>
      <c r="AY27" s="3237"/>
      <c r="BG27" s="3237"/>
      <c r="BO27" s="3237"/>
      <c r="BW27" s="3237"/>
      <c r="CE27" s="3237"/>
      <c r="CM27" s="3237"/>
      <c r="CU27" s="3237"/>
      <c r="DC27" s="3237"/>
      <c r="DK27" s="3237"/>
      <c r="DS27" s="3237"/>
      <c r="EA27" s="3237"/>
      <c r="EI27" s="3237"/>
      <c r="EQ27" s="3237"/>
      <c r="EY27" s="3237"/>
      <c r="FG27" s="3237"/>
      <c r="FO27" s="3237"/>
    </row>
    <row r="28" spans="1:171">
      <c r="A28" s="2669" t="s">
        <v>142</v>
      </c>
      <c r="B28" s="2103"/>
      <c r="C28" s="2116"/>
      <c r="D28" s="2116"/>
      <c r="E28" s="2139"/>
      <c r="F28" s="2139"/>
      <c r="G28" s="2182"/>
      <c r="H28" s="2182"/>
      <c r="I28" s="2182"/>
      <c r="J28" s="2289"/>
      <c r="K28" s="3205"/>
      <c r="S28" s="3237"/>
      <c r="AA28" s="3237"/>
      <c r="AI28" s="3237"/>
      <c r="AQ28" s="3237"/>
      <c r="AY28" s="3237"/>
      <c r="BG28" s="3237"/>
      <c r="BO28" s="3237"/>
      <c r="BW28" s="3237"/>
      <c r="CE28" s="3237"/>
      <c r="CM28" s="3237"/>
      <c r="CU28" s="3237"/>
      <c r="DC28" s="3237"/>
      <c r="DK28" s="3237"/>
      <c r="DS28" s="3237"/>
      <c r="EA28" s="3237"/>
      <c r="EI28" s="3237"/>
      <c r="EQ28" s="3237"/>
      <c r="EY28" s="3237"/>
      <c r="FG28" s="3237"/>
      <c r="FO28" s="3237"/>
    </row>
    <row r="29" spans="1:171">
      <c r="A29" s="3254">
        <v>840</v>
      </c>
      <c r="B29" s="2103" t="s">
        <v>525</v>
      </c>
      <c r="C29" s="3233" t="s">
        <v>70</v>
      </c>
      <c r="D29" s="2464" t="s">
        <v>120</v>
      </c>
      <c r="E29" s="3234" t="str">
        <f>'Sch 1- Rate Base '!E29</f>
        <v>TRANS</v>
      </c>
      <c r="F29" s="2171"/>
      <c r="G29" s="2424">
        <f>'Sch 1- Rate Base '!G29</f>
        <v>1992381238</v>
      </c>
      <c r="H29" s="2424">
        <f>'Sch 1- Rate Base '!H29</f>
        <v>0</v>
      </c>
      <c r="I29" s="2424">
        <f>'Sch 1- Rate Base '!I29</f>
        <v>0</v>
      </c>
      <c r="J29" s="2425">
        <f>'Sch 1- Rate Base '!J29</f>
        <v>1992381238</v>
      </c>
      <c r="K29" s="3205">
        <f>IF($E29="DIRECT",0,1)</f>
        <v>1</v>
      </c>
      <c r="N29" s="3255">
        <f>VLOOKUP($A29,'New Resources - Individual'!$A$4:$Y$133,N$2,FALSE)*N$1</f>
        <v>0</v>
      </c>
      <c r="O29" s="3235">
        <f>$G29+N29</f>
        <v>1992381238</v>
      </c>
      <c r="P29" s="3236">
        <f>VLOOKUP($E29,O$442:R$453,2,FALSE)*O29*($K29)+IF($G29&gt;0,($H29/$G29)*O29,0)*(1-$K29)</f>
        <v>0</v>
      </c>
      <c r="Q29" s="3236">
        <f>VLOOKUP($E29,O$442:R$453,3,FALSE)*O29*($K29)+IF($G29&gt;0,($I29/$G29)*O29,0)*(1-$K29)</f>
        <v>1992381238</v>
      </c>
      <c r="R29" s="3236">
        <f>VLOOKUP($E29,O$442:R$453,4,FALSE)*O29*($K29)+(O29-P29-Q29)*(1-$K29)</f>
        <v>0</v>
      </c>
      <c r="S29" s="3237"/>
      <c r="V29" s="3255">
        <f>VLOOKUP($A29,'New Resources - Individual'!$A$4:$Y$133,V$2,FALSE)*V$1</f>
        <v>0</v>
      </c>
      <c r="W29" s="3235">
        <f>$G29+V29</f>
        <v>1992381238</v>
      </c>
      <c r="X29" s="3236">
        <f>VLOOKUP($E29,W$442:Z$453,2,FALSE)*W29*($K29)+IF($G29&gt;0,($H29/$G29)*W29,0)*(1-$K29)</f>
        <v>0</v>
      </c>
      <c r="Y29" s="3236">
        <f>VLOOKUP($E29,W$442:Z$453,3,FALSE)*W29*($K29)+IF($G29&gt;0,($I29/$G29)*W29,0)*(1-$K29)</f>
        <v>1992381238</v>
      </c>
      <c r="Z29" s="3236">
        <f>VLOOKUP($E29,W$442:Z$453,4,FALSE)*W29*($K29)+(W29-X29-Y29)*(1-$K29)</f>
        <v>0</v>
      </c>
      <c r="AA29" s="3237"/>
      <c r="AD29" s="3255">
        <f>VLOOKUP($A29,'New Resources - Individual'!$A$4:$Y$133,AD$2,FALSE)*AD$1</f>
        <v>0</v>
      </c>
      <c r="AE29" s="3235">
        <f>$G29+AD29</f>
        <v>1992381238</v>
      </c>
      <c r="AF29" s="3236">
        <f>VLOOKUP($E29,AE$442:AH$453,2,FALSE)*AE29*($K29)+IF($G29&gt;0,($H29/$G29)*AE29,0)*(1-$K29)</f>
        <v>0</v>
      </c>
      <c r="AG29" s="3236">
        <f>VLOOKUP($E29,AE$442:AH$453,3,FALSE)*AE29*($K29)+IF($G29&gt;0,($I29/$G29)*AE29,0)*(1-$K29)</f>
        <v>1992381238</v>
      </c>
      <c r="AH29" s="3236">
        <f>VLOOKUP($E29,AE$442:AH$453,4,FALSE)*AE29*($K29)+(AE29-AF29-AG29)*(1-$K29)</f>
        <v>0</v>
      </c>
      <c r="AI29" s="3237"/>
      <c r="AL29" s="3255">
        <f>VLOOKUP($A29,'New Resources - Individual'!$A$4:$Y$133,AL$2,FALSE)*AL$1</f>
        <v>0</v>
      </c>
      <c r="AM29" s="3235">
        <f>$G29+AL29</f>
        <v>1992381238</v>
      </c>
      <c r="AN29" s="3236">
        <f>VLOOKUP($E29,AM$442:AP$453,2,FALSE)*AM29*($K29)+IF($G29&gt;0,($H29/$G29)*AM29,0)*(1-$K29)</f>
        <v>0</v>
      </c>
      <c r="AO29" s="3236">
        <f>VLOOKUP($E29,AM$442:AP$453,3,FALSE)*AM29*($K29)+IF($G29&gt;0,($I29/$G29)*AM29,0)*(1-$K29)</f>
        <v>1992381238</v>
      </c>
      <c r="AP29" s="3236">
        <f>VLOOKUP($E29,AM$442:AP$453,4,FALSE)*AM29*($K29)+(AM29-AN29-AO29)*(1-$K29)</f>
        <v>0</v>
      </c>
      <c r="AQ29" s="3237"/>
      <c r="AT29" s="3255">
        <f>VLOOKUP($A29,'New Resources - Individual'!$A$4:$Y$133,AT$2,FALSE)*AT$1</f>
        <v>0</v>
      </c>
      <c r="AU29" s="3235">
        <f>$G29+AT29</f>
        <v>1992381238</v>
      </c>
      <c r="AV29" s="3236">
        <f>VLOOKUP($E29,AU$442:AX$453,2,FALSE)*AU29*($K29)+IF($G29&gt;0,($H29/$G29)*AU29,0)*(1-$K29)</f>
        <v>0</v>
      </c>
      <c r="AW29" s="3236">
        <f>VLOOKUP($E29,AU$442:AX$453,3,FALSE)*AU29*($K29)+IF($G29&gt;0,($I29/$G29)*AU29,0)*(1-$K29)</f>
        <v>1992381238</v>
      </c>
      <c r="AX29" s="3236">
        <f>VLOOKUP($E29,AU$442:AX$453,4,FALSE)*AU29*($K29)+(AU29-AV29-AW29)*(1-$K29)</f>
        <v>0</v>
      </c>
      <c r="AY29" s="3237"/>
      <c r="BB29" s="3255">
        <f>VLOOKUP($A29,'New Resources - Individual'!$A$4:$Y$133,BB$2,FALSE)*BB$1</f>
        <v>0</v>
      </c>
      <c r="BC29" s="3235">
        <f>$G29+BB29</f>
        <v>1992381238</v>
      </c>
      <c r="BD29" s="3236">
        <f>VLOOKUP($E29,BC$442:BF$453,2,FALSE)*BC29*($K29)+IF($G29&gt;0,($H29/$G29)*BC29,0)*(1-$K29)</f>
        <v>0</v>
      </c>
      <c r="BE29" s="3236">
        <f>VLOOKUP($E29,BC$442:BF$453,3,FALSE)*BC29*($K29)+IF($G29&gt;0,($I29/$G29)*BC29,0)*(1-$K29)</f>
        <v>1992381238</v>
      </c>
      <c r="BF29" s="3236">
        <f>VLOOKUP($E29,BC$442:BF$453,4,FALSE)*BC29*($K29)+(BC29-BD29-BE29)*(1-$K29)</f>
        <v>0</v>
      </c>
      <c r="BG29" s="3237"/>
      <c r="BJ29" s="3255">
        <f>VLOOKUP($A29,'New Resources - Individual'!$A$4:$Y$133,BJ$2,FALSE)*BJ$1</f>
        <v>0</v>
      </c>
      <c r="BK29" s="3235">
        <f>$G29+BJ29</f>
        <v>1992381238</v>
      </c>
      <c r="BL29" s="3236">
        <f>VLOOKUP($E29,BK$442:BN$453,2,FALSE)*BK29*($K29)+IF($G29&gt;0,($H29/$G29)*BK29,0)*(1-$K29)</f>
        <v>0</v>
      </c>
      <c r="BM29" s="3236">
        <f>VLOOKUP($E29,BK$442:BN$453,3,FALSE)*BK29*($K29)+IF($G29&gt;0,($I29/$G29)*BK29,0)*(1-$K29)</f>
        <v>1992381238</v>
      </c>
      <c r="BN29" s="3236">
        <f>VLOOKUP($E29,BK$442:BN$453,4,FALSE)*BK29*($K29)+(BK29-BL29-BM29)*(1-$K29)</f>
        <v>0</v>
      </c>
      <c r="BO29" s="3237"/>
      <c r="BR29" s="3255">
        <f>VLOOKUP($A29,'New Resources - Individual'!$A$4:$Y$133,BR$2,FALSE)*BR$1</f>
        <v>0</v>
      </c>
      <c r="BS29" s="3235">
        <f>$G29+BR29</f>
        <v>1992381238</v>
      </c>
      <c r="BT29" s="3236">
        <f>VLOOKUP($E29,BS$442:BV$453,2,FALSE)*BS29*($K29)+IF($G29&gt;0,($H29/$G29)*BS29,0)*(1-$K29)</f>
        <v>0</v>
      </c>
      <c r="BU29" s="3236">
        <f>VLOOKUP($E29,BS$442:BV$453,3,FALSE)*BS29*($K29)+IF($G29&gt;0,($I29/$G29)*BS29,0)*(1-$K29)</f>
        <v>1992381238</v>
      </c>
      <c r="BV29" s="3236">
        <f>VLOOKUP($E29,BS$442:BV$453,4,FALSE)*BS29*($K29)+(BS29-BT29-BU29)*(1-$K29)</f>
        <v>0</v>
      </c>
      <c r="BW29" s="3237"/>
      <c r="BZ29" s="3255">
        <f>VLOOKUP($A29,'New Resources - Individual'!$A$4:$Y$133,BZ$2,FALSE)*BZ$1</f>
        <v>0</v>
      </c>
      <c r="CA29" s="3235">
        <f>$G29+BZ29</f>
        <v>1992381238</v>
      </c>
      <c r="CB29" s="3236">
        <f>VLOOKUP($E29,CA$442:CD$453,2,FALSE)*CA29*($K29)+IF($G29&gt;0,($H29/$G29)*CA29,0)*(1-$K29)</f>
        <v>0</v>
      </c>
      <c r="CC29" s="3236">
        <f>VLOOKUP($E29,CA$442:CD$453,3,FALSE)*CA29*($K29)+IF($G29&gt;0,($I29/$G29)*CA29,0)*(1-$K29)</f>
        <v>1992381238</v>
      </c>
      <c r="CD29" s="3236">
        <f>VLOOKUP($E29,CA$442:CD$453,4,FALSE)*CA29*($K29)+(CA29-CB29-CC29)*(1-$K29)</f>
        <v>0</v>
      </c>
      <c r="CE29" s="3237"/>
      <c r="CH29" s="3255">
        <f>VLOOKUP($A29,'New Resources - Individual'!$A$4:$Y$133,CH$2,FALSE)*CH$1</f>
        <v>0</v>
      </c>
      <c r="CI29" s="3235">
        <f>$G29+CH29</f>
        <v>1992381238</v>
      </c>
      <c r="CJ29" s="3236">
        <f>VLOOKUP($E29,CI$442:CL$453,2,FALSE)*CI29*($K29)+IF($G29&gt;0,($H29/$G29)*CI29,0)*(1-$K29)</f>
        <v>0</v>
      </c>
      <c r="CK29" s="3236">
        <f>VLOOKUP($E29,CI$442:CL$453,3,FALSE)*CI29*($K29)+IF($G29&gt;0,($I29/$G29)*CI29,0)*(1-$K29)</f>
        <v>1992381238</v>
      </c>
      <c r="CL29" s="3236">
        <f>VLOOKUP($E29,CI$442:CL$453,4,FALSE)*CI29*($K29)+(CI29-CJ29-CK29)*(1-$K29)</f>
        <v>0</v>
      </c>
      <c r="CM29" s="3237"/>
      <c r="CP29" s="3255">
        <f>VLOOKUP($A29,'New Resources - Individual'!$A$4:$Y$133,CP$2,FALSE)*CP$1</f>
        <v>0</v>
      </c>
      <c r="CQ29" s="3235">
        <f>$G29+CP29</f>
        <v>1992381238</v>
      </c>
      <c r="CR29" s="3236">
        <f>VLOOKUP($E29,CQ$442:CT$453,2,FALSE)*CQ29*($K29)+IF($G29&gt;0,($H29/$G29)*CQ29,0)*(1-$K29)</f>
        <v>0</v>
      </c>
      <c r="CS29" s="3236">
        <f>VLOOKUP($E29,CQ$442:CT$453,3,FALSE)*CQ29*($K29)+IF($G29&gt;0,($I29/$G29)*CQ29,0)*(1-$K29)</f>
        <v>1992381238</v>
      </c>
      <c r="CT29" s="3236">
        <f>VLOOKUP($E29,CQ$442:CT$453,4,FALSE)*CQ29*($K29)+(CQ29-CR29-CS29)*(1-$K29)</f>
        <v>0</v>
      </c>
      <c r="CU29" s="3237"/>
      <c r="CX29" s="3255">
        <f>VLOOKUP($A29,'New Resources - Individual'!$A$4:$Y$133,CX$2,FALSE)*CX$1</f>
        <v>0</v>
      </c>
      <c r="CY29" s="3235">
        <f>$G29+CX29</f>
        <v>1992381238</v>
      </c>
      <c r="CZ29" s="3236">
        <f>VLOOKUP($E29,CY$442:DB$453,2,FALSE)*CY29*($K29)+IF($G29&gt;0,($H29/$G29)*CY29,0)*(1-$K29)</f>
        <v>0</v>
      </c>
      <c r="DA29" s="3236">
        <f>VLOOKUP($E29,CY$442:DB$453,3,FALSE)*CY29*($K29)+IF($G29&gt;0,($I29/$G29)*CY29,0)*(1-$K29)</f>
        <v>1992381238</v>
      </c>
      <c r="DB29" s="3236">
        <f>VLOOKUP($E29,CY$442:DB$453,4,FALSE)*CY29*($K29)+(CY29-CZ29-DA29)*(1-$K29)</f>
        <v>0</v>
      </c>
      <c r="DC29" s="3237"/>
      <c r="DF29" s="3255">
        <f>VLOOKUP($A29,'New Resources - Individual'!$A$4:$Y$133,DF$2,FALSE)*DF$1</f>
        <v>0</v>
      </c>
      <c r="DG29" s="3235">
        <f>$G29+DF29</f>
        <v>1992381238</v>
      </c>
      <c r="DH29" s="3236">
        <f>VLOOKUP($E29,DG$442:DJ$453,2,FALSE)*DG29*($K29)+IF($G29&gt;0,($H29/$G29)*DG29,0)*(1-$K29)</f>
        <v>0</v>
      </c>
      <c r="DI29" s="3236">
        <f>VLOOKUP($E29,DG$442:DJ$453,3,FALSE)*DG29*($K29)+IF($G29&gt;0,($I29/$G29)*DG29,0)*(1-$K29)</f>
        <v>1992381238</v>
      </c>
      <c r="DJ29" s="3236">
        <f>VLOOKUP($E29,DG$442:DJ$453,4,FALSE)*DG29*($K29)+(DG29-DH29-DI29)*(1-$K29)</f>
        <v>0</v>
      </c>
      <c r="DK29" s="3237"/>
      <c r="DN29" s="3255">
        <f>VLOOKUP($A29,'New Resources - Individual'!$A$4:$Y$133,DN$2,FALSE)*DN$1</f>
        <v>0</v>
      </c>
      <c r="DO29" s="3235">
        <f>$G29+DN29</f>
        <v>1992381238</v>
      </c>
      <c r="DP29" s="3236">
        <f>VLOOKUP($E29,DO$442:DR$453,2,FALSE)*DO29*($K29)+IF($G29&gt;0,($H29/$G29)*DO29,0)*(1-$K29)</f>
        <v>0</v>
      </c>
      <c r="DQ29" s="3236">
        <f>VLOOKUP($E29,DO$442:DR$453,3,FALSE)*DO29*($K29)+IF($G29&gt;0,($I29/$G29)*DO29,0)*(1-$K29)</f>
        <v>1992381238</v>
      </c>
      <c r="DR29" s="3236">
        <f>VLOOKUP($E29,DO$442:DR$453,4,FALSE)*DO29*($K29)+(DO29-DP29-DQ29)*(1-$K29)</f>
        <v>0</v>
      </c>
      <c r="DS29" s="3237"/>
      <c r="DV29" s="3255">
        <f>VLOOKUP($A29,'New Resources - Individual'!$A$4:$Y$133,DV$2,FALSE)*DV$1</f>
        <v>0</v>
      </c>
      <c r="DW29" s="3235">
        <f>$G29+DV29</f>
        <v>1992381238</v>
      </c>
      <c r="DX29" s="3236">
        <f>VLOOKUP($E29,DW$442:DZ$453,2,FALSE)*DW29*($K29)+IF($G29&gt;0,($H29/$G29)*DW29,0)*(1-$K29)</f>
        <v>0</v>
      </c>
      <c r="DY29" s="3236">
        <f>VLOOKUP($E29,DW$442:DZ$453,3,FALSE)*DW29*($K29)+IF($G29&gt;0,($I29/$G29)*DW29,0)*(1-$K29)</f>
        <v>1992381238</v>
      </c>
      <c r="DZ29" s="3236">
        <f>VLOOKUP($E29,DW$442:DZ$453,4,FALSE)*DW29*($K29)+(DW29-DX29-DY29)*(1-$K29)</f>
        <v>0</v>
      </c>
      <c r="EA29" s="3237"/>
      <c r="ED29" s="3255">
        <f>VLOOKUP($A29,'New Resources - Individual'!$A$4:$Y$133,ED$2,FALSE)*ED$1</f>
        <v>0</v>
      </c>
      <c r="EE29" s="3235">
        <f>$G29+ED29</f>
        <v>1992381238</v>
      </c>
      <c r="EF29" s="3236">
        <f>VLOOKUP($E29,EE$442:EH$453,2,FALSE)*EE29*($K29)+IF($G29&gt;0,($H29/$G29)*EE29,0)*(1-$K29)</f>
        <v>0</v>
      </c>
      <c r="EG29" s="3236">
        <f>VLOOKUP($E29,EE$442:EH$453,3,FALSE)*EE29*($K29)+IF($G29&gt;0,($I29/$G29)*EE29,0)*(1-$K29)</f>
        <v>1992381238</v>
      </c>
      <c r="EH29" s="3236">
        <f>VLOOKUP($E29,EE$442:EH$453,4,FALSE)*EE29*($K29)+(EE29-EF29-EG29)*(1-$K29)</f>
        <v>0</v>
      </c>
      <c r="EI29" s="3237"/>
      <c r="EL29" s="3255">
        <f>VLOOKUP($A29,'New Resources - Individual'!$A$4:$Y$133,EL$2,FALSE)*EL$1</f>
        <v>0</v>
      </c>
      <c r="EM29" s="3235">
        <f>$G29+EL29</f>
        <v>1992381238</v>
      </c>
      <c r="EN29" s="3236">
        <f>VLOOKUP($E29,EM$442:EP$453,2,FALSE)*EM29*($K29)+IF($G29&gt;0,($H29/$G29)*EM29,0)*(1-$K29)</f>
        <v>0</v>
      </c>
      <c r="EO29" s="3236">
        <f>VLOOKUP($E29,EM$442:EP$453,3,FALSE)*EM29*($K29)+IF($G29&gt;0,($I29/$G29)*EM29,0)*(1-$K29)</f>
        <v>1992381238</v>
      </c>
      <c r="EP29" s="3236">
        <f>VLOOKUP($E29,EM$442:EP$453,4,FALSE)*EM29*($K29)+(EM29-EN29-EO29)*(1-$K29)</f>
        <v>0</v>
      </c>
      <c r="EQ29" s="3237"/>
      <c r="ET29" s="3255">
        <f>VLOOKUP($A29,'New Resources - Individual'!$A$4:$Y$133,ET$2,FALSE)*ET$1</f>
        <v>0</v>
      </c>
      <c r="EU29" s="3235">
        <f>$G29+ET29</f>
        <v>1992381238</v>
      </c>
      <c r="EV29" s="3236">
        <f>VLOOKUP($E29,EU$442:EX$453,2,FALSE)*EU29*($K29)+IF($G29&gt;0,($H29/$G29)*EU29,0)*(1-$K29)</f>
        <v>0</v>
      </c>
      <c r="EW29" s="3236">
        <f>VLOOKUP($E29,EU$442:EX$453,3,FALSE)*EU29*($K29)+IF($G29&gt;0,($I29/$G29)*EU29,0)*(1-$K29)</f>
        <v>1992381238</v>
      </c>
      <c r="EX29" s="3236">
        <f>VLOOKUP($E29,EU$442:EX$453,4,FALSE)*EU29*($K29)+(EU29-EV29-EW29)*(1-$K29)</f>
        <v>0</v>
      </c>
      <c r="EY29" s="3237"/>
      <c r="FB29" s="3255">
        <f>VLOOKUP($A29,'New Resources - Individual'!$A$4:$Y$133,FB$2,FALSE)*FB$1</f>
        <v>0</v>
      </c>
      <c r="FC29" s="3235">
        <f>$G29+FB29</f>
        <v>1992381238</v>
      </c>
      <c r="FD29" s="3236">
        <f>VLOOKUP($E29,FC$442:FF$453,2,FALSE)*FC29*($K29)+IF($G29&gt;0,($H29/$G29)*FC29,0)*(1-$K29)</f>
        <v>0</v>
      </c>
      <c r="FE29" s="3236">
        <f>VLOOKUP($E29,FC$442:FF$453,3,FALSE)*FC29*($K29)+IF($G29&gt;0,($I29/$G29)*FC29,0)*(1-$K29)</f>
        <v>1992381238</v>
      </c>
      <c r="FF29" s="3236">
        <f>VLOOKUP($E29,FC$442:FF$453,4,FALSE)*FC29*($K29)+(FC29-FD29-FE29)*(1-$K29)</f>
        <v>0</v>
      </c>
      <c r="FG29" s="3237"/>
      <c r="FJ29" s="3255">
        <f>VLOOKUP($A29,'New Resources - Individual'!$A$4:$Y$133,FJ$2,FALSE)*FJ$1</f>
        <v>0</v>
      </c>
      <c r="FK29" s="3235">
        <f>$G29+FJ29</f>
        <v>1992381238</v>
      </c>
      <c r="FL29" s="3236">
        <f>VLOOKUP($E29,FK$442:FN$453,2,FALSE)*FK29*($K29)+IF($G29&gt;0,($H29/$G29)*FK29,0)*(1-$K29)</f>
        <v>0</v>
      </c>
      <c r="FM29" s="3236">
        <f>VLOOKUP($E29,FK$442:FN$453,3,FALSE)*FK29*($K29)+IF($G29&gt;0,($I29/$G29)*FK29,0)*(1-$K29)</f>
        <v>1992381238</v>
      </c>
      <c r="FN29" s="3236">
        <f>VLOOKUP($E29,FK$442:FN$453,4,FALSE)*FK29*($K29)+(FK29-FL29-FM29)*(1-$K29)</f>
        <v>0</v>
      </c>
      <c r="FO29" s="3237"/>
    </row>
    <row r="30" spans="1:171">
      <c r="A30" s="2310" t="s">
        <v>121</v>
      </c>
      <c r="B30" s="2100"/>
      <c r="C30" s="3256"/>
      <c r="D30" s="3257"/>
      <c r="E30" s="3257"/>
      <c r="F30" s="3258"/>
      <c r="G30" s="3244">
        <f>SUM(G29)</f>
        <v>1992381238</v>
      </c>
      <c r="H30" s="3244">
        <f>SUM(H29)</f>
        <v>0</v>
      </c>
      <c r="I30" s="3244">
        <f>SUM(I29)</f>
        <v>0</v>
      </c>
      <c r="J30" s="3245">
        <f>SUM(J29)</f>
        <v>1992381238</v>
      </c>
      <c r="K30" s="3205"/>
      <c r="O30" s="3244">
        <f>SUM(O29)</f>
        <v>1992381238</v>
      </c>
      <c r="P30" s="3244">
        <f>SUM(P29)</f>
        <v>0</v>
      </c>
      <c r="Q30" s="3244">
        <f>SUM(Q29)</f>
        <v>1992381238</v>
      </c>
      <c r="R30" s="3244">
        <f>SUM(R29)</f>
        <v>0</v>
      </c>
      <c r="S30" s="3237"/>
      <c r="W30" s="3244">
        <f>SUM(W29)</f>
        <v>1992381238</v>
      </c>
      <c r="X30" s="3244">
        <f>SUM(X29)</f>
        <v>0</v>
      </c>
      <c r="Y30" s="3244">
        <f>SUM(Y29)</f>
        <v>1992381238</v>
      </c>
      <c r="Z30" s="3244">
        <f>SUM(Z29)</f>
        <v>0</v>
      </c>
      <c r="AA30" s="3237"/>
      <c r="AE30" s="3244">
        <f>SUM(AE29)</f>
        <v>1992381238</v>
      </c>
      <c r="AF30" s="3244">
        <f>SUM(AF29)</f>
        <v>0</v>
      </c>
      <c r="AG30" s="3244">
        <f>SUM(AG29)</f>
        <v>1992381238</v>
      </c>
      <c r="AH30" s="3244">
        <f>SUM(AH29)</f>
        <v>0</v>
      </c>
      <c r="AI30" s="3237"/>
      <c r="AM30" s="3244">
        <f>SUM(AM29)</f>
        <v>1992381238</v>
      </c>
      <c r="AN30" s="3244">
        <f>SUM(AN29)</f>
        <v>0</v>
      </c>
      <c r="AO30" s="3244">
        <f>SUM(AO29)</f>
        <v>1992381238</v>
      </c>
      <c r="AP30" s="3244">
        <f>SUM(AP29)</f>
        <v>0</v>
      </c>
      <c r="AQ30" s="3237"/>
      <c r="AU30" s="3244">
        <f>SUM(AU29)</f>
        <v>1992381238</v>
      </c>
      <c r="AV30" s="3244">
        <f>SUM(AV29)</f>
        <v>0</v>
      </c>
      <c r="AW30" s="3244">
        <f>SUM(AW29)</f>
        <v>1992381238</v>
      </c>
      <c r="AX30" s="3244">
        <f>SUM(AX29)</f>
        <v>0</v>
      </c>
      <c r="AY30" s="3237"/>
      <c r="BC30" s="3244">
        <f>SUM(BC29)</f>
        <v>1992381238</v>
      </c>
      <c r="BD30" s="3244">
        <f>SUM(BD29)</f>
        <v>0</v>
      </c>
      <c r="BE30" s="3244">
        <f>SUM(BE29)</f>
        <v>1992381238</v>
      </c>
      <c r="BF30" s="3244">
        <f>SUM(BF29)</f>
        <v>0</v>
      </c>
      <c r="BG30" s="3237"/>
      <c r="BK30" s="3244">
        <f>SUM(BK29)</f>
        <v>1992381238</v>
      </c>
      <c r="BL30" s="3244">
        <f>SUM(BL29)</f>
        <v>0</v>
      </c>
      <c r="BM30" s="3244">
        <f>SUM(BM29)</f>
        <v>1992381238</v>
      </c>
      <c r="BN30" s="3244">
        <f>SUM(BN29)</f>
        <v>0</v>
      </c>
      <c r="BO30" s="3237"/>
      <c r="BS30" s="3244">
        <f>SUM(BS29)</f>
        <v>1992381238</v>
      </c>
      <c r="BT30" s="3244">
        <f>SUM(BT29)</f>
        <v>0</v>
      </c>
      <c r="BU30" s="3244">
        <f>SUM(BU29)</f>
        <v>1992381238</v>
      </c>
      <c r="BV30" s="3244">
        <f>SUM(BV29)</f>
        <v>0</v>
      </c>
      <c r="BW30" s="3237"/>
      <c r="CA30" s="3244">
        <f>SUM(CA29)</f>
        <v>1992381238</v>
      </c>
      <c r="CB30" s="3244">
        <f>SUM(CB29)</f>
        <v>0</v>
      </c>
      <c r="CC30" s="3244">
        <f>SUM(CC29)</f>
        <v>1992381238</v>
      </c>
      <c r="CD30" s="3244">
        <f>SUM(CD29)</f>
        <v>0</v>
      </c>
      <c r="CE30" s="3237"/>
      <c r="CI30" s="3244">
        <f>SUM(CI29)</f>
        <v>1992381238</v>
      </c>
      <c r="CJ30" s="3244">
        <f>SUM(CJ29)</f>
        <v>0</v>
      </c>
      <c r="CK30" s="3244">
        <f>SUM(CK29)</f>
        <v>1992381238</v>
      </c>
      <c r="CL30" s="3244">
        <f>SUM(CL29)</f>
        <v>0</v>
      </c>
      <c r="CM30" s="3237"/>
      <c r="CQ30" s="3244">
        <f>SUM(CQ29)</f>
        <v>1992381238</v>
      </c>
      <c r="CR30" s="3244">
        <f>SUM(CR29)</f>
        <v>0</v>
      </c>
      <c r="CS30" s="3244">
        <f>SUM(CS29)</f>
        <v>1992381238</v>
      </c>
      <c r="CT30" s="3244">
        <f>SUM(CT29)</f>
        <v>0</v>
      </c>
      <c r="CU30" s="3237"/>
      <c r="CY30" s="3244">
        <f>SUM(CY29)</f>
        <v>1992381238</v>
      </c>
      <c r="CZ30" s="3244">
        <f>SUM(CZ29)</f>
        <v>0</v>
      </c>
      <c r="DA30" s="3244">
        <f>SUM(DA29)</f>
        <v>1992381238</v>
      </c>
      <c r="DB30" s="3244">
        <f>SUM(DB29)</f>
        <v>0</v>
      </c>
      <c r="DC30" s="3237"/>
      <c r="DG30" s="3244">
        <f>SUM(DG29)</f>
        <v>1992381238</v>
      </c>
      <c r="DH30" s="3244">
        <f>SUM(DH29)</f>
        <v>0</v>
      </c>
      <c r="DI30" s="3244">
        <f>SUM(DI29)</f>
        <v>1992381238</v>
      </c>
      <c r="DJ30" s="3244">
        <f>SUM(DJ29)</f>
        <v>0</v>
      </c>
      <c r="DK30" s="3237"/>
      <c r="DO30" s="3244">
        <f>SUM(DO29)</f>
        <v>1992381238</v>
      </c>
      <c r="DP30" s="3244">
        <f>SUM(DP29)</f>
        <v>0</v>
      </c>
      <c r="DQ30" s="3244">
        <f>SUM(DQ29)</f>
        <v>1992381238</v>
      </c>
      <c r="DR30" s="3244">
        <f>SUM(DR29)</f>
        <v>0</v>
      </c>
      <c r="DS30" s="3237"/>
      <c r="DW30" s="3244">
        <f>SUM(DW29)</f>
        <v>1992381238</v>
      </c>
      <c r="DX30" s="3244">
        <f>SUM(DX29)</f>
        <v>0</v>
      </c>
      <c r="DY30" s="3244">
        <f>SUM(DY29)</f>
        <v>1992381238</v>
      </c>
      <c r="DZ30" s="3244">
        <f>SUM(DZ29)</f>
        <v>0</v>
      </c>
      <c r="EA30" s="3237"/>
      <c r="EE30" s="3244">
        <f>SUM(EE29)</f>
        <v>1992381238</v>
      </c>
      <c r="EF30" s="3244">
        <f>SUM(EF29)</f>
        <v>0</v>
      </c>
      <c r="EG30" s="3244">
        <f>SUM(EG29)</f>
        <v>1992381238</v>
      </c>
      <c r="EH30" s="3244">
        <f>SUM(EH29)</f>
        <v>0</v>
      </c>
      <c r="EI30" s="3237"/>
      <c r="EM30" s="3244">
        <f>SUM(EM29)</f>
        <v>1992381238</v>
      </c>
      <c r="EN30" s="3244">
        <f>SUM(EN29)</f>
        <v>0</v>
      </c>
      <c r="EO30" s="3244">
        <f>SUM(EO29)</f>
        <v>1992381238</v>
      </c>
      <c r="EP30" s="3244">
        <f>SUM(EP29)</f>
        <v>0</v>
      </c>
      <c r="EQ30" s="3237"/>
      <c r="EU30" s="3244">
        <f>SUM(EU29)</f>
        <v>1992381238</v>
      </c>
      <c r="EV30" s="3244">
        <f>SUM(EV29)</f>
        <v>0</v>
      </c>
      <c r="EW30" s="3244">
        <f>SUM(EW29)</f>
        <v>1992381238</v>
      </c>
      <c r="EX30" s="3244">
        <f>SUM(EX29)</f>
        <v>0</v>
      </c>
      <c r="EY30" s="3237"/>
      <c r="FC30" s="3244">
        <f>SUM(FC29)</f>
        <v>1992381238</v>
      </c>
      <c r="FD30" s="3244">
        <f>SUM(FD29)</f>
        <v>0</v>
      </c>
      <c r="FE30" s="3244">
        <f>SUM(FE29)</f>
        <v>1992381238</v>
      </c>
      <c r="FF30" s="3244">
        <f>SUM(FF29)</f>
        <v>0</v>
      </c>
      <c r="FG30" s="3237"/>
      <c r="FK30" s="3244">
        <f>SUM(FK29)</f>
        <v>1992381238</v>
      </c>
      <c r="FL30" s="3244">
        <f>SUM(FL29)</f>
        <v>0</v>
      </c>
      <c r="FM30" s="3244">
        <f>SUM(FM29)</f>
        <v>1992381238</v>
      </c>
      <c r="FN30" s="3244">
        <f>SUM(FN29)</f>
        <v>0</v>
      </c>
      <c r="FO30" s="3237"/>
    </row>
    <row r="31" spans="1:171">
      <c r="A31" s="2310"/>
      <c r="B31" s="2100"/>
      <c r="C31" s="2116"/>
      <c r="D31" s="2116"/>
      <c r="E31" s="2116"/>
      <c r="F31" s="2116"/>
      <c r="G31" s="2117"/>
      <c r="H31" s="2117"/>
      <c r="I31" s="2117"/>
      <c r="J31" s="3259"/>
      <c r="K31" s="3205"/>
      <c r="S31" s="3237"/>
      <c r="AA31" s="3237"/>
      <c r="AI31" s="3237"/>
      <c r="AQ31" s="3237"/>
      <c r="AY31" s="3237"/>
      <c r="BG31" s="3237"/>
      <c r="BO31" s="3237"/>
      <c r="BW31" s="3237"/>
      <c r="CE31" s="3237"/>
      <c r="CM31" s="3237"/>
      <c r="CU31" s="3237"/>
      <c r="DC31" s="3237"/>
      <c r="DK31" s="3237"/>
      <c r="DS31" s="3237"/>
      <c r="EA31" s="3237"/>
      <c r="EI31" s="3237"/>
      <c r="EQ31" s="3237"/>
      <c r="EY31" s="3237"/>
      <c r="FG31" s="3237"/>
      <c r="FO31" s="3237"/>
    </row>
    <row r="32" spans="1:171">
      <c r="A32" s="2669" t="s">
        <v>471</v>
      </c>
      <c r="B32" s="2103"/>
      <c r="C32" s="2116"/>
      <c r="D32" s="2116"/>
      <c r="E32" s="2100"/>
      <c r="F32" s="2100"/>
      <c r="G32" s="2182"/>
      <c r="H32" s="2182"/>
      <c r="I32" s="2182"/>
      <c r="J32" s="2289"/>
      <c r="K32" s="3205"/>
      <c r="S32" s="3237"/>
      <c r="AA32" s="3237"/>
      <c r="AI32" s="3237"/>
      <c r="AQ32" s="3237"/>
      <c r="AY32" s="3237"/>
      <c r="BG32" s="3237"/>
      <c r="BO32" s="3237"/>
      <c r="BW32" s="3237"/>
      <c r="CE32" s="3237"/>
      <c r="CM32" s="3237"/>
      <c r="CU32" s="3237"/>
      <c r="DC32" s="3237"/>
      <c r="DK32" s="3237"/>
      <c r="DS32" s="3237"/>
      <c r="EA32" s="3237"/>
      <c r="EI32" s="3237"/>
      <c r="EQ32" s="3237"/>
      <c r="EY32" s="3237"/>
      <c r="FG32" s="3237"/>
      <c r="FO32" s="3237"/>
    </row>
    <row r="33" spans="1:171">
      <c r="A33" s="2442"/>
      <c r="B33" s="2185" t="s">
        <v>140</v>
      </c>
      <c r="C33" s="3233" t="s">
        <v>70</v>
      </c>
      <c r="D33" s="2464" t="s">
        <v>123</v>
      </c>
      <c r="E33" s="2424" t="str">
        <f>'Sch 1- Rate Base '!E33</f>
        <v>DIST</v>
      </c>
      <c r="F33" s="2171"/>
      <c r="G33" s="2424">
        <f>'Sch 1- Rate Base '!G33</f>
        <v>5283922742</v>
      </c>
      <c r="H33" s="2424">
        <f>'Sch 1- Rate Base '!H33</f>
        <v>0</v>
      </c>
      <c r="I33" s="2424">
        <f>'Sch 1- Rate Base '!I33</f>
        <v>0</v>
      </c>
      <c r="J33" s="2425">
        <f>'Sch 1- Rate Base '!J33</f>
        <v>5283922742</v>
      </c>
      <c r="K33" s="3205">
        <f>IF($E33="DIRECT",0,1)</f>
        <v>1</v>
      </c>
      <c r="O33" s="3235">
        <f>$G33</f>
        <v>5283922742</v>
      </c>
      <c r="P33" s="3236">
        <f>VLOOKUP($E33,O$442:R$453,2,FALSE)*O33*($K33)+IF($G33&gt;0,($H33/$G33)*O33,0)*(1-$K33)</f>
        <v>0</v>
      </c>
      <c r="Q33" s="3236">
        <f>VLOOKUP($E33,O$442:R$453,3,FALSE)*O33*($K33)+IF($G33&gt;0,($I33/$G33)*O33,0)*(1-$K33)</f>
        <v>0</v>
      </c>
      <c r="R33" s="3236">
        <f>VLOOKUP($E33,O$442:R$453,4,FALSE)*O33*($K33)+(O33-P33-Q33)*(1-$K33)</f>
        <v>5283922742</v>
      </c>
      <c r="S33" s="3237"/>
      <c r="W33" s="3235">
        <f>$G33</f>
        <v>5283922742</v>
      </c>
      <c r="X33" s="3236">
        <f>VLOOKUP($E33,W$442:Z$453,2,FALSE)*W33*($K33)+IF($G33&gt;0,($H33/$G33)*W33,0)*(1-$K33)</f>
        <v>0</v>
      </c>
      <c r="Y33" s="3236">
        <f>VLOOKUP($E33,W$442:Z$453,3,FALSE)*W33*($K33)+IF($G33&gt;0,($I33/$G33)*W33,0)*(1-$K33)</f>
        <v>0</v>
      </c>
      <c r="Z33" s="3236">
        <f>VLOOKUP($E33,W$442:Z$453,4,FALSE)*W33*($K33)+(W33-X33-Y33)*(1-$K33)</f>
        <v>5283922742</v>
      </c>
      <c r="AA33" s="3237"/>
      <c r="AE33" s="3235">
        <f>$G33</f>
        <v>5283922742</v>
      </c>
      <c r="AF33" s="3236">
        <f>VLOOKUP($E33,AE$442:AH$453,2,FALSE)*AE33*($K33)+IF($G33&gt;0,($H33/$G33)*AE33,0)*(1-$K33)</f>
        <v>0</v>
      </c>
      <c r="AG33" s="3236">
        <f>VLOOKUP($E33,AE$442:AH$453,3,FALSE)*AE33*($K33)+IF($G33&gt;0,($I33/$G33)*AE33,0)*(1-$K33)</f>
        <v>0</v>
      </c>
      <c r="AH33" s="3236">
        <f>VLOOKUP($E33,AE$442:AH$453,4,FALSE)*AE33*($K33)+(AE33-AF33-AG33)*(1-$K33)</f>
        <v>5283922742</v>
      </c>
      <c r="AI33" s="3237"/>
      <c r="AM33" s="3235">
        <f>$G33</f>
        <v>5283922742</v>
      </c>
      <c r="AN33" s="3236">
        <f>VLOOKUP($E33,AM$442:AP$453,2,FALSE)*AM33*($K33)+IF($G33&gt;0,($H33/$G33)*AM33,0)*(1-$K33)</f>
        <v>0</v>
      </c>
      <c r="AO33" s="3236">
        <f>VLOOKUP($E33,AM$442:AP$453,3,FALSE)*AM33*($K33)+IF($G33&gt;0,($I33/$G33)*AM33,0)*(1-$K33)</f>
        <v>0</v>
      </c>
      <c r="AP33" s="3236">
        <f>VLOOKUP($E33,AM$442:AP$453,4,FALSE)*AM33*($K33)+(AM33-AN33-AO33)*(1-$K33)</f>
        <v>5283922742</v>
      </c>
      <c r="AQ33" s="3237"/>
      <c r="AU33" s="3235">
        <f>$G33</f>
        <v>5283922742</v>
      </c>
      <c r="AV33" s="3236">
        <f>VLOOKUP($E33,AU$442:AX$453,2,FALSE)*AU33*($K33)+IF($G33&gt;0,($H33/$G33)*AU33,0)*(1-$K33)</f>
        <v>0</v>
      </c>
      <c r="AW33" s="3236">
        <f>VLOOKUP($E33,AU$442:AX$453,3,FALSE)*AU33*($K33)+IF($G33&gt;0,($I33/$G33)*AU33,0)*(1-$K33)</f>
        <v>0</v>
      </c>
      <c r="AX33" s="3236">
        <f>VLOOKUP($E33,AU$442:AX$453,4,FALSE)*AU33*($K33)+(AU33-AV33-AW33)*(1-$K33)</f>
        <v>5283922742</v>
      </c>
      <c r="AY33" s="3237"/>
      <c r="BC33" s="3235">
        <f>$G33</f>
        <v>5283922742</v>
      </c>
      <c r="BD33" s="3236">
        <f>VLOOKUP($E33,BC$442:BF$453,2,FALSE)*BC33*($K33)+IF($G33&gt;0,($H33/$G33)*BC33,0)*(1-$K33)</f>
        <v>0</v>
      </c>
      <c r="BE33" s="3236">
        <f>VLOOKUP($E33,BC$442:BF$453,3,FALSE)*BC33*($K33)+IF($G33&gt;0,($I33/$G33)*BC33,0)*(1-$K33)</f>
        <v>0</v>
      </c>
      <c r="BF33" s="3236">
        <f>VLOOKUP($E33,BC$442:BF$453,4,FALSE)*BC33*($K33)+(BC33-BD33-BE33)*(1-$K33)</f>
        <v>5283922742</v>
      </c>
      <c r="BG33" s="3237"/>
      <c r="BK33" s="3235">
        <f>$G33</f>
        <v>5283922742</v>
      </c>
      <c r="BL33" s="3236">
        <f>VLOOKUP($E33,BK$442:BN$453,2,FALSE)*BK33*($K33)+IF($G33&gt;0,($H33/$G33)*BK33,0)*(1-$K33)</f>
        <v>0</v>
      </c>
      <c r="BM33" s="3236">
        <f>VLOOKUP($E33,BK$442:BN$453,3,FALSE)*BK33*($K33)+IF($G33&gt;0,($I33/$G33)*BK33,0)*(1-$K33)</f>
        <v>0</v>
      </c>
      <c r="BN33" s="3236">
        <f>VLOOKUP($E33,BK$442:BN$453,4,FALSE)*BK33*($K33)+(BK33-BL33-BM33)*(1-$K33)</f>
        <v>5283922742</v>
      </c>
      <c r="BO33" s="3237"/>
      <c r="BS33" s="3235">
        <f>$G33</f>
        <v>5283922742</v>
      </c>
      <c r="BT33" s="3236">
        <f>VLOOKUP($E33,BS$442:BV$453,2,FALSE)*BS33*($K33)+IF($G33&gt;0,($H33/$G33)*BS33,0)*(1-$K33)</f>
        <v>0</v>
      </c>
      <c r="BU33" s="3236">
        <f>VLOOKUP($E33,BS$442:BV$453,3,FALSE)*BS33*($K33)+IF($G33&gt;0,($I33/$G33)*BS33,0)*(1-$K33)</f>
        <v>0</v>
      </c>
      <c r="BV33" s="3236">
        <f>VLOOKUP($E33,BS$442:BV$453,4,FALSE)*BS33*($K33)+(BS33-BT33-BU33)*(1-$K33)</f>
        <v>5283922742</v>
      </c>
      <c r="BW33" s="3237"/>
      <c r="CA33" s="3235">
        <f>$G33</f>
        <v>5283922742</v>
      </c>
      <c r="CB33" s="3236">
        <f>VLOOKUP($E33,CA$442:CD$453,2,FALSE)*CA33*($K33)+IF($G33&gt;0,($H33/$G33)*CA33,0)*(1-$K33)</f>
        <v>0</v>
      </c>
      <c r="CC33" s="3236">
        <f>VLOOKUP($E33,CA$442:CD$453,3,FALSE)*CA33*($K33)+IF($G33&gt;0,($I33/$G33)*CA33,0)*(1-$K33)</f>
        <v>0</v>
      </c>
      <c r="CD33" s="3236">
        <f>VLOOKUP($E33,CA$442:CD$453,4,FALSE)*CA33*($K33)+(CA33-CB33-CC33)*(1-$K33)</f>
        <v>5283922742</v>
      </c>
      <c r="CE33" s="3237"/>
      <c r="CI33" s="3235">
        <f>$G33</f>
        <v>5283922742</v>
      </c>
      <c r="CJ33" s="3236">
        <f>VLOOKUP($E33,CI$442:CL$453,2,FALSE)*CI33*($K33)+IF($G33&gt;0,($H33/$G33)*CI33,0)*(1-$K33)</f>
        <v>0</v>
      </c>
      <c r="CK33" s="3236">
        <f>VLOOKUP($E33,CI$442:CL$453,3,FALSE)*CI33*($K33)+IF($G33&gt;0,($I33/$G33)*CI33,0)*(1-$K33)</f>
        <v>0</v>
      </c>
      <c r="CL33" s="3236">
        <f>VLOOKUP($E33,CI$442:CL$453,4,FALSE)*CI33*($K33)+(CI33-CJ33-CK33)*(1-$K33)</f>
        <v>5283922742</v>
      </c>
      <c r="CM33" s="3237"/>
      <c r="CQ33" s="3235">
        <f>$G33</f>
        <v>5283922742</v>
      </c>
      <c r="CR33" s="3236">
        <f>VLOOKUP($E33,CQ$442:CT$453,2,FALSE)*CQ33*($K33)+IF($G33&gt;0,($H33/$G33)*CQ33,0)*(1-$K33)</f>
        <v>0</v>
      </c>
      <c r="CS33" s="3236">
        <f>VLOOKUP($E33,CQ$442:CT$453,3,FALSE)*CQ33*($K33)+IF($G33&gt;0,($I33/$G33)*CQ33,0)*(1-$K33)</f>
        <v>0</v>
      </c>
      <c r="CT33" s="3236">
        <f>VLOOKUP($E33,CQ$442:CT$453,4,FALSE)*CQ33*($K33)+(CQ33-CR33-CS33)*(1-$K33)</f>
        <v>5283922742</v>
      </c>
      <c r="CU33" s="3237"/>
      <c r="CY33" s="3235">
        <f>$G33</f>
        <v>5283922742</v>
      </c>
      <c r="CZ33" s="3236">
        <f>VLOOKUP($E33,CY$442:DB$453,2,FALSE)*CY33*($K33)+IF($G33&gt;0,($H33/$G33)*CY33,0)*(1-$K33)</f>
        <v>0</v>
      </c>
      <c r="DA33" s="3236">
        <f>VLOOKUP($E33,CY$442:DB$453,3,FALSE)*CY33*($K33)+IF($G33&gt;0,($I33/$G33)*CY33,0)*(1-$K33)</f>
        <v>0</v>
      </c>
      <c r="DB33" s="3236">
        <f>VLOOKUP($E33,CY$442:DB$453,4,FALSE)*CY33*($K33)+(CY33-CZ33-DA33)*(1-$K33)</f>
        <v>5283922742</v>
      </c>
      <c r="DC33" s="3237"/>
      <c r="DG33" s="3235">
        <f>$G33</f>
        <v>5283922742</v>
      </c>
      <c r="DH33" s="3236">
        <f>VLOOKUP($E33,DG$442:DJ$453,2,FALSE)*DG33*($K33)+IF($G33&gt;0,($H33/$G33)*DG33,0)*(1-$K33)</f>
        <v>0</v>
      </c>
      <c r="DI33" s="3236">
        <f>VLOOKUP($E33,DG$442:DJ$453,3,FALSE)*DG33*($K33)+IF($G33&gt;0,($I33/$G33)*DG33,0)*(1-$K33)</f>
        <v>0</v>
      </c>
      <c r="DJ33" s="3236">
        <f>VLOOKUP($E33,DG$442:DJ$453,4,FALSE)*DG33*($K33)+(DG33-DH33-DI33)*(1-$K33)</f>
        <v>5283922742</v>
      </c>
      <c r="DK33" s="3237"/>
      <c r="DO33" s="3235">
        <f>$G33</f>
        <v>5283922742</v>
      </c>
      <c r="DP33" s="3236">
        <f>VLOOKUP($E33,DO$442:DR$453,2,FALSE)*DO33*($K33)+IF($G33&gt;0,($H33/$G33)*DO33,0)*(1-$K33)</f>
        <v>0</v>
      </c>
      <c r="DQ33" s="3236">
        <f>VLOOKUP($E33,DO$442:DR$453,3,FALSE)*DO33*($K33)+IF($G33&gt;0,($I33/$G33)*DO33,0)*(1-$K33)</f>
        <v>0</v>
      </c>
      <c r="DR33" s="3236">
        <f>VLOOKUP($E33,DO$442:DR$453,4,FALSE)*DO33*($K33)+(DO33-DP33-DQ33)*(1-$K33)</f>
        <v>5283922742</v>
      </c>
      <c r="DS33" s="3237"/>
      <c r="DW33" s="3235">
        <f>$G33</f>
        <v>5283922742</v>
      </c>
      <c r="DX33" s="3236">
        <f>VLOOKUP($E33,DW$442:DZ$453,2,FALSE)*DW33*($K33)+IF($G33&gt;0,($H33/$G33)*DW33,0)*(1-$K33)</f>
        <v>0</v>
      </c>
      <c r="DY33" s="3236">
        <f>VLOOKUP($E33,DW$442:DZ$453,3,FALSE)*DW33*($K33)+IF($G33&gt;0,($I33/$G33)*DW33,0)*(1-$K33)</f>
        <v>0</v>
      </c>
      <c r="DZ33" s="3236">
        <f>VLOOKUP($E33,DW$442:DZ$453,4,FALSE)*DW33*($K33)+(DW33-DX33-DY33)*(1-$K33)</f>
        <v>5283922742</v>
      </c>
      <c r="EA33" s="3237"/>
      <c r="EE33" s="3235">
        <f>$G33</f>
        <v>5283922742</v>
      </c>
      <c r="EF33" s="3236">
        <f>VLOOKUP($E33,EE$442:EH$453,2,FALSE)*EE33*($K33)+IF($G33&gt;0,($H33/$G33)*EE33,0)*(1-$K33)</f>
        <v>0</v>
      </c>
      <c r="EG33" s="3236">
        <f>VLOOKUP($E33,EE$442:EH$453,3,FALSE)*EE33*($K33)+IF($G33&gt;0,($I33/$G33)*EE33,0)*(1-$K33)</f>
        <v>0</v>
      </c>
      <c r="EH33" s="3236">
        <f>VLOOKUP($E33,EE$442:EH$453,4,FALSE)*EE33*($K33)+(EE33-EF33-EG33)*(1-$K33)</f>
        <v>5283922742</v>
      </c>
      <c r="EI33" s="3237"/>
      <c r="EM33" s="3235">
        <f>$G33</f>
        <v>5283922742</v>
      </c>
      <c r="EN33" s="3236">
        <f>VLOOKUP($E33,EM$442:EP$453,2,FALSE)*EM33*($K33)+IF($G33&gt;0,($H33/$G33)*EM33,0)*(1-$K33)</f>
        <v>0</v>
      </c>
      <c r="EO33" s="3236">
        <f>VLOOKUP($E33,EM$442:EP$453,3,FALSE)*EM33*($K33)+IF($G33&gt;0,($I33/$G33)*EM33,0)*(1-$K33)</f>
        <v>0</v>
      </c>
      <c r="EP33" s="3236">
        <f>VLOOKUP($E33,EM$442:EP$453,4,FALSE)*EM33*($K33)+(EM33-EN33-EO33)*(1-$K33)</f>
        <v>5283922742</v>
      </c>
      <c r="EQ33" s="3237"/>
      <c r="EU33" s="3235">
        <f>$G33</f>
        <v>5283922742</v>
      </c>
      <c r="EV33" s="3236">
        <f>VLOOKUP($E33,EU$442:EX$453,2,FALSE)*EU33*($K33)+IF($G33&gt;0,($H33/$G33)*EU33,0)*(1-$K33)</f>
        <v>0</v>
      </c>
      <c r="EW33" s="3236">
        <f>VLOOKUP($E33,EU$442:EX$453,3,FALSE)*EU33*($K33)+IF($G33&gt;0,($I33/$G33)*EU33,0)*(1-$K33)</f>
        <v>0</v>
      </c>
      <c r="EX33" s="3236">
        <f>VLOOKUP($E33,EU$442:EX$453,4,FALSE)*EU33*($K33)+(EU33-EV33-EW33)*(1-$K33)</f>
        <v>5283922742</v>
      </c>
      <c r="EY33" s="3237"/>
      <c r="FC33" s="3235">
        <f>$G33</f>
        <v>5283922742</v>
      </c>
      <c r="FD33" s="3236">
        <f>VLOOKUP($E33,FC$442:FF$453,2,FALSE)*FC33*($K33)+IF($G33&gt;0,($H33/$G33)*FC33,0)*(1-$K33)</f>
        <v>0</v>
      </c>
      <c r="FE33" s="3236">
        <f>VLOOKUP($E33,FC$442:FF$453,3,FALSE)*FC33*($K33)+IF($G33&gt;0,($I33/$G33)*FC33,0)*(1-$K33)</f>
        <v>0</v>
      </c>
      <c r="FF33" s="3236">
        <f>VLOOKUP($E33,FC$442:FF$453,4,FALSE)*FC33*($K33)+(FC33-FD33-FE33)*(1-$K33)</f>
        <v>5283922742</v>
      </c>
      <c r="FG33" s="3237"/>
      <c r="FK33" s="3235">
        <f>$G33</f>
        <v>5283922742</v>
      </c>
      <c r="FL33" s="3236">
        <f>VLOOKUP($E33,FK$442:FN$453,2,FALSE)*FK33*($K33)+IF($G33&gt;0,($H33/$G33)*FK33,0)*(1-$K33)</f>
        <v>0</v>
      </c>
      <c r="FM33" s="3236">
        <f>VLOOKUP($E33,FK$442:FN$453,3,FALSE)*FK33*($K33)+IF($G33&gt;0,($I33/$G33)*FK33,0)*(1-$K33)</f>
        <v>0</v>
      </c>
      <c r="FN33" s="3236">
        <f>VLOOKUP($E33,FK$442:FN$453,4,FALSE)*FK33*($K33)+(FK33-FL33-FM33)*(1-$K33)</f>
        <v>5283922742</v>
      </c>
      <c r="FO33" s="3237"/>
    </row>
    <row r="34" spans="1:171">
      <c r="A34" s="2697" t="s">
        <v>122</v>
      </c>
      <c r="B34" s="2103"/>
      <c r="C34" s="3256"/>
      <c r="D34" s="3257"/>
      <c r="E34" s="3257"/>
      <c r="F34" s="3258"/>
      <c r="G34" s="3244">
        <f>SUM(G33)</f>
        <v>5283922742</v>
      </c>
      <c r="H34" s="3244">
        <f>SUM(H33)</f>
        <v>0</v>
      </c>
      <c r="I34" s="3244">
        <f>SUM(I33)</f>
        <v>0</v>
      </c>
      <c r="J34" s="3245">
        <f>SUM(J33)</f>
        <v>5283922742</v>
      </c>
      <c r="K34" s="3205"/>
      <c r="O34" s="3244">
        <f>SUM(O33)</f>
        <v>5283922742</v>
      </c>
      <c r="P34" s="3244">
        <f>SUM(P33)</f>
        <v>0</v>
      </c>
      <c r="Q34" s="3244">
        <f>SUM(Q33)</f>
        <v>0</v>
      </c>
      <c r="R34" s="3244">
        <f>SUM(R33)</f>
        <v>5283922742</v>
      </c>
      <c r="S34" s="3237"/>
      <c r="W34" s="3244">
        <f>SUM(W33)</f>
        <v>5283922742</v>
      </c>
      <c r="X34" s="3244">
        <f>SUM(X33)</f>
        <v>0</v>
      </c>
      <c r="Y34" s="3244">
        <f>SUM(Y33)</f>
        <v>0</v>
      </c>
      <c r="Z34" s="3244">
        <f>SUM(Z33)</f>
        <v>5283922742</v>
      </c>
      <c r="AA34" s="3237"/>
      <c r="AE34" s="3244">
        <f>SUM(AE33)</f>
        <v>5283922742</v>
      </c>
      <c r="AF34" s="3244">
        <f>SUM(AF33)</f>
        <v>0</v>
      </c>
      <c r="AG34" s="3244">
        <f>SUM(AG33)</f>
        <v>0</v>
      </c>
      <c r="AH34" s="3244">
        <f>SUM(AH33)</f>
        <v>5283922742</v>
      </c>
      <c r="AI34" s="3237"/>
      <c r="AM34" s="3244">
        <f>SUM(AM33)</f>
        <v>5283922742</v>
      </c>
      <c r="AN34" s="3244">
        <f>SUM(AN33)</f>
        <v>0</v>
      </c>
      <c r="AO34" s="3244">
        <f>SUM(AO33)</f>
        <v>0</v>
      </c>
      <c r="AP34" s="3244">
        <f>SUM(AP33)</f>
        <v>5283922742</v>
      </c>
      <c r="AQ34" s="3237"/>
      <c r="AU34" s="3244">
        <f>SUM(AU33)</f>
        <v>5283922742</v>
      </c>
      <c r="AV34" s="3244">
        <f>SUM(AV33)</f>
        <v>0</v>
      </c>
      <c r="AW34" s="3244">
        <f>SUM(AW33)</f>
        <v>0</v>
      </c>
      <c r="AX34" s="3244">
        <f>SUM(AX33)</f>
        <v>5283922742</v>
      </c>
      <c r="AY34" s="3237"/>
      <c r="BC34" s="3244">
        <f>SUM(BC33)</f>
        <v>5283922742</v>
      </c>
      <c r="BD34" s="3244">
        <f>SUM(BD33)</f>
        <v>0</v>
      </c>
      <c r="BE34" s="3244">
        <f>SUM(BE33)</f>
        <v>0</v>
      </c>
      <c r="BF34" s="3244">
        <f>SUM(BF33)</f>
        <v>5283922742</v>
      </c>
      <c r="BG34" s="3237"/>
      <c r="BK34" s="3244">
        <f>SUM(BK33)</f>
        <v>5283922742</v>
      </c>
      <c r="BL34" s="3244">
        <f>SUM(BL33)</f>
        <v>0</v>
      </c>
      <c r="BM34" s="3244">
        <f>SUM(BM33)</f>
        <v>0</v>
      </c>
      <c r="BN34" s="3244">
        <f>SUM(BN33)</f>
        <v>5283922742</v>
      </c>
      <c r="BO34" s="3237"/>
      <c r="BS34" s="3244">
        <f>SUM(BS33)</f>
        <v>5283922742</v>
      </c>
      <c r="BT34" s="3244">
        <f>SUM(BT33)</f>
        <v>0</v>
      </c>
      <c r="BU34" s="3244">
        <f>SUM(BU33)</f>
        <v>0</v>
      </c>
      <c r="BV34" s="3244">
        <f>SUM(BV33)</f>
        <v>5283922742</v>
      </c>
      <c r="BW34" s="3237"/>
      <c r="CA34" s="3244">
        <f>SUM(CA33)</f>
        <v>5283922742</v>
      </c>
      <c r="CB34" s="3244">
        <f>SUM(CB33)</f>
        <v>0</v>
      </c>
      <c r="CC34" s="3244">
        <f>SUM(CC33)</f>
        <v>0</v>
      </c>
      <c r="CD34" s="3244">
        <f>SUM(CD33)</f>
        <v>5283922742</v>
      </c>
      <c r="CE34" s="3237"/>
      <c r="CI34" s="3244">
        <f>SUM(CI33)</f>
        <v>5283922742</v>
      </c>
      <c r="CJ34" s="3244">
        <f>SUM(CJ33)</f>
        <v>0</v>
      </c>
      <c r="CK34" s="3244">
        <f>SUM(CK33)</f>
        <v>0</v>
      </c>
      <c r="CL34" s="3244">
        <f>SUM(CL33)</f>
        <v>5283922742</v>
      </c>
      <c r="CM34" s="3237"/>
      <c r="CQ34" s="3244">
        <f>SUM(CQ33)</f>
        <v>5283922742</v>
      </c>
      <c r="CR34" s="3244">
        <f>SUM(CR33)</f>
        <v>0</v>
      </c>
      <c r="CS34" s="3244">
        <f>SUM(CS33)</f>
        <v>0</v>
      </c>
      <c r="CT34" s="3244">
        <f>SUM(CT33)</f>
        <v>5283922742</v>
      </c>
      <c r="CU34" s="3237"/>
      <c r="CY34" s="3244">
        <f>SUM(CY33)</f>
        <v>5283922742</v>
      </c>
      <c r="CZ34" s="3244">
        <f>SUM(CZ33)</f>
        <v>0</v>
      </c>
      <c r="DA34" s="3244">
        <f>SUM(DA33)</f>
        <v>0</v>
      </c>
      <c r="DB34" s="3244">
        <f>SUM(DB33)</f>
        <v>5283922742</v>
      </c>
      <c r="DC34" s="3237"/>
      <c r="DG34" s="3244">
        <f>SUM(DG33)</f>
        <v>5283922742</v>
      </c>
      <c r="DH34" s="3244">
        <f>SUM(DH33)</f>
        <v>0</v>
      </c>
      <c r="DI34" s="3244">
        <f>SUM(DI33)</f>
        <v>0</v>
      </c>
      <c r="DJ34" s="3244">
        <f>SUM(DJ33)</f>
        <v>5283922742</v>
      </c>
      <c r="DK34" s="3237"/>
      <c r="DO34" s="3244">
        <f>SUM(DO33)</f>
        <v>5283922742</v>
      </c>
      <c r="DP34" s="3244">
        <f>SUM(DP33)</f>
        <v>0</v>
      </c>
      <c r="DQ34" s="3244">
        <f>SUM(DQ33)</f>
        <v>0</v>
      </c>
      <c r="DR34" s="3244">
        <f>SUM(DR33)</f>
        <v>5283922742</v>
      </c>
      <c r="DS34" s="3237"/>
      <c r="DW34" s="3244">
        <f>SUM(DW33)</f>
        <v>5283922742</v>
      </c>
      <c r="DX34" s="3244">
        <f>SUM(DX33)</f>
        <v>0</v>
      </c>
      <c r="DY34" s="3244">
        <f>SUM(DY33)</f>
        <v>0</v>
      </c>
      <c r="DZ34" s="3244">
        <f>SUM(DZ33)</f>
        <v>5283922742</v>
      </c>
      <c r="EA34" s="3237"/>
      <c r="EE34" s="3244">
        <f>SUM(EE33)</f>
        <v>5283922742</v>
      </c>
      <c r="EF34" s="3244">
        <f>SUM(EF33)</f>
        <v>0</v>
      </c>
      <c r="EG34" s="3244">
        <f>SUM(EG33)</f>
        <v>0</v>
      </c>
      <c r="EH34" s="3244">
        <f>SUM(EH33)</f>
        <v>5283922742</v>
      </c>
      <c r="EI34" s="3237"/>
      <c r="EM34" s="3244">
        <f>SUM(EM33)</f>
        <v>5283922742</v>
      </c>
      <c r="EN34" s="3244">
        <f>SUM(EN33)</f>
        <v>0</v>
      </c>
      <c r="EO34" s="3244">
        <f>SUM(EO33)</f>
        <v>0</v>
      </c>
      <c r="EP34" s="3244">
        <f>SUM(EP33)</f>
        <v>5283922742</v>
      </c>
      <c r="EQ34" s="3237"/>
      <c r="EU34" s="3244">
        <f>SUM(EU33)</f>
        <v>5283922742</v>
      </c>
      <c r="EV34" s="3244">
        <f>SUM(EV33)</f>
        <v>0</v>
      </c>
      <c r="EW34" s="3244">
        <f>SUM(EW33)</f>
        <v>0</v>
      </c>
      <c r="EX34" s="3244">
        <f>SUM(EX33)</f>
        <v>5283922742</v>
      </c>
      <c r="EY34" s="3237"/>
      <c r="FC34" s="3244">
        <f>SUM(FC33)</f>
        <v>5283922742</v>
      </c>
      <c r="FD34" s="3244">
        <f>SUM(FD33)</f>
        <v>0</v>
      </c>
      <c r="FE34" s="3244">
        <f>SUM(FE33)</f>
        <v>0</v>
      </c>
      <c r="FF34" s="3244">
        <f>SUM(FF33)</f>
        <v>5283922742</v>
      </c>
      <c r="FG34" s="3237"/>
      <c r="FK34" s="3244">
        <f>SUM(FK33)</f>
        <v>5283922742</v>
      </c>
      <c r="FL34" s="3244">
        <f>SUM(FL33)</f>
        <v>0</v>
      </c>
      <c r="FM34" s="3244">
        <f>SUM(FM33)</f>
        <v>0</v>
      </c>
      <c r="FN34" s="3244">
        <f>SUM(FN33)</f>
        <v>5283922742</v>
      </c>
      <c r="FO34" s="3237"/>
    </row>
    <row r="35" spans="1:171">
      <c r="A35" s="2697"/>
      <c r="B35" s="2103"/>
      <c r="C35" s="2116"/>
      <c r="D35" s="2116"/>
      <c r="E35" s="2116"/>
      <c r="F35" s="2116"/>
      <c r="G35" s="2197"/>
      <c r="H35" s="2197"/>
      <c r="I35" s="2197"/>
      <c r="J35" s="3260"/>
      <c r="K35" s="3205"/>
      <c r="S35" s="3237"/>
      <c r="AA35" s="3237"/>
      <c r="AI35" s="3237"/>
      <c r="AQ35" s="3237"/>
      <c r="AY35" s="3237"/>
      <c r="BG35" s="3237"/>
      <c r="BO35" s="3237"/>
      <c r="BW35" s="3237"/>
      <c r="CE35" s="3237"/>
      <c r="CM35" s="3237"/>
      <c r="CU35" s="3237"/>
      <c r="DC35" s="3237"/>
      <c r="DK35" s="3237"/>
      <c r="DS35" s="3237"/>
      <c r="EA35" s="3237"/>
      <c r="EI35" s="3237"/>
      <c r="EQ35" s="3237"/>
      <c r="EY35" s="3237"/>
      <c r="FG35" s="3237"/>
      <c r="FO35" s="3237"/>
    </row>
    <row r="36" spans="1:171">
      <c r="A36" s="2669" t="s">
        <v>124</v>
      </c>
      <c r="B36" s="2100"/>
      <c r="C36" s="2116"/>
      <c r="D36" s="2098"/>
      <c r="E36" s="2098"/>
      <c r="F36" s="2098"/>
      <c r="G36" s="2181"/>
      <c r="H36" s="2181"/>
      <c r="I36" s="2181"/>
      <c r="J36" s="2327"/>
      <c r="K36" s="3205"/>
      <c r="S36" s="3237"/>
      <c r="AA36" s="3237"/>
      <c r="AI36" s="3237"/>
      <c r="AQ36" s="3237"/>
      <c r="AY36" s="3237"/>
      <c r="BG36" s="3237"/>
      <c r="BO36" s="3237"/>
      <c r="BW36" s="3237"/>
      <c r="CE36" s="3237"/>
      <c r="CM36" s="3237"/>
      <c r="CU36" s="3237"/>
      <c r="DC36" s="3237"/>
      <c r="DK36" s="3237"/>
      <c r="DS36" s="3237"/>
      <c r="EA36" s="3237"/>
      <c r="EI36" s="3237"/>
      <c r="EQ36" s="3237"/>
      <c r="EY36" s="3237"/>
      <c r="FG36" s="3237"/>
      <c r="FO36" s="3237"/>
    </row>
    <row r="37" spans="1:171">
      <c r="A37" s="2442"/>
      <c r="B37" s="2097" t="s">
        <v>125</v>
      </c>
      <c r="C37" s="3233" t="s">
        <v>70</v>
      </c>
      <c r="D37" s="2464">
        <v>389</v>
      </c>
      <c r="E37" s="2424" t="str">
        <f>'Sch 1- Rate Base '!E37</f>
        <v>PTD</v>
      </c>
      <c r="F37" s="2171"/>
      <c r="G37" s="2424">
        <f>'Sch 1- Rate Base '!G37</f>
        <v>5100521</v>
      </c>
      <c r="H37" s="2424">
        <f>'Sch 1- Rate Base '!H37</f>
        <v>1780548.3377452032</v>
      </c>
      <c r="I37" s="2424">
        <f>'Sch 1- Rate Base '!I37</f>
        <v>0</v>
      </c>
      <c r="J37" s="2425">
        <f>'Sch 1- Rate Base '!J37</f>
        <v>3319972.6622547973</v>
      </c>
      <c r="K37" s="3205">
        <f t="shared" ref="K37:K48" si="0">IF($E37="DIRECT",0,1)</f>
        <v>1</v>
      </c>
      <c r="L37" s="3261">
        <f t="shared" ref="L37:L48" si="1">$G37/($G$26+$G$30+$G$34)</f>
        <v>4.5627184782002426E-4</v>
      </c>
      <c r="O37" s="3235">
        <f>(O$26+O$30+O$34)*$L37</f>
        <v>5100521</v>
      </c>
      <c r="P37" s="3236">
        <f>VLOOKUP($E37,O$442:R$453,2,FALSE)*O37*($K37)+IF($G37&gt;0,($H37/$G37)*O37,0)*(1-$K37)</f>
        <v>1780548.3377452032</v>
      </c>
      <c r="Q37" s="3236">
        <f>VLOOKUP($E37,O$442:R$453,3,FALSE)*O37*($K37)+IF($G37&gt;0,($I37/$G37)*O37,0)*(1-$K37)</f>
        <v>909067.46902420756</v>
      </c>
      <c r="R37" s="3236">
        <f>VLOOKUP($E37,O$442:R$453,4,FALSE)*O37*($K37)+(O37-P37-Q37)*(1-$K37)</f>
        <v>2410905.1932305894</v>
      </c>
      <c r="S37" s="3237"/>
      <c r="W37" s="3235">
        <f>(W$26+W$30+W$34)*$L37</f>
        <v>5100521</v>
      </c>
      <c r="X37" s="3236">
        <f>VLOOKUP($E37,W$442:Z$453,2,FALSE)*W37*($K37)+IF($G37&gt;0,($H37/$G37)*W37,0)*(1-$K37)</f>
        <v>1780548.3377452032</v>
      </c>
      <c r="Y37" s="3236">
        <f>VLOOKUP($E37,W$442:Z$453,3,FALSE)*W37*($K37)+IF($G37&gt;0,($I37/$G37)*W37,0)*(1-$K37)</f>
        <v>909067.46902420756</v>
      </c>
      <c r="Z37" s="3236">
        <f>VLOOKUP($E37,W$442:Z$453,4,FALSE)*W37*($K37)+(W37-X37-Y37)*(1-$K37)</f>
        <v>2410905.1932305894</v>
      </c>
      <c r="AA37" s="3237"/>
      <c r="AE37" s="3235">
        <f>(AE$26+AE$30+AE$34)*$L37</f>
        <v>5100521</v>
      </c>
      <c r="AF37" s="3236">
        <f>VLOOKUP($E37,AE$442:AH$453,2,FALSE)*AE37*($K37)+IF($G37&gt;0,($H37/$G37)*AE37,0)*(1-$K37)</f>
        <v>1780548.3377452032</v>
      </c>
      <c r="AG37" s="3236">
        <f>VLOOKUP($E37,AE$442:AH$453,3,FALSE)*AE37*($K37)+IF($G37&gt;0,($I37/$G37)*AE37,0)*(1-$K37)</f>
        <v>909067.46902420756</v>
      </c>
      <c r="AH37" s="3236">
        <f>VLOOKUP($E37,AE$442:AH$453,4,FALSE)*AE37*($K37)+(AE37-AF37-AG37)*(1-$K37)</f>
        <v>2410905.1932305894</v>
      </c>
      <c r="AI37" s="3237"/>
      <c r="AM37" s="3235">
        <f>(AM$26+AM$30+AM$34)*$L37</f>
        <v>5100521</v>
      </c>
      <c r="AN37" s="3236">
        <f>VLOOKUP($E37,AM$442:AP$453,2,FALSE)*AM37*($K37)+IF($G37&gt;0,($H37/$G37)*AM37,0)*(1-$K37)</f>
        <v>1780548.3377452032</v>
      </c>
      <c r="AO37" s="3236">
        <f>VLOOKUP($E37,AM$442:AP$453,3,FALSE)*AM37*($K37)+IF($G37&gt;0,($I37/$G37)*AM37,0)*(1-$K37)</f>
        <v>909067.46902420756</v>
      </c>
      <c r="AP37" s="3236">
        <f>VLOOKUP($E37,AM$442:AP$453,4,FALSE)*AM37*($K37)+(AM37-AN37-AO37)*(1-$K37)</f>
        <v>2410905.1932305894</v>
      </c>
      <c r="AQ37" s="3237"/>
      <c r="AU37" s="3235">
        <f>(AU$26+AU$30+AU$34)*$L37</f>
        <v>5100521</v>
      </c>
      <c r="AV37" s="3236">
        <f>VLOOKUP($E37,AU$442:AX$453,2,FALSE)*AU37*($K37)+IF($G37&gt;0,($H37/$G37)*AU37,0)*(1-$K37)</f>
        <v>1780548.3377452032</v>
      </c>
      <c r="AW37" s="3236">
        <f>VLOOKUP($E37,AU$442:AX$453,3,FALSE)*AU37*($K37)+IF($G37&gt;0,($I37/$G37)*AU37,0)*(1-$K37)</f>
        <v>909067.46902420756</v>
      </c>
      <c r="AX37" s="3236">
        <f>VLOOKUP($E37,AU$442:AX$453,4,FALSE)*AU37*($K37)+(AU37-AV37-AW37)*(1-$K37)</f>
        <v>2410905.1932305894</v>
      </c>
      <c r="AY37" s="3237"/>
      <c r="BC37" s="3235">
        <f>(BC$26+BC$30+BC$34)*$L37</f>
        <v>5100521</v>
      </c>
      <c r="BD37" s="3236">
        <f>VLOOKUP($E37,BC$442:BF$453,2,FALSE)*BC37*($K37)+IF($G37&gt;0,($H37/$G37)*BC37,0)*(1-$K37)</f>
        <v>1780548.3377452032</v>
      </c>
      <c r="BE37" s="3236">
        <f>VLOOKUP($E37,BC$442:BF$453,3,FALSE)*BC37*($K37)+IF($G37&gt;0,($I37/$G37)*BC37,0)*(1-$K37)</f>
        <v>909067.46902420756</v>
      </c>
      <c r="BF37" s="3236">
        <f>VLOOKUP($E37,BC$442:BF$453,4,FALSE)*BC37*($K37)+(BC37-BD37-BE37)*(1-$K37)</f>
        <v>2410905.1932305894</v>
      </c>
      <c r="BG37" s="3237"/>
      <c r="BK37" s="3235">
        <f>(BK$26+BK$30+BK$34)*$L37</f>
        <v>5100521</v>
      </c>
      <c r="BL37" s="3236">
        <f>VLOOKUP($E37,BK$442:BN$453,2,FALSE)*BK37*($K37)+IF($G37&gt;0,($H37/$G37)*BK37,0)*(1-$K37)</f>
        <v>1780548.3377452032</v>
      </c>
      <c r="BM37" s="3236">
        <f>VLOOKUP($E37,BK$442:BN$453,3,FALSE)*BK37*($K37)+IF($G37&gt;0,($I37/$G37)*BK37,0)*(1-$K37)</f>
        <v>909067.46902420756</v>
      </c>
      <c r="BN37" s="3236">
        <f>VLOOKUP($E37,BK$442:BN$453,4,FALSE)*BK37*($K37)+(BK37-BL37-BM37)*(1-$K37)</f>
        <v>2410905.1932305894</v>
      </c>
      <c r="BO37" s="3237"/>
      <c r="BS37" s="3235">
        <f>(BS$26+BS$30+BS$34)*$L37</f>
        <v>5100521</v>
      </c>
      <c r="BT37" s="3236">
        <f>VLOOKUP($E37,BS$442:BV$453,2,FALSE)*BS37*($K37)+IF($G37&gt;0,($H37/$G37)*BS37,0)*(1-$K37)</f>
        <v>1780548.3377452032</v>
      </c>
      <c r="BU37" s="3236">
        <f>VLOOKUP($E37,BS$442:BV$453,3,FALSE)*BS37*($K37)+IF($G37&gt;0,($I37/$G37)*BS37,0)*(1-$K37)</f>
        <v>909067.46902420756</v>
      </c>
      <c r="BV37" s="3236">
        <f>VLOOKUP($E37,BS$442:BV$453,4,FALSE)*BS37*($K37)+(BS37-BT37-BU37)*(1-$K37)</f>
        <v>2410905.1932305894</v>
      </c>
      <c r="BW37" s="3237"/>
      <c r="CA37" s="3235">
        <f>(CA$26+CA$30+CA$34)*$L37</f>
        <v>5100521</v>
      </c>
      <c r="CB37" s="3236">
        <f>VLOOKUP($E37,CA$442:CD$453,2,FALSE)*CA37*($K37)+IF($G37&gt;0,($H37/$G37)*CA37,0)*(1-$K37)</f>
        <v>1780548.3377452032</v>
      </c>
      <c r="CC37" s="3236">
        <f>VLOOKUP($E37,CA$442:CD$453,3,FALSE)*CA37*($K37)+IF($G37&gt;0,($I37/$G37)*CA37,0)*(1-$K37)</f>
        <v>909067.46902420756</v>
      </c>
      <c r="CD37" s="3236">
        <f>VLOOKUP($E37,CA$442:CD$453,4,FALSE)*CA37*($K37)+(CA37-CB37-CC37)*(1-$K37)</f>
        <v>2410905.1932305894</v>
      </c>
      <c r="CE37" s="3237"/>
      <c r="CI37" s="3235">
        <f>(CI$26+CI$30+CI$34)*$L37</f>
        <v>5100521</v>
      </c>
      <c r="CJ37" s="3236">
        <f>VLOOKUP($E37,CI$442:CL$453,2,FALSE)*CI37*($K37)+IF($G37&gt;0,($H37/$G37)*CI37,0)*(1-$K37)</f>
        <v>1780548.3377452032</v>
      </c>
      <c r="CK37" s="3236">
        <f>VLOOKUP($E37,CI$442:CL$453,3,FALSE)*CI37*($K37)+IF($G37&gt;0,($I37/$G37)*CI37,0)*(1-$K37)</f>
        <v>909067.46902420756</v>
      </c>
      <c r="CL37" s="3236">
        <f>VLOOKUP($E37,CI$442:CL$453,4,FALSE)*CI37*($K37)+(CI37-CJ37-CK37)*(1-$K37)</f>
        <v>2410905.1932305894</v>
      </c>
      <c r="CM37" s="3237"/>
      <c r="CQ37" s="3235">
        <f>(CQ$26+CQ$30+CQ$34)*$L37</f>
        <v>5100521</v>
      </c>
      <c r="CR37" s="3236">
        <f>VLOOKUP($E37,CQ$442:CT$453,2,FALSE)*CQ37*($K37)+IF($G37&gt;0,($H37/$G37)*CQ37,0)*(1-$K37)</f>
        <v>1780548.3377452032</v>
      </c>
      <c r="CS37" s="3236">
        <f>VLOOKUP($E37,CQ$442:CT$453,3,FALSE)*CQ37*($K37)+IF($G37&gt;0,($I37/$G37)*CQ37,0)*(1-$K37)</f>
        <v>909067.46902420756</v>
      </c>
      <c r="CT37" s="3236">
        <f>VLOOKUP($E37,CQ$442:CT$453,4,FALSE)*CQ37*($K37)+(CQ37-CR37-CS37)*(1-$K37)</f>
        <v>2410905.1932305894</v>
      </c>
      <c r="CU37" s="3237"/>
      <c r="CY37" s="3235">
        <f>(CY$26+CY$30+CY$34)*$L37</f>
        <v>5100521</v>
      </c>
      <c r="CZ37" s="3236">
        <f>VLOOKUP($E37,CY$442:DB$453,2,FALSE)*CY37*($K37)+IF($G37&gt;0,($H37/$G37)*CY37,0)*(1-$K37)</f>
        <v>1780548.3377452032</v>
      </c>
      <c r="DA37" s="3236">
        <f>VLOOKUP($E37,CY$442:DB$453,3,FALSE)*CY37*($K37)+IF($G37&gt;0,($I37/$G37)*CY37,0)*(1-$K37)</f>
        <v>909067.46902420756</v>
      </c>
      <c r="DB37" s="3236">
        <f>VLOOKUP($E37,CY$442:DB$453,4,FALSE)*CY37*($K37)+(CY37-CZ37-DA37)*(1-$K37)</f>
        <v>2410905.1932305894</v>
      </c>
      <c r="DC37" s="3237"/>
      <c r="DG37" s="3235">
        <f>(DG$26+DG$30+DG$34)*$L37</f>
        <v>5100521</v>
      </c>
      <c r="DH37" s="3236">
        <f>VLOOKUP($E37,DG$442:DJ$453,2,FALSE)*DG37*($K37)+IF($G37&gt;0,($H37/$G37)*DG37,0)*(1-$K37)</f>
        <v>1780548.3377452032</v>
      </c>
      <c r="DI37" s="3236">
        <f>VLOOKUP($E37,DG$442:DJ$453,3,FALSE)*DG37*($K37)+IF($G37&gt;0,($I37/$G37)*DG37,0)*(1-$K37)</f>
        <v>909067.46902420756</v>
      </c>
      <c r="DJ37" s="3236">
        <f>VLOOKUP($E37,DG$442:DJ$453,4,FALSE)*DG37*($K37)+(DG37-DH37-DI37)*(1-$K37)</f>
        <v>2410905.1932305894</v>
      </c>
      <c r="DK37" s="3237"/>
      <c r="DO37" s="3235">
        <f>(DO$26+DO$30+DO$34)*$L37</f>
        <v>5100521</v>
      </c>
      <c r="DP37" s="3236">
        <f>VLOOKUP($E37,DO$442:DR$453,2,FALSE)*DO37*($K37)+IF($G37&gt;0,($H37/$G37)*DO37,0)*(1-$K37)</f>
        <v>1780548.3377452032</v>
      </c>
      <c r="DQ37" s="3236">
        <f>VLOOKUP($E37,DO$442:DR$453,3,FALSE)*DO37*($K37)+IF($G37&gt;0,($I37/$G37)*DO37,0)*(1-$K37)</f>
        <v>909067.46902420756</v>
      </c>
      <c r="DR37" s="3236">
        <f>VLOOKUP($E37,DO$442:DR$453,4,FALSE)*DO37*($K37)+(DO37-DP37-DQ37)*(1-$K37)</f>
        <v>2410905.1932305894</v>
      </c>
      <c r="DS37" s="3237"/>
      <c r="DW37" s="3235">
        <f>(DW$26+DW$30+DW$34)*$L37</f>
        <v>5100521</v>
      </c>
      <c r="DX37" s="3236">
        <f>VLOOKUP($E37,DW$442:DZ$453,2,FALSE)*DW37*($K37)+IF($G37&gt;0,($H37/$G37)*DW37,0)*(1-$K37)</f>
        <v>1780548.3377452032</v>
      </c>
      <c r="DY37" s="3236">
        <f>VLOOKUP($E37,DW$442:DZ$453,3,FALSE)*DW37*($K37)+IF($G37&gt;0,($I37/$G37)*DW37,0)*(1-$K37)</f>
        <v>909067.46902420756</v>
      </c>
      <c r="DZ37" s="3236">
        <f>VLOOKUP($E37,DW$442:DZ$453,4,FALSE)*DW37*($K37)+(DW37-DX37-DY37)*(1-$K37)</f>
        <v>2410905.1932305894</v>
      </c>
      <c r="EA37" s="3237"/>
      <c r="EE37" s="3235">
        <f>(EE$26+EE$30+EE$34)*$L37</f>
        <v>5100521</v>
      </c>
      <c r="EF37" s="3236">
        <f>VLOOKUP($E37,EE$442:EH$453,2,FALSE)*EE37*($K37)+IF($G37&gt;0,($H37/$G37)*EE37,0)*(1-$K37)</f>
        <v>1780548.3377452032</v>
      </c>
      <c r="EG37" s="3236">
        <f>VLOOKUP($E37,EE$442:EH$453,3,FALSE)*EE37*($K37)+IF($G37&gt;0,($I37/$G37)*EE37,0)*(1-$K37)</f>
        <v>909067.46902420756</v>
      </c>
      <c r="EH37" s="3236">
        <f>VLOOKUP($E37,EE$442:EH$453,4,FALSE)*EE37*($K37)+(EE37-EF37-EG37)*(1-$K37)</f>
        <v>2410905.1932305894</v>
      </c>
      <c r="EI37" s="3237"/>
      <c r="EM37" s="3235">
        <f>(EM$26+EM$30+EM$34)*$L37</f>
        <v>5100521</v>
      </c>
      <c r="EN37" s="3236">
        <f>VLOOKUP($E37,EM$442:EP$453,2,FALSE)*EM37*($K37)+IF($G37&gt;0,($H37/$G37)*EM37,0)*(1-$K37)</f>
        <v>1780548.3377452032</v>
      </c>
      <c r="EO37" s="3236">
        <f>VLOOKUP($E37,EM$442:EP$453,3,FALSE)*EM37*($K37)+IF($G37&gt;0,($I37/$G37)*EM37,0)*(1-$K37)</f>
        <v>909067.46902420756</v>
      </c>
      <c r="EP37" s="3236">
        <f>VLOOKUP($E37,EM$442:EP$453,4,FALSE)*EM37*($K37)+(EM37-EN37-EO37)*(1-$K37)</f>
        <v>2410905.1932305894</v>
      </c>
      <c r="EQ37" s="3237"/>
      <c r="EU37" s="3235">
        <f>(EU$26+EU$30+EU$34)*$L37</f>
        <v>5100521</v>
      </c>
      <c r="EV37" s="3236">
        <f>VLOOKUP($E37,EU$442:EX$453,2,FALSE)*EU37*($K37)+IF($G37&gt;0,($H37/$G37)*EU37,0)*(1-$K37)</f>
        <v>1780548.3377452032</v>
      </c>
      <c r="EW37" s="3236">
        <f>VLOOKUP($E37,EU$442:EX$453,3,FALSE)*EU37*($K37)+IF($G37&gt;0,($I37/$G37)*EU37,0)*(1-$K37)</f>
        <v>909067.46902420756</v>
      </c>
      <c r="EX37" s="3236">
        <f>VLOOKUP($E37,EU$442:EX$453,4,FALSE)*EU37*($K37)+(EU37-EV37-EW37)*(1-$K37)</f>
        <v>2410905.1932305894</v>
      </c>
      <c r="EY37" s="3237"/>
      <c r="FC37" s="3235">
        <f>(FC$26+FC$30+FC$34)*$L37</f>
        <v>5100521</v>
      </c>
      <c r="FD37" s="3236">
        <f>VLOOKUP($E37,FC$442:FF$453,2,FALSE)*FC37*($K37)+IF($G37&gt;0,($H37/$G37)*FC37,0)*(1-$K37)</f>
        <v>1780548.3377452032</v>
      </c>
      <c r="FE37" s="3236">
        <f>VLOOKUP($E37,FC$442:FF$453,3,FALSE)*FC37*($K37)+IF($G37&gt;0,($I37/$G37)*FC37,0)*(1-$K37)</f>
        <v>909067.46902420756</v>
      </c>
      <c r="FF37" s="3236">
        <f>VLOOKUP($E37,FC$442:FF$453,4,FALSE)*FC37*($K37)+(FC37-FD37-FE37)*(1-$K37)</f>
        <v>2410905.1932305894</v>
      </c>
      <c r="FG37" s="3237"/>
      <c r="FK37" s="3235">
        <f>(FK$26+FK$30+FK$34)*$L37</f>
        <v>5100521</v>
      </c>
      <c r="FL37" s="3236">
        <f>VLOOKUP($E37,FK$442:FN$453,2,FALSE)*FK37*($K37)+IF($G37&gt;0,($H37/$G37)*FK37,0)*(1-$K37)</f>
        <v>1780548.3377452032</v>
      </c>
      <c r="FM37" s="3236">
        <f>VLOOKUP($E37,FK$442:FN$453,3,FALSE)*FK37*($K37)+IF($G37&gt;0,($I37/$G37)*FK37,0)*(1-$K37)</f>
        <v>909067.46902420756</v>
      </c>
      <c r="FN37" s="3236">
        <f>VLOOKUP($E37,FK$442:FN$453,4,FALSE)*FK37*($K37)+(FK37-FL37-FM37)*(1-$K37)</f>
        <v>2410905.1932305894</v>
      </c>
      <c r="FO37" s="3237"/>
    </row>
    <row r="38" spans="1:171">
      <c r="A38" s="2442"/>
      <c r="B38" s="2097" t="s">
        <v>126</v>
      </c>
      <c r="C38" s="3233" t="s">
        <v>70</v>
      </c>
      <c r="D38" s="2464">
        <v>390</v>
      </c>
      <c r="E38" s="2424" t="str">
        <f>'Sch 1- Rate Base '!E38</f>
        <v>PTD</v>
      </c>
      <c r="F38" s="2171"/>
      <c r="G38" s="2424">
        <f>'Sch 1- Rate Base '!G38</f>
        <v>126721170</v>
      </c>
      <c r="H38" s="2424">
        <f>'Sch 1- Rate Base '!H38</f>
        <v>44237278.623228356</v>
      </c>
      <c r="I38" s="2424">
        <f>'Sch 1- Rate Base '!I38</f>
        <v>0</v>
      </c>
      <c r="J38" s="2425">
        <f>'Sch 1- Rate Base '!J38</f>
        <v>82483891.376771659</v>
      </c>
      <c r="K38" s="3205">
        <f t="shared" si="0"/>
        <v>1</v>
      </c>
      <c r="L38" s="3261">
        <f t="shared" si="1"/>
        <v>1.1335960070317409E-2</v>
      </c>
      <c r="O38" s="3235">
        <f t="shared" ref="O38:O48" si="2">(O$26+O$30+O$34)*$L38</f>
        <v>126721170</v>
      </c>
      <c r="P38" s="3236">
        <f t="shared" ref="P38:P48" si="3">VLOOKUP($E38,O$442:R$453,2,FALSE)*O38*($K38)+IF($G38&gt;0,($H38/$G38)*O38,0)*(1-$K38)</f>
        <v>44237278.623228356</v>
      </c>
      <c r="Q38" s="3236">
        <f t="shared" ref="Q38:Q48" si="4">VLOOKUP($E38,O$442:R$453,3,FALSE)*O38*($K38)+IF($G38&gt;0,($I38/$G38)*O38,0)*(1-$K38)</f>
        <v>22585554.158817567</v>
      </c>
      <c r="R38" s="3236">
        <f t="shared" ref="R38:R48" si="5">VLOOKUP($E38,O$442:R$453,4,FALSE)*O38*($K38)+(O38-P38-Q38)*(1-$K38)</f>
        <v>59898337.217954084</v>
      </c>
      <c r="S38" s="3237"/>
      <c r="W38" s="3235">
        <f t="shared" ref="W38:W48" si="6">(W$26+W$30+W$34)*$L38</f>
        <v>126721170</v>
      </c>
      <c r="X38" s="3236">
        <f t="shared" ref="X38:X48" si="7">VLOOKUP($E38,W$442:Z$453,2,FALSE)*W38*($K38)+IF($G38&gt;0,($H38/$G38)*W38,0)*(1-$K38)</f>
        <v>44237278.623228356</v>
      </c>
      <c r="Y38" s="3236">
        <f t="shared" ref="Y38:Y48" si="8">VLOOKUP($E38,W$442:Z$453,3,FALSE)*W38*($K38)+IF($G38&gt;0,($I38/$G38)*W38,0)*(1-$K38)</f>
        <v>22585554.158817567</v>
      </c>
      <c r="Z38" s="3236">
        <f t="shared" ref="Z38:Z48" si="9">VLOOKUP($E38,W$442:Z$453,4,FALSE)*W38*($K38)+(W38-X38-Y38)*(1-$K38)</f>
        <v>59898337.217954084</v>
      </c>
      <c r="AA38" s="3237"/>
      <c r="AE38" s="3235">
        <f t="shared" ref="AE38:AE48" si="10">(AE$26+AE$30+AE$34)*$L38</f>
        <v>126721170</v>
      </c>
      <c r="AF38" s="3236">
        <f t="shared" ref="AF38:AF48" si="11">VLOOKUP($E38,AE$442:AH$453,2,FALSE)*AE38*($K38)+IF($G38&gt;0,($H38/$G38)*AE38,0)*(1-$K38)</f>
        <v>44237278.623228356</v>
      </c>
      <c r="AG38" s="3236">
        <f t="shared" ref="AG38:AG48" si="12">VLOOKUP($E38,AE$442:AH$453,3,FALSE)*AE38*($K38)+IF($G38&gt;0,($I38/$G38)*AE38,0)*(1-$K38)</f>
        <v>22585554.158817567</v>
      </c>
      <c r="AH38" s="3236">
        <f t="shared" ref="AH38:AH48" si="13">VLOOKUP($E38,AE$442:AH$453,4,FALSE)*AE38*($K38)+(AE38-AF38-AG38)*(1-$K38)</f>
        <v>59898337.217954084</v>
      </c>
      <c r="AI38" s="3237"/>
      <c r="AM38" s="3235">
        <f t="shared" ref="AM38:AM48" si="14">(AM$26+AM$30+AM$34)*$L38</f>
        <v>126721170</v>
      </c>
      <c r="AN38" s="3236">
        <f t="shared" ref="AN38:AN48" si="15">VLOOKUP($E38,AM$442:AP$453,2,FALSE)*AM38*($K38)+IF($G38&gt;0,($H38/$G38)*AM38,0)*(1-$K38)</f>
        <v>44237278.623228356</v>
      </c>
      <c r="AO38" s="3236">
        <f t="shared" ref="AO38:AO48" si="16">VLOOKUP($E38,AM$442:AP$453,3,FALSE)*AM38*($K38)+IF($G38&gt;0,($I38/$G38)*AM38,0)*(1-$K38)</f>
        <v>22585554.158817567</v>
      </c>
      <c r="AP38" s="3236">
        <f t="shared" ref="AP38:AP48" si="17">VLOOKUP($E38,AM$442:AP$453,4,FALSE)*AM38*($K38)+(AM38-AN38-AO38)*(1-$K38)</f>
        <v>59898337.217954084</v>
      </c>
      <c r="AQ38" s="3237"/>
      <c r="AU38" s="3235">
        <f t="shared" ref="AU38:AU48" si="18">(AU$26+AU$30+AU$34)*$L38</f>
        <v>126721170</v>
      </c>
      <c r="AV38" s="3236">
        <f t="shared" ref="AV38:AV48" si="19">VLOOKUP($E38,AU$442:AX$453,2,FALSE)*AU38*($K38)+IF($G38&gt;0,($H38/$G38)*AU38,0)*(1-$K38)</f>
        <v>44237278.623228356</v>
      </c>
      <c r="AW38" s="3236">
        <f t="shared" ref="AW38:AW48" si="20">VLOOKUP($E38,AU$442:AX$453,3,FALSE)*AU38*($K38)+IF($G38&gt;0,($I38/$G38)*AU38,0)*(1-$K38)</f>
        <v>22585554.158817567</v>
      </c>
      <c r="AX38" s="3236">
        <f t="shared" ref="AX38:AX48" si="21">VLOOKUP($E38,AU$442:AX$453,4,FALSE)*AU38*($K38)+(AU38-AV38-AW38)*(1-$K38)</f>
        <v>59898337.217954084</v>
      </c>
      <c r="AY38" s="3237"/>
      <c r="BC38" s="3235">
        <f t="shared" ref="BC38:BC48" si="22">(BC$26+BC$30+BC$34)*$L38</f>
        <v>126721170</v>
      </c>
      <c r="BD38" s="3236">
        <f t="shared" ref="BD38:BD48" si="23">VLOOKUP($E38,BC$442:BF$453,2,FALSE)*BC38*($K38)+IF($G38&gt;0,($H38/$G38)*BC38,0)*(1-$K38)</f>
        <v>44237278.623228356</v>
      </c>
      <c r="BE38" s="3236">
        <f t="shared" ref="BE38:BE48" si="24">VLOOKUP($E38,BC$442:BF$453,3,FALSE)*BC38*($K38)+IF($G38&gt;0,($I38/$G38)*BC38,0)*(1-$K38)</f>
        <v>22585554.158817567</v>
      </c>
      <c r="BF38" s="3236">
        <f t="shared" ref="BF38:BF48" si="25">VLOOKUP($E38,BC$442:BF$453,4,FALSE)*BC38*($K38)+(BC38-BD38-BE38)*(1-$K38)</f>
        <v>59898337.217954084</v>
      </c>
      <c r="BG38" s="3237"/>
      <c r="BK38" s="3235">
        <f t="shared" ref="BK38:BK48" si="26">(BK$26+BK$30+BK$34)*$L38</f>
        <v>126721170</v>
      </c>
      <c r="BL38" s="3236">
        <f t="shared" ref="BL38:BL48" si="27">VLOOKUP($E38,BK$442:BN$453,2,FALSE)*BK38*($K38)+IF($G38&gt;0,($H38/$G38)*BK38,0)*(1-$K38)</f>
        <v>44237278.623228356</v>
      </c>
      <c r="BM38" s="3236">
        <f t="shared" ref="BM38:BM48" si="28">VLOOKUP($E38,BK$442:BN$453,3,FALSE)*BK38*($K38)+IF($G38&gt;0,($I38/$G38)*BK38,0)*(1-$K38)</f>
        <v>22585554.158817567</v>
      </c>
      <c r="BN38" s="3236">
        <f t="shared" ref="BN38:BN48" si="29">VLOOKUP($E38,BK$442:BN$453,4,FALSE)*BK38*($K38)+(BK38-BL38-BM38)*(1-$K38)</f>
        <v>59898337.217954084</v>
      </c>
      <c r="BO38" s="3237"/>
      <c r="BS38" s="3235">
        <f t="shared" ref="BS38:BS48" si="30">(BS$26+BS$30+BS$34)*$L38</f>
        <v>126721170</v>
      </c>
      <c r="BT38" s="3236">
        <f t="shared" ref="BT38:BT48" si="31">VLOOKUP($E38,BS$442:BV$453,2,FALSE)*BS38*($K38)+IF($G38&gt;0,($H38/$G38)*BS38,0)*(1-$K38)</f>
        <v>44237278.623228356</v>
      </c>
      <c r="BU38" s="3236">
        <f t="shared" ref="BU38:BU48" si="32">VLOOKUP($E38,BS$442:BV$453,3,FALSE)*BS38*($K38)+IF($G38&gt;0,($I38/$G38)*BS38,0)*(1-$K38)</f>
        <v>22585554.158817567</v>
      </c>
      <c r="BV38" s="3236">
        <f t="shared" ref="BV38:BV48" si="33">VLOOKUP($E38,BS$442:BV$453,4,FALSE)*BS38*($K38)+(BS38-BT38-BU38)*(1-$K38)</f>
        <v>59898337.217954084</v>
      </c>
      <c r="BW38" s="3237"/>
      <c r="CA38" s="3235">
        <f t="shared" ref="CA38:CA48" si="34">(CA$26+CA$30+CA$34)*$L38</f>
        <v>126721170</v>
      </c>
      <c r="CB38" s="3236">
        <f t="shared" ref="CB38:CB48" si="35">VLOOKUP($E38,CA$442:CD$453,2,FALSE)*CA38*($K38)+IF($G38&gt;0,($H38/$G38)*CA38,0)*(1-$K38)</f>
        <v>44237278.623228356</v>
      </c>
      <c r="CC38" s="3236">
        <f t="shared" ref="CC38:CC48" si="36">VLOOKUP($E38,CA$442:CD$453,3,FALSE)*CA38*($K38)+IF($G38&gt;0,($I38/$G38)*CA38,0)*(1-$K38)</f>
        <v>22585554.158817567</v>
      </c>
      <c r="CD38" s="3236">
        <f t="shared" ref="CD38:CD48" si="37">VLOOKUP($E38,CA$442:CD$453,4,FALSE)*CA38*($K38)+(CA38-CB38-CC38)*(1-$K38)</f>
        <v>59898337.217954084</v>
      </c>
      <c r="CE38" s="3237"/>
      <c r="CI38" s="3235">
        <f t="shared" ref="CI38:CI48" si="38">(CI$26+CI$30+CI$34)*$L38</f>
        <v>126721170</v>
      </c>
      <c r="CJ38" s="3236">
        <f t="shared" ref="CJ38:CJ48" si="39">VLOOKUP($E38,CI$442:CL$453,2,FALSE)*CI38*($K38)+IF($G38&gt;0,($H38/$G38)*CI38,0)*(1-$K38)</f>
        <v>44237278.623228356</v>
      </c>
      <c r="CK38" s="3236">
        <f t="shared" ref="CK38:CK48" si="40">VLOOKUP($E38,CI$442:CL$453,3,FALSE)*CI38*($K38)+IF($G38&gt;0,($I38/$G38)*CI38,0)*(1-$K38)</f>
        <v>22585554.158817567</v>
      </c>
      <c r="CL38" s="3236">
        <f t="shared" ref="CL38:CL48" si="41">VLOOKUP($E38,CI$442:CL$453,4,FALSE)*CI38*($K38)+(CI38-CJ38-CK38)*(1-$K38)</f>
        <v>59898337.217954084</v>
      </c>
      <c r="CM38" s="3237"/>
      <c r="CQ38" s="3235">
        <f t="shared" ref="CQ38:CQ48" si="42">(CQ$26+CQ$30+CQ$34)*$L38</f>
        <v>126721170</v>
      </c>
      <c r="CR38" s="3236">
        <f t="shared" ref="CR38:CR48" si="43">VLOOKUP($E38,CQ$442:CT$453,2,FALSE)*CQ38*($K38)+IF($G38&gt;0,($H38/$G38)*CQ38,0)*(1-$K38)</f>
        <v>44237278.623228356</v>
      </c>
      <c r="CS38" s="3236">
        <f t="shared" ref="CS38:CS48" si="44">VLOOKUP($E38,CQ$442:CT$453,3,FALSE)*CQ38*($K38)+IF($G38&gt;0,($I38/$G38)*CQ38,0)*(1-$K38)</f>
        <v>22585554.158817567</v>
      </c>
      <c r="CT38" s="3236">
        <f t="shared" ref="CT38:CT48" si="45">VLOOKUP($E38,CQ$442:CT$453,4,FALSE)*CQ38*($K38)+(CQ38-CR38-CS38)*(1-$K38)</f>
        <v>59898337.217954084</v>
      </c>
      <c r="CU38" s="3237"/>
      <c r="CY38" s="3235">
        <f t="shared" ref="CY38:CY48" si="46">(CY$26+CY$30+CY$34)*$L38</f>
        <v>126721170</v>
      </c>
      <c r="CZ38" s="3236">
        <f t="shared" ref="CZ38:CZ48" si="47">VLOOKUP($E38,CY$442:DB$453,2,FALSE)*CY38*($K38)+IF($G38&gt;0,($H38/$G38)*CY38,0)*(1-$K38)</f>
        <v>44237278.623228356</v>
      </c>
      <c r="DA38" s="3236">
        <f t="shared" ref="DA38:DA48" si="48">VLOOKUP($E38,CY$442:DB$453,3,FALSE)*CY38*($K38)+IF($G38&gt;0,($I38/$G38)*CY38,0)*(1-$K38)</f>
        <v>22585554.158817567</v>
      </c>
      <c r="DB38" s="3236">
        <f t="shared" ref="DB38:DB48" si="49">VLOOKUP($E38,CY$442:DB$453,4,FALSE)*CY38*($K38)+(CY38-CZ38-DA38)*(1-$K38)</f>
        <v>59898337.217954084</v>
      </c>
      <c r="DC38" s="3237"/>
      <c r="DG38" s="3235">
        <f t="shared" ref="DG38:DG48" si="50">(DG$26+DG$30+DG$34)*$L38</f>
        <v>126721170</v>
      </c>
      <c r="DH38" s="3236">
        <f t="shared" ref="DH38:DH48" si="51">VLOOKUP($E38,DG$442:DJ$453,2,FALSE)*DG38*($K38)+IF($G38&gt;0,($H38/$G38)*DG38,0)*(1-$K38)</f>
        <v>44237278.623228356</v>
      </c>
      <c r="DI38" s="3236">
        <f t="shared" ref="DI38:DI48" si="52">VLOOKUP($E38,DG$442:DJ$453,3,FALSE)*DG38*($K38)+IF($G38&gt;0,($I38/$G38)*DG38,0)*(1-$K38)</f>
        <v>22585554.158817567</v>
      </c>
      <c r="DJ38" s="3236">
        <f t="shared" ref="DJ38:DJ48" si="53">VLOOKUP($E38,DG$442:DJ$453,4,FALSE)*DG38*($K38)+(DG38-DH38-DI38)*(1-$K38)</f>
        <v>59898337.217954084</v>
      </c>
      <c r="DK38" s="3237"/>
      <c r="DO38" s="3235">
        <f t="shared" ref="DO38:DO48" si="54">(DO$26+DO$30+DO$34)*$L38</f>
        <v>126721170</v>
      </c>
      <c r="DP38" s="3236">
        <f t="shared" ref="DP38:DP48" si="55">VLOOKUP($E38,DO$442:DR$453,2,FALSE)*DO38*($K38)+IF($G38&gt;0,($H38/$G38)*DO38,0)*(1-$K38)</f>
        <v>44237278.623228356</v>
      </c>
      <c r="DQ38" s="3236">
        <f t="shared" ref="DQ38:DQ48" si="56">VLOOKUP($E38,DO$442:DR$453,3,FALSE)*DO38*($K38)+IF($G38&gt;0,($I38/$G38)*DO38,0)*(1-$K38)</f>
        <v>22585554.158817567</v>
      </c>
      <c r="DR38" s="3236">
        <f t="shared" ref="DR38:DR48" si="57">VLOOKUP($E38,DO$442:DR$453,4,FALSE)*DO38*($K38)+(DO38-DP38-DQ38)*(1-$K38)</f>
        <v>59898337.217954084</v>
      </c>
      <c r="DS38" s="3237"/>
      <c r="DW38" s="3235">
        <f t="shared" ref="DW38:DW48" si="58">(DW$26+DW$30+DW$34)*$L38</f>
        <v>126721170</v>
      </c>
      <c r="DX38" s="3236">
        <f t="shared" ref="DX38:DX48" si="59">VLOOKUP($E38,DW$442:DZ$453,2,FALSE)*DW38*($K38)+IF($G38&gt;0,($H38/$G38)*DW38,0)*(1-$K38)</f>
        <v>44237278.623228356</v>
      </c>
      <c r="DY38" s="3236">
        <f t="shared" ref="DY38:DY48" si="60">VLOOKUP($E38,DW$442:DZ$453,3,FALSE)*DW38*($K38)+IF($G38&gt;0,($I38/$G38)*DW38,0)*(1-$K38)</f>
        <v>22585554.158817567</v>
      </c>
      <c r="DZ38" s="3236">
        <f t="shared" ref="DZ38:DZ48" si="61">VLOOKUP($E38,DW$442:DZ$453,4,FALSE)*DW38*($K38)+(DW38-DX38-DY38)*(1-$K38)</f>
        <v>59898337.217954084</v>
      </c>
      <c r="EA38" s="3237"/>
      <c r="EE38" s="3235">
        <f t="shared" ref="EE38:EE48" si="62">(EE$26+EE$30+EE$34)*$L38</f>
        <v>126721170</v>
      </c>
      <c r="EF38" s="3236">
        <f t="shared" ref="EF38:EF48" si="63">VLOOKUP($E38,EE$442:EH$453,2,FALSE)*EE38*($K38)+IF($G38&gt;0,($H38/$G38)*EE38,0)*(1-$K38)</f>
        <v>44237278.623228356</v>
      </c>
      <c r="EG38" s="3236">
        <f t="shared" ref="EG38:EG48" si="64">VLOOKUP($E38,EE$442:EH$453,3,FALSE)*EE38*($K38)+IF($G38&gt;0,($I38/$G38)*EE38,0)*(1-$K38)</f>
        <v>22585554.158817567</v>
      </c>
      <c r="EH38" s="3236">
        <f t="shared" ref="EH38:EH48" si="65">VLOOKUP($E38,EE$442:EH$453,4,FALSE)*EE38*($K38)+(EE38-EF38-EG38)*(1-$K38)</f>
        <v>59898337.217954084</v>
      </c>
      <c r="EI38" s="3237"/>
      <c r="EM38" s="3235">
        <f t="shared" ref="EM38:EM48" si="66">(EM$26+EM$30+EM$34)*$L38</f>
        <v>126721170</v>
      </c>
      <c r="EN38" s="3236">
        <f t="shared" ref="EN38:EN48" si="67">VLOOKUP($E38,EM$442:EP$453,2,FALSE)*EM38*($K38)+IF($G38&gt;0,($H38/$G38)*EM38,0)*(1-$K38)</f>
        <v>44237278.623228356</v>
      </c>
      <c r="EO38" s="3236">
        <f t="shared" ref="EO38:EO48" si="68">VLOOKUP($E38,EM$442:EP$453,3,FALSE)*EM38*($K38)+IF($G38&gt;0,($I38/$G38)*EM38,0)*(1-$K38)</f>
        <v>22585554.158817567</v>
      </c>
      <c r="EP38" s="3236">
        <f t="shared" ref="EP38:EP48" si="69">VLOOKUP($E38,EM$442:EP$453,4,FALSE)*EM38*($K38)+(EM38-EN38-EO38)*(1-$K38)</f>
        <v>59898337.217954084</v>
      </c>
      <c r="EQ38" s="3237"/>
      <c r="EU38" s="3235">
        <f t="shared" ref="EU38:EU48" si="70">(EU$26+EU$30+EU$34)*$L38</f>
        <v>126721170</v>
      </c>
      <c r="EV38" s="3236">
        <f t="shared" ref="EV38:EV48" si="71">VLOOKUP($E38,EU$442:EX$453,2,FALSE)*EU38*($K38)+IF($G38&gt;0,($H38/$G38)*EU38,0)*(1-$K38)</f>
        <v>44237278.623228356</v>
      </c>
      <c r="EW38" s="3236">
        <f t="shared" ref="EW38:EW48" si="72">VLOOKUP($E38,EU$442:EX$453,3,FALSE)*EU38*($K38)+IF($G38&gt;0,($I38/$G38)*EU38,0)*(1-$K38)</f>
        <v>22585554.158817567</v>
      </c>
      <c r="EX38" s="3236">
        <f t="shared" ref="EX38:EX48" si="73">VLOOKUP($E38,EU$442:EX$453,4,FALSE)*EU38*($K38)+(EU38-EV38-EW38)*(1-$K38)</f>
        <v>59898337.217954084</v>
      </c>
      <c r="EY38" s="3237"/>
      <c r="FC38" s="3235">
        <f t="shared" ref="FC38:FC48" si="74">(FC$26+FC$30+FC$34)*$L38</f>
        <v>126721170</v>
      </c>
      <c r="FD38" s="3236">
        <f t="shared" ref="FD38:FD48" si="75">VLOOKUP($E38,FC$442:FF$453,2,FALSE)*FC38*($K38)+IF($G38&gt;0,($H38/$G38)*FC38,0)*(1-$K38)</f>
        <v>44237278.623228356</v>
      </c>
      <c r="FE38" s="3236">
        <f t="shared" ref="FE38:FE48" si="76">VLOOKUP($E38,FC$442:FF$453,3,FALSE)*FC38*($K38)+IF($G38&gt;0,($I38/$G38)*FC38,0)*(1-$K38)</f>
        <v>22585554.158817567</v>
      </c>
      <c r="FF38" s="3236">
        <f t="shared" ref="FF38:FF48" si="77">VLOOKUP($E38,FC$442:FF$453,4,FALSE)*FC38*($K38)+(FC38-FD38-FE38)*(1-$K38)</f>
        <v>59898337.217954084</v>
      </c>
      <c r="FG38" s="3237"/>
      <c r="FK38" s="3235">
        <f t="shared" ref="FK38:FK48" si="78">(FK$26+FK$30+FK$34)*$L38</f>
        <v>126721170</v>
      </c>
      <c r="FL38" s="3236">
        <f t="shared" ref="FL38:FL48" si="79">VLOOKUP($E38,FK$442:FN$453,2,FALSE)*FK38*($K38)+IF($G38&gt;0,($H38/$G38)*FK38,0)*(1-$K38)</f>
        <v>44237278.623228356</v>
      </c>
      <c r="FM38" s="3236">
        <f t="shared" ref="FM38:FM48" si="80">VLOOKUP($E38,FK$442:FN$453,3,FALSE)*FK38*($K38)+IF($G38&gt;0,($I38/$G38)*FK38,0)*(1-$K38)</f>
        <v>22585554.158817567</v>
      </c>
      <c r="FN38" s="3236">
        <f t="shared" ref="FN38:FN48" si="81">VLOOKUP($E38,FK$442:FN$453,4,FALSE)*FK38*($K38)+(FK38-FL38-FM38)*(1-$K38)</f>
        <v>59898337.217954084</v>
      </c>
      <c r="FO38" s="3237"/>
    </row>
    <row r="39" spans="1:171">
      <c r="A39" s="2442"/>
      <c r="B39" s="2097" t="s">
        <v>127</v>
      </c>
      <c r="C39" s="3233" t="s">
        <v>70</v>
      </c>
      <c r="D39" s="2464">
        <v>391</v>
      </c>
      <c r="E39" s="2424" t="str">
        <f>'Sch 1- Rate Base '!E39</f>
        <v>LABOR</v>
      </c>
      <c r="F39" s="2171"/>
      <c r="G39" s="2424">
        <f>'Sch 1- Rate Base '!G39</f>
        <v>31597697</v>
      </c>
      <c r="H39" s="2424">
        <f>'Sch 1- Rate Base '!H39</f>
        <v>10737849.558694087</v>
      </c>
      <c r="I39" s="2424">
        <f>'Sch 1- Rate Base '!I39</f>
        <v>0</v>
      </c>
      <c r="J39" s="2425">
        <f>'Sch 1- Rate Base '!J39</f>
        <v>20859847.441305913</v>
      </c>
      <c r="K39" s="3205">
        <f t="shared" si="0"/>
        <v>1</v>
      </c>
      <c r="L39" s="3261">
        <f t="shared" si="1"/>
        <v>2.8266013603408823E-3</v>
      </c>
      <c r="O39" s="3235">
        <f t="shared" si="2"/>
        <v>31597697</v>
      </c>
      <c r="P39" s="3236">
        <f t="shared" si="3"/>
        <v>10737849.558694087</v>
      </c>
      <c r="Q39" s="3236">
        <f t="shared" si="4"/>
        <v>1714681.2771933991</v>
      </c>
      <c r="R39" s="3236">
        <f t="shared" si="5"/>
        <v>19145166.164112516</v>
      </c>
      <c r="S39" s="3237"/>
      <c r="W39" s="3235">
        <f t="shared" si="6"/>
        <v>31597697</v>
      </c>
      <c r="X39" s="3236">
        <f t="shared" si="7"/>
        <v>10737849.558694087</v>
      </c>
      <c r="Y39" s="3236">
        <f t="shared" si="8"/>
        <v>1714681.2771933991</v>
      </c>
      <c r="Z39" s="3236">
        <f t="shared" si="9"/>
        <v>19145166.164112516</v>
      </c>
      <c r="AA39" s="3237"/>
      <c r="AE39" s="3235">
        <f t="shared" si="10"/>
        <v>31597697</v>
      </c>
      <c r="AF39" s="3236">
        <f t="shared" si="11"/>
        <v>10737849.558694087</v>
      </c>
      <c r="AG39" s="3236">
        <f t="shared" si="12"/>
        <v>1714681.2771933991</v>
      </c>
      <c r="AH39" s="3236">
        <f t="shared" si="13"/>
        <v>19145166.164112516</v>
      </c>
      <c r="AI39" s="3237"/>
      <c r="AM39" s="3235">
        <f t="shared" si="14"/>
        <v>31597697</v>
      </c>
      <c r="AN39" s="3236">
        <f t="shared" si="15"/>
        <v>10737849.558694087</v>
      </c>
      <c r="AO39" s="3236">
        <f t="shared" si="16"/>
        <v>1714681.2771933991</v>
      </c>
      <c r="AP39" s="3236">
        <f t="shared" si="17"/>
        <v>19145166.164112516</v>
      </c>
      <c r="AQ39" s="3237"/>
      <c r="AU39" s="3235">
        <f t="shared" si="18"/>
        <v>31597697</v>
      </c>
      <c r="AV39" s="3236">
        <f t="shared" si="19"/>
        <v>10737849.558694087</v>
      </c>
      <c r="AW39" s="3236">
        <f t="shared" si="20"/>
        <v>1714681.2771933991</v>
      </c>
      <c r="AX39" s="3236">
        <f t="shared" si="21"/>
        <v>19145166.164112516</v>
      </c>
      <c r="AY39" s="3237"/>
      <c r="BC39" s="3235">
        <f t="shared" si="22"/>
        <v>31597697</v>
      </c>
      <c r="BD39" s="3236">
        <f t="shared" si="23"/>
        <v>10737849.558694087</v>
      </c>
      <c r="BE39" s="3236">
        <f t="shared" si="24"/>
        <v>1714681.2771933991</v>
      </c>
      <c r="BF39" s="3236">
        <f t="shared" si="25"/>
        <v>19145166.164112516</v>
      </c>
      <c r="BG39" s="3237"/>
      <c r="BK39" s="3235">
        <f t="shared" si="26"/>
        <v>31597697</v>
      </c>
      <c r="BL39" s="3236">
        <f t="shared" si="27"/>
        <v>10737849.558694087</v>
      </c>
      <c r="BM39" s="3236">
        <f t="shared" si="28"/>
        <v>1714681.2771933991</v>
      </c>
      <c r="BN39" s="3236">
        <f t="shared" si="29"/>
        <v>19145166.164112516</v>
      </c>
      <c r="BO39" s="3237"/>
      <c r="BS39" s="3235">
        <f t="shared" si="30"/>
        <v>31597697</v>
      </c>
      <c r="BT39" s="3236">
        <f t="shared" si="31"/>
        <v>10737849.558694087</v>
      </c>
      <c r="BU39" s="3236">
        <f t="shared" si="32"/>
        <v>1714681.2771933991</v>
      </c>
      <c r="BV39" s="3236">
        <f t="shared" si="33"/>
        <v>19145166.164112516</v>
      </c>
      <c r="BW39" s="3237"/>
      <c r="CA39" s="3235">
        <f t="shared" si="34"/>
        <v>31597697</v>
      </c>
      <c r="CB39" s="3236">
        <f t="shared" si="35"/>
        <v>10737849.558694087</v>
      </c>
      <c r="CC39" s="3236">
        <f t="shared" si="36"/>
        <v>1714681.2771933991</v>
      </c>
      <c r="CD39" s="3236">
        <f t="shared" si="37"/>
        <v>19145166.164112516</v>
      </c>
      <c r="CE39" s="3237"/>
      <c r="CI39" s="3235">
        <f t="shared" si="38"/>
        <v>31597697</v>
      </c>
      <c r="CJ39" s="3236">
        <f t="shared" si="39"/>
        <v>10737849.558694087</v>
      </c>
      <c r="CK39" s="3236">
        <f t="shared" si="40"/>
        <v>1714681.2771933991</v>
      </c>
      <c r="CL39" s="3236">
        <f t="shared" si="41"/>
        <v>19145166.164112516</v>
      </c>
      <c r="CM39" s="3237"/>
      <c r="CQ39" s="3235">
        <f t="shared" si="42"/>
        <v>31597697</v>
      </c>
      <c r="CR39" s="3236">
        <f t="shared" si="43"/>
        <v>10737849.558694087</v>
      </c>
      <c r="CS39" s="3236">
        <f t="shared" si="44"/>
        <v>1714681.2771933991</v>
      </c>
      <c r="CT39" s="3236">
        <f t="shared" si="45"/>
        <v>19145166.164112516</v>
      </c>
      <c r="CU39" s="3237"/>
      <c r="CY39" s="3235">
        <f t="shared" si="46"/>
        <v>31597697</v>
      </c>
      <c r="CZ39" s="3236">
        <f t="shared" si="47"/>
        <v>10737849.558694087</v>
      </c>
      <c r="DA39" s="3236">
        <f t="shared" si="48"/>
        <v>1714681.2771933991</v>
      </c>
      <c r="DB39" s="3236">
        <f t="shared" si="49"/>
        <v>19145166.164112516</v>
      </c>
      <c r="DC39" s="3237"/>
      <c r="DG39" s="3235">
        <f t="shared" si="50"/>
        <v>31597697</v>
      </c>
      <c r="DH39" s="3236">
        <f t="shared" si="51"/>
        <v>10737849.558694087</v>
      </c>
      <c r="DI39" s="3236">
        <f t="shared" si="52"/>
        <v>1714681.2771933991</v>
      </c>
      <c r="DJ39" s="3236">
        <f t="shared" si="53"/>
        <v>19145166.164112516</v>
      </c>
      <c r="DK39" s="3237"/>
      <c r="DO39" s="3235">
        <f t="shared" si="54"/>
        <v>31597697</v>
      </c>
      <c r="DP39" s="3236">
        <f t="shared" si="55"/>
        <v>10737849.558694087</v>
      </c>
      <c r="DQ39" s="3236">
        <f t="shared" si="56"/>
        <v>1714681.2771933991</v>
      </c>
      <c r="DR39" s="3236">
        <f t="shared" si="57"/>
        <v>19145166.164112516</v>
      </c>
      <c r="DS39" s="3237"/>
      <c r="DW39" s="3235">
        <f t="shared" si="58"/>
        <v>31597697</v>
      </c>
      <c r="DX39" s="3236">
        <f t="shared" si="59"/>
        <v>10737849.558694087</v>
      </c>
      <c r="DY39" s="3236">
        <f t="shared" si="60"/>
        <v>1714681.2771933991</v>
      </c>
      <c r="DZ39" s="3236">
        <f t="shared" si="61"/>
        <v>19145166.164112516</v>
      </c>
      <c r="EA39" s="3237"/>
      <c r="EE39" s="3235">
        <f t="shared" si="62"/>
        <v>31597697</v>
      </c>
      <c r="EF39" s="3236">
        <f t="shared" si="63"/>
        <v>10737849.558694087</v>
      </c>
      <c r="EG39" s="3236">
        <f t="shared" si="64"/>
        <v>1714681.2771933991</v>
      </c>
      <c r="EH39" s="3236">
        <f t="shared" si="65"/>
        <v>19145166.164112516</v>
      </c>
      <c r="EI39" s="3237"/>
      <c r="EM39" s="3235">
        <f t="shared" si="66"/>
        <v>31597697</v>
      </c>
      <c r="EN39" s="3236">
        <f t="shared" si="67"/>
        <v>10737849.558694087</v>
      </c>
      <c r="EO39" s="3236">
        <f t="shared" si="68"/>
        <v>1714681.2771933991</v>
      </c>
      <c r="EP39" s="3236">
        <f t="shared" si="69"/>
        <v>19145166.164112516</v>
      </c>
      <c r="EQ39" s="3237"/>
      <c r="EU39" s="3235">
        <f t="shared" si="70"/>
        <v>31597697</v>
      </c>
      <c r="EV39" s="3236">
        <f t="shared" si="71"/>
        <v>10737849.558694087</v>
      </c>
      <c r="EW39" s="3236">
        <f t="shared" si="72"/>
        <v>1714681.2771933991</v>
      </c>
      <c r="EX39" s="3236">
        <f t="shared" si="73"/>
        <v>19145166.164112516</v>
      </c>
      <c r="EY39" s="3237"/>
      <c r="FC39" s="3235">
        <f t="shared" si="74"/>
        <v>31597697</v>
      </c>
      <c r="FD39" s="3236">
        <f t="shared" si="75"/>
        <v>10737849.558694087</v>
      </c>
      <c r="FE39" s="3236">
        <f t="shared" si="76"/>
        <v>1714681.2771933991</v>
      </c>
      <c r="FF39" s="3236">
        <f t="shared" si="77"/>
        <v>19145166.164112516</v>
      </c>
      <c r="FG39" s="3237"/>
      <c r="FK39" s="3235">
        <f t="shared" si="78"/>
        <v>31597697</v>
      </c>
      <c r="FL39" s="3236">
        <f t="shared" si="79"/>
        <v>10737849.558694087</v>
      </c>
      <c r="FM39" s="3236">
        <f t="shared" si="80"/>
        <v>1714681.2771933991</v>
      </c>
      <c r="FN39" s="3236">
        <f t="shared" si="81"/>
        <v>19145166.164112516</v>
      </c>
      <c r="FO39" s="3237"/>
    </row>
    <row r="40" spans="1:171">
      <c r="A40" s="2442"/>
      <c r="B40" s="2097" t="s">
        <v>128</v>
      </c>
      <c r="C40" s="3233" t="s">
        <v>70</v>
      </c>
      <c r="D40" s="2464">
        <v>392</v>
      </c>
      <c r="E40" s="2424" t="str">
        <f>'Sch 1- Rate Base '!E40</f>
        <v>TD</v>
      </c>
      <c r="F40" s="2171"/>
      <c r="G40" s="2424">
        <f>'Sch 1- Rate Base '!G40</f>
        <v>3994065</v>
      </c>
      <c r="H40" s="2424">
        <f>'Sch 1- Rate Base '!H40</f>
        <v>0</v>
      </c>
      <c r="I40" s="2424">
        <f>'Sch 1- Rate Base '!I40</f>
        <v>0</v>
      </c>
      <c r="J40" s="2425">
        <f>'Sch 1- Rate Base '!J40</f>
        <v>3994065</v>
      </c>
      <c r="K40" s="3205">
        <f t="shared" si="0"/>
        <v>1</v>
      </c>
      <c r="L40" s="3261">
        <f t="shared" si="1"/>
        <v>3.5729279770895666E-4</v>
      </c>
      <c r="O40" s="3235">
        <f t="shared" si="2"/>
        <v>3994065.0000000005</v>
      </c>
      <c r="P40" s="3236">
        <f t="shared" si="3"/>
        <v>0</v>
      </c>
      <c r="Q40" s="3236">
        <f t="shared" si="4"/>
        <v>1093645.9212294305</v>
      </c>
      <c r="R40" s="3236">
        <f t="shared" si="5"/>
        <v>2900419.07877057</v>
      </c>
      <c r="S40" s="3237"/>
      <c r="W40" s="3235">
        <f t="shared" si="6"/>
        <v>3994065.0000000005</v>
      </c>
      <c r="X40" s="3236">
        <f t="shared" si="7"/>
        <v>0</v>
      </c>
      <c r="Y40" s="3236">
        <f t="shared" si="8"/>
        <v>1093645.9212294305</v>
      </c>
      <c r="Z40" s="3236">
        <f t="shared" si="9"/>
        <v>2900419.07877057</v>
      </c>
      <c r="AA40" s="3237"/>
      <c r="AE40" s="3235">
        <f t="shared" si="10"/>
        <v>3994065.0000000005</v>
      </c>
      <c r="AF40" s="3236">
        <f t="shared" si="11"/>
        <v>0</v>
      </c>
      <c r="AG40" s="3236">
        <f t="shared" si="12"/>
        <v>1093645.9212294305</v>
      </c>
      <c r="AH40" s="3236">
        <f t="shared" si="13"/>
        <v>2900419.07877057</v>
      </c>
      <c r="AI40" s="3237"/>
      <c r="AM40" s="3235">
        <f t="shared" si="14"/>
        <v>3994065.0000000005</v>
      </c>
      <c r="AN40" s="3236">
        <f t="shared" si="15"/>
        <v>0</v>
      </c>
      <c r="AO40" s="3236">
        <f t="shared" si="16"/>
        <v>1093645.9212294305</v>
      </c>
      <c r="AP40" s="3236">
        <f t="shared" si="17"/>
        <v>2900419.07877057</v>
      </c>
      <c r="AQ40" s="3237"/>
      <c r="AU40" s="3235">
        <f t="shared" si="18"/>
        <v>3994065.0000000005</v>
      </c>
      <c r="AV40" s="3236">
        <f t="shared" si="19"/>
        <v>0</v>
      </c>
      <c r="AW40" s="3236">
        <f t="shared" si="20"/>
        <v>1093645.9212294305</v>
      </c>
      <c r="AX40" s="3236">
        <f t="shared" si="21"/>
        <v>2900419.07877057</v>
      </c>
      <c r="AY40" s="3237"/>
      <c r="BC40" s="3235">
        <f t="shared" si="22"/>
        <v>3994065.0000000005</v>
      </c>
      <c r="BD40" s="3236">
        <f t="shared" si="23"/>
        <v>0</v>
      </c>
      <c r="BE40" s="3236">
        <f t="shared" si="24"/>
        <v>1093645.9212294305</v>
      </c>
      <c r="BF40" s="3236">
        <f t="shared" si="25"/>
        <v>2900419.07877057</v>
      </c>
      <c r="BG40" s="3237"/>
      <c r="BK40" s="3235">
        <f t="shared" si="26"/>
        <v>3994065.0000000005</v>
      </c>
      <c r="BL40" s="3236">
        <f t="shared" si="27"/>
        <v>0</v>
      </c>
      <c r="BM40" s="3236">
        <f t="shared" si="28"/>
        <v>1093645.9212294305</v>
      </c>
      <c r="BN40" s="3236">
        <f t="shared" si="29"/>
        <v>2900419.07877057</v>
      </c>
      <c r="BO40" s="3237"/>
      <c r="BS40" s="3235">
        <f t="shared" si="30"/>
        <v>3994065.0000000005</v>
      </c>
      <c r="BT40" s="3236">
        <f t="shared" si="31"/>
        <v>0</v>
      </c>
      <c r="BU40" s="3236">
        <f t="shared" si="32"/>
        <v>1093645.9212294305</v>
      </c>
      <c r="BV40" s="3236">
        <f t="shared" si="33"/>
        <v>2900419.07877057</v>
      </c>
      <c r="BW40" s="3237"/>
      <c r="CA40" s="3235">
        <f t="shared" si="34"/>
        <v>3994065.0000000005</v>
      </c>
      <c r="CB40" s="3236">
        <f t="shared" si="35"/>
        <v>0</v>
      </c>
      <c r="CC40" s="3236">
        <f t="shared" si="36"/>
        <v>1093645.9212294305</v>
      </c>
      <c r="CD40" s="3236">
        <f t="shared" si="37"/>
        <v>2900419.07877057</v>
      </c>
      <c r="CE40" s="3237"/>
      <c r="CI40" s="3235">
        <f t="shared" si="38"/>
        <v>3994065.0000000005</v>
      </c>
      <c r="CJ40" s="3236">
        <f t="shared" si="39"/>
        <v>0</v>
      </c>
      <c r="CK40" s="3236">
        <f t="shared" si="40"/>
        <v>1093645.9212294305</v>
      </c>
      <c r="CL40" s="3236">
        <f t="shared" si="41"/>
        <v>2900419.07877057</v>
      </c>
      <c r="CM40" s="3237"/>
      <c r="CQ40" s="3235">
        <f t="shared" si="42"/>
        <v>3994065.0000000005</v>
      </c>
      <c r="CR40" s="3236">
        <f t="shared" si="43"/>
        <v>0</v>
      </c>
      <c r="CS40" s="3236">
        <f t="shared" si="44"/>
        <v>1093645.9212294305</v>
      </c>
      <c r="CT40" s="3236">
        <f t="shared" si="45"/>
        <v>2900419.07877057</v>
      </c>
      <c r="CU40" s="3237"/>
      <c r="CY40" s="3235">
        <f t="shared" si="46"/>
        <v>3994065.0000000005</v>
      </c>
      <c r="CZ40" s="3236">
        <f t="shared" si="47"/>
        <v>0</v>
      </c>
      <c r="DA40" s="3236">
        <f t="shared" si="48"/>
        <v>1093645.9212294305</v>
      </c>
      <c r="DB40" s="3236">
        <f t="shared" si="49"/>
        <v>2900419.07877057</v>
      </c>
      <c r="DC40" s="3237"/>
      <c r="DG40" s="3235">
        <f t="shared" si="50"/>
        <v>3994065.0000000005</v>
      </c>
      <c r="DH40" s="3236">
        <f t="shared" si="51"/>
        <v>0</v>
      </c>
      <c r="DI40" s="3236">
        <f t="shared" si="52"/>
        <v>1093645.9212294305</v>
      </c>
      <c r="DJ40" s="3236">
        <f t="shared" si="53"/>
        <v>2900419.07877057</v>
      </c>
      <c r="DK40" s="3237"/>
      <c r="DO40" s="3235">
        <f t="shared" si="54"/>
        <v>3994065.0000000005</v>
      </c>
      <c r="DP40" s="3236">
        <f t="shared" si="55"/>
        <v>0</v>
      </c>
      <c r="DQ40" s="3236">
        <f t="shared" si="56"/>
        <v>1093645.9212294305</v>
      </c>
      <c r="DR40" s="3236">
        <f t="shared" si="57"/>
        <v>2900419.07877057</v>
      </c>
      <c r="DS40" s="3237"/>
      <c r="DW40" s="3235">
        <f t="shared" si="58"/>
        <v>3994065.0000000005</v>
      </c>
      <c r="DX40" s="3236">
        <f t="shared" si="59"/>
        <v>0</v>
      </c>
      <c r="DY40" s="3236">
        <f t="shared" si="60"/>
        <v>1093645.9212294305</v>
      </c>
      <c r="DZ40" s="3236">
        <f t="shared" si="61"/>
        <v>2900419.07877057</v>
      </c>
      <c r="EA40" s="3237"/>
      <c r="EE40" s="3235">
        <f t="shared" si="62"/>
        <v>3994065.0000000005</v>
      </c>
      <c r="EF40" s="3236">
        <f t="shared" si="63"/>
        <v>0</v>
      </c>
      <c r="EG40" s="3236">
        <f t="shared" si="64"/>
        <v>1093645.9212294305</v>
      </c>
      <c r="EH40" s="3236">
        <f t="shared" si="65"/>
        <v>2900419.07877057</v>
      </c>
      <c r="EI40" s="3237"/>
      <c r="EM40" s="3235">
        <f t="shared" si="66"/>
        <v>3994065.0000000005</v>
      </c>
      <c r="EN40" s="3236">
        <f t="shared" si="67"/>
        <v>0</v>
      </c>
      <c r="EO40" s="3236">
        <f t="shared" si="68"/>
        <v>1093645.9212294305</v>
      </c>
      <c r="EP40" s="3236">
        <f t="shared" si="69"/>
        <v>2900419.07877057</v>
      </c>
      <c r="EQ40" s="3237"/>
      <c r="EU40" s="3235">
        <f t="shared" si="70"/>
        <v>3994065.0000000005</v>
      </c>
      <c r="EV40" s="3236">
        <f t="shared" si="71"/>
        <v>0</v>
      </c>
      <c r="EW40" s="3236">
        <f t="shared" si="72"/>
        <v>1093645.9212294305</v>
      </c>
      <c r="EX40" s="3236">
        <f t="shared" si="73"/>
        <v>2900419.07877057</v>
      </c>
      <c r="EY40" s="3237"/>
      <c r="FC40" s="3235">
        <f t="shared" si="74"/>
        <v>3994065.0000000005</v>
      </c>
      <c r="FD40" s="3236">
        <f t="shared" si="75"/>
        <v>0</v>
      </c>
      <c r="FE40" s="3236">
        <f t="shared" si="76"/>
        <v>1093645.9212294305</v>
      </c>
      <c r="FF40" s="3236">
        <f t="shared" si="77"/>
        <v>2900419.07877057</v>
      </c>
      <c r="FG40" s="3237"/>
      <c r="FK40" s="3235">
        <f t="shared" si="78"/>
        <v>3994065.0000000005</v>
      </c>
      <c r="FL40" s="3236">
        <f t="shared" si="79"/>
        <v>0</v>
      </c>
      <c r="FM40" s="3236">
        <f t="shared" si="80"/>
        <v>1093645.9212294305</v>
      </c>
      <c r="FN40" s="3236">
        <f t="shared" si="81"/>
        <v>2900419.07877057</v>
      </c>
      <c r="FO40" s="3237"/>
    </row>
    <row r="41" spans="1:171">
      <c r="A41" s="2442"/>
      <c r="B41" s="2097" t="s">
        <v>129</v>
      </c>
      <c r="C41" s="3233" t="s">
        <v>70</v>
      </c>
      <c r="D41" s="2464">
        <v>393</v>
      </c>
      <c r="E41" s="2424" t="str">
        <f>'Sch 1- Rate Base '!E41</f>
        <v>PTD</v>
      </c>
      <c r="F41" s="2171"/>
      <c r="G41" s="2424">
        <f>'Sch 1- Rate Base '!G41</f>
        <v>1969191</v>
      </c>
      <c r="H41" s="2424">
        <f>'Sch 1- Rate Base '!H41</f>
        <v>687427.76703650749</v>
      </c>
      <c r="I41" s="2424">
        <f>'Sch 1- Rate Base '!I41</f>
        <v>0</v>
      </c>
      <c r="J41" s="2425">
        <f>'Sch 1- Rate Base '!J41</f>
        <v>1281763.2329634926</v>
      </c>
      <c r="K41" s="3205">
        <f t="shared" si="0"/>
        <v>1</v>
      </c>
      <c r="L41" s="3261">
        <f t="shared" si="1"/>
        <v>1.7615581158876936E-4</v>
      </c>
      <c r="O41" s="3235">
        <f t="shared" si="2"/>
        <v>1969191.0000000002</v>
      </c>
      <c r="P41" s="3236">
        <f t="shared" si="3"/>
        <v>687427.7670365076</v>
      </c>
      <c r="Q41" s="3236">
        <f t="shared" si="4"/>
        <v>350969.53397412703</v>
      </c>
      <c r="R41" s="3236">
        <f t="shared" si="5"/>
        <v>930793.6989893656</v>
      </c>
      <c r="S41" s="3237"/>
      <c r="W41" s="3235">
        <f t="shared" si="6"/>
        <v>1969191.0000000002</v>
      </c>
      <c r="X41" s="3236">
        <f t="shared" si="7"/>
        <v>687427.7670365076</v>
      </c>
      <c r="Y41" s="3236">
        <f t="shared" si="8"/>
        <v>350969.53397412703</v>
      </c>
      <c r="Z41" s="3236">
        <f t="shared" si="9"/>
        <v>930793.6989893656</v>
      </c>
      <c r="AA41" s="3237"/>
      <c r="AE41" s="3235">
        <f t="shared" si="10"/>
        <v>1969191.0000000002</v>
      </c>
      <c r="AF41" s="3236">
        <f t="shared" si="11"/>
        <v>687427.7670365076</v>
      </c>
      <c r="AG41" s="3236">
        <f t="shared" si="12"/>
        <v>350969.53397412703</v>
      </c>
      <c r="AH41" s="3236">
        <f t="shared" si="13"/>
        <v>930793.6989893656</v>
      </c>
      <c r="AI41" s="3237"/>
      <c r="AM41" s="3235">
        <f t="shared" si="14"/>
        <v>1969191.0000000002</v>
      </c>
      <c r="AN41" s="3236">
        <f t="shared" si="15"/>
        <v>687427.7670365076</v>
      </c>
      <c r="AO41" s="3236">
        <f t="shared" si="16"/>
        <v>350969.53397412703</v>
      </c>
      <c r="AP41" s="3236">
        <f t="shared" si="17"/>
        <v>930793.6989893656</v>
      </c>
      <c r="AQ41" s="3237"/>
      <c r="AU41" s="3235">
        <f t="shared" si="18"/>
        <v>1969191.0000000002</v>
      </c>
      <c r="AV41" s="3236">
        <f t="shared" si="19"/>
        <v>687427.7670365076</v>
      </c>
      <c r="AW41" s="3236">
        <f t="shared" si="20"/>
        <v>350969.53397412703</v>
      </c>
      <c r="AX41" s="3236">
        <f t="shared" si="21"/>
        <v>930793.6989893656</v>
      </c>
      <c r="AY41" s="3237"/>
      <c r="BC41" s="3235">
        <f t="shared" si="22"/>
        <v>1969191.0000000002</v>
      </c>
      <c r="BD41" s="3236">
        <f t="shared" si="23"/>
        <v>687427.7670365076</v>
      </c>
      <c r="BE41" s="3236">
        <f t="shared" si="24"/>
        <v>350969.53397412703</v>
      </c>
      <c r="BF41" s="3236">
        <f t="shared" si="25"/>
        <v>930793.6989893656</v>
      </c>
      <c r="BG41" s="3237"/>
      <c r="BK41" s="3235">
        <f t="shared" si="26"/>
        <v>1969191.0000000002</v>
      </c>
      <c r="BL41" s="3236">
        <f t="shared" si="27"/>
        <v>687427.7670365076</v>
      </c>
      <c r="BM41" s="3236">
        <f t="shared" si="28"/>
        <v>350969.53397412703</v>
      </c>
      <c r="BN41" s="3236">
        <f t="shared" si="29"/>
        <v>930793.6989893656</v>
      </c>
      <c r="BO41" s="3237"/>
      <c r="BS41" s="3235">
        <f t="shared" si="30"/>
        <v>1969191.0000000002</v>
      </c>
      <c r="BT41" s="3236">
        <f t="shared" si="31"/>
        <v>687427.7670365076</v>
      </c>
      <c r="BU41" s="3236">
        <f t="shared" si="32"/>
        <v>350969.53397412703</v>
      </c>
      <c r="BV41" s="3236">
        <f t="shared" si="33"/>
        <v>930793.6989893656</v>
      </c>
      <c r="BW41" s="3237"/>
      <c r="CA41" s="3235">
        <f t="shared" si="34"/>
        <v>1969191.0000000002</v>
      </c>
      <c r="CB41" s="3236">
        <f t="shared" si="35"/>
        <v>687427.7670365076</v>
      </c>
      <c r="CC41" s="3236">
        <f t="shared" si="36"/>
        <v>350969.53397412703</v>
      </c>
      <c r="CD41" s="3236">
        <f t="shared" si="37"/>
        <v>930793.6989893656</v>
      </c>
      <c r="CE41" s="3237"/>
      <c r="CI41" s="3235">
        <f t="shared" si="38"/>
        <v>1969191.0000000002</v>
      </c>
      <c r="CJ41" s="3236">
        <f t="shared" si="39"/>
        <v>687427.7670365076</v>
      </c>
      <c r="CK41" s="3236">
        <f t="shared" si="40"/>
        <v>350969.53397412703</v>
      </c>
      <c r="CL41" s="3236">
        <f t="shared" si="41"/>
        <v>930793.6989893656</v>
      </c>
      <c r="CM41" s="3237"/>
      <c r="CQ41" s="3235">
        <f t="shared" si="42"/>
        <v>1969191.0000000002</v>
      </c>
      <c r="CR41" s="3236">
        <f t="shared" si="43"/>
        <v>687427.7670365076</v>
      </c>
      <c r="CS41" s="3236">
        <f t="shared" si="44"/>
        <v>350969.53397412703</v>
      </c>
      <c r="CT41" s="3236">
        <f t="shared" si="45"/>
        <v>930793.6989893656</v>
      </c>
      <c r="CU41" s="3237"/>
      <c r="CY41" s="3235">
        <f t="shared" si="46"/>
        <v>1969191.0000000002</v>
      </c>
      <c r="CZ41" s="3236">
        <f t="shared" si="47"/>
        <v>687427.7670365076</v>
      </c>
      <c r="DA41" s="3236">
        <f t="shared" si="48"/>
        <v>350969.53397412703</v>
      </c>
      <c r="DB41" s="3236">
        <f t="shared" si="49"/>
        <v>930793.6989893656</v>
      </c>
      <c r="DC41" s="3237"/>
      <c r="DG41" s="3235">
        <f t="shared" si="50"/>
        <v>1969191.0000000002</v>
      </c>
      <c r="DH41" s="3236">
        <f t="shared" si="51"/>
        <v>687427.7670365076</v>
      </c>
      <c r="DI41" s="3236">
        <f t="shared" si="52"/>
        <v>350969.53397412703</v>
      </c>
      <c r="DJ41" s="3236">
        <f t="shared" si="53"/>
        <v>930793.6989893656</v>
      </c>
      <c r="DK41" s="3237"/>
      <c r="DO41" s="3235">
        <f t="shared" si="54"/>
        <v>1969191.0000000002</v>
      </c>
      <c r="DP41" s="3236">
        <f t="shared" si="55"/>
        <v>687427.7670365076</v>
      </c>
      <c r="DQ41" s="3236">
        <f t="shared" si="56"/>
        <v>350969.53397412703</v>
      </c>
      <c r="DR41" s="3236">
        <f t="shared" si="57"/>
        <v>930793.6989893656</v>
      </c>
      <c r="DS41" s="3237"/>
      <c r="DW41" s="3235">
        <f t="shared" si="58"/>
        <v>1969191.0000000002</v>
      </c>
      <c r="DX41" s="3236">
        <f t="shared" si="59"/>
        <v>687427.7670365076</v>
      </c>
      <c r="DY41" s="3236">
        <f t="shared" si="60"/>
        <v>350969.53397412703</v>
      </c>
      <c r="DZ41" s="3236">
        <f t="shared" si="61"/>
        <v>930793.6989893656</v>
      </c>
      <c r="EA41" s="3237"/>
      <c r="EE41" s="3235">
        <f t="shared" si="62"/>
        <v>1969191.0000000002</v>
      </c>
      <c r="EF41" s="3236">
        <f t="shared" si="63"/>
        <v>687427.7670365076</v>
      </c>
      <c r="EG41" s="3236">
        <f t="shared" si="64"/>
        <v>350969.53397412703</v>
      </c>
      <c r="EH41" s="3236">
        <f t="shared" si="65"/>
        <v>930793.6989893656</v>
      </c>
      <c r="EI41" s="3237"/>
      <c r="EM41" s="3235">
        <f t="shared" si="66"/>
        <v>1969191.0000000002</v>
      </c>
      <c r="EN41" s="3236">
        <f t="shared" si="67"/>
        <v>687427.7670365076</v>
      </c>
      <c r="EO41" s="3236">
        <f t="shared" si="68"/>
        <v>350969.53397412703</v>
      </c>
      <c r="EP41" s="3236">
        <f t="shared" si="69"/>
        <v>930793.6989893656</v>
      </c>
      <c r="EQ41" s="3237"/>
      <c r="EU41" s="3235">
        <f t="shared" si="70"/>
        <v>1969191.0000000002</v>
      </c>
      <c r="EV41" s="3236">
        <f t="shared" si="71"/>
        <v>687427.7670365076</v>
      </c>
      <c r="EW41" s="3236">
        <f t="shared" si="72"/>
        <v>350969.53397412703</v>
      </c>
      <c r="EX41" s="3236">
        <f t="shared" si="73"/>
        <v>930793.6989893656</v>
      </c>
      <c r="EY41" s="3237"/>
      <c r="FC41" s="3235">
        <f t="shared" si="74"/>
        <v>1969191.0000000002</v>
      </c>
      <c r="FD41" s="3236">
        <f t="shared" si="75"/>
        <v>687427.7670365076</v>
      </c>
      <c r="FE41" s="3236">
        <f t="shared" si="76"/>
        <v>350969.53397412703</v>
      </c>
      <c r="FF41" s="3236">
        <f t="shared" si="77"/>
        <v>930793.6989893656</v>
      </c>
      <c r="FG41" s="3237"/>
      <c r="FK41" s="3235">
        <f t="shared" si="78"/>
        <v>1969191.0000000002</v>
      </c>
      <c r="FL41" s="3236">
        <f t="shared" si="79"/>
        <v>687427.7670365076</v>
      </c>
      <c r="FM41" s="3236">
        <f t="shared" si="80"/>
        <v>350969.53397412703</v>
      </c>
      <c r="FN41" s="3236">
        <f t="shared" si="81"/>
        <v>930793.6989893656</v>
      </c>
      <c r="FO41" s="3237"/>
    </row>
    <row r="42" spans="1:171">
      <c r="A42" s="2442"/>
      <c r="B42" s="2097" t="s">
        <v>130</v>
      </c>
      <c r="C42" s="3233" t="s">
        <v>70</v>
      </c>
      <c r="D42" s="2464">
        <v>394</v>
      </c>
      <c r="E42" s="2424" t="str">
        <f>'Sch 1- Rate Base '!E42</f>
        <v>PTD</v>
      </c>
      <c r="F42" s="2171"/>
      <c r="G42" s="2424">
        <f>'Sch 1- Rate Base '!G42</f>
        <v>32372182</v>
      </c>
      <c r="H42" s="2424">
        <f>'Sch 1- Rate Base '!H42</f>
        <v>11300852.373568345</v>
      </c>
      <c r="I42" s="2424">
        <f>'Sch 1- Rate Base '!I42</f>
        <v>0</v>
      </c>
      <c r="J42" s="2425">
        <f>'Sch 1- Rate Base '!J42</f>
        <v>21071329.626431659</v>
      </c>
      <c r="K42" s="3205">
        <f t="shared" si="0"/>
        <v>1</v>
      </c>
      <c r="L42" s="3261">
        <f t="shared" si="1"/>
        <v>2.895883636025835E-3</v>
      </c>
      <c r="O42" s="3235">
        <f t="shared" si="2"/>
        <v>32372182</v>
      </c>
      <c r="P42" s="3236">
        <f t="shared" si="3"/>
        <v>11300852.373568345</v>
      </c>
      <c r="Q42" s="3236">
        <f t="shared" si="4"/>
        <v>5769704.2238490945</v>
      </c>
      <c r="R42" s="3236">
        <f t="shared" si="5"/>
        <v>15301625.402582562</v>
      </c>
      <c r="S42" s="3237"/>
      <c r="W42" s="3235">
        <f t="shared" si="6"/>
        <v>32372182</v>
      </c>
      <c r="X42" s="3236">
        <f t="shared" si="7"/>
        <v>11300852.373568345</v>
      </c>
      <c r="Y42" s="3236">
        <f t="shared" si="8"/>
        <v>5769704.2238490945</v>
      </c>
      <c r="Z42" s="3236">
        <f t="shared" si="9"/>
        <v>15301625.402582562</v>
      </c>
      <c r="AA42" s="3237"/>
      <c r="AE42" s="3235">
        <f t="shared" si="10"/>
        <v>32372182</v>
      </c>
      <c r="AF42" s="3236">
        <f t="shared" si="11"/>
        <v>11300852.373568345</v>
      </c>
      <c r="AG42" s="3236">
        <f t="shared" si="12"/>
        <v>5769704.2238490945</v>
      </c>
      <c r="AH42" s="3236">
        <f t="shared" si="13"/>
        <v>15301625.402582562</v>
      </c>
      <c r="AI42" s="3237"/>
      <c r="AM42" s="3235">
        <f t="shared" si="14"/>
        <v>32372182</v>
      </c>
      <c r="AN42" s="3236">
        <f t="shared" si="15"/>
        <v>11300852.373568345</v>
      </c>
      <c r="AO42" s="3236">
        <f t="shared" si="16"/>
        <v>5769704.2238490945</v>
      </c>
      <c r="AP42" s="3236">
        <f t="shared" si="17"/>
        <v>15301625.402582562</v>
      </c>
      <c r="AQ42" s="3237"/>
      <c r="AU42" s="3235">
        <f t="shared" si="18"/>
        <v>32372182</v>
      </c>
      <c r="AV42" s="3236">
        <f t="shared" si="19"/>
        <v>11300852.373568345</v>
      </c>
      <c r="AW42" s="3236">
        <f t="shared" si="20"/>
        <v>5769704.2238490945</v>
      </c>
      <c r="AX42" s="3236">
        <f t="shared" si="21"/>
        <v>15301625.402582562</v>
      </c>
      <c r="AY42" s="3237"/>
      <c r="BC42" s="3235">
        <f t="shared" si="22"/>
        <v>32372182</v>
      </c>
      <c r="BD42" s="3236">
        <f t="shared" si="23"/>
        <v>11300852.373568345</v>
      </c>
      <c r="BE42" s="3236">
        <f t="shared" si="24"/>
        <v>5769704.2238490945</v>
      </c>
      <c r="BF42" s="3236">
        <f t="shared" si="25"/>
        <v>15301625.402582562</v>
      </c>
      <c r="BG42" s="3237"/>
      <c r="BK42" s="3235">
        <f t="shared" si="26"/>
        <v>32372182</v>
      </c>
      <c r="BL42" s="3236">
        <f t="shared" si="27"/>
        <v>11300852.373568345</v>
      </c>
      <c r="BM42" s="3236">
        <f t="shared" si="28"/>
        <v>5769704.2238490945</v>
      </c>
      <c r="BN42" s="3236">
        <f t="shared" si="29"/>
        <v>15301625.402582562</v>
      </c>
      <c r="BO42" s="3237"/>
      <c r="BS42" s="3235">
        <f t="shared" si="30"/>
        <v>32372182</v>
      </c>
      <c r="BT42" s="3236">
        <f t="shared" si="31"/>
        <v>11300852.373568345</v>
      </c>
      <c r="BU42" s="3236">
        <f t="shared" si="32"/>
        <v>5769704.2238490945</v>
      </c>
      <c r="BV42" s="3236">
        <f t="shared" si="33"/>
        <v>15301625.402582562</v>
      </c>
      <c r="BW42" s="3237"/>
      <c r="CA42" s="3235">
        <f t="shared" si="34"/>
        <v>32372182</v>
      </c>
      <c r="CB42" s="3236">
        <f t="shared" si="35"/>
        <v>11300852.373568345</v>
      </c>
      <c r="CC42" s="3236">
        <f t="shared" si="36"/>
        <v>5769704.2238490945</v>
      </c>
      <c r="CD42" s="3236">
        <f t="shared" si="37"/>
        <v>15301625.402582562</v>
      </c>
      <c r="CE42" s="3237"/>
      <c r="CI42" s="3235">
        <f t="shared" si="38"/>
        <v>32372182</v>
      </c>
      <c r="CJ42" s="3236">
        <f t="shared" si="39"/>
        <v>11300852.373568345</v>
      </c>
      <c r="CK42" s="3236">
        <f t="shared" si="40"/>
        <v>5769704.2238490945</v>
      </c>
      <c r="CL42" s="3236">
        <f t="shared" si="41"/>
        <v>15301625.402582562</v>
      </c>
      <c r="CM42" s="3237"/>
      <c r="CQ42" s="3235">
        <f t="shared" si="42"/>
        <v>32372182</v>
      </c>
      <c r="CR42" s="3236">
        <f t="shared" si="43"/>
        <v>11300852.373568345</v>
      </c>
      <c r="CS42" s="3236">
        <f t="shared" si="44"/>
        <v>5769704.2238490945</v>
      </c>
      <c r="CT42" s="3236">
        <f t="shared" si="45"/>
        <v>15301625.402582562</v>
      </c>
      <c r="CU42" s="3237"/>
      <c r="CY42" s="3235">
        <f t="shared" si="46"/>
        <v>32372182</v>
      </c>
      <c r="CZ42" s="3236">
        <f t="shared" si="47"/>
        <v>11300852.373568345</v>
      </c>
      <c r="DA42" s="3236">
        <f t="shared" si="48"/>
        <v>5769704.2238490945</v>
      </c>
      <c r="DB42" s="3236">
        <f t="shared" si="49"/>
        <v>15301625.402582562</v>
      </c>
      <c r="DC42" s="3237"/>
      <c r="DG42" s="3235">
        <f t="shared" si="50"/>
        <v>32372182</v>
      </c>
      <c r="DH42" s="3236">
        <f t="shared" si="51"/>
        <v>11300852.373568345</v>
      </c>
      <c r="DI42" s="3236">
        <f t="shared" si="52"/>
        <v>5769704.2238490945</v>
      </c>
      <c r="DJ42" s="3236">
        <f t="shared" si="53"/>
        <v>15301625.402582562</v>
      </c>
      <c r="DK42" s="3237"/>
      <c r="DO42" s="3235">
        <f t="shared" si="54"/>
        <v>32372182</v>
      </c>
      <c r="DP42" s="3236">
        <f t="shared" si="55"/>
        <v>11300852.373568345</v>
      </c>
      <c r="DQ42" s="3236">
        <f t="shared" si="56"/>
        <v>5769704.2238490945</v>
      </c>
      <c r="DR42" s="3236">
        <f t="shared" si="57"/>
        <v>15301625.402582562</v>
      </c>
      <c r="DS42" s="3237"/>
      <c r="DW42" s="3235">
        <f t="shared" si="58"/>
        <v>32372182</v>
      </c>
      <c r="DX42" s="3236">
        <f t="shared" si="59"/>
        <v>11300852.373568345</v>
      </c>
      <c r="DY42" s="3236">
        <f t="shared" si="60"/>
        <v>5769704.2238490945</v>
      </c>
      <c r="DZ42" s="3236">
        <f t="shared" si="61"/>
        <v>15301625.402582562</v>
      </c>
      <c r="EA42" s="3237"/>
      <c r="EE42" s="3235">
        <f t="shared" si="62"/>
        <v>32372182</v>
      </c>
      <c r="EF42" s="3236">
        <f t="shared" si="63"/>
        <v>11300852.373568345</v>
      </c>
      <c r="EG42" s="3236">
        <f t="shared" si="64"/>
        <v>5769704.2238490945</v>
      </c>
      <c r="EH42" s="3236">
        <f t="shared" si="65"/>
        <v>15301625.402582562</v>
      </c>
      <c r="EI42" s="3237"/>
      <c r="EM42" s="3235">
        <f t="shared" si="66"/>
        <v>32372182</v>
      </c>
      <c r="EN42" s="3236">
        <f t="shared" si="67"/>
        <v>11300852.373568345</v>
      </c>
      <c r="EO42" s="3236">
        <f t="shared" si="68"/>
        <v>5769704.2238490945</v>
      </c>
      <c r="EP42" s="3236">
        <f t="shared" si="69"/>
        <v>15301625.402582562</v>
      </c>
      <c r="EQ42" s="3237"/>
      <c r="EU42" s="3235">
        <f t="shared" si="70"/>
        <v>32372182</v>
      </c>
      <c r="EV42" s="3236">
        <f t="shared" si="71"/>
        <v>11300852.373568345</v>
      </c>
      <c r="EW42" s="3236">
        <f t="shared" si="72"/>
        <v>5769704.2238490945</v>
      </c>
      <c r="EX42" s="3236">
        <f t="shared" si="73"/>
        <v>15301625.402582562</v>
      </c>
      <c r="EY42" s="3237"/>
      <c r="FC42" s="3235">
        <f t="shared" si="74"/>
        <v>32372182</v>
      </c>
      <c r="FD42" s="3236">
        <f t="shared" si="75"/>
        <v>11300852.373568345</v>
      </c>
      <c r="FE42" s="3236">
        <f t="shared" si="76"/>
        <v>5769704.2238490945</v>
      </c>
      <c r="FF42" s="3236">
        <f t="shared" si="77"/>
        <v>15301625.402582562</v>
      </c>
      <c r="FG42" s="3237"/>
      <c r="FK42" s="3235">
        <f t="shared" si="78"/>
        <v>32372182</v>
      </c>
      <c r="FL42" s="3236">
        <f t="shared" si="79"/>
        <v>11300852.373568345</v>
      </c>
      <c r="FM42" s="3236">
        <f t="shared" si="80"/>
        <v>5769704.2238490945</v>
      </c>
      <c r="FN42" s="3236">
        <f t="shared" si="81"/>
        <v>15301625.402582562</v>
      </c>
      <c r="FO42" s="3237"/>
    </row>
    <row r="43" spans="1:171">
      <c r="A43" s="2442"/>
      <c r="B43" s="2097" t="s">
        <v>131</v>
      </c>
      <c r="C43" s="3233" t="s">
        <v>70</v>
      </c>
      <c r="D43" s="2464">
        <v>395</v>
      </c>
      <c r="E43" s="2424" t="str">
        <f>'Sch 1- Rate Base '!E43</f>
        <v>PTD</v>
      </c>
      <c r="F43" s="2171"/>
      <c r="G43" s="2424">
        <f>'Sch 1- Rate Base '!G43</f>
        <v>5973622</v>
      </c>
      <c r="H43" s="2424">
        <f>'Sch 1- Rate Base '!H43</f>
        <v>2085340.4431465287</v>
      </c>
      <c r="I43" s="2424">
        <f>'Sch 1- Rate Base '!I43</f>
        <v>0</v>
      </c>
      <c r="J43" s="2425">
        <f>'Sch 1- Rate Base '!J43</f>
        <v>3888281.5568534718</v>
      </c>
      <c r="K43" s="3205">
        <f t="shared" si="0"/>
        <v>1</v>
      </c>
      <c r="L43" s="3261">
        <f t="shared" si="1"/>
        <v>5.3437590946461139E-4</v>
      </c>
      <c r="O43" s="3235">
        <f t="shared" si="2"/>
        <v>5973622</v>
      </c>
      <c r="P43" s="3236">
        <f t="shared" si="3"/>
        <v>2085340.4431465287</v>
      </c>
      <c r="Q43" s="3236">
        <f t="shared" si="4"/>
        <v>1064680.5360564783</v>
      </c>
      <c r="R43" s="3236">
        <f t="shared" si="5"/>
        <v>2823601.0207969933</v>
      </c>
      <c r="S43" s="3237"/>
      <c r="W43" s="3235">
        <f t="shared" si="6"/>
        <v>5973622</v>
      </c>
      <c r="X43" s="3236">
        <f t="shared" si="7"/>
        <v>2085340.4431465287</v>
      </c>
      <c r="Y43" s="3236">
        <f t="shared" si="8"/>
        <v>1064680.5360564783</v>
      </c>
      <c r="Z43" s="3236">
        <f t="shared" si="9"/>
        <v>2823601.0207969933</v>
      </c>
      <c r="AA43" s="3237"/>
      <c r="AE43" s="3235">
        <f t="shared" si="10"/>
        <v>5973622</v>
      </c>
      <c r="AF43" s="3236">
        <f t="shared" si="11"/>
        <v>2085340.4431465287</v>
      </c>
      <c r="AG43" s="3236">
        <f t="shared" si="12"/>
        <v>1064680.5360564783</v>
      </c>
      <c r="AH43" s="3236">
        <f t="shared" si="13"/>
        <v>2823601.0207969933</v>
      </c>
      <c r="AI43" s="3237"/>
      <c r="AM43" s="3235">
        <f t="shared" si="14"/>
        <v>5973622</v>
      </c>
      <c r="AN43" s="3236">
        <f t="shared" si="15"/>
        <v>2085340.4431465287</v>
      </c>
      <c r="AO43" s="3236">
        <f t="shared" si="16"/>
        <v>1064680.5360564783</v>
      </c>
      <c r="AP43" s="3236">
        <f t="shared" si="17"/>
        <v>2823601.0207969933</v>
      </c>
      <c r="AQ43" s="3237"/>
      <c r="AU43" s="3235">
        <f t="shared" si="18"/>
        <v>5973622</v>
      </c>
      <c r="AV43" s="3236">
        <f t="shared" si="19"/>
        <v>2085340.4431465287</v>
      </c>
      <c r="AW43" s="3236">
        <f t="shared" si="20"/>
        <v>1064680.5360564783</v>
      </c>
      <c r="AX43" s="3236">
        <f t="shared" si="21"/>
        <v>2823601.0207969933</v>
      </c>
      <c r="AY43" s="3237"/>
      <c r="BC43" s="3235">
        <f t="shared" si="22"/>
        <v>5973622</v>
      </c>
      <c r="BD43" s="3236">
        <f t="shared" si="23"/>
        <v>2085340.4431465287</v>
      </c>
      <c r="BE43" s="3236">
        <f t="shared" si="24"/>
        <v>1064680.5360564783</v>
      </c>
      <c r="BF43" s="3236">
        <f t="shared" si="25"/>
        <v>2823601.0207969933</v>
      </c>
      <c r="BG43" s="3237"/>
      <c r="BK43" s="3235">
        <f t="shared" si="26"/>
        <v>5973622</v>
      </c>
      <c r="BL43" s="3236">
        <f t="shared" si="27"/>
        <v>2085340.4431465287</v>
      </c>
      <c r="BM43" s="3236">
        <f t="shared" si="28"/>
        <v>1064680.5360564783</v>
      </c>
      <c r="BN43" s="3236">
        <f t="shared" si="29"/>
        <v>2823601.0207969933</v>
      </c>
      <c r="BO43" s="3237"/>
      <c r="BS43" s="3235">
        <f t="shared" si="30"/>
        <v>5973622</v>
      </c>
      <c r="BT43" s="3236">
        <f t="shared" si="31"/>
        <v>2085340.4431465287</v>
      </c>
      <c r="BU43" s="3236">
        <f t="shared" si="32"/>
        <v>1064680.5360564783</v>
      </c>
      <c r="BV43" s="3236">
        <f t="shared" si="33"/>
        <v>2823601.0207969933</v>
      </c>
      <c r="BW43" s="3237"/>
      <c r="CA43" s="3235">
        <f t="shared" si="34"/>
        <v>5973622</v>
      </c>
      <c r="CB43" s="3236">
        <f t="shared" si="35"/>
        <v>2085340.4431465287</v>
      </c>
      <c r="CC43" s="3236">
        <f t="shared" si="36"/>
        <v>1064680.5360564783</v>
      </c>
      <c r="CD43" s="3236">
        <f t="shared" si="37"/>
        <v>2823601.0207969933</v>
      </c>
      <c r="CE43" s="3237"/>
      <c r="CI43" s="3235">
        <f t="shared" si="38"/>
        <v>5973622</v>
      </c>
      <c r="CJ43" s="3236">
        <f t="shared" si="39"/>
        <v>2085340.4431465287</v>
      </c>
      <c r="CK43" s="3236">
        <f t="shared" si="40"/>
        <v>1064680.5360564783</v>
      </c>
      <c r="CL43" s="3236">
        <f t="shared" si="41"/>
        <v>2823601.0207969933</v>
      </c>
      <c r="CM43" s="3237"/>
      <c r="CQ43" s="3235">
        <f t="shared" si="42"/>
        <v>5973622</v>
      </c>
      <c r="CR43" s="3236">
        <f t="shared" si="43"/>
        <v>2085340.4431465287</v>
      </c>
      <c r="CS43" s="3236">
        <f t="shared" si="44"/>
        <v>1064680.5360564783</v>
      </c>
      <c r="CT43" s="3236">
        <f t="shared" si="45"/>
        <v>2823601.0207969933</v>
      </c>
      <c r="CU43" s="3237"/>
      <c r="CY43" s="3235">
        <f t="shared" si="46"/>
        <v>5973622</v>
      </c>
      <c r="CZ43" s="3236">
        <f t="shared" si="47"/>
        <v>2085340.4431465287</v>
      </c>
      <c r="DA43" s="3236">
        <f t="shared" si="48"/>
        <v>1064680.5360564783</v>
      </c>
      <c r="DB43" s="3236">
        <f t="shared" si="49"/>
        <v>2823601.0207969933</v>
      </c>
      <c r="DC43" s="3237"/>
      <c r="DG43" s="3235">
        <f t="shared" si="50"/>
        <v>5973622</v>
      </c>
      <c r="DH43" s="3236">
        <f t="shared" si="51"/>
        <v>2085340.4431465287</v>
      </c>
      <c r="DI43" s="3236">
        <f t="shared" si="52"/>
        <v>1064680.5360564783</v>
      </c>
      <c r="DJ43" s="3236">
        <f t="shared" si="53"/>
        <v>2823601.0207969933</v>
      </c>
      <c r="DK43" s="3237"/>
      <c r="DO43" s="3235">
        <f t="shared" si="54"/>
        <v>5973622</v>
      </c>
      <c r="DP43" s="3236">
        <f t="shared" si="55"/>
        <v>2085340.4431465287</v>
      </c>
      <c r="DQ43" s="3236">
        <f t="shared" si="56"/>
        <v>1064680.5360564783</v>
      </c>
      <c r="DR43" s="3236">
        <f t="shared" si="57"/>
        <v>2823601.0207969933</v>
      </c>
      <c r="DS43" s="3237"/>
      <c r="DW43" s="3235">
        <f t="shared" si="58"/>
        <v>5973622</v>
      </c>
      <c r="DX43" s="3236">
        <f t="shared" si="59"/>
        <v>2085340.4431465287</v>
      </c>
      <c r="DY43" s="3236">
        <f t="shared" si="60"/>
        <v>1064680.5360564783</v>
      </c>
      <c r="DZ43" s="3236">
        <f t="shared" si="61"/>
        <v>2823601.0207969933</v>
      </c>
      <c r="EA43" s="3237"/>
      <c r="EE43" s="3235">
        <f t="shared" si="62"/>
        <v>5973622</v>
      </c>
      <c r="EF43" s="3236">
        <f t="shared" si="63"/>
        <v>2085340.4431465287</v>
      </c>
      <c r="EG43" s="3236">
        <f t="shared" si="64"/>
        <v>1064680.5360564783</v>
      </c>
      <c r="EH43" s="3236">
        <f t="shared" si="65"/>
        <v>2823601.0207969933</v>
      </c>
      <c r="EI43" s="3237"/>
      <c r="EM43" s="3235">
        <f t="shared" si="66"/>
        <v>5973622</v>
      </c>
      <c r="EN43" s="3236">
        <f t="shared" si="67"/>
        <v>2085340.4431465287</v>
      </c>
      <c r="EO43" s="3236">
        <f t="shared" si="68"/>
        <v>1064680.5360564783</v>
      </c>
      <c r="EP43" s="3236">
        <f t="shared" si="69"/>
        <v>2823601.0207969933</v>
      </c>
      <c r="EQ43" s="3237"/>
      <c r="EU43" s="3235">
        <f t="shared" si="70"/>
        <v>5973622</v>
      </c>
      <c r="EV43" s="3236">
        <f t="shared" si="71"/>
        <v>2085340.4431465287</v>
      </c>
      <c r="EW43" s="3236">
        <f t="shared" si="72"/>
        <v>1064680.5360564783</v>
      </c>
      <c r="EX43" s="3236">
        <f t="shared" si="73"/>
        <v>2823601.0207969933</v>
      </c>
      <c r="EY43" s="3237"/>
      <c r="FC43" s="3235">
        <f t="shared" si="74"/>
        <v>5973622</v>
      </c>
      <c r="FD43" s="3236">
        <f t="shared" si="75"/>
        <v>2085340.4431465287</v>
      </c>
      <c r="FE43" s="3236">
        <f t="shared" si="76"/>
        <v>1064680.5360564783</v>
      </c>
      <c r="FF43" s="3236">
        <f t="shared" si="77"/>
        <v>2823601.0207969933</v>
      </c>
      <c r="FG43" s="3237"/>
      <c r="FK43" s="3235">
        <f t="shared" si="78"/>
        <v>5973622</v>
      </c>
      <c r="FL43" s="3236">
        <f t="shared" si="79"/>
        <v>2085340.4431465287</v>
      </c>
      <c r="FM43" s="3236">
        <f t="shared" si="80"/>
        <v>1064680.5360564783</v>
      </c>
      <c r="FN43" s="3236">
        <f t="shared" si="81"/>
        <v>2823601.0207969933</v>
      </c>
      <c r="FO43" s="3237"/>
    </row>
    <row r="44" spans="1:171">
      <c r="A44" s="2442"/>
      <c r="B44" s="2097" t="s">
        <v>132</v>
      </c>
      <c r="C44" s="3233" t="s">
        <v>70</v>
      </c>
      <c r="D44" s="2464">
        <v>396</v>
      </c>
      <c r="E44" s="2424" t="str">
        <f>'Sch 1- Rate Base '!E44</f>
        <v>TD</v>
      </c>
      <c r="F44" s="2171"/>
      <c r="G44" s="2424">
        <f>'Sch 1- Rate Base '!G44</f>
        <v>2715513</v>
      </c>
      <c r="H44" s="2424">
        <f>'Sch 1- Rate Base '!H44</f>
        <v>0</v>
      </c>
      <c r="I44" s="2424">
        <f>'Sch 1- Rate Base '!I44</f>
        <v>0</v>
      </c>
      <c r="J44" s="2425">
        <f>'Sch 1- Rate Base '!J44</f>
        <v>2715513</v>
      </c>
      <c r="K44" s="3205">
        <f t="shared" si="0"/>
        <v>1</v>
      </c>
      <c r="L44" s="3261">
        <f t="shared" si="1"/>
        <v>2.4291873992662662E-4</v>
      </c>
      <c r="O44" s="3235">
        <f t="shared" si="2"/>
        <v>2715513</v>
      </c>
      <c r="P44" s="3236">
        <f t="shared" si="3"/>
        <v>0</v>
      </c>
      <c r="Q44" s="3236">
        <f t="shared" si="4"/>
        <v>743555.67986387154</v>
      </c>
      <c r="R44" s="3236">
        <f t="shared" si="5"/>
        <v>1971957.3201361285</v>
      </c>
      <c r="S44" s="3237"/>
      <c r="W44" s="3235">
        <f t="shared" si="6"/>
        <v>2715513</v>
      </c>
      <c r="X44" s="3236">
        <f t="shared" si="7"/>
        <v>0</v>
      </c>
      <c r="Y44" s="3236">
        <f t="shared" si="8"/>
        <v>743555.67986387154</v>
      </c>
      <c r="Z44" s="3236">
        <f t="shared" si="9"/>
        <v>1971957.3201361285</v>
      </c>
      <c r="AA44" s="3237"/>
      <c r="AE44" s="3235">
        <f t="shared" si="10"/>
        <v>2715513</v>
      </c>
      <c r="AF44" s="3236">
        <f t="shared" si="11"/>
        <v>0</v>
      </c>
      <c r="AG44" s="3236">
        <f t="shared" si="12"/>
        <v>743555.67986387154</v>
      </c>
      <c r="AH44" s="3236">
        <f t="shared" si="13"/>
        <v>1971957.3201361285</v>
      </c>
      <c r="AI44" s="3237"/>
      <c r="AM44" s="3235">
        <f t="shared" si="14"/>
        <v>2715513</v>
      </c>
      <c r="AN44" s="3236">
        <f t="shared" si="15"/>
        <v>0</v>
      </c>
      <c r="AO44" s="3236">
        <f t="shared" si="16"/>
        <v>743555.67986387154</v>
      </c>
      <c r="AP44" s="3236">
        <f t="shared" si="17"/>
        <v>1971957.3201361285</v>
      </c>
      <c r="AQ44" s="3237"/>
      <c r="AU44" s="3235">
        <f t="shared" si="18"/>
        <v>2715513</v>
      </c>
      <c r="AV44" s="3236">
        <f t="shared" si="19"/>
        <v>0</v>
      </c>
      <c r="AW44" s="3236">
        <f t="shared" si="20"/>
        <v>743555.67986387154</v>
      </c>
      <c r="AX44" s="3236">
        <f t="shared" si="21"/>
        <v>1971957.3201361285</v>
      </c>
      <c r="AY44" s="3237"/>
      <c r="BC44" s="3235">
        <f t="shared" si="22"/>
        <v>2715513</v>
      </c>
      <c r="BD44" s="3236">
        <f t="shared" si="23"/>
        <v>0</v>
      </c>
      <c r="BE44" s="3236">
        <f t="shared" si="24"/>
        <v>743555.67986387154</v>
      </c>
      <c r="BF44" s="3236">
        <f t="shared" si="25"/>
        <v>1971957.3201361285</v>
      </c>
      <c r="BG44" s="3237"/>
      <c r="BK44" s="3235">
        <f t="shared" si="26"/>
        <v>2715513</v>
      </c>
      <c r="BL44" s="3236">
        <f t="shared" si="27"/>
        <v>0</v>
      </c>
      <c r="BM44" s="3236">
        <f t="shared" si="28"/>
        <v>743555.67986387154</v>
      </c>
      <c r="BN44" s="3236">
        <f t="shared" si="29"/>
        <v>1971957.3201361285</v>
      </c>
      <c r="BO44" s="3237"/>
      <c r="BS44" s="3235">
        <f t="shared" si="30"/>
        <v>2715513</v>
      </c>
      <c r="BT44" s="3236">
        <f t="shared" si="31"/>
        <v>0</v>
      </c>
      <c r="BU44" s="3236">
        <f t="shared" si="32"/>
        <v>743555.67986387154</v>
      </c>
      <c r="BV44" s="3236">
        <f t="shared" si="33"/>
        <v>1971957.3201361285</v>
      </c>
      <c r="BW44" s="3237"/>
      <c r="CA44" s="3235">
        <f t="shared" si="34"/>
        <v>2715513</v>
      </c>
      <c r="CB44" s="3236">
        <f t="shared" si="35"/>
        <v>0</v>
      </c>
      <c r="CC44" s="3236">
        <f t="shared" si="36"/>
        <v>743555.67986387154</v>
      </c>
      <c r="CD44" s="3236">
        <f t="shared" si="37"/>
        <v>1971957.3201361285</v>
      </c>
      <c r="CE44" s="3237"/>
      <c r="CI44" s="3235">
        <f t="shared" si="38"/>
        <v>2715513</v>
      </c>
      <c r="CJ44" s="3236">
        <f t="shared" si="39"/>
        <v>0</v>
      </c>
      <c r="CK44" s="3236">
        <f t="shared" si="40"/>
        <v>743555.67986387154</v>
      </c>
      <c r="CL44" s="3236">
        <f t="shared" si="41"/>
        <v>1971957.3201361285</v>
      </c>
      <c r="CM44" s="3237"/>
      <c r="CQ44" s="3235">
        <f t="shared" si="42"/>
        <v>2715513</v>
      </c>
      <c r="CR44" s="3236">
        <f t="shared" si="43"/>
        <v>0</v>
      </c>
      <c r="CS44" s="3236">
        <f t="shared" si="44"/>
        <v>743555.67986387154</v>
      </c>
      <c r="CT44" s="3236">
        <f t="shared" si="45"/>
        <v>1971957.3201361285</v>
      </c>
      <c r="CU44" s="3237"/>
      <c r="CY44" s="3235">
        <f t="shared" si="46"/>
        <v>2715513</v>
      </c>
      <c r="CZ44" s="3236">
        <f t="shared" si="47"/>
        <v>0</v>
      </c>
      <c r="DA44" s="3236">
        <f t="shared" si="48"/>
        <v>743555.67986387154</v>
      </c>
      <c r="DB44" s="3236">
        <f t="shared" si="49"/>
        <v>1971957.3201361285</v>
      </c>
      <c r="DC44" s="3237"/>
      <c r="DG44" s="3235">
        <f t="shared" si="50"/>
        <v>2715513</v>
      </c>
      <c r="DH44" s="3236">
        <f t="shared" si="51"/>
        <v>0</v>
      </c>
      <c r="DI44" s="3236">
        <f t="shared" si="52"/>
        <v>743555.67986387154</v>
      </c>
      <c r="DJ44" s="3236">
        <f t="shared" si="53"/>
        <v>1971957.3201361285</v>
      </c>
      <c r="DK44" s="3237"/>
      <c r="DO44" s="3235">
        <f t="shared" si="54"/>
        <v>2715513</v>
      </c>
      <c r="DP44" s="3236">
        <f t="shared" si="55"/>
        <v>0</v>
      </c>
      <c r="DQ44" s="3236">
        <f t="shared" si="56"/>
        <v>743555.67986387154</v>
      </c>
      <c r="DR44" s="3236">
        <f t="shared" si="57"/>
        <v>1971957.3201361285</v>
      </c>
      <c r="DS44" s="3237"/>
      <c r="DW44" s="3235">
        <f t="shared" si="58"/>
        <v>2715513</v>
      </c>
      <c r="DX44" s="3236">
        <f t="shared" si="59"/>
        <v>0</v>
      </c>
      <c r="DY44" s="3236">
        <f t="shared" si="60"/>
        <v>743555.67986387154</v>
      </c>
      <c r="DZ44" s="3236">
        <f t="shared" si="61"/>
        <v>1971957.3201361285</v>
      </c>
      <c r="EA44" s="3237"/>
      <c r="EE44" s="3235">
        <f t="shared" si="62"/>
        <v>2715513</v>
      </c>
      <c r="EF44" s="3236">
        <f t="shared" si="63"/>
        <v>0</v>
      </c>
      <c r="EG44" s="3236">
        <f t="shared" si="64"/>
        <v>743555.67986387154</v>
      </c>
      <c r="EH44" s="3236">
        <f t="shared" si="65"/>
        <v>1971957.3201361285</v>
      </c>
      <c r="EI44" s="3237"/>
      <c r="EM44" s="3235">
        <f t="shared" si="66"/>
        <v>2715513</v>
      </c>
      <c r="EN44" s="3236">
        <f t="shared" si="67"/>
        <v>0</v>
      </c>
      <c r="EO44" s="3236">
        <f t="shared" si="68"/>
        <v>743555.67986387154</v>
      </c>
      <c r="EP44" s="3236">
        <f t="shared" si="69"/>
        <v>1971957.3201361285</v>
      </c>
      <c r="EQ44" s="3237"/>
      <c r="EU44" s="3235">
        <f t="shared" si="70"/>
        <v>2715513</v>
      </c>
      <c r="EV44" s="3236">
        <f t="shared" si="71"/>
        <v>0</v>
      </c>
      <c r="EW44" s="3236">
        <f t="shared" si="72"/>
        <v>743555.67986387154</v>
      </c>
      <c r="EX44" s="3236">
        <f t="shared" si="73"/>
        <v>1971957.3201361285</v>
      </c>
      <c r="EY44" s="3237"/>
      <c r="FC44" s="3235">
        <f t="shared" si="74"/>
        <v>2715513</v>
      </c>
      <c r="FD44" s="3236">
        <f t="shared" si="75"/>
        <v>0</v>
      </c>
      <c r="FE44" s="3236">
        <f t="shared" si="76"/>
        <v>743555.67986387154</v>
      </c>
      <c r="FF44" s="3236">
        <f t="shared" si="77"/>
        <v>1971957.3201361285</v>
      </c>
      <c r="FG44" s="3237"/>
      <c r="FK44" s="3235">
        <f t="shared" si="78"/>
        <v>2715513</v>
      </c>
      <c r="FL44" s="3236">
        <f t="shared" si="79"/>
        <v>0</v>
      </c>
      <c r="FM44" s="3236">
        <f t="shared" si="80"/>
        <v>743555.67986387154</v>
      </c>
      <c r="FN44" s="3236">
        <f t="shared" si="81"/>
        <v>1971957.3201361285</v>
      </c>
      <c r="FO44" s="3237"/>
    </row>
    <row r="45" spans="1:171">
      <c r="A45" s="2442"/>
      <c r="B45" s="2097" t="s">
        <v>133</v>
      </c>
      <c r="C45" s="3233" t="s">
        <v>70</v>
      </c>
      <c r="D45" s="2464">
        <v>397</v>
      </c>
      <c r="E45" s="2424" t="str">
        <f>'Sch 1- Rate Base '!E45</f>
        <v>PTD</v>
      </c>
      <c r="F45" s="2171"/>
      <c r="G45" s="2424">
        <f>'Sch 1- Rate Base '!G45</f>
        <v>105832047</v>
      </c>
      <c r="H45" s="2424">
        <f>'Sch 1- Rate Base '!H45</f>
        <v>36945064.11521925</v>
      </c>
      <c r="I45" s="2424">
        <f>'Sch 1- Rate Base '!I45</f>
        <v>0</v>
      </c>
      <c r="J45" s="2425">
        <f>'Sch 1- Rate Base '!J45</f>
        <v>68886982.88478075</v>
      </c>
      <c r="K45" s="3205">
        <f t="shared" si="0"/>
        <v>1</v>
      </c>
      <c r="L45" s="3261">
        <f t="shared" si="1"/>
        <v>9.4673041525102346E-3</v>
      </c>
      <c r="O45" s="3235">
        <f t="shared" si="2"/>
        <v>105832047</v>
      </c>
      <c r="P45" s="3236">
        <f t="shared" si="3"/>
        <v>36945064.11521925</v>
      </c>
      <c r="Q45" s="3236">
        <f t="shared" si="4"/>
        <v>18862479.167900883</v>
      </c>
      <c r="R45" s="3236">
        <f t="shared" si="5"/>
        <v>50024503.716879867</v>
      </c>
      <c r="S45" s="3237"/>
      <c r="W45" s="3235">
        <f t="shared" si="6"/>
        <v>105832047</v>
      </c>
      <c r="X45" s="3236">
        <f t="shared" si="7"/>
        <v>36945064.11521925</v>
      </c>
      <c r="Y45" s="3236">
        <f t="shared" si="8"/>
        <v>18862479.167900883</v>
      </c>
      <c r="Z45" s="3236">
        <f t="shared" si="9"/>
        <v>50024503.716879867</v>
      </c>
      <c r="AA45" s="3237"/>
      <c r="AE45" s="3235">
        <f t="shared" si="10"/>
        <v>105832047</v>
      </c>
      <c r="AF45" s="3236">
        <f t="shared" si="11"/>
        <v>36945064.11521925</v>
      </c>
      <c r="AG45" s="3236">
        <f t="shared" si="12"/>
        <v>18862479.167900883</v>
      </c>
      <c r="AH45" s="3236">
        <f t="shared" si="13"/>
        <v>50024503.716879867</v>
      </c>
      <c r="AI45" s="3237"/>
      <c r="AM45" s="3235">
        <f t="shared" si="14"/>
        <v>105832047</v>
      </c>
      <c r="AN45" s="3236">
        <f t="shared" si="15"/>
        <v>36945064.11521925</v>
      </c>
      <c r="AO45" s="3236">
        <f t="shared" si="16"/>
        <v>18862479.167900883</v>
      </c>
      <c r="AP45" s="3236">
        <f t="shared" si="17"/>
        <v>50024503.716879867</v>
      </c>
      <c r="AQ45" s="3237"/>
      <c r="AU45" s="3235">
        <f t="shared" si="18"/>
        <v>105832047</v>
      </c>
      <c r="AV45" s="3236">
        <f t="shared" si="19"/>
        <v>36945064.11521925</v>
      </c>
      <c r="AW45" s="3236">
        <f t="shared" si="20"/>
        <v>18862479.167900883</v>
      </c>
      <c r="AX45" s="3236">
        <f t="shared" si="21"/>
        <v>50024503.716879867</v>
      </c>
      <c r="AY45" s="3237"/>
      <c r="BC45" s="3235">
        <f t="shared" si="22"/>
        <v>105832047</v>
      </c>
      <c r="BD45" s="3236">
        <f t="shared" si="23"/>
        <v>36945064.11521925</v>
      </c>
      <c r="BE45" s="3236">
        <f t="shared" si="24"/>
        <v>18862479.167900883</v>
      </c>
      <c r="BF45" s="3236">
        <f t="shared" si="25"/>
        <v>50024503.716879867</v>
      </c>
      <c r="BG45" s="3237"/>
      <c r="BK45" s="3235">
        <f t="shared" si="26"/>
        <v>105832047</v>
      </c>
      <c r="BL45" s="3236">
        <f t="shared" si="27"/>
        <v>36945064.11521925</v>
      </c>
      <c r="BM45" s="3236">
        <f t="shared" si="28"/>
        <v>18862479.167900883</v>
      </c>
      <c r="BN45" s="3236">
        <f t="shared" si="29"/>
        <v>50024503.716879867</v>
      </c>
      <c r="BO45" s="3237"/>
      <c r="BS45" s="3235">
        <f t="shared" si="30"/>
        <v>105832047</v>
      </c>
      <c r="BT45" s="3236">
        <f t="shared" si="31"/>
        <v>36945064.11521925</v>
      </c>
      <c r="BU45" s="3236">
        <f t="shared" si="32"/>
        <v>18862479.167900883</v>
      </c>
      <c r="BV45" s="3236">
        <f t="shared" si="33"/>
        <v>50024503.716879867</v>
      </c>
      <c r="BW45" s="3237"/>
      <c r="CA45" s="3235">
        <f t="shared" si="34"/>
        <v>105832047</v>
      </c>
      <c r="CB45" s="3236">
        <f t="shared" si="35"/>
        <v>36945064.11521925</v>
      </c>
      <c r="CC45" s="3236">
        <f t="shared" si="36"/>
        <v>18862479.167900883</v>
      </c>
      <c r="CD45" s="3236">
        <f t="shared" si="37"/>
        <v>50024503.716879867</v>
      </c>
      <c r="CE45" s="3237"/>
      <c r="CI45" s="3235">
        <f t="shared" si="38"/>
        <v>105832047</v>
      </c>
      <c r="CJ45" s="3236">
        <f t="shared" si="39"/>
        <v>36945064.11521925</v>
      </c>
      <c r="CK45" s="3236">
        <f t="shared" si="40"/>
        <v>18862479.167900883</v>
      </c>
      <c r="CL45" s="3236">
        <f t="shared" si="41"/>
        <v>50024503.716879867</v>
      </c>
      <c r="CM45" s="3237"/>
      <c r="CQ45" s="3235">
        <f t="shared" si="42"/>
        <v>105832047</v>
      </c>
      <c r="CR45" s="3236">
        <f t="shared" si="43"/>
        <v>36945064.11521925</v>
      </c>
      <c r="CS45" s="3236">
        <f t="shared" si="44"/>
        <v>18862479.167900883</v>
      </c>
      <c r="CT45" s="3236">
        <f t="shared" si="45"/>
        <v>50024503.716879867</v>
      </c>
      <c r="CU45" s="3237"/>
      <c r="CY45" s="3235">
        <f t="shared" si="46"/>
        <v>105832047</v>
      </c>
      <c r="CZ45" s="3236">
        <f t="shared" si="47"/>
        <v>36945064.11521925</v>
      </c>
      <c r="DA45" s="3236">
        <f t="shared" si="48"/>
        <v>18862479.167900883</v>
      </c>
      <c r="DB45" s="3236">
        <f t="shared" si="49"/>
        <v>50024503.716879867</v>
      </c>
      <c r="DC45" s="3237"/>
      <c r="DG45" s="3235">
        <f t="shared" si="50"/>
        <v>105832047</v>
      </c>
      <c r="DH45" s="3236">
        <f t="shared" si="51"/>
        <v>36945064.11521925</v>
      </c>
      <c r="DI45" s="3236">
        <f t="shared" si="52"/>
        <v>18862479.167900883</v>
      </c>
      <c r="DJ45" s="3236">
        <f t="shared" si="53"/>
        <v>50024503.716879867</v>
      </c>
      <c r="DK45" s="3237"/>
      <c r="DO45" s="3235">
        <f t="shared" si="54"/>
        <v>105832047</v>
      </c>
      <c r="DP45" s="3236">
        <f t="shared" si="55"/>
        <v>36945064.11521925</v>
      </c>
      <c r="DQ45" s="3236">
        <f t="shared" si="56"/>
        <v>18862479.167900883</v>
      </c>
      <c r="DR45" s="3236">
        <f t="shared" si="57"/>
        <v>50024503.716879867</v>
      </c>
      <c r="DS45" s="3237"/>
      <c r="DW45" s="3235">
        <f t="shared" si="58"/>
        <v>105832047</v>
      </c>
      <c r="DX45" s="3236">
        <f t="shared" si="59"/>
        <v>36945064.11521925</v>
      </c>
      <c r="DY45" s="3236">
        <f t="shared" si="60"/>
        <v>18862479.167900883</v>
      </c>
      <c r="DZ45" s="3236">
        <f t="shared" si="61"/>
        <v>50024503.716879867</v>
      </c>
      <c r="EA45" s="3237"/>
      <c r="EE45" s="3235">
        <f t="shared" si="62"/>
        <v>105832047</v>
      </c>
      <c r="EF45" s="3236">
        <f t="shared" si="63"/>
        <v>36945064.11521925</v>
      </c>
      <c r="EG45" s="3236">
        <f t="shared" si="64"/>
        <v>18862479.167900883</v>
      </c>
      <c r="EH45" s="3236">
        <f t="shared" si="65"/>
        <v>50024503.716879867</v>
      </c>
      <c r="EI45" s="3237"/>
      <c r="EM45" s="3235">
        <f t="shared" si="66"/>
        <v>105832047</v>
      </c>
      <c r="EN45" s="3236">
        <f t="shared" si="67"/>
        <v>36945064.11521925</v>
      </c>
      <c r="EO45" s="3236">
        <f t="shared" si="68"/>
        <v>18862479.167900883</v>
      </c>
      <c r="EP45" s="3236">
        <f t="shared" si="69"/>
        <v>50024503.716879867</v>
      </c>
      <c r="EQ45" s="3237"/>
      <c r="EU45" s="3235">
        <f t="shared" si="70"/>
        <v>105832047</v>
      </c>
      <c r="EV45" s="3236">
        <f t="shared" si="71"/>
        <v>36945064.11521925</v>
      </c>
      <c r="EW45" s="3236">
        <f t="shared" si="72"/>
        <v>18862479.167900883</v>
      </c>
      <c r="EX45" s="3236">
        <f t="shared" si="73"/>
        <v>50024503.716879867</v>
      </c>
      <c r="EY45" s="3237"/>
      <c r="FC45" s="3235">
        <f t="shared" si="74"/>
        <v>105832047</v>
      </c>
      <c r="FD45" s="3236">
        <f t="shared" si="75"/>
        <v>36945064.11521925</v>
      </c>
      <c r="FE45" s="3236">
        <f t="shared" si="76"/>
        <v>18862479.167900883</v>
      </c>
      <c r="FF45" s="3236">
        <f t="shared" si="77"/>
        <v>50024503.716879867</v>
      </c>
      <c r="FG45" s="3237"/>
      <c r="FK45" s="3235">
        <f t="shared" si="78"/>
        <v>105832047</v>
      </c>
      <c r="FL45" s="3236">
        <f t="shared" si="79"/>
        <v>36945064.11521925</v>
      </c>
      <c r="FM45" s="3236">
        <f t="shared" si="80"/>
        <v>18862479.167900883</v>
      </c>
      <c r="FN45" s="3236">
        <f t="shared" si="81"/>
        <v>50024503.716879867</v>
      </c>
      <c r="FO45" s="3237"/>
    </row>
    <row r="46" spans="1:171">
      <c r="A46" s="2442"/>
      <c r="B46" s="2097" t="s">
        <v>134</v>
      </c>
      <c r="C46" s="3233" t="s">
        <v>70</v>
      </c>
      <c r="D46" s="2464">
        <v>398</v>
      </c>
      <c r="E46" s="2424" t="str">
        <f>'Sch 1- Rate Base '!E46</f>
        <v>PTD</v>
      </c>
      <c r="F46" s="2171"/>
      <c r="G46" s="2424">
        <f>'Sch 1- Rate Base '!G46</f>
        <v>381575</v>
      </c>
      <c r="H46" s="2424">
        <f>'Sch 1- Rate Base '!H46</f>
        <v>133204.57497873763</v>
      </c>
      <c r="I46" s="2424">
        <f>'Sch 1- Rate Base '!I46</f>
        <v>0</v>
      </c>
      <c r="J46" s="2425">
        <f>'Sch 1- Rate Base '!J46</f>
        <v>248370.42502126237</v>
      </c>
      <c r="K46" s="3205">
        <f t="shared" si="0"/>
        <v>1</v>
      </c>
      <c r="L46" s="3261">
        <f t="shared" si="1"/>
        <v>3.4134146361112082E-5</v>
      </c>
      <c r="O46" s="3235">
        <f t="shared" si="2"/>
        <v>381575</v>
      </c>
      <c r="P46" s="3236">
        <f t="shared" si="3"/>
        <v>133204.57497873763</v>
      </c>
      <c r="Q46" s="3236">
        <f t="shared" si="4"/>
        <v>68008.232785025684</v>
      </c>
      <c r="R46" s="3236">
        <f t="shared" si="5"/>
        <v>180362.19223623667</v>
      </c>
      <c r="S46" s="3237"/>
      <c r="W46" s="3235">
        <f t="shared" si="6"/>
        <v>381575</v>
      </c>
      <c r="X46" s="3236">
        <f t="shared" si="7"/>
        <v>133204.57497873763</v>
      </c>
      <c r="Y46" s="3236">
        <f t="shared" si="8"/>
        <v>68008.232785025684</v>
      </c>
      <c r="Z46" s="3236">
        <f t="shared" si="9"/>
        <v>180362.19223623667</v>
      </c>
      <c r="AA46" s="3237"/>
      <c r="AE46" s="3235">
        <f t="shared" si="10"/>
        <v>381575</v>
      </c>
      <c r="AF46" s="3236">
        <f t="shared" si="11"/>
        <v>133204.57497873763</v>
      </c>
      <c r="AG46" s="3236">
        <f t="shared" si="12"/>
        <v>68008.232785025684</v>
      </c>
      <c r="AH46" s="3236">
        <f t="shared" si="13"/>
        <v>180362.19223623667</v>
      </c>
      <c r="AI46" s="3237"/>
      <c r="AM46" s="3235">
        <f t="shared" si="14"/>
        <v>381575</v>
      </c>
      <c r="AN46" s="3236">
        <f t="shared" si="15"/>
        <v>133204.57497873763</v>
      </c>
      <c r="AO46" s="3236">
        <f t="shared" si="16"/>
        <v>68008.232785025684</v>
      </c>
      <c r="AP46" s="3236">
        <f t="shared" si="17"/>
        <v>180362.19223623667</v>
      </c>
      <c r="AQ46" s="3237"/>
      <c r="AU46" s="3235">
        <f t="shared" si="18"/>
        <v>381575</v>
      </c>
      <c r="AV46" s="3236">
        <f t="shared" si="19"/>
        <v>133204.57497873763</v>
      </c>
      <c r="AW46" s="3236">
        <f t="shared" si="20"/>
        <v>68008.232785025684</v>
      </c>
      <c r="AX46" s="3236">
        <f t="shared" si="21"/>
        <v>180362.19223623667</v>
      </c>
      <c r="AY46" s="3237"/>
      <c r="BC46" s="3235">
        <f t="shared" si="22"/>
        <v>381575</v>
      </c>
      <c r="BD46" s="3236">
        <f t="shared" si="23"/>
        <v>133204.57497873763</v>
      </c>
      <c r="BE46" s="3236">
        <f t="shared" si="24"/>
        <v>68008.232785025684</v>
      </c>
      <c r="BF46" s="3236">
        <f t="shared" si="25"/>
        <v>180362.19223623667</v>
      </c>
      <c r="BG46" s="3237"/>
      <c r="BK46" s="3235">
        <f t="shared" si="26"/>
        <v>381575</v>
      </c>
      <c r="BL46" s="3236">
        <f t="shared" si="27"/>
        <v>133204.57497873763</v>
      </c>
      <c r="BM46" s="3236">
        <f t="shared" si="28"/>
        <v>68008.232785025684</v>
      </c>
      <c r="BN46" s="3236">
        <f t="shared" si="29"/>
        <v>180362.19223623667</v>
      </c>
      <c r="BO46" s="3237"/>
      <c r="BS46" s="3235">
        <f t="shared" si="30"/>
        <v>381575</v>
      </c>
      <c r="BT46" s="3236">
        <f t="shared" si="31"/>
        <v>133204.57497873763</v>
      </c>
      <c r="BU46" s="3236">
        <f t="shared" si="32"/>
        <v>68008.232785025684</v>
      </c>
      <c r="BV46" s="3236">
        <f t="shared" si="33"/>
        <v>180362.19223623667</v>
      </c>
      <c r="BW46" s="3237"/>
      <c r="CA46" s="3235">
        <f t="shared" si="34"/>
        <v>381575</v>
      </c>
      <c r="CB46" s="3236">
        <f t="shared" si="35"/>
        <v>133204.57497873763</v>
      </c>
      <c r="CC46" s="3236">
        <f t="shared" si="36"/>
        <v>68008.232785025684</v>
      </c>
      <c r="CD46" s="3236">
        <f t="shared" si="37"/>
        <v>180362.19223623667</v>
      </c>
      <c r="CE46" s="3237"/>
      <c r="CI46" s="3235">
        <f t="shared" si="38"/>
        <v>381575</v>
      </c>
      <c r="CJ46" s="3236">
        <f t="shared" si="39"/>
        <v>133204.57497873763</v>
      </c>
      <c r="CK46" s="3236">
        <f t="shared" si="40"/>
        <v>68008.232785025684</v>
      </c>
      <c r="CL46" s="3236">
        <f t="shared" si="41"/>
        <v>180362.19223623667</v>
      </c>
      <c r="CM46" s="3237"/>
      <c r="CQ46" s="3235">
        <f t="shared" si="42"/>
        <v>381575</v>
      </c>
      <c r="CR46" s="3236">
        <f t="shared" si="43"/>
        <v>133204.57497873763</v>
      </c>
      <c r="CS46" s="3236">
        <f t="shared" si="44"/>
        <v>68008.232785025684</v>
      </c>
      <c r="CT46" s="3236">
        <f t="shared" si="45"/>
        <v>180362.19223623667</v>
      </c>
      <c r="CU46" s="3237"/>
      <c r="CY46" s="3235">
        <f t="shared" si="46"/>
        <v>381575</v>
      </c>
      <c r="CZ46" s="3236">
        <f t="shared" si="47"/>
        <v>133204.57497873763</v>
      </c>
      <c r="DA46" s="3236">
        <f t="shared" si="48"/>
        <v>68008.232785025684</v>
      </c>
      <c r="DB46" s="3236">
        <f t="shared" si="49"/>
        <v>180362.19223623667</v>
      </c>
      <c r="DC46" s="3237"/>
      <c r="DG46" s="3235">
        <f t="shared" si="50"/>
        <v>381575</v>
      </c>
      <c r="DH46" s="3236">
        <f t="shared" si="51"/>
        <v>133204.57497873763</v>
      </c>
      <c r="DI46" s="3236">
        <f t="shared" si="52"/>
        <v>68008.232785025684</v>
      </c>
      <c r="DJ46" s="3236">
        <f t="shared" si="53"/>
        <v>180362.19223623667</v>
      </c>
      <c r="DK46" s="3237"/>
      <c r="DO46" s="3235">
        <f t="shared" si="54"/>
        <v>381575</v>
      </c>
      <c r="DP46" s="3236">
        <f t="shared" si="55"/>
        <v>133204.57497873763</v>
      </c>
      <c r="DQ46" s="3236">
        <f t="shared" si="56"/>
        <v>68008.232785025684</v>
      </c>
      <c r="DR46" s="3236">
        <f t="shared" si="57"/>
        <v>180362.19223623667</v>
      </c>
      <c r="DS46" s="3237"/>
      <c r="DW46" s="3235">
        <f t="shared" si="58"/>
        <v>381575</v>
      </c>
      <c r="DX46" s="3236">
        <f t="shared" si="59"/>
        <v>133204.57497873763</v>
      </c>
      <c r="DY46" s="3236">
        <f t="shared" si="60"/>
        <v>68008.232785025684</v>
      </c>
      <c r="DZ46" s="3236">
        <f t="shared" si="61"/>
        <v>180362.19223623667</v>
      </c>
      <c r="EA46" s="3237"/>
      <c r="EE46" s="3235">
        <f t="shared" si="62"/>
        <v>381575</v>
      </c>
      <c r="EF46" s="3236">
        <f t="shared" si="63"/>
        <v>133204.57497873763</v>
      </c>
      <c r="EG46" s="3236">
        <f t="shared" si="64"/>
        <v>68008.232785025684</v>
      </c>
      <c r="EH46" s="3236">
        <f t="shared" si="65"/>
        <v>180362.19223623667</v>
      </c>
      <c r="EI46" s="3237"/>
      <c r="EM46" s="3235">
        <f t="shared" si="66"/>
        <v>381575</v>
      </c>
      <c r="EN46" s="3236">
        <f t="shared" si="67"/>
        <v>133204.57497873763</v>
      </c>
      <c r="EO46" s="3236">
        <f t="shared" si="68"/>
        <v>68008.232785025684</v>
      </c>
      <c r="EP46" s="3236">
        <f t="shared" si="69"/>
        <v>180362.19223623667</v>
      </c>
      <c r="EQ46" s="3237"/>
      <c r="EU46" s="3235">
        <f t="shared" si="70"/>
        <v>381575</v>
      </c>
      <c r="EV46" s="3236">
        <f t="shared" si="71"/>
        <v>133204.57497873763</v>
      </c>
      <c r="EW46" s="3236">
        <f t="shared" si="72"/>
        <v>68008.232785025684</v>
      </c>
      <c r="EX46" s="3236">
        <f t="shared" si="73"/>
        <v>180362.19223623667</v>
      </c>
      <c r="EY46" s="3237"/>
      <c r="FC46" s="3235">
        <f t="shared" si="74"/>
        <v>381575</v>
      </c>
      <c r="FD46" s="3236">
        <f t="shared" si="75"/>
        <v>133204.57497873763</v>
      </c>
      <c r="FE46" s="3236">
        <f t="shared" si="76"/>
        <v>68008.232785025684</v>
      </c>
      <c r="FF46" s="3236">
        <f t="shared" si="77"/>
        <v>180362.19223623667</v>
      </c>
      <c r="FG46" s="3237"/>
      <c r="FK46" s="3235">
        <f t="shared" si="78"/>
        <v>381575</v>
      </c>
      <c r="FL46" s="3236">
        <f t="shared" si="79"/>
        <v>133204.57497873763</v>
      </c>
      <c r="FM46" s="3236">
        <f t="shared" si="80"/>
        <v>68008.232785025684</v>
      </c>
      <c r="FN46" s="3236">
        <f t="shared" si="81"/>
        <v>180362.19223623667</v>
      </c>
      <c r="FO46" s="3237"/>
    </row>
    <row r="47" spans="1:171">
      <c r="A47" s="2442"/>
      <c r="B47" s="2097" t="s">
        <v>254</v>
      </c>
      <c r="C47" s="3233" t="s">
        <v>70</v>
      </c>
      <c r="D47" s="2464">
        <v>399</v>
      </c>
      <c r="E47" s="2424" t="str">
        <f>'Sch 1- Rate Base '!E47</f>
        <v>DIRECT</v>
      </c>
      <c r="F47" s="2171"/>
      <c r="G47" s="2424">
        <f>'Sch 1- Rate Base '!G47</f>
        <v>0</v>
      </c>
      <c r="H47" s="2424">
        <f>'Sch 1- Rate Base '!H47</f>
        <v>0</v>
      </c>
      <c r="I47" s="2424">
        <f>'Sch 1- Rate Base '!I47</f>
        <v>0</v>
      </c>
      <c r="J47" s="2425">
        <f>'Sch 1- Rate Base '!J47</f>
        <v>0</v>
      </c>
      <c r="K47" s="3205">
        <f t="shared" si="0"/>
        <v>0</v>
      </c>
      <c r="L47" s="3261">
        <f t="shared" si="1"/>
        <v>0</v>
      </c>
      <c r="O47" s="3235">
        <f t="shared" si="2"/>
        <v>0</v>
      </c>
      <c r="P47" s="3236">
        <f t="shared" si="3"/>
        <v>0</v>
      </c>
      <c r="Q47" s="3236">
        <f t="shared" si="4"/>
        <v>0</v>
      </c>
      <c r="R47" s="3236">
        <f t="shared" si="5"/>
        <v>0</v>
      </c>
      <c r="S47" s="3237"/>
      <c r="W47" s="3235">
        <f t="shared" si="6"/>
        <v>0</v>
      </c>
      <c r="X47" s="3236">
        <f t="shared" si="7"/>
        <v>0</v>
      </c>
      <c r="Y47" s="3236">
        <f t="shared" si="8"/>
        <v>0</v>
      </c>
      <c r="Z47" s="3236">
        <f t="shared" si="9"/>
        <v>0</v>
      </c>
      <c r="AA47" s="3237"/>
      <c r="AE47" s="3235">
        <f t="shared" si="10"/>
        <v>0</v>
      </c>
      <c r="AF47" s="3236">
        <f t="shared" si="11"/>
        <v>0</v>
      </c>
      <c r="AG47" s="3236">
        <f t="shared" si="12"/>
        <v>0</v>
      </c>
      <c r="AH47" s="3236">
        <f t="shared" si="13"/>
        <v>0</v>
      </c>
      <c r="AI47" s="3237"/>
      <c r="AM47" s="3235">
        <f t="shared" si="14"/>
        <v>0</v>
      </c>
      <c r="AN47" s="3236">
        <f t="shared" si="15"/>
        <v>0</v>
      </c>
      <c r="AO47" s="3236">
        <f t="shared" si="16"/>
        <v>0</v>
      </c>
      <c r="AP47" s="3236">
        <f t="shared" si="17"/>
        <v>0</v>
      </c>
      <c r="AQ47" s="3237"/>
      <c r="AU47" s="3235">
        <f t="shared" si="18"/>
        <v>0</v>
      </c>
      <c r="AV47" s="3236">
        <f t="shared" si="19"/>
        <v>0</v>
      </c>
      <c r="AW47" s="3236">
        <f t="shared" si="20"/>
        <v>0</v>
      </c>
      <c r="AX47" s="3236">
        <f t="shared" si="21"/>
        <v>0</v>
      </c>
      <c r="AY47" s="3237"/>
      <c r="BC47" s="3235">
        <f t="shared" si="22"/>
        <v>0</v>
      </c>
      <c r="BD47" s="3236">
        <f t="shared" si="23"/>
        <v>0</v>
      </c>
      <c r="BE47" s="3236">
        <f t="shared" si="24"/>
        <v>0</v>
      </c>
      <c r="BF47" s="3236">
        <f t="shared" si="25"/>
        <v>0</v>
      </c>
      <c r="BG47" s="3237"/>
      <c r="BK47" s="3235">
        <f t="shared" si="26"/>
        <v>0</v>
      </c>
      <c r="BL47" s="3236">
        <f t="shared" si="27"/>
        <v>0</v>
      </c>
      <c r="BM47" s="3236">
        <f t="shared" si="28"/>
        <v>0</v>
      </c>
      <c r="BN47" s="3236">
        <f t="shared" si="29"/>
        <v>0</v>
      </c>
      <c r="BO47" s="3237"/>
      <c r="BS47" s="3235">
        <f t="shared" si="30"/>
        <v>0</v>
      </c>
      <c r="BT47" s="3236">
        <f t="shared" si="31"/>
        <v>0</v>
      </c>
      <c r="BU47" s="3236">
        <f t="shared" si="32"/>
        <v>0</v>
      </c>
      <c r="BV47" s="3236">
        <f t="shared" si="33"/>
        <v>0</v>
      </c>
      <c r="BW47" s="3237"/>
      <c r="CA47" s="3235">
        <f t="shared" si="34"/>
        <v>0</v>
      </c>
      <c r="CB47" s="3236">
        <f t="shared" si="35"/>
        <v>0</v>
      </c>
      <c r="CC47" s="3236">
        <f t="shared" si="36"/>
        <v>0</v>
      </c>
      <c r="CD47" s="3236">
        <f t="shared" si="37"/>
        <v>0</v>
      </c>
      <c r="CE47" s="3237"/>
      <c r="CI47" s="3235">
        <f t="shared" si="38"/>
        <v>0</v>
      </c>
      <c r="CJ47" s="3236">
        <f t="shared" si="39"/>
        <v>0</v>
      </c>
      <c r="CK47" s="3236">
        <f t="shared" si="40"/>
        <v>0</v>
      </c>
      <c r="CL47" s="3236">
        <f t="shared" si="41"/>
        <v>0</v>
      </c>
      <c r="CM47" s="3237"/>
      <c r="CQ47" s="3235">
        <f t="shared" si="42"/>
        <v>0</v>
      </c>
      <c r="CR47" s="3236">
        <f t="shared" si="43"/>
        <v>0</v>
      </c>
      <c r="CS47" s="3236">
        <f t="shared" si="44"/>
        <v>0</v>
      </c>
      <c r="CT47" s="3236">
        <f t="shared" si="45"/>
        <v>0</v>
      </c>
      <c r="CU47" s="3237"/>
      <c r="CY47" s="3235">
        <f t="shared" si="46"/>
        <v>0</v>
      </c>
      <c r="CZ47" s="3236">
        <f t="shared" si="47"/>
        <v>0</v>
      </c>
      <c r="DA47" s="3236">
        <f t="shared" si="48"/>
        <v>0</v>
      </c>
      <c r="DB47" s="3236">
        <f t="shared" si="49"/>
        <v>0</v>
      </c>
      <c r="DC47" s="3237"/>
      <c r="DG47" s="3235">
        <f t="shared" si="50"/>
        <v>0</v>
      </c>
      <c r="DH47" s="3236">
        <f t="shared" si="51"/>
        <v>0</v>
      </c>
      <c r="DI47" s="3236">
        <f t="shared" si="52"/>
        <v>0</v>
      </c>
      <c r="DJ47" s="3236">
        <f t="shared" si="53"/>
        <v>0</v>
      </c>
      <c r="DK47" s="3237"/>
      <c r="DO47" s="3235">
        <f t="shared" si="54"/>
        <v>0</v>
      </c>
      <c r="DP47" s="3236">
        <f t="shared" si="55"/>
        <v>0</v>
      </c>
      <c r="DQ47" s="3236">
        <f t="shared" si="56"/>
        <v>0</v>
      </c>
      <c r="DR47" s="3236">
        <f t="shared" si="57"/>
        <v>0</v>
      </c>
      <c r="DS47" s="3237"/>
      <c r="DW47" s="3235">
        <f t="shared" si="58"/>
        <v>0</v>
      </c>
      <c r="DX47" s="3236">
        <f t="shared" si="59"/>
        <v>0</v>
      </c>
      <c r="DY47" s="3236">
        <f t="shared" si="60"/>
        <v>0</v>
      </c>
      <c r="DZ47" s="3236">
        <f t="shared" si="61"/>
        <v>0</v>
      </c>
      <c r="EA47" s="3237"/>
      <c r="EE47" s="3235">
        <f t="shared" si="62"/>
        <v>0</v>
      </c>
      <c r="EF47" s="3236">
        <f t="shared" si="63"/>
        <v>0</v>
      </c>
      <c r="EG47" s="3236">
        <f t="shared" si="64"/>
        <v>0</v>
      </c>
      <c r="EH47" s="3236">
        <f t="shared" si="65"/>
        <v>0</v>
      </c>
      <c r="EI47" s="3237"/>
      <c r="EM47" s="3235">
        <f t="shared" si="66"/>
        <v>0</v>
      </c>
      <c r="EN47" s="3236">
        <f t="shared" si="67"/>
        <v>0</v>
      </c>
      <c r="EO47" s="3236">
        <f t="shared" si="68"/>
        <v>0</v>
      </c>
      <c r="EP47" s="3236">
        <f t="shared" si="69"/>
        <v>0</v>
      </c>
      <c r="EQ47" s="3237"/>
      <c r="EU47" s="3235">
        <f t="shared" si="70"/>
        <v>0</v>
      </c>
      <c r="EV47" s="3236">
        <f t="shared" si="71"/>
        <v>0</v>
      </c>
      <c r="EW47" s="3236">
        <f t="shared" si="72"/>
        <v>0</v>
      </c>
      <c r="EX47" s="3236">
        <f t="shared" si="73"/>
        <v>0</v>
      </c>
      <c r="EY47" s="3237"/>
      <c r="FC47" s="3235">
        <f t="shared" si="74"/>
        <v>0</v>
      </c>
      <c r="FD47" s="3236">
        <f t="shared" si="75"/>
        <v>0</v>
      </c>
      <c r="FE47" s="3236">
        <f t="shared" si="76"/>
        <v>0</v>
      </c>
      <c r="FF47" s="3236">
        <f t="shared" si="77"/>
        <v>0</v>
      </c>
      <c r="FG47" s="3237"/>
      <c r="FK47" s="3235">
        <f t="shared" si="78"/>
        <v>0</v>
      </c>
      <c r="FL47" s="3236">
        <f t="shared" si="79"/>
        <v>0</v>
      </c>
      <c r="FM47" s="3236">
        <f t="shared" si="80"/>
        <v>0</v>
      </c>
      <c r="FN47" s="3236">
        <f t="shared" si="81"/>
        <v>0</v>
      </c>
      <c r="FO47" s="3237"/>
    </row>
    <row r="48" spans="1:171">
      <c r="A48" s="2442"/>
      <c r="B48" s="2097" t="s">
        <v>441</v>
      </c>
      <c r="C48" s="3233" t="s">
        <v>442</v>
      </c>
      <c r="D48" s="2464">
        <v>399.1</v>
      </c>
      <c r="E48" s="2424" t="str">
        <f>'Sch 1- Rate Base '!E48</f>
        <v>PTD</v>
      </c>
      <c r="F48" s="2171"/>
      <c r="G48" s="2424">
        <f>'Sch 1- Rate Base '!G48</f>
        <v>0</v>
      </c>
      <c r="H48" s="2424">
        <f>'Sch 1- Rate Base '!H48</f>
        <v>0</v>
      </c>
      <c r="I48" s="2424">
        <f>'Sch 1- Rate Base '!I48</f>
        <v>0</v>
      </c>
      <c r="J48" s="2425">
        <f>'Sch 1- Rate Base '!J48</f>
        <v>0</v>
      </c>
      <c r="K48" s="3205">
        <f t="shared" si="0"/>
        <v>1</v>
      </c>
      <c r="L48" s="3261">
        <f t="shared" si="1"/>
        <v>0</v>
      </c>
      <c r="M48" s="3262">
        <f>SUM(L37:L48)</f>
        <v>2.8326898472064457E-2</v>
      </c>
      <c r="O48" s="3235">
        <f t="shared" si="2"/>
        <v>0</v>
      </c>
      <c r="P48" s="3236">
        <f t="shared" si="3"/>
        <v>0</v>
      </c>
      <c r="Q48" s="3236">
        <f t="shared" si="4"/>
        <v>0</v>
      </c>
      <c r="R48" s="3236">
        <f t="shared" si="5"/>
        <v>0</v>
      </c>
      <c r="S48" s="3237"/>
      <c r="W48" s="3235">
        <f t="shared" si="6"/>
        <v>0</v>
      </c>
      <c r="X48" s="3236">
        <f t="shared" si="7"/>
        <v>0</v>
      </c>
      <c r="Y48" s="3236">
        <f t="shared" si="8"/>
        <v>0</v>
      </c>
      <c r="Z48" s="3236">
        <f t="shared" si="9"/>
        <v>0</v>
      </c>
      <c r="AA48" s="3237"/>
      <c r="AE48" s="3235">
        <f t="shared" si="10"/>
        <v>0</v>
      </c>
      <c r="AF48" s="3236">
        <f t="shared" si="11"/>
        <v>0</v>
      </c>
      <c r="AG48" s="3236">
        <f t="shared" si="12"/>
        <v>0</v>
      </c>
      <c r="AH48" s="3236">
        <f t="shared" si="13"/>
        <v>0</v>
      </c>
      <c r="AI48" s="3237"/>
      <c r="AM48" s="3235">
        <f t="shared" si="14"/>
        <v>0</v>
      </c>
      <c r="AN48" s="3236">
        <f t="shared" si="15"/>
        <v>0</v>
      </c>
      <c r="AO48" s="3236">
        <f t="shared" si="16"/>
        <v>0</v>
      </c>
      <c r="AP48" s="3236">
        <f t="shared" si="17"/>
        <v>0</v>
      </c>
      <c r="AQ48" s="3237"/>
      <c r="AU48" s="3235">
        <f t="shared" si="18"/>
        <v>0</v>
      </c>
      <c r="AV48" s="3236">
        <f t="shared" si="19"/>
        <v>0</v>
      </c>
      <c r="AW48" s="3236">
        <f t="shared" si="20"/>
        <v>0</v>
      </c>
      <c r="AX48" s="3236">
        <f t="shared" si="21"/>
        <v>0</v>
      </c>
      <c r="AY48" s="3237"/>
      <c r="BC48" s="3235">
        <f t="shared" si="22"/>
        <v>0</v>
      </c>
      <c r="BD48" s="3236">
        <f t="shared" si="23"/>
        <v>0</v>
      </c>
      <c r="BE48" s="3236">
        <f t="shared" si="24"/>
        <v>0</v>
      </c>
      <c r="BF48" s="3236">
        <f t="shared" si="25"/>
        <v>0</v>
      </c>
      <c r="BG48" s="3237"/>
      <c r="BK48" s="3235">
        <f t="shared" si="26"/>
        <v>0</v>
      </c>
      <c r="BL48" s="3236">
        <f t="shared" si="27"/>
        <v>0</v>
      </c>
      <c r="BM48" s="3236">
        <f t="shared" si="28"/>
        <v>0</v>
      </c>
      <c r="BN48" s="3236">
        <f t="shared" si="29"/>
        <v>0</v>
      </c>
      <c r="BO48" s="3237"/>
      <c r="BS48" s="3235">
        <f t="shared" si="30"/>
        <v>0</v>
      </c>
      <c r="BT48" s="3236">
        <f t="shared" si="31"/>
        <v>0</v>
      </c>
      <c r="BU48" s="3236">
        <f t="shared" si="32"/>
        <v>0</v>
      </c>
      <c r="BV48" s="3236">
        <f t="shared" si="33"/>
        <v>0</v>
      </c>
      <c r="BW48" s="3237"/>
      <c r="CA48" s="3235">
        <f t="shared" si="34"/>
        <v>0</v>
      </c>
      <c r="CB48" s="3236">
        <f t="shared" si="35"/>
        <v>0</v>
      </c>
      <c r="CC48" s="3236">
        <f t="shared" si="36"/>
        <v>0</v>
      </c>
      <c r="CD48" s="3236">
        <f t="shared" si="37"/>
        <v>0</v>
      </c>
      <c r="CE48" s="3237"/>
      <c r="CI48" s="3235">
        <f t="shared" si="38"/>
        <v>0</v>
      </c>
      <c r="CJ48" s="3236">
        <f t="shared" si="39"/>
        <v>0</v>
      </c>
      <c r="CK48" s="3236">
        <f t="shared" si="40"/>
        <v>0</v>
      </c>
      <c r="CL48" s="3236">
        <f t="shared" si="41"/>
        <v>0</v>
      </c>
      <c r="CM48" s="3237"/>
      <c r="CQ48" s="3235">
        <f t="shared" si="42"/>
        <v>0</v>
      </c>
      <c r="CR48" s="3236">
        <f t="shared" si="43"/>
        <v>0</v>
      </c>
      <c r="CS48" s="3236">
        <f t="shared" si="44"/>
        <v>0</v>
      </c>
      <c r="CT48" s="3236">
        <f t="shared" si="45"/>
        <v>0</v>
      </c>
      <c r="CU48" s="3237"/>
      <c r="CY48" s="3235">
        <f t="shared" si="46"/>
        <v>0</v>
      </c>
      <c r="CZ48" s="3236">
        <f t="shared" si="47"/>
        <v>0</v>
      </c>
      <c r="DA48" s="3236">
        <f t="shared" si="48"/>
        <v>0</v>
      </c>
      <c r="DB48" s="3236">
        <f t="shared" si="49"/>
        <v>0</v>
      </c>
      <c r="DC48" s="3237"/>
      <c r="DG48" s="3235">
        <f t="shared" si="50"/>
        <v>0</v>
      </c>
      <c r="DH48" s="3236">
        <f t="shared" si="51"/>
        <v>0</v>
      </c>
      <c r="DI48" s="3236">
        <f t="shared" si="52"/>
        <v>0</v>
      </c>
      <c r="DJ48" s="3236">
        <f t="shared" si="53"/>
        <v>0</v>
      </c>
      <c r="DK48" s="3237"/>
      <c r="DO48" s="3235">
        <f t="shared" si="54"/>
        <v>0</v>
      </c>
      <c r="DP48" s="3236">
        <f t="shared" si="55"/>
        <v>0</v>
      </c>
      <c r="DQ48" s="3236">
        <f t="shared" si="56"/>
        <v>0</v>
      </c>
      <c r="DR48" s="3236">
        <f t="shared" si="57"/>
        <v>0</v>
      </c>
      <c r="DS48" s="3237"/>
      <c r="DW48" s="3235">
        <f t="shared" si="58"/>
        <v>0</v>
      </c>
      <c r="DX48" s="3236">
        <f t="shared" si="59"/>
        <v>0</v>
      </c>
      <c r="DY48" s="3236">
        <f t="shared" si="60"/>
        <v>0</v>
      </c>
      <c r="DZ48" s="3236">
        <f t="shared" si="61"/>
        <v>0</v>
      </c>
      <c r="EA48" s="3237"/>
      <c r="EE48" s="3235">
        <f t="shared" si="62"/>
        <v>0</v>
      </c>
      <c r="EF48" s="3236">
        <f t="shared" si="63"/>
        <v>0</v>
      </c>
      <c r="EG48" s="3236">
        <f t="shared" si="64"/>
        <v>0</v>
      </c>
      <c r="EH48" s="3236">
        <f t="shared" si="65"/>
        <v>0</v>
      </c>
      <c r="EI48" s="3237"/>
      <c r="EM48" s="3235">
        <f t="shared" si="66"/>
        <v>0</v>
      </c>
      <c r="EN48" s="3236">
        <f t="shared" si="67"/>
        <v>0</v>
      </c>
      <c r="EO48" s="3236">
        <f t="shared" si="68"/>
        <v>0</v>
      </c>
      <c r="EP48" s="3236">
        <f t="shared" si="69"/>
        <v>0</v>
      </c>
      <c r="EQ48" s="3237"/>
      <c r="EU48" s="3235">
        <f t="shared" si="70"/>
        <v>0</v>
      </c>
      <c r="EV48" s="3236">
        <f t="shared" si="71"/>
        <v>0</v>
      </c>
      <c r="EW48" s="3236">
        <f t="shared" si="72"/>
        <v>0</v>
      </c>
      <c r="EX48" s="3236">
        <f t="shared" si="73"/>
        <v>0</v>
      </c>
      <c r="EY48" s="3237"/>
      <c r="FC48" s="3235">
        <f t="shared" si="74"/>
        <v>0</v>
      </c>
      <c r="FD48" s="3236">
        <f t="shared" si="75"/>
        <v>0</v>
      </c>
      <c r="FE48" s="3236">
        <f t="shared" si="76"/>
        <v>0</v>
      </c>
      <c r="FF48" s="3236">
        <f t="shared" si="77"/>
        <v>0</v>
      </c>
      <c r="FG48" s="3237"/>
      <c r="FK48" s="3235">
        <f t="shared" si="78"/>
        <v>0</v>
      </c>
      <c r="FL48" s="3236">
        <f t="shared" si="79"/>
        <v>0</v>
      </c>
      <c r="FM48" s="3236">
        <f t="shared" si="80"/>
        <v>0</v>
      </c>
      <c r="FN48" s="3236">
        <f t="shared" si="81"/>
        <v>0</v>
      </c>
      <c r="FO48" s="3237"/>
    </row>
    <row r="49" spans="1:171">
      <c r="A49" s="2305"/>
      <c r="B49" s="2097"/>
      <c r="C49" s="2116"/>
      <c r="D49" s="2098"/>
      <c r="E49" s="2098"/>
      <c r="F49" s="2098"/>
      <c r="G49" s="3164"/>
      <c r="H49" s="2671"/>
      <c r="I49" s="2671"/>
      <c r="J49" s="2672"/>
      <c r="K49" s="3205"/>
      <c r="S49" s="3237"/>
      <c r="AA49" s="3237"/>
      <c r="AI49" s="3237"/>
      <c r="AQ49" s="3237"/>
      <c r="AY49" s="3237"/>
      <c r="BG49" s="3237"/>
      <c r="BO49" s="3237"/>
      <c r="BW49" s="3237"/>
      <c r="CE49" s="3237"/>
      <c r="CM49" s="3237"/>
      <c r="CU49" s="3237"/>
      <c r="DC49" s="3237"/>
      <c r="DK49" s="3237"/>
      <c r="DS49" s="3237"/>
      <c r="EA49" s="3237"/>
      <c r="EI49" s="3237"/>
      <c r="EQ49" s="3237"/>
      <c r="EY49" s="3237"/>
      <c r="FG49" s="3237"/>
      <c r="FO49" s="3237"/>
    </row>
    <row r="50" spans="1:171">
      <c r="A50" s="2697" t="s">
        <v>135</v>
      </c>
      <c r="B50" s="2100"/>
      <c r="C50" s="3256"/>
      <c r="D50" s="3257"/>
      <c r="E50" s="3257"/>
      <c r="F50" s="3258"/>
      <c r="G50" s="3244">
        <f>SUM(G37:G49)</f>
        <v>316657583</v>
      </c>
      <c r="H50" s="3244">
        <f>SUM(H37:H49)</f>
        <v>107907565.79361701</v>
      </c>
      <c r="I50" s="3244">
        <f>SUM(I37:I49)</f>
        <v>0</v>
      </c>
      <c r="J50" s="3245">
        <f>SUM(J37:J49)</f>
        <v>208750017.20638302</v>
      </c>
      <c r="K50" s="3205"/>
      <c r="O50" s="3263">
        <f>SUM(O37:O49)</f>
        <v>316657583</v>
      </c>
      <c r="P50" s="3263">
        <f>SUM(P37:P49)</f>
        <v>107907565.79361701</v>
      </c>
      <c r="Q50" s="3263">
        <f>SUM(Q37:Q49)</f>
        <v>53162346.200694084</v>
      </c>
      <c r="R50" s="3263">
        <f>SUM(R37:R49)</f>
        <v>155587671.00568891</v>
      </c>
      <c r="S50" s="3264"/>
      <c r="W50" s="3263">
        <f>SUM(W37:W49)</f>
        <v>316657583</v>
      </c>
      <c r="X50" s="3263">
        <f>SUM(X37:X49)</f>
        <v>107907565.79361701</v>
      </c>
      <c r="Y50" s="3263">
        <f>SUM(Y37:Y49)</f>
        <v>53162346.200694084</v>
      </c>
      <c r="Z50" s="3263">
        <f>SUM(Z37:Z49)</f>
        <v>155587671.00568891</v>
      </c>
      <c r="AA50" s="3264"/>
      <c r="AE50" s="3263">
        <f>SUM(AE37:AE49)</f>
        <v>316657583</v>
      </c>
      <c r="AF50" s="3263">
        <f>SUM(AF37:AF49)</f>
        <v>107907565.79361701</v>
      </c>
      <c r="AG50" s="3263">
        <f>SUM(AG37:AG49)</f>
        <v>53162346.200694084</v>
      </c>
      <c r="AH50" s="3263">
        <f>SUM(AH37:AH49)</f>
        <v>155587671.00568891</v>
      </c>
      <c r="AI50" s="3264"/>
      <c r="AM50" s="3263">
        <f>SUM(AM37:AM49)</f>
        <v>316657583</v>
      </c>
      <c r="AN50" s="3263">
        <f>SUM(AN37:AN49)</f>
        <v>107907565.79361701</v>
      </c>
      <c r="AO50" s="3263">
        <f>SUM(AO37:AO49)</f>
        <v>53162346.200694084</v>
      </c>
      <c r="AP50" s="3263">
        <f>SUM(AP37:AP49)</f>
        <v>155587671.00568891</v>
      </c>
      <c r="AQ50" s="3264"/>
      <c r="AU50" s="3263">
        <f>SUM(AU37:AU49)</f>
        <v>316657583</v>
      </c>
      <c r="AV50" s="3263">
        <f>SUM(AV37:AV49)</f>
        <v>107907565.79361701</v>
      </c>
      <c r="AW50" s="3263">
        <f>SUM(AW37:AW49)</f>
        <v>53162346.200694084</v>
      </c>
      <c r="AX50" s="3263">
        <f>SUM(AX37:AX49)</f>
        <v>155587671.00568891</v>
      </c>
      <c r="AY50" s="3264"/>
      <c r="BC50" s="3263">
        <f>SUM(BC37:BC49)</f>
        <v>316657583</v>
      </c>
      <c r="BD50" s="3263">
        <f>SUM(BD37:BD49)</f>
        <v>107907565.79361701</v>
      </c>
      <c r="BE50" s="3263">
        <f>SUM(BE37:BE49)</f>
        <v>53162346.200694084</v>
      </c>
      <c r="BF50" s="3263">
        <f>SUM(BF37:BF49)</f>
        <v>155587671.00568891</v>
      </c>
      <c r="BG50" s="3264"/>
      <c r="BK50" s="3263">
        <f>SUM(BK37:BK49)</f>
        <v>316657583</v>
      </c>
      <c r="BL50" s="3263">
        <f>SUM(BL37:BL49)</f>
        <v>107907565.79361701</v>
      </c>
      <c r="BM50" s="3263">
        <f>SUM(BM37:BM49)</f>
        <v>53162346.200694084</v>
      </c>
      <c r="BN50" s="3263">
        <f>SUM(BN37:BN49)</f>
        <v>155587671.00568891</v>
      </c>
      <c r="BO50" s="3264"/>
      <c r="BS50" s="3263">
        <f>SUM(BS37:BS49)</f>
        <v>316657583</v>
      </c>
      <c r="BT50" s="3263">
        <f>SUM(BT37:BT49)</f>
        <v>107907565.79361701</v>
      </c>
      <c r="BU50" s="3263">
        <f>SUM(BU37:BU49)</f>
        <v>53162346.200694084</v>
      </c>
      <c r="BV50" s="3263">
        <f>SUM(BV37:BV49)</f>
        <v>155587671.00568891</v>
      </c>
      <c r="BW50" s="3264"/>
      <c r="CA50" s="3263">
        <f>SUM(CA37:CA49)</f>
        <v>316657583</v>
      </c>
      <c r="CB50" s="3263">
        <f>SUM(CB37:CB49)</f>
        <v>107907565.79361701</v>
      </c>
      <c r="CC50" s="3263">
        <f>SUM(CC37:CC49)</f>
        <v>53162346.200694084</v>
      </c>
      <c r="CD50" s="3263">
        <f>SUM(CD37:CD49)</f>
        <v>155587671.00568891</v>
      </c>
      <c r="CE50" s="3264"/>
      <c r="CI50" s="3263">
        <f>SUM(CI37:CI49)</f>
        <v>316657583</v>
      </c>
      <c r="CJ50" s="3263">
        <f>SUM(CJ37:CJ49)</f>
        <v>107907565.79361701</v>
      </c>
      <c r="CK50" s="3263">
        <f>SUM(CK37:CK49)</f>
        <v>53162346.200694084</v>
      </c>
      <c r="CL50" s="3263">
        <f>SUM(CL37:CL49)</f>
        <v>155587671.00568891</v>
      </c>
      <c r="CM50" s="3264"/>
      <c r="CQ50" s="3263">
        <f>SUM(CQ37:CQ49)</f>
        <v>316657583</v>
      </c>
      <c r="CR50" s="3263">
        <f>SUM(CR37:CR49)</f>
        <v>107907565.79361701</v>
      </c>
      <c r="CS50" s="3263">
        <f>SUM(CS37:CS49)</f>
        <v>53162346.200694084</v>
      </c>
      <c r="CT50" s="3263">
        <f>SUM(CT37:CT49)</f>
        <v>155587671.00568891</v>
      </c>
      <c r="CU50" s="3264"/>
      <c r="CY50" s="3263">
        <f>SUM(CY37:CY49)</f>
        <v>316657583</v>
      </c>
      <c r="CZ50" s="3263">
        <f>SUM(CZ37:CZ49)</f>
        <v>107907565.79361701</v>
      </c>
      <c r="DA50" s="3263">
        <f>SUM(DA37:DA49)</f>
        <v>53162346.200694084</v>
      </c>
      <c r="DB50" s="3263">
        <f>SUM(DB37:DB49)</f>
        <v>155587671.00568891</v>
      </c>
      <c r="DC50" s="3264"/>
      <c r="DG50" s="3263">
        <f>SUM(DG37:DG49)</f>
        <v>316657583</v>
      </c>
      <c r="DH50" s="3263">
        <f>SUM(DH37:DH49)</f>
        <v>107907565.79361701</v>
      </c>
      <c r="DI50" s="3263">
        <f>SUM(DI37:DI49)</f>
        <v>53162346.200694084</v>
      </c>
      <c r="DJ50" s="3263">
        <f>SUM(DJ37:DJ49)</f>
        <v>155587671.00568891</v>
      </c>
      <c r="DK50" s="3264"/>
      <c r="DO50" s="3263">
        <f>SUM(DO37:DO49)</f>
        <v>316657583</v>
      </c>
      <c r="DP50" s="3263">
        <f>SUM(DP37:DP49)</f>
        <v>107907565.79361701</v>
      </c>
      <c r="DQ50" s="3263">
        <f>SUM(DQ37:DQ49)</f>
        <v>53162346.200694084</v>
      </c>
      <c r="DR50" s="3263">
        <f>SUM(DR37:DR49)</f>
        <v>155587671.00568891</v>
      </c>
      <c r="DS50" s="3264"/>
      <c r="DW50" s="3263">
        <f>SUM(DW37:DW49)</f>
        <v>316657583</v>
      </c>
      <c r="DX50" s="3263">
        <f>SUM(DX37:DX49)</f>
        <v>107907565.79361701</v>
      </c>
      <c r="DY50" s="3263">
        <f>SUM(DY37:DY49)</f>
        <v>53162346.200694084</v>
      </c>
      <c r="DZ50" s="3263">
        <f>SUM(DZ37:DZ49)</f>
        <v>155587671.00568891</v>
      </c>
      <c r="EA50" s="3264"/>
      <c r="EE50" s="3263">
        <f>SUM(EE37:EE49)</f>
        <v>316657583</v>
      </c>
      <c r="EF50" s="3263">
        <f>SUM(EF37:EF49)</f>
        <v>107907565.79361701</v>
      </c>
      <c r="EG50" s="3263">
        <f>SUM(EG37:EG49)</f>
        <v>53162346.200694084</v>
      </c>
      <c r="EH50" s="3263">
        <f>SUM(EH37:EH49)</f>
        <v>155587671.00568891</v>
      </c>
      <c r="EI50" s="3264"/>
      <c r="EM50" s="3263">
        <f>SUM(EM37:EM49)</f>
        <v>316657583</v>
      </c>
      <c r="EN50" s="3263">
        <f>SUM(EN37:EN49)</f>
        <v>107907565.79361701</v>
      </c>
      <c r="EO50" s="3263">
        <f>SUM(EO37:EO49)</f>
        <v>53162346.200694084</v>
      </c>
      <c r="EP50" s="3263">
        <f>SUM(EP37:EP49)</f>
        <v>155587671.00568891</v>
      </c>
      <c r="EQ50" s="3264"/>
      <c r="EU50" s="3263">
        <f>SUM(EU37:EU49)</f>
        <v>316657583</v>
      </c>
      <c r="EV50" s="3263">
        <f>SUM(EV37:EV49)</f>
        <v>107907565.79361701</v>
      </c>
      <c r="EW50" s="3263">
        <f>SUM(EW37:EW49)</f>
        <v>53162346.200694084</v>
      </c>
      <c r="EX50" s="3263">
        <f>SUM(EX37:EX49)</f>
        <v>155587671.00568891</v>
      </c>
      <c r="EY50" s="3264"/>
      <c r="FC50" s="3263">
        <f>SUM(FC37:FC49)</f>
        <v>316657583</v>
      </c>
      <c r="FD50" s="3263">
        <f>SUM(FD37:FD49)</f>
        <v>107907565.79361701</v>
      </c>
      <c r="FE50" s="3263">
        <f>SUM(FE37:FE49)</f>
        <v>53162346.200694084</v>
      </c>
      <c r="FF50" s="3263">
        <f>SUM(FF37:FF49)</f>
        <v>155587671.00568891</v>
      </c>
      <c r="FG50" s="3264"/>
      <c r="FK50" s="3263">
        <f>SUM(FK37:FK49)</f>
        <v>316657583</v>
      </c>
      <c r="FL50" s="3263">
        <f>SUM(FL37:FL49)</f>
        <v>107907565.79361701</v>
      </c>
      <c r="FM50" s="3263">
        <f>SUM(FM37:FM49)</f>
        <v>53162346.200694084</v>
      </c>
      <c r="FN50" s="3263">
        <f>SUM(FN37:FN49)</f>
        <v>155587671.00568891</v>
      </c>
      <c r="FO50" s="3264"/>
    </row>
    <row r="51" spans="1:171">
      <c r="A51" s="2713"/>
      <c r="B51" s="2100"/>
      <c r="C51" s="2116"/>
      <c r="D51" s="2116"/>
      <c r="E51" s="2100"/>
      <c r="F51" s="2100"/>
      <c r="G51" s="2181"/>
      <c r="H51" s="2181"/>
      <c r="I51" s="2181"/>
      <c r="J51" s="2327"/>
      <c r="K51" s="3205"/>
      <c r="O51" s="2747"/>
      <c r="P51" s="2747"/>
      <c r="Q51" s="2747"/>
      <c r="R51" s="2747"/>
      <c r="S51" s="3264"/>
      <c r="W51" s="2747"/>
      <c r="X51" s="2747"/>
      <c r="Y51" s="2747"/>
      <c r="Z51" s="2747"/>
      <c r="AA51" s="3264"/>
      <c r="AE51" s="2747"/>
      <c r="AF51" s="2747"/>
      <c r="AG51" s="2747"/>
      <c r="AH51" s="2747"/>
      <c r="AI51" s="3264"/>
      <c r="AM51" s="2747"/>
      <c r="AN51" s="2747"/>
      <c r="AO51" s="2747"/>
      <c r="AP51" s="2747"/>
      <c r="AQ51" s="3264"/>
      <c r="AU51" s="2747"/>
      <c r="AV51" s="2747"/>
      <c r="AW51" s="2747"/>
      <c r="AX51" s="2747"/>
      <c r="AY51" s="3264"/>
      <c r="BC51" s="2747"/>
      <c r="BD51" s="2747"/>
      <c r="BE51" s="2747"/>
      <c r="BF51" s="2747"/>
      <c r="BG51" s="3264"/>
      <c r="BK51" s="2747"/>
      <c r="BL51" s="2747"/>
      <c r="BM51" s="2747"/>
      <c r="BN51" s="2747"/>
      <c r="BO51" s="3264"/>
      <c r="BS51" s="2747"/>
      <c r="BT51" s="2747"/>
      <c r="BU51" s="2747"/>
      <c r="BV51" s="2747"/>
      <c r="BW51" s="3264"/>
      <c r="CA51" s="2747"/>
      <c r="CB51" s="2747"/>
      <c r="CC51" s="2747"/>
      <c r="CD51" s="2747"/>
      <c r="CE51" s="3264"/>
      <c r="CI51" s="2747"/>
      <c r="CJ51" s="2747"/>
      <c r="CK51" s="2747"/>
      <c r="CL51" s="2747"/>
      <c r="CM51" s="3264"/>
      <c r="CQ51" s="2747"/>
      <c r="CR51" s="2747"/>
      <c r="CS51" s="2747"/>
      <c r="CT51" s="2747"/>
      <c r="CU51" s="3264"/>
      <c r="CY51" s="2747"/>
      <c r="CZ51" s="2747"/>
      <c r="DA51" s="2747"/>
      <c r="DB51" s="2747"/>
      <c r="DC51" s="3264"/>
      <c r="DG51" s="2747"/>
      <c r="DH51" s="2747"/>
      <c r="DI51" s="2747"/>
      <c r="DJ51" s="2747"/>
      <c r="DK51" s="3264"/>
      <c r="DO51" s="2747"/>
      <c r="DP51" s="2747"/>
      <c r="DQ51" s="2747"/>
      <c r="DR51" s="2747"/>
      <c r="DS51" s="3264"/>
      <c r="DW51" s="2747"/>
      <c r="DX51" s="2747"/>
      <c r="DY51" s="2747"/>
      <c r="DZ51" s="2747"/>
      <c r="EA51" s="3264"/>
      <c r="EE51" s="2747"/>
      <c r="EF51" s="2747"/>
      <c r="EG51" s="2747"/>
      <c r="EH51" s="2747"/>
      <c r="EI51" s="3264"/>
      <c r="EM51" s="2747"/>
      <c r="EN51" s="2747"/>
      <c r="EO51" s="2747"/>
      <c r="EP51" s="2747"/>
      <c r="EQ51" s="3264"/>
      <c r="EU51" s="2747"/>
      <c r="EV51" s="2747"/>
      <c r="EW51" s="2747"/>
      <c r="EX51" s="2747"/>
      <c r="EY51" s="3264"/>
      <c r="FC51" s="2747"/>
      <c r="FD51" s="2747"/>
      <c r="FE51" s="2747"/>
      <c r="FF51" s="2747"/>
      <c r="FG51" s="3264"/>
      <c r="FK51" s="2747"/>
      <c r="FL51" s="2747"/>
      <c r="FM51" s="2747"/>
      <c r="FN51" s="2747"/>
      <c r="FO51" s="3264"/>
    </row>
    <row r="52" spans="1:171">
      <c r="A52" s="2697" t="s">
        <v>136</v>
      </c>
      <c r="B52" s="2100"/>
      <c r="C52" s="3256"/>
      <c r="D52" s="3257"/>
      <c r="E52" s="3257"/>
      <c r="F52" s="3258"/>
      <c r="G52" s="3265">
        <f>G19+G26+G30+G34+G50</f>
        <v>11651187515</v>
      </c>
      <c r="H52" s="3265">
        <f>H19+H26+H30+H34+H50</f>
        <v>4076431188.8417616</v>
      </c>
      <c r="I52" s="3265">
        <f>I19+I26+I30+I34+I50</f>
        <v>0</v>
      </c>
      <c r="J52" s="3266">
        <f>J19+J26+J30+J34+J50</f>
        <v>7574756323.9282379</v>
      </c>
      <c r="K52" s="3205"/>
      <c r="O52" s="3263">
        <f>O19+O26+O30+O34+O50</f>
        <v>11651187515</v>
      </c>
      <c r="P52" s="3263">
        <f>P19+P26+P30+P34+P50</f>
        <v>4076431188.8417616</v>
      </c>
      <c r="Q52" s="3263">
        <f>Q19+Q26+Q30+Q34+Q50</f>
        <v>2045543584.2006941</v>
      </c>
      <c r="R52" s="3263">
        <f>R19+R26+R30+R34+R50</f>
        <v>5529212741.9575443</v>
      </c>
      <c r="S52" s="3264"/>
      <c r="W52" s="3263">
        <f>W19+W26+W30+W34+W50</f>
        <v>11651187515</v>
      </c>
      <c r="X52" s="3263">
        <f>X19+X26+X30+X34+X50</f>
        <v>4076431188.8417616</v>
      </c>
      <c r="Y52" s="3263">
        <f>Y19+Y26+Y30+Y34+Y50</f>
        <v>2045543584.2006941</v>
      </c>
      <c r="Z52" s="3263">
        <f>Z19+Z26+Z30+Z34+Z50</f>
        <v>5529212741.9575443</v>
      </c>
      <c r="AA52" s="3264"/>
      <c r="AE52" s="3263">
        <f>AE19+AE26+AE30+AE34+AE50</f>
        <v>11651187515</v>
      </c>
      <c r="AF52" s="3263">
        <f>AF19+AF26+AF30+AF34+AF50</f>
        <v>4076431188.8417616</v>
      </c>
      <c r="AG52" s="3263">
        <f>AG19+AG26+AG30+AG34+AG50</f>
        <v>2045543584.2006941</v>
      </c>
      <c r="AH52" s="3263">
        <f>AH19+AH26+AH30+AH34+AH50</f>
        <v>5529212741.9575443</v>
      </c>
      <c r="AI52" s="3264"/>
      <c r="AM52" s="3263">
        <f>AM19+AM26+AM30+AM34+AM50</f>
        <v>11651187515</v>
      </c>
      <c r="AN52" s="3263">
        <f>AN19+AN26+AN30+AN34+AN50</f>
        <v>4076431188.8417616</v>
      </c>
      <c r="AO52" s="3263">
        <f>AO19+AO26+AO30+AO34+AO50</f>
        <v>2045543584.2006941</v>
      </c>
      <c r="AP52" s="3263">
        <f>AP19+AP26+AP30+AP34+AP50</f>
        <v>5529212741.9575443</v>
      </c>
      <c r="AQ52" s="3264"/>
      <c r="AU52" s="3263">
        <f>AU19+AU26+AU30+AU34+AU50</f>
        <v>11651187515</v>
      </c>
      <c r="AV52" s="3263">
        <f>AV19+AV26+AV30+AV34+AV50</f>
        <v>4076431188.8417616</v>
      </c>
      <c r="AW52" s="3263">
        <f>AW19+AW26+AW30+AW34+AW50</f>
        <v>2045543584.2006941</v>
      </c>
      <c r="AX52" s="3263">
        <f>AX19+AX26+AX30+AX34+AX50</f>
        <v>5529212741.9575443</v>
      </c>
      <c r="AY52" s="3264"/>
      <c r="BC52" s="3263">
        <f>BC19+BC26+BC30+BC34+BC50</f>
        <v>11651187515</v>
      </c>
      <c r="BD52" s="3263">
        <f>BD19+BD26+BD30+BD34+BD50</f>
        <v>4076431188.8417616</v>
      </c>
      <c r="BE52" s="3263">
        <f>BE19+BE26+BE30+BE34+BE50</f>
        <v>2045543584.2006941</v>
      </c>
      <c r="BF52" s="3263">
        <f>BF19+BF26+BF30+BF34+BF50</f>
        <v>5529212741.9575443</v>
      </c>
      <c r="BG52" s="3264"/>
      <c r="BK52" s="3263">
        <f>BK19+BK26+BK30+BK34+BK50</f>
        <v>11651187515</v>
      </c>
      <c r="BL52" s="3263">
        <f>BL19+BL26+BL30+BL34+BL50</f>
        <v>4076431188.8417616</v>
      </c>
      <c r="BM52" s="3263">
        <f>BM19+BM26+BM30+BM34+BM50</f>
        <v>2045543584.2006941</v>
      </c>
      <c r="BN52" s="3263">
        <f>BN19+BN26+BN30+BN34+BN50</f>
        <v>5529212741.9575443</v>
      </c>
      <c r="BO52" s="3264"/>
      <c r="BS52" s="3263">
        <f>BS19+BS26+BS30+BS34+BS50</f>
        <v>11651187515</v>
      </c>
      <c r="BT52" s="3263">
        <f>BT19+BT26+BT30+BT34+BT50</f>
        <v>4076431188.8417616</v>
      </c>
      <c r="BU52" s="3263">
        <f>BU19+BU26+BU30+BU34+BU50</f>
        <v>2045543584.2006941</v>
      </c>
      <c r="BV52" s="3263">
        <f>BV19+BV26+BV30+BV34+BV50</f>
        <v>5529212741.9575443</v>
      </c>
      <c r="BW52" s="3264"/>
      <c r="CA52" s="3263">
        <f>CA19+CA26+CA30+CA34+CA50</f>
        <v>11651187515</v>
      </c>
      <c r="CB52" s="3263">
        <f>CB19+CB26+CB30+CB34+CB50</f>
        <v>4076431188.8417616</v>
      </c>
      <c r="CC52" s="3263">
        <f>CC19+CC26+CC30+CC34+CC50</f>
        <v>2045543584.2006941</v>
      </c>
      <c r="CD52" s="3263">
        <f>CD19+CD26+CD30+CD34+CD50</f>
        <v>5529212741.9575443</v>
      </c>
      <c r="CE52" s="3264"/>
      <c r="CI52" s="3263">
        <f>CI19+CI26+CI30+CI34+CI50</f>
        <v>11651187515</v>
      </c>
      <c r="CJ52" s="3263">
        <f>CJ19+CJ26+CJ30+CJ34+CJ50</f>
        <v>4076431188.8417616</v>
      </c>
      <c r="CK52" s="3263">
        <f>CK19+CK26+CK30+CK34+CK50</f>
        <v>2045543584.2006941</v>
      </c>
      <c r="CL52" s="3263">
        <f>CL19+CL26+CL30+CL34+CL50</f>
        <v>5529212741.9575443</v>
      </c>
      <c r="CM52" s="3264"/>
      <c r="CQ52" s="3263">
        <f>CQ19+CQ26+CQ30+CQ34+CQ50</f>
        <v>11651187515</v>
      </c>
      <c r="CR52" s="3263">
        <f>CR19+CR26+CR30+CR34+CR50</f>
        <v>4076431188.8417616</v>
      </c>
      <c r="CS52" s="3263">
        <f>CS19+CS26+CS30+CS34+CS50</f>
        <v>2045543584.2006941</v>
      </c>
      <c r="CT52" s="3263">
        <f>CT19+CT26+CT30+CT34+CT50</f>
        <v>5529212741.9575443</v>
      </c>
      <c r="CU52" s="3264"/>
      <c r="CY52" s="3263">
        <f>CY19+CY26+CY30+CY34+CY50</f>
        <v>11651187515</v>
      </c>
      <c r="CZ52" s="3263">
        <f>CZ19+CZ26+CZ30+CZ34+CZ50</f>
        <v>4076431188.8417616</v>
      </c>
      <c r="DA52" s="3263">
        <f>DA19+DA26+DA30+DA34+DA50</f>
        <v>2045543584.2006941</v>
      </c>
      <c r="DB52" s="3263">
        <f>DB19+DB26+DB30+DB34+DB50</f>
        <v>5529212741.9575443</v>
      </c>
      <c r="DC52" s="3264"/>
      <c r="DG52" s="3263">
        <f>DG19+DG26+DG30+DG34+DG50</f>
        <v>11651187515</v>
      </c>
      <c r="DH52" s="3263">
        <f>DH19+DH26+DH30+DH34+DH50</f>
        <v>4076431188.8417616</v>
      </c>
      <c r="DI52" s="3263">
        <f>DI19+DI26+DI30+DI34+DI50</f>
        <v>2045543584.2006941</v>
      </c>
      <c r="DJ52" s="3263">
        <f>DJ19+DJ26+DJ30+DJ34+DJ50</f>
        <v>5529212741.9575443</v>
      </c>
      <c r="DK52" s="3264"/>
      <c r="DO52" s="3263">
        <f>DO19+DO26+DO30+DO34+DO50</f>
        <v>11651187515</v>
      </c>
      <c r="DP52" s="3263">
        <f>DP19+DP26+DP30+DP34+DP50</f>
        <v>4076431188.8417616</v>
      </c>
      <c r="DQ52" s="3263">
        <f>DQ19+DQ26+DQ30+DQ34+DQ50</f>
        <v>2045543584.2006941</v>
      </c>
      <c r="DR52" s="3263">
        <f>DR19+DR26+DR30+DR34+DR50</f>
        <v>5529212741.9575443</v>
      </c>
      <c r="DS52" s="3264"/>
      <c r="DW52" s="3263">
        <f>DW19+DW26+DW30+DW34+DW50</f>
        <v>11651187515</v>
      </c>
      <c r="DX52" s="3263">
        <f>DX19+DX26+DX30+DX34+DX50</f>
        <v>4076431188.8417616</v>
      </c>
      <c r="DY52" s="3263">
        <f>DY19+DY26+DY30+DY34+DY50</f>
        <v>2045543584.2006941</v>
      </c>
      <c r="DZ52" s="3263">
        <f>DZ19+DZ26+DZ30+DZ34+DZ50</f>
        <v>5529212741.9575443</v>
      </c>
      <c r="EA52" s="3264"/>
      <c r="EE52" s="3263">
        <f>EE19+EE26+EE30+EE34+EE50</f>
        <v>11651187515</v>
      </c>
      <c r="EF52" s="3263">
        <f>EF19+EF26+EF30+EF34+EF50</f>
        <v>4076431188.8417616</v>
      </c>
      <c r="EG52" s="3263">
        <f>EG19+EG26+EG30+EG34+EG50</f>
        <v>2045543584.2006941</v>
      </c>
      <c r="EH52" s="3263">
        <f>EH19+EH26+EH30+EH34+EH50</f>
        <v>5529212741.9575443</v>
      </c>
      <c r="EI52" s="3264"/>
      <c r="EM52" s="3263">
        <f>EM19+EM26+EM30+EM34+EM50</f>
        <v>11651187515</v>
      </c>
      <c r="EN52" s="3263">
        <f>EN19+EN26+EN30+EN34+EN50</f>
        <v>4076431188.8417616</v>
      </c>
      <c r="EO52" s="3263">
        <f>EO19+EO26+EO30+EO34+EO50</f>
        <v>2045543584.2006941</v>
      </c>
      <c r="EP52" s="3263">
        <f>EP19+EP26+EP30+EP34+EP50</f>
        <v>5529212741.9575443</v>
      </c>
      <c r="EQ52" s="3264"/>
      <c r="EU52" s="3263">
        <f>EU19+EU26+EU30+EU34+EU50</f>
        <v>11651187515</v>
      </c>
      <c r="EV52" s="3263">
        <f>EV19+EV26+EV30+EV34+EV50</f>
        <v>4076431188.8417616</v>
      </c>
      <c r="EW52" s="3263">
        <f>EW19+EW26+EW30+EW34+EW50</f>
        <v>2045543584.2006941</v>
      </c>
      <c r="EX52" s="3263">
        <f>EX19+EX26+EX30+EX34+EX50</f>
        <v>5529212741.9575443</v>
      </c>
      <c r="EY52" s="3264"/>
      <c r="FC52" s="3263">
        <f>FC19+FC26+FC30+FC34+FC50</f>
        <v>11651187515</v>
      </c>
      <c r="FD52" s="3263">
        <f>FD19+FD26+FD30+FD34+FD50</f>
        <v>4076431188.8417616</v>
      </c>
      <c r="FE52" s="3263">
        <f>FE19+FE26+FE30+FE34+FE50</f>
        <v>2045543584.2006941</v>
      </c>
      <c r="FF52" s="3263">
        <f>FF19+FF26+FF30+FF34+FF50</f>
        <v>5529212741.9575443</v>
      </c>
      <c r="FG52" s="3264"/>
      <c r="FK52" s="3263">
        <f>FK19+FK26+FK30+FK34+FK50</f>
        <v>11651187515</v>
      </c>
      <c r="FL52" s="3263">
        <f>FL19+FL26+FL30+FL34+FL50</f>
        <v>4076431188.8417616</v>
      </c>
      <c r="FM52" s="3263">
        <f>FM19+FM26+FM30+FM34+FM50</f>
        <v>2045543584.2006941</v>
      </c>
      <c r="FN52" s="3263">
        <f>FN19+FN26+FN30+FN34+FN50</f>
        <v>5529212741.9575443</v>
      </c>
      <c r="FO52" s="3264"/>
    </row>
    <row r="53" spans="1:171">
      <c r="A53" s="2713" t="s">
        <v>439</v>
      </c>
      <c r="B53" s="2100"/>
      <c r="C53" s="2116"/>
      <c r="D53" s="2116"/>
      <c r="E53" s="2100"/>
      <c r="F53" s="2100"/>
      <c r="G53" s="2181"/>
      <c r="H53" s="2181"/>
      <c r="I53" s="2181"/>
      <c r="J53" s="2327"/>
      <c r="K53" s="3205"/>
      <c r="S53" s="3237"/>
      <c r="AA53" s="3237"/>
      <c r="AI53" s="3237"/>
      <c r="AQ53" s="3237"/>
      <c r="AY53" s="3237"/>
      <c r="BG53" s="3237"/>
      <c r="BO53" s="3237"/>
      <c r="BW53" s="3237"/>
      <c r="CE53" s="3237"/>
      <c r="CM53" s="3237"/>
      <c r="CU53" s="3237"/>
      <c r="DC53" s="3237"/>
      <c r="DK53" s="3237"/>
      <c r="DS53" s="3237"/>
      <c r="EA53" s="3237"/>
      <c r="EI53" s="3237"/>
      <c r="EQ53" s="3237"/>
      <c r="EY53" s="3237"/>
      <c r="FG53" s="3237"/>
      <c r="FO53" s="3237"/>
    </row>
    <row r="54" spans="1:171">
      <c r="A54" s="2669"/>
      <c r="B54" s="2103"/>
      <c r="C54" s="2116"/>
      <c r="D54" s="2116"/>
      <c r="E54" s="2116"/>
      <c r="F54" s="2116"/>
      <c r="G54" s="2181"/>
      <c r="H54" s="2181"/>
      <c r="I54" s="2181"/>
      <c r="J54" s="2327"/>
      <c r="K54" s="3205"/>
      <c r="S54" s="3237"/>
      <c r="AA54" s="3237"/>
      <c r="AI54" s="3237"/>
      <c r="AQ54" s="3237"/>
      <c r="AY54" s="3237"/>
      <c r="BG54" s="3237"/>
      <c r="BO54" s="3237"/>
      <c r="BW54" s="3237"/>
      <c r="CE54" s="3237"/>
      <c r="CM54" s="3237"/>
      <c r="CU54" s="3237"/>
      <c r="DC54" s="3237"/>
      <c r="DK54" s="3237"/>
      <c r="DS54" s="3237"/>
      <c r="EA54" s="3237"/>
      <c r="EI54" s="3237"/>
      <c r="EQ54" s="3237"/>
      <c r="EY54" s="3237"/>
      <c r="FG54" s="3237"/>
      <c r="FO54" s="3237"/>
    </row>
    <row r="55" spans="1:171">
      <c r="A55" s="2669" t="s">
        <v>473</v>
      </c>
      <c r="B55" s="2103"/>
      <c r="C55" s="2116"/>
      <c r="D55" s="2116"/>
      <c r="E55" s="2116"/>
      <c r="F55" s="2116"/>
      <c r="G55" s="2182"/>
      <c r="H55" s="2182"/>
      <c r="I55" s="2182"/>
      <c r="J55" s="2289"/>
      <c r="K55" s="3205"/>
      <c r="S55" s="3237"/>
      <c r="AA55" s="3237"/>
      <c r="AI55" s="3237"/>
      <c r="AQ55" s="3237"/>
      <c r="AY55" s="3237"/>
      <c r="BG55" s="3237"/>
      <c r="BO55" s="3237"/>
      <c r="BW55" s="3237"/>
      <c r="CE55" s="3237"/>
      <c r="CM55" s="3237"/>
      <c r="CU55" s="3237"/>
      <c r="DC55" s="3237"/>
      <c r="DK55" s="3237"/>
      <c r="DS55" s="3237"/>
      <c r="EA55" s="3237"/>
      <c r="EI55" s="3237"/>
      <c r="EQ55" s="3237"/>
      <c r="EY55" s="3237"/>
      <c r="FG55" s="3237"/>
      <c r="FO55" s="3237"/>
    </row>
    <row r="56" spans="1:171">
      <c r="A56" s="2669" t="s">
        <v>610</v>
      </c>
      <c r="B56" s="2103"/>
      <c r="C56" s="2116"/>
      <c r="D56" s="2116"/>
      <c r="E56" s="2116"/>
      <c r="F56" s="2116"/>
      <c r="G56" s="2182"/>
      <c r="H56" s="2182"/>
      <c r="I56" s="2182"/>
      <c r="J56" s="2289"/>
      <c r="K56" s="3205"/>
      <c r="S56" s="3237"/>
      <c r="AA56" s="3237"/>
      <c r="AI56" s="3237"/>
      <c r="AQ56" s="3237"/>
      <c r="AY56" s="3237"/>
      <c r="BG56" s="3237"/>
      <c r="BO56" s="3237"/>
      <c r="BW56" s="3237"/>
      <c r="CE56" s="3237"/>
      <c r="CM56" s="3237"/>
      <c r="CU56" s="3237"/>
      <c r="DC56" s="3237"/>
      <c r="DK56" s="3237"/>
      <c r="DS56" s="3237"/>
      <c r="EA56" s="3237"/>
      <c r="EI56" s="3237"/>
      <c r="EQ56" s="3237"/>
      <c r="EY56" s="3237"/>
      <c r="FG56" s="3237"/>
      <c r="FO56" s="3237"/>
    </row>
    <row r="57" spans="1:171">
      <c r="A57" s="2442"/>
      <c r="B57" s="2185" t="s">
        <v>88</v>
      </c>
      <c r="C57" s="2464">
        <v>219</v>
      </c>
      <c r="D57" s="2464">
        <v>108</v>
      </c>
      <c r="E57" s="2424" t="str">
        <f>'Sch 1- Rate Base '!E57</f>
        <v>PROD</v>
      </c>
      <c r="F57" s="2171"/>
      <c r="G57" s="2424">
        <f>'Sch 1- Rate Base '!G57</f>
        <v>953504602</v>
      </c>
      <c r="H57" s="2424">
        <f>'Sch 1- Rate Base '!H57</f>
        <v>953504602</v>
      </c>
      <c r="I57" s="2424">
        <f>'Sch 1- Rate Base '!I57</f>
        <v>0</v>
      </c>
      <c r="J57" s="2425">
        <f>'Sch 1- Rate Base '!J57</f>
        <v>0</v>
      </c>
      <c r="K57" s="3205">
        <f t="shared" ref="K57:K75" si="82">IF($E57="DIRECT",0,1)</f>
        <v>1</v>
      </c>
      <c r="O57" s="3235">
        <f t="shared" ref="O57:O73" si="83">$G57</f>
        <v>953504602</v>
      </c>
      <c r="P57" s="3236">
        <f t="shared" ref="P57:P73" si="84">VLOOKUP($E57,O$442:R$453,2,FALSE)*O57*($K57)+IF($G57&gt;0,($H57/$G57)*O57,0)*(1-$K57)</f>
        <v>953504602</v>
      </c>
      <c r="Q57" s="3236">
        <f t="shared" ref="Q57:Q73" si="85">VLOOKUP($E57,O$442:R$453,3,FALSE)*O57*($K57)+IF($G57&gt;0,($I57/$G57)*O57,0)*(1-$K57)</f>
        <v>0</v>
      </c>
      <c r="R57" s="3236">
        <f t="shared" ref="R57:R73" si="86">VLOOKUP($E57,O$442:R$453,4,FALSE)*O57*($K57)+(O57-P57-Q57)*(1-$K57)</f>
        <v>0</v>
      </c>
      <c r="S57" s="3237"/>
      <c r="W57" s="3235">
        <f t="shared" ref="W57:W73" si="87">$G57</f>
        <v>953504602</v>
      </c>
      <c r="X57" s="3236">
        <f t="shared" ref="X57:X73" si="88">VLOOKUP($E57,W$442:Z$453,2,FALSE)*W57*($K57)+IF($G57&gt;0,($H57/$G57)*W57,0)*(1-$K57)</f>
        <v>953504602</v>
      </c>
      <c r="Y57" s="3236">
        <f t="shared" ref="Y57:Y73" si="89">VLOOKUP($E57,W$442:Z$453,3,FALSE)*W57*($K57)+IF($G57&gt;0,($I57/$G57)*W57,0)*(1-$K57)</f>
        <v>0</v>
      </c>
      <c r="Z57" s="3236">
        <f t="shared" ref="Z57:Z73" si="90">VLOOKUP($E57,W$442:Z$453,4,FALSE)*W57*($K57)+(W57-X57-Y57)*(1-$K57)</f>
        <v>0</v>
      </c>
      <c r="AA57" s="3237"/>
      <c r="AE57" s="3235">
        <f t="shared" ref="AE57:AE73" si="91">$G57</f>
        <v>953504602</v>
      </c>
      <c r="AF57" s="3236">
        <f t="shared" ref="AF57:AF73" si="92">VLOOKUP($E57,AE$442:AH$453,2,FALSE)*AE57*($K57)+IF($G57&gt;0,($H57/$G57)*AE57,0)*(1-$K57)</f>
        <v>953504602</v>
      </c>
      <c r="AG57" s="3236">
        <f t="shared" ref="AG57:AG73" si="93">VLOOKUP($E57,AE$442:AH$453,3,FALSE)*AE57*($K57)+IF($G57&gt;0,($I57/$G57)*AE57,0)*(1-$K57)</f>
        <v>0</v>
      </c>
      <c r="AH57" s="3236">
        <f t="shared" ref="AH57:AH73" si="94">VLOOKUP($E57,AE$442:AH$453,4,FALSE)*AE57*($K57)+(AE57-AF57-AG57)*(1-$K57)</f>
        <v>0</v>
      </c>
      <c r="AI57" s="3237"/>
      <c r="AM57" s="3235">
        <f t="shared" ref="AM57:AM73" si="95">$G57</f>
        <v>953504602</v>
      </c>
      <c r="AN57" s="3236">
        <f t="shared" ref="AN57:AN73" si="96">VLOOKUP($E57,AM$442:AP$453,2,FALSE)*AM57*($K57)+IF($G57&gt;0,($H57/$G57)*AM57,0)*(1-$K57)</f>
        <v>953504602</v>
      </c>
      <c r="AO57" s="3236">
        <f t="shared" ref="AO57:AO73" si="97">VLOOKUP($E57,AM$442:AP$453,3,FALSE)*AM57*($K57)+IF($G57&gt;0,($I57/$G57)*AM57,0)*(1-$K57)</f>
        <v>0</v>
      </c>
      <c r="AP57" s="3236">
        <f t="shared" ref="AP57:AP73" si="98">VLOOKUP($E57,AM$442:AP$453,4,FALSE)*AM57*($K57)+(AM57-AN57-AO57)*(1-$K57)</f>
        <v>0</v>
      </c>
      <c r="AQ57" s="3237"/>
      <c r="AU57" s="3235">
        <f t="shared" ref="AU57:AU73" si="99">$G57</f>
        <v>953504602</v>
      </c>
      <c r="AV57" s="3236">
        <f t="shared" ref="AV57:AV73" si="100">VLOOKUP($E57,AU$442:AX$453,2,FALSE)*AU57*($K57)+IF($G57&gt;0,($H57/$G57)*AU57,0)*(1-$K57)</f>
        <v>953504602</v>
      </c>
      <c r="AW57" s="3236">
        <f t="shared" ref="AW57:AW73" si="101">VLOOKUP($E57,AU$442:AX$453,3,FALSE)*AU57*($K57)+IF($G57&gt;0,($I57/$G57)*AU57,0)*(1-$K57)</f>
        <v>0</v>
      </c>
      <c r="AX57" s="3236">
        <f t="shared" ref="AX57:AX73" si="102">VLOOKUP($E57,AU$442:AX$453,4,FALSE)*AU57*($K57)+(AU57-AV57-AW57)*(1-$K57)</f>
        <v>0</v>
      </c>
      <c r="AY57" s="3237"/>
      <c r="BC57" s="3235">
        <f t="shared" ref="BC57:BC73" si="103">$G57</f>
        <v>953504602</v>
      </c>
      <c r="BD57" s="3236">
        <f t="shared" ref="BD57:BD73" si="104">VLOOKUP($E57,BC$442:BF$453,2,FALSE)*BC57*($K57)+IF($G57&gt;0,($H57/$G57)*BC57,0)*(1-$K57)</f>
        <v>953504602</v>
      </c>
      <c r="BE57" s="3236">
        <f t="shared" ref="BE57:BE73" si="105">VLOOKUP($E57,BC$442:BF$453,3,FALSE)*BC57*($K57)+IF($G57&gt;0,($I57/$G57)*BC57,0)*(1-$K57)</f>
        <v>0</v>
      </c>
      <c r="BF57" s="3236">
        <f t="shared" ref="BF57:BF73" si="106">VLOOKUP($E57,BC$442:BF$453,4,FALSE)*BC57*($K57)+(BC57-BD57-BE57)*(1-$K57)</f>
        <v>0</v>
      </c>
      <c r="BG57" s="3237"/>
      <c r="BK57" s="3235">
        <f t="shared" ref="BK57:BK73" si="107">$G57</f>
        <v>953504602</v>
      </c>
      <c r="BL57" s="3236">
        <f t="shared" ref="BL57:BL73" si="108">VLOOKUP($E57,BK$442:BN$453,2,FALSE)*BK57*($K57)+IF($G57&gt;0,($H57/$G57)*BK57,0)*(1-$K57)</f>
        <v>953504602</v>
      </c>
      <c r="BM57" s="3236">
        <f t="shared" ref="BM57:BM73" si="109">VLOOKUP($E57,BK$442:BN$453,3,FALSE)*BK57*($K57)+IF($G57&gt;0,($I57/$G57)*BK57,0)*(1-$K57)</f>
        <v>0</v>
      </c>
      <c r="BN57" s="3236">
        <f t="shared" ref="BN57:BN73" si="110">VLOOKUP($E57,BK$442:BN$453,4,FALSE)*BK57*($K57)+(BK57-BL57-BM57)*(1-$K57)</f>
        <v>0</v>
      </c>
      <c r="BO57" s="3237"/>
      <c r="BS57" s="3235">
        <f t="shared" ref="BS57:BS73" si="111">$G57</f>
        <v>953504602</v>
      </c>
      <c r="BT57" s="3236">
        <f t="shared" ref="BT57:BT73" si="112">VLOOKUP($E57,BS$442:BV$453,2,FALSE)*BS57*($K57)+IF($G57&gt;0,($H57/$G57)*BS57,0)*(1-$K57)</f>
        <v>953504602</v>
      </c>
      <c r="BU57" s="3236">
        <f t="shared" ref="BU57:BU73" si="113">VLOOKUP($E57,BS$442:BV$453,3,FALSE)*BS57*($K57)+IF($G57&gt;0,($I57/$G57)*BS57,0)*(1-$K57)</f>
        <v>0</v>
      </c>
      <c r="BV57" s="3236">
        <f t="shared" ref="BV57:BV73" si="114">VLOOKUP($E57,BS$442:BV$453,4,FALSE)*BS57*($K57)+(BS57-BT57-BU57)*(1-$K57)</f>
        <v>0</v>
      </c>
      <c r="BW57" s="3237"/>
      <c r="CA57" s="3235">
        <f t="shared" ref="CA57:CA73" si="115">$G57</f>
        <v>953504602</v>
      </c>
      <c r="CB57" s="3236">
        <f t="shared" ref="CB57:CB73" si="116">VLOOKUP($E57,CA$442:CD$453,2,FALSE)*CA57*($K57)+IF($G57&gt;0,($H57/$G57)*CA57,0)*(1-$K57)</f>
        <v>953504602</v>
      </c>
      <c r="CC57" s="3236">
        <f t="shared" ref="CC57:CC73" si="117">VLOOKUP($E57,CA$442:CD$453,3,FALSE)*CA57*($K57)+IF($G57&gt;0,($I57/$G57)*CA57,0)*(1-$K57)</f>
        <v>0</v>
      </c>
      <c r="CD57" s="3236">
        <f t="shared" ref="CD57:CD73" si="118">VLOOKUP($E57,CA$442:CD$453,4,FALSE)*CA57*($K57)+(CA57-CB57-CC57)*(1-$K57)</f>
        <v>0</v>
      </c>
      <c r="CE57" s="3237"/>
      <c r="CI57" s="3235">
        <f t="shared" ref="CI57:CI73" si="119">$G57</f>
        <v>953504602</v>
      </c>
      <c r="CJ57" s="3236">
        <f t="shared" ref="CJ57:CJ73" si="120">VLOOKUP($E57,CI$442:CL$453,2,FALSE)*CI57*($K57)+IF($G57&gt;0,($H57/$G57)*CI57,0)*(1-$K57)</f>
        <v>953504602</v>
      </c>
      <c r="CK57" s="3236">
        <f t="shared" ref="CK57:CK73" si="121">VLOOKUP($E57,CI$442:CL$453,3,FALSE)*CI57*($K57)+IF($G57&gt;0,($I57/$G57)*CI57,0)*(1-$K57)</f>
        <v>0</v>
      </c>
      <c r="CL57" s="3236">
        <f t="shared" ref="CL57:CL73" si="122">VLOOKUP($E57,CI$442:CL$453,4,FALSE)*CI57*($K57)+(CI57-CJ57-CK57)*(1-$K57)</f>
        <v>0</v>
      </c>
      <c r="CM57" s="3237"/>
      <c r="CQ57" s="3235">
        <f t="shared" ref="CQ57:CQ73" si="123">$G57</f>
        <v>953504602</v>
      </c>
      <c r="CR57" s="3236">
        <f t="shared" ref="CR57:CR73" si="124">VLOOKUP($E57,CQ$442:CT$453,2,FALSE)*CQ57*($K57)+IF($G57&gt;0,($H57/$G57)*CQ57,0)*(1-$K57)</f>
        <v>953504602</v>
      </c>
      <c r="CS57" s="3236">
        <f t="shared" ref="CS57:CS73" si="125">VLOOKUP($E57,CQ$442:CT$453,3,FALSE)*CQ57*($K57)+IF($G57&gt;0,($I57/$G57)*CQ57,0)*(1-$K57)</f>
        <v>0</v>
      </c>
      <c r="CT57" s="3236">
        <f t="shared" ref="CT57:CT73" si="126">VLOOKUP($E57,CQ$442:CT$453,4,FALSE)*CQ57*($K57)+(CQ57-CR57-CS57)*(1-$K57)</f>
        <v>0</v>
      </c>
      <c r="CU57" s="3237"/>
      <c r="CY57" s="3235">
        <f t="shared" ref="CY57:CY73" si="127">$G57</f>
        <v>953504602</v>
      </c>
      <c r="CZ57" s="3236">
        <f t="shared" ref="CZ57:CZ73" si="128">VLOOKUP($E57,CY$442:DB$453,2,FALSE)*CY57*($K57)+IF($G57&gt;0,($H57/$G57)*CY57,0)*(1-$K57)</f>
        <v>953504602</v>
      </c>
      <c r="DA57" s="3236">
        <f t="shared" ref="DA57:DA73" si="129">VLOOKUP($E57,CY$442:DB$453,3,FALSE)*CY57*($K57)+IF($G57&gt;0,($I57/$G57)*CY57,0)*(1-$K57)</f>
        <v>0</v>
      </c>
      <c r="DB57" s="3236">
        <f t="shared" ref="DB57:DB73" si="130">VLOOKUP($E57,CY$442:DB$453,4,FALSE)*CY57*($K57)+(CY57-CZ57-DA57)*(1-$K57)</f>
        <v>0</v>
      </c>
      <c r="DC57" s="3237"/>
      <c r="DG57" s="3235">
        <f t="shared" ref="DG57:DG73" si="131">$G57</f>
        <v>953504602</v>
      </c>
      <c r="DH57" s="3236">
        <f t="shared" ref="DH57:DH73" si="132">VLOOKUP($E57,DG$442:DJ$453,2,FALSE)*DG57*($K57)+IF($G57&gt;0,($H57/$G57)*DG57,0)*(1-$K57)</f>
        <v>953504602</v>
      </c>
      <c r="DI57" s="3236">
        <f t="shared" ref="DI57:DI73" si="133">VLOOKUP($E57,DG$442:DJ$453,3,FALSE)*DG57*($K57)+IF($G57&gt;0,($I57/$G57)*DG57,0)*(1-$K57)</f>
        <v>0</v>
      </c>
      <c r="DJ57" s="3236">
        <f t="shared" ref="DJ57:DJ73" si="134">VLOOKUP($E57,DG$442:DJ$453,4,FALSE)*DG57*($K57)+(DG57-DH57-DI57)*(1-$K57)</f>
        <v>0</v>
      </c>
      <c r="DK57" s="3237"/>
      <c r="DO57" s="3235">
        <f t="shared" ref="DO57:DO73" si="135">$G57</f>
        <v>953504602</v>
      </c>
      <c r="DP57" s="3236">
        <f t="shared" ref="DP57:DP73" si="136">VLOOKUP($E57,DO$442:DR$453,2,FALSE)*DO57*($K57)+IF($G57&gt;0,($H57/$G57)*DO57,0)*(1-$K57)</f>
        <v>953504602</v>
      </c>
      <c r="DQ57" s="3236">
        <f t="shared" ref="DQ57:DQ73" si="137">VLOOKUP($E57,DO$442:DR$453,3,FALSE)*DO57*($K57)+IF($G57&gt;0,($I57/$G57)*DO57,0)*(1-$K57)</f>
        <v>0</v>
      </c>
      <c r="DR57" s="3236">
        <f t="shared" ref="DR57:DR73" si="138">VLOOKUP($E57,DO$442:DR$453,4,FALSE)*DO57*($K57)+(DO57-DP57-DQ57)*(1-$K57)</f>
        <v>0</v>
      </c>
      <c r="DS57" s="3237"/>
      <c r="DW57" s="3235">
        <f t="shared" ref="DW57:DW73" si="139">$G57</f>
        <v>953504602</v>
      </c>
      <c r="DX57" s="3236">
        <f t="shared" ref="DX57:DX73" si="140">VLOOKUP($E57,DW$442:DZ$453,2,FALSE)*DW57*($K57)+IF($G57&gt;0,($H57/$G57)*DW57,0)*(1-$K57)</f>
        <v>953504602</v>
      </c>
      <c r="DY57" s="3236">
        <f t="shared" ref="DY57:DY73" si="141">VLOOKUP($E57,DW$442:DZ$453,3,FALSE)*DW57*($K57)+IF($G57&gt;0,($I57/$G57)*DW57,0)*(1-$K57)</f>
        <v>0</v>
      </c>
      <c r="DZ57" s="3236">
        <f t="shared" ref="DZ57:DZ73" si="142">VLOOKUP($E57,DW$442:DZ$453,4,FALSE)*DW57*($K57)+(DW57-DX57-DY57)*(1-$K57)</f>
        <v>0</v>
      </c>
      <c r="EA57" s="3237"/>
      <c r="EE57" s="3235">
        <f t="shared" ref="EE57:EE73" si="143">$G57</f>
        <v>953504602</v>
      </c>
      <c r="EF57" s="3236">
        <f t="shared" ref="EF57:EF73" si="144">VLOOKUP($E57,EE$442:EH$453,2,FALSE)*EE57*($K57)+IF($G57&gt;0,($H57/$G57)*EE57,0)*(1-$K57)</f>
        <v>953504602</v>
      </c>
      <c r="EG57" s="3236">
        <f t="shared" ref="EG57:EG73" si="145">VLOOKUP($E57,EE$442:EH$453,3,FALSE)*EE57*($K57)+IF($G57&gt;0,($I57/$G57)*EE57,0)*(1-$K57)</f>
        <v>0</v>
      </c>
      <c r="EH57" s="3236">
        <f t="shared" ref="EH57:EH73" si="146">VLOOKUP($E57,EE$442:EH$453,4,FALSE)*EE57*($K57)+(EE57-EF57-EG57)*(1-$K57)</f>
        <v>0</v>
      </c>
      <c r="EI57" s="3237"/>
      <c r="EM57" s="3235">
        <f t="shared" ref="EM57:EM73" si="147">$G57</f>
        <v>953504602</v>
      </c>
      <c r="EN57" s="3236">
        <f t="shared" ref="EN57:EN73" si="148">VLOOKUP($E57,EM$442:EP$453,2,FALSE)*EM57*($K57)+IF($G57&gt;0,($H57/$G57)*EM57,0)*(1-$K57)</f>
        <v>953504602</v>
      </c>
      <c r="EO57" s="3236">
        <f t="shared" ref="EO57:EO73" si="149">VLOOKUP($E57,EM$442:EP$453,3,FALSE)*EM57*($K57)+IF($G57&gt;0,($I57/$G57)*EM57,0)*(1-$K57)</f>
        <v>0</v>
      </c>
      <c r="EP57" s="3236">
        <f t="shared" ref="EP57:EP73" si="150">VLOOKUP($E57,EM$442:EP$453,4,FALSE)*EM57*($K57)+(EM57-EN57-EO57)*(1-$K57)</f>
        <v>0</v>
      </c>
      <c r="EQ57" s="3237"/>
      <c r="EU57" s="3235">
        <f t="shared" ref="EU57:EU73" si="151">$G57</f>
        <v>953504602</v>
      </c>
      <c r="EV57" s="3236">
        <f t="shared" ref="EV57:EV73" si="152">VLOOKUP($E57,EU$442:EX$453,2,FALSE)*EU57*($K57)+IF($G57&gt;0,($H57/$G57)*EU57,0)*(1-$K57)</f>
        <v>953504602</v>
      </c>
      <c r="EW57" s="3236">
        <f t="shared" ref="EW57:EW73" si="153">VLOOKUP($E57,EU$442:EX$453,3,FALSE)*EU57*($K57)+IF($G57&gt;0,($I57/$G57)*EU57,0)*(1-$K57)</f>
        <v>0</v>
      </c>
      <c r="EX57" s="3236">
        <f t="shared" ref="EX57:EX73" si="154">VLOOKUP($E57,EU$442:EX$453,4,FALSE)*EU57*($K57)+(EU57-EV57-EW57)*(1-$K57)</f>
        <v>0</v>
      </c>
      <c r="EY57" s="3237"/>
      <c r="FC57" s="3235">
        <f t="shared" ref="FC57:FC73" si="155">$G57</f>
        <v>953504602</v>
      </c>
      <c r="FD57" s="3236">
        <f t="shared" ref="FD57:FD73" si="156">VLOOKUP($E57,FC$442:FF$453,2,FALSE)*FC57*($K57)+IF($G57&gt;0,($H57/$G57)*FC57,0)*(1-$K57)</f>
        <v>953504602</v>
      </c>
      <c r="FE57" s="3236">
        <f t="shared" ref="FE57:FE73" si="157">VLOOKUP($E57,FC$442:FF$453,3,FALSE)*FC57*($K57)+IF($G57&gt;0,($I57/$G57)*FC57,0)*(1-$K57)</f>
        <v>0</v>
      </c>
      <c r="FF57" s="3236">
        <f t="shared" ref="FF57:FF73" si="158">VLOOKUP($E57,FC$442:FF$453,4,FALSE)*FC57*($K57)+(FC57-FD57-FE57)*(1-$K57)</f>
        <v>0</v>
      </c>
      <c r="FG57" s="3237"/>
      <c r="FK57" s="3235">
        <f t="shared" ref="FK57:FK73" si="159">$G57</f>
        <v>953504602</v>
      </c>
      <c r="FL57" s="3236">
        <f t="shared" ref="FL57:FL73" si="160">VLOOKUP($E57,FK$442:FN$453,2,FALSE)*FK57*($K57)+IF($G57&gt;0,($H57/$G57)*FK57,0)*(1-$K57)</f>
        <v>953504602</v>
      </c>
      <c r="FM57" s="3236">
        <f t="shared" ref="FM57:FM73" si="161">VLOOKUP($E57,FK$442:FN$453,3,FALSE)*FK57*($K57)+IF($G57&gt;0,($I57/$G57)*FK57,0)*(1-$K57)</f>
        <v>0</v>
      </c>
      <c r="FN57" s="3236">
        <f t="shared" ref="FN57:FN73" si="162">VLOOKUP($E57,FK$442:FN$453,4,FALSE)*FK57*($K57)+(FK57-FL57-FM57)*(1-$K57)</f>
        <v>0</v>
      </c>
      <c r="FO57" s="3237"/>
    </row>
    <row r="58" spans="1:171">
      <c r="A58" s="2442"/>
      <c r="B58" s="2185" t="s">
        <v>89</v>
      </c>
      <c r="C58" s="2464">
        <v>219</v>
      </c>
      <c r="D58" s="2464">
        <v>108</v>
      </c>
      <c r="E58" s="2424" t="str">
        <f>'Sch 1- Rate Base '!E58</f>
        <v>PROD</v>
      </c>
      <c r="F58" s="2171"/>
      <c r="G58" s="2424">
        <f>'Sch 1- Rate Base '!G58</f>
        <v>0</v>
      </c>
      <c r="H58" s="2424">
        <f>'Sch 1- Rate Base '!H58</f>
        <v>0</v>
      </c>
      <c r="I58" s="2424">
        <f>'Sch 1- Rate Base '!I58</f>
        <v>0</v>
      </c>
      <c r="J58" s="2425">
        <f>'Sch 1- Rate Base '!J58</f>
        <v>0</v>
      </c>
      <c r="K58" s="3205">
        <f t="shared" si="82"/>
        <v>1</v>
      </c>
      <c r="O58" s="3235">
        <f t="shared" si="83"/>
        <v>0</v>
      </c>
      <c r="P58" s="3236">
        <f t="shared" si="84"/>
        <v>0</v>
      </c>
      <c r="Q58" s="3236">
        <f t="shared" si="85"/>
        <v>0</v>
      </c>
      <c r="R58" s="3236">
        <f t="shared" si="86"/>
        <v>0</v>
      </c>
      <c r="S58" s="3237"/>
      <c r="W58" s="3235">
        <f t="shared" si="87"/>
        <v>0</v>
      </c>
      <c r="X58" s="3236">
        <f t="shared" si="88"/>
        <v>0</v>
      </c>
      <c r="Y58" s="3236">
        <f t="shared" si="89"/>
        <v>0</v>
      </c>
      <c r="Z58" s="3236">
        <f t="shared" si="90"/>
        <v>0</v>
      </c>
      <c r="AA58" s="3237"/>
      <c r="AE58" s="3235">
        <f t="shared" si="91"/>
        <v>0</v>
      </c>
      <c r="AF58" s="3236">
        <f t="shared" si="92"/>
        <v>0</v>
      </c>
      <c r="AG58" s="3236">
        <f t="shared" si="93"/>
        <v>0</v>
      </c>
      <c r="AH58" s="3236">
        <f t="shared" si="94"/>
        <v>0</v>
      </c>
      <c r="AI58" s="3237"/>
      <c r="AM58" s="3235">
        <f t="shared" si="95"/>
        <v>0</v>
      </c>
      <c r="AN58" s="3236">
        <f t="shared" si="96"/>
        <v>0</v>
      </c>
      <c r="AO58" s="3236">
        <f t="shared" si="97"/>
        <v>0</v>
      </c>
      <c r="AP58" s="3236">
        <f t="shared" si="98"/>
        <v>0</v>
      </c>
      <c r="AQ58" s="3237"/>
      <c r="AU58" s="3235">
        <f t="shared" si="99"/>
        <v>0</v>
      </c>
      <c r="AV58" s="3236">
        <f t="shared" si="100"/>
        <v>0</v>
      </c>
      <c r="AW58" s="3236">
        <f t="shared" si="101"/>
        <v>0</v>
      </c>
      <c r="AX58" s="3236">
        <f t="shared" si="102"/>
        <v>0</v>
      </c>
      <c r="AY58" s="3237"/>
      <c r="BC58" s="3235">
        <f t="shared" si="103"/>
        <v>0</v>
      </c>
      <c r="BD58" s="3236">
        <f t="shared" si="104"/>
        <v>0</v>
      </c>
      <c r="BE58" s="3236">
        <f t="shared" si="105"/>
        <v>0</v>
      </c>
      <c r="BF58" s="3236">
        <f t="shared" si="106"/>
        <v>0</v>
      </c>
      <c r="BG58" s="3237"/>
      <c r="BK58" s="3235">
        <f t="shared" si="107"/>
        <v>0</v>
      </c>
      <c r="BL58" s="3236">
        <f t="shared" si="108"/>
        <v>0</v>
      </c>
      <c r="BM58" s="3236">
        <f t="shared" si="109"/>
        <v>0</v>
      </c>
      <c r="BN58" s="3236">
        <f t="shared" si="110"/>
        <v>0</v>
      </c>
      <c r="BO58" s="3237"/>
      <c r="BS58" s="3235">
        <f t="shared" si="111"/>
        <v>0</v>
      </c>
      <c r="BT58" s="3236">
        <f t="shared" si="112"/>
        <v>0</v>
      </c>
      <c r="BU58" s="3236">
        <f t="shared" si="113"/>
        <v>0</v>
      </c>
      <c r="BV58" s="3236">
        <f t="shared" si="114"/>
        <v>0</v>
      </c>
      <c r="BW58" s="3237"/>
      <c r="CA58" s="3235">
        <f t="shared" si="115"/>
        <v>0</v>
      </c>
      <c r="CB58" s="3236">
        <f t="shared" si="116"/>
        <v>0</v>
      </c>
      <c r="CC58" s="3236">
        <f t="shared" si="117"/>
        <v>0</v>
      </c>
      <c r="CD58" s="3236">
        <f t="shared" si="118"/>
        <v>0</v>
      </c>
      <c r="CE58" s="3237"/>
      <c r="CI58" s="3235">
        <f t="shared" si="119"/>
        <v>0</v>
      </c>
      <c r="CJ58" s="3236">
        <f t="shared" si="120"/>
        <v>0</v>
      </c>
      <c r="CK58" s="3236">
        <f t="shared" si="121"/>
        <v>0</v>
      </c>
      <c r="CL58" s="3236">
        <f t="shared" si="122"/>
        <v>0</v>
      </c>
      <c r="CM58" s="3237"/>
      <c r="CQ58" s="3235">
        <f t="shared" si="123"/>
        <v>0</v>
      </c>
      <c r="CR58" s="3236">
        <f t="shared" si="124"/>
        <v>0</v>
      </c>
      <c r="CS58" s="3236">
        <f t="shared" si="125"/>
        <v>0</v>
      </c>
      <c r="CT58" s="3236">
        <f t="shared" si="126"/>
        <v>0</v>
      </c>
      <c r="CU58" s="3237"/>
      <c r="CY58" s="3235">
        <f t="shared" si="127"/>
        <v>0</v>
      </c>
      <c r="CZ58" s="3236">
        <f t="shared" si="128"/>
        <v>0</v>
      </c>
      <c r="DA58" s="3236">
        <f t="shared" si="129"/>
        <v>0</v>
      </c>
      <c r="DB58" s="3236">
        <f t="shared" si="130"/>
        <v>0</v>
      </c>
      <c r="DC58" s="3237"/>
      <c r="DG58" s="3235">
        <f t="shared" si="131"/>
        <v>0</v>
      </c>
      <c r="DH58" s="3236">
        <f t="shared" si="132"/>
        <v>0</v>
      </c>
      <c r="DI58" s="3236">
        <f t="shared" si="133"/>
        <v>0</v>
      </c>
      <c r="DJ58" s="3236">
        <f t="shared" si="134"/>
        <v>0</v>
      </c>
      <c r="DK58" s="3237"/>
      <c r="DO58" s="3235">
        <f t="shared" si="135"/>
        <v>0</v>
      </c>
      <c r="DP58" s="3236">
        <f t="shared" si="136"/>
        <v>0</v>
      </c>
      <c r="DQ58" s="3236">
        <f t="shared" si="137"/>
        <v>0</v>
      </c>
      <c r="DR58" s="3236">
        <f t="shared" si="138"/>
        <v>0</v>
      </c>
      <c r="DS58" s="3237"/>
      <c r="DW58" s="3235">
        <f t="shared" si="139"/>
        <v>0</v>
      </c>
      <c r="DX58" s="3236">
        <f t="shared" si="140"/>
        <v>0</v>
      </c>
      <c r="DY58" s="3236">
        <f t="shared" si="141"/>
        <v>0</v>
      </c>
      <c r="DZ58" s="3236">
        <f t="shared" si="142"/>
        <v>0</v>
      </c>
      <c r="EA58" s="3237"/>
      <c r="EE58" s="3235">
        <f t="shared" si="143"/>
        <v>0</v>
      </c>
      <c r="EF58" s="3236">
        <f t="shared" si="144"/>
        <v>0</v>
      </c>
      <c r="EG58" s="3236">
        <f t="shared" si="145"/>
        <v>0</v>
      </c>
      <c r="EH58" s="3236">
        <f t="shared" si="146"/>
        <v>0</v>
      </c>
      <c r="EI58" s="3237"/>
      <c r="EM58" s="3235">
        <f t="shared" si="147"/>
        <v>0</v>
      </c>
      <c r="EN58" s="3236">
        <f t="shared" si="148"/>
        <v>0</v>
      </c>
      <c r="EO58" s="3236">
        <f t="shared" si="149"/>
        <v>0</v>
      </c>
      <c r="EP58" s="3236">
        <f t="shared" si="150"/>
        <v>0</v>
      </c>
      <c r="EQ58" s="3237"/>
      <c r="EU58" s="3235">
        <f t="shared" si="151"/>
        <v>0</v>
      </c>
      <c r="EV58" s="3236">
        <f t="shared" si="152"/>
        <v>0</v>
      </c>
      <c r="EW58" s="3236">
        <f t="shared" si="153"/>
        <v>0</v>
      </c>
      <c r="EX58" s="3236">
        <f t="shared" si="154"/>
        <v>0</v>
      </c>
      <c r="EY58" s="3237"/>
      <c r="FC58" s="3235">
        <f t="shared" si="155"/>
        <v>0</v>
      </c>
      <c r="FD58" s="3236">
        <f t="shared" si="156"/>
        <v>0</v>
      </c>
      <c r="FE58" s="3236">
        <f t="shared" si="157"/>
        <v>0</v>
      </c>
      <c r="FF58" s="3236">
        <f t="shared" si="158"/>
        <v>0</v>
      </c>
      <c r="FG58" s="3237"/>
      <c r="FK58" s="3235">
        <f t="shared" si="159"/>
        <v>0</v>
      </c>
      <c r="FL58" s="3236">
        <f t="shared" si="160"/>
        <v>0</v>
      </c>
      <c r="FM58" s="3236">
        <f t="shared" si="161"/>
        <v>0</v>
      </c>
      <c r="FN58" s="3236">
        <f t="shared" si="162"/>
        <v>0</v>
      </c>
      <c r="FO58" s="3237"/>
    </row>
    <row r="59" spans="1:171">
      <c r="A59" s="2442"/>
      <c r="B59" s="2185" t="s">
        <v>324</v>
      </c>
      <c r="C59" s="2464">
        <v>219</v>
      </c>
      <c r="D59" s="2464">
        <v>108</v>
      </c>
      <c r="E59" s="2424" t="str">
        <f>'Sch 1- Rate Base '!E59</f>
        <v>PROD</v>
      </c>
      <c r="F59" s="2171"/>
      <c r="G59" s="2424">
        <f>'Sch 1- Rate Base '!G59</f>
        <v>270525277</v>
      </c>
      <c r="H59" s="2424">
        <f>'Sch 1- Rate Base '!H59</f>
        <v>270525277</v>
      </c>
      <c r="I59" s="2424">
        <f>'Sch 1- Rate Base '!I59</f>
        <v>0</v>
      </c>
      <c r="J59" s="2425">
        <f>'Sch 1- Rate Base '!J59</f>
        <v>0</v>
      </c>
      <c r="K59" s="3205">
        <f t="shared" si="82"/>
        <v>1</v>
      </c>
      <c r="O59" s="3235">
        <f t="shared" si="83"/>
        <v>270525277</v>
      </c>
      <c r="P59" s="3236">
        <f t="shared" si="84"/>
        <v>270525277</v>
      </c>
      <c r="Q59" s="3236">
        <f t="shared" si="85"/>
        <v>0</v>
      </c>
      <c r="R59" s="3236">
        <f t="shared" si="86"/>
        <v>0</v>
      </c>
      <c r="S59" s="3237"/>
      <c r="W59" s="3235">
        <f t="shared" si="87"/>
        <v>270525277</v>
      </c>
      <c r="X59" s="3236">
        <f t="shared" si="88"/>
        <v>270525277</v>
      </c>
      <c r="Y59" s="3236">
        <f t="shared" si="89"/>
        <v>0</v>
      </c>
      <c r="Z59" s="3236">
        <f t="shared" si="90"/>
        <v>0</v>
      </c>
      <c r="AA59" s="3237"/>
      <c r="AE59" s="3235">
        <f t="shared" si="91"/>
        <v>270525277</v>
      </c>
      <c r="AF59" s="3236">
        <f t="shared" si="92"/>
        <v>270525277</v>
      </c>
      <c r="AG59" s="3236">
        <f t="shared" si="93"/>
        <v>0</v>
      </c>
      <c r="AH59" s="3236">
        <f t="shared" si="94"/>
        <v>0</v>
      </c>
      <c r="AI59" s="3237"/>
      <c r="AM59" s="3235">
        <f t="shared" si="95"/>
        <v>270525277</v>
      </c>
      <c r="AN59" s="3236">
        <f t="shared" si="96"/>
        <v>270525277</v>
      </c>
      <c r="AO59" s="3236">
        <f t="shared" si="97"/>
        <v>0</v>
      </c>
      <c r="AP59" s="3236">
        <f t="shared" si="98"/>
        <v>0</v>
      </c>
      <c r="AQ59" s="3237"/>
      <c r="AU59" s="3235">
        <f t="shared" si="99"/>
        <v>270525277</v>
      </c>
      <c r="AV59" s="3236">
        <f t="shared" si="100"/>
        <v>270525277</v>
      </c>
      <c r="AW59" s="3236">
        <f t="shared" si="101"/>
        <v>0</v>
      </c>
      <c r="AX59" s="3236">
        <f t="shared" si="102"/>
        <v>0</v>
      </c>
      <c r="AY59" s="3237"/>
      <c r="BC59" s="3235">
        <f t="shared" si="103"/>
        <v>270525277</v>
      </c>
      <c r="BD59" s="3236">
        <f t="shared" si="104"/>
        <v>270525277</v>
      </c>
      <c r="BE59" s="3236">
        <f t="shared" si="105"/>
        <v>0</v>
      </c>
      <c r="BF59" s="3236">
        <f t="shared" si="106"/>
        <v>0</v>
      </c>
      <c r="BG59" s="3237"/>
      <c r="BK59" s="3235">
        <f t="shared" si="107"/>
        <v>270525277</v>
      </c>
      <c r="BL59" s="3236">
        <f t="shared" si="108"/>
        <v>270525277</v>
      </c>
      <c r="BM59" s="3236">
        <f t="shared" si="109"/>
        <v>0</v>
      </c>
      <c r="BN59" s="3236">
        <f t="shared" si="110"/>
        <v>0</v>
      </c>
      <c r="BO59" s="3237"/>
      <c r="BS59" s="3235">
        <f t="shared" si="111"/>
        <v>270525277</v>
      </c>
      <c r="BT59" s="3236">
        <f t="shared" si="112"/>
        <v>270525277</v>
      </c>
      <c r="BU59" s="3236">
        <f t="shared" si="113"/>
        <v>0</v>
      </c>
      <c r="BV59" s="3236">
        <f t="shared" si="114"/>
        <v>0</v>
      </c>
      <c r="BW59" s="3237"/>
      <c r="CA59" s="3235">
        <f t="shared" si="115"/>
        <v>270525277</v>
      </c>
      <c r="CB59" s="3236">
        <f t="shared" si="116"/>
        <v>270525277</v>
      </c>
      <c r="CC59" s="3236">
        <f t="shared" si="117"/>
        <v>0</v>
      </c>
      <c r="CD59" s="3236">
        <f t="shared" si="118"/>
        <v>0</v>
      </c>
      <c r="CE59" s="3237"/>
      <c r="CI59" s="3235">
        <f t="shared" si="119"/>
        <v>270525277</v>
      </c>
      <c r="CJ59" s="3236">
        <f t="shared" si="120"/>
        <v>270525277</v>
      </c>
      <c r="CK59" s="3236">
        <f t="shared" si="121"/>
        <v>0</v>
      </c>
      <c r="CL59" s="3236">
        <f t="shared" si="122"/>
        <v>0</v>
      </c>
      <c r="CM59" s="3237"/>
      <c r="CQ59" s="3235">
        <f t="shared" si="123"/>
        <v>270525277</v>
      </c>
      <c r="CR59" s="3236">
        <f t="shared" si="124"/>
        <v>270525277</v>
      </c>
      <c r="CS59" s="3236">
        <f t="shared" si="125"/>
        <v>0</v>
      </c>
      <c r="CT59" s="3236">
        <f t="shared" si="126"/>
        <v>0</v>
      </c>
      <c r="CU59" s="3237"/>
      <c r="CY59" s="3235">
        <f t="shared" si="127"/>
        <v>270525277</v>
      </c>
      <c r="CZ59" s="3236">
        <f t="shared" si="128"/>
        <v>270525277</v>
      </c>
      <c r="DA59" s="3236">
        <f t="shared" si="129"/>
        <v>0</v>
      </c>
      <c r="DB59" s="3236">
        <f t="shared" si="130"/>
        <v>0</v>
      </c>
      <c r="DC59" s="3237"/>
      <c r="DG59" s="3235">
        <f t="shared" si="131"/>
        <v>270525277</v>
      </c>
      <c r="DH59" s="3236">
        <f t="shared" si="132"/>
        <v>270525277</v>
      </c>
      <c r="DI59" s="3236">
        <f t="shared" si="133"/>
        <v>0</v>
      </c>
      <c r="DJ59" s="3236">
        <f t="shared" si="134"/>
        <v>0</v>
      </c>
      <c r="DK59" s="3237"/>
      <c r="DO59" s="3235">
        <f t="shared" si="135"/>
        <v>270525277</v>
      </c>
      <c r="DP59" s="3236">
        <f t="shared" si="136"/>
        <v>270525277</v>
      </c>
      <c r="DQ59" s="3236">
        <f t="shared" si="137"/>
        <v>0</v>
      </c>
      <c r="DR59" s="3236">
        <f t="shared" si="138"/>
        <v>0</v>
      </c>
      <c r="DS59" s="3237"/>
      <c r="DW59" s="3235">
        <f t="shared" si="139"/>
        <v>270525277</v>
      </c>
      <c r="DX59" s="3236">
        <f t="shared" si="140"/>
        <v>270525277</v>
      </c>
      <c r="DY59" s="3236">
        <f t="shared" si="141"/>
        <v>0</v>
      </c>
      <c r="DZ59" s="3236">
        <f t="shared" si="142"/>
        <v>0</v>
      </c>
      <c r="EA59" s="3237"/>
      <c r="EE59" s="3235">
        <f t="shared" si="143"/>
        <v>270525277</v>
      </c>
      <c r="EF59" s="3236">
        <f t="shared" si="144"/>
        <v>270525277</v>
      </c>
      <c r="EG59" s="3236">
        <f t="shared" si="145"/>
        <v>0</v>
      </c>
      <c r="EH59" s="3236">
        <f t="shared" si="146"/>
        <v>0</v>
      </c>
      <c r="EI59" s="3237"/>
      <c r="EM59" s="3235">
        <f t="shared" si="147"/>
        <v>270525277</v>
      </c>
      <c r="EN59" s="3236">
        <f t="shared" si="148"/>
        <v>270525277</v>
      </c>
      <c r="EO59" s="3236">
        <f t="shared" si="149"/>
        <v>0</v>
      </c>
      <c r="EP59" s="3236">
        <f t="shared" si="150"/>
        <v>0</v>
      </c>
      <c r="EQ59" s="3237"/>
      <c r="EU59" s="3235">
        <f t="shared" si="151"/>
        <v>270525277</v>
      </c>
      <c r="EV59" s="3236">
        <f t="shared" si="152"/>
        <v>270525277</v>
      </c>
      <c r="EW59" s="3236">
        <f t="shared" si="153"/>
        <v>0</v>
      </c>
      <c r="EX59" s="3236">
        <f t="shared" si="154"/>
        <v>0</v>
      </c>
      <c r="EY59" s="3237"/>
      <c r="FC59" s="3235">
        <f t="shared" si="155"/>
        <v>270525277</v>
      </c>
      <c r="FD59" s="3236">
        <f t="shared" si="156"/>
        <v>270525277</v>
      </c>
      <c r="FE59" s="3236">
        <f t="shared" si="157"/>
        <v>0</v>
      </c>
      <c r="FF59" s="3236">
        <f t="shared" si="158"/>
        <v>0</v>
      </c>
      <c r="FG59" s="3237"/>
      <c r="FK59" s="3235">
        <f t="shared" si="159"/>
        <v>270525277</v>
      </c>
      <c r="FL59" s="3236">
        <f t="shared" si="160"/>
        <v>270525277</v>
      </c>
      <c r="FM59" s="3236">
        <f t="shared" si="161"/>
        <v>0</v>
      </c>
      <c r="FN59" s="3236">
        <f t="shared" si="162"/>
        <v>0</v>
      </c>
      <c r="FO59" s="3237"/>
    </row>
    <row r="60" spans="1:171">
      <c r="A60" s="2442"/>
      <c r="B60" s="2185" t="s">
        <v>137</v>
      </c>
      <c r="C60" s="2464">
        <v>219</v>
      </c>
      <c r="D60" s="2464">
        <v>108</v>
      </c>
      <c r="E60" s="2424" t="str">
        <f>'Sch 1- Rate Base '!E60</f>
        <v>PROD</v>
      </c>
      <c r="F60" s="2171"/>
      <c r="G60" s="2424">
        <f>'Sch 1- Rate Base '!G60</f>
        <v>1084449271</v>
      </c>
      <c r="H60" s="2424">
        <f>'Sch 1- Rate Base '!H60</f>
        <v>1084449271</v>
      </c>
      <c r="I60" s="2424">
        <f>'Sch 1- Rate Base '!I60</f>
        <v>0</v>
      </c>
      <c r="J60" s="2425">
        <f>'Sch 1- Rate Base '!J60</f>
        <v>0</v>
      </c>
      <c r="K60" s="3205">
        <f t="shared" si="82"/>
        <v>1</v>
      </c>
      <c r="O60" s="3235">
        <f t="shared" si="83"/>
        <v>1084449271</v>
      </c>
      <c r="P60" s="3236">
        <f t="shared" si="84"/>
        <v>1084449271</v>
      </c>
      <c r="Q60" s="3236">
        <f t="shared" si="85"/>
        <v>0</v>
      </c>
      <c r="R60" s="3236">
        <f t="shared" si="86"/>
        <v>0</v>
      </c>
      <c r="S60" s="3237"/>
      <c r="W60" s="3235">
        <f t="shared" si="87"/>
        <v>1084449271</v>
      </c>
      <c r="X60" s="3236">
        <f t="shared" si="88"/>
        <v>1084449271</v>
      </c>
      <c r="Y60" s="3236">
        <f t="shared" si="89"/>
        <v>0</v>
      </c>
      <c r="Z60" s="3236">
        <f t="shared" si="90"/>
        <v>0</v>
      </c>
      <c r="AA60" s="3237"/>
      <c r="AE60" s="3235">
        <f t="shared" si="91"/>
        <v>1084449271</v>
      </c>
      <c r="AF60" s="3236">
        <f t="shared" si="92"/>
        <v>1084449271</v>
      </c>
      <c r="AG60" s="3236">
        <f t="shared" si="93"/>
        <v>0</v>
      </c>
      <c r="AH60" s="3236">
        <f t="shared" si="94"/>
        <v>0</v>
      </c>
      <c r="AI60" s="3237"/>
      <c r="AM60" s="3235">
        <f t="shared" si="95"/>
        <v>1084449271</v>
      </c>
      <c r="AN60" s="3236">
        <f t="shared" si="96"/>
        <v>1084449271</v>
      </c>
      <c r="AO60" s="3236">
        <f t="shared" si="97"/>
        <v>0</v>
      </c>
      <c r="AP60" s="3236">
        <f t="shared" si="98"/>
        <v>0</v>
      </c>
      <c r="AQ60" s="3237"/>
      <c r="AU60" s="3235">
        <f t="shared" si="99"/>
        <v>1084449271</v>
      </c>
      <c r="AV60" s="3236">
        <f t="shared" si="100"/>
        <v>1084449271</v>
      </c>
      <c r="AW60" s="3236">
        <f t="shared" si="101"/>
        <v>0</v>
      </c>
      <c r="AX60" s="3236">
        <f t="shared" si="102"/>
        <v>0</v>
      </c>
      <c r="AY60" s="3237"/>
      <c r="BC60" s="3235">
        <f t="shared" si="103"/>
        <v>1084449271</v>
      </c>
      <c r="BD60" s="3236">
        <f t="shared" si="104"/>
        <v>1084449271</v>
      </c>
      <c r="BE60" s="3236">
        <f t="shared" si="105"/>
        <v>0</v>
      </c>
      <c r="BF60" s="3236">
        <f t="shared" si="106"/>
        <v>0</v>
      </c>
      <c r="BG60" s="3237"/>
      <c r="BK60" s="3235">
        <f t="shared" si="107"/>
        <v>1084449271</v>
      </c>
      <c r="BL60" s="3236">
        <f t="shared" si="108"/>
        <v>1084449271</v>
      </c>
      <c r="BM60" s="3236">
        <f t="shared" si="109"/>
        <v>0</v>
      </c>
      <c r="BN60" s="3236">
        <f t="shared" si="110"/>
        <v>0</v>
      </c>
      <c r="BO60" s="3237"/>
      <c r="BS60" s="3235">
        <f t="shared" si="111"/>
        <v>1084449271</v>
      </c>
      <c r="BT60" s="3236">
        <f t="shared" si="112"/>
        <v>1084449271</v>
      </c>
      <c r="BU60" s="3236">
        <f t="shared" si="113"/>
        <v>0</v>
      </c>
      <c r="BV60" s="3236">
        <f t="shared" si="114"/>
        <v>0</v>
      </c>
      <c r="BW60" s="3237"/>
      <c r="CA60" s="3235">
        <f t="shared" si="115"/>
        <v>1084449271</v>
      </c>
      <c r="CB60" s="3236">
        <f t="shared" si="116"/>
        <v>1084449271</v>
      </c>
      <c r="CC60" s="3236">
        <f t="shared" si="117"/>
        <v>0</v>
      </c>
      <c r="CD60" s="3236">
        <f t="shared" si="118"/>
        <v>0</v>
      </c>
      <c r="CE60" s="3237"/>
      <c r="CI60" s="3235">
        <f t="shared" si="119"/>
        <v>1084449271</v>
      </c>
      <c r="CJ60" s="3236">
        <f t="shared" si="120"/>
        <v>1084449271</v>
      </c>
      <c r="CK60" s="3236">
        <f t="shared" si="121"/>
        <v>0</v>
      </c>
      <c r="CL60" s="3236">
        <f t="shared" si="122"/>
        <v>0</v>
      </c>
      <c r="CM60" s="3237"/>
      <c r="CQ60" s="3235">
        <f t="shared" si="123"/>
        <v>1084449271</v>
      </c>
      <c r="CR60" s="3236">
        <f t="shared" si="124"/>
        <v>1084449271</v>
      </c>
      <c r="CS60" s="3236">
        <f t="shared" si="125"/>
        <v>0</v>
      </c>
      <c r="CT60" s="3236">
        <f t="shared" si="126"/>
        <v>0</v>
      </c>
      <c r="CU60" s="3237"/>
      <c r="CY60" s="3235">
        <f t="shared" si="127"/>
        <v>1084449271</v>
      </c>
      <c r="CZ60" s="3236">
        <f t="shared" si="128"/>
        <v>1084449271</v>
      </c>
      <c r="DA60" s="3236">
        <f t="shared" si="129"/>
        <v>0</v>
      </c>
      <c r="DB60" s="3236">
        <f t="shared" si="130"/>
        <v>0</v>
      </c>
      <c r="DC60" s="3237"/>
      <c r="DG60" s="3235">
        <f t="shared" si="131"/>
        <v>1084449271</v>
      </c>
      <c r="DH60" s="3236">
        <f t="shared" si="132"/>
        <v>1084449271</v>
      </c>
      <c r="DI60" s="3236">
        <f t="shared" si="133"/>
        <v>0</v>
      </c>
      <c r="DJ60" s="3236">
        <f t="shared" si="134"/>
        <v>0</v>
      </c>
      <c r="DK60" s="3237"/>
      <c r="DO60" s="3235">
        <f t="shared" si="135"/>
        <v>1084449271</v>
      </c>
      <c r="DP60" s="3236">
        <f t="shared" si="136"/>
        <v>1084449271</v>
      </c>
      <c r="DQ60" s="3236">
        <f t="shared" si="137"/>
        <v>0</v>
      </c>
      <c r="DR60" s="3236">
        <f t="shared" si="138"/>
        <v>0</v>
      </c>
      <c r="DS60" s="3237"/>
      <c r="DW60" s="3235">
        <f t="shared" si="139"/>
        <v>1084449271</v>
      </c>
      <c r="DX60" s="3236">
        <f t="shared" si="140"/>
        <v>1084449271</v>
      </c>
      <c r="DY60" s="3236">
        <f t="shared" si="141"/>
        <v>0</v>
      </c>
      <c r="DZ60" s="3236">
        <f t="shared" si="142"/>
        <v>0</v>
      </c>
      <c r="EA60" s="3237"/>
      <c r="EE60" s="3235">
        <f t="shared" si="143"/>
        <v>1084449271</v>
      </c>
      <c r="EF60" s="3236">
        <f t="shared" si="144"/>
        <v>1084449271</v>
      </c>
      <c r="EG60" s="3236">
        <f t="shared" si="145"/>
        <v>0</v>
      </c>
      <c r="EH60" s="3236">
        <f t="shared" si="146"/>
        <v>0</v>
      </c>
      <c r="EI60" s="3237"/>
      <c r="EM60" s="3235">
        <f t="shared" si="147"/>
        <v>1084449271</v>
      </c>
      <c r="EN60" s="3236">
        <f t="shared" si="148"/>
        <v>1084449271</v>
      </c>
      <c r="EO60" s="3236">
        <f t="shared" si="149"/>
        <v>0</v>
      </c>
      <c r="EP60" s="3236">
        <f t="shared" si="150"/>
        <v>0</v>
      </c>
      <c r="EQ60" s="3237"/>
      <c r="EU60" s="3235">
        <f t="shared" si="151"/>
        <v>1084449271</v>
      </c>
      <c r="EV60" s="3236">
        <f t="shared" si="152"/>
        <v>1084449271</v>
      </c>
      <c r="EW60" s="3236">
        <f t="shared" si="153"/>
        <v>0</v>
      </c>
      <c r="EX60" s="3236">
        <f t="shared" si="154"/>
        <v>0</v>
      </c>
      <c r="EY60" s="3237"/>
      <c r="FC60" s="3235">
        <f t="shared" si="155"/>
        <v>1084449271</v>
      </c>
      <c r="FD60" s="3236">
        <f t="shared" si="156"/>
        <v>1084449271</v>
      </c>
      <c r="FE60" s="3236">
        <f t="shared" si="157"/>
        <v>0</v>
      </c>
      <c r="FF60" s="3236">
        <f t="shared" si="158"/>
        <v>0</v>
      </c>
      <c r="FG60" s="3237"/>
      <c r="FK60" s="3235">
        <f t="shared" si="159"/>
        <v>1084449271</v>
      </c>
      <c r="FL60" s="3236">
        <f t="shared" si="160"/>
        <v>1084449271</v>
      </c>
      <c r="FM60" s="3236">
        <f t="shared" si="161"/>
        <v>0</v>
      </c>
      <c r="FN60" s="3236">
        <f t="shared" si="162"/>
        <v>0</v>
      </c>
      <c r="FO60" s="3237"/>
    </row>
    <row r="61" spans="1:171">
      <c r="A61" s="2442"/>
      <c r="B61" s="2185" t="s">
        <v>143</v>
      </c>
      <c r="C61" s="2464">
        <v>219</v>
      </c>
      <c r="D61" s="2464">
        <v>108</v>
      </c>
      <c r="E61" s="2424" t="str">
        <f>'Sch 1- Rate Base '!E61</f>
        <v>TRANS</v>
      </c>
      <c r="F61" s="2171"/>
      <c r="G61" s="2424">
        <f>'Sch 1- Rate Base '!G61</f>
        <v>663408032</v>
      </c>
      <c r="H61" s="2424">
        <f>'Sch 1- Rate Base '!H61</f>
        <v>0</v>
      </c>
      <c r="I61" s="2424">
        <f>'Sch 1- Rate Base '!I61</f>
        <v>0</v>
      </c>
      <c r="J61" s="2425">
        <f>'Sch 1- Rate Base '!J61</f>
        <v>663408032</v>
      </c>
      <c r="K61" s="3205">
        <f t="shared" si="82"/>
        <v>1</v>
      </c>
      <c r="O61" s="3235">
        <f t="shared" si="83"/>
        <v>663408032</v>
      </c>
      <c r="P61" s="3236">
        <f t="shared" si="84"/>
        <v>0</v>
      </c>
      <c r="Q61" s="3236">
        <f t="shared" si="85"/>
        <v>663408032</v>
      </c>
      <c r="R61" s="3236">
        <f t="shared" si="86"/>
        <v>0</v>
      </c>
      <c r="S61" s="3237"/>
      <c r="W61" s="3235">
        <f t="shared" si="87"/>
        <v>663408032</v>
      </c>
      <c r="X61" s="3236">
        <f t="shared" si="88"/>
        <v>0</v>
      </c>
      <c r="Y61" s="3236">
        <f t="shared" si="89"/>
        <v>663408032</v>
      </c>
      <c r="Z61" s="3236">
        <f t="shared" si="90"/>
        <v>0</v>
      </c>
      <c r="AA61" s="3237"/>
      <c r="AE61" s="3235">
        <f t="shared" si="91"/>
        <v>663408032</v>
      </c>
      <c r="AF61" s="3236">
        <f t="shared" si="92"/>
        <v>0</v>
      </c>
      <c r="AG61" s="3236">
        <f t="shared" si="93"/>
        <v>663408032</v>
      </c>
      <c r="AH61" s="3236">
        <f t="shared" si="94"/>
        <v>0</v>
      </c>
      <c r="AI61" s="3237"/>
      <c r="AM61" s="3235">
        <f t="shared" si="95"/>
        <v>663408032</v>
      </c>
      <c r="AN61" s="3236">
        <f t="shared" si="96"/>
        <v>0</v>
      </c>
      <c r="AO61" s="3236">
        <f t="shared" si="97"/>
        <v>663408032</v>
      </c>
      <c r="AP61" s="3236">
        <f t="shared" si="98"/>
        <v>0</v>
      </c>
      <c r="AQ61" s="3237"/>
      <c r="AU61" s="3235">
        <f t="shared" si="99"/>
        <v>663408032</v>
      </c>
      <c r="AV61" s="3236">
        <f t="shared" si="100"/>
        <v>0</v>
      </c>
      <c r="AW61" s="3236">
        <f t="shared" si="101"/>
        <v>663408032</v>
      </c>
      <c r="AX61" s="3236">
        <f t="shared" si="102"/>
        <v>0</v>
      </c>
      <c r="AY61" s="3237"/>
      <c r="BC61" s="3235">
        <f t="shared" si="103"/>
        <v>663408032</v>
      </c>
      <c r="BD61" s="3236">
        <f t="shared" si="104"/>
        <v>0</v>
      </c>
      <c r="BE61" s="3236">
        <f t="shared" si="105"/>
        <v>663408032</v>
      </c>
      <c r="BF61" s="3236">
        <f t="shared" si="106"/>
        <v>0</v>
      </c>
      <c r="BG61" s="3237"/>
      <c r="BK61" s="3235">
        <f t="shared" si="107"/>
        <v>663408032</v>
      </c>
      <c r="BL61" s="3236">
        <f t="shared" si="108"/>
        <v>0</v>
      </c>
      <c r="BM61" s="3236">
        <f t="shared" si="109"/>
        <v>663408032</v>
      </c>
      <c r="BN61" s="3236">
        <f t="shared" si="110"/>
        <v>0</v>
      </c>
      <c r="BO61" s="3237"/>
      <c r="BS61" s="3235">
        <f t="shared" si="111"/>
        <v>663408032</v>
      </c>
      <c r="BT61" s="3236">
        <f t="shared" si="112"/>
        <v>0</v>
      </c>
      <c r="BU61" s="3236">
        <f t="shared" si="113"/>
        <v>663408032</v>
      </c>
      <c r="BV61" s="3236">
        <f t="shared" si="114"/>
        <v>0</v>
      </c>
      <c r="BW61" s="3237"/>
      <c r="CA61" s="3235">
        <f t="shared" si="115"/>
        <v>663408032</v>
      </c>
      <c r="CB61" s="3236">
        <f t="shared" si="116"/>
        <v>0</v>
      </c>
      <c r="CC61" s="3236">
        <f t="shared" si="117"/>
        <v>663408032</v>
      </c>
      <c r="CD61" s="3236">
        <f t="shared" si="118"/>
        <v>0</v>
      </c>
      <c r="CE61" s="3237"/>
      <c r="CI61" s="3235">
        <f t="shared" si="119"/>
        <v>663408032</v>
      </c>
      <c r="CJ61" s="3236">
        <f t="shared" si="120"/>
        <v>0</v>
      </c>
      <c r="CK61" s="3236">
        <f t="shared" si="121"/>
        <v>663408032</v>
      </c>
      <c r="CL61" s="3236">
        <f t="shared" si="122"/>
        <v>0</v>
      </c>
      <c r="CM61" s="3237"/>
      <c r="CQ61" s="3235">
        <f t="shared" si="123"/>
        <v>663408032</v>
      </c>
      <c r="CR61" s="3236">
        <f t="shared" si="124"/>
        <v>0</v>
      </c>
      <c r="CS61" s="3236">
        <f t="shared" si="125"/>
        <v>663408032</v>
      </c>
      <c r="CT61" s="3236">
        <f t="shared" si="126"/>
        <v>0</v>
      </c>
      <c r="CU61" s="3237"/>
      <c r="CY61" s="3235">
        <f t="shared" si="127"/>
        <v>663408032</v>
      </c>
      <c r="CZ61" s="3236">
        <f t="shared" si="128"/>
        <v>0</v>
      </c>
      <c r="DA61" s="3236">
        <f t="shared" si="129"/>
        <v>663408032</v>
      </c>
      <c r="DB61" s="3236">
        <f t="shared" si="130"/>
        <v>0</v>
      </c>
      <c r="DC61" s="3237"/>
      <c r="DG61" s="3235">
        <f t="shared" si="131"/>
        <v>663408032</v>
      </c>
      <c r="DH61" s="3236">
        <f t="shared" si="132"/>
        <v>0</v>
      </c>
      <c r="DI61" s="3236">
        <f t="shared" si="133"/>
        <v>663408032</v>
      </c>
      <c r="DJ61" s="3236">
        <f t="shared" si="134"/>
        <v>0</v>
      </c>
      <c r="DK61" s="3237"/>
      <c r="DO61" s="3235">
        <f t="shared" si="135"/>
        <v>663408032</v>
      </c>
      <c r="DP61" s="3236">
        <f t="shared" si="136"/>
        <v>0</v>
      </c>
      <c r="DQ61" s="3236">
        <f t="shared" si="137"/>
        <v>663408032</v>
      </c>
      <c r="DR61" s="3236">
        <f t="shared" si="138"/>
        <v>0</v>
      </c>
      <c r="DS61" s="3237"/>
      <c r="DW61" s="3235">
        <f t="shared" si="139"/>
        <v>663408032</v>
      </c>
      <c r="DX61" s="3236">
        <f t="shared" si="140"/>
        <v>0</v>
      </c>
      <c r="DY61" s="3236">
        <f t="shared" si="141"/>
        <v>663408032</v>
      </c>
      <c r="DZ61" s="3236">
        <f t="shared" si="142"/>
        <v>0</v>
      </c>
      <c r="EA61" s="3237"/>
      <c r="EE61" s="3235">
        <f t="shared" si="143"/>
        <v>663408032</v>
      </c>
      <c r="EF61" s="3236">
        <f t="shared" si="144"/>
        <v>0</v>
      </c>
      <c r="EG61" s="3236">
        <f t="shared" si="145"/>
        <v>663408032</v>
      </c>
      <c r="EH61" s="3236">
        <f t="shared" si="146"/>
        <v>0</v>
      </c>
      <c r="EI61" s="3237"/>
      <c r="EM61" s="3235">
        <f t="shared" si="147"/>
        <v>663408032</v>
      </c>
      <c r="EN61" s="3236">
        <f t="shared" si="148"/>
        <v>0</v>
      </c>
      <c r="EO61" s="3236">
        <f t="shared" si="149"/>
        <v>663408032</v>
      </c>
      <c r="EP61" s="3236">
        <f t="shared" si="150"/>
        <v>0</v>
      </c>
      <c r="EQ61" s="3237"/>
      <c r="EU61" s="3235">
        <f t="shared" si="151"/>
        <v>663408032</v>
      </c>
      <c r="EV61" s="3236">
        <f t="shared" si="152"/>
        <v>0</v>
      </c>
      <c r="EW61" s="3236">
        <f t="shared" si="153"/>
        <v>663408032</v>
      </c>
      <c r="EX61" s="3236">
        <f t="shared" si="154"/>
        <v>0</v>
      </c>
      <c r="EY61" s="3237"/>
      <c r="FC61" s="3235">
        <f t="shared" si="155"/>
        <v>663408032</v>
      </c>
      <c r="FD61" s="3236">
        <f t="shared" si="156"/>
        <v>0</v>
      </c>
      <c r="FE61" s="3236">
        <f t="shared" si="157"/>
        <v>663408032</v>
      </c>
      <c r="FF61" s="3236">
        <f t="shared" si="158"/>
        <v>0</v>
      </c>
      <c r="FG61" s="3237"/>
      <c r="FK61" s="3235">
        <f t="shared" si="159"/>
        <v>663408032</v>
      </c>
      <c r="FL61" s="3236">
        <f t="shared" si="160"/>
        <v>0</v>
      </c>
      <c r="FM61" s="3236">
        <f t="shared" si="161"/>
        <v>663408032</v>
      </c>
      <c r="FN61" s="3236">
        <f t="shared" si="162"/>
        <v>0</v>
      </c>
      <c r="FO61" s="3237"/>
    </row>
    <row r="62" spans="1:171">
      <c r="A62" s="2442"/>
      <c r="B62" s="2185" t="s">
        <v>469</v>
      </c>
      <c r="C62" s="2464">
        <v>219</v>
      </c>
      <c r="D62" s="2464">
        <v>108</v>
      </c>
      <c r="E62" s="2424" t="str">
        <f>'Sch 1- Rate Base '!E62</f>
        <v>DIST</v>
      </c>
      <c r="F62" s="2171"/>
      <c r="G62" s="2424">
        <f>'Sch 1- Rate Base '!G62</f>
        <v>2008273620</v>
      </c>
      <c r="H62" s="2424">
        <f>'Sch 1- Rate Base '!H62</f>
        <v>0</v>
      </c>
      <c r="I62" s="2424">
        <f>'Sch 1- Rate Base '!I62</f>
        <v>0</v>
      </c>
      <c r="J62" s="2425">
        <f>'Sch 1- Rate Base '!J62</f>
        <v>2008273620</v>
      </c>
      <c r="K62" s="3205">
        <f t="shared" si="82"/>
        <v>1</v>
      </c>
      <c r="O62" s="3235">
        <f t="shared" si="83"/>
        <v>2008273620</v>
      </c>
      <c r="P62" s="3236">
        <f t="shared" si="84"/>
        <v>0</v>
      </c>
      <c r="Q62" s="3236">
        <f t="shared" si="85"/>
        <v>0</v>
      </c>
      <c r="R62" s="3236">
        <f t="shared" si="86"/>
        <v>2008273620</v>
      </c>
      <c r="S62" s="3237"/>
      <c r="W62" s="3235">
        <f t="shared" si="87"/>
        <v>2008273620</v>
      </c>
      <c r="X62" s="3236">
        <f t="shared" si="88"/>
        <v>0</v>
      </c>
      <c r="Y62" s="3236">
        <f t="shared" si="89"/>
        <v>0</v>
      </c>
      <c r="Z62" s="3236">
        <f t="shared" si="90"/>
        <v>2008273620</v>
      </c>
      <c r="AA62" s="3237"/>
      <c r="AE62" s="3235">
        <f t="shared" si="91"/>
        <v>2008273620</v>
      </c>
      <c r="AF62" s="3236">
        <f t="shared" si="92"/>
        <v>0</v>
      </c>
      <c r="AG62" s="3236">
        <f t="shared" si="93"/>
        <v>0</v>
      </c>
      <c r="AH62" s="3236">
        <f t="shared" si="94"/>
        <v>2008273620</v>
      </c>
      <c r="AI62" s="3237"/>
      <c r="AM62" s="3235">
        <f t="shared" si="95"/>
        <v>2008273620</v>
      </c>
      <c r="AN62" s="3236">
        <f t="shared" si="96"/>
        <v>0</v>
      </c>
      <c r="AO62" s="3236">
        <f t="shared" si="97"/>
        <v>0</v>
      </c>
      <c r="AP62" s="3236">
        <f t="shared" si="98"/>
        <v>2008273620</v>
      </c>
      <c r="AQ62" s="3237"/>
      <c r="AU62" s="3235">
        <f t="shared" si="99"/>
        <v>2008273620</v>
      </c>
      <c r="AV62" s="3236">
        <f t="shared" si="100"/>
        <v>0</v>
      </c>
      <c r="AW62" s="3236">
        <f t="shared" si="101"/>
        <v>0</v>
      </c>
      <c r="AX62" s="3236">
        <f t="shared" si="102"/>
        <v>2008273620</v>
      </c>
      <c r="AY62" s="3237"/>
      <c r="BC62" s="3235">
        <f t="shared" si="103"/>
        <v>2008273620</v>
      </c>
      <c r="BD62" s="3236">
        <f t="shared" si="104"/>
        <v>0</v>
      </c>
      <c r="BE62" s="3236">
        <f t="shared" si="105"/>
        <v>0</v>
      </c>
      <c r="BF62" s="3236">
        <f t="shared" si="106"/>
        <v>2008273620</v>
      </c>
      <c r="BG62" s="3237"/>
      <c r="BK62" s="3235">
        <f t="shared" si="107"/>
        <v>2008273620</v>
      </c>
      <c r="BL62" s="3236">
        <f t="shared" si="108"/>
        <v>0</v>
      </c>
      <c r="BM62" s="3236">
        <f t="shared" si="109"/>
        <v>0</v>
      </c>
      <c r="BN62" s="3236">
        <f t="shared" si="110"/>
        <v>2008273620</v>
      </c>
      <c r="BO62" s="3237"/>
      <c r="BS62" s="3235">
        <f t="shared" si="111"/>
        <v>2008273620</v>
      </c>
      <c r="BT62" s="3236">
        <f t="shared" si="112"/>
        <v>0</v>
      </c>
      <c r="BU62" s="3236">
        <f t="shared" si="113"/>
        <v>0</v>
      </c>
      <c r="BV62" s="3236">
        <f t="shared" si="114"/>
        <v>2008273620</v>
      </c>
      <c r="BW62" s="3237"/>
      <c r="CA62" s="3235">
        <f t="shared" si="115"/>
        <v>2008273620</v>
      </c>
      <c r="CB62" s="3236">
        <f t="shared" si="116"/>
        <v>0</v>
      </c>
      <c r="CC62" s="3236">
        <f t="shared" si="117"/>
        <v>0</v>
      </c>
      <c r="CD62" s="3236">
        <f t="shared" si="118"/>
        <v>2008273620</v>
      </c>
      <c r="CE62" s="3237"/>
      <c r="CI62" s="3235">
        <f t="shared" si="119"/>
        <v>2008273620</v>
      </c>
      <c r="CJ62" s="3236">
        <f t="shared" si="120"/>
        <v>0</v>
      </c>
      <c r="CK62" s="3236">
        <f t="shared" si="121"/>
        <v>0</v>
      </c>
      <c r="CL62" s="3236">
        <f t="shared" si="122"/>
        <v>2008273620</v>
      </c>
      <c r="CM62" s="3237"/>
      <c r="CQ62" s="3235">
        <f t="shared" si="123"/>
        <v>2008273620</v>
      </c>
      <c r="CR62" s="3236">
        <f t="shared" si="124"/>
        <v>0</v>
      </c>
      <c r="CS62" s="3236">
        <f t="shared" si="125"/>
        <v>0</v>
      </c>
      <c r="CT62" s="3236">
        <f t="shared" si="126"/>
        <v>2008273620</v>
      </c>
      <c r="CU62" s="3237"/>
      <c r="CY62" s="3235">
        <f t="shared" si="127"/>
        <v>2008273620</v>
      </c>
      <c r="CZ62" s="3236">
        <f t="shared" si="128"/>
        <v>0</v>
      </c>
      <c r="DA62" s="3236">
        <f t="shared" si="129"/>
        <v>0</v>
      </c>
      <c r="DB62" s="3236">
        <f t="shared" si="130"/>
        <v>2008273620</v>
      </c>
      <c r="DC62" s="3237"/>
      <c r="DG62" s="3235">
        <f t="shared" si="131"/>
        <v>2008273620</v>
      </c>
      <c r="DH62" s="3236">
        <f t="shared" si="132"/>
        <v>0</v>
      </c>
      <c r="DI62" s="3236">
        <f t="shared" si="133"/>
        <v>0</v>
      </c>
      <c r="DJ62" s="3236">
        <f t="shared" si="134"/>
        <v>2008273620</v>
      </c>
      <c r="DK62" s="3237"/>
      <c r="DO62" s="3235">
        <f t="shared" si="135"/>
        <v>2008273620</v>
      </c>
      <c r="DP62" s="3236">
        <f t="shared" si="136"/>
        <v>0</v>
      </c>
      <c r="DQ62" s="3236">
        <f t="shared" si="137"/>
        <v>0</v>
      </c>
      <c r="DR62" s="3236">
        <f t="shared" si="138"/>
        <v>2008273620</v>
      </c>
      <c r="DS62" s="3237"/>
      <c r="DW62" s="3235">
        <f t="shared" si="139"/>
        <v>2008273620</v>
      </c>
      <c r="DX62" s="3236">
        <f t="shared" si="140"/>
        <v>0</v>
      </c>
      <c r="DY62" s="3236">
        <f t="shared" si="141"/>
        <v>0</v>
      </c>
      <c r="DZ62" s="3236">
        <f t="shared" si="142"/>
        <v>2008273620</v>
      </c>
      <c r="EA62" s="3237"/>
      <c r="EE62" s="3235">
        <f t="shared" si="143"/>
        <v>2008273620</v>
      </c>
      <c r="EF62" s="3236">
        <f t="shared" si="144"/>
        <v>0</v>
      </c>
      <c r="EG62" s="3236">
        <f t="shared" si="145"/>
        <v>0</v>
      </c>
      <c r="EH62" s="3236">
        <f t="shared" si="146"/>
        <v>2008273620</v>
      </c>
      <c r="EI62" s="3237"/>
      <c r="EM62" s="3235">
        <f t="shared" si="147"/>
        <v>2008273620</v>
      </c>
      <c r="EN62" s="3236">
        <f t="shared" si="148"/>
        <v>0</v>
      </c>
      <c r="EO62" s="3236">
        <f t="shared" si="149"/>
        <v>0</v>
      </c>
      <c r="EP62" s="3236">
        <f t="shared" si="150"/>
        <v>2008273620</v>
      </c>
      <c r="EQ62" s="3237"/>
      <c r="EU62" s="3235">
        <f t="shared" si="151"/>
        <v>2008273620</v>
      </c>
      <c r="EV62" s="3236">
        <f t="shared" si="152"/>
        <v>0</v>
      </c>
      <c r="EW62" s="3236">
        <f t="shared" si="153"/>
        <v>0</v>
      </c>
      <c r="EX62" s="3236">
        <f t="shared" si="154"/>
        <v>2008273620</v>
      </c>
      <c r="EY62" s="3237"/>
      <c r="FC62" s="3235">
        <f t="shared" si="155"/>
        <v>2008273620</v>
      </c>
      <c r="FD62" s="3236">
        <f t="shared" si="156"/>
        <v>0</v>
      </c>
      <c r="FE62" s="3236">
        <f t="shared" si="157"/>
        <v>0</v>
      </c>
      <c r="FF62" s="3236">
        <f t="shared" si="158"/>
        <v>2008273620</v>
      </c>
      <c r="FG62" s="3237"/>
      <c r="FK62" s="3235">
        <f t="shared" si="159"/>
        <v>2008273620</v>
      </c>
      <c r="FL62" s="3236">
        <f t="shared" si="160"/>
        <v>0</v>
      </c>
      <c r="FM62" s="3236">
        <f t="shared" si="161"/>
        <v>0</v>
      </c>
      <c r="FN62" s="3236">
        <f t="shared" si="162"/>
        <v>2008273620</v>
      </c>
      <c r="FO62" s="3237"/>
    </row>
    <row r="63" spans="1:171">
      <c r="A63" s="2442"/>
      <c r="B63" s="2185" t="s">
        <v>92</v>
      </c>
      <c r="C63" s="2464">
        <v>219</v>
      </c>
      <c r="D63" s="2464">
        <v>108</v>
      </c>
      <c r="E63" s="2424" t="str">
        <f>'Sch 1- Rate Base '!E63</f>
        <v>GP</v>
      </c>
      <c r="F63" s="2171"/>
      <c r="G63" s="2424">
        <f>'Sch 1- Rate Base '!G63</f>
        <v>199145541</v>
      </c>
      <c r="H63" s="2424">
        <f>'Sch 1- Rate Base '!H63</f>
        <v>67862927.406866983</v>
      </c>
      <c r="I63" s="2424">
        <f>'Sch 1- Rate Base '!I63</f>
        <v>0</v>
      </c>
      <c r="J63" s="2425">
        <f>'Sch 1- Rate Base '!J63</f>
        <v>131282613.59313303</v>
      </c>
      <c r="K63" s="3205">
        <f t="shared" si="82"/>
        <v>1</v>
      </c>
      <c r="O63" s="3235">
        <f t="shared" si="83"/>
        <v>199145541</v>
      </c>
      <c r="P63" s="3236">
        <f t="shared" si="84"/>
        <v>67862927.406866983</v>
      </c>
      <c r="Q63" s="3236">
        <f t="shared" si="85"/>
        <v>33433730.197348591</v>
      </c>
      <c r="R63" s="3236">
        <f t="shared" si="86"/>
        <v>97848883.395784438</v>
      </c>
      <c r="S63" s="3237"/>
      <c r="W63" s="3235">
        <f t="shared" si="87"/>
        <v>199145541</v>
      </c>
      <c r="X63" s="3236">
        <f t="shared" si="88"/>
        <v>67862927.406866983</v>
      </c>
      <c r="Y63" s="3236">
        <f t="shared" si="89"/>
        <v>33433730.197348591</v>
      </c>
      <c r="Z63" s="3236">
        <f t="shared" si="90"/>
        <v>97848883.395784438</v>
      </c>
      <c r="AA63" s="3237"/>
      <c r="AE63" s="3235">
        <f t="shared" si="91"/>
        <v>199145541</v>
      </c>
      <c r="AF63" s="3236">
        <f t="shared" si="92"/>
        <v>67862927.406866983</v>
      </c>
      <c r="AG63" s="3236">
        <f t="shared" si="93"/>
        <v>33433730.197348591</v>
      </c>
      <c r="AH63" s="3236">
        <f t="shared" si="94"/>
        <v>97848883.395784438</v>
      </c>
      <c r="AI63" s="3237"/>
      <c r="AM63" s="3235">
        <f t="shared" si="95"/>
        <v>199145541</v>
      </c>
      <c r="AN63" s="3236">
        <f t="shared" si="96"/>
        <v>67862927.406866983</v>
      </c>
      <c r="AO63" s="3236">
        <f t="shared" si="97"/>
        <v>33433730.197348591</v>
      </c>
      <c r="AP63" s="3236">
        <f t="shared" si="98"/>
        <v>97848883.395784438</v>
      </c>
      <c r="AQ63" s="3237"/>
      <c r="AU63" s="3235">
        <f t="shared" si="99"/>
        <v>199145541</v>
      </c>
      <c r="AV63" s="3236">
        <f t="shared" si="100"/>
        <v>67862927.406866983</v>
      </c>
      <c r="AW63" s="3236">
        <f t="shared" si="101"/>
        <v>33433730.197348591</v>
      </c>
      <c r="AX63" s="3236">
        <f t="shared" si="102"/>
        <v>97848883.395784438</v>
      </c>
      <c r="AY63" s="3237"/>
      <c r="BC63" s="3235">
        <f t="shared" si="103"/>
        <v>199145541</v>
      </c>
      <c r="BD63" s="3236">
        <f t="shared" si="104"/>
        <v>67862927.406866983</v>
      </c>
      <c r="BE63" s="3236">
        <f t="shared" si="105"/>
        <v>33433730.197348591</v>
      </c>
      <c r="BF63" s="3236">
        <f t="shared" si="106"/>
        <v>97848883.395784438</v>
      </c>
      <c r="BG63" s="3237"/>
      <c r="BK63" s="3235">
        <f t="shared" si="107"/>
        <v>199145541</v>
      </c>
      <c r="BL63" s="3236">
        <f t="shared" si="108"/>
        <v>67862927.406866983</v>
      </c>
      <c r="BM63" s="3236">
        <f t="shared" si="109"/>
        <v>33433730.197348591</v>
      </c>
      <c r="BN63" s="3236">
        <f t="shared" si="110"/>
        <v>97848883.395784438</v>
      </c>
      <c r="BO63" s="3237"/>
      <c r="BS63" s="3235">
        <f t="shared" si="111"/>
        <v>199145541</v>
      </c>
      <c r="BT63" s="3236">
        <f t="shared" si="112"/>
        <v>67862927.406866983</v>
      </c>
      <c r="BU63" s="3236">
        <f t="shared" si="113"/>
        <v>33433730.197348591</v>
      </c>
      <c r="BV63" s="3236">
        <f t="shared" si="114"/>
        <v>97848883.395784438</v>
      </c>
      <c r="BW63" s="3237"/>
      <c r="CA63" s="3235">
        <f t="shared" si="115"/>
        <v>199145541</v>
      </c>
      <c r="CB63" s="3236">
        <f t="shared" si="116"/>
        <v>67862927.406866983</v>
      </c>
      <c r="CC63" s="3236">
        <f t="shared" si="117"/>
        <v>33433730.197348591</v>
      </c>
      <c r="CD63" s="3236">
        <f t="shared" si="118"/>
        <v>97848883.395784438</v>
      </c>
      <c r="CE63" s="3237"/>
      <c r="CI63" s="3235">
        <f t="shared" si="119"/>
        <v>199145541</v>
      </c>
      <c r="CJ63" s="3236">
        <f t="shared" si="120"/>
        <v>67862927.406866983</v>
      </c>
      <c r="CK63" s="3236">
        <f t="shared" si="121"/>
        <v>33433730.197348591</v>
      </c>
      <c r="CL63" s="3236">
        <f t="shared" si="122"/>
        <v>97848883.395784438</v>
      </c>
      <c r="CM63" s="3237"/>
      <c r="CQ63" s="3235">
        <f t="shared" si="123"/>
        <v>199145541</v>
      </c>
      <c r="CR63" s="3236">
        <f t="shared" si="124"/>
        <v>67862927.406866983</v>
      </c>
      <c r="CS63" s="3236">
        <f t="shared" si="125"/>
        <v>33433730.197348591</v>
      </c>
      <c r="CT63" s="3236">
        <f t="shared" si="126"/>
        <v>97848883.395784438</v>
      </c>
      <c r="CU63" s="3237"/>
      <c r="CY63" s="3235">
        <f t="shared" si="127"/>
        <v>199145541</v>
      </c>
      <c r="CZ63" s="3236">
        <f t="shared" si="128"/>
        <v>67862927.406866983</v>
      </c>
      <c r="DA63" s="3236">
        <f t="shared" si="129"/>
        <v>33433730.197348591</v>
      </c>
      <c r="DB63" s="3236">
        <f t="shared" si="130"/>
        <v>97848883.395784438</v>
      </c>
      <c r="DC63" s="3237"/>
      <c r="DG63" s="3235">
        <f t="shared" si="131"/>
        <v>199145541</v>
      </c>
      <c r="DH63" s="3236">
        <f t="shared" si="132"/>
        <v>67862927.406866983</v>
      </c>
      <c r="DI63" s="3236">
        <f t="shared" si="133"/>
        <v>33433730.197348591</v>
      </c>
      <c r="DJ63" s="3236">
        <f t="shared" si="134"/>
        <v>97848883.395784438</v>
      </c>
      <c r="DK63" s="3237"/>
      <c r="DO63" s="3235">
        <f t="shared" si="135"/>
        <v>199145541</v>
      </c>
      <c r="DP63" s="3236">
        <f t="shared" si="136"/>
        <v>67862927.406866983</v>
      </c>
      <c r="DQ63" s="3236">
        <f t="shared" si="137"/>
        <v>33433730.197348591</v>
      </c>
      <c r="DR63" s="3236">
        <f t="shared" si="138"/>
        <v>97848883.395784438</v>
      </c>
      <c r="DS63" s="3237"/>
      <c r="DW63" s="3235">
        <f t="shared" si="139"/>
        <v>199145541</v>
      </c>
      <c r="DX63" s="3236">
        <f t="shared" si="140"/>
        <v>67862927.406866983</v>
      </c>
      <c r="DY63" s="3236">
        <f t="shared" si="141"/>
        <v>33433730.197348591</v>
      </c>
      <c r="DZ63" s="3236">
        <f t="shared" si="142"/>
        <v>97848883.395784438</v>
      </c>
      <c r="EA63" s="3237"/>
      <c r="EE63" s="3235">
        <f t="shared" si="143"/>
        <v>199145541</v>
      </c>
      <c r="EF63" s="3236">
        <f t="shared" si="144"/>
        <v>67862927.406866983</v>
      </c>
      <c r="EG63" s="3236">
        <f t="shared" si="145"/>
        <v>33433730.197348591</v>
      </c>
      <c r="EH63" s="3236">
        <f t="shared" si="146"/>
        <v>97848883.395784438</v>
      </c>
      <c r="EI63" s="3237"/>
      <c r="EM63" s="3235">
        <f t="shared" si="147"/>
        <v>199145541</v>
      </c>
      <c r="EN63" s="3236">
        <f t="shared" si="148"/>
        <v>67862927.406866983</v>
      </c>
      <c r="EO63" s="3236">
        <f t="shared" si="149"/>
        <v>33433730.197348591</v>
      </c>
      <c r="EP63" s="3236">
        <f t="shared" si="150"/>
        <v>97848883.395784438</v>
      </c>
      <c r="EQ63" s="3237"/>
      <c r="EU63" s="3235">
        <f t="shared" si="151"/>
        <v>199145541</v>
      </c>
      <c r="EV63" s="3236">
        <f t="shared" si="152"/>
        <v>67862927.406866983</v>
      </c>
      <c r="EW63" s="3236">
        <f t="shared" si="153"/>
        <v>33433730.197348591</v>
      </c>
      <c r="EX63" s="3236">
        <f t="shared" si="154"/>
        <v>97848883.395784438</v>
      </c>
      <c r="EY63" s="3237"/>
      <c r="FC63" s="3235">
        <f t="shared" si="155"/>
        <v>199145541</v>
      </c>
      <c r="FD63" s="3236">
        <f t="shared" si="156"/>
        <v>67862927.406866983</v>
      </c>
      <c r="FE63" s="3236">
        <f t="shared" si="157"/>
        <v>33433730.197348591</v>
      </c>
      <c r="FF63" s="3236">
        <f t="shared" si="158"/>
        <v>97848883.395784438</v>
      </c>
      <c r="FG63" s="3237"/>
      <c r="FK63" s="3235">
        <f t="shared" si="159"/>
        <v>199145541</v>
      </c>
      <c r="FL63" s="3236">
        <f t="shared" si="160"/>
        <v>67862927.406866983</v>
      </c>
      <c r="FM63" s="3236">
        <f t="shared" si="161"/>
        <v>33433730.197348591</v>
      </c>
      <c r="FN63" s="3236">
        <f t="shared" si="162"/>
        <v>97848883.395784438</v>
      </c>
      <c r="FO63" s="3237"/>
    </row>
    <row r="64" spans="1:171">
      <c r="A64" s="2442"/>
      <c r="B64" s="2185" t="s">
        <v>368</v>
      </c>
      <c r="C64" s="2464">
        <v>219</v>
      </c>
      <c r="D64" s="2464">
        <v>108</v>
      </c>
      <c r="E64" s="2424" t="str">
        <f>'Sch 1- Rate Base '!E64</f>
        <v>DIST</v>
      </c>
      <c r="F64" s="2171"/>
      <c r="G64" s="2424">
        <f>'Sch 1- Rate Base '!G64</f>
        <v>0</v>
      </c>
      <c r="H64" s="2424">
        <f>'Sch 1- Rate Base '!H64</f>
        <v>0</v>
      </c>
      <c r="I64" s="2424">
        <f>'Sch 1- Rate Base '!I64</f>
        <v>0</v>
      </c>
      <c r="J64" s="2425">
        <f>'Sch 1- Rate Base '!J64</f>
        <v>0</v>
      </c>
      <c r="K64" s="3205">
        <f t="shared" si="82"/>
        <v>1</v>
      </c>
      <c r="O64" s="3235">
        <f t="shared" si="83"/>
        <v>0</v>
      </c>
      <c r="P64" s="3236">
        <f t="shared" si="84"/>
        <v>0</v>
      </c>
      <c r="Q64" s="3236">
        <f t="shared" si="85"/>
        <v>0</v>
      </c>
      <c r="R64" s="3236">
        <f t="shared" si="86"/>
        <v>0</v>
      </c>
      <c r="S64" s="3237"/>
      <c r="W64" s="3235">
        <f t="shared" si="87"/>
        <v>0</v>
      </c>
      <c r="X64" s="3236">
        <f t="shared" si="88"/>
        <v>0</v>
      </c>
      <c r="Y64" s="3236">
        <f t="shared" si="89"/>
        <v>0</v>
      </c>
      <c r="Z64" s="3236">
        <f t="shared" si="90"/>
        <v>0</v>
      </c>
      <c r="AA64" s="3237"/>
      <c r="AE64" s="3235">
        <f t="shared" si="91"/>
        <v>0</v>
      </c>
      <c r="AF64" s="3236">
        <f t="shared" si="92"/>
        <v>0</v>
      </c>
      <c r="AG64" s="3236">
        <f t="shared" si="93"/>
        <v>0</v>
      </c>
      <c r="AH64" s="3236">
        <f t="shared" si="94"/>
        <v>0</v>
      </c>
      <c r="AI64" s="3237"/>
      <c r="AM64" s="3235">
        <f t="shared" si="95"/>
        <v>0</v>
      </c>
      <c r="AN64" s="3236">
        <f t="shared" si="96"/>
        <v>0</v>
      </c>
      <c r="AO64" s="3236">
        <f t="shared" si="97"/>
        <v>0</v>
      </c>
      <c r="AP64" s="3236">
        <f t="shared" si="98"/>
        <v>0</v>
      </c>
      <c r="AQ64" s="3237"/>
      <c r="AU64" s="3235">
        <f t="shared" si="99"/>
        <v>0</v>
      </c>
      <c r="AV64" s="3236">
        <f t="shared" si="100"/>
        <v>0</v>
      </c>
      <c r="AW64" s="3236">
        <f t="shared" si="101"/>
        <v>0</v>
      </c>
      <c r="AX64" s="3236">
        <f t="shared" si="102"/>
        <v>0</v>
      </c>
      <c r="AY64" s="3237"/>
      <c r="BC64" s="3235">
        <f t="shared" si="103"/>
        <v>0</v>
      </c>
      <c r="BD64" s="3236">
        <f t="shared" si="104"/>
        <v>0</v>
      </c>
      <c r="BE64" s="3236">
        <f t="shared" si="105"/>
        <v>0</v>
      </c>
      <c r="BF64" s="3236">
        <f t="shared" si="106"/>
        <v>0</v>
      </c>
      <c r="BG64" s="3237"/>
      <c r="BK64" s="3235">
        <f t="shared" si="107"/>
        <v>0</v>
      </c>
      <c r="BL64" s="3236">
        <f t="shared" si="108"/>
        <v>0</v>
      </c>
      <c r="BM64" s="3236">
        <f t="shared" si="109"/>
        <v>0</v>
      </c>
      <c r="BN64" s="3236">
        <f t="shared" si="110"/>
        <v>0</v>
      </c>
      <c r="BO64" s="3237"/>
      <c r="BS64" s="3235">
        <f t="shared" si="111"/>
        <v>0</v>
      </c>
      <c r="BT64" s="3236">
        <f t="shared" si="112"/>
        <v>0</v>
      </c>
      <c r="BU64" s="3236">
        <f t="shared" si="113"/>
        <v>0</v>
      </c>
      <c r="BV64" s="3236">
        <f t="shared" si="114"/>
        <v>0</v>
      </c>
      <c r="BW64" s="3237"/>
      <c r="CA64" s="3235">
        <f t="shared" si="115"/>
        <v>0</v>
      </c>
      <c r="CB64" s="3236">
        <f t="shared" si="116"/>
        <v>0</v>
      </c>
      <c r="CC64" s="3236">
        <f t="shared" si="117"/>
        <v>0</v>
      </c>
      <c r="CD64" s="3236">
        <f t="shared" si="118"/>
        <v>0</v>
      </c>
      <c r="CE64" s="3237"/>
      <c r="CI64" s="3235">
        <f t="shared" si="119"/>
        <v>0</v>
      </c>
      <c r="CJ64" s="3236">
        <f t="shared" si="120"/>
        <v>0</v>
      </c>
      <c r="CK64" s="3236">
        <f t="shared" si="121"/>
        <v>0</v>
      </c>
      <c r="CL64" s="3236">
        <f t="shared" si="122"/>
        <v>0</v>
      </c>
      <c r="CM64" s="3237"/>
      <c r="CQ64" s="3235">
        <f t="shared" si="123"/>
        <v>0</v>
      </c>
      <c r="CR64" s="3236">
        <f t="shared" si="124"/>
        <v>0</v>
      </c>
      <c r="CS64" s="3236">
        <f t="shared" si="125"/>
        <v>0</v>
      </c>
      <c r="CT64" s="3236">
        <f t="shared" si="126"/>
        <v>0</v>
      </c>
      <c r="CU64" s="3237"/>
      <c r="CY64" s="3235">
        <f t="shared" si="127"/>
        <v>0</v>
      </c>
      <c r="CZ64" s="3236">
        <f t="shared" si="128"/>
        <v>0</v>
      </c>
      <c r="DA64" s="3236">
        <f t="shared" si="129"/>
        <v>0</v>
      </c>
      <c r="DB64" s="3236">
        <f t="shared" si="130"/>
        <v>0</v>
      </c>
      <c r="DC64" s="3237"/>
      <c r="DG64" s="3235">
        <f t="shared" si="131"/>
        <v>0</v>
      </c>
      <c r="DH64" s="3236">
        <f t="shared" si="132"/>
        <v>0</v>
      </c>
      <c r="DI64" s="3236">
        <f t="shared" si="133"/>
        <v>0</v>
      </c>
      <c r="DJ64" s="3236">
        <f t="shared" si="134"/>
        <v>0</v>
      </c>
      <c r="DK64" s="3237"/>
      <c r="DO64" s="3235">
        <f t="shared" si="135"/>
        <v>0</v>
      </c>
      <c r="DP64" s="3236">
        <f t="shared" si="136"/>
        <v>0</v>
      </c>
      <c r="DQ64" s="3236">
        <f t="shared" si="137"/>
        <v>0</v>
      </c>
      <c r="DR64" s="3236">
        <f t="shared" si="138"/>
        <v>0</v>
      </c>
      <c r="DS64" s="3237"/>
      <c r="DW64" s="3235">
        <f t="shared" si="139"/>
        <v>0</v>
      </c>
      <c r="DX64" s="3236">
        <f t="shared" si="140"/>
        <v>0</v>
      </c>
      <c r="DY64" s="3236">
        <f t="shared" si="141"/>
        <v>0</v>
      </c>
      <c r="DZ64" s="3236">
        <f t="shared" si="142"/>
        <v>0</v>
      </c>
      <c r="EA64" s="3237"/>
      <c r="EE64" s="3235">
        <f t="shared" si="143"/>
        <v>0</v>
      </c>
      <c r="EF64" s="3236">
        <f t="shared" si="144"/>
        <v>0</v>
      </c>
      <c r="EG64" s="3236">
        <f t="shared" si="145"/>
        <v>0</v>
      </c>
      <c r="EH64" s="3236">
        <f t="shared" si="146"/>
        <v>0</v>
      </c>
      <c r="EI64" s="3237"/>
      <c r="EM64" s="3235">
        <f t="shared" si="147"/>
        <v>0</v>
      </c>
      <c r="EN64" s="3236">
        <f t="shared" si="148"/>
        <v>0</v>
      </c>
      <c r="EO64" s="3236">
        <f t="shared" si="149"/>
        <v>0</v>
      </c>
      <c r="EP64" s="3236">
        <f t="shared" si="150"/>
        <v>0</v>
      </c>
      <c r="EQ64" s="3237"/>
      <c r="EU64" s="3235">
        <f t="shared" si="151"/>
        <v>0</v>
      </c>
      <c r="EV64" s="3236">
        <f t="shared" si="152"/>
        <v>0</v>
      </c>
      <c r="EW64" s="3236">
        <f t="shared" si="153"/>
        <v>0</v>
      </c>
      <c r="EX64" s="3236">
        <f t="shared" si="154"/>
        <v>0</v>
      </c>
      <c r="EY64" s="3237"/>
      <c r="FC64" s="3235">
        <f t="shared" si="155"/>
        <v>0</v>
      </c>
      <c r="FD64" s="3236">
        <f t="shared" si="156"/>
        <v>0</v>
      </c>
      <c r="FE64" s="3236">
        <f t="shared" si="157"/>
        <v>0</v>
      </c>
      <c r="FF64" s="3236">
        <f t="shared" si="158"/>
        <v>0</v>
      </c>
      <c r="FG64" s="3237"/>
      <c r="FK64" s="3235">
        <f t="shared" si="159"/>
        <v>0</v>
      </c>
      <c r="FL64" s="3236">
        <f t="shared" si="160"/>
        <v>0</v>
      </c>
      <c r="FM64" s="3236">
        <f t="shared" si="161"/>
        <v>0</v>
      </c>
      <c r="FN64" s="3236">
        <f t="shared" si="162"/>
        <v>0</v>
      </c>
      <c r="FO64" s="3237"/>
    </row>
    <row r="65" spans="1:171">
      <c r="A65" s="2442"/>
      <c r="B65" s="2185" t="s">
        <v>369</v>
      </c>
      <c r="C65" s="2464">
        <v>219</v>
      </c>
      <c r="D65" s="2464">
        <v>108</v>
      </c>
      <c r="E65" s="2424" t="str">
        <f>'Sch 1- Rate Base '!E65</f>
        <v>DIRECT</v>
      </c>
      <c r="F65" s="2171"/>
      <c r="G65" s="2424">
        <f>'Sch 1- Rate Base '!G65</f>
        <v>30864423.829999998</v>
      </c>
      <c r="H65" s="2424">
        <f>'Sch 1- Rate Base '!H65</f>
        <v>19280613.831983685</v>
      </c>
      <c r="I65" s="2424">
        <f>'Sch 1- Rate Base '!I65</f>
        <v>0</v>
      </c>
      <c r="J65" s="2425">
        <f>'Sch 1- Rate Base '!J65</f>
        <v>11583809.998016311</v>
      </c>
      <c r="K65" s="3205">
        <f t="shared" si="82"/>
        <v>0</v>
      </c>
      <c r="O65" s="3235">
        <f t="shared" si="83"/>
        <v>30864423.829999998</v>
      </c>
      <c r="P65" s="3236">
        <f t="shared" si="84"/>
        <v>19280613.831983685</v>
      </c>
      <c r="Q65" s="3236">
        <f t="shared" si="85"/>
        <v>0</v>
      </c>
      <c r="R65" s="3236">
        <f t="shared" si="86"/>
        <v>11583809.998016313</v>
      </c>
      <c r="S65" s="3237"/>
      <c r="W65" s="3235">
        <f t="shared" si="87"/>
        <v>30864423.829999998</v>
      </c>
      <c r="X65" s="3236">
        <f t="shared" si="88"/>
        <v>19280613.831983685</v>
      </c>
      <c r="Y65" s="3236">
        <f t="shared" si="89"/>
        <v>0</v>
      </c>
      <c r="Z65" s="3236">
        <f t="shared" si="90"/>
        <v>11583809.998016313</v>
      </c>
      <c r="AA65" s="3237"/>
      <c r="AE65" s="3235">
        <f t="shared" si="91"/>
        <v>30864423.829999998</v>
      </c>
      <c r="AF65" s="3236">
        <f t="shared" si="92"/>
        <v>19280613.831983685</v>
      </c>
      <c r="AG65" s="3236">
        <f t="shared" si="93"/>
        <v>0</v>
      </c>
      <c r="AH65" s="3236">
        <f t="shared" si="94"/>
        <v>11583809.998016313</v>
      </c>
      <c r="AI65" s="3237"/>
      <c r="AM65" s="3235">
        <f t="shared" si="95"/>
        <v>30864423.829999998</v>
      </c>
      <c r="AN65" s="3236">
        <f t="shared" si="96"/>
        <v>19280613.831983685</v>
      </c>
      <c r="AO65" s="3236">
        <f t="shared" si="97"/>
        <v>0</v>
      </c>
      <c r="AP65" s="3236">
        <f t="shared" si="98"/>
        <v>11583809.998016313</v>
      </c>
      <c r="AQ65" s="3237"/>
      <c r="AU65" s="3235">
        <f t="shared" si="99"/>
        <v>30864423.829999998</v>
      </c>
      <c r="AV65" s="3236">
        <f t="shared" si="100"/>
        <v>19280613.831983685</v>
      </c>
      <c r="AW65" s="3236">
        <f t="shared" si="101"/>
        <v>0</v>
      </c>
      <c r="AX65" s="3236">
        <f t="shared" si="102"/>
        <v>11583809.998016313</v>
      </c>
      <c r="AY65" s="3237"/>
      <c r="BC65" s="3235">
        <f t="shared" si="103"/>
        <v>30864423.829999998</v>
      </c>
      <c r="BD65" s="3236">
        <f t="shared" si="104"/>
        <v>19280613.831983685</v>
      </c>
      <c r="BE65" s="3236">
        <f t="shared" si="105"/>
        <v>0</v>
      </c>
      <c r="BF65" s="3236">
        <f t="shared" si="106"/>
        <v>11583809.998016313</v>
      </c>
      <c r="BG65" s="3237"/>
      <c r="BK65" s="3235">
        <f t="shared" si="107"/>
        <v>30864423.829999998</v>
      </c>
      <c r="BL65" s="3236">
        <f t="shared" si="108"/>
        <v>19280613.831983685</v>
      </c>
      <c r="BM65" s="3236">
        <f t="shared" si="109"/>
        <v>0</v>
      </c>
      <c r="BN65" s="3236">
        <f t="shared" si="110"/>
        <v>11583809.998016313</v>
      </c>
      <c r="BO65" s="3237"/>
      <c r="BS65" s="3235">
        <f t="shared" si="111"/>
        <v>30864423.829999998</v>
      </c>
      <c r="BT65" s="3236">
        <f t="shared" si="112"/>
        <v>19280613.831983685</v>
      </c>
      <c r="BU65" s="3236">
        <f t="shared" si="113"/>
        <v>0</v>
      </c>
      <c r="BV65" s="3236">
        <f t="shared" si="114"/>
        <v>11583809.998016313</v>
      </c>
      <c r="BW65" s="3237"/>
      <c r="CA65" s="3235">
        <f t="shared" si="115"/>
        <v>30864423.829999998</v>
      </c>
      <c r="CB65" s="3236">
        <f t="shared" si="116"/>
        <v>19280613.831983685</v>
      </c>
      <c r="CC65" s="3236">
        <f t="shared" si="117"/>
        <v>0</v>
      </c>
      <c r="CD65" s="3236">
        <f t="shared" si="118"/>
        <v>11583809.998016313</v>
      </c>
      <c r="CE65" s="3237"/>
      <c r="CI65" s="3235">
        <f t="shared" si="119"/>
        <v>30864423.829999998</v>
      </c>
      <c r="CJ65" s="3236">
        <f t="shared" si="120"/>
        <v>19280613.831983685</v>
      </c>
      <c r="CK65" s="3236">
        <f t="shared" si="121"/>
        <v>0</v>
      </c>
      <c r="CL65" s="3236">
        <f t="shared" si="122"/>
        <v>11583809.998016313</v>
      </c>
      <c r="CM65" s="3237"/>
      <c r="CQ65" s="3235">
        <f t="shared" si="123"/>
        <v>30864423.829999998</v>
      </c>
      <c r="CR65" s="3236">
        <f t="shared" si="124"/>
        <v>19280613.831983685</v>
      </c>
      <c r="CS65" s="3236">
        <f t="shared" si="125"/>
        <v>0</v>
      </c>
      <c r="CT65" s="3236">
        <f t="shared" si="126"/>
        <v>11583809.998016313</v>
      </c>
      <c r="CU65" s="3237"/>
      <c r="CY65" s="3235">
        <f t="shared" si="127"/>
        <v>30864423.829999998</v>
      </c>
      <c r="CZ65" s="3236">
        <f t="shared" si="128"/>
        <v>19280613.831983685</v>
      </c>
      <c r="DA65" s="3236">
        <f t="shared" si="129"/>
        <v>0</v>
      </c>
      <c r="DB65" s="3236">
        <f t="shared" si="130"/>
        <v>11583809.998016313</v>
      </c>
      <c r="DC65" s="3237"/>
      <c r="DG65" s="3235">
        <f t="shared" si="131"/>
        <v>30864423.829999998</v>
      </c>
      <c r="DH65" s="3236">
        <f t="shared" si="132"/>
        <v>19280613.831983685</v>
      </c>
      <c r="DI65" s="3236">
        <f t="shared" si="133"/>
        <v>0</v>
      </c>
      <c r="DJ65" s="3236">
        <f t="shared" si="134"/>
        <v>11583809.998016313</v>
      </c>
      <c r="DK65" s="3237"/>
      <c r="DO65" s="3235">
        <f t="shared" si="135"/>
        <v>30864423.829999998</v>
      </c>
      <c r="DP65" s="3236">
        <f t="shared" si="136"/>
        <v>19280613.831983685</v>
      </c>
      <c r="DQ65" s="3236">
        <f t="shared" si="137"/>
        <v>0</v>
      </c>
      <c r="DR65" s="3236">
        <f t="shared" si="138"/>
        <v>11583809.998016313</v>
      </c>
      <c r="DS65" s="3237"/>
      <c r="DW65" s="3235">
        <f t="shared" si="139"/>
        <v>30864423.829999998</v>
      </c>
      <c r="DX65" s="3236">
        <f t="shared" si="140"/>
        <v>19280613.831983685</v>
      </c>
      <c r="DY65" s="3236">
        <f t="shared" si="141"/>
        <v>0</v>
      </c>
      <c r="DZ65" s="3236">
        <f t="shared" si="142"/>
        <v>11583809.998016313</v>
      </c>
      <c r="EA65" s="3237"/>
      <c r="EE65" s="3235">
        <f t="shared" si="143"/>
        <v>30864423.829999998</v>
      </c>
      <c r="EF65" s="3236">
        <f t="shared" si="144"/>
        <v>19280613.831983685</v>
      </c>
      <c r="EG65" s="3236">
        <f t="shared" si="145"/>
        <v>0</v>
      </c>
      <c r="EH65" s="3236">
        <f t="shared" si="146"/>
        <v>11583809.998016313</v>
      </c>
      <c r="EI65" s="3237"/>
      <c r="EM65" s="3235">
        <f t="shared" si="147"/>
        <v>30864423.829999998</v>
      </c>
      <c r="EN65" s="3236">
        <f t="shared" si="148"/>
        <v>19280613.831983685</v>
      </c>
      <c r="EO65" s="3236">
        <f t="shared" si="149"/>
        <v>0</v>
      </c>
      <c r="EP65" s="3236">
        <f t="shared" si="150"/>
        <v>11583809.998016313</v>
      </c>
      <c r="EQ65" s="3237"/>
      <c r="EU65" s="3235">
        <f t="shared" si="151"/>
        <v>30864423.829999998</v>
      </c>
      <c r="EV65" s="3236">
        <f t="shared" si="152"/>
        <v>19280613.831983685</v>
      </c>
      <c r="EW65" s="3236">
        <f t="shared" si="153"/>
        <v>0</v>
      </c>
      <c r="EX65" s="3236">
        <f t="shared" si="154"/>
        <v>11583809.998016313</v>
      </c>
      <c r="EY65" s="3237"/>
      <c r="FC65" s="3235">
        <f t="shared" si="155"/>
        <v>30864423.829999998</v>
      </c>
      <c r="FD65" s="3236">
        <f t="shared" si="156"/>
        <v>19280613.831983685</v>
      </c>
      <c r="FE65" s="3236">
        <f t="shared" si="157"/>
        <v>0</v>
      </c>
      <c r="FF65" s="3236">
        <f t="shared" si="158"/>
        <v>11583809.998016313</v>
      </c>
      <c r="FG65" s="3237"/>
      <c r="FK65" s="3235">
        <f t="shared" si="159"/>
        <v>30864423.829999998</v>
      </c>
      <c r="FL65" s="3236">
        <f t="shared" si="160"/>
        <v>19280613.831983685</v>
      </c>
      <c r="FM65" s="3236">
        <f t="shared" si="161"/>
        <v>0</v>
      </c>
      <c r="FN65" s="3236">
        <f t="shared" si="162"/>
        <v>11583809.998016313</v>
      </c>
      <c r="FO65" s="3237"/>
    </row>
    <row r="66" spans="1:171">
      <c r="A66" s="2442"/>
      <c r="B66" s="2185" t="s">
        <v>398</v>
      </c>
      <c r="C66" s="2464">
        <v>219</v>
      </c>
      <c r="D66" s="2464">
        <v>108</v>
      </c>
      <c r="E66" s="2424" t="str">
        <f>'Sch 1- Rate Base '!E66</f>
        <v>DIRECT</v>
      </c>
      <c r="F66" s="2171"/>
      <c r="G66" s="2424">
        <f>'Sch 1- Rate Base '!G66</f>
        <v>18084328.429999996</v>
      </c>
      <c r="H66" s="2424">
        <f>'Sch 1- Rate Base '!H66</f>
        <v>3441408.3183936053</v>
      </c>
      <c r="I66" s="2424">
        <f>'Sch 1- Rate Base '!I66</f>
        <v>0</v>
      </c>
      <c r="J66" s="2425">
        <f>'Sch 1- Rate Base '!J66</f>
        <v>14642920.111606393</v>
      </c>
      <c r="K66" s="3205">
        <f t="shared" si="82"/>
        <v>0</v>
      </c>
      <c r="O66" s="3235">
        <f t="shared" si="83"/>
        <v>18084328.429999996</v>
      </c>
      <c r="P66" s="3236">
        <f t="shared" si="84"/>
        <v>3441408.3183936053</v>
      </c>
      <c r="Q66" s="3236">
        <f t="shared" si="85"/>
        <v>0</v>
      </c>
      <c r="R66" s="3236">
        <f t="shared" si="86"/>
        <v>14642920.111606391</v>
      </c>
      <c r="S66" s="3237"/>
      <c r="W66" s="3235">
        <f t="shared" si="87"/>
        <v>18084328.429999996</v>
      </c>
      <c r="X66" s="3236">
        <f t="shared" si="88"/>
        <v>3441408.3183936053</v>
      </c>
      <c r="Y66" s="3236">
        <f t="shared" si="89"/>
        <v>0</v>
      </c>
      <c r="Z66" s="3236">
        <f t="shared" si="90"/>
        <v>14642920.111606391</v>
      </c>
      <c r="AA66" s="3237"/>
      <c r="AE66" s="3235">
        <f t="shared" si="91"/>
        <v>18084328.429999996</v>
      </c>
      <c r="AF66" s="3236">
        <f t="shared" si="92"/>
        <v>3441408.3183936053</v>
      </c>
      <c r="AG66" s="3236">
        <f t="shared" si="93"/>
        <v>0</v>
      </c>
      <c r="AH66" s="3236">
        <f t="shared" si="94"/>
        <v>14642920.111606391</v>
      </c>
      <c r="AI66" s="3237"/>
      <c r="AM66" s="3235">
        <f t="shared" si="95"/>
        <v>18084328.429999996</v>
      </c>
      <c r="AN66" s="3236">
        <f t="shared" si="96"/>
        <v>3441408.3183936053</v>
      </c>
      <c r="AO66" s="3236">
        <f t="shared" si="97"/>
        <v>0</v>
      </c>
      <c r="AP66" s="3236">
        <f t="shared" si="98"/>
        <v>14642920.111606391</v>
      </c>
      <c r="AQ66" s="3237"/>
      <c r="AU66" s="3235">
        <f t="shared" si="99"/>
        <v>18084328.429999996</v>
      </c>
      <c r="AV66" s="3236">
        <f t="shared" si="100"/>
        <v>3441408.3183936053</v>
      </c>
      <c r="AW66" s="3236">
        <f t="shared" si="101"/>
        <v>0</v>
      </c>
      <c r="AX66" s="3236">
        <f t="shared" si="102"/>
        <v>14642920.111606391</v>
      </c>
      <c r="AY66" s="3237"/>
      <c r="BC66" s="3235">
        <f t="shared" si="103"/>
        <v>18084328.429999996</v>
      </c>
      <c r="BD66" s="3236">
        <f t="shared" si="104"/>
        <v>3441408.3183936053</v>
      </c>
      <c r="BE66" s="3236">
        <f t="shared" si="105"/>
        <v>0</v>
      </c>
      <c r="BF66" s="3236">
        <f t="shared" si="106"/>
        <v>14642920.111606391</v>
      </c>
      <c r="BG66" s="3237"/>
      <c r="BK66" s="3235">
        <f t="shared" si="107"/>
        <v>18084328.429999996</v>
      </c>
      <c r="BL66" s="3236">
        <f t="shared" si="108"/>
        <v>3441408.3183936053</v>
      </c>
      <c r="BM66" s="3236">
        <f t="shared" si="109"/>
        <v>0</v>
      </c>
      <c r="BN66" s="3236">
        <f t="shared" si="110"/>
        <v>14642920.111606391</v>
      </c>
      <c r="BO66" s="3237"/>
      <c r="BS66" s="3235">
        <f t="shared" si="111"/>
        <v>18084328.429999996</v>
      </c>
      <c r="BT66" s="3236">
        <f t="shared" si="112"/>
        <v>3441408.3183936053</v>
      </c>
      <c r="BU66" s="3236">
        <f t="shared" si="113"/>
        <v>0</v>
      </c>
      <c r="BV66" s="3236">
        <f t="shared" si="114"/>
        <v>14642920.111606391</v>
      </c>
      <c r="BW66" s="3237"/>
      <c r="CA66" s="3235">
        <f t="shared" si="115"/>
        <v>18084328.429999996</v>
      </c>
      <c r="CB66" s="3236">
        <f t="shared" si="116"/>
        <v>3441408.3183936053</v>
      </c>
      <c r="CC66" s="3236">
        <f t="shared" si="117"/>
        <v>0</v>
      </c>
      <c r="CD66" s="3236">
        <f t="shared" si="118"/>
        <v>14642920.111606391</v>
      </c>
      <c r="CE66" s="3237"/>
      <c r="CI66" s="3235">
        <f t="shared" si="119"/>
        <v>18084328.429999996</v>
      </c>
      <c r="CJ66" s="3236">
        <f t="shared" si="120"/>
        <v>3441408.3183936053</v>
      </c>
      <c r="CK66" s="3236">
        <f t="shared" si="121"/>
        <v>0</v>
      </c>
      <c r="CL66" s="3236">
        <f t="shared" si="122"/>
        <v>14642920.111606391</v>
      </c>
      <c r="CM66" s="3237"/>
      <c r="CQ66" s="3235">
        <f t="shared" si="123"/>
        <v>18084328.429999996</v>
      </c>
      <c r="CR66" s="3236">
        <f t="shared" si="124"/>
        <v>3441408.3183936053</v>
      </c>
      <c r="CS66" s="3236">
        <f t="shared" si="125"/>
        <v>0</v>
      </c>
      <c r="CT66" s="3236">
        <f t="shared" si="126"/>
        <v>14642920.111606391</v>
      </c>
      <c r="CU66" s="3237"/>
      <c r="CY66" s="3235">
        <f t="shared" si="127"/>
        <v>18084328.429999996</v>
      </c>
      <c r="CZ66" s="3236">
        <f t="shared" si="128"/>
        <v>3441408.3183936053</v>
      </c>
      <c r="DA66" s="3236">
        <f t="shared" si="129"/>
        <v>0</v>
      </c>
      <c r="DB66" s="3236">
        <f t="shared" si="130"/>
        <v>14642920.111606391</v>
      </c>
      <c r="DC66" s="3237"/>
      <c r="DG66" s="3235">
        <f t="shared" si="131"/>
        <v>18084328.429999996</v>
      </c>
      <c r="DH66" s="3236">
        <f t="shared" si="132"/>
        <v>3441408.3183936053</v>
      </c>
      <c r="DI66" s="3236">
        <f t="shared" si="133"/>
        <v>0</v>
      </c>
      <c r="DJ66" s="3236">
        <f t="shared" si="134"/>
        <v>14642920.111606391</v>
      </c>
      <c r="DK66" s="3237"/>
      <c r="DO66" s="3235">
        <f t="shared" si="135"/>
        <v>18084328.429999996</v>
      </c>
      <c r="DP66" s="3236">
        <f t="shared" si="136"/>
        <v>3441408.3183936053</v>
      </c>
      <c r="DQ66" s="3236">
        <f t="shared" si="137"/>
        <v>0</v>
      </c>
      <c r="DR66" s="3236">
        <f t="shared" si="138"/>
        <v>14642920.111606391</v>
      </c>
      <c r="DS66" s="3237"/>
      <c r="DW66" s="3235">
        <f t="shared" si="139"/>
        <v>18084328.429999996</v>
      </c>
      <c r="DX66" s="3236">
        <f t="shared" si="140"/>
        <v>3441408.3183936053</v>
      </c>
      <c r="DY66" s="3236">
        <f t="shared" si="141"/>
        <v>0</v>
      </c>
      <c r="DZ66" s="3236">
        <f t="shared" si="142"/>
        <v>14642920.111606391</v>
      </c>
      <c r="EA66" s="3237"/>
      <c r="EE66" s="3235">
        <f t="shared" si="143"/>
        <v>18084328.429999996</v>
      </c>
      <c r="EF66" s="3236">
        <f t="shared" si="144"/>
        <v>3441408.3183936053</v>
      </c>
      <c r="EG66" s="3236">
        <f t="shared" si="145"/>
        <v>0</v>
      </c>
      <c r="EH66" s="3236">
        <f t="shared" si="146"/>
        <v>14642920.111606391</v>
      </c>
      <c r="EI66" s="3237"/>
      <c r="EM66" s="3235">
        <f t="shared" si="147"/>
        <v>18084328.429999996</v>
      </c>
      <c r="EN66" s="3236">
        <f t="shared" si="148"/>
        <v>3441408.3183936053</v>
      </c>
      <c r="EO66" s="3236">
        <f t="shared" si="149"/>
        <v>0</v>
      </c>
      <c r="EP66" s="3236">
        <f t="shared" si="150"/>
        <v>14642920.111606391</v>
      </c>
      <c r="EQ66" s="3237"/>
      <c r="EU66" s="3235">
        <f t="shared" si="151"/>
        <v>18084328.429999996</v>
      </c>
      <c r="EV66" s="3236">
        <f t="shared" si="152"/>
        <v>3441408.3183936053</v>
      </c>
      <c r="EW66" s="3236">
        <f t="shared" si="153"/>
        <v>0</v>
      </c>
      <c r="EX66" s="3236">
        <f t="shared" si="154"/>
        <v>14642920.111606391</v>
      </c>
      <c r="EY66" s="3237"/>
      <c r="FC66" s="3235">
        <f t="shared" si="155"/>
        <v>18084328.429999996</v>
      </c>
      <c r="FD66" s="3236">
        <f t="shared" si="156"/>
        <v>3441408.3183936053</v>
      </c>
      <c r="FE66" s="3236">
        <f t="shared" si="157"/>
        <v>0</v>
      </c>
      <c r="FF66" s="3236">
        <f t="shared" si="158"/>
        <v>14642920.111606391</v>
      </c>
      <c r="FG66" s="3237"/>
      <c r="FK66" s="3235">
        <f t="shared" si="159"/>
        <v>18084328.429999996</v>
      </c>
      <c r="FL66" s="3236">
        <f t="shared" si="160"/>
        <v>3441408.3183936053</v>
      </c>
      <c r="FM66" s="3236">
        <f t="shared" si="161"/>
        <v>0</v>
      </c>
      <c r="FN66" s="3236">
        <f t="shared" si="162"/>
        <v>14642920.111606391</v>
      </c>
      <c r="FO66" s="3237"/>
    </row>
    <row r="67" spans="1:171">
      <c r="A67" s="2442"/>
      <c r="B67" s="2185" t="s">
        <v>251</v>
      </c>
      <c r="C67" s="2464">
        <v>219</v>
      </c>
      <c r="D67" s="2464">
        <v>108</v>
      </c>
      <c r="E67" s="2424" t="str">
        <f>'Sch 1- Rate Base '!E67</f>
        <v>PROD</v>
      </c>
      <c r="F67" s="2171"/>
      <c r="G67" s="2424">
        <f>'Sch 1- Rate Base '!G67</f>
        <v>0</v>
      </c>
      <c r="H67" s="2424">
        <f>'Sch 1- Rate Base '!H67</f>
        <v>0</v>
      </c>
      <c r="I67" s="2424">
        <f>'Sch 1- Rate Base '!I67</f>
        <v>0</v>
      </c>
      <c r="J67" s="2425">
        <f>'Sch 1- Rate Base '!J67</f>
        <v>0</v>
      </c>
      <c r="K67" s="3205">
        <f t="shared" si="82"/>
        <v>1</v>
      </c>
      <c r="O67" s="3235">
        <f t="shared" si="83"/>
        <v>0</v>
      </c>
      <c r="P67" s="3236">
        <f t="shared" si="84"/>
        <v>0</v>
      </c>
      <c r="Q67" s="3236">
        <f t="shared" si="85"/>
        <v>0</v>
      </c>
      <c r="R67" s="3236">
        <f t="shared" si="86"/>
        <v>0</v>
      </c>
      <c r="S67" s="3237"/>
      <c r="W67" s="3235">
        <f t="shared" si="87"/>
        <v>0</v>
      </c>
      <c r="X67" s="3236">
        <f t="shared" si="88"/>
        <v>0</v>
      </c>
      <c r="Y67" s="3236">
        <f t="shared" si="89"/>
        <v>0</v>
      </c>
      <c r="Z67" s="3236">
        <f t="shared" si="90"/>
        <v>0</v>
      </c>
      <c r="AA67" s="3237"/>
      <c r="AE67" s="3235">
        <f t="shared" si="91"/>
        <v>0</v>
      </c>
      <c r="AF67" s="3236">
        <f t="shared" si="92"/>
        <v>0</v>
      </c>
      <c r="AG67" s="3236">
        <f t="shared" si="93"/>
        <v>0</v>
      </c>
      <c r="AH67" s="3236">
        <f t="shared" si="94"/>
        <v>0</v>
      </c>
      <c r="AI67" s="3237"/>
      <c r="AM67" s="3235">
        <f t="shared" si="95"/>
        <v>0</v>
      </c>
      <c r="AN67" s="3236">
        <f t="shared" si="96"/>
        <v>0</v>
      </c>
      <c r="AO67" s="3236">
        <f t="shared" si="97"/>
        <v>0</v>
      </c>
      <c r="AP67" s="3236">
        <f t="shared" si="98"/>
        <v>0</v>
      </c>
      <c r="AQ67" s="3237"/>
      <c r="AU67" s="3235">
        <f t="shared" si="99"/>
        <v>0</v>
      </c>
      <c r="AV67" s="3236">
        <f t="shared" si="100"/>
        <v>0</v>
      </c>
      <c r="AW67" s="3236">
        <f t="shared" si="101"/>
        <v>0</v>
      </c>
      <c r="AX67" s="3236">
        <f t="shared" si="102"/>
        <v>0</v>
      </c>
      <c r="AY67" s="3237"/>
      <c r="BC67" s="3235">
        <f t="shared" si="103"/>
        <v>0</v>
      </c>
      <c r="BD67" s="3236">
        <f t="shared" si="104"/>
        <v>0</v>
      </c>
      <c r="BE67" s="3236">
        <f t="shared" si="105"/>
        <v>0</v>
      </c>
      <c r="BF67" s="3236">
        <f t="shared" si="106"/>
        <v>0</v>
      </c>
      <c r="BG67" s="3237"/>
      <c r="BK67" s="3235">
        <f t="shared" si="107"/>
        <v>0</v>
      </c>
      <c r="BL67" s="3236">
        <f t="shared" si="108"/>
        <v>0</v>
      </c>
      <c r="BM67" s="3236">
        <f t="shared" si="109"/>
        <v>0</v>
      </c>
      <c r="BN67" s="3236">
        <f t="shared" si="110"/>
        <v>0</v>
      </c>
      <c r="BO67" s="3237"/>
      <c r="BS67" s="3235">
        <f t="shared" si="111"/>
        <v>0</v>
      </c>
      <c r="BT67" s="3236">
        <f t="shared" si="112"/>
        <v>0</v>
      </c>
      <c r="BU67" s="3236">
        <f t="shared" si="113"/>
        <v>0</v>
      </c>
      <c r="BV67" s="3236">
        <f t="shared" si="114"/>
        <v>0</v>
      </c>
      <c r="BW67" s="3237"/>
      <c r="CA67" s="3235">
        <f t="shared" si="115"/>
        <v>0</v>
      </c>
      <c r="CB67" s="3236">
        <f t="shared" si="116"/>
        <v>0</v>
      </c>
      <c r="CC67" s="3236">
        <f t="shared" si="117"/>
        <v>0</v>
      </c>
      <c r="CD67" s="3236">
        <f t="shared" si="118"/>
        <v>0</v>
      </c>
      <c r="CE67" s="3237"/>
      <c r="CI67" s="3235">
        <f t="shared" si="119"/>
        <v>0</v>
      </c>
      <c r="CJ67" s="3236">
        <f t="shared" si="120"/>
        <v>0</v>
      </c>
      <c r="CK67" s="3236">
        <f t="shared" si="121"/>
        <v>0</v>
      </c>
      <c r="CL67" s="3236">
        <f t="shared" si="122"/>
        <v>0</v>
      </c>
      <c r="CM67" s="3237"/>
      <c r="CQ67" s="3235">
        <f t="shared" si="123"/>
        <v>0</v>
      </c>
      <c r="CR67" s="3236">
        <f t="shared" si="124"/>
        <v>0</v>
      </c>
      <c r="CS67" s="3236">
        <f t="shared" si="125"/>
        <v>0</v>
      </c>
      <c r="CT67" s="3236">
        <f t="shared" si="126"/>
        <v>0</v>
      </c>
      <c r="CU67" s="3237"/>
      <c r="CY67" s="3235">
        <f t="shared" si="127"/>
        <v>0</v>
      </c>
      <c r="CZ67" s="3236">
        <f t="shared" si="128"/>
        <v>0</v>
      </c>
      <c r="DA67" s="3236">
        <f t="shared" si="129"/>
        <v>0</v>
      </c>
      <c r="DB67" s="3236">
        <f t="shared" si="130"/>
        <v>0</v>
      </c>
      <c r="DC67" s="3237"/>
      <c r="DG67" s="3235">
        <f t="shared" si="131"/>
        <v>0</v>
      </c>
      <c r="DH67" s="3236">
        <f t="shared" si="132"/>
        <v>0</v>
      </c>
      <c r="DI67" s="3236">
        <f t="shared" si="133"/>
        <v>0</v>
      </c>
      <c r="DJ67" s="3236">
        <f t="shared" si="134"/>
        <v>0</v>
      </c>
      <c r="DK67" s="3237"/>
      <c r="DO67" s="3235">
        <f t="shared" si="135"/>
        <v>0</v>
      </c>
      <c r="DP67" s="3236">
        <f t="shared" si="136"/>
        <v>0</v>
      </c>
      <c r="DQ67" s="3236">
        <f t="shared" si="137"/>
        <v>0</v>
      </c>
      <c r="DR67" s="3236">
        <f t="shared" si="138"/>
        <v>0</v>
      </c>
      <c r="DS67" s="3237"/>
      <c r="DW67" s="3235">
        <f t="shared" si="139"/>
        <v>0</v>
      </c>
      <c r="DX67" s="3236">
        <f t="shared" si="140"/>
        <v>0</v>
      </c>
      <c r="DY67" s="3236">
        <f t="shared" si="141"/>
        <v>0</v>
      </c>
      <c r="DZ67" s="3236">
        <f t="shared" si="142"/>
        <v>0</v>
      </c>
      <c r="EA67" s="3237"/>
      <c r="EE67" s="3235">
        <f t="shared" si="143"/>
        <v>0</v>
      </c>
      <c r="EF67" s="3236">
        <f t="shared" si="144"/>
        <v>0</v>
      </c>
      <c r="EG67" s="3236">
        <f t="shared" si="145"/>
        <v>0</v>
      </c>
      <c r="EH67" s="3236">
        <f t="shared" si="146"/>
        <v>0</v>
      </c>
      <c r="EI67" s="3237"/>
      <c r="EM67" s="3235">
        <f t="shared" si="147"/>
        <v>0</v>
      </c>
      <c r="EN67" s="3236">
        <f t="shared" si="148"/>
        <v>0</v>
      </c>
      <c r="EO67" s="3236">
        <f t="shared" si="149"/>
        <v>0</v>
      </c>
      <c r="EP67" s="3236">
        <f t="shared" si="150"/>
        <v>0</v>
      </c>
      <c r="EQ67" s="3237"/>
      <c r="EU67" s="3235">
        <f t="shared" si="151"/>
        <v>0</v>
      </c>
      <c r="EV67" s="3236">
        <f t="shared" si="152"/>
        <v>0</v>
      </c>
      <c r="EW67" s="3236">
        <f t="shared" si="153"/>
        <v>0</v>
      </c>
      <c r="EX67" s="3236">
        <f t="shared" si="154"/>
        <v>0</v>
      </c>
      <c r="EY67" s="3237"/>
      <c r="FC67" s="3235">
        <f t="shared" si="155"/>
        <v>0</v>
      </c>
      <c r="FD67" s="3236">
        <f t="shared" si="156"/>
        <v>0</v>
      </c>
      <c r="FE67" s="3236">
        <f t="shared" si="157"/>
        <v>0</v>
      </c>
      <c r="FF67" s="3236">
        <f t="shared" si="158"/>
        <v>0</v>
      </c>
      <c r="FG67" s="3237"/>
      <c r="FK67" s="3235">
        <f t="shared" si="159"/>
        <v>0</v>
      </c>
      <c r="FL67" s="3236">
        <f t="shared" si="160"/>
        <v>0</v>
      </c>
      <c r="FM67" s="3236">
        <f t="shared" si="161"/>
        <v>0</v>
      </c>
      <c r="FN67" s="3236">
        <f t="shared" si="162"/>
        <v>0</v>
      </c>
      <c r="FO67" s="3237"/>
    </row>
    <row r="68" spans="1:171">
      <c r="A68" s="2442"/>
      <c r="B68" s="2185" t="s">
        <v>28</v>
      </c>
      <c r="C68" s="2464">
        <v>219</v>
      </c>
      <c r="D68" s="2464">
        <v>108</v>
      </c>
      <c r="E68" s="2424" t="str">
        <f>'Sch 1- Rate Base '!E68</f>
        <v>TRANS</v>
      </c>
      <c r="F68" s="2171"/>
      <c r="G68" s="2424">
        <f>'Sch 1- Rate Base '!G68</f>
        <v>162425</v>
      </c>
      <c r="H68" s="2424">
        <f>'Sch 1- Rate Base '!H68</f>
        <v>0</v>
      </c>
      <c r="I68" s="2424">
        <f>'Sch 1- Rate Base '!I68</f>
        <v>0</v>
      </c>
      <c r="J68" s="2425">
        <f>'Sch 1- Rate Base '!J68</f>
        <v>162425</v>
      </c>
      <c r="K68" s="3205">
        <f t="shared" si="82"/>
        <v>1</v>
      </c>
      <c r="O68" s="3235">
        <f t="shared" si="83"/>
        <v>162425</v>
      </c>
      <c r="P68" s="3236">
        <f t="shared" si="84"/>
        <v>0</v>
      </c>
      <c r="Q68" s="3236">
        <f t="shared" si="85"/>
        <v>162425</v>
      </c>
      <c r="R68" s="3236">
        <f t="shared" si="86"/>
        <v>0</v>
      </c>
      <c r="S68" s="3237"/>
      <c r="W68" s="3235">
        <f t="shared" si="87"/>
        <v>162425</v>
      </c>
      <c r="X68" s="3236">
        <f t="shared" si="88"/>
        <v>0</v>
      </c>
      <c r="Y68" s="3236">
        <f t="shared" si="89"/>
        <v>162425</v>
      </c>
      <c r="Z68" s="3236">
        <f t="shared" si="90"/>
        <v>0</v>
      </c>
      <c r="AA68" s="3237"/>
      <c r="AE68" s="3235">
        <f t="shared" si="91"/>
        <v>162425</v>
      </c>
      <c r="AF68" s="3236">
        <f t="shared" si="92"/>
        <v>0</v>
      </c>
      <c r="AG68" s="3236">
        <f t="shared" si="93"/>
        <v>162425</v>
      </c>
      <c r="AH68" s="3236">
        <f t="shared" si="94"/>
        <v>0</v>
      </c>
      <c r="AI68" s="3237"/>
      <c r="AM68" s="3235">
        <f t="shared" si="95"/>
        <v>162425</v>
      </c>
      <c r="AN68" s="3236">
        <f t="shared" si="96"/>
        <v>0</v>
      </c>
      <c r="AO68" s="3236">
        <f t="shared" si="97"/>
        <v>162425</v>
      </c>
      <c r="AP68" s="3236">
        <f t="shared" si="98"/>
        <v>0</v>
      </c>
      <c r="AQ68" s="3237"/>
      <c r="AU68" s="3235">
        <f t="shared" si="99"/>
        <v>162425</v>
      </c>
      <c r="AV68" s="3236">
        <f t="shared" si="100"/>
        <v>0</v>
      </c>
      <c r="AW68" s="3236">
        <f t="shared" si="101"/>
        <v>162425</v>
      </c>
      <c r="AX68" s="3236">
        <f t="shared" si="102"/>
        <v>0</v>
      </c>
      <c r="AY68" s="3237"/>
      <c r="BC68" s="3235">
        <f t="shared" si="103"/>
        <v>162425</v>
      </c>
      <c r="BD68" s="3236">
        <f t="shared" si="104"/>
        <v>0</v>
      </c>
      <c r="BE68" s="3236">
        <f t="shared" si="105"/>
        <v>162425</v>
      </c>
      <c r="BF68" s="3236">
        <f t="shared" si="106"/>
        <v>0</v>
      </c>
      <c r="BG68" s="3237"/>
      <c r="BK68" s="3235">
        <f t="shared" si="107"/>
        <v>162425</v>
      </c>
      <c r="BL68" s="3236">
        <f t="shared" si="108"/>
        <v>0</v>
      </c>
      <c r="BM68" s="3236">
        <f t="shared" si="109"/>
        <v>162425</v>
      </c>
      <c r="BN68" s="3236">
        <f t="shared" si="110"/>
        <v>0</v>
      </c>
      <c r="BO68" s="3237"/>
      <c r="BS68" s="3235">
        <f t="shared" si="111"/>
        <v>162425</v>
      </c>
      <c r="BT68" s="3236">
        <f t="shared" si="112"/>
        <v>0</v>
      </c>
      <c r="BU68" s="3236">
        <f t="shared" si="113"/>
        <v>162425</v>
      </c>
      <c r="BV68" s="3236">
        <f t="shared" si="114"/>
        <v>0</v>
      </c>
      <c r="BW68" s="3237"/>
      <c r="CA68" s="3235">
        <f t="shared" si="115"/>
        <v>162425</v>
      </c>
      <c r="CB68" s="3236">
        <f t="shared" si="116"/>
        <v>0</v>
      </c>
      <c r="CC68" s="3236">
        <f t="shared" si="117"/>
        <v>162425</v>
      </c>
      <c r="CD68" s="3236">
        <f t="shared" si="118"/>
        <v>0</v>
      </c>
      <c r="CE68" s="3237"/>
      <c r="CI68" s="3235">
        <f t="shared" si="119"/>
        <v>162425</v>
      </c>
      <c r="CJ68" s="3236">
        <f t="shared" si="120"/>
        <v>0</v>
      </c>
      <c r="CK68" s="3236">
        <f t="shared" si="121"/>
        <v>162425</v>
      </c>
      <c r="CL68" s="3236">
        <f t="shared" si="122"/>
        <v>0</v>
      </c>
      <c r="CM68" s="3237"/>
      <c r="CQ68" s="3235">
        <f t="shared" si="123"/>
        <v>162425</v>
      </c>
      <c r="CR68" s="3236">
        <f t="shared" si="124"/>
        <v>0</v>
      </c>
      <c r="CS68" s="3236">
        <f t="shared" si="125"/>
        <v>162425</v>
      </c>
      <c r="CT68" s="3236">
        <f t="shared" si="126"/>
        <v>0</v>
      </c>
      <c r="CU68" s="3237"/>
      <c r="CY68" s="3235">
        <f t="shared" si="127"/>
        <v>162425</v>
      </c>
      <c r="CZ68" s="3236">
        <f t="shared" si="128"/>
        <v>0</v>
      </c>
      <c r="DA68" s="3236">
        <f t="shared" si="129"/>
        <v>162425</v>
      </c>
      <c r="DB68" s="3236">
        <f t="shared" si="130"/>
        <v>0</v>
      </c>
      <c r="DC68" s="3237"/>
      <c r="DG68" s="3235">
        <f t="shared" si="131"/>
        <v>162425</v>
      </c>
      <c r="DH68" s="3236">
        <f t="shared" si="132"/>
        <v>0</v>
      </c>
      <c r="DI68" s="3236">
        <f t="shared" si="133"/>
        <v>162425</v>
      </c>
      <c r="DJ68" s="3236">
        <f t="shared" si="134"/>
        <v>0</v>
      </c>
      <c r="DK68" s="3237"/>
      <c r="DO68" s="3235">
        <f t="shared" si="135"/>
        <v>162425</v>
      </c>
      <c r="DP68" s="3236">
        <f t="shared" si="136"/>
        <v>0</v>
      </c>
      <c r="DQ68" s="3236">
        <f t="shared" si="137"/>
        <v>162425</v>
      </c>
      <c r="DR68" s="3236">
        <f t="shared" si="138"/>
        <v>0</v>
      </c>
      <c r="DS68" s="3237"/>
      <c r="DW68" s="3235">
        <f t="shared" si="139"/>
        <v>162425</v>
      </c>
      <c r="DX68" s="3236">
        <f t="shared" si="140"/>
        <v>0</v>
      </c>
      <c r="DY68" s="3236">
        <f t="shared" si="141"/>
        <v>162425</v>
      </c>
      <c r="DZ68" s="3236">
        <f t="shared" si="142"/>
        <v>0</v>
      </c>
      <c r="EA68" s="3237"/>
      <c r="EE68" s="3235">
        <f t="shared" si="143"/>
        <v>162425</v>
      </c>
      <c r="EF68" s="3236">
        <f t="shared" si="144"/>
        <v>0</v>
      </c>
      <c r="EG68" s="3236">
        <f t="shared" si="145"/>
        <v>162425</v>
      </c>
      <c r="EH68" s="3236">
        <f t="shared" si="146"/>
        <v>0</v>
      </c>
      <c r="EI68" s="3237"/>
      <c r="EM68" s="3235">
        <f t="shared" si="147"/>
        <v>162425</v>
      </c>
      <c r="EN68" s="3236">
        <f t="shared" si="148"/>
        <v>0</v>
      </c>
      <c r="EO68" s="3236">
        <f t="shared" si="149"/>
        <v>162425</v>
      </c>
      <c r="EP68" s="3236">
        <f t="shared" si="150"/>
        <v>0</v>
      </c>
      <c r="EQ68" s="3237"/>
      <c r="EU68" s="3235">
        <f t="shared" si="151"/>
        <v>162425</v>
      </c>
      <c r="EV68" s="3236">
        <f t="shared" si="152"/>
        <v>0</v>
      </c>
      <c r="EW68" s="3236">
        <f t="shared" si="153"/>
        <v>162425</v>
      </c>
      <c r="EX68" s="3236">
        <f t="shared" si="154"/>
        <v>0</v>
      </c>
      <c r="EY68" s="3237"/>
      <c r="FC68" s="3235">
        <f t="shared" si="155"/>
        <v>162425</v>
      </c>
      <c r="FD68" s="3236">
        <f t="shared" si="156"/>
        <v>0</v>
      </c>
      <c r="FE68" s="3236">
        <f t="shared" si="157"/>
        <v>162425</v>
      </c>
      <c r="FF68" s="3236">
        <f t="shared" si="158"/>
        <v>0</v>
      </c>
      <c r="FG68" s="3237"/>
      <c r="FK68" s="3235">
        <f t="shared" si="159"/>
        <v>162425</v>
      </c>
      <c r="FL68" s="3236">
        <f t="shared" si="160"/>
        <v>0</v>
      </c>
      <c r="FM68" s="3236">
        <f t="shared" si="161"/>
        <v>162425</v>
      </c>
      <c r="FN68" s="3236">
        <f t="shared" si="162"/>
        <v>0</v>
      </c>
      <c r="FO68" s="3237"/>
    </row>
    <row r="69" spans="1:171">
      <c r="A69" s="2442"/>
      <c r="B69" s="2185" t="s">
        <v>29</v>
      </c>
      <c r="C69" s="2464">
        <v>219</v>
      </c>
      <c r="D69" s="2464">
        <v>108</v>
      </c>
      <c r="E69" s="2424" t="str">
        <f>'Sch 1- Rate Base '!E69</f>
        <v>DIRECT</v>
      </c>
      <c r="F69" s="2171"/>
      <c r="G69" s="2424">
        <f>'Sch 1- Rate Base '!G69</f>
        <v>0</v>
      </c>
      <c r="H69" s="2424">
        <f>'Sch 1- Rate Base '!H69</f>
        <v>0</v>
      </c>
      <c r="I69" s="2424">
        <f>'Sch 1- Rate Base '!I69</f>
        <v>0</v>
      </c>
      <c r="J69" s="2425">
        <f>'Sch 1- Rate Base '!J69</f>
        <v>0</v>
      </c>
      <c r="K69" s="3205">
        <f t="shared" si="82"/>
        <v>0</v>
      </c>
      <c r="O69" s="3235">
        <f t="shared" si="83"/>
        <v>0</v>
      </c>
      <c r="P69" s="3236">
        <f t="shared" si="84"/>
        <v>0</v>
      </c>
      <c r="Q69" s="3236">
        <f t="shared" si="85"/>
        <v>0</v>
      </c>
      <c r="R69" s="3236">
        <f t="shared" si="86"/>
        <v>0</v>
      </c>
      <c r="S69" s="3237"/>
      <c r="W69" s="3235">
        <f t="shared" si="87"/>
        <v>0</v>
      </c>
      <c r="X69" s="3236">
        <f t="shared" si="88"/>
        <v>0</v>
      </c>
      <c r="Y69" s="3236">
        <f t="shared" si="89"/>
        <v>0</v>
      </c>
      <c r="Z69" s="3236">
        <f t="shared" si="90"/>
        <v>0</v>
      </c>
      <c r="AA69" s="3237"/>
      <c r="AE69" s="3235">
        <f t="shared" si="91"/>
        <v>0</v>
      </c>
      <c r="AF69" s="3236">
        <f t="shared" si="92"/>
        <v>0</v>
      </c>
      <c r="AG69" s="3236">
        <f t="shared" si="93"/>
        <v>0</v>
      </c>
      <c r="AH69" s="3236">
        <f t="shared" si="94"/>
        <v>0</v>
      </c>
      <c r="AI69" s="3237"/>
      <c r="AM69" s="3235">
        <f t="shared" si="95"/>
        <v>0</v>
      </c>
      <c r="AN69" s="3236">
        <f t="shared" si="96"/>
        <v>0</v>
      </c>
      <c r="AO69" s="3236">
        <f t="shared" si="97"/>
        <v>0</v>
      </c>
      <c r="AP69" s="3236">
        <f t="shared" si="98"/>
        <v>0</v>
      </c>
      <c r="AQ69" s="3237"/>
      <c r="AU69" s="3235">
        <f t="shared" si="99"/>
        <v>0</v>
      </c>
      <c r="AV69" s="3236">
        <f t="shared" si="100"/>
        <v>0</v>
      </c>
      <c r="AW69" s="3236">
        <f t="shared" si="101"/>
        <v>0</v>
      </c>
      <c r="AX69" s="3236">
        <f t="shared" si="102"/>
        <v>0</v>
      </c>
      <c r="AY69" s="3237"/>
      <c r="BC69" s="3235">
        <f t="shared" si="103"/>
        <v>0</v>
      </c>
      <c r="BD69" s="3236">
        <f t="shared" si="104"/>
        <v>0</v>
      </c>
      <c r="BE69" s="3236">
        <f t="shared" si="105"/>
        <v>0</v>
      </c>
      <c r="BF69" s="3236">
        <f t="shared" si="106"/>
        <v>0</v>
      </c>
      <c r="BG69" s="3237"/>
      <c r="BK69" s="3235">
        <f t="shared" si="107"/>
        <v>0</v>
      </c>
      <c r="BL69" s="3236">
        <f t="shared" si="108"/>
        <v>0</v>
      </c>
      <c r="BM69" s="3236">
        <f t="shared" si="109"/>
        <v>0</v>
      </c>
      <c r="BN69" s="3236">
        <f t="shared" si="110"/>
        <v>0</v>
      </c>
      <c r="BO69" s="3237"/>
      <c r="BS69" s="3235">
        <f t="shared" si="111"/>
        <v>0</v>
      </c>
      <c r="BT69" s="3236">
        <f t="shared" si="112"/>
        <v>0</v>
      </c>
      <c r="BU69" s="3236">
        <f t="shared" si="113"/>
        <v>0</v>
      </c>
      <c r="BV69" s="3236">
        <f t="shared" si="114"/>
        <v>0</v>
      </c>
      <c r="BW69" s="3237"/>
      <c r="CA69" s="3235">
        <f t="shared" si="115"/>
        <v>0</v>
      </c>
      <c r="CB69" s="3236">
        <f t="shared" si="116"/>
        <v>0</v>
      </c>
      <c r="CC69" s="3236">
        <f t="shared" si="117"/>
        <v>0</v>
      </c>
      <c r="CD69" s="3236">
        <f t="shared" si="118"/>
        <v>0</v>
      </c>
      <c r="CE69" s="3237"/>
      <c r="CI69" s="3235">
        <f t="shared" si="119"/>
        <v>0</v>
      </c>
      <c r="CJ69" s="3236">
        <f t="shared" si="120"/>
        <v>0</v>
      </c>
      <c r="CK69" s="3236">
        <f t="shared" si="121"/>
        <v>0</v>
      </c>
      <c r="CL69" s="3236">
        <f t="shared" si="122"/>
        <v>0</v>
      </c>
      <c r="CM69" s="3237"/>
      <c r="CQ69" s="3235">
        <f t="shared" si="123"/>
        <v>0</v>
      </c>
      <c r="CR69" s="3236">
        <f t="shared" si="124"/>
        <v>0</v>
      </c>
      <c r="CS69" s="3236">
        <f t="shared" si="125"/>
        <v>0</v>
      </c>
      <c r="CT69" s="3236">
        <f t="shared" si="126"/>
        <v>0</v>
      </c>
      <c r="CU69" s="3237"/>
      <c r="CY69" s="3235">
        <f t="shared" si="127"/>
        <v>0</v>
      </c>
      <c r="CZ69" s="3236">
        <f t="shared" si="128"/>
        <v>0</v>
      </c>
      <c r="DA69" s="3236">
        <f t="shared" si="129"/>
        <v>0</v>
      </c>
      <c r="DB69" s="3236">
        <f t="shared" si="130"/>
        <v>0</v>
      </c>
      <c r="DC69" s="3237"/>
      <c r="DG69" s="3235">
        <f t="shared" si="131"/>
        <v>0</v>
      </c>
      <c r="DH69" s="3236">
        <f t="shared" si="132"/>
        <v>0</v>
      </c>
      <c r="DI69" s="3236">
        <f t="shared" si="133"/>
        <v>0</v>
      </c>
      <c r="DJ69" s="3236">
        <f t="shared" si="134"/>
        <v>0</v>
      </c>
      <c r="DK69" s="3237"/>
      <c r="DO69" s="3235">
        <f t="shared" si="135"/>
        <v>0</v>
      </c>
      <c r="DP69" s="3236">
        <f t="shared" si="136"/>
        <v>0</v>
      </c>
      <c r="DQ69" s="3236">
        <f t="shared" si="137"/>
        <v>0</v>
      </c>
      <c r="DR69" s="3236">
        <f t="shared" si="138"/>
        <v>0</v>
      </c>
      <c r="DS69" s="3237"/>
      <c r="DW69" s="3235">
        <f t="shared" si="139"/>
        <v>0</v>
      </c>
      <c r="DX69" s="3236">
        <f t="shared" si="140"/>
        <v>0</v>
      </c>
      <c r="DY69" s="3236">
        <f t="shared" si="141"/>
        <v>0</v>
      </c>
      <c r="DZ69" s="3236">
        <f t="shared" si="142"/>
        <v>0</v>
      </c>
      <c r="EA69" s="3237"/>
      <c r="EE69" s="3235">
        <f t="shared" si="143"/>
        <v>0</v>
      </c>
      <c r="EF69" s="3236">
        <f t="shared" si="144"/>
        <v>0</v>
      </c>
      <c r="EG69" s="3236">
        <f t="shared" si="145"/>
        <v>0</v>
      </c>
      <c r="EH69" s="3236">
        <f t="shared" si="146"/>
        <v>0</v>
      </c>
      <c r="EI69" s="3237"/>
      <c r="EM69" s="3235">
        <f t="shared" si="147"/>
        <v>0</v>
      </c>
      <c r="EN69" s="3236">
        <f t="shared" si="148"/>
        <v>0</v>
      </c>
      <c r="EO69" s="3236">
        <f t="shared" si="149"/>
        <v>0</v>
      </c>
      <c r="EP69" s="3236">
        <f t="shared" si="150"/>
        <v>0</v>
      </c>
      <c r="EQ69" s="3237"/>
      <c r="EU69" s="3235">
        <f t="shared" si="151"/>
        <v>0</v>
      </c>
      <c r="EV69" s="3236">
        <f t="shared" si="152"/>
        <v>0</v>
      </c>
      <c r="EW69" s="3236">
        <f t="shared" si="153"/>
        <v>0</v>
      </c>
      <c r="EX69" s="3236">
        <f t="shared" si="154"/>
        <v>0</v>
      </c>
      <c r="EY69" s="3237"/>
      <c r="FC69" s="3235">
        <f t="shared" si="155"/>
        <v>0</v>
      </c>
      <c r="FD69" s="3236">
        <f t="shared" si="156"/>
        <v>0</v>
      </c>
      <c r="FE69" s="3236">
        <f t="shared" si="157"/>
        <v>0</v>
      </c>
      <c r="FF69" s="3236">
        <f t="shared" si="158"/>
        <v>0</v>
      </c>
      <c r="FG69" s="3237"/>
      <c r="FK69" s="3235">
        <f t="shared" si="159"/>
        <v>0</v>
      </c>
      <c r="FL69" s="3236">
        <f t="shared" si="160"/>
        <v>0</v>
      </c>
      <c r="FM69" s="3236">
        <f t="shared" si="161"/>
        <v>0</v>
      </c>
      <c r="FN69" s="3236">
        <f t="shared" si="162"/>
        <v>0</v>
      </c>
      <c r="FO69" s="3237"/>
    </row>
    <row r="70" spans="1:171">
      <c r="A70" s="2442"/>
      <c r="B70" s="2185" t="s">
        <v>162</v>
      </c>
      <c r="C70" s="2464" t="s">
        <v>69</v>
      </c>
      <c r="D70" s="2464">
        <v>108</v>
      </c>
      <c r="E70" s="2424" t="str">
        <f>'Sch 1- Rate Base '!E70</f>
        <v>DIRECT</v>
      </c>
      <c r="F70" s="2171"/>
      <c r="G70" s="2424">
        <f>'Sch 1- Rate Base '!G70</f>
        <v>0</v>
      </c>
      <c r="H70" s="2424">
        <f>'Sch 1- Rate Base '!H70</f>
        <v>0</v>
      </c>
      <c r="I70" s="2424">
        <f>'Sch 1- Rate Base '!I70</f>
        <v>0</v>
      </c>
      <c r="J70" s="2425">
        <f>'Sch 1- Rate Base '!J70</f>
        <v>0</v>
      </c>
      <c r="K70" s="3205">
        <f t="shared" si="82"/>
        <v>0</v>
      </c>
      <c r="O70" s="3235">
        <f t="shared" si="83"/>
        <v>0</v>
      </c>
      <c r="P70" s="3236">
        <f t="shared" si="84"/>
        <v>0</v>
      </c>
      <c r="Q70" s="3236">
        <f t="shared" si="85"/>
        <v>0</v>
      </c>
      <c r="R70" s="3236">
        <f t="shared" si="86"/>
        <v>0</v>
      </c>
      <c r="S70" s="3237"/>
      <c r="W70" s="3235">
        <f t="shared" si="87"/>
        <v>0</v>
      </c>
      <c r="X70" s="3236">
        <f t="shared" si="88"/>
        <v>0</v>
      </c>
      <c r="Y70" s="3236">
        <f t="shared" si="89"/>
        <v>0</v>
      </c>
      <c r="Z70" s="3236">
        <f t="shared" si="90"/>
        <v>0</v>
      </c>
      <c r="AA70" s="3237"/>
      <c r="AE70" s="3235">
        <f t="shared" si="91"/>
        <v>0</v>
      </c>
      <c r="AF70" s="3236">
        <f t="shared" si="92"/>
        <v>0</v>
      </c>
      <c r="AG70" s="3236">
        <f t="shared" si="93"/>
        <v>0</v>
      </c>
      <c r="AH70" s="3236">
        <f t="shared" si="94"/>
        <v>0</v>
      </c>
      <c r="AI70" s="3237"/>
      <c r="AM70" s="3235">
        <f t="shared" si="95"/>
        <v>0</v>
      </c>
      <c r="AN70" s="3236">
        <f t="shared" si="96"/>
        <v>0</v>
      </c>
      <c r="AO70" s="3236">
        <f t="shared" si="97"/>
        <v>0</v>
      </c>
      <c r="AP70" s="3236">
        <f t="shared" si="98"/>
        <v>0</v>
      </c>
      <c r="AQ70" s="3237"/>
      <c r="AU70" s="3235">
        <f t="shared" si="99"/>
        <v>0</v>
      </c>
      <c r="AV70" s="3236">
        <f t="shared" si="100"/>
        <v>0</v>
      </c>
      <c r="AW70" s="3236">
        <f t="shared" si="101"/>
        <v>0</v>
      </c>
      <c r="AX70" s="3236">
        <f t="shared" si="102"/>
        <v>0</v>
      </c>
      <c r="AY70" s="3237"/>
      <c r="BC70" s="3235">
        <f t="shared" si="103"/>
        <v>0</v>
      </c>
      <c r="BD70" s="3236">
        <f t="shared" si="104"/>
        <v>0</v>
      </c>
      <c r="BE70" s="3236">
        <f t="shared" si="105"/>
        <v>0</v>
      </c>
      <c r="BF70" s="3236">
        <f t="shared" si="106"/>
        <v>0</v>
      </c>
      <c r="BG70" s="3237"/>
      <c r="BK70" s="3235">
        <f t="shared" si="107"/>
        <v>0</v>
      </c>
      <c r="BL70" s="3236">
        <f t="shared" si="108"/>
        <v>0</v>
      </c>
      <c r="BM70" s="3236">
        <f t="shared" si="109"/>
        <v>0</v>
      </c>
      <c r="BN70" s="3236">
        <f t="shared" si="110"/>
        <v>0</v>
      </c>
      <c r="BO70" s="3237"/>
      <c r="BS70" s="3235">
        <f t="shared" si="111"/>
        <v>0</v>
      </c>
      <c r="BT70" s="3236">
        <f t="shared" si="112"/>
        <v>0</v>
      </c>
      <c r="BU70" s="3236">
        <f t="shared" si="113"/>
        <v>0</v>
      </c>
      <c r="BV70" s="3236">
        <f t="shared" si="114"/>
        <v>0</v>
      </c>
      <c r="BW70" s="3237"/>
      <c r="CA70" s="3235">
        <f t="shared" si="115"/>
        <v>0</v>
      </c>
      <c r="CB70" s="3236">
        <f t="shared" si="116"/>
        <v>0</v>
      </c>
      <c r="CC70" s="3236">
        <f t="shared" si="117"/>
        <v>0</v>
      </c>
      <c r="CD70" s="3236">
        <f t="shared" si="118"/>
        <v>0</v>
      </c>
      <c r="CE70" s="3237"/>
      <c r="CI70" s="3235">
        <f t="shared" si="119"/>
        <v>0</v>
      </c>
      <c r="CJ70" s="3236">
        <f t="shared" si="120"/>
        <v>0</v>
      </c>
      <c r="CK70" s="3236">
        <f t="shared" si="121"/>
        <v>0</v>
      </c>
      <c r="CL70" s="3236">
        <f t="shared" si="122"/>
        <v>0</v>
      </c>
      <c r="CM70" s="3237"/>
      <c r="CQ70" s="3235">
        <f t="shared" si="123"/>
        <v>0</v>
      </c>
      <c r="CR70" s="3236">
        <f t="shared" si="124"/>
        <v>0</v>
      </c>
      <c r="CS70" s="3236">
        <f t="shared" si="125"/>
        <v>0</v>
      </c>
      <c r="CT70" s="3236">
        <f t="shared" si="126"/>
        <v>0</v>
      </c>
      <c r="CU70" s="3237"/>
      <c r="CY70" s="3235">
        <f t="shared" si="127"/>
        <v>0</v>
      </c>
      <c r="CZ70" s="3236">
        <f t="shared" si="128"/>
        <v>0</v>
      </c>
      <c r="DA70" s="3236">
        <f t="shared" si="129"/>
        <v>0</v>
      </c>
      <c r="DB70" s="3236">
        <f t="shared" si="130"/>
        <v>0</v>
      </c>
      <c r="DC70" s="3237"/>
      <c r="DG70" s="3235">
        <f t="shared" si="131"/>
        <v>0</v>
      </c>
      <c r="DH70" s="3236">
        <f t="shared" si="132"/>
        <v>0</v>
      </c>
      <c r="DI70" s="3236">
        <f t="shared" si="133"/>
        <v>0</v>
      </c>
      <c r="DJ70" s="3236">
        <f t="shared" si="134"/>
        <v>0</v>
      </c>
      <c r="DK70" s="3237"/>
      <c r="DO70" s="3235">
        <f t="shared" si="135"/>
        <v>0</v>
      </c>
      <c r="DP70" s="3236">
        <f t="shared" si="136"/>
        <v>0</v>
      </c>
      <c r="DQ70" s="3236">
        <f t="shared" si="137"/>
        <v>0</v>
      </c>
      <c r="DR70" s="3236">
        <f t="shared" si="138"/>
        <v>0</v>
      </c>
      <c r="DS70" s="3237"/>
      <c r="DW70" s="3235">
        <f t="shared" si="139"/>
        <v>0</v>
      </c>
      <c r="DX70" s="3236">
        <f t="shared" si="140"/>
        <v>0</v>
      </c>
      <c r="DY70" s="3236">
        <f t="shared" si="141"/>
        <v>0</v>
      </c>
      <c r="DZ70" s="3236">
        <f t="shared" si="142"/>
        <v>0</v>
      </c>
      <c r="EA70" s="3237"/>
      <c r="EE70" s="3235">
        <f t="shared" si="143"/>
        <v>0</v>
      </c>
      <c r="EF70" s="3236">
        <f t="shared" si="144"/>
        <v>0</v>
      </c>
      <c r="EG70" s="3236">
        <f t="shared" si="145"/>
        <v>0</v>
      </c>
      <c r="EH70" s="3236">
        <f t="shared" si="146"/>
        <v>0</v>
      </c>
      <c r="EI70" s="3237"/>
      <c r="EM70" s="3235">
        <f t="shared" si="147"/>
        <v>0</v>
      </c>
      <c r="EN70" s="3236">
        <f t="shared" si="148"/>
        <v>0</v>
      </c>
      <c r="EO70" s="3236">
        <f t="shared" si="149"/>
        <v>0</v>
      </c>
      <c r="EP70" s="3236">
        <f t="shared" si="150"/>
        <v>0</v>
      </c>
      <c r="EQ70" s="3237"/>
      <c r="EU70" s="3235">
        <f t="shared" si="151"/>
        <v>0</v>
      </c>
      <c r="EV70" s="3236">
        <f t="shared" si="152"/>
        <v>0</v>
      </c>
      <c r="EW70" s="3236">
        <f t="shared" si="153"/>
        <v>0</v>
      </c>
      <c r="EX70" s="3236">
        <f t="shared" si="154"/>
        <v>0</v>
      </c>
      <c r="EY70" s="3237"/>
      <c r="FC70" s="3235">
        <f t="shared" si="155"/>
        <v>0</v>
      </c>
      <c r="FD70" s="3236">
        <f t="shared" si="156"/>
        <v>0</v>
      </c>
      <c r="FE70" s="3236">
        <f t="shared" si="157"/>
        <v>0</v>
      </c>
      <c r="FF70" s="3236">
        <f t="shared" si="158"/>
        <v>0</v>
      </c>
      <c r="FG70" s="3237"/>
      <c r="FK70" s="3235">
        <f t="shared" si="159"/>
        <v>0</v>
      </c>
      <c r="FL70" s="3236">
        <f t="shared" si="160"/>
        <v>0</v>
      </c>
      <c r="FM70" s="3236">
        <f t="shared" si="161"/>
        <v>0</v>
      </c>
      <c r="FN70" s="3236">
        <f t="shared" si="162"/>
        <v>0</v>
      </c>
      <c r="FO70" s="3237"/>
    </row>
    <row r="71" spans="1:171">
      <c r="A71" s="2442"/>
      <c r="B71" s="2185" t="s">
        <v>399</v>
      </c>
      <c r="C71" s="2464" t="s">
        <v>69</v>
      </c>
      <c r="D71" s="2464">
        <v>108</v>
      </c>
      <c r="E71" s="2424" t="str">
        <f>'Sch 1- Rate Base '!E71</f>
        <v>DIRECT</v>
      </c>
      <c r="F71" s="2171"/>
      <c r="G71" s="2424">
        <f>'Sch 1- Rate Base '!G71</f>
        <v>86358710.079808488</v>
      </c>
      <c r="H71" s="2424">
        <f>'Sch 1- Rate Base '!H71</f>
        <v>23510847.890424702</v>
      </c>
      <c r="I71" s="2424">
        <f>'Sch 1- Rate Base '!I71</f>
        <v>0</v>
      </c>
      <c r="J71" s="2425">
        <f>'Sch 1- Rate Base '!J71</f>
        <v>62847862.189383827</v>
      </c>
      <c r="K71" s="3205">
        <f t="shared" si="82"/>
        <v>0</v>
      </c>
      <c r="O71" s="3235">
        <f t="shared" si="83"/>
        <v>86358710.079808488</v>
      </c>
      <c r="P71" s="3236">
        <f t="shared" si="84"/>
        <v>23510847.890424702</v>
      </c>
      <c r="Q71" s="3236">
        <f t="shared" si="85"/>
        <v>0</v>
      </c>
      <c r="R71" s="3236">
        <f t="shared" si="86"/>
        <v>62847862.18938379</v>
      </c>
      <c r="S71" s="3237"/>
      <c r="W71" s="3235">
        <f t="shared" si="87"/>
        <v>86358710.079808488</v>
      </c>
      <c r="X71" s="3236">
        <f t="shared" si="88"/>
        <v>23510847.890424702</v>
      </c>
      <c r="Y71" s="3236">
        <f t="shared" si="89"/>
        <v>0</v>
      </c>
      <c r="Z71" s="3236">
        <f t="shared" si="90"/>
        <v>62847862.18938379</v>
      </c>
      <c r="AA71" s="3237"/>
      <c r="AE71" s="3235">
        <f t="shared" si="91"/>
        <v>86358710.079808488</v>
      </c>
      <c r="AF71" s="3236">
        <f t="shared" si="92"/>
        <v>23510847.890424702</v>
      </c>
      <c r="AG71" s="3236">
        <f t="shared" si="93"/>
        <v>0</v>
      </c>
      <c r="AH71" s="3236">
        <f t="shared" si="94"/>
        <v>62847862.18938379</v>
      </c>
      <c r="AI71" s="3237"/>
      <c r="AM71" s="3235">
        <f t="shared" si="95"/>
        <v>86358710.079808488</v>
      </c>
      <c r="AN71" s="3236">
        <f t="shared" si="96"/>
        <v>23510847.890424702</v>
      </c>
      <c r="AO71" s="3236">
        <f t="shared" si="97"/>
        <v>0</v>
      </c>
      <c r="AP71" s="3236">
        <f t="shared" si="98"/>
        <v>62847862.18938379</v>
      </c>
      <c r="AQ71" s="3237"/>
      <c r="AU71" s="3235">
        <f t="shared" si="99"/>
        <v>86358710.079808488</v>
      </c>
      <c r="AV71" s="3236">
        <f t="shared" si="100"/>
        <v>23510847.890424702</v>
      </c>
      <c r="AW71" s="3236">
        <f t="shared" si="101"/>
        <v>0</v>
      </c>
      <c r="AX71" s="3236">
        <f t="shared" si="102"/>
        <v>62847862.18938379</v>
      </c>
      <c r="AY71" s="3237"/>
      <c r="BC71" s="3235">
        <f t="shared" si="103"/>
        <v>86358710.079808488</v>
      </c>
      <c r="BD71" s="3236">
        <f t="shared" si="104"/>
        <v>23510847.890424702</v>
      </c>
      <c r="BE71" s="3236">
        <f t="shared" si="105"/>
        <v>0</v>
      </c>
      <c r="BF71" s="3236">
        <f t="shared" si="106"/>
        <v>62847862.18938379</v>
      </c>
      <c r="BG71" s="3237"/>
      <c r="BK71" s="3235">
        <f t="shared" si="107"/>
        <v>86358710.079808488</v>
      </c>
      <c r="BL71" s="3236">
        <f t="shared" si="108"/>
        <v>23510847.890424702</v>
      </c>
      <c r="BM71" s="3236">
        <f t="shared" si="109"/>
        <v>0</v>
      </c>
      <c r="BN71" s="3236">
        <f t="shared" si="110"/>
        <v>62847862.18938379</v>
      </c>
      <c r="BO71" s="3237"/>
      <c r="BS71" s="3235">
        <f t="shared" si="111"/>
        <v>86358710.079808488</v>
      </c>
      <c r="BT71" s="3236">
        <f t="shared" si="112"/>
        <v>23510847.890424702</v>
      </c>
      <c r="BU71" s="3236">
        <f t="shared" si="113"/>
        <v>0</v>
      </c>
      <c r="BV71" s="3236">
        <f t="shared" si="114"/>
        <v>62847862.18938379</v>
      </c>
      <c r="BW71" s="3237"/>
      <c r="CA71" s="3235">
        <f t="shared" si="115"/>
        <v>86358710.079808488</v>
      </c>
      <c r="CB71" s="3236">
        <f t="shared" si="116"/>
        <v>23510847.890424702</v>
      </c>
      <c r="CC71" s="3236">
        <f t="shared" si="117"/>
        <v>0</v>
      </c>
      <c r="CD71" s="3236">
        <f t="shared" si="118"/>
        <v>62847862.18938379</v>
      </c>
      <c r="CE71" s="3237"/>
      <c r="CI71" s="3235">
        <f t="shared" si="119"/>
        <v>86358710.079808488</v>
      </c>
      <c r="CJ71" s="3236">
        <f t="shared" si="120"/>
        <v>23510847.890424702</v>
      </c>
      <c r="CK71" s="3236">
        <f t="shared" si="121"/>
        <v>0</v>
      </c>
      <c r="CL71" s="3236">
        <f t="shared" si="122"/>
        <v>62847862.18938379</v>
      </c>
      <c r="CM71" s="3237"/>
      <c r="CQ71" s="3235">
        <f t="shared" si="123"/>
        <v>86358710.079808488</v>
      </c>
      <c r="CR71" s="3236">
        <f t="shared" si="124"/>
        <v>23510847.890424702</v>
      </c>
      <c r="CS71" s="3236">
        <f t="shared" si="125"/>
        <v>0</v>
      </c>
      <c r="CT71" s="3236">
        <f t="shared" si="126"/>
        <v>62847862.18938379</v>
      </c>
      <c r="CU71" s="3237"/>
      <c r="CY71" s="3235">
        <f t="shared" si="127"/>
        <v>86358710.079808488</v>
      </c>
      <c r="CZ71" s="3236">
        <f t="shared" si="128"/>
        <v>23510847.890424702</v>
      </c>
      <c r="DA71" s="3236">
        <f t="shared" si="129"/>
        <v>0</v>
      </c>
      <c r="DB71" s="3236">
        <f t="shared" si="130"/>
        <v>62847862.18938379</v>
      </c>
      <c r="DC71" s="3237"/>
      <c r="DG71" s="3235">
        <f t="shared" si="131"/>
        <v>86358710.079808488</v>
      </c>
      <c r="DH71" s="3236">
        <f t="shared" si="132"/>
        <v>23510847.890424702</v>
      </c>
      <c r="DI71" s="3236">
        <f t="shared" si="133"/>
        <v>0</v>
      </c>
      <c r="DJ71" s="3236">
        <f t="shared" si="134"/>
        <v>62847862.18938379</v>
      </c>
      <c r="DK71" s="3237"/>
      <c r="DO71" s="3235">
        <f t="shared" si="135"/>
        <v>86358710.079808488</v>
      </c>
      <c r="DP71" s="3236">
        <f t="shared" si="136"/>
        <v>23510847.890424702</v>
      </c>
      <c r="DQ71" s="3236">
        <f t="shared" si="137"/>
        <v>0</v>
      </c>
      <c r="DR71" s="3236">
        <f t="shared" si="138"/>
        <v>62847862.18938379</v>
      </c>
      <c r="DS71" s="3237"/>
      <c r="DW71" s="3235">
        <f t="shared" si="139"/>
        <v>86358710.079808488</v>
      </c>
      <c r="DX71" s="3236">
        <f t="shared" si="140"/>
        <v>23510847.890424702</v>
      </c>
      <c r="DY71" s="3236">
        <f t="shared" si="141"/>
        <v>0</v>
      </c>
      <c r="DZ71" s="3236">
        <f t="shared" si="142"/>
        <v>62847862.18938379</v>
      </c>
      <c r="EA71" s="3237"/>
      <c r="EE71" s="3235">
        <f t="shared" si="143"/>
        <v>86358710.079808488</v>
      </c>
      <c r="EF71" s="3236">
        <f t="shared" si="144"/>
        <v>23510847.890424702</v>
      </c>
      <c r="EG71" s="3236">
        <f t="shared" si="145"/>
        <v>0</v>
      </c>
      <c r="EH71" s="3236">
        <f t="shared" si="146"/>
        <v>62847862.18938379</v>
      </c>
      <c r="EI71" s="3237"/>
      <c r="EM71" s="3235">
        <f t="shared" si="147"/>
        <v>86358710.079808488</v>
      </c>
      <c r="EN71" s="3236">
        <f t="shared" si="148"/>
        <v>23510847.890424702</v>
      </c>
      <c r="EO71" s="3236">
        <f t="shared" si="149"/>
        <v>0</v>
      </c>
      <c r="EP71" s="3236">
        <f t="shared" si="150"/>
        <v>62847862.18938379</v>
      </c>
      <c r="EQ71" s="3237"/>
      <c r="EU71" s="3235">
        <f t="shared" si="151"/>
        <v>86358710.079808488</v>
      </c>
      <c r="EV71" s="3236">
        <f t="shared" si="152"/>
        <v>23510847.890424702</v>
      </c>
      <c r="EW71" s="3236">
        <f t="shared" si="153"/>
        <v>0</v>
      </c>
      <c r="EX71" s="3236">
        <f t="shared" si="154"/>
        <v>62847862.18938379</v>
      </c>
      <c r="EY71" s="3237"/>
      <c r="FC71" s="3235">
        <f t="shared" si="155"/>
        <v>86358710.079808488</v>
      </c>
      <c r="FD71" s="3236">
        <f t="shared" si="156"/>
        <v>23510847.890424702</v>
      </c>
      <c r="FE71" s="3236">
        <f t="shared" si="157"/>
        <v>0</v>
      </c>
      <c r="FF71" s="3236">
        <f t="shared" si="158"/>
        <v>62847862.18938379</v>
      </c>
      <c r="FG71" s="3237"/>
      <c r="FK71" s="3235">
        <f t="shared" si="159"/>
        <v>86358710.079808488</v>
      </c>
      <c r="FL71" s="3236">
        <f t="shared" si="160"/>
        <v>23510847.890424702</v>
      </c>
      <c r="FM71" s="3236">
        <f t="shared" si="161"/>
        <v>0</v>
      </c>
      <c r="FN71" s="3236">
        <f t="shared" si="162"/>
        <v>62847862.18938379</v>
      </c>
      <c r="FO71" s="3237"/>
    </row>
    <row r="72" spans="1:171">
      <c r="A72" s="2442"/>
      <c r="B72" s="2185" t="s">
        <v>400</v>
      </c>
      <c r="C72" s="2464" t="s">
        <v>69</v>
      </c>
      <c r="D72" s="2464">
        <v>108</v>
      </c>
      <c r="E72" s="2424" t="str">
        <f>'Sch 1- Rate Base '!E72</f>
        <v>DIRECT</v>
      </c>
      <c r="F72" s="2171"/>
      <c r="G72" s="2424">
        <f>'Sch 1- Rate Base '!G72</f>
        <v>90080742.531604186</v>
      </c>
      <c r="H72" s="2424">
        <f>'Sch 1- Rate Base '!H72</f>
        <v>28133789.970597092</v>
      </c>
      <c r="I72" s="2424">
        <f>'Sch 1- Rate Base '!I72</f>
        <v>0</v>
      </c>
      <c r="J72" s="2425">
        <f>'Sch 1- Rate Base '!J72</f>
        <v>61946952.232538618</v>
      </c>
      <c r="K72" s="3205">
        <f t="shared" si="82"/>
        <v>0</v>
      </c>
      <c r="O72" s="3235">
        <f t="shared" si="83"/>
        <v>90080742.531604186</v>
      </c>
      <c r="P72" s="3236">
        <f t="shared" si="84"/>
        <v>28133789.970597092</v>
      </c>
      <c r="Q72" s="3236">
        <f t="shared" si="85"/>
        <v>0</v>
      </c>
      <c r="R72" s="3236">
        <f t="shared" si="86"/>
        <v>61946952.561007097</v>
      </c>
      <c r="S72" s="3237"/>
      <c r="W72" s="3235">
        <f t="shared" si="87"/>
        <v>90080742.531604186</v>
      </c>
      <c r="X72" s="3236">
        <f t="shared" si="88"/>
        <v>28133789.970597092</v>
      </c>
      <c r="Y72" s="3236">
        <f t="shared" si="89"/>
        <v>0</v>
      </c>
      <c r="Z72" s="3236">
        <f t="shared" si="90"/>
        <v>61946952.561007097</v>
      </c>
      <c r="AA72" s="3237"/>
      <c r="AE72" s="3235">
        <f t="shared" si="91"/>
        <v>90080742.531604186</v>
      </c>
      <c r="AF72" s="3236">
        <f t="shared" si="92"/>
        <v>28133789.970597092</v>
      </c>
      <c r="AG72" s="3236">
        <f t="shared" si="93"/>
        <v>0</v>
      </c>
      <c r="AH72" s="3236">
        <f t="shared" si="94"/>
        <v>61946952.561007097</v>
      </c>
      <c r="AI72" s="3237"/>
      <c r="AM72" s="3235">
        <f t="shared" si="95"/>
        <v>90080742.531604186</v>
      </c>
      <c r="AN72" s="3236">
        <f t="shared" si="96"/>
        <v>28133789.970597092</v>
      </c>
      <c r="AO72" s="3236">
        <f t="shared" si="97"/>
        <v>0</v>
      </c>
      <c r="AP72" s="3236">
        <f t="shared" si="98"/>
        <v>61946952.561007097</v>
      </c>
      <c r="AQ72" s="3237"/>
      <c r="AU72" s="3235">
        <f t="shared" si="99"/>
        <v>90080742.531604186</v>
      </c>
      <c r="AV72" s="3236">
        <f t="shared" si="100"/>
        <v>28133789.970597092</v>
      </c>
      <c r="AW72" s="3236">
        <f t="shared" si="101"/>
        <v>0</v>
      </c>
      <c r="AX72" s="3236">
        <f t="shared" si="102"/>
        <v>61946952.561007097</v>
      </c>
      <c r="AY72" s="3237"/>
      <c r="BC72" s="3235">
        <f t="shared" si="103"/>
        <v>90080742.531604186</v>
      </c>
      <c r="BD72" s="3236">
        <f t="shared" si="104"/>
        <v>28133789.970597092</v>
      </c>
      <c r="BE72" s="3236">
        <f t="shared" si="105"/>
        <v>0</v>
      </c>
      <c r="BF72" s="3236">
        <f t="shared" si="106"/>
        <v>61946952.561007097</v>
      </c>
      <c r="BG72" s="3237"/>
      <c r="BK72" s="3235">
        <f t="shared" si="107"/>
        <v>90080742.531604186</v>
      </c>
      <c r="BL72" s="3236">
        <f t="shared" si="108"/>
        <v>28133789.970597092</v>
      </c>
      <c r="BM72" s="3236">
        <f t="shared" si="109"/>
        <v>0</v>
      </c>
      <c r="BN72" s="3236">
        <f t="shared" si="110"/>
        <v>61946952.561007097</v>
      </c>
      <c r="BO72" s="3237"/>
      <c r="BS72" s="3235">
        <f t="shared" si="111"/>
        <v>90080742.531604186</v>
      </c>
      <c r="BT72" s="3236">
        <f t="shared" si="112"/>
        <v>28133789.970597092</v>
      </c>
      <c r="BU72" s="3236">
        <f t="shared" si="113"/>
        <v>0</v>
      </c>
      <c r="BV72" s="3236">
        <f t="shared" si="114"/>
        <v>61946952.561007097</v>
      </c>
      <c r="BW72" s="3237"/>
      <c r="CA72" s="3235">
        <f t="shared" si="115"/>
        <v>90080742.531604186</v>
      </c>
      <c r="CB72" s="3236">
        <f t="shared" si="116"/>
        <v>28133789.970597092</v>
      </c>
      <c r="CC72" s="3236">
        <f t="shared" si="117"/>
        <v>0</v>
      </c>
      <c r="CD72" s="3236">
        <f t="shared" si="118"/>
        <v>61946952.561007097</v>
      </c>
      <c r="CE72" s="3237"/>
      <c r="CI72" s="3235">
        <f t="shared" si="119"/>
        <v>90080742.531604186</v>
      </c>
      <c r="CJ72" s="3236">
        <f t="shared" si="120"/>
        <v>28133789.970597092</v>
      </c>
      <c r="CK72" s="3236">
        <f t="shared" si="121"/>
        <v>0</v>
      </c>
      <c r="CL72" s="3236">
        <f t="shared" si="122"/>
        <v>61946952.561007097</v>
      </c>
      <c r="CM72" s="3237"/>
      <c r="CQ72" s="3235">
        <f t="shared" si="123"/>
        <v>90080742.531604186</v>
      </c>
      <c r="CR72" s="3236">
        <f t="shared" si="124"/>
        <v>28133789.970597092</v>
      </c>
      <c r="CS72" s="3236">
        <f t="shared" si="125"/>
        <v>0</v>
      </c>
      <c r="CT72" s="3236">
        <f t="shared" si="126"/>
        <v>61946952.561007097</v>
      </c>
      <c r="CU72" s="3237"/>
      <c r="CY72" s="3235">
        <f t="shared" si="127"/>
        <v>90080742.531604186</v>
      </c>
      <c r="CZ72" s="3236">
        <f t="shared" si="128"/>
        <v>28133789.970597092</v>
      </c>
      <c r="DA72" s="3236">
        <f t="shared" si="129"/>
        <v>0</v>
      </c>
      <c r="DB72" s="3236">
        <f t="shared" si="130"/>
        <v>61946952.561007097</v>
      </c>
      <c r="DC72" s="3237"/>
      <c r="DG72" s="3235">
        <f t="shared" si="131"/>
        <v>90080742.531604186</v>
      </c>
      <c r="DH72" s="3236">
        <f t="shared" si="132"/>
        <v>28133789.970597092</v>
      </c>
      <c r="DI72" s="3236">
        <f t="shared" si="133"/>
        <v>0</v>
      </c>
      <c r="DJ72" s="3236">
        <f t="shared" si="134"/>
        <v>61946952.561007097</v>
      </c>
      <c r="DK72" s="3237"/>
      <c r="DO72" s="3235">
        <f t="shared" si="135"/>
        <v>90080742.531604186</v>
      </c>
      <c r="DP72" s="3236">
        <f t="shared" si="136"/>
        <v>28133789.970597092</v>
      </c>
      <c r="DQ72" s="3236">
        <f t="shared" si="137"/>
        <v>0</v>
      </c>
      <c r="DR72" s="3236">
        <f t="shared" si="138"/>
        <v>61946952.561007097</v>
      </c>
      <c r="DS72" s="3237"/>
      <c r="DW72" s="3235">
        <f t="shared" si="139"/>
        <v>90080742.531604186</v>
      </c>
      <c r="DX72" s="3236">
        <f t="shared" si="140"/>
        <v>28133789.970597092</v>
      </c>
      <c r="DY72" s="3236">
        <f t="shared" si="141"/>
        <v>0</v>
      </c>
      <c r="DZ72" s="3236">
        <f t="shared" si="142"/>
        <v>61946952.561007097</v>
      </c>
      <c r="EA72" s="3237"/>
      <c r="EE72" s="3235">
        <f t="shared" si="143"/>
        <v>90080742.531604186</v>
      </c>
      <c r="EF72" s="3236">
        <f t="shared" si="144"/>
        <v>28133789.970597092</v>
      </c>
      <c r="EG72" s="3236">
        <f t="shared" si="145"/>
        <v>0</v>
      </c>
      <c r="EH72" s="3236">
        <f t="shared" si="146"/>
        <v>61946952.561007097</v>
      </c>
      <c r="EI72" s="3237"/>
      <c r="EM72" s="3235">
        <f t="shared" si="147"/>
        <v>90080742.531604186</v>
      </c>
      <c r="EN72" s="3236">
        <f t="shared" si="148"/>
        <v>28133789.970597092</v>
      </c>
      <c r="EO72" s="3236">
        <f t="shared" si="149"/>
        <v>0</v>
      </c>
      <c r="EP72" s="3236">
        <f t="shared" si="150"/>
        <v>61946952.561007097</v>
      </c>
      <c r="EQ72" s="3237"/>
      <c r="EU72" s="3235">
        <f t="shared" si="151"/>
        <v>90080742.531604186</v>
      </c>
      <c r="EV72" s="3236">
        <f t="shared" si="152"/>
        <v>28133789.970597092</v>
      </c>
      <c r="EW72" s="3236">
        <f t="shared" si="153"/>
        <v>0</v>
      </c>
      <c r="EX72" s="3236">
        <f t="shared" si="154"/>
        <v>61946952.561007097</v>
      </c>
      <c r="EY72" s="3237"/>
      <c r="FC72" s="3235">
        <f t="shared" si="155"/>
        <v>90080742.531604186</v>
      </c>
      <c r="FD72" s="3236">
        <f t="shared" si="156"/>
        <v>28133789.970597092</v>
      </c>
      <c r="FE72" s="3236">
        <f t="shared" si="157"/>
        <v>0</v>
      </c>
      <c r="FF72" s="3236">
        <f t="shared" si="158"/>
        <v>61946952.561007097</v>
      </c>
      <c r="FG72" s="3237"/>
      <c r="FK72" s="3235">
        <f t="shared" si="159"/>
        <v>90080742.531604186</v>
      </c>
      <c r="FL72" s="3236">
        <f t="shared" si="160"/>
        <v>28133789.970597092</v>
      </c>
      <c r="FM72" s="3236">
        <f t="shared" si="161"/>
        <v>0</v>
      </c>
      <c r="FN72" s="3236">
        <f t="shared" si="162"/>
        <v>61946952.561007097</v>
      </c>
      <c r="FO72" s="3237"/>
    </row>
    <row r="73" spans="1:171">
      <c r="A73" s="2442"/>
      <c r="B73" s="2185" t="s">
        <v>546</v>
      </c>
      <c r="C73" s="2464" t="s">
        <v>69</v>
      </c>
      <c r="D73" s="2464">
        <v>115</v>
      </c>
      <c r="E73" s="2424" t="str">
        <f>'Sch 1- Rate Base '!E73</f>
        <v>DIRECT</v>
      </c>
      <c r="F73" s="2171"/>
      <c r="G73" s="2424">
        <f>'Sch 1- Rate Base '!G73</f>
        <v>177057826</v>
      </c>
      <c r="H73" s="2424">
        <f>'Sch 1- Rate Base '!H73</f>
        <v>175809295.39000002</v>
      </c>
      <c r="I73" s="2424">
        <f>'Sch 1- Rate Base '!I73</f>
        <v>0</v>
      </c>
      <c r="J73" s="2425">
        <f>'Sch 1- Rate Base '!J73</f>
        <v>1248530.26</v>
      </c>
      <c r="K73" s="3205">
        <f t="shared" si="82"/>
        <v>0</v>
      </c>
      <c r="O73" s="3235">
        <f t="shared" si="83"/>
        <v>177057826</v>
      </c>
      <c r="P73" s="3236">
        <f t="shared" si="84"/>
        <v>175809295.39000002</v>
      </c>
      <c r="Q73" s="3236">
        <f t="shared" si="85"/>
        <v>0</v>
      </c>
      <c r="R73" s="3236">
        <f t="shared" si="86"/>
        <v>1248530.6099999845</v>
      </c>
      <c r="S73" s="3237"/>
      <c r="W73" s="3235">
        <f t="shared" si="87"/>
        <v>177057826</v>
      </c>
      <c r="X73" s="3236">
        <f t="shared" si="88"/>
        <v>175809295.39000002</v>
      </c>
      <c r="Y73" s="3236">
        <f t="shared" si="89"/>
        <v>0</v>
      </c>
      <c r="Z73" s="3236">
        <f t="shared" si="90"/>
        <v>1248530.6099999845</v>
      </c>
      <c r="AA73" s="3237"/>
      <c r="AE73" s="3235">
        <f t="shared" si="91"/>
        <v>177057826</v>
      </c>
      <c r="AF73" s="3236">
        <f t="shared" si="92"/>
        <v>175809295.39000002</v>
      </c>
      <c r="AG73" s="3236">
        <f t="shared" si="93"/>
        <v>0</v>
      </c>
      <c r="AH73" s="3236">
        <f t="shared" si="94"/>
        <v>1248530.6099999845</v>
      </c>
      <c r="AI73" s="3237"/>
      <c r="AM73" s="3235">
        <f t="shared" si="95"/>
        <v>177057826</v>
      </c>
      <c r="AN73" s="3236">
        <f t="shared" si="96"/>
        <v>175809295.39000002</v>
      </c>
      <c r="AO73" s="3236">
        <f t="shared" si="97"/>
        <v>0</v>
      </c>
      <c r="AP73" s="3236">
        <f t="shared" si="98"/>
        <v>1248530.6099999845</v>
      </c>
      <c r="AQ73" s="3237"/>
      <c r="AU73" s="3235">
        <f t="shared" si="99"/>
        <v>177057826</v>
      </c>
      <c r="AV73" s="3236">
        <f t="shared" si="100"/>
        <v>175809295.39000002</v>
      </c>
      <c r="AW73" s="3236">
        <f t="shared" si="101"/>
        <v>0</v>
      </c>
      <c r="AX73" s="3236">
        <f t="shared" si="102"/>
        <v>1248530.6099999845</v>
      </c>
      <c r="AY73" s="3237"/>
      <c r="BC73" s="3235">
        <f t="shared" si="103"/>
        <v>177057826</v>
      </c>
      <c r="BD73" s="3236">
        <f t="shared" si="104"/>
        <v>175809295.39000002</v>
      </c>
      <c r="BE73" s="3236">
        <f t="shared" si="105"/>
        <v>0</v>
      </c>
      <c r="BF73" s="3236">
        <f t="shared" si="106"/>
        <v>1248530.6099999845</v>
      </c>
      <c r="BG73" s="3237"/>
      <c r="BK73" s="3235">
        <f t="shared" si="107"/>
        <v>177057826</v>
      </c>
      <c r="BL73" s="3236">
        <f t="shared" si="108"/>
        <v>175809295.39000002</v>
      </c>
      <c r="BM73" s="3236">
        <f t="shared" si="109"/>
        <v>0</v>
      </c>
      <c r="BN73" s="3236">
        <f t="shared" si="110"/>
        <v>1248530.6099999845</v>
      </c>
      <c r="BO73" s="3237"/>
      <c r="BS73" s="3235">
        <f t="shared" si="111"/>
        <v>177057826</v>
      </c>
      <c r="BT73" s="3236">
        <f t="shared" si="112"/>
        <v>175809295.39000002</v>
      </c>
      <c r="BU73" s="3236">
        <f t="shared" si="113"/>
        <v>0</v>
      </c>
      <c r="BV73" s="3236">
        <f t="shared" si="114"/>
        <v>1248530.6099999845</v>
      </c>
      <c r="BW73" s="3237"/>
      <c r="CA73" s="3235">
        <f t="shared" si="115"/>
        <v>177057826</v>
      </c>
      <c r="CB73" s="3236">
        <f t="shared" si="116"/>
        <v>175809295.39000002</v>
      </c>
      <c r="CC73" s="3236">
        <f t="shared" si="117"/>
        <v>0</v>
      </c>
      <c r="CD73" s="3236">
        <f t="shared" si="118"/>
        <v>1248530.6099999845</v>
      </c>
      <c r="CE73" s="3237"/>
      <c r="CI73" s="3235">
        <f t="shared" si="119"/>
        <v>177057826</v>
      </c>
      <c r="CJ73" s="3236">
        <f t="shared" si="120"/>
        <v>175809295.39000002</v>
      </c>
      <c r="CK73" s="3236">
        <f t="shared" si="121"/>
        <v>0</v>
      </c>
      <c r="CL73" s="3236">
        <f t="shared" si="122"/>
        <v>1248530.6099999845</v>
      </c>
      <c r="CM73" s="3237"/>
      <c r="CQ73" s="3235">
        <f t="shared" si="123"/>
        <v>177057826</v>
      </c>
      <c r="CR73" s="3236">
        <f t="shared" si="124"/>
        <v>175809295.39000002</v>
      </c>
      <c r="CS73" s="3236">
        <f t="shared" si="125"/>
        <v>0</v>
      </c>
      <c r="CT73" s="3236">
        <f t="shared" si="126"/>
        <v>1248530.6099999845</v>
      </c>
      <c r="CU73" s="3237"/>
      <c r="CY73" s="3235">
        <f t="shared" si="127"/>
        <v>177057826</v>
      </c>
      <c r="CZ73" s="3236">
        <f t="shared" si="128"/>
        <v>175809295.39000002</v>
      </c>
      <c r="DA73" s="3236">
        <f t="shared" si="129"/>
        <v>0</v>
      </c>
      <c r="DB73" s="3236">
        <f t="shared" si="130"/>
        <v>1248530.6099999845</v>
      </c>
      <c r="DC73" s="3237"/>
      <c r="DG73" s="3235">
        <f t="shared" si="131"/>
        <v>177057826</v>
      </c>
      <c r="DH73" s="3236">
        <f t="shared" si="132"/>
        <v>175809295.39000002</v>
      </c>
      <c r="DI73" s="3236">
        <f t="shared" si="133"/>
        <v>0</v>
      </c>
      <c r="DJ73" s="3236">
        <f t="shared" si="134"/>
        <v>1248530.6099999845</v>
      </c>
      <c r="DK73" s="3237"/>
      <c r="DO73" s="3235">
        <f t="shared" si="135"/>
        <v>177057826</v>
      </c>
      <c r="DP73" s="3236">
        <f t="shared" si="136"/>
        <v>175809295.39000002</v>
      </c>
      <c r="DQ73" s="3236">
        <f t="shared" si="137"/>
        <v>0</v>
      </c>
      <c r="DR73" s="3236">
        <f t="shared" si="138"/>
        <v>1248530.6099999845</v>
      </c>
      <c r="DS73" s="3237"/>
      <c r="DW73" s="3235">
        <f t="shared" si="139"/>
        <v>177057826</v>
      </c>
      <c r="DX73" s="3236">
        <f t="shared" si="140"/>
        <v>175809295.39000002</v>
      </c>
      <c r="DY73" s="3236">
        <f t="shared" si="141"/>
        <v>0</v>
      </c>
      <c r="DZ73" s="3236">
        <f t="shared" si="142"/>
        <v>1248530.6099999845</v>
      </c>
      <c r="EA73" s="3237"/>
      <c r="EE73" s="3235">
        <f t="shared" si="143"/>
        <v>177057826</v>
      </c>
      <c r="EF73" s="3236">
        <f t="shared" si="144"/>
        <v>175809295.39000002</v>
      </c>
      <c r="EG73" s="3236">
        <f t="shared" si="145"/>
        <v>0</v>
      </c>
      <c r="EH73" s="3236">
        <f t="shared" si="146"/>
        <v>1248530.6099999845</v>
      </c>
      <c r="EI73" s="3237"/>
      <c r="EM73" s="3235">
        <f t="shared" si="147"/>
        <v>177057826</v>
      </c>
      <c r="EN73" s="3236">
        <f t="shared" si="148"/>
        <v>175809295.39000002</v>
      </c>
      <c r="EO73" s="3236">
        <f t="shared" si="149"/>
        <v>0</v>
      </c>
      <c r="EP73" s="3236">
        <f t="shared" si="150"/>
        <v>1248530.6099999845</v>
      </c>
      <c r="EQ73" s="3237"/>
      <c r="EU73" s="3235">
        <f t="shared" si="151"/>
        <v>177057826</v>
      </c>
      <c r="EV73" s="3236">
        <f t="shared" si="152"/>
        <v>175809295.39000002</v>
      </c>
      <c r="EW73" s="3236">
        <f t="shared" si="153"/>
        <v>0</v>
      </c>
      <c r="EX73" s="3236">
        <f t="shared" si="154"/>
        <v>1248530.6099999845</v>
      </c>
      <c r="EY73" s="3237"/>
      <c r="FC73" s="3235">
        <f t="shared" si="155"/>
        <v>177057826</v>
      </c>
      <c r="FD73" s="3236">
        <f t="shared" si="156"/>
        <v>175809295.39000002</v>
      </c>
      <c r="FE73" s="3236">
        <f t="shared" si="157"/>
        <v>0</v>
      </c>
      <c r="FF73" s="3236">
        <f t="shared" si="158"/>
        <v>1248530.6099999845</v>
      </c>
      <c r="FG73" s="3237"/>
      <c r="FK73" s="3235">
        <f t="shared" si="159"/>
        <v>177057826</v>
      </c>
      <c r="FL73" s="3236">
        <f t="shared" si="160"/>
        <v>175809295.39000002</v>
      </c>
      <c r="FM73" s="3236">
        <f t="shared" si="161"/>
        <v>0</v>
      </c>
      <c r="FN73" s="3236">
        <f t="shared" si="162"/>
        <v>1248530.6099999845</v>
      </c>
      <c r="FO73" s="3237"/>
    </row>
    <row r="74" spans="1:171">
      <c r="A74" s="2442"/>
      <c r="B74" s="2185"/>
      <c r="C74" s="2116"/>
      <c r="D74" s="2098"/>
      <c r="E74" s="2098"/>
      <c r="F74" s="2098"/>
      <c r="G74" s="2201"/>
      <c r="H74" s="2671"/>
      <c r="I74" s="2671"/>
      <c r="J74" s="2672"/>
      <c r="K74" s="3205"/>
      <c r="S74" s="3237"/>
      <c r="AA74" s="3237"/>
      <c r="AI74" s="3237"/>
      <c r="AQ74" s="3237"/>
      <c r="AY74" s="3237"/>
      <c r="BG74" s="3237"/>
      <c r="BO74" s="3237"/>
      <c r="BW74" s="3237"/>
      <c r="CE74" s="3237"/>
      <c r="CM74" s="3237"/>
      <c r="CU74" s="3237"/>
      <c r="DC74" s="3237"/>
      <c r="DK74" s="3237"/>
      <c r="DS74" s="3237"/>
      <c r="EA74" s="3237"/>
      <c r="EI74" s="3237"/>
      <c r="EQ74" s="3237"/>
      <c r="EY74" s="3237"/>
      <c r="FG74" s="3237"/>
      <c r="FO74" s="3237"/>
    </row>
    <row r="75" spans="1:171">
      <c r="A75" s="2669" t="s">
        <v>209</v>
      </c>
      <c r="B75" s="2185"/>
      <c r="C75" s="2464"/>
      <c r="D75" s="2464"/>
      <c r="E75" s="2424" t="str">
        <f>'Sch 1- Rate Base '!E75</f>
        <v>DIRECT</v>
      </c>
      <c r="F75" s="2171"/>
      <c r="G75" s="2424">
        <f>'Sch 1- Rate Base '!G75</f>
        <v>0</v>
      </c>
      <c r="H75" s="2424">
        <f>'Sch 1- Rate Base '!H75</f>
        <v>0</v>
      </c>
      <c r="I75" s="2424">
        <f>'Sch 1- Rate Base '!I75</f>
        <v>0</v>
      </c>
      <c r="J75" s="2425">
        <f>'Sch 1- Rate Base '!J75</f>
        <v>0</v>
      </c>
      <c r="K75" s="3205">
        <f t="shared" si="82"/>
        <v>0</v>
      </c>
      <c r="S75" s="3237"/>
      <c r="AA75" s="3237"/>
      <c r="AI75" s="3237"/>
      <c r="AQ75" s="3237"/>
      <c r="AY75" s="3237"/>
      <c r="BG75" s="3237"/>
      <c r="BO75" s="3237"/>
      <c r="BW75" s="3237"/>
      <c r="CE75" s="3237"/>
      <c r="CM75" s="3237"/>
      <c r="CU75" s="3237"/>
      <c r="DC75" s="3237"/>
      <c r="DK75" s="3237"/>
      <c r="DS75" s="3237"/>
      <c r="EA75" s="3237"/>
      <c r="EI75" s="3237"/>
      <c r="EQ75" s="3237"/>
      <c r="EY75" s="3237"/>
      <c r="FG75" s="3237"/>
      <c r="FO75" s="3237"/>
    </row>
    <row r="76" spans="1:171">
      <c r="A76" s="2703"/>
      <c r="B76" s="2185"/>
      <c r="C76" s="2116"/>
      <c r="D76" s="2098"/>
      <c r="E76" s="2098"/>
      <c r="F76" s="2098"/>
      <c r="G76" s="2117"/>
      <c r="H76" s="2671"/>
      <c r="I76" s="2671"/>
      <c r="J76" s="2672"/>
      <c r="K76" s="3205"/>
      <c r="S76" s="3237"/>
      <c r="AA76" s="3237"/>
      <c r="AI76" s="3237"/>
      <c r="AQ76" s="3237"/>
      <c r="AY76" s="3237"/>
      <c r="BG76" s="3237"/>
      <c r="BO76" s="3237"/>
      <c r="BW76" s="3237"/>
      <c r="CE76" s="3237"/>
      <c r="CM76" s="3237"/>
      <c r="CU76" s="3237"/>
      <c r="DC76" s="3237"/>
      <c r="DK76" s="3237"/>
      <c r="DS76" s="3237"/>
      <c r="EA76" s="3237"/>
      <c r="EI76" s="3237"/>
      <c r="EQ76" s="3237"/>
      <c r="EY76" s="3237"/>
      <c r="FG76" s="3237"/>
      <c r="FO76" s="3237"/>
    </row>
    <row r="77" spans="1:171">
      <c r="A77" s="2697" t="s">
        <v>221</v>
      </c>
      <c r="B77" s="2100"/>
      <c r="C77" s="3256"/>
      <c r="D77" s="3257"/>
      <c r="E77" s="3257"/>
      <c r="F77" s="3258"/>
      <c r="G77" s="3265">
        <f>SUM(G57:G75)</f>
        <v>5581914798.8714123</v>
      </c>
      <c r="H77" s="3265">
        <f>SUM(H57:H75)</f>
        <v>2626518032.8082662</v>
      </c>
      <c r="I77" s="3265">
        <f>SUM(I57:I75)</f>
        <v>0</v>
      </c>
      <c r="J77" s="3266">
        <f>SUM(J57:J75)</f>
        <v>2955396765.3846788</v>
      </c>
      <c r="K77" s="3205"/>
      <c r="O77" s="3247">
        <f>SUM(O57:O75)</f>
        <v>5581914798.8714123</v>
      </c>
      <c r="P77" s="3247">
        <f>SUM(P57:P75)</f>
        <v>2626518032.8082662</v>
      </c>
      <c r="Q77" s="3247">
        <f>SUM(Q57:Q75)</f>
        <v>697004187.19734859</v>
      </c>
      <c r="R77" s="3247">
        <f>SUM(R57:R75)</f>
        <v>2258392578.865798</v>
      </c>
      <c r="S77" s="3237"/>
      <c r="W77" s="3247">
        <f>SUM(W57:W75)</f>
        <v>5581914798.8714123</v>
      </c>
      <c r="X77" s="3247">
        <f>SUM(X57:X75)</f>
        <v>2626518032.8082662</v>
      </c>
      <c r="Y77" s="3247">
        <f>SUM(Y57:Y75)</f>
        <v>697004187.19734859</v>
      </c>
      <c r="Z77" s="3247">
        <f>SUM(Z57:Z75)</f>
        <v>2258392578.865798</v>
      </c>
      <c r="AA77" s="3237"/>
      <c r="AE77" s="3247">
        <f>SUM(AE57:AE75)</f>
        <v>5581914798.8714123</v>
      </c>
      <c r="AF77" s="3247">
        <f>SUM(AF57:AF75)</f>
        <v>2626518032.8082662</v>
      </c>
      <c r="AG77" s="3247">
        <f>SUM(AG57:AG75)</f>
        <v>697004187.19734859</v>
      </c>
      <c r="AH77" s="3247">
        <f>SUM(AH57:AH75)</f>
        <v>2258392578.865798</v>
      </c>
      <c r="AI77" s="3237"/>
      <c r="AM77" s="3247">
        <f>SUM(AM57:AM75)</f>
        <v>5581914798.8714123</v>
      </c>
      <c r="AN77" s="3247">
        <f>SUM(AN57:AN75)</f>
        <v>2626518032.8082662</v>
      </c>
      <c r="AO77" s="3247">
        <f>SUM(AO57:AO75)</f>
        <v>697004187.19734859</v>
      </c>
      <c r="AP77" s="3247">
        <f>SUM(AP57:AP75)</f>
        <v>2258392578.865798</v>
      </c>
      <c r="AQ77" s="3237"/>
      <c r="AU77" s="3247">
        <f>SUM(AU57:AU75)</f>
        <v>5581914798.8714123</v>
      </c>
      <c r="AV77" s="3247">
        <f>SUM(AV57:AV75)</f>
        <v>2626518032.8082662</v>
      </c>
      <c r="AW77" s="3247">
        <f>SUM(AW57:AW75)</f>
        <v>697004187.19734859</v>
      </c>
      <c r="AX77" s="3247">
        <f>SUM(AX57:AX75)</f>
        <v>2258392578.865798</v>
      </c>
      <c r="AY77" s="3237"/>
      <c r="BC77" s="3247">
        <f>SUM(BC57:BC75)</f>
        <v>5581914798.8714123</v>
      </c>
      <c r="BD77" s="3247">
        <f>SUM(BD57:BD75)</f>
        <v>2626518032.8082662</v>
      </c>
      <c r="BE77" s="3247">
        <f>SUM(BE57:BE75)</f>
        <v>697004187.19734859</v>
      </c>
      <c r="BF77" s="3247">
        <f>SUM(BF57:BF75)</f>
        <v>2258392578.865798</v>
      </c>
      <c r="BG77" s="3237"/>
      <c r="BK77" s="3247">
        <f>SUM(BK57:BK75)</f>
        <v>5581914798.8714123</v>
      </c>
      <c r="BL77" s="3247">
        <f>SUM(BL57:BL75)</f>
        <v>2626518032.8082662</v>
      </c>
      <c r="BM77" s="3247">
        <f>SUM(BM57:BM75)</f>
        <v>697004187.19734859</v>
      </c>
      <c r="BN77" s="3247">
        <f>SUM(BN57:BN75)</f>
        <v>2258392578.865798</v>
      </c>
      <c r="BO77" s="3237"/>
      <c r="BS77" s="3247">
        <f>SUM(BS57:BS75)</f>
        <v>5581914798.8714123</v>
      </c>
      <c r="BT77" s="3247">
        <f>SUM(BT57:BT75)</f>
        <v>2626518032.8082662</v>
      </c>
      <c r="BU77" s="3247">
        <f>SUM(BU57:BU75)</f>
        <v>697004187.19734859</v>
      </c>
      <c r="BV77" s="3247">
        <f>SUM(BV57:BV75)</f>
        <v>2258392578.865798</v>
      </c>
      <c r="BW77" s="3237"/>
      <c r="CA77" s="3247">
        <f>SUM(CA57:CA75)</f>
        <v>5581914798.8714123</v>
      </c>
      <c r="CB77" s="3247">
        <f>SUM(CB57:CB75)</f>
        <v>2626518032.8082662</v>
      </c>
      <c r="CC77" s="3247">
        <f>SUM(CC57:CC75)</f>
        <v>697004187.19734859</v>
      </c>
      <c r="CD77" s="3247">
        <f>SUM(CD57:CD75)</f>
        <v>2258392578.865798</v>
      </c>
      <c r="CE77" s="3237"/>
      <c r="CI77" s="3247">
        <f>SUM(CI57:CI75)</f>
        <v>5581914798.8714123</v>
      </c>
      <c r="CJ77" s="3247">
        <f>SUM(CJ57:CJ75)</f>
        <v>2626518032.8082662</v>
      </c>
      <c r="CK77" s="3247">
        <f>SUM(CK57:CK75)</f>
        <v>697004187.19734859</v>
      </c>
      <c r="CL77" s="3247">
        <f>SUM(CL57:CL75)</f>
        <v>2258392578.865798</v>
      </c>
      <c r="CM77" s="3237"/>
      <c r="CQ77" s="3247">
        <f>SUM(CQ57:CQ75)</f>
        <v>5581914798.8714123</v>
      </c>
      <c r="CR77" s="3247">
        <f>SUM(CR57:CR75)</f>
        <v>2626518032.8082662</v>
      </c>
      <c r="CS77" s="3247">
        <f>SUM(CS57:CS75)</f>
        <v>697004187.19734859</v>
      </c>
      <c r="CT77" s="3247">
        <f>SUM(CT57:CT75)</f>
        <v>2258392578.865798</v>
      </c>
      <c r="CU77" s="3237"/>
      <c r="CY77" s="3247">
        <f>SUM(CY57:CY75)</f>
        <v>5581914798.8714123</v>
      </c>
      <c r="CZ77" s="3247">
        <f>SUM(CZ57:CZ75)</f>
        <v>2626518032.8082662</v>
      </c>
      <c r="DA77" s="3247">
        <f>SUM(DA57:DA75)</f>
        <v>697004187.19734859</v>
      </c>
      <c r="DB77" s="3247">
        <f>SUM(DB57:DB75)</f>
        <v>2258392578.865798</v>
      </c>
      <c r="DC77" s="3237"/>
      <c r="DG77" s="3247">
        <f>SUM(DG57:DG75)</f>
        <v>5581914798.8714123</v>
      </c>
      <c r="DH77" s="3247">
        <f>SUM(DH57:DH75)</f>
        <v>2626518032.8082662</v>
      </c>
      <c r="DI77" s="3247">
        <f>SUM(DI57:DI75)</f>
        <v>697004187.19734859</v>
      </c>
      <c r="DJ77" s="3247">
        <f>SUM(DJ57:DJ75)</f>
        <v>2258392578.865798</v>
      </c>
      <c r="DK77" s="3237"/>
      <c r="DO77" s="3247">
        <f>SUM(DO57:DO75)</f>
        <v>5581914798.8714123</v>
      </c>
      <c r="DP77" s="3247">
        <f>SUM(DP57:DP75)</f>
        <v>2626518032.8082662</v>
      </c>
      <c r="DQ77" s="3247">
        <f>SUM(DQ57:DQ75)</f>
        <v>697004187.19734859</v>
      </c>
      <c r="DR77" s="3247">
        <f>SUM(DR57:DR75)</f>
        <v>2258392578.865798</v>
      </c>
      <c r="DS77" s="3237"/>
      <c r="DW77" s="3247">
        <f>SUM(DW57:DW75)</f>
        <v>5581914798.8714123</v>
      </c>
      <c r="DX77" s="3247">
        <f>SUM(DX57:DX75)</f>
        <v>2626518032.8082662</v>
      </c>
      <c r="DY77" s="3247">
        <f>SUM(DY57:DY75)</f>
        <v>697004187.19734859</v>
      </c>
      <c r="DZ77" s="3247">
        <f>SUM(DZ57:DZ75)</f>
        <v>2258392578.865798</v>
      </c>
      <c r="EA77" s="3237"/>
      <c r="EE77" s="3247">
        <f>SUM(EE57:EE75)</f>
        <v>5581914798.8714123</v>
      </c>
      <c r="EF77" s="3247">
        <f>SUM(EF57:EF75)</f>
        <v>2626518032.8082662</v>
      </c>
      <c r="EG77" s="3247">
        <f>SUM(EG57:EG75)</f>
        <v>697004187.19734859</v>
      </c>
      <c r="EH77" s="3247">
        <f>SUM(EH57:EH75)</f>
        <v>2258392578.865798</v>
      </c>
      <c r="EI77" s="3237"/>
      <c r="EM77" s="3247">
        <f>SUM(EM57:EM75)</f>
        <v>5581914798.8714123</v>
      </c>
      <c r="EN77" s="3247">
        <f>SUM(EN57:EN75)</f>
        <v>2626518032.8082662</v>
      </c>
      <c r="EO77" s="3247">
        <f>SUM(EO57:EO75)</f>
        <v>697004187.19734859</v>
      </c>
      <c r="EP77" s="3247">
        <f>SUM(EP57:EP75)</f>
        <v>2258392578.865798</v>
      </c>
      <c r="EQ77" s="3237"/>
      <c r="EU77" s="3247">
        <f>SUM(EU57:EU75)</f>
        <v>5581914798.8714123</v>
      </c>
      <c r="EV77" s="3247">
        <f>SUM(EV57:EV75)</f>
        <v>2626518032.8082662</v>
      </c>
      <c r="EW77" s="3247">
        <f>SUM(EW57:EW75)</f>
        <v>697004187.19734859</v>
      </c>
      <c r="EX77" s="3247">
        <f>SUM(EX57:EX75)</f>
        <v>2258392578.865798</v>
      </c>
      <c r="EY77" s="3237"/>
      <c r="FC77" s="3247">
        <f>SUM(FC57:FC75)</f>
        <v>5581914798.8714123</v>
      </c>
      <c r="FD77" s="3247">
        <f>SUM(FD57:FD75)</f>
        <v>2626518032.8082662</v>
      </c>
      <c r="FE77" s="3247">
        <f>SUM(FE57:FE75)</f>
        <v>697004187.19734859</v>
      </c>
      <c r="FF77" s="3247">
        <f>SUM(FF57:FF75)</f>
        <v>2258392578.865798</v>
      </c>
      <c r="FG77" s="3237"/>
      <c r="FK77" s="3247">
        <f>SUM(FK57:FK75)</f>
        <v>5581914798.8714123</v>
      </c>
      <c r="FL77" s="3247">
        <f>SUM(FL57:FL75)</f>
        <v>2626518032.8082662</v>
      </c>
      <c r="FM77" s="3247">
        <f>SUM(FM57:FM75)</f>
        <v>697004187.19734859</v>
      </c>
      <c r="FN77" s="3247">
        <f>SUM(FN57:FN75)</f>
        <v>2258392578.865798</v>
      </c>
      <c r="FO77" s="3237"/>
    </row>
    <row r="78" spans="1:171">
      <c r="A78" s="2703"/>
      <c r="B78" s="2217"/>
      <c r="C78" s="2116"/>
      <c r="D78" s="2098"/>
      <c r="E78" s="2098"/>
      <c r="F78" s="2098"/>
      <c r="G78" s="2232"/>
      <c r="H78" s="2232"/>
      <c r="I78" s="2232"/>
      <c r="J78" s="3267"/>
      <c r="K78" s="3205"/>
      <c r="O78" s="2747"/>
      <c r="P78" s="2747"/>
      <c r="Q78" s="2747"/>
      <c r="R78" s="2747"/>
      <c r="S78" s="3264"/>
      <c r="W78" s="2747"/>
      <c r="X78" s="2747"/>
      <c r="Y78" s="2747"/>
      <c r="Z78" s="2747"/>
      <c r="AA78" s="3264"/>
      <c r="AE78" s="2747"/>
      <c r="AF78" s="2747"/>
      <c r="AG78" s="2747"/>
      <c r="AH78" s="2747"/>
      <c r="AI78" s="3264"/>
      <c r="AM78" s="2747"/>
      <c r="AN78" s="2747"/>
      <c r="AO78" s="2747"/>
      <c r="AP78" s="2747"/>
      <c r="AQ78" s="3264"/>
      <c r="AU78" s="2747"/>
      <c r="AV78" s="2747"/>
      <c r="AW78" s="2747"/>
      <c r="AX78" s="2747"/>
      <c r="AY78" s="3264"/>
      <c r="BC78" s="2747"/>
      <c r="BD78" s="2747"/>
      <c r="BE78" s="2747"/>
      <c r="BF78" s="2747"/>
      <c r="BG78" s="3264"/>
      <c r="BK78" s="2747"/>
      <c r="BL78" s="2747"/>
      <c r="BM78" s="2747"/>
      <c r="BN78" s="2747"/>
      <c r="BO78" s="3264"/>
      <c r="BS78" s="2747"/>
      <c r="BT78" s="2747"/>
      <c r="BU78" s="2747"/>
      <c r="BV78" s="2747"/>
      <c r="BW78" s="3264"/>
      <c r="CA78" s="2747"/>
      <c r="CB78" s="2747"/>
      <c r="CC78" s="2747"/>
      <c r="CD78" s="2747"/>
      <c r="CE78" s="3264"/>
      <c r="CI78" s="2747"/>
      <c r="CJ78" s="2747"/>
      <c r="CK78" s="2747"/>
      <c r="CL78" s="2747"/>
      <c r="CM78" s="3264"/>
      <c r="CQ78" s="2747"/>
      <c r="CR78" s="2747"/>
      <c r="CS78" s="2747"/>
      <c r="CT78" s="2747"/>
      <c r="CU78" s="3264"/>
      <c r="CY78" s="2747"/>
      <c r="CZ78" s="2747"/>
      <c r="DA78" s="2747"/>
      <c r="DB78" s="2747"/>
      <c r="DC78" s="3264"/>
      <c r="DG78" s="2747"/>
      <c r="DH78" s="2747"/>
      <c r="DI78" s="2747"/>
      <c r="DJ78" s="2747"/>
      <c r="DK78" s="3264"/>
      <c r="DO78" s="2747"/>
      <c r="DP78" s="2747"/>
      <c r="DQ78" s="2747"/>
      <c r="DR78" s="2747"/>
      <c r="DS78" s="3264"/>
      <c r="DW78" s="2747"/>
      <c r="DX78" s="2747"/>
      <c r="DY78" s="2747"/>
      <c r="DZ78" s="2747"/>
      <c r="EA78" s="3264"/>
      <c r="EE78" s="2747"/>
      <c r="EF78" s="2747"/>
      <c r="EG78" s="2747"/>
      <c r="EH78" s="2747"/>
      <c r="EI78" s="3264"/>
      <c r="EM78" s="2747"/>
      <c r="EN78" s="2747"/>
      <c r="EO78" s="2747"/>
      <c r="EP78" s="2747"/>
      <c r="EQ78" s="3264"/>
      <c r="EU78" s="2747"/>
      <c r="EV78" s="2747"/>
      <c r="EW78" s="2747"/>
      <c r="EX78" s="2747"/>
      <c r="EY78" s="3264"/>
      <c r="FC78" s="2747"/>
      <c r="FD78" s="2747"/>
      <c r="FE78" s="2747"/>
      <c r="FF78" s="2747"/>
      <c r="FG78" s="3264"/>
      <c r="FK78" s="2747"/>
      <c r="FL78" s="2747"/>
      <c r="FM78" s="2747"/>
      <c r="FN78" s="2747"/>
      <c r="FO78" s="3264"/>
    </row>
    <row r="79" spans="1:171">
      <c r="A79" s="2697" t="s">
        <v>474</v>
      </c>
      <c r="B79" s="2100"/>
      <c r="C79" s="3256"/>
      <c r="D79" s="3257"/>
      <c r="E79" s="3257"/>
      <c r="F79" s="3258"/>
      <c r="G79" s="3265">
        <f>G52-G77</f>
        <v>6069272716.1285877</v>
      </c>
      <c r="H79" s="3265">
        <f>H52-H77</f>
        <v>1449913156.0334954</v>
      </c>
      <c r="I79" s="3265">
        <f>I52-I77</f>
        <v>0</v>
      </c>
      <c r="J79" s="3266">
        <f>J52-J77</f>
        <v>4619359558.5435591</v>
      </c>
      <c r="K79" s="3205"/>
      <c r="O79" s="3268">
        <f>O52-O77</f>
        <v>6069272716.1285877</v>
      </c>
      <c r="P79" s="3268">
        <f>P52-P77</f>
        <v>1449913156.0334954</v>
      </c>
      <c r="Q79" s="3268">
        <f>Q52-Q77</f>
        <v>1348539397.0033455</v>
      </c>
      <c r="R79" s="3268">
        <f>R52-R77</f>
        <v>3270820163.0917463</v>
      </c>
      <c r="S79" s="3264"/>
      <c r="W79" s="3268">
        <f>W52-W77</f>
        <v>6069272716.1285877</v>
      </c>
      <c r="X79" s="3268">
        <f>X52-X77</f>
        <v>1449913156.0334954</v>
      </c>
      <c r="Y79" s="3268">
        <f>Y52-Y77</f>
        <v>1348539397.0033455</v>
      </c>
      <c r="Z79" s="3268">
        <f>Z52-Z77</f>
        <v>3270820163.0917463</v>
      </c>
      <c r="AA79" s="3264"/>
      <c r="AE79" s="3268">
        <f>AE52-AE77</f>
        <v>6069272716.1285877</v>
      </c>
      <c r="AF79" s="3268">
        <f>AF52-AF77</f>
        <v>1449913156.0334954</v>
      </c>
      <c r="AG79" s="3268">
        <f>AG52-AG77</f>
        <v>1348539397.0033455</v>
      </c>
      <c r="AH79" s="3268">
        <f>AH52-AH77</f>
        <v>3270820163.0917463</v>
      </c>
      <c r="AI79" s="3264"/>
      <c r="AM79" s="3268">
        <f>AM52-AM77</f>
        <v>6069272716.1285877</v>
      </c>
      <c r="AN79" s="3268">
        <f>AN52-AN77</f>
        <v>1449913156.0334954</v>
      </c>
      <c r="AO79" s="3268">
        <f>AO52-AO77</f>
        <v>1348539397.0033455</v>
      </c>
      <c r="AP79" s="3268">
        <f>AP52-AP77</f>
        <v>3270820163.0917463</v>
      </c>
      <c r="AQ79" s="3264"/>
      <c r="AU79" s="3268">
        <f>AU52-AU77</f>
        <v>6069272716.1285877</v>
      </c>
      <c r="AV79" s="3268">
        <f>AV52-AV77</f>
        <v>1449913156.0334954</v>
      </c>
      <c r="AW79" s="3268">
        <f>AW52-AW77</f>
        <v>1348539397.0033455</v>
      </c>
      <c r="AX79" s="3268">
        <f>AX52-AX77</f>
        <v>3270820163.0917463</v>
      </c>
      <c r="AY79" s="3264"/>
      <c r="BC79" s="3268">
        <f>BC52-BC77</f>
        <v>6069272716.1285877</v>
      </c>
      <c r="BD79" s="3268">
        <f>BD52-BD77</f>
        <v>1449913156.0334954</v>
      </c>
      <c r="BE79" s="3268">
        <f>BE52-BE77</f>
        <v>1348539397.0033455</v>
      </c>
      <c r="BF79" s="3268">
        <f>BF52-BF77</f>
        <v>3270820163.0917463</v>
      </c>
      <c r="BG79" s="3264"/>
      <c r="BK79" s="3268">
        <f>BK52-BK77</f>
        <v>6069272716.1285877</v>
      </c>
      <c r="BL79" s="3268">
        <f>BL52-BL77</f>
        <v>1449913156.0334954</v>
      </c>
      <c r="BM79" s="3268">
        <f>BM52-BM77</f>
        <v>1348539397.0033455</v>
      </c>
      <c r="BN79" s="3268">
        <f>BN52-BN77</f>
        <v>3270820163.0917463</v>
      </c>
      <c r="BO79" s="3264"/>
      <c r="BS79" s="3268">
        <f>BS52-BS77</f>
        <v>6069272716.1285877</v>
      </c>
      <c r="BT79" s="3268">
        <f>BT52-BT77</f>
        <v>1449913156.0334954</v>
      </c>
      <c r="BU79" s="3268">
        <f>BU52-BU77</f>
        <v>1348539397.0033455</v>
      </c>
      <c r="BV79" s="3268">
        <f>BV52-BV77</f>
        <v>3270820163.0917463</v>
      </c>
      <c r="BW79" s="3264"/>
      <c r="CA79" s="3268">
        <f>CA52-CA77</f>
        <v>6069272716.1285877</v>
      </c>
      <c r="CB79" s="3268">
        <f>CB52-CB77</f>
        <v>1449913156.0334954</v>
      </c>
      <c r="CC79" s="3268">
        <f>CC52-CC77</f>
        <v>1348539397.0033455</v>
      </c>
      <c r="CD79" s="3268">
        <f>CD52-CD77</f>
        <v>3270820163.0917463</v>
      </c>
      <c r="CE79" s="3264"/>
      <c r="CI79" s="3268">
        <f>CI52-CI77</f>
        <v>6069272716.1285877</v>
      </c>
      <c r="CJ79" s="3268">
        <f>CJ52-CJ77</f>
        <v>1449913156.0334954</v>
      </c>
      <c r="CK79" s="3268">
        <f>CK52-CK77</f>
        <v>1348539397.0033455</v>
      </c>
      <c r="CL79" s="3268">
        <f>CL52-CL77</f>
        <v>3270820163.0917463</v>
      </c>
      <c r="CM79" s="3264"/>
      <c r="CQ79" s="3268">
        <f>CQ52-CQ77</f>
        <v>6069272716.1285877</v>
      </c>
      <c r="CR79" s="3268">
        <f>CR52-CR77</f>
        <v>1449913156.0334954</v>
      </c>
      <c r="CS79" s="3268">
        <f>CS52-CS77</f>
        <v>1348539397.0033455</v>
      </c>
      <c r="CT79" s="3268">
        <f>CT52-CT77</f>
        <v>3270820163.0917463</v>
      </c>
      <c r="CU79" s="3264"/>
      <c r="CY79" s="3268">
        <f>CY52-CY77</f>
        <v>6069272716.1285877</v>
      </c>
      <c r="CZ79" s="3268">
        <f>CZ52-CZ77</f>
        <v>1449913156.0334954</v>
      </c>
      <c r="DA79" s="3268">
        <f>DA52-DA77</f>
        <v>1348539397.0033455</v>
      </c>
      <c r="DB79" s="3268">
        <f>DB52-DB77</f>
        <v>3270820163.0917463</v>
      </c>
      <c r="DC79" s="3264"/>
      <c r="DG79" s="3268">
        <f>DG52-DG77</f>
        <v>6069272716.1285877</v>
      </c>
      <c r="DH79" s="3268">
        <f>DH52-DH77</f>
        <v>1449913156.0334954</v>
      </c>
      <c r="DI79" s="3268">
        <f>DI52-DI77</f>
        <v>1348539397.0033455</v>
      </c>
      <c r="DJ79" s="3268">
        <f>DJ52-DJ77</f>
        <v>3270820163.0917463</v>
      </c>
      <c r="DK79" s="3264"/>
      <c r="DO79" s="3268">
        <f>DO52-DO77</f>
        <v>6069272716.1285877</v>
      </c>
      <c r="DP79" s="3268">
        <f>DP52-DP77</f>
        <v>1449913156.0334954</v>
      </c>
      <c r="DQ79" s="3268">
        <f>DQ52-DQ77</f>
        <v>1348539397.0033455</v>
      </c>
      <c r="DR79" s="3268">
        <f>DR52-DR77</f>
        <v>3270820163.0917463</v>
      </c>
      <c r="DS79" s="3264"/>
      <c r="DW79" s="3268">
        <f>DW52-DW77</f>
        <v>6069272716.1285877</v>
      </c>
      <c r="DX79" s="3268">
        <f>DX52-DX77</f>
        <v>1449913156.0334954</v>
      </c>
      <c r="DY79" s="3268">
        <f>DY52-DY77</f>
        <v>1348539397.0033455</v>
      </c>
      <c r="DZ79" s="3268">
        <f>DZ52-DZ77</f>
        <v>3270820163.0917463</v>
      </c>
      <c r="EA79" s="3264"/>
      <c r="EE79" s="3268">
        <f>EE52-EE77</f>
        <v>6069272716.1285877</v>
      </c>
      <c r="EF79" s="3268">
        <f>EF52-EF77</f>
        <v>1449913156.0334954</v>
      </c>
      <c r="EG79" s="3268">
        <f>EG52-EG77</f>
        <v>1348539397.0033455</v>
      </c>
      <c r="EH79" s="3268">
        <f>EH52-EH77</f>
        <v>3270820163.0917463</v>
      </c>
      <c r="EI79" s="3264"/>
      <c r="EM79" s="3268">
        <f>EM52-EM77</f>
        <v>6069272716.1285877</v>
      </c>
      <c r="EN79" s="3268">
        <f>EN52-EN77</f>
        <v>1449913156.0334954</v>
      </c>
      <c r="EO79" s="3268">
        <f>EO52-EO77</f>
        <v>1348539397.0033455</v>
      </c>
      <c r="EP79" s="3268">
        <f>EP52-EP77</f>
        <v>3270820163.0917463</v>
      </c>
      <c r="EQ79" s="3264"/>
      <c r="EU79" s="3268">
        <f>EU52-EU77</f>
        <v>6069272716.1285877</v>
      </c>
      <c r="EV79" s="3268">
        <f>EV52-EV77</f>
        <v>1449913156.0334954</v>
      </c>
      <c r="EW79" s="3268">
        <f>EW52-EW77</f>
        <v>1348539397.0033455</v>
      </c>
      <c r="EX79" s="3268">
        <f>EX52-EX77</f>
        <v>3270820163.0917463</v>
      </c>
      <c r="EY79" s="3264"/>
      <c r="FC79" s="3268">
        <f>FC52-FC77</f>
        <v>6069272716.1285877</v>
      </c>
      <c r="FD79" s="3268">
        <f>FD52-FD77</f>
        <v>1449913156.0334954</v>
      </c>
      <c r="FE79" s="3268">
        <f>FE52-FE77</f>
        <v>1348539397.0033455</v>
      </c>
      <c r="FF79" s="3268">
        <f>FF52-FF77</f>
        <v>3270820163.0917463</v>
      </c>
      <c r="FG79" s="3264"/>
      <c r="FK79" s="3268">
        <f>FK52-FK77</f>
        <v>6069272716.1285877</v>
      </c>
      <c r="FL79" s="3268">
        <f>FL52-FL77</f>
        <v>1449913156.0334954</v>
      </c>
      <c r="FM79" s="3268">
        <f>FM52-FM77</f>
        <v>1348539397.0033455</v>
      </c>
      <c r="FN79" s="3268">
        <f>FN52-FN77</f>
        <v>3270820163.0917463</v>
      </c>
      <c r="FO79" s="3264"/>
    </row>
    <row r="80" spans="1:171">
      <c r="A80" s="2713" t="s">
        <v>84</v>
      </c>
      <c r="B80" s="2100"/>
      <c r="C80" s="2116"/>
      <c r="D80" s="2116"/>
      <c r="E80" s="3269"/>
      <c r="F80" s="3269"/>
      <c r="G80" s="2182"/>
      <c r="H80" s="2182"/>
      <c r="I80" s="2182"/>
      <c r="J80" s="2327"/>
      <c r="K80" s="3205"/>
      <c r="O80" s="2747"/>
      <c r="P80" s="2747"/>
      <c r="Q80" s="2747"/>
      <c r="R80" s="2747"/>
      <c r="S80" s="3264"/>
      <c r="W80" s="2747"/>
      <c r="X80" s="2747"/>
      <c r="Y80" s="2747"/>
      <c r="Z80" s="2747"/>
      <c r="AA80" s="3264"/>
      <c r="AE80" s="2747"/>
      <c r="AF80" s="2747"/>
      <c r="AG80" s="2747"/>
      <c r="AH80" s="2747"/>
      <c r="AI80" s="3264"/>
      <c r="AM80" s="2747"/>
      <c r="AN80" s="2747"/>
      <c r="AO80" s="2747"/>
      <c r="AP80" s="2747"/>
      <c r="AQ80" s="3264"/>
      <c r="AU80" s="2747"/>
      <c r="AV80" s="2747"/>
      <c r="AW80" s="2747"/>
      <c r="AX80" s="2747"/>
      <c r="AY80" s="3264"/>
      <c r="BC80" s="2747"/>
      <c r="BD80" s="2747"/>
      <c r="BE80" s="2747"/>
      <c r="BF80" s="2747"/>
      <c r="BG80" s="3264"/>
      <c r="BK80" s="2747"/>
      <c r="BL80" s="2747"/>
      <c r="BM80" s="2747"/>
      <c r="BN80" s="2747"/>
      <c r="BO80" s="3264"/>
      <c r="BS80" s="2747"/>
      <c r="BT80" s="2747"/>
      <c r="BU80" s="2747"/>
      <c r="BV80" s="2747"/>
      <c r="BW80" s="3264"/>
      <c r="CA80" s="2747"/>
      <c r="CB80" s="2747"/>
      <c r="CC80" s="2747"/>
      <c r="CD80" s="2747"/>
      <c r="CE80" s="3264"/>
      <c r="CI80" s="2747"/>
      <c r="CJ80" s="2747"/>
      <c r="CK80" s="2747"/>
      <c r="CL80" s="2747"/>
      <c r="CM80" s="3264"/>
      <c r="CQ80" s="2747"/>
      <c r="CR80" s="2747"/>
      <c r="CS80" s="2747"/>
      <c r="CT80" s="2747"/>
      <c r="CU80" s="3264"/>
      <c r="CY80" s="2747"/>
      <c r="CZ80" s="2747"/>
      <c r="DA80" s="2747"/>
      <c r="DB80" s="2747"/>
      <c r="DC80" s="3264"/>
      <c r="DG80" s="2747"/>
      <c r="DH80" s="2747"/>
      <c r="DI80" s="2747"/>
      <c r="DJ80" s="2747"/>
      <c r="DK80" s="3264"/>
      <c r="DO80" s="2747"/>
      <c r="DP80" s="2747"/>
      <c r="DQ80" s="2747"/>
      <c r="DR80" s="2747"/>
      <c r="DS80" s="3264"/>
      <c r="DW80" s="2747"/>
      <c r="DX80" s="2747"/>
      <c r="DY80" s="2747"/>
      <c r="DZ80" s="2747"/>
      <c r="EA80" s="3264"/>
      <c r="EE80" s="2747"/>
      <c r="EF80" s="2747"/>
      <c r="EG80" s="2747"/>
      <c r="EH80" s="2747"/>
      <c r="EI80" s="3264"/>
      <c r="EM80" s="2747"/>
      <c r="EN80" s="2747"/>
      <c r="EO80" s="2747"/>
      <c r="EP80" s="2747"/>
      <c r="EQ80" s="3264"/>
      <c r="EU80" s="2747"/>
      <c r="EV80" s="2747"/>
      <c r="EW80" s="2747"/>
      <c r="EX80" s="2747"/>
      <c r="EY80" s="3264"/>
      <c r="FC80" s="2747"/>
      <c r="FD80" s="2747"/>
      <c r="FE80" s="2747"/>
      <c r="FF80" s="2747"/>
      <c r="FG80" s="3264"/>
      <c r="FK80" s="2747"/>
      <c r="FL80" s="2747"/>
      <c r="FM80" s="2747"/>
      <c r="FN80" s="2747"/>
      <c r="FO80" s="3264"/>
    </row>
    <row r="81" spans="1:171" ht="12" thickBot="1">
      <c r="A81" s="2516"/>
      <c r="B81" s="2099"/>
      <c r="C81" s="2120"/>
      <c r="D81" s="2120"/>
      <c r="E81" s="3270"/>
      <c r="F81" s="3270"/>
      <c r="G81" s="2220"/>
      <c r="H81" s="2220"/>
      <c r="I81" s="2220"/>
      <c r="J81" s="2446"/>
      <c r="K81" s="3205"/>
      <c r="O81" s="2747"/>
      <c r="P81" s="2747"/>
      <c r="Q81" s="2747"/>
      <c r="R81" s="2747"/>
      <c r="S81" s="3264"/>
      <c r="W81" s="2747"/>
      <c r="X81" s="2747"/>
      <c r="Y81" s="2747"/>
      <c r="Z81" s="2747"/>
      <c r="AA81" s="3264"/>
      <c r="AE81" s="2747"/>
      <c r="AF81" s="2747"/>
      <c r="AG81" s="2747"/>
      <c r="AH81" s="2747"/>
      <c r="AI81" s="3264"/>
      <c r="AM81" s="2747"/>
      <c r="AN81" s="2747"/>
      <c r="AO81" s="2747"/>
      <c r="AP81" s="2747"/>
      <c r="AQ81" s="3264"/>
      <c r="AU81" s="2747"/>
      <c r="AV81" s="2747"/>
      <c r="AW81" s="2747"/>
      <c r="AX81" s="2747"/>
      <c r="AY81" s="3264"/>
      <c r="BC81" s="2747"/>
      <c r="BD81" s="2747"/>
      <c r="BE81" s="2747"/>
      <c r="BF81" s="2747"/>
      <c r="BG81" s="3264"/>
      <c r="BK81" s="2747"/>
      <c r="BL81" s="2747"/>
      <c r="BM81" s="2747"/>
      <c r="BN81" s="2747"/>
      <c r="BO81" s="3264"/>
      <c r="BS81" s="2747"/>
      <c r="BT81" s="2747"/>
      <c r="BU81" s="2747"/>
      <c r="BV81" s="2747"/>
      <c r="BW81" s="3264"/>
      <c r="CA81" s="2747"/>
      <c r="CB81" s="2747"/>
      <c r="CC81" s="2747"/>
      <c r="CD81" s="2747"/>
      <c r="CE81" s="3264"/>
      <c r="CI81" s="2747"/>
      <c r="CJ81" s="2747"/>
      <c r="CK81" s="2747"/>
      <c r="CL81" s="2747"/>
      <c r="CM81" s="3264"/>
      <c r="CQ81" s="2747"/>
      <c r="CR81" s="2747"/>
      <c r="CS81" s="2747"/>
      <c r="CT81" s="2747"/>
      <c r="CU81" s="3264"/>
      <c r="CY81" s="2747"/>
      <c r="CZ81" s="2747"/>
      <c r="DA81" s="2747"/>
      <c r="DB81" s="2747"/>
      <c r="DC81" s="3264"/>
      <c r="DG81" s="2747"/>
      <c r="DH81" s="2747"/>
      <c r="DI81" s="2747"/>
      <c r="DJ81" s="2747"/>
      <c r="DK81" s="3264"/>
      <c r="DO81" s="2747"/>
      <c r="DP81" s="2747"/>
      <c r="DQ81" s="2747"/>
      <c r="DR81" s="2747"/>
      <c r="DS81" s="3264"/>
      <c r="DW81" s="2747"/>
      <c r="DX81" s="2747"/>
      <c r="DY81" s="2747"/>
      <c r="DZ81" s="2747"/>
      <c r="EA81" s="3264"/>
      <c r="EE81" s="2747"/>
      <c r="EF81" s="2747"/>
      <c r="EG81" s="2747"/>
      <c r="EH81" s="2747"/>
      <c r="EI81" s="3264"/>
      <c r="EM81" s="2747"/>
      <c r="EN81" s="2747"/>
      <c r="EO81" s="2747"/>
      <c r="EP81" s="2747"/>
      <c r="EQ81" s="3264"/>
      <c r="EU81" s="2747"/>
      <c r="EV81" s="2747"/>
      <c r="EW81" s="2747"/>
      <c r="EX81" s="2747"/>
      <c r="EY81" s="3264"/>
      <c r="FC81" s="2747"/>
      <c r="FD81" s="2747"/>
      <c r="FE81" s="2747"/>
      <c r="FF81" s="2747"/>
      <c r="FG81" s="3264"/>
      <c r="FK81" s="2747"/>
      <c r="FL81" s="2747"/>
      <c r="FM81" s="2747"/>
      <c r="FN81" s="2747"/>
      <c r="FO81" s="3264"/>
    </row>
    <row r="82" spans="1:171" ht="12" thickTop="1">
      <c r="A82" s="2305" t="s">
        <v>76</v>
      </c>
      <c r="B82" s="2100"/>
      <c r="C82" s="2116"/>
      <c r="D82" s="2116"/>
      <c r="E82" s="3269"/>
      <c r="F82" s="3269"/>
      <c r="G82" s="2182"/>
      <c r="H82" s="2182"/>
      <c r="I82" s="2182"/>
      <c r="J82" s="2327"/>
      <c r="K82" s="3205"/>
      <c r="O82" s="2747"/>
      <c r="P82" s="2747"/>
      <c r="Q82" s="2747"/>
      <c r="R82" s="2747"/>
      <c r="S82" s="3264"/>
      <c r="W82" s="2747"/>
      <c r="X82" s="2747"/>
      <c r="Y82" s="2747"/>
      <c r="Z82" s="2747"/>
      <c r="AA82" s="3264"/>
      <c r="AE82" s="2747"/>
      <c r="AF82" s="2747"/>
      <c r="AG82" s="2747"/>
      <c r="AH82" s="2747"/>
      <c r="AI82" s="3264"/>
      <c r="AM82" s="2747"/>
      <c r="AN82" s="2747"/>
      <c r="AO82" s="2747"/>
      <c r="AP82" s="2747"/>
      <c r="AQ82" s="3264"/>
      <c r="AU82" s="2747"/>
      <c r="AV82" s="2747"/>
      <c r="AW82" s="2747"/>
      <c r="AX82" s="2747"/>
      <c r="AY82" s="3264"/>
      <c r="BC82" s="2747"/>
      <c r="BD82" s="2747"/>
      <c r="BE82" s="2747"/>
      <c r="BF82" s="2747"/>
      <c r="BG82" s="3264"/>
      <c r="BK82" s="2747"/>
      <c r="BL82" s="2747"/>
      <c r="BM82" s="2747"/>
      <c r="BN82" s="2747"/>
      <c r="BO82" s="3264"/>
      <c r="BS82" s="2747"/>
      <c r="BT82" s="2747"/>
      <c r="BU82" s="2747"/>
      <c r="BV82" s="2747"/>
      <c r="BW82" s="3264"/>
      <c r="CA82" s="2747"/>
      <c r="CB82" s="2747"/>
      <c r="CC82" s="2747"/>
      <c r="CD82" s="2747"/>
      <c r="CE82" s="3264"/>
      <c r="CI82" s="2747"/>
      <c r="CJ82" s="2747"/>
      <c r="CK82" s="2747"/>
      <c r="CL82" s="2747"/>
      <c r="CM82" s="3264"/>
      <c r="CQ82" s="2747"/>
      <c r="CR82" s="2747"/>
      <c r="CS82" s="2747"/>
      <c r="CT82" s="2747"/>
      <c r="CU82" s="3264"/>
      <c r="CY82" s="2747"/>
      <c r="CZ82" s="2747"/>
      <c r="DA82" s="2747"/>
      <c r="DB82" s="2747"/>
      <c r="DC82" s="3264"/>
      <c r="DG82" s="2747"/>
      <c r="DH82" s="2747"/>
      <c r="DI82" s="2747"/>
      <c r="DJ82" s="2747"/>
      <c r="DK82" s="3264"/>
      <c r="DO82" s="2747"/>
      <c r="DP82" s="2747"/>
      <c r="DQ82" s="2747"/>
      <c r="DR82" s="2747"/>
      <c r="DS82" s="3264"/>
      <c r="DW82" s="2747"/>
      <c r="DX82" s="2747"/>
      <c r="DY82" s="2747"/>
      <c r="DZ82" s="2747"/>
      <c r="EA82" s="3264"/>
      <c r="EE82" s="2747"/>
      <c r="EF82" s="2747"/>
      <c r="EG82" s="2747"/>
      <c r="EH82" s="2747"/>
      <c r="EI82" s="3264"/>
      <c r="EM82" s="2747"/>
      <c r="EN82" s="2747"/>
      <c r="EO82" s="2747"/>
      <c r="EP82" s="2747"/>
      <c r="EQ82" s="3264"/>
      <c r="EU82" s="2747"/>
      <c r="EV82" s="2747"/>
      <c r="EW82" s="2747"/>
      <c r="EX82" s="2747"/>
      <c r="EY82" s="3264"/>
      <c r="FC82" s="2747"/>
      <c r="FD82" s="2747"/>
      <c r="FE82" s="2747"/>
      <c r="FF82" s="2747"/>
      <c r="FG82" s="3264"/>
      <c r="FK82" s="2747"/>
      <c r="FL82" s="2747"/>
      <c r="FM82" s="2747"/>
      <c r="FN82" s="2747"/>
      <c r="FO82" s="3264"/>
    </row>
    <row r="83" spans="1:171">
      <c r="A83" s="2305"/>
      <c r="B83" s="2100"/>
      <c r="C83" s="2116"/>
      <c r="D83" s="2116"/>
      <c r="E83" s="3269"/>
      <c r="F83" s="3269"/>
      <c r="G83" s="2118"/>
      <c r="H83" s="2118"/>
      <c r="I83" s="2118"/>
      <c r="J83" s="2441"/>
      <c r="K83" s="3205"/>
      <c r="O83" s="2747"/>
      <c r="P83" s="2747"/>
      <c r="Q83" s="2747"/>
      <c r="R83" s="2747"/>
      <c r="S83" s="3264"/>
      <c r="W83" s="2747"/>
      <c r="X83" s="2747"/>
      <c r="Y83" s="2747"/>
      <c r="Z83" s="2747"/>
      <c r="AA83" s="3264"/>
      <c r="AE83" s="2747"/>
      <c r="AF83" s="2747"/>
      <c r="AG83" s="2747"/>
      <c r="AH83" s="2747"/>
      <c r="AI83" s="3264"/>
      <c r="AM83" s="2747"/>
      <c r="AN83" s="2747"/>
      <c r="AO83" s="2747"/>
      <c r="AP83" s="2747"/>
      <c r="AQ83" s="3264"/>
      <c r="AU83" s="2747"/>
      <c r="AV83" s="2747"/>
      <c r="AW83" s="2747"/>
      <c r="AX83" s="2747"/>
      <c r="AY83" s="3264"/>
      <c r="BC83" s="2747"/>
      <c r="BD83" s="2747"/>
      <c r="BE83" s="2747"/>
      <c r="BF83" s="2747"/>
      <c r="BG83" s="3264"/>
      <c r="BK83" s="2747"/>
      <c r="BL83" s="2747"/>
      <c r="BM83" s="2747"/>
      <c r="BN83" s="2747"/>
      <c r="BO83" s="3264"/>
      <c r="BS83" s="2747"/>
      <c r="BT83" s="2747"/>
      <c r="BU83" s="2747"/>
      <c r="BV83" s="2747"/>
      <c r="BW83" s="3264"/>
      <c r="CA83" s="2747"/>
      <c r="CB83" s="2747"/>
      <c r="CC83" s="2747"/>
      <c r="CD83" s="2747"/>
      <c r="CE83" s="3264"/>
      <c r="CI83" s="2747"/>
      <c r="CJ83" s="2747"/>
      <c r="CK83" s="2747"/>
      <c r="CL83" s="2747"/>
      <c r="CM83" s="3264"/>
      <c r="CQ83" s="2747"/>
      <c r="CR83" s="2747"/>
      <c r="CS83" s="2747"/>
      <c r="CT83" s="2747"/>
      <c r="CU83" s="3264"/>
      <c r="CY83" s="2747"/>
      <c r="CZ83" s="2747"/>
      <c r="DA83" s="2747"/>
      <c r="DB83" s="2747"/>
      <c r="DC83" s="3264"/>
      <c r="DG83" s="2747"/>
      <c r="DH83" s="2747"/>
      <c r="DI83" s="2747"/>
      <c r="DJ83" s="2747"/>
      <c r="DK83" s="3264"/>
      <c r="DO83" s="2747"/>
      <c r="DP83" s="2747"/>
      <c r="DQ83" s="2747"/>
      <c r="DR83" s="2747"/>
      <c r="DS83" s="3264"/>
      <c r="DW83" s="2747"/>
      <c r="DX83" s="2747"/>
      <c r="DY83" s="2747"/>
      <c r="DZ83" s="2747"/>
      <c r="EA83" s="3264"/>
      <c r="EE83" s="2747"/>
      <c r="EF83" s="2747"/>
      <c r="EG83" s="2747"/>
      <c r="EH83" s="2747"/>
      <c r="EI83" s="3264"/>
      <c r="EM83" s="2747"/>
      <c r="EN83" s="2747"/>
      <c r="EO83" s="2747"/>
      <c r="EP83" s="2747"/>
      <c r="EQ83" s="3264"/>
      <c r="EU83" s="2747"/>
      <c r="EV83" s="2747"/>
      <c r="EW83" s="2747"/>
      <c r="EX83" s="2747"/>
      <c r="EY83" s="3264"/>
      <c r="FC83" s="2747"/>
      <c r="FD83" s="2747"/>
      <c r="FE83" s="2747"/>
      <c r="FF83" s="2747"/>
      <c r="FG83" s="3264"/>
      <c r="FK83" s="2747"/>
      <c r="FL83" s="2747"/>
      <c r="FM83" s="2747"/>
      <c r="FN83" s="2747"/>
      <c r="FO83" s="3264"/>
    </row>
    <row r="84" spans="1:171">
      <c r="A84" s="3271" t="s">
        <v>144</v>
      </c>
      <c r="B84" s="2111"/>
      <c r="C84" s="2464" t="s">
        <v>611</v>
      </c>
      <c r="D84" s="2464"/>
      <c r="E84" s="2424">
        <f>'Sch 1- Rate Base '!E84</f>
        <v>0</v>
      </c>
      <c r="F84" s="2171"/>
      <c r="G84" s="2424">
        <f>'Sch 1- Rate Base '!G84</f>
        <v>108180025.5</v>
      </c>
      <c r="H84" s="2424">
        <f>'Sch 1- Rate Base '!H84</f>
        <v>61843517.356707066</v>
      </c>
      <c r="I84" s="2424">
        <f>'Sch 1- Rate Base '!I84</f>
        <v>0</v>
      </c>
      <c r="J84" s="2425">
        <f>'Sch 1- Rate Base '!J84</f>
        <v>46336508.190641761</v>
      </c>
      <c r="K84" s="3205"/>
      <c r="O84" s="3272">
        <f>(O196+O202+O207+O215+O235-(O176+O180+O187+O191+O194+O195+$G$85))/8</f>
        <v>108180025.5</v>
      </c>
      <c r="P84" s="3272">
        <f>(P196+P202+P207+P215+P235-(P176+P180+P187+P191+P194+P195+$H$85))/8</f>
        <v>61843517.356707066</v>
      </c>
      <c r="Q84" s="3272">
        <f>(Q196+Q202+Q207+Q215+Q235-(Q176+Q180+Q187+Q191+Q194+Q195))/8</f>
        <v>4549868.3595637064</v>
      </c>
      <c r="R84" s="3272">
        <f>(R196+R202+R207+R215+R235-(R176+R180+R187+R191+R194+R195))/8</f>
        <v>41786639.78372921</v>
      </c>
      <c r="S84" s="3264"/>
      <c r="W84" s="3272">
        <f>(W196+W202+W207+W215+W235-(W176+W180+W187+W191+W194+W195+$G$85))/8</f>
        <v>108180025.5</v>
      </c>
      <c r="X84" s="3272">
        <f>(X196+X202+X207+X215+X235-(X176+X180+X187+X191+X194+X195+$H$85))/8</f>
        <v>61843517.356707066</v>
      </c>
      <c r="Y84" s="3272">
        <f>(Y196+Y202+Y207+Y215+Y235-(Y176+Y180+Y187+Y191+Y194+Y195))/8</f>
        <v>4549868.3595637064</v>
      </c>
      <c r="Z84" s="3272">
        <f>(Z196+Z202+Z207+Z215+Z235-(Z176+Z180+Z187+Z191+Z194+Z195))/8</f>
        <v>41786639.78372921</v>
      </c>
      <c r="AA84" s="3264"/>
      <c r="AE84" s="3272">
        <f>(AE196+AE202+AE207+AE215+AE235-(AE176+AE180+AE187+AE191+AE194+AE195+$G$85))/8</f>
        <v>108180025.5</v>
      </c>
      <c r="AF84" s="3272">
        <f>(AF196+AF202+AF207+AF215+AF235-(AF176+AF180+AF187+AF191+AF194+AF195+$H$85))/8</f>
        <v>61843517.356707066</v>
      </c>
      <c r="AG84" s="3272">
        <f>(AG196+AG202+AG207+AG215+AG235-(AG176+AG180+AG187+AG191+AG194+AG195))/8</f>
        <v>4549868.3595637064</v>
      </c>
      <c r="AH84" s="3272">
        <f>(AH196+AH202+AH207+AH215+AH235-(AH176+AH180+AH187+AH191+AH194+AH195))/8</f>
        <v>41786639.78372921</v>
      </c>
      <c r="AI84" s="3264"/>
      <c r="AM84" s="3272">
        <f>(AM196+AM202+AM207+AM215+AM235-(AM176+AM180+AM187+AM191+AM194+AM195+$G$85))/8</f>
        <v>108180025.5</v>
      </c>
      <c r="AN84" s="3272">
        <f>(AN196+AN202+AN207+AN215+AN235-(AN176+AN180+AN187+AN191+AN194+AN195+$H$85))/8</f>
        <v>61843517.356707066</v>
      </c>
      <c r="AO84" s="3272">
        <f>(AO196+AO202+AO207+AO215+AO235-(AO176+AO180+AO187+AO191+AO194+AO195))/8</f>
        <v>4549868.3595637064</v>
      </c>
      <c r="AP84" s="3272">
        <f>(AP196+AP202+AP207+AP215+AP235-(AP176+AP180+AP187+AP191+AP194+AP195))/8</f>
        <v>41786639.78372921</v>
      </c>
      <c r="AQ84" s="3264"/>
      <c r="AU84" s="3272">
        <f>(AU196+AU202+AU207+AU215+AU235-(AU176+AU180+AU187+AU191+AU194+AU195+$G$85))/8</f>
        <v>108180025.5</v>
      </c>
      <c r="AV84" s="3272">
        <f>(AV196+AV202+AV207+AV215+AV235-(AV176+AV180+AV187+AV191+AV194+AV195+$H$85))/8</f>
        <v>61843517.356707066</v>
      </c>
      <c r="AW84" s="3272">
        <f>(AW196+AW202+AW207+AW215+AW235-(AW176+AW180+AW187+AW191+AW194+AW195))/8</f>
        <v>4549868.3595637064</v>
      </c>
      <c r="AX84" s="3272">
        <f>(AX196+AX202+AX207+AX215+AX235-(AX176+AX180+AX187+AX191+AX194+AX195))/8</f>
        <v>41786639.78372921</v>
      </c>
      <c r="AY84" s="3264"/>
      <c r="BC84" s="3272">
        <f>(BC196+BC202+BC207+BC215+BC235-(BC176+BC180+BC187+BC191+BC194+BC195+$G$85))/8</f>
        <v>108180025.5</v>
      </c>
      <c r="BD84" s="3272">
        <f>(BD196+BD202+BD207+BD215+BD235-(BD176+BD180+BD187+BD191+BD194+BD195+$H$85))/8</f>
        <v>61843517.356707066</v>
      </c>
      <c r="BE84" s="3272">
        <f>(BE196+BE202+BE207+BE215+BE235-(BE176+BE180+BE187+BE191+BE194+BE195))/8</f>
        <v>4549868.3595637064</v>
      </c>
      <c r="BF84" s="3272">
        <f>(BF196+BF202+BF207+BF215+BF235-(BF176+BF180+BF187+BF191+BF194+BF195))/8</f>
        <v>41786639.78372921</v>
      </c>
      <c r="BG84" s="3264"/>
      <c r="BK84" s="3272">
        <f>(BK196+BK202+BK207+BK215+BK235-(BK176+BK180+BK187+BK191+BK194+BK195+$G$85))/8</f>
        <v>108180025.5</v>
      </c>
      <c r="BL84" s="3272">
        <f>(BL196+BL202+BL207+BL215+BL235-(BL176+BL180+BL187+BL191+BL194+BL195+$H$85))/8</f>
        <v>61843517.356707066</v>
      </c>
      <c r="BM84" s="3272">
        <f>(BM196+BM202+BM207+BM215+BM235-(BM176+BM180+BM187+BM191+BM194+BM195))/8</f>
        <v>4549868.3595637064</v>
      </c>
      <c r="BN84" s="3272">
        <f>(BN196+BN202+BN207+BN215+BN235-(BN176+BN180+BN187+BN191+BN194+BN195))/8</f>
        <v>41786639.78372921</v>
      </c>
      <c r="BO84" s="3264"/>
      <c r="BS84" s="3272">
        <f>(BS196+BS202+BS207+BS215+BS235-(BS176+BS180+BS187+BS191+BS194+BS195+$G$85))/8</f>
        <v>108180025.5</v>
      </c>
      <c r="BT84" s="3272">
        <f>(BT196+BT202+BT207+BT215+BT235-(BT176+BT180+BT187+BT191+BT194+BT195+$H$85))/8</f>
        <v>61843517.356707066</v>
      </c>
      <c r="BU84" s="3272">
        <f>(BU196+BU202+BU207+BU215+BU235-(BU176+BU180+BU187+BU191+BU194+BU195))/8</f>
        <v>4549868.3595637064</v>
      </c>
      <c r="BV84" s="3272">
        <f>(BV196+BV202+BV207+BV215+BV235-(BV176+BV180+BV187+BV191+BV194+BV195))/8</f>
        <v>41786639.78372921</v>
      </c>
      <c r="BW84" s="3264"/>
      <c r="CA84" s="3272">
        <f>(CA196+CA202+CA207+CA215+CA235-(CA176+CA180+CA187+CA191+CA194+CA195+$G$85))/8</f>
        <v>108180025.5</v>
      </c>
      <c r="CB84" s="3272">
        <f>(CB196+CB202+CB207+CB215+CB235-(CB176+CB180+CB187+CB191+CB194+CB195+$H$85))/8</f>
        <v>61843517.356707066</v>
      </c>
      <c r="CC84" s="3272">
        <f>(CC196+CC202+CC207+CC215+CC235-(CC176+CC180+CC187+CC191+CC194+CC195))/8</f>
        <v>4549868.3595637064</v>
      </c>
      <c r="CD84" s="3272">
        <f>(CD196+CD202+CD207+CD215+CD235-(CD176+CD180+CD187+CD191+CD194+CD195))/8</f>
        <v>41786639.78372921</v>
      </c>
      <c r="CE84" s="3264"/>
      <c r="CI84" s="3272">
        <f>(CI196+CI202+CI207+CI215+CI235-(CI176+CI180+CI187+CI191+CI194+CI195+$G$85))/8</f>
        <v>108180025.5</v>
      </c>
      <c r="CJ84" s="3272">
        <f>(CJ196+CJ202+CJ207+CJ215+CJ235-(CJ176+CJ180+CJ187+CJ191+CJ194+CJ195+$H$85))/8</f>
        <v>61843517.356707066</v>
      </c>
      <c r="CK84" s="3272">
        <f>(CK196+CK202+CK207+CK215+CK235-(CK176+CK180+CK187+CK191+CK194+CK195))/8</f>
        <v>4549868.3595637064</v>
      </c>
      <c r="CL84" s="3272">
        <f>(CL196+CL202+CL207+CL215+CL235-(CL176+CL180+CL187+CL191+CL194+CL195))/8</f>
        <v>41786639.78372921</v>
      </c>
      <c r="CM84" s="3264"/>
      <c r="CQ84" s="3272">
        <f>(CQ196+CQ202+CQ207+CQ215+CQ235-(CQ176+CQ180+CQ187+CQ191+CQ194+CQ195+$G$85))/8</f>
        <v>108180025.5</v>
      </c>
      <c r="CR84" s="3272">
        <f>(CR196+CR202+CR207+CR215+CR235-(CR176+CR180+CR187+CR191+CR194+CR195+$H$85))/8</f>
        <v>61843517.356707066</v>
      </c>
      <c r="CS84" s="3272">
        <f>(CS196+CS202+CS207+CS215+CS235-(CS176+CS180+CS187+CS191+CS194+CS195))/8</f>
        <v>4549868.3595637064</v>
      </c>
      <c r="CT84" s="3272">
        <f>(CT196+CT202+CT207+CT215+CT235-(CT176+CT180+CT187+CT191+CT194+CT195))/8</f>
        <v>41786639.78372921</v>
      </c>
      <c r="CU84" s="3264"/>
      <c r="CY84" s="3272">
        <f>(CY196+CY202+CY207+CY215+CY235-(CY176+CY180+CY187+CY191+CY194+CY195+$G$85))/8</f>
        <v>108180025.5</v>
      </c>
      <c r="CZ84" s="3272">
        <f>(CZ196+CZ202+CZ207+CZ215+CZ235-(CZ176+CZ180+CZ187+CZ191+CZ194+CZ195+$H$85))/8</f>
        <v>61843517.356707066</v>
      </c>
      <c r="DA84" s="3272">
        <f>(DA196+DA202+DA207+DA215+DA235-(DA176+DA180+DA187+DA191+DA194+DA195))/8</f>
        <v>4549868.3595637064</v>
      </c>
      <c r="DB84" s="3272">
        <f>(DB196+DB202+DB207+DB215+DB235-(DB176+DB180+DB187+DB191+DB194+DB195))/8</f>
        <v>41786639.78372921</v>
      </c>
      <c r="DC84" s="3264"/>
      <c r="DG84" s="3272">
        <f>(DG196+DG202+DG207+DG215+DG235-(DG176+DG180+DG187+DG191+DG194+DG195+$G$85))/8</f>
        <v>108180025.5</v>
      </c>
      <c r="DH84" s="3272">
        <f>(DH196+DH202+DH207+DH215+DH235-(DH176+DH180+DH187+DH191+DH194+DH195+$H$85))/8</f>
        <v>61843517.356707066</v>
      </c>
      <c r="DI84" s="3272">
        <f>(DI196+DI202+DI207+DI215+DI235-(DI176+DI180+DI187+DI191+DI194+DI195))/8</f>
        <v>4549868.3595637064</v>
      </c>
      <c r="DJ84" s="3272">
        <f>(DJ196+DJ202+DJ207+DJ215+DJ235-(DJ176+DJ180+DJ187+DJ191+DJ194+DJ195))/8</f>
        <v>41786639.78372921</v>
      </c>
      <c r="DK84" s="3264"/>
      <c r="DO84" s="3272">
        <f>(DO196+DO202+DO207+DO215+DO235-(DO176+DO180+DO187+DO191+DO194+DO195+$G$85))/8</f>
        <v>108180025.5</v>
      </c>
      <c r="DP84" s="3272">
        <f>(DP196+DP202+DP207+DP215+DP235-(DP176+DP180+DP187+DP191+DP194+DP195+$H$85))/8</f>
        <v>61843517.356707066</v>
      </c>
      <c r="DQ84" s="3272">
        <f>(DQ196+DQ202+DQ207+DQ215+DQ235-(DQ176+DQ180+DQ187+DQ191+DQ194+DQ195))/8</f>
        <v>4549868.3595637064</v>
      </c>
      <c r="DR84" s="3272">
        <f>(DR196+DR202+DR207+DR215+DR235-(DR176+DR180+DR187+DR191+DR194+DR195))/8</f>
        <v>41786639.78372921</v>
      </c>
      <c r="DS84" s="3264"/>
      <c r="DW84" s="3272">
        <f>(DW196+DW202+DW207+DW215+DW235-(DW176+DW180+DW187+DW191+DW194+DW195+$G$85))/8</f>
        <v>108180025.5</v>
      </c>
      <c r="DX84" s="3272">
        <f>(DX196+DX202+DX207+DX215+DX235-(DX176+DX180+DX187+DX191+DX194+DX195+$H$85))/8</f>
        <v>61843517.356707066</v>
      </c>
      <c r="DY84" s="3272">
        <f>(DY196+DY202+DY207+DY215+DY235-(DY176+DY180+DY187+DY191+DY194+DY195))/8</f>
        <v>4549868.3595637064</v>
      </c>
      <c r="DZ84" s="3272">
        <f>(DZ196+DZ202+DZ207+DZ215+DZ235-(DZ176+DZ180+DZ187+DZ191+DZ194+DZ195))/8</f>
        <v>41786639.78372921</v>
      </c>
      <c r="EA84" s="3264"/>
      <c r="EE84" s="3272">
        <f>(EE196+EE202+EE207+EE215+EE235-(EE176+EE180+EE187+EE191+EE194+EE195+$G$85))/8</f>
        <v>108180025.5</v>
      </c>
      <c r="EF84" s="3272">
        <f>(EF196+EF202+EF207+EF215+EF235-(EF176+EF180+EF187+EF191+EF194+EF195+$H$85))/8</f>
        <v>61843517.356707066</v>
      </c>
      <c r="EG84" s="3272">
        <f>(EG196+EG202+EG207+EG215+EG235-(EG176+EG180+EG187+EG191+EG194+EG195))/8</f>
        <v>4549868.3595637064</v>
      </c>
      <c r="EH84" s="3272">
        <f>(EH196+EH202+EH207+EH215+EH235-(EH176+EH180+EH187+EH191+EH194+EH195))/8</f>
        <v>41786639.78372921</v>
      </c>
      <c r="EI84" s="3264"/>
      <c r="EM84" s="3272">
        <f>(EM196+EM202+EM207+EM215+EM235-(EM176+EM180+EM187+EM191+EM194+EM195+$G$85))/8</f>
        <v>108180025.5</v>
      </c>
      <c r="EN84" s="3272">
        <f>(EN196+EN202+EN207+EN215+EN235-(EN176+EN180+EN187+EN191+EN194+EN195+$H$85))/8</f>
        <v>61843517.356707066</v>
      </c>
      <c r="EO84" s="3272">
        <f>(EO196+EO202+EO207+EO215+EO235-(EO176+EO180+EO187+EO191+EO194+EO195))/8</f>
        <v>4549868.3595637064</v>
      </c>
      <c r="EP84" s="3272">
        <f>(EP196+EP202+EP207+EP215+EP235-(EP176+EP180+EP187+EP191+EP194+EP195))/8</f>
        <v>41786639.78372921</v>
      </c>
      <c r="EQ84" s="3264"/>
      <c r="EU84" s="3272">
        <f>(EU196+EU202+EU207+EU215+EU235-(EU176+EU180+EU187+EU191+EU194+EU195+$G$85))/8</f>
        <v>108180025.5</v>
      </c>
      <c r="EV84" s="3272">
        <f>(EV196+EV202+EV207+EV215+EV235-(EV176+EV180+EV187+EV191+EV194+EV195+$H$85))/8</f>
        <v>61843517.356707066</v>
      </c>
      <c r="EW84" s="3272">
        <f>(EW196+EW202+EW207+EW215+EW235-(EW176+EW180+EW187+EW191+EW194+EW195))/8</f>
        <v>4549868.3595637064</v>
      </c>
      <c r="EX84" s="3272">
        <f>(EX196+EX202+EX207+EX215+EX235-(EX176+EX180+EX187+EX191+EX194+EX195))/8</f>
        <v>41786639.78372921</v>
      </c>
      <c r="EY84" s="3264"/>
      <c r="FC84" s="3272">
        <f>(FC196+FC202+FC207+FC215+FC235-(FC176+FC180+FC187+FC191+FC194+FC195+$G$85))/8</f>
        <v>108180025.5</v>
      </c>
      <c r="FD84" s="3272">
        <f>(FD196+FD202+FD207+FD215+FD235-(FD176+FD180+FD187+FD191+FD194+FD195+$H$85))/8</f>
        <v>61843517.356707066</v>
      </c>
      <c r="FE84" s="3272">
        <f>(FE196+FE202+FE207+FE215+FE235-(FE176+FE180+FE187+FE191+FE194+FE195))/8</f>
        <v>4549868.3595637064</v>
      </c>
      <c r="FF84" s="3272">
        <f>(FF196+FF202+FF207+FF215+FF235-(FF176+FF180+FF187+FF191+FF194+FF195))/8</f>
        <v>41786639.78372921</v>
      </c>
      <c r="FG84" s="3264"/>
      <c r="FK84" s="3272">
        <f>(FK196+FK202+FK207+FK215+FK235-(FK176+FK180+FK187+FK191+FK194+FK195+$G$85))/8</f>
        <v>108180025.5</v>
      </c>
      <c r="FL84" s="3272">
        <f>(FL196+FL202+FL207+FL215+FL235-(FL176+FL180+FL187+FL191+FL194+FL195+$H$85))/8</f>
        <v>61843517.356707066</v>
      </c>
      <c r="FM84" s="3272">
        <f>(FM196+FM202+FM207+FM215+FM235-(FM176+FM180+FM187+FM191+FM194+FM195))/8</f>
        <v>4549868.3595637064</v>
      </c>
      <c r="FN84" s="3272">
        <f>(FN196+FN202+FN207+FN215+FN235-(FN176+FN180+FN187+FN191+FN194+FN195))/8</f>
        <v>41786639.78372921</v>
      </c>
      <c r="FO84" s="3264"/>
    </row>
    <row r="85" spans="1:171">
      <c r="A85" s="2442"/>
      <c r="B85" s="2097"/>
      <c r="C85" s="2116"/>
      <c r="D85" s="2319" t="s">
        <v>741</v>
      </c>
      <c r="E85" s="3273"/>
      <c r="F85" s="2098"/>
      <c r="G85" s="3274">
        <f>'Sch 1A - Cash Working Capital'!$G$30</f>
        <v>24948345</v>
      </c>
      <c r="H85" s="3274">
        <f>'Sch 1A - Cash Working Capital'!$H$30</f>
        <v>24948345</v>
      </c>
      <c r="I85" s="3087"/>
      <c r="J85" s="3275"/>
      <c r="K85" s="3205"/>
      <c r="S85" s="3264"/>
      <c r="AA85" s="3264"/>
      <c r="AI85" s="3264"/>
      <c r="AQ85" s="3264"/>
      <c r="AY85" s="3264"/>
      <c r="BG85" s="3264"/>
      <c r="BO85" s="3264"/>
      <c r="BW85" s="3264"/>
      <c r="CE85" s="3264"/>
      <c r="CM85" s="3264"/>
      <c r="CU85" s="3264"/>
      <c r="DC85" s="3264"/>
      <c r="DK85" s="3264"/>
      <c r="DS85" s="3264"/>
      <c r="EA85" s="3264"/>
      <c r="EI85" s="3264"/>
      <c r="EQ85" s="3264"/>
      <c r="EY85" s="3264"/>
      <c r="FG85" s="3264"/>
      <c r="FO85" s="3264"/>
    </row>
    <row r="86" spans="1:171">
      <c r="A86" s="3276" t="s">
        <v>272</v>
      </c>
      <c r="B86" s="2290"/>
      <c r="C86" s="2112"/>
      <c r="D86" s="2098"/>
      <c r="E86" s="2098"/>
      <c r="F86" s="2098"/>
      <c r="G86" s="3164"/>
      <c r="H86" s="2671"/>
      <c r="I86" s="2671"/>
      <c r="J86" s="2672"/>
      <c r="K86" s="3205"/>
      <c r="S86" s="3264"/>
      <c r="AA86" s="3264"/>
      <c r="AI86" s="3264"/>
      <c r="AQ86" s="3264"/>
      <c r="AY86" s="3264"/>
      <c r="BG86" s="3264"/>
      <c r="BO86" s="3264"/>
      <c r="BW86" s="3264"/>
      <c r="CE86" s="3264"/>
      <c r="CM86" s="3264"/>
      <c r="CU86" s="3264"/>
      <c r="DC86" s="3264"/>
      <c r="DK86" s="3264"/>
      <c r="DS86" s="3264"/>
      <c r="EA86" s="3264"/>
      <c r="EI86" s="3264"/>
      <c r="EQ86" s="3264"/>
      <c r="EY86" s="3264"/>
      <c r="FG86" s="3264"/>
      <c r="FO86" s="3264"/>
    </row>
    <row r="87" spans="1:171">
      <c r="A87" s="3277"/>
      <c r="B87" s="2097" t="s">
        <v>432</v>
      </c>
      <c r="C87" s="2464" t="s">
        <v>69</v>
      </c>
      <c r="D87" s="2464">
        <v>105</v>
      </c>
      <c r="E87" s="2424" t="str">
        <f>'Sch 1- Rate Base '!E87</f>
        <v>DIST</v>
      </c>
      <c r="F87" s="2171"/>
      <c r="G87" s="2424">
        <f>'Sch 1- Rate Base '!G87</f>
        <v>49315001</v>
      </c>
      <c r="H87" s="2424">
        <f>'Sch 1- Rate Base '!H87</f>
        <v>0</v>
      </c>
      <c r="I87" s="2424">
        <f>'Sch 1- Rate Base '!I87</f>
        <v>0</v>
      </c>
      <c r="J87" s="2425">
        <f>'Sch 1- Rate Base '!J87</f>
        <v>49315001</v>
      </c>
      <c r="K87" s="3205">
        <f t="shared" ref="K87:K92" si="163">IF($E87="DIRECT",0,1)</f>
        <v>1</v>
      </c>
      <c r="O87" s="3235">
        <f t="shared" ref="O87:O92" si="164">$G87</f>
        <v>49315001</v>
      </c>
      <c r="P87" s="3236">
        <f t="shared" ref="P87:P92" si="165">VLOOKUP($E87,O$442:R$453,2,FALSE)*O87*($K87)+IF($G87&gt;0,($H87/$G87)*O87,0)*(1-$K87)</f>
        <v>0</v>
      </c>
      <c r="Q87" s="3236">
        <f t="shared" ref="Q87:Q92" si="166">VLOOKUP($E87,O$442:R$453,3,FALSE)*O87*($K87)+IF($G87&gt;0,($I87/$G87)*O87,0)*(1-$K87)</f>
        <v>0</v>
      </c>
      <c r="R87" s="3236">
        <f t="shared" ref="R87:R92" si="167">VLOOKUP($E87,O$442:R$453,4,FALSE)*O87*($K87)+(O87-P87-Q87)*(1-$K87)</f>
        <v>49315001</v>
      </c>
      <c r="S87" s="3237"/>
      <c r="W87" s="3235">
        <f t="shared" ref="W87:W92" si="168">$G87</f>
        <v>49315001</v>
      </c>
      <c r="X87" s="3236">
        <f t="shared" ref="X87:X92" si="169">VLOOKUP($E87,W$442:Z$453,2,FALSE)*W87*($K87)+IF($G87&gt;0,($H87/$G87)*W87,0)*(1-$K87)</f>
        <v>0</v>
      </c>
      <c r="Y87" s="3236">
        <f t="shared" ref="Y87:Y92" si="170">VLOOKUP($E87,W$442:Z$453,3,FALSE)*W87*($K87)+IF($G87&gt;0,($I87/$G87)*W87,0)*(1-$K87)</f>
        <v>0</v>
      </c>
      <c r="Z87" s="3236">
        <f t="shared" ref="Z87:Z92" si="171">VLOOKUP($E87,W$442:Z$453,4,FALSE)*W87*($K87)+(W87-X87-Y87)*(1-$K87)</f>
        <v>49315001</v>
      </c>
      <c r="AA87" s="3237"/>
      <c r="AE87" s="3235">
        <f t="shared" ref="AE87:AE92" si="172">$G87</f>
        <v>49315001</v>
      </c>
      <c r="AF87" s="3236">
        <f t="shared" ref="AF87:AF92" si="173">VLOOKUP($E87,AE$442:AH$453,2,FALSE)*AE87*($K87)+IF($G87&gt;0,($H87/$G87)*AE87,0)*(1-$K87)</f>
        <v>0</v>
      </c>
      <c r="AG87" s="3236">
        <f t="shared" ref="AG87:AG92" si="174">VLOOKUP($E87,AE$442:AH$453,3,FALSE)*AE87*($K87)+IF($G87&gt;0,($I87/$G87)*AE87,0)*(1-$K87)</f>
        <v>0</v>
      </c>
      <c r="AH87" s="3236">
        <f t="shared" ref="AH87:AH92" si="175">VLOOKUP($E87,AE$442:AH$453,4,FALSE)*AE87*($K87)+(AE87-AF87-AG87)*(1-$K87)</f>
        <v>49315001</v>
      </c>
      <c r="AI87" s="3237"/>
      <c r="AM87" s="3235">
        <f t="shared" ref="AM87:AM92" si="176">$G87</f>
        <v>49315001</v>
      </c>
      <c r="AN87" s="3236">
        <f t="shared" ref="AN87:AN92" si="177">VLOOKUP($E87,AM$442:AP$453,2,FALSE)*AM87*($K87)+IF($G87&gt;0,($H87/$G87)*AM87,0)*(1-$K87)</f>
        <v>0</v>
      </c>
      <c r="AO87" s="3236">
        <f t="shared" ref="AO87:AO92" si="178">VLOOKUP($E87,AM$442:AP$453,3,FALSE)*AM87*($K87)+IF($G87&gt;0,($I87/$G87)*AM87,0)*(1-$K87)</f>
        <v>0</v>
      </c>
      <c r="AP87" s="3236">
        <f t="shared" ref="AP87:AP92" si="179">VLOOKUP($E87,AM$442:AP$453,4,FALSE)*AM87*($K87)+(AM87-AN87-AO87)*(1-$K87)</f>
        <v>49315001</v>
      </c>
      <c r="AQ87" s="3237"/>
      <c r="AU87" s="3235">
        <f t="shared" ref="AU87:AU92" si="180">$G87</f>
        <v>49315001</v>
      </c>
      <c r="AV87" s="3236">
        <f t="shared" ref="AV87:AV92" si="181">VLOOKUP($E87,AU$442:AX$453,2,FALSE)*AU87*($K87)+IF($G87&gt;0,($H87/$G87)*AU87,0)*(1-$K87)</f>
        <v>0</v>
      </c>
      <c r="AW87" s="3236">
        <f t="shared" ref="AW87:AW92" si="182">VLOOKUP($E87,AU$442:AX$453,3,FALSE)*AU87*($K87)+IF($G87&gt;0,($I87/$G87)*AU87,0)*(1-$K87)</f>
        <v>0</v>
      </c>
      <c r="AX87" s="3236">
        <f t="shared" ref="AX87:AX92" si="183">VLOOKUP($E87,AU$442:AX$453,4,FALSE)*AU87*($K87)+(AU87-AV87-AW87)*(1-$K87)</f>
        <v>49315001</v>
      </c>
      <c r="AY87" s="3237"/>
      <c r="BC87" s="3235">
        <f t="shared" ref="BC87:BC92" si="184">$G87</f>
        <v>49315001</v>
      </c>
      <c r="BD87" s="3236">
        <f t="shared" ref="BD87:BD92" si="185">VLOOKUP($E87,BC$442:BF$453,2,FALSE)*BC87*($K87)+IF($G87&gt;0,($H87/$G87)*BC87,0)*(1-$K87)</f>
        <v>0</v>
      </c>
      <c r="BE87" s="3236">
        <f t="shared" ref="BE87:BE92" si="186">VLOOKUP($E87,BC$442:BF$453,3,FALSE)*BC87*($K87)+IF($G87&gt;0,($I87/$G87)*BC87,0)*(1-$K87)</f>
        <v>0</v>
      </c>
      <c r="BF87" s="3236">
        <f t="shared" ref="BF87:BF92" si="187">VLOOKUP($E87,BC$442:BF$453,4,FALSE)*BC87*($K87)+(BC87-BD87-BE87)*(1-$K87)</f>
        <v>49315001</v>
      </c>
      <c r="BG87" s="3237"/>
      <c r="BK87" s="3235">
        <f t="shared" ref="BK87:BK92" si="188">$G87</f>
        <v>49315001</v>
      </c>
      <c r="BL87" s="3236">
        <f t="shared" ref="BL87:BL92" si="189">VLOOKUP($E87,BK$442:BN$453,2,FALSE)*BK87*($K87)+IF($G87&gt;0,($H87/$G87)*BK87,0)*(1-$K87)</f>
        <v>0</v>
      </c>
      <c r="BM87" s="3236">
        <f t="shared" ref="BM87:BM92" si="190">VLOOKUP($E87,BK$442:BN$453,3,FALSE)*BK87*($K87)+IF($G87&gt;0,($I87/$G87)*BK87,0)*(1-$K87)</f>
        <v>0</v>
      </c>
      <c r="BN87" s="3236">
        <f t="shared" ref="BN87:BN92" si="191">VLOOKUP($E87,BK$442:BN$453,4,FALSE)*BK87*($K87)+(BK87-BL87-BM87)*(1-$K87)</f>
        <v>49315001</v>
      </c>
      <c r="BO87" s="3237"/>
      <c r="BS87" s="3235">
        <f t="shared" ref="BS87:BS92" si="192">$G87</f>
        <v>49315001</v>
      </c>
      <c r="BT87" s="3236">
        <f t="shared" ref="BT87:BT92" si="193">VLOOKUP($E87,BS$442:BV$453,2,FALSE)*BS87*($K87)+IF($G87&gt;0,($H87/$G87)*BS87,0)*(1-$K87)</f>
        <v>0</v>
      </c>
      <c r="BU87" s="3236">
        <f t="shared" ref="BU87:BU92" si="194">VLOOKUP($E87,BS$442:BV$453,3,FALSE)*BS87*($K87)+IF($G87&gt;0,($I87/$G87)*BS87,0)*(1-$K87)</f>
        <v>0</v>
      </c>
      <c r="BV87" s="3236">
        <f t="shared" ref="BV87:BV92" si="195">VLOOKUP($E87,BS$442:BV$453,4,FALSE)*BS87*($K87)+(BS87-BT87-BU87)*(1-$K87)</f>
        <v>49315001</v>
      </c>
      <c r="BW87" s="3237"/>
      <c r="CA87" s="3235">
        <f t="shared" ref="CA87:CA92" si="196">$G87</f>
        <v>49315001</v>
      </c>
      <c r="CB87" s="3236">
        <f t="shared" ref="CB87:CB92" si="197">VLOOKUP($E87,CA$442:CD$453,2,FALSE)*CA87*($K87)+IF($G87&gt;0,($H87/$G87)*CA87,0)*(1-$K87)</f>
        <v>0</v>
      </c>
      <c r="CC87" s="3236">
        <f t="shared" ref="CC87:CC92" si="198">VLOOKUP($E87,CA$442:CD$453,3,FALSE)*CA87*($K87)+IF($G87&gt;0,($I87/$G87)*CA87,0)*(1-$K87)</f>
        <v>0</v>
      </c>
      <c r="CD87" s="3236">
        <f t="shared" ref="CD87:CD92" si="199">VLOOKUP($E87,CA$442:CD$453,4,FALSE)*CA87*($K87)+(CA87-CB87-CC87)*(1-$K87)</f>
        <v>49315001</v>
      </c>
      <c r="CE87" s="3237"/>
      <c r="CI87" s="3235">
        <f t="shared" ref="CI87:CI92" si="200">$G87</f>
        <v>49315001</v>
      </c>
      <c r="CJ87" s="3236">
        <f t="shared" ref="CJ87:CJ92" si="201">VLOOKUP($E87,CI$442:CL$453,2,FALSE)*CI87*($K87)+IF($G87&gt;0,($H87/$G87)*CI87,0)*(1-$K87)</f>
        <v>0</v>
      </c>
      <c r="CK87" s="3236">
        <f t="shared" ref="CK87:CK92" si="202">VLOOKUP($E87,CI$442:CL$453,3,FALSE)*CI87*($K87)+IF($G87&gt;0,($I87/$G87)*CI87,0)*(1-$K87)</f>
        <v>0</v>
      </c>
      <c r="CL87" s="3236">
        <f t="shared" ref="CL87:CL92" si="203">VLOOKUP($E87,CI$442:CL$453,4,FALSE)*CI87*($K87)+(CI87-CJ87-CK87)*(1-$K87)</f>
        <v>49315001</v>
      </c>
      <c r="CM87" s="3237"/>
      <c r="CQ87" s="3235">
        <f t="shared" ref="CQ87:CQ92" si="204">$G87</f>
        <v>49315001</v>
      </c>
      <c r="CR87" s="3236">
        <f t="shared" ref="CR87:CR92" si="205">VLOOKUP($E87,CQ$442:CT$453,2,FALSE)*CQ87*($K87)+IF($G87&gt;0,($H87/$G87)*CQ87,0)*(1-$K87)</f>
        <v>0</v>
      </c>
      <c r="CS87" s="3236">
        <f t="shared" ref="CS87:CS92" si="206">VLOOKUP($E87,CQ$442:CT$453,3,FALSE)*CQ87*($K87)+IF($G87&gt;0,($I87/$G87)*CQ87,0)*(1-$K87)</f>
        <v>0</v>
      </c>
      <c r="CT87" s="3236">
        <f t="shared" ref="CT87:CT92" si="207">VLOOKUP($E87,CQ$442:CT$453,4,FALSE)*CQ87*($K87)+(CQ87-CR87-CS87)*(1-$K87)</f>
        <v>49315001</v>
      </c>
      <c r="CU87" s="3237"/>
      <c r="CY87" s="3235">
        <f t="shared" ref="CY87:CY92" si="208">$G87</f>
        <v>49315001</v>
      </c>
      <c r="CZ87" s="3236">
        <f t="shared" ref="CZ87:CZ92" si="209">VLOOKUP($E87,CY$442:DB$453,2,FALSE)*CY87*($K87)+IF($G87&gt;0,($H87/$G87)*CY87,0)*(1-$K87)</f>
        <v>0</v>
      </c>
      <c r="DA87" s="3236">
        <f t="shared" ref="DA87:DA92" si="210">VLOOKUP($E87,CY$442:DB$453,3,FALSE)*CY87*($K87)+IF($G87&gt;0,($I87/$G87)*CY87,0)*(1-$K87)</f>
        <v>0</v>
      </c>
      <c r="DB87" s="3236">
        <f t="shared" ref="DB87:DB92" si="211">VLOOKUP($E87,CY$442:DB$453,4,FALSE)*CY87*($K87)+(CY87-CZ87-DA87)*(1-$K87)</f>
        <v>49315001</v>
      </c>
      <c r="DC87" s="3237"/>
      <c r="DG87" s="3235">
        <f t="shared" ref="DG87:DG92" si="212">$G87</f>
        <v>49315001</v>
      </c>
      <c r="DH87" s="3236">
        <f t="shared" ref="DH87:DH92" si="213">VLOOKUP($E87,DG$442:DJ$453,2,FALSE)*DG87*($K87)+IF($G87&gt;0,($H87/$G87)*DG87,0)*(1-$K87)</f>
        <v>0</v>
      </c>
      <c r="DI87" s="3236">
        <f t="shared" ref="DI87:DI92" si="214">VLOOKUP($E87,DG$442:DJ$453,3,FALSE)*DG87*($K87)+IF($G87&gt;0,($I87/$G87)*DG87,0)*(1-$K87)</f>
        <v>0</v>
      </c>
      <c r="DJ87" s="3236">
        <f t="shared" ref="DJ87:DJ92" si="215">VLOOKUP($E87,DG$442:DJ$453,4,FALSE)*DG87*($K87)+(DG87-DH87-DI87)*(1-$K87)</f>
        <v>49315001</v>
      </c>
      <c r="DK87" s="3237"/>
      <c r="DO87" s="3235">
        <f t="shared" ref="DO87:DO92" si="216">$G87</f>
        <v>49315001</v>
      </c>
      <c r="DP87" s="3236">
        <f t="shared" ref="DP87:DP92" si="217">VLOOKUP($E87,DO$442:DR$453,2,FALSE)*DO87*($K87)+IF($G87&gt;0,($H87/$G87)*DO87,0)*(1-$K87)</f>
        <v>0</v>
      </c>
      <c r="DQ87" s="3236">
        <f t="shared" ref="DQ87:DQ92" si="218">VLOOKUP($E87,DO$442:DR$453,3,FALSE)*DO87*($K87)+IF($G87&gt;0,($I87/$G87)*DO87,0)*(1-$K87)</f>
        <v>0</v>
      </c>
      <c r="DR87" s="3236">
        <f t="shared" ref="DR87:DR92" si="219">VLOOKUP($E87,DO$442:DR$453,4,FALSE)*DO87*($K87)+(DO87-DP87-DQ87)*(1-$K87)</f>
        <v>49315001</v>
      </c>
      <c r="DS87" s="3237"/>
      <c r="DW87" s="3235">
        <f t="shared" ref="DW87:DW92" si="220">$G87</f>
        <v>49315001</v>
      </c>
      <c r="DX87" s="3236">
        <f t="shared" ref="DX87:DX92" si="221">VLOOKUP($E87,DW$442:DZ$453,2,FALSE)*DW87*($K87)+IF($G87&gt;0,($H87/$G87)*DW87,0)*(1-$K87)</f>
        <v>0</v>
      </c>
      <c r="DY87" s="3236">
        <f t="shared" ref="DY87:DY92" si="222">VLOOKUP($E87,DW$442:DZ$453,3,FALSE)*DW87*($K87)+IF($G87&gt;0,($I87/$G87)*DW87,0)*(1-$K87)</f>
        <v>0</v>
      </c>
      <c r="DZ87" s="3236">
        <f t="shared" ref="DZ87:DZ92" si="223">VLOOKUP($E87,DW$442:DZ$453,4,FALSE)*DW87*($K87)+(DW87-DX87-DY87)*(1-$K87)</f>
        <v>49315001</v>
      </c>
      <c r="EA87" s="3237"/>
      <c r="EE87" s="3235">
        <f t="shared" ref="EE87:EE92" si="224">$G87</f>
        <v>49315001</v>
      </c>
      <c r="EF87" s="3236">
        <f t="shared" ref="EF87:EF92" si="225">VLOOKUP($E87,EE$442:EH$453,2,FALSE)*EE87*($K87)+IF($G87&gt;0,($H87/$G87)*EE87,0)*(1-$K87)</f>
        <v>0</v>
      </c>
      <c r="EG87" s="3236">
        <f t="shared" ref="EG87:EG92" si="226">VLOOKUP($E87,EE$442:EH$453,3,FALSE)*EE87*($K87)+IF($G87&gt;0,($I87/$G87)*EE87,0)*(1-$K87)</f>
        <v>0</v>
      </c>
      <c r="EH87" s="3236">
        <f t="shared" ref="EH87:EH92" si="227">VLOOKUP($E87,EE$442:EH$453,4,FALSE)*EE87*($K87)+(EE87-EF87-EG87)*(1-$K87)</f>
        <v>49315001</v>
      </c>
      <c r="EI87" s="3237"/>
      <c r="EM87" s="3235">
        <f t="shared" ref="EM87:EM92" si="228">$G87</f>
        <v>49315001</v>
      </c>
      <c r="EN87" s="3236">
        <f t="shared" ref="EN87:EN92" si="229">VLOOKUP($E87,EM$442:EP$453,2,FALSE)*EM87*($K87)+IF($G87&gt;0,($H87/$G87)*EM87,0)*(1-$K87)</f>
        <v>0</v>
      </c>
      <c r="EO87" s="3236">
        <f t="shared" ref="EO87:EO92" si="230">VLOOKUP($E87,EM$442:EP$453,3,FALSE)*EM87*($K87)+IF($G87&gt;0,($I87/$G87)*EM87,0)*(1-$K87)</f>
        <v>0</v>
      </c>
      <c r="EP87" s="3236">
        <f t="shared" ref="EP87:EP92" si="231">VLOOKUP($E87,EM$442:EP$453,4,FALSE)*EM87*($K87)+(EM87-EN87-EO87)*(1-$K87)</f>
        <v>49315001</v>
      </c>
      <c r="EQ87" s="3237"/>
      <c r="EU87" s="3235">
        <f t="shared" ref="EU87:EU92" si="232">$G87</f>
        <v>49315001</v>
      </c>
      <c r="EV87" s="3236">
        <f t="shared" ref="EV87:EV92" si="233">VLOOKUP($E87,EU$442:EX$453,2,FALSE)*EU87*($K87)+IF($G87&gt;0,($H87/$G87)*EU87,0)*(1-$K87)</f>
        <v>0</v>
      </c>
      <c r="EW87" s="3236">
        <f t="shared" ref="EW87:EW92" si="234">VLOOKUP($E87,EU$442:EX$453,3,FALSE)*EU87*($K87)+IF($G87&gt;0,($I87/$G87)*EU87,0)*(1-$K87)</f>
        <v>0</v>
      </c>
      <c r="EX87" s="3236">
        <f t="shared" ref="EX87:EX92" si="235">VLOOKUP($E87,EU$442:EX$453,4,FALSE)*EU87*($K87)+(EU87-EV87-EW87)*(1-$K87)</f>
        <v>49315001</v>
      </c>
      <c r="EY87" s="3237"/>
      <c r="FC87" s="3235">
        <f t="shared" ref="FC87:FC92" si="236">$G87</f>
        <v>49315001</v>
      </c>
      <c r="FD87" s="3236">
        <f t="shared" ref="FD87:FD92" si="237">VLOOKUP($E87,FC$442:FF$453,2,FALSE)*FC87*($K87)+IF($G87&gt;0,($H87/$G87)*FC87,0)*(1-$K87)</f>
        <v>0</v>
      </c>
      <c r="FE87" s="3236">
        <f t="shared" ref="FE87:FE92" si="238">VLOOKUP($E87,FC$442:FF$453,3,FALSE)*FC87*($K87)+IF($G87&gt;0,($I87/$G87)*FC87,0)*(1-$K87)</f>
        <v>0</v>
      </c>
      <c r="FF87" s="3236">
        <f t="shared" ref="FF87:FF92" si="239">VLOOKUP($E87,FC$442:FF$453,4,FALSE)*FC87*($K87)+(FC87-FD87-FE87)*(1-$K87)</f>
        <v>49315001</v>
      </c>
      <c r="FG87" s="3237"/>
      <c r="FK87" s="3235">
        <f t="shared" ref="FK87:FK92" si="240">$G87</f>
        <v>49315001</v>
      </c>
      <c r="FL87" s="3236">
        <f t="shared" ref="FL87:FL92" si="241">VLOOKUP($E87,FK$442:FN$453,2,FALSE)*FK87*($K87)+IF($G87&gt;0,($H87/$G87)*FK87,0)*(1-$K87)</f>
        <v>0</v>
      </c>
      <c r="FM87" s="3236">
        <f t="shared" ref="FM87:FM92" si="242">VLOOKUP($E87,FK$442:FN$453,3,FALSE)*FK87*($K87)+IF($G87&gt;0,($I87/$G87)*FK87,0)*(1-$K87)</f>
        <v>0</v>
      </c>
      <c r="FN87" s="3236">
        <f t="shared" ref="FN87:FN92" si="243">VLOOKUP($E87,FK$442:FN$453,4,FALSE)*FK87*($K87)+(FK87-FL87-FM87)*(1-$K87)</f>
        <v>49315001</v>
      </c>
      <c r="FO87" s="3237"/>
    </row>
    <row r="88" spans="1:171">
      <c r="A88" s="3277"/>
      <c r="B88" s="2097" t="s">
        <v>77</v>
      </c>
      <c r="C88" s="2464" t="s">
        <v>69</v>
      </c>
      <c r="D88" s="2464">
        <v>106</v>
      </c>
      <c r="E88" s="2424" t="str">
        <f>'Sch 1- Rate Base '!E88</f>
        <v>PTD</v>
      </c>
      <c r="F88" s="2171"/>
      <c r="G88" s="2424">
        <f>'Sch 1- Rate Base '!G88</f>
        <v>0</v>
      </c>
      <c r="H88" s="2424">
        <f>'Sch 1- Rate Base '!H88</f>
        <v>0</v>
      </c>
      <c r="I88" s="2424">
        <f>'Sch 1- Rate Base '!I88</f>
        <v>0</v>
      </c>
      <c r="J88" s="2425">
        <f>'Sch 1- Rate Base '!J88</f>
        <v>0</v>
      </c>
      <c r="K88" s="3205">
        <f t="shared" si="163"/>
        <v>1</v>
      </c>
      <c r="O88" s="3235">
        <f t="shared" si="164"/>
        <v>0</v>
      </c>
      <c r="P88" s="3236">
        <f t="shared" si="165"/>
        <v>0</v>
      </c>
      <c r="Q88" s="3236">
        <f t="shared" si="166"/>
        <v>0</v>
      </c>
      <c r="R88" s="3236">
        <f t="shared" si="167"/>
        <v>0</v>
      </c>
      <c r="S88" s="3237"/>
      <c r="W88" s="3235">
        <f t="shared" si="168"/>
        <v>0</v>
      </c>
      <c r="X88" s="3236">
        <f t="shared" si="169"/>
        <v>0</v>
      </c>
      <c r="Y88" s="3236">
        <f t="shared" si="170"/>
        <v>0</v>
      </c>
      <c r="Z88" s="3236">
        <f t="shared" si="171"/>
        <v>0</v>
      </c>
      <c r="AA88" s="3237"/>
      <c r="AE88" s="3235">
        <f t="shared" si="172"/>
        <v>0</v>
      </c>
      <c r="AF88" s="3236">
        <f t="shared" si="173"/>
        <v>0</v>
      </c>
      <c r="AG88" s="3236">
        <f t="shared" si="174"/>
        <v>0</v>
      </c>
      <c r="AH88" s="3236">
        <f t="shared" si="175"/>
        <v>0</v>
      </c>
      <c r="AI88" s="3237"/>
      <c r="AM88" s="3235">
        <f t="shared" si="176"/>
        <v>0</v>
      </c>
      <c r="AN88" s="3236">
        <f t="shared" si="177"/>
        <v>0</v>
      </c>
      <c r="AO88" s="3236">
        <f t="shared" si="178"/>
        <v>0</v>
      </c>
      <c r="AP88" s="3236">
        <f t="shared" si="179"/>
        <v>0</v>
      </c>
      <c r="AQ88" s="3237"/>
      <c r="AU88" s="3235">
        <f t="shared" si="180"/>
        <v>0</v>
      </c>
      <c r="AV88" s="3236">
        <f t="shared" si="181"/>
        <v>0</v>
      </c>
      <c r="AW88" s="3236">
        <f t="shared" si="182"/>
        <v>0</v>
      </c>
      <c r="AX88" s="3236">
        <f t="shared" si="183"/>
        <v>0</v>
      </c>
      <c r="AY88" s="3237"/>
      <c r="BC88" s="3235">
        <f t="shared" si="184"/>
        <v>0</v>
      </c>
      <c r="BD88" s="3236">
        <f t="shared" si="185"/>
        <v>0</v>
      </c>
      <c r="BE88" s="3236">
        <f t="shared" si="186"/>
        <v>0</v>
      </c>
      <c r="BF88" s="3236">
        <f t="shared" si="187"/>
        <v>0</v>
      </c>
      <c r="BG88" s="3237"/>
      <c r="BK88" s="3235">
        <f t="shared" si="188"/>
        <v>0</v>
      </c>
      <c r="BL88" s="3236">
        <f t="shared" si="189"/>
        <v>0</v>
      </c>
      <c r="BM88" s="3236">
        <f t="shared" si="190"/>
        <v>0</v>
      </c>
      <c r="BN88" s="3236">
        <f t="shared" si="191"/>
        <v>0</v>
      </c>
      <c r="BO88" s="3237"/>
      <c r="BS88" s="3235">
        <f t="shared" si="192"/>
        <v>0</v>
      </c>
      <c r="BT88" s="3236">
        <f t="shared" si="193"/>
        <v>0</v>
      </c>
      <c r="BU88" s="3236">
        <f t="shared" si="194"/>
        <v>0</v>
      </c>
      <c r="BV88" s="3236">
        <f t="shared" si="195"/>
        <v>0</v>
      </c>
      <c r="BW88" s="3237"/>
      <c r="CA88" s="3235">
        <f t="shared" si="196"/>
        <v>0</v>
      </c>
      <c r="CB88" s="3236">
        <f t="shared" si="197"/>
        <v>0</v>
      </c>
      <c r="CC88" s="3236">
        <f t="shared" si="198"/>
        <v>0</v>
      </c>
      <c r="CD88" s="3236">
        <f t="shared" si="199"/>
        <v>0</v>
      </c>
      <c r="CE88" s="3237"/>
      <c r="CI88" s="3235">
        <f t="shared" si="200"/>
        <v>0</v>
      </c>
      <c r="CJ88" s="3236">
        <f t="shared" si="201"/>
        <v>0</v>
      </c>
      <c r="CK88" s="3236">
        <f t="shared" si="202"/>
        <v>0</v>
      </c>
      <c r="CL88" s="3236">
        <f t="shared" si="203"/>
        <v>0</v>
      </c>
      <c r="CM88" s="3237"/>
      <c r="CQ88" s="3235">
        <f t="shared" si="204"/>
        <v>0</v>
      </c>
      <c r="CR88" s="3236">
        <f t="shared" si="205"/>
        <v>0</v>
      </c>
      <c r="CS88" s="3236">
        <f t="shared" si="206"/>
        <v>0</v>
      </c>
      <c r="CT88" s="3236">
        <f t="shared" si="207"/>
        <v>0</v>
      </c>
      <c r="CU88" s="3237"/>
      <c r="CY88" s="3235">
        <f t="shared" si="208"/>
        <v>0</v>
      </c>
      <c r="CZ88" s="3236">
        <f t="shared" si="209"/>
        <v>0</v>
      </c>
      <c r="DA88" s="3236">
        <f t="shared" si="210"/>
        <v>0</v>
      </c>
      <c r="DB88" s="3236">
        <f t="shared" si="211"/>
        <v>0</v>
      </c>
      <c r="DC88" s="3237"/>
      <c r="DG88" s="3235">
        <f t="shared" si="212"/>
        <v>0</v>
      </c>
      <c r="DH88" s="3236">
        <f t="shared" si="213"/>
        <v>0</v>
      </c>
      <c r="DI88" s="3236">
        <f t="shared" si="214"/>
        <v>0</v>
      </c>
      <c r="DJ88" s="3236">
        <f t="shared" si="215"/>
        <v>0</v>
      </c>
      <c r="DK88" s="3237"/>
      <c r="DO88" s="3235">
        <f t="shared" si="216"/>
        <v>0</v>
      </c>
      <c r="DP88" s="3236">
        <f t="shared" si="217"/>
        <v>0</v>
      </c>
      <c r="DQ88" s="3236">
        <f t="shared" si="218"/>
        <v>0</v>
      </c>
      <c r="DR88" s="3236">
        <f t="shared" si="219"/>
        <v>0</v>
      </c>
      <c r="DS88" s="3237"/>
      <c r="DW88" s="3235">
        <f t="shared" si="220"/>
        <v>0</v>
      </c>
      <c r="DX88" s="3236">
        <f t="shared" si="221"/>
        <v>0</v>
      </c>
      <c r="DY88" s="3236">
        <f t="shared" si="222"/>
        <v>0</v>
      </c>
      <c r="DZ88" s="3236">
        <f t="shared" si="223"/>
        <v>0</v>
      </c>
      <c r="EA88" s="3237"/>
      <c r="EE88" s="3235">
        <f t="shared" si="224"/>
        <v>0</v>
      </c>
      <c r="EF88" s="3236">
        <f t="shared" si="225"/>
        <v>0</v>
      </c>
      <c r="EG88" s="3236">
        <f t="shared" si="226"/>
        <v>0</v>
      </c>
      <c r="EH88" s="3236">
        <f t="shared" si="227"/>
        <v>0</v>
      </c>
      <c r="EI88" s="3237"/>
      <c r="EM88" s="3235">
        <f t="shared" si="228"/>
        <v>0</v>
      </c>
      <c r="EN88" s="3236">
        <f t="shared" si="229"/>
        <v>0</v>
      </c>
      <c r="EO88" s="3236">
        <f t="shared" si="230"/>
        <v>0</v>
      </c>
      <c r="EP88" s="3236">
        <f t="shared" si="231"/>
        <v>0</v>
      </c>
      <c r="EQ88" s="3237"/>
      <c r="EU88" s="3235">
        <f t="shared" si="232"/>
        <v>0</v>
      </c>
      <c r="EV88" s="3236">
        <f t="shared" si="233"/>
        <v>0</v>
      </c>
      <c r="EW88" s="3236">
        <f t="shared" si="234"/>
        <v>0</v>
      </c>
      <c r="EX88" s="3236">
        <f t="shared" si="235"/>
        <v>0</v>
      </c>
      <c r="EY88" s="3237"/>
      <c r="FC88" s="3235">
        <f t="shared" si="236"/>
        <v>0</v>
      </c>
      <c r="FD88" s="3236">
        <f t="shared" si="237"/>
        <v>0</v>
      </c>
      <c r="FE88" s="3236">
        <f t="shared" si="238"/>
        <v>0</v>
      </c>
      <c r="FF88" s="3236">
        <f t="shared" si="239"/>
        <v>0</v>
      </c>
      <c r="FG88" s="3237"/>
      <c r="FK88" s="3235">
        <f t="shared" si="240"/>
        <v>0</v>
      </c>
      <c r="FL88" s="3236">
        <f t="shared" si="241"/>
        <v>0</v>
      </c>
      <c r="FM88" s="3236">
        <f t="shared" si="242"/>
        <v>0</v>
      </c>
      <c r="FN88" s="3236">
        <f t="shared" si="243"/>
        <v>0</v>
      </c>
      <c r="FO88" s="3237"/>
    </row>
    <row r="89" spans="1:171">
      <c r="A89" s="3277"/>
      <c r="B89" s="2100" t="s">
        <v>475</v>
      </c>
      <c r="C89" s="2464"/>
      <c r="D89" s="2464" t="s">
        <v>255</v>
      </c>
      <c r="E89" s="2424" t="str">
        <f>'Sch 1- Rate Base '!E89</f>
        <v>PROD</v>
      </c>
      <c r="F89" s="2171"/>
      <c r="G89" s="2424">
        <f>'Sch 1- Rate Base '!G89</f>
        <v>0</v>
      </c>
      <c r="H89" s="2424">
        <f>'Sch 1- Rate Base '!H89</f>
        <v>0</v>
      </c>
      <c r="I89" s="2424">
        <f>'Sch 1- Rate Base '!I89</f>
        <v>0</v>
      </c>
      <c r="J89" s="2425">
        <f>'Sch 1- Rate Base '!J89</f>
        <v>0</v>
      </c>
      <c r="K89" s="3205">
        <f t="shared" si="163"/>
        <v>1</v>
      </c>
      <c r="O89" s="3235">
        <f t="shared" si="164"/>
        <v>0</v>
      </c>
      <c r="P89" s="3236">
        <f t="shared" si="165"/>
        <v>0</v>
      </c>
      <c r="Q89" s="3236">
        <f t="shared" si="166"/>
        <v>0</v>
      </c>
      <c r="R89" s="3236">
        <f t="shared" si="167"/>
        <v>0</v>
      </c>
      <c r="S89" s="3237"/>
      <c r="W89" s="3235">
        <f t="shared" si="168"/>
        <v>0</v>
      </c>
      <c r="X89" s="3236">
        <f t="shared" si="169"/>
        <v>0</v>
      </c>
      <c r="Y89" s="3236">
        <f t="shared" si="170"/>
        <v>0</v>
      </c>
      <c r="Z89" s="3236">
        <f t="shared" si="171"/>
        <v>0</v>
      </c>
      <c r="AA89" s="3237"/>
      <c r="AE89" s="3235">
        <f t="shared" si="172"/>
        <v>0</v>
      </c>
      <c r="AF89" s="3236">
        <f t="shared" si="173"/>
        <v>0</v>
      </c>
      <c r="AG89" s="3236">
        <f t="shared" si="174"/>
        <v>0</v>
      </c>
      <c r="AH89" s="3236">
        <f t="shared" si="175"/>
        <v>0</v>
      </c>
      <c r="AI89" s="3237"/>
      <c r="AM89" s="3235">
        <f t="shared" si="176"/>
        <v>0</v>
      </c>
      <c r="AN89" s="3236">
        <f t="shared" si="177"/>
        <v>0</v>
      </c>
      <c r="AO89" s="3236">
        <f t="shared" si="178"/>
        <v>0</v>
      </c>
      <c r="AP89" s="3236">
        <f t="shared" si="179"/>
        <v>0</v>
      </c>
      <c r="AQ89" s="3237"/>
      <c r="AU89" s="3235">
        <f t="shared" si="180"/>
        <v>0</v>
      </c>
      <c r="AV89" s="3236">
        <f t="shared" si="181"/>
        <v>0</v>
      </c>
      <c r="AW89" s="3236">
        <f t="shared" si="182"/>
        <v>0</v>
      </c>
      <c r="AX89" s="3236">
        <f t="shared" si="183"/>
        <v>0</v>
      </c>
      <c r="AY89" s="3237"/>
      <c r="BC89" s="3235">
        <f t="shared" si="184"/>
        <v>0</v>
      </c>
      <c r="BD89" s="3236">
        <f t="shared" si="185"/>
        <v>0</v>
      </c>
      <c r="BE89" s="3236">
        <f t="shared" si="186"/>
        <v>0</v>
      </c>
      <c r="BF89" s="3236">
        <f t="shared" si="187"/>
        <v>0</v>
      </c>
      <c r="BG89" s="3237"/>
      <c r="BK89" s="3235">
        <f t="shared" si="188"/>
        <v>0</v>
      </c>
      <c r="BL89" s="3236">
        <f t="shared" si="189"/>
        <v>0</v>
      </c>
      <c r="BM89" s="3236">
        <f t="shared" si="190"/>
        <v>0</v>
      </c>
      <c r="BN89" s="3236">
        <f t="shared" si="191"/>
        <v>0</v>
      </c>
      <c r="BO89" s="3237"/>
      <c r="BS89" s="3235">
        <f t="shared" si="192"/>
        <v>0</v>
      </c>
      <c r="BT89" s="3236">
        <f t="shared" si="193"/>
        <v>0</v>
      </c>
      <c r="BU89" s="3236">
        <f t="shared" si="194"/>
        <v>0</v>
      </c>
      <c r="BV89" s="3236">
        <f t="shared" si="195"/>
        <v>0</v>
      </c>
      <c r="BW89" s="3237"/>
      <c r="CA89" s="3235">
        <f t="shared" si="196"/>
        <v>0</v>
      </c>
      <c r="CB89" s="3236">
        <f t="shared" si="197"/>
        <v>0</v>
      </c>
      <c r="CC89" s="3236">
        <f t="shared" si="198"/>
        <v>0</v>
      </c>
      <c r="CD89" s="3236">
        <f t="shared" si="199"/>
        <v>0</v>
      </c>
      <c r="CE89" s="3237"/>
      <c r="CI89" s="3235">
        <f t="shared" si="200"/>
        <v>0</v>
      </c>
      <c r="CJ89" s="3236">
        <f t="shared" si="201"/>
        <v>0</v>
      </c>
      <c r="CK89" s="3236">
        <f t="shared" si="202"/>
        <v>0</v>
      </c>
      <c r="CL89" s="3236">
        <f t="shared" si="203"/>
        <v>0</v>
      </c>
      <c r="CM89" s="3237"/>
      <c r="CQ89" s="3235">
        <f t="shared" si="204"/>
        <v>0</v>
      </c>
      <c r="CR89" s="3236">
        <f t="shared" si="205"/>
        <v>0</v>
      </c>
      <c r="CS89" s="3236">
        <f t="shared" si="206"/>
        <v>0</v>
      </c>
      <c r="CT89" s="3236">
        <f t="shared" si="207"/>
        <v>0</v>
      </c>
      <c r="CU89" s="3237"/>
      <c r="CY89" s="3235">
        <f t="shared" si="208"/>
        <v>0</v>
      </c>
      <c r="CZ89" s="3236">
        <f t="shared" si="209"/>
        <v>0</v>
      </c>
      <c r="DA89" s="3236">
        <f t="shared" si="210"/>
        <v>0</v>
      </c>
      <c r="DB89" s="3236">
        <f t="shared" si="211"/>
        <v>0</v>
      </c>
      <c r="DC89" s="3237"/>
      <c r="DG89" s="3235">
        <f t="shared" si="212"/>
        <v>0</v>
      </c>
      <c r="DH89" s="3236">
        <f t="shared" si="213"/>
        <v>0</v>
      </c>
      <c r="DI89" s="3236">
        <f t="shared" si="214"/>
        <v>0</v>
      </c>
      <c r="DJ89" s="3236">
        <f t="shared" si="215"/>
        <v>0</v>
      </c>
      <c r="DK89" s="3237"/>
      <c r="DO89" s="3235">
        <f t="shared" si="216"/>
        <v>0</v>
      </c>
      <c r="DP89" s="3236">
        <f t="shared" si="217"/>
        <v>0</v>
      </c>
      <c r="DQ89" s="3236">
        <f t="shared" si="218"/>
        <v>0</v>
      </c>
      <c r="DR89" s="3236">
        <f t="shared" si="219"/>
        <v>0</v>
      </c>
      <c r="DS89" s="3237"/>
      <c r="DW89" s="3235">
        <f t="shared" si="220"/>
        <v>0</v>
      </c>
      <c r="DX89" s="3236">
        <f t="shared" si="221"/>
        <v>0</v>
      </c>
      <c r="DY89" s="3236">
        <f t="shared" si="222"/>
        <v>0</v>
      </c>
      <c r="DZ89" s="3236">
        <f t="shared" si="223"/>
        <v>0</v>
      </c>
      <c r="EA89" s="3237"/>
      <c r="EE89" s="3235">
        <f t="shared" si="224"/>
        <v>0</v>
      </c>
      <c r="EF89" s="3236">
        <f t="shared" si="225"/>
        <v>0</v>
      </c>
      <c r="EG89" s="3236">
        <f t="shared" si="226"/>
        <v>0</v>
      </c>
      <c r="EH89" s="3236">
        <f t="shared" si="227"/>
        <v>0</v>
      </c>
      <c r="EI89" s="3237"/>
      <c r="EM89" s="3235">
        <f t="shared" si="228"/>
        <v>0</v>
      </c>
      <c r="EN89" s="3236">
        <f t="shared" si="229"/>
        <v>0</v>
      </c>
      <c r="EO89" s="3236">
        <f t="shared" si="230"/>
        <v>0</v>
      </c>
      <c r="EP89" s="3236">
        <f t="shared" si="231"/>
        <v>0</v>
      </c>
      <c r="EQ89" s="3237"/>
      <c r="EU89" s="3235">
        <f t="shared" si="232"/>
        <v>0</v>
      </c>
      <c r="EV89" s="3236">
        <f t="shared" si="233"/>
        <v>0</v>
      </c>
      <c r="EW89" s="3236">
        <f t="shared" si="234"/>
        <v>0</v>
      </c>
      <c r="EX89" s="3236">
        <f t="shared" si="235"/>
        <v>0</v>
      </c>
      <c r="EY89" s="3237"/>
      <c r="FC89" s="3235">
        <f t="shared" si="236"/>
        <v>0</v>
      </c>
      <c r="FD89" s="3236">
        <f t="shared" si="237"/>
        <v>0</v>
      </c>
      <c r="FE89" s="3236">
        <f t="shared" si="238"/>
        <v>0</v>
      </c>
      <c r="FF89" s="3236">
        <f t="shared" si="239"/>
        <v>0</v>
      </c>
      <c r="FG89" s="3237"/>
      <c r="FK89" s="3235">
        <f t="shared" si="240"/>
        <v>0</v>
      </c>
      <c r="FL89" s="3236">
        <f t="shared" si="241"/>
        <v>0</v>
      </c>
      <c r="FM89" s="3236">
        <f t="shared" si="242"/>
        <v>0</v>
      </c>
      <c r="FN89" s="3236">
        <f t="shared" si="243"/>
        <v>0</v>
      </c>
      <c r="FO89" s="3237"/>
    </row>
    <row r="90" spans="1:171">
      <c r="A90" s="3277"/>
      <c r="B90" s="2097" t="s">
        <v>80</v>
      </c>
      <c r="C90" s="2464" t="s">
        <v>69</v>
      </c>
      <c r="D90" s="2464" t="s">
        <v>256</v>
      </c>
      <c r="E90" s="2424" t="str">
        <f>'Sch 1- Rate Base '!E90</f>
        <v>DIST</v>
      </c>
      <c r="F90" s="2171"/>
      <c r="G90" s="2424">
        <f>'Sch 1- Rate Base '!G90</f>
        <v>1060266765</v>
      </c>
      <c r="H90" s="2424">
        <f>'Sch 1- Rate Base '!H90</f>
        <v>0</v>
      </c>
      <c r="I90" s="2424">
        <f>'Sch 1- Rate Base '!I90</f>
        <v>0</v>
      </c>
      <c r="J90" s="2425">
        <f>'Sch 1- Rate Base '!J90</f>
        <v>1060266765</v>
      </c>
      <c r="K90" s="3205">
        <f t="shared" si="163"/>
        <v>1</v>
      </c>
      <c r="O90" s="3235">
        <f t="shared" si="164"/>
        <v>1060266765</v>
      </c>
      <c r="P90" s="3236">
        <f t="shared" si="165"/>
        <v>0</v>
      </c>
      <c r="Q90" s="3236">
        <f t="shared" si="166"/>
        <v>0</v>
      </c>
      <c r="R90" s="3236">
        <f t="shared" si="167"/>
        <v>1060266765</v>
      </c>
      <c r="S90" s="3237"/>
      <c r="W90" s="3235">
        <f t="shared" si="168"/>
        <v>1060266765</v>
      </c>
      <c r="X90" s="3236">
        <f t="shared" si="169"/>
        <v>0</v>
      </c>
      <c r="Y90" s="3236">
        <f t="shared" si="170"/>
        <v>0</v>
      </c>
      <c r="Z90" s="3236">
        <f t="shared" si="171"/>
        <v>1060266765</v>
      </c>
      <c r="AA90" s="3237"/>
      <c r="AE90" s="3235">
        <f t="shared" si="172"/>
        <v>1060266765</v>
      </c>
      <c r="AF90" s="3236">
        <f t="shared" si="173"/>
        <v>0</v>
      </c>
      <c r="AG90" s="3236">
        <f t="shared" si="174"/>
        <v>0</v>
      </c>
      <c r="AH90" s="3236">
        <f t="shared" si="175"/>
        <v>1060266765</v>
      </c>
      <c r="AI90" s="3237"/>
      <c r="AM90" s="3235">
        <f t="shared" si="176"/>
        <v>1060266765</v>
      </c>
      <c r="AN90" s="3236">
        <f t="shared" si="177"/>
        <v>0</v>
      </c>
      <c r="AO90" s="3236">
        <f t="shared" si="178"/>
        <v>0</v>
      </c>
      <c r="AP90" s="3236">
        <f t="shared" si="179"/>
        <v>1060266765</v>
      </c>
      <c r="AQ90" s="3237"/>
      <c r="AU90" s="3235">
        <f t="shared" si="180"/>
        <v>1060266765</v>
      </c>
      <c r="AV90" s="3236">
        <f t="shared" si="181"/>
        <v>0</v>
      </c>
      <c r="AW90" s="3236">
        <f t="shared" si="182"/>
        <v>0</v>
      </c>
      <c r="AX90" s="3236">
        <f t="shared" si="183"/>
        <v>1060266765</v>
      </c>
      <c r="AY90" s="3237"/>
      <c r="BC90" s="3235">
        <f t="shared" si="184"/>
        <v>1060266765</v>
      </c>
      <c r="BD90" s="3236">
        <f t="shared" si="185"/>
        <v>0</v>
      </c>
      <c r="BE90" s="3236">
        <f t="shared" si="186"/>
        <v>0</v>
      </c>
      <c r="BF90" s="3236">
        <f t="shared" si="187"/>
        <v>1060266765</v>
      </c>
      <c r="BG90" s="3237"/>
      <c r="BK90" s="3235">
        <f t="shared" si="188"/>
        <v>1060266765</v>
      </c>
      <c r="BL90" s="3236">
        <f t="shared" si="189"/>
        <v>0</v>
      </c>
      <c r="BM90" s="3236">
        <f t="shared" si="190"/>
        <v>0</v>
      </c>
      <c r="BN90" s="3236">
        <f t="shared" si="191"/>
        <v>1060266765</v>
      </c>
      <c r="BO90" s="3237"/>
      <c r="BS90" s="3235">
        <f t="shared" si="192"/>
        <v>1060266765</v>
      </c>
      <c r="BT90" s="3236">
        <f t="shared" si="193"/>
        <v>0</v>
      </c>
      <c r="BU90" s="3236">
        <f t="shared" si="194"/>
        <v>0</v>
      </c>
      <c r="BV90" s="3236">
        <f t="shared" si="195"/>
        <v>1060266765</v>
      </c>
      <c r="BW90" s="3237"/>
      <c r="CA90" s="3235">
        <f t="shared" si="196"/>
        <v>1060266765</v>
      </c>
      <c r="CB90" s="3236">
        <f t="shared" si="197"/>
        <v>0</v>
      </c>
      <c r="CC90" s="3236">
        <f t="shared" si="198"/>
        <v>0</v>
      </c>
      <c r="CD90" s="3236">
        <f t="shared" si="199"/>
        <v>1060266765</v>
      </c>
      <c r="CE90" s="3237"/>
      <c r="CI90" s="3235">
        <f t="shared" si="200"/>
        <v>1060266765</v>
      </c>
      <c r="CJ90" s="3236">
        <f t="shared" si="201"/>
        <v>0</v>
      </c>
      <c r="CK90" s="3236">
        <f t="shared" si="202"/>
        <v>0</v>
      </c>
      <c r="CL90" s="3236">
        <f t="shared" si="203"/>
        <v>1060266765</v>
      </c>
      <c r="CM90" s="3237"/>
      <c r="CQ90" s="3235">
        <f t="shared" si="204"/>
        <v>1060266765</v>
      </c>
      <c r="CR90" s="3236">
        <f t="shared" si="205"/>
        <v>0</v>
      </c>
      <c r="CS90" s="3236">
        <f t="shared" si="206"/>
        <v>0</v>
      </c>
      <c r="CT90" s="3236">
        <f t="shared" si="207"/>
        <v>1060266765</v>
      </c>
      <c r="CU90" s="3237"/>
      <c r="CY90" s="3235">
        <f t="shared" si="208"/>
        <v>1060266765</v>
      </c>
      <c r="CZ90" s="3236">
        <f t="shared" si="209"/>
        <v>0</v>
      </c>
      <c r="DA90" s="3236">
        <f t="shared" si="210"/>
        <v>0</v>
      </c>
      <c r="DB90" s="3236">
        <f t="shared" si="211"/>
        <v>1060266765</v>
      </c>
      <c r="DC90" s="3237"/>
      <c r="DG90" s="3235">
        <f t="shared" si="212"/>
        <v>1060266765</v>
      </c>
      <c r="DH90" s="3236">
        <f t="shared" si="213"/>
        <v>0</v>
      </c>
      <c r="DI90" s="3236">
        <f t="shared" si="214"/>
        <v>0</v>
      </c>
      <c r="DJ90" s="3236">
        <f t="shared" si="215"/>
        <v>1060266765</v>
      </c>
      <c r="DK90" s="3237"/>
      <c r="DO90" s="3235">
        <f t="shared" si="216"/>
        <v>1060266765</v>
      </c>
      <c r="DP90" s="3236">
        <f t="shared" si="217"/>
        <v>0</v>
      </c>
      <c r="DQ90" s="3236">
        <f t="shared" si="218"/>
        <v>0</v>
      </c>
      <c r="DR90" s="3236">
        <f t="shared" si="219"/>
        <v>1060266765</v>
      </c>
      <c r="DS90" s="3237"/>
      <c r="DW90" s="3235">
        <f t="shared" si="220"/>
        <v>1060266765</v>
      </c>
      <c r="DX90" s="3236">
        <f t="shared" si="221"/>
        <v>0</v>
      </c>
      <c r="DY90" s="3236">
        <f t="shared" si="222"/>
        <v>0</v>
      </c>
      <c r="DZ90" s="3236">
        <f t="shared" si="223"/>
        <v>1060266765</v>
      </c>
      <c r="EA90" s="3237"/>
      <c r="EE90" s="3235">
        <f t="shared" si="224"/>
        <v>1060266765</v>
      </c>
      <c r="EF90" s="3236">
        <f t="shared" si="225"/>
        <v>0</v>
      </c>
      <c r="EG90" s="3236">
        <f t="shared" si="226"/>
        <v>0</v>
      </c>
      <c r="EH90" s="3236">
        <f t="shared" si="227"/>
        <v>1060266765</v>
      </c>
      <c r="EI90" s="3237"/>
      <c r="EM90" s="3235">
        <f t="shared" si="228"/>
        <v>1060266765</v>
      </c>
      <c r="EN90" s="3236">
        <f t="shared" si="229"/>
        <v>0</v>
      </c>
      <c r="EO90" s="3236">
        <f t="shared" si="230"/>
        <v>0</v>
      </c>
      <c r="EP90" s="3236">
        <f t="shared" si="231"/>
        <v>1060266765</v>
      </c>
      <c r="EQ90" s="3237"/>
      <c r="EU90" s="3235">
        <f t="shared" si="232"/>
        <v>1060266765</v>
      </c>
      <c r="EV90" s="3236">
        <f t="shared" si="233"/>
        <v>0</v>
      </c>
      <c r="EW90" s="3236">
        <f t="shared" si="234"/>
        <v>0</v>
      </c>
      <c r="EX90" s="3236">
        <f t="shared" si="235"/>
        <v>1060266765</v>
      </c>
      <c r="EY90" s="3237"/>
      <c r="FC90" s="3235">
        <f t="shared" si="236"/>
        <v>1060266765</v>
      </c>
      <c r="FD90" s="3236">
        <f t="shared" si="237"/>
        <v>0</v>
      </c>
      <c r="FE90" s="3236">
        <f t="shared" si="238"/>
        <v>0</v>
      </c>
      <c r="FF90" s="3236">
        <f t="shared" si="239"/>
        <v>1060266765</v>
      </c>
      <c r="FG90" s="3237"/>
      <c r="FK90" s="3235">
        <f t="shared" si="240"/>
        <v>1060266765</v>
      </c>
      <c r="FL90" s="3236">
        <f t="shared" si="241"/>
        <v>0</v>
      </c>
      <c r="FM90" s="3236">
        <f t="shared" si="242"/>
        <v>0</v>
      </c>
      <c r="FN90" s="3236">
        <f t="shared" si="243"/>
        <v>1060266765</v>
      </c>
      <c r="FO90" s="3237"/>
    </row>
    <row r="91" spans="1:171">
      <c r="A91" s="3277"/>
      <c r="B91" s="2097" t="s">
        <v>222</v>
      </c>
      <c r="C91" s="2464" t="s">
        <v>223</v>
      </c>
      <c r="D91" s="2464"/>
      <c r="E91" s="2424" t="str">
        <f>'Sch 1- Rate Base '!E91</f>
        <v>DIRECT</v>
      </c>
      <c r="F91" s="2171"/>
      <c r="G91" s="2424">
        <f>'Sch 1- Rate Base '!G91</f>
        <v>800158907.49414837</v>
      </c>
      <c r="H91" s="2424">
        <f>'Sch 1- Rate Base '!H91</f>
        <v>263365769.24809498</v>
      </c>
      <c r="I91" s="2424">
        <f>'Sch 1- Rate Base '!I91</f>
        <v>0</v>
      </c>
      <c r="J91" s="2425">
        <f>'Sch 1- Rate Base '!J91</f>
        <v>536793138.24605334</v>
      </c>
      <c r="K91" s="3205">
        <f t="shared" si="163"/>
        <v>0</v>
      </c>
      <c r="O91" s="3235">
        <f t="shared" si="164"/>
        <v>800158907.49414837</v>
      </c>
      <c r="P91" s="3236">
        <f t="shared" si="165"/>
        <v>263365769.24809498</v>
      </c>
      <c r="Q91" s="3236">
        <f t="shared" si="166"/>
        <v>0</v>
      </c>
      <c r="R91" s="3236">
        <f t="shared" si="167"/>
        <v>536793138.2460534</v>
      </c>
      <c r="S91" s="3237"/>
      <c r="W91" s="3235">
        <f t="shared" si="168"/>
        <v>800158907.49414837</v>
      </c>
      <c r="X91" s="3236">
        <f t="shared" si="169"/>
        <v>263365769.24809498</v>
      </c>
      <c r="Y91" s="3236">
        <f t="shared" si="170"/>
        <v>0</v>
      </c>
      <c r="Z91" s="3236">
        <f t="shared" si="171"/>
        <v>536793138.2460534</v>
      </c>
      <c r="AA91" s="3237"/>
      <c r="AE91" s="3235">
        <f t="shared" si="172"/>
        <v>800158907.49414837</v>
      </c>
      <c r="AF91" s="3236">
        <f t="shared" si="173"/>
        <v>263365769.24809498</v>
      </c>
      <c r="AG91" s="3236">
        <f t="shared" si="174"/>
        <v>0</v>
      </c>
      <c r="AH91" s="3236">
        <f t="shared" si="175"/>
        <v>536793138.2460534</v>
      </c>
      <c r="AI91" s="3237"/>
      <c r="AM91" s="3235">
        <f t="shared" si="176"/>
        <v>800158907.49414837</v>
      </c>
      <c r="AN91" s="3236">
        <f t="shared" si="177"/>
        <v>263365769.24809498</v>
      </c>
      <c r="AO91" s="3236">
        <f t="shared" si="178"/>
        <v>0</v>
      </c>
      <c r="AP91" s="3236">
        <f t="shared" si="179"/>
        <v>536793138.2460534</v>
      </c>
      <c r="AQ91" s="3237"/>
      <c r="AU91" s="3235">
        <f t="shared" si="180"/>
        <v>800158907.49414837</v>
      </c>
      <c r="AV91" s="3236">
        <f t="shared" si="181"/>
        <v>263365769.24809498</v>
      </c>
      <c r="AW91" s="3236">
        <f t="shared" si="182"/>
        <v>0</v>
      </c>
      <c r="AX91" s="3236">
        <f t="shared" si="183"/>
        <v>536793138.2460534</v>
      </c>
      <c r="AY91" s="3237"/>
      <c r="BC91" s="3235">
        <f t="shared" si="184"/>
        <v>800158907.49414837</v>
      </c>
      <c r="BD91" s="3236">
        <f t="shared" si="185"/>
        <v>263365769.24809498</v>
      </c>
      <c r="BE91" s="3236">
        <f t="shared" si="186"/>
        <v>0</v>
      </c>
      <c r="BF91" s="3236">
        <f t="shared" si="187"/>
        <v>536793138.2460534</v>
      </c>
      <c r="BG91" s="3237"/>
      <c r="BK91" s="3235">
        <f t="shared" si="188"/>
        <v>800158907.49414837</v>
      </c>
      <c r="BL91" s="3236">
        <f t="shared" si="189"/>
        <v>263365769.24809498</v>
      </c>
      <c r="BM91" s="3236">
        <f t="shared" si="190"/>
        <v>0</v>
      </c>
      <c r="BN91" s="3236">
        <f t="shared" si="191"/>
        <v>536793138.2460534</v>
      </c>
      <c r="BO91" s="3237"/>
      <c r="BS91" s="3235">
        <f t="shared" si="192"/>
        <v>800158907.49414837</v>
      </c>
      <c r="BT91" s="3236">
        <f t="shared" si="193"/>
        <v>263365769.24809498</v>
      </c>
      <c r="BU91" s="3236">
        <f t="shared" si="194"/>
        <v>0</v>
      </c>
      <c r="BV91" s="3236">
        <f t="shared" si="195"/>
        <v>536793138.2460534</v>
      </c>
      <c r="BW91" s="3237"/>
      <c r="CA91" s="3235">
        <f t="shared" si="196"/>
        <v>800158907.49414837</v>
      </c>
      <c r="CB91" s="3236">
        <f t="shared" si="197"/>
        <v>263365769.24809498</v>
      </c>
      <c r="CC91" s="3236">
        <f t="shared" si="198"/>
        <v>0</v>
      </c>
      <c r="CD91" s="3236">
        <f t="shared" si="199"/>
        <v>536793138.2460534</v>
      </c>
      <c r="CE91" s="3237"/>
      <c r="CI91" s="3235">
        <f t="shared" si="200"/>
        <v>800158907.49414837</v>
      </c>
      <c r="CJ91" s="3236">
        <f t="shared" si="201"/>
        <v>263365769.24809498</v>
      </c>
      <c r="CK91" s="3236">
        <f t="shared" si="202"/>
        <v>0</v>
      </c>
      <c r="CL91" s="3236">
        <f t="shared" si="203"/>
        <v>536793138.2460534</v>
      </c>
      <c r="CM91" s="3237"/>
      <c r="CQ91" s="3235">
        <f t="shared" si="204"/>
        <v>800158907.49414837</v>
      </c>
      <c r="CR91" s="3236">
        <f t="shared" si="205"/>
        <v>263365769.24809498</v>
      </c>
      <c r="CS91" s="3236">
        <f t="shared" si="206"/>
        <v>0</v>
      </c>
      <c r="CT91" s="3236">
        <f t="shared" si="207"/>
        <v>536793138.2460534</v>
      </c>
      <c r="CU91" s="3237"/>
      <c r="CY91" s="3235">
        <f t="shared" si="208"/>
        <v>800158907.49414837</v>
      </c>
      <c r="CZ91" s="3236">
        <f t="shared" si="209"/>
        <v>263365769.24809498</v>
      </c>
      <c r="DA91" s="3236">
        <f t="shared" si="210"/>
        <v>0</v>
      </c>
      <c r="DB91" s="3236">
        <f t="shared" si="211"/>
        <v>536793138.2460534</v>
      </c>
      <c r="DC91" s="3237"/>
      <c r="DG91" s="3235">
        <f t="shared" si="212"/>
        <v>800158907.49414837</v>
      </c>
      <c r="DH91" s="3236">
        <f t="shared" si="213"/>
        <v>263365769.24809498</v>
      </c>
      <c r="DI91" s="3236">
        <f t="shared" si="214"/>
        <v>0</v>
      </c>
      <c r="DJ91" s="3236">
        <f t="shared" si="215"/>
        <v>536793138.2460534</v>
      </c>
      <c r="DK91" s="3237"/>
      <c r="DO91" s="3235">
        <f t="shared" si="216"/>
        <v>800158907.49414837</v>
      </c>
      <c r="DP91" s="3236">
        <f t="shared" si="217"/>
        <v>263365769.24809498</v>
      </c>
      <c r="DQ91" s="3236">
        <f t="shared" si="218"/>
        <v>0</v>
      </c>
      <c r="DR91" s="3236">
        <f t="shared" si="219"/>
        <v>536793138.2460534</v>
      </c>
      <c r="DS91" s="3237"/>
      <c r="DW91" s="3235">
        <f t="shared" si="220"/>
        <v>800158907.49414837</v>
      </c>
      <c r="DX91" s="3236">
        <f t="shared" si="221"/>
        <v>263365769.24809498</v>
      </c>
      <c r="DY91" s="3236">
        <f t="shared" si="222"/>
        <v>0</v>
      </c>
      <c r="DZ91" s="3236">
        <f t="shared" si="223"/>
        <v>536793138.2460534</v>
      </c>
      <c r="EA91" s="3237"/>
      <c r="EE91" s="3235">
        <f t="shared" si="224"/>
        <v>800158907.49414837</v>
      </c>
      <c r="EF91" s="3236">
        <f t="shared" si="225"/>
        <v>263365769.24809498</v>
      </c>
      <c r="EG91" s="3236">
        <f t="shared" si="226"/>
        <v>0</v>
      </c>
      <c r="EH91" s="3236">
        <f t="shared" si="227"/>
        <v>536793138.2460534</v>
      </c>
      <c r="EI91" s="3237"/>
      <c r="EM91" s="3235">
        <f t="shared" si="228"/>
        <v>800158907.49414837</v>
      </c>
      <c r="EN91" s="3236">
        <f t="shared" si="229"/>
        <v>263365769.24809498</v>
      </c>
      <c r="EO91" s="3236">
        <f t="shared" si="230"/>
        <v>0</v>
      </c>
      <c r="EP91" s="3236">
        <f t="shared" si="231"/>
        <v>536793138.2460534</v>
      </c>
      <c r="EQ91" s="3237"/>
      <c r="EU91" s="3235">
        <f t="shared" si="232"/>
        <v>800158907.49414837</v>
      </c>
      <c r="EV91" s="3236">
        <f t="shared" si="233"/>
        <v>263365769.24809498</v>
      </c>
      <c r="EW91" s="3236">
        <f t="shared" si="234"/>
        <v>0</v>
      </c>
      <c r="EX91" s="3236">
        <f t="shared" si="235"/>
        <v>536793138.2460534</v>
      </c>
      <c r="EY91" s="3237"/>
      <c r="FC91" s="3235">
        <f t="shared" si="236"/>
        <v>800158907.49414837</v>
      </c>
      <c r="FD91" s="3236">
        <f t="shared" si="237"/>
        <v>263365769.24809498</v>
      </c>
      <c r="FE91" s="3236">
        <f t="shared" si="238"/>
        <v>0</v>
      </c>
      <c r="FF91" s="3236">
        <f t="shared" si="239"/>
        <v>536793138.2460534</v>
      </c>
      <c r="FG91" s="3237"/>
      <c r="FK91" s="3235">
        <f t="shared" si="240"/>
        <v>800158907.49414837</v>
      </c>
      <c r="FL91" s="3236">
        <f t="shared" si="241"/>
        <v>263365769.24809498</v>
      </c>
      <c r="FM91" s="3236">
        <f t="shared" si="242"/>
        <v>0</v>
      </c>
      <c r="FN91" s="3236">
        <f t="shared" si="243"/>
        <v>536793138.2460534</v>
      </c>
      <c r="FO91" s="3237"/>
    </row>
    <row r="92" spans="1:171">
      <c r="A92" s="3277"/>
      <c r="B92" s="2097" t="s">
        <v>71</v>
      </c>
      <c r="C92" s="2464" t="s">
        <v>69</v>
      </c>
      <c r="D92" s="2464">
        <v>114</v>
      </c>
      <c r="E92" s="2424" t="str">
        <f>'Sch 1- Rate Base '!E92</f>
        <v>DIRECT</v>
      </c>
      <c r="F92" s="2171"/>
      <c r="G92" s="2424">
        <f>'Sch 1- Rate Base '!G92</f>
        <v>282791675</v>
      </c>
      <c r="H92" s="2424">
        <f>'Sch 1- Rate Base '!H92</f>
        <v>281543144.61000001</v>
      </c>
      <c r="I92" s="2424">
        <f>'Sch 1- Rate Base '!I92</f>
        <v>0</v>
      </c>
      <c r="J92" s="2425">
        <f>'Sch 1- Rate Base '!J92</f>
        <v>1248530.26</v>
      </c>
      <c r="K92" s="3205">
        <f t="shared" si="163"/>
        <v>0</v>
      </c>
      <c r="O92" s="3235">
        <f t="shared" si="164"/>
        <v>282791675</v>
      </c>
      <c r="P92" s="3236">
        <f t="shared" si="165"/>
        <v>281543144.61000001</v>
      </c>
      <c r="Q92" s="3236">
        <f t="shared" si="166"/>
        <v>0</v>
      </c>
      <c r="R92" s="3236">
        <f t="shared" si="167"/>
        <v>1248530.3899999857</v>
      </c>
      <c r="S92" s="3237"/>
      <c r="W92" s="3235">
        <f t="shared" si="168"/>
        <v>282791675</v>
      </c>
      <c r="X92" s="3236">
        <f t="shared" si="169"/>
        <v>281543144.61000001</v>
      </c>
      <c r="Y92" s="3236">
        <f t="shared" si="170"/>
        <v>0</v>
      </c>
      <c r="Z92" s="3236">
        <f t="shared" si="171"/>
        <v>1248530.3899999857</v>
      </c>
      <c r="AA92" s="3237"/>
      <c r="AE92" s="3235">
        <f t="shared" si="172"/>
        <v>282791675</v>
      </c>
      <c r="AF92" s="3236">
        <f t="shared" si="173"/>
        <v>281543144.61000001</v>
      </c>
      <c r="AG92" s="3236">
        <f t="shared" si="174"/>
        <v>0</v>
      </c>
      <c r="AH92" s="3236">
        <f t="shared" si="175"/>
        <v>1248530.3899999857</v>
      </c>
      <c r="AI92" s="3237"/>
      <c r="AM92" s="3235">
        <f t="shared" si="176"/>
        <v>282791675</v>
      </c>
      <c r="AN92" s="3236">
        <f t="shared" si="177"/>
        <v>281543144.61000001</v>
      </c>
      <c r="AO92" s="3236">
        <f t="shared" si="178"/>
        <v>0</v>
      </c>
      <c r="AP92" s="3236">
        <f t="shared" si="179"/>
        <v>1248530.3899999857</v>
      </c>
      <c r="AQ92" s="3237"/>
      <c r="AU92" s="3235">
        <f t="shared" si="180"/>
        <v>282791675</v>
      </c>
      <c r="AV92" s="3236">
        <f t="shared" si="181"/>
        <v>281543144.61000001</v>
      </c>
      <c r="AW92" s="3236">
        <f t="shared" si="182"/>
        <v>0</v>
      </c>
      <c r="AX92" s="3236">
        <f t="shared" si="183"/>
        <v>1248530.3899999857</v>
      </c>
      <c r="AY92" s="3237"/>
      <c r="BC92" s="3235">
        <f t="shared" si="184"/>
        <v>282791675</v>
      </c>
      <c r="BD92" s="3236">
        <f t="shared" si="185"/>
        <v>281543144.61000001</v>
      </c>
      <c r="BE92" s="3236">
        <f t="shared" si="186"/>
        <v>0</v>
      </c>
      <c r="BF92" s="3236">
        <f t="shared" si="187"/>
        <v>1248530.3899999857</v>
      </c>
      <c r="BG92" s="3237"/>
      <c r="BK92" s="3235">
        <f t="shared" si="188"/>
        <v>282791675</v>
      </c>
      <c r="BL92" s="3236">
        <f t="shared" si="189"/>
        <v>281543144.61000001</v>
      </c>
      <c r="BM92" s="3236">
        <f t="shared" si="190"/>
        <v>0</v>
      </c>
      <c r="BN92" s="3236">
        <f t="shared" si="191"/>
        <v>1248530.3899999857</v>
      </c>
      <c r="BO92" s="3237"/>
      <c r="BS92" s="3235">
        <f t="shared" si="192"/>
        <v>282791675</v>
      </c>
      <c r="BT92" s="3236">
        <f t="shared" si="193"/>
        <v>281543144.61000001</v>
      </c>
      <c r="BU92" s="3236">
        <f t="shared" si="194"/>
        <v>0</v>
      </c>
      <c r="BV92" s="3236">
        <f t="shared" si="195"/>
        <v>1248530.3899999857</v>
      </c>
      <c r="BW92" s="3237"/>
      <c r="CA92" s="3235">
        <f t="shared" si="196"/>
        <v>282791675</v>
      </c>
      <c r="CB92" s="3236">
        <f t="shared" si="197"/>
        <v>281543144.61000001</v>
      </c>
      <c r="CC92" s="3236">
        <f t="shared" si="198"/>
        <v>0</v>
      </c>
      <c r="CD92" s="3236">
        <f t="shared" si="199"/>
        <v>1248530.3899999857</v>
      </c>
      <c r="CE92" s="3237"/>
      <c r="CI92" s="3235">
        <f t="shared" si="200"/>
        <v>282791675</v>
      </c>
      <c r="CJ92" s="3236">
        <f t="shared" si="201"/>
        <v>281543144.61000001</v>
      </c>
      <c r="CK92" s="3236">
        <f t="shared" si="202"/>
        <v>0</v>
      </c>
      <c r="CL92" s="3236">
        <f t="shared" si="203"/>
        <v>1248530.3899999857</v>
      </c>
      <c r="CM92" s="3237"/>
      <c r="CQ92" s="3235">
        <f t="shared" si="204"/>
        <v>282791675</v>
      </c>
      <c r="CR92" s="3236">
        <f t="shared" si="205"/>
        <v>281543144.61000001</v>
      </c>
      <c r="CS92" s="3236">
        <f t="shared" si="206"/>
        <v>0</v>
      </c>
      <c r="CT92" s="3236">
        <f t="shared" si="207"/>
        <v>1248530.3899999857</v>
      </c>
      <c r="CU92" s="3237"/>
      <c r="CY92" s="3235">
        <f t="shared" si="208"/>
        <v>282791675</v>
      </c>
      <c r="CZ92" s="3236">
        <f t="shared" si="209"/>
        <v>281543144.61000001</v>
      </c>
      <c r="DA92" s="3236">
        <f t="shared" si="210"/>
        <v>0</v>
      </c>
      <c r="DB92" s="3236">
        <f t="shared" si="211"/>
        <v>1248530.3899999857</v>
      </c>
      <c r="DC92" s="3237"/>
      <c r="DG92" s="3235">
        <f t="shared" si="212"/>
        <v>282791675</v>
      </c>
      <c r="DH92" s="3236">
        <f t="shared" si="213"/>
        <v>281543144.61000001</v>
      </c>
      <c r="DI92" s="3236">
        <f t="shared" si="214"/>
        <v>0</v>
      </c>
      <c r="DJ92" s="3236">
        <f t="shared" si="215"/>
        <v>1248530.3899999857</v>
      </c>
      <c r="DK92" s="3237"/>
      <c r="DO92" s="3235">
        <f t="shared" si="216"/>
        <v>282791675</v>
      </c>
      <c r="DP92" s="3236">
        <f t="shared" si="217"/>
        <v>281543144.61000001</v>
      </c>
      <c r="DQ92" s="3236">
        <f t="shared" si="218"/>
        <v>0</v>
      </c>
      <c r="DR92" s="3236">
        <f t="shared" si="219"/>
        <v>1248530.3899999857</v>
      </c>
      <c r="DS92" s="3237"/>
      <c r="DW92" s="3235">
        <f t="shared" si="220"/>
        <v>282791675</v>
      </c>
      <c r="DX92" s="3236">
        <f t="shared" si="221"/>
        <v>281543144.61000001</v>
      </c>
      <c r="DY92" s="3236">
        <f t="shared" si="222"/>
        <v>0</v>
      </c>
      <c r="DZ92" s="3236">
        <f t="shared" si="223"/>
        <v>1248530.3899999857</v>
      </c>
      <c r="EA92" s="3237"/>
      <c r="EE92" s="3235">
        <f t="shared" si="224"/>
        <v>282791675</v>
      </c>
      <c r="EF92" s="3236">
        <f t="shared" si="225"/>
        <v>281543144.61000001</v>
      </c>
      <c r="EG92" s="3236">
        <f t="shared" si="226"/>
        <v>0</v>
      </c>
      <c r="EH92" s="3236">
        <f t="shared" si="227"/>
        <v>1248530.3899999857</v>
      </c>
      <c r="EI92" s="3237"/>
      <c r="EM92" s="3235">
        <f t="shared" si="228"/>
        <v>282791675</v>
      </c>
      <c r="EN92" s="3236">
        <f t="shared" si="229"/>
        <v>281543144.61000001</v>
      </c>
      <c r="EO92" s="3236">
        <f t="shared" si="230"/>
        <v>0</v>
      </c>
      <c r="EP92" s="3236">
        <f t="shared" si="231"/>
        <v>1248530.3899999857</v>
      </c>
      <c r="EQ92" s="3237"/>
      <c r="EU92" s="3235">
        <f t="shared" si="232"/>
        <v>282791675</v>
      </c>
      <c r="EV92" s="3236">
        <f t="shared" si="233"/>
        <v>281543144.61000001</v>
      </c>
      <c r="EW92" s="3236">
        <f t="shared" si="234"/>
        <v>0</v>
      </c>
      <c r="EX92" s="3236">
        <f t="shared" si="235"/>
        <v>1248530.3899999857</v>
      </c>
      <c r="EY92" s="3237"/>
      <c r="FC92" s="3235">
        <f t="shared" si="236"/>
        <v>282791675</v>
      </c>
      <c r="FD92" s="3236">
        <f t="shared" si="237"/>
        <v>281543144.61000001</v>
      </c>
      <c r="FE92" s="3236">
        <f t="shared" si="238"/>
        <v>0</v>
      </c>
      <c r="FF92" s="3236">
        <f t="shared" si="239"/>
        <v>1248530.3899999857</v>
      </c>
      <c r="FG92" s="3237"/>
      <c r="FK92" s="3235">
        <f t="shared" si="240"/>
        <v>282791675</v>
      </c>
      <c r="FL92" s="3236">
        <f t="shared" si="241"/>
        <v>281543144.61000001</v>
      </c>
      <c r="FM92" s="3236">
        <f t="shared" si="242"/>
        <v>0</v>
      </c>
      <c r="FN92" s="3236">
        <f t="shared" si="243"/>
        <v>1248530.3899999857</v>
      </c>
      <c r="FO92" s="3237"/>
    </row>
    <row r="93" spans="1:171">
      <c r="A93" s="3277"/>
      <c r="B93" s="3206" t="s">
        <v>104</v>
      </c>
      <c r="C93" s="3256"/>
      <c r="D93" s="3257"/>
      <c r="E93" s="3257"/>
      <c r="F93" s="3258"/>
      <c r="G93" s="3265">
        <f>SUM(G87:G92)</f>
        <v>2192532348.4941483</v>
      </c>
      <c r="H93" s="3265">
        <f>SUM(H87:H92)</f>
        <v>544908913.85809493</v>
      </c>
      <c r="I93" s="3265">
        <f>SUM(I87:I92)</f>
        <v>0</v>
      </c>
      <c r="J93" s="3266">
        <f>SUM(J87:J92)</f>
        <v>1647623434.5060532</v>
      </c>
      <c r="K93" s="3205"/>
      <c r="O93" s="3272">
        <f>SUM(O87:O92)</f>
        <v>2192532348.4941483</v>
      </c>
      <c r="P93" s="3272">
        <f>SUM(P87:P92)</f>
        <v>544908913.85809493</v>
      </c>
      <c r="Q93" s="3272">
        <f>SUM(Q87:Q92)</f>
        <v>0</v>
      </c>
      <c r="R93" s="3272">
        <f>SUM(R87:R92)</f>
        <v>1647623434.6360536</v>
      </c>
      <c r="S93" s="3237"/>
      <c r="W93" s="3272">
        <f>SUM(W87:W92)</f>
        <v>2192532348.4941483</v>
      </c>
      <c r="X93" s="3272">
        <f>SUM(X87:X92)</f>
        <v>544908913.85809493</v>
      </c>
      <c r="Y93" s="3272">
        <f>SUM(Y87:Y92)</f>
        <v>0</v>
      </c>
      <c r="Z93" s="3272">
        <f>SUM(Z87:Z92)</f>
        <v>1647623434.6360536</v>
      </c>
      <c r="AA93" s="3237"/>
      <c r="AE93" s="3272">
        <f>SUM(AE87:AE92)</f>
        <v>2192532348.4941483</v>
      </c>
      <c r="AF93" s="3272">
        <f>SUM(AF87:AF92)</f>
        <v>544908913.85809493</v>
      </c>
      <c r="AG93" s="3272">
        <f>SUM(AG87:AG92)</f>
        <v>0</v>
      </c>
      <c r="AH93" s="3272">
        <f>SUM(AH87:AH92)</f>
        <v>1647623434.6360536</v>
      </c>
      <c r="AI93" s="3237"/>
      <c r="AM93" s="3272">
        <f>SUM(AM87:AM92)</f>
        <v>2192532348.4941483</v>
      </c>
      <c r="AN93" s="3272">
        <f>SUM(AN87:AN92)</f>
        <v>544908913.85809493</v>
      </c>
      <c r="AO93" s="3272">
        <f>SUM(AO87:AO92)</f>
        <v>0</v>
      </c>
      <c r="AP93" s="3272">
        <f>SUM(AP87:AP92)</f>
        <v>1647623434.6360536</v>
      </c>
      <c r="AQ93" s="3237"/>
      <c r="AU93" s="3272">
        <f>SUM(AU87:AU92)</f>
        <v>2192532348.4941483</v>
      </c>
      <c r="AV93" s="3272">
        <f>SUM(AV87:AV92)</f>
        <v>544908913.85809493</v>
      </c>
      <c r="AW93" s="3272">
        <f>SUM(AW87:AW92)</f>
        <v>0</v>
      </c>
      <c r="AX93" s="3272">
        <f>SUM(AX87:AX92)</f>
        <v>1647623434.6360536</v>
      </c>
      <c r="AY93" s="3237"/>
      <c r="BC93" s="3272">
        <f>SUM(BC87:BC92)</f>
        <v>2192532348.4941483</v>
      </c>
      <c r="BD93" s="3272">
        <f>SUM(BD87:BD92)</f>
        <v>544908913.85809493</v>
      </c>
      <c r="BE93" s="3272">
        <f>SUM(BE87:BE92)</f>
        <v>0</v>
      </c>
      <c r="BF93" s="3272">
        <f>SUM(BF87:BF92)</f>
        <v>1647623434.6360536</v>
      </c>
      <c r="BG93" s="3237"/>
      <c r="BK93" s="3272">
        <f>SUM(BK87:BK92)</f>
        <v>2192532348.4941483</v>
      </c>
      <c r="BL93" s="3272">
        <f>SUM(BL87:BL92)</f>
        <v>544908913.85809493</v>
      </c>
      <c r="BM93" s="3272">
        <f>SUM(BM87:BM92)</f>
        <v>0</v>
      </c>
      <c r="BN93" s="3272">
        <f>SUM(BN87:BN92)</f>
        <v>1647623434.6360536</v>
      </c>
      <c r="BO93" s="3237"/>
      <c r="BS93" s="3272">
        <f>SUM(BS87:BS92)</f>
        <v>2192532348.4941483</v>
      </c>
      <c r="BT93" s="3272">
        <f>SUM(BT87:BT92)</f>
        <v>544908913.85809493</v>
      </c>
      <c r="BU93" s="3272">
        <f>SUM(BU87:BU92)</f>
        <v>0</v>
      </c>
      <c r="BV93" s="3272">
        <f>SUM(BV87:BV92)</f>
        <v>1647623434.6360536</v>
      </c>
      <c r="BW93" s="3237"/>
      <c r="CA93" s="3272">
        <f>SUM(CA87:CA92)</f>
        <v>2192532348.4941483</v>
      </c>
      <c r="CB93" s="3272">
        <f>SUM(CB87:CB92)</f>
        <v>544908913.85809493</v>
      </c>
      <c r="CC93" s="3272">
        <f>SUM(CC87:CC92)</f>
        <v>0</v>
      </c>
      <c r="CD93" s="3272">
        <f>SUM(CD87:CD92)</f>
        <v>1647623434.6360536</v>
      </c>
      <c r="CE93" s="3237"/>
      <c r="CI93" s="3272">
        <f>SUM(CI87:CI92)</f>
        <v>2192532348.4941483</v>
      </c>
      <c r="CJ93" s="3272">
        <f>SUM(CJ87:CJ92)</f>
        <v>544908913.85809493</v>
      </c>
      <c r="CK93" s="3272">
        <f>SUM(CK87:CK92)</f>
        <v>0</v>
      </c>
      <c r="CL93" s="3272">
        <f>SUM(CL87:CL92)</f>
        <v>1647623434.6360536</v>
      </c>
      <c r="CM93" s="3237"/>
      <c r="CQ93" s="3272">
        <f>SUM(CQ87:CQ92)</f>
        <v>2192532348.4941483</v>
      </c>
      <c r="CR93" s="3272">
        <f>SUM(CR87:CR92)</f>
        <v>544908913.85809493</v>
      </c>
      <c r="CS93" s="3272">
        <f>SUM(CS87:CS92)</f>
        <v>0</v>
      </c>
      <c r="CT93" s="3272">
        <f>SUM(CT87:CT92)</f>
        <v>1647623434.6360536</v>
      </c>
      <c r="CU93" s="3237"/>
      <c r="CY93" s="3272">
        <f>SUM(CY87:CY92)</f>
        <v>2192532348.4941483</v>
      </c>
      <c r="CZ93" s="3272">
        <f>SUM(CZ87:CZ92)</f>
        <v>544908913.85809493</v>
      </c>
      <c r="DA93" s="3272">
        <f>SUM(DA87:DA92)</f>
        <v>0</v>
      </c>
      <c r="DB93" s="3272">
        <f>SUM(DB87:DB92)</f>
        <v>1647623434.6360536</v>
      </c>
      <c r="DC93" s="3237"/>
      <c r="DG93" s="3272">
        <f>SUM(DG87:DG92)</f>
        <v>2192532348.4941483</v>
      </c>
      <c r="DH93" s="3272">
        <f>SUM(DH87:DH92)</f>
        <v>544908913.85809493</v>
      </c>
      <c r="DI93" s="3272">
        <f>SUM(DI87:DI92)</f>
        <v>0</v>
      </c>
      <c r="DJ93" s="3272">
        <f>SUM(DJ87:DJ92)</f>
        <v>1647623434.6360536</v>
      </c>
      <c r="DK93" s="3237"/>
      <c r="DO93" s="3272">
        <f>SUM(DO87:DO92)</f>
        <v>2192532348.4941483</v>
      </c>
      <c r="DP93" s="3272">
        <f>SUM(DP87:DP92)</f>
        <v>544908913.85809493</v>
      </c>
      <c r="DQ93" s="3272">
        <f>SUM(DQ87:DQ92)</f>
        <v>0</v>
      </c>
      <c r="DR93" s="3272">
        <f>SUM(DR87:DR92)</f>
        <v>1647623434.6360536</v>
      </c>
      <c r="DS93" s="3237"/>
      <c r="DW93" s="3272">
        <f>SUM(DW87:DW92)</f>
        <v>2192532348.4941483</v>
      </c>
      <c r="DX93" s="3272">
        <f>SUM(DX87:DX92)</f>
        <v>544908913.85809493</v>
      </c>
      <c r="DY93" s="3272">
        <f>SUM(DY87:DY92)</f>
        <v>0</v>
      </c>
      <c r="DZ93" s="3272">
        <f>SUM(DZ87:DZ92)</f>
        <v>1647623434.6360536</v>
      </c>
      <c r="EA93" s="3237"/>
      <c r="EE93" s="3272">
        <f>SUM(EE87:EE92)</f>
        <v>2192532348.4941483</v>
      </c>
      <c r="EF93" s="3272">
        <f>SUM(EF87:EF92)</f>
        <v>544908913.85809493</v>
      </c>
      <c r="EG93" s="3272">
        <f>SUM(EG87:EG92)</f>
        <v>0</v>
      </c>
      <c r="EH93" s="3272">
        <f>SUM(EH87:EH92)</f>
        <v>1647623434.6360536</v>
      </c>
      <c r="EI93" s="3237"/>
      <c r="EM93" s="3272">
        <f>SUM(EM87:EM92)</f>
        <v>2192532348.4941483</v>
      </c>
      <c r="EN93" s="3272">
        <f>SUM(EN87:EN92)</f>
        <v>544908913.85809493</v>
      </c>
      <c r="EO93" s="3272">
        <f>SUM(EO87:EO92)</f>
        <v>0</v>
      </c>
      <c r="EP93" s="3272">
        <f>SUM(EP87:EP92)</f>
        <v>1647623434.6360536</v>
      </c>
      <c r="EQ93" s="3237"/>
      <c r="EU93" s="3272">
        <f>SUM(EU87:EU92)</f>
        <v>2192532348.4941483</v>
      </c>
      <c r="EV93" s="3272">
        <f>SUM(EV87:EV92)</f>
        <v>544908913.85809493</v>
      </c>
      <c r="EW93" s="3272">
        <f>SUM(EW87:EW92)</f>
        <v>0</v>
      </c>
      <c r="EX93" s="3272">
        <f>SUM(EX87:EX92)</f>
        <v>1647623434.6360536</v>
      </c>
      <c r="EY93" s="3237"/>
      <c r="FC93" s="3272">
        <f>SUM(FC87:FC92)</f>
        <v>2192532348.4941483</v>
      </c>
      <c r="FD93" s="3272">
        <f>SUM(FD87:FD92)</f>
        <v>544908913.85809493</v>
      </c>
      <c r="FE93" s="3272">
        <f>SUM(FE87:FE92)</f>
        <v>0</v>
      </c>
      <c r="FF93" s="3272">
        <f>SUM(FF87:FF92)</f>
        <v>1647623434.6360536</v>
      </c>
      <c r="FG93" s="3237"/>
      <c r="FK93" s="3272">
        <f>SUM(FK87:FK92)</f>
        <v>2192532348.4941483</v>
      </c>
      <c r="FL93" s="3272">
        <f>SUM(FL87:FL92)</f>
        <v>544908913.85809493</v>
      </c>
      <c r="FM93" s="3272">
        <f>SUM(FM87:FM92)</f>
        <v>0</v>
      </c>
      <c r="FN93" s="3272">
        <f>SUM(FN87:FN92)</f>
        <v>1647623434.6360536</v>
      </c>
      <c r="FO93" s="3237"/>
    </row>
    <row r="94" spans="1:171">
      <c r="A94" s="3277"/>
      <c r="B94" s="3206"/>
      <c r="C94" s="3278"/>
      <c r="D94" s="2687"/>
      <c r="E94" s="2098"/>
      <c r="F94" s="2098"/>
      <c r="J94" s="2340"/>
      <c r="K94" s="3205"/>
      <c r="S94" s="3237"/>
      <c r="AA94" s="3237"/>
      <c r="AI94" s="3237"/>
      <c r="AQ94" s="3237"/>
      <c r="AY94" s="3237"/>
      <c r="BG94" s="3237"/>
      <c r="BO94" s="3237"/>
      <c r="BW94" s="3237"/>
      <c r="CE94" s="3237"/>
      <c r="CM94" s="3237"/>
      <c r="CU94" s="3237"/>
      <c r="DC94" s="3237"/>
      <c r="DK94" s="3237"/>
      <c r="DS94" s="3237"/>
      <c r="EA94" s="3237"/>
      <c r="EI94" s="3237"/>
      <c r="EQ94" s="3237"/>
      <c r="EY94" s="3237"/>
      <c r="FG94" s="3237"/>
      <c r="FO94" s="3237"/>
    </row>
    <row r="95" spans="1:171">
      <c r="A95" s="3279" t="s">
        <v>273</v>
      </c>
      <c r="B95" s="2290"/>
      <c r="C95" s="2112"/>
      <c r="D95" s="2098"/>
      <c r="E95" s="2098"/>
      <c r="F95" s="2098"/>
      <c r="G95" s="2236"/>
      <c r="H95" s="2236"/>
      <c r="I95" s="2236"/>
      <c r="J95" s="3280"/>
      <c r="K95" s="3205"/>
      <c r="O95" s="2747"/>
      <c r="S95" s="3237"/>
      <c r="W95" s="2747"/>
      <c r="AA95" s="3237"/>
      <c r="AE95" s="2747"/>
      <c r="AI95" s="3237"/>
      <c r="AM95" s="2747"/>
      <c r="AQ95" s="3237"/>
      <c r="AU95" s="2747"/>
      <c r="AY95" s="3237"/>
      <c r="BC95" s="2747"/>
      <c r="BG95" s="3237"/>
      <c r="BK95" s="2747"/>
      <c r="BO95" s="3237"/>
      <c r="BS95" s="2747"/>
      <c r="BW95" s="3237"/>
      <c r="CA95" s="2747"/>
      <c r="CE95" s="3237"/>
      <c r="CI95" s="2747"/>
      <c r="CM95" s="3237"/>
      <c r="CQ95" s="2747"/>
      <c r="CU95" s="3237"/>
      <c r="CY95" s="2747"/>
      <c r="DC95" s="3237"/>
      <c r="DG95" s="2747"/>
      <c r="DK95" s="3237"/>
      <c r="DO95" s="2747"/>
      <c r="DS95" s="3237"/>
      <c r="DW95" s="2747"/>
      <c r="EA95" s="3237"/>
      <c r="EE95" s="2747"/>
      <c r="EI95" s="3237"/>
      <c r="EM95" s="2747"/>
      <c r="EQ95" s="3237"/>
      <c r="EU95" s="2747"/>
      <c r="EY95" s="3237"/>
      <c r="FC95" s="2747"/>
      <c r="FG95" s="3237"/>
      <c r="FK95" s="2747"/>
      <c r="FO95" s="3237"/>
    </row>
    <row r="96" spans="1:171">
      <c r="A96" s="2442"/>
      <c r="B96" s="2185" t="s">
        <v>443</v>
      </c>
      <c r="C96" s="2464" t="s">
        <v>78</v>
      </c>
      <c r="D96" s="2464">
        <v>123</v>
      </c>
      <c r="E96" s="2424" t="str">
        <f>'Sch 1- Rate Base '!E96</f>
        <v>DIRECT</v>
      </c>
      <c r="F96" s="2171"/>
      <c r="G96" s="2424">
        <f>'Sch 1- Rate Base '!G96</f>
        <v>0</v>
      </c>
      <c r="H96" s="2424">
        <f>'Sch 1- Rate Base '!H96</f>
        <v>0</v>
      </c>
      <c r="I96" s="2424">
        <f>'Sch 1- Rate Base '!I96</f>
        <v>0</v>
      </c>
      <c r="J96" s="2425">
        <f>'Sch 1- Rate Base '!J96</f>
        <v>0</v>
      </c>
      <c r="K96" s="3205">
        <f>IF($E96="DIRECT",0,1)</f>
        <v>0</v>
      </c>
      <c r="O96" s="3235">
        <f>$G96</f>
        <v>0</v>
      </c>
      <c r="P96" s="3236">
        <f>VLOOKUP($E96,O$442:R$453,2,FALSE)*O96*($K96)+IF($G96&gt;0,($H96/$G96)*O96,0)*(1-$K96)</f>
        <v>0</v>
      </c>
      <c r="Q96" s="3236">
        <f>VLOOKUP($E96,O$442:R$453,3,FALSE)*O96*($K96)+IF($G96&gt;0,($I96/$G96)*O96,0)*(1-$K96)</f>
        <v>0</v>
      </c>
      <c r="R96" s="3236">
        <f>VLOOKUP($E96,O$442:R$453,4,FALSE)*O96*($K96)+(O96-P96-Q96)*(1-$K96)</f>
        <v>0</v>
      </c>
      <c r="S96" s="3237"/>
      <c r="W96" s="3235">
        <f>$G96</f>
        <v>0</v>
      </c>
      <c r="X96" s="3236">
        <f>VLOOKUP($E96,W$442:Z$453,2,FALSE)*W96*($K96)+IF($G96&gt;0,($H96/$G96)*W96,0)*(1-$K96)</f>
        <v>0</v>
      </c>
      <c r="Y96" s="3236">
        <f>VLOOKUP($E96,W$442:Z$453,3,FALSE)*W96*($K96)+IF($G96&gt;0,($I96/$G96)*W96,0)*(1-$K96)</f>
        <v>0</v>
      </c>
      <c r="Z96" s="3236">
        <f>VLOOKUP($E96,W$442:Z$453,4,FALSE)*W96*($K96)+(W96-X96-Y96)*(1-$K96)</f>
        <v>0</v>
      </c>
      <c r="AA96" s="3237"/>
      <c r="AE96" s="3235">
        <f>$G96</f>
        <v>0</v>
      </c>
      <c r="AF96" s="3236">
        <f>VLOOKUP($E96,AE$442:AH$453,2,FALSE)*AE96*($K96)+IF($G96&gt;0,($H96/$G96)*AE96,0)*(1-$K96)</f>
        <v>0</v>
      </c>
      <c r="AG96" s="3236">
        <f>VLOOKUP($E96,AE$442:AH$453,3,FALSE)*AE96*($K96)+IF($G96&gt;0,($I96/$G96)*AE96,0)*(1-$K96)</f>
        <v>0</v>
      </c>
      <c r="AH96" s="3236">
        <f>VLOOKUP($E96,AE$442:AH$453,4,FALSE)*AE96*($K96)+(AE96-AF96-AG96)*(1-$K96)</f>
        <v>0</v>
      </c>
      <c r="AI96" s="3237"/>
      <c r="AM96" s="3235">
        <f>$G96</f>
        <v>0</v>
      </c>
      <c r="AN96" s="3236">
        <f>VLOOKUP($E96,AM$442:AP$453,2,FALSE)*AM96*($K96)+IF($G96&gt;0,($H96/$G96)*AM96,0)*(1-$K96)</f>
        <v>0</v>
      </c>
      <c r="AO96" s="3236">
        <f>VLOOKUP($E96,AM$442:AP$453,3,FALSE)*AM96*($K96)+IF($G96&gt;0,($I96/$G96)*AM96,0)*(1-$K96)</f>
        <v>0</v>
      </c>
      <c r="AP96" s="3236">
        <f>VLOOKUP($E96,AM$442:AP$453,4,FALSE)*AM96*($K96)+(AM96-AN96-AO96)*(1-$K96)</f>
        <v>0</v>
      </c>
      <c r="AQ96" s="3237"/>
      <c r="AU96" s="3235">
        <f>$G96</f>
        <v>0</v>
      </c>
      <c r="AV96" s="3236">
        <f>VLOOKUP($E96,AU$442:AX$453,2,FALSE)*AU96*($K96)+IF($G96&gt;0,($H96/$G96)*AU96,0)*(1-$K96)</f>
        <v>0</v>
      </c>
      <c r="AW96" s="3236">
        <f>VLOOKUP($E96,AU$442:AX$453,3,FALSE)*AU96*($K96)+IF($G96&gt;0,($I96/$G96)*AU96,0)*(1-$K96)</f>
        <v>0</v>
      </c>
      <c r="AX96" s="3236">
        <f>VLOOKUP($E96,AU$442:AX$453,4,FALSE)*AU96*($K96)+(AU96-AV96-AW96)*(1-$K96)</f>
        <v>0</v>
      </c>
      <c r="AY96" s="3237"/>
      <c r="BC96" s="3235">
        <f>$G96</f>
        <v>0</v>
      </c>
      <c r="BD96" s="3236">
        <f>VLOOKUP($E96,BC$442:BF$453,2,FALSE)*BC96*($K96)+IF($G96&gt;0,($H96/$G96)*BC96,0)*(1-$K96)</f>
        <v>0</v>
      </c>
      <c r="BE96" s="3236">
        <f>VLOOKUP($E96,BC$442:BF$453,3,FALSE)*BC96*($K96)+IF($G96&gt;0,($I96/$G96)*BC96,0)*(1-$K96)</f>
        <v>0</v>
      </c>
      <c r="BF96" s="3236">
        <f>VLOOKUP($E96,BC$442:BF$453,4,FALSE)*BC96*($K96)+(BC96-BD96-BE96)*(1-$K96)</f>
        <v>0</v>
      </c>
      <c r="BG96" s="3237"/>
      <c r="BK96" s="3235">
        <f>$G96</f>
        <v>0</v>
      </c>
      <c r="BL96" s="3236">
        <f>VLOOKUP($E96,BK$442:BN$453,2,FALSE)*BK96*($K96)+IF($G96&gt;0,($H96/$G96)*BK96,0)*(1-$K96)</f>
        <v>0</v>
      </c>
      <c r="BM96" s="3236">
        <f>VLOOKUP($E96,BK$442:BN$453,3,FALSE)*BK96*($K96)+IF($G96&gt;0,($I96/$G96)*BK96,0)*(1-$K96)</f>
        <v>0</v>
      </c>
      <c r="BN96" s="3236">
        <f>VLOOKUP($E96,BK$442:BN$453,4,FALSE)*BK96*($K96)+(BK96-BL96-BM96)*(1-$K96)</f>
        <v>0</v>
      </c>
      <c r="BO96" s="3237"/>
      <c r="BS96" s="3235">
        <f>$G96</f>
        <v>0</v>
      </c>
      <c r="BT96" s="3236">
        <f>VLOOKUP($E96,BS$442:BV$453,2,FALSE)*BS96*($K96)+IF($G96&gt;0,($H96/$G96)*BS96,0)*(1-$K96)</f>
        <v>0</v>
      </c>
      <c r="BU96" s="3236">
        <f>VLOOKUP($E96,BS$442:BV$453,3,FALSE)*BS96*($K96)+IF($G96&gt;0,($I96/$G96)*BS96,0)*(1-$K96)</f>
        <v>0</v>
      </c>
      <c r="BV96" s="3236">
        <f>VLOOKUP($E96,BS$442:BV$453,4,FALSE)*BS96*($K96)+(BS96-BT96-BU96)*(1-$K96)</f>
        <v>0</v>
      </c>
      <c r="BW96" s="3237"/>
      <c r="CA96" s="3235">
        <f>$G96</f>
        <v>0</v>
      </c>
      <c r="CB96" s="3236">
        <f>VLOOKUP($E96,CA$442:CD$453,2,FALSE)*CA96*($K96)+IF($G96&gt;0,($H96/$G96)*CA96,0)*(1-$K96)</f>
        <v>0</v>
      </c>
      <c r="CC96" s="3236">
        <f>VLOOKUP($E96,CA$442:CD$453,3,FALSE)*CA96*($K96)+IF($G96&gt;0,($I96/$G96)*CA96,0)*(1-$K96)</f>
        <v>0</v>
      </c>
      <c r="CD96" s="3236">
        <f>VLOOKUP($E96,CA$442:CD$453,4,FALSE)*CA96*($K96)+(CA96-CB96-CC96)*(1-$K96)</f>
        <v>0</v>
      </c>
      <c r="CE96" s="3237"/>
      <c r="CI96" s="3235">
        <f>$G96</f>
        <v>0</v>
      </c>
      <c r="CJ96" s="3236">
        <f>VLOOKUP($E96,CI$442:CL$453,2,FALSE)*CI96*($K96)+IF($G96&gt;0,($H96/$G96)*CI96,0)*(1-$K96)</f>
        <v>0</v>
      </c>
      <c r="CK96" s="3236">
        <f>VLOOKUP($E96,CI$442:CL$453,3,FALSE)*CI96*($K96)+IF($G96&gt;0,($I96/$G96)*CI96,0)*(1-$K96)</f>
        <v>0</v>
      </c>
      <c r="CL96" s="3236">
        <f>VLOOKUP($E96,CI$442:CL$453,4,FALSE)*CI96*($K96)+(CI96-CJ96-CK96)*(1-$K96)</f>
        <v>0</v>
      </c>
      <c r="CM96" s="3237"/>
      <c r="CQ96" s="3235">
        <f>$G96</f>
        <v>0</v>
      </c>
      <c r="CR96" s="3236">
        <f>VLOOKUP($E96,CQ$442:CT$453,2,FALSE)*CQ96*($K96)+IF($G96&gt;0,($H96/$G96)*CQ96,0)*(1-$K96)</f>
        <v>0</v>
      </c>
      <c r="CS96" s="3236">
        <f>VLOOKUP($E96,CQ$442:CT$453,3,FALSE)*CQ96*($K96)+IF($G96&gt;0,($I96/$G96)*CQ96,0)*(1-$K96)</f>
        <v>0</v>
      </c>
      <c r="CT96" s="3236">
        <f>VLOOKUP($E96,CQ$442:CT$453,4,FALSE)*CQ96*($K96)+(CQ96-CR96-CS96)*(1-$K96)</f>
        <v>0</v>
      </c>
      <c r="CU96" s="3237"/>
      <c r="CY96" s="3235">
        <f>$G96</f>
        <v>0</v>
      </c>
      <c r="CZ96" s="3236">
        <f>VLOOKUP($E96,CY$442:DB$453,2,FALSE)*CY96*($K96)+IF($G96&gt;0,($H96/$G96)*CY96,0)*(1-$K96)</f>
        <v>0</v>
      </c>
      <c r="DA96" s="3236">
        <f>VLOOKUP($E96,CY$442:DB$453,3,FALSE)*CY96*($K96)+IF($G96&gt;0,($I96/$G96)*CY96,0)*(1-$K96)</f>
        <v>0</v>
      </c>
      <c r="DB96" s="3236">
        <f>VLOOKUP($E96,CY$442:DB$453,4,FALSE)*CY96*($K96)+(CY96-CZ96-DA96)*(1-$K96)</f>
        <v>0</v>
      </c>
      <c r="DC96" s="3237"/>
      <c r="DG96" s="3235">
        <f>$G96</f>
        <v>0</v>
      </c>
      <c r="DH96" s="3236">
        <f>VLOOKUP($E96,DG$442:DJ$453,2,FALSE)*DG96*($K96)+IF($G96&gt;0,($H96/$G96)*DG96,0)*(1-$K96)</f>
        <v>0</v>
      </c>
      <c r="DI96" s="3236">
        <f>VLOOKUP($E96,DG$442:DJ$453,3,FALSE)*DG96*($K96)+IF($G96&gt;0,($I96/$G96)*DG96,0)*(1-$K96)</f>
        <v>0</v>
      </c>
      <c r="DJ96" s="3236">
        <f>VLOOKUP($E96,DG$442:DJ$453,4,FALSE)*DG96*($K96)+(DG96-DH96-DI96)*(1-$K96)</f>
        <v>0</v>
      </c>
      <c r="DK96" s="3237"/>
      <c r="DO96" s="3235">
        <f>$G96</f>
        <v>0</v>
      </c>
      <c r="DP96" s="3236">
        <f>VLOOKUP($E96,DO$442:DR$453,2,FALSE)*DO96*($K96)+IF($G96&gt;0,($H96/$G96)*DO96,0)*(1-$K96)</f>
        <v>0</v>
      </c>
      <c r="DQ96" s="3236">
        <f>VLOOKUP($E96,DO$442:DR$453,3,FALSE)*DO96*($K96)+IF($G96&gt;0,($I96/$G96)*DO96,0)*(1-$K96)</f>
        <v>0</v>
      </c>
      <c r="DR96" s="3236">
        <f>VLOOKUP($E96,DO$442:DR$453,4,FALSE)*DO96*($K96)+(DO96-DP96-DQ96)*(1-$K96)</f>
        <v>0</v>
      </c>
      <c r="DS96" s="3237"/>
      <c r="DW96" s="3235">
        <f>$G96</f>
        <v>0</v>
      </c>
      <c r="DX96" s="3236">
        <f>VLOOKUP($E96,DW$442:DZ$453,2,FALSE)*DW96*($K96)+IF($G96&gt;0,($H96/$G96)*DW96,0)*(1-$K96)</f>
        <v>0</v>
      </c>
      <c r="DY96" s="3236">
        <f>VLOOKUP($E96,DW$442:DZ$453,3,FALSE)*DW96*($K96)+IF($G96&gt;0,($I96/$G96)*DW96,0)*(1-$K96)</f>
        <v>0</v>
      </c>
      <c r="DZ96" s="3236">
        <f>VLOOKUP($E96,DW$442:DZ$453,4,FALSE)*DW96*($K96)+(DW96-DX96-DY96)*(1-$K96)</f>
        <v>0</v>
      </c>
      <c r="EA96" s="3237"/>
      <c r="EE96" s="3235">
        <f>$G96</f>
        <v>0</v>
      </c>
      <c r="EF96" s="3236">
        <f>VLOOKUP($E96,EE$442:EH$453,2,FALSE)*EE96*($K96)+IF($G96&gt;0,($H96/$G96)*EE96,0)*(1-$K96)</f>
        <v>0</v>
      </c>
      <c r="EG96" s="3236">
        <f>VLOOKUP($E96,EE$442:EH$453,3,FALSE)*EE96*($K96)+IF($G96&gt;0,($I96/$G96)*EE96,0)*(1-$K96)</f>
        <v>0</v>
      </c>
      <c r="EH96" s="3236">
        <f>VLOOKUP($E96,EE$442:EH$453,4,FALSE)*EE96*($K96)+(EE96-EF96-EG96)*(1-$K96)</f>
        <v>0</v>
      </c>
      <c r="EI96" s="3237"/>
      <c r="EM96" s="3235">
        <f>$G96</f>
        <v>0</v>
      </c>
      <c r="EN96" s="3236">
        <f>VLOOKUP($E96,EM$442:EP$453,2,FALSE)*EM96*($K96)+IF($G96&gt;0,($H96/$G96)*EM96,0)*(1-$K96)</f>
        <v>0</v>
      </c>
      <c r="EO96" s="3236">
        <f>VLOOKUP($E96,EM$442:EP$453,3,FALSE)*EM96*($K96)+IF($G96&gt;0,($I96/$G96)*EM96,0)*(1-$K96)</f>
        <v>0</v>
      </c>
      <c r="EP96" s="3236">
        <f>VLOOKUP($E96,EM$442:EP$453,4,FALSE)*EM96*($K96)+(EM96-EN96-EO96)*(1-$K96)</f>
        <v>0</v>
      </c>
      <c r="EQ96" s="3237"/>
      <c r="EU96" s="3235">
        <f>$G96</f>
        <v>0</v>
      </c>
      <c r="EV96" s="3236">
        <f>VLOOKUP($E96,EU$442:EX$453,2,FALSE)*EU96*($K96)+IF($G96&gt;0,($H96/$G96)*EU96,0)*(1-$K96)</f>
        <v>0</v>
      </c>
      <c r="EW96" s="3236">
        <f>VLOOKUP($E96,EU$442:EX$453,3,FALSE)*EU96*($K96)+IF($G96&gt;0,($I96/$G96)*EU96,0)*(1-$K96)</f>
        <v>0</v>
      </c>
      <c r="EX96" s="3236">
        <f>VLOOKUP($E96,EU$442:EX$453,4,FALSE)*EU96*($K96)+(EU96-EV96-EW96)*(1-$K96)</f>
        <v>0</v>
      </c>
      <c r="EY96" s="3237"/>
      <c r="FC96" s="3235">
        <f>$G96</f>
        <v>0</v>
      </c>
      <c r="FD96" s="3236">
        <f>VLOOKUP($E96,FC$442:FF$453,2,FALSE)*FC96*($K96)+IF($G96&gt;0,($H96/$G96)*FC96,0)*(1-$K96)</f>
        <v>0</v>
      </c>
      <c r="FE96" s="3236">
        <f>VLOOKUP($E96,FC$442:FF$453,3,FALSE)*FC96*($K96)+IF($G96&gt;0,($I96/$G96)*FC96,0)*(1-$K96)</f>
        <v>0</v>
      </c>
      <c r="FF96" s="3236">
        <f>VLOOKUP($E96,FC$442:FF$453,4,FALSE)*FC96*($K96)+(FC96-FD96-FE96)*(1-$K96)</f>
        <v>0</v>
      </c>
      <c r="FG96" s="3237"/>
      <c r="FK96" s="3235">
        <f>$G96</f>
        <v>0</v>
      </c>
      <c r="FL96" s="3236">
        <f>VLOOKUP($E96,FK$442:FN$453,2,FALSE)*FK96*($K96)+IF($G96&gt;0,($H96/$G96)*FK96,0)*(1-$K96)</f>
        <v>0</v>
      </c>
      <c r="FM96" s="3236">
        <f>VLOOKUP($E96,FK$442:FN$453,3,FALSE)*FK96*($K96)+IF($G96&gt;0,($I96/$G96)*FK96,0)*(1-$K96)</f>
        <v>0</v>
      </c>
      <c r="FN96" s="3236">
        <f>VLOOKUP($E96,FK$442:FN$453,4,FALSE)*FK96*($K96)+(FK96-FL96-FM96)*(1-$K96)</f>
        <v>0</v>
      </c>
      <c r="FO96" s="3237"/>
    </row>
    <row r="97" spans="1:171">
      <c r="A97" s="2442"/>
      <c r="B97" s="2097" t="s">
        <v>476</v>
      </c>
      <c r="C97" s="2464" t="s">
        <v>78</v>
      </c>
      <c r="D97" s="2464">
        <v>124</v>
      </c>
      <c r="E97" s="2424" t="str">
        <f>'Sch 1- Rate Base '!E97</f>
        <v>DIST</v>
      </c>
      <c r="F97" s="2171"/>
      <c r="G97" s="2424">
        <f>'Sch 1- Rate Base '!G97</f>
        <v>29310581.839956224</v>
      </c>
      <c r="H97" s="2424">
        <f>'Sch 1- Rate Base '!H97</f>
        <v>0</v>
      </c>
      <c r="I97" s="2424">
        <f>'Sch 1- Rate Base '!I97</f>
        <v>0</v>
      </c>
      <c r="J97" s="2425">
        <f>'Sch 1- Rate Base '!J97</f>
        <v>29310581.839956224</v>
      </c>
      <c r="K97" s="3205">
        <f>IF($E97="DIRECT",0,1)</f>
        <v>1</v>
      </c>
      <c r="O97" s="3235">
        <f>$G97</f>
        <v>29310581.839956224</v>
      </c>
      <c r="P97" s="3236">
        <f>VLOOKUP($E97,O$442:R$453,2,FALSE)*O97*($K97)+IF($G97&gt;0,($H97/$G97)*O97,0)*(1-$K97)</f>
        <v>0</v>
      </c>
      <c r="Q97" s="3236">
        <f>VLOOKUP($E97,O$442:R$453,3,FALSE)*O97*($K97)+IF($G97&gt;0,($I97/$G97)*O97,0)*(1-$K97)</f>
        <v>0</v>
      </c>
      <c r="R97" s="3236">
        <f>VLOOKUP($E97,O$442:R$453,4,FALSE)*O97*($K97)+(O97-P97-Q97)*(1-$K97)</f>
        <v>29310581.839956224</v>
      </c>
      <c r="S97" s="3237"/>
      <c r="W97" s="3235">
        <f>$G97</f>
        <v>29310581.839956224</v>
      </c>
      <c r="X97" s="3236">
        <f>VLOOKUP($E97,W$442:Z$453,2,FALSE)*W97*($K97)+IF($G97&gt;0,($H97/$G97)*W97,0)*(1-$K97)</f>
        <v>0</v>
      </c>
      <c r="Y97" s="3236">
        <f>VLOOKUP($E97,W$442:Z$453,3,FALSE)*W97*($K97)+IF($G97&gt;0,($I97/$G97)*W97,0)*(1-$K97)</f>
        <v>0</v>
      </c>
      <c r="Z97" s="3236">
        <f>VLOOKUP($E97,W$442:Z$453,4,FALSE)*W97*($K97)+(W97-X97-Y97)*(1-$K97)</f>
        <v>29310581.839956224</v>
      </c>
      <c r="AA97" s="3237"/>
      <c r="AE97" s="3235">
        <f>$G97</f>
        <v>29310581.839956224</v>
      </c>
      <c r="AF97" s="3236">
        <f>VLOOKUP($E97,AE$442:AH$453,2,FALSE)*AE97*($K97)+IF($G97&gt;0,($H97/$G97)*AE97,0)*(1-$K97)</f>
        <v>0</v>
      </c>
      <c r="AG97" s="3236">
        <f>VLOOKUP($E97,AE$442:AH$453,3,FALSE)*AE97*($K97)+IF($G97&gt;0,($I97/$G97)*AE97,0)*(1-$K97)</f>
        <v>0</v>
      </c>
      <c r="AH97" s="3236">
        <f>VLOOKUP($E97,AE$442:AH$453,4,FALSE)*AE97*($K97)+(AE97-AF97-AG97)*(1-$K97)</f>
        <v>29310581.839956224</v>
      </c>
      <c r="AI97" s="3237"/>
      <c r="AM97" s="3235">
        <f>$G97</f>
        <v>29310581.839956224</v>
      </c>
      <c r="AN97" s="3236">
        <f>VLOOKUP($E97,AM$442:AP$453,2,FALSE)*AM97*($K97)+IF($G97&gt;0,($H97/$G97)*AM97,0)*(1-$K97)</f>
        <v>0</v>
      </c>
      <c r="AO97" s="3236">
        <f>VLOOKUP($E97,AM$442:AP$453,3,FALSE)*AM97*($K97)+IF($G97&gt;0,($I97/$G97)*AM97,0)*(1-$K97)</f>
        <v>0</v>
      </c>
      <c r="AP97" s="3236">
        <f>VLOOKUP($E97,AM$442:AP$453,4,FALSE)*AM97*($K97)+(AM97-AN97-AO97)*(1-$K97)</f>
        <v>29310581.839956224</v>
      </c>
      <c r="AQ97" s="3237"/>
      <c r="AU97" s="3235">
        <f>$G97</f>
        <v>29310581.839956224</v>
      </c>
      <c r="AV97" s="3236">
        <f>VLOOKUP($E97,AU$442:AX$453,2,FALSE)*AU97*($K97)+IF($G97&gt;0,($H97/$G97)*AU97,0)*(1-$K97)</f>
        <v>0</v>
      </c>
      <c r="AW97" s="3236">
        <f>VLOOKUP($E97,AU$442:AX$453,3,FALSE)*AU97*($K97)+IF($G97&gt;0,($I97/$G97)*AU97,0)*(1-$K97)</f>
        <v>0</v>
      </c>
      <c r="AX97" s="3236">
        <f>VLOOKUP($E97,AU$442:AX$453,4,FALSE)*AU97*($K97)+(AU97-AV97-AW97)*(1-$K97)</f>
        <v>29310581.839956224</v>
      </c>
      <c r="AY97" s="3237"/>
      <c r="BC97" s="3235">
        <f>$G97</f>
        <v>29310581.839956224</v>
      </c>
      <c r="BD97" s="3236">
        <f>VLOOKUP($E97,BC$442:BF$453,2,FALSE)*BC97*($K97)+IF($G97&gt;0,($H97/$G97)*BC97,0)*(1-$K97)</f>
        <v>0</v>
      </c>
      <c r="BE97" s="3236">
        <f>VLOOKUP($E97,BC$442:BF$453,3,FALSE)*BC97*($K97)+IF($G97&gt;0,($I97/$G97)*BC97,0)*(1-$K97)</f>
        <v>0</v>
      </c>
      <c r="BF97" s="3236">
        <f>VLOOKUP($E97,BC$442:BF$453,4,FALSE)*BC97*($K97)+(BC97-BD97-BE97)*(1-$K97)</f>
        <v>29310581.839956224</v>
      </c>
      <c r="BG97" s="3237"/>
      <c r="BK97" s="3235">
        <f>$G97</f>
        <v>29310581.839956224</v>
      </c>
      <c r="BL97" s="3236">
        <f>VLOOKUP($E97,BK$442:BN$453,2,FALSE)*BK97*($K97)+IF($G97&gt;0,($H97/$G97)*BK97,0)*(1-$K97)</f>
        <v>0</v>
      </c>
      <c r="BM97" s="3236">
        <f>VLOOKUP($E97,BK$442:BN$453,3,FALSE)*BK97*($K97)+IF($G97&gt;0,($I97/$G97)*BK97,0)*(1-$K97)</f>
        <v>0</v>
      </c>
      <c r="BN97" s="3236">
        <f>VLOOKUP($E97,BK$442:BN$453,4,FALSE)*BK97*($K97)+(BK97-BL97-BM97)*(1-$K97)</f>
        <v>29310581.839956224</v>
      </c>
      <c r="BO97" s="3237"/>
      <c r="BS97" s="3235">
        <f>$G97</f>
        <v>29310581.839956224</v>
      </c>
      <c r="BT97" s="3236">
        <f>VLOOKUP($E97,BS$442:BV$453,2,FALSE)*BS97*($K97)+IF($G97&gt;0,($H97/$G97)*BS97,0)*(1-$K97)</f>
        <v>0</v>
      </c>
      <c r="BU97" s="3236">
        <f>VLOOKUP($E97,BS$442:BV$453,3,FALSE)*BS97*($K97)+IF($G97&gt;0,($I97/$G97)*BS97,0)*(1-$K97)</f>
        <v>0</v>
      </c>
      <c r="BV97" s="3236">
        <f>VLOOKUP($E97,BS$442:BV$453,4,FALSE)*BS97*($K97)+(BS97-BT97-BU97)*(1-$K97)</f>
        <v>29310581.839956224</v>
      </c>
      <c r="BW97" s="3237"/>
      <c r="CA97" s="3235">
        <f>$G97</f>
        <v>29310581.839956224</v>
      </c>
      <c r="CB97" s="3236">
        <f>VLOOKUP($E97,CA$442:CD$453,2,FALSE)*CA97*($K97)+IF($G97&gt;0,($H97/$G97)*CA97,0)*(1-$K97)</f>
        <v>0</v>
      </c>
      <c r="CC97" s="3236">
        <f>VLOOKUP($E97,CA$442:CD$453,3,FALSE)*CA97*($K97)+IF($G97&gt;0,($I97/$G97)*CA97,0)*(1-$K97)</f>
        <v>0</v>
      </c>
      <c r="CD97" s="3236">
        <f>VLOOKUP($E97,CA$442:CD$453,4,FALSE)*CA97*($K97)+(CA97-CB97-CC97)*(1-$K97)</f>
        <v>29310581.839956224</v>
      </c>
      <c r="CE97" s="3237"/>
      <c r="CI97" s="3235">
        <f>$G97</f>
        <v>29310581.839956224</v>
      </c>
      <c r="CJ97" s="3236">
        <f>VLOOKUP($E97,CI$442:CL$453,2,FALSE)*CI97*($K97)+IF($G97&gt;0,($H97/$G97)*CI97,0)*(1-$K97)</f>
        <v>0</v>
      </c>
      <c r="CK97" s="3236">
        <f>VLOOKUP($E97,CI$442:CL$453,3,FALSE)*CI97*($K97)+IF($G97&gt;0,($I97/$G97)*CI97,0)*(1-$K97)</f>
        <v>0</v>
      </c>
      <c r="CL97" s="3236">
        <f>VLOOKUP($E97,CI$442:CL$453,4,FALSE)*CI97*($K97)+(CI97-CJ97-CK97)*(1-$K97)</f>
        <v>29310581.839956224</v>
      </c>
      <c r="CM97" s="3237"/>
      <c r="CQ97" s="3235">
        <f>$G97</f>
        <v>29310581.839956224</v>
      </c>
      <c r="CR97" s="3236">
        <f>VLOOKUP($E97,CQ$442:CT$453,2,FALSE)*CQ97*($K97)+IF($G97&gt;0,($H97/$G97)*CQ97,0)*(1-$K97)</f>
        <v>0</v>
      </c>
      <c r="CS97" s="3236">
        <f>VLOOKUP($E97,CQ$442:CT$453,3,FALSE)*CQ97*($K97)+IF($G97&gt;0,($I97/$G97)*CQ97,0)*(1-$K97)</f>
        <v>0</v>
      </c>
      <c r="CT97" s="3236">
        <f>VLOOKUP($E97,CQ$442:CT$453,4,FALSE)*CQ97*($K97)+(CQ97-CR97-CS97)*(1-$K97)</f>
        <v>29310581.839956224</v>
      </c>
      <c r="CU97" s="3237"/>
      <c r="CY97" s="3235">
        <f>$G97</f>
        <v>29310581.839956224</v>
      </c>
      <c r="CZ97" s="3236">
        <f>VLOOKUP($E97,CY$442:DB$453,2,FALSE)*CY97*($K97)+IF($G97&gt;0,($H97/$G97)*CY97,0)*(1-$K97)</f>
        <v>0</v>
      </c>
      <c r="DA97" s="3236">
        <f>VLOOKUP($E97,CY$442:DB$453,3,FALSE)*CY97*($K97)+IF($G97&gt;0,($I97/$G97)*CY97,0)*(1-$K97)</f>
        <v>0</v>
      </c>
      <c r="DB97" s="3236">
        <f>VLOOKUP($E97,CY$442:DB$453,4,FALSE)*CY97*($K97)+(CY97-CZ97-DA97)*(1-$K97)</f>
        <v>29310581.839956224</v>
      </c>
      <c r="DC97" s="3237"/>
      <c r="DG97" s="3235">
        <f>$G97</f>
        <v>29310581.839956224</v>
      </c>
      <c r="DH97" s="3236">
        <f>VLOOKUP($E97,DG$442:DJ$453,2,FALSE)*DG97*($K97)+IF($G97&gt;0,($H97/$G97)*DG97,0)*(1-$K97)</f>
        <v>0</v>
      </c>
      <c r="DI97" s="3236">
        <f>VLOOKUP($E97,DG$442:DJ$453,3,FALSE)*DG97*($K97)+IF($G97&gt;0,($I97/$G97)*DG97,0)*(1-$K97)</f>
        <v>0</v>
      </c>
      <c r="DJ97" s="3236">
        <f>VLOOKUP($E97,DG$442:DJ$453,4,FALSE)*DG97*($K97)+(DG97-DH97-DI97)*(1-$K97)</f>
        <v>29310581.839956224</v>
      </c>
      <c r="DK97" s="3237"/>
      <c r="DO97" s="3235">
        <f>$G97</f>
        <v>29310581.839956224</v>
      </c>
      <c r="DP97" s="3236">
        <f>VLOOKUP($E97,DO$442:DR$453,2,FALSE)*DO97*($K97)+IF($G97&gt;0,($H97/$G97)*DO97,0)*(1-$K97)</f>
        <v>0</v>
      </c>
      <c r="DQ97" s="3236">
        <f>VLOOKUP($E97,DO$442:DR$453,3,FALSE)*DO97*($K97)+IF($G97&gt;0,($I97/$G97)*DO97,0)*(1-$K97)</f>
        <v>0</v>
      </c>
      <c r="DR97" s="3236">
        <f>VLOOKUP($E97,DO$442:DR$453,4,FALSE)*DO97*($K97)+(DO97-DP97-DQ97)*(1-$K97)</f>
        <v>29310581.839956224</v>
      </c>
      <c r="DS97" s="3237"/>
      <c r="DW97" s="3235">
        <f>$G97</f>
        <v>29310581.839956224</v>
      </c>
      <c r="DX97" s="3236">
        <f>VLOOKUP($E97,DW$442:DZ$453,2,FALSE)*DW97*($K97)+IF($G97&gt;0,($H97/$G97)*DW97,0)*(1-$K97)</f>
        <v>0</v>
      </c>
      <c r="DY97" s="3236">
        <f>VLOOKUP($E97,DW$442:DZ$453,3,FALSE)*DW97*($K97)+IF($G97&gt;0,($I97/$G97)*DW97,0)*(1-$K97)</f>
        <v>0</v>
      </c>
      <c r="DZ97" s="3236">
        <f>VLOOKUP($E97,DW$442:DZ$453,4,FALSE)*DW97*($K97)+(DW97-DX97-DY97)*(1-$K97)</f>
        <v>29310581.839956224</v>
      </c>
      <c r="EA97" s="3237"/>
      <c r="EE97" s="3235">
        <f>$G97</f>
        <v>29310581.839956224</v>
      </c>
      <c r="EF97" s="3236">
        <f>VLOOKUP($E97,EE$442:EH$453,2,FALSE)*EE97*($K97)+IF($G97&gt;0,($H97/$G97)*EE97,0)*(1-$K97)</f>
        <v>0</v>
      </c>
      <c r="EG97" s="3236">
        <f>VLOOKUP($E97,EE$442:EH$453,3,FALSE)*EE97*($K97)+IF($G97&gt;0,($I97/$G97)*EE97,0)*(1-$K97)</f>
        <v>0</v>
      </c>
      <c r="EH97" s="3236">
        <f>VLOOKUP($E97,EE$442:EH$453,4,FALSE)*EE97*($K97)+(EE97-EF97-EG97)*(1-$K97)</f>
        <v>29310581.839956224</v>
      </c>
      <c r="EI97" s="3237"/>
      <c r="EM97" s="3235">
        <f>$G97</f>
        <v>29310581.839956224</v>
      </c>
      <c r="EN97" s="3236">
        <f>VLOOKUP($E97,EM$442:EP$453,2,FALSE)*EM97*($K97)+IF($G97&gt;0,($H97/$G97)*EM97,0)*(1-$K97)</f>
        <v>0</v>
      </c>
      <c r="EO97" s="3236">
        <f>VLOOKUP($E97,EM$442:EP$453,3,FALSE)*EM97*($K97)+IF($G97&gt;0,($I97/$G97)*EM97,0)*(1-$K97)</f>
        <v>0</v>
      </c>
      <c r="EP97" s="3236">
        <f>VLOOKUP($E97,EM$442:EP$453,4,FALSE)*EM97*($K97)+(EM97-EN97-EO97)*(1-$K97)</f>
        <v>29310581.839956224</v>
      </c>
      <c r="EQ97" s="3237"/>
      <c r="EU97" s="3235">
        <f>$G97</f>
        <v>29310581.839956224</v>
      </c>
      <c r="EV97" s="3236">
        <f>VLOOKUP($E97,EU$442:EX$453,2,FALSE)*EU97*($K97)+IF($G97&gt;0,($H97/$G97)*EU97,0)*(1-$K97)</f>
        <v>0</v>
      </c>
      <c r="EW97" s="3236">
        <f>VLOOKUP($E97,EU$442:EX$453,3,FALSE)*EU97*($K97)+IF($G97&gt;0,($I97/$G97)*EU97,0)*(1-$K97)</f>
        <v>0</v>
      </c>
      <c r="EX97" s="3236">
        <f>VLOOKUP($E97,EU$442:EX$453,4,FALSE)*EU97*($K97)+(EU97-EV97-EW97)*(1-$K97)</f>
        <v>29310581.839956224</v>
      </c>
      <c r="EY97" s="3237"/>
      <c r="FC97" s="3235">
        <f>$G97</f>
        <v>29310581.839956224</v>
      </c>
      <c r="FD97" s="3236">
        <f>VLOOKUP($E97,FC$442:FF$453,2,FALSE)*FC97*($K97)+IF($G97&gt;0,($H97/$G97)*FC97,0)*(1-$K97)</f>
        <v>0</v>
      </c>
      <c r="FE97" s="3236">
        <f>VLOOKUP($E97,FC$442:FF$453,3,FALSE)*FC97*($K97)+IF($G97&gt;0,($I97/$G97)*FC97,0)*(1-$K97)</f>
        <v>0</v>
      </c>
      <c r="FF97" s="3236">
        <f>VLOOKUP($E97,FC$442:FF$453,4,FALSE)*FC97*($K97)+(FC97-FD97-FE97)*(1-$K97)</f>
        <v>29310581.839956224</v>
      </c>
      <c r="FG97" s="3237"/>
      <c r="FK97" s="3235">
        <f>$G97</f>
        <v>29310581.839956224</v>
      </c>
      <c r="FL97" s="3236">
        <f>VLOOKUP($E97,FK$442:FN$453,2,FALSE)*FK97*($K97)+IF($G97&gt;0,($H97/$G97)*FK97,0)*(1-$K97)</f>
        <v>0</v>
      </c>
      <c r="FM97" s="3236">
        <f>VLOOKUP($E97,FK$442:FN$453,3,FALSE)*FK97*($K97)+IF($G97&gt;0,($I97/$G97)*FK97,0)*(1-$K97)</f>
        <v>0</v>
      </c>
      <c r="FN97" s="3236">
        <f>VLOOKUP($E97,FK$442:FN$453,4,FALSE)*FK97*($K97)+(FK97-FL97-FM97)*(1-$K97)</f>
        <v>29310581.839956224</v>
      </c>
      <c r="FO97" s="3237"/>
    </row>
    <row r="98" spans="1:171">
      <c r="A98" s="2442"/>
      <c r="B98" s="2290" t="s">
        <v>6</v>
      </c>
      <c r="C98" s="2464" t="s">
        <v>78</v>
      </c>
      <c r="D98" s="2464">
        <v>175</v>
      </c>
      <c r="E98" s="2424" t="str">
        <f>'Sch 1- Rate Base '!E98</f>
        <v>DIST</v>
      </c>
      <c r="F98" s="2171"/>
      <c r="G98" s="2424">
        <f>'Sch 1- Rate Base '!G98</f>
        <v>30098821.84</v>
      </c>
      <c r="H98" s="2424">
        <f>'Sch 1- Rate Base '!H98</f>
        <v>0</v>
      </c>
      <c r="I98" s="2424">
        <f>'Sch 1- Rate Base '!I98</f>
        <v>0</v>
      </c>
      <c r="J98" s="2425">
        <f>'Sch 1- Rate Base '!J98</f>
        <v>30098821.84</v>
      </c>
      <c r="K98" s="3205">
        <f>IF($E98="DIRECT",0,1)</f>
        <v>1</v>
      </c>
      <c r="O98" s="3235">
        <f>$G98</f>
        <v>30098821.84</v>
      </c>
      <c r="P98" s="3236">
        <f>VLOOKUP($E98,O$442:R$453,2,FALSE)*O98*($K98)+IF($G98&gt;0,($H98/$G98)*O98,0)*(1-$K98)</f>
        <v>0</v>
      </c>
      <c r="Q98" s="3236">
        <f>VLOOKUP($E98,O$442:R$453,3,FALSE)*O98*($K98)+IF($G98&gt;0,($I98/$G98)*O98,0)*(1-$K98)</f>
        <v>0</v>
      </c>
      <c r="R98" s="3236">
        <f>VLOOKUP($E98,O$442:R$453,4,FALSE)*O98*($K98)+(O98-P98-Q98)*(1-$K98)</f>
        <v>30098821.84</v>
      </c>
      <c r="S98" s="3237"/>
      <c r="W98" s="3235">
        <f>$G98</f>
        <v>30098821.84</v>
      </c>
      <c r="X98" s="3236">
        <f>VLOOKUP($E98,W$442:Z$453,2,FALSE)*W98*($K98)+IF($G98&gt;0,($H98/$G98)*W98,0)*(1-$K98)</f>
        <v>0</v>
      </c>
      <c r="Y98" s="3236">
        <f>VLOOKUP($E98,W$442:Z$453,3,FALSE)*W98*($K98)+IF($G98&gt;0,($I98/$G98)*W98,0)*(1-$K98)</f>
        <v>0</v>
      </c>
      <c r="Z98" s="3236">
        <f>VLOOKUP($E98,W$442:Z$453,4,FALSE)*W98*($K98)+(W98-X98-Y98)*(1-$K98)</f>
        <v>30098821.84</v>
      </c>
      <c r="AA98" s="3237"/>
      <c r="AE98" s="3235">
        <f>$G98</f>
        <v>30098821.84</v>
      </c>
      <c r="AF98" s="3236">
        <f>VLOOKUP($E98,AE$442:AH$453,2,FALSE)*AE98*($K98)+IF($G98&gt;0,($H98/$G98)*AE98,0)*(1-$K98)</f>
        <v>0</v>
      </c>
      <c r="AG98" s="3236">
        <f>VLOOKUP($E98,AE$442:AH$453,3,FALSE)*AE98*($K98)+IF($G98&gt;0,($I98/$G98)*AE98,0)*(1-$K98)</f>
        <v>0</v>
      </c>
      <c r="AH98" s="3236">
        <f>VLOOKUP($E98,AE$442:AH$453,4,FALSE)*AE98*($K98)+(AE98-AF98-AG98)*(1-$K98)</f>
        <v>30098821.84</v>
      </c>
      <c r="AI98" s="3237"/>
      <c r="AM98" s="3235">
        <f>$G98</f>
        <v>30098821.84</v>
      </c>
      <c r="AN98" s="3236">
        <f>VLOOKUP($E98,AM$442:AP$453,2,FALSE)*AM98*($K98)+IF($G98&gt;0,($H98/$G98)*AM98,0)*(1-$K98)</f>
        <v>0</v>
      </c>
      <c r="AO98" s="3236">
        <f>VLOOKUP($E98,AM$442:AP$453,3,FALSE)*AM98*($K98)+IF($G98&gt;0,($I98/$G98)*AM98,0)*(1-$K98)</f>
        <v>0</v>
      </c>
      <c r="AP98" s="3236">
        <f>VLOOKUP($E98,AM$442:AP$453,4,FALSE)*AM98*($K98)+(AM98-AN98-AO98)*(1-$K98)</f>
        <v>30098821.84</v>
      </c>
      <c r="AQ98" s="3237"/>
      <c r="AU98" s="3235">
        <f>$G98</f>
        <v>30098821.84</v>
      </c>
      <c r="AV98" s="3236">
        <f>VLOOKUP($E98,AU$442:AX$453,2,FALSE)*AU98*($K98)+IF($G98&gt;0,($H98/$G98)*AU98,0)*(1-$K98)</f>
        <v>0</v>
      </c>
      <c r="AW98" s="3236">
        <f>VLOOKUP($E98,AU$442:AX$453,3,FALSE)*AU98*($K98)+IF($G98&gt;0,($I98/$G98)*AU98,0)*(1-$K98)</f>
        <v>0</v>
      </c>
      <c r="AX98" s="3236">
        <f>VLOOKUP($E98,AU$442:AX$453,4,FALSE)*AU98*($K98)+(AU98-AV98-AW98)*(1-$K98)</f>
        <v>30098821.84</v>
      </c>
      <c r="AY98" s="3237"/>
      <c r="BC98" s="3235">
        <f>$G98</f>
        <v>30098821.84</v>
      </c>
      <c r="BD98" s="3236">
        <f>VLOOKUP($E98,BC$442:BF$453,2,FALSE)*BC98*($K98)+IF($G98&gt;0,($H98/$G98)*BC98,0)*(1-$K98)</f>
        <v>0</v>
      </c>
      <c r="BE98" s="3236">
        <f>VLOOKUP($E98,BC$442:BF$453,3,FALSE)*BC98*($K98)+IF($G98&gt;0,($I98/$G98)*BC98,0)*(1-$K98)</f>
        <v>0</v>
      </c>
      <c r="BF98" s="3236">
        <f>VLOOKUP($E98,BC$442:BF$453,4,FALSE)*BC98*($K98)+(BC98-BD98-BE98)*(1-$K98)</f>
        <v>30098821.84</v>
      </c>
      <c r="BG98" s="3237"/>
      <c r="BK98" s="3235">
        <f>$G98</f>
        <v>30098821.84</v>
      </c>
      <c r="BL98" s="3236">
        <f>VLOOKUP($E98,BK$442:BN$453,2,FALSE)*BK98*($K98)+IF($G98&gt;0,($H98/$G98)*BK98,0)*(1-$K98)</f>
        <v>0</v>
      </c>
      <c r="BM98" s="3236">
        <f>VLOOKUP($E98,BK$442:BN$453,3,FALSE)*BK98*($K98)+IF($G98&gt;0,($I98/$G98)*BK98,0)*(1-$K98)</f>
        <v>0</v>
      </c>
      <c r="BN98" s="3236">
        <f>VLOOKUP($E98,BK$442:BN$453,4,FALSE)*BK98*($K98)+(BK98-BL98-BM98)*(1-$K98)</f>
        <v>30098821.84</v>
      </c>
      <c r="BO98" s="3237"/>
      <c r="BS98" s="3235">
        <f>$G98</f>
        <v>30098821.84</v>
      </c>
      <c r="BT98" s="3236">
        <f>VLOOKUP($E98,BS$442:BV$453,2,FALSE)*BS98*($K98)+IF($G98&gt;0,($H98/$G98)*BS98,0)*(1-$K98)</f>
        <v>0</v>
      </c>
      <c r="BU98" s="3236">
        <f>VLOOKUP($E98,BS$442:BV$453,3,FALSE)*BS98*($K98)+IF($G98&gt;0,($I98/$G98)*BS98,0)*(1-$K98)</f>
        <v>0</v>
      </c>
      <c r="BV98" s="3236">
        <f>VLOOKUP($E98,BS$442:BV$453,4,FALSE)*BS98*($K98)+(BS98-BT98-BU98)*(1-$K98)</f>
        <v>30098821.84</v>
      </c>
      <c r="BW98" s="3237"/>
      <c r="CA98" s="3235">
        <f>$G98</f>
        <v>30098821.84</v>
      </c>
      <c r="CB98" s="3236">
        <f>VLOOKUP($E98,CA$442:CD$453,2,FALSE)*CA98*($K98)+IF($G98&gt;0,($H98/$G98)*CA98,0)*(1-$K98)</f>
        <v>0</v>
      </c>
      <c r="CC98" s="3236">
        <f>VLOOKUP($E98,CA$442:CD$453,3,FALSE)*CA98*($K98)+IF($G98&gt;0,($I98/$G98)*CA98,0)*(1-$K98)</f>
        <v>0</v>
      </c>
      <c r="CD98" s="3236">
        <f>VLOOKUP($E98,CA$442:CD$453,4,FALSE)*CA98*($K98)+(CA98-CB98-CC98)*(1-$K98)</f>
        <v>30098821.84</v>
      </c>
      <c r="CE98" s="3237"/>
      <c r="CI98" s="3235">
        <f>$G98</f>
        <v>30098821.84</v>
      </c>
      <c r="CJ98" s="3236">
        <f>VLOOKUP($E98,CI$442:CL$453,2,FALSE)*CI98*($K98)+IF($G98&gt;0,($H98/$G98)*CI98,0)*(1-$K98)</f>
        <v>0</v>
      </c>
      <c r="CK98" s="3236">
        <f>VLOOKUP($E98,CI$442:CL$453,3,FALSE)*CI98*($K98)+IF($G98&gt;0,($I98/$G98)*CI98,0)*(1-$K98)</f>
        <v>0</v>
      </c>
      <c r="CL98" s="3236">
        <f>VLOOKUP($E98,CI$442:CL$453,4,FALSE)*CI98*($K98)+(CI98-CJ98-CK98)*(1-$K98)</f>
        <v>30098821.84</v>
      </c>
      <c r="CM98" s="3237"/>
      <c r="CQ98" s="3235">
        <f>$G98</f>
        <v>30098821.84</v>
      </c>
      <c r="CR98" s="3236">
        <f>VLOOKUP($E98,CQ$442:CT$453,2,FALSE)*CQ98*($K98)+IF($G98&gt;0,($H98/$G98)*CQ98,0)*(1-$K98)</f>
        <v>0</v>
      </c>
      <c r="CS98" s="3236">
        <f>VLOOKUP($E98,CQ$442:CT$453,3,FALSE)*CQ98*($K98)+IF($G98&gt;0,($I98/$G98)*CQ98,0)*(1-$K98)</f>
        <v>0</v>
      </c>
      <c r="CT98" s="3236">
        <f>VLOOKUP($E98,CQ$442:CT$453,4,FALSE)*CQ98*($K98)+(CQ98-CR98-CS98)*(1-$K98)</f>
        <v>30098821.84</v>
      </c>
      <c r="CU98" s="3237"/>
      <c r="CY98" s="3235">
        <f>$G98</f>
        <v>30098821.84</v>
      </c>
      <c r="CZ98" s="3236">
        <f>VLOOKUP($E98,CY$442:DB$453,2,FALSE)*CY98*($K98)+IF($G98&gt;0,($H98/$G98)*CY98,0)*(1-$K98)</f>
        <v>0</v>
      </c>
      <c r="DA98" s="3236">
        <f>VLOOKUP($E98,CY$442:DB$453,3,FALSE)*CY98*($K98)+IF($G98&gt;0,($I98/$G98)*CY98,0)*(1-$K98)</f>
        <v>0</v>
      </c>
      <c r="DB98" s="3236">
        <f>VLOOKUP($E98,CY$442:DB$453,4,FALSE)*CY98*($K98)+(CY98-CZ98-DA98)*(1-$K98)</f>
        <v>30098821.84</v>
      </c>
      <c r="DC98" s="3237"/>
      <c r="DG98" s="3235">
        <f>$G98</f>
        <v>30098821.84</v>
      </c>
      <c r="DH98" s="3236">
        <f>VLOOKUP($E98,DG$442:DJ$453,2,FALSE)*DG98*($K98)+IF($G98&gt;0,($H98/$G98)*DG98,0)*(1-$K98)</f>
        <v>0</v>
      </c>
      <c r="DI98" s="3236">
        <f>VLOOKUP($E98,DG$442:DJ$453,3,FALSE)*DG98*($K98)+IF($G98&gt;0,($I98/$G98)*DG98,0)*(1-$K98)</f>
        <v>0</v>
      </c>
      <c r="DJ98" s="3236">
        <f>VLOOKUP($E98,DG$442:DJ$453,4,FALSE)*DG98*($K98)+(DG98-DH98-DI98)*(1-$K98)</f>
        <v>30098821.84</v>
      </c>
      <c r="DK98" s="3237"/>
      <c r="DO98" s="3235">
        <f>$G98</f>
        <v>30098821.84</v>
      </c>
      <c r="DP98" s="3236">
        <f>VLOOKUP($E98,DO$442:DR$453,2,FALSE)*DO98*($K98)+IF($G98&gt;0,($H98/$G98)*DO98,0)*(1-$K98)</f>
        <v>0</v>
      </c>
      <c r="DQ98" s="3236">
        <f>VLOOKUP($E98,DO$442:DR$453,3,FALSE)*DO98*($K98)+IF($G98&gt;0,($I98/$G98)*DO98,0)*(1-$K98)</f>
        <v>0</v>
      </c>
      <c r="DR98" s="3236">
        <f>VLOOKUP($E98,DO$442:DR$453,4,FALSE)*DO98*($K98)+(DO98-DP98-DQ98)*(1-$K98)</f>
        <v>30098821.84</v>
      </c>
      <c r="DS98" s="3237"/>
      <c r="DW98" s="3235">
        <f>$G98</f>
        <v>30098821.84</v>
      </c>
      <c r="DX98" s="3236">
        <f>VLOOKUP($E98,DW$442:DZ$453,2,FALSE)*DW98*($K98)+IF($G98&gt;0,($H98/$G98)*DW98,0)*(1-$K98)</f>
        <v>0</v>
      </c>
      <c r="DY98" s="3236">
        <f>VLOOKUP($E98,DW$442:DZ$453,3,FALSE)*DW98*($K98)+IF($G98&gt;0,($I98/$G98)*DW98,0)*(1-$K98)</f>
        <v>0</v>
      </c>
      <c r="DZ98" s="3236">
        <f>VLOOKUP($E98,DW$442:DZ$453,4,FALSE)*DW98*($K98)+(DW98-DX98-DY98)*(1-$K98)</f>
        <v>30098821.84</v>
      </c>
      <c r="EA98" s="3237"/>
      <c r="EE98" s="3235">
        <f>$G98</f>
        <v>30098821.84</v>
      </c>
      <c r="EF98" s="3236">
        <f>VLOOKUP($E98,EE$442:EH$453,2,FALSE)*EE98*($K98)+IF($G98&gt;0,($H98/$G98)*EE98,0)*(1-$K98)</f>
        <v>0</v>
      </c>
      <c r="EG98" s="3236">
        <f>VLOOKUP($E98,EE$442:EH$453,3,FALSE)*EE98*($K98)+IF($G98&gt;0,($I98/$G98)*EE98,0)*(1-$K98)</f>
        <v>0</v>
      </c>
      <c r="EH98" s="3236">
        <f>VLOOKUP($E98,EE$442:EH$453,4,FALSE)*EE98*($K98)+(EE98-EF98-EG98)*(1-$K98)</f>
        <v>30098821.84</v>
      </c>
      <c r="EI98" s="3237"/>
      <c r="EM98" s="3235">
        <f>$G98</f>
        <v>30098821.84</v>
      </c>
      <c r="EN98" s="3236">
        <f>VLOOKUP($E98,EM$442:EP$453,2,FALSE)*EM98*($K98)+IF($G98&gt;0,($H98/$G98)*EM98,0)*(1-$K98)</f>
        <v>0</v>
      </c>
      <c r="EO98" s="3236">
        <f>VLOOKUP($E98,EM$442:EP$453,3,FALSE)*EM98*($K98)+IF($G98&gt;0,($I98/$G98)*EM98,0)*(1-$K98)</f>
        <v>0</v>
      </c>
      <c r="EP98" s="3236">
        <f>VLOOKUP($E98,EM$442:EP$453,4,FALSE)*EM98*($K98)+(EM98-EN98-EO98)*(1-$K98)</f>
        <v>30098821.84</v>
      </c>
      <c r="EQ98" s="3237"/>
      <c r="EU98" s="3235">
        <f>$G98</f>
        <v>30098821.84</v>
      </c>
      <c r="EV98" s="3236">
        <f>VLOOKUP($E98,EU$442:EX$453,2,FALSE)*EU98*($K98)+IF($G98&gt;0,($H98/$G98)*EU98,0)*(1-$K98)</f>
        <v>0</v>
      </c>
      <c r="EW98" s="3236">
        <f>VLOOKUP($E98,EU$442:EX$453,3,FALSE)*EU98*($K98)+IF($G98&gt;0,($I98/$G98)*EU98,0)*(1-$K98)</f>
        <v>0</v>
      </c>
      <c r="EX98" s="3236">
        <f>VLOOKUP($E98,EU$442:EX$453,4,FALSE)*EU98*($K98)+(EU98-EV98-EW98)*(1-$K98)</f>
        <v>30098821.84</v>
      </c>
      <c r="EY98" s="3237"/>
      <c r="FC98" s="3235">
        <f>$G98</f>
        <v>30098821.84</v>
      </c>
      <c r="FD98" s="3236">
        <f>VLOOKUP($E98,FC$442:FF$453,2,FALSE)*FC98*($K98)+IF($G98&gt;0,($H98/$G98)*FC98,0)*(1-$K98)</f>
        <v>0</v>
      </c>
      <c r="FE98" s="3236">
        <f>VLOOKUP($E98,FC$442:FF$453,3,FALSE)*FC98*($K98)+IF($G98&gt;0,($I98/$G98)*FC98,0)*(1-$K98)</f>
        <v>0</v>
      </c>
      <c r="FF98" s="3236">
        <f>VLOOKUP($E98,FC$442:FF$453,4,FALSE)*FC98*($K98)+(FC98-FD98-FE98)*(1-$K98)</f>
        <v>30098821.84</v>
      </c>
      <c r="FG98" s="3237"/>
      <c r="FK98" s="3235">
        <f>$G98</f>
        <v>30098821.84</v>
      </c>
      <c r="FL98" s="3236">
        <f>VLOOKUP($E98,FK$442:FN$453,2,FALSE)*FK98*($K98)+IF($G98&gt;0,($H98/$G98)*FK98,0)*(1-$K98)</f>
        <v>0</v>
      </c>
      <c r="FM98" s="3236">
        <f>VLOOKUP($E98,FK$442:FN$453,3,FALSE)*FK98*($K98)+IF($G98&gt;0,($I98/$G98)*FK98,0)*(1-$K98)</f>
        <v>0</v>
      </c>
      <c r="FN98" s="3236">
        <f>VLOOKUP($E98,FK$442:FN$453,4,FALSE)*FK98*($K98)+(FK98-FL98-FM98)*(1-$K98)</f>
        <v>30098821.84</v>
      </c>
      <c r="FO98" s="3237"/>
    </row>
    <row r="99" spans="1:171">
      <c r="A99" s="2442"/>
      <c r="B99" s="2290" t="s">
        <v>370</v>
      </c>
      <c r="C99" s="2464" t="s">
        <v>78</v>
      </c>
      <c r="D99" s="2464">
        <v>176</v>
      </c>
      <c r="E99" s="2424" t="str">
        <f>'Sch 1- Rate Base '!E99</f>
        <v>DIST</v>
      </c>
      <c r="F99" s="2171"/>
      <c r="G99" s="2424">
        <f>'Sch 1- Rate Base '!G99</f>
        <v>0</v>
      </c>
      <c r="H99" s="2424">
        <f>'Sch 1- Rate Base '!H99</f>
        <v>0</v>
      </c>
      <c r="I99" s="2424">
        <f>'Sch 1- Rate Base '!I99</f>
        <v>0</v>
      </c>
      <c r="J99" s="2425">
        <f>'Sch 1- Rate Base '!J99</f>
        <v>0</v>
      </c>
      <c r="K99" s="3205">
        <f>IF($E99="DIRECT",0,1)</f>
        <v>1</v>
      </c>
      <c r="O99" s="3235">
        <f>$G99</f>
        <v>0</v>
      </c>
      <c r="P99" s="3236">
        <f>VLOOKUP($E99,O$442:R$453,2,FALSE)*O99*($K99)+IF($G99&gt;0,($H99/$G99)*O99,0)*(1-$K99)</f>
        <v>0</v>
      </c>
      <c r="Q99" s="3236">
        <f>VLOOKUP($E99,O$442:R$453,3,FALSE)*O99*($K99)+IF($G99&gt;0,($I99/$G99)*O99,0)*(1-$K99)</f>
        <v>0</v>
      </c>
      <c r="R99" s="3236">
        <f>VLOOKUP($E99,O$442:R$453,4,FALSE)*O99*($K99)+(O99-P99-Q99)*(1-$K99)</f>
        <v>0</v>
      </c>
      <c r="S99" s="3237"/>
      <c r="W99" s="3235">
        <f>$G99</f>
        <v>0</v>
      </c>
      <c r="X99" s="3236">
        <f>VLOOKUP($E99,W$442:Z$453,2,FALSE)*W99*($K99)+IF($G99&gt;0,($H99/$G99)*W99,0)*(1-$K99)</f>
        <v>0</v>
      </c>
      <c r="Y99" s="3236">
        <f>VLOOKUP($E99,W$442:Z$453,3,FALSE)*W99*($K99)+IF($G99&gt;0,($I99/$G99)*W99,0)*(1-$K99)</f>
        <v>0</v>
      </c>
      <c r="Z99" s="3236">
        <f>VLOOKUP($E99,W$442:Z$453,4,FALSE)*W99*($K99)+(W99-X99-Y99)*(1-$K99)</f>
        <v>0</v>
      </c>
      <c r="AA99" s="3237"/>
      <c r="AE99" s="3235">
        <f>$G99</f>
        <v>0</v>
      </c>
      <c r="AF99" s="3236">
        <f>VLOOKUP($E99,AE$442:AH$453,2,FALSE)*AE99*($K99)+IF($G99&gt;0,($H99/$G99)*AE99,0)*(1-$K99)</f>
        <v>0</v>
      </c>
      <c r="AG99" s="3236">
        <f>VLOOKUP($E99,AE$442:AH$453,3,FALSE)*AE99*($K99)+IF($G99&gt;0,($I99/$G99)*AE99,0)*(1-$K99)</f>
        <v>0</v>
      </c>
      <c r="AH99" s="3236">
        <f>VLOOKUP($E99,AE$442:AH$453,4,FALSE)*AE99*($K99)+(AE99-AF99-AG99)*(1-$K99)</f>
        <v>0</v>
      </c>
      <c r="AI99" s="3237"/>
      <c r="AM99" s="3235">
        <f>$G99</f>
        <v>0</v>
      </c>
      <c r="AN99" s="3236">
        <f>VLOOKUP($E99,AM$442:AP$453,2,FALSE)*AM99*($K99)+IF($G99&gt;0,($H99/$G99)*AM99,0)*(1-$K99)</f>
        <v>0</v>
      </c>
      <c r="AO99" s="3236">
        <f>VLOOKUP($E99,AM$442:AP$453,3,FALSE)*AM99*($K99)+IF($G99&gt;0,($I99/$G99)*AM99,0)*(1-$K99)</f>
        <v>0</v>
      </c>
      <c r="AP99" s="3236">
        <f>VLOOKUP($E99,AM$442:AP$453,4,FALSE)*AM99*($K99)+(AM99-AN99-AO99)*(1-$K99)</f>
        <v>0</v>
      </c>
      <c r="AQ99" s="3237"/>
      <c r="AU99" s="3235">
        <f>$G99</f>
        <v>0</v>
      </c>
      <c r="AV99" s="3236">
        <f>VLOOKUP($E99,AU$442:AX$453,2,FALSE)*AU99*($K99)+IF($G99&gt;0,($H99/$G99)*AU99,0)*(1-$K99)</f>
        <v>0</v>
      </c>
      <c r="AW99" s="3236">
        <f>VLOOKUP($E99,AU$442:AX$453,3,FALSE)*AU99*($K99)+IF($G99&gt;0,($I99/$G99)*AU99,0)*(1-$K99)</f>
        <v>0</v>
      </c>
      <c r="AX99" s="3236">
        <f>VLOOKUP($E99,AU$442:AX$453,4,FALSE)*AU99*($K99)+(AU99-AV99-AW99)*(1-$K99)</f>
        <v>0</v>
      </c>
      <c r="AY99" s="3237"/>
      <c r="BC99" s="3235">
        <f>$G99</f>
        <v>0</v>
      </c>
      <c r="BD99" s="3236">
        <f>VLOOKUP($E99,BC$442:BF$453,2,FALSE)*BC99*($K99)+IF($G99&gt;0,($H99/$G99)*BC99,0)*(1-$K99)</f>
        <v>0</v>
      </c>
      <c r="BE99" s="3236">
        <f>VLOOKUP($E99,BC$442:BF$453,3,FALSE)*BC99*($K99)+IF($G99&gt;0,($I99/$G99)*BC99,0)*(1-$K99)</f>
        <v>0</v>
      </c>
      <c r="BF99" s="3236">
        <f>VLOOKUP($E99,BC$442:BF$453,4,FALSE)*BC99*($K99)+(BC99-BD99-BE99)*(1-$K99)</f>
        <v>0</v>
      </c>
      <c r="BG99" s="3237"/>
      <c r="BK99" s="3235">
        <f>$G99</f>
        <v>0</v>
      </c>
      <c r="BL99" s="3236">
        <f>VLOOKUP($E99,BK$442:BN$453,2,FALSE)*BK99*($K99)+IF($G99&gt;0,($H99/$G99)*BK99,0)*(1-$K99)</f>
        <v>0</v>
      </c>
      <c r="BM99" s="3236">
        <f>VLOOKUP($E99,BK$442:BN$453,3,FALSE)*BK99*($K99)+IF($G99&gt;0,($I99/$G99)*BK99,0)*(1-$K99)</f>
        <v>0</v>
      </c>
      <c r="BN99" s="3236">
        <f>VLOOKUP($E99,BK$442:BN$453,4,FALSE)*BK99*($K99)+(BK99-BL99-BM99)*(1-$K99)</f>
        <v>0</v>
      </c>
      <c r="BO99" s="3237"/>
      <c r="BS99" s="3235">
        <f>$G99</f>
        <v>0</v>
      </c>
      <c r="BT99" s="3236">
        <f>VLOOKUP($E99,BS$442:BV$453,2,FALSE)*BS99*($K99)+IF($G99&gt;0,($H99/$G99)*BS99,0)*(1-$K99)</f>
        <v>0</v>
      </c>
      <c r="BU99" s="3236">
        <f>VLOOKUP($E99,BS$442:BV$453,3,FALSE)*BS99*($K99)+IF($G99&gt;0,($I99/$G99)*BS99,0)*(1-$K99)</f>
        <v>0</v>
      </c>
      <c r="BV99" s="3236">
        <f>VLOOKUP($E99,BS$442:BV$453,4,FALSE)*BS99*($K99)+(BS99-BT99-BU99)*(1-$K99)</f>
        <v>0</v>
      </c>
      <c r="BW99" s="3237"/>
      <c r="CA99" s="3235">
        <f>$G99</f>
        <v>0</v>
      </c>
      <c r="CB99" s="3236">
        <f>VLOOKUP($E99,CA$442:CD$453,2,FALSE)*CA99*($K99)+IF($G99&gt;0,($H99/$G99)*CA99,0)*(1-$K99)</f>
        <v>0</v>
      </c>
      <c r="CC99" s="3236">
        <f>VLOOKUP($E99,CA$442:CD$453,3,FALSE)*CA99*($K99)+IF($G99&gt;0,($I99/$G99)*CA99,0)*(1-$K99)</f>
        <v>0</v>
      </c>
      <c r="CD99" s="3236">
        <f>VLOOKUP($E99,CA$442:CD$453,4,FALSE)*CA99*($K99)+(CA99-CB99-CC99)*(1-$K99)</f>
        <v>0</v>
      </c>
      <c r="CE99" s="3237"/>
      <c r="CI99" s="3235">
        <f>$G99</f>
        <v>0</v>
      </c>
      <c r="CJ99" s="3236">
        <f>VLOOKUP($E99,CI$442:CL$453,2,FALSE)*CI99*($K99)+IF($G99&gt;0,($H99/$G99)*CI99,0)*(1-$K99)</f>
        <v>0</v>
      </c>
      <c r="CK99" s="3236">
        <f>VLOOKUP($E99,CI$442:CL$453,3,FALSE)*CI99*($K99)+IF($G99&gt;0,($I99/$G99)*CI99,0)*(1-$K99)</f>
        <v>0</v>
      </c>
      <c r="CL99" s="3236">
        <f>VLOOKUP($E99,CI$442:CL$453,4,FALSE)*CI99*($K99)+(CI99-CJ99-CK99)*(1-$K99)</f>
        <v>0</v>
      </c>
      <c r="CM99" s="3237"/>
      <c r="CQ99" s="3235">
        <f>$G99</f>
        <v>0</v>
      </c>
      <c r="CR99" s="3236">
        <f>VLOOKUP($E99,CQ$442:CT$453,2,FALSE)*CQ99*($K99)+IF($G99&gt;0,($H99/$G99)*CQ99,0)*(1-$K99)</f>
        <v>0</v>
      </c>
      <c r="CS99" s="3236">
        <f>VLOOKUP($E99,CQ$442:CT$453,3,FALSE)*CQ99*($K99)+IF($G99&gt;0,($I99/$G99)*CQ99,0)*(1-$K99)</f>
        <v>0</v>
      </c>
      <c r="CT99" s="3236">
        <f>VLOOKUP($E99,CQ$442:CT$453,4,FALSE)*CQ99*($K99)+(CQ99-CR99-CS99)*(1-$K99)</f>
        <v>0</v>
      </c>
      <c r="CU99" s="3237"/>
      <c r="CY99" s="3235">
        <f>$G99</f>
        <v>0</v>
      </c>
      <c r="CZ99" s="3236">
        <f>VLOOKUP($E99,CY$442:DB$453,2,FALSE)*CY99*($K99)+IF($G99&gt;0,($H99/$G99)*CY99,0)*(1-$K99)</f>
        <v>0</v>
      </c>
      <c r="DA99" s="3236">
        <f>VLOOKUP($E99,CY$442:DB$453,3,FALSE)*CY99*($K99)+IF($G99&gt;0,($I99/$G99)*CY99,0)*(1-$K99)</f>
        <v>0</v>
      </c>
      <c r="DB99" s="3236">
        <f>VLOOKUP($E99,CY$442:DB$453,4,FALSE)*CY99*($K99)+(CY99-CZ99-DA99)*(1-$K99)</f>
        <v>0</v>
      </c>
      <c r="DC99" s="3237"/>
      <c r="DG99" s="3235">
        <f>$G99</f>
        <v>0</v>
      </c>
      <c r="DH99" s="3236">
        <f>VLOOKUP($E99,DG$442:DJ$453,2,FALSE)*DG99*($K99)+IF($G99&gt;0,($H99/$G99)*DG99,0)*(1-$K99)</f>
        <v>0</v>
      </c>
      <c r="DI99" s="3236">
        <f>VLOOKUP($E99,DG$442:DJ$453,3,FALSE)*DG99*($K99)+IF($G99&gt;0,($I99/$G99)*DG99,0)*(1-$K99)</f>
        <v>0</v>
      </c>
      <c r="DJ99" s="3236">
        <f>VLOOKUP($E99,DG$442:DJ$453,4,FALSE)*DG99*($K99)+(DG99-DH99-DI99)*(1-$K99)</f>
        <v>0</v>
      </c>
      <c r="DK99" s="3237"/>
      <c r="DO99" s="3235">
        <f>$G99</f>
        <v>0</v>
      </c>
      <c r="DP99" s="3236">
        <f>VLOOKUP($E99,DO$442:DR$453,2,FALSE)*DO99*($K99)+IF($G99&gt;0,($H99/$G99)*DO99,0)*(1-$K99)</f>
        <v>0</v>
      </c>
      <c r="DQ99" s="3236">
        <f>VLOOKUP($E99,DO$442:DR$453,3,FALSE)*DO99*($K99)+IF($G99&gt;0,($I99/$G99)*DO99,0)*(1-$K99)</f>
        <v>0</v>
      </c>
      <c r="DR99" s="3236">
        <f>VLOOKUP($E99,DO$442:DR$453,4,FALSE)*DO99*($K99)+(DO99-DP99-DQ99)*(1-$K99)</f>
        <v>0</v>
      </c>
      <c r="DS99" s="3237"/>
      <c r="DW99" s="3235">
        <f>$G99</f>
        <v>0</v>
      </c>
      <c r="DX99" s="3236">
        <f>VLOOKUP($E99,DW$442:DZ$453,2,FALSE)*DW99*($K99)+IF($G99&gt;0,($H99/$G99)*DW99,0)*(1-$K99)</f>
        <v>0</v>
      </c>
      <c r="DY99" s="3236">
        <f>VLOOKUP($E99,DW$442:DZ$453,3,FALSE)*DW99*($K99)+IF($G99&gt;0,($I99/$G99)*DW99,0)*(1-$K99)</f>
        <v>0</v>
      </c>
      <c r="DZ99" s="3236">
        <f>VLOOKUP($E99,DW$442:DZ$453,4,FALSE)*DW99*($K99)+(DW99-DX99-DY99)*(1-$K99)</f>
        <v>0</v>
      </c>
      <c r="EA99" s="3237"/>
      <c r="EE99" s="3235">
        <f>$G99</f>
        <v>0</v>
      </c>
      <c r="EF99" s="3236">
        <f>VLOOKUP($E99,EE$442:EH$453,2,FALSE)*EE99*($K99)+IF($G99&gt;0,($H99/$G99)*EE99,0)*(1-$K99)</f>
        <v>0</v>
      </c>
      <c r="EG99" s="3236">
        <f>VLOOKUP($E99,EE$442:EH$453,3,FALSE)*EE99*($K99)+IF($G99&gt;0,($I99/$G99)*EE99,0)*(1-$K99)</f>
        <v>0</v>
      </c>
      <c r="EH99" s="3236">
        <f>VLOOKUP($E99,EE$442:EH$453,4,FALSE)*EE99*($K99)+(EE99-EF99-EG99)*(1-$K99)</f>
        <v>0</v>
      </c>
      <c r="EI99" s="3237"/>
      <c r="EM99" s="3235">
        <f>$G99</f>
        <v>0</v>
      </c>
      <c r="EN99" s="3236">
        <f>VLOOKUP($E99,EM$442:EP$453,2,FALSE)*EM99*($K99)+IF($G99&gt;0,($H99/$G99)*EM99,0)*(1-$K99)</f>
        <v>0</v>
      </c>
      <c r="EO99" s="3236">
        <f>VLOOKUP($E99,EM$442:EP$453,3,FALSE)*EM99*($K99)+IF($G99&gt;0,($I99/$G99)*EM99,0)*(1-$K99)</f>
        <v>0</v>
      </c>
      <c r="EP99" s="3236">
        <f>VLOOKUP($E99,EM$442:EP$453,4,FALSE)*EM99*($K99)+(EM99-EN99-EO99)*(1-$K99)</f>
        <v>0</v>
      </c>
      <c r="EQ99" s="3237"/>
      <c r="EU99" s="3235">
        <f>$G99</f>
        <v>0</v>
      </c>
      <c r="EV99" s="3236">
        <f>VLOOKUP($E99,EU$442:EX$453,2,FALSE)*EU99*($K99)+IF($G99&gt;0,($H99/$G99)*EU99,0)*(1-$K99)</f>
        <v>0</v>
      </c>
      <c r="EW99" s="3236">
        <f>VLOOKUP($E99,EU$442:EX$453,3,FALSE)*EU99*($K99)+IF($G99&gt;0,($I99/$G99)*EU99,0)*(1-$K99)</f>
        <v>0</v>
      </c>
      <c r="EX99" s="3236">
        <f>VLOOKUP($E99,EU$442:EX$453,4,FALSE)*EU99*($K99)+(EU99-EV99-EW99)*(1-$K99)</f>
        <v>0</v>
      </c>
      <c r="EY99" s="3237"/>
      <c r="FC99" s="3235">
        <f>$G99</f>
        <v>0</v>
      </c>
      <c r="FD99" s="3236">
        <f>VLOOKUP($E99,FC$442:FF$453,2,FALSE)*FC99*($K99)+IF($G99&gt;0,($H99/$G99)*FC99,0)*(1-$K99)</f>
        <v>0</v>
      </c>
      <c r="FE99" s="3236">
        <f>VLOOKUP($E99,FC$442:FF$453,3,FALSE)*FC99*($K99)+IF($G99&gt;0,($I99/$G99)*FC99,0)*(1-$K99)</f>
        <v>0</v>
      </c>
      <c r="FF99" s="3236">
        <f>VLOOKUP($E99,FC$442:FF$453,4,FALSE)*FC99*($K99)+(FC99-FD99-FE99)*(1-$K99)</f>
        <v>0</v>
      </c>
      <c r="FG99" s="3237"/>
      <c r="FK99" s="3235">
        <f>$G99</f>
        <v>0</v>
      </c>
      <c r="FL99" s="3236">
        <f>VLOOKUP($E99,FK$442:FN$453,2,FALSE)*FK99*($K99)+IF($G99&gt;0,($H99/$G99)*FK99,0)*(1-$K99)</f>
        <v>0</v>
      </c>
      <c r="FM99" s="3236">
        <f>VLOOKUP($E99,FK$442:FN$453,3,FALSE)*FK99*($K99)+IF($G99&gt;0,($I99/$G99)*FK99,0)*(1-$K99)</f>
        <v>0</v>
      </c>
      <c r="FN99" s="3236">
        <f>VLOOKUP($E99,FK$442:FN$453,4,FALSE)*FK99*($K99)+(FK99-FL99-FM99)*(1-$K99)</f>
        <v>0</v>
      </c>
      <c r="FO99" s="3237"/>
    </row>
    <row r="100" spans="1:171">
      <c r="A100" s="2442"/>
      <c r="B100" s="3206" t="s">
        <v>104</v>
      </c>
      <c r="C100" s="3256"/>
      <c r="D100" s="3257"/>
      <c r="E100" s="3257"/>
      <c r="F100" s="3258"/>
      <c r="G100" s="3265">
        <f>SUM(G96:G99)</f>
        <v>59409403.679956228</v>
      </c>
      <c r="H100" s="3265">
        <f>SUM(H96:H99)</f>
        <v>0</v>
      </c>
      <c r="I100" s="3265">
        <f>SUM(I96:I99)</f>
        <v>0</v>
      </c>
      <c r="J100" s="3266">
        <f>SUM(J96:J99)</f>
        <v>59409403.679956228</v>
      </c>
      <c r="K100" s="3205"/>
      <c r="O100" s="3281">
        <f>SUM(O96:O99)</f>
        <v>59409403.679956228</v>
      </c>
      <c r="P100" s="3281">
        <f>SUM(P96:P99)</f>
        <v>0</v>
      </c>
      <c r="Q100" s="3281">
        <f>SUM(Q96:Q99)</f>
        <v>0</v>
      </c>
      <c r="R100" s="3281">
        <f>SUM(R96:R99)</f>
        <v>59409403.679956228</v>
      </c>
      <c r="S100" s="3237"/>
      <c r="W100" s="3281">
        <f>SUM(W96:W99)</f>
        <v>59409403.679956228</v>
      </c>
      <c r="X100" s="3281">
        <f>SUM(X96:X99)</f>
        <v>0</v>
      </c>
      <c r="Y100" s="3281">
        <f>SUM(Y96:Y99)</f>
        <v>0</v>
      </c>
      <c r="Z100" s="3281">
        <f>SUM(Z96:Z99)</f>
        <v>59409403.679956228</v>
      </c>
      <c r="AA100" s="3237"/>
      <c r="AE100" s="3281">
        <f>SUM(AE96:AE99)</f>
        <v>59409403.679956228</v>
      </c>
      <c r="AF100" s="3281">
        <f>SUM(AF96:AF99)</f>
        <v>0</v>
      </c>
      <c r="AG100" s="3281">
        <f>SUM(AG96:AG99)</f>
        <v>0</v>
      </c>
      <c r="AH100" s="3281">
        <f>SUM(AH96:AH99)</f>
        <v>59409403.679956228</v>
      </c>
      <c r="AI100" s="3237"/>
      <c r="AM100" s="3281">
        <f>SUM(AM96:AM99)</f>
        <v>59409403.679956228</v>
      </c>
      <c r="AN100" s="3281">
        <f>SUM(AN96:AN99)</f>
        <v>0</v>
      </c>
      <c r="AO100" s="3281">
        <f>SUM(AO96:AO99)</f>
        <v>0</v>
      </c>
      <c r="AP100" s="3281">
        <f>SUM(AP96:AP99)</f>
        <v>59409403.679956228</v>
      </c>
      <c r="AQ100" s="3237"/>
      <c r="AU100" s="3281">
        <f>SUM(AU96:AU99)</f>
        <v>59409403.679956228</v>
      </c>
      <c r="AV100" s="3281">
        <f>SUM(AV96:AV99)</f>
        <v>0</v>
      </c>
      <c r="AW100" s="3281">
        <f>SUM(AW96:AW99)</f>
        <v>0</v>
      </c>
      <c r="AX100" s="3281">
        <f>SUM(AX96:AX99)</f>
        <v>59409403.679956228</v>
      </c>
      <c r="AY100" s="3237"/>
      <c r="BC100" s="3281">
        <f>SUM(BC96:BC99)</f>
        <v>59409403.679956228</v>
      </c>
      <c r="BD100" s="3281">
        <f>SUM(BD96:BD99)</f>
        <v>0</v>
      </c>
      <c r="BE100" s="3281">
        <f>SUM(BE96:BE99)</f>
        <v>0</v>
      </c>
      <c r="BF100" s="3281">
        <f>SUM(BF96:BF99)</f>
        <v>59409403.679956228</v>
      </c>
      <c r="BG100" s="3237"/>
      <c r="BK100" s="3281">
        <f>SUM(BK96:BK99)</f>
        <v>59409403.679956228</v>
      </c>
      <c r="BL100" s="3281">
        <f>SUM(BL96:BL99)</f>
        <v>0</v>
      </c>
      <c r="BM100" s="3281">
        <f>SUM(BM96:BM99)</f>
        <v>0</v>
      </c>
      <c r="BN100" s="3281">
        <f>SUM(BN96:BN99)</f>
        <v>59409403.679956228</v>
      </c>
      <c r="BO100" s="3237"/>
      <c r="BS100" s="3281">
        <f>SUM(BS96:BS99)</f>
        <v>59409403.679956228</v>
      </c>
      <c r="BT100" s="3281">
        <f>SUM(BT96:BT99)</f>
        <v>0</v>
      </c>
      <c r="BU100" s="3281">
        <f>SUM(BU96:BU99)</f>
        <v>0</v>
      </c>
      <c r="BV100" s="3281">
        <f>SUM(BV96:BV99)</f>
        <v>59409403.679956228</v>
      </c>
      <c r="BW100" s="3237"/>
      <c r="CA100" s="3281">
        <f>SUM(CA96:CA99)</f>
        <v>59409403.679956228</v>
      </c>
      <c r="CB100" s="3281">
        <f>SUM(CB96:CB99)</f>
        <v>0</v>
      </c>
      <c r="CC100" s="3281">
        <f>SUM(CC96:CC99)</f>
        <v>0</v>
      </c>
      <c r="CD100" s="3281">
        <f>SUM(CD96:CD99)</f>
        <v>59409403.679956228</v>
      </c>
      <c r="CE100" s="3237"/>
      <c r="CI100" s="3281">
        <f>SUM(CI96:CI99)</f>
        <v>59409403.679956228</v>
      </c>
      <c r="CJ100" s="3281">
        <f>SUM(CJ96:CJ99)</f>
        <v>0</v>
      </c>
      <c r="CK100" s="3281">
        <f>SUM(CK96:CK99)</f>
        <v>0</v>
      </c>
      <c r="CL100" s="3281">
        <f>SUM(CL96:CL99)</f>
        <v>59409403.679956228</v>
      </c>
      <c r="CM100" s="3237"/>
      <c r="CQ100" s="3281">
        <f>SUM(CQ96:CQ99)</f>
        <v>59409403.679956228</v>
      </c>
      <c r="CR100" s="3281">
        <f>SUM(CR96:CR99)</f>
        <v>0</v>
      </c>
      <c r="CS100" s="3281">
        <f>SUM(CS96:CS99)</f>
        <v>0</v>
      </c>
      <c r="CT100" s="3281">
        <f>SUM(CT96:CT99)</f>
        <v>59409403.679956228</v>
      </c>
      <c r="CU100" s="3237"/>
      <c r="CY100" s="3281">
        <f>SUM(CY96:CY99)</f>
        <v>59409403.679956228</v>
      </c>
      <c r="CZ100" s="3281">
        <f>SUM(CZ96:CZ99)</f>
        <v>0</v>
      </c>
      <c r="DA100" s="3281">
        <f>SUM(DA96:DA99)</f>
        <v>0</v>
      </c>
      <c r="DB100" s="3281">
        <f>SUM(DB96:DB99)</f>
        <v>59409403.679956228</v>
      </c>
      <c r="DC100" s="3237"/>
      <c r="DG100" s="3281">
        <f>SUM(DG96:DG99)</f>
        <v>59409403.679956228</v>
      </c>
      <c r="DH100" s="3281">
        <f>SUM(DH96:DH99)</f>
        <v>0</v>
      </c>
      <c r="DI100" s="3281">
        <f>SUM(DI96:DI99)</f>
        <v>0</v>
      </c>
      <c r="DJ100" s="3281">
        <f>SUM(DJ96:DJ99)</f>
        <v>59409403.679956228</v>
      </c>
      <c r="DK100" s="3237"/>
      <c r="DO100" s="3281">
        <f>SUM(DO96:DO99)</f>
        <v>59409403.679956228</v>
      </c>
      <c r="DP100" s="3281">
        <f>SUM(DP96:DP99)</f>
        <v>0</v>
      </c>
      <c r="DQ100" s="3281">
        <f>SUM(DQ96:DQ99)</f>
        <v>0</v>
      </c>
      <c r="DR100" s="3281">
        <f>SUM(DR96:DR99)</f>
        <v>59409403.679956228</v>
      </c>
      <c r="DS100" s="3237"/>
      <c r="DW100" s="3281">
        <f>SUM(DW96:DW99)</f>
        <v>59409403.679956228</v>
      </c>
      <c r="DX100" s="3281">
        <f>SUM(DX96:DX99)</f>
        <v>0</v>
      </c>
      <c r="DY100" s="3281">
        <f>SUM(DY96:DY99)</f>
        <v>0</v>
      </c>
      <c r="DZ100" s="3281">
        <f>SUM(DZ96:DZ99)</f>
        <v>59409403.679956228</v>
      </c>
      <c r="EA100" s="3237"/>
      <c r="EE100" s="3281">
        <f>SUM(EE96:EE99)</f>
        <v>59409403.679956228</v>
      </c>
      <c r="EF100" s="3281">
        <f>SUM(EF96:EF99)</f>
        <v>0</v>
      </c>
      <c r="EG100" s="3281">
        <f>SUM(EG96:EG99)</f>
        <v>0</v>
      </c>
      <c r="EH100" s="3281">
        <f>SUM(EH96:EH99)</f>
        <v>59409403.679956228</v>
      </c>
      <c r="EI100" s="3237"/>
      <c r="EM100" s="3281">
        <f>SUM(EM96:EM99)</f>
        <v>59409403.679956228</v>
      </c>
      <c r="EN100" s="3281">
        <f>SUM(EN96:EN99)</f>
        <v>0</v>
      </c>
      <c r="EO100" s="3281">
        <f>SUM(EO96:EO99)</f>
        <v>0</v>
      </c>
      <c r="EP100" s="3281">
        <f>SUM(EP96:EP99)</f>
        <v>59409403.679956228</v>
      </c>
      <c r="EQ100" s="3237"/>
      <c r="EU100" s="3281">
        <f>SUM(EU96:EU99)</f>
        <v>59409403.679956228</v>
      </c>
      <c r="EV100" s="3281">
        <f>SUM(EV96:EV99)</f>
        <v>0</v>
      </c>
      <c r="EW100" s="3281">
        <f>SUM(EW96:EW99)</f>
        <v>0</v>
      </c>
      <c r="EX100" s="3281">
        <f>SUM(EX96:EX99)</f>
        <v>59409403.679956228</v>
      </c>
      <c r="EY100" s="3237"/>
      <c r="FC100" s="3281">
        <f>SUM(FC96:FC99)</f>
        <v>59409403.679956228</v>
      </c>
      <c r="FD100" s="3281">
        <f>SUM(FD96:FD99)</f>
        <v>0</v>
      </c>
      <c r="FE100" s="3281">
        <f>SUM(FE96:FE99)</f>
        <v>0</v>
      </c>
      <c r="FF100" s="3281">
        <f>SUM(FF96:FF99)</f>
        <v>59409403.679956228</v>
      </c>
      <c r="FG100" s="3237"/>
      <c r="FK100" s="3281">
        <f>SUM(FK96:FK99)</f>
        <v>59409403.679956228</v>
      </c>
      <c r="FL100" s="3281">
        <f>SUM(FL96:FL99)</f>
        <v>0</v>
      </c>
      <c r="FM100" s="3281">
        <f>SUM(FM96:FM99)</f>
        <v>0</v>
      </c>
      <c r="FN100" s="3281">
        <f>SUM(FN96:FN99)</f>
        <v>59409403.679956228</v>
      </c>
      <c r="FO100" s="3237"/>
    </row>
    <row r="101" spans="1:171">
      <c r="A101" s="2714"/>
      <c r="J101" s="2340"/>
      <c r="K101" s="3205"/>
      <c r="S101" s="3237"/>
      <c r="AA101" s="3237"/>
      <c r="AI101" s="3237"/>
      <c r="AQ101" s="3237"/>
      <c r="AY101" s="3237"/>
      <c r="BG101" s="3237"/>
      <c r="BO101" s="3237"/>
      <c r="BW101" s="3237"/>
      <c r="CE101" s="3237"/>
      <c r="CM101" s="3237"/>
      <c r="CU101" s="3237"/>
      <c r="DC101" s="3237"/>
      <c r="DK101" s="3237"/>
      <c r="DS101" s="3237"/>
      <c r="EA101" s="3237"/>
      <c r="EI101" s="3237"/>
      <c r="EQ101" s="3237"/>
      <c r="EY101" s="3237"/>
      <c r="FG101" s="3237"/>
      <c r="FO101" s="3237"/>
    </row>
    <row r="102" spans="1:171">
      <c r="A102" s="3276" t="s">
        <v>177</v>
      </c>
      <c r="B102" s="2290"/>
      <c r="C102" s="2112"/>
      <c r="D102" s="2098"/>
      <c r="E102" s="2098"/>
      <c r="F102" s="2098"/>
      <c r="G102" s="3282"/>
      <c r="H102" s="3282"/>
      <c r="I102" s="3282"/>
      <c r="J102" s="3283"/>
      <c r="K102" s="3205"/>
      <c r="S102" s="3237"/>
      <c r="AA102" s="3237"/>
      <c r="AI102" s="3237"/>
      <c r="AQ102" s="3237"/>
      <c r="AY102" s="3237"/>
      <c r="BG102" s="3237"/>
      <c r="BO102" s="3237"/>
      <c r="BW102" s="3237"/>
      <c r="CE102" s="3237"/>
      <c r="CM102" s="3237"/>
      <c r="CU102" s="3237"/>
      <c r="DC102" s="3237"/>
      <c r="DK102" s="3237"/>
      <c r="DS102" s="3237"/>
      <c r="EA102" s="3237"/>
      <c r="EI102" s="3237"/>
      <c r="EQ102" s="3237"/>
      <c r="EY102" s="3237"/>
      <c r="FG102" s="3237"/>
      <c r="FO102" s="3237"/>
    </row>
    <row r="103" spans="1:171">
      <c r="A103" s="3254">
        <v>91000</v>
      </c>
      <c r="B103" s="2097" t="s">
        <v>435</v>
      </c>
      <c r="C103" s="2464" t="s">
        <v>78</v>
      </c>
      <c r="D103" s="2464">
        <v>151</v>
      </c>
      <c r="E103" s="2424" t="str">
        <f>'Sch 1- Rate Base '!E103</f>
        <v>PROD</v>
      </c>
      <c r="F103" s="2171"/>
      <c r="G103" s="2424">
        <f>'Sch 1- Rate Base '!G103</f>
        <v>32051446.329999998</v>
      </c>
      <c r="H103" s="2424">
        <f>'Sch 1- Rate Base '!H103</f>
        <v>32051446.329999998</v>
      </c>
      <c r="I103" s="2424">
        <f>'Sch 1- Rate Base '!I103</f>
        <v>0</v>
      </c>
      <c r="J103" s="2425">
        <f>'Sch 1- Rate Base '!J103</f>
        <v>0</v>
      </c>
      <c r="K103" s="3205">
        <f t="shared" ref="K103:K115" si="244">IF($E103="DIRECT",0,1)</f>
        <v>1</v>
      </c>
      <c r="N103" s="3284">
        <f>VLOOKUP($A103,'New Resources - Individual'!$A$4:$Y$133,N$2,FALSE)*N$1</f>
        <v>0</v>
      </c>
      <c r="O103" s="3235">
        <f t="shared" ref="O103:O108" si="245">$G103+N103</f>
        <v>32051446.329999998</v>
      </c>
      <c r="P103" s="3236">
        <f t="shared" ref="P103:P109" si="246">VLOOKUP($E103,O$442:R$453,2,FALSE)*O103*($K103)+IF($G103&gt;0,($H103/$G103)*O103,0)*(1-$K103)</f>
        <v>32051446.329999998</v>
      </c>
      <c r="Q103" s="3236">
        <f t="shared" ref="Q103:Q109" si="247">VLOOKUP($E103,O$442:R$453,3,FALSE)*O103*($K103)+IF($G103&gt;0,($I103/$G103)*O103,0)*(1-$K103)</f>
        <v>0</v>
      </c>
      <c r="R103" s="3236">
        <f t="shared" ref="R103:R110" si="248">VLOOKUP($E103,O$442:R$453,4,FALSE)*O103*($K103)+(O103-P103-Q103)*(1-$K103)</f>
        <v>0</v>
      </c>
      <c r="S103" s="3237"/>
      <c r="V103" s="3284">
        <f>VLOOKUP($A103,'New Resources - Individual'!$A$4:$Y$133,V$2,FALSE)*V$1</f>
        <v>0</v>
      </c>
      <c r="W103" s="3235">
        <f t="shared" ref="W103:W108" si="249">$G103+V103</f>
        <v>32051446.329999998</v>
      </c>
      <c r="X103" s="3236">
        <f t="shared" ref="X103:X109" si="250">VLOOKUP($E103,W$442:Z$453,2,FALSE)*W103*($K103)+IF($G103&gt;0,($H103/$G103)*W103,0)*(1-$K103)</f>
        <v>32051446.329999998</v>
      </c>
      <c r="Y103" s="3236">
        <f t="shared" ref="Y103:Y109" si="251">VLOOKUP($E103,W$442:Z$453,3,FALSE)*W103*($K103)+IF($G103&gt;0,($I103/$G103)*W103,0)*(1-$K103)</f>
        <v>0</v>
      </c>
      <c r="Z103" s="3236">
        <f t="shared" ref="Z103:Z110" si="252">VLOOKUP($E103,W$442:Z$453,4,FALSE)*W103*($K103)+(W103-X103-Y103)*(1-$K103)</f>
        <v>0</v>
      </c>
      <c r="AA103" s="3237"/>
      <c r="AD103" s="3284">
        <f>VLOOKUP($A103,'New Resources - Individual'!$A$4:$Y$133,AD$2,FALSE)*AD$1</f>
        <v>0</v>
      </c>
      <c r="AE103" s="3235">
        <f t="shared" ref="AE103:AE108" si="253">$G103+AD103</f>
        <v>32051446.329999998</v>
      </c>
      <c r="AF103" s="3236">
        <f t="shared" ref="AF103:AF109" si="254">VLOOKUP($E103,AE$442:AH$453,2,FALSE)*AE103*($K103)+IF($G103&gt;0,($H103/$G103)*AE103,0)*(1-$K103)</f>
        <v>32051446.329999998</v>
      </c>
      <c r="AG103" s="3236">
        <f t="shared" ref="AG103:AG109" si="255">VLOOKUP($E103,AE$442:AH$453,3,FALSE)*AE103*($K103)+IF($G103&gt;0,($I103/$G103)*AE103,0)*(1-$K103)</f>
        <v>0</v>
      </c>
      <c r="AH103" s="3236">
        <f t="shared" ref="AH103:AH110" si="256">VLOOKUP($E103,AE$442:AH$453,4,FALSE)*AE103*($K103)+(AE103-AF103-AG103)*(1-$K103)</f>
        <v>0</v>
      </c>
      <c r="AI103" s="3237"/>
      <c r="AL103" s="3284">
        <f>VLOOKUP($A103,'New Resources - Individual'!$A$4:$Y$133,AL$2,FALSE)*AL$1</f>
        <v>0</v>
      </c>
      <c r="AM103" s="3235">
        <f t="shared" ref="AM103:AM108" si="257">$G103+AL103</f>
        <v>32051446.329999998</v>
      </c>
      <c r="AN103" s="3236">
        <f t="shared" ref="AN103:AN109" si="258">VLOOKUP($E103,AM$442:AP$453,2,FALSE)*AM103*($K103)+IF($G103&gt;0,($H103/$G103)*AM103,0)*(1-$K103)</f>
        <v>32051446.329999998</v>
      </c>
      <c r="AO103" s="3236">
        <f t="shared" ref="AO103:AO109" si="259">VLOOKUP($E103,AM$442:AP$453,3,FALSE)*AM103*($K103)+IF($G103&gt;0,($I103/$G103)*AM103,0)*(1-$K103)</f>
        <v>0</v>
      </c>
      <c r="AP103" s="3236">
        <f t="shared" ref="AP103:AP110" si="260">VLOOKUP($E103,AM$442:AP$453,4,FALSE)*AM103*($K103)+(AM103-AN103-AO103)*(1-$K103)</f>
        <v>0</v>
      </c>
      <c r="AQ103" s="3237"/>
      <c r="AT103" s="3284">
        <f>VLOOKUP($A103,'New Resources - Individual'!$A$4:$Y$133,AT$2,FALSE)*AT$1</f>
        <v>0</v>
      </c>
      <c r="AU103" s="3235">
        <f t="shared" ref="AU103:AU108" si="261">$G103+AT103</f>
        <v>32051446.329999998</v>
      </c>
      <c r="AV103" s="3236">
        <f t="shared" ref="AV103:AV109" si="262">VLOOKUP($E103,AU$442:AX$453,2,FALSE)*AU103*($K103)+IF($G103&gt;0,($H103/$G103)*AU103,0)*(1-$K103)</f>
        <v>32051446.329999998</v>
      </c>
      <c r="AW103" s="3236">
        <f t="shared" ref="AW103:AW109" si="263">VLOOKUP($E103,AU$442:AX$453,3,FALSE)*AU103*($K103)+IF($G103&gt;0,($I103/$G103)*AU103,0)*(1-$K103)</f>
        <v>0</v>
      </c>
      <c r="AX103" s="3236">
        <f t="shared" ref="AX103:AX110" si="264">VLOOKUP($E103,AU$442:AX$453,4,FALSE)*AU103*($K103)+(AU103-AV103-AW103)*(1-$K103)</f>
        <v>0</v>
      </c>
      <c r="AY103" s="3237"/>
      <c r="BB103" s="3284">
        <f>VLOOKUP($A103,'New Resources - Individual'!$A$4:$Y$133,BB$2,FALSE)*BB$1</f>
        <v>0</v>
      </c>
      <c r="BC103" s="3235">
        <f t="shared" ref="BC103:BC108" si="265">$G103+BB103</f>
        <v>32051446.329999998</v>
      </c>
      <c r="BD103" s="3236">
        <f t="shared" ref="BD103:BD109" si="266">VLOOKUP($E103,BC$442:BF$453,2,FALSE)*BC103*($K103)+IF($G103&gt;0,($H103/$G103)*BC103,0)*(1-$K103)</f>
        <v>32051446.329999998</v>
      </c>
      <c r="BE103" s="3236">
        <f t="shared" ref="BE103:BE109" si="267">VLOOKUP($E103,BC$442:BF$453,3,FALSE)*BC103*($K103)+IF($G103&gt;0,($I103/$G103)*BC103,0)*(1-$K103)</f>
        <v>0</v>
      </c>
      <c r="BF103" s="3236">
        <f t="shared" ref="BF103:BF110" si="268">VLOOKUP($E103,BC$442:BF$453,4,FALSE)*BC103*($K103)+(BC103-BD103-BE103)*(1-$K103)</f>
        <v>0</v>
      </c>
      <c r="BG103" s="3237"/>
      <c r="BJ103" s="3284">
        <f>VLOOKUP($A103,'New Resources - Individual'!$A$4:$Y$133,BJ$2,FALSE)*BJ$1</f>
        <v>0</v>
      </c>
      <c r="BK103" s="3235">
        <f t="shared" ref="BK103:BK108" si="269">$G103+BJ103</f>
        <v>32051446.329999998</v>
      </c>
      <c r="BL103" s="3236">
        <f t="shared" ref="BL103:BL109" si="270">VLOOKUP($E103,BK$442:BN$453,2,FALSE)*BK103*($K103)+IF($G103&gt;0,($H103/$G103)*BK103,0)*(1-$K103)</f>
        <v>32051446.329999998</v>
      </c>
      <c r="BM103" s="3236">
        <f t="shared" ref="BM103:BM109" si="271">VLOOKUP($E103,BK$442:BN$453,3,FALSE)*BK103*($K103)+IF($G103&gt;0,($I103/$G103)*BK103,0)*(1-$K103)</f>
        <v>0</v>
      </c>
      <c r="BN103" s="3236">
        <f t="shared" ref="BN103:BN110" si="272">VLOOKUP($E103,BK$442:BN$453,4,FALSE)*BK103*($K103)+(BK103-BL103-BM103)*(1-$K103)</f>
        <v>0</v>
      </c>
      <c r="BO103" s="3237"/>
      <c r="BR103" s="3284">
        <f>VLOOKUP($A103,'New Resources - Individual'!$A$4:$Y$133,BR$2,FALSE)*BR$1</f>
        <v>0</v>
      </c>
      <c r="BS103" s="3235">
        <f t="shared" ref="BS103:BS108" si="273">$G103+BR103</f>
        <v>32051446.329999998</v>
      </c>
      <c r="BT103" s="3236">
        <f t="shared" ref="BT103:BT109" si="274">VLOOKUP($E103,BS$442:BV$453,2,FALSE)*BS103*($K103)+IF($G103&gt;0,($H103/$G103)*BS103,0)*(1-$K103)</f>
        <v>32051446.329999998</v>
      </c>
      <c r="BU103" s="3236">
        <f t="shared" ref="BU103:BU109" si="275">VLOOKUP($E103,BS$442:BV$453,3,FALSE)*BS103*($K103)+IF($G103&gt;0,($I103/$G103)*BS103,0)*(1-$K103)</f>
        <v>0</v>
      </c>
      <c r="BV103" s="3236">
        <f t="shared" ref="BV103:BV110" si="276">VLOOKUP($E103,BS$442:BV$453,4,FALSE)*BS103*($K103)+(BS103-BT103-BU103)*(1-$K103)</f>
        <v>0</v>
      </c>
      <c r="BW103" s="3237"/>
      <c r="BZ103" s="3284">
        <f>VLOOKUP($A103,'New Resources - Individual'!$A$4:$Y$133,BZ$2,FALSE)*BZ$1</f>
        <v>0</v>
      </c>
      <c r="CA103" s="3235">
        <f t="shared" ref="CA103:CA108" si="277">$G103+BZ103</f>
        <v>32051446.329999998</v>
      </c>
      <c r="CB103" s="3236">
        <f t="shared" ref="CB103:CB109" si="278">VLOOKUP($E103,CA$442:CD$453,2,FALSE)*CA103*($K103)+IF($G103&gt;0,($H103/$G103)*CA103,0)*(1-$K103)</f>
        <v>32051446.329999998</v>
      </c>
      <c r="CC103" s="3236">
        <f t="shared" ref="CC103:CC109" si="279">VLOOKUP($E103,CA$442:CD$453,3,FALSE)*CA103*($K103)+IF($G103&gt;0,($I103/$G103)*CA103,0)*(1-$K103)</f>
        <v>0</v>
      </c>
      <c r="CD103" s="3236">
        <f t="shared" ref="CD103:CD110" si="280">VLOOKUP($E103,CA$442:CD$453,4,FALSE)*CA103*($K103)+(CA103-CB103-CC103)*(1-$K103)</f>
        <v>0</v>
      </c>
      <c r="CE103" s="3237"/>
      <c r="CH103" s="3284">
        <f>VLOOKUP($A103,'New Resources - Individual'!$A$4:$Y$133,CH$2,FALSE)*CH$1</f>
        <v>0</v>
      </c>
      <c r="CI103" s="3235">
        <f t="shared" ref="CI103:CI108" si="281">$G103+CH103</f>
        <v>32051446.329999998</v>
      </c>
      <c r="CJ103" s="3236">
        <f t="shared" ref="CJ103:CJ109" si="282">VLOOKUP($E103,CI$442:CL$453,2,FALSE)*CI103*($K103)+IF($G103&gt;0,($H103/$G103)*CI103,0)*(1-$K103)</f>
        <v>32051446.329999998</v>
      </c>
      <c r="CK103" s="3236">
        <f t="shared" ref="CK103:CK109" si="283">VLOOKUP($E103,CI$442:CL$453,3,FALSE)*CI103*($K103)+IF($G103&gt;0,($I103/$G103)*CI103,0)*(1-$K103)</f>
        <v>0</v>
      </c>
      <c r="CL103" s="3236">
        <f t="shared" ref="CL103:CL110" si="284">VLOOKUP($E103,CI$442:CL$453,4,FALSE)*CI103*($K103)+(CI103-CJ103-CK103)*(1-$K103)</f>
        <v>0</v>
      </c>
      <c r="CM103" s="3237"/>
      <c r="CP103" s="3284">
        <f>VLOOKUP($A103,'New Resources - Individual'!$A$4:$Y$133,CP$2,FALSE)*CP$1</f>
        <v>0</v>
      </c>
      <c r="CQ103" s="3235">
        <f t="shared" ref="CQ103:CQ108" si="285">$G103+CP103</f>
        <v>32051446.329999998</v>
      </c>
      <c r="CR103" s="3236">
        <f t="shared" ref="CR103:CR109" si="286">VLOOKUP($E103,CQ$442:CT$453,2,FALSE)*CQ103*($K103)+IF($G103&gt;0,($H103/$G103)*CQ103,0)*(1-$K103)</f>
        <v>32051446.329999998</v>
      </c>
      <c r="CS103" s="3236">
        <f t="shared" ref="CS103:CS109" si="287">VLOOKUP($E103,CQ$442:CT$453,3,FALSE)*CQ103*($K103)+IF($G103&gt;0,($I103/$G103)*CQ103,0)*(1-$K103)</f>
        <v>0</v>
      </c>
      <c r="CT103" s="3236">
        <f t="shared" ref="CT103:CT110" si="288">VLOOKUP($E103,CQ$442:CT$453,4,FALSE)*CQ103*($K103)+(CQ103-CR103-CS103)*(1-$K103)</f>
        <v>0</v>
      </c>
      <c r="CU103" s="3237"/>
      <c r="CX103" s="3284">
        <f>VLOOKUP($A103,'New Resources - Individual'!$A$4:$Y$133,CX$2,FALSE)*CX$1</f>
        <v>0</v>
      </c>
      <c r="CY103" s="3235">
        <f t="shared" ref="CY103:CY108" si="289">$G103+CX103</f>
        <v>32051446.329999998</v>
      </c>
      <c r="CZ103" s="3236">
        <f t="shared" ref="CZ103:CZ109" si="290">VLOOKUP($E103,CY$442:DB$453,2,FALSE)*CY103*($K103)+IF($G103&gt;0,($H103/$G103)*CY103,0)*(1-$K103)</f>
        <v>32051446.329999998</v>
      </c>
      <c r="DA103" s="3236">
        <f t="shared" ref="DA103:DA109" si="291">VLOOKUP($E103,CY$442:DB$453,3,FALSE)*CY103*($K103)+IF($G103&gt;0,($I103/$G103)*CY103,0)*(1-$K103)</f>
        <v>0</v>
      </c>
      <c r="DB103" s="3236">
        <f t="shared" ref="DB103:DB110" si="292">VLOOKUP($E103,CY$442:DB$453,4,FALSE)*CY103*($K103)+(CY103-CZ103-DA103)*(1-$K103)</f>
        <v>0</v>
      </c>
      <c r="DC103" s="3237"/>
      <c r="DF103" s="3284">
        <f>VLOOKUP($A103,'New Resources - Individual'!$A$4:$Y$133,DF$2,FALSE)*DF$1</f>
        <v>0</v>
      </c>
      <c r="DG103" s="3235">
        <f t="shared" ref="DG103:DG108" si="293">$G103+DF103</f>
        <v>32051446.329999998</v>
      </c>
      <c r="DH103" s="3236">
        <f t="shared" ref="DH103:DH109" si="294">VLOOKUP($E103,DG$442:DJ$453,2,FALSE)*DG103*($K103)+IF($G103&gt;0,($H103/$G103)*DG103,0)*(1-$K103)</f>
        <v>32051446.329999998</v>
      </c>
      <c r="DI103" s="3236">
        <f t="shared" ref="DI103:DI109" si="295">VLOOKUP($E103,DG$442:DJ$453,3,FALSE)*DG103*($K103)+IF($G103&gt;0,($I103/$G103)*DG103,0)*(1-$K103)</f>
        <v>0</v>
      </c>
      <c r="DJ103" s="3236">
        <f t="shared" ref="DJ103:DJ110" si="296">VLOOKUP($E103,DG$442:DJ$453,4,FALSE)*DG103*($K103)+(DG103-DH103-DI103)*(1-$K103)</f>
        <v>0</v>
      </c>
      <c r="DK103" s="3237"/>
      <c r="DN103" s="3284">
        <f>VLOOKUP($A103,'New Resources - Individual'!$A$4:$Y$133,DN$2,FALSE)*DN$1</f>
        <v>0</v>
      </c>
      <c r="DO103" s="3235">
        <f t="shared" ref="DO103:DO108" si="297">$G103+DN103</f>
        <v>32051446.329999998</v>
      </c>
      <c r="DP103" s="3236">
        <f t="shared" ref="DP103:DP109" si="298">VLOOKUP($E103,DO$442:DR$453,2,FALSE)*DO103*($K103)+IF($G103&gt;0,($H103/$G103)*DO103,0)*(1-$K103)</f>
        <v>32051446.329999998</v>
      </c>
      <c r="DQ103" s="3236">
        <f t="shared" ref="DQ103:DQ109" si="299">VLOOKUP($E103,DO$442:DR$453,3,FALSE)*DO103*($K103)+IF($G103&gt;0,($I103/$G103)*DO103,0)*(1-$K103)</f>
        <v>0</v>
      </c>
      <c r="DR103" s="3236">
        <f t="shared" ref="DR103:DR110" si="300">VLOOKUP($E103,DO$442:DR$453,4,FALSE)*DO103*($K103)+(DO103-DP103-DQ103)*(1-$K103)</f>
        <v>0</v>
      </c>
      <c r="DS103" s="3237"/>
      <c r="DV103" s="3284">
        <f>VLOOKUP($A103,'New Resources - Individual'!$A$4:$Y$133,DV$2,FALSE)*DV$1</f>
        <v>0</v>
      </c>
      <c r="DW103" s="3235">
        <f t="shared" ref="DW103:DW108" si="301">$G103+DV103</f>
        <v>32051446.329999998</v>
      </c>
      <c r="DX103" s="3236">
        <f t="shared" ref="DX103:DX109" si="302">VLOOKUP($E103,DW$442:DZ$453,2,FALSE)*DW103*($K103)+IF($G103&gt;0,($H103/$G103)*DW103,0)*(1-$K103)</f>
        <v>32051446.329999998</v>
      </c>
      <c r="DY103" s="3236">
        <f t="shared" ref="DY103:DY109" si="303">VLOOKUP($E103,DW$442:DZ$453,3,FALSE)*DW103*($K103)+IF($G103&gt;0,($I103/$G103)*DW103,0)*(1-$K103)</f>
        <v>0</v>
      </c>
      <c r="DZ103" s="3236">
        <f t="shared" ref="DZ103:DZ110" si="304">VLOOKUP($E103,DW$442:DZ$453,4,FALSE)*DW103*($K103)+(DW103-DX103-DY103)*(1-$K103)</f>
        <v>0</v>
      </c>
      <c r="EA103" s="3237"/>
      <c r="ED103" s="3284">
        <f>VLOOKUP($A103,'New Resources - Individual'!$A$4:$Y$133,ED$2,FALSE)*ED$1</f>
        <v>0</v>
      </c>
      <c r="EE103" s="3235">
        <f t="shared" ref="EE103:EE108" si="305">$G103+ED103</f>
        <v>32051446.329999998</v>
      </c>
      <c r="EF103" s="3236">
        <f t="shared" ref="EF103:EF109" si="306">VLOOKUP($E103,EE$442:EH$453,2,FALSE)*EE103*($K103)+IF($G103&gt;0,($H103/$G103)*EE103,0)*(1-$K103)</f>
        <v>32051446.329999998</v>
      </c>
      <c r="EG103" s="3236">
        <f t="shared" ref="EG103:EG109" si="307">VLOOKUP($E103,EE$442:EH$453,3,FALSE)*EE103*($K103)+IF($G103&gt;0,($I103/$G103)*EE103,0)*(1-$K103)</f>
        <v>0</v>
      </c>
      <c r="EH103" s="3236">
        <f t="shared" ref="EH103:EH110" si="308">VLOOKUP($E103,EE$442:EH$453,4,FALSE)*EE103*($K103)+(EE103-EF103-EG103)*(1-$K103)</f>
        <v>0</v>
      </c>
      <c r="EI103" s="3237"/>
      <c r="EL103" s="3284">
        <f>VLOOKUP($A103,'New Resources - Individual'!$A$4:$Y$133,EL$2,FALSE)*EL$1</f>
        <v>0</v>
      </c>
      <c r="EM103" s="3235">
        <f t="shared" ref="EM103:EM108" si="309">$G103+EL103</f>
        <v>32051446.329999998</v>
      </c>
      <c r="EN103" s="3236">
        <f t="shared" ref="EN103:EN109" si="310">VLOOKUP($E103,EM$442:EP$453,2,FALSE)*EM103*($K103)+IF($G103&gt;0,($H103/$G103)*EM103,0)*(1-$K103)</f>
        <v>32051446.329999998</v>
      </c>
      <c r="EO103" s="3236">
        <f t="shared" ref="EO103:EO109" si="311">VLOOKUP($E103,EM$442:EP$453,3,FALSE)*EM103*($K103)+IF($G103&gt;0,($I103/$G103)*EM103,0)*(1-$K103)</f>
        <v>0</v>
      </c>
      <c r="EP103" s="3236">
        <f t="shared" ref="EP103:EP110" si="312">VLOOKUP($E103,EM$442:EP$453,4,FALSE)*EM103*($K103)+(EM103-EN103-EO103)*(1-$K103)</f>
        <v>0</v>
      </c>
      <c r="EQ103" s="3237"/>
      <c r="ET103" s="3284">
        <f>VLOOKUP($A103,'New Resources - Individual'!$A$4:$Y$133,ET$2,FALSE)*ET$1</f>
        <v>0</v>
      </c>
      <c r="EU103" s="3235">
        <f t="shared" ref="EU103:EU108" si="313">$G103+ET103</f>
        <v>32051446.329999998</v>
      </c>
      <c r="EV103" s="3236">
        <f t="shared" ref="EV103:EV109" si="314">VLOOKUP($E103,EU$442:EX$453,2,FALSE)*EU103*($K103)+IF($G103&gt;0,($H103/$G103)*EU103,0)*(1-$K103)</f>
        <v>32051446.329999998</v>
      </c>
      <c r="EW103" s="3236">
        <f t="shared" ref="EW103:EW109" si="315">VLOOKUP($E103,EU$442:EX$453,3,FALSE)*EU103*($K103)+IF($G103&gt;0,($I103/$G103)*EU103,0)*(1-$K103)</f>
        <v>0</v>
      </c>
      <c r="EX103" s="3236">
        <f t="shared" ref="EX103:EX110" si="316">VLOOKUP($E103,EU$442:EX$453,4,FALSE)*EU103*($K103)+(EU103-EV103-EW103)*(1-$K103)</f>
        <v>0</v>
      </c>
      <c r="EY103" s="3237"/>
      <c r="FB103" s="3284">
        <f>VLOOKUP($A103,'New Resources - Individual'!$A$4:$Y$133,FB$2,FALSE)*FB$1</f>
        <v>0</v>
      </c>
      <c r="FC103" s="3235">
        <f t="shared" ref="FC103:FC108" si="317">$G103+FB103</f>
        <v>32051446.329999998</v>
      </c>
      <c r="FD103" s="3236">
        <f t="shared" ref="FD103:FD109" si="318">VLOOKUP($E103,FC$442:FF$453,2,FALSE)*FC103*($K103)+IF($G103&gt;0,($H103/$G103)*FC103,0)*(1-$K103)</f>
        <v>32051446.329999998</v>
      </c>
      <c r="FE103" s="3236">
        <f t="shared" ref="FE103:FE109" si="319">VLOOKUP($E103,FC$442:FF$453,3,FALSE)*FC103*($K103)+IF($G103&gt;0,($I103/$G103)*FC103,0)*(1-$K103)</f>
        <v>0</v>
      </c>
      <c r="FF103" s="3236">
        <f t="shared" ref="FF103:FF110" si="320">VLOOKUP($E103,FC$442:FF$453,4,FALSE)*FC103*($K103)+(FC103-FD103-FE103)*(1-$K103)</f>
        <v>0</v>
      </c>
      <c r="FG103" s="3237"/>
      <c r="FJ103" s="3284">
        <f>VLOOKUP($A103,'New Resources - Individual'!$A$4:$Y$133,FJ$2,FALSE)*FJ$1</f>
        <v>0</v>
      </c>
      <c r="FK103" s="3235">
        <f t="shared" ref="FK103:FK108" si="321">$G103+FJ103</f>
        <v>32051446.329999998</v>
      </c>
      <c r="FL103" s="3236">
        <f t="shared" ref="FL103:FL109" si="322">VLOOKUP($E103,FK$442:FN$453,2,FALSE)*FK103*($K103)+IF($G103&gt;0,($H103/$G103)*FK103,0)*(1-$K103)</f>
        <v>32051446.329999998</v>
      </c>
      <c r="FM103" s="3236">
        <f t="shared" ref="FM103:FM109" si="323">VLOOKUP($E103,FK$442:FN$453,3,FALSE)*FK103*($K103)+IF($G103&gt;0,($I103/$G103)*FK103,0)*(1-$K103)</f>
        <v>0</v>
      </c>
      <c r="FN103" s="3236">
        <f t="shared" ref="FN103:FN110" si="324">VLOOKUP($E103,FK$442:FN$453,4,FALSE)*FK103*($K103)+(FK103-FL103-FM103)*(1-$K103)</f>
        <v>0</v>
      </c>
      <c r="FO103" s="3237"/>
    </row>
    <row r="104" spans="1:171">
      <c r="A104" s="3277"/>
      <c r="B104" s="2290" t="s">
        <v>7</v>
      </c>
      <c r="C104" s="2464" t="s">
        <v>78</v>
      </c>
      <c r="D104" s="2464">
        <v>152</v>
      </c>
      <c r="E104" s="2424" t="str">
        <f>'Sch 1- Rate Base '!E104</f>
        <v>PROD</v>
      </c>
      <c r="F104" s="2171"/>
      <c r="G104" s="2424">
        <f>'Sch 1- Rate Base '!G104</f>
        <v>0</v>
      </c>
      <c r="H104" s="2424">
        <f>'Sch 1- Rate Base '!H104</f>
        <v>0</v>
      </c>
      <c r="I104" s="2424">
        <f>'Sch 1- Rate Base '!I104</f>
        <v>0</v>
      </c>
      <c r="J104" s="2425">
        <f>'Sch 1- Rate Base '!J104</f>
        <v>0</v>
      </c>
      <c r="K104" s="3205">
        <f t="shared" si="244"/>
        <v>1</v>
      </c>
      <c r="N104" s="3235"/>
      <c r="O104" s="3235">
        <f t="shared" si="245"/>
        <v>0</v>
      </c>
      <c r="P104" s="3236">
        <f t="shared" si="246"/>
        <v>0</v>
      </c>
      <c r="Q104" s="3236">
        <f t="shared" si="247"/>
        <v>0</v>
      </c>
      <c r="R104" s="3236">
        <f t="shared" si="248"/>
        <v>0</v>
      </c>
      <c r="S104" s="3237"/>
      <c r="V104" s="3235"/>
      <c r="W104" s="3235">
        <f t="shared" si="249"/>
        <v>0</v>
      </c>
      <c r="X104" s="3236">
        <f t="shared" si="250"/>
        <v>0</v>
      </c>
      <c r="Y104" s="3236">
        <f t="shared" si="251"/>
        <v>0</v>
      </c>
      <c r="Z104" s="3236">
        <f t="shared" si="252"/>
        <v>0</v>
      </c>
      <c r="AA104" s="3237"/>
      <c r="AD104" s="3235"/>
      <c r="AE104" s="3235">
        <f t="shared" si="253"/>
        <v>0</v>
      </c>
      <c r="AF104" s="3236">
        <f t="shared" si="254"/>
        <v>0</v>
      </c>
      <c r="AG104" s="3236">
        <f t="shared" si="255"/>
        <v>0</v>
      </c>
      <c r="AH104" s="3236">
        <f t="shared" si="256"/>
        <v>0</v>
      </c>
      <c r="AI104" s="3237"/>
      <c r="AL104" s="3235"/>
      <c r="AM104" s="3235">
        <f t="shared" si="257"/>
        <v>0</v>
      </c>
      <c r="AN104" s="3236">
        <f t="shared" si="258"/>
        <v>0</v>
      </c>
      <c r="AO104" s="3236">
        <f t="shared" si="259"/>
        <v>0</v>
      </c>
      <c r="AP104" s="3236">
        <f t="shared" si="260"/>
        <v>0</v>
      </c>
      <c r="AQ104" s="3237"/>
      <c r="AT104" s="3235"/>
      <c r="AU104" s="3235">
        <f t="shared" si="261"/>
        <v>0</v>
      </c>
      <c r="AV104" s="3236">
        <f t="shared" si="262"/>
        <v>0</v>
      </c>
      <c r="AW104" s="3236">
        <f t="shared" si="263"/>
        <v>0</v>
      </c>
      <c r="AX104" s="3236">
        <f t="shared" si="264"/>
        <v>0</v>
      </c>
      <c r="AY104" s="3237"/>
      <c r="BB104" s="3235"/>
      <c r="BC104" s="3235">
        <f t="shared" si="265"/>
        <v>0</v>
      </c>
      <c r="BD104" s="3236">
        <f t="shared" si="266"/>
        <v>0</v>
      </c>
      <c r="BE104" s="3236">
        <f t="shared" si="267"/>
        <v>0</v>
      </c>
      <c r="BF104" s="3236">
        <f t="shared" si="268"/>
        <v>0</v>
      </c>
      <c r="BG104" s="3237"/>
      <c r="BJ104" s="3235"/>
      <c r="BK104" s="3235">
        <f t="shared" si="269"/>
        <v>0</v>
      </c>
      <c r="BL104" s="3236">
        <f t="shared" si="270"/>
        <v>0</v>
      </c>
      <c r="BM104" s="3236">
        <f t="shared" si="271"/>
        <v>0</v>
      </c>
      <c r="BN104" s="3236">
        <f t="shared" si="272"/>
        <v>0</v>
      </c>
      <c r="BO104" s="3237"/>
      <c r="BR104" s="3235"/>
      <c r="BS104" s="3235">
        <f t="shared" si="273"/>
        <v>0</v>
      </c>
      <c r="BT104" s="3236">
        <f t="shared" si="274"/>
        <v>0</v>
      </c>
      <c r="BU104" s="3236">
        <f t="shared" si="275"/>
        <v>0</v>
      </c>
      <c r="BV104" s="3236">
        <f t="shared" si="276"/>
        <v>0</v>
      </c>
      <c r="BW104" s="3237"/>
      <c r="BZ104" s="3235"/>
      <c r="CA104" s="3235">
        <f t="shared" si="277"/>
        <v>0</v>
      </c>
      <c r="CB104" s="3236">
        <f t="shared" si="278"/>
        <v>0</v>
      </c>
      <c r="CC104" s="3236">
        <f t="shared" si="279"/>
        <v>0</v>
      </c>
      <c r="CD104" s="3236">
        <f t="shared" si="280"/>
        <v>0</v>
      </c>
      <c r="CE104" s="3237"/>
      <c r="CH104" s="3235"/>
      <c r="CI104" s="3235">
        <f t="shared" si="281"/>
        <v>0</v>
      </c>
      <c r="CJ104" s="3236">
        <f t="shared" si="282"/>
        <v>0</v>
      </c>
      <c r="CK104" s="3236">
        <f t="shared" si="283"/>
        <v>0</v>
      </c>
      <c r="CL104" s="3236">
        <f t="shared" si="284"/>
        <v>0</v>
      </c>
      <c r="CM104" s="3237"/>
      <c r="CP104" s="3235"/>
      <c r="CQ104" s="3235">
        <f t="shared" si="285"/>
        <v>0</v>
      </c>
      <c r="CR104" s="3236">
        <f t="shared" si="286"/>
        <v>0</v>
      </c>
      <c r="CS104" s="3236">
        <f t="shared" si="287"/>
        <v>0</v>
      </c>
      <c r="CT104" s="3236">
        <f t="shared" si="288"/>
        <v>0</v>
      </c>
      <c r="CU104" s="3237"/>
      <c r="CX104" s="3235"/>
      <c r="CY104" s="3235">
        <f t="shared" si="289"/>
        <v>0</v>
      </c>
      <c r="CZ104" s="3236">
        <f t="shared" si="290"/>
        <v>0</v>
      </c>
      <c r="DA104" s="3236">
        <f t="shared" si="291"/>
        <v>0</v>
      </c>
      <c r="DB104" s="3236">
        <f t="shared" si="292"/>
        <v>0</v>
      </c>
      <c r="DC104" s="3237"/>
      <c r="DF104" s="3235"/>
      <c r="DG104" s="3235">
        <f t="shared" si="293"/>
        <v>0</v>
      </c>
      <c r="DH104" s="3236">
        <f t="shared" si="294"/>
        <v>0</v>
      </c>
      <c r="DI104" s="3236">
        <f t="shared" si="295"/>
        <v>0</v>
      </c>
      <c r="DJ104" s="3236">
        <f t="shared" si="296"/>
        <v>0</v>
      </c>
      <c r="DK104" s="3237"/>
      <c r="DN104" s="3235"/>
      <c r="DO104" s="3235">
        <f t="shared" si="297"/>
        <v>0</v>
      </c>
      <c r="DP104" s="3236">
        <f t="shared" si="298"/>
        <v>0</v>
      </c>
      <c r="DQ104" s="3236">
        <f t="shared" si="299"/>
        <v>0</v>
      </c>
      <c r="DR104" s="3236">
        <f t="shared" si="300"/>
        <v>0</v>
      </c>
      <c r="DS104" s="3237"/>
      <c r="DV104" s="3235"/>
      <c r="DW104" s="3235">
        <f t="shared" si="301"/>
        <v>0</v>
      </c>
      <c r="DX104" s="3236">
        <f t="shared" si="302"/>
        <v>0</v>
      </c>
      <c r="DY104" s="3236">
        <f t="shared" si="303"/>
        <v>0</v>
      </c>
      <c r="DZ104" s="3236">
        <f t="shared" si="304"/>
        <v>0</v>
      </c>
      <c r="EA104" s="3237"/>
      <c r="ED104" s="3235"/>
      <c r="EE104" s="3235">
        <f t="shared" si="305"/>
        <v>0</v>
      </c>
      <c r="EF104" s="3236">
        <f t="shared" si="306"/>
        <v>0</v>
      </c>
      <c r="EG104" s="3236">
        <f t="shared" si="307"/>
        <v>0</v>
      </c>
      <c r="EH104" s="3236">
        <f t="shared" si="308"/>
        <v>0</v>
      </c>
      <c r="EI104" s="3237"/>
      <c r="EL104" s="3235"/>
      <c r="EM104" s="3235">
        <f t="shared" si="309"/>
        <v>0</v>
      </c>
      <c r="EN104" s="3236">
        <f t="shared" si="310"/>
        <v>0</v>
      </c>
      <c r="EO104" s="3236">
        <f t="shared" si="311"/>
        <v>0</v>
      </c>
      <c r="EP104" s="3236">
        <f t="shared" si="312"/>
        <v>0</v>
      </c>
      <c r="EQ104" s="3237"/>
      <c r="ET104" s="3235"/>
      <c r="EU104" s="3235">
        <f t="shared" si="313"/>
        <v>0</v>
      </c>
      <c r="EV104" s="3236">
        <f t="shared" si="314"/>
        <v>0</v>
      </c>
      <c r="EW104" s="3236">
        <f t="shared" si="315"/>
        <v>0</v>
      </c>
      <c r="EX104" s="3236">
        <f t="shared" si="316"/>
        <v>0</v>
      </c>
      <c r="EY104" s="3237"/>
      <c r="FB104" s="3235"/>
      <c r="FC104" s="3235">
        <f t="shared" si="317"/>
        <v>0</v>
      </c>
      <c r="FD104" s="3236">
        <f t="shared" si="318"/>
        <v>0</v>
      </c>
      <c r="FE104" s="3236">
        <f t="shared" si="319"/>
        <v>0</v>
      </c>
      <c r="FF104" s="3236">
        <f t="shared" si="320"/>
        <v>0</v>
      </c>
      <c r="FG104" s="3237"/>
      <c r="FJ104" s="3235"/>
      <c r="FK104" s="3235">
        <f t="shared" si="321"/>
        <v>0</v>
      </c>
      <c r="FL104" s="3236">
        <f t="shared" si="322"/>
        <v>0</v>
      </c>
      <c r="FM104" s="3236">
        <f t="shared" si="323"/>
        <v>0</v>
      </c>
      <c r="FN104" s="3236">
        <f t="shared" si="324"/>
        <v>0</v>
      </c>
      <c r="FO104" s="3237"/>
    </row>
    <row r="105" spans="1:171">
      <c r="A105" s="3254">
        <v>92000</v>
      </c>
      <c r="B105" s="2097" t="s">
        <v>79</v>
      </c>
      <c r="C105" s="2464" t="s">
        <v>78</v>
      </c>
      <c r="D105" s="2464">
        <v>154</v>
      </c>
      <c r="E105" s="2424" t="str">
        <f>'Sch 1- Rate Base '!E105</f>
        <v>PTD</v>
      </c>
      <c r="F105" s="2171"/>
      <c r="G105" s="2424">
        <f>'Sch 1- Rate Base '!G105</f>
        <v>147763213.27615592</v>
      </c>
      <c r="H105" s="2424">
        <f>'Sch 1- Rate Base '!H105</f>
        <v>51582876.294156879</v>
      </c>
      <c r="I105" s="2424">
        <f>'Sch 1- Rate Base '!I105</f>
        <v>0</v>
      </c>
      <c r="J105" s="2425">
        <f>'Sch 1- Rate Base '!J105</f>
        <v>96180336.98199904</v>
      </c>
      <c r="K105" s="3205">
        <f t="shared" si="244"/>
        <v>1</v>
      </c>
      <c r="N105" s="3284">
        <f>VLOOKUP($A105,'New Resources - Individual'!$A$4:$Y$133,N$2,FALSE)*N$1</f>
        <v>0</v>
      </c>
      <c r="O105" s="3235">
        <f t="shared" si="245"/>
        <v>147763213.27615592</v>
      </c>
      <c r="P105" s="3236">
        <f t="shared" si="246"/>
        <v>51582876.294156879</v>
      </c>
      <c r="Q105" s="3236">
        <f t="shared" si="247"/>
        <v>26335884.178859226</v>
      </c>
      <c r="R105" s="3236">
        <f t="shared" si="248"/>
        <v>69844452.803139821</v>
      </c>
      <c r="S105" s="3237"/>
      <c r="V105" s="3284">
        <f>VLOOKUP($A105,'New Resources - Individual'!$A$4:$Y$133,V$2,FALSE)*V$1</f>
        <v>0</v>
      </c>
      <c r="W105" s="3235">
        <f t="shared" si="249"/>
        <v>147763213.27615592</v>
      </c>
      <c r="X105" s="3236">
        <f t="shared" si="250"/>
        <v>51582876.294156879</v>
      </c>
      <c r="Y105" s="3236">
        <f t="shared" si="251"/>
        <v>26335884.178859226</v>
      </c>
      <c r="Z105" s="3236">
        <f t="shared" si="252"/>
        <v>69844452.803139821</v>
      </c>
      <c r="AA105" s="3237"/>
      <c r="AD105" s="3284">
        <f>VLOOKUP($A105,'New Resources - Individual'!$A$4:$Y$133,AD$2,FALSE)*AD$1</f>
        <v>0</v>
      </c>
      <c r="AE105" s="3235">
        <f t="shared" si="253"/>
        <v>147763213.27615592</v>
      </c>
      <c r="AF105" s="3236">
        <f t="shared" si="254"/>
        <v>51582876.294156879</v>
      </c>
      <c r="AG105" s="3236">
        <f t="shared" si="255"/>
        <v>26335884.178859226</v>
      </c>
      <c r="AH105" s="3236">
        <f t="shared" si="256"/>
        <v>69844452.803139821</v>
      </c>
      <c r="AI105" s="3237"/>
      <c r="AL105" s="3284">
        <f>VLOOKUP($A105,'New Resources - Individual'!$A$4:$Y$133,AL$2,FALSE)*AL$1</f>
        <v>0</v>
      </c>
      <c r="AM105" s="3235">
        <f t="shared" si="257"/>
        <v>147763213.27615592</v>
      </c>
      <c r="AN105" s="3236">
        <f t="shared" si="258"/>
        <v>51582876.294156879</v>
      </c>
      <c r="AO105" s="3236">
        <f t="shared" si="259"/>
        <v>26335884.178859226</v>
      </c>
      <c r="AP105" s="3236">
        <f t="shared" si="260"/>
        <v>69844452.803139821</v>
      </c>
      <c r="AQ105" s="3237"/>
      <c r="AT105" s="3284">
        <f>VLOOKUP($A105,'New Resources - Individual'!$A$4:$Y$133,AT$2,FALSE)*AT$1</f>
        <v>0</v>
      </c>
      <c r="AU105" s="3235">
        <f t="shared" si="261"/>
        <v>147763213.27615592</v>
      </c>
      <c r="AV105" s="3236">
        <f t="shared" si="262"/>
        <v>51582876.294156879</v>
      </c>
      <c r="AW105" s="3236">
        <f t="shared" si="263"/>
        <v>26335884.178859226</v>
      </c>
      <c r="AX105" s="3236">
        <f t="shared" si="264"/>
        <v>69844452.803139821</v>
      </c>
      <c r="AY105" s="3237"/>
      <c r="BB105" s="3284">
        <f>VLOOKUP($A105,'New Resources - Individual'!$A$4:$Y$133,BB$2,FALSE)*BB$1</f>
        <v>0</v>
      </c>
      <c r="BC105" s="3235">
        <f t="shared" si="265"/>
        <v>147763213.27615592</v>
      </c>
      <c r="BD105" s="3236">
        <f t="shared" si="266"/>
        <v>51582876.294156879</v>
      </c>
      <c r="BE105" s="3236">
        <f t="shared" si="267"/>
        <v>26335884.178859226</v>
      </c>
      <c r="BF105" s="3236">
        <f t="shared" si="268"/>
        <v>69844452.803139821</v>
      </c>
      <c r="BG105" s="3237"/>
      <c r="BJ105" s="3284">
        <f>VLOOKUP($A105,'New Resources - Individual'!$A$4:$Y$133,BJ$2,FALSE)*BJ$1</f>
        <v>0</v>
      </c>
      <c r="BK105" s="3235">
        <f t="shared" si="269"/>
        <v>147763213.27615592</v>
      </c>
      <c r="BL105" s="3236">
        <f t="shared" si="270"/>
        <v>51582876.294156879</v>
      </c>
      <c r="BM105" s="3236">
        <f t="shared" si="271"/>
        <v>26335884.178859226</v>
      </c>
      <c r="BN105" s="3236">
        <f t="shared" si="272"/>
        <v>69844452.803139821</v>
      </c>
      <c r="BO105" s="3237"/>
      <c r="BR105" s="3284">
        <f>VLOOKUP($A105,'New Resources - Individual'!$A$4:$Y$133,BR$2,FALSE)*BR$1</f>
        <v>0</v>
      </c>
      <c r="BS105" s="3235">
        <f t="shared" si="273"/>
        <v>147763213.27615592</v>
      </c>
      <c r="BT105" s="3236">
        <f t="shared" si="274"/>
        <v>51582876.294156879</v>
      </c>
      <c r="BU105" s="3236">
        <f t="shared" si="275"/>
        <v>26335884.178859226</v>
      </c>
      <c r="BV105" s="3236">
        <f t="shared" si="276"/>
        <v>69844452.803139821</v>
      </c>
      <c r="BW105" s="3237"/>
      <c r="BZ105" s="3284">
        <f>VLOOKUP($A105,'New Resources - Individual'!$A$4:$Y$133,BZ$2,FALSE)*BZ$1</f>
        <v>0</v>
      </c>
      <c r="CA105" s="3235">
        <f t="shared" si="277"/>
        <v>147763213.27615592</v>
      </c>
      <c r="CB105" s="3236">
        <f t="shared" si="278"/>
        <v>51582876.294156879</v>
      </c>
      <c r="CC105" s="3236">
        <f t="shared" si="279"/>
        <v>26335884.178859226</v>
      </c>
      <c r="CD105" s="3236">
        <f t="shared" si="280"/>
        <v>69844452.803139821</v>
      </c>
      <c r="CE105" s="3237"/>
      <c r="CH105" s="3284">
        <f>VLOOKUP($A105,'New Resources - Individual'!$A$4:$Y$133,CH$2,FALSE)*CH$1</f>
        <v>0</v>
      </c>
      <c r="CI105" s="3235">
        <f t="shared" si="281"/>
        <v>147763213.27615592</v>
      </c>
      <c r="CJ105" s="3236">
        <f t="shared" si="282"/>
        <v>51582876.294156879</v>
      </c>
      <c r="CK105" s="3236">
        <f t="shared" si="283"/>
        <v>26335884.178859226</v>
      </c>
      <c r="CL105" s="3236">
        <f t="shared" si="284"/>
        <v>69844452.803139821</v>
      </c>
      <c r="CM105" s="3237"/>
      <c r="CP105" s="3284">
        <f>VLOOKUP($A105,'New Resources - Individual'!$A$4:$Y$133,CP$2,FALSE)*CP$1</f>
        <v>0</v>
      </c>
      <c r="CQ105" s="3235">
        <f t="shared" si="285"/>
        <v>147763213.27615592</v>
      </c>
      <c r="CR105" s="3236">
        <f t="shared" si="286"/>
        <v>51582876.294156879</v>
      </c>
      <c r="CS105" s="3236">
        <f t="shared" si="287"/>
        <v>26335884.178859226</v>
      </c>
      <c r="CT105" s="3236">
        <f t="shared" si="288"/>
        <v>69844452.803139821</v>
      </c>
      <c r="CU105" s="3237"/>
      <c r="CX105" s="3284">
        <f>VLOOKUP($A105,'New Resources - Individual'!$A$4:$Y$133,CX$2,FALSE)*CX$1</f>
        <v>0</v>
      </c>
      <c r="CY105" s="3235">
        <f t="shared" si="289"/>
        <v>147763213.27615592</v>
      </c>
      <c r="CZ105" s="3236">
        <f t="shared" si="290"/>
        <v>51582876.294156879</v>
      </c>
      <c r="DA105" s="3236">
        <f t="shared" si="291"/>
        <v>26335884.178859226</v>
      </c>
      <c r="DB105" s="3236">
        <f t="shared" si="292"/>
        <v>69844452.803139821</v>
      </c>
      <c r="DC105" s="3237"/>
      <c r="DF105" s="3284">
        <f>VLOOKUP($A105,'New Resources - Individual'!$A$4:$Y$133,DF$2,FALSE)*DF$1</f>
        <v>0</v>
      </c>
      <c r="DG105" s="3235">
        <f t="shared" si="293"/>
        <v>147763213.27615592</v>
      </c>
      <c r="DH105" s="3236">
        <f t="shared" si="294"/>
        <v>51582876.294156879</v>
      </c>
      <c r="DI105" s="3236">
        <f t="shared" si="295"/>
        <v>26335884.178859226</v>
      </c>
      <c r="DJ105" s="3236">
        <f t="shared" si="296"/>
        <v>69844452.803139821</v>
      </c>
      <c r="DK105" s="3237"/>
      <c r="DN105" s="3284">
        <f>VLOOKUP($A105,'New Resources - Individual'!$A$4:$Y$133,DN$2,FALSE)*DN$1</f>
        <v>0</v>
      </c>
      <c r="DO105" s="3235">
        <f t="shared" si="297"/>
        <v>147763213.27615592</v>
      </c>
      <c r="DP105" s="3236">
        <f t="shared" si="298"/>
        <v>51582876.294156879</v>
      </c>
      <c r="DQ105" s="3236">
        <f t="shared" si="299"/>
        <v>26335884.178859226</v>
      </c>
      <c r="DR105" s="3236">
        <f t="shared" si="300"/>
        <v>69844452.803139821</v>
      </c>
      <c r="DS105" s="3237"/>
      <c r="DV105" s="3284">
        <f>VLOOKUP($A105,'New Resources - Individual'!$A$4:$Y$133,DV$2,FALSE)*DV$1</f>
        <v>0</v>
      </c>
      <c r="DW105" s="3235">
        <f t="shared" si="301"/>
        <v>147763213.27615592</v>
      </c>
      <c r="DX105" s="3236">
        <f t="shared" si="302"/>
        <v>51582876.294156879</v>
      </c>
      <c r="DY105" s="3236">
        <f t="shared" si="303"/>
        <v>26335884.178859226</v>
      </c>
      <c r="DZ105" s="3236">
        <f t="shared" si="304"/>
        <v>69844452.803139821</v>
      </c>
      <c r="EA105" s="3237"/>
      <c r="ED105" s="3284">
        <f>VLOOKUP($A105,'New Resources - Individual'!$A$4:$Y$133,ED$2,FALSE)*ED$1</f>
        <v>0</v>
      </c>
      <c r="EE105" s="3235">
        <f t="shared" si="305"/>
        <v>147763213.27615592</v>
      </c>
      <c r="EF105" s="3236">
        <f t="shared" si="306"/>
        <v>51582876.294156879</v>
      </c>
      <c r="EG105" s="3236">
        <f t="shared" si="307"/>
        <v>26335884.178859226</v>
      </c>
      <c r="EH105" s="3236">
        <f t="shared" si="308"/>
        <v>69844452.803139821</v>
      </c>
      <c r="EI105" s="3237"/>
      <c r="EL105" s="3284">
        <f>VLOOKUP($A105,'New Resources - Individual'!$A$4:$Y$133,EL$2,FALSE)*EL$1</f>
        <v>0</v>
      </c>
      <c r="EM105" s="3235">
        <f t="shared" si="309"/>
        <v>147763213.27615592</v>
      </c>
      <c r="EN105" s="3236">
        <f t="shared" si="310"/>
        <v>51582876.294156879</v>
      </c>
      <c r="EO105" s="3236">
        <f t="shared" si="311"/>
        <v>26335884.178859226</v>
      </c>
      <c r="EP105" s="3236">
        <f t="shared" si="312"/>
        <v>69844452.803139821</v>
      </c>
      <c r="EQ105" s="3237"/>
      <c r="ET105" s="3284">
        <f>VLOOKUP($A105,'New Resources - Individual'!$A$4:$Y$133,ET$2,FALSE)*ET$1</f>
        <v>0</v>
      </c>
      <c r="EU105" s="3235">
        <f t="shared" si="313"/>
        <v>147763213.27615592</v>
      </c>
      <c r="EV105" s="3236">
        <f t="shared" si="314"/>
        <v>51582876.294156879</v>
      </c>
      <c r="EW105" s="3236">
        <f t="shared" si="315"/>
        <v>26335884.178859226</v>
      </c>
      <c r="EX105" s="3236">
        <f t="shared" si="316"/>
        <v>69844452.803139821</v>
      </c>
      <c r="EY105" s="3237"/>
      <c r="FB105" s="3284">
        <f>VLOOKUP($A105,'New Resources - Individual'!$A$4:$Y$133,FB$2,FALSE)*FB$1</f>
        <v>0</v>
      </c>
      <c r="FC105" s="3235">
        <f t="shared" si="317"/>
        <v>147763213.27615592</v>
      </c>
      <c r="FD105" s="3236">
        <f t="shared" si="318"/>
        <v>51582876.294156879</v>
      </c>
      <c r="FE105" s="3236">
        <f t="shared" si="319"/>
        <v>26335884.178859226</v>
      </c>
      <c r="FF105" s="3236">
        <f t="shared" si="320"/>
        <v>69844452.803139821</v>
      </c>
      <c r="FG105" s="3237"/>
      <c r="FJ105" s="3284">
        <f>VLOOKUP($A105,'New Resources - Individual'!$A$4:$Y$133,FJ$2,FALSE)*FJ$1</f>
        <v>0</v>
      </c>
      <c r="FK105" s="3235">
        <f t="shared" si="321"/>
        <v>147763213.27615592</v>
      </c>
      <c r="FL105" s="3236">
        <f t="shared" si="322"/>
        <v>51582876.294156879</v>
      </c>
      <c r="FM105" s="3236">
        <f t="shared" si="323"/>
        <v>26335884.178859226</v>
      </c>
      <c r="FN105" s="3236">
        <f t="shared" si="324"/>
        <v>69844452.803139821</v>
      </c>
      <c r="FO105" s="3237"/>
    </row>
    <row r="106" spans="1:171">
      <c r="A106" s="3277"/>
      <c r="B106" s="2097" t="s">
        <v>351</v>
      </c>
      <c r="C106" s="2464" t="s">
        <v>253</v>
      </c>
      <c r="D106" s="2464">
        <v>155</v>
      </c>
      <c r="E106" s="2424" t="str">
        <f>'Sch 1- Rate Base '!E106</f>
        <v>DIST</v>
      </c>
      <c r="F106" s="2171"/>
      <c r="G106" s="2424">
        <f>'Sch 1- Rate Base '!G106</f>
        <v>0</v>
      </c>
      <c r="H106" s="2424">
        <f>'Sch 1- Rate Base '!H106</f>
        <v>0</v>
      </c>
      <c r="I106" s="2424">
        <f>'Sch 1- Rate Base '!I106</f>
        <v>0</v>
      </c>
      <c r="J106" s="2425">
        <f>'Sch 1- Rate Base '!J106</f>
        <v>0</v>
      </c>
      <c r="K106" s="3205">
        <f t="shared" si="244"/>
        <v>1</v>
      </c>
      <c r="N106" s="3235"/>
      <c r="O106" s="3235">
        <f t="shared" si="245"/>
        <v>0</v>
      </c>
      <c r="P106" s="3236">
        <f t="shared" si="246"/>
        <v>0</v>
      </c>
      <c r="Q106" s="3236">
        <f t="shared" si="247"/>
        <v>0</v>
      </c>
      <c r="R106" s="3236">
        <f t="shared" si="248"/>
        <v>0</v>
      </c>
      <c r="S106" s="3237"/>
      <c r="V106" s="3235"/>
      <c r="W106" s="3235">
        <f t="shared" si="249"/>
        <v>0</v>
      </c>
      <c r="X106" s="3236">
        <f t="shared" si="250"/>
        <v>0</v>
      </c>
      <c r="Y106" s="3236">
        <f t="shared" si="251"/>
        <v>0</v>
      </c>
      <c r="Z106" s="3236">
        <f t="shared" si="252"/>
        <v>0</v>
      </c>
      <c r="AA106" s="3237"/>
      <c r="AD106" s="3235"/>
      <c r="AE106" s="3235">
        <f t="shared" si="253"/>
        <v>0</v>
      </c>
      <c r="AF106" s="3236">
        <f t="shared" si="254"/>
        <v>0</v>
      </c>
      <c r="AG106" s="3236">
        <f t="shared" si="255"/>
        <v>0</v>
      </c>
      <c r="AH106" s="3236">
        <f t="shared" si="256"/>
        <v>0</v>
      </c>
      <c r="AI106" s="3237"/>
      <c r="AL106" s="3235"/>
      <c r="AM106" s="3235">
        <f t="shared" si="257"/>
        <v>0</v>
      </c>
      <c r="AN106" s="3236">
        <f t="shared" si="258"/>
        <v>0</v>
      </c>
      <c r="AO106" s="3236">
        <f t="shared" si="259"/>
        <v>0</v>
      </c>
      <c r="AP106" s="3236">
        <f t="shared" si="260"/>
        <v>0</v>
      </c>
      <c r="AQ106" s="3237"/>
      <c r="AT106" s="3235"/>
      <c r="AU106" s="3235">
        <f t="shared" si="261"/>
        <v>0</v>
      </c>
      <c r="AV106" s="3236">
        <f t="shared" si="262"/>
        <v>0</v>
      </c>
      <c r="AW106" s="3236">
        <f t="shared" si="263"/>
        <v>0</v>
      </c>
      <c r="AX106" s="3236">
        <f t="shared" si="264"/>
        <v>0</v>
      </c>
      <c r="AY106" s="3237"/>
      <c r="BB106" s="3235"/>
      <c r="BC106" s="3235">
        <f t="shared" si="265"/>
        <v>0</v>
      </c>
      <c r="BD106" s="3236">
        <f t="shared" si="266"/>
        <v>0</v>
      </c>
      <c r="BE106" s="3236">
        <f t="shared" si="267"/>
        <v>0</v>
      </c>
      <c r="BF106" s="3236">
        <f t="shared" si="268"/>
        <v>0</v>
      </c>
      <c r="BG106" s="3237"/>
      <c r="BJ106" s="3235"/>
      <c r="BK106" s="3235">
        <f t="shared" si="269"/>
        <v>0</v>
      </c>
      <c r="BL106" s="3236">
        <f t="shared" si="270"/>
        <v>0</v>
      </c>
      <c r="BM106" s="3236">
        <f t="shared" si="271"/>
        <v>0</v>
      </c>
      <c r="BN106" s="3236">
        <f t="shared" si="272"/>
        <v>0</v>
      </c>
      <c r="BO106" s="3237"/>
      <c r="BR106" s="3235"/>
      <c r="BS106" s="3235">
        <f t="shared" si="273"/>
        <v>0</v>
      </c>
      <c r="BT106" s="3236">
        <f t="shared" si="274"/>
        <v>0</v>
      </c>
      <c r="BU106" s="3236">
        <f t="shared" si="275"/>
        <v>0</v>
      </c>
      <c r="BV106" s="3236">
        <f t="shared" si="276"/>
        <v>0</v>
      </c>
      <c r="BW106" s="3237"/>
      <c r="BZ106" s="3235"/>
      <c r="CA106" s="3235">
        <f t="shared" si="277"/>
        <v>0</v>
      </c>
      <c r="CB106" s="3236">
        <f t="shared" si="278"/>
        <v>0</v>
      </c>
      <c r="CC106" s="3236">
        <f t="shared" si="279"/>
        <v>0</v>
      </c>
      <c r="CD106" s="3236">
        <f t="shared" si="280"/>
        <v>0</v>
      </c>
      <c r="CE106" s="3237"/>
      <c r="CH106" s="3235"/>
      <c r="CI106" s="3235">
        <f t="shared" si="281"/>
        <v>0</v>
      </c>
      <c r="CJ106" s="3236">
        <f t="shared" si="282"/>
        <v>0</v>
      </c>
      <c r="CK106" s="3236">
        <f t="shared" si="283"/>
        <v>0</v>
      </c>
      <c r="CL106" s="3236">
        <f t="shared" si="284"/>
        <v>0</v>
      </c>
      <c r="CM106" s="3237"/>
      <c r="CP106" s="3235"/>
      <c r="CQ106" s="3235">
        <f t="shared" si="285"/>
        <v>0</v>
      </c>
      <c r="CR106" s="3236">
        <f t="shared" si="286"/>
        <v>0</v>
      </c>
      <c r="CS106" s="3236">
        <f t="shared" si="287"/>
        <v>0</v>
      </c>
      <c r="CT106" s="3236">
        <f t="shared" si="288"/>
        <v>0</v>
      </c>
      <c r="CU106" s="3237"/>
      <c r="CX106" s="3235"/>
      <c r="CY106" s="3235">
        <f t="shared" si="289"/>
        <v>0</v>
      </c>
      <c r="CZ106" s="3236">
        <f t="shared" si="290"/>
        <v>0</v>
      </c>
      <c r="DA106" s="3236">
        <f t="shared" si="291"/>
        <v>0</v>
      </c>
      <c r="DB106" s="3236">
        <f t="shared" si="292"/>
        <v>0</v>
      </c>
      <c r="DC106" s="3237"/>
      <c r="DF106" s="3235"/>
      <c r="DG106" s="3235">
        <f t="shared" si="293"/>
        <v>0</v>
      </c>
      <c r="DH106" s="3236">
        <f t="shared" si="294"/>
        <v>0</v>
      </c>
      <c r="DI106" s="3236">
        <f t="shared" si="295"/>
        <v>0</v>
      </c>
      <c r="DJ106" s="3236">
        <f t="shared" si="296"/>
        <v>0</v>
      </c>
      <c r="DK106" s="3237"/>
      <c r="DN106" s="3235"/>
      <c r="DO106" s="3235">
        <f t="shared" si="297"/>
        <v>0</v>
      </c>
      <c r="DP106" s="3236">
        <f t="shared" si="298"/>
        <v>0</v>
      </c>
      <c r="DQ106" s="3236">
        <f t="shared" si="299"/>
        <v>0</v>
      </c>
      <c r="DR106" s="3236">
        <f t="shared" si="300"/>
        <v>0</v>
      </c>
      <c r="DS106" s="3237"/>
      <c r="DV106" s="3235"/>
      <c r="DW106" s="3235">
        <f t="shared" si="301"/>
        <v>0</v>
      </c>
      <c r="DX106" s="3236">
        <f t="shared" si="302"/>
        <v>0</v>
      </c>
      <c r="DY106" s="3236">
        <f t="shared" si="303"/>
        <v>0</v>
      </c>
      <c r="DZ106" s="3236">
        <f t="shared" si="304"/>
        <v>0</v>
      </c>
      <c r="EA106" s="3237"/>
      <c r="ED106" s="3235"/>
      <c r="EE106" s="3235">
        <f t="shared" si="305"/>
        <v>0</v>
      </c>
      <c r="EF106" s="3236">
        <f t="shared" si="306"/>
        <v>0</v>
      </c>
      <c r="EG106" s="3236">
        <f t="shared" si="307"/>
        <v>0</v>
      </c>
      <c r="EH106" s="3236">
        <f t="shared" si="308"/>
        <v>0</v>
      </c>
      <c r="EI106" s="3237"/>
      <c r="EL106" s="3235"/>
      <c r="EM106" s="3235">
        <f t="shared" si="309"/>
        <v>0</v>
      </c>
      <c r="EN106" s="3236">
        <f t="shared" si="310"/>
        <v>0</v>
      </c>
      <c r="EO106" s="3236">
        <f t="shared" si="311"/>
        <v>0</v>
      </c>
      <c r="EP106" s="3236">
        <f t="shared" si="312"/>
        <v>0</v>
      </c>
      <c r="EQ106" s="3237"/>
      <c r="ET106" s="3235"/>
      <c r="EU106" s="3235">
        <f t="shared" si="313"/>
        <v>0</v>
      </c>
      <c r="EV106" s="3236">
        <f t="shared" si="314"/>
        <v>0</v>
      </c>
      <c r="EW106" s="3236">
        <f t="shared" si="315"/>
        <v>0</v>
      </c>
      <c r="EX106" s="3236">
        <f t="shared" si="316"/>
        <v>0</v>
      </c>
      <c r="EY106" s="3237"/>
      <c r="FB106" s="3235"/>
      <c r="FC106" s="3235">
        <f t="shared" si="317"/>
        <v>0</v>
      </c>
      <c r="FD106" s="3236">
        <f t="shared" si="318"/>
        <v>0</v>
      </c>
      <c r="FE106" s="3236">
        <f t="shared" si="319"/>
        <v>0</v>
      </c>
      <c r="FF106" s="3236">
        <f t="shared" si="320"/>
        <v>0</v>
      </c>
      <c r="FG106" s="3237"/>
      <c r="FJ106" s="3235"/>
      <c r="FK106" s="3235">
        <f t="shared" si="321"/>
        <v>0</v>
      </c>
      <c r="FL106" s="3236">
        <f t="shared" si="322"/>
        <v>0</v>
      </c>
      <c r="FM106" s="3236">
        <f t="shared" si="323"/>
        <v>0</v>
      </c>
      <c r="FN106" s="3236">
        <f t="shared" si="324"/>
        <v>0</v>
      </c>
      <c r="FO106" s="3237"/>
    </row>
    <row r="107" spans="1:171">
      <c r="A107" s="3277"/>
      <c r="B107" s="2097" t="s">
        <v>352</v>
      </c>
      <c r="C107" s="2464" t="s">
        <v>78</v>
      </c>
      <c r="D107" s="2464">
        <v>156</v>
      </c>
      <c r="E107" s="2424" t="str">
        <f>'Sch 1- Rate Base '!E107</f>
        <v>DIST</v>
      </c>
      <c r="F107" s="2171"/>
      <c r="G107" s="2424">
        <f>'Sch 1- Rate Base '!G107</f>
        <v>0</v>
      </c>
      <c r="H107" s="2424">
        <f>'Sch 1- Rate Base '!H107</f>
        <v>0</v>
      </c>
      <c r="I107" s="2424">
        <f>'Sch 1- Rate Base '!I107</f>
        <v>0</v>
      </c>
      <c r="J107" s="2425">
        <f>'Sch 1- Rate Base '!J107</f>
        <v>0</v>
      </c>
      <c r="K107" s="3205">
        <f t="shared" si="244"/>
        <v>1</v>
      </c>
      <c r="N107" s="3235"/>
      <c r="O107" s="3235">
        <f t="shared" si="245"/>
        <v>0</v>
      </c>
      <c r="P107" s="3236">
        <f t="shared" si="246"/>
        <v>0</v>
      </c>
      <c r="Q107" s="3236">
        <f t="shared" si="247"/>
        <v>0</v>
      </c>
      <c r="R107" s="3236">
        <f t="shared" si="248"/>
        <v>0</v>
      </c>
      <c r="S107" s="3237"/>
      <c r="V107" s="3235"/>
      <c r="W107" s="3235">
        <f t="shared" si="249"/>
        <v>0</v>
      </c>
      <c r="X107" s="3236">
        <f t="shared" si="250"/>
        <v>0</v>
      </c>
      <c r="Y107" s="3236">
        <f t="shared" si="251"/>
        <v>0</v>
      </c>
      <c r="Z107" s="3236">
        <f t="shared" si="252"/>
        <v>0</v>
      </c>
      <c r="AA107" s="3237"/>
      <c r="AD107" s="3235"/>
      <c r="AE107" s="3235">
        <f t="shared" si="253"/>
        <v>0</v>
      </c>
      <c r="AF107" s="3236">
        <f t="shared" si="254"/>
        <v>0</v>
      </c>
      <c r="AG107" s="3236">
        <f t="shared" si="255"/>
        <v>0</v>
      </c>
      <c r="AH107" s="3236">
        <f t="shared" si="256"/>
        <v>0</v>
      </c>
      <c r="AI107" s="3237"/>
      <c r="AL107" s="3235"/>
      <c r="AM107" s="3235">
        <f t="shared" si="257"/>
        <v>0</v>
      </c>
      <c r="AN107" s="3236">
        <f t="shared" si="258"/>
        <v>0</v>
      </c>
      <c r="AO107" s="3236">
        <f t="shared" si="259"/>
        <v>0</v>
      </c>
      <c r="AP107" s="3236">
        <f t="shared" si="260"/>
        <v>0</v>
      </c>
      <c r="AQ107" s="3237"/>
      <c r="AT107" s="3235"/>
      <c r="AU107" s="3235">
        <f t="shared" si="261"/>
        <v>0</v>
      </c>
      <c r="AV107" s="3236">
        <f t="shared" si="262"/>
        <v>0</v>
      </c>
      <c r="AW107" s="3236">
        <f t="shared" si="263"/>
        <v>0</v>
      </c>
      <c r="AX107" s="3236">
        <f t="shared" si="264"/>
        <v>0</v>
      </c>
      <c r="AY107" s="3237"/>
      <c r="BB107" s="3235"/>
      <c r="BC107" s="3235">
        <f t="shared" si="265"/>
        <v>0</v>
      </c>
      <c r="BD107" s="3236">
        <f t="shared" si="266"/>
        <v>0</v>
      </c>
      <c r="BE107" s="3236">
        <f t="shared" si="267"/>
        <v>0</v>
      </c>
      <c r="BF107" s="3236">
        <f t="shared" si="268"/>
        <v>0</v>
      </c>
      <c r="BG107" s="3237"/>
      <c r="BJ107" s="3235"/>
      <c r="BK107" s="3235">
        <f t="shared" si="269"/>
        <v>0</v>
      </c>
      <c r="BL107" s="3236">
        <f t="shared" si="270"/>
        <v>0</v>
      </c>
      <c r="BM107" s="3236">
        <f t="shared" si="271"/>
        <v>0</v>
      </c>
      <c r="BN107" s="3236">
        <f t="shared" si="272"/>
        <v>0</v>
      </c>
      <c r="BO107" s="3237"/>
      <c r="BR107" s="3235"/>
      <c r="BS107" s="3235">
        <f t="shared" si="273"/>
        <v>0</v>
      </c>
      <c r="BT107" s="3236">
        <f t="shared" si="274"/>
        <v>0</v>
      </c>
      <c r="BU107" s="3236">
        <f t="shared" si="275"/>
        <v>0</v>
      </c>
      <c r="BV107" s="3236">
        <f t="shared" si="276"/>
        <v>0</v>
      </c>
      <c r="BW107" s="3237"/>
      <c r="BZ107" s="3235"/>
      <c r="CA107" s="3235">
        <f t="shared" si="277"/>
        <v>0</v>
      </c>
      <c r="CB107" s="3236">
        <f t="shared" si="278"/>
        <v>0</v>
      </c>
      <c r="CC107" s="3236">
        <f t="shared" si="279"/>
        <v>0</v>
      </c>
      <c r="CD107" s="3236">
        <f t="shared" si="280"/>
        <v>0</v>
      </c>
      <c r="CE107" s="3237"/>
      <c r="CH107" s="3235"/>
      <c r="CI107" s="3235">
        <f t="shared" si="281"/>
        <v>0</v>
      </c>
      <c r="CJ107" s="3236">
        <f t="shared" si="282"/>
        <v>0</v>
      </c>
      <c r="CK107" s="3236">
        <f t="shared" si="283"/>
        <v>0</v>
      </c>
      <c r="CL107" s="3236">
        <f t="shared" si="284"/>
        <v>0</v>
      </c>
      <c r="CM107" s="3237"/>
      <c r="CP107" s="3235"/>
      <c r="CQ107" s="3235">
        <f t="shared" si="285"/>
        <v>0</v>
      </c>
      <c r="CR107" s="3236">
        <f t="shared" si="286"/>
        <v>0</v>
      </c>
      <c r="CS107" s="3236">
        <f t="shared" si="287"/>
        <v>0</v>
      </c>
      <c r="CT107" s="3236">
        <f t="shared" si="288"/>
        <v>0</v>
      </c>
      <c r="CU107" s="3237"/>
      <c r="CX107" s="3235"/>
      <c r="CY107" s="3235">
        <f t="shared" si="289"/>
        <v>0</v>
      </c>
      <c r="CZ107" s="3236">
        <f t="shared" si="290"/>
        <v>0</v>
      </c>
      <c r="DA107" s="3236">
        <f t="shared" si="291"/>
        <v>0</v>
      </c>
      <c r="DB107" s="3236">
        <f t="shared" si="292"/>
        <v>0</v>
      </c>
      <c r="DC107" s="3237"/>
      <c r="DF107" s="3235"/>
      <c r="DG107" s="3235">
        <f t="shared" si="293"/>
        <v>0</v>
      </c>
      <c r="DH107" s="3236">
        <f t="shared" si="294"/>
        <v>0</v>
      </c>
      <c r="DI107" s="3236">
        <f t="shared" si="295"/>
        <v>0</v>
      </c>
      <c r="DJ107" s="3236">
        <f t="shared" si="296"/>
        <v>0</v>
      </c>
      <c r="DK107" s="3237"/>
      <c r="DN107" s="3235"/>
      <c r="DO107" s="3235">
        <f t="shared" si="297"/>
        <v>0</v>
      </c>
      <c r="DP107" s="3236">
        <f t="shared" si="298"/>
        <v>0</v>
      </c>
      <c r="DQ107" s="3236">
        <f t="shared" si="299"/>
        <v>0</v>
      </c>
      <c r="DR107" s="3236">
        <f t="shared" si="300"/>
        <v>0</v>
      </c>
      <c r="DS107" s="3237"/>
      <c r="DV107" s="3235"/>
      <c r="DW107" s="3235">
        <f t="shared" si="301"/>
        <v>0</v>
      </c>
      <c r="DX107" s="3236">
        <f t="shared" si="302"/>
        <v>0</v>
      </c>
      <c r="DY107" s="3236">
        <f t="shared" si="303"/>
        <v>0</v>
      </c>
      <c r="DZ107" s="3236">
        <f t="shared" si="304"/>
        <v>0</v>
      </c>
      <c r="EA107" s="3237"/>
      <c r="ED107" s="3235"/>
      <c r="EE107" s="3235">
        <f t="shared" si="305"/>
        <v>0</v>
      </c>
      <c r="EF107" s="3236">
        <f t="shared" si="306"/>
        <v>0</v>
      </c>
      <c r="EG107" s="3236">
        <f t="shared" si="307"/>
        <v>0</v>
      </c>
      <c r="EH107" s="3236">
        <f t="shared" si="308"/>
        <v>0</v>
      </c>
      <c r="EI107" s="3237"/>
      <c r="EL107" s="3235"/>
      <c r="EM107" s="3235">
        <f t="shared" si="309"/>
        <v>0</v>
      </c>
      <c r="EN107" s="3236">
        <f t="shared" si="310"/>
        <v>0</v>
      </c>
      <c r="EO107" s="3236">
        <f t="shared" si="311"/>
        <v>0</v>
      </c>
      <c r="EP107" s="3236">
        <f t="shared" si="312"/>
        <v>0</v>
      </c>
      <c r="EQ107" s="3237"/>
      <c r="ET107" s="3235"/>
      <c r="EU107" s="3235">
        <f t="shared" si="313"/>
        <v>0</v>
      </c>
      <c r="EV107" s="3236">
        <f t="shared" si="314"/>
        <v>0</v>
      </c>
      <c r="EW107" s="3236">
        <f t="shared" si="315"/>
        <v>0</v>
      </c>
      <c r="EX107" s="3236">
        <f t="shared" si="316"/>
        <v>0</v>
      </c>
      <c r="EY107" s="3237"/>
      <c r="FB107" s="3235"/>
      <c r="FC107" s="3235">
        <f t="shared" si="317"/>
        <v>0</v>
      </c>
      <c r="FD107" s="3236">
        <f t="shared" si="318"/>
        <v>0</v>
      </c>
      <c r="FE107" s="3236">
        <f t="shared" si="319"/>
        <v>0</v>
      </c>
      <c r="FF107" s="3236">
        <f t="shared" si="320"/>
        <v>0</v>
      </c>
      <c r="FG107" s="3237"/>
      <c r="FJ107" s="3235"/>
      <c r="FK107" s="3235">
        <f t="shared" si="321"/>
        <v>0</v>
      </c>
      <c r="FL107" s="3236">
        <f t="shared" si="322"/>
        <v>0</v>
      </c>
      <c r="FM107" s="3236">
        <f t="shared" si="323"/>
        <v>0</v>
      </c>
      <c r="FN107" s="3236">
        <f t="shared" si="324"/>
        <v>0</v>
      </c>
      <c r="FO107" s="3237"/>
    </row>
    <row r="108" spans="1:171">
      <c r="A108" s="3254">
        <v>93000</v>
      </c>
      <c r="B108" s="2097" t="s">
        <v>353</v>
      </c>
      <c r="C108" s="2464" t="s">
        <v>253</v>
      </c>
      <c r="D108" s="2464">
        <v>158.1</v>
      </c>
      <c r="E108" s="2424" t="str">
        <f>'Sch 1- Rate Base '!E108</f>
        <v>PROD</v>
      </c>
      <c r="F108" s="2171"/>
      <c r="G108" s="2424">
        <f>'Sch 1- Rate Base '!G108</f>
        <v>-93977950.769999996</v>
      </c>
      <c r="H108" s="2424">
        <f>'Sch 1- Rate Base '!H108</f>
        <v>-93977950.769999996</v>
      </c>
      <c r="I108" s="2424">
        <f>'Sch 1- Rate Base '!I108</f>
        <v>0</v>
      </c>
      <c r="J108" s="2425">
        <f>'Sch 1- Rate Base '!J108</f>
        <v>0</v>
      </c>
      <c r="K108" s="3205">
        <f t="shared" si="244"/>
        <v>1</v>
      </c>
      <c r="N108" s="3284">
        <f>VLOOKUP($A108,'New Resources - Individual'!$A$4:$Y$133,N$2,FALSE)*N$1</f>
        <v>0</v>
      </c>
      <c r="O108" s="3235">
        <f t="shared" si="245"/>
        <v>-93977950.769999996</v>
      </c>
      <c r="P108" s="3236">
        <f t="shared" si="246"/>
        <v>-93977950.769999996</v>
      </c>
      <c r="Q108" s="3236">
        <f t="shared" si="247"/>
        <v>0</v>
      </c>
      <c r="R108" s="3236">
        <f t="shared" si="248"/>
        <v>0</v>
      </c>
      <c r="S108" s="3237"/>
      <c r="V108" s="3284">
        <f>VLOOKUP($A108,'New Resources - Individual'!$A$4:$Y$133,V$2,FALSE)*V$1</f>
        <v>0</v>
      </c>
      <c r="W108" s="3235">
        <f t="shared" si="249"/>
        <v>-93977950.769999996</v>
      </c>
      <c r="X108" s="3236">
        <f t="shared" si="250"/>
        <v>-93977950.769999996</v>
      </c>
      <c r="Y108" s="3236">
        <f t="shared" si="251"/>
        <v>0</v>
      </c>
      <c r="Z108" s="3236">
        <f t="shared" si="252"/>
        <v>0</v>
      </c>
      <c r="AA108" s="3237"/>
      <c r="AD108" s="3284">
        <f>VLOOKUP($A108,'New Resources - Individual'!$A$4:$Y$133,AD$2,FALSE)*AD$1</f>
        <v>0</v>
      </c>
      <c r="AE108" s="3235">
        <f t="shared" si="253"/>
        <v>-93977950.769999996</v>
      </c>
      <c r="AF108" s="3236">
        <f t="shared" si="254"/>
        <v>-93977950.769999996</v>
      </c>
      <c r="AG108" s="3236">
        <f t="shared" si="255"/>
        <v>0</v>
      </c>
      <c r="AH108" s="3236">
        <f t="shared" si="256"/>
        <v>0</v>
      </c>
      <c r="AI108" s="3237"/>
      <c r="AL108" s="3284">
        <f>VLOOKUP($A108,'New Resources - Individual'!$A$4:$Y$133,AL$2,FALSE)*AL$1</f>
        <v>0</v>
      </c>
      <c r="AM108" s="3235">
        <f t="shared" si="257"/>
        <v>-93977950.769999996</v>
      </c>
      <c r="AN108" s="3236">
        <f t="shared" si="258"/>
        <v>-93977950.769999996</v>
      </c>
      <c r="AO108" s="3236">
        <f t="shared" si="259"/>
        <v>0</v>
      </c>
      <c r="AP108" s="3236">
        <f t="shared" si="260"/>
        <v>0</v>
      </c>
      <c r="AQ108" s="3237"/>
      <c r="AT108" s="3284">
        <f>VLOOKUP($A108,'New Resources - Individual'!$A$4:$Y$133,AT$2,FALSE)*AT$1</f>
        <v>0</v>
      </c>
      <c r="AU108" s="3235">
        <f t="shared" si="261"/>
        <v>-93977950.769999996</v>
      </c>
      <c r="AV108" s="3236">
        <f t="shared" si="262"/>
        <v>-93977950.769999996</v>
      </c>
      <c r="AW108" s="3236">
        <f t="shared" si="263"/>
        <v>0</v>
      </c>
      <c r="AX108" s="3236">
        <f t="shared" si="264"/>
        <v>0</v>
      </c>
      <c r="AY108" s="3237"/>
      <c r="BB108" s="3284">
        <f>VLOOKUP($A108,'New Resources - Individual'!$A$4:$Y$133,BB$2,FALSE)*BB$1</f>
        <v>0</v>
      </c>
      <c r="BC108" s="3235">
        <f t="shared" si="265"/>
        <v>-93977950.769999996</v>
      </c>
      <c r="BD108" s="3236">
        <f t="shared" si="266"/>
        <v>-93977950.769999996</v>
      </c>
      <c r="BE108" s="3236">
        <f t="shared" si="267"/>
        <v>0</v>
      </c>
      <c r="BF108" s="3236">
        <f t="shared" si="268"/>
        <v>0</v>
      </c>
      <c r="BG108" s="3237"/>
      <c r="BJ108" s="3284">
        <f>VLOOKUP($A108,'New Resources - Individual'!$A$4:$Y$133,BJ$2,FALSE)*BJ$1</f>
        <v>0</v>
      </c>
      <c r="BK108" s="3235">
        <f t="shared" si="269"/>
        <v>-93977950.769999996</v>
      </c>
      <c r="BL108" s="3236">
        <f t="shared" si="270"/>
        <v>-93977950.769999996</v>
      </c>
      <c r="BM108" s="3236">
        <f t="shared" si="271"/>
        <v>0</v>
      </c>
      <c r="BN108" s="3236">
        <f t="shared" si="272"/>
        <v>0</v>
      </c>
      <c r="BO108" s="3237"/>
      <c r="BR108" s="3284">
        <f>VLOOKUP($A108,'New Resources - Individual'!$A$4:$Y$133,BR$2,FALSE)*BR$1</f>
        <v>0</v>
      </c>
      <c r="BS108" s="3235">
        <f t="shared" si="273"/>
        <v>-93977950.769999996</v>
      </c>
      <c r="BT108" s="3236">
        <f t="shared" si="274"/>
        <v>-93977950.769999996</v>
      </c>
      <c r="BU108" s="3236">
        <f t="shared" si="275"/>
        <v>0</v>
      </c>
      <c r="BV108" s="3236">
        <f t="shared" si="276"/>
        <v>0</v>
      </c>
      <c r="BW108" s="3237"/>
      <c r="BZ108" s="3284">
        <f>VLOOKUP($A108,'New Resources - Individual'!$A$4:$Y$133,BZ$2,FALSE)*BZ$1</f>
        <v>0</v>
      </c>
      <c r="CA108" s="3235">
        <f t="shared" si="277"/>
        <v>-93977950.769999996</v>
      </c>
      <c r="CB108" s="3236">
        <f t="shared" si="278"/>
        <v>-93977950.769999996</v>
      </c>
      <c r="CC108" s="3236">
        <f t="shared" si="279"/>
        <v>0</v>
      </c>
      <c r="CD108" s="3236">
        <f t="shared" si="280"/>
        <v>0</v>
      </c>
      <c r="CE108" s="3237"/>
      <c r="CH108" s="3284">
        <f>VLOOKUP($A108,'New Resources - Individual'!$A$4:$Y$133,CH$2,FALSE)*CH$1</f>
        <v>0</v>
      </c>
      <c r="CI108" s="3235">
        <f t="shared" si="281"/>
        <v>-93977950.769999996</v>
      </c>
      <c r="CJ108" s="3236">
        <f t="shared" si="282"/>
        <v>-93977950.769999996</v>
      </c>
      <c r="CK108" s="3236">
        <f t="shared" si="283"/>
        <v>0</v>
      </c>
      <c r="CL108" s="3236">
        <f t="shared" si="284"/>
        <v>0</v>
      </c>
      <c r="CM108" s="3237"/>
      <c r="CP108" s="3284">
        <f>VLOOKUP($A108,'New Resources - Individual'!$A$4:$Y$133,CP$2,FALSE)*CP$1</f>
        <v>0</v>
      </c>
      <c r="CQ108" s="3235">
        <f t="shared" si="285"/>
        <v>-93977950.769999996</v>
      </c>
      <c r="CR108" s="3236">
        <f t="shared" si="286"/>
        <v>-93977950.769999996</v>
      </c>
      <c r="CS108" s="3236">
        <f t="shared" si="287"/>
        <v>0</v>
      </c>
      <c r="CT108" s="3236">
        <f t="shared" si="288"/>
        <v>0</v>
      </c>
      <c r="CU108" s="3237"/>
      <c r="CX108" s="3284">
        <f>VLOOKUP($A108,'New Resources - Individual'!$A$4:$Y$133,CX$2,FALSE)*CX$1</f>
        <v>0</v>
      </c>
      <c r="CY108" s="3235">
        <f t="shared" si="289"/>
        <v>-93977950.769999996</v>
      </c>
      <c r="CZ108" s="3236">
        <f t="shared" si="290"/>
        <v>-93977950.769999996</v>
      </c>
      <c r="DA108" s="3236">
        <f t="shared" si="291"/>
        <v>0</v>
      </c>
      <c r="DB108" s="3236">
        <f t="shared" si="292"/>
        <v>0</v>
      </c>
      <c r="DC108" s="3237"/>
      <c r="DF108" s="3284">
        <f>VLOOKUP($A108,'New Resources - Individual'!$A$4:$Y$133,DF$2,FALSE)*DF$1</f>
        <v>0</v>
      </c>
      <c r="DG108" s="3235">
        <f t="shared" si="293"/>
        <v>-93977950.769999996</v>
      </c>
      <c r="DH108" s="3236">
        <f t="shared" si="294"/>
        <v>-93977950.769999996</v>
      </c>
      <c r="DI108" s="3236">
        <f t="shared" si="295"/>
        <v>0</v>
      </c>
      <c r="DJ108" s="3236">
        <f t="shared" si="296"/>
        <v>0</v>
      </c>
      <c r="DK108" s="3237"/>
      <c r="DN108" s="3284">
        <f>VLOOKUP($A108,'New Resources - Individual'!$A$4:$Y$133,DN$2,FALSE)*DN$1</f>
        <v>0</v>
      </c>
      <c r="DO108" s="3235">
        <f t="shared" si="297"/>
        <v>-93977950.769999996</v>
      </c>
      <c r="DP108" s="3236">
        <f t="shared" si="298"/>
        <v>-93977950.769999996</v>
      </c>
      <c r="DQ108" s="3236">
        <f t="shared" si="299"/>
        <v>0</v>
      </c>
      <c r="DR108" s="3236">
        <f t="shared" si="300"/>
        <v>0</v>
      </c>
      <c r="DS108" s="3237"/>
      <c r="DV108" s="3284">
        <f>VLOOKUP($A108,'New Resources - Individual'!$A$4:$Y$133,DV$2,FALSE)*DV$1</f>
        <v>0</v>
      </c>
      <c r="DW108" s="3235">
        <f t="shared" si="301"/>
        <v>-93977950.769999996</v>
      </c>
      <c r="DX108" s="3236">
        <f t="shared" si="302"/>
        <v>-93977950.769999996</v>
      </c>
      <c r="DY108" s="3236">
        <f t="shared" si="303"/>
        <v>0</v>
      </c>
      <c r="DZ108" s="3236">
        <f t="shared" si="304"/>
        <v>0</v>
      </c>
      <c r="EA108" s="3237"/>
      <c r="ED108" s="3284">
        <f>VLOOKUP($A108,'New Resources - Individual'!$A$4:$Y$133,ED$2,FALSE)*ED$1</f>
        <v>0</v>
      </c>
      <c r="EE108" s="3235">
        <f t="shared" si="305"/>
        <v>-93977950.769999996</v>
      </c>
      <c r="EF108" s="3236">
        <f t="shared" si="306"/>
        <v>-93977950.769999996</v>
      </c>
      <c r="EG108" s="3236">
        <f t="shared" si="307"/>
        <v>0</v>
      </c>
      <c r="EH108" s="3236">
        <f t="shared" si="308"/>
        <v>0</v>
      </c>
      <c r="EI108" s="3237"/>
      <c r="EL108" s="3284">
        <f>VLOOKUP($A108,'New Resources - Individual'!$A$4:$Y$133,EL$2,FALSE)*EL$1</f>
        <v>0</v>
      </c>
      <c r="EM108" s="3235">
        <f t="shared" si="309"/>
        <v>-93977950.769999996</v>
      </c>
      <c r="EN108" s="3236">
        <f t="shared" si="310"/>
        <v>-93977950.769999996</v>
      </c>
      <c r="EO108" s="3236">
        <f t="shared" si="311"/>
        <v>0</v>
      </c>
      <c r="EP108" s="3236">
        <f t="shared" si="312"/>
        <v>0</v>
      </c>
      <c r="EQ108" s="3237"/>
      <c r="ET108" s="3284">
        <f>VLOOKUP($A108,'New Resources - Individual'!$A$4:$Y$133,ET$2,FALSE)*ET$1</f>
        <v>0</v>
      </c>
      <c r="EU108" s="3235">
        <f t="shared" si="313"/>
        <v>-93977950.769999996</v>
      </c>
      <c r="EV108" s="3236">
        <f t="shared" si="314"/>
        <v>-93977950.769999996</v>
      </c>
      <c r="EW108" s="3236">
        <f t="shared" si="315"/>
        <v>0</v>
      </c>
      <c r="EX108" s="3236">
        <f t="shared" si="316"/>
        <v>0</v>
      </c>
      <c r="EY108" s="3237"/>
      <c r="FB108" s="3284">
        <f>VLOOKUP($A108,'New Resources - Individual'!$A$4:$Y$133,FB$2,FALSE)*FB$1</f>
        <v>0</v>
      </c>
      <c r="FC108" s="3235">
        <f t="shared" si="317"/>
        <v>-93977950.769999996</v>
      </c>
      <c r="FD108" s="3236">
        <f t="shared" si="318"/>
        <v>-93977950.769999996</v>
      </c>
      <c r="FE108" s="3236">
        <f t="shared" si="319"/>
        <v>0</v>
      </c>
      <c r="FF108" s="3236">
        <f t="shared" si="320"/>
        <v>0</v>
      </c>
      <c r="FG108" s="3237"/>
      <c r="FJ108" s="3284">
        <f>VLOOKUP($A108,'New Resources - Individual'!$A$4:$Y$133,FJ$2,FALSE)*FJ$1</f>
        <v>0</v>
      </c>
      <c r="FK108" s="3235">
        <f t="shared" si="321"/>
        <v>-93977950.769999996</v>
      </c>
      <c r="FL108" s="3236">
        <f t="shared" si="322"/>
        <v>-93977950.769999996</v>
      </c>
      <c r="FM108" s="3236">
        <f t="shared" si="323"/>
        <v>0</v>
      </c>
      <c r="FN108" s="3236">
        <f t="shared" si="324"/>
        <v>0</v>
      </c>
      <c r="FO108" s="3237"/>
    </row>
    <row r="109" spans="1:171">
      <c r="A109" s="2442"/>
      <c r="B109" s="2097" t="s">
        <v>178</v>
      </c>
      <c r="C109" s="2464" t="s">
        <v>253</v>
      </c>
      <c r="D109" s="2464">
        <v>158.19999999999999</v>
      </c>
      <c r="E109" s="2424" t="str">
        <f>'Sch 1- Rate Base '!E109</f>
        <v>PROD</v>
      </c>
      <c r="F109" s="2171"/>
      <c r="G109" s="2424">
        <f>'Sch 1- Rate Base '!G109</f>
        <v>-0.23000000417232513</v>
      </c>
      <c r="H109" s="2424">
        <f>'Sch 1- Rate Base '!H109</f>
        <v>-0.23000000417232513</v>
      </c>
      <c r="I109" s="2424">
        <f>'Sch 1- Rate Base '!I109</f>
        <v>0</v>
      </c>
      <c r="J109" s="2425">
        <f>'Sch 1- Rate Base '!J109</f>
        <v>0</v>
      </c>
      <c r="K109" s="3205">
        <f t="shared" si="244"/>
        <v>1</v>
      </c>
      <c r="O109" s="3235">
        <f t="shared" ref="O109:O115" si="325">$G109</f>
        <v>-0.23000000417232513</v>
      </c>
      <c r="P109" s="3236">
        <f t="shared" si="246"/>
        <v>-0.23000000417232513</v>
      </c>
      <c r="Q109" s="3236">
        <f t="shared" si="247"/>
        <v>0</v>
      </c>
      <c r="R109" s="3236">
        <f t="shared" si="248"/>
        <v>0</v>
      </c>
      <c r="S109" s="3237"/>
      <c r="W109" s="3235">
        <f t="shared" ref="W109:W115" si="326">$G109</f>
        <v>-0.23000000417232513</v>
      </c>
      <c r="X109" s="3236">
        <f t="shared" si="250"/>
        <v>-0.23000000417232513</v>
      </c>
      <c r="Y109" s="3236">
        <f t="shared" si="251"/>
        <v>0</v>
      </c>
      <c r="Z109" s="3236">
        <f t="shared" si="252"/>
        <v>0</v>
      </c>
      <c r="AA109" s="3237"/>
      <c r="AE109" s="3235">
        <f t="shared" ref="AE109:AE115" si="327">$G109</f>
        <v>-0.23000000417232513</v>
      </c>
      <c r="AF109" s="3236">
        <f t="shared" si="254"/>
        <v>-0.23000000417232513</v>
      </c>
      <c r="AG109" s="3236">
        <f t="shared" si="255"/>
        <v>0</v>
      </c>
      <c r="AH109" s="3236">
        <f t="shared" si="256"/>
        <v>0</v>
      </c>
      <c r="AI109" s="3237"/>
      <c r="AM109" s="3235">
        <f t="shared" ref="AM109:AM115" si="328">$G109</f>
        <v>-0.23000000417232513</v>
      </c>
      <c r="AN109" s="3236">
        <f t="shared" si="258"/>
        <v>-0.23000000417232513</v>
      </c>
      <c r="AO109" s="3236">
        <f t="shared" si="259"/>
        <v>0</v>
      </c>
      <c r="AP109" s="3236">
        <f t="shared" si="260"/>
        <v>0</v>
      </c>
      <c r="AQ109" s="3237"/>
      <c r="AU109" s="3235">
        <f t="shared" ref="AU109:AU115" si="329">$G109</f>
        <v>-0.23000000417232513</v>
      </c>
      <c r="AV109" s="3236">
        <f t="shared" si="262"/>
        <v>-0.23000000417232513</v>
      </c>
      <c r="AW109" s="3236">
        <f t="shared" si="263"/>
        <v>0</v>
      </c>
      <c r="AX109" s="3236">
        <f t="shared" si="264"/>
        <v>0</v>
      </c>
      <c r="AY109" s="3237"/>
      <c r="BC109" s="3235">
        <f t="shared" ref="BC109:BC115" si="330">$G109</f>
        <v>-0.23000000417232513</v>
      </c>
      <c r="BD109" s="3236">
        <f t="shared" si="266"/>
        <v>-0.23000000417232513</v>
      </c>
      <c r="BE109" s="3236">
        <f t="shared" si="267"/>
        <v>0</v>
      </c>
      <c r="BF109" s="3236">
        <f t="shared" si="268"/>
        <v>0</v>
      </c>
      <c r="BG109" s="3237"/>
      <c r="BK109" s="3235">
        <f t="shared" ref="BK109:BK115" si="331">$G109</f>
        <v>-0.23000000417232513</v>
      </c>
      <c r="BL109" s="3236">
        <f t="shared" si="270"/>
        <v>-0.23000000417232513</v>
      </c>
      <c r="BM109" s="3236">
        <f t="shared" si="271"/>
        <v>0</v>
      </c>
      <c r="BN109" s="3236">
        <f t="shared" si="272"/>
        <v>0</v>
      </c>
      <c r="BO109" s="3237"/>
      <c r="BS109" s="3235">
        <f t="shared" ref="BS109:BS115" si="332">$G109</f>
        <v>-0.23000000417232513</v>
      </c>
      <c r="BT109" s="3236">
        <f t="shared" si="274"/>
        <v>-0.23000000417232513</v>
      </c>
      <c r="BU109" s="3236">
        <f t="shared" si="275"/>
        <v>0</v>
      </c>
      <c r="BV109" s="3236">
        <f t="shared" si="276"/>
        <v>0</v>
      </c>
      <c r="BW109" s="3237"/>
      <c r="CA109" s="3235">
        <f t="shared" ref="CA109:CA115" si="333">$G109</f>
        <v>-0.23000000417232513</v>
      </c>
      <c r="CB109" s="3236">
        <f t="shared" si="278"/>
        <v>-0.23000000417232513</v>
      </c>
      <c r="CC109" s="3236">
        <f t="shared" si="279"/>
        <v>0</v>
      </c>
      <c r="CD109" s="3236">
        <f t="shared" si="280"/>
        <v>0</v>
      </c>
      <c r="CE109" s="3237"/>
      <c r="CI109" s="3235">
        <f t="shared" ref="CI109:CI115" si="334">$G109</f>
        <v>-0.23000000417232513</v>
      </c>
      <c r="CJ109" s="3236">
        <f t="shared" si="282"/>
        <v>-0.23000000417232513</v>
      </c>
      <c r="CK109" s="3236">
        <f t="shared" si="283"/>
        <v>0</v>
      </c>
      <c r="CL109" s="3236">
        <f t="shared" si="284"/>
        <v>0</v>
      </c>
      <c r="CM109" s="3237"/>
      <c r="CQ109" s="3235">
        <f t="shared" ref="CQ109:CQ115" si="335">$G109</f>
        <v>-0.23000000417232513</v>
      </c>
      <c r="CR109" s="3236">
        <f t="shared" si="286"/>
        <v>-0.23000000417232513</v>
      </c>
      <c r="CS109" s="3236">
        <f t="shared" si="287"/>
        <v>0</v>
      </c>
      <c r="CT109" s="3236">
        <f t="shared" si="288"/>
        <v>0</v>
      </c>
      <c r="CU109" s="3237"/>
      <c r="CY109" s="3235">
        <f t="shared" ref="CY109:CY115" si="336">$G109</f>
        <v>-0.23000000417232513</v>
      </c>
      <c r="CZ109" s="3236">
        <f t="shared" si="290"/>
        <v>-0.23000000417232513</v>
      </c>
      <c r="DA109" s="3236">
        <f t="shared" si="291"/>
        <v>0</v>
      </c>
      <c r="DB109" s="3236">
        <f t="shared" si="292"/>
        <v>0</v>
      </c>
      <c r="DC109" s="3237"/>
      <c r="DG109" s="3235">
        <f t="shared" ref="DG109:DG115" si="337">$G109</f>
        <v>-0.23000000417232513</v>
      </c>
      <c r="DH109" s="3236">
        <f t="shared" si="294"/>
        <v>-0.23000000417232513</v>
      </c>
      <c r="DI109" s="3236">
        <f t="shared" si="295"/>
        <v>0</v>
      </c>
      <c r="DJ109" s="3236">
        <f t="shared" si="296"/>
        <v>0</v>
      </c>
      <c r="DK109" s="3237"/>
      <c r="DO109" s="3235">
        <f t="shared" ref="DO109:DO115" si="338">$G109</f>
        <v>-0.23000000417232513</v>
      </c>
      <c r="DP109" s="3236">
        <f t="shared" si="298"/>
        <v>-0.23000000417232513</v>
      </c>
      <c r="DQ109" s="3236">
        <f t="shared" si="299"/>
        <v>0</v>
      </c>
      <c r="DR109" s="3236">
        <f t="shared" si="300"/>
        <v>0</v>
      </c>
      <c r="DS109" s="3237"/>
      <c r="DW109" s="3235">
        <f t="shared" ref="DW109:DW115" si="339">$G109</f>
        <v>-0.23000000417232513</v>
      </c>
      <c r="DX109" s="3236">
        <f t="shared" si="302"/>
        <v>-0.23000000417232513</v>
      </c>
      <c r="DY109" s="3236">
        <f t="shared" si="303"/>
        <v>0</v>
      </c>
      <c r="DZ109" s="3236">
        <f t="shared" si="304"/>
        <v>0</v>
      </c>
      <c r="EA109" s="3237"/>
      <c r="EE109" s="3235">
        <f t="shared" ref="EE109:EE115" si="340">$G109</f>
        <v>-0.23000000417232513</v>
      </c>
      <c r="EF109" s="3236">
        <f t="shared" si="306"/>
        <v>-0.23000000417232513</v>
      </c>
      <c r="EG109" s="3236">
        <f t="shared" si="307"/>
        <v>0</v>
      </c>
      <c r="EH109" s="3236">
        <f t="shared" si="308"/>
        <v>0</v>
      </c>
      <c r="EI109" s="3237"/>
      <c r="EM109" s="3235">
        <f t="shared" ref="EM109:EM115" si="341">$G109</f>
        <v>-0.23000000417232513</v>
      </c>
      <c r="EN109" s="3236">
        <f t="shared" si="310"/>
        <v>-0.23000000417232513</v>
      </c>
      <c r="EO109" s="3236">
        <f t="shared" si="311"/>
        <v>0</v>
      </c>
      <c r="EP109" s="3236">
        <f t="shared" si="312"/>
        <v>0</v>
      </c>
      <c r="EQ109" s="3237"/>
      <c r="EU109" s="3235">
        <f t="shared" ref="EU109:EU115" si="342">$G109</f>
        <v>-0.23000000417232513</v>
      </c>
      <c r="EV109" s="3236">
        <f t="shared" si="314"/>
        <v>-0.23000000417232513</v>
      </c>
      <c r="EW109" s="3236">
        <f t="shared" si="315"/>
        <v>0</v>
      </c>
      <c r="EX109" s="3236">
        <f t="shared" si="316"/>
        <v>0</v>
      </c>
      <c r="EY109" s="3237"/>
      <c r="FC109" s="3235">
        <f t="shared" ref="FC109:FC115" si="343">$G109</f>
        <v>-0.23000000417232513</v>
      </c>
      <c r="FD109" s="3236">
        <f t="shared" si="318"/>
        <v>-0.23000000417232513</v>
      </c>
      <c r="FE109" s="3236">
        <f t="shared" si="319"/>
        <v>0</v>
      </c>
      <c r="FF109" s="3236">
        <f t="shared" si="320"/>
        <v>0</v>
      </c>
      <c r="FG109" s="3237"/>
      <c r="FK109" s="3235">
        <f t="shared" ref="FK109:FK115" si="344">$G109</f>
        <v>-0.23000000417232513</v>
      </c>
      <c r="FL109" s="3236">
        <f t="shared" si="322"/>
        <v>-0.23000000417232513</v>
      </c>
      <c r="FM109" s="3236">
        <f t="shared" si="323"/>
        <v>0</v>
      </c>
      <c r="FN109" s="3236">
        <f t="shared" si="324"/>
        <v>0</v>
      </c>
      <c r="FO109" s="3237"/>
    </row>
    <row r="110" spans="1:171">
      <c r="A110" s="2442"/>
      <c r="B110" s="2097" t="s">
        <v>55</v>
      </c>
      <c r="C110" s="2464" t="s">
        <v>78</v>
      </c>
      <c r="D110" s="2464">
        <v>163</v>
      </c>
      <c r="E110" s="2424" t="str">
        <f>'Sch 1- Rate Base '!E110</f>
        <v>PTD</v>
      </c>
      <c r="F110" s="2171"/>
      <c r="G110" s="2424">
        <f>'Sch 1- Rate Base '!G110</f>
        <v>-861822.14029058116</v>
      </c>
      <c r="H110" s="2424">
        <f>'Sch 1- Rate Base '!H110</f>
        <v>-300854.75176485057</v>
      </c>
      <c r="I110" s="2424">
        <f>'Sch 1- Rate Base '!I110</f>
        <v>0</v>
      </c>
      <c r="J110" s="2425">
        <f>'Sch 1- Rate Base '!J110</f>
        <v>-560967.38852573058</v>
      </c>
      <c r="K110" s="3205">
        <f t="shared" si="244"/>
        <v>1</v>
      </c>
      <c r="O110" s="3235">
        <f t="shared" si="325"/>
        <v>-861822.14029058116</v>
      </c>
      <c r="P110" s="3236">
        <f t="shared" ref="P110:P115" si="345">VLOOKUP($E110,O$442:R$453,2,FALSE)*O110*($K110)+IF($G110&lt;&gt;0,($H110/$G110)*O110,0)*(1-$K110)</f>
        <v>-300854.75176485057</v>
      </c>
      <c r="Q110" s="3236">
        <f t="shared" ref="Q110:Q115" si="346">VLOOKUP($E110,O$442:R$453,3,FALSE)*O110*($K110)+IF($G110&lt;&gt;0,($I110/$G110)*O110,0)*(1-$K110)</f>
        <v>-153602.83230340277</v>
      </c>
      <c r="R110" s="3236">
        <f t="shared" si="248"/>
        <v>-407364.55622232781</v>
      </c>
      <c r="S110" s="3237"/>
      <c r="W110" s="3235">
        <f t="shared" si="326"/>
        <v>-861822.14029058116</v>
      </c>
      <c r="X110" s="3236">
        <f t="shared" ref="X110:X115" si="347">VLOOKUP($E110,W$442:Z$453,2,FALSE)*W110*($K110)+IF($G110&lt;&gt;0,($H110/$G110)*W110,0)*(1-$K110)</f>
        <v>-300854.75176485057</v>
      </c>
      <c r="Y110" s="3236">
        <f t="shared" ref="Y110:Y115" si="348">VLOOKUP($E110,W$442:Z$453,3,FALSE)*W110*($K110)+IF($G110&lt;&gt;0,($I110/$G110)*W110,0)*(1-$K110)</f>
        <v>-153602.83230340277</v>
      </c>
      <c r="Z110" s="3236">
        <f t="shared" si="252"/>
        <v>-407364.55622232781</v>
      </c>
      <c r="AA110" s="3237"/>
      <c r="AE110" s="3235">
        <f t="shared" si="327"/>
        <v>-861822.14029058116</v>
      </c>
      <c r="AF110" s="3236">
        <f t="shared" ref="AF110:AF115" si="349">VLOOKUP($E110,AE$442:AH$453,2,FALSE)*AE110*($K110)+IF($G110&lt;&gt;0,($H110/$G110)*AE110,0)*(1-$K110)</f>
        <v>-300854.75176485057</v>
      </c>
      <c r="AG110" s="3236">
        <f t="shared" ref="AG110:AG115" si="350">VLOOKUP($E110,AE$442:AH$453,3,FALSE)*AE110*($K110)+IF($G110&lt;&gt;0,($I110/$G110)*AE110,0)*(1-$K110)</f>
        <v>-153602.83230340277</v>
      </c>
      <c r="AH110" s="3236">
        <f t="shared" si="256"/>
        <v>-407364.55622232781</v>
      </c>
      <c r="AI110" s="3237"/>
      <c r="AM110" s="3235">
        <f t="shared" si="328"/>
        <v>-861822.14029058116</v>
      </c>
      <c r="AN110" s="3236">
        <f t="shared" ref="AN110:AN115" si="351">VLOOKUP($E110,AM$442:AP$453,2,FALSE)*AM110*($K110)+IF($G110&lt;&gt;0,($H110/$G110)*AM110,0)*(1-$K110)</f>
        <v>-300854.75176485057</v>
      </c>
      <c r="AO110" s="3236">
        <f t="shared" ref="AO110:AO115" si="352">VLOOKUP($E110,AM$442:AP$453,3,FALSE)*AM110*($K110)+IF($G110&lt;&gt;0,($I110/$G110)*AM110,0)*(1-$K110)</f>
        <v>-153602.83230340277</v>
      </c>
      <c r="AP110" s="3236">
        <f t="shared" si="260"/>
        <v>-407364.55622232781</v>
      </c>
      <c r="AQ110" s="3237"/>
      <c r="AU110" s="3235">
        <f t="shared" si="329"/>
        <v>-861822.14029058116</v>
      </c>
      <c r="AV110" s="3236">
        <f t="shared" ref="AV110:AV115" si="353">VLOOKUP($E110,AU$442:AX$453,2,FALSE)*AU110*($K110)+IF($G110&lt;&gt;0,($H110/$G110)*AU110,0)*(1-$K110)</f>
        <v>-300854.75176485057</v>
      </c>
      <c r="AW110" s="3236">
        <f t="shared" ref="AW110:AW115" si="354">VLOOKUP($E110,AU$442:AX$453,3,FALSE)*AU110*($K110)+IF($G110&lt;&gt;0,($I110/$G110)*AU110,0)*(1-$K110)</f>
        <v>-153602.83230340277</v>
      </c>
      <c r="AX110" s="3236">
        <f t="shared" si="264"/>
        <v>-407364.55622232781</v>
      </c>
      <c r="AY110" s="3237"/>
      <c r="BC110" s="3235">
        <f t="shared" si="330"/>
        <v>-861822.14029058116</v>
      </c>
      <c r="BD110" s="3236">
        <f t="shared" ref="BD110:BD115" si="355">VLOOKUP($E110,BC$442:BF$453,2,FALSE)*BC110*($K110)+IF($G110&lt;&gt;0,($H110/$G110)*BC110,0)*(1-$K110)</f>
        <v>-300854.75176485057</v>
      </c>
      <c r="BE110" s="3236">
        <f t="shared" ref="BE110:BE115" si="356">VLOOKUP($E110,BC$442:BF$453,3,FALSE)*BC110*($K110)+IF($G110&lt;&gt;0,($I110/$G110)*BC110,0)*(1-$K110)</f>
        <v>-153602.83230340277</v>
      </c>
      <c r="BF110" s="3236">
        <f t="shared" si="268"/>
        <v>-407364.55622232781</v>
      </c>
      <c r="BG110" s="3237"/>
      <c r="BK110" s="3235">
        <f t="shared" si="331"/>
        <v>-861822.14029058116</v>
      </c>
      <c r="BL110" s="3236">
        <f t="shared" ref="BL110:BL115" si="357">VLOOKUP($E110,BK$442:BN$453,2,FALSE)*BK110*($K110)+IF($G110&lt;&gt;0,($H110/$G110)*BK110,0)*(1-$K110)</f>
        <v>-300854.75176485057</v>
      </c>
      <c r="BM110" s="3236">
        <f t="shared" ref="BM110:BM115" si="358">VLOOKUP($E110,BK$442:BN$453,3,FALSE)*BK110*($K110)+IF($G110&lt;&gt;0,($I110/$G110)*BK110,0)*(1-$K110)</f>
        <v>-153602.83230340277</v>
      </c>
      <c r="BN110" s="3236">
        <f t="shared" si="272"/>
        <v>-407364.55622232781</v>
      </c>
      <c r="BO110" s="3237"/>
      <c r="BS110" s="3235">
        <f t="shared" si="332"/>
        <v>-861822.14029058116</v>
      </c>
      <c r="BT110" s="3236">
        <f t="shared" ref="BT110:BT115" si="359">VLOOKUP($E110,BS$442:BV$453,2,FALSE)*BS110*($K110)+IF($G110&lt;&gt;0,($H110/$G110)*BS110,0)*(1-$K110)</f>
        <v>-300854.75176485057</v>
      </c>
      <c r="BU110" s="3236">
        <f t="shared" ref="BU110:BU115" si="360">VLOOKUP($E110,BS$442:BV$453,3,FALSE)*BS110*($K110)+IF($G110&lt;&gt;0,($I110/$G110)*BS110,0)*(1-$K110)</f>
        <v>-153602.83230340277</v>
      </c>
      <c r="BV110" s="3236">
        <f t="shared" si="276"/>
        <v>-407364.55622232781</v>
      </c>
      <c r="BW110" s="3237"/>
      <c r="CA110" s="3235">
        <f t="shared" si="333"/>
        <v>-861822.14029058116</v>
      </c>
      <c r="CB110" s="3236">
        <f t="shared" ref="CB110:CB115" si="361">VLOOKUP($E110,CA$442:CD$453,2,FALSE)*CA110*($K110)+IF($G110&lt;&gt;0,($H110/$G110)*CA110,0)*(1-$K110)</f>
        <v>-300854.75176485057</v>
      </c>
      <c r="CC110" s="3236">
        <f t="shared" ref="CC110:CC115" si="362">VLOOKUP($E110,CA$442:CD$453,3,FALSE)*CA110*($K110)+IF($G110&lt;&gt;0,($I110/$G110)*CA110,0)*(1-$K110)</f>
        <v>-153602.83230340277</v>
      </c>
      <c r="CD110" s="3236">
        <f t="shared" si="280"/>
        <v>-407364.55622232781</v>
      </c>
      <c r="CE110" s="3237"/>
      <c r="CI110" s="3235">
        <f t="shared" si="334"/>
        <v>-861822.14029058116</v>
      </c>
      <c r="CJ110" s="3236">
        <f t="shared" ref="CJ110:CJ115" si="363">VLOOKUP($E110,CI$442:CL$453,2,FALSE)*CI110*($K110)+IF($G110&lt;&gt;0,($H110/$G110)*CI110,0)*(1-$K110)</f>
        <v>-300854.75176485057</v>
      </c>
      <c r="CK110" s="3236">
        <f t="shared" ref="CK110:CK115" si="364">VLOOKUP($E110,CI$442:CL$453,3,FALSE)*CI110*($K110)+IF($G110&lt;&gt;0,($I110/$G110)*CI110,0)*(1-$K110)</f>
        <v>-153602.83230340277</v>
      </c>
      <c r="CL110" s="3236">
        <f t="shared" si="284"/>
        <v>-407364.55622232781</v>
      </c>
      <c r="CM110" s="3237"/>
      <c r="CQ110" s="3235">
        <f t="shared" si="335"/>
        <v>-861822.14029058116</v>
      </c>
      <c r="CR110" s="3236">
        <f t="shared" ref="CR110:CR115" si="365">VLOOKUP($E110,CQ$442:CT$453,2,FALSE)*CQ110*($K110)+IF($G110&lt;&gt;0,($H110/$G110)*CQ110,0)*(1-$K110)</f>
        <v>-300854.75176485057</v>
      </c>
      <c r="CS110" s="3236">
        <f t="shared" ref="CS110:CS115" si="366">VLOOKUP($E110,CQ$442:CT$453,3,FALSE)*CQ110*($K110)+IF($G110&lt;&gt;0,($I110/$G110)*CQ110,0)*(1-$K110)</f>
        <v>-153602.83230340277</v>
      </c>
      <c r="CT110" s="3236">
        <f t="shared" si="288"/>
        <v>-407364.55622232781</v>
      </c>
      <c r="CU110" s="3237"/>
      <c r="CY110" s="3235">
        <f t="shared" si="336"/>
        <v>-861822.14029058116</v>
      </c>
      <c r="CZ110" s="3236">
        <f t="shared" ref="CZ110:CZ115" si="367">VLOOKUP($E110,CY$442:DB$453,2,FALSE)*CY110*($K110)+IF($G110&lt;&gt;0,($H110/$G110)*CY110,0)*(1-$K110)</f>
        <v>-300854.75176485057</v>
      </c>
      <c r="DA110" s="3236">
        <f t="shared" ref="DA110:DA115" si="368">VLOOKUP($E110,CY$442:DB$453,3,FALSE)*CY110*($K110)+IF($G110&lt;&gt;0,($I110/$G110)*CY110,0)*(1-$K110)</f>
        <v>-153602.83230340277</v>
      </c>
      <c r="DB110" s="3236">
        <f t="shared" si="292"/>
        <v>-407364.55622232781</v>
      </c>
      <c r="DC110" s="3237"/>
      <c r="DG110" s="3235">
        <f t="shared" si="337"/>
        <v>-861822.14029058116</v>
      </c>
      <c r="DH110" s="3236">
        <f t="shared" ref="DH110:DH115" si="369">VLOOKUP($E110,DG$442:DJ$453,2,FALSE)*DG110*($K110)+IF($G110&lt;&gt;0,($H110/$G110)*DG110,0)*(1-$K110)</f>
        <v>-300854.75176485057</v>
      </c>
      <c r="DI110" s="3236">
        <f t="shared" ref="DI110:DI115" si="370">VLOOKUP($E110,DG$442:DJ$453,3,FALSE)*DG110*($K110)+IF($G110&lt;&gt;0,($I110/$G110)*DG110,0)*(1-$K110)</f>
        <v>-153602.83230340277</v>
      </c>
      <c r="DJ110" s="3236">
        <f t="shared" si="296"/>
        <v>-407364.55622232781</v>
      </c>
      <c r="DK110" s="3237"/>
      <c r="DO110" s="3235">
        <f t="shared" si="338"/>
        <v>-861822.14029058116</v>
      </c>
      <c r="DP110" s="3236">
        <f t="shared" ref="DP110:DP115" si="371">VLOOKUP($E110,DO$442:DR$453,2,FALSE)*DO110*($K110)+IF($G110&lt;&gt;0,($H110/$G110)*DO110,0)*(1-$K110)</f>
        <v>-300854.75176485057</v>
      </c>
      <c r="DQ110" s="3236">
        <f t="shared" ref="DQ110:DQ115" si="372">VLOOKUP($E110,DO$442:DR$453,3,FALSE)*DO110*($K110)+IF($G110&lt;&gt;0,($I110/$G110)*DO110,0)*(1-$K110)</f>
        <v>-153602.83230340277</v>
      </c>
      <c r="DR110" s="3236">
        <f t="shared" si="300"/>
        <v>-407364.55622232781</v>
      </c>
      <c r="DS110" s="3237"/>
      <c r="DW110" s="3235">
        <f t="shared" si="339"/>
        <v>-861822.14029058116</v>
      </c>
      <c r="DX110" s="3236">
        <f t="shared" ref="DX110:DX115" si="373">VLOOKUP($E110,DW$442:DZ$453,2,FALSE)*DW110*($K110)+IF($G110&lt;&gt;0,($H110/$G110)*DW110,0)*(1-$K110)</f>
        <v>-300854.75176485057</v>
      </c>
      <c r="DY110" s="3236">
        <f t="shared" ref="DY110:DY115" si="374">VLOOKUP($E110,DW$442:DZ$453,3,FALSE)*DW110*($K110)+IF($G110&lt;&gt;0,($I110/$G110)*DW110,0)*(1-$K110)</f>
        <v>-153602.83230340277</v>
      </c>
      <c r="DZ110" s="3236">
        <f t="shared" si="304"/>
        <v>-407364.55622232781</v>
      </c>
      <c r="EA110" s="3237"/>
      <c r="EE110" s="3235">
        <f t="shared" si="340"/>
        <v>-861822.14029058116</v>
      </c>
      <c r="EF110" s="3236">
        <f t="shared" ref="EF110:EF115" si="375">VLOOKUP($E110,EE$442:EH$453,2,FALSE)*EE110*($K110)+IF($G110&lt;&gt;0,($H110/$G110)*EE110,0)*(1-$K110)</f>
        <v>-300854.75176485057</v>
      </c>
      <c r="EG110" s="3236">
        <f t="shared" ref="EG110:EG115" si="376">VLOOKUP($E110,EE$442:EH$453,3,FALSE)*EE110*($K110)+IF($G110&lt;&gt;0,($I110/$G110)*EE110,0)*(1-$K110)</f>
        <v>-153602.83230340277</v>
      </c>
      <c r="EH110" s="3236">
        <f t="shared" si="308"/>
        <v>-407364.55622232781</v>
      </c>
      <c r="EI110" s="3237"/>
      <c r="EM110" s="3235">
        <f t="shared" si="341"/>
        <v>-861822.14029058116</v>
      </c>
      <c r="EN110" s="3236">
        <f t="shared" ref="EN110:EN115" si="377">VLOOKUP($E110,EM$442:EP$453,2,FALSE)*EM110*($K110)+IF($G110&lt;&gt;0,($H110/$G110)*EM110,0)*(1-$K110)</f>
        <v>-300854.75176485057</v>
      </c>
      <c r="EO110" s="3236">
        <f t="shared" ref="EO110:EO115" si="378">VLOOKUP($E110,EM$442:EP$453,3,FALSE)*EM110*($K110)+IF($G110&lt;&gt;0,($I110/$G110)*EM110,0)*(1-$K110)</f>
        <v>-153602.83230340277</v>
      </c>
      <c r="EP110" s="3236">
        <f t="shared" si="312"/>
        <v>-407364.55622232781</v>
      </c>
      <c r="EQ110" s="3237"/>
      <c r="EU110" s="3235">
        <f t="shared" si="342"/>
        <v>-861822.14029058116</v>
      </c>
      <c r="EV110" s="3236">
        <f t="shared" ref="EV110:EV115" si="379">VLOOKUP($E110,EU$442:EX$453,2,FALSE)*EU110*($K110)+IF($G110&lt;&gt;0,($H110/$G110)*EU110,0)*(1-$K110)</f>
        <v>-300854.75176485057</v>
      </c>
      <c r="EW110" s="3236">
        <f t="shared" ref="EW110:EW115" si="380">VLOOKUP($E110,EU$442:EX$453,3,FALSE)*EU110*($K110)+IF($G110&lt;&gt;0,($I110/$G110)*EU110,0)*(1-$K110)</f>
        <v>-153602.83230340277</v>
      </c>
      <c r="EX110" s="3236">
        <f t="shared" si="316"/>
        <v>-407364.55622232781</v>
      </c>
      <c r="EY110" s="3237"/>
      <c r="FC110" s="3235">
        <f t="shared" si="343"/>
        <v>-861822.14029058116</v>
      </c>
      <c r="FD110" s="3236">
        <f t="shared" ref="FD110:FD115" si="381">VLOOKUP($E110,FC$442:FF$453,2,FALSE)*FC110*($K110)+IF($G110&lt;&gt;0,($H110/$G110)*FC110,0)*(1-$K110)</f>
        <v>-300854.75176485057</v>
      </c>
      <c r="FE110" s="3236">
        <f t="shared" ref="FE110:FE115" si="382">VLOOKUP($E110,FC$442:FF$453,3,FALSE)*FC110*($K110)+IF($G110&lt;&gt;0,($I110/$G110)*FC110,0)*(1-$K110)</f>
        <v>-153602.83230340277</v>
      </c>
      <c r="FF110" s="3236">
        <f t="shared" si="320"/>
        <v>-407364.55622232781</v>
      </c>
      <c r="FG110" s="3237"/>
      <c r="FK110" s="3235">
        <f t="shared" si="344"/>
        <v>-861822.14029058116</v>
      </c>
      <c r="FL110" s="3236">
        <f t="shared" ref="FL110:FL115" si="383">VLOOKUP($E110,FK$442:FN$453,2,FALSE)*FK110*($K110)+IF($G110&lt;&gt;0,($H110/$G110)*FK110,0)*(1-$K110)</f>
        <v>-300854.75176485057</v>
      </c>
      <c r="FM110" s="3236">
        <f t="shared" ref="FM110:FM115" si="384">VLOOKUP($E110,FK$442:FN$453,3,FALSE)*FK110*($K110)+IF($G110&lt;&gt;0,($I110/$G110)*FK110,0)*(1-$K110)</f>
        <v>-153602.83230340277</v>
      </c>
      <c r="FN110" s="3236">
        <f t="shared" si="324"/>
        <v>-407364.55622232781</v>
      </c>
      <c r="FO110" s="3237"/>
    </row>
    <row r="111" spans="1:171">
      <c r="A111" s="2442"/>
      <c r="B111" s="2097" t="s">
        <v>8</v>
      </c>
      <c r="C111" s="2464" t="s">
        <v>78</v>
      </c>
      <c r="D111" s="2464">
        <v>165</v>
      </c>
      <c r="E111" s="2424" t="str">
        <f>'Sch 1- Rate Base '!E111</f>
        <v>PTD</v>
      </c>
      <c r="F111" s="2171"/>
      <c r="G111" s="2424">
        <f>'Sch 1- Rate Base '!G111</f>
        <v>57629356.754719973</v>
      </c>
      <c r="H111" s="2424">
        <f>'Sch 1- Rate Base '!H111</f>
        <v>20117916.458915066</v>
      </c>
      <c r="I111" s="2424">
        <f>'Sch 1- Rate Base '!I111</f>
        <v>0</v>
      </c>
      <c r="J111" s="2425">
        <f>'Sch 1- Rate Base '!J111</f>
        <v>37511440.29580491</v>
      </c>
      <c r="K111" s="3205">
        <f t="shared" si="244"/>
        <v>1</v>
      </c>
      <c r="O111" s="3235">
        <f t="shared" si="325"/>
        <v>57629356.754719973</v>
      </c>
      <c r="P111" s="3236">
        <f t="shared" si="345"/>
        <v>20117916.458915066</v>
      </c>
      <c r="Q111" s="3236">
        <f t="shared" si="346"/>
        <v>10271298.458825365</v>
      </c>
      <c r="R111" s="3236">
        <f>VLOOKUP($E111,O$442:R$453,4,FALSE)*O111*($K111)+(O111-P111-Q111)*(1-$K111)</f>
        <v>27240141.836979542</v>
      </c>
      <c r="S111" s="3237"/>
      <c r="W111" s="3235">
        <f t="shared" si="326"/>
        <v>57629356.754719973</v>
      </c>
      <c r="X111" s="3236">
        <f t="shared" si="347"/>
        <v>20117916.458915066</v>
      </c>
      <c r="Y111" s="3236">
        <f t="shared" si="348"/>
        <v>10271298.458825365</v>
      </c>
      <c r="Z111" s="3236">
        <f>VLOOKUP($E111,W$442:Z$453,4,FALSE)*W111*($K111)+(W111-X111-Y111)*(1-$K111)</f>
        <v>27240141.836979542</v>
      </c>
      <c r="AA111" s="3237"/>
      <c r="AE111" s="3235">
        <f t="shared" si="327"/>
        <v>57629356.754719973</v>
      </c>
      <c r="AF111" s="3236">
        <f t="shared" si="349"/>
        <v>20117916.458915066</v>
      </c>
      <c r="AG111" s="3236">
        <f t="shared" si="350"/>
        <v>10271298.458825365</v>
      </c>
      <c r="AH111" s="3236">
        <f>VLOOKUP($E111,AE$442:AH$453,4,FALSE)*AE111*($K111)+(AE111-AF111-AG111)*(1-$K111)</f>
        <v>27240141.836979542</v>
      </c>
      <c r="AI111" s="3237"/>
      <c r="AM111" s="3235">
        <f t="shared" si="328"/>
        <v>57629356.754719973</v>
      </c>
      <c r="AN111" s="3236">
        <f t="shared" si="351"/>
        <v>20117916.458915066</v>
      </c>
      <c r="AO111" s="3236">
        <f t="shared" si="352"/>
        <v>10271298.458825365</v>
      </c>
      <c r="AP111" s="3236">
        <f>VLOOKUP($E111,AM$442:AP$453,4,FALSE)*AM111*($K111)+(AM111-AN111-AO111)*(1-$K111)</f>
        <v>27240141.836979542</v>
      </c>
      <c r="AQ111" s="3237"/>
      <c r="AU111" s="3235">
        <f t="shared" si="329"/>
        <v>57629356.754719973</v>
      </c>
      <c r="AV111" s="3236">
        <f t="shared" si="353"/>
        <v>20117916.458915066</v>
      </c>
      <c r="AW111" s="3236">
        <f t="shared" si="354"/>
        <v>10271298.458825365</v>
      </c>
      <c r="AX111" s="3236">
        <f>VLOOKUP($E111,AU$442:AX$453,4,FALSE)*AU111*($K111)+(AU111-AV111-AW111)*(1-$K111)</f>
        <v>27240141.836979542</v>
      </c>
      <c r="AY111" s="3237"/>
      <c r="BC111" s="3235">
        <f t="shared" si="330"/>
        <v>57629356.754719973</v>
      </c>
      <c r="BD111" s="3236">
        <f t="shared" si="355"/>
        <v>20117916.458915066</v>
      </c>
      <c r="BE111" s="3236">
        <f t="shared" si="356"/>
        <v>10271298.458825365</v>
      </c>
      <c r="BF111" s="3236">
        <f>VLOOKUP($E111,BC$442:BF$453,4,FALSE)*BC111*($K111)+(BC111-BD111-BE111)*(1-$K111)</f>
        <v>27240141.836979542</v>
      </c>
      <c r="BG111" s="3237"/>
      <c r="BK111" s="3235">
        <f t="shared" si="331"/>
        <v>57629356.754719973</v>
      </c>
      <c r="BL111" s="3236">
        <f t="shared" si="357"/>
        <v>20117916.458915066</v>
      </c>
      <c r="BM111" s="3236">
        <f t="shared" si="358"/>
        <v>10271298.458825365</v>
      </c>
      <c r="BN111" s="3236">
        <f>VLOOKUP($E111,BK$442:BN$453,4,FALSE)*BK111*($K111)+(BK111-BL111-BM111)*(1-$K111)</f>
        <v>27240141.836979542</v>
      </c>
      <c r="BO111" s="3237"/>
      <c r="BS111" s="3235">
        <f t="shared" si="332"/>
        <v>57629356.754719973</v>
      </c>
      <c r="BT111" s="3236">
        <f t="shared" si="359"/>
        <v>20117916.458915066</v>
      </c>
      <c r="BU111" s="3236">
        <f t="shared" si="360"/>
        <v>10271298.458825365</v>
      </c>
      <c r="BV111" s="3236">
        <f>VLOOKUP($E111,BS$442:BV$453,4,FALSE)*BS111*($K111)+(BS111-BT111-BU111)*(1-$K111)</f>
        <v>27240141.836979542</v>
      </c>
      <c r="BW111" s="3237"/>
      <c r="CA111" s="3235">
        <f t="shared" si="333"/>
        <v>57629356.754719973</v>
      </c>
      <c r="CB111" s="3236">
        <f t="shared" si="361"/>
        <v>20117916.458915066</v>
      </c>
      <c r="CC111" s="3236">
        <f t="shared" si="362"/>
        <v>10271298.458825365</v>
      </c>
      <c r="CD111" s="3236">
        <f>VLOOKUP($E111,CA$442:CD$453,4,FALSE)*CA111*($K111)+(CA111-CB111-CC111)*(1-$K111)</f>
        <v>27240141.836979542</v>
      </c>
      <c r="CE111" s="3237"/>
      <c r="CI111" s="3235">
        <f t="shared" si="334"/>
        <v>57629356.754719973</v>
      </c>
      <c r="CJ111" s="3236">
        <f t="shared" si="363"/>
        <v>20117916.458915066</v>
      </c>
      <c r="CK111" s="3236">
        <f t="shared" si="364"/>
        <v>10271298.458825365</v>
      </c>
      <c r="CL111" s="3236">
        <f>VLOOKUP($E111,CI$442:CL$453,4,FALSE)*CI111*($K111)+(CI111-CJ111-CK111)*(1-$K111)</f>
        <v>27240141.836979542</v>
      </c>
      <c r="CM111" s="3237"/>
      <c r="CQ111" s="3235">
        <f t="shared" si="335"/>
        <v>57629356.754719973</v>
      </c>
      <c r="CR111" s="3236">
        <f t="shared" si="365"/>
        <v>20117916.458915066</v>
      </c>
      <c r="CS111" s="3236">
        <f t="shared" si="366"/>
        <v>10271298.458825365</v>
      </c>
      <c r="CT111" s="3236">
        <f>VLOOKUP($E111,CQ$442:CT$453,4,FALSE)*CQ111*($K111)+(CQ111-CR111-CS111)*(1-$K111)</f>
        <v>27240141.836979542</v>
      </c>
      <c r="CU111" s="3237"/>
      <c r="CY111" s="3235">
        <f t="shared" si="336"/>
        <v>57629356.754719973</v>
      </c>
      <c r="CZ111" s="3236">
        <f t="shared" si="367"/>
        <v>20117916.458915066</v>
      </c>
      <c r="DA111" s="3236">
        <f t="shared" si="368"/>
        <v>10271298.458825365</v>
      </c>
      <c r="DB111" s="3236">
        <f>VLOOKUP($E111,CY$442:DB$453,4,FALSE)*CY111*($K111)+(CY111-CZ111-DA111)*(1-$K111)</f>
        <v>27240141.836979542</v>
      </c>
      <c r="DC111" s="3237"/>
      <c r="DG111" s="3235">
        <f t="shared" si="337"/>
        <v>57629356.754719973</v>
      </c>
      <c r="DH111" s="3236">
        <f t="shared" si="369"/>
        <v>20117916.458915066</v>
      </c>
      <c r="DI111" s="3236">
        <f t="shared" si="370"/>
        <v>10271298.458825365</v>
      </c>
      <c r="DJ111" s="3236">
        <f>VLOOKUP($E111,DG$442:DJ$453,4,FALSE)*DG111*($K111)+(DG111-DH111-DI111)*(1-$K111)</f>
        <v>27240141.836979542</v>
      </c>
      <c r="DK111" s="3237"/>
      <c r="DO111" s="3235">
        <f t="shared" si="338"/>
        <v>57629356.754719973</v>
      </c>
      <c r="DP111" s="3236">
        <f t="shared" si="371"/>
        <v>20117916.458915066</v>
      </c>
      <c r="DQ111" s="3236">
        <f t="shared" si="372"/>
        <v>10271298.458825365</v>
      </c>
      <c r="DR111" s="3236">
        <f>VLOOKUP($E111,DO$442:DR$453,4,FALSE)*DO111*($K111)+(DO111-DP111-DQ111)*(1-$K111)</f>
        <v>27240141.836979542</v>
      </c>
      <c r="DS111" s="3237"/>
      <c r="DW111" s="3235">
        <f t="shared" si="339"/>
        <v>57629356.754719973</v>
      </c>
      <c r="DX111" s="3236">
        <f t="shared" si="373"/>
        <v>20117916.458915066</v>
      </c>
      <c r="DY111" s="3236">
        <f t="shared" si="374"/>
        <v>10271298.458825365</v>
      </c>
      <c r="DZ111" s="3236">
        <f>VLOOKUP($E111,DW$442:DZ$453,4,FALSE)*DW111*($K111)+(DW111-DX111-DY111)*(1-$K111)</f>
        <v>27240141.836979542</v>
      </c>
      <c r="EA111" s="3237"/>
      <c r="EE111" s="3235">
        <f t="shared" si="340"/>
        <v>57629356.754719973</v>
      </c>
      <c r="EF111" s="3236">
        <f t="shared" si="375"/>
        <v>20117916.458915066</v>
      </c>
      <c r="EG111" s="3236">
        <f t="shared" si="376"/>
        <v>10271298.458825365</v>
      </c>
      <c r="EH111" s="3236">
        <f>VLOOKUP($E111,EE$442:EH$453,4,FALSE)*EE111*($K111)+(EE111-EF111-EG111)*(1-$K111)</f>
        <v>27240141.836979542</v>
      </c>
      <c r="EI111" s="3237"/>
      <c r="EM111" s="3235">
        <f t="shared" si="341"/>
        <v>57629356.754719973</v>
      </c>
      <c r="EN111" s="3236">
        <f t="shared" si="377"/>
        <v>20117916.458915066</v>
      </c>
      <c r="EO111" s="3236">
        <f t="shared" si="378"/>
        <v>10271298.458825365</v>
      </c>
      <c r="EP111" s="3236">
        <f>VLOOKUP($E111,EM$442:EP$453,4,FALSE)*EM111*($K111)+(EM111-EN111-EO111)*(1-$K111)</f>
        <v>27240141.836979542</v>
      </c>
      <c r="EQ111" s="3237"/>
      <c r="EU111" s="3235">
        <f t="shared" si="342"/>
        <v>57629356.754719973</v>
      </c>
      <c r="EV111" s="3236">
        <f t="shared" si="379"/>
        <v>20117916.458915066</v>
      </c>
      <c r="EW111" s="3236">
        <f t="shared" si="380"/>
        <v>10271298.458825365</v>
      </c>
      <c r="EX111" s="3236">
        <f>VLOOKUP($E111,EU$442:EX$453,4,FALSE)*EU111*($K111)+(EU111-EV111-EW111)*(1-$K111)</f>
        <v>27240141.836979542</v>
      </c>
      <c r="EY111" s="3237"/>
      <c r="FC111" s="3235">
        <f t="shared" si="343"/>
        <v>57629356.754719973</v>
      </c>
      <c r="FD111" s="3236">
        <f t="shared" si="381"/>
        <v>20117916.458915066</v>
      </c>
      <c r="FE111" s="3236">
        <f t="shared" si="382"/>
        <v>10271298.458825365</v>
      </c>
      <c r="FF111" s="3236">
        <f>VLOOKUP($E111,FC$442:FF$453,4,FALSE)*FC111*($K111)+(FC111-FD111-FE111)*(1-$K111)</f>
        <v>27240141.836979542</v>
      </c>
      <c r="FG111" s="3237"/>
      <c r="FK111" s="3235">
        <f t="shared" si="344"/>
        <v>57629356.754719973</v>
      </c>
      <c r="FL111" s="3236">
        <f t="shared" si="383"/>
        <v>20117916.458915066</v>
      </c>
      <c r="FM111" s="3236">
        <f t="shared" si="384"/>
        <v>10271298.458825365</v>
      </c>
      <c r="FN111" s="3236">
        <f>VLOOKUP($E111,FK$442:FN$453,4,FALSE)*FK111*($K111)+(FK111-FL111-FM111)*(1-$K111)</f>
        <v>27240141.836979542</v>
      </c>
      <c r="FO111" s="3237"/>
    </row>
    <row r="112" spans="1:171">
      <c r="A112" s="2442"/>
      <c r="B112" s="2290" t="s">
        <v>9</v>
      </c>
      <c r="C112" s="2464" t="s">
        <v>78</v>
      </c>
      <c r="D112" s="2464">
        <v>175</v>
      </c>
      <c r="E112" s="2424" t="str">
        <f>'Sch 1- Rate Base '!E112</f>
        <v>DIST</v>
      </c>
      <c r="F112" s="2171"/>
      <c r="G112" s="2424">
        <f>'Sch 1- Rate Base '!G112</f>
        <v>3021644.13</v>
      </c>
      <c r="H112" s="2424">
        <f>'Sch 1- Rate Base '!H112</f>
        <v>0</v>
      </c>
      <c r="I112" s="2424">
        <f>'Sch 1- Rate Base '!I112</f>
        <v>0</v>
      </c>
      <c r="J112" s="2425">
        <f>'Sch 1- Rate Base '!J112</f>
        <v>3021644.13</v>
      </c>
      <c r="K112" s="3205">
        <f t="shared" si="244"/>
        <v>1</v>
      </c>
      <c r="O112" s="3235">
        <f t="shared" si="325"/>
        <v>3021644.13</v>
      </c>
      <c r="P112" s="3236">
        <f t="shared" si="345"/>
        <v>0</v>
      </c>
      <c r="Q112" s="3236">
        <f t="shared" si="346"/>
        <v>0</v>
      </c>
      <c r="R112" s="3236">
        <f>VLOOKUP($E112,O$442:R$453,4,FALSE)*O112*($K112)+(O112-P112-Q112)*(1-$K112)</f>
        <v>3021644.13</v>
      </c>
      <c r="S112" s="3237"/>
      <c r="W112" s="3235">
        <f t="shared" si="326"/>
        <v>3021644.13</v>
      </c>
      <c r="X112" s="3236">
        <f t="shared" si="347"/>
        <v>0</v>
      </c>
      <c r="Y112" s="3236">
        <f t="shared" si="348"/>
        <v>0</v>
      </c>
      <c r="Z112" s="3236">
        <f>VLOOKUP($E112,W$442:Z$453,4,FALSE)*W112*($K112)+(W112-X112-Y112)*(1-$K112)</f>
        <v>3021644.13</v>
      </c>
      <c r="AA112" s="3237"/>
      <c r="AE112" s="3235">
        <f t="shared" si="327"/>
        <v>3021644.13</v>
      </c>
      <c r="AF112" s="3236">
        <f t="shared" si="349"/>
        <v>0</v>
      </c>
      <c r="AG112" s="3236">
        <f t="shared" si="350"/>
        <v>0</v>
      </c>
      <c r="AH112" s="3236">
        <f>VLOOKUP($E112,AE$442:AH$453,4,FALSE)*AE112*($K112)+(AE112-AF112-AG112)*(1-$K112)</f>
        <v>3021644.13</v>
      </c>
      <c r="AI112" s="3237"/>
      <c r="AM112" s="3235">
        <f t="shared" si="328"/>
        <v>3021644.13</v>
      </c>
      <c r="AN112" s="3236">
        <f t="shared" si="351"/>
        <v>0</v>
      </c>
      <c r="AO112" s="3236">
        <f t="shared" si="352"/>
        <v>0</v>
      </c>
      <c r="AP112" s="3236">
        <f>VLOOKUP($E112,AM$442:AP$453,4,FALSE)*AM112*($K112)+(AM112-AN112-AO112)*(1-$K112)</f>
        <v>3021644.13</v>
      </c>
      <c r="AQ112" s="3237"/>
      <c r="AU112" s="3235">
        <f t="shared" si="329"/>
        <v>3021644.13</v>
      </c>
      <c r="AV112" s="3236">
        <f t="shared" si="353"/>
        <v>0</v>
      </c>
      <c r="AW112" s="3236">
        <f t="shared" si="354"/>
        <v>0</v>
      </c>
      <c r="AX112" s="3236">
        <f>VLOOKUP($E112,AU$442:AX$453,4,FALSE)*AU112*($K112)+(AU112-AV112-AW112)*(1-$K112)</f>
        <v>3021644.13</v>
      </c>
      <c r="AY112" s="3237"/>
      <c r="BC112" s="3235">
        <f t="shared" si="330"/>
        <v>3021644.13</v>
      </c>
      <c r="BD112" s="3236">
        <f t="shared" si="355"/>
        <v>0</v>
      </c>
      <c r="BE112" s="3236">
        <f t="shared" si="356"/>
        <v>0</v>
      </c>
      <c r="BF112" s="3236">
        <f>VLOOKUP($E112,BC$442:BF$453,4,FALSE)*BC112*($K112)+(BC112-BD112-BE112)*(1-$K112)</f>
        <v>3021644.13</v>
      </c>
      <c r="BG112" s="3237"/>
      <c r="BK112" s="3235">
        <f t="shared" si="331"/>
        <v>3021644.13</v>
      </c>
      <c r="BL112" s="3236">
        <f t="shared" si="357"/>
        <v>0</v>
      </c>
      <c r="BM112" s="3236">
        <f t="shared" si="358"/>
        <v>0</v>
      </c>
      <c r="BN112" s="3236">
        <f>VLOOKUP($E112,BK$442:BN$453,4,FALSE)*BK112*($K112)+(BK112-BL112-BM112)*(1-$K112)</f>
        <v>3021644.13</v>
      </c>
      <c r="BO112" s="3237"/>
      <c r="BS112" s="3235">
        <f t="shared" si="332"/>
        <v>3021644.13</v>
      </c>
      <c r="BT112" s="3236">
        <f t="shared" si="359"/>
        <v>0</v>
      </c>
      <c r="BU112" s="3236">
        <f t="shared" si="360"/>
        <v>0</v>
      </c>
      <c r="BV112" s="3236">
        <f>VLOOKUP($E112,BS$442:BV$453,4,FALSE)*BS112*($K112)+(BS112-BT112-BU112)*(1-$K112)</f>
        <v>3021644.13</v>
      </c>
      <c r="BW112" s="3237"/>
      <c r="CA112" s="3235">
        <f t="shared" si="333"/>
        <v>3021644.13</v>
      </c>
      <c r="CB112" s="3236">
        <f t="shared" si="361"/>
        <v>0</v>
      </c>
      <c r="CC112" s="3236">
        <f t="shared" si="362"/>
        <v>0</v>
      </c>
      <c r="CD112" s="3236">
        <f>VLOOKUP($E112,CA$442:CD$453,4,FALSE)*CA112*($K112)+(CA112-CB112-CC112)*(1-$K112)</f>
        <v>3021644.13</v>
      </c>
      <c r="CE112" s="3237"/>
      <c r="CI112" s="3235">
        <f t="shared" si="334"/>
        <v>3021644.13</v>
      </c>
      <c r="CJ112" s="3236">
        <f t="shared" si="363"/>
        <v>0</v>
      </c>
      <c r="CK112" s="3236">
        <f t="shared" si="364"/>
        <v>0</v>
      </c>
      <c r="CL112" s="3236">
        <f>VLOOKUP($E112,CI$442:CL$453,4,FALSE)*CI112*($K112)+(CI112-CJ112-CK112)*(1-$K112)</f>
        <v>3021644.13</v>
      </c>
      <c r="CM112" s="3237"/>
      <c r="CQ112" s="3235">
        <f t="shared" si="335"/>
        <v>3021644.13</v>
      </c>
      <c r="CR112" s="3236">
        <f t="shared" si="365"/>
        <v>0</v>
      </c>
      <c r="CS112" s="3236">
        <f t="shared" si="366"/>
        <v>0</v>
      </c>
      <c r="CT112" s="3236">
        <f>VLOOKUP($E112,CQ$442:CT$453,4,FALSE)*CQ112*($K112)+(CQ112-CR112-CS112)*(1-$K112)</f>
        <v>3021644.13</v>
      </c>
      <c r="CU112" s="3237"/>
      <c r="CY112" s="3235">
        <f t="shared" si="336"/>
        <v>3021644.13</v>
      </c>
      <c r="CZ112" s="3236">
        <f t="shared" si="367"/>
        <v>0</v>
      </c>
      <c r="DA112" s="3236">
        <f t="shared" si="368"/>
        <v>0</v>
      </c>
      <c r="DB112" s="3236">
        <f>VLOOKUP($E112,CY$442:DB$453,4,FALSE)*CY112*($K112)+(CY112-CZ112-DA112)*(1-$K112)</f>
        <v>3021644.13</v>
      </c>
      <c r="DC112" s="3237"/>
      <c r="DG112" s="3235">
        <f t="shared" si="337"/>
        <v>3021644.13</v>
      </c>
      <c r="DH112" s="3236">
        <f t="shared" si="369"/>
        <v>0</v>
      </c>
      <c r="DI112" s="3236">
        <f t="shared" si="370"/>
        <v>0</v>
      </c>
      <c r="DJ112" s="3236">
        <f>VLOOKUP($E112,DG$442:DJ$453,4,FALSE)*DG112*($K112)+(DG112-DH112-DI112)*(1-$K112)</f>
        <v>3021644.13</v>
      </c>
      <c r="DK112" s="3237"/>
      <c r="DO112" s="3235">
        <f t="shared" si="338"/>
        <v>3021644.13</v>
      </c>
      <c r="DP112" s="3236">
        <f t="shared" si="371"/>
        <v>0</v>
      </c>
      <c r="DQ112" s="3236">
        <f t="shared" si="372"/>
        <v>0</v>
      </c>
      <c r="DR112" s="3236">
        <f>VLOOKUP($E112,DO$442:DR$453,4,FALSE)*DO112*($K112)+(DO112-DP112-DQ112)*(1-$K112)</f>
        <v>3021644.13</v>
      </c>
      <c r="DS112" s="3237"/>
      <c r="DW112" s="3235">
        <f t="shared" si="339"/>
        <v>3021644.13</v>
      </c>
      <c r="DX112" s="3236">
        <f t="shared" si="373"/>
        <v>0</v>
      </c>
      <c r="DY112" s="3236">
        <f t="shared" si="374"/>
        <v>0</v>
      </c>
      <c r="DZ112" s="3236">
        <f>VLOOKUP($E112,DW$442:DZ$453,4,FALSE)*DW112*($K112)+(DW112-DX112-DY112)*(1-$K112)</f>
        <v>3021644.13</v>
      </c>
      <c r="EA112" s="3237"/>
      <c r="EE112" s="3235">
        <f t="shared" si="340"/>
        <v>3021644.13</v>
      </c>
      <c r="EF112" s="3236">
        <f t="shared" si="375"/>
        <v>0</v>
      </c>
      <c r="EG112" s="3236">
        <f t="shared" si="376"/>
        <v>0</v>
      </c>
      <c r="EH112" s="3236">
        <f>VLOOKUP($E112,EE$442:EH$453,4,FALSE)*EE112*($K112)+(EE112-EF112-EG112)*(1-$K112)</f>
        <v>3021644.13</v>
      </c>
      <c r="EI112" s="3237"/>
      <c r="EM112" s="3235">
        <f t="shared" si="341"/>
        <v>3021644.13</v>
      </c>
      <c r="EN112" s="3236">
        <f t="shared" si="377"/>
        <v>0</v>
      </c>
      <c r="EO112" s="3236">
        <f t="shared" si="378"/>
        <v>0</v>
      </c>
      <c r="EP112" s="3236">
        <f>VLOOKUP($E112,EM$442:EP$453,4,FALSE)*EM112*($K112)+(EM112-EN112-EO112)*(1-$K112)</f>
        <v>3021644.13</v>
      </c>
      <c r="EQ112" s="3237"/>
      <c r="EU112" s="3235">
        <f t="shared" si="342"/>
        <v>3021644.13</v>
      </c>
      <c r="EV112" s="3236">
        <f t="shared" si="379"/>
        <v>0</v>
      </c>
      <c r="EW112" s="3236">
        <f t="shared" si="380"/>
        <v>0</v>
      </c>
      <c r="EX112" s="3236">
        <f>VLOOKUP($E112,EU$442:EX$453,4,FALSE)*EU112*($K112)+(EU112-EV112-EW112)*(1-$K112)</f>
        <v>3021644.13</v>
      </c>
      <c r="EY112" s="3237"/>
      <c r="FC112" s="3235">
        <f t="shared" si="343"/>
        <v>3021644.13</v>
      </c>
      <c r="FD112" s="3236">
        <f t="shared" si="381"/>
        <v>0</v>
      </c>
      <c r="FE112" s="3236">
        <f t="shared" si="382"/>
        <v>0</v>
      </c>
      <c r="FF112" s="3236">
        <f>VLOOKUP($E112,FC$442:FF$453,4,FALSE)*FC112*($K112)+(FC112-FD112-FE112)*(1-$K112)</f>
        <v>3021644.13</v>
      </c>
      <c r="FG112" s="3237"/>
      <c r="FK112" s="3235">
        <f t="shared" si="344"/>
        <v>3021644.13</v>
      </c>
      <c r="FL112" s="3236">
        <f t="shared" si="383"/>
        <v>0</v>
      </c>
      <c r="FM112" s="3236">
        <f t="shared" si="384"/>
        <v>0</v>
      </c>
      <c r="FN112" s="3236">
        <f>VLOOKUP($E112,FK$442:FN$453,4,FALSE)*FK112*($K112)+(FK112-FL112-FM112)*(1-$K112)</f>
        <v>3021644.13</v>
      </c>
      <c r="FO112" s="3237"/>
    </row>
    <row r="113" spans="1:171">
      <c r="A113" s="2442"/>
      <c r="B113" s="2290" t="s">
        <v>612</v>
      </c>
      <c r="C113" s="2464" t="s">
        <v>253</v>
      </c>
      <c r="D113" s="2464">
        <v>175</v>
      </c>
      <c r="E113" s="2424" t="str">
        <f>'Sch 1- Rate Base '!E113</f>
        <v>DIST</v>
      </c>
      <c r="F113" s="2171"/>
      <c r="G113" s="2424">
        <f>'Sch 1- Rate Base '!G113</f>
        <v>30098821.84</v>
      </c>
      <c r="H113" s="2424">
        <f>'Sch 1- Rate Base '!H113</f>
        <v>0</v>
      </c>
      <c r="I113" s="2424">
        <f>'Sch 1- Rate Base '!I113</f>
        <v>0</v>
      </c>
      <c r="J113" s="2425">
        <f>'Sch 1- Rate Base '!J113</f>
        <v>30098821.84</v>
      </c>
      <c r="K113" s="3205">
        <f t="shared" si="244"/>
        <v>1</v>
      </c>
      <c r="O113" s="3235">
        <f t="shared" si="325"/>
        <v>30098821.84</v>
      </c>
      <c r="P113" s="3236">
        <f t="shared" si="345"/>
        <v>0</v>
      </c>
      <c r="Q113" s="3236">
        <f t="shared" si="346"/>
        <v>0</v>
      </c>
      <c r="R113" s="3236">
        <f>VLOOKUP($E113,O$442:R$453,4,FALSE)*O113*($K113)+(O113-P113-Q113)*(1-$K113)</f>
        <v>30098821.84</v>
      </c>
      <c r="S113" s="3237"/>
      <c r="W113" s="3235">
        <f t="shared" si="326"/>
        <v>30098821.84</v>
      </c>
      <c r="X113" s="3236">
        <f t="shared" si="347"/>
        <v>0</v>
      </c>
      <c r="Y113" s="3236">
        <f t="shared" si="348"/>
        <v>0</v>
      </c>
      <c r="Z113" s="3236">
        <f>VLOOKUP($E113,W$442:Z$453,4,FALSE)*W113*($K113)+(W113-X113-Y113)*(1-$K113)</f>
        <v>30098821.84</v>
      </c>
      <c r="AA113" s="3237"/>
      <c r="AE113" s="3235">
        <f t="shared" si="327"/>
        <v>30098821.84</v>
      </c>
      <c r="AF113" s="3236">
        <f t="shared" si="349"/>
        <v>0</v>
      </c>
      <c r="AG113" s="3236">
        <f t="shared" si="350"/>
        <v>0</v>
      </c>
      <c r="AH113" s="3236">
        <f>VLOOKUP($E113,AE$442:AH$453,4,FALSE)*AE113*($K113)+(AE113-AF113-AG113)*(1-$K113)</f>
        <v>30098821.84</v>
      </c>
      <c r="AI113" s="3237"/>
      <c r="AM113" s="3235">
        <f t="shared" si="328"/>
        <v>30098821.84</v>
      </c>
      <c r="AN113" s="3236">
        <f t="shared" si="351"/>
        <v>0</v>
      </c>
      <c r="AO113" s="3236">
        <f t="shared" si="352"/>
        <v>0</v>
      </c>
      <c r="AP113" s="3236">
        <f>VLOOKUP($E113,AM$442:AP$453,4,FALSE)*AM113*($K113)+(AM113-AN113-AO113)*(1-$K113)</f>
        <v>30098821.84</v>
      </c>
      <c r="AQ113" s="3237"/>
      <c r="AU113" s="3235">
        <f t="shared" si="329"/>
        <v>30098821.84</v>
      </c>
      <c r="AV113" s="3236">
        <f t="shared" si="353"/>
        <v>0</v>
      </c>
      <c r="AW113" s="3236">
        <f t="shared" si="354"/>
        <v>0</v>
      </c>
      <c r="AX113" s="3236">
        <f>VLOOKUP($E113,AU$442:AX$453,4,FALSE)*AU113*($K113)+(AU113-AV113-AW113)*(1-$K113)</f>
        <v>30098821.84</v>
      </c>
      <c r="AY113" s="3237"/>
      <c r="BC113" s="3235">
        <f t="shared" si="330"/>
        <v>30098821.84</v>
      </c>
      <c r="BD113" s="3236">
        <f t="shared" si="355"/>
        <v>0</v>
      </c>
      <c r="BE113" s="3236">
        <f t="shared" si="356"/>
        <v>0</v>
      </c>
      <c r="BF113" s="3236">
        <f>VLOOKUP($E113,BC$442:BF$453,4,FALSE)*BC113*($K113)+(BC113-BD113-BE113)*(1-$K113)</f>
        <v>30098821.84</v>
      </c>
      <c r="BG113" s="3237"/>
      <c r="BK113" s="3235">
        <f t="shared" si="331"/>
        <v>30098821.84</v>
      </c>
      <c r="BL113" s="3236">
        <f t="shared" si="357"/>
        <v>0</v>
      </c>
      <c r="BM113" s="3236">
        <f t="shared" si="358"/>
        <v>0</v>
      </c>
      <c r="BN113" s="3236">
        <f>VLOOKUP($E113,BK$442:BN$453,4,FALSE)*BK113*($K113)+(BK113-BL113-BM113)*(1-$K113)</f>
        <v>30098821.84</v>
      </c>
      <c r="BO113" s="3237"/>
      <c r="BS113" s="3235">
        <f t="shared" si="332"/>
        <v>30098821.84</v>
      </c>
      <c r="BT113" s="3236">
        <f t="shared" si="359"/>
        <v>0</v>
      </c>
      <c r="BU113" s="3236">
        <f t="shared" si="360"/>
        <v>0</v>
      </c>
      <c r="BV113" s="3236">
        <f>VLOOKUP($E113,BS$442:BV$453,4,FALSE)*BS113*($K113)+(BS113-BT113-BU113)*(1-$K113)</f>
        <v>30098821.84</v>
      </c>
      <c r="BW113" s="3237"/>
      <c r="CA113" s="3235">
        <f t="shared" si="333"/>
        <v>30098821.84</v>
      </c>
      <c r="CB113" s="3236">
        <f t="shared" si="361"/>
        <v>0</v>
      </c>
      <c r="CC113" s="3236">
        <f t="shared" si="362"/>
        <v>0</v>
      </c>
      <c r="CD113" s="3236">
        <f>VLOOKUP($E113,CA$442:CD$453,4,FALSE)*CA113*($K113)+(CA113-CB113-CC113)*(1-$K113)</f>
        <v>30098821.84</v>
      </c>
      <c r="CE113" s="3237"/>
      <c r="CI113" s="3235">
        <f t="shared" si="334"/>
        <v>30098821.84</v>
      </c>
      <c r="CJ113" s="3236">
        <f t="shared" si="363"/>
        <v>0</v>
      </c>
      <c r="CK113" s="3236">
        <f t="shared" si="364"/>
        <v>0</v>
      </c>
      <c r="CL113" s="3236">
        <f>VLOOKUP($E113,CI$442:CL$453,4,FALSE)*CI113*($K113)+(CI113-CJ113-CK113)*(1-$K113)</f>
        <v>30098821.84</v>
      </c>
      <c r="CM113" s="3237"/>
      <c r="CQ113" s="3235">
        <f t="shared" si="335"/>
        <v>30098821.84</v>
      </c>
      <c r="CR113" s="3236">
        <f t="shared" si="365"/>
        <v>0</v>
      </c>
      <c r="CS113" s="3236">
        <f t="shared" si="366"/>
        <v>0</v>
      </c>
      <c r="CT113" s="3236">
        <f>VLOOKUP($E113,CQ$442:CT$453,4,FALSE)*CQ113*($K113)+(CQ113-CR113-CS113)*(1-$K113)</f>
        <v>30098821.84</v>
      </c>
      <c r="CU113" s="3237"/>
      <c r="CY113" s="3235">
        <f t="shared" si="336"/>
        <v>30098821.84</v>
      </c>
      <c r="CZ113" s="3236">
        <f t="shared" si="367"/>
        <v>0</v>
      </c>
      <c r="DA113" s="3236">
        <f t="shared" si="368"/>
        <v>0</v>
      </c>
      <c r="DB113" s="3236">
        <f>VLOOKUP($E113,CY$442:DB$453,4,FALSE)*CY113*($K113)+(CY113-CZ113-DA113)*(1-$K113)</f>
        <v>30098821.84</v>
      </c>
      <c r="DC113" s="3237"/>
      <c r="DG113" s="3235">
        <f t="shared" si="337"/>
        <v>30098821.84</v>
      </c>
      <c r="DH113" s="3236">
        <f t="shared" si="369"/>
        <v>0</v>
      </c>
      <c r="DI113" s="3236">
        <f t="shared" si="370"/>
        <v>0</v>
      </c>
      <c r="DJ113" s="3236">
        <f>VLOOKUP($E113,DG$442:DJ$453,4,FALSE)*DG113*($K113)+(DG113-DH113-DI113)*(1-$K113)</f>
        <v>30098821.84</v>
      </c>
      <c r="DK113" s="3237"/>
      <c r="DO113" s="3235">
        <f t="shared" si="338"/>
        <v>30098821.84</v>
      </c>
      <c r="DP113" s="3236">
        <f t="shared" si="371"/>
        <v>0</v>
      </c>
      <c r="DQ113" s="3236">
        <f t="shared" si="372"/>
        <v>0</v>
      </c>
      <c r="DR113" s="3236">
        <f>VLOOKUP($E113,DO$442:DR$453,4,FALSE)*DO113*($K113)+(DO113-DP113-DQ113)*(1-$K113)</f>
        <v>30098821.84</v>
      </c>
      <c r="DS113" s="3237"/>
      <c r="DW113" s="3235">
        <f t="shared" si="339"/>
        <v>30098821.84</v>
      </c>
      <c r="DX113" s="3236">
        <f t="shared" si="373"/>
        <v>0</v>
      </c>
      <c r="DY113" s="3236">
        <f t="shared" si="374"/>
        <v>0</v>
      </c>
      <c r="DZ113" s="3236">
        <f>VLOOKUP($E113,DW$442:DZ$453,4,FALSE)*DW113*($K113)+(DW113-DX113-DY113)*(1-$K113)</f>
        <v>30098821.84</v>
      </c>
      <c r="EA113" s="3237"/>
      <c r="EE113" s="3235">
        <f t="shared" si="340"/>
        <v>30098821.84</v>
      </c>
      <c r="EF113" s="3236">
        <f t="shared" si="375"/>
        <v>0</v>
      </c>
      <c r="EG113" s="3236">
        <f t="shared" si="376"/>
        <v>0</v>
      </c>
      <c r="EH113" s="3236">
        <f>VLOOKUP($E113,EE$442:EH$453,4,FALSE)*EE113*($K113)+(EE113-EF113-EG113)*(1-$K113)</f>
        <v>30098821.84</v>
      </c>
      <c r="EI113" s="3237"/>
      <c r="EM113" s="3235">
        <f t="shared" si="341"/>
        <v>30098821.84</v>
      </c>
      <c r="EN113" s="3236">
        <f t="shared" si="377"/>
        <v>0</v>
      </c>
      <c r="EO113" s="3236">
        <f t="shared" si="378"/>
        <v>0</v>
      </c>
      <c r="EP113" s="3236">
        <f>VLOOKUP($E113,EM$442:EP$453,4,FALSE)*EM113*($K113)+(EM113-EN113-EO113)*(1-$K113)</f>
        <v>30098821.84</v>
      </c>
      <c r="EQ113" s="3237"/>
      <c r="EU113" s="3235">
        <f t="shared" si="342"/>
        <v>30098821.84</v>
      </c>
      <c r="EV113" s="3236">
        <f t="shared" si="379"/>
        <v>0</v>
      </c>
      <c r="EW113" s="3236">
        <f t="shared" si="380"/>
        <v>0</v>
      </c>
      <c r="EX113" s="3236">
        <f>VLOOKUP($E113,EU$442:EX$453,4,FALSE)*EU113*($K113)+(EU113-EV113-EW113)*(1-$K113)</f>
        <v>30098821.84</v>
      </c>
      <c r="EY113" s="3237"/>
      <c r="FC113" s="3235">
        <f t="shared" si="343"/>
        <v>30098821.84</v>
      </c>
      <c r="FD113" s="3236">
        <f t="shared" si="381"/>
        <v>0</v>
      </c>
      <c r="FE113" s="3236">
        <f t="shared" si="382"/>
        <v>0</v>
      </c>
      <c r="FF113" s="3236">
        <f>VLOOKUP($E113,FC$442:FF$453,4,FALSE)*FC113*($K113)+(FC113-FD113-FE113)*(1-$K113)</f>
        <v>30098821.84</v>
      </c>
      <c r="FG113" s="3237"/>
      <c r="FK113" s="3235">
        <f t="shared" si="344"/>
        <v>30098821.84</v>
      </c>
      <c r="FL113" s="3236">
        <f t="shared" si="383"/>
        <v>0</v>
      </c>
      <c r="FM113" s="3236">
        <f t="shared" si="384"/>
        <v>0</v>
      </c>
      <c r="FN113" s="3236">
        <f>VLOOKUP($E113,FK$442:FN$453,4,FALSE)*FK113*($K113)+(FK113-FL113-FM113)*(1-$K113)</f>
        <v>30098821.84</v>
      </c>
      <c r="FO113" s="3237"/>
    </row>
    <row r="114" spans="1:171">
      <c r="A114" s="2442"/>
      <c r="B114" s="2290" t="s">
        <v>332</v>
      </c>
      <c r="C114" s="3285" t="s">
        <v>78</v>
      </c>
      <c r="D114" s="3285">
        <v>176</v>
      </c>
      <c r="E114" s="2424" t="str">
        <f>'Sch 1- Rate Base '!E114</f>
        <v>DIST</v>
      </c>
      <c r="F114" s="2171"/>
      <c r="G114" s="2424">
        <f>'Sch 1- Rate Base '!G114</f>
        <v>0</v>
      </c>
      <c r="H114" s="2424">
        <f>'Sch 1- Rate Base '!H114</f>
        <v>0</v>
      </c>
      <c r="I114" s="2424">
        <f>'Sch 1- Rate Base '!I114</f>
        <v>0</v>
      </c>
      <c r="J114" s="2425">
        <f>'Sch 1- Rate Base '!J114</f>
        <v>0</v>
      </c>
      <c r="K114" s="3205">
        <f t="shared" si="244"/>
        <v>1</v>
      </c>
      <c r="O114" s="3235">
        <f t="shared" si="325"/>
        <v>0</v>
      </c>
      <c r="P114" s="3236">
        <f t="shared" si="345"/>
        <v>0</v>
      </c>
      <c r="Q114" s="3236">
        <f t="shared" si="346"/>
        <v>0</v>
      </c>
      <c r="R114" s="3236">
        <f>VLOOKUP($E114,O$442:R$453,4,FALSE)*O114*($K114)+(O114-P114-Q114)*(1-$K114)</f>
        <v>0</v>
      </c>
      <c r="S114" s="3237"/>
      <c r="W114" s="3235">
        <f t="shared" si="326"/>
        <v>0</v>
      </c>
      <c r="X114" s="3236">
        <f t="shared" si="347"/>
        <v>0</v>
      </c>
      <c r="Y114" s="3236">
        <f t="shared" si="348"/>
        <v>0</v>
      </c>
      <c r="Z114" s="3236">
        <f>VLOOKUP($E114,W$442:Z$453,4,FALSE)*W114*($K114)+(W114-X114-Y114)*(1-$K114)</f>
        <v>0</v>
      </c>
      <c r="AA114" s="3237"/>
      <c r="AE114" s="3235">
        <f t="shared" si="327"/>
        <v>0</v>
      </c>
      <c r="AF114" s="3236">
        <f t="shared" si="349"/>
        <v>0</v>
      </c>
      <c r="AG114" s="3236">
        <f t="shared" si="350"/>
        <v>0</v>
      </c>
      <c r="AH114" s="3236">
        <f>VLOOKUP($E114,AE$442:AH$453,4,FALSE)*AE114*($K114)+(AE114-AF114-AG114)*(1-$K114)</f>
        <v>0</v>
      </c>
      <c r="AI114" s="3237"/>
      <c r="AM114" s="3235">
        <f t="shared" si="328"/>
        <v>0</v>
      </c>
      <c r="AN114" s="3236">
        <f t="shared" si="351"/>
        <v>0</v>
      </c>
      <c r="AO114" s="3236">
        <f t="shared" si="352"/>
        <v>0</v>
      </c>
      <c r="AP114" s="3236">
        <f>VLOOKUP($E114,AM$442:AP$453,4,FALSE)*AM114*($K114)+(AM114-AN114-AO114)*(1-$K114)</f>
        <v>0</v>
      </c>
      <c r="AQ114" s="3237"/>
      <c r="AU114" s="3235">
        <f t="shared" si="329"/>
        <v>0</v>
      </c>
      <c r="AV114" s="3236">
        <f t="shared" si="353"/>
        <v>0</v>
      </c>
      <c r="AW114" s="3236">
        <f t="shared" si="354"/>
        <v>0</v>
      </c>
      <c r="AX114" s="3236">
        <f>VLOOKUP($E114,AU$442:AX$453,4,FALSE)*AU114*($K114)+(AU114-AV114-AW114)*(1-$K114)</f>
        <v>0</v>
      </c>
      <c r="AY114" s="3237"/>
      <c r="BC114" s="3235">
        <f t="shared" si="330"/>
        <v>0</v>
      </c>
      <c r="BD114" s="3236">
        <f t="shared" si="355"/>
        <v>0</v>
      </c>
      <c r="BE114" s="3236">
        <f t="shared" si="356"/>
        <v>0</v>
      </c>
      <c r="BF114" s="3236">
        <f>VLOOKUP($E114,BC$442:BF$453,4,FALSE)*BC114*($K114)+(BC114-BD114-BE114)*(1-$K114)</f>
        <v>0</v>
      </c>
      <c r="BG114" s="3237"/>
      <c r="BK114" s="3235">
        <f t="shared" si="331"/>
        <v>0</v>
      </c>
      <c r="BL114" s="3236">
        <f t="shared" si="357"/>
        <v>0</v>
      </c>
      <c r="BM114" s="3236">
        <f t="shared" si="358"/>
        <v>0</v>
      </c>
      <c r="BN114" s="3236">
        <f>VLOOKUP($E114,BK$442:BN$453,4,FALSE)*BK114*($K114)+(BK114-BL114-BM114)*(1-$K114)</f>
        <v>0</v>
      </c>
      <c r="BO114" s="3237"/>
      <c r="BS114" s="3235">
        <f t="shared" si="332"/>
        <v>0</v>
      </c>
      <c r="BT114" s="3236">
        <f t="shared" si="359"/>
        <v>0</v>
      </c>
      <c r="BU114" s="3236">
        <f t="shared" si="360"/>
        <v>0</v>
      </c>
      <c r="BV114" s="3236">
        <f>VLOOKUP($E114,BS$442:BV$453,4,FALSE)*BS114*($K114)+(BS114-BT114-BU114)*(1-$K114)</f>
        <v>0</v>
      </c>
      <c r="BW114" s="3237"/>
      <c r="CA114" s="3235">
        <f t="shared" si="333"/>
        <v>0</v>
      </c>
      <c r="CB114" s="3236">
        <f t="shared" si="361"/>
        <v>0</v>
      </c>
      <c r="CC114" s="3236">
        <f t="shared" si="362"/>
        <v>0</v>
      </c>
      <c r="CD114" s="3236">
        <f>VLOOKUP($E114,CA$442:CD$453,4,FALSE)*CA114*($K114)+(CA114-CB114-CC114)*(1-$K114)</f>
        <v>0</v>
      </c>
      <c r="CE114" s="3237"/>
      <c r="CI114" s="3235">
        <f t="shared" si="334"/>
        <v>0</v>
      </c>
      <c r="CJ114" s="3236">
        <f t="shared" si="363"/>
        <v>0</v>
      </c>
      <c r="CK114" s="3236">
        <f t="shared" si="364"/>
        <v>0</v>
      </c>
      <c r="CL114" s="3236">
        <f>VLOOKUP($E114,CI$442:CL$453,4,FALSE)*CI114*($K114)+(CI114-CJ114-CK114)*(1-$K114)</f>
        <v>0</v>
      </c>
      <c r="CM114" s="3237"/>
      <c r="CQ114" s="3235">
        <f t="shared" si="335"/>
        <v>0</v>
      </c>
      <c r="CR114" s="3236">
        <f t="shared" si="365"/>
        <v>0</v>
      </c>
      <c r="CS114" s="3236">
        <f t="shared" si="366"/>
        <v>0</v>
      </c>
      <c r="CT114" s="3236">
        <f>VLOOKUP($E114,CQ$442:CT$453,4,FALSE)*CQ114*($K114)+(CQ114-CR114-CS114)*(1-$K114)</f>
        <v>0</v>
      </c>
      <c r="CU114" s="3237"/>
      <c r="CY114" s="3235">
        <f t="shared" si="336"/>
        <v>0</v>
      </c>
      <c r="CZ114" s="3236">
        <f t="shared" si="367"/>
        <v>0</v>
      </c>
      <c r="DA114" s="3236">
        <f t="shared" si="368"/>
        <v>0</v>
      </c>
      <c r="DB114" s="3236">
        <f>VLOOKUP($E114,CY$442:DB$453,4,FALSE)*CY114*($K114)+(CY114-CZ114-DA114)*(1-$K114)</f>
        <v>0</v>
      </c>
      <c r="DC114" s="3237"/>
      <c r="DG114" s="3235">
        <f t="shared" si="337"/>
        <v>0</v>
      </c>
      <c r="DH114" s="3236">
        <f t="shared" si="369"/>
        <v>0</v>
      </c>
      <c r="DI114" s="3236">
        <f t="shared" si="370"/>
        <v>0</v>
      </c>
      <c r="DJ114" s="3236">
        <f>VLOOKUP($E114,DG$442:DJ$453,4,FALSE)*DG114*($K114)+(DG114-DH114-DI114)*(1-$K114)</f>
        <v>0</v>
      </c>
      <c r="DK114" s="3237"/>
      <c r="DO114" s="3235">
        <f t="shared" si="338"/>
        <v>0</v>
      </c>
      <c r="DP114" s="3236">
        <f t="shared" si="371"/>
        <v>0</v>
      </c>
      <c r="DQ114" s="3236">
        <f t="shared" si="372"/>
        <v>0</v>
      </c>
      <c r="DR114" s="3236">
        <f>VLOOKUP($E114,DO$442:DR$453,4,FALSE)*DO114*($K114)+(DO114-DP114-DQ114)*(1-$K114)</f>
        <v>0</v>
      </c>
      <c r="DS114" s="3237"/>
      <c r="DW114" s="3235">
        <f t="shared" si="339"/>
        <v>0</v>
      </c>
      <c r="DX114" s="3236">
        <f t="shared" si="373"/>
        <v>0</v>
      </c>
      <c r="DY114" s="3236">
        <f t="shared" si="374"/>
        <v>0</v>
      </c>
      <c r="DZ114" s="3236">
        <f>VLOOKUP($E114,DW$442:DZ$453,4,FALSE)*DW114*($K114)+(DW114-DX114-DY114)*(1-$K114)</f>
        <v>0</v>
      </c>
      <c r="EA114" s="3237"/>
      <c r="EE114" s="3235">
        <f t="shared" si="340"/>
        <v>0</v>
      </c>
      <c r="EF114" s="3236">
        <f t="shared" si="375"/>
        <v>0</v>
      </c>
      <c r="EG114" s="3236">
        <f t="shared" si="376"/>
        <v>0</v>
      </c>
      <c r="EH114" s="3236">
        <f>VLOOKUP($E114,EE$442:EH$453,4,FALSE)*EE114*($K114)+(EE114-EF114-EG114)*(1-$K114)</f>
        <v>0</v>
      </c>
      <c r="EI114" s="3237"/>
      <c r="EM114" s="3235">
        <f t="shared" si="341"/>
        <v>0</v>
      </c>
      <c r="EN114" s="3236">
        <f t="shared" si="377"/>
        <v>0</v>
      </c>
      <c r="EO114" s="3236">
        <f t="shared" si="378"/>
        <v>0</v>
      </c>
      <c r="EP114" s="3236">
        <f>VLOOKUP($E114,EM$442:EP$453,4,FALSE)*EM114*($K114)+(EM114-EN114-EO114)*(1-$K114)</f>
        <v>0</v>
      </c>
      <c r="EQ114" s="3237"/>
      <c r="EU114" s="3235">
        <f t="shared" si="342"/>
        <v>0</v>
      </c>
      <c r="EV114" s="3236">
        <f t="shared" si="379"/>
        <v>0</v>
      </c>
      <c r="EW114" s="3236">
        <f t="shared" si="380"/>
        <v>0</v>
      </c>
      <c r="EX114" s="3236">
        <f>VLOOKUP($E114,EU$442:EX$453,4,FALSE)*EU114*($K114)+(EU114-EV114-EW114)*(1-$K114)</f>
        <v>0</v>
      </c>
      <c r="EY114" s="3237"/>
      <c r="FC114" s="3235">
        <f t="shared" si="343"/>
        <v>0</v>
      </c>
      <c r="FD114" s="3236">
        <f t="shared" si="381"/>
        <v>0</v>
      </c>
      <c r="FE114" s="3236">
        <f t="shared" si="382"/>
        <v>0</v>
      </c>
      <c r="FF114" s="3236">
        <f>VLOOKUP($E114,FC$442:FF$453,4,FALSE)*FC114*($K114)+(FC114-FD114-FE114)*(1-$K114)</f>
        <v>0</v>
      </c>
      <c r="FG114" s="3237"/>
      <c r="FK114" s="3235">
        <f t="shared" si="344"/>
        <v>0</v>
      </c>
      <c r="FL114" s="3236">
        <f t="shared" si="383"/>
        <v>0</v>
      </c>
      <c r="FM114" s="3236">
        <f t="shared" si="384"/>
        <v>0</v>
      </c>
      <c r="FN114" s="3236">
        <f>VLOOKUP($E114,FK$442:FN$453,4,FALSE)*FK114*($K114)+(FK114-FL114-FM114)*(1-$K114)</f>
        <v>0</v>
      </c>
      <c r="FO114" s="3237"/>
    </row>
    <row r="115" spans="1:171">
      <c r="A115" s="2442"/>
      <c r="B115" s="2290" t="s">
        <v>613</v>
      </c>
      <c r="C115" s="3285" t="s">
        <v>253</v>
      </c>
      <c r="D115" s="3285">
        <v>176</v>
      </c>
      <c r="E115" s="2424" t="str">
        <f>'Sch 1- Rate Base '!E115</f>
        <v>DIST</v>
      </c>
      <c r="F115" s="2171"/>
      <c r="G115" s="2424">
        <f>'Sch 1- Rate Base '!G115</f>
        <v>0</v>
      </c>
      <c r="H115" s="2424">
        <f>'Sch 1- Rate Base '!H115</f>
        <v>0</v>
      </c>
      <c r="I115" s="2424">
        <f>'Sch 1- Rate Base '!I115</f>
        <v>0</v>
      </c>
      <c r="J115" s="2425">
        <f>'Sch 1- Rate Base '!J115</f>
        <v>0</v>
      </c>
      <c r="K115" s="3205">
        <f t="shared" si="244"/>
        <v>1</v>
      </c>
      <c r="O115" s="3235">
        <f t="shared" si="325"/>
        <v>0</v>
      </c>
      <c r="P115" s="3236">
        <f t="shared" si="345"/>
        <v>0</v>
      </c>
      <c r="Q115" s="3236">
        <f t="shared" si="346"/>
        <v>0</v>
      </c>
      <c r="R115" s="3236">
        <f>VLOOKUP($E115,O$442:R$453,4,FALSE)*O115*($K115)+(O115-P115-Q115)*(1-$K115)</f>
        <v>0</v>
      </c>
      <c r="S115" s="3237"/>
      <c r="W115" s="3235">
        <f t="shared" si="326"/>
        <v>0</v>
      </c>
      <c r="X115" s="3236">
        <f t="shared" si="347"/>
        <v>0</v>
      </c>
      <c r="Y115" s="3236">
        <f t="shared" si="348"/>
        <v>0</v>
      </c>
      <c r="Z115" s="3236">
        <f>VLOOKUP($E115,W$442:Z$453,4,FALSE)*W115*($K115)+(W115-X115-Y115)*(1-$K115)</f>
        <v>0</v>
      </c>
      <c r="AA115" s="3237"/>
      <c r="AE115" s="3235">
        <f t="shared" si="327"/>
        <v>0</v>
      </c>
      <c r="AF115" s="3236">
        <f t="shared" si="349"/>
        <v>0</v>
      </c>
      <c r="AG115" s="3236">
        <f t="shared" si="350"/>
        <v>0</v>
      </c>
      <c r="AH115" s="3236">
        <f>VLOOKUP($E115,AE$442:AH$453,4,FALSE)*AE115*($K115)+(AE115-AF115-AG115)*(1-$K115)</f>
        <v>0</v>
      </c>
      <c r="AI115" s="3237"/>
      <c r="AM115" s="3235">
        <f t="shared" si="328"/>
        <v>0</v>
      </c>
      <c r="AN115" s="3236">
        <f t="shared" si="351"/>
        <v>0</v>
      </c>
      <c r="AO115" s="3236">
        <f t="shared" si="352"/>
        <v>0</v>
      </c>
      <c r="AP115" s="3236">
        <f>VLOOKUP($E115,AM$442:AP$453,4,FALSE)*AM115*($K115)+(AM115-AN115-AO115)*(1-$K115)</f>
        <v>0</v>
      </c>
      <c r="AQ115" s="3237"/>
      <c r="AU115" s="3235">
        <f t="shared" si="329"/>
        <v>0</v>
      </c>
      <c r="AV115" s="3236">
        <f t="shared" si="353"/>
        <v>0</v>
      </c>
      <c r="AW115" s="3236">
        <f t="shared" si="354"/>
        <v>0</v>
      </c>
      <c r="AX115" s="3236">
        <f>VLOOKUP($E115,AU$442:AX$453,4,FALSE)*AU115*($K115)+(AU115-AV115-AW115)*(1-$K115)</f>
        <v>0</v>
      </c>
      <c r="AY115" s="3237"/>
      <c r="BC115" s="3235">
        <f t="shared" si="330"/>
        <v>0</v>
      </c>
      <c r="BD115" s="3236">
        <f t="shared" si="355"/>
        <v>0</v>
      </c>
      <c r="BE115" s="3236">
        <f t="shared" si="356"/>
        <v>0</v>
      </c>
      <c r="BF115" s="3236">
        <f>VLOOKUP($E115,BC$442:BF$453,4,FALSE)*BC115*($K115)+(BC115-BD115-BE115)*(1-$K115)</f>
        <v>0</v>
      </c>
      <c r="BG115" s="3237"/>
      <c r="BK115" s="3235">
        <f t="shared" si="331"/>
        <v>0</v>
      </c>
      <c r="BL115" s="3236">
        <f t="shared" si="357"/>
        <v>0</v>
      </c>
      <c r="BM115" s="3236">
        <f t="shared" si="358"/>
        <v>0</v>
      </c>
      <c r="BN115" s="3236">
        <f>VLOOKUP($E115,BK$442:BN$453,4,FALSE)*BK115*($K115)+(BK115-BL115-BM115)*(1-$K115)</f>
        <v>0</v>
      </c>
      <c r="BO115" s="3237"/>
      <c r="BS115" s="3235">
        <f t="shared" si="332"/>
        <v>0</v>
      </c>
      <c r="BT115" s="3236">
        <f t="shared" si="359"/>
        <v>0</v>
      </c>
      <c r="BU115" s="3236">
        <f t="shared" si="360"/>
        <v>0</v>
      </c>
      <c r="BV115" s="3236">
        <f>VLOOKUP($E115,BS$442:BV$453,4,FALSE)*BS115*($K115)+(BS115-BT115-BU115)*(1-$K115)</f>
        <v>0</v>
      </c>
      <c r="BW115" s="3237"/>
      <c r="CA115" s="3235">
        <f t="shared" si="333"/>
        <v>0</v>
      </c>
      <c r="CB115" s="3236">
        <f t="shared" si="361"/>
        <v>0</v>
      </c>
      <c r="CC115" s="3236">
        <f t="shared" si="362"/>
        <v>0</v>
      </c>
      <c r="CD115" s="3236">
        <f>VLOOKUP($E115,CA$442:CD$453,4,FALSE)*CA115*($K115)+(CA115-CB115-CC115)*(1-$K115)</f>
        <v>0</v>
      </c>
      <c r="CE115" s="3237"/>
      <c r="CI115" s="3235">
        <f t="shared" si="334"/>
        <v>0</v>
      </c>
      <c r="CJ115" s="3236">
        <f t="shared" si="363"/>
        <v>0</v>
      </c>
      <c r="CK115" s="3236">
        <f t="shared" si="364"/>
        <v>0</v>
      </c>
      <c r="CL115" s="3236">
        <f>VLOOKUP($E115,CI$442:CL$453,4,FALSE)*CI115*($K115)+(CI115-CJ115-CK115)*(1-$K115)</f>
        <v>0</v>
      </c>
      <c r="CM115" s="3237"/>
      <c r="CQ115" s="3235">
        <f t="shared" si="335"/>
        <v>0</v>
      </c>
      <c r="CR115" s="3236">
        <f t="shared" si="365"/>
        <v>0</v>
      </c>
      <c r="CS115" s="3236">
        <f t="shared" si="366"/>
        <v>0</v>
      </c>
      <c r="CT115" s="3236">
        <f>VLOOKUP($E115,CQ$442:CT$453,4,FALSE)*CQ115*($K115)+(CQ115-CR115-CS115)*(1-$K115)</f>
        <v>0</v>
      </c>
      <c r="CU115" s="3237"/>
      <c r="CY115" s="3235">
        <f t="shared" si="336"/>
        <v>0</v>
      </c>
      <c r="CZ115" s="3236">
        <f t="shared" si="367"/>
        <v>0</v>
      </c>
      <c r="DA115" s="3236">
        <f t="shared" si="368"/>
        <v>0</v>
      </c>
      <c r="DB115" s="3236">
        <f>VLOOKUP($E115,CY$442:DB$453,4,FALSE)*CY115*($K115)+(CY115-CZ115-DA115)*(1-$K115)</f>
        <v>0</v>
      </c>
      <c r="DC115" s="3237"/>
      <c r="DG115" s="3235">
        <f t="shared" si="337"/>
        <v>0</v>
      </c>
      <c r="DH115" s="3236">
        <f t="shared" si="369"/>
        <v>0</v>
      </c>
      <c r="DI115" s="3236">
        <f t="shared" si="370"/>
        <v>0</v>
      </c>
      <c r="DJ115" s="3236">
        <f>VLOOKUP($E115,DG$442:DJ$453,4,FALSE)*DG115*($K115)+(DG115-DH115-DI115)*(1-$K115)</f>
        <v>0</v>
      </c>
      <c r="DK115" s="3237"/>
      <c r="DO115" s="3235">
        <f t="shared" si="338"/>
        <v>0</v>
      </c>
      <c r="DP115" s="3236">
        <f t="shared" si="371"/>
        <v>0</v>
      </c>
      <c r="DQ115" s="3236">
        <f t="shared" si="372"/>
        <v>0</v>
      </c>
      <c r="DR115" s="3236">
        <f>VLOOKUP($E115,DO$442:DR$453,4,FALSE)*DO115*($K115)+(DO115-DP115-DQ115)*(1-$K115)</f>
        <v>0</v>
      </c>
      <c r="DS115" s="3237"/>
      <c r="DW115" s="3235">
        <f t="shared" si="339"/>
        <v>0</v>
      </c>
      <c r="DX115" s="3236">
        <f t="shared" si="373"/>
        <v>0</v>
      </c>
      <c r="DY115" s="3236">
        <f t="shared" si="374"/>
        <v>0</v>
      </c>
      <c r="DZ115" s="3236">
        <f>VLOOKUP($E115,DW$442:DZ$453,4,FALSE)*DW115*($K115)+(DW115-DX115-DY115)*(1-$K115)</f>
        <v>0</v>
      </c>
      <c r="EA115" s="3237"/>
      <c r="EE115" s="3235">
        <f t="shared" si="340"/>
        <v>0</v>
      </c>
      <c r="EF115" s="3236">
        <f t="shared" si="375"/>
        <v>0</v>
      </c>
      <c r="EG115" s="3236">
        <f t="shared" si="376"/>
        <v>0</v>
      </c>
      <c r="EH115" s="3236">
        <f>VLOOKUP($E115,EE$442:EH$453,4,FALSE)*EE115*($K115)+(EE115-EF115-EG115)*(1-$K115)</f>
        <v>0</v>
      </c>
      <c r="EI115" s="3237"/>
      <c r="EM115" s="3235">
        <f t="shared" si="341"/>
        <v>0</v>
      </c>
      <c r="EN115" s="3236">
        <f t="shared" si="377"/>
        <v>0</v>
      </c>
      <c r="EO115" s="3236">
        <f t="shared" si="378"/>
        <v>0</v>
      </c>
      <c r="EP115" s="3236">
        <f>VLOOKUP($E115,EM$442:EP$453,4,FALSE)*EM115*($K115)+(EM115-EN115-EO115)*(1-$K115)</f>
        <v>0</v>
      </c>
      <c r="EQ115" s="3237"/>
      <c r="EU115" s="3235">
        <f t="shared" si="342"/>
        <v>0</v>
      </c>
      <c r="EV115" s="3236">
        <f t="shared" si="379"/>
        <v>0</v>
      </c>
      <c r="EW115" s="3236">
        <f t="shared" si="380"/>
        <v>0</v>
      </c>
      <c r="EX115" s="3236">
        <f>VLOOKUP($E115,EU$442:EX$453,4,FALSE)*EU115*($K115)+(EU115-EV115-EW115)*(1-$K115)</f>
        <v>0</v>
      </c>
      <c r="EY115" s="3237"/>
      <c r="FC115" s="3235">
        <f t="shared" si="343"/>
        <v>0</v>
      </c>
      <c r="FD115" s="3236">
        <f t="shared" si="381"/>
        <v>0</v>
      </c>
      <c r="FE115" s="3236">
        <f t="shared" si="382"/>
        <v>0</v>
      </c>
      <c r="FF115" s="3236">
        <f>VLOOKUP($E115,FC$442:FF$453,4,FALSE)*FC115*($K115)+(FC115-FD115-FE115)*(1-$K115)</f>
        <v>0</v>
      </c>
      <c r="FG115" s="3237"/>
      <c r="FK115" s="3235">
        <f t="shared" si="344"/>
        <v>0</v>
      </c>
      <c r="FL115" s="3236">
        <f t="shared" si="383"/>
        <v>0</v>
      </c>
      <c r="FM115" s="3236">
        <f t="shared" si="384"/>
        <v>0</v>
      </c>
      <c r="FN115" s="3236">
        <f>VLOOKUP($E115,FK$442:FN$453,4,FALSE)*FK115*($K115)+(FK115-FL115-FM115)*(1-$K115)</f>
        <v>0</v>
      </c>
      <c r="FO115" s="3237"/>
    </row>
    <row r="116" spans="1:171">
      <c r="A116" s="2442"/>
      <c r="B116" s="3206" t="s">
        <v>104</v>
      </c>
      <c r="C116" s="3256"/>
      <c r="D116" s="3257"/>
      <c r="E116" s="3257"/>
      <c r="F116" s="3258"/>
      <c r="G116" s="3265">
        <f>SUM(G103:G112,G114)-G113-G115</f>
        <v>115527065.51058531</v>
      </c>
      <c r="H116" s="3265">
        <f>SUM(H103:H112,H114)-H113-H115</f>
        <v>9473433.3313070927</v>
      </c>
      <c r="I116" s="3265">
        <f>SUM(I103:I112,I114)-I113-I115</f>
        <v>0</v>
      </c>
      <c r="J116" s="3266">
        <f>SUM(J103:J112,J114)-J113-J115</f>
        <v>106053632.17927822</v>
      </c>
      <c r="K116" s="3205"/>
      <c r="O116" s="3281">
        <f>SUM(O103:O112,O114)-O113-O115</f>
        <v>115527065.51058531</v>
      </c>
      <c r="P116" s="3281">
        <f>SUM(P103:P112,P114)-P113-P115</f>
        <v>9473433.3313070927</v>
      </c>
      <c r="Q116" s="3281">
        <f>SUM(Q103:Q112,Q114)-Q113-Q115</f>
        <v>36453579.805381194</v>
      </c>
      <c r="R116" s="3281">
        <f>SUM(R103:R112,R114)-R113-R115</f>
        <v>69600052.373897016</v>
      </c>
      <c r="S116" s="3237"/>
      <c r="W116" s="3281">
        <f>SUM(W103:W112,W114)-W113-W115</f>
        <v>115527065.51058531</v>
      </c>
      <c r="X116" s="3281">
        <f>SUM(X103:X112,X114)-X113-X115</f>
        <v>9473433.3313070927</v>
      </c>
      <c r="Y116" s="3281">
        <f>SUM(Y103:Y112,Y114)-Y113-Y115</f>
        <v>36453579.805381194</v>
      </c>
      <c r="Z116" s="3281">
        <f>SUM(Z103:Z112,Z114)-Z113-Z115</f>
        <v>69600052.373897016</v>
      </c>
      <c r="AA116" s="3237"/>
      <c r="AE116" s="3281">
        <f>SUM(AE103:AE112,AE114)-AE113-AE115</f>
        <v>115527065.51058531</v>
      </c>
      <c r="AF116" s="3281">
        <f>SUM(AF103:AF112,AF114)-AF113-AF115</f>
        <v>9473433.3313070927</v>
      </c>
      <c r="AG116" s="3281">
        <f>SUM(AG103:AG112,AG114)-AG113-AG115</f>
        <v>36453579.805381194</v>
      </c>
      <c r="AH116" s="3281">
        <f>SUM(AH103:AH112,AH114)-AH113-AH115</f>
        <v>69600052.373897016</v>
      </c>
      <c r="AI116" s="3237"/>
      <c r="AM116" s="3281">
        <f>SUM(AM103:AM112,AM114)-AM113-AM115</f>
        <v>115527065.51058531</v>
      </c>
      <c r="AN116" s="3281">
        <f>SUM(AN103:AN112,AN114)-AN113-AN115</f>
        <v>9473433.3313070927</v>
      </c>
      <c r="AO116" s="3281">
        <f>SUM(AO103:AO112,AO114)-AO113-AO115</f>
        <v>36453579.805381194</v>
      </c>
      <c r="AP116" s="3281">
        <f>SUM(AP103:AP112,AP114)-AP113-AP115</f>
        <v>69600052.373897016</v>
      </c>
      <c r="AQ116" s="3237"/>
      <c r="AU116" s="3281">
        <f>SUM(AU103:AU112,AU114)-AU113-AU115</f>
        <v>115527065.51058531</v>
      </c>
      <c r="AV116" s="3281">
        <f>SUM(AV103:AV112,AV114)-AV113-AV115</f>
        <v>9473433.3313070927</v>
      </c>
      <c r="AW116" s="3281">
        <f>SUM(AW103:AW112,AW114)-AW113-AW115</f>
        <v>36453579.805381194</v>
      </c>
      <c r="AX116" s="3281">
        <f>SUM(AX103:AX112,AX114)-AX113-AX115</f>
        <v>69600052.373897016</v>
      </c>
      <c r="AY116" s="3237"/>
      <c r="BC116" s="3281">
        <f>SUM(BC103:BC112,BC114)-BC113-BC115</f>
        <v>115527065.51058531</v>
      </c>
      <c r="BD116" s="3281">
        <f>SUM(BD103:BD112,BD114)-BD113-BD115</f>
        <v>9473433.3313070927</v>
      </c>
      <c r="BE116" s="3281">
        <f>SUM(BE103:BE112,BE114)-BE113-BE115</f>
        <v>36453579.805381194</v>
      </c>
      <c r="BF116" s="3281">
        <f>SUM(BF103:BF112,BF114)-BF113-BF115</f>
        <v>69600052.373897016</v>
      </c>
      <c r="BG116" s="3237"/>
      <c r="BK116" s="3281">
        <f>SUM(BK103:BK112,BK114)-BK113-BK115</f>
        <v>115527065.51058531</v>
      </c>
      <c r="BL116" s="3281">
        <f>SUM(BL103:BL112,BL114)-BL113-BL115</f>
        <v>9473433.3313070927</v>
      </c>
      <c r="BM116" s="3281">
        <f>SUM(BM103:BM112,BM114)-BM113-BM115</f>
        <v>36453579.805381194</v>
      </c>
      <c r="BN116" s="3281">
        <f>SUM(BN103:BN112,BN114)-BN113-BN115</f>
        <v>69600052.373897016</v>
      </c>
      <c r="BO116" s="3237"/>
      <c r="BS116" s="3281">
        <f>SUM(BS103:BS112,BS114)-BS113-BS115</f>
        <v>115527065.51058531</v>
      </c>
      <c r="BT116" s="3281">
        <f>SUM(BT103:BT112,BT114)-BT113-BT115</f>
        <v>9473433.3313070927</v>
      </c>
      <c r="BU116" s="3281">
        <f>SUM(BU103:BU112,BU114)-BU113-BU115</f>
        <v>36453579.805381194</v>
      </c>
      <c r="BV116" s="3281">
        <f>SUM(BV103:BV112,BV114)-BV113-BV115</f>
        <v>69600052.373897016</v>
      </c>
      <c r="BW116" s="3237"/>
      <c r="CA116" s="3281">
        <f>SUM(CA103:CA112,CA114)-CA113-CA115</f>
        <v>115527065.51058531</v>
      </c>
      <c r="CB116" s="3281">
        <f>SUM(CB103:CB112,CB114)-CB113-CB115</f>
        <v>9473433.3313070927</v>
      </c>
      <c r="CC116" s="3281">
        <f>SUM(CC103:CC112,CC114)-CC113-CC115</f>
        <v>36453579.805381194</v>
      </c>
      <c r="CD116" s="3281">
        <f>SUM(CD103:CD112,CD114)-CD113-CD115</f>
        <v>69600052.373897016</v>
      </c>
      <c r="CE116" s="3237"/>
      <c r="CI116" s="3281">
        <f>SUM(CI103:CI112,CI114)-CI113-CI115</f>
        <v>115527065.51058531</v>
      </c>
      <c r="CJ116" s="3281">
        <f>SUM(CJ103:CJ112,CJ114)-CJ113-CJ115</f>
        <v>9473433.3313070927</v>
      </c>
      <c r="CK116" s="3281">
        <f>SUM(CK103:CK112,CK114)-CK113-CK115</f>
        <v>36453579.805381194</v>
      </c>
      <c r="CL116" s="3281">
        <f>SUM(CL103:CL112,CL114)-CL113-CL115</f>
        <v>69600052.373897016</v>
      </c>
      <c r="CM116" s="3237"/>
      <c r="CQ116" s="3281">
        <f>SUM(CQ103:CQ112,CQ114)-CQ113-CQ115</f>
        <v>115527065.51058531</v>
      </c>
      <c r="CR116" s="3281">
        <f>SUM(CR103:CR112,CR114)-CR113-CR115</f>
        <v>9473433.3313070927</v>
      </c>
      <c r="CS116" s="3281">
        <f>SUM(CS103:CS112,CS114)-CS113-CS115</f>
        <v>36453579.805381194</v>
      </c>
      <c r="CT116" s="3281">
        <f>SUM(CT103:CT112,CT114)-CT113-CT115</f>
        <v>69600052.373897016</v>
      </c>
      <c r="CU116" s="3237"/>
      <c r="CY116" s="3281">
        <f>SUM(CY103:CY112,CY114)-CY113-CY115</f>
        <v>115527065.51058531</v>
      </c>
      <c r="CZ116" s="3281">
        <f>SUM(CZ103:CZ112,CZ114)-CZ113-CZ115</f>
        <v>9473433.3313070927</v>
      </c>
      <c r="DA116" s="3281">
        <f>SUM(DA103:DA112,DA114)-DA113-DA115</f>
        <v>36453579.805381194</v>
      </c>
      <c r="DB116" s="3281">
        <f>SUM(DB103:DB112,DB114)-DB113-DB115</f>
        <v>69600052.373897016</v>
      </c>
      <c r="DC116" s="3237"/>
      <c r="DG116" s="3281">
        <f>SUM(DG103:DG112,DG114)-DG113-DG115</f>
        <v>115527065.51058531</v>
      </c>
      <c r="DH116" s="3281">
        <f>SUM(DH103:DH112,DH114)-DH113-DH115</f>
        <v>9473433.3313070927</v>
      </c>
      <c r="DI116" s="3281">
        <f>SUM(DI103:DI112,DI114)-DI113-DI115</f>
        <v>36453579.805381194</v>
      </c>
      <c r="DJ116" s="3281">
        <f>SUM(DJ103:DJ112,DJ114)-DJ113-DJ115</f>
        <v>69600052.373897016</v>
      </c>
      <c r="DK116" s="3237"/>
      <c r="DO116" s="3281">
        <f>SUM(DO103:DO112,DO114)-DO113-DO115</f>
        <v>115527065.51058531</v>
      </c>
      <c r="DP116" s="3281">
        <f>SUM(DP103:DP112,DP114)-DP113-DP115</f>
        <v>9473433.3313070927</v>
      </c>
      <c r="DQ116" s="3281">
        <f>SUM(DQ103:DQ112,DQ114)-DQ113-DQ115</f>
        <v>36453579.805381194</v>
      </c>
      <c r="DR116" s="3281">
        <f>SUM(DR103:DR112,DR114)-DR113-DR115</f>
        <v>69600052.373897016</v>
      </c>
      <c r="DS116" s="3237"/>
      <c r="DW116" s="3281">
        <f>SUM(DW103:DW112,DW114)-DW113-DW115</f>
        <v>115527065.51058531</v>
      </c>
      <c r="DX116" s="3281">
        <f>SUM(DX103:DX112,DX114)-DX113-DX115</f>
        <v>9473433.3313070927</v>
      </c>
      <c r="DY116" s="3281">
        <f>SUM(DY103:DY112,DY114)-DY113-DY115</f>
        <v>36453579.805381194</v>
      </c>
      <c r="DZ116" s="3281">
        <f>SUM(DZ103:DZ112,DZ114)-DZ113-DZ115</f>
        <v>69600052.373897016</v>
      </c>
      <c r="EA116" s="3237"/>
      <c r="EE116" s="3281">
        <f>SUM(EE103:EE112,EE114)-EE113-EE115</f>
        <v>115527065.51058531</v>
      </c>
      <c r="EF116" s="3281">
        <f>SUM(EF103:EF112,EF114)-EF113-EF115</f>
        <v>9473433.3313070927</v>
      </c>
      <c r="EG116" s="3281">
        <f>SUM(EG103:EG112,EG114)-EG113-EG115</f>
        <v>36453579.805381194</v>
      </c>
      <c r="EH116" s="3281">
        <f>SUM(EH103:EH112,EH114)-EH113-EH115</f>
        <v>69600052.373897016</v>
      </c>
      <c r="EI116" s="3237"/>
      <c r="EM116" s="3281">
        <f>SUM(EM103:EM112,EM114)-EM113-EM115</f>
        <v>115527065.51058531</v>
      </c>
      <c r="EN116" s="3281">
        <f>SUM(EN103:EN112,EN114)-EN113-EN115</f>
        <v>9473433.3313070927</v>
      </c>
      <c r="EO116" s="3281">
        <f>SUM(EO103:EO112,EO114)-EO113-EO115</f>
        <v>36453579.805381194</v>
      </c>
      <c r="EP116" s="3281">
        <f>SUM(EP103:EP112,EP114)-EP113-EP115</f>
        <v>69600052.373897016</v>
      </c>
      <c r="EQ116" s="3237"/>
      <c r="EU116" s="3281">
        <f>SUM(EU103:EU112,EU114)-EU113-EU115</f>
        <v>115527065.51058531</v>
      </c>
      <c r="EV116" s="3281">
        <f>SUM(EV103:EV112,EV114)-EV113-EV115</f>
        <v>9473433.3313070927</v>
      </c>
      <c r="EW116" s="3281">
        <f>SUM(EW103:EW112,EW114)-EW113-EW115</f>
        <v>36453579.805381194</v>
      </c>
      <c r="EX116" s="3281">
        <f>SUM(EX103:EX112,EX114)-EX113-EX115</f>
        <v>69600052.373897016</v>
      </c>
      <c r="EY116" s="3237"/>
      <c r="FC116" s="3281">
        <f>SUM(FC103:FC112,FC114)-FC113-FC115</f>
        <v>115527065.51058531</v>
      </c>
      <c r="FD116" s="3281">
        <f>SUM(FD103:FD112,FD114)-FD113-FD115</f>
        <v>9473433.3313070927</v>
      </c>
      <c r="FE116" s="3281">
        <f>SUM(FE103:FE112,FE114)-FE113-FE115</f>
        <v>36453579.805381194</v>
      </c>
      <c r="FF116" s="3281">
        <f>SUM(FF103:FF112,FF114)-FF113-FF115</f>
        <v>69600052.373897016</v>
      </c>
      <c r="FG116" s="3237"/>
      <c r="FK116" s="3281">
        <f>SUM(FK103:FK112,FK114)-FK113-FK115</f>
        <v>115527065.51058531</v>
      </c>
      <c r="FL116" s="3281">
        <f>SUM(FL103:FL112,FL114)-FL113-FL115</f>
        <v>9473433.3313070927</v>
      </c>
      <c r="FM116" s="3281">
        <f>SUM(FM103:FM112,FM114)-FM113-FM115</f>
        <v>36453579.805381194</v>
      </c>
      <c r="FN116" s="3281">
        <f>SUM(FN103:FN112,FN114)-FN113-FN115</f>
        <v>69600052.373897016</v>
      </c>
      <c r="FO116" s="3237"/>
    </row>
    <row r="117" spans="1:171" ht="12" thickBot="1">
      <c r="A117" s="3286"/>
      <c r="B117" s="3287"/>
      <c r="C117" s="3288"/>
      <c r="D117" s="3288"/>
      <c r="E117" s="3288"/>
      <c r="F117" s="3288"/>
      <c r="G117" s="3289"/>
      <c r="H117" s="3289"/>
      <c r="I117" s="3289"/>
      <c r="J117" s="3290"/>
      <c r="K117" s="3205"/>
      <c r="S117" s="3237"/>
      <c r="AA117" s="3237"/>
      <c r="AI117" s="3237"/>
      <c r="AQ117" s="3237"/>
      <c r="AY117" s="3237"/>
      <c r="BG117" s="3237"/>
      <c r="BO117" s="3237"/>
      <c r="BW117" s="3237"/>
      <c r="CE117" s="3237"/>
      <c r="CM117" s="3237"/>
      <c r="CU117" s="3237"/>
      <c r="DC117" s="3237"/>
      <c r="DK117" s="3237"/>
      <c r="DS117" s="3237"/>
      <c r="EA117" s="3237"/>
      <c r="EI117" s="3237"/>
      <c r="EQ117" s="3237"/>
      <c r="EY117" s="3237"/>
      <c r="FG117" s="3237"/>
      <c r="FO117" s="3237"/>
    </row>
    <row r="118" spans="1:171" ht="12" thickTop="1">
      <c r="A118" s="3291" t="s">
        <v>179</v>
      </c>
      <c r="B118" s="2290"/>
      <c r="C118" s="2112"/>
      <c r="D118" s="2098"/>
      <c r="E118" s="2098"/>
      <c r="F118" s="2098"/>
      <c r="G118" s="3164"/>
      <c r="H118" s="2671"/>
      <c r="I118" s="2671"/>
      <c r="J118" s="2672"/>
      <c r="K118" s="3205"/>
      <c r="S118" s="3237"/>
      <c r="AA118" s="3237"/>
      <c r="AI118" s="3237"/>
      <c r="AQ118" s="3237"/>
      <c r="AY118" s="3237"/>
      <c r="BG118" s="3237"/>
      <c r="BO118" s="3237"/>
      <c r="BW118" s="3237"/>
      <c r="CE118" s="3237"/>
      <c r="CM118" s="3237"/>
      <c r="CU118" s="3237"/>
      <c r="DC118" s="3237"/>
      <c r="DK118" s="3237"/>
      <c r="DS118" s="3237"/>
      <c r="EA118" s="3237"/>
      <c r="EI118" s="3237"/>
      <c r="EQ118" s="3237"/>
      <c r="EY118" s="3237"/>
      <c r="FG118" s="3237"/>
      <c r="FO118" s="3237"/>
    </row>
    <row r="119" spans="1:171">
      <c r="A119" s="2442"/>
      <c r="B119" s="2290" t="s">
        <v>10</v>
      </c>
      <c r="C119" s="2464" t="s">
        <v>78</v>
      </c>
      <c r="D119" s="2464">
        <v>181</v>
      </c>
      <c r="E119" s="2424" t="str">
        <f>'Sch 1- Rate Base '!E119</f>
        <v>PTDG</v>
      </c>
      <c r="F119" s="2171"/>
      <c r="G119" s="2424">
        <f>'Sch 1- Rate Base '!G119</f>
        <v>15369566.283713212</v>
      </c>
      <c r="H119" s="2424">
        <f>'Sch 1- Rate Base '!H119</f>
        <v>5377390.0108669996</v>
      </c>
      <c r="I119" s="2424">
        <f>'Sch 1- Rate Base '!I119</f>
        <v>0</v>
      </c>
      <c r="J119" s="2425">
        <f>'Sch 1- Rate Base '!J119</f>
        <v>9992176.269904526</v>
      </c>
      <c r="K119" s="3205">
        <f t="shared" ref="K119:K132" si="385">IF($E119="DIRECT",0,1)</f>
        <v>1</v>
      </c>
      <c r="O119" s="3235">
        <f t="shared" ref="O119:O132" si="386">$G119</f>
        <v>15369566.283713212</v>
      </c>
      <c r="P119" s="3236">
        <f>VLOOKUP($E119,O$442:R$453,2,FALSE)*O119*($K119)+IF($G119&lt;&gt;0,($H119/$G119)*O119,0)*(1-$K119)</f>
        <v>5377390.0108669996</v>
      </c>
      <c r="Q119" s="3236">
        <f>VLOOKUP($E119,O$442:R$453,3,FALSE)*O119*($K119)+IF($G119&lt;&gt;0,($I119/$G119)*O119,0)*(1-$K119)</f>
        <v>2698361.6616865396</v>
      </c>
      <c r="R119" s="3236">
        <f>VLOOKUP($E119,O$442:R$453,4,FALSE)*O119*($K119)+(O119-P119-Q119)*(1-$K119)</f>
        <v>7293814.611159673</v>
      </c>
      <c r="S119" s="3237"/>
      <c r="W119" s="3235">
        <f t="shared" ref="W119:W132" si="387">$G119</f>
        <v>15369566.283713212</v>
      </c>
      <c r="X119" s="3236">
        <f>VLOOKUP($E119,W$442:Z$453,2,FALSE)*W119*($K119)+IF($G119&lt;&gt;0,($H119/$G119)*W119,0)*(1-$K119)</f>
        <v>5377390.0108669996</v>
      </c>
      <c r="Y119" s="3236">
        <f>VLOOKUP($E119,W$442:Z$453,3,FALSE)*W119*($K119)+IF($G119&lt;&gt;0,($I119/$G119)*W119,0)*(1-$K119)</f>
        <v>2698361.6616865396</v>
      </c>
      <c r="Z119" s="3236">
        <f>VLOOKUP($E119,W$442:Z$453,4,FALSE)*W119*($K119)+(W119-X119-Y119)*(1-$K119)</f>
        <v>7293814.611159673</v>
      </c>
      <c r="AA119" s="3237"/>
      <c r="AE119" s="3235">
        <f t="shared" ref="AE119:AE132" si="388">$G119</f>
        <v>15369566.283713212</v>
      </c>
      <c r="AF119" s="3236">
        <f>VLOOKUP($E119,AE$442:AH$453,2,FALSE)*AE119*($K119)+IF($G119&lt;&gt;0,($H119/$G119)*AE119,0)*(1-$K119)</f>
        <v>5377390.0108669996</v>
      </c>
      <c r="AG119" s="3236">
        <f>VLOOKUP($E119,AE$442:AH$453,3,FALSE)*AE119*($K119)+IF($G119&lt;&gt;0,($I119/$G119)*AE119,0)*(1-$K119)</f>
        <v>2698361.6616865396</v>
      </c>
      <c r="AH119" s="3236">
        <f>VLOOKUP($E119,AE$442:AH$453,4,FALSE)*AE119*($K119)+(AE119-AF119-AG119)*(1-$K119)</f>
        <v>7293814.611159673</v>
      </c>
      <c r="AI119" s="3237"/>
      <c r="AM119" s="3235">
        <f t="shared" ref="AM119:AM132" si="389">$G119</f>
        <v>15369566.283713212</v>
      </c>
      <c r="AN119" s="3236">
        <f>VLOOKUP($E119,AM$442:AP$453,2,FALSE)*AM119*($K119)+IF($G119&lt;&gt;0,($H119/$G119)*AM119,0)*(1-$K119)</f>
        <v>5377390.0108669996</v>
      </c>
      <c r="AO119" s="3236">
        <f>VLOOKUP($E119,AM$442:AP$453,3,FALSE)*AM119*($K119)+IF($G119&lt;&gt;0,($I119/$G119)*AM119,0)*(1-$K119)</f>
        <v>2698361.6616865396</v>
      </c>
      <c r="AP119" s="3236">
        <f>VLOOKUP($E119,AM$442:AP$453,4,FALSE)*AM119*($K119)+(AM119-AN119-AO119)*(1-$K119)</f>
        <v>7293814.611159673</v>
      </c>
      <c r="AQ119" s="3237"/>
      <c r="AU119" s="3235">
        <f t="shared" ref="AU119:AU132" si="390">$G119</f>
        <v>15369566.283713212</v>
      </c>
      <c r="AV119" s="3236">
        <f>VLOOKUP($E119,AU$442:AX$453,2,FALSE)*AU119*($K119)+IF($G119&lt;&gt;0,($H119/$G119)*AU119,0)*(1-$K119)</f>
        <v>5377390.0108669996</v>
      </c>
      <c r="AW119" s="3236">
        <f>VLOOKUP($E119,AU$442:AX$453,3,FALSE)*AU119*($K119)+IF($G119&lt;&gt;0,($I119/$G119)*AU119,0)*(1-$K119)</f>
        <v>2698361.6616865396</v>
      </c>
      <c r="AX119" s="3236">
        <f>VLOOKUP($E119,AU$442:AX$453,4,FALSE)*AU119*($K119)+(AU119-AV119-AW119)*(1-$K119)</f>
        <v>7293814.611159673</v>
      </c>
      <c r="AY119" s="3237"/>
      <c r="BC119" s="3235">
        <f t="shared" ref="BC119:BC132" si="391">$G119</f>
        <v>15369566.283713212</v>
      </c>
      <c r="BD119" s="3236">
        <f>VLOOKUP($E119,BC$442:BF$453,2,FALSE)*BC119*($K119)+IF($G119&lt;&gt;0,($H119/$G119)*BC119,0)*(1-$K119)</f>
        <v>5377390.0108669996</v>
      </c>
      <c r="BE119" s="3236">
        <f>VLOOKUP($E119,BC$442:BF$453,3,FALSE)*BC119*($K119)+IF($G119&lt;&gt;0,($I119/$G119)*BC119,0)*(1-$K119)</f>
        <v>2698361.6616865396</v>
      </c>
      <c r="BF119" s="3236">
        <f>VLOOKUP($E119,BC$442:BF$453,4,FALSE)*BC119*($K119)+(BC119-BD119-BE119)*(1-$K119)</f>
        <v>7293814.611159673</v>
      </c>
      <c r="BG119" s="3237"/>
      <c r="BK119" s="3235">
        <f t="shared" ref="BK119:BK132" si="392">$G119</f>
        <v>15369566.283713212</v>
      </c>
      <c r="BL119" s="3236">
        <f>VLOOKUP($E119,BK$442:BN$453,2,FALSE)*BK119*($K119)+IF($G119&lt;&gt;0,($H119/$G119)*BK119,0)*(1-$K119)</f>
        <v>5377390.0108669996</v>
      </c>
      <c r="BM119" s="3236">
        <f>VLOOKUP($E119,BK$442:BN$453,3,FALSE)*BK119*($K119)+IF($G119&lt;&gt;0,($I119/$G119)*BK119,0)*(1-$K119)</f>
        <v>2698361.6616865396</v>
      </c>
      <c r="BN119" s="3236">
        <f>VLOOKUP($E119,BK$442:BN$453,4,FALSE)*BK119*($K119)+(BK119-BL119-BM119)*(1-$K119)</f>
        <v>7293814.611159673</v>
      </c>
      <c r="BO119" s="3237"/>
      <c r="BS119" s="3235">
        <f t="shared" ref="BS119:BS132" si="393">$G119</f>
        <v>15369566.283713212</v>
      </c>
      <c r="BT119" s="3236">
        <f>VLOOKUP($E119,BS$442:BV$453,2,FALSE)*BS119*($K119)+IF($G119&lt;&gt;0,($H119/$G119)*BS119,0)*(1-$K119)</f>
        <v>5377390.0108669996</v>
      </c>
      <c r="BU119" s="3236">
        <f>VLOOKUP($E119,BS$442:BV$453,3,FALSE)*BS119*($K119)+IF($G119&lt;&gt;0,($I119/$G119)*BS119,0)*(1-$K119)</f>
        <v>2698361.6616865396</v>
      </c>
      <c r="BV119" s="3236">
        <f>VLOOKUP($E119,BS$442:BV$453,4,FALSE)*BS119*($K119)+(BS119-BT119-BU119)*(1-$K119)</f>
        <v>7293814.611159673</v>
      </c>
      <c r="BW119" s="3237"/>
      <c r="CA119" s="3235">
        <f t="shared" ref="CA119:CA132" si="394">$G119</f>
        <v>15369566.283713212</v>
      </c>
      <c r="CB119" s="3236">
        <f>VLOOKUP($E119,CA$442:CD$453,2,FALSE)*CA119*($K119)+IF($G119&lt;&gt;0,($H119/$G119)*CA119,0)*(1-$K119)</f>
        <v>5377390.0108669996</v>
      </c>
      <c r="CC119" s="3236">
        <f>VLOOKUP($E119,CA$442:CD$453,3,FALSE)*CA119*($K119)+IF($G119&lt;&gt;0,($I119/$G119)*CA119,0)*(1-$K119)</f>
        <v>2698361.6616865396</v>
      </c>
      <c r="CD119" s="3236">
        <f>VLOOKUP($E119,CA$442:CD$453,4,FALSE)*CA119*($K119)+(CA119-CB119-CC119)*(1-$K119)</f>
        <v>7293814.611159673</v>
      </c>
      <c r="CE119" s="3237"/>
      <c r="CI119" s="3235">
        <f t="shared" ref="CI119:CI132" si="395">$G119</f>
        <v>15369566.283713212</v>
      </c>
      <c r="CJ119" s="3236">
        <f>VLOOKUP($E119,CI$442:CL$453,2,FALSE)*CI119*($K119)+IF($G119&lt;&gt;0,($H119/$G119)*CI119,0)*(1-$K119)</f>
        <v>5377390.0108669996</v>
      </c>
      <c r="CK119" s="3236">
        <f>VLOOKUP($E119,CI$442:CL$453,3,FALSE)*CI119*($K119)+IF($G119&lt;&gt;0,($I119/$G119)*CI119,0)*(1-$K119)</f>
        <v>2698361.6616865396</v>
      </c>
      <c r="CL119" s="3236">
        <f>VLOOKUP($E119,CI$442:CL$453,4,FALSE)*CI119*($K119)+(CI119-CJ119-CK119)*(1-$K119)</f>
        <v>7293814.611159673</v>
      </c>
      <c r="CM119" s="3237"/>
      <c r="CQ119" s="3235">
        <f t="shared" ref="CQ119:CQ132" si="396">$G119</f>
        <v>15369566.283713212</v>
      </c>
      <c r="CR119" s="3236">
        <f>VLOOKUP($E119,CQ$442:CT$453,2,FALSE)*CQ119*($K119)+IF($G119&lt;&gt;0,($H119/$G119)*CQ119,0)*(1-$K119)</f>
        <v>5377390.0108669996</v>
      </c>
      <c r="CS119" s="3236">
        <f>VLOOKUP($E119,CQ$442:CT$453,3,FALSE)*CQ119*($K119)+IF($G119&lt;&gt;0,($I119/$G119)*CQ119,0)*(1-$K119)</f>
        <v>2698361.6616865396</v>
      </c>
      <c r="CT119" s="3236">
        <f>VLOOKUP($E119,CQ$442:CT$453,4,FALSE)*CQ119*($K119)+(CQ119-CR119-CS119)*(1-$K119)</f>
        <v>7293814.611159673</v>
      </c>
      <c r="CU119" s="3237"/>
      <c r="CY119" s="3235">
        <f t="shared" ref="CY119:CY132" si="397">$G119</f>
        <v>15369566.283713212</v>
      </c>
      <c r="CZ119" s="3236">
        <f>VLOOKUP($E119,CY$442:DB$453,2,FALSE)*CY119*($K119)+IF($G119&lt;&gt;0,($H119/$G119)*CY119,0)*(1-$K119)</f>
        <v>5377390.0108669996</v>
      </c>
      <c r="DA119" s="3236">
        <f>VLOOKUP($E119,CY$442:DB$453,3,FALSE)*CY119*($K119)+IF($G119&lt;&gt;0,($I119/$G119)*CY119,0)*(1-$K119)</f>
        <v>2698361.6616865396</v>
      </c>
      <c r="DB119" s="3236">
        <f>VLOOKUP($E119,CY$442:DB$453,4,FALSE)*CY119*($K119)+(CY119-CZ119-DA119)*(1-$K119)</f>
        <v>7293814.611159673</v>
      </c>
      <c r="DC119" s="3237"/>
      <c r="DG119" s="3235">
        <f t="shared" ref="DG119:DG132" si="398">$G119</f>
        <v>15369566.283713212</v>
      </c>
      <c r="DH119" s="3236">
        <f>VLOOKUP($E119,DG$442:DJ$453,2,FALSE)*DG119*($K119)+IF($G119&lt;&gt;0,($H119/$G119)*DG119,0)*(1-$K119)</f>
        <v>5377390.0108669996</v>
      </c>
      <c r="DI119" s="3236">
        <f>VLOOKUP($E119,DG$442:DJ$453,3,FALSE)*DG119*($K119)+IF($G119&lt;&gt;0,($I119/$G119)*DG119,0)*(1-$K119)</f>
        <v>2698361.6616865396</v>
      </c>
      <c r="DJ119" s="3236">
        <f>VLOOKUP($E119,DG$442:DJ$453,4,FALSE)*DG119*($K119)+(DG119-DH119-DI119)*(1-$K119)</f>
        <v>7293814.611159673</v>
      </c>
      <c r="DK119" s="3237"/>
      <c r="DO119" s="3235">
        <f t="shared" ref="DO119:DO132" si="399">$G119</f>
        <v>15369566.283713212</v>
      </c>
      <c r="DP119" s="3236">
        <f>VLOOKUP($E119,DO$442:DR$453,2,FALSE)*DO119*($K119)+IF($G119&lt;&gt;0,($H119/$G119)*DO119,0)*(1-$K119)</f>
        <v>5377390.0108669996</v>
      </c>
      <c r="DQ119" s="3236">
        <f>VLOOKUP($E119,DO$442:DR$453,3,FALSE)*DO119*($K119)+IF($G119&lt;&gt;0,($I119/$G119)*DO119,0)*(1-$K119)</f>
        <v>2698361.6616865396</v>
      </c>
      <c r="DR119" s="3236">
        <f>VLOOKUP($E119,DO$442:DR$453,4,FALSE)*DO119*($K119)+(DO119-DP119-DQ119)*(1-$K119)</f>
        <v>7293814.611159673</v>
      </c>
      <c r="DS119" s="3237"/>
      <c r="DW119" s="3235">
        <f t="shared" ref="DW119:DW132" si="400">$G119</f>
        <v>15369566.283713212</v>
      </c>
      <c r="DX119" s="3236">
        <f>VLOOKUP($E119,DW$442:DZ$453,2,FALSE)*DW119*($K119)+IF($G119&lt;&gt;0,($H119/$G119)*DW119,0)*(1-$K119)</f>
        <v>5377390.0108669996</v>
      </c>
      <c r="DY119" s="3236">
        <f>VLOOKUP($E119,DW$442:DZ$453,3,FALSE)*DW119*($K119)+IF($G119&lt;&gt;0,($I119/$G119)*DW119,0)*(1-$K119)</f>
        <v>2698361.6616865396</v>
      </c>
      <c r="DZ119" s="3236">
        <f>VLOOKUP($E119,DW$442:DZ$453,4,FALSE)*DW119*($K119)+(DW119-DX119-DY119)*(1-$K119)</f>
        <v>7293814.611159673</v>
      </c>
      <c r="EA119" s="3237"/>
      <c r="EE119" s="3235">
        <f t="shared" ref="EE119:EE132" si="401">$G119</f>
        <v>15369566.283713212</v>
      </c>
      <c r="EF119" s="3236">
        <f>VLOOKUP($E119,EE$442:EH$453,2,FALSE)*EE119*($K119)+IF($G119&lt;&gt;0,($H119/$G119)*EE119,0)*(1-$K119)</f>
        <v>5377390.0108669996</v>
      </c>
      <c r="EG119" s="3236">
        <f>VLOOKUP($E119,EE$442:EH$453,3,FALSE)*EE119*($K119)+IF($G119&lt;&gt;0,($I119/$G119)*EE119,0)*(1-$K119)</f>
        <v>2698361.6616865396</v>
      </c>
      <c r="EH119" s="3236">
        <f>VLOOKUP($E119,EE$442:EH$453,4,FALSE)*EE119*($K119)+(EE119-EF119-EG119)*(1-$K119)</f>
        <v>7293814.611159673</v>
      </c>
      <c r="EI119" s="3237"/>
      <c r="EM119" s="3235">
        <f t="shared" ref="EM119:EM132" si="402">$G119</f>
        <v>15369566.283713212</v>
      </c>
      <c r="EN119" s="3236">
        <f>VLOOKUP($E119,EM$442:EP$453,2,FALSE)*EM119*($K119)+IF($G119&lt;&gt;0,($H119/$G119)*EM119,0)*(1-$K119)</f>
        <v>5377390.0108669996</v>
      </c>
      <c r="EO119" s="3236">
        <f>VLOOKUP($E119,EM$442:EP$453,3,FALSE)*EM119*($K119)+IF($G119&lt;&gt;0,($I119/$G119)*EM119,0)*(1-$K119)</f>
        <v>2698361.6616865396</v>
      </c>
      <c r="EP119" s="3236">
        <f>VLOOKUP($E119,EM$442:EP$453,4,FALSE)*EM119*($K119)+(EM119-EN119-EO119)*(1-$K119)</f>
        <v>7293814.611159673</v>
      </c>
      <c r="EQ119" s="3237"/>
      <c r="EU119" s="3235">
        <f t="shared" ref="EU119:EU132" si="403">$G119</f>
        <v>15369566.283713212</v>
      </c>
      <c r="EV119" s="3236">
        <f>VLOOKUP($E119,EU$442:EX$453,2,FALSE)*EU119*($K119)+IF($G119&lt;&gt;0,($H119/$G119)*EU119,0)*(1-$K119)</f>
        <v>5377390.0108669996</v>
      </c>
      <c r="EW119" s="3236">
        <f>VLOOKUP($E119,EU$442:EX$453,3,FALSE)*EU119*($K119)+IF($G119&lt;&gt;0,($I119/$G119)*EU119,0)*(1-$K119)</f>
        <v>2698361.6616865396</v>
      </c>
      <c r="EX119" s="3236">
        <f>VLOOKUP($E119,EU$442:EX$453,4,FALSE)*EU119*($K119)+(EU119-EV119-EW119)*(1-$K119)</f>
        <v>7293814.611159673</v>
      </c>
      <c r="EY119" s="3237"/>
      <c r="FC119" s="3235">
        <f t="shared" ref="FC119:FC132" si="404">$G119</f>
        <v>15369566.283713212</v>
      </c>
      <c r="FD119" s="3236">
        <f>VLOOKUP($E119,FC$442:FF$453,2,FALSE)*FC119*($K119)+IF($G119&lt;&gt;0,($H119/$G119)*FC119,0)*(1-$K119)</f>
        <v>5377390.0108669996</v>
      </c>
      <c r="FE119" s="3236">
        <f>VLOOKUP($E119,FC$442:FF$453,3,FALSE)*FC119*($K119)+IF($G119&lt;&gt;0,($I119/$G119)*FC119,0)*(1-$K119)</f>
        <v>2698361.6616865396</v>
      </c>
      <c r="FF119" s="3236">
        <f>VLOOKUP($E119,FC$442:FF$453,4,FALSE)*FC119*($K119)+(FC119-FD119-FE119)*(1-$K119)</f>
        <v>7293814.611159673</v>
      </c>
      <c r="FG119" s="3237"/>
      <c r="FK119" s="3235">
        <f t="shared" ref="FK119:FK132" si="405">$G119</f>
        <v>15369566.283713212</v>
      </c>
      <c r="FL119" s="3236">
        <f>VLOOKUP($E119,FK$442:FN$453,2,FALSE)*FK119*($K119)+IF($G119&lt;&gt;0,($H119/$G119)*FK119,0)*(1-$K119)</f>
        <v>5377390.0108669996</v>
      </c>
      <c r="FM119" s="3236">
        <f>VLOOKUP($E119,FK$442:FN$453,3,FALSE)*FK119*($K119)+IF($G119&lt;&gt;0,($I119/$G119)*FK119,0)*(1-$K119)</f>
        <v>2698361.6616865396</v>
      </c>
      <c r="FN119" s="3236">
        <f>VLOOKUP($E119,FK$442:FN$453,4,FALSE)*FK119*($K119)+(FK119-FL119-FM119)*(1-$K119)</f>
        <v>7293814.611159673</v>
      </c>
      <c r="FO119" s="3237"/>
    </row>
    <row r="120" spans="1:171">
      <c r="A120" s="2442"/>
      <c r="B120" s="2290" t="s">
        <v>11</v>
      </c>
      <c r="C120" s="2464" t="s">
        <v>78</v>
      </c>
      <c r="D120" s="2464">
        <v>182.1</v>
      </c>
      <c r="E120" s="2424" t="str">
        <f>'Sch 1- Rate Base '!E120</f>
        <v>DIRECT</v>
      </c>
      <c r="F120" s="2171"/>
      <c r="G120" s="2424">
        <f>'Sch 1- Rate Base '!G120</f>
        <v>95753809.859999985</v>
      </c>
      <c r="H120" s="2424">
        <f>'Sch 1- Rate Base '!H120</f>
        <v>0</v>
      </c>
      <c r="I120" s="2424">
        <f>'Sch 1- Rate Base '!I120</f>
        <v>0</v>
      </c>
      <c r="J120" s="2425">
        <f>'Sch 1- Rate Base '!J120</f>
        <v>95753809.859999985</v>
      </c>
      <c r="K120" s="3205">
        <f t="shared" si="385"/>
        <v>0</v>
      </c>
      <c r="O120" s="3235">
        <f t="shared" si="386"/>
        <v>95753809.859999985</v>
      </c>
      <c r="P120" s="3236">
        <f t="shared" ref="P120:P132" si="406">VLOOKUP($E120,O$442:R$453,2,FALSE)*O120*($K120)+IF($G120&lt;&gt;0,($H120/$G120)*O120,0)*(1-$K120)</f>
        <v>0</v>
      </c>
      <c r="Q120" s="3236">
        <f t="shared" ref="Q120:Q132" si="407">VLOOKUP($E120,O$442:R$453,3,FALSE)*O120*($K120)+IF($G120&lt;&gt;0,($I120/$G120)*O120,0)*(1-$K120)</f>
        <v>0</v>
      </c>
      <c r="R120" s="3236">
        <f t="shared" ref="R120:R132" si="408">VLOOKUP($E120,O$442:R$453,4,FALSE)*O120*($K120)+(O120-P120-Q120)*(1-$K120)</f>
        <v>95753809.859999985</v>
      </c>
      <c r="S120" s="3237"/>
      <c r="W120" s="3235">
        <f t="shared" si="387"/>
        <v>95753809.859999985</v>
      </c>
      <c r="X120" s="3236">
        <f t="shared" ref="X120:X132" si="409">VLOOKUP($E120,W$442:Z$453,2,FALSE)*W120*($K120)+IF($G120&lt;&gt;0,($H120/$G120)*W120,0)*(1-$K120)</f>
        <v>0</v>
      </c>
      <c r="Y120" s="3236">
        <f t="shared" ref="Y120:Y132" si="410">VLOOKUP($E120,W$442:Z$453,3,FALSE)*W120*($K120)+IF($G120&lt;&gt;0,($I120/$G120)*W120,0)*(1-$K120)</f>
        <v>0</v>
      </c>
      <c r="Z120" s="3236">
        <f t="shared" ref="Z120:Z132" si="411">VLOOKUP($E120,W$442:Z$453,4,FALSE)*W120*($K120)+(W120-X120-Y120)*(1-$K120)</f>
        <v>95753809.859999985</v>
      </c>
      <c r="AA120" s="3237"/>
      <c r="AE120" s="3235">
        <f t="shared" si="388"/>
        <v>95753809.859999985</v>
      </c>
      <c r="AF120" s="3236">
        <f t="shared" ref="AF120:AF132" si="412">VLOOKUP($E120,AE$442:AH$453,2,FALSE)*AE120*($K120)+IF($G120&lt;&gt;0,($H120/$G120)*AE120,0)*(1-$K120)</f>
        <v>0</v>
      </c>
      <c r="AG120" s="3236">
        <f t="shared" ref="AG120:AG132" si="413">VLOOKUP($E120,AE$442:AH$453,3,FALSE)*AE120*($K120)+IF($G120&lt;&gt;0,($I120/$G120)*AE120,0)*(1-$K120)</f>
        <v>0</v>
      </c>
      <c r="AH120" s="3236">
        <f t="shared" ref="AH120:AH132" si="414">VLOOKUP($E120,AE$442:AH$453,4,FALSE)*AE120*($K120)+(AE120-AF120-AG120)*(1-$K120)</f>
        <v>95753809.859999985</v>
      </c>
      <c r="AI120" s="3237"/>
      <c r="AM120" s="3235">
        <f t="shared" si="389"/>
        <v>95753809.859999985</v>
      </c>
      <c r="AN120" s="3236">
        <f t="shared" ref="AN120:AN132" si="415">VLOOKUP($E120,AM$442:AP$453,2,FALSE)*AM120*($K120)+IF($G120&lt;&gt;0,($H120/$G120)*AM120,0)*(1-$K120)</f>
        <v>0</v>
      </c>
      <c r="AO120" s="3236">
        <f t="shared" ref="AO120:AO132" si="416">VLOOKUP($E120,AM$442:AP$453,3,FALSE)*AM120*($K120)+IF($G120&lt;&gt;0,($I120/$G120)*AM120,0)*(1-$K120)</f>
        <v>0</v>
      </c>
      <c r="AP120" s="3236">
        <f t="shared" ref="AP120:AP132" si="417">VLOOKUP($E120,AM$442:AP$453,4,FALSE)*AM120*($K120)+(AM120-AN120-AO120)*(1-$K120)</f>
        <v>95753809.859999985</v>
      </c>
      <c r="AQ120" s="3237"/>
      <c r="AU120" s="3235">
        <f t="shared" si="390"/>
        <v>95753809.859999985</v>
      </c>
      <c r="AV120" s="3236">
        <f t="shared" ref="AV120:AV132" si="418">VLOOKUP($E120,AU$442:AX$453,2,FALSE)*AU120*($K120)+IF($G120&lt;&gt;0,($H120/$G120)*AU120,0)*(1-$K120)</f>
        <v>0</v>
      </c>
      <c r="AW120" s="3236">
        <f t="shared" ref="AW120:AW132" si="419">VLOOKUP($E120,AU$442:AX$453,3,FALSE)*AU120*($K120)+IF($G120&lt;&gt;0,($I120/$G120)*AU120,0)*(1-$K120)</f>
        <v>0</v>
      </c>
      <c r="AX120" s="3236">
        <f t="shared" ref="AX120:AX132" si="420">VLOOKUP($E120,AU$442:AX$453,4,FALSE)*AU120*($K120)+(AU120-AV120-AW120)*(1-$K120)</f>
        <v>95753809.859999985</v>
      </c>
      <c r="AY120" s="3237"/>
      <c r="BC120" s="3235">
        <f t="shared" si="391"/>
        <v>95753809.859999985</v>
      </c>
      <c r="BD120" s="3236">
        <f t="shared" ref="BD120:BD132" si="421">VLOOKUP($E120,BC$442:BF$453,2,FALSE)*BC120*($K120)+IF($G120&lt;&gt;0,($H120/$G120)*BC120,0)*(1-$K120)</f>
        <v>0</v>
      </c>
      <c r="BE120" s="3236">
        <f t="shared" ref="BE120:BE132" si="422">VLOOKUP($E120,BC$442:BF$453,3,FALSE)*BC120*($K120)+IF($G120&lt;&gt;0,($I120/$G120)*BC120,0)*(1-$K120)</f>
        <v>0</v>
      </c>
      <c r="BF120" s="3236">
        <f t="shared" ref="BF120:BF132" si="423">VLOOKUP($E120,BC$442:BF$453,4,FALSE)*BC120*($K120)+(BC120-BD120-BE120)*(1-$K120)</f>
        <v>95753809.859999985</v>
      </c>
      <c r="BG120" s="3237"/>
      <c r="BK120" s="3235">
        <f t="shared" si="392"/>
        <v>95753809.859999985</v>
      </c>
      <c r="BL120" s="3236">
        <f t="shared" ref="BL120:BL132" si="424">VLOOKUP($E120,BK$442:BN$453,2,FALSE)*BK120*($K120)+IF($G120&lt;&gt;0,($H120/$G120)*BK120,0)*(1-$K120)</f>
        <v>0</v>
      </c>
      <c r="BM120" s="3236">
        <f t="shared" ref="BM120:BM132" si="425">VLOOKUP($E120,BK$442:BN$453,3,FALSE)*BK120*($K120)+IF($G120&lt;&gt;0,($I120/$G120)*BK120,0)*(1-$K120)</f>
        <v>0</v>
      </c>
      <c r="BN120" s="3236">
        <f t="shared" ref="BN120:BN132" si="426">VLOOKUP($E120,BK$442:BN$453,4,FALSE)*BK120*($K120)+(BK120-BL120-BM120)*(1-$K120)</f>
        <v>95753809.859999985</v>
      </c>
      <c r="BO120" s="3237"/>
      <c r="BS120" s="3235">
        <f t="shared" si="393"/>
        <v>95753809.859999985</v>
      </c>
      <c r="BT120" s="3236">
        <f t="shared" ref="BT120:BT132" si="427">VLOOKUP($E120,BS$442:BV$453,2,FALSE)*BS120*($K120)+IF($G120&lt;&gt;0,($H120/$G120)*BS120,0)*(1-$K120)</f>
        <v>0</v>
      </c>
      <c r="BU120" s="3236">
        <f t="shared" ref="BU120:BU132" si="428">VLOOKUP($E120,BS$442:BV$453,3,FALSE)*BS120*($K120)+IF($G120&lt;&gt;0,($I120/$G120)*BS120,0)*(1-$K120)</f>
        <v>0</v>
      </c>
      <c r="BV120" s="3236">
        <f t="shared" ref="BV120:BV132" si="429">VLOOKUP($E120,BS$442:BV$453,4,FALSE)*BS120*($K120)+(BS120-BT120-BU120)*(1-$K120)</f>
        <v>95753809.859999985</v>
      </c>
      <c r="BW120" s="3237"/>
      <c r="CA120" s="3235">
        <f t="shared" si="394"/>
        <v>95753809.859999985</v>
      </c>
      <c r="CB120" s="3236">
        <f t="shared" ref="CB120:CB132" si="430">VLOOKUP($E120,CA$442:CD$453,2,FALSE)*CA120*($K120)+IF($G120&lt;&gt;0,($H120/$G120)*CA120,0)*(1-$K120)</f>
        <v>0</v>
      </c>
      <c r="CC120" s="3236">
        <f t="shared" ref="CC120:CC132" si="431">VLOOKUP($E120,CA$442:CD$453,3,FALSE)*CA120*($K120)+IF($G120&lt;&gt;0,($I120/$G120)*CA120,0)*(1-$K120)</f>
        <v>0</v>
      </c>
      <c r="CD120" s="3236">
        <f t="shared" ref="CD120:CD132" si="432">VLOOKUP($E120,CA$442:CD$453,4,FALSE)*CA120*($K120)+(CA120-CB120-CC120)*(1-$K120)</f>
        <v>95753809.859999985</v>
      </c>
      <c r="CE120" s="3237"/>
      <c r="CI120" s="3235">
        <f t="shared" si="395"/>
        <v>95753809.859999985</v>
      </c>
      <c r="CJ120" s="3236">
        <f t="shared" ref="CJ120:CJ132" si="433">VLOOKUP($E120,CI$442:CL$453,2,FALSE)*CI120*($K120)+IF($G120&lt;&gt;0,($H120/$G120)*CI120,0)*(1-$K120)</f>
        <v>0</v>
      </c>
      <c r="CK120" s="3236">
        <f t="shared" ref="CK120:CK132" si="434">VLOOKUP($E120,CI$442:CL$453,3,FALSE)*CI120*($K120)+IF($G120&lt;&gt;0,($I120/$G120)*CI120,0)*(1-$K120)</f>
        <v>0</v>
      </c>
      <c r="CL120" s="3236">
        <f t="shared" ref="CL120:CL132" si="435">VLOOKUP($E120,CI$442:CL$453,4,FALSE)*CI120*($K120)+(CI120-CJ120-CK120)*(1-$K120)</f>
        <v>95753809.859999985</v>
      </c>
      <c r="CM120" s="3237"/>
      <c r="CQ120" s="3235">
        <f t="shared" si="396"/>
        <v>95753809.859999985</v>
      </c>
      <c r="CR120" s="3236">
        <f t="shared" ref="CR120:CR132" si="436">VLOOKUP($E120,CQ$442:CT$453,2,FALSE)*CQ120*($K120)+IF($G120&lt;&gt;0,($H120/$G120)*CQ120,0)*(1-$K120)</f>
        <v>0</v>
      </c>
      <c r="CS120" s="3236">
        <f t="shared" ref="CS120:CS132" si="437">VLOOKUP($E120,CQ$442:CT$453,3,FALSE)*CQ120*($K120)+IF($G120&lt;&gt;0,($I120/$G120)*CQ120,0)*(1-$K120)</f>
        <v>0</v>
      </c>
      <c r="CT120" s="3236">
        <f t="shared" ref="CT120:CT132" si="438">VLOOKUP($E120,CQ$442:CT$453,4,FALSE)*CQ120*($K120)+(CQ120-CR120-CS120)*(1-$K120)</f>
        <v>95753809.859999985</v>
      </c>
      <c r="CU120" s="3237"/>
      <c r="CY120" s="3235">
        <f t="shared" si="397"/>
        <v>95753809.859999985</v>
      </c>
      <c r="CZ120" s="3236">
        <f t="shared" ref="CZ120:CZ132" si="439">VLOOKUP($E120,CY$442:DB$453,2,FALSE)*CY120*($K120)+IF($G120&lt;&gt;0,($H120/$G120)*CY120,0)*(1-$K120)</f>
        <v>0</v>
      </c>
      <c r="DA120" s="3236">
        <f t="shared" ref="DA120:DA132" si="440">VLOOKUP($E120,CY$442:DB$453,3,FALSE)*CY120*($K120)+IF($G120&lt;&gt;0,($I120/$G120)*CY120,0)*(1-$K120)</f>
        <v>0</v>
      </c>
      <c r="DB120" s="3236">
        <f t="shared" ref="DB120:DB132" si="441">VLOOKUP($E120,CY$442:DB$453,4,FALSE)*CY120*($K120)+(CY120-CZ120-DA120)*(1-$K120)</f>
        <v>95753809.859999985</v>
      </c>
      <c r="DC120" s="3237"/>
      <c r="DG120" s="3235">
        <f t="shared" si="398"/>
        <v>95753809.859999985</v>
      </c>
      <c r="DH120" s="3236">
        <f t="shared" ref="DH120:DH132" si="442">VLOOKUP($E120,DG$442:DJ$453,2,FALSE)*DG120*($K120)+IF($G120&lt;&gt;0,($H120/$G120)*DG120,0)*(1-$K120)</f>
        <v>0</v>
      </c>
      <c r="DI120" s="3236">
        <f t="shared" ref="DI120:DI132" si="443">VLOOKUP($E120,DG$442:DJ$453,3,FALSE)*DG120*($K120)+IF($G120&lt;&gt;0,($I120/$G120)*DG120,0)*(1-$K120)</f>
        <v>0</v>
      </c>
      <c r="DJ120" s="3236">
        <f t="shared" ref="DJ120:DJ132" si="444">VLOOKUP($E120,DG$442:DJ$453,4,FALSE)*DG120*($K120)+(DG120-DH120-DI120)*(1-$K120)</f>
        <v>95753809.859999985</v>
      </c>
      <c r="DK120" s="3237"/>
      <c r="DO120" s="3235">
        <f t="shared" si="399"/>
        <v>95753809.859999985</v>
      </c>
      <c r="DP120" s="3236">
        <f t="shared" ref="DP120:DP132" si="445">VLOOKUP($E120,DO$442:DR$453,2,FALSE)*DO120*($K120)+IF($G120&lt;&gt;0,($H120/$G120)*DO120,0)*(1-$K120)</f>
        <v>0</v>
      </c>
      <c r="DQ120" s="3236">
        <f t="shared" ref="DQ120:DQ132" si="446">VLOOKUP($E120,DO$442:DR$453,3,FALSE)*DO120*($K120)+IF($G120&lt;&gt;0,($I120/$G120)*DO120,0)*(1-$K120)</f>
        <v>0</v>
      </c>
      <c r="DR120" s="3236">
        <f t="shared" ref="DR120:DR132" si="447">VLOOKUP($E120,DO$442:DR$453,4,FALSE)*DO120*($K120)+(DO120-DP120-DQ120)*(1-$K120)</f>
        <v>95753809.859999985</v>
      </c>
      <c r="DS120" s="3237"/>
      <c r="DW120" s="3235">
        <f t="shared" si="400"/>
        <v>95753809.859999985</v>
      </c>
      <c r="DX120" s="3236">
        <f t="shared" ref="DX120:DX132" si="448">VLOOKUP($E120,DW$442:DZ$453,2,FALSE)*DW120*($K120)+IF($G120&lt;&gt;0,($H120/$G120)*DW120,0)*(1-$K120)</f>
        <v>0</v>
      </c>
      <c r="DY120" s="3236">
        <f t="shared" ref="DY120:DY132" si="449">VLOOKUP($E120,DW$442:DZ$453,3,FALSE)*DW120*($K120)+IF($G120&lt;&gt;0,($I120/$G120)*DW120,0)*(1-$K120)</f>
        <v>0</v>
      </c>
      <c r="DZ120" s="3236">
        <f t="shared" ref="DZ120:DZ132" si="450">VLOOKUP($E120,DW$442:DZ$453,4,FALSE)*DW120*($K120)+(DW120-DX120-DY120)*(1-$K120)</f>
        <v>95753809.859999985</v>
      </c>
      <c r="EA120" s="3237"/>
      <c r="EE120" s="3235">
        <f t="shared" si="401"/>
        <v>95753809.859999985</v>
      </c>
      <c r="EF120" s="3236">
        <f t="shared" ref="EF120:EF132" si="451">VLOOKUP($E120,EE$442:EH$453,2,FALSE)*EE120*($K120)+IF($G120&lt;&gt;0,($H120/$G120)*EE120,0)*(1-$K120)</f>
        <v>0</v>
      </c>
      <c r="EG120" s="3236">
        <f t="shared" ref="EG120:EG132" si="452">VLOOKUP($E120,EE$442:EH$453,3,FALSE)*EE120*($K120)+IF($G120&lt;&gt;0,($I120/$G120)*EE120,0)*(1-$K120)</f>
        <v>0</v>
      </c>
      <c r="EH120" s="3236">
        <f t="shared" ref="EH120:EH132" si="453">VLOOKUP($E120,EE$442:EH$453,4,FALSE)*EE120*($K120)+(EE120-EF120-EG120)*(1-$K120)</f>
        <v>95753809.859999985</v>
      </c>
      <c r="EI120" s="3237"/>
      <c r="EM120" s="3235">
        <f t="shared" si="402"/>
        <v>95753809.859999985</v>
      </c>
      <c r="EN120" s="3236">
        <f t="shared" ref="EN120:EN132" si="454">VLOOKUP($E120,EM$442:EP$453,2,FALSE)*EM120*($K120)+IF($G120&lt;&gt;0,($H120/$G120)*EM120,0)*(1-$K120)</f>
        <v>0</v>
      </c>
      <c r="EO120" s="3236">
        <f t="shared" ref="EO120:EO132" si="455">VLOOKUP($E120,EM$442:EP$453,3,FALSE)*EM120*($K120)+IF($G120&lt;&gt;0,($I120/$G120)*EM120,0)*(1-$K120)</f>
        <v>0</v>
      </c>
      <c r="EP120" s="3236">
        <f t="shared" ref="EP120:EP132" si="456">VLOOKUP($E120,EM$442:EP$453,4,FALSE)*EM120*($K120)+(EM120-EN120-EO120)*(1-$K120)</f>
        <v>95753809.859999985</v>
      </c>
      <c r="EQ120" s="3237"/>
      <c r="EU120" s="3235">
        <f t="shared" si="403"/>
        <v>95753809.859999985</v>
      </c>
      <c r="EV120" s="3236">
        <f t="shared" ref="EV120:EV132" si="457">VLOOKUP($E120,EU$442:EX$453,2,FALSE)*EU120*($K120)+IF($G120&lt;&gt;0,($H120/$G120)*EU120,0)*(1-$K120)</f>
        <v>0</v>
      </c>
      <c r="EW120" s="3236">
        <f t="shared" ref="EW120:EW132" si="458">VLOOKUP($E120,EU$442:EX$453,3,FALSE)*EU120*($K120)+IF($G120&lt;&gt;0,($I120/$G120)*EU120,0)*(1-$K120)</f>
        <v>0</v>
      </c>
      <c r="EX120" s="3236">
        <f t="shared" ref="EX120:EX132" si="459">VLOOKUP($E120,EU$442:EX$453,4,FALSE)*EU120*($K120)+(EU120-EV120-EW120)*(1-$K120)</f>
        <v>95753809.859999985</v>
      </c>
      <c r="EY120" s="3237"/>
      <c r="FC120" s="3235">
        <f t="shared" si="404"/>
        <v>95753809.859999985</v>
      </c>
      <c r="FD120" s="3236">
        <f t="shared" ref="FD120:FD132" si="460">VLOOKUP($E120,FC$442:FF$453,2,FALSE)*FC120*($K120)+IF($G120&lt;&gt;0,($H120/$G120)*FC120,0)*(1-$K120)</f>
        <v>0</v>
      </c>
      <c r="FE120" s="3236">
        <f t="shared" ref="FE120:FE132" si="461">VLOOKUP($E120,FC$442:FF$453,3,FALSE)*FC120*($K120)+IF($G120&lt;&gt;0,($I120/$G120)*FC120,0)*(1-$K120)</f>
        <v>0</v>
      </c>
      <c r="FF120" s="3236">
        <f t="shared" ref="FF120:FF132" si="462">VLOOKUP($E120,FC$442:FF$453,4,FALSE)*FC120*($K120)+(FC120-FD120-FE120)*(1-$K120)</f>
        <v>95753809.859999985</v>
      </c>
      <c r="FG120" s="3237"/>
      <c r="FK120" s="3235">
        <f t="shared" si="405"/>
        <v>95753809.859999985</v>
      </c>
      <c r="FL120" s="3236">
        <f t="shared" ref="FL120:FL132" si="463">VLOOKUP($E120,FK$442:FN$453,2,FALSE)*FK120*($K120)+IF($G120&lt;&gt;0,($H120/$G120)*FK120,0)*(1-$K120)</f>
        <v>0</v>
      </c>
      <c r="FM120" s="3236">
        <f t="shared" ref="FM120:FM132" si="464">VLOOKUP($E120,FK$442:FN$453,3,FALSE)*FK120*($K120)+IF($G120&lt;&gt;0,($I120/$G120)*FK120,0)*(1-$K120)</f>
        <v>0</v>
      </c>
      <c r="FN120" s="3236">
        <f t="shared" ref="FN120:FN132" si="465">VLOOKUP($E120,FK$442:FN$453,4,FALSE)*FK120*($K120)+(FK120-FL120-FM120)*(1-$K120)</f>
        <v>95753809.859999985</v>
      </c>
      <c r="FO120" s="3237"/>
    </row>
    <row r="121" spans="1:171">
      <c r="A121" s="2442"/>
      <c r="B121" s="2290" t="s">
        <v>12</v>
      </c>
      <c r="C121" s="2464" t="s">
        <v>78</v>
      </c>
      <c r="D121" s="2464">
        <v>182.2</v>
      </c>
      <c r="E121" s="2424" t="str">
        <f>'Sch 1- Rate Base '!E121</f>
        <v>DIRECT</v>
      </c>
      <c r="F121" s="2171"/>
      <c r="G121" s="2424">
        <f>'Sch 1- Rate Base '!G121</f>
        <v>0</v>
      </c>
      <c r="H121" s="2424">
        <f>'Sch 1- Rate Base '!H121</f>
        <v>0</v>
      </c>
      <c r="I121" s="2424">
        <f>'Sch 1- Rate Base '!I121</f>
        <v>0</v>
      </c>
      <c r="J121" s="2425">
        <f>'Sch 1- Rate Base '!J121</f>
        <v>0</v>
      </c>
      <c r="K121" s="3205">
        <f t="shared" si="385"/>
        <v>0</v>
      </c>
      <c r="O121" s="3235">
        <f t="shared" si="386"/>
        <v>0</v>
      </c>
      <c r="P121" s="3236">
        <f t="shared" si="406"/>
        <v>0</v>
      </c>
      <c r="Q121" s="3236">
        <f t="shared" si="407"/>
        <v>0</v>
      </c>
      <c r="R121" s="3236">
        <f t="shared" si="408"/>
        <v>0</v>
      </c>
      <c r="S121" s="3237"/>
      <c r="W121" s="3235">
        <f t="shared" si="387"/>
        <v>0</v>
      </c>
      <c r="X121" s="3236">
        <f t="shared" si="409"/>
        <v>0</v>
      </c>
      <c r="Y121" s="3236">
        <f t="shared" si="410"/>
        <v>0</v>
      </c>
      <c r="Z121" s="3236">
        <f t="shared" si="411"/>
        <v>0</v>
      </c>
      <c r="AA121" s="3237"/>
      <c r="AE121" s="3235">
        <f t="shared" si="388"/>
        <v>0</v>
      </c>
      <c r="AF121" s="3236">
        <f t="shared" si="412"/>
        <v>0</v>
      </c>
      <c r="AG121" s="3236">
        <f t="shared" si="413"/>
        <v>0</v>
      </c>
      <c r="AH121" s="3236">
        <f t="shared" si="414"/>
        <v>0</v>
      </c>
      <c r="AI121" s="3237"/>
      <c r="AM121" s="3235">
        <f t="shared" si="389"/>
        <v>0</v>
      </c>
      <c r="AN121" s="3236">
        <f t="shared" si="415"/>
        <v>0</v>
      </c>
      <c r="AO121" s="3236">
        <f t="shared" si="416"/>
        <v>0</v>
      </c>
      <c r="AP121" s="3236">
        <f t="shared" si="417"/>
        <v>0</v>
      </c>
      <c r="AQ121" s="3237"/>
      <c r="AU121" s="3235">
        <f t="shared" si="390"/>
        <v>0</v>
      </c>
      <c r="AV121" s="3236">
        <f t="shared" si="418"/>
        <v>0</v>
      </c>
      <c r="AW121" s="3236">
        <f t="shared" si="419"/>
        <v>0</v>
      </c>
      <c r="AX121" s="3236">
        <f t="shared" si="420"/>
        <v>0</v>
      </c>
      <c r="AY121" s="3237"/>
      <c r="BC121" s="3235">
        <f t="shared" si="391"/>
        <v>0</v>
      </c>
      <c r="BD121" s="3236">
        <f t="shared" si="421"/>
        <v>0</v>
      </c>
      <c r="BE121" s="3236">
        <f t="shared" si="422"/>
        <v>0</v>
      </c>
      <c r="BF121" s="3236">
        <f t="shared" si="423"/>
        <v>0</v>
      </c>
      <c r="BG121" s="3237"/>
      <c r="BK121" s="3235">
        <f t="shared" si="392"/>
        <v>0</v>
      </c>
      <c r="BL121" s="3236">
        <f t="shared" si="424"/>
        <v>0</v>
      </c>
      <c r="BM121" s="3236">
        <f t="shared" si="425"/>
        <v>0</v>
      </c>
      <c r="BN121" s="3236">
        <f t="shared" si="426"/>
        <v>0</v>
      </c>
      <c r="BO121" s="3237"/>
      <c r="BS121" s="3235">
        <f t="shared" si="393"/>
        <v>0</v>
      </c>
      <c r="BT121" s="3236">
        <f t="shared" si="427"/>
        <v>0</v>
      </c>
      <c r="BU121" s="3236">
        <f t="shared" si="428"/>
        <v>0</v>
      </c>
      <c r="BV121" s="3236">
        <f t="shared" si="429"/>
        <v>0</v>
      </c>
      <c r="BW121" s="3237"/>
      <c r="CA121" s="3235">
        <f t="shared" si="394"/>
        <v>0</v>
      </c>
      <c r="CB121" s="3236">
        <f t="shared" si="430"/>
        <v>0</v>
      </c>
      <c r="CC121" s="3236">
        <f t="shared" si="431"/>
        <v>0</v>
      </c>
      <c r="CD121" s="3236">
        <f t="shared" si="432"/>
        <v>0</v>
      </c>
      <c r="CE121" s="3237"/>
      <c r="CI121" s="3235">
        <f t="shared" si="395"/>
        <v>0</v>
      </c>
      <c r="CJ121" s="3236">
        <f t="shared" si="433"/>
        <v>0</v>
      </c>
      <c r="CK121" s="3236">
        <f t="shared" si="434"/>
        <v>0</v>
      </c>
      <c r="CL121" s="3236">
        <f t="shared" si="435"/>
        <v>0</v>
      </c>
      <c r="CM121" s="3237"/>
      <c r="CQ121" s="3235">
        <f t="shared" si="396"/>
        <v>0</v>
      </c>
      <c r="CR121" s="3236">
        <f t="shared" si="436"/>
        <v>0</v>
      </c>
      <c r="CS121" s="3236">
        <f t="shared" si="437"/>
        <v>0</v>
      </c>
      <c r="CT121" s="3236">
        <f t="shared" si="438"/>
        <v>0</v>
      </c>
      <c r="CU121" s="3237"/>
      <c r="CY121" s="3235">
        <f t="shared" si="397"/>
        <v>0</v>
      </c>
      <c r="CZ121" s="3236">
        <f t="shared" si="439"/>
        <v>0</v>
      </c>
      <c r="DA121" s="3236">
        <f t="shared" si="440"/>
        <v>0</v>
      </c>
      <c r="DB121" s="3236">
        <f t="shared" si="441"/>
        <v>0</v>
      </c>
      <c r="DC121" s="3237"/>
      <c r="DG121" s="3235">
        <f t="shared" si="398"/>
        <v>0</v>
      </c>
      <c r="DH121" s="3236">
        <f t="shared" si="442"/>
        <v>0</v>
      </c>
      <c r="DI121" s="3236">
        <f t="shared" si="443"/>
        <v>0</v>
      </c>
      <c r="DJ121" s="3236">
        <f t="shared" si="444"/>
        <v>0</v>
      </c>
      <c r="DK121" s="3237"/>
      <c r="DO121" s="3235">
        <f t="shared" si="399"/>
        <v>0</v>
      </c>
      <c r="DP121" s="3236">
        <f t="shared" si="445"/>
        <v>0</v>
      </c>
      <c r="DQ121" s="3236">
        <f t="shared" si="446"/>
        <v>0</v>
      </c>
      <c r="DR121" s="3236">
        <f t="shared" si="447"/>
        <v>0</v>
      </c>
      <c r="DS121" s="3237"/>
      <c r="DW121" s="3235">
        <f t="shared" si="400"/>
        <v>0</v>
      </c>
      <c r="DX121" s="3236">
        <f t="shared" si="448"/>
        <v>0</v>
      </c>
      <c r="DY121" s="3236">
        <f t="shared" si="449"/>
        <v>0</v>
      </c>
      <c r="DZ121" s="3236">
        <f t="shared" si="450"/>
        <v>0</v>
      </c>
      <c r="EA121" s="3237"/>
      <c r="EE121" s="3235">
        <f t="shared" si="401"/>
        <v>0</v>
      </c>
      <c r="EF121" s="3236">
        <f t="shared" si="451"/>
        <v>0</v>
      </c>
      <c r="EG121" s="3236">
        <f t="shared" si="452"/>
        <v>0</v>
      </c>
      <c r="EH121" s="3236">
        <f t="shared" si="453"/>
        <v>0</v>
      </c>
      <c r="EI121" s="3237"/>
      <c r="EM121" s="3235">
        <f t="shared" si="402"/>
        <v>0</v>
      </c>
      <c r="EN121" s="3236">
        <f t="shared" si="454"/>
        <v>0</v>
      </c>
      <c r="EO121" s="3236">
        <f t="shared" si="455"/>
        <v>0</v>
      </c>
      <c r="EP121" s="3236">
        <f t="shared" si="456"/>
        <v>0</v>
      </c>
      <c r="EQ121" s="3237"/>
      <c r="EU121" s="3235">
        <f t="shared" si="403"/>
        <v>0</v>
      </c>
      <c r="EV121" s="3236">
        <f t="shared" si="457"/>
        <v>0</v>
      </c>
      <c r="EW121" s="3236">
        <f t="shared" si="458"/>
        <v>0</v>
      </c>
      <c r="EX121" s="3236">
        <f t="shared" si="459"/>
        <v>0</v>
      </c>
      <c r="EY121" s="3237"/>
      <c r="FC121" s="3235">
        <f t="shared" si="404"/>
        <v>0</v>
      </c>
      <c r="FD121" s="3236">
        <f t="shared" si="460"/>
        <v>0</v>
      </c>
      <c r="FE121" s="3236">
        <f t="shared" si="461"/>
        <v>0</v>
      </c>
      <c r="FF121" s="3236">
        <f t="shared" si="462"/>
        <v>0</v>
      </c>
      <c r="FG121" s="3237"/>
      <c r="FK121" s="3235">
        <f t="shared" si="405"/>
        <v>0</v>
      </c>
      <c r="FL121" s="3236">
        <f t="shared" si="463"/>
        <v>0</v>
      </c>
      <c r="FM121" s="3236">
        <f t="shared" si="464"/>
        <v>0</v>
      </c>
      <c r="FN121" s="3236">
        <f t="shared" si="465"/>
        <v>0</v>
      </c>
      <c r="FO121" s="3237"/>
    </row>
    <row r="122" spans="1:171">
      <c r="A122" s="2442"/>
      <c r="B122" s="2290" t="s">
        <v>13</v>
      </c>
      <c r="C122" s="2464" t="s">
        <v>78</v>
      </c>
      <c r="D122" s="2464">
        <v>182.3</v>
      </c>
      <c r="E122" s="2424" t="str">
        <f>'Sch 1- Rate Base '!E122</f>
        <v>DIRECT</v>
      </c>
      <c r="F122" s="2171"/>
      <c r="G122" s="2424">
        <f>'Sch 1- Rate Base '!G122</f>
        <v>591927572.39124942</v>
      </c>
      <c r="H122" s="2424">
        <f>'Sch 1- Rate Base '!H122</f>
        <v>307143997.88341385</v>
      </c>
      <c r="I122" s="2424">
        <f>'Sch 1- Rate Base '!I122</f>
        <v>0</v>
      </c>
      <c r="J122" s="2425">
        <f>'Sch 1- Rate Base '!J122</f>
        <v>284783574.50783557</v>
      </c>
      <c r="K122" s="3205">
        <f t="shared" si="385"/>
        <v>0</v>
      </c>
      <c r="O122" s="3235">
        <f t="shared" si="386"/>
        <v>591927572.39124942</v>
      </c>
      <c r="P122" s="3236">
        <f t="shared" si="406"/>
        <v>307143997.88341391</v>
      </c>
      <c r="Q122" s="3236">
        <f t="shared" si="407"/>
        <v>0</v>
      </c>
      <c r="R122" s="3236">
        <f t="shared" si="408"/>
        <v>284783574.50783551</v>
      </c>
      <c r="S122" s="3237"/>
      <c r="W122" s="3235">
        <f t="shared" si="387"/>
        <v>591927572.39124942</v>
      </c>
      <c r="X122" s="3236">
        <f t="shared" si="409"/>
        <v>307143997.88341391</v>
      </c>
      <c r="Y122" s="3236">
        <f t="shared" si="410"/>
        <v>0</v>
      </c>
      <c r="Z122" s="3236">
        <f t="shared" si="411"/>
        <v>284783574.50783551</v>
      </c>
      <c r="AA122" s="3237"/>
      <c r="AE122" s="3235">
        <f t="shared" si="388"/>
        <v>591927572.39124942</v>
      </c>
      <c r="AF122" s="3236">
        <f t="shared" si="412"/>
        <v>307143997.88341391</v>
      </c>
      <c r="AG122" s="3236">
        <f t="shared" si="413"/>
        <v>0</v>
      </c>
      <c r="AH122" s="3236">
        <f t="shared" si="414"/>
        <v>284783574.50783551</v>
      </c>
      <c r="AI122" s="3237"/>
      <c r="AM122" s="3235">
        <f t="shared" si="389"/>
        <v>591927572.39124942</v>
      </c>
      <c r="AN122" s="3236">
        <f t="shared" si="415"/>
        <v>307143997.88341391</v>
      </c>
      <c r="AO122" s="3236">
        <f t="shared" si="416"/>
        <v>0</v>
      </c>
      <c r="AP122" s="3236">
        <f t="shared" si="417"/>
        <v>284783574.50783551</v>
      </c>
      <c r="AQ122" s="3237"/>
      <c r="AU122" s="3235">
        <f t="shared" si="390"/>
        <v>591927572.39124942</v>
      </c>
      <c r="AV122" s="3236">
        <f t="shared" si="418"/>
        <v>307143997.88341391</v>
      </c>
      <c r="AW122" s="3236">
        <f t="shared" si="419"/>
        <v>0</v>
      </c>
      <c r="AX122" s="3236">
        <f t="shared" si="420"/>
        <v>284783574.50783551</v>
      </c>
      <c r="AY122" s="3237"/>
      <c r="BC122" s="3235">
        <f t="shared" si="391"/>
        <v>591927572.39124942</v>
      </c>
      <c r="BD122" s="3236">
        <f t="shared" si="421"/>
        <v>307143997.88341391</v>
      </c>
      <c r="BE122" s="3236">
        <f t="shared" si="422"/>
        <v>0</v>
      </c>
      <c r="BF122" s="3236">
        <f t="shared" si="423"/>
        <v>284783574.50783551</v>
      </c>
      <c r="BG122" s="3237"/>
      <c r="BK122" s="3235">
        <f t="shared" si="392"/>
        <v>591927572.39124942</v>
      </c>
      <c r="BL122" s="3236">
        <f t="shared" si="424"/>
        <v>307143997.88341391</v>
      </c>
      <c r="BM122" s="3236">
        <f t="shared" si="425"/>
        <v>0</v>
      </c>
      <c r="BN122" s="3236">
        <f t="shared" si="426"/>
        <v>284783574.50783551</v>
      </c>
      <c r="BO122" s="3237"/>
      <c r="BS122" s="3235">
        <f t="shared" si="393"/>
        <v>591927572.39124942</v>
      </c>
      <c r="BT122" s="3236">
        <f t="shared" si="427"/>
        <v>307143997.88341391</v>
      </c>
      <c r="BU122" s="3236">
        <f t="shared" si="428"/>
        <v>0</v>
      </c>
      <c r="BV122" s="3236">
        <f t="shared" si="429"/>
        <v>284783574.50783551</v>
      </c>
      <c r="BW122" s="3237"/>
      <c r="CA122" s="3235">
        <f t="shared" si="394"/>
        <v>591927572.39124942</v>
      </c>
      <c r="CB122" s="3236">
        <f t="shared" si="430"/>
        <v>307143997.88341391</v>
      </c>
      <c r="CC122" s="3236">
        <f t="shared" si="431"/>
        <v>0</v>
      </c>
      <c r="CD122" s="3236">
        <f t="shared" si="432"/>
        <v>284783574.50783551</v>
      </c>
      <c r="CE122" s="3237"/>
      <c r="CI122" s="3235">
        <f t="shared" si="395"/>
        <v>591927572.39124942</v>
      </c>
      <c r="CJ122" s="3236">
        <f t="shared" si="433"/>
        <v>307143997.88341391</v>
      </c>
      <c r="CK122" s="3236">
        <f t="shared" si="434"/>
        <v>0</v>
      </c>
      <c r="CL122" s="3236">
        <f t="shared" si="435"/>
        <v>284783574.50783551</v>
      </c>
      <c r="CM122" s="3237"/>
      <c r="CQ122" s="3235">
        <f t="shared" si="396"/>
        <v>591927572.39124942</v>
      </c>
      <c r="CR122" s="3236">
        <f t="shared" si="436"/>
        <v>307143997.88341391</v>
      </c>
      <c r="CS122" s="3236">
        <f t="shared" si="437"/>
        <v>0</v>
      </c>
      <c r="CT122" s="3236">
        <f t="shared" si="438"/>
        <v>284783574.50783551</v>
      </c>
      <c r="CU122" s="3237"/>
      <c r="CY122" s="3235">
        <f t="shared" si="397"/>
        <v>591927572.39124942</v>
      </c>
      <c r="CZ122" s="3236">
        <f t="shared" si="439"/>
        <v>307143997.88341391</v>
      </c>
      <c r="DA122" s="3236">
        <f t="shared" si="440"/>
        <v>0</v>
      </c>
      <c r="DB122" s="3236">
        <f t="shared" si="441"/>
        <v>284783574.50783551</v>
      </c>
      <c r="DC122" s="3237"/>
      <c r="DG122" s="3235">
        <f t="shared" si="398"/>
        <v>591927572.39124942</v>
      </c>
      <c r="DH122" s="3236">
        <f t="shared" si="442"/>
        <v>307143997.88341391</v>
      </c>
      <c r="DI122" s="3236">
        <f t="shared" si="443"/>
        <v>0</v>
      </c>
      <c r="DJ122" s="3236">
        <f t="shared" si="444"/>
        <v>284783574.50783551</v>
      </c>
      <c r="DK122" s="3237"/>
      <c r="DO122" s="3235">
        <f t="shared" si="399"/>
        <v>591927572.39124942</v>
      </c>
      <c r="DP122" s="3236">
        <f t="shared" si="445"/>
        <v>307143997.88341391</v>
      </c>
      <c r="DQ122" s="3236">
        <f t="shared" si="446"/>
        <v>0</v>
      </c>
      <c r="DR122" s="3236">
        <f t="shared" si="447"/>
        <v>284783574.50783551</v>
      </c>
      <c r="DS122" s="3237"/>
      <c r="DW122" s="3235">
        <f t="shared" si="400"/>
        <v>591927572.39124942</v>
      </c>
      <c r="DX122" s="3236">
        <f t="shared" si="448"/>
        <v>307143997.88341391</v>
      </c>
      <c r="DY122" s="3236">
        <f t="shared" si="449"/>
        <v>0</v>
      </c>
      <c r="DZ122" s="3236">
        <f t="shared" si="450"/>
        <v>284783574.50783551</v>
      </c>
      <c r="EA122" s="3237"/>
      <c r="EE122" s="3235">
        <f t="shared" si="401"/>
        <v>591927572.39124942</v>
      </c>
      <c r="EF122" s="3236">
        <f t="shared" si="451"/>
        <v>307143997.88341391</v>
      </c>
      <c r="EG122" s="3236">
        <f t="shared" si="452"/>
        <v>0</v>
      </c>
      <c r="EH122" s="3236">
        <f t="shared" si="453"/>
        <v>284783574.50783551</v>
      </c>
      <c r="EI122" s="3237"/>
      <c r="EM122" s="3235">
        <f t="shared" si="402"/>
        <v>591927572.39124942</v>
      </c>
      <c r="EN122" s="3236">
        <f t="shared" si="454"/>
        <v>307143997.88341391</v>
      </c>
      <c r="EO122" s="3236">
        <f t="shared" si="455"/>
        <v>0</v>
      </c>
      <c r="EP122" s="3236">
        <f t="shared" si="456"/>
        <v>284783574.50783551</v>
      </c>
      <c r="EQ122" s="3237"/>
      <c r="EU122" s="3235">
        <f t="shared" si="403"/>
        <v>591927572.39124942</v>
      </c>
      <c r="EV122" s="3236">
        <f t="shared" si="457"/>
        <v>307143997.88341391</v>
      </c>
      <c r="EW122" s="3236">
        <f t="shared" si="458"/>
        <v>0</v>
      </c>
      <c r="EX122" s="3236">
        <f t="shared" si="459"/>
        <v>284783574.50783551</v>
      </c>
      <c r="EY122" s="3237"/>
      <c r="FC122" s="3235">
        <f t="shared" si="404"/>
        <v>591927572.39124942</v>
      </c>
      <c r="FD122" s="3236">
        <f t="shared" si="460"/>
        <v>307143997.88341391</v>
      </c>
      <c r="FE122" s="3236">
        <f t="shared" si="461"/>
        <v>0</v>
      </c>
      <c r="FF122" s="3236">
        <f t="shared" si="462"/>
        <v>284783574.50783551</v>
      </c>
      <c r="FG122" s="3237"/>
      <c r="FK122" s="3235">
        <f t="shared" si="405"/>
        <v>591927572.39124942</v>
      </c>
      <c r="FL122" s="3236">
        <f t="shared" si="463"/>
        <v>307143997.88341391</v>
      </c>
      <c r="FM122" s="3236">
        <f t="shared" si="464"/>
        <v>0</v>
      </c>
      <c r="FN122" s="3236">
        <f t="shared" si="465"/>
        <v>284783574.50783551</v>
      </c>
      <c r="FO122" s="3237"/>
    </row>
    <row r="123" spans="1:171">
      <c r="A123" s="2442"/>
      <c r="B123" s="2290" t="s">
        <v>614</v>
      </c>
      <c r="C123" s="2464" t="s">
        <v>78</v>
      </c>
      <c r="D123" s="2464">
        <v>183</v>
      </c>
      <c r="E123" s="2424" t="str">
        <f>'Sch 1- Rate Base '!E123</f>
        <v>DIST</v>
      </c>
      <c r="F123" s="2171"/>
      <c r="G123" s="2424">
        <f>'Sch 1- Rate Base '!G123</f>
        <v>779621.87999999989</v>
      </c>
      <c r="H123" s="2424">
        <f>'Sch 1- Rate Base '!H123</f>
        <v>0</v>
      </c>
      <c r="I123" s="2424">
        <f>'Sch 1- Rate Base '!I123</f>
        <v>0</v>
      </c>
      <c r="J123" s="2425">
        <f>'Sch 1- Rate Base '!J123</f>
        <v>779621.87999999989</v>
      </c>
      <c r="K123" s="3205">
        <f t="shared" si="385"/>
        <v>1</v>
      </c>
      <c r="O123" s="3235">
        <f t="shared" si="386"/>
        <v>779621.87999999989</v>
      </c>
      <c r="P123" s="3236">
        <f t="shared" si="406"/>
        <v>0</v>
      </c>
      <c r="Q123" s="3236">
        <f t="shared" si="407"/>
        <v>0</v>
      </c>
      <c r="R123" s="3236">
        <f t="shared" si="408"/>
        <v>779621.87999999989</v>
      </c>
      <c r="S123" s="3237"/>
      <c r="W123" s="3235">
        <f t="shared" si="387"/>
        <v>779621.87999999989</v>
      </c>
      <c r="X123" s="3236">
        <f t="shared" si="409"/>
        <v>0</v>
      </c>
      <c r="Y123" s="3236">
        <f t="shared" si="410"/>
        <v>0</v>
      </c>
      <c r="Z123" s="3236">
        <f t="shared" si="411"/>
        <v>779621.87999999989</v>
      </c>
      <c r="AA123" s="3237"/>
      <c r="AE123" s="3235">
        <f t="shared" si="388"/>
        <v>779621.87999999989</v>
      </c>
      <c r="AF123" s="3236">
        <f t="shared" si="412"/>
        <v>0</v>
      </c>
      <c r="AG123" s="3236">
        <f t="shared" si="413"/>
        <v>0</v>
      </c>
      <c r="AH123" s="3236">
        <f t="shared" si="414"/>
        <v>779621.87999999989</v>
      </c>
      <c r="AI123" s="3237"/>
      <c r="AM123" s="3235">
        <f t="shared" si="389"/>
        <v>779621.87999999989</v>
      </c>
      <c r="AN123" s="3236">
        <f t="shared" si="415"/>
        <v>0</v>
      </c>
      <c r="AO123" s="3236">
        <f t="shared" si="416"/>
        <v>0</v>
      </c>
      <c r="AP123" s="3236">
        <f t="shared" si="417"/>
        <v>779621.87999999989</v>
      </c>
      <c r="AQ123" s="3237"/>
      <c r="AU123" s="3235">
        <f t="shared" si="390"/>
        <v>779621.87999999989</v>
      </c>
      <c r="AV123" s="3236">
        <f t="shared" si="418"/>
        <v>0</v>
      </c>
      <c r="AW123" s="3236">
        <f t="shared" si="419"/>
        <v>0</v>
      </c>
      <c r="AX123" s="3236">
        <f t="shared" si="420"/>
        <v>779621.87999999989</v>
      </c>
      <c r="AY123" s="3237"/>
      <c r="BC123" s="3235">
        <f t="shared" si="391"/>
        <v>779621.87999999989</v>
      </c>
      <c r="BD123" s="3236">
        <f t="shared" si="421"/>
        <v>0</v>
      </c>
      <c r="BE123" s="3236">
        <f t="shared" si="422"/>
        <v>0</v>
      </c>
      <c r="BF123" s="3236">
        <f t="shared" si="423"/>
        <v>779621.87999999989</v>
      </c>
      <c r="BG123" s="3237"/>
      <c r="BK123" s="3235">
        <f t="shared" si="392"/>
        <v>779621.87999999989</v>
      </c>
      <c r="BL123" s="3236">
        <f t="shared" si="424"/>
        <v>0</v>
      </c>
      <c r="BM123" s="3236">
        <f t="shared" si="425"/>
        <v>0</v>
      </c>
      <c r="BN123" s="3236">
        <f t="shared" si="426"/>
        <v>779621.87999999989</v>
      </c>
      <c r="BO123" s="3237"/>
      <c r="BS123" s="3235">
        <f t="shared" si="393"/>
        <v>779621.87999999989</v>
      </c>
      <c r="BT123" s="3236">
        <f t="shared" si="427"/>
        <v>0</v>
      </c>
      <c r="BU123" s="3236">
        <f t="shared" si="428"/>
        <v>0</v>
      </c>
      <c r="BV123" s="3236">
        <f t="shared" si="429"/>
        <v>779621.87999999989</v>
      </c>
      <c r="BW123" s="3237"/>
      <c r="CA123" s="3235">
        <f t="shared" si="394"/>
        <v>779621.87999999989</v>
      </c>
      <c r="CB123" s="3236">
        <f t="shared" si="430"/>
        <v>0</v>
      </c>
      <c r="CC123" s="3236">
        <f t="shared" si="431"/>
        <v>0</v>
      </c>
      <c r="CD123" s="3236">
        <f t="shared" si="432"/>
        <v>779621.87999999989</v>
      </c>
      <c r="CE123" s="3237"/>
      <c r="CI123" s="3235">
        <f t="shared" si="395"/>
        <v>779621.87999999989</v>
      </c>
      <c r="CJ123" s="3236">
        <f t="shared" si="433"/>
        <v>0</v>
      </c>
      <c r="CK123" s="3236">
        <f t="shared" si="434"/>
        <v>0</v>
      </c>
      <c r="CL123" s="3236">
        <f t="shared" si="435"/>
        <v>779621.87999999989</v>
      </c>
      <c r="CM123" s="3237"/>
      <c r="CQ123" s="3235">
        <f t="shared" si="396"/>
        <v>779621.87999999989</v>
      </c>
      <c r="CR123" s="3236">
        <f t="shared" si="436"/>
        <v>0</v>
      </c>
      <c r="CS123" s="3236">
        <f t="shared" si="437"/>
        <v>0</v>
      </c>
      <c r="CT123" s="3236">
        <f t="shared" si="438"/>
        <v>779621.87999999989</v>
      </c>
      <c r="CU123" s="3237"/>
      <c r="CY123" s="3235">
        <f t="shared" si="397"/>
        <v>779621.87999999989</v>
      </c>
      <c r="CZ123" s="3236">
        <f t="shared" si="439"/>
        <v>0</v>
      </c>
      <c r="DA123" s="3236">
        <f t="shared" si="440"/>
        <v>0</v>
      </c>
      <c r="DB123" s="3236">
        <f t="shared" si="441"/>
        <v>779621.87999999989</v>
      </c>
      <c r="DC123" s="3237"/>
      <c r="DG123" s="3235">
        <f t="shared" si="398"/>
        <v>779621.87999999989</v>
      </c>
      <c r="DH123" s="3236">
        <f t="shared" si="442"/>
        <v>0</v>
      </c>
      <c r="DI123" s="3236">
        <f t="shared" si="443"/>
        <v>0</v>
      </c>
      <c r="DJ123" s="3236">
        <f t="shared" si="444"/>
        <v>779621.87999999989</v>
      </c>
      <c r="DK123" s="3237"/>
      <c r="DO123" s="3235">
        <f t="shared" si="399"/>
        <v>779621.87999999989</v>
      </c>
      <c r="DP123" s="3236">
        <f t="shared" si="445"/>
        <v>0</v>
      </c>
      <c r="DQ123" s="3236">
        <f t="shared" si="446"/>
        <v>0</v>
      </c>
      <c r="DR123" s="3236">
        <f t="shared" si="447"/>
        <v>779621.87999999989</v>
      </c>
      <c r="DS123" s="3237"/>
      <c r="DW123" s="3235">
        <f t="shared" si="400"/>
        <v>779621.87999999989</v>
      </c>
      <c r="DX123" s="3236">
        <f t="shared" si="448"/>
        <v>0</v>
      </c>
      <c r="DY123" s="3236">
        <f t="shared" si="449"/>
        <v>0</v>
      </c>
      <c r="DZ123" s="3236">
        <f t="shared" si="450"/>
        <v>779621.87999999989</v>
      </c>
      <c r="EA123" s="3237"/>
      <c r="EE123" s="3235">
        <f t="shared" si="401"/>
        <v>779621.87999999989</v>
      </c>
      <c r="EF123" s="3236">
        <f t="shared" si="451"/>
        <v>0</v>
      </c>
      <c r="EG123" s="3236">
        <f t="shared" si="452"/>
        <v>0</v>
      </c>
      <c r="EH123" s="3236">
        <f t="shared" si="453"/>
        <v>779621.87999999989</v>
      </c>
      <c r="EI123" s="3237"/>
      <c r="EM123" s="3235">
        <f t="shared" si="402"/>
        <v>779621.87999999989</v>
      </c>
      <c r="EN123" s="3236">
        <f t="shared" si="454"/>
        <v>0</v>
      </c>
      <c r="EO123" s="3236">
        <f t="shared" si="455"/>
        <v>0</v>
      </c>
      <c r="EP123" s="3236">
        <f t="shared" si="456"/>
        <v>779621.87999999989</v>
      </c>
      <c r="EQ123" s="3237"/>
      <c r="EU123" s="3235">
        <f t="shared" si="403"/>
        <v>779621.87999999989</v>
      </c>
      <c r="EV123" s="3236">
        <f t="shared" si="457"/>
        <v>0</v>
      </c>
      <c r="EW123" s="3236">
        <f t="shared" si="458"/>
        <v>0</v>
      </c>
      <c r="EX123" s="3236">
        <f t="shared" si="459"/>
        <v>779621.87999999989</v>
      </c>
      <c r="EY123" s="3237"/>
      <c r="FC123" s="3235">
        <f t="shared" si="404"/>
        <v>779621.87999999989</v>
      </c>
      <c r="FD123" s="3236">
        <f t="shared" si="460"/>
        <v>0</v>
      </c>
      <c r="FE123" s="3236">
        <f t="shared" si="461"/>
        <v>0</v>
      </c>
      <c r="FF123" s="3236">
        <f t="shared" si="462"/>
        <v>779621.87999999989</v>
      </c>
      <c r="FG123" s="3237"/>
      <c r="FK123" s="3235">
        <f t="shared" si="405"/>
        <v>779621.87999999989</v>
      </c>
      <c r="FL123" s="3236">
        <f t="shared" si="463"/>
        <v>0</v>
      </c>
      <c r="FM123" s="3236">
        <f t="shared" si="464"/>
        <v>0</v>
      </c>
      <c r="FN123" s="3236">
        <f t="shared" si="465"/>
        <v>779621.87999999989</v>
      </c>
      <c r="FO123" s="3237"/>
    </row>
    <row r="124" spans="1:171">
      <c r="A124" s="2442"/>
      <c r="B124" s="2290" t="s">
        <v>14</v>
      </c>
      <c r="C124" s="2464" t="s">
        <v>78</v>
      </c>
      <c r="D124" s="2464">
        <v>183.1</v>
      </c>
      <c r="E124" s="2424" t="str">
        <f>'Sch 1- Rate Base '!E124</f>
        <v>DIST</v>
      </c>
      <c r="F124" s="2171"/>
      <c r="G124" s="2424">
        <f>'Sch 1- Rate Base '!G124</f>
        <v>0</v>
      </c>
      <c r="H124" s="2424">
        <f>'Sch 1- Rate Base '!H124</f>
        <v>0</v>
      </c>
      <c r="I124" s="2424">
        <f>'Sch 1- Rate Base '!I124</f>
        <v>0</v>
      </c>
      <c r="J124" s="2425">
        <f>'Sch 1- Rate Base '!J124</f>
        <v>0</v>
      </c>
      <c r="K124" s="3205">
        <f t="shared" si="385"/>
        <v>1</v>
      </c>
      <c r="O124" s="3235">
        <f t="shared" si="386"/>
        <v>0</v>
      </c>
      <c r="P124" s="3236">
        <f t="shared" si="406"/>
        <v>0</v>
      </c>
      <c r="Q124" s="3236">
        <f t="shared" si="407"/>
        <v>0</v>
      </c>
      <c r="R124" s="3236">
        <f t="shared" si="408"/>
        <v>0</v>
      </c>
      <c r="S124" s="3237"/>
      <c r="W124" s="3235">
        <f t="shared" si="387"/>
        <v>0</v>
      </c>
      <c r="X124" s="3236">
        <f t="shared" si="409"/>
        <v>0</v>
      </c>
      <c r="Y124" s="3236">
        <f t="shared" si="410"/>
        <v>0</v>
      </c>
      <c r="Z124" s="3236">
        <f t="shared" si="411"/>
        <v>0</v>
      </c>
      <c r="AA124" s="3237"/>
      <c r="AE124" s="3235">
        <f t="shared" si="388"/>
        <v>0</v>
      </c>
      <c r="AF124" s="3236">
        <f t="shared" si="412"/>
        <v>0</v>
      </c>
      <c r="AG124" s="3236">
        <f t="shared" si="413"/>
        <v>0</v>
      </c>
      <c r="AH124" s="3236">
        <f t="shared" si="414"/>
        <v>0</v>
      </c>
      <c r="AI124" s="3237"/>
      <c r="AM124" s="3235">
        <f t="shared" si="389"/>
        <v>0</v>
      </c>
      <c r="AN124" s="3236">
        <f t="shared" si="415"/>
        <v>0</v>
      </c>
      <c r="AO124" s="3236">
        <f t="shared" si="416"/>
        <v>0</v>
      </c>
      <c r="AP124" s="3236">
        <f t="shared" si="417"/>
        <v>0</v>
      </c>
      <c r="AQ124" s="3237"/>
      <c r="AU124" s="3235">
        <f t="shared" si="390"/>
        <v>0</v>
      </c>
      <c r="AV124" s="3236">
        <f t="shared" si="418"/>
        <v>0</v>
      </c>
      <c r="AW124" s="3236">
        <f t="shared" si="419"/>
        <v>0</v>
      </c>
      <c r="AX124" s="3236">
        <f t="shared" si="420"/>
        <v>0</v>
      </c>
      <c r="AY124" s="3237"/>
      <c r="BC124" s="3235">
        <f t="shared" si="391"/>
        <v>0</v>
      </c>
      <c r="BD124" s="3236">
        <f t="shared" si="421"/>
        <v>0</v>
      </c>
      <c r="BE124" s="3236">
        <f t="shared" si="422"/>
        <v>0</v>
      </c>
      <c r="BF124" s="3236">
        <f t="shared" si="423"/>
        <v>0</v>
      </c>
      <c r="BG124" s="3237"/>
      <c r="BK124" s="3235">
        <f t="shared" si="392"/>
        <v>0</v>
      </c>
      <c r="BL124" s="3236">
        <f t="shared" si="424"/>
        <v>0</v>
      </c>
      <c r="BM124" s="3236">
        <f t="shared" si="425"/>
        <v>0</v>
      </c>
      <c r="BN124" s="3236">
        <f t="shared" si="426"/>
        <v>0</v>
      </c>
      <c r="BO124" s="3237"/>
      <c r="BS124" s="3235">
        <f t="shared" si="393"/>
        <v>0</v>
      </c>
      <c r="BT124" s="3236">
        <f t="shared" si="427"/>
        <v>0</v>
      </c>
      <c r="BU124" s="3236">
        <f t="shared" si="428"/>
        <v>0</v>
      </c>
      <c r="BV124" s="3236">
        <f t="shared" si="429"/>
        <v>0</v>
      </c>
      <c r="BW124" s="3237"/>
      <c r="CA124" s="3235">
        <f t="shared" si="394"/>
        <v>0</v>
      </c>
      <c r="CB124" s="3236">
        <f t="shared" si="430"/>
        <v>0</v>
      </c>
      <c r="CC124" s="3236">
        <f t="shared" si="431"/>
        <v>0</v>
      </c>
      <c r="CD124" s="3236">
        <f t="shared" si="432"/>
        <v>0</v>
      </c>
      <c r="CE124" s="3237"/>
      <c r="CI124" s="3235">
        <f t="shared" si="395"/>
        <v>0</v>
      </c>
      <c r="CJ124" s="3236">
        <f t="shared" si="433"/>
        <v>0</v>
      </c>
      <c r="CK124" s="3236">
        <f t="shared" si="434"/>
        <v>0</v>
      </c>
      <c r="CL124" s="3236">
        <f t="shared" si="435"/>
        <v>0</v>
      </c>
      <c r="CM124" s="3237"/>
      <c r="CQ124" s="3235">
        <f t="shared" si="396"/>
        <v>0</v>
      </c>
      <c r="CR124" s="3236">
        <f t="shared" si="436"/>
        <v>0</v>
      </c>
      <c r="CS124" s="3236">
        <f t="shared" si="437"/>
        <v>0</v>
      </c>
      <c r="CT124" s="3236">
        <f t="shared" si="438"/>
        <v>0</v>
      </c>
      <c r="CU124" s="3237"/>
      <c r="CY124" s="3235">
        <f t="shared" si="397"/>
        <v>0</v>
      </c>
      <c r="CZ124" s="3236">
        <f t="shared" si="439"/>
        <v>0</v>
      </c>
      <c r="DA124" s="3236">
        <f t="shared" si="440"/>
        <v>0</v>
      </c>
      <c r="DB124" s="3236">
        <f t="shared" si="441"/>
        <v>0</v>
      </c>
      <c r="DC124" s="3237"/>
      <c r="DG124" s="3235">
        <f t="shared" si="398"/>
        <v>0</v>
      </c>
      <c r="DH124" s="3236">
        <f t="shared" si="442"/>
        <v>0</v>
      </c>
      <c r="DI124" s="3236">
        <f t="shared" si="443"/>
        <v>0</v>
      </c>
      <c r="DJ124" s="3236">
        <f t="shared" si="444"/>
        <v>0</v>
      </c>
      <c r="DK124" s="3237"/>
      <c r="DO124" s="3235">
        <f t="shared" si="399"/>
        <v>0</v>
      </c>
      <c r="DP124" s="3236">
        <f t="shared" si="445"/>
        <v>0</v>
      </c>
      <c r="DQ124" s="3236">
        <f t="shared" si="446"/>
        <v>0</v>
      </c>
      <c r="DR124" s="3236">
        <f t="shared" si="447"/>
        <v>0</v>
      </c>
      <c r="DS124" s="3237"/>
      <c r="DW124" s="3235">
        <f t="shared" si="400"/>
        <v>0</v>
      </c>
      <c r="DX124" s="3236">
        <f t="shared" si="448"/>
        <v>0</v>
      </c>
      <c r="DY124" s="3236">
        <f t="shared" si="449"/>
        <v>0</v>
      </c>
      <c r="DZ124" s="3236">
        <f t="shared" si="450"/>
        <v>0</v>
      </c>
      <c r="EA124" s="3237"/>
      <c r="EE124" s="3235">
        <f t="shared" si="401"/>
        <v>0</v>
      </c>
      <c r="EF124" s="3236">
        <f t="shared" si="451"/>
        <v>0</v>
      </c>
      <c r="EG124" s="3236">
        <f t="shared" si="452"/>
        <v>0</v>
      </c>
      <c r="EH124" s="3236">
        <f t="shared" si="453"/>
        <v>0</v>
      </c>
      <c r="EI124" s="3237"/>
      <c r="EM124" s="3235">
        <f t="shared" si="402"/>
        <v>0</v>
      </c>
      <c r="EN124" s="3236">
        <f t="shared" si="454"/>
        <v>0</v>
      </c>
      <c r="EO124" s="3236">
        <f t="shared" si="455"/>
        <v>0</v>
      </c>
      <c r="EP124" s="3236">
        <f t="shared" si="456"/>
        <v>0</v>
      </c>
      <c r="EQ124" s="3237"/>
      <c r="EU124" s="3235">
        <f t="shared" si="403"/>
        <v>0</v>
      </c>
      <c r="EV124" s="3236">
        <f t="shared" si="457"/>
        <v>0</v>
      </c>
      <c r="EW124" s="3236">
        <f t="shared" si="458"/>
        <v>0</v>
      </c>
      <c r="EX124" s="3236">
        <f t="shared" si="459"/>
        <v>0</v>
      </c>
      <c r="EY124" s="3237"/>
      <c r="FC124" s="3235">
        <f t="shared" si="404"/>
        <v>0</v>
      </c>
      <c r="FD124" s="3236">
        <f t="shared" si="460"/>
        <v>0</v>
      </c>
      <c r="FE124" s="3236">
        <f t="shared" si="461"/>
        <v>0</v>
      </c>
      <c r="FF124" s="3236">
        <f t="shared" si="462"/>
        <v>0</v>
      </c>
      <c r="FG124" s="3237"/>
      <c r="FK124" s="3235">
        <f t="shared" si="405"/>
        <v>0</v>
      </c>
      <c r="FL124" s="3236">
        <f t="shared" si="463"/>
        <v>0</v>
      </c>
      <c r="FM124" s="3236">
        <f t="shared" si="464"/>
        <v>0</v>
      </c>
      <c r="FN124" s="3236">
        <f t="shared" si="465"/>
        <v>0</v>
      </c>
      <c r="FO124" s="3237"/>
    </row>
    <row r="125" spans="1:171">
      <c r="A125" s="2442"/>
      <c r="B125" s="2290" t="s">
        <v>444</v>
      </c>
      <c r="C125" s="2464" t="s">
        <v>78</v>
      </c>
      <c r="D125" s="2464">
        <v>183.2</v>
      </c>
      <c r="E125" s="2424" t="str">
        <f>'Sch 1- Rate Base '!E125</f>
        <v>DIST</v>
      </c>
      <c r="F125" s="2171"/>
      <c r="G125" s="2424">
        <f>'Sch 1- Rate Base '!G125</f>
        <v>0</v>
      </c>
      <c r="H125" s="2424">
        <f>'Sch 1- Rate Base '!H125</f>
        <v>0</v>
      </c>
      <c r="I125" s="2424">
        <f>'Sch 1- Rate Base '!I125</f>
        <v>0</v>
      </c>
      <c r="J125" s="2425">
        <f>'Sch 1- Rate Base '!J125</f>
        <v>0</v>
      </c>
      <c r="K125" s="3205">
        <f t="shared" si="385"/>
        <v>1</v>
      </c>
      <c r="O125" s="3235">
        <f t="shared" si="386"/>
        <v>0</v>
      </c>
      <c r="P125" s="3236">
        <f t="shared" si="406"/>
        <v>0</v>
      </c>
      <c r="Q125" s="3236">
        <f t="shared" si="407"/>
        <v>0</v>
      </c>
      <c r="R125" s="3236">
        <f t="shared" si="408"/>
        <v>0</v>
      </c>
      <c r="S125" s="3237"/>
      <c r="W125" s="3235">
        <f t="shared" si="387"/>
        <v>0</v>
      </c>
      <c r="X125" s="3236">
        <f t="shared" si="409"/>
        <v>0</v>
      </c>
      <c r="Y125" s="3236">
        <f t="shared" si="410"/>
        <v>0</v>
      </c>
      <c r="Z125" s="3236">
        <f t="shared" si="411"/>
        <v>0</v>
      </c>
      <c r="AA125" s="3237"/>
      <c r="AE125" s="3235">
        <f t="shared" si="388"/>
        <v>0</v>
      </c>
      <c r="AF125" s="3236">
        <f t="shared" si="412"/>
        <v>0</v>
      </c>
      <c r="AG125" s="3236">
        <f t="shared" si="413"/>
        <v>0</v>
      </c>
      <c r="AH125" s="3236">
        <f t="shared" si="414"/>
        <v>0</v>
      </c>
      <c r="AI125" s="3237"/>
      <c r="AM125" s="3235">
        <f t="shared" si="389"/>
        <v>0</v>
      </c>
      <c r="AN125" s="3236">
        <f t="shared" si="415"/>
        <v>0</v>
      </c>
      <c r="AO125" s="3236">
        <f t="shared" si="416"/>
        <v>0</v>
      </c>
      <c r="AP125" s="3236">
        <f t="shared" si="417"/>
        <v>0</v>
      </c>
      <c r="AQ125" s="3237"/>
      <c r="AU125" s="3235">
        <f t="shared" si="390"/>
        <v>0</v>
      </c>
      <c r="AV125" s="3236">
        <f t="shared" si="418"/>
        <v>0</v>
      </c>
      <c r="AW125" s="3236">
        <f t="shared" si="419"/>
        <v>0</v>
      </c>
      <c r="AX125" s="3236">
        <f t="shared" si="420"/>
        <v>0</v>
      </c>
      <c r="AY125" s="3237"/>
      <c r="BC125" s="3235">
        <f t="shared" si="391"/>
        <v>0</v>
      </c>
      <c r="BD125" s="3236">
        <f t="shared" si="421"/>
        <v>0</v>
      </c>
      <c r="BE125" s="3236">
        <f t="shared" si="422"/>
        <v>0</v>
      </c>
      <c r="BF125" s="3236">
        <f t="shared" si="423"/>
        <v>0</v>
      </c>
      <c r="BG125" s="3237"/>
      <c r="BK125" s="3235">
        <f t="shared" si="392"/>
        <v>0</v>
      </c>
      <c r="BL125" s="3236">
        <f t="shared" si="424"/>
        <v>0</v>
      </c>
      <c r="BM125" s="3236">
        <f t="shared" si="425"/>
        <v>0</v>
      </c>
      <c r="BN125" s="3236">
        <f t="shared" si="426"/>
        <v>0</v>
      </c>
      <c r="BO125" s="3237"/>
      <c r="BS125" s="3235">
        <f t="shared" si="393"/>
        <v>0</v>
      </c>
      <c r="BT125" s="3236">
        <f t="shared" si="427"/>
        <v>0</v>
      </c>
      <c r="BU125" s="3236">
        <f t="shared" si="428"/>
        <v>0</v>
      </c>
      <c r="BV125" s="3236">
        <f t="shared" si="429"/>
        <v>0</v>
      </c>
      <c r="BW125" s="3237"/>
      <c r="CA125" s="3235">
        <f t="shared" si="394"/>
        <v>0</v>
      </c>
      <c r="CB125" s="3236">
        <f t="shared" si="430"/>
        <v>0</v>
      </c>
      <c r="CC125" s="3236">
        <f t="shared" si="431"/>
        <v>0</v>
      </c>
      <c r="CD125" s="3236">
        <f t="shared" si="432"/>
        <v>0</v>
      </c>
      <c r="CE125" s="3237"/>
      <c r="CI125" s="3235">
        <f t="shared" si="395"/>
        <v>0</v>
      </c>
      <c r="CJ125" s="3236">
        <f t="shared" si="433"/>
        <v>0</v>
      </c>
      <c r="CK125" s="3236">
        <f t="shared" si="434"/>
        <v>0</v>
      </c>
      <c r="CL125" s="3236">
        <f t="shared" si="435"/>
        <v>0</v>
      </c>
      <c r="CM125" s="3237"/>
      <c r="CQ125" s="3235">
        <f t="shared" si="396"/>
        <v>0</v>
      </c>
      <c r="CR125" s="3236">
        <f t="shared" si="436"/>
        <v>0</v>
      </c>
      <c r="CS125" s="3236">
        <f t="shared" si="437"/>
        <v>0</v>
      </c>
      <c r="CT125" s="3236">
        <f t="shared" si="438"/>
        <v>0</v>
      </c>
      <c r="CU125" s="3237"/>
      <c r="CY125" s="3235">
        <f t="shared" si="397"/>
        <v>0</v>
      </c>
      <c r="CZ125" s="3236">
        <f t="shared" si="439"/>
        <v>0</v>
      </c>
      <c r="DA125" s="3236">
        <f t="shared" si="440"/>
        <v>0</v>
      </c>
      <c r="DB125" s="3236">
        <f t="shared" si="441"/>
        <v>0</v>
      </c>
      <c r="DC125" s="3237"/>
      <c r="DG125" s="3235">
        <f t="shared" si="398"/>
        <v>0</v>
      </c>
      <c r="DH125" s="3236">
        <f t="shared" si="442"/>
        <v>0</v>
      </c>
      <c r="DI125" s="3236">
        <f t="shared" si="443"/>
        <v>0</v>
      </c>
      <c r="DJ125" s="3236">
        <f t="shared" si="444"/>
        <v>0</v>
      </c>
      <c r="DK125" s="3237"/>
      <c r="DO125" s="3235">
        <f t="shared" si="399"/>
        <v>0</v>
      </c>
      <c r="DP125" s="3236">
        <f t="shared" si="445"/>
        <v>0</v>
      </c>
      <c r="DQ125" s="3236">
        <f t="shared" si="446"/>
        <v>0</v>
      </c>
      <c r="DR125" s="3236">
        <f t="shared" si="447"/>
        <v>0</v>
      </c>
      <c r="DS125" s="3237"/>
      <c r="DW125" s="3235">
        <f t="shared" si="400"/>
        <v>0</v>
      </c>
      <c r="DX125" s="3236">
        <f t="shared" si="448"/>
        <v>0</v>
      </c>
      <c r="DY125" s="3236">
        <f t="shared" si="449"/>
        <v>0</v>
      </c>
      <c r="DZ125" s="3236">
        <f t="shared" si="450"/>
        <v>0</v>
      </c>
      <c r="EA125" s="3237"/>
      <c r="EE125" s="3235">
        <f t="shared" si="401"/>
        <v>0</v>
      </c>
      <c r="EF125" s="3236">
        <f t="shared" si="451"/>
        <v>0</v>
      </c>
      <c r="EG125" s="3236">
        <f t="shared" si="452"/>
        <v>0</v>
      </c>
      <c r="EH125" s="3236">
        <f t="shared" si="453"/>
        <v>0</v>
      </c>
      <c r="EI125" s="3237"/>
      <c r="EM125" s="3235">
        <f t="shared" si="402"/>
        <v>0</v>
      </c>
      <c r="EN125" s="3236">
        <f t="shared" si="454"/>
        <v>0</v>
      </c>
      <c r="EO125" s="3236">
        <f t="shared" si="455"/>
        <v>0</v>
      </c>
      <c r="EP125" s="3236">
        <f t="shared" si="456"/>
        <v>0</v>
      </c>
      <c r="EQ125" s="3237"/>
      <c r="EU125" s="3235">
        <f t="shared" si="403"/>
        <v>0</v>
      </c>
      <c r="EV125" s="3236">
        <f t="shared" si="457"/>
        <v>0</v>
      </c>
      <c r="EW125" s="3236">
        <f t="shared" si="458"/>
        <v>0</v>
      </c>
      <c r="EX125" s="3236">
        <f t="shared" si="459"/>
        <v>0</v>
      </c>
      <c r="EY125" s="3237"/>
      <c r="FC125" s="3235">
        <f t="shared" si="404"/>
        <v>0</v>
      </c>
      <c r="FD125" s="3236">
        <f t="shared" si="460"/>
        <v>0</v>
      </c>
      <c r="FE125" s="3236">
        <f t="shared" si="461"/>
        <v>0</v>
      </c>
      <c r="FF125" s="3236">
        <f t="shared" si="462"/>
        <v>0</v>
      </c>
      <c r="FG125" s="3237"/>
      <c r="FK125" s="3235">
        <f t="shared" si="405"/>
        <v>0</v>
      </c>
      <c r="FL125" s="3236">
        <f t="shared" si="463"/>
        <v>0</v>
      </c>
      <c r="FM125" s="3236">
        <f t="shared" si="464"/>
        <v>0</v>
      </c>
      <c r="FN125" s="3236">
        <f t="shared" si="465"/>
        <v>0</v>
      </c>
      <c r="FO125" s="3237"/>
    </row>
    <row r="126" spans="1:171">
      <c r="A126" s="2442"/>
      <c r="B126" s="2290" t="s">
        <v>15</v>
      </c>
      <c r="C126" s="2464" t="s">
        <v>78</v>
      </c>
      <c r="D126" s="2464">
        <v>184</v>
      </c>
      <c r="E126" s="2424" t="str">
        <f>'Sch 1- Rate Base '!E126</f>
        <v>DIST</v>
      </c>
      <c r="F126" s="2171"/>
      <c r="G126" s="2424">
        <f>'Sch 1- Rate Base '!G126</f>
        <v>0</v>
      </c>
      <c r="H126" s="2424">
        <f>'Sch 1- Rate Base '!H126</f>
        <v>0</v>
      </c>
      <c r="I126" s="2424">
        <f>'Sch 1- Rate Base '!I126</f>
        <v>0</v>
      </c>
      <c r="J126" s="2425">
        <f>'Sch 1- Rate Base '!J126</f>
        <v>0</v>
      </c>
      <c r="K126" s="3205">
        <f t="shared" si="385"/>
        <v>1</v>
      </c>
      <c r="O126" s="3235">
        <f t="shared" si="386"/>
        <v>0</v>
      </c>
      <c r="P126" s="3236">
        <f t="shared" si="406"/>
        <v>0</v>
      </c>
      <c r="Q126" s="3236">
        <f t="shared" si="407"/>
        <v>0</v>
      </c>
      <c r="R126" s="3236">
        <f t="shared" si="408"/>
        <v>0</v>
      </c>
      <c r="S126" s="3237"/>
      <c r="W126" s="3235">
        <f t="shared" si="387"/>
        <v>0</v>
      </c>
      <c r="X126" s="3236">
        <f t="shared" si="409"/>
        <v>0</v>
      </c>
      <c r="Y126" s="3236">
        <f t="shared" si="410"/>
        <v>0</v>
      </c>
      <c r="Z126" s="3236">
        <f t="shared" si="411"/>
        <v>0</v>
      </c>
      <c r="AA126" s="3237"/>
      <c r="AE126" s="3235">
        <f t="shared" si="388"/>
        <v>0</v>
      </c>
      <c r="AF126" s="3236">
        <f t="shared" si="412"/>
        <v>0</v>
      </c>
      <c r="AG126" s="3236">
        <f t="shared" si="413"/>
        <v>0</v>
      </c>
      <c r="AH126" s="3236">
        <f t="shared" si="414"/>
        <v>0</v>
      </c>
      <c r="AI126" s="3237"/>
      <c r="AM126" s="3235">
        <f t="shared" si="389"/>
        <v>0</v>
      </c>
      <c r="AN126" s="3236">
        <f t="shared" si="415"/>
        <v>0</v>
      </c>
      <c r="AO126" s="3236">
        <f t="shared" si="416"/>
        <v>0</v>
      </c>
      <c r="AP126" s="3236">
        <f t="shared" si="417"/>
        <v>0</v>
      </c>
      <c r="AQ126" s="3237"/>
      <c r="AU126" s="3235">
        <f t="shared" si="390"/>
        <v>0</v>
      </c>
      <c r="AV126" s="3236">
        <f t="shared" si="418"/>
        <v>0</v>
      </c>
      <c r="AW126" s="3236">
        <f t="shared" si="419"/>
        <v>0</v>
      </c>
      <c r="AX126" s="3236">
        <f t="shared" si="420"/>
        <v>0</v>
      </c>
      <c r="AY126" s="3237"/>
      <c r="BC126" s="3235">
        <f t="shared" si="391"/>
        <v>0</v>
      </c>
      <c r="BD126" s="3236">
        <f t="shared" si="421"/>
        <v>0</v>
      </c>
      <c r="BE126" s="3236">
        <f t="shared" si="422"/>
        <v>0</v>
      </c>
      <c r="BF126" s="3236">
        <f t="shared" si="423"/>
        <v>0</v>
      </c>
      <c r="BG126" s="3237"/>
      <c r="BK126" s="3235">
        <f t="shared" si="392"/>
        <v>0</v>
      </c>
      <c r="BL126" s="3236">
        <f t="shared" si="424"/>
        <v>0</v>
      </c>
      <c r="BM126" s="3236">
        <f t="shared" si="425"/>
        <v>0</v>
      </c>
      <c r="BN126" s="3236">
        <f t="shared" si="426"/>
        <v>0</v>
      </c>
      <c r="BO126" s="3237"/>
      <c r="BS126" s="3235">
        <f t="shared" si="393"/>
        <v>0</v>
      </c>
      <c r="BT126" s="3236">
        <f t="shared" si="427"/>
        <v>0</v>
      </c>
      <c r="BU126" s="3236">
        <f t="shared" si="428"/>
        <v>0</v>
      </c>
      <c r="BV126" s="3236">
        <f t="shared" si="429"/>
        <v>0</v>
      </c>
      <c r="BW126" s="3237"/>
      <c r="CA126" s="3235">
        <f t="shared" si="394"/>
        <v>0</v>
      </c>
      <c r="CB126" s="3236">
        <f t="shared" si="430"/>
        <v>0</v>
      </c>
      <c r="CC126" s="3236">
        <f t="shared" si="431"/>
        <v>0</v>
      </c>
      <c r="CD126" s="3236">
        <f t="shared" si="432"/>
        <v>0</v>
      </c>
      <c r="CE126" s="3237"/>
      <c r="CI126" s="3235">
        <f t="shared" si="395"/>
        <v>0</v>
      </c>
      <c r="CJ126" s="3236">
        <f t="shared" si="433"/>
        <v>0</v>
      </c>
      <c r="CK126" s="3236">
        <f t="shared" si="434"/>
        <v>0</v>
      </c>
      <c r="CL126" s="3236">
        <f t="shared" si="435"/>
        <v>0</v>
      </c>
      <c r="CM126" s="3237"/>
      <c r="CQ126" s="3235">
        <f t="shared" si="396"/>
        <v>0</v>
      </c>
      <c r="CR126" s="3236">
        <f t="shared" si="436"/>
        <v>0</v>
      </c>
      <c r="CS126" s="3236">
        <f t="shared" si="437"/>
        <v>0</v>
      </c>
      <c r="CT126" s="3236">
        <f t="shared" si="438"/>
        <v>0</v>
      </c>
      <c r="CU126" s="3237"/>
      <c r="CY126" s="3235">
        <f t="shared" si="397"/>
        <v>0</v>
      </c>
      <c r="CZ126" s="3236">
        <f t="shared" si="439"/>
        <v>0</v>
      </c>
      <c r="DA126" s="3236">
        <f t="shared" si="440"/>
        <v>0</v>
      </c>
      <c r="DB126" s="3236">
        <f t="shared" si="441"/>
        <v>0</v>
      </c>
      <c r="DC126" s="3237"/>
      <c r="DG126" s="3235">
        <f t="shared" si="398"/>
        <v>0</v>
      </c>
      <c r="DH126" s="3236">
        <f t="shared" si="442"/>
        <v>0</v>
      </c>
      <c r="DI126" s="3236">
        <f t="shared" si="443"/>
        <v>0</v>
      </c>
      <c r="DJ126" s="3236">
        <f t="shared" si="444"/>
        <v>0</v>
      </c>
      <c r="DK126" s="3237"/>
      <c r="DO126" s="3235">
        <f t="shared" si="399"/>
        <v>0</v>
      </c>
      <c r="DP126" s="3236">
        <f t="shared" si="445"/>
        <v>0</v>
      </c>
      <c r="DQ126" s="3236">
        <f t="shared" si="446"/>
        <v>0</v>
      </c>
      <c r="DR126" s="3236">
        <f t="shared" si="447"/>
        <v>0</v>
      </c>
      <c r="DS126" s="3237"/>
      <c r="DW126" s="3235">
        <f t="shared" si="400"/>
        <v>0</v>
      </c>
      <c r="DX126" s="3236">
        <f t="shared" si="448"/>
        <v>0</v>
      </c>
      <c r="DY126" s="3236">
        <f t="shared" si="449"/>
        <v>0</v>
      </c>
      <c r="DZ126" s="3236">
        <f t="shared" si="450"/>
        <v>0</v>
      </c>
      <c r="EA126" s="3237"/>
      <c r="EE126" s="3235">
        <f t="shared" si="401"/>
        <v>0</v>
      </c>
      <c r="EF126" s="3236">
        <f t="shared" si="451"/>
        <v>0</v>
      </c>
      <c r="EG126" s="3236">
        <f t="shared" si="452"/>
        <v>0</v>
      </c>
      <c r="EH126" s="3236">
        <f t="shared" si="453"/>
        <v>0</v>
      </c>
      <c r="EI126" s="3237"/>
      <c r="EM126" s="3235">
        <f t="shared" si="402"/>
        <v>0</v>
      </c>
      <c r="EN126" s="3236">
        <f t="shared" si="454"/>
        <v>0</v>
      </c>
      <c r="EO126" s="3236">
        <f t="shared" si="455"/>
        <v>0</v>
      </c>
      <c r="EP126" s="3236">
        <f t="shared" si="456"/>
        <v>0</v>
      </c>
      <c r="EQ126" s="3237"/>
      <c r="EU126" s="3235">
        <f t="shared" si="403"/>
        <v>0</v>
      </c>
      <c r="EV126" s="3236">
        <f t="shared" si="457"/>
        <v>0</v>
      </c>
      <c r="EW126" s="3236">
        <f t="shared" si="458"/>
        <v>0</v>
      </c>
      <c r="EX126" s="3236">
        <f t="shared" si="459"/>
        <v>0</v>
      </c>
      <c r="EY126" s="3237"/>
      <c r="FC126" s="3235">
        <f t="shared" si="404"/>
        <v>0</v>
      </c>
      <c r="FD126" s="3236">
        <f t="shared" si="460"/>
        <v>0</v>
      </c>
      <c r="FE126" s="3236">
        <f t="shared" si="461"/>
        <v>0</v>
      </c>
      <c r="FF126" s="3236">
        <f t="shared" si="462"/>
        <v>0</v>
      </c>
      <c r="FG126" s="3237"/>
      <c r="FK126" s="3235">
        <f t="shared" si="405"/>
        <v>0</v>
      </c>
      <c r="FL126" s="3236">
        <f t="shared" si="463"/>
        <v>0</v>
      </c>
      <c r="FM126" s="3236">
        <f t="shared" si="464"/>
        <v>0</v>
      </c>
      <c r="FN126" s="3236">
        <f t="shared" si="465"/>
        <v>0</v>
      </c>
      <c r="FO126" s="3237"/>
    </row>
    <row r="127" spans="1:171">
      <c r="A127" s="2442"/>
      <c r="B127" s="2290" t="s">
        <v>16</v>
      </c>
      <c r="C127" s="2464" t="s">
        <v>78</v>
      </c>
      <c r="D127" s="2464">
        <v>185</v>
      </c>
      <c r="E127" s="2424" t="str">
        <f>'Sch 1- Rate Base '!E127</f>
        <v>PTDG</v>
      </c>
      <c r="F127" s="2171"/>
      <c r="G127" s="2424">
        <f>'Sch 1- Rate Base '!G127</f>
        <v>120988.12387947456</v>
      </c>
      <c r="H127" s="2424">
        <f>'Sch 1- Rate Base '!H127</f>
        <v>42330.428638864869</v>
      </c>
      <c r="I127" s="2424">
        <f>'Sch 1- Rate Base '!I127</f>
        <v>0</v>
      </c>
      <c r="J127" s="2425">
        <f>'Sch 1- Rate Base '!J127</f>
        <v>78657.695217452958</v>
      </c>
      <c r="K127" s="3205">
        <f t="shared" si="385"/>
        <v>1</v>
      </c>
      <c r="O127" s="3235">
        <f t="shared" si="386"/>
        <v>120988.12387947456</v>
      </c>
      <c r="P127" s="3236">
        <f t="shared" si="406"/>
        <v>42330.428638864869</v>
      </c>
      <c r="Q127" s="3236">
        <f t="shared" si="407"/>
        <v>21241.309544414962</v>
      </c>
      <c r="R127" s="3236">
        <f t="shared" si="408"/>
        <v>57416.385696194731</v>
      </c>
      <c r="S127" s="3237"/>
      <c r="W127" s="3235">
        <f t="shared" si="387"/>
        <v>120988.12387947456</v>
      </c>
      <c r="X127" s="3236">
        <f t="shared" si="409"/>
        <v>42330.428638864869</v>
      </c>
      <c r="Y127" s="3236">
        <f t="shared" si="410"/>
        <v>21241.309544414962</v>
      </c>
      <c r="Z127" s="3236">
        <f t="shared" si="411"/>
        <v>57416.385696194731</v>
      </c>
      <c r="AA127" s="3237"/>
      <c r="AE127" s="3235">
        <f t="shared" si="388"/>
        <v>120988.12387947456</v>
      </c>
      <c r="AF127" s="3236">
        <f t="shared" si="412"/>
        <v>42330.428638864869</v>
      </c>
      <c r="AG127" s="3236">
        <f t="shared" si="413"/>
        <v>21241.309544414962</v>
      </c>
      <c r="AH127" s="3236">
        <f t="shared" si="414"/>
        <v>57416.385696194731</v>
      </c>
      <c r="AI127" s="3237"/>
      <c r="AM127" s="3235">
        <f t="shared" si="389"/>
        <v>120988.12387947456</v>
      </c>
      <c r="AN127" s="3236">
        <f t="shared" si="415"/>
        <v>42330.428638864869</v>
      </c>
      <c r="AO127" s="3236">
        <f t="shared" si="416"/>
        <v>21241.309544414962</v>
      </c>
      <c r="AP127" s="3236">
        <f t="shared" si="417"/>
        <v>57416.385696194731</v>
      </c>
      <c r="AQ127" s="3237"/>
      <c r="AU127" s="3235">
        <f t="shared" si="390"/>
        <v>120988.12387947456</v>
      </c>
      <c r="AV127" s="3236">
        <f t="shared" si="418"/>
        <v>42330.428638864869</v>
      </c>
      <c r="AW127" s="3236">
        <f t="shared" si="419"/>
        <v>21241.309544414962</v>
      </c>
      <c r="AX127" s="3236">
        <f t="shared" si="420"/>
        <v>57416.385696194731</v>
      </c>
      <c r="AY127" s="3237"/>
      <c r="BC127" s="3235">
        <f t="shared" si="391"/>
        <v>120988.12387947456</v>
      </c>
      <c r="BD127" s="3236">
        <f t="shared" si="421"/>
        <v>42330.428638864869</v>
      </c>
      <c r="BE127" s="3236">
        <f t="shared" si="422"/>
        <v>21241.309544414962</v>
      </c>
      <c r="BF127" s="3236">
        <f t="shared" si="423"/>
        <v>57416.385696194731</v>
      </c>
      <c r="BG127" s="3237"/>
      <c r="BK127" s="3235">
        <f t="shared" si="392"/>
        <v>120988.12387947456</v>
      </c>
      <c r="BL127" s="3236">
        <f t="shared" si="424"/>
        <v>42330.428638864869</v>
      </c>
      <c r="BM127" s="3236">
        <f t="shared" si="425"/>
        <v>21241.309544414962</v>
      </c>
      <c r="BN127" s="3236">
        <f t="shared" si="426"/>
        <v>57416.385696194731</v>
      </c>
      <c r="BO127" s="3237"/>
      <c r="BS127" s="3235">
        <f t="shared" si="393"/>
        <v>120988.12387947456</v>
      </c>
      <c r="BT127" s="3236">
        <f t="shared" si="427"/>
        <v>42330.428638864869</v>
      </c>
      <c r="BU127" s="3236">
        <f t="shared" si="428"/>
        <v>21241.309544414962</v>
      </c>
      <c r="BV127" s="3236">
        <f t="shared" si="429"/>
        <v>57416.385696194731</v>
      </c>
      <c r="BW127" s="3237"/>
      <c r="CA127" s="3235">
        <f t="shared" si="394"/>
        <v>120988.12387947456</v>
      </c>
      <c r="CB127" s="3236">
        <f t="shared" si="430"/>
        <v>42330.428638864869</v>
      </c>
      <c r="CC127" s="3236">
        <f t="shared" si="431"/>
        <v>21241.309544414962</v>
      </c>
      <c r="CD127" s="3236">
        <f t="shared" si="432"/>
        <v>57416.385696194731</v>
      </c>
      <c r="CE127" s="3237"/>
      <c r="CI127" s="3235">
        <f t="shared" si="395"/>
        <v>120988.12387947456</v>
      </c>
      <c r="CJ127" s="3236">
        <f t="shared" si="433"/>
        <v>42330.428638864869</v>
      </c>
      <c r="CK127" s="3236">
        <f t="shared" si="434"/>
        <v>21241.309544414962</v>
      </c>
      <c r="CL127" s="3236">
        <f t="shared" si="435"/>
        <v>57416.385696194731</v>
      </c>
      <c r="CM127" s="3237"/>
      <c r="CQ127" s="3235">
        <f t="shared" si="396"/>
        <v>120988.12387947456</v>
      </c>
      <c r="CR127" s="3236">
        <f t="shared" si="436"/>
        <v>42330.428638864869</v>
      </c>
      <c r="CS127" s="3236">
        <f t="shared" si="437"/>
        <v>21241.309544414962</v>
      </c>
      <c r="CT127" s="3236">
        <f t="shared" si="438"/>
        <v>57416.385696194731</v>
      </c>
      <c r="CU127" s="3237"/>
      <c r="CY127" s="3235">
        <f t="shared" si="397"/>
        <v>120988.12387947456</v>
      </c>
      <c r="CZ127" s="3236">
        <f t="shared" si="439"/>
        <v>42330.428638864869</v>
      </c>
      <c r="DA127" s="3236">
        <f t="shared" si="440"/>
        <v>21241.309544414962</v>
      </c>
      <c r="DB127" s="3236">
        <f t="shared" si="441"/>
        <v>57416.385696194731</v>
      </c>
      <c r="DC127" s="3237"/>
      <c r="DG127" s="3235">
        <f t="shared" si="398"/>
        <v>120988.12387947456</v>
      </c>
      <c r="DH127" s="3236">
        <f t="shared" si="442"/>
        <v>42330.428638864869</v>
      </c>
      <c r="DI127" s="3236">
        <f t="shared" si="443"/>
        <v>21241.309544414962</v>
      </c>
      <c r="DJ127" s="3236">
        <f t="shared" si="444"/>
        <v>57416.385696194731</v>
      </c>
      <c r="DK127" s="3237"/>
      <c r="DO127" s="3235">
        <f t="shared" si="399"/>
        <v>120988.12387947456</v>
      </c>
      <c r="DP127" s="3236">
        <f t="shared" si="445"/>
        <v>42330.428638864869</v>
      </c>
      <c r="DQ127" s="3236">
        <f t="shared" si="446"/>
        <v>21241.309544414962</v>
      </c>
      <c r="DR127" s="3236">
        <f t="shared" si="447"/>
        <v>57416.385696194731</v>
      </c>
      <c r="DS127" s="3237"/>
      <c r="DW127" s="3235">
        <f t="shared" si="400"/>
        <v>120988.12387947456</v>
      </c>
      <c r="DX127" s="3236">
        <f t="shared" si="448"/>
        <v>42330.428638864869</v>
      </c>
      <c r="DY127" s="3236">
        <f t="shared" si="449"/>
        <v>21241.309544414962</v>
      </c>
      <c r="DZ127" s="3236">
        <f t="shared" si="450"/>
        <v>57416.385696194731</v>
      </c>
      <c r="EA127" s="3237"/>
      <c r="EE127" s="3235">
        <f t="shared" si="401"/>
        <v>120988.12387947456</v>
      </c>
      <c r="EF127" s="3236">
        <f t="shared" si="451"/>
        <v>42330.428638864869</v>
      </c>
      <c r="EG127" s="3236">
        <f t="shared" si="452"/>
        <v>21241.309544414962</v>
      </c>
      <c r="EH127" s="3236">
        <f t="shared" si="453"/>
        <v>57416.385696194731</v>
      </c>
      <c r="EI127" s="3237"/>
      <c r="EM127" s="3235">
        <f t="shared" si="402"/>
        <v>120988.12387947456</v>
      </c>
      <c r="EN127" s="3236">
        <f t="shared" si="454"/>
        <v>42330.428638864869</v>
      </c>
      <c r="EO127" s="3236">
        <f t="shared" si="455"/>
        <v>21241.309544414962</v>
      </c>
      <c r="EP127" s="3236">
        <f t="shared" si="456"/>
        <v>57416.385696194731</v>
      </c>
      <c r="EQ127" s="3237"/>
      <c r="EU127" s="3235">
        <f t="shared" si="403"/>
        <v>120988.12387947456</v>
      </c>
      <c r="EV127" s="3236">
        <f t="shared" si="457"/>
        <v>42330.428638864869</v>
      </c>
      <c r="EW127" s="3236">
        <f t="shared" si="458"/>
        <v>21241.309544414962</v>
      </c>
      <c r="EX127" s="3236">
        <f t="shared" si="459"/>
        <v>57416.385696194731</v>
      </c>
      <c r="EY127" s="3237"/>
      <c r="FC127" s="3235">
        <f t="shared" si="404"/>
        <v>120988.12387947456</v>
      </c>
      <c r="FD127" s="3236">
        <f t="shared" si="460"/>
        <v>42330.428638864869</v>
      </c>
      <c r="FE127" s="3236">
        <f t="shared" si="461"/>
        <v>21241.309544414962</v>
      </c>
      <c r="FF127" s="3236">
        <f t="shared" si="462"/>
        <v>57416.385696194731</v>
      </c>
      <c r="FG127" s="3237"/>
      <c r="FK127" s="3235">
        <f t="shared" si="405"/>
        <v>120988.12387947456</v>
      </c>
      <c r="FL127" s="3236">
        <f t="shared" si="463"/>
        <v>42330.428638864869</v>
      </c>
      <c r="FM127" s="3236">
        <f t="shared" si="464"/>
        <v>21241.309544414962</v>
      </c>
      <c r="FN127" s="3236">
        <f t="shared" si="465"/>
        <v>57416.385696194731</v>
      </c>
      <c r="FO127" s="3237"/>
    </row>
    <row r="128" spans="1:171">
      <c r="A128" s="2442"/>
      <c r="B128" s="2290" t="s">
        <v>17</v>
      </c>
      <c r="C128" s="2464" t="s">
        <v>78</v>
      </c>
      <c r="D128" s="2464">
        <v>186</v>
      </c>
      <c r="E128" s="2424" t="str">
        <f>'Sch 1- Rate Base '!E128</f>
        <v>DIRECT</v>
      </c>
      <c r="F128" s="2171"/>
      <c r="G128" s="2424">
        <f>'Sch 1- Rate Base '!G128</f>
        <v>110048026.98478225</v>
      </c>
      <c r="H128" s="2424">
        <f>'Sch 1- Rate Base '!H128</f>
        <v>-94452622.49526912</v>
      </c>
      <c r="I128" s="2424">
        <f>'Sch 1- Rate Base '!I128</f>
        <v>0</v>
      </c>
      <c r="J128" s="2425">
        <f>'Sch 1- Rate Base '!J128</f>
        <v>204500649.48005137</v>
      </c>
      <c r="K128" s="3205">
        <f t="shared" si="385"/>
        <v>0</v>
      </c>
      <c r="O128" s="3235">
        <f t="shared" si="386"/>
        <v>110048026.98478225</v>
      </c>
      <c r="P128" s="3236">
        <f t="shared" si="406"/>
        <v>-94452622.49526912</v>
      </c>
      <c r="Q128" s="3236">
        <f t="shared" si="407"/>
        <v>0</v>
      </c>
      <c r="R128" s="3236">
        <f t="shared" si="408"/>
        <v>204500649.48005137</v>
      </c>
      <c r="S128" s="3237"/>
      <c r="W128" s="3235">
        <f t="shared" si="387"/>
        <v>110048026.98478225</v>
      </c>
      <c r="X128" s="3236">
        <f t="shared" si="409"/>
        <v>-94452622.49526912</v>
      </c>
      <c r="Y128" s="3236">
        <f t="shared" si="410"/>
        <v>0</v>
      </c>
      <c r="Z128" s="3236">
        <f t="shared" si="411"/>
        <v>204500649.48005137</v>
      </c>
      <c r="AA128" s="3237"/>
      <c r="AE128" s="3235">
        <f t="shared" si="388"/>
        <v>110048026.98478225</v>
      </c>
      <c r="AF128" s="3236">
        <f t="shared" si="412"/>
        <v>-94452622.49526912</v>
      </c>
      <c r="AG128" s="3236">
        <f t="shared" si="413"/>
        <v>0</v>
      </c>
      <c r="AH128" s="3236">
        <f t="shared" si="414"/>
        <v>204500649.48005137</v>
      </c>
      <c r="AI128" s="3237"/>
      <c r="AM128" s="3235">
        <f t="shared" si="389"/>
        <v>110048026.98478225</v>
      </c>
      <c r="AN128" s="3236">
        <f t="shared" si="415"/>
        <v>-94452622.49526912</v>
      </c>
      <c r="AO128" s="3236">
        <f t="shared" si="416"/>
        <v>0</v>
      </c>
      <c r="AP128" s="3236">
        <f t="shared" si="417"/>
        <v>204500649.48005137</v>
      </c>
      <c r="AQ128" s="3237"/>
      <c r="AU128" s="3235">
        <f t="shared" si="390"/>
        <v>110048026.98478225</v>
      </c>
      <c r="AV128" s="3236">
        <f t="shared" si="418"/>
        <v>-94452622.49526912</v>
      </c>
      <c r="AW128" s="3236">
        <f t="shared" si="419"/>
        <v>0</v>
      </c>
      <c r="AX128" s="3236">
        <f t="shared" si="420"/>
        <v>204500649.48005137</v>
      </c>
      <c r="AY128" s="3237"/>
      <c r="BC128" s="3235">
        <f t="shared" si="391"/>
        <v>110048026.98478225</v>
      </c>
      <c r="BD128" s="3236">
        <f t="shared" si="421"/>
        <v>-94452622.49526912</v>
      </c>
      <c r="BE128" s="3236">
        <f t="shared" si="422"/>
        <v>0</v>
      </c>
      <c r="BF128" s="3236">
        <f t="shared" si="423"/>
        <v>204500649.48005137</v>
      </c>
      <c r="BG128" s="3237"/>
      <c r="BK128" s="3235">
        <f t="shared" si="392"/>
        <v>110048026.98478225</v>
      </c>
      <c r="BL128" s="3236">
        <f t="shared" si="424"/>
        <v>-94452622.49526912</v>
      </c>
      <c r="BM128" s="3236">
        <f t="shared" si="425"/>
        <v>0</v>
      </c>
      <c r="BN128" s="3236">
        <f t="shared" si="426"/>
        <v>204500649.48005137</v>
      </c>
      <c r="BO128" s="3237"/>
      <c r="BS128" s="3235">
        <f t="shared" si="393"/>
        <v>110048026.98478225</v>
      </c>
      <c r="BT128" s="3236">
        <f t="shared" si="427"/>
        <v>-94452622.49526912</v>
      </c>
      <c r="BU128" s="3236">
        <f t="shared" si="428"/>
        <v>0</v>
      </c>
      <c r="BV128" s="3236">
        <f t="shared" si="429"/>
        <v>204500649.48005137</v>
      </c>
      <c r="BW128" s="3237"/>
      <c r="CA128" s="3235">
        <f t="shared" si="394"/>
        <v>110048026.98478225</v>
      </c>
      <c r="CB128" s="3236">
        <f t="shared" si="430"/>
        <v>-94452622.49526912</v>
      </c>
      <c r="CC128" s="3236">
        <f t="shared" si="431"/>
        <v>0</v>
      </c>
      <c r="CD128" s="3236">
        <f t="shared" si="432"/>
        <v>204500649.48005137</v>
      </c>
      <c r="CE128" s="3237"/>
      <c r="CI128" s="3235">
        <f t="shared" si="395"/>
        <v>110048026.98478225</v>
      </c>
      <c r="CJ128" s="3236">
        <f t="shared" si="433"/>
        <v>-94452622.49526912</v>
      </c>
      <c r="CK128" s="3236">
        <f t="shared" si="434"/>
        <v>0</v>
      </c>
      <c r="CL128" s="3236">
        <f t="shared" si="435"/>
        <v>204500649.48005137</v>
      </c>
      <c r="CM128" s="3237"/>
      <c r="CQ128" s="3235">
        <f t="shared" si="396"/>
        <v>110048026.98478225</v>
      </c>
      <c r="CR128" s="3236">
        <f t="shared" si="436"/>
        <v>-94452622.49526912</v>
      </c>
      <c r="CS128" s="3236">
        <f t="shared" si="437"/>
        <v>0</v>
      </c>
      <c r="CT128" s="3236">
        <f t="shared" si="438"/>
        <v>204500649.48005137</v>
      </c>
      <c r="CU128" s="3237"/>
      <c r="CY128" s="3235">
        <f t="shared" si="397"/>
        <v>110048026.98478225</v>
      </c>
      <c r="CZ128" s="3236">
        <f t="shared" si="439"/>
        <v>-94452622.49526912</v>
      </c>
      <c r="DA128" s="3236">
        <f t="shared" si="440"/>
        <v>0</v>
      </c>
      <c r="DB128" s="3236">
        <f t="shared" si="441"/>
        <v>204500649.48005137</v>
      </c>
      <c r="DC128" s="3237"/>
      <c r="DG128" s="3235">
        <f t="shared" si="398"/>
        <v>110048026.98478225</v>
      </c>
      <c r="DH128" s="3236">
        <f t="shared" si="442"/>
        <v>-94452622.49526912</v>
      </c>
      <c r="DI128" s="3236">
        <f t="shared" si="443"/>
        <v>0</v>
      </c>
      <c r="DJ128" s="3236">
        <f t="shared" si="444"/>
        <v>204500649.48005137</v>
      </c>
      <c r="DK128" s="3237"/>
      <c r="DO128" s="3235">
        <f t="shared" si="399"/>
        <v>110048026.98478225</v>
      </c>
      <c r="DP128" s="3236">
        <f t="shared" si="445"/>
        <v>-94452622.49526912</v>
      </c>
      <c r="DQ128" s="3236">
        <f t="shared" si="446"/>
        <v>0</v>
      </c>
      <c r="DR128" s="3236">
        <f t="shared" si="447"/>
        <v>204500649.48005137</v>
      </c>
      <c r="DS128" s="3237"/>
      <c r="DW128" s="3235">
        <f t="shared" si="400"/>
        <v>110048026.98478225</v>
      </c>
      <c r="DX128" s="3236">
        <f t="shared" si="448"/>
        <v>-94452622.49526912</v>
      </c>
      <c r="DY128" s="3236">
        <f t="shared" si="449"/>
        <v>0</v>
      </c>
      <c r="DZ128" s="3236">
        <f t="shared" si="450"/>
        <v>204500649.48005137</v>
      </c>
      <c r="EA128" s="3237"/>
      <c r="EE128" s="3235">
        <f t="shared" si="401"/>
        <v>110048026.98478225</v>
      </c>
      <c r="EF128" s="3236">
        <f t="shared" si="451"/>
        <v>-94452622.49526912</v>
      </c>
      <c r="EG128" s="3236">
        <f t="shared" si="452"/>
        <v>0</v>
      </c>
      <c r="EH128" s="3236">
        <f t="shared" si="453"/>
        <v>204500649.48005137</v>
      </c>
      <c r="EI128" s="3237"/>
      <c r="EM128" s="3235">
        <f t="shared" si="402"/>
        <v>110048026.98478225</v>
      </c>
      <c r="EN128" s="3236">
        <f t="shared" si="454"/>
        <v>-94452622.49526912</v>
      </c>
      <c r="EO128" s="3236">
        <f t="shared" si="455"/>
        <v>0</v>
      </c>
      <c r="EP128" s="3236">
        <f t="shared" si="456"/>
        <v>204500649.48005137</v>
      </c>
      <c r="EQ128" s="3237"/>
      <c r="EU128" s="3235">
        <f t="shared" si="403"/>
        <v>110048026.98478225</v>
      </c>
      <c r="EV128" s="3236">
        <f t="shared" si="457"/>
        <v>-94452622.49526912</v>
      </c>
      <c r="EW128" s="3236">
        <f t="shared" si="458"/>
        <v>0</v>
      </c>
      <c r="EX128" s="3236">
        <f t="shared" si="459"/>
        <v>204500649.48005137</v>
      </c>
      <c r="EY128" s="3237"/>
      <c r="FC128" s="3235">
        <f t="shared" si="404"/>
        <v>110048026.98478225</v>
      </c>
      <c r="FD128" s="3236">
        <f t="shared" si="460"/>
        <v>-94452622.49526912</v>
      </c>
      <c r="FE128" s="3236">
        <f t="shared" si="461"/>
        <v>0</v>
      </c>
      <c r="FF128" s="3236">
        <f t="shared" si="462"/>
        <v>204500649.48005137</v>
      </c>
      <c r="FG128" s="3237"/>
      <c r="FK128" s="3235">
        <f t="shared" si="405"/>
        <v>110048026.98478225</v>
      </c>
      <c r="FL128" s="3236">
        <f t="shared" si="463"/>
        <v>-94452622.49526912</v>
      </c>
      <c r="FM128" s="3236">
        <f t="shared" si="464"/>
        <v>0</v>
      </c>
      <c r="FN128" s="3236">
        <f t="shared" si="465"/>
        <v>204500649.48005137</v>
      </c>
      <c r="FO128" s="3237"/>
    </row>
    <row r="129" spans="1:171">
      <c r="A129" s="2442"/>
      <c r="B129" s="2290" t="s">
        <v>18</v>
      </c>
      <c r="C129" s="2464" t="s">
        <v>78</v>
      </c>
      <c r="D129" s="2464">
        <v>187</v>
      </c>
      <c r="E129" s="2424" t="str">
        <f>'Sch 1- Rate Base '!E129</f>
        <v>DIRECT</v>
      </c>
      <c r="F129" s="2171"/>
      <c r="G129" s="2424">
        <f>'Sch 1- Rate Base '!G129</f>
        <v>11494.21</v>
      </c>
      <c r="H129" s="2424">
        <f>'Sch 1- Rate Base '!H129</f>
        <v>0</v>
      </c>
      <c r="I129" s="2424">
        <f>'Sch 1- Rate Base '!I129</f>
        <v>0</v>
      </c>
      <c r="J129" s="2425">
        <f>'Sch 1- Rate Base '!J129</f>
        <v>11494.21</v>
      </c>
      <c r="K129" s="3205">
        <f t="shared" si="385"/>
        <v>0</v>
      </c>
      <c r="O129" s="3235">
        <f t="shared" si="386"/>
        <v>11494.21</v>
      </c>
      <c r="P129" s="3236">
        <f t="shared" si="406"/>
        <v>0</v>
      </c>
      <c r="Q129" s="3236">
        <f t="shared" si="407"/>
        <v>0</v>
      </c>
      <c r="R129" s="3236">
        <f t="shared" si="408"/>
        <v>11494.21</v>
      </c>
      <c r="S129" s="3237"/>
      <c r="W129" s="3235">
        <f t="shared" si="387"/>
        <v>11494.21</v>
      </c>
      <c r="X129" s="3236">
        <f t="shared" si="409"/>
        <v>0</v>
      </c>
      <c r="Y129" s="3236">
        <f t="shared" si="410"/>
        <v>0</v>
      </c>
      <c r="Z129" s="3236">
        <f t="shared" si="411"/>
        <v>11494.21</v>
      </c>
      <c r="AA129" s="3237"/>
      <c r="AE129" s="3235">
        <f t="shared" si="388"/>
        <v>11494.21</v>
      </c>
      <c r="AF129" s="3236">
        <f t="shared" si="412"/>
        <v>0</v>
      </c>
      <c r="AG129" s="3236">
        <f t="shared" si="413"/>
        <v>0</v>
      </c>
      <c r="AH129" s="3236">
        <f t="shared" si="414"/>
        <v>11494.21</v>
      </c>
      <c r="AI129" s="3237"/>
      <c r="AM129" s="3235">
        <f t="shared" si="389"/>
        <v>11494.21</v>
      </c>
      <c r="AN129" s="3236">
        <f t="shared" si="415"/>
        <v>0</v>
      </c>
      <c r="AO129" s="3236">
        <f t="shared" si="416"/>
        <v>0</v>
      </c>
      <c r="AP129" s="3236">
        <f t="shared" si="417"/>
        <v>11494.21</v>
      </c>
      <c r="AQ129" s="3237"/>
      <c r="AU129" s="3235">
        <f t="shared" si="390"/>
        <v>11494.21</v>
      </c>
      <c r="AV129" s="3236">
        <f t="shared" si="418"/>
        <v>0</v>
      </c>
      <c r="AW129" s="3236">
        <f t="shared" si="419"/>
        <v>0</v>
      </c>
      <c r="AX129" s="3236">
        <f t="shared" si="420"/>
        <v>11494.21</v>
      </c>
      <c r="AY129" s="3237"/>
      <c r="BC129" s="3235">
        <f t="shared" si="391"/>
        <v>11494.21</v>
      </c>
      <c r="BD129" s="3236">
        <f t="shared" si="421"/>
        <v>0</v>
      </c>
      <c r="BE129" s="3236">
        <f t="shared" si="422"/>
        <v>0</v>
      </c>
      <c r="BF129" s="3236">
        <f t="shared" si="423"/>
        <v>11494.21</v>
      </c>
      <c r="BG129" s="3237"/>
      <c r="BK129" s="3235">
        <f t="shared" si="392"/>
        <v>11494.21</v>
      </c>
      <c r="BL129" s="3236">
        <f t="shared" si="424"/>
        <v>0</v>
      </c>
      <c r="BM129" s="3236">
        <f t="shared" si="425"/>
        <v>0</v>
      </c>
      <c r="BN129" s="3236">
        <f t="shared" si="426"/>
        <v>11494.21</v>
      </c>
      <c r="BO129" s="3237"/>
      <c r="BS129" s="3235">
        <f t="shared" si="393"/>
        <v>11494.21</v>
      </c>
      <c r="BT129" s="3236">
        <f t="shared" si="427"/>
        <v>0</v>
      </c>
      <c r="BU129" s="3236">
        <f t="shared" si="428"/>
        <v>0</v>
      </c>
      <c r="BV129" s="3236">
        <f t="shared" si="429"/>
        <v>11494.21</v>
      </c>
      <c r="BW129" s="3237"/>
      <c r="CA129" s="3235">
        <f t="shared" si="394"/>
        <v>11494.21</v>
      </c>
      <c r="CB129" s="3236">
        <f t="shared" si="430"/>
        <v>0</v>
      </c>
      <c r="CC129" s="3236">
        <f t="shared" si="431"/>
        <v>0</v>
      </c>
      <c r="CD129" s="3236">
        <f t="shared" si="432"/>
        <v>11494.21</v>
      </c>
      <c r="CE129" s="3237"/>
      <c r="CI129" s="3235">
        <f t="shared" si="395"/>
        <v>11494.21</v>
      </c>
      <c r="CJ129" s="3236">
        <f t="shared" si="433"/>
        <v>0</v>
      </c>
      <c r="CK129" s="3236">
        <f t="shared" si="434"/>
        <v>0</v>
      </c>
      <c r="CL129" s="3236">
        <f t="shared" si="435"/>
        <v>11494.21</v>
      </c>
      <c r="CM129" s="3237"/>
      <c r="CQ129" s="3235">
        <f t="shared" si="396"/>
        <v>11494.21</v>
      </c>
      <c r="CR129" s="3236">
        <f t="shared" si="436"/>
        <v>0</v>
      </c>
      <c r="CS129" s="3236">
        <f t="shared" si="437"/>
        <v>0</v>
      </c>
      <c r="CT129" s="3236">
        <f t="shared" si="438"/>
        <v>11494.21</v>
      </c>
      <c r="CU129" s="3237"/>
      <c r="CY129" s="3235">
        <f t="shared" si="397"/>
        <v>11494.21</v>
      </c>
      <c r="CZ129" s="3236">
        <f t="shared" si="439"/>
        <v>0</v>
      </c>
      <c r="DA129" s="3236">
        <f t="shared" si="440"/>
        <v>0</v>
      </c>
      <c r="DB129" s="3236">
        <f t="shared" si="441"/>
        <v>11494.21</v>
      </c>
      <c r="DC129" s="3237"/>
      <c r="DG129" s="3235">
        <f t="shared" si="398"/>
        <v>11494.21</v>
      </c>
      <c r="DH129" s="3236">
        <f t="shared" si="442"/>
        <v>0</v>
      </c>
      <c r="DI129" s="3236">
        <f t="shared" si="443"/>
        <v>0</v>
      </c>
      <c r="DJ129" s="3236">
        <f t="shared" si="444"/>
        <v>11494.21</v>
      </c>
      <c r="DK129" s="3237"/>
      <c r="DO129" s="3235">
        <f t="shared" si="399"/>
        <v>11494.21</v>
      </c>
      <c r="DP129" s="3236">
        <f t="shared" si="445"/>
        <v>0</v>
      </c>
      <c r="DQ129" s="3236">
        <f t="shared" si="446"/>
        <v>0</v>
      </c>
      <c r="DR129" s="3236">
        <f t="shared" si="447"/>
        <v>11494.21</v>
      </c>
      <c r="DS129" s="3237"/>
      <c r="DW129" s="3235">
        <f t="shared" si="400"/>
        <v>11494.21</v>
      </c>
      <c r="DX129" s="3236">
        <f t="shared" si="448"/>
        <v>0</v>
      </c>
      <c r="DY129" s="3236">
        <f t="shared" si="449"/>
        <v>0</v>
      </c>
      <c r="DZ129" s="3236">
        <f t="shared" si="450"/>
        <v>11494.21</v>
      </c>
      <c r="EA129" s="3237"/>
      <c r="EE129" s="3235">
        <f t="shared" si="401"/>
        <v>11494.21</v>
      </c>
      <c r="EF129" s="3236">
        <f t="shared" si="451"/>
        <v>0</v>
      </c>
      <c r="EG129" s="3236">
        <f t="shared" si="452"/>
        <v>0</v>
      </c>
      <c r="EH129" s="3236">
        <f t="shared" si="453"/>
        <v>11494.21</v>
      </c>
      <c r="EI129" s="3237"/>
      <c r="EM129" s="3235">
        <f t="shared" si="402"/>
        <v>11494.21</v>
      </c>
      <c r="EN129" s="3236">
        <f t="shared" si="454"/>
        <v>0</v>
      </c>
      <c r="EO129" s="3236">
        <f t="shared" si="455"/>
        <v>0</v>
      </c>
      <c r="EP129" s="3236">
        <f t="shared" si="456"/>
        <v>11494.21</v>
      </c>
      <c r="EQ129" s="3237"/>
      <c r="EU129" s="3235">
        <f t="shared" si="403"/>
        <v>11494.21</v>
      </c>
      <c r="EV129" s="3236">
        <f t="shared" si="457"/>
        <v>0</v>
      </c>
      <c r="EW129" s="3236">
        <f t="shared" si="458"/>
        <v>0</v>
      </c>
      <c r="EX129" s="3236">
        <f t="shared" si="459"/>
        <v>11494.21</v>
      </c>
      <c r="EY129" s="3237"/>
      <c r="FC129" s="3235">
        <f t="shared" si="404"/>
        <v>11494.21</v>
      </c>
      <c r="FD129" s="3236">
        <f t="shared" si="460"/>
        <v>0</v>
      </c>
      <c r="FE129" s="3236">
        <f t="shared" si="461"/>
        <v>0</v>
      </c>
      <c r="FF129" s="3236">
        <f t="shared" si="462"/>
        <v>11494.21</v>
      </c>
      <c r="FG129" s="3237"/>
      <c r="FK129" s="3235">
        <f t="shared" si="405"/>
        <v>11494.21</v>
      </c>
      <c r="FL129" s="3236">
        <f t="shared" si="463"/>
        <v>0</v>
      </c>
      <c r="FM129" s="3236">
        <f t="shared" si="464"/>
        <v>0</v>
      </c>
      <c r="FN129" s="3236">
        <f t="shared" si="465"/>
        <v>11494.21</v>
      </c>
      <c r="FO129" s="3237"/>
    </row>
    <row r="130" spans="1:171">
      <c r="A130" s="2442"/>
      <c r="B130" s="2290" t="s">
        <v>19</v>
      </c>
      <c r="C130" s="2464" t="s">
        <v>78</v>
      </c>
      <c r="D130" s="2464">
        <v>188</v>
      </c>
      <c r="E130" s="2424" t="str">
        <f>'Sch 1- Rate Base '!E130</f>
        <v>DIST</v>
      </c>
      <c r="F130" s="2171"/>
      <c r="G130" s="2424">
        <f>'Sch 1- Rate Base '!G130</f>
        <v>0</v>
      </c>
      <c r="H130" s="2424">
        <f>'Sch 1- Rate Base '!H130</f>
        <v>0</v>
      </c>
      <c r="I130" s="2424">
        <f>'Sch 1- Rate Base '!I130</f>
        <v>0</v>
      </c>
      <c r="J130" s="2425">
        <f>'Sch 1- Rate Base '!J130</f>
        <v>0</v>
      </c>
      <c r="K130" s="3205">
        <f t="shared" si="385"/>
        <v>1</v>
      </c>
      <c r="O130" s="3235">
        <f t="shared" si="386"/>
        <v>0</v>
      </c>
      <c r="P130" s="3236">
        <f t="shared" si="406"/>
        <v>0</v>
      </c>
      <c r="Q130" s="3236">
        <f t="shared" si="407"/>
        <v>0</v>
      </c>
      <c r="R130" s="3236">
        <f t="shared" si="408"/>
        <v>0</v>
      </c>
      <c r="S130" s="3237"/>
      <c r="W130" s="3235">
        <f t="shared" si="387"/>
        <v>0</v>
      </c>
      <c r="X130" s="3236">
        <f t="shared" si="409"/>
        <v>0</v>
      </c>
      <c r="Y130" s="3236">
        <f t="shared" si="410"/>
        <v>0</v>
      </c>
      <c r="Z130" s="3236">
        <f t="shared" si="411"/>
        <v>0</v>
      </c>
      <c r="AA130" s="3237"/>
      <c r="AE130" s="3235">
        <f t="shared" si="388"/>
        <v>0</v>
      </c>
      <c r="AF130" s="3236">
        <f t="shared" si="412"/>
        <v>0</v>
      </c>
      <c r="AG130" s="3236">
        <f t="shared" si="413"/>
        <v>0</v>
      </c>
      <c r="AH130" s="3236">
        <f t="shared" si="414"/>
        <v>0</v>
      </c>
      <c r="AI130" s="3237"/>
      <c r="AM130" s="3235">
        <f t="shared" si="389"/>
        <v>0</v>
      </c>
      <c r="AN130" s="3236">
        <f t="shared" si="415"/>
        <v>0</v>
      </c>
      <c r="AO130" s="3236">
        <f t="shared" si="416"/>
        <v>0</v>
      </c>
      <c r="AP130" s="3236">
        <f t="shared" si="417"/>
        <v>0</v>
      </c>
      <c r="AQ130" s="3237"/>
      <c r="AU130" s="3235">
        <f t="shared" si="390"/>
        <v>0</v>
      </c>
      <c r="AV130" s="3236">
        <f t="shared" si="418"/>
        <v>0</v>
      </c>
      <c r="AW130" s="3236">
        <f t="shared" si="419"/>
        <v>0</v>
      </c>
      <c r="AX130" s="3236">
        <f t="shared" si="420"/>
        <v>0</v>
      </c>
      <c r="AY130" s="3237"/>
      <c r="BC130" s="3235">
        <f t="shared" si="391"/>
        <v>0</v>
      </c>
      <c r="BD130" s="3236">
        <f t="shared" si="421"/>
        <v>0</v>
      </c>
      <c r="BE130" s="3236">
        <f t="shared" si="422"/>
        <v>0</v>
      </c>
      <c r="BF130" s="3236">
        <f t="shared" si="423"/>
        <v>0</v>
      </c>
      <c r="BG130" s="3237"/>
      <c r="BK130" s="3235">
        <f t="shared" si="392"/>
        <v>0</v>
      </c>
      <c r="BL130" s="3236">
        <f t="shared" si="424"/>
        <v>0</v>
      </c>
      <c r="BM130" s="3236">
        <f t="shared" si="425"/>
        <v>0</v>
      </c>
      <c r="BN130" s="3236">
        <f t="shared" si="426"/>
        <v>0</v>
      </c>
      <c r="BO130" s="3237"/>
      <c r="BS130" s="3235">
        <f t="shared" si="393"/>
        <v>0</v>
      </c>
      <c r="BT130" s="3236">
        <f t="shared" si="427"/>
        <v>0</v>
      </c>
      <c r="BU130" s="3236">
        <f t="shared" si="428"/>
        <v>0</v>
      </c>
      <c r="BV130" s="3236">
        <f t="shared" si="429"/>
        <v>0</v>
      </c>
      <c r="BW130" s="3237"/>
      <c r="CA130" s="3235">
        <f t="shared" si="394"/>
        <v>0</v>
      </c>
      <c r="CB130" s="3236">
        <f t="shared" si="430"/>
        <v>0</v>
      </c>
      <c r="CC130" s="3236">
        <f t="shared" si="431"/>
        <v>0</v>
      </c>
      <c r="CD130" s="3236">
        <f t="shared" si="432"/>
        <v>0</v>
      </c>
      <c r="CE130" s="3237"/>
      <c r="CI130" s="3235">
        <f t="shared" si="395"/>
        <v>0</v>
      </c>
      <c r="CJ130" s="3236">
        <f t="shared" si="433"/>
        <v>0</v>
      </c>
      <c r="CK130" s="3236">
        <f t="shared" si="434"/>
        <v>0</v>
      </c>
      <c r="CL130" s="3236">
        <f t="shared" si="435"/>
        <v>0</v>
      </c>
      <c r="CM130" s="3237"/>
      <c r="CQ130" s="3235">
        <f t="shared" si="396"/>
        <v>0</v>
      </c>
      <c r="CR130" s="3236">
        <f t="shared" si="436"/>
        <v>0</v>
      </c>
      <c r="CS130" s="3236">
        <f t="shared" si="437"/>
        <v>0</v>
      </c>
      <c r="CT130" s="3236">
        <f t="shared" si="438"/>
        <v>0</v>
      </c>
      <c r="CU130" s="3237"/>
      <c r="CY130" s="3235">
        <f t="shared" si="397"/>
        <v>0</v>
      </c>
      <c r="CZ130" s="3236">
        <f t="shared" si="439"/>
        <v>0</v>
      </c>
      <c r="DA130" s="3236">
        <f t="shared" si="440"/>
        <v>0</v>
      </c>
      <c r="DB130" s="3236">
        <f t="shared" si="441"/>
        <v>0</v>
      </c>
      <c r="DC130" s="3237"/>
      <c r="DG130" s="3235">
        <f t="shared" si="398"/>
        <v>0</v>
      </c>
      <c r="DH130" s="3236">
        <f t="shared" si="442"/>
        <v>0</v>
      </c>
      <c r="DI130" s="3236">
        <f t="shared" si="443"/>
        <v>0</v>
      </c>
      <c r="DJ130" s="3236">
        <f t="shared" si="444"/>
        <v>0</v>
      </c>
      <c r="DK130" s="3237"/>
      <c r="DO130" s="3235">
        <f t="shared" si="399"/>
        <v>0</v>
      </c>
      <c r="DP130" s="3236">
        <f t="shared" si="445"/>
        <v>0</v>
      </c>
      <c r="DQ130" s="3236">
        <f t="shared" si="446"/>
        <v>0</v>
      </c>
      <c r="DR130" s="3236">
        <f t="shared" si="447"/>
        <v>0</v>
      </c>
      <c r="DS130" s="3237"/>
      <c r="DW130" s="3235">
        <f t="shared" si="400"/>
        <v>0</v>
      </c>
      <c r="DX130" s="3236">
        <f t="shared" si="448"/>
        <v>0</v>
      </c>
      <c r="DY130" s="3236">
        <f t="shared" si="449"/>
        <v>0</v>
      </c>
      <c r="DZ130" s="3236">
        <f t="shared" si="450"/>
        <v>0</v>
      </c>
      <c r="EA130" s="3237"/>
      <c r="EE130" s="3235">
        <f t="shared" si="401"/>
        <v>0</v>
      </c>
      <c r="EF130" s="3236">
        <f t="shared" si="451"/>
        <v>0</v>
      </c>
      <c r="EG130" s="3236">
        <f t="shared" si="452"/>
        <v>0</v>
      </c>
      <c r="EH130" s="3236">
        <f t="shared" si="453"/>
        <v>0</v>
      </c>
      <c r="EI130" s="3237"/>
      <c r="EM130" s="3235">
        <f t="shared" si="402"/>
        <v>0</v>
      </c>
      <c r="EN130" s="3236">
        <f t="shared" si="454"/>
        <v>0</v>
      </c>
      <c r="EO130" s="3236">
        <f t="shared" si="455"/>
        <v>0</v>
      </c>
      <c r="EP130" s="3236">
        <f t="shared" si="456"/>
        <v>0</v>
      </c>
      <c r="EQ130" s="3237"/>
      <c r="EU130" s="3235">
        <f t="shared" si="403"/>
        <v>0</v>
      </c>
      <c r="EV130" s="3236">
        <f t="shared" si="457"/>
        <v>0</v>
      </c>
      <c r="EW130" s="3236">
        <f t="shared" si="458"/>
        <v>0</v>
      </c>
      <c r="EX130" s="3236">
        <f t="shared" si="459"/>
        <v>0</v>
      </c>
      <c r="EY130" s="3237"/>
      <c r="FC130" s="3235">
        <f t="shared" si="404"/>
        <v>0</v>
      </c>
      <c r="FD130" s="3236">
        <f t="shared" si="460"/>
        <v>0</v>
      </c>
      <c r="FE130" s="3236">
        <f t="shared" si="461"/>
        <v>0</v>
      </c>
      <c r="FF130" s="3236">
        <f t="shared" si="462"/>
        <v>0</v>
      </c>
      <c r="FG130" s="3237"/>
      <c r="FK130" s="3235">
        <f t="shared" si="405"/>
        <v>0</v>
      </c>
      <c r="FL130" s="3236">
        <f t="shared" si="463"/>
        <v>0</v>
      </c>
      <c r="FM130" s="3236">
        <f t="shared" si="464"/>
        <v>0</v>
      </c>
      <c r="FN130" s="3236">
        <f t="shared" si="465"/>
        <v>0</v>
      </c>
      <c r="FO130" s="3237"/>
    </row>
    <row r="131" spans="1:171">
      <c r="A131" s="2442"/>
      <c r="B131" s="2290" t="s">
        <v>20</v>
      </c>
      <c r="C131" s="2464" t="s">
        <v>78</v>
      </c>
      <c r="D131" s="2464">
        <v>189</v>
      </c>
      <c r="E131" s="2424" t="str">
        <f>'Sch 1- Rate Base '!E131</f>
        <v>PTDG</v>
      </c>
      <c r="F131" s="2171"/>
      <c r="G131" s="2424">
        <f>'Sch 1- Rate Base '!G131</f>
        <v>20765305.086143192</v>
      </c>
      <c r="H131" s="2424">
        <f>'Sch 1- Rate Base '!H131</f>
        <v>7265211.1374905258</v>
      </c>
      <c r="I131" s="2424">
        <f>'Sch 1- Rate Base '!I131</f>
        <v>0</v>
      </c>
      <c r="J131" s="2425">
        <f>'Sch 1- Rate Base '!J131</f>
        <v>13500093.944678253</v>
      </c>
      <c r="K131" s="3205">
        <f t="shared" si="385"/>
        <v>1</v>
      </c>
      <c r="O131" s="3235">
        <f t="shared" si="386"/>
        <v>20765305.086143192</v>
      </c>
      <c r="P131" s="3236">
        <f t="shared" si="406"/>
        <v>7265211.1374905258</v>
      </c>
      <c r="Q131" s="3236">
        <f t="shared" si="407"/>
        <v>3645665.8635220882</v>
      </c>
      <c r="R131" s="3236">
        <f t="shared" si="408"/>
        <v>9854428.0851305779</v>
      </c>
      <c r="S131" s="3237"/>
      <c r="W131" s="3235">
        <f t="shared" si="387"/>
        <v>20765305.086143192</v>
      </c>
      <c r="X131" s="3236">
        <f t="shared" si="409"/>
        <v>7265211.1374905258</v>
      </c>
      <c r="Y131" s="3236">
        <f t="shared" si="410"/>
        <v>3645665.8635220882</v>
      </c>
      <c r="Z131" s="3236">
        <f t="shared" si="411"/>
        <v>9854428.0851305779</v>
      </c>
      <c r="AA131" s="3237"/>
      <c r="AE131" s="3235">
        <f t="shared" si="388"/>
        <v>20765305.086143192</v>
      </c>
      <c r="AF131" s="3236">
        <f t="shared" si="412"/>
        <v>7265211.1374905258</v>
      </c>
      <c r="AG131" s="3236">
        <f t="shared" si="413"/>
        <v>3645665.8635220882</v>
      </c>
      <c r="AH131" s="3236">
        <f t="shared" si="414"/>
        <v>9854428.0851305779</v>
      </c>
      <c r="AI131" s="3237"/>
      <c r="AM131" s="3235">
        <f t="shared" si="389"/>
        <v>20765305.086143192</v>
      </c>
      <c r="AN131" s="3236">
        <f t="shared" si="415"/>
        <v>7265211.1374905258</v>
      </c>
      <c r="AO131" s="3236">
        <f t="shared" si="416"/>
        <v>3645665.8635220882</v>
      </c>
      <c r="AP131" s="3236">
        <f t="shared" si="417"/>
        <v>9854428.0851305779</v>
      </c>
      <c r="AQ131" s="3237"/>
      <c r="AU131" s="3235">
        <f t="shared" si="390"/>
        <v>20765305.086143192</v>
      </c>
      <c r="AV131" s="3236">
        <f t="shared" si="418"/>
        <v>7265211.1374905258</v>
      </c>
      <c r="AW131" s="3236">
        <f t="shared" si="419"/>
        <v>3645665.8635220882</v>
      </c>
      <c r="AX131" s="3236">
        <f t="shared" si="420"/>
        <v>9854428.0851305779</v>
      </c>
      <c r="AY131" s="3237"/>
      <c r="BC131" s="3235">
        <f t="shared" si="391"/>
        <v>20765305.086143192</v>
      </c>
      <c r="BD131" s="3236">
        <f t="shared" si="421"/>
        <v>7265211.1374905258</v>
      </c>
      <c r="BE131" s="3236">
        <f t="shared" si="422"/>
        <v>3645665.8635220882</v>
      </c>
      <c r="BF131" s="3236">
        <f t="shared" si="423"/>
        <v>9854428.0851305779</v>
      </c>
      <c r="BG131" s="3237"/>
      <c r="BK131" s="3235">
        <f t="shared" si="392"/>
        <v>20765305.086143192</v>
      </c>
      <c r="BL131" s="3236">
        <f t="shared" si="424"/>
        <v>7265211.1374905258</v>
      </c>
      <c r="BM131" s="3236">
        <f t="shared" si="425"/>
        <v>3645665.8635220882</v>
      </c>
      <c r="BN131" s="3236">
        <f t="shared" si="426"/>
        <v>9854428.0851305779</v>
      </c>
      <c r="BO131" s="3237"/>
      <c r="BS131" s="3235">
        <f t="shared" si="393"/>
        <v>20765305.086143192</v>
      </c>
      <c r="BT131" s="3236">
        <f t="shared" si="427"/>
        <v>7265211.1374905258</v>
      </c>
      <c r="BU131" s="3236">
        <f t="shared" si="428"/>
        <v>3645665.8635220882</v>
      </c>
      <c r="BV131" s="3236">
        <f t="shared" si="429"/>
        <v>9854428.0851305779</v>
      </c>
      <c r="BW131" s="3237"/>
      <c r="CA131" s="3235">
        <f t="shared" si="394"/>
        <v>20765305.086143192</v>
      </c>
      <c r="CB131" s="3236">
        <f t="shared" si="430"/>
        <v>7265211.1374905258</v>
      </c>
      <c r="CC131" s="3236">
        <f t="shared" si="431"/>
        <v>3645665.8635220882</v>
      </c>
      <c r="CD131" s="3236">
        <f t="shared" si="432"/>
        <v>9854428.0851305779</v>
      </c>
      <c r="CE131" s="3237"/>
      <c r="CI131" s="3235">
        <f t="shared" si="395"/>
        <v>20765305.086143192</v>
      </c>
      <c r="CJ131" s="3236">
        <f t="shared" si="433"/>
        <v>7265211.1374905258</v>
      </c>
      <c r="CK131" s="3236">
        <f t="shared" si="434"/>
        <v>3645665.8635220882</v>
      </c>
      <c r="CL131" s="3236">
        <f t="shared" si="435"/>
        <v>9854428.0851305779</v>
      </c>
      <c r="CM131" s="3237"/>
      <c r="CQ131" s="3235">
        <f t="shared" si="396"/>
        <v>20765305.086143192</v>
      </c>
      <c r="CR131" s="3236">
        <f t="shared" si="436"/>
        <v>7265211.1374905258</v>
      </c>
      <c r="CS131" s="3236">
        <f t="shared" si="437"/>
        <v>3645665.8635220882</v>
      </c>
      <c r="CT131" s="3236">
        <f t="shared" si="438"/>
        <v>9854428.0851305779</v>
      </c>
      <c r="CU131" s="3237"/>
      <c r="CY131" s="3235">
        <f t="shared" si="397"/>
        <v>20765305.086143192</v>
      </c>
      <c r="CZ131" s="3236">
        <f t="shared" si="439"/>
        <v>7265211.1374905258</v>
      </c>
      <c r="DA131" s="3236">
        <f t="shared" si="440"/>
        <v>3645665.8635220882</v>
      </c>
      <c r="DB131" s="3236">
        <f t="shared" si="441"/>
        <v>9854428.0851305779</v>
      </c>
      <c r="DC131" s="3237"/>
      <c r="DG131" s="3235">
        <f t="shared" si="398"/>
        <v>20765305.086143192</v>
      </c>
      <c r="DH131" s="3236">
        <f t="shared" si="442"/>
        <v>7265211.1374905258</v>
      </c>
      <c r="DI131" s="3236">
        <f t="shared" si="443"/>
        <v>3645665.8635220882</v>
      </c>
      <c r="DJ131" s="3236">
        <f t="shared" si="444"/>
        <v>9854428.0851305779</v>
      </c>
      <c r="DK131" s="3237"/>
      <c r="DO131" s="3235">
        <f t="shared" si="399"/>
        <v>20765305.086143192</v>
      </c>
      <c r="DP131" s="3236">
        <f t="shared" si="445"/>
        <v>7265211.1374905258</v>
      </c>
      <c r="DQ131" s="3236">
        <f t="shared" si="446"/>
        <v>3645665.8635220882</v>
      </c>
      <c r="DR131" s="3236">
        <f t="shared" si="447"/>
        <v>9854428.0851305779</v>
      </c>
      <c r="DS131" s="3237"/>
      <c r="DW131" s="3235">
        <f t="shared" si="400"/>
        <v>20765305.086143192</v>
      </c>
      <c r="DX131" s="3236">
        <f t="shared" si="448"/>
        <v>7265211.1374905258</v>
      </c>
      <c r="DY131" s="3236">
        <f t="shared" si="449"/>
        <v>3645665.8635220882</v>
      </c>
      <c r="DZ131" s="3236">
        <f t="shared" si="450"/>
        <v>9854428.0851305779</v>
      </c>
      <c r="EA131" s="3237"/>
      <c r="EE131" s="3235">
        <f t="shared" si="401"/>
        <v>20765305.086143192</v>
      </c>
      <c r="EF131" s="3236">
        <f t="shared" si="451"/>
        <v>7265211.1374905258</v>
      </c>
      <c r="EG131" s="3236">
        <f t="shared" si="452"/>
        <v>3645665.8635220882</v>
      </c>
      <c r="EH131" s="3236">
        <f t="shared" si="453"/>
        <v>9854428.0851305779</v>
      </c>
      <c r="EI131" s="3237"/>
      <c r="EM131" s="3235">
        <f t="shared" si="402"/>
        <v>20765305.086143192</v>
      </c>
      <c r="EN131" s="3236">
        <f t="shared" si="454"/>
        <v>7265211.1374905258</v>
      </c>
      <c r="EO131" s="3236">
        <f t="shared" si="455"/>
        <v>3645665.8635220882</v>
      </c>
      <c r="EP131" s="3236">
        <f t="shared" si="456"/>
        <v>9854428.0851305779</v>
      </c>
      <c r="EQ131" s="3237"/>
      <c r="EU131" s="3235">
        <f t="shared" si="403"/>
        <v>20765305.086143192</v>
      </c>
      <c r="EV131" s="3236">
        <f t="shared" si="457"/>
        <v>7265211.1374905258</v>
      </c>
      <c r="EW131" s="3236">
        <f t="shared" si="458"/>
        <v>3645665.8635220882</v>
      </c>
      <c r="EX131" s="3236">
        <f t="shared" si="459"/>
        <v>9854428.0851305779</v>
      </c>
      <c r="EY131" s="3237"/>
      <c r="FC131" s="3235">
        <f t="shared" si="404"/>
        <v>20765305.086143192</v>
      </c>
      <c r="FD131" s="3236">
        <f t="shared" si="460"/>
        <v>7265211.1374905258</v>
      </c>
      <c r="FE131" s="3236">
        <f t="shared" si="461"/>
        <v>3645665.8635220882</v>
      </c>
      <c r="FF131" s="3236">
        <f t="shared" si="462"/>
        <v>9854428.0851305779</v>
      </c>
      <c r="FG131" s="3237"/>
      <c r="FK131" s="3235">
        <f t="shared" si="405"/>
        <v>20765305.086143192</v>
      </c>
      <c r="FL131" s="3236">
        <f t="shared" si="463"/>
        <v>7265211.1374905258</v>
      </c>
      <c r="FM131" s="3236">
        <f t="shared" si="464"/>
        <v>3645665.8635220882</v>
      </c>
      <c r="FN131" s="3236">
        <f t="shared" si="465"/>
        <v>9854428.0851305779</v>
      </c>
      <c r="FO131" s="3237"/>
    </row>
    <row r="132" spans="1:171">
      <c r="A132" s="2442"/>
      <c r="B132" s="2290" t="s">
        <v>21</v>
      </c>
      <c r="C132" s="2464" t="s">
        <v>78</v>
      </c>
      <c r="D132" s="2464">
        <v>190</v>
      </c>
      <c r="E132" s="2424" t="str">
        <f>'Sch 1- Rate Base '!E132</f>
        <v>DIST</v>
      </c>
      <c r="F132" s="2171"/>
      <c r="G132" s="2424">
        <f>'Sch 1- Rate Base '!G132</f>
        <v>232865758.83263156</v>
      </c>
      <c r="H132" s="2424">
        <f>'Sch 1- Rate Base '!H132</f>
        <v>0</v>
      </c>
      <c r="I132" s="2424">
        <f>'Sch 1- Rate Base '!I132</f>
        <v>0</v>
      </c>
      <c r="J132" s="2425">
        <f>'Sch 1- Rate Base '!J132</f>
        <v>232865758.83263156</v>
      </c>
      <c r="K132" s="3205">
        <f t="shared" si="385"/>
        <v>1</v>
      </c>
      <c r="O132" s="3235">
        <f t="shared" si="386"/>
        <v>232865758.83263156</v>
      </c>
      <c r="P132" s="3236">
        <f t="shared" si="406"/>
        <v>0</v>
      </c>
      <c r="Q132" s="3236">
        <f t="shared" si="407"/>
        <v>0</v>
      </c>
      <c r="R132" s="3236">
        <f t="shared" si="408"/>
        <v>232865758.83263156</v>
      </c>
      <c r="S132" s="3237"/>
      <c r="W132" s="3235">
        <f t="shared" si="387"/>
        <v>232865758.83263156</v>
      </c>
      <c r="X132" s="3236">
        <f t="shared" si="409"/>
        <v>0</v>
      </c>
      <c r="Y132" s="3236">
        <f t="shared" si="410"/>
        <v>0</v>
      </c>
      <c r="Z132" s="3236">
        <f t="shared" si="411"/>
        <v>232865758.83263156</v>
      </c>
      <c r="AA132" s="3237"/>
      <c r="AE132" s="3235">
        <f t="shared" si="388"/>
        <v>232865758.83263156</v>
      </c>
      <c r="AF132" s="3236">
        <f t="shared" si="412"/>
        <v>0</v>
      </c>
      <c r="AG132" s="3236">
        <f t="shared" si="413"/>
        <v>0</v>
      </c>
      <c r="AH132" s="3236">
        <f t="shared" si="414"/>
        <v>232865758.83263156</v>
      </c>
      <c r="AI132" s="3237"/>
      <c r="AM132" s="3235">
        <f t="shared" si="389"/>
        <v>232865758.83263156</v>
      </c>
      <c r="AN132" s="3236">
        <f t="shared" si="415"/>
        <v>0</v>
      </c>
      <c r="AO132" s="3236">
        <f t="shared" si="416"/>
        <v>0</v>
      </c>
      <c r="AP132" s="3236">
        <f t="shared" si="417"/>
        <v>232865758.83263156</v>
      </c>
      <c r="AQ132" s="3237"/>
      <c r="AU132" s="3235">
        <f t="shared" si="390"/>
        <v>232865758.83263156</v>
      </c>
      <c r="AV132" s="3236">
        <f t="shared" si="418"/>
        <v>0</v>
      </c>
      <c r="AW132" s="3236">
        <f t="shared" si="419"/>
        <v>0</v>
      </c>
      <c r="AX132" s="3236">
        <f t="shared" si="420"/>
        <v>232865758.83263156</v>
      </c>
      <c r="AY132" s="3237"/>
      <c r="BC132" s="3235">
        <f t="shared" si="391"/>
        <v>232865758.83263156</v>
      </c>
      <c r="BD132" s="3236">
        <f t="shared" si="421"/>
        <v>0</v>
      </c>
      <c r="BE132" s="3236">
        <f t="shared" si="422"/>
        <v>0</v>
      </c>
      <c r="BF132" s="3236">
        <f t="shared" si="423"/>
        <v>232865758.83263156</v>
      </c>
      <c r="BG132" s="3237"/>
      <c r="BK132" s="3235">
        <f t="shared" si="392"/>
        <v>232865758.83263156</v>
      </c>
      <c r="BL132" s="3236">
        <f t="shared" si="424"/>
        <v>0</v>
      </c>
      <c r="BM132" s="3236">
        <f t="shared" si="425"/>
        <v>0</v>
      </c>
      <c r="BN132" s="3236">
        <f t="shared" si="426"/>
        <v>232865758.83263156</v>
      </c>
      <c r="BO132" s="3237"/>
      <c r="BS132" s="3235">
        <f t="shared" si="393"/>
        <v>232865758.83263156</v>
      </c>
      <c r="BT132" s="3236">
        <f t="shared" si="427"/>
        <v>0</v>
      </c>
      <c r="BU132" s="3236">
        <f t="shared" si="428"/>
        <v>0</v>
      </c>
      <c r="BV132" s="3236">
        <f t="shared" si="429"/>
        <v>232865758.83263156</v>
      </c>
      <c r="BW132" s="3237"/>
      <c r="CA132" s="3235">
        <f t="shared" si="394"/>
        <v>232865758.83263156</v>
      </c>
      <c r="CB132" s="3236">
        <f t="shared" si="430"/>
        <v>0</v>
      </c>
      <c r="CC132" s="3236">
        <f t="shared" si="431"/>
        <v>0</v>
      </c>
      <c r="CD132" s="3236">
        <f t="shared" si="432"/>
        <v>232865758.83263156</v>
      </c>
      <c r="CE132" s="3237"/>
      <c r="CI132" s="3235">
        <f t="shared" si="395"/>
        <v>232865758.83263156</v>
      </c>
      <c r="CJ132" s="3236">
        <f t="shared" si="433"/>
        <v>0</v>
      </c>
      <c r="CK132" s="3236">
        <f t="shared" si="434"/>
        <v>0</v>
      </c>
      <c r="CL132" s="3236">
        <f t="shared" si="435"/>
        <v>232865758.83263156</v>
      </c>
      <c r="CM132" s="3237"/>
      <c r="CQ132" s="3235">
        <f t="shared" si="396"/>
        <v>232865758.83263156</v>
      </c>
      <c r="CR132" s="3236">
        <f t="shared" si="436"/>
        <v>0</v>
      </c>
      <c r="CS132" s="3236">
        <f t="shared" si="437"/>
        <v>0</v>
      </c>
      <c r="CT132" s="3236">
        <f t="shared" si="438"/>
        <v>232865758.83263156</v>
      </c>
      <c r="CU132" s="3237"/>
      <c r="CY132" s="3235">
        <f t="shared" si="397"/>
        <v>232865758.83263156</v>
      </c>
      <c r="CZ132" s="3236">
        <f t="shared" si="439"/>
        <v>0</v>
      </c>
      <c r="DA132" s="3236">
        <f t="shared" si="440"/>
        <v>0</v>
      </c>
      <c r="DB132" s="3236">
        <f t="shared" si="441"/>
        <v>232865758.83263156</v>
      </c>
      <c r="DC132" s="3237"/>
      <c r="DG132" s="3235">
        <f t="shared" si="398"/>
        <v>232865758.83263156</v>
      </c>
      <c r="DH132" s="3236">
        <f t="shared" si="442"/>
        <v>0</v>
      </c>
      <c r="DI132" s="3236">
        <f t="shared" si="443"/>
        <v>0</v>
      </c>
      <c r="DJ132" s="3236">
        <f t="shared" si="444"/>
        <v>232865758.83263156</v>
      </c>
      <c r="DK132" s="3237"/>
      <c r="DO132" s="3235">
        <f t="shared" si="399"/>
        <v>232865758.83263156</v>
      </c>
      <c r="DP132" s="3236">
        <f t="shared" si="445"/>
        <v>0</v>
      </c>
      <c r="DQ132" s="3236">
        <f t="shared" si="446"/>
        <v>0</v>
      </c>
      <c r="DR132" s="3236">
        <f t="shared" si="447"/>
        <v>232865758.83263156</v>
      </c>
      <c r="DS132" s="3237"/>
      <c r="DW132" s="3235">
        <f t="shared" si="400"/>
        <v>232865758.83263156</v>
      </c>
      <c r="DX132" s="3236">
        <f t="shared" si="448"/>
        <v>0</v>
      </c>
      <c r="DY132" s="3236">
        <f t="shared" si="449"/>
        <v>0</v>
      </c>
      <c r="DZ132" s="3236">
        <f t="shared" si="450"/>
        <v>232865758.83263156</v>
      </c>
      <c r="EA132" s="3237"/>
      <c r="EE132" s="3235">
        <f t="shared" si="401"/>
        <v>232865758.83263156</v>
      </c>
      <c r="EF132" s="3236">
        <f t="shared" si="451"/>
        <v>0</v>
      </c>
      <c r="EG132" s="3236">
        <f t="shared" si="452"/>
        <v>0</v>
      </c>
      <c r="EH132" s="3236">
        <f t="shared" si="453"/>
        <v>232865758.83263156</v>
      </c>
      <c r="EI132" s="3237"/>
      <c r="EM132" s="3235">
        <f t="shared" si="402"/>
        <v>232865758.83263156</v>
      </c>
      <c r="EN132" s="3236">
        <f t="shared" si="454"/>
        <v>0</v>
      </c>
      <c r="EO132" s="3236">
        <f t="shared" si="455"/>
        <v>0</v>
      </c>
      <c r="EP132" s="3236">
        <f t="shared" si="456"/>
        <v>232865758.83263156</v>
      </c>
      <c r="EQ132" s="3237"/>
      <c r="EU132" s="3235">
        <f t="shared" si="403"/>
        <v>232865758.83263156</v>
      </c>
      <c r="EV132" s="3236">
        <f t="shared" si="457"/>
        <v>0</v>
      </c>
      <c r="EW132" s="3236">
        <f t="shared" si="458"/>
        <v>0</v>
      </c>
      <c r="EX132" s="3236">
        <f t="shared" si="459"/>
        <v>232865758.83263156</v>
      </c>
      <c r="EY132" s="3237"/>
      <c r="FC132" s="3235">
        <f t="shared" si="404"/>
        <v>232865758.83263156</v>
      </c>
      <c r="FD132" s="3236">
        <f t="shared" si="460"/>
        <v>0</v>
      </c>
      <c r="FE132" s="3236">
        <f t="shared" si="461"/>
        <v>0</v>
      </c>
      <c r="FF132" s="3236">
        <f t="shared" si="462"/>
        <v>232865758.83263156</v>
      </c>
      <c r="FG132" s="3237"/>
      <c r="FK132" s="3235">
        <f t="shared" si="405"/>
        <v>232865758.83263156</v>
      </c>
      <c r="FL132" s="3236">
        <f t="shared" si="463"/>
        <v>0</v>
      </c>
      <c r="FM132" s="3236">
        <f t="shared" si="464"/>
        <v>0</v>
      </c>
      <c r="FN132" s="3236">
        <f t="shared" si="465"/>
        <v>232865758.83263156</v>
      </c>
      <c r="FO132" s="3237"/>
    </row>
    <row r="133" spans="1:171">
      <c r="A133" s="2305"/>
      <c r="B133" s="3206" t="s">
        <v>104</v>
      </c>
      <c r="C133" s="3256"/>
      <c r="D133" s="3257"/>
      <c r="E133" s="3257"/>
      <c r="F133" s="3258"/>
      <c r="G133" s="3265">
        <f>SUM(G119:G132)</f>
        <v>1067642143.6523991</v>
      </c>
      <c r="H133" s="3265">
        <f>SUM(H119:H132)</f>
        <v>225376306.96514112</v>
      </c>
      <c r="I133" s="3265">
        <f>SUM(I119:I132)</f>
        <v>0</v>
      </c>
      <c r="J133" s="3266">
        <f>SUM(J119:J132)</f>
        <v>842265836.68031883</v>
      </c>
      <c r="K133" s="3205"/>
      <c r="O133" s="3292">
        <f>SUM(O119:O132)</f>
        <v>1067642143.6523991</v>
      </c>
      <c r="P133" s="3292">
        <f>SUM(P119:P132)</f>
        <v>225376306.96514118</v>
      </c>
      <c r="Q133" s="3292">
        <f>SUM(Q119:Q132)</f>
        <v>6365268.8347530421</v>
      </c>
      <c r="R133" s="3292">
        <f>SUM(R119:R132)</f>
        <v>835900567.85250485</v>
      </c>
      <c r="S133" s="3237"/>
      <c r="W133" s="3292">
        <f>SUM(W119:W132)</f>
        <v>1067642143.6523991</v>
      </c>
      <c r="X133" s="3292">
        <f>SUM(X119:X132)</f>
        <v>225376306.96514118</v>
      </c>
      <c r="Y133" s="3292">
        <f>SUM(Y119:Y132)</f>
        <v>6365268.8347530421</v>
      </c>
      <c r="Z133" s="3292">
        <f>SUM(Z119:Z132)</f>
        <v>835900567.85250485</v>
      </c>
      <c r="AA133" s="3237"/>
      <c r="AE133" s="3292">
        <f>SUM(AE119:AE132)</f>
        <v>1067642143.6523991</v>
      </c>
      <c r="AF133" s="3292">
        <f>SUM(AF119:AF132)</f>
        <v>225376306.96514118</v>
      </c>
      <c r="AG133" s="3292">
        <f>SUM(AG119:AG132)</f>
        <v>6365268.8347530421</v>
      </c>
      <c r="AH133" s="3292">
        <f>SUM(AH119:AH132)</f>
        <v>835900567.85250485</v>
      </c>
      <c r="AI133" s="3237"/>
      <c r="AM133" s="3292">
        <f>SUM(AM119:AM132)</f>
        <v>1067642143.6523991</v>
      </c>
      <c r="AN133" s="3292">
        <f>SUM(AN119:AN132)</f>
        <v>225376306.96514118</v>
      </c>
      <c r="AO133" s="3292">
        <f>SUM(AO119:AO132)</f>
        <v>6365268.8347530421</v>
      </c>
      <c r="AP133" s="3292">
        <f>SUM(AP119:AP132)</f>
        <v>835900567.85250485</v>
      </c>
      <c r="AQ133" s="3237"/>
      <c r="AU133" s="3292">
        <f>SUM(AU119:AU132)</f>
        <v>1067642143.6523991</v>
      </c>
      <c r="AV133" s="3292">
        <f>SUM(AV119:AV132)</f>
        <v>225376306.96514118</v>
      </c>
      <c r="AW133" s="3292">
        <f>SUM(AW119:AW132)</f>
        <v>6365268.8347530421</v>
      </c>
      <c r="AX133" s="3292">
        <f>SUM(AX119:AX132)</f>
        <v>835900567.85250485</v>
      </c>
      <c r="AY133" s="3237"/>
      <c r="BC133" s="3292">
        <f>SUM(BC119:BC132)</f>
        <v>1067642143.6523991</v>
      </c>
      <c r="BD133" s="3292">
        <f>SUM(BD119:BD132)</f>
        <v>225376306.96514118</v>
      </c>
      <c r="BE133" s="3292">
        <f>SUM(BE119:BE132)</f>
        <v>6365268.8347530421</v>
      </c>
      <c r="BF133" s="3292">
        <f>SUM(BF119:BF132)</f>
        <v>835900567.85250485</v>
      </c>
      <c r="BG133" s="3237"/>
      <c r="BK133" s="3292">
        <f>SUM(BK119:BK132)</f>
        <v>1067642143.6523991</v>
      </c>
      <c r="BL133" s="3292">
        <f>SUM(BL119:BL132)</f>
        <v>225376306.96514118</v>
      </c>
      <c r="BM133" s="3292">
        <f>SUM(BM119:BM132)</f>
        <v>6365268.8347530421</v>
      </c>
      <c r="BN133" s="3292">
        <f>SUM(BN119:BN132)</f>
        <v>835900567.85250485</v>
      </c>
      <c r="BO133" s="3237"/>
      <c r="BS133" s="3292">
        <f>SUM(BS119:BS132)</f>
        <v>1067642143.6523991</v>
      </c>
      <c r="BT133" s="3292">
        <f>SUM(BT119:BT132)</f>
        <v>225376306.96514118</v>
      </c>
      <c r="BU133" s="3292">
        <f>SUM(BU119:BU132)</f>
        <v>6365268.8347530421</v>
      </c>
      <c r="BV133" s="3292">
        <f>SUM(BV119:BV132)</f>
        <v>835900567.85250485</v>
      </c>
      <c r="BW133" s="3237"/>
      <c r="CA133" s="3292">
        <f>SUM(CA119:CA132)</f>
        <v>1067642143.6523991</v>
      </c>
      <c r="CB133" s="3292">
        <f>SUM(CB119:CB132)</f>
        <v>225376306.96514118</v>
      </c>
      <c r="CC133" s="3292">
        <f>SUM(CC119:CC132)</f>
        <v>6365268.8347530421</v>
      </c>
      <c r="CD133" s="3292">
        <f>SUM(CD119:CD132)</f>
        <v>835900567.85250485</v>
      </c>
      <c r="CE133" s="3237"/>
      <c r="CI133" s="3292">
        <f>SUM(CI119:CI132)</f>
        <v>1067642143.6523991</v>
      </c>
      <c r="CJ133" s="3292">
        <f>SUM(CJ119:CJ132)</f>
        <v>225376306.96514118</v>
      </c>
      <c r="CK133" s="3292">
        <f>SUM(CK119:CK132)</f>
        <v>6365268.8347530421</v>
      </c>
      <c r="CL133" s="3292">
        <f>SUM(CL119:CL132)</f>
        <v>835900567.85250485</v>
      </c>
      <c r="CM133" s="3237"/>
      <c r="CQ133" s="3292">
        <f>SUM(CQ119:CQ132)</f>
        <v>1067642143.6523991</v>
      </c>
      <c r="CR133" s="3292">
        <f>SUM(CR119:CR132)</f>
        <v>225376306.96514118</v>
      </c>
      <c r="CS133" s="3292">
        <f>SUM(CS119:CS132)</f>
        <v>6365268.8347530421</v>
      </c>
      <c r="CT133" s="3292">
        <f>SUM(CT119:CT132)</f>
        <v>835900567.85250485</v>
      </c>
      <c r="CU133" s="3237"/>
      <c r="CY133" s="3292">
        <f>SUM(CY119:CY132)</f>
        <v>1067642143.6523991</v>
      </c>
      <c r="CZ133" s="3292">
        <f>SUM(CZ119:CZ132)</f>
        <v>225376306.96514118</v>
      </c>
      <c r="DA133" s="3292">
        <f>SUM(DA119:DA132)</f>
        <v>6365268.8347530421</v>
      </c>
      <c r="DB133" s="3292">
        <f>SUM(DB119:DB132)</f>
        <v>835900567.85250485</v>
      </c>
      <c r="DC133" s="3237"/>
      <c r="DG133" s="3292">
        <f>SUM(DG119:DG132)</f>
        <v>1067642143.6523991</v>
      </c>
      <c r="DH133" s="3292">
        <f>SUM(DH119:DH132)</f>
        <v>225376306.96514118</v>
      </c>
      <c r="DI133" s="3292">
        <f>SUM(DI119:DI132)</f>
        <v>6365268.8347530421</v>
      </c>
      <c r="DJ133" s="3292">
        <f>SUM(DJ119:DJ132)</f>
        <v>835900567.85250485</v>
      </c>
      <c r="DK133" s="3237"/>
      <c r="DO133" s="3292">
        <f>SUM(DO119:DO132)</f>
        <v>1067642143.6523991</v>
      </c>
      <c r="DP133" s="3292">
        <f>SUM(DP119:DP132)</f>
        <v>225376306.96514118</v>
      </c>
      <c r="DQ133" s="3292">
        <f>SUM(DQ119:DQ132)</f>
        <v>6365268.8347530421</v>
      </c>
      <c r="DR133" s="3292">
        <f>SUM(DR119:DR132)</f>
        <v>835900567.85250485</v>
      </c>
      <c r="DS133" s="3237"/>
      <c r="DW133" s="3292">
        <f>SUM(DW119:DW132)</f>
        <v>1067642143.6523991</v>
      </c>
      <c r="DX133" s="3292">
        <f>SUM(DX119:DX132)</f>
        <v>225376306.96514118</v>
      </c>
      <c r="DY133" s="3292">
        <f>SUM(DY119:DY132)</f>
        <v>6365268.8347530421</v>
      </c>
      <c r="DZ133" s="3292">
        <f>SUM(DZ119:DZ132)</f>
        <v>835900567.85250485</v>
      </c>
      <c r="EA133" s="3237"/>
      <c r="EE133" s="3292">
        <f>SUM(EE119:EE132)</f>
        <v>1067642143.6523991</v>
      </c>
      <c r="EF133" s="3292">
        <f>SUM(EF119:EF132)</f>
        <v>225376306.96514118</v>
      </c>
      <c r="EG133" s="3292">
        <f>SUM(EG119:EG132)</f>
        <v>6365268.8347530421</v>
      </c>
      <c r="EH133" s="3292">
        <f>SUM(EH119:EH132)</f>
        <v>835900567.85250485</v>
      </c>
      <c r="EI133" s="3237"/>
      <c r="EM133" s="3292">
        <f>SUM(EM119:EM132)</f>
        <v>1067642143.6523991</v>
      </c>
      <c r="EN133" s="3292">
        <f>SUM(EN119:EN132)</f>
        <v>225376306.96514118</v>
      </c>
      <c r="EO133" s="3292">
        <f>SUM(EO119:EO132)</f>
        <v>6365268.8347530421</v>
      </c>
      <c r="EP133" s="3292">
        <f>SUM(EP119:EP132)</f>
        <v>835900567.85250485</v>
      </c>
      <c r="EQ133" s="3237"/>
      <c r="EU133" s="3292">
        <f>SUM(EU119:EU132)</f>
        <v>1067642143.6523991</v>
      </c>
      <c r="EV133" s="3292">
        <f>SUM(EV119:EV132)</f>
        <v>225376306.96514118</v>
      </c>
      <c r="EW133" s="3292">
        <f>SUM(EW119:EW132)</f>
        <v>6365268.8347530421</v>
      </c>
      <c r="EX133" s="3292">
        <f>SUM(EX119:EX132)</f>
        <v>835900567.85250485</v>
      </c>
      <c r="EY133" s="3237"/>
      <c r="FC133" s="3292">
        <f>SUM(FC119:FC132)</f>
        <v>1067642143.6523991</v>
      </c>
      <c r="FD133" s="3292">
        <f>SUM(FD119:FD132)</f>
        <v>225376306.96514118</v>
      </c>
      <c r="FE133" s="3292">
        <f>SUM(FE119:FE132)</f>
        <v>6365268.8347530421</v>
      </c>
      <c r="FF133" s="3292">
        <f>SUM(FF119:FF132)</f>
        <v>835900567.85250485</v>
      </c>
      <c r="FG133" s="3237"/>
      <c r="FK133" s="3292">
        <f>SUM(FK119:FK132)</f>
        <v>1067642143.6523991</v>
      </c>
      <c r="FL133" s="3292">
        <f>SUM(FL119:FL132)</f>
        <v>225376306.96514118</v>
      </c>
      <c r="FM133" s="3292">
        <f>SUM(FM119:FM132)</f>
        <v>6365268.8347530421</v>
      </c>
      <c r="FN133" s="3292">
        <f>SUM(FN119:FN132)</f>
        <v>835900567.85250485</v>
      </c>
      <c r="FO133" s="3237"/>
    </row>
    <row r="134" spans="1:171">
      <c r="A134" s="3293"/>
      <c r="B134" s="2111"/>
      <c r="C134" s="3278"/>
      <c r="D134" s="2687"/>
      <c r="E134" s="2098"/>
      <c r="F134" s="2098"/>
      <c r="G134" s="2233"/>
      <c r="H134" s="2233"/>
      <c r="I134" s="2233"/>
      <c r="J134" s="3294"/>
      <c r="K134" s="3205"/>
      <c r="O134" s="2747"/>
      <c r="S134" s="3237"/>
      <c r="W134" s="2747"/>
      <c r="AA134" s="3237"/>
      <c r="AE134" s="2747"/>
      <c r="AI134" s="3237"/>
      <c r="AM134" s="2747"/>
      <c r="AQ134" s="3237"/>
      <c r="AU134" s="2747"/>
      <c r="AY134" s="3237"/>
      <c r="BC134" s="2747"/>
      <c r="BG134" s="3237"/>
      <c r="BK134" s="2747"/>
      <c r="BO134" s="3237"/>
      <c r="BS134" s="2747"/>
      <c r="BW134" s="3237"/>
      <c r="CA134" s="2747"/>
      <c r="CE134" s="3237"/>
      <c r="CI134" s="2747"/>
      <c r="CM134" s="3237"/>
      <c r="CQ134" s="2747"/>
      <c r="CU134" s="3237"/>
      <c r="CY134" s="2747"/>
      <c r="DC134" s="3237"/>
      <c r="DG134" s="2747"/>
      <c r="DK134" s="3237"/>
      <c r="DO134" s="2747"/>
      <c r="DS134" s="3237"/>
      <c r="DW134" s="2747"/>
      <c r="EA134" s="3237"/>
      <c r="EE134" s="2747"/>
      <c r="EI134" s="3237"/>
      <c r="EM134" s="2747"/>
      <c r="EQ134" s="3237"/>
      <c r="EU134" s="2747"/>
      <c r="EY134" s="3237"/>
      <c r="FC134" s="2747"/>
      <c r="FG134" s="3237"/>
      <c r="FK134" s="2747"/>
      <c r="FO134" s="3237"/>
    </row>
    <row r="135" spans="1:171">
      <c r="A135" s="3295" t="s">
        <v>74</v>
      </c>
      <c r="B135" s="2100"/>
      <c r="C135" s="3256"/>
      <c r="D135" s="3257"/>
      <c r="E135" s="3257"/>
      <c r="F135" s="3258"/>
      <c r="G135" s="3265">
        <f>+G84+G93+G100+G116+G133</f>
        <v>3543290986.8370891</v>
      </c>
      <c r="H135" s="3265">
        <f>+H84+H93+H100+H116+H133</f>
        <v>841602171.51125026</v>
      </c>
      <c r="I135" s="3265">
        <f>+I84+I93+I100+I116+I133</f>
        <v>0</v>
      </c>
      <c r="J135" s="3266">
        <f>+J84+J93+J100+J116+J133</f>
        <v>2701688815.236248</v>
      </c>
      <c r="K135" s="3205"/>
      <c r="O135" s="3296">
        <f>+O84+O93+O100+O116+O133</f>
        <v>3543290986.8370891</v>
      </c>
      <c r="P135" s="3296">
        <f>+P84+P93+P100+P116+P133</f>
        <v>841602171.51125026</v>
      </c>
      <c r="Q135" s="3296">
        <f>+Q84+Q93+Q100+Q116+Q133</f>
        <v>47368716.999697946</v>
      </c>
      <c r="R135" s="3296">
        <f>+R84+R93+R100+R116+R133</f>
        <v>2654320098.3261409</v>
      </c>
      <c r="S135" s="3237"/>
      <c r="W135" s="3296">
        <f>+W84+W93+W100+W116+W133</f>
        <v>3543290986.8370891</v>
      </c>
      <c r="X135" s="3296">
        <f>+X84+X93+X100+X116+X133</f>
        <v>841602171.51125026</v>
      </c>
      <c r="Y135" s="3296">
        <f>+Y84+Y93+Y100+Y116+Y133</f>
        <v>47368716.999697946</v>
      </c>
      <c r="Z135" s="3296">
        <f>+Z84+Z93+Z100+Z116+Z133</f>
        <v>2654320098.3261409</v>
      </c>
      <c r="AA135" s="3237"/>
      <c r="AE135" s="3296">
        <f>+AE84+AE93+AE100+AE116+AE133</f>
        <v>3543290986.8370891</v>
      </c>
      <c r="AF135" s="3296">
        <f>+AF84+AF93+AF100+AF116+AF133</f>
        <v>841602171.51125026</v>
      </c>
      <c r="AG135" s="3296">
        <f>+AG84+AG93+AG100+AG116+AG133</f>
        <v>47368716.999697946</v>
      </c>
      <c r="AH135" s="3296">
        <f>+AH84+AH93+AH100+AH116+AH133</f>
        <v>2654320098.3261409</v>
      </c>
      <c r="AI135" s="3237"/>
      <c r="AM135" s="3296">
        <f>+AM84+AM93+AM100+AM116+AM133</f>
        <v>3543290986.8370891</v>
      </c>
      <c r="AN135" s="3296">
        <f>+AN84+AN93+AN100+AN116+AN133</f>
        <v>841602171.51125026</v>
      </c>
      <c r="AO135" s="3296">
        <f>+AO84+AO93+AO100+AO116+AO133</f>
        <v>47368716.999697946</v>
      </c>
      <c r="AP135" s="3296">
        <f>+AP84+AP93+AP100+AP116+AP133</f>
        <v>2654320098.3261409</v>
      </c>
      <c r="AQ135" s="3237"/>
      <c r="AU135" s="3296">
        <f>+AU84+AU93+AU100+AU116+AU133</f>
        <v>3543290986.8370891</v>
      </c>
      <c r="AV135" s="3296">
        <f>+AV84+AV93+AV100+AV116+AV133</f>
        <v>841602171.51125026</v>
      </c>
      <c r="AW135" s="3296">
        <f>+AW84+AW93+AW100+AW116+AW133</f>
        <v>47368716.999697946</v>
      </c>
      <c r="AX135" s="3296">
        <f>+AX84+AX93+AX100+AX116+AX133</f>
        <v>2654320098.3261409</v>
      </c>
      <c r="AY135" s="3237"/>
      <c r="BC135" s="3296">
        <f>+BC84+BC93+BC100+BC116+BC133</f>
        <v>3543290986.8370891</v>
      </c>
      <c r="BD135" s="3296">
        <f>+BD84+BD93+BD100+BD116+BD133</f>
        <v>841602171.51125026</v>
      </c>
      <c r="BE135" s="3296">
        <f>+BE84+BE93+BE100+BE116+BE133</f>
        <v>47368716.999697946</v>
      </c>
      <c r="BF135" s="3296">
        <f>+BF84+BF93+BF100+BF116+BF133</f>
        <v>2654320098.3261409</v>
      </c>
      <c r="BG135" s="3237"/>
      <c r="BK135" s="3296">
        <f>+BK84+BK93+BK100+BK116+BK133</f>
        <v>3543290986.8370891</v>
      </c>
      <c r="BL135" s="3296">
        <f>+BL84+BL93+BL100+BL116+BL133</f>
        <v>841602171.51125026</v>
      </c>
      <c r="BM135" s="3296">
        <f>+BM84+BM93+BM100+BM116+BM133</f>
        <v>47368716.999697946</v>
      </c>
      <c r="BN135" s="3296">
        <f>+BN84+BN93+BN100+BN116+BN133</f>
        <v>2654320098.3261409</v>
      </c>
      <c r="BO135" s="3237"/>
      <c r="BS135" s="3296">
        <f>+BS84+BS93+BS100+BS116+BS133</f>
        <v>3543290986.8370891</v>
      </c>
      <c r="BT135" s="3296">
        <f>+BT84+BT93+BT100+BT116+BT133</f>
        <v>841602171.51125026</v>
      </c>
      <c r="BU135" s="3296">
        <f>+BU84+BU93+BU100+BU116+BU133</f>
        <v>47368716.999697946</v>
      </c>
      <c r="BV135" s="3296">
        <f>+BV84+BV93+BV100+BV116+BV133</f>
        <v>2654320098.3261409</v>
      </c>
      <c r="BW135" s="3237"/>
      <c r="CA135" s="3296">
        <f>+CA84+CA93+CA100+CA116+CA133</f>
        <v>3543290986.8370891</v>
      </c>
      <c r="CB135" s="3296">
        <f>+CB84+CB93+CB100+CB116+CB133</f>
        <v>841602171.51125026</v>
      </c>
      <c r="CC135" s="3296">
        <f>+CC84+CC93+CC100+CC116+CC133</f>
        <v>47368716.999697946</v>
      </c>
      <c r="CD135" s="3296">
        <f>+CD84+CD93+CD100+CD116+CD133</f>
        <v>2654320098.3261409</v>
      </c>
      <c r="CE135" s="3237"/>
      <c r="CI135" s="3296">
        <f>+CI84+CI93+CI100+CI116+CI133</f>
        <v>3543290986.8370891</v>
      </c>
      <c r="CJ135" s="3296">
        <f>+CJ84+CJ93+CJ100+CJ116+CJ133</f>
        <v>841602171.51125026</v>
      </c>
      <c r="CK135" s="3296">
        <f>+CK84+CK93+CK100+CK116+CK133</f>
        <v>47368716.999697946</v>
      </c>
      <c r="CL135" s="3296">
        <f>+CL84+CL93+CL100+CL116+CL133</f>
        <v>2654320098.3261409</v>
      </c>
      <c r="CM135" s="3237"/>
      <c r="CQ135" s="3296">
        <f>+CQ84+CQ93+CQ100+CQ116+CQ133</f>
        <v>3543290986.8370891</v>
      </c>
      <c r="CR135" s="3296">
        <f>+CR84+CR93+CR100+CR116+CR133</f>
        <v>841602171.51125026</v>
      </c>
      <c r="CS135" s="3296">
        <f>+CS84+CS93+CS100+CS116+CS133</f>
        <v>47368716.999697946</v>
      </c>
      <c r="CT135" s="3296">
        <f>+CT84+CT93+CT100+CT116+CT133</f>
        <v>2654320098.3261409</v>
      </c>
      <c r="CU135" s="3237"/>
      <c r="CY135" s="3296">
        <f>+CY84+CY93+CY100+CY116+CY133</f>
        <v>3543290986.8370891</v>
      </c>
      <c r="CZ135" s="3296">
        <f>+CZ84+CZ93+CZ100+CZ116+CZ133</f>
        <v>841602171.51125026</v>
      </c>
      <c r="DA135" s="3296">
        <f>+DA84+DA93+DA100+DA116+DA133</f>
        <v>47368716.999697946</v>
      </c>
      <c r="DB135" s="3296">
        <f>+DB84+DB93+DB100+DB116+DB133</f>
        <v>2654320098.3261409</v>
      </c>
      <c r="DC135" s="3237"/>
      <c r="DG135" s="3296">
        <f>+DG84+DG93+DG100+DG116+DG133</f>
        <v>3543290986.8370891</v>
      </c>
      <c r="DH135" s="3296">
        <f>+DH84+DH93+DH100+DH116+DH133</f>
        <v>841602171.51125026</v>
      </c>
      <c r="DI135" s="3296">
        <f>+DI84+DI93+DI100+DI116+DI133</f>
        <v>47368716.999697946</v>
      </c>
      <c r="DJ135" s="3296">
        <f>+DJ84+DJ93+DJ100+DJ116+DJ133</f>
        <v>2654320098.3261409</v>
      </c>
      <c r="DK135" s="3237"/>
      <c r="DO135" s="3296">
        <f>+DO84+DO93+DO100+DO116+DO133</f>
        <v>3543290986.8370891</v>
      </c>
      <c r="DP135" s="3296">
        <f>+DP84+DP93+DP100+DP116+DP133</f>
        <v>841602171.51125026</v>
      </c>
      <c r="DQ135" s="3296">
        <f>+DQ84+DQ93+DQ100+DQ116+DQ133</f>
        <v>47368716.999697946</v>
      </c>
      <c r="DR135" s="3296">
        <f>+DR84+DR93+DR100+DR116+DR133</f>
        <v>2654320098.3261409</v>
      </c>
      <c r="DS135" s="3237"/>
      <c r="DW135" s="3296">
        <f>+DW84+DW93+DW100+DW116+DW133</f>
        <v>3543290986.8370891</v>
      </c>
      <c r="DX135" s="3296">
        <f>+DX84+DX93+DX100+DX116+DX133</f>
        <v>841602171.51125026</v>
      </c>
      <c r="DY135" s="3296">
        <f>+DY84+DY93+DY100+DY116+DY133</f>
        <v>47368716.999697946</v>
      </c>
      <c r="DZ135" s="3296">
        <f>+DZ84+DZ93+DZ100+DZ116+DZ133</f>
        <v>2654320098.3261409</v>
      </c>
      <c r="EA135" s="3237"/>
      <c r="EE135" s="3296">
        <f>+EE84+EE93+EE100+EE116+EE133</f>
        <v>3543290986.8370891</v>
      </c>
      <c r="EF135" s="3296">
        <f>+EF84+EF93+EF100+EF116+EF133</f>
        <v>841602171.51125026</v>
      </c>
      <c r="EG135" s="3296">
        <f>+EG84+EG93+EG100+EG116+EG133</f>
        <v>47368716.999697946</v>
      </c>
      <c r="EH135" s="3296">
        <f>+EH84+EH93+EH100+EH116+EH133</f>
        <v>2654320098.3261409</v>
      </c>
      <c r="EI135" s="3237"/>
      <c r="EM135" s="3296">
        <f>+EM84+EM93+EM100+EM116+EM133</f>
        <v>3543290986.8370891</v>
      </c>
      <c r="EN135" s="3296">
        <f>+EN84+EN93+EN100+EN116+EN133</f>
        <v>841602171.51125026</v>
      </c>
      <c r="EO135" s="3296">
        <f>+EO84+EO93+EO100+EO116+EO133</f>
        <v>47368716.999697946</v>
      </c>
      <c r="EP135" s="3296">
        <f>+EP84+EP93+EP100+EP116+EP133</f>
        <v>2654320098.3261409</v>
      </c>
      <c r="EQ135" s="3237"/>
      <c r="EU135" s="3296">
        <f>+EU84+EU93+EU100+EU116+EU133</f>
        <v>3543290986.8370891</v>
      </c>
      <c r="EV135" s="3296">
        <f>+EV84+EV93+EV100+EV116+EV133</f>
        <v>841602171.51125026</v>
      </c>
      <c r="EW135" s="3296">
        <f>+EW84+EW93+EW100+EW116+EW133</f>
        <v>47368716.999697946</v>
      </c>
      <c r="EX135" s="3296">
        <f>+EX84+EX93+EX100+EX116+EX133</f>
        <v>2654320098.3261409</v>
      </c>
      <c r="EY135" s="3237"/>
      <c r="FC135" s="3296">
        <f>+FC84+FC93+FC100+FC116+FC133</f>
        <v>3543290986.8370891</v>
      </c>
      <c r="FD135" s="3296">
        <f>+FD84+FD93+FD100+FD116+FD133</f>
        <v>841602171.51125026</v>
      </c>
      <c r="FE135" s="3296">
        <f>+FE84+FE93+FE100+FE116+FE133</f>
        <v>47368716.999697946</v>
      </c>
      <c r="FF135" s="3296">
        <f>+FF84+FF93+FF100+FF116+FF133</f>
        <v>2654320098.3261409</v>
      </c>
      <c r="FG135" s="3237"/>
      <c r="FK135" s="3296">
        <f>+FK84+FK93+FK100+FK116+FK133</f>
        <v>3543290986.8370891</v>
      </c>
      <c r="FL135" s="3296">
        <f>+FL84+FL93+FL100+FL116+FL133</f>
        <v>841602171.51125026</v>
      </c>
      <c r="FM135" s="3296">
        <f>+FM84+FM93+FM100+FM116+FM133</f>
        <v>47368716.999697946</v>
      </c>
      <c r="FN135" s="3296">
        <f>+FN84+FN93+FN100+FN116+FN133</f>
        <v>2654320098.3261409</v>
      </c>
      <c r="FO135" s="3237"/>
    </row>
    <row r="136" spans="1:171" ht="12" thickBot="1">
      <c r="A136" s="3297"/>
      <c r="B136" s="2099"/>
      <c r="C136" s="2120"/>
      <c r="D136" s="2120"/>
      <c r="E136" s="2099"/>
      <c r="F136" s="2099"/>
      <c r="G136" s="2254"/>
      <c r="H136" s="2254"/>
      <c r="I136" s="2254"/>
      <c r="J136" s="3298"/>
      <c r="K136" s="3205"/>
      <c r="S136" s="3237"/>
      <c r="AA136" s="3237"/>
      <c r="AI136" s="3237"/>
      <c r="AQ136" s="3237"/>
      <c r="AY136" s="3237"/>
      <c r="BG136" s="3237"/>
      <c r="BO136" s="3237"/>
      <c r="BW136" s="3237"/>
      <c r="CE136" s="3237"/>
      <c r="CM136" s="3237"/>
      <c r="CU136" s="3237"/>
      <c r="DC136" s="3237"/>
      <c r="DK136" s="3237"/>
      <c r="DS136" s="3237"/>
      <c r="EA136" s="3237"/>
      <c r="EI136" s="3237"/>
      <c r="EQ136" s="3237"/>
      <c r="EY136" s="3237"/>
      <c r="FG136" s="3237"/>
      <c r="FO136" s="3237"/>
    </row>
    <row r="137" spans="1:171" ht="12" thickTop="1">
      <c r="A137" s="3299" t="s">
        <v>75</v>
      </c>
      <c r="B137" s="2100"/>
      <c r="C137" s="2116"/>
      <c r="D137" s="2098"/>
      <c r="E137" s="2098"/>
      <c r="F137" s="2098"/>
      <c r="G137" s="2182"/>
      <c r="H137" s="2182"/>
      <c r="I137" s="2182"/>
      <c r="J137" s="2289"/>
      <c r="K137" s="3205"/>
      <c r="S137" s="3237"/>
      <c r="AA137" s="3237"/>
      <c r="AI137" s="3237"/>
      <c r="AQ137" s="3237"/>
      <c r="AY137" s="3237"/>
      <c r="BG137" s="3237"/>
      <c r="BO137" s="3237"/>
      <c r="BW137" s="3237"/>
      <c r="CE137" s="3237"/>
      <c r="CM137" s="3237"/>
      <c r="CU137" s="3237"/>
      <c r="DC137" s="3237"/>
      <c r="DK137" s="3237"/>
      <c r="DS137" s="3237"/>
      <c r="EA137" s="3237"/>
      <c r="EI137" s="3237"/>
      <c r="EQ137" s="3237"/>
      <c r="EY137" s="3237"/>
      <c r="FG137" s="3237"/>
      <c r="FO137" s="3237"/>
    </row>
    <row r="138" spans="1:171">
      <c r="A138" s="2442"/>
      <c r="B138" s="3206" t="s">
        <v>433</v>
      </c>
      <c r="C138" s="2098"/>
      <c r="D138" s="3300"/>
      <c r="E138" s="2098"/>
      <c r="F138" s="2098"/>
      <c r="G138" s="2671"/>
      <c r="H138" s="2671"/>
      <c r="I138" s="2671"/>
      <c r="J138" s="2672"/>
      <c r="K138" s="3205"/>
      <c r="S138" s="3237"/>
      <c r="AA138" s="3237"/>
      <c r="AI138" s="3237"/>
      <c r="AQ138" s="3237"/>
      <c r="AY138" s="3237"/>
      <c r="BG138" s="3237"/>
      <c r="BO138" s="3237"/>
      <c r="BW138" s="3237"/>
      <c r="CE138" s="3237"/>
      <c r="CM138" s="3237"/>
      <c r="CU138" s="3237"/>
      <c r="DC138" s="3237"/>
      <c r="DK138" s="3237"/>
      <c r="DS138" s="3237"/>
      <c r="EA138" s="3237"/>
      <c r="EI138" s="3237"/>
      <c r="EQ138" s="3237"/>
      <c r="EY138" s="3237"/>
      <c r="FG138" s="3237"/>
      <c r="FO138" s="3237"/>
    </row>
    <row r="139" spans="1:171">
      <c r="A139" s="3277"/>
      <c r="B139" s="2290" t="s">
        <v>330</v>
      </c>
      <c r="C139" s="2464" t="s">
        <v>81</v>
      </c>
      <c r="D139" s="2464">
        <v>244</v>
      </c>
      <c r="E139" s="2424" t="str">
        <f>'Sch 1- Rate Base '!E139</f>
        <v>DIST</v>
      </c>
      <c r="F139" s="2171"/>
      <c r="G139" s="2424">
        <f>'Sch 1- Rate Base '!G139</f>
        <v>126938815.89</v>
      </c>
      <c r="H139" s="2424">
        <f>'Sch 1- Rate Base '!H139</f>
        <v>0</v>
      </c>
      <c r="I139" s="2424">
        <f>'Sch 1- Rate Base '!I139</f>
        <v>0</v>
      </c>
      <c r="J139" s="2425">
        <f>'Sch 1- Rate Base '!J139</f>
        <v>126938815.89</v>
      </c>
      <c r="K139" s="3205">
        <f>IF($E139="DIRECT",0,1)</f>
        <v>1</v>
      </c>
      <c r="O139" s="3235">
        <f>$G139</f>
        <v>126938815.89</v>
      </c>
      <c r="P139" s="3236">
        <f>VLOOKUP($E139,O$442:R$453,2,FALSE)*O139*($K139)+IF($G139&lt;&gt;0,($H139/$G139)*O139,0)*(1-$K139)</f>
        <v>0</v>
      </c>
      <c r="Q139" s="3236">
        <f>VLOOKUP($E139,O$442:R$453,3,FALSE)*O139*($K139)+IF($G139&lt;&gt;0,($I139/$G139)*O139,0)*(1-$K139)</f>
        <v>0</v>
      </c>
      <c r="R139" s="3236">
        <f>VLOOKUP($E139,O$442:R$453,4,FALSE)*O139*($K139)+(O139-P139-Q139)*(1-$K139)</f>
        <v>126938815.89</v>
      </c>
      <c r="S139" s="3237"/>
      <c r="W139" s="3235">
        <f>$G139</f>
        <v>126938815.89</v>
      </c>
      <c r="X139" s="3236">
        <f>VLOOKUP($E139,W$442:Z$453,2,FALSE)*W139*($K139)+IF($G139&lt;&gt;0,($H139/$G139)*W139,0)*(1-$K139)</f>
        <v>0</v>
      </c>
      <c r="Y139" s="3236">
        <f>VLOOKUP($E139,W$442:Z$453,3,FALSE)*W139*($K139)+IF($G139&lt;&gt;0,($I139/$G139)*W139,0)*(1-$K139)</f>
        <v>0</v>
      </c>
      <c r="Z139" s="3236">
        <f>VLOOKUP($E139,W$442:Z$453,4,FALSE)*W139*($K139)+(W139-X139-Y139)*(1-$K139)</f>
        <v>126938815.89</v>
      </c>
      <c r="AA139" s="3237"/>
      <c r="AE139" s="3235">
        <f>$G139</f>
        <v>126938815.89</v>
      </c>
      <c r="AF139" s="3236">
        <f>VLOOKUP($E139,AE$442:AH$453,2,FALSE)*AE139*($K139)+IF($G139&lt;&gt;0,($H139/$G139)*AE139,0)*(1-$K139)</f>
        <v>0</v>
      </c>
      <c r="AG139" s="3236">
        <f>VLOOKUP($E139,AE$442:AH$453,3,FALSE)*AE139*($K139)+IF($G139&lt;&gt;0,($I139/$G139)*AE139,0)*(1-$K139)</f>
        <v>0</v>
      </c>
      <c r="AH139" s="3236">
        <f>VLOOKUP($E139,AE$442:AH$453,4,FALSE)*AE139*($K139)+(AE139-AF139-AG139)*(1-$K139)</f>
        <v>126938815.89</v>
      </c>
      <c r="AI139" s="3237"/>
      <c r="AM139" s="3235">
        <f>$G139</f>
        <v>126938815.89</v>
      </c>
      <c r="AN139" s="3236">
        <f>VLOOKUP($E139,AM$442:AP$453,2,FALSE)*AM139*($K139)+IF($G139&lt;&gt;0,($H139/$G139)*AM139,0)*(1-$K139)</f>
        <v>0</v>
      </c>
      <c r="AO139" s="3236">
        <f>VLOOKUP($E139,AM$442:AP$453,3,FALSE)*AM139*($K139)+IF($G139&lt;&gt;0,($I139/$G139)*AM139,0)*(1-$K139)</f>
        <v>0</v>
      </c>
      <c r="AP139" s="3236">
        <f>VLOOKUP($E139,AM$442:AP$453,4,FALSE)*AM139*($K139)+(AM139-AN139-AO139)*(1-$K139)</f>
        <v>126938815.89</v>
      </c>
      <c r="AQ139" s="3237"/>
      <c r="AU139" s="3235">
        <f>$G139</f>
        <v>126938815.89</v>
      </c>
      <c r="AV139" s="3236">
        <f>VLOOKUP($E139,AU$442:AX$453,2,FALSE)*AU139*($K139)+IF($G139&lt;&gt;0,($H139/$G139)*AU139,0)*(1-$K139)</f>
        <v>0</v>
      </c>
      <c r="AW139" s="3236">
        <f>VLOOKUP($E139,AU$442:AX$453,3,FALSE)*AU139*($K139)+IF($G139&lt;&gt;0,($I139/$G139)*AU139,0)*(1-$K139)</f>
        <v>0</v>
      </c>
      <c r="AX139" s="3236">
        <f>VLOOKUP($E139,AU$442:AX$453,4,FALSE)*AU139*($K139)+(AU139-AV139-AW139)*(1-$K139)</f>
        <v>126938815.89</v>
      </c>
      <c r="AY139" s="3237"/>
      <c r="BC139" s="3235">
        <f>$G139</f>
        <v>126938815.89</v>
      </c>
      <c r="BD139" s="3236">
        <f>VLOOKUP($E139,BC$442:BF$453,2,FALSE)*BC139*($K139)+IF($G139&lt;&gt;0,($H139/$G139)*BC139,0)*(1-$K139)</f>
        <v>0</v>
      </c>
      <c r="BE139" s="3236">
        <f>VLOOKUP($E139,BC$442:BF$453,3,FALSE)*BC139*($K139)+IF($G139&lt;&gt;0,($I139/$G139)*BC139,0)*(1-$K139)</f>
        <v>0</v>
      </c>
      <c r="BF139" s="3236">
        <f>VLOOKUP($E139,BC$442:BF$453,4,FALSE)*BC139*($K139)+(BC139-BD139-BE139)*(1-$K139)</f>
        <v>126938815.89</v>
      </c>
      <c r="BG139" s="3237"/>
      <c r="BK139" s="3235">
        <f>$G139</f>
        <v>126938815.89</v>
      </c>
      <c r="BL139" s="3236">
        <f>VLOOKUP($E139,BK$442:BN$453,2,FALSE)*BK139*($K139)+IF($G139&lt;&gt;0,($H139/$G139)*BK139,0)*(1-$K139)</f>
        <v>0</v>
      </c>
      <c r="BM139" s="3236">
        <f>VLOOKUP($E139,BK$442:BN$453,3,FALSE)*BK139*($K139)+IF($G139&lt;&gt;0,($I139/$G139)*BK139,0)*(1-$K139)</f>
        <v>0</v>
      </c>
      <c r="BN139" s="3236">
        <f>VLOOKUP($E139,BK$442:BN$453,4,FALSE)*BK139*($K139)+(BK139-BL139-BM139)*(1-$K139)</f>
        <v>126938815.89</v>
      </c>
      <c r="BO139" s="3237"/>
      <c r="BS139" s="3235">
        <f>$G139</f>
        <v>126938815.89</v>
      </c>
      <c r="BT139" s="3236">
        <f>VLOOKUP($E139,BS$442:BV$453,2,FALSE)*BS139*($K139)+IF($G139&lt;&gt;0,($H139/$G139)*BS139,0)*(1-$K139)</f>
        <v>0</v>
      </c>
      <c r="BU139" s="3236">
        <f>VLOOKUP($E139,BS$442:BV$453,3,FALSE)*BS139*($K139)+IF($G139&lt;&gt;0,($I139/$G139)*BS139,0)*(1-$K139)</f>
        <v>0</v>
      </c>
      <c r="BV139" s="3236">
        <f>VLOOKUP($E139,BS$442:BV$453,4,FALSE)*BS139*($K139)+(BS139-BT139-BU139)*(1-$K139)</f>
        <v>126938815.89</v>
      </c>
      <c r="BW139" s="3237"/>
      <c r="CA139" s="3235">
        <f>$G139</f>
        <v>126938815.89</v>
      </c>
      <c r="CB139" s="3236">
        <f>VLOOKUP($E139,CA$442:CD$453,2,FALSE)*CA139*($K139)+IF($G139&lt;&gt;0,($H139/$G139)*CA139,0)*(1-$K139)</f>
        <v>0</v>
      </c>
      <c r="CC139" s="3236">
        <f>VLOOKUP($E139,CA$442:CD$453,3,FALSE)*CA139*($K139)+IF($G139&lt;&gt;0,($I139/$G139)*CA139,0)*(1-$K139)</f>
        <v>0</v>
      </c>
      <c r="CD139" s="3236">
        <f>VLOOKUP($E139,CA$442:CD$453,4,FALSE)*CA139*($K139)+(CA139-CB139-CC139)*(1-$K139)</f>
        <v>126938815.89</v>
      </c>
      <c r="CE139" s="3237"/>
      <c r="CI139" s="3235">
        <f>$G139</f>
        <v>126938815.89</v>
      </c>
      <c r="CJ139" s="3236">
        <f>VLOOKUP($E139,CI$442:CL$453,2,FALSE)*CI139*($K139)+IF($G139&lt;&gt;0,($H139/$G139)*CI139,0)*(1-$K139)</f>
        <v>0</v>
      </c>
      <c r="CK139" s="3236">
        <f>VLOOKUP($E139,CI$442:CL$453,3,FALSE)*CI139*($K139)+IF($G139&lt;&gt;0,($I139/$G139)*CI139,0)*(1-$K139)</f>
        <v>0</v>
      </c>
      <c r="CL139" s="3236">
        <f>VLOOKUP($E139,CI$442:CL$453,4,FALSE)*CI139*($K139)+(CI139-CJ139-CK139)*(1-$K139)</f>
        <v>126938815.89</v>
      </c>
      <c r="CM139" s="3237"/>
      <c r="CQ139" s="3235">
        <f>$G139</f>
        <v>126938815.89</v>
      </c>
      <c r="CR139" s="3236">
        <f>VLOOKUP($E139,CQ$442:CT$453,2,FALSE)*CQ139*($K139)+IF($G139&lt;&gt;0,($H139/$G139)*CQ139,0)*(1-$K139)</f>
        <v>0</v>
      </c>
      <c r="CS139" s="3236">
        <f>VLOOKUP($E139,CQ$442:CT$453,3,FALSE)*CQ139*($K139)+IF($G139&lt;&gt;0,($I139/$G139)*CQ139,0)*(1-$K139)</f>
        <v>0</v>
      </c>
      <c r="CT139" s="3236">
        <f>VLOOKUP($E139,CQ$442:CT$453,4,FALSE)*CQ139*($K139)+(CQ139-CR139-CS139)*(1-$K139)</f>
        <v>126938815.89</v>
      </c>
      <c r="CU139" s="3237"/>
      <c r="CY139" s="3235">
        <f>$G139</f>
        <v>126938815.89</v>
      </c>
      <c r="CZ139" s="3236">
        <f>VLOOKUP($E139,CY$442:DB$453,2,FALSE)*CY139*($K139)+IF($G139&lt;&gt;0,($H139/$G139)*CY139,0)*(1-$K139)</f>
        <v>0</v>
      </c>
      <c r="DA139" s="3236">
        <f>VLOOKUP($E139,CY$442:DB$453,3,FALSE)*CY139*($K139)+IF($G139&lt;&gt;0,($I139/$G139)*CY139,0)*(1-$K139)</f>
        <v>0</v>
      </c>
      <c r="DB139" s="3236">
        <f>VLOOKUP($E139,CY$442:DB$453,4,FALSE)*CY139*($K139)+(CY139-CZ139-DA139)*(1-$K139)</f>
        <v>126938815.89</v>
      </c>
      <c r="DC139" s="3237"/>
      <c r="DG139" s="3235">
        <f>$G139</f>
        <v>126938815.89</v>
      </c>
      <c r="DH139" s="3236">
        <f>VLOOKUP($E139,DG$442:DJ$453,2,FALSE)*DG139*($K139)+IF($G139&lt;&gt;0,($H139/$G139)*DG139,0)*(1-$K139)</f>
        <v>0</v>
      </c>
      <c r="DI139" s="3236">
        <f>VLOOKUP($E139,DG$442:DJ$453,3,FALSE)*DG139*($K139)+IF($G139&lt;&gt;0,($I139/$G139)*DG139,0)*(1-$K139)</f>
        <v>0</v>
      </c>
      <c r="DJ139" s="3236">
        <f>VLOOKUP($E139,DG$442:DJ$453,4,FALSE)*DG139*($K139)+(DG139-DH139-DI139)*(1-$K139)</f>
        <v>126938815.89</v>
      </c>
      <c r="DK139" s="3237"/>
      <c r="DO139" s="3235">
        <f>$G139</f>
        <v>126938815.89</v>
      </c>
      <c r="DP139" s="3236">
        <f>VLOOKUP($E139,DO$442:DR$453,2,FALSE)*DO139*($K139)+IF($G139&lt;&gt;0,($H139/$G139)*DO139,0)*(1-$K139)</f>
        <v>0</v>
      </c>
      <c r="DQ139" s="3236">
        <f>VLOOKUP($E139,DO$442:DR$453,3,FALSE)*DO139*($K139)+IF($G139&lt;&gt;0,($I139/$G139)*DO139,0)*(1-$K139)</f>
        <v>0</v>
      </c>
      <c r="DR139" s="3236">
        <f>VLOOKUP($E139,DO$442:DR$453,4,FALSE)*DO139*($K139)+(DO139-DP139-DQ139)*(1-$K139)</f>
        <v>126938815.89</v>
      </c>
      <c r="DS139" s="3237"/>
      <c r="DW139" s="3235">
        <f>$G139</f>
        <v>126938815.89</v>
      </c>
      <c r="DX139" s="3236">
        <f>VLOOKUP($E139,DW$442:DZ$453,2,FALSE)*DW139*($K139)+IF($G139&lt;&gt;0,($H139/$G139)*DW139,0)*(1-$K139)</f>
        <v>0</v>
      </c>
      <c r="DY139" s="3236">
        <f>VLOOKUP($E139,DW$442:DZ$453,3,FALSE)*DW139*($K139)+IF($G139&lt;&gt;0,($I139/$G139)*DW139,0)*(1-$K139)</f>
        <v>0</v>
      </c>
      <c r="DZ139" s="3236">
        <f>VLOOKUP($E139,DW$442:DZ$453,4,FALSE)*DW139*($K139)+(DW139-DX139-DY139)*(1-$K139)</f>
        <v>126938815.89</v>
      </c>
      <c r="EA139" s="3237"/>
      <c r="EE139" s="3235">
        <f>$G139</f>
        <v>126938815.89</v>
      </c>
      <c r="EF139" s="3236">
        <f>VLOOKUP($E139,EE$442:EH$453,2,FALSE)*EE139*($K139)+IF($G139&lt;&gt;0,($H139/$G139)*EE139,0)*(1-$K139)</f>
        <v>0</v>
      </c>
      <c r="EG139" s="3236">
        <f>VLOOKUP($E139,EE$442:EH$453,3,FALSE)*EE139*($K139)+IF($G139&lt;&gt;0,($I139/$G139)*EE139,0)*(1-$K139)</f>
        <v>0</v>
      </c>
      <c r="EH139" s="3236">
        <f>VLOOKUP($E139,EE$442:EH$453,4,FALSE)*EE139*($K139)+(EE139-EF139-EG139)*(1-$K139)</f>
        <v>126938815.89</v>
      </c>
      <c r="EI139" s="3237"/>
      <c r="EM139" s="3235">
        <f>$G139</f>
        <v>126938815.89</v>
      </c>
      <c r="EN139" s="3236">
        <f>VLOOKUP($E139,EM$442:EP$453,2,FALSE)*EM139*($K139)+IF($G139&lt;&gt;0,($H139/$G139)*EM139,0)*(1-$K139)</f>
        <v>0</v>
      </c>
      <c r="EO139" s="3236">
        <f>VLOOKUP($E139,EM$442:EP$453,3,FALSE)*EM139*($K139)+IF($G139&lt;&gt;0,($I139/$G139)*EM139,0)*(1-$K139)</f>
        <v>0</v>
      </c>
      <c r="EP139" s="3236">
        <f>VLOOKUP($E139,EM$442:EP$453,4,FALSE)*EM139*($K139)+(EM139-EN139-EO139)*(1-$K139)</f>
        <v>126938815.89</v>
      </c>
      <c r="EQ139" s="3237"/>
      <c r="EU139" s="3235">
        <f>$G139</f>
        <v>126938815.89</v>
      </c>
      <c r="EV139" s="3236">
        <f>VLOOKUP($E139,EU$442:EX$453,2,FALSE)*EU139*($K139)+IF($G139&lt;&gt;0,($H139/$G139)*EU139,0)*(1-$K139)</f>
        <v>0</v>
      </c>
      <c r="EW139" s="3236">
        <f>VLOOKUP($E139,EU$442:EX$453,3,FALSE)*EU139*($K139)+IF($G139&lt;&gt;0,($I139/$G139)*EU139,0)*(1-$K139)</f>
        <v>0</v>
      </c>
      <c r="EX139" s="3236">
        <f>VLOOKUP($E139,EU$442:EX$453,4,FALSE)*EU139*($K139)+(EU139-EV139-EW139)*(1-$K139)</f>
        <v>126938815.89</v>
      </c>
      <c r="EY139" s="3237"/>
      <c r="FC139" s="3235">
        <f>$G139</f>
        <v>126938815.89</v>
      </c>
      <c r="FD139" s="3236">
        <f>VLOOKUP($E139,FC$442:FF$453,2,FALSE)*FC139*($K139)+IF($G139&lt;&gt;0,($H139/$G139)*FC139,0)*(1-$K139)</f>
        <v>0</v>
      </c>
      <c r="FE139" s="3236">
        <f>VLOOKUP($E139,FC$442:FF$453,3,FALSE)*FC139*($K139)+IF($G139&lt;&gt;0,($I139/$G139)*FC139,0)*(1-$K139)</f>
        <v>0</v>
      </c>
      <c r="FF139" s="3236">
        <f>VLOOKUP($E139,FC$442:FF$453,4,FALSE)*FC139*($K139)+(FC139-FD139-FE139)*(1-$K139)</f>
        <v>126938815.89</v>
      </c>
      <c r="FG139" s="3237"/>
      <c r="FK139" s="3235">
        <f>$G139</f>
        <v>126938815.89</v>
      </c>
      <c r="FL139" s="3236">
        <f>VLOOKUP($E139,FK$442:FN$453,2,FALSE)*FK139*($K139)+IF($G139&lt;&gt;0,($H139/$G139)*FK139,0)*(1-$K139)</f>
        <v>0</v>
      </c>
      <c r="FM139" s="3236">
        <f>VLOOKUP($E139,FK$442:FN$453,3,FALSE)*FK139*($K139)+IF($G139&lt;&gt;0,($I139/$G139)*FK139,0)*(1-$K139)</f>
        <v>0</v>
      </c>
      <c r="FN139" s="3236">
        <f>VLOOKUP($E139,FK$442:FN$453,4,FALSE)*FK139*($K139)+(FK139-FL139-FM139)*(1-$K139)</f>
        <v>126938815.89</v>
      </c>
      <c r="FO139" s="3237"/>
    </row>
    <row r="140" spans="1:171">
      <c r="A140" s="3277"/>
      <c r="B140" s="3301" t="s">
        <v>615</v>
      </c>
      <c r="C140" s="2464" t="s">
        <v>346</v>
      </c>
      <c r="D140" s="2464">
        <v>244</v>
      </c>
      <c r="E140" s="2424" t="str">
        <f>'Sch 1- Rate Base '!E140</f>
        <v>DIST</v>
      </c>
      <c r="F140" s="2171"/>
      <c r="G140" s="2424">
        <f>'Sch 1- Rate Base '!G140</f>
        <v>19744163.190000001</v>
      </c>
      <c r="H140" s="2424">
        <f>'Sch 1- Rate Base '!H140</f>
        <v>0</v>
      </c>
      <c r="I140" s="2424">
        <f>'Sch 1- Rate Base '!I140</f>
        <v>0</v>
      </c>
      <c r="J140" s="2425">
        <f>'Sch 1- Rate Base '!J140</f>
        <v>19744163.190000001</v>
      </c>
      <c r="K140" s="3205">
        <f>IF($E140="DIRECT",0,1)</f>
        <v>1</v>
      </c>
      <c r="O140" s="3235">
        <f>$G140</f>
        <v>19744163.190000001</v>
      </c>
      <c r="P140" s="3236">
        <f>VLOOKUP($E140,O$442:R$453,2,FALSE)*O140*($K140)+IF($G140&lt;&gt;0,($H140/$G140)*O140,0)*(1-$K140)</f>
        <v>0</v>
      </c>
      <c r="Q140" s="3236">
        <f>VLOOKUP($E140,O$442:R$453,3,FALSE)*O140*($K140)+IF($G140&lt;&gt;0,($I140/$G140)*O140,0)*(1-$K140)</f>
        <v>0</v>
      </c>
      <c r="R140" s="3236">
        <f>VLOOKUP($E140,O$442:R$453,4,FALSE)*O140*($K140)+(O140-P140-Q140)*(1-$K140)</f>
        <v>19744163.190000001</v>
      </c>
      <c r="S140" s="3237"/>
      <c r="W140" s="3235">
        <f>$G140</f>
        <v>19744163.190000001</v>
      </c>
      <c r="X140" s="3236">
        <f>VLOOKUP($E140,W$442:Z$453,2,FALSE)*W140*($K140)+IF($G140&lt;&gt;0,($H140/$G140)*W140,0)*(1-$K140)</f>
        <v>0</v>
      </c>
      <c r="Y140" s="3236">
        <f>VLOOKUP($E140,W$442:Z$453,3,FALSE)*W140*($K140)+IF($G140&lt;&gt;0,($I140/$G140)*W140,0)*(1-$K140)</f>
        <v>0</v>
      </c>
      <c r="Z140" s="3236">
        <f>VLOOKUP($E140,W$442:Z$453,4,FALSE)*W140*($K140)+(W140-X140-Y140)*(1-$K140)</f>
        <v>19744163.190000001</v>
      </c>
      <c r="AA140" s="3237"/>
      <c r="AE140" s="3235">
        <f>$G140</f>
        <v>19744163.190000001</v>
      </c>
      <c r="AF140" s="3236">
        <f>VLOOKUP($E140,AE$442:AH$453,2,FALSE)*AE140*($K140)+IF($G140&lt;&gt;0,($H140/$G140)*AE140,0)*(1-$K140)</f>
        <v>0</v>
      </c>
      <c r="AG140" s="3236">
        <f>VLOOKUP($E140,AE$442:AH$453,3,FALSE)*AE140*($K140)+IF($G140&lt;&gt;0,($I140/$G140)*AE140,0)*(1-$K140)</f>
        <v>0</v>
      </c>
      <c r="AH140" s="3236">
        <f>VLOOKUP($E140,AE$442:AH$453,4,FALSE)*AE140*($K140)+(AE140-AF140-AG140)*(1-$K140)</f>
        <v>19744163.190000001</v>
      </c>
      <c r="AI140" s="3237"/>
      <c r="AM140" s="3235">
        <f>$G140</f>
        <v>19744163.190000001</v>
      </c>
      <c r="AN140" s="3236">
        <f>VLOOKUP($E140,AM$442:AP$453,2,FALSE)*AM140*($K140)+IF($G140&lt;&gt;0,($H140/$G140)*AM140,0)*(1-$K140)</f>
        <v>0</v>
      </c>
      <c r="AO140" s="3236">
        <f>VLOOKUP($E140,AM$442:AP$453,3,FALSE)*AM140*($K140)+IF($G140&lt;&gt;0,($I140/$G140)*AM140,0)*(1-$K140)</f>
        <v>0</v>
      </c>
      <c r="AP140" s="3236">
        <f>VLOOKUP($E140,AM$442:AP$453,4,FALSE)*AM140*($K140)+(AM140-AN140-AO140)*(1-$K140)</f>
        <v>19744163.190000001</v>
      </c>
      <c r="AQ140" s="3237"/>
      <c r="AU140" s="3235">
        <f>$G140</f>
        <v>19744163.190000001</v>
      </c>
      <c r="AV140" s="3236">
        <f>VLOOKUP($E140,AU$442:AX$453,2,FALSE)*AU140*($K140)+IF($G140&lt;&gt;0,($H140/$G140)*AU140,0)*(1-$K140)</f>
        <v>0</v>
      </c>
      <c r="AW140" s="3236">
        <f>VLOOKUP($E140,AU$442:AX$453,3,FALSE)*AU140*($K140)+IF($G140&lt;&gt;0,($I140/$G140)*AU140,0)*(1-$K140)</f>
        <v>0</v>
      </c>
      <c r="AX140" s="3236">
        <f>VLOOKUP($E140,AU$442:AX$453,4,FALSE)*AU140*($K140)+(AU140-AV140-AW140)*(1-$K140)</f>
        <v>19744163.190000001</v>
      </c>
      <c r="AY140" s="3237"/>
      <c r="BC140" s="3235">
        <f>$G140</f>
        <v>19744163.190000001</v>
      </c>
      <c r="BD140" s="3236">
        <f>VLOOKUP($E140,BC$442:BF$453,2,FALSE)*BC140*($K140)+IF($G140&lt;&gt;0,($H140/$G140)*BC140,0)*(1-$K140)</f>
        <v>0</v>
      </c>
      <c r="BE140" s="3236">
        <f>VLOOKUP($E140,BC$442:BF$453,3,FALSE)*BC140*($K140)+IF($G140&lt;&gt;0,($I140/$G140)*BC140,0)*(1-$K140)</f>
        <v>0</v>
      </c>
      <c r="BF140" s="3236">
        <f>VLOOKUP($E140,BC$442:BF$453,4,FALSE)*BC140*($K140)+(BC140-BD140-BE140)*(1-$K140)</f>
        <v>19744163.190000001</v>
      </c>
      <c r="BG140" s="3237"/>
      <c r="BK140" s="3235">
        <f>$G140</f>
        <v>19744163.190000001</v>
      </c>
      <c r="BL140" s="3236">
        <f>VLOOKUP($E140,BK$442:BN$453,2,FALSE)*BK140*($K140)+IF($G140&lt;&gt;0,($H140/$G140)*BK140,0)*(1-$K140)</f>
        <v>0</v>
      </c>
      <c r="BM140" s="3236">
        <f>VLOOKUP($E140,BK$442:BN$453,3,FALSE)*BK140*($K140)+IF($G140&lt;&gt;0,($I140/$G140)*BK140,0)*(1-$K140)</f>
        <v>0</v>
      </c>
      <c r="BN140" s="3236">
        <f>VLOOKUP($E140,BK$442:BN$453,4,FALSE)*BK140*($K140)+(BK140-BL140-BM140)*(1-$K140)</f>
        <v>19744163.190000001</v>
      </c>
      <c r="BO140" s="3237"/>
      <c r="BS140" s="3235">
        <f>$G140</f>
        <v>19744163.190000001</v>
      </c>
      <c r="BT140" s="3236">
        <f>VLOOKUP($E140,BS$442:BV$453,2,FALSE)*BS140*($K140)+IF($G140&lt;&gt;0,($H140/$G140)*BS140,0)*(1-$K140)</f>
        <v>0</v>
      </c>
      <c r="BU140" s="3236">
        <f>VLOOKUP($E140,BS$442:BV$453,3,FALSE)*BS140*($K140)+IF($G140&lt;&gt;0,($I140/$G140)*BS140,0)*(1-$K140)</f>
        <v>0</v>
      </c>
      <c r="BV140" s="3236">
        <f>VLOOKUP($E140,BS$442:BV$453,4,FALSE)*BS140*($K140)+(BS140-BT140-BU140)*(1-$K140)</f>
        <v>19744163.190000001</v>
      </c>
      <c r="BW140" s="3237"/>
      <c r="CA140" s="3235">
        <f>$G140</f>
        <v>19744163.190000001</v>
      </c>
      <c r="CB140" s="3236">
        <f>VLOOKUP($E140,CA$442:CD$453,2,FALSE)*CA140*($K140)+IF($G140&lt;&gt;0,($H140/$G140)*CA140,0)*(1-$K140)</f>
        <v>0</v>
      </c>
      <c r="CC140" s="3236">
        <f>VLOOKUP($E140,CA$442:CD$453,3,FALSE)*CA140*($K140)+IF($G140&lt;&gt;0,($I140/$G140)*CA140,0)*(1-$K140)</f>
        <v>0</v>
      </c>
      <c r="CD140" s="3236">
        <f>VLOOKUP($E140,CA$442:CD$453,4,FALSE)*CA140*($K140)+(CA140-CB140-CC140)*(1-$K140)</f>
        <v>19744163.190000001</v>
      </c>
      <c r="CE140" s="3237"/>
      <c r="CI140" s="3235">
        <f>$G140</f>
        <v>19744163.190000001</v>
      </c>
      <c r="CJ140" s="3236">
        <f>VLOOKUP($E140,CI$442:CL$453,2,FALSE)*CI140*($K140)+IF($G140&lt;&gt;0,($H140/$G140)*CI140,0)*(1-$K140)</f>
        <v>0</v>
      </c>
      <c r="CK140" s="3236">
        <f>VLOOKUP($E140,CI$442:CL$453,3,FALSE)*CI140*($K140)+IF($G140&lt;&gt;0,($I140/$G140)*CI140,0)*(1-$K140)</f>
        <v>0</v>
      </c>
      <c r="CL140" s="3236">
        <f>VLOOKUP($E140,CI$442:CL$453,4,FALSE)*CI140*($K140)+(CI140-CJ140-CK140)*(1-$K140)</f>
        <v>19744163.190000001</v>
      </c>
      <c r="CM140" s="3237"/>
      <c r="CQ140" s="3235">
        <f>$G140</f>
        <v>19744163.190000001</v>
      </c>
      <c r="CR140" s="3236">
        <f>VLOOKUP($E140,CQ$442:CT$453,2,FALSE)*CQ140*($K140)+IF($G140&lt;&gt;0,($H140/$G140)*CQ140,0)*(1-$K140)</f>
        <v>0</v>
      </c>
      <c r="CS140" s="3236">
        <f>VLOOKUP($E140,CQ$442:CT$453,3,FALSE)*CQ140*($K140)+IF($G140&lt;&gt;0,($I140/$G140)*CQ140,0)*(1-$K140)</f>
        <v>0</v>
      </c>
      <c r="CT140" s="3236">
        <f>VLOOKUP($E140,CQ$442:CT$453,4,FALSE)*CQ140*($K140)+(CQ140-CR140-CS140)*(1-$K140)</f>
        <v>19744163.190000001</v>
      </c>
      <c r="CU140" s="3237"/>
      <c r="CY140" s="3235">
        <f>$G140</f>
        <v>19744163.190000001</v>
      </c>
      <c r="CZ140" s="3236">
        <f>VLOOKUP($E140,CY$442:DB$453,2,FALSE)*CY140*($K140)+IF($G140&lt;&gt;0,($H140/$G140)*CY140,0)*(1-$K140)</f>
        <v>0</v>
      </c>
      <c r="DA140" s="3236">
        <f>VLOOKUP($E140,CY$442:DB$453,3,FALSE)*CY140*($K140)+IF($G140&lt;&gt;0,($I140/$G140)*CY140,0)*(1-$K140)</f>
        <v>0</v>
      </c>
      <c r="DB140" s="3236">
        <f>VLOOKUP($E140,CY$442:DB$453,4,FALSE)*CY140*($K140)+(CY140-CZ140-DA140)*(1-$K140)</f>
        <v>19744163.190000001</v>
      </c>
      <c r="DC140" s="3237"/>
      <c r="DG140" s="3235">
        <f>$G140</f>
        <v>19744163.190000001</v>
      </c>
      <c r="DH140" s="3236">
        <f>VLOOKUP($E140,DG$442:DJ$453,2,FALSE)*DG140*($K140)+IF($G140&lt;&gt;0,($H140/$G140)*DG140,0)*(1-$K140)</f>
        <v>0</v>
      </c>
      <c r="DI140" s="3236">
        <f>VLOOKUP($E140,DG$442:DJ$453,3,FALSE)*DG140*($K140)+IF($G140&lt;&gt;0,($I140/$G140)*DG140,0)*(1-$K140)</f>
        <v>0</v>
      </c>
      <c r="DJ140" s="3236">
        <f>VLOOKUP($E140,DG$442:DJ$453,4,FALSE)*DG140*($K140)+(DG140-DH140-DI140)*(1-$K140)</f>
        <v>19744163.190000001</v>
      </c>
      <c r="DK140" s="3237"/>
      <c r="DO140" s="3235">
        <f>$G140</f>
        <v>19744163.190000001</v>
      </c>
      <c r="DP140" s="3236">
        <f>VLOOKUP($E140,DO$442:DR$453,2,FALSE)*DO140*($K140)+IF($G140&lt;&gt;0,($H140/$G140)*DO140,0)*(1-$K140)</f>
        <v>0</v>
      </c>
      <c r="DQ140" s="3236">
        <f>VLOOKUP($E140,DO$442:DR$453,3,FALSE)*DO140*($K140)+IF($G140&lt;&gt;0,($I140/$G140)*DO140,0)*(1-$K140)</f>
        <v>0</v>
      </c>
      <c r="DR140" s="3236">
        <f>VLOOKUP($E140,DO$442:DR$453,4,FALSE)*DO140*($K140)+(DO140-DP140-DQ140)*(1-$K140)</f>
        <v>19744163.190000001</v>
      </c>
      <c r="DS140" s="3237"/>
      <c r="DW140" s="3235">
        <f>$G140</f>
        <v>19744163.190000001</v>
      </c>
      <c r="DX140" s="3236">
        <f>VLOOKUP($E140,DW$442:DZ$453,2,FALSE)*DW140*($K140)+IF($G140&lt;&gt;0,($H140/$G140)*DW140,0)*(1-$K140)</f>
        <v>0</v>
      </c>
      <c r="DY140" s="3236">
        <f>VLOOKUP($E140,DW$442:DZ$453,3,FALSE)*DW140*($K140)+IF($G140&lt;&gt;0,($I140/$G140)*DW140,0)*(1-$K140)</f>
        <v>0</v>
      </c>
      <c r="DZ140" s="3236">
        <f>VLOOKUP($E140,DW$442:DZ$453,4,FALSE)*DW140*($K140)+(DW140-DX140-DY140)*(1-$K140)</f>
        <v>19744163.190000001</v>
      </c>
      <c r="EA140" s="3237"/>
      <c r="EE140" s="3235">
        <f>$G140</f>
        <v>19744163.190000001</v>
      </c>
      <c r="EF140" s="3236">
        <f>VLOOKUP($E140,EE$442:EH$453,2,FALSE)*EE140*($K140)+IF($G140&lt;&gt;0,($H140/$G140)*EE140,0)*(1-$K140)</f>
        <v>0</v>
      </c>
      <c r="EG140" s="3236">
        <f>VLOOKUP($E140,EE$442:EH$453,3,FALSE)*EE140*($K140)+IF($G140&lt;&gt;0,($I140/$G140)*EE140,0)*(1-$K140)</f>
        <v>0</v>
      </c>
      <c r="EH140" s="3236">
        <f>VLOOKUP($E140,EE$442:EH$453,4,FALSE)*EE140*($K140)+(EE140-EF140-EG140)*(1-$K140)</f>
        <v>19744163.190000001</v>
      </c>
      <c r="EI140" s="3237"/>
      <c r="EM140" s="3235">
        <f>$G140</f>
        <v>19744163.190000001</v>
      </c>
      <c r="EN140" s="3236">
        <f>VLOOKUP($E140,EM$442:EP$453,2,FALSE)*EM140*($K140)+IF($G140&lt;&gt;0,($H140/$G140)*EM140,0)*(1-$K140)</f>
        <v>0</v>
      </c>
      <c r="EO140" s="3236">
        <f>VLOOKUP($E140,EM$442:EP$453,3,FALSE)*EM140*($K140)+IF($G140&lt;&gt;0,($I140/$G140)*EM140,0)*(1-$K140)</f>
        <v>0</v>
      </c>
      <c r="EP140" s="3236">
        <f>VLOOKUP($E140,EM$442:EP$453,4,FALSE)*EM140*($K140)+(EM140-EN140-EO140)*(1-$K140)</f>
        <v>19744163.190000001</v>
      </c>
      <c r="EQ140" s="3237"/>
      <c r="EU140" s="3235">
        <f>$G140</f>
        <v>19744163.190000001</v>
      </c>
      <c r="EV140" s="3236">
        <f>VLOOKUP($E140,EU$442:EX$453,2,FALSE)*EU140*($K140)+IF($G140&lt;&gt;0,($H140/$G140)*EU140,0)*(1-$K140)</f>
        <v>0</v>
      </c>
      <c r="EW140" s="3236">
        <f>VLOOKUP($E140,EU$442:EX$453,3,FALSE)*EU140*($K140)+IF($G140&lt;&gt;0,($I140/$G140)*EU140,0)*(1-$K140)</f>
        <v>0</v>
      </c>
      <c r="EX140" s="3236">
        <f>VLOOKUP($E140,EU$442:EX$453,4,FALSE)*EU140*($K140)+(EU140-EV140-EW140)*(1-$K140)</f>
        <v>19744163.190000001</v>
      </c>
      <c r="EY140" s="3237"/>
      <c r="FC140" s="3235">
        <f>$G140</f>
        <v>19744163.190000001</v>
      </c>
      <c r="FD140" s="3236">
        <f>VLOOKUP($E140,FC$442:FF$453,2,FALSE)*FC140*($K140)+IF($G140&lt;&gt;0,($H140/$G140)*FC140,0)*(1-$K140)</f>
        <v>0</v>
      </c>
      <c r="FE140" s="3236">
        <f>VLOOKUP($E140,FC$442:FF$453,3,FALSE)*FC140*($K140)+IF($G140&lt;&gt;0,($I140/$G140)*FC140,0)*(1-$K140)</f>
        <v>0</v>
      </c>
      <c r="FF140" s="3236">
        <f>VLOOKUP($E140,FC$442:FF$453,4,FALSE)*FC140*($K140)+(FC140-FD140-FE140)*(1-$K140)</f>
        <v>19744163.190000001</v>
      </c>
      <c r="FG140" s="3237"/>
      <c r="FK140" s="3235">
        <f>$G140</f>
        <v>19744163.190000001</v>
      </c>
      <c r="FL140" s="3236">
        <f>VLOOKUP($E140,FK$442:FN$453,2,FALSE)*FK140*($K140)+IF($G140&lt;&gt;0,($H140/$G140)*FK140,0)*(1-$K140)</f>
        <v>0</v>
      </c>
      <c r="FM140" s="3236">
        <f>VLOOKUP($E140,FK$442:FN$453,3,FALSE)*FK140*($K140)+IF($G140&lt;&gt;0,($I140/$G140)*FK140,0)*(1-$K140)</f>
        <v>0</v>
      </c>
      <c r="FN140" s="3236">
        <f>VLOOKUP($E140,FK$442:FN$453,4,FALSE)*FK140*($K140)+(FK140-FL140-FM140)*(1-$K140)</f>
        <v>19744163.190000001</v>
      </c>
      <c r="FO140" s="3237"/>
    </row>
    <row r="141" spans="1:171">
      <c r="A141" s="3277"/>
      <c r="B141" s="2290" t="s">
        <v>331</v>
      </c>
      <c r="C141" s="2464" t="s">
        <v>371</v>
      </c>
      <c r="D141" s="2464">
        <v>245</v>
      </c>
      <c r="E141" s="2424" t="str">
        <f>'Sch 1- Rate Base '!E141</f>
        <v>DIST</v>
      </c>
      <c r="F141" s="2171"/>
      <c r="G141" s="2424">
        <f>'Sch 1- Rate Base '!G141</f>
        <v>0</v>
      </c>
      <c r="H141" s="2424">
        <f>'Sch 1- Rate Base '!H141</f>
        <v>0</v>
      </c>
      <c r="I141" s="2424">
        <f>'Sch 1- Rate Base '!I141</f>
        <v>0</v>
      </c>
      <c r="J141" s="2425">
        <f>'Sch 1- Rate Base '!J141</f>
        <v>0</v>
      </c>
      <c r="K141" s="3205">
        <f>IF($E141="DIRECT",0,1)</f>
        <v>1</v>
      </c>
      <c r="O141" s="3235">
        <f>$G141</f>
        <v>0</v>
      </c>
      <c r="P141" s="3236">
        <f>VLOOKUP($E141,O$442:R$453,2,FALSE)*O141*($K141)+IF($G141&lt;&gt;0,($H141/$G141)*O141,0)*(1-$K141)</f>
        <v>0</v>
      </c>
      <c r="Q141" s="3236">
        <f>VLOOKUP($E141,O$442:R$453,3,FALSE)*O141*($K141)+IF($G141&lt;&gt;0,($I141/$G141)*O141,0)*(1-$K141)</f>
        <v>0</v>
      </c>
      <c r="R141" s="3236">
        <f>VLOOKUP($E141,O$442:R$453,4,FALSE)*O141*($K141)+(O141-P141-Q141)*(1-$K141)</f>
        <v>0</v>
      </c>
      <c r="S141" s="3237"/>
      <c r="W141" s="3235">
        <f>$G141</f>
        <v>0</v>
      </c>
      <c r="X141" s="3236">
        <f>VLOOKUP($E141,W$442:Z$453,2,FALSE)*W141*($K141)+IF($G141&lt;&gt;0,($H141/$G141)*W141,0)*(1-$K141)</f>
        <v>0</v>
      </c>
      <c r="Y141" s="3236">
        <f>VLOOKUP($E141,W$442:Z$453,3,FALSE)*W141*($K141)+IF($G141&lt;&gt;0,($I141/$G141)*W141,0)*(1-$K141)</f>
        <v>0</v>
      </c>
      <c r="Z141" s="3236">
        <f>VLOOKUP($E141,W$442:Z$453,4,FALSE)*W141*($K141)+(W141-X141-Y141)*(1-$K141)</f>
        <v>0</v>
      </c>
      <c r="AA141" s="3237"/>
      <c r="AE141" s="3235">
        <f>$G141</f>
        <v>0</v>
      </c>
      <c r="AF141" s="3236">
        <f>VLOOKUP($E141,AE$442:AH$453,2,FALSE)*AE141*($K141)+IF($G141&lt;&gt;0,($H141/$G141)*AE141,0)*(1-$K141)</f>
        <v>0</v>
      </c>
      <c r="AG141" s="3236">
        <f>VLOOKUP($E141,AE$442:AH$453,3,FALSE)*AE141*($K141)+IF($G141&lt;&gt;0,($I141/$G141)*AE141,0)*(1-$K141)</f>
        <v>0</v>
      </c>
      <c r="AH141" s="3236">
        <f>VLOOKUP($E141,AE$442:AH$453,4,FALSE)*AE141*($K141)+(AE141-AF141-AG141)*(1-$K141)</f>
        <v>0</v>
      </c>
      <c r="AI141" s="3237"/>
      <c r="AM141" s="3235">
        <f>$G141</f>
        <v>0</v>
      </c>
      <c r="AN141" s="3236">
        <f>VLOOKUP($E141,AM$442:AP$453,2,FALSE)*AM141*($K141)+IF($G141&lt;&gt;0,($H141/$G141)*AM141,0)*(1-$K141)</f>
        <v>0</v>
      </c>
      <c r="AO141" s="3236">
        <f>VLOOKUP($E141,AM$442:AP$453,3,FALSE)*AM141*($K141)+IF($G141&lt;&gt;0,($I141/$G141)*AM141,0)*(1-$K141)</f>
        <v>0</v>
      </c>
      <c r="AP141" s="3236">
        <f>VLOOKUP($E141,AM$442:AP$453,4,FALSE)*AM141*($K141)+(AM141-AN141-AO141)*(1-$K141)</f>
        <v>0</v>
      </c>
      <c r="AQ141" s="3237"/>
      <c r="AU141" s="3235">
        <f>$G141</f>
        <v>0</v>
      </c>
      <c r="AV141" s="3236">
        <f>VLOOKUP($E141,AU$442:AX$453,2,FALSE)*AU141*($K141)+IF($G141&lt;&gt;0,($H141/$G141)*AU141,0)*(1-$K141)</f>
        <v>0</v>
      </c>
      <c r="AW141" s="3236">
        <f>VLOOKUP($E141,AU$442:AX$453,3,FALSE)*AU141*($K141)+IF($G141&lt;&gt;0,($I141/$G141)*AU141,0)*(1-$K141)</f>
        <v>0</v>
      </c>
      <c r="AX141" s="3236">
        <f>VLOOKUP($E141,AU$442:AX$453,4,FALSE)*AU141*($K141)+(AU141-AV141-AW141)*(1-$K141)</f>
        <v>0</v>
      </c>
      <c r="AY141" s="3237"/>
      <c r="BC141" s="3235">
        <f>$G141</f>
        <v>0</v>
      </c>
      <c r="BD141" s="3236">
        <f>VLOOKUP($E141,BC$442:BF$453,2,FALSE)*BC141*($K141)+IF($G141&lt;&gt;0,($H141/$G141)*BC141,0)*(1-$K141)</f>
        <v>0</v>
      </c>
      <c r="BE141" s="3236">
        <f>VLOOKUP($E141,BC$442:BF$453,3,FALSE)*BC141*($K141)+IF($G141&lt;&gt;0,($I141/$G141)*BC141,0)*(1-$K141)</f>
        <v>0</v>
      </c>
      <c r="BF141" s="3236">
        <f>VLOOKUP($E141,BC$442:BF$453,4,FALSE)*BC141*($K141)+(BC141-BD141-BE141)*(1-$K141)</f>
        <v>0</v>
      </c>
      <c r="BG141" s="3237"/>
      <c r="BK141" s="3235">
        <f>$G141</f>
        <v>0</v>
      </c>
      <c r="BL141" s="3236">
        <f>VLOOKUP($E141,BK$442:BN$453,2,FALSE)*BK141*($K141)+IF($G141&lt;&gt;0,($H141/$G141)*BK141,0)*(1-$K141)</f>
        <v>0</v>
      </c>
      <c r="BM141" s="3236">
        <f>VLOOKUP($E141,BK$442:BN$453,3,FALSE)*BK141*($K141)+IF($G141&lt;&gt;0,($I141/$G141)*BK141,0)*(1-$K141)</f>
        <v>0</v>
      </c>
      <c r="BN141" s="3236">
        <f>VLOOKUP($E141,BK$442:BN$453,4,FALSE)*BK141*($K141)+(BK141-BL141-BM141)*(1-$K141)</f>
        <v>0</v>
      </c>
      <c r="BO141" s="3237"/>
      <c r="BS141" s="3235">
        <f>$G141</f>
        <v>0</v>
      </c>
      <c r="BT141" s="3236">
        <f>VLOOKUP($E141,BS$442:BV$453,2,FALSE)*BS141*($K141)+IF($G141&lt;&gt;0,($H141/$G141)*BS141,0)*(1-$K141)</f>
        <v>0</v>
      </c>
      <c r="BU141" s="3236">
        <f>VLOOKUP($E141,BS$442:BV$453,3,FALSE)*BS141*($K141)+IF($G141&lt;&gt;0,($I141/$G141)*BS141,0)*(1-$K141)</f>
        <v>0</v>
      </c>
      <c r="BV141" s="3236">
        <f>VLOOKUP($E141,BS$442:BV$453,4,FALSE)*BS141*($K141)+(BS141-BT141-BU141)*(1-$K141)</f>
        <v>0</v>
      </c>
      <c r="BW141" s="3237"/>
      <c r="CA141" s="3235">
        <f>$G141</f>
        <v>0</v>
      </c>
      <c r="CB141" s="3236">
        <f>VLOOKUP($E141,CA$442:CD$453,2,FALSE)*CA141*($K141)+IF($G141&lt;&gt;0,($H141/$G141)*CA141,0)*(1-$K141)</f>
        <v>0</v>
      </c>
      <c r="CC141" s="3236">
        <f>VLOOKUP($E141,CA$442:CD$453,3,FALSE)*CA141*($K141)+IF($G141&lt;&gt;0,($I141/$G141)*CA141,0)*(1-$K141)</f>
        <v>0</v>
      </c>
      <c r="CD141" s="3236">
        <f>VLOOKUP($E141,CA$442:CD$453,4,FALSE)*CA141*($K141)+(CA141-CB141-CC141)*(1-$K141)</f>
        <v>0</v>
      </c>
      <c r="CE141" s="3237"/>
      <c r="CI141" s="3235">
        <f>$G141</f>
        <v>0</v>
      </c>
      <c r="CJ141" s="3236">
        <f>VLOOKUP($E141,CI$442:CL$453,2,FALSE)*CI141*($K141)+IF($G141&lt;&gt;0,($H141/$G141)*CI141,0)*(1-$K141)</f>
        <v>0</v>
      </c>
      <c r="CK141" s="3236">
        <f>VLOOKUP($E141,CI$442:CL$453,3,FALSE)*CI141*($K141)+IF($G141&lt;&gt;0,($I141/$G141)*CI141,0)*(1-$K141)</f>
        <v>0</v>
      </c>
      <c r="CL141" s="3236">
        <f>VLOOKUP($E141,CI$442:CL$453,4,FALSE)*CI141*($K141)+(CI141-CJ141-CK141)*(1-$K141)</f>
        <v>0</v>
      </c>
      <c r="CM141" s="3237"/>
      <c r="CQ141" s="3235">
        <f>$G141</f>
        <v>0</v>
      </c>
      <c r="CR141" s="3236">
        <f>VLOOKUP($E141,CQ$442:CT$453,2,FALSE)*CQ141*($K141)+IF($G141&lt;&gt;0,($H141/$G141)*CQ141,0)*(1-$K141)</f>
        <v>0</v>
      </c>
      <c r="CS141" s="3236">
        <f>VLOOKUP($E141,CQ$442:CT$453,3,FALSE)*CQ141*($K141)+IF($G141&lt;&gt;0,($I141/$G141)*CQ141,0)*(1-$K141)</f>
        <v>0</v>
      </c>
      <c r="CT141" s="3236">
        <f>VLOOKUP($E141,CQ$442:CT$453,4,FALSE)*CQ141*($K141)+(CQ141-CR141-CS141)*(1-$K141)</f>
        <v>0</v>
      </c>
      <c r="CU141" s="3237"/>
      <c r="CY141" s="3235">
        <f>$G141</f>
        <v>0</v>
      </c>
      <c r="CZ141" s="3236">
        <f>VLOOKUP($E141,CY$442:DB$453,2,FALSE)*CY141*($K141)+IF($G141&lt;&gt;0,($H141/$G141)*CY141,0)*(1-$K141)</f>
        <v>0</v>
      </c>
      <c r="DA141" s="3236">
        <f>VLOOKUP($E141,CY$442:DB$453,3,FALSE)*CY141*($K141)+IF($G141&lt;&gt;0,($I141/$G141)*CY141,0)*(1-$K141)</f>
        <v>0</v>
      </c>
      <c r="DB141" s="3236">
        <f>VLOOKUP($E141,CY$442:DB$453,4,FALSE)*CY141*($K141)+(CY141-CZ141-DA141)*(1-$K141)</f>
        <v>0</v>
      </c>
      <c r="DC141" s="3237"/>
      <c r="DG141" s="3235">
        <f>$G141</f>
        <v>0</v>
      </c>
      <c r="DH141" s="3236">
        <f>VLOOKUP($E141,DG$442:DJ$453,2,FALSE)*DG141*($K141)+IF($G141&lt;&gt;0,($H141/$G141)*DG141,0)*(1-$K141)</f>
        <v>0</v>
      </c>
      <c r="DI141" s="3236">
        <f>VLOOKUP($E141,DG$442:DJ$453,3,FALSE)*DG141*($K141)+IF($G141&lt;&gt;0,($I141/$G141)*DG141,0)*(1-$K141)</f>
        <v>0</v>
      </c>
      <c r="DJ141" s="3236">
        <f>VLOOKUP($E141,DG$442:DJ$453,4,FALSE)*DG141*($K141)+(DG141-DH141-DI141)*(1-$K141)</f>
        <v>0</v>
      </c>
      <c r="DK141" s="3237"/>
      <c r="DO141" s="3235">
        <f>$G141</f>
        <v>0</v>
      </c>
      <c r="DP141" s="3236">
        <f>VLOOKUP($E141,DO$442:DR$453,2,FALSE)*DO141*($K141)+IF($G141&lt;&gt;0,($H141/$G141)*DO141,0)*(1-$K141)</f>
        <v>0</v>
      </c>
      <c r="DQ141" s="3236">
        <f>VLOOKUP($E141,DO$442:DR$453,3,FALSE)*DO141*($K141)+IF($G141&lt;&gt;0,($I141/$G141)*DO141,0)*(1-$K141)</f>
        <v>0</v>
      </c>
      <c r="DR141" s="3236">
        <f>VLOOKUP($E141,DO$442:DR$453,4,FALSE)*DO141*($K141)+(DO141-DP141-DQ141)*(1-$K141)</f>
        <v>0</v>
      </c>
      <c r="DS141" s="3237"/>
      <c r="DW141" s="3235">
        <f>$G141</f>
        <v>0</v>
      </c>
      <c r="DX141" s="3236">
        <f>VLOOKUP($E141,DW$442:DZ$453,2,FALSE)*DW141*($K141)+IF($G141&lt;&gt;0,($H141/$G141)*DW141,0)*(1-$K141)</f>
        <v>0</v>
      </c>
      <c r="DY141" s="3236">
        <f>VLOOKUP($E141,DW$442:DZ$453,3,FALSE)*DW141*($K141)+IF($G141&lt;&gt;0,($I141/$G141)*DW141,0)*(1-$K141)</f>
        <v>0</v>
      </c>
      <c r="DZ141" s="3236">
        <f>VLOOKUP($E141,DW$442:DZ$453,4,FALSE)*DW141*($K141)+(DW141-DX141-DY141)*(1-$K141)</f>
        <v>0</v>
      </c>
      <c r="EA141" s="3237"/>
      <c r="EE141" s="3235">
        <f>$G141</f>
        <v>0</v>
      </c>
      <c r="EF141" s="3236">
        <f>VLOOKUP($E141,EE$442:EH$453,2,FALSE)*EE141*($K141)+IF($G141&lt;&gt;0,($H141/$G141)*EE141,0)*(1-$K141)</f>
        <v>0</v>
      </c>
      <c r="EG141" s="3236">
        <f>VLOOKUP($E141,EE$442:EH$453,3,FALSE)*EE141*($K141)+IF($G141&lt;&gt;0,($I141/$G141)*EE141,0)*(1-$K141)</f>
        <v>0</v>
      </c>
      <c r="EH141" s="3236">
        <f>VLOOKUP($E141,EE$442:EH$453,4,FALSE)*EE141*($K141)+(EE141-EF141-EG141)*(1-$K141)</f>
        <v>0</v>
      </c>
      <c r="EI141" s="3237"/>
      <c r="EM141" s="3235">
        <f>$G141</f>
        <v>0</v>
      </c>
      <c r="EN141" s="3236">
        <f>VLOOKUP($E141,EM$442:EP$453,2,FALSE)*EM141*($K141)+IF($G141&lt;&gt;0,($H141/$G141)*EM141,0)*(1-$K141)</f>
        <v>0</v>
      </c>
      <c r="EO141" s="3236">
        <f>VLOOKUP($E141,EM$442:EP$453,3,FALSE)*EM141*($K141)+IF($G141&lt;&gt;0,($I141/$G141)*EM141,0)*(1-$K141)</f>
        <v>0</v>
      </c>
      <c r="EP141" s="3236">
        <f>VLOOKUP($E141,EM$442:EP$453,4,FALSE)*EM141*($K141)+(EM141-EN141-EO141)*(1-$K141)</f>
        <v>0</v>
      </c>
      <c r="EQ141" s="3237"/>
      <c r="EU141" s="3235">
        <f>$G141</f>
        <v>0</v>
      </c>
      <c r="EV141" s="3236">
        <f>VLOOKUP($E141,EU$442:EX$453,2,FALSE)*EU141*($K141)+IF($G141&lt;&gt;0,($H141/$G141)*EU141,0)*(1-$K141)</f>
        <v>0</v>
      </c>
      <c r="EW141" s="3236">
        <f>VLOOKUP($E141,EU$442:EX$453,3,FALSE)*EU141*($K141)+IF($G141&lt;&gt;0,($I141/$G141)*EU141,0)*(1-$K141)</f>
        <v>0</v>
      </c>
      <c r="EX141" s="3236">
        <f>VLOOKUP($E141,EU$442:EX$453,4,FALSE)*EU141*($K141)+(EU141-EV141-EW141)*(1-$K141)</f>
        <v>0</v>
      </c>
      <c r="EY141" s="3237"/>
      <c r="FC141" s="3235">
        <f>$G141</f>
        <v>0</v>
      </c>
      <c r="FD141" s="3236">
        <f>VLOOKUP($E141,FC$442:FF$453,2,FALSE)*FC141*($K141)+IF($G141&lt;&gt;0,($H141/$G141)*FC141,0)*(1-$K141)</f>
        <v>0</v>
      </c>
      <c r="FE141" s="3236">
        <f>VLOOKUP($E141,FC$442:FF$453,3,FALSE)*FC141*($K141)+IF($G141&lt;&gt;0,($I141/$G141)*FC141,0)*(1-$K141)</f>
        <v>0</v>
      </c>
      <c r="FF141" s="3236">
        <f>VLOOKUP($E141,FC$442:FF$453,4,FALSE)*FC141*($K141)+(FC141-FD141-FE141)*(1-$K141)</f>
        <v>0</v>
      </c>
      <c r="FG141" s="3237"/>
      <c r="FK141" s="3235">
        <f>$G141</f>
        <v>0</v>
      </c>
      <c r="FL141" s="3236">
        <f>VLOOKUP($E141,FK$442:FN$453,2,FALSE)*FK141*($K141)+IF($G141&lt;&gt;0,($H141/$G141)*FK141,0)*(1-$K141)</f>
        <v>0</v>
      </c>
      <c r="FM141" s="3236">
        <f>VLOOKUP($E141,FK$442:FN$453,3,FALSE)*FK141*($K141)+IF($G141&lt;&gt;0,($I141/$G141)*FK141,0)*(1-$K141)</f>
        <v>0</v>
      </c>
      <c r="FN141" s="3236">
        <f>VLOOKUP($E141,FK$442:FN$453,4,FALSE)*FK141*($K141)+(FK141-FL141-FM141)*(1-$K141)</f>
        <v>0</v>
      </c>
      <c r="FO141" s="3237"/>
    </row>
    <row r="142" spans="1:171">
      <c r="A142" s="3277"/>
      <c r="B142" s="3301" t="s">
        <v>616</v>
      </c>
      <c r="C142" s="2464" t="s">
        <v>346</v>
      </c>
      <c r="D142" s="2464">
        <v>245</v>
      </c>
      <c r="E142" s="2424" t="str">
        <f>'Sch 1- Rate Base '!E142</f>
        <v>DIST</v>
      </c>
      <c r="F142" s="2171"/>
      <c r="G142" s="2424">
        <f>'Sch 1- Rate Base '!G142</f>
        <v>0</v>
      </c>
      <c r="H142" s="2424">
        <f>'Sch 1- Rate Base '!H142</f>
        <v>0</v>
      </c>
      <c r="I142" s="2424">
        <f>'Sch 1- Rate Base '!I142</f>
        <v>0</v>
      </c>
      <c r="J142" s="2425">
        <f>'Sch 1- Rate Base '!J142</f>
        <v>0</v>
      </c>
      <c r="K142" s="3205">
        <f>IF($E142="DIRECT",0,1)</f>
        <v>1</v>
      </c>
      <c r="O142" s="3235">
        <f>$G142</f>
        <v>0</v>
      </c>
      <c r="P142" s="3236">
        <f>VLOOKUP($E142,O$442:R$453,2,FALSE)*O142*($K142)+IF($G142&lt;&gt;0,($H142/$G142)*O142,0)*(1-$K142)</f>
        <v>0</v>
      </c>
      <c r="Q142" s="3236">
        <f>VLOOKUP($E142,O$442:R$453,3,FALSE)*O142*($K142)+IF($G142&lt;&gt;0,($I142/$G142)*O142,0)*(1-$K142)</f>
        <v>0</v>
      </c>
      <c r="R142" s="3236">
        <f>VLOOKUP($E142,O$442:R$453,4,FALSE)*O142*($K142)+(O142-P142-Q142)*(1-$K142)</f>
        <v>0</v>
      </c>
      <c r="S142" s="3237"/>
      <c r="W142" s="3235">
        <f>$G142</f>
        <v>0</v>
      </c>
      <c r="X142" s="3236">
        <f>VLOOKUP($E142,W$442:Z$453,2,FALSE)*W142*($K142)+IF($G142&lt;&gt;0,($H142/$G142)*W142,0)*(1-$K142)</f>
        <v>0</v>
      </c>
      <c r="Y142" s="3236">
        <f>VLOOKUP($E142,W$442:Z$453,3,FALSE)*W142*($K142)+IF($G142&lt;&gt;0,($I142/$G142)*W142,0)*(1-$K142)</f>
        <v>0</v>
      </c>
      <c r="Z142" s="3236">
        <f>VLOOKUP($E142,W$442:Z$453,4,FALSE)*W142*($K142)+(W142-X142-Y142)*(1-$K142)</f>
        <v>0</v>
      </c>
      <c r="AA142" s="3237"/>
      <c r="AE142" s="3235">
        <f>$G142</f>
        <v>0</v>
      </c>
      <c r="AF142" s="3236">
        <f>VLOOKUP($E142,AE$442:AH$453,2,FALSE)*AE142*($K142)+IF($G142&lt;&gt;0,($H142/$G142)*AE142,0)*(1-$K142)</f>
        <v>0</v>
      </c>
      <c r="AG142" s="3236">
        <f>VLOOKUP($E142,AE$442:AH$453,3,FALSE)*AE142*($K142)+IF($G142&lt;&gt;0,($I142/$G142)*AE142,0)*(1-$K142)</f>
        <v>0</v>
      </c>
      <c r="AH142" s="3236">
        <f>VLOOKUP($E142,AE$442:AH$453,4,FALSE)*AE142*($K142)+(AE142-AF142-AG142)*(1-$K142)</f>
        <v>0</v>
      </c>
      <c r="AI142" s="3237"/>
      <c r="AM142" s="3235">
        <f>$G142</f>
        <v>0</v>
      </c>
      <c r="AN142" s="3236">
        <f>VLOOKUP($E142,AM$442:AP$453,2,FALSE)*AM142*($K142)+IF($G142&lt;&gt;0,($H142/$G142)*AM142,0)*(1-$K142)</f>
        <v>0</v>
      </c>
      <c r="AO142" s="3236">
        <f>VLOOKUP($E142,AM$442:AP$453,3,FALSE)*AM142*($K142)+IF($G142&lt;&gt;0,($I142/$G142)*AM142,0)*(1-$K142)</f>
        <v>0</v>
      </c>
      <c r="AP142" s="3236">
        <f>VLOOKUP($E142,AM$442:AP$453,4,FALSE)*AM142*($K142)+(AM142-AN142-AO142)*(1-$K142)</f>
        <v>0</v>
      </c>
      <c r="AQ142" s="3237"/>
      <c r="AU142" s="3235">
        <f>$G142</f>
        <v>0</v>
      </c>
      <c r="AV142" s="3236">
        <f>VLOOKUP($E142,AU$442:AX$453,2,FALSE)*AU142*($K142)+IF($G142&lt;&gt;0,($H142/$G142)*AU142,0)*(1-$K142)</f>
        <v>0</v>
      </c>
      <c r="AW142" s="3236">
        <f>VLOOKUP($E142,AU$442:AX$453,3,FALSE)*AU142*($K142)+IF($G142&lt;&gt;0,($I142/$G142)*AU142,0)*(1-$K142)</f>
        <v>0</v>
      </c>
      <c r="AX142" s="3236">
        <f>VLOOKUP($E142,AU$442:AX$453,4,FALSE)*AU142*($K142)+(AU142-AV142-AW142)*(1-$K142)</f>
        <v>0</v>
      </c>
      <c r="AY142" s="3237"/>
      <c r="BC142" s="3235">
        <f>$G142</f>
        <v>0</v>
      </c>
      <c r="BD142" s="3236">
        <f>VLOOKUP($E142,BC$442:BF$453,2,FALSE)*BC142*($K142)+IF($G142&lt;&gt;0,($H142/$G142)*BC142,0)*(1-$K142)</f>
        <v>0</v>
      </c>
      <c r="BE142" s="3236">
        <f>VLOOKUP($E142,BC$442:BF$453,3,FALSE)*BC142*($K142)+IF($G142&lt;&gt;0,($I142/$G142)*BC142,0)*(1-$K142)</f>
        <v>0</v>
      </c>
      <c r="BF142" s="3236">
        <f>VLOOKUP($E142,BC$442:BF$453,4,FALSE)*BC142*($K142)+(BC142-BD142-BE142)*(1-$K142)</f>
        <v>0</v>
      </c>
      <c r="BG142" s="3237"/>
      <c r="BK142" s="3235">
        <f>$G142</f>
        <v>0</v>
      </c>
      <c r="BL142" s="3236">
        <f>VLOOKUP($E142,BK$442:BN$453,2,FALSE)*BK142*($K142)+IF($G142&lt;&gt;0,($H142/$G142)*BK142,0)*(1-$K142)</f>
        <v>0</v>
      </c>
      <c r="BM142" s="3236">
        <f>VLOOKUP($E142,BK$442:BN$453,3,FALSE)*BK142*($K142)+IF($G142&lt;&gt;0,($I142/$G142)*BK142,0)*(1-$K142)</f>
        <v>0</v>
      </c>
      <c r="BN142" s="3236">
        <f>VLOOKUP($E142,BK$442:BN$453,4,FALSE)*BK142*($K142)+(BK142-BL142-BM142)*(1-$K142)</f>
        <v>0</v>
      </c>
      <c r="BO142" s="3237"/>
      <c r="BS142" s="3235">
        <f>$G142</f>
        <v>0</v>
      </c>
      <c r="BT142" s="3236">
        <f>VLOOKUP($E142,BS$442:BV$453,2,FALSE)*BS142*($K142)+IF($G142&lt;&gt;0,($H142/$G142)*BS142,0)*(1-$K142)</f>
        <v>0</v>
      </c>
      <c r="BU142" s="3236">
        <f>VLOOKUP($E142,BS$442:BV$453,3,FALSE)*BS142*($K142)+IF($G142&lt;&gt;0,($I142/$G142)*BS142,0)*(1-$K142)</f>
        <v>0</v>
      </c>
      <c r="BV142" s="3236">
        <f>VLOOKUP($E142,BS$442:BV$453,4,FALSE)*BS142*($K142)+(BS142-BT142-BU142)*(1-$K142)</f>
        <v>0</v>
      </c>
      <c r="BW142" s="3237"/>
      <c r="CA142" s="3235">
        <f>$G142</f>
        <v>0</v>
      </c>
      <c r="CB142" s="3236">
        <f>VLOOKUP($E142,CA$442:CD$453,2,FALSE)*CA142*($K142)+IF($G142&lt;&gt;0,($H142/$G142)*CA142,0)*(1-$K142)</f>
        <v>0</v>
      </c>
      <c r="CC142" s="3236">
        <f>VLOOKUP($E142,CA$442:CD$453,3,FALSE)*CA142*($K142)+IF($G142&lt;&gt;0,($I142/$G142)*CA142,0)*(1-$K142)</f>
        <v>0</v>
      </c>
      <c r="CD142" s="3236">
        <f>VLOOKUP($E142,CA$442:CD$453,4,FALSE)*CA142*($K142)+(CA142-CB142-CC142)*(1-$K142)</f>
        <v>0</v>
      </c>
      <c r="CE142" s="3237"/>
      <c r="CI142" s="3235">
        <f>$G142</f>
        <v>0</v>
      </c>
      <c r="CJ142" s="3236">
        <f>VLOOKUP($E142,CI$442:CL$453,2,FALSE)*CI142*($K142)+IF($G142&lt;&gt;0,($H142/$G142)*CI142,0)*(1-$K142)</f>
        <v>0</v>
      </c>
      <c r="CK142" s="3236">
        <f>VLOOKUP($E142,CI$442:CL$453,3,FALSE)*CI142*($K142)+IF($G142&lt;&gt;0,($I142/$G142)*CI142,0)*(1-$K142)</f>
        <v>0</v>
      </c>
      <c r="CL142" s="3236">
        <f>VLOOKUP($E142,CI$442:CL$453,4,FALSE)*CI142*($K142)+(CI142-CJ142-CK142)*(1-$K142)</f>
        <v>0</v>
      </c>
      <c r="CM142" s="3237"/>
      <c r="CQ142" s="3235">
        <f>$G142</f>
        <v>0</v>
      </c>
      <c r="CR142" s="3236">
        <f>VLOOKUP($E142,CQ$442:CT$453,2,FALSE)*CQ142*($K142)+IF($G142&lt;&gt;0,($H142/$G142)*CQ142,0)*(1-$K142)</f>
        <v>0</v>
      </c>
      <c r="CS142" s="3236">
        <f>VLOOKUP($E142,CQ$442:CT$453,3,FALSE)*CQ142*($K142)+IF($G142&lt;&gt;0,($I142/$G142)*CQ142,0)*(1-$K142)</f>
        <v>0</v>
      </c>
      <c r="CT142" s="3236">
        <f>VLOOKUP($E142,CQ$442:CT$453,4,FALSE)*CQ142*($K142)+(CQ142-CR142-CS142)*(1-$K142)</f>
        <v>0</v>
      </c>
      <c r="CU142" s="3237"/>
      <c r="CY142" s="3235">
        <f>$G142</f>
        <v>0</v>
      </c>
      <c r="CZ142" s="3236">
        <f>VLOOKUP($E142,CY$442:DB$453,2,FALSE)*CY142*($K142)+IF($G142&lt;&gt;0,($H142/$G142)*CY142,0)*(1-$K142)</f>
        <v>0</v>
      </c>
      <c r="DA142" s="3236">
        <f>VLOOKUP($E142,CY$442:DB$453,3,FALSE)*CY142*($K142)+IF($G142&lt;&gt;0,($I142/$G142)*CY142,0)*(1-$K142)</f>
        <v>0</v>
      </c>
      <c r="DB142" s="3236">
        <f>VLOOKUP($E142,CY$442:DB$453,4,FALSE)*CY142*($K142)+(CY142-CZ142-DA142)*(1-$K142)</f>
        <v>0</v>
      </c>
      <c r="DC142" s="3237"/>
      <c r="DG142" s="3235">
        <f>$G142</f>
        <v>0</v>
      </c>
      <c r="DH142" s="3236">
        <f>VLOOKUP($E142,DG$442:DJ$453,2,FALSE)*DG142*($K142)+IF($G142&lt;&gt;0,($H142/$G142)*DG142,0)*(1-$K142)</f>
        <v>0</v>
      </c>
      <c r="DI142" s="3236">
        <f>VLOOKUP($E142,DG$442:DJ$453,3,FALSE)*DG142*($K142)+IF($G142&lt;&gt;0,($I142/$G142)*DG142,0)*(1-$K142)</f>
        <v>0</v>
      </c>
      <c r="DJ142" s="3236">
        <f>VLOOKUP($E142,DG$442:DJ$453,4,FALSE)*DG142*($K142)+(DG142-DH142-DI142)*(1-$K142)</f>
        <v>0</v>
      </c>
      <c r="DK142" s="3237"/>
      <c r="DO142" s="3235">
        <f>$G142</f>
        <v>0</v>
      </c>
      <c r="DP142" s="3236">
        <f>VLOOKUP($E142,DO$442:DR$453,2,FALSE)*DO142*($K142)+IF($G142&lt;&gt;0,($H142/$G142)*DO142,0)*(1-$K142)</f>
        <v>0</v>
      </c>
      <c r="DQ142" s="3236">
        <f>VLOOKUP($E142,DO$442:DR$453,3,FALSE)*DO142*($K142)+IF($G142&lt;&gt;0,($I142/$G142)*DO142,0)*(1-$K142)</f>
        <v>0</v>
      </c>
      <c r="DR142" s="3236">
        <f>VLOOKUP($E142,DO$442:DR$453,4,FALSE)*DO142*($K142)+(DO142-DP142-DQ142)*(1-$K142)</f>
        <v>0</v>
      </c>
      <c r="DS142" s="3237"/>
      <c r="DW142" s="3235">
        <f>$G142</f>
        <v>0</v>
      </c>
      <c r="DX142" s="3236">
        <f>VLOOKUP($E142,DW$442:DZ$453,2,FALSE)*DW142*($K142)+IF($G142&lt;&gt;0,($H142/$G142)*DW142,0)*(1-$K142)</f>
        <v>0</v>
      </c>
      <c r="DY142" s="3236">
        <f>VLOOKUP($E142,DW$442:DZ$453,3,FALSE)*DW142*($K142)+IF($G142&lt;&gt;0,($I142/$G142)*DW142,0)*(1-$K142)</f>
        <v>0</v>
      </c>
      <c r="DZ142" s="3236">
        <f>VLOOKUP($E142,DW$442:DZ$453,4,FALSE)*DW142*($K142)+(DW142-DX142-DY142)*(1-$K142)</f>
        <v>0</v>
      </c>
      <c r="EA142" s="3237"/>
      <c r="EE142" s="3235">
        <f>$G142</f>
        <v>0</v>
      </c>
      <c r="EF142" s="3236">
        <f>VLOOKUP($E142,EE$442:EH$453,2,FALSE)*EE142*($K142)+IF($G142&lt;&gt;0,($H142/$G142)*EE142,0)*(1-$K142)</f>
        <v>0</v>
      </c>
      <c r="EG142" s="3236">
        <f>VLOOKUP($E142,EE$442:EH$453,3,FALSE)*EE142*($K142)+IF($G142&lt;&gt;0,($I142/$G142)*EE142,0)*(1-$K142)</f>
        <v>0</v>
      </c>
      <c r="EH142" s="3236">
        <f>VLOOKUP($E142,EE$442:EH$453,4,FALSE)*EE142*($K142)+(EE142-EF142-EG142)*(1-$K142)</f>
        <v>0</v>
      </c>
      <c r="EI142" s="3237"/>
      <c r="EM142" s="3235">
        <f>$G142</f>
        <v>0</v>
      </c>
      <c r="EN142" s="3236">
        <f>VLOOKUP($E142,EM$442:EP$453,2,FALSE)*EM142*($K142)+IF($G142&lt;&gt;0,($H142/$G142)*EM142,0)*(1-$K142)</f>
        <v>0</v>
      </c>
      <c r="EO142" s="3236">
        <f>VLOOKUP($E142,EM$442:EP$453,3,FALSE)*EM142*($K142)+IF($G142&lt;&gt;0,($I142/$G142)*EM142,0)*(1-$K142)</f>
        <v>0</v>
      </c>
      <c r="EP142" s="3236">
        <f>VLOOKUP($E142,EM$442:EP$453,4,FALSE)*EM142*($K142)+(EM142-EN142-EO142)*(1-$K142)</f>
        <v>0</v>
      </c>
      <c r="EQ142" s="3237"/>
      <c r="EU142" s="3235">
        <f>$G142</f>
        <v>0</v>
      </c>
      <c r="EV142" s="3236">
        <f>VLOOKUP($E142,EU$442:EX$453,2,FALSE)*EU142*($K142)+IF($G142&lt;&gt;0,($H142/$G142)*EU142,0)*(1-$K142)</f>
        <v>0</v>
      </c>
      <c r="EW142" s="3236">
        <f>VLOOKUP($E142,EU$442:EX$453,3,FALSE)*EU142*($K142)+IF($G142&lt;&gt;0,($I142/$G142)*EU142,0)*(1-$K142)</f>
        <v>0</v>
      </c>
      <c r="EX142" s="3236">
        <f>VLOOKUP($E142,EU$442:EX$453,4,FALSE)*EU142*($K142)+(EU142-EV142-EW142)*(1-$K142)</f>
        <v>0</v>
      </c>
      <c r="EY142" s="3237"/>
      <c r="FC142" s="3235">
        <f>$G142</f>
        <v>0</v>
      </c>
      <c r="FD142" s="3236">
        <f>VLOOKUP($E142,FC$442:FF$453,2,FALSE)*FC142*($K142)+IF($G142&lt;&gt;0,($H142/$G142)*FC142,0)*(1-$K142)</f>
        <v>0</v>
      </c>
      <c r="FE142" s="3236">
        <f>VLOOKUP($E142,FC$442:FF$453,3,FALSE)*FC142*($K142)+IF($G142&lt;&gt;0,($I142/$G142)*FC142,0)*(1-$K142)</f>
        <v>0</v>
      </c>
      <c r="FF142" s="3236">
        <f>VLOOKUP($E142,FC$442:FF$453,4,FALSE)*FC142*($K142)+(FC142-FD142-FE142)*(1-$K142)</f>
        <v>0</v>
      </c>
      <c r="FG142" s="3237"/>
      <c r="FK142" s="3235">
        <f>$G142</f>
        <v>0</v>
      </c>
      <c r="FL142" s="3236">
        <f>VLOOKUP($E142,FK$442:FN$453,2,FALSE)*FK142*($K142)+IF($G142&lt;&gt;0,($H142/$G142)*FK142,0)*(1-$K142)</f>
        <v>0</v>
      </c>
      <c r="FM142" s="3236">
        <f>VLOOKUP($E142,FK$442:FN$453,3,FALSE)*FK142*($K142)+IF($G142&lt;&gt;0,($I142/$G142)*FK142,0)*(1-$K142)</f>
        <v>0</v>
      </c>
      <c r="FN142" s="3236">
        <f>VLOOKUP($E142,FK$442:FN$453,4,FALSE)*FK142*($K142)+(FK142-FL142-FM142)*(1-$K142)</f>
        <v>0</v>
      </c>
      <c r="FO142" s="3237"/>
    </row>
    <row r="143" spans="1:171">
      <c r="A143" s="3277"/>
      <c r="B143" s="3206" t="s">
        <v>104</v>
      </c>
      <c r="C143" s="3256"/>
      <c r="D143" s="3257"/>
      <c r="E143" s="3257"/>
      <c r="F143" s="3258"/>
      <c r="G143" s="3265">
        <f>G139-G140+G141-G142</f>
        <v>107194652.7</v>
      </c>
      <c r="H143" s="3265">
        <f>H139-H140+H141-H142</f>
        <v>0</v>
      </c>
      <c r="I143" s="3265">
        <f>I139-I140+I141-I142</f>
        <v>0</v>
      </c>
      <c r="J143" s="3266">
        <f>J139-J140+J141-J142</f>
        <v>107194652.7</v>
      </c>
      <c r="K143" s="3205"/>
      <c r="O143" s="3302">
        <f>O139-O140+O141-O142</f>
        <v>107194652.7</v>
      </c>
      <c r="P143" s="3302">
        <f>P139-P140+P141-P142</f>
        <v>0</v>
      </c>
      <c r="Q143" s="3302">
        <f>Q139-Q140+Q141-Q142</f>
        <v>0</v>
      </c>
      <c r="R143" s="3302">
        <f>R139-R140+R141-R142</f>
        <v>107194652.7</v>
      </c>
      <c r="S143" s="3237"/>
      <c r="W143" s="3302">
        <f>W139-W140+W141-W142</f>
        <v>107194652.7</v>
      </c>
      <c r="X143" s="3302">
        <f>X139-X140+X141-X142</f>
        <v>0</v>
      </c>
      <c r="Y143" s="3302">
        <f>Y139-Y140+Y141-Y142</f>
        <v>0</v>
      </c>
      <c r="Z143" s="3302">
        <f>Z139-Z140+Z141-Z142</f>
        <v>107194652.7</v>
      </c>
      <c r="AA143" s="3237"/>
      <c r="AE143" s="3302">
        <f>AE139-AE140+AE141-AE142</f>
        <v>107194652.7</v>
      </c>
      <c r="AF143" s="3302">
        <f>AF139-AF140+AF141-AF142</f>
        <v>0</v>
      </c>
      <c r="AG143" s="3302">
        <f>AG139-AG140+AG141-AG142</f>
        <v>0</v>
      </c>
      <c r="AH143" s="3302">
        <f>AH139-AH140+AH141-AH142</f>
        <v>107194652.7</v>
      </c>
      <c r="AI143" s="3237"/>
      <c r="AM143" s="3302">
        <f>AM139-AM140+AM141-AM142</f>
        <v>107194652.7</v>
      </c>
      <c r="AN143" s="3302">
        <f>AN139-AN140+AN141-AN142</f>
        <v>0</v>
      </c>
      <c r="AO143" s="3302">
        <f>AO139-AO140+AO141-AO142</f>
        <v>0</v>
      </c>
      <c r="AP143" s="3302">
        <f>AP139-AP140+AP141-AP142</f>
        <v>107194652.7</v>
      </c>
      <c r="AQ143" s="3237"/>
      <c r="AU143" s="3302">
        <f>AU139-AU140+AU141-AU142</f>
        <v>107194652.7</v>
      </c>
      <c r="AV143" s="3302">
        <f>AV139-AV140+AV141-AV142</f>
        <v>0</v>
      </c>
      <c r="AW143" s="3302">
        <f>AW139-AW140+AW141-AW142</f>
        <v>0</v>
      </c>
      <c r="AX143" s="3302">
        <f>AX139-AX140+AX141-AX142</f>
        <v>107194652.7</v>
      </c>
      <c r="AY143" s="3237"/>
      <c r="BC143" s="3302">
        <f>BC139-BC140+BC141-BC142</f>
        <v>107194652.7</v>
      </c>
      <c r="BD143" s="3302">
        <f>BD139-BD140+BD141-BD142</f>
        <v>0</v>
      </c>
      <c r="BE143" s="3302">
        <f>BE139-BE140+BE141-BE142</f>
        <v>0</v>
      </c>
      <c r="BF143" s="3302">
        <f>BF139-BF140+BF141-BF142</f>
        <v>107194652.7</v>
      </c>
      <c r="BG143" s="3237"/>
      <c r="BK143" s="3302">
        <f>BK139-BK140+BK141-BK142</f>
        <v>107194652.7</v>
      </c>
      <c r="BL143" s="3302">
        <f>BL139-BL140+BL141-BL142</f>
        <v>0</v>
      </c>
      <c r="BM143" s="3302">
        <f>BM139-BM140+BM141-BM142</f>
        <v>0</v>
      </c>
      <c r="BN143" s="3302">
        <f>BN139-BN140+BN141-BN142</f>
        <v>107194652.7</v>
      </c>
      <c r="BO143" s="3237"/>
      <c r="BS143" s="3302">
        <f>BS139-BS140+BS141-BS142</f>
        <v>107194652.7</v>
      </c>
      <c r="BT143" s="3302">
        <f>BT139-BT140+BT141-BT142</f>
        <v>0</v>
      </c>
      <c r="BU143" s="3302">
        <f>BU139-BU140+BU141-BU142</f>
        <v>0</v>
      </c>
      <c r="BV143" s="3302">
        <f>BV139-BV140+BV141-BV142</f>
        <v>107194652.7</v>
      </c>
      <c r="BW143" s="3237"/>
      <c r="CA143" s="3302">
        <f>CA139-CA140+CA141-CA142</f>
        <v>107194652.7</v>
      </c>
      <c r="CB143" s="3302">
        <f>CB139-CB140+CB141-CB142</f>
        <v>0</v>
      </c>
      <c r="CC143" s="3302">
        <f>CC139-CC140+CC141-CC142</f>
        <v>0</v>
      </c>
      <c r="CD143" s="3302">
        <f>CD139-CD140+CD141-CD142</f>
        <v>107194652.7</v>
      </c>
      <c r="CE143" s="3237"/>
      <c r="CI143" s="3302">
        <f>CI139-CI140+CI141-CI142</f>
        <v>107194652.7</v>
      </c>
      <c r="CJ143" s="3302">
        <f>CJ139-CJ140+CJ141-CJ142</f>
        <v>0</v>
      </c>
      <c r="CK143" s="3302">
        <f>CK139-CK140+CK141-CK142</f>
        <v>0</v>
      </c>
      <c r="CL143" s="3302">
        <f>CL139-CL140+CL141-CL142</f>
        <v>107194652.7</v>
      </c>
      <c r="CM143" s="3237"/>
      <c r="CQ143" s="3302">
        <f>CQ139-CQ140+CQ141-CQ142</f>
        <v>107194652.7</v>
      </c>
      <c r="CR143" s="3302">
        <f>CR139-CR140+CR141-CR142</f>
        <v>0</v>
      </c>
      <c r="CS143" s="3302">
        <f>CS139-CS140+CS141-CS142</f>
        <v>0</v>
      </c>
      <c r="CT143" s="3302">
        <f>CT139-CT140+CT141-CT142</f>
        <v>107194652.7</v>
      </c>
      <c r="CU143" s="3237"/>
      <c r="CY143" s="3302">
        <f>CY139-CY140+CY141-CY142</f>
        <v>107194652.7</v>
      </c>
      <c r="CZ143" s="3302">
        <f>CZ139-CZ140+CZ141-CZ142</f>
        <v>0</v>
      </c>
      <c r="DA143" s="3302">
        <f>DA139-DA140+DA141-DA142</f>
        <v>0</v>
      </c>
      <c r="DB143" s="3302">
        <f>DB139-DB140+DB141-DB142</f>
        <v>107194652.7</v>
      </c>
      <c r="DC143" s="3237"/>
      <c r="DG143" s="3302">
        <f>DG139-DG140+DG141-DG142</f>
        <v>107194652.7</v>
      </c>
      <c r="DH143" s="3302">
        <f>DH139-DH140+DH141-DH142</f>
        <v>0</v>
      </c>
      <c r="DI143" s="3302">
        <f>DI139-DI140+DI141-DI142</f>
        <v>0</v>
      </c>
      <c r="DJ143" s="3302">
        <f>DJ139-DJ140+DJ141-DJ142</f>
        <v>107194652.7</v>
      </c>
      <c r="DK143" s="3237"/>
      <c r="DO143" s="3302">
        <f>DO139-DO140+DO141-DO142</f>
        <v>107194652.7</v>
      </c>
      <c r="DP143" s="3302">
        <f>DP139-DP140+DP141-DP142</f>
        <v>0</v>
      </c>
      <c r="DQ143" s="3302">
        <f>DQ139-DQ140+DQ141-DQ142</f>
        <v>0</v>
      </c>
      <c r="DR143" s="3302">
        <f>DR139-DR140+DR141-DR142</f>
        <v>107194652.7</v>
      </c>
      <c r="DS143" s="3237"/>
      <c r="DW143" s="3302">
        <f>DW139-DW140+DW141-DW142</f>
        <v>107194652.7</v>
      </c>
      <c r="DX143" s="3302">
        <f>DX139-DX140+DX141-DX142</f>
        <v>0</v>
      </c>
      <c r="DY143" s="3302">
        <f>DY139-DY140+DY141-DY142</f>
        <v>0</v>
      </c>
      <c r="DZ143" s="3302">
        <f>DZ139-DZ140+DZ141-DZ142</f>
        <v>107194652.7</v>
      </c>
      <c r="EA143" s="3237"/>
      <c r="EE143" s="3302">
        <f>EE139-EE140+EE141-EE142</f>
        <v>107194652.7</v>
      </c>
      <c r="EF143" s="3302">
        <f>EF139-EF140+EF141-EF142</f>
        <v>0</v>
      </c>
      <c r="EG143" s="3302">
        <f>EG139-EG140+EG141-EG142</f>
        <v>0</v>
      </c>
      <c r="EH143" s="3302">
        <f>EH139-EH140+EH141-EH142</f>
        <v>107194652.7</v>
      </c>
      <c r="EI143" s="3237"/>
      <c r="EM143" s="3302">
        <f>EM139-EM140+EM141-EM142</f>
        <v>107194652.7</v>
      </c>
      <c r="EN143" s="3302">
        <f>EN139-EN140+EN141-EN142</f>
        <v>0</v>
      </c>
      <c r="EO143" s="3302">
        <f>EO139-EO140+EO141-EO142</f>
        <v>0</v>
      </c>
      <c r="EP143" s="3302">
        <f>EP139-EP140+EP141-EP142</f>
        <v>107194652.7</v>
      </c>
      <c r="EQ143" s="3237"/>
      <c r="EU143" s="3302">
        <f>EU139-EU140+EU141-EU142</f>
        <v>107194652.7</v>
      </c>
      <c r="EV143" s="3302">
        <f>EV139-EV140+EV141-EV142</f>
        <v>0</v>
      </c>
      <c r="EW143" s="3302">
        <f>EW139-EW140+EW141-EW142</f>
        <v>0</v>
      </c>
      <c r="EX143" s="3302">
        <f>EX139-EX140+EX141-EX142</f>
        <v>107194652.7</v>
      </c>
      <c r="EY143" s="3237"/>
      <c r="FC143" s="3302">
        <f>FC139-FC140+FC141-FC142</f>
        <v>107194652.7</v>
      </c>
      <c r="FD143" s="3302">
        <f>FD139-FD140+FD141-FD142</f>
        <v>0</v>
      </c>
      <c r="FE143" s="3302">
        <f>FE139-FE140+FE141-FE142</f>
        <v>0</v>
      </c>
      <c r="FF143" s="3302">
        <f>FF139-FF140+FF141-FF142</f>
        <v>107194652.7</v>
      </c>
      <c r="FG143" s="3237"/>
      <c r="FK143" s="3302">
        <f>FK139-FK140+FK141-FK142</f>
        <v>107194652.7</v>
      </c>
      <c r="FL143" s="3302">
        <f>FL139-FL140+FL141-FL142</f>
        <v>0</v>
      </c>
      <c r="FM143" s="3302">
        <f>FM139-FM140+FM141-FM142</f>
        <v>0</v>
      </c>
      <c r="FN143" s="3302">
        <f>FN139-FN140+FN141-FN142</f>
        <v>107194652.7</v>
      </c>
      <c r="FO143" s="3237"/>
    </row>
    <row r="144" spans="1:171">
      <c r="A144" s="3277"/>
      <c r="B144" s="3206" t="s">
        <v>434</v>
      </c>
      <c r="C144" s="2098"/>
      <c r="D144" s="3300"/>
      <c r="E144" s="2098"/>
      <c r="F144" s="2098"/>
      <c r="G144" s="2182"/>
      <c r="H144" s="2671"/>
      <c r="I144" s="2671"/>
      <c r="J144" s="2672"/>
      <c r="K144" s="3205"/>
      <c r="O144" s="2747"/>
      <c r="S144" s="3237"/>
      <c r="W144" s="2747"/>
      <c r="AA144" s="3237"/>
      <c r="AE144" s="2747"/>
      <c r="AI144" s="3237"/>
      <c r="AM144" s="2747"/>
      <c r="AQ144" s="3237"/>
      <c r="AU144" s="2747"/>
      <c r="AY144" s="3237"/>
      <c r="BC144" s="2747"/>
      <c r="BG144" s="3237"/>
      <c r="BK144" s="2747"/>
      <c r="BO144" s="3237"/>
      <c r="BS144" s="2747"/>
      <c r="BW144" s="3237"/>
      <c r="CA144" s="2747"/>
      <c r="CE144" s="3237"/>
      <c r="CI144" s="2747"/>
      <c r="CM144" s="3237"/>
      <c r="CQ144" s="2747"/>
      <c r="CU144" s="3237"/>
      <c r="CY144" s="2747"/>
      <c r="DC144" s="3237"/>
      <c r="DG144" s="2747"/>
      <c r="DK144" s="3237"/>
      <c r="DO144" s="2747"/>
      <c r="DS144" s="3237"/>
      <c r="DW144" s="2747"/>
      <c r="EA144" s="3237"/>
      <c r="EE144" s="2747"/>
      <c r="EI144" s="3237"/>
      <c r="EM144" s="2747"/>
      <c r="EQ144" s="3237"/>
      <c r="EU144" s="2747"/>
      <c r="EY144" s="3237"/>
      <c r="FC144" s="2747"/>
      <c r="FG144" s="3237"/>
      <c r="FK144" s="2747"/>
      <c r="FO144" s="3237"/>
    </row>
    <row r="145" spans="1:171">
      <c r="A145" s="2442"/>
      <c r="B145" s="2290" t="s">
        <v>372</v>
      </c>
      <c r="C145" s="2464" t="s">
        <v>81</v>
      </c>
      <c r="D145" s="2464">
        <v>244</v>
      </c>
      <c r="E145" s="2424" t="str">
        <f>'Sch 1- Rate Base '!E145</f>
        <v>DIST</v>
      </c>
      <c r="F145" s="2171"/>
      <c r="G145" s="2424">
        <f>'Sch 1- Rate Base '!G145</f>
        <v>0</v>
      </c>
      <c r="H145" s="2424">
        <f>'Sch 1- Rate Base '!H145</f>
        <v>0</v>
      </c>
      <c r="I145" s="2424">
        <f>'Sch 1- Rate Base '!I145</f>
        <v>0</v>
      </c>
      <c r="J145" s="2425">
        <f>'Sch 1- Rate Base '!J145</f>
        <v>0</v>
      </c>
      <c r="K145" s="3205">
        <f t="shared" ref="K145:K155" si="466">IF($E145="DIRECT",0,1)</f>
        <v>1</v>
      </c>
      <c r="O145" s="3235"/>
      <c r="S145" s="3237"/>
      <c r="W145" s="3235"/>
      <c r="AA145" s="3237"/>
      <c r="AE145" s="3235"/>
      <c r="AI145" s="3237"/>
      <c r="AM145" s="3235"/>
      <c r="AQ145" s="3237"/>
      <c r="AU145" s="3235"/>
      <c r="AY145" s="3237"/>
      <c r="BC145" s="3235"/>
      <c r="BG145" s="3237"/>
      <c r="BK145" s="3235"/>
      <c r="BO145" s="3237"/>
      <c r="BS145" s="3235"/>
      <c r="BW145" s="3237"/>
      <c r="CA145" s="3235"/>
      <c r="CE145" s="3237"/>
      <c r="CI145" s="3235"/>
      <c r="CM145" s="3237"/>
      <c r="CQ145" s="3235"/>
      <c r="CU145" s="3237"/>
      <c r="CY145" s="3235"/>
      <c r="DC145" s="3237"/>
      <c r="DG145" s="3235"/>
      <c r="DK145" s="3237"/>
      <c r="DO145" s="3235"/>
      <c r="DS145" s="3237"/>
      <c r="DW145" s="3235"/>
      <c r="EA145" s="3237"/>
      <c r="EE145" s="3235"/>
      <c r="EI145" s="3237"/>
      <c r="EM145" s="3235"/>
      <c r="EQ145" s="3237"/>
      <c r="EU145" s="3235"/>
      <c r="EY145" s="3237"/>
      <c r="FC145" s="3235"/>
      <c r="FG145" s="3237"/>
      <c r="FK145" s="3235"/>
      <c r="FO145" s="3237"/>
    </row>
    <row r="146" spans="1:171">
      <c r="A146" s="2442"/>
      <c r="B146" s="2290" t="s">
        <v>373</v>
      </c>
      <c r="C146" s="2464" t="s">
        <v>346</v>
      </c>
      <c r="D146" s="2464">
        <v>245</v>
      </c>
      <c r="E146" s="2424" t="str">
        <f>'Sch 1- Rate Base '!E146</f>
        <v>DIST</v>
      </c>
      <c r="F146" s="2171"/>
      <c r="G146" s="2424">
        <f>'Sch 1- Rate Base '!G146</f>
        <v>0</v>
      </c>
      <c r="H146" s="2424">
        <f>'Sch 1- Rate Base '!H146</f>
        <v>0</v>
      </c>
      <c r="I146" s="2424">
        <f>'Sch 1- Rate Base '!I146</f>
        <v>0</v>
      </c>
      <c r="J146" s="2425">
        <f>'Sch 1- Rate Base '!J146</f>
        <v>0</v>
      </c>
      <c r="K146" s="3205">
        <f t="shared" si="466"/>
        <v>1</v>
      </c>
      <c r="O146" s="3235"/>
      <c r="S146" s="3237"/>
      <c r="W146" s="3235"/>
      <c r="AA146" s="3237"/>
      <c r="AE146" s="3235"/>
      <c r="AI146" s="3237"/>
      <c r="AM146" s="3235"/>
      <c r="AQ146" s="3237"/>
      <c r="AU146" s="3235"/>
      <c r="AY146" s="3237"/>
      <c r="BC146" s="3235"/>
      <c r="BG146" s="3237"/>
      <c r="BK146" s="3235"/>
      <c r="BO146" s="3237"/>
      <c r="BS146" s="3235"/>
      <c r="BW146" s="3237"/>
      <c r="CA146" s="3235"/>
      <c r="CE146" s="3237"/>
      <c r="CI146" s="3235"/>
      <c r="CM146" s="3237"/>
      <c r="CQ146" s="3235"/>
      <c r="CU146" s="3237"/>
      <c r="CY146" s="3235"/>
      <c r="DC146" s="3237"/>
      <c r="DG146" s="3235"/>
      <c r="DK146" s="3237"/>
      <c r="DO146" s="3235"/>
      <c r="DS146" s="3237"/>
      <c r="DW146" s="3235"/>
      <c r="EA146" s="3237"/>
      <c r="EE146" s="3235"/>
      <c r="EI146" s="3237"/>
      <c r="EM146" s="3235"/>
      <c r="EQ146" s="3237"/>
      <c r="EU146" s="3235"/>
      <c r="EY146" s="3237"/>
      <c r="FC146" s="3235"/>
      <c r="FG146" s="3237"/>
      <c r="FK146" s="3235"/>
      <c r="FO146" s="3237"/>
    </row>
    <row r="147" spans="1:171">
      <c r="A147" s="2442"/>
      <c r="B147" s="2290" t="s">
        <v>22</v>
      </c>
      <c r="C147" s="2464" t="s">
        <v>81</v>
      </c>
      <c r="D147" s="2464">
        <v>252</v>
      </c>
      <c r="E147" s="2424" t="str">
        <f>'Sch 1- Rate Base '!E147</f>
        <v>DIST</v>
      </c>
      <c r="F147" s="2171"/>
      <c r="G147" s="2424">
        <f>'Sch 1- Rate Base '!G147</f>
        <v>141549489.40000001</v>
      </c>
      <c r="H147" s="2424">
        <f>'Sch 1- Rate Base '!H147</f>
        <v>0</v>
      </c>
      <c r="I147" s="2424">
        <f>'Sch 1- Rate Base '!I147</f>
        <v>0</v>
      </c>
      <c r="J147" s="2425">
        <f>'Sch 1- Rate Base '!J147</f>
        <v>141549489.40000001</v>
      </c>
      <c r="K147" s="3205">
        <f t="shared" si="466"/>
        <v>1</v>
      </c>
      <c r="O147" s="3235">
        <f t="shared" ref="O147:O155" si="467">$G147</f>
        <v>141549489.40000001</v>
      </c>
      <c r="P147" s="3236">
        <f t="shared" ref="P147:P155" si="468">VLOOKUP($E147,O$442:R$453,2,FALSE)*O147*($K147)+IF($G147&lt;&gt;0,($H147/$G147)*O147,0)*(1-$K147)</f>
        <v>0</v>
      </c>
      <c r="Q147" s="3236">
        <f t="shared" ref="Q147:Q155" si="469">VLOOKUP($E147,O$442:R$453,3,FALSE)*O147*($K147)+IF($G147&lt;&gt;0,($I147/$G147)*O147,0)*(1-$K147)</f>
        <v>0</v>
      </c>
      <c r="R147" s="3236">
        <f t="shared" ref="R147:R155" si="470">VLOOKUP($E147,O$442:R$453,4,FALSE)*O147*($K147)+(O147-P147-Q147)*(1-$K147)</f>
        <v>141549489.40000001</v>
      </c>
      <c r="S147" s="3237"/>
      <c r="W147" s="3235">
        <f t="shared" ref="W147:W155" si="471">$G147</f>
        <v>141549489.40000001</v>
      </c>
      <c r="X147" s="3236">
        <f t="shared" ref="X147:X155" si="472">VLOOKUP($E147,W$442:Z$453,2,FALSE)*W147*($K147)+IF($G147&lt;&gt;0,($H147/$G147)*W147,0)*(1-$K147)</f>
        <v>0</v>
      </c>
      <c r="Y147" s="3236">
        <f t="shared" ref="Y147:Y155" si="473">VLOOKUP($E147,W$442:Z$453,3,FALSE)*W147*($K147)+IF($G147&lt;&gt;0,($I147/$G147)*W147,0)*(1-$K147)</f>
        <v>0</v>
      </c>
      <c r="Z147" s="3236">
        <f t="shared" ref="Z147:Z155" si="474">VLOOKUP($E147,W$442:Z$453,4,FALSE)*W147*($K147)+(W147-X147-Y147)*(1-$K147)</f>
        <v>141549489.40000001</v>
      </c>
      <c r="AA147" s="3237"/>
      <c r="AE147" s="3235">
        <f t="shared" ref="AE147:AE155" si="475">$G147</f>
        <v>141549489.40000001</v>
      </c>
      <c r="AF147" s="3236">
        <f t="shared" ref="AF147:AF155" si="476">VLOOKUP($E147,AE$442:AH$453,2,FALSE)*AE147*($K147)+IF($G147&lt;&gt;0,($H147/$G147)*AE147,0)*(1-$K147)</f>
        <v>0</v>
      </c>
      <c r="AG147" s="3236">
        <f t="shared" ref="AG147:AG155" si="477">VLOOKUP($E147,AE$442:AH$453,3,FALSE)*AE147*($K147)+IF($G147&lt;&gt;0,($I147/$G147)*AE147,0)*(1-$K147)</f>
        <v>0</v>
      </c>
      <c r="AH147" s="3236">
        <f t="shared" ref="AH147:AH155" si="478">VLOOKUP($E147,AE$442:AH$453,4,FALSE)*AE147*($K147)+(AE147-AF147-AG147)*(1-$K147)</f>
        <v>141549489.40000001</v>
      </c>
      <c r="AI147" s="3237"/>
      <c r="AM147" s="3235">
        <f t="shared" ref="AM147:AM155" si="479">$G147</f>
        <v>141549489.40000001</v>
      </c>
      <c r="AN147" s="3236">
        <f t="shared" ref="AN147:AN155" si="480">VLOOKUP($E147,AM$442:AP$453,2,FALSE)*AM147*($K147)+IF($G147&lt;&gt;0,($H147/$G147)*AM147,0)*(1-$K147)</f>
        <v>0</v>
      </c>
      <c r="AO147" s="3236">
        <f t="shared" ref="AO147:AO155" si="481">VLOOKUP($E147,AM$442:AP$453,3,FALSE)*AM147*($K147)+IF($G147&lt;&gt;0,($I147/$G147)*AM147,0)*(1-$K147)</f>
        <v>0</v>
      </c>
      <c r="AP147" s="3236">
        <f t="shared" ref="AP147:AP155" si="482">VLOOKUP($E147,AM$442:AP$453,4,FALSE)*AM147*($K147)+(AM147-AN147-AO147)*(1-$K147)</f>
        <v>141549489.40000001</v>
      </c>
      <c r="AQ147" s="3237"/>
      <c r="AU147" s="3235">
        <f t="shared" ref="AU147:AU155" si="483">$G147</f>
        <v>141549489.40000001</v>
      </c>
      <c r="AV147" s="3236">
        <f t="shared" ref="AV147:AV155" si="484">VLOOKUP($E147,AU$442:AX$453,2,FALSE)*AU147*($K147)+IF($G147&lt;&gt;0,($H147/$G147)*AU147,0)*(1-$K147)</f>
        <v>0</v>
      </c>
      <c r="AW147" s="3236">
        <f t="shared" ref="AW147:AW155" si="485">VLOOKUP($E147,AU$442:AX$453,3,FALSE)*AU147*($K147)+IF($G147&lt;&gt;0,($I147/$G147)*AU147,0)*(1-$K147)</f>
        <v>0</v>
      </c>
      <c r="AX147" s="3236">
        <f t="shared" ref="AX147:AX155" si="486">VLOOKUP($E147,AU$442:AX$453,4,FALSE)*AU147*($K147)+(AU147-AV147-AW147)*(1-$K147)</f>
        <v>141549489.40000001</v>
      </c>
      <c r="AY147" s="3237"/>
      <c r="BC147" s="3235">
        <f t="shared" ref="BC147:BC155" si="487">$G147</f>
        <v>141549489.40000001</v>
      </c>
      <c r="BD147" s="3236">
        <f t="shared" ref="BD147:BD155" si="488">VLOOKUP($E147,BC$442:BF$453,2,FALSE)*BC147*($K147)+IF($G147&lt;&gt;0,($H147/$G147)*BC147,0)*(1-$K147)</f>
        <v>0</v>
      </c>
      <c r="BE147" s="3236">
        <f t="shared" ref="BE147:BE155" si="489">VLOOKUP($E147,BC$442:BF$453,3,FALSE)*BC147*($K147)+IF($G147&lt;&gt;0,($I147/$G147)*BC147,0)*(1-$K147)</f>
        <v>0</v>
      </c>
      <c r="BF147" s="3236">
        <f t="shared" ref="BF147:BF155" si="490">VLOOKUP($E147,BC$442:BF$453,4,FALSE)*BC147*($K147)+(BC147-BD147-BE147)*(1-$K147)</f>
        <v>141549489.40000001</v>
      </c>
      <c r="BG147" s="3237"/>
      <c r="BK147" s="3235">
        <f t="shared" ref="BK147:BK155" si="491">$G147</f>
        <v>141549489.40000001</v>
      </c>
      <c r="BL147" s="3236">
        <f t="shared" ref="BL147:BL155" si="492">VLOOKUP($E147,BK$442:BN$453,2,FALSE)*BK147*($K147)+IF($G147&lt;&gt;0,($H147/$G147)*BK147,0)*(1-$K147)</f>
        <v>0</v>
      </c>
      <c r="BM147" s="3236">
        <f t="shared" ref="BM147:BM155" si="493">VLOOKUP($E147,BK$442:BN$453,3,FALSE)*BK147*($K147)+IF($G147&lt;&gt;0,($I147/$G147)*BK147,0)*(1-$K147)</f>
        <v>0</v>
      </c>
      <c r="BN147" s="3236">
        <f t="shared" ref="BN147:BN155" si="494">VLOOKUP($E147,BK$442:BN$453,4,FALSE)*BK147*($K147)+(BK147-BL147-BM147)*(1-$K147)</f>
        <v>141549489.40000001</v>
      </c>
      <c r="BO147" s="3237"/>
      <c r="BS147" s="3235">
        <f t="shared" ref="BS147:BS155" si="495">$G147</f>
        <v>141549489.40000001</v>
      </c>
      <c r="BT147" s="3236">
        <f t="shared" ref="BT147:BT155" si="496">VLOOKUP($E147,BS$442:BV$453,2,FALSE)*BS147*($K147)+IF($G147&lt;&gt;0,($H147/$G147)*BS147,0)*(1-$K147)</f>
        <v>0</v>
      </c>
      <c r="BU147" s="3236">
        <f t="shared" ref="BU147:BU155" si="497">VLOOKUP($E147,BS$442:BV$453,3,FALSE)*BS147*($K147)+IF($G147&lt;&gt;0,($I147/$G147)*BS147,0)*(1-$K147)</f>
        <v>0</v>
      </c>
      <c r="BV147" s="3236">
        <f t="shared" ref="BV147:BV155" si="498">VLOOKUP($E147,BS$442:BV$453,4,FALSE)*BS147*($K147)+(BS147-BT147-BU147)*(1-$K147)</f>
        <v>141549489.40000001</v>
      </c>
      <c r="BW147" s="3237"/>
      <c r="CA147" s="3235">
        <f t="shared" ref="CA147:CA155" si="499">$G147</f>
        <v>141549489.40000001</v>
      </c>
      <c r="CB147" s="3236">
        <f t="shared" ref="CB147:CB155" si="500">VLOOKUP($E147,CA$442:CD$453,2,FALSE)*CA147*($K147)+IF($G147&lt;&gt;0,($H147/$G147)*CA147,0)*(1-$K147)</f>
        <v>0</v>
      </c>
      <c r="CC147" s="3236">
        <f t="shared" ref="CC147:CC155" si="501">VLOOKUP($E147,CA$442:CD$453,3,FALSE)*CA147*($K147)+IF($G147&lt;&gt;0,($I147/$G147)*CA147,0)*(1-$K147)</f>
        <v>0</v>
      </c>
      <c r="CD147" s="3236">
        <f t="shared" ref="CD147:CD155" si="502">VLOOKUP($E147,CA$442:CD$453,4,FALSE)*CA147*($K147)+(CA147-CB147-CC147)*(1-$K147)</f>
        <v>141549489.40000001</v>
      </c>
      <c r="CE147" s="3237"/>
      <c r="CI147" s="3235">
        <f t="shared" ref="CI147:CI155" si="503">$G147</f>
        <v>141549489.40000001</v>
      </c>
      <c r="CJ147" s="3236">
        <f t="shared" ref="CJ147:CJ155" si="504">VLOOKUP($E147,CI$442:CL$453,2,FALSE)*CI147*($K147)+IF($G147&lt;&gt;0,($H147/$G147)*CI147,0)*(1-$K147)</f>
        <v>0</v>
      </c>
      <c r="CK147" s="3236">
        <f t="shared" ref="CK147:CK155" si="505">VLOOKUP($E147,CI$442:CL$453,3,FALSE)*CI147*($K147)+IF($G147&lt;&gt;0,($I147/$G147)*CI147,0)*(1-$K147)</f>
        <v>0</v>
      </c>
      <c r="CL147" s="3236">
        <f t="shared" ref="CL147:CL155" si="506">VLOOKUP($E147,CI$442:CL$453,4,FALSE)*CI147*($K147)+(CI147-CJ147-CK147)*(1-$K147)</f>
        <v>141549489.40000001</v>
      </c>
      <c r="CM147" s="3237"/>
      <c r="CQ147" s="3235">
        <f t="shared" ref="CQ147:CQ155" si="507">$G147</f>
        <v>141549489.40000001</v>
      </c>
      <c r="CR147" s="3236">
        <f t="shared" ref="CR147:CR155" si="508">VLOOKUP($E147,CQ$442:CT$453,2,FALSE)*CQ147*($K147)+IF($G147&lt;&gt;0,($H147/$G147)*CQ147,0)*(1-$K147)</f>
        <v>0</v>
      </c>
      <c r="CS147" s="3236">
        <f t="shared" ref="CS147:CS155" si="509">VLOOKUP($E147,CQ$442:CT$453,3,FALSE)*CQ147*($K147)+IF($G147&lt;&gt;0,($I147/$G147)*CQ147,0)*(1-$K147)</f>
        <v>0</v>
      </c>
      <c r="CT147" s="3236">
        <f t="shared" ref="CT147:CT155" si="510">VLOOKUP($E147,CQ$442:CT$453,4,FALSE)*CQ147*($K147)+(CQ147-CR147-CS147)*(1-$K147)</f>
        <v>141549489.40000001</v>
      </c>
      <c r="CU147" s="3237"/>
      <c r="CY147" s="3235">
        <f t="shared" ref="CY147:CY155" si="511">$G147</f>
        <v>141549489.40000001</v>
      </c>
      <c r="CZ147" s="3236">
        <f t="shared" ref="CZ147:CZ155" si="512">VLOOKUP($E147,CY$442:DB$453,2,FALSE)*CY147*($K147)+IF($G147&lt;&gt;0,($H147/$G147)*CY147,0)*(1-$K147)</f>
        <v>0</v>
      </c>
      <c r="DA147" s="3236">
        <f t="shared" ref="DA147:DA155" si="513">VLOOKUP($E147,CY$442:DB$453,3,FALSE)*CY147*($K147)+IF($G147&lt;&gt;0,($I147/$G147)*CY147,0)*(1-$K147)</f>
        <v>0</v>
      </c>
      <c r="DB147" s="3236">
        <f t="shared" ref="DB147:DB155" si="514">VLOOKUP($E147,CY$442:DB$453,4,FALSE)*CY147*($K147)+(CY147-CZ147-DA147)*(1-$K147)</f>
        <v>141549489.40000001</v>
      </c>
      <c r="DC147" s="3237"/>
      <c r="DG147" s="3235">
        <f t="shared" ref="DG147:DG155" si="515">$G147</f>
        <v>141549489.40000001</v>
      </c>
      <c r="DH147" s="3236">
        <f t="shared" ref="DH147:DH155" si="516">VLOOKUP($E147,DG$442:DJ$453,2,FALSE)*DG147*($K147)+IF($G147&lt;&gt;0,($H147/$G147)*DG147,0)*(1-$K147)</f>
        <v>0</v>
      </c>
      <c r="DI147" s="3236">
        <f t="shared" ref="DI147:DI155" si="517">VLOOKUP($E147,DG$442:DJ$453,3,FALSE)*DG147*($K147)+IF($G147&lt;&gt;0,($I147/$G147)*DG147,0)*(1-$K147)</f>
        <v>0</v>
      </c>
      <c r="DJ147" s="3236">
        <f t="shared" ref="DJ147:DJ155" si="518">VLOOKUP($E147,DG$442:DJ$453,4,FALSE)*DG147*($K147)+(DG147-DH147-DI147)*(1-$K147)</f>
        <v>141549489.40000001</v>
      </c>
      <c r="DK147" s="3237"/>
      <c r="DO147" s="3235">
        <f t="shared" ref="DO147:DO155" si="519">$G147</f>
        <v>141549489.40000001</v>
      </c>
      <c r="DP147" s="3236">
        <f t="shared" ref="DP147:DP155" si="520">VLOOKUP($E147,DO$442:DR$453,2,FALSE)*DO147*($K147)+IF($G147&lt;&gt;0,($H147/$G147)*DO147,0)*(1-$K147)</f>
        <v>0</v>
      </c>
      <c r="DQ147" s="3236">
        <f t="shared" ref="DQ147:DQ155" si="521">VLOOKUP($E147,DO$442:DR$453,3,FALSE)*DO147*($K147)+IF($G147&lt;&gt;0,($I147/$G147)*DO147,0)*(1-$K147)</f>
        <v>0</v>
      </c>
      <c r="DR147" s="3236">
        <f t="shared" ref="DR147:DR155" si="522">VLOOKUP($E147,DO$442:DR$453,4,FALSE)*DO147*($K147)+(DO147-DP147-DQ147)*(1-$K147)</f>
        <v>141549489.40000001</v>
      </c>
      <c r="DS147" s="3237"/>
      <c r="DW147" s="3235">
        <f t="shared" ref="DW147:DW155" si="523">$G147</f>
        <v>141549489.40000001</v>
      </c>
      <c r="DX147" s="3236">
        <f t="shared" ref="DX147:DX155" si="524">VLOOKUP($E147,DW$442:DZ$453,2,FALSE)*DW147*($K147)+IF($G147&lt;&gt;0,($H147/$G147)*DW147,0)*(1-$K147)</f>
        <v>0</v>
      </c>
      <c r="DY147" s="3236">
        <f t="shared" ref="DY147:DY155" si="525">VLOOKUP($E147,DW$442:DZ$453,3,FALSE)*DW147*($K147)+IF($G147&lt;&gt;0,($I147/$G147)*DW147,0)*(1-$K147)</f>
        <v>0</v>
      </c>
      <c r="DZ147" s="3236">
        <f t="shared" ref="DZ147:DZ155" si="526">VLOOKUP($E147,DW$442:DZ$453,4,FALSE)*DW147*($K147)+(DW147-DX147-DY147)*(1-$K147)</f>
        <v>141549489.40000001</v>
      </c>
      <c r="EA147" s="3237"/>
      <c r="EE147" s="3235">
        <f t="shared" ref="EE147:EE155" si="527">$G147</f>
        <v>141549489.40000001</v>
      </c>
      <c r="EF147" s="3236">
        <f t="shared" ref="EF147:EF155" si="528">VLOOKUP($E147,EE$442:EH$453,2,FALSE)*EE147*($K147)+IF($G147&lt;&gt;0,($H147/$G147)*EE147,0)*(1-$K147)</f>
        <v>0</v>
      </c>
      <c r="EG147" s="3236">
        <f t="shared" ref="EG147:EG155" si="529">VLOOKUP($E147,EE$442:EH$453,3,FALSE)*EE147*($K147)+IF($G147&lt;&gt;0,($I147/$G147)*EE147,0)*(1-$K147)</f>
        <v>0</v>
      </c>
      <c r="EH147" s="3236">
        <f t="shared" ref="EH147:EH155" si="530">VLOOKUP($E147,EE$442:EH$453,4,FALSE)*EE147*($K147)+(EE147-EF147-EG147)*(1-$K147)</f>
        <v>141549489.40000001</v>
      </c>
      <c r="EI147" s="3237"/>
      <c r="EM147" s="3235">
        <f t="shared" ref="EM147:EM155" si="531">$G147</f>
        <v>141549489.40000001</v>
      </c>
      <c r="EN147" s="3236">
        <f t="shared" ref="EN147:EN155" si="532">VLOOKUP($E147,EM$442:EP$453,2,FALSE)*EM147*($K147)+IF($G147&lt;&gt;0,($H147/$G147)*EM147,0)*(1-$K147)</f>
        <v>0</v>
      </c>
      <c r="EO147" s="3236">
        <f t="shared" ref="EO147:EO155" si="533">VLOOKUP($E147,EM$442:EP$453,3,FALSE)*EM147*($K147)+IF($G147&lt;&gt;0,($I147/$G147)*EM147,0)*(1-$K147)</f>
        <v>0</v>
      </c>
      <c r="EP147" s="3236">
        <f t="shared" ref="EP147:EP155" si="534">VLOOKUP($E147,EM$442:EP$453,4,FALSE)*EM147*($K147)+(EM147-EN147-EO147)*(1-$K147)</f>
        <v>141549489.40000001</v>
      </c>
      <c r="EQ147" s="3237"/>
      <c r="EU147" s="3235">
        <f t="shared" ref="EU147:EU155" si="535">$G147</f>
        <v>141549489.40000001</v>
      </c>
      <c r="EV147" s="3236">
        <f t="shared" ref="EV147:EV155" si="536">VLOOKUP($E147,EU$442:EX$453,2,FALSE)*EU147*($K147)+IF($G147&lt;&gt;0,($H147/$G147)*EU147,0)*(1-$K147)</f>
        <v>0</v>
      </c>
      <c r="EW147" s="3236">
        <f t="shared" ref="EW147:EW155" si="537">VLOOKUP($E147,EU$442:EX$453,3,FALSE)*EU147*($K147)+IF($G147&lt;&gt;0,($I147/$G147)*EU147,0)*(1-$K147)</f>
        <v>0</v>
      </c>
      <c r="EX147" s="3236">
        <f t="shared" ref="EX147:EX155" si="538">VLOOKUP($E147,EU$442:EX$453,4,FALSE)*EU147*($K147)+(EU147-EV147-EW147)*(1-$K147)</f>
        <v>141549489.40000001</v>
      </c>
      <c r="EY147" s="3237"/>
      <c r="FC147" s="3235">
        <f t="shared" ref="FC147:FC155" si="539">$G147</f>
        <v>141549489.40000001</v>
      </c>
      <c r="FD147" s="3236">
        <f t="shared" ref="FD147:FD155" si="540">VLOOKUP($E147,FC$442:FF$453,2,FALSE)*FC147*($K147)+IF($G147&lt;&gt;0,($H147/$G147)*FC147,0)*(1-$K147)</f>
        <v>0</v>
      </c>
      <c r="FE147" s="3236">
        <f t="shared" ref="FE147:FE155" si="541">VLOOKUP($E147,FC$442:FF$453,3,FALSE)*FC147*($K147)+IF($G147&lt;&gt;0,($I147/$G147)*FC147,0)*(1-$K147)</f>
        <v>0</v>
      </c>
      <c r="FF147" s="3236">
        <f t="shared" ref="FF147:FF155" si="542">VLOOKUP($E147,FC$442:FF$453,4,FALSE)*FC147*($K147)+(FC147-FD147-FE147)*(1-$K147)</f>
        <v>141549489.40000001</v>
      </c>
      <c r="FG147" s="3237"/>
      <c r="FK147" s="3235">
        <f t="shared" ref="FK147:FK155" si="543">$G147</f>
        <v>141549489.40000001</v>
      </c>
      <c r="FL147" s="3236">
        <f t="shared" ref="FL147:FL155" si="544">VLOOKUP($E147,FK$442:FN$453,2,FALSE)*FK147*($K147)+IF($G147&lt;&gt;0,($H147/$G147)*FK147,0)*(1-$K147)</f>
        <v>0</v>
      </c>
      <c r="FM147" s="3236">
        <f t="shared" ref="FM147:FM155" si="545">VLOOKUP($E147,FK$442:FN$453,3,FALSE)*FK147*($K147)+IF($G147&lt;&gt;0,($I147/$G147)*FK147,0)*(1-$K147)</f>
        <v>0</v>
      </c>
      <c r="FN147" s="3236">
        <f t="shared" ref="FN147:FN155" si="546">VLOOKUP($E147,FK$442:FN$453,4,FALSE)*FK147*($K147)+(FK147-FL147-FM147)*(1-$K147)</f>
        <v>141549489.40000001</v>
      </c>
      <c r="FO147" s="3237"/>
    </row>
    <row r="148" spans="1:171">
      <c r="A148" s="2442"/>
      <c r="B148" s="2290" t="s">
        <v>25</v>
      </c>
      <c r="C148" s="2464" t="s">
        <v>81</v>
      </c>
      <c r="D148" s="2464">
        <v>253</v>
      </c>
      <c r="E148" s="2424" t="str">
        <f>'Sch 1- Rate Base '!E148</f>
        <v>DIRECT</v>
      </c>
      <c r="F148" s="2171"/>
      <c r="G148" s="2424">
        <f>'Sch 1- Rate Base '!G148</f>
        <v>240685828.18268144</v>
      </c>
      <c r="H148" s="2424">
        <f>'Sch 1- Rate Base '!H148</f>
        <v>74029658.958190456</v>
      </c>
      <c r="I148" s="2424">
        <f>'Sch 1- Rate Base '!I148</f>
        <v>0</v>
      </c>
      <c r="J148" s="2425">
        <f>'Sch 1- Rate Base '!J148</f>
        <v>166656169.22449097</v>
      </c>
      <c r="K148" s="3205">
        <f t="shared" si="466"/>
        <v>0</v>
      </c>
      <c r="O148" s="3235">
        <f t="shared" si="467"/>
        <v>240685828.18268144</v>
      </c>
      <c r="P148" s="3236">
        <f t="shared" si="468"/>
        <v>74029658.958190456</v>
      </c>
      <c r="Q148" s="3236">
        <f t="shared" si="469"/>
        <v>0</v>
      </c>
      <c r="R148" s="3236">
        <f t="shared" si="470"/>
        <v>166656169.224491</v>
      </c>
      <c r="S148" s="3237"/>
      <c r="W148" s="3235">
        <f t="shared" si="471"/>
        <v>240685828.18268144</v>
      </c>
      <c r="X148" s="3236">
        <f t="shared" si="472"/>
        <v>74029658.958190456</v>
      </c>
      <c r="Y148" s="3236">
        <f t="shared" si="473"/>
        <v>0</v>
      </c>
      <c r="Z148" s="3236">
        <f t="shared" si="474"/>
        <v>166656169.224491</v>
      </c>
      <c r="AA148" s="3237"/>
      <c r="AE148" s="3235">
        <f t="shared" si="475"/>
        <v>240685828.18268144</v>
      </c>
      <c r="AF148" s="3236">
        <f t="shared" si="476"/>
        <v>74029658.958190456</v>
      </c>
      <c r="AG148" s="3236">
        <f t="shared" si="477"/>
        <v>0</v>
      </c>
      <c r="AH148" s="3236">
        <f t="shared" si="478"/>
        <v>166656169.224491</v>
      </c>
      <c r="AI148" s="3237"/>
      <c r="AM148" s="3235">
        <f t="shared" si="479"/>
        <v>240685828.18268144</v>
      </c>
      <c r="AN148" s="3236">
        <f t="shared" si="480"/>
        <v>74029658.958190456</v>
      </c>
      <c r="AO148" s="3236">
        <f t="shared" si="481"/>
        <v>0</v>
      </c>
      <c r="AP148" s="3236">
        <f t="shared" si="482"/>
        <v>166656169.224491</v>
      </c>
      <c r="AQ148" s="3237"/>
      <c r="AU148" s="3235">
        <f t="shared" si="483"/>
        <v>240685828.18268144</v>
      </c>
      <c r="AV148" s="3236">
        <f t="shared" si="484"/>
        <v>74029658.958190456</v>
      </c>
      <c r="AW148" s="3236">
        <f t="shared" si="485"/>
        <v>0</v>
      </c>
      <c r="AX148" s="3236">
        <f t="shared" si="486"/>
        <v>166656169.224491</v>
      </c>
      <c r="AY148" s="3237"/>
      <c r="BC148" s="3235">
        <f t="shared" si="487"/>
        <v>240685828.18268144</v>
      </c>
      <c r="BD148" s="3236">
        <f t="shared" si="488"/>
        <v>74029658.958190456</v>
      </c>
      <c r="BE148" s="3236">
        <f t="shared" si="489"/>
        <v>0</v>
      </c>
      <c r="BF148" s="3236">
        <f t="shared" si="490"/>
        <v>166656169.224491</v>
      </c>
      <c r="BG148" s="3237"/>
      <c r="BK148" s="3235">
        <f t="shared" si="491"/>
        <v>240685828.18268144</v>
      </c>
      <c r="BL148" s="3236">
        <f t="shared" si="492"/>
        <v>74029658.958190456</v>
      </c>
      <c r="BM148" s="3236">
        <f t="shared" si="493"/>
        <v>0</v>
      </c>
      <c r="BN148" s="3236">
        <f t="shared" si="494"/>
        <v>166656169.224491</v>
      </c>
      <c r="BO148" s="3237"/>
      <c r="BS148" s="3235">
        <f t="shared" si="495"/>
        <v>240685828.18268144</v>
      </c>
      <c r="BT148" s="3236">
        <f t="shared" si="496"/>
        <v>74029658.958190456</v>
      </c>
      <c r="BU148" s="3236">
        <f t="shared" si="497"/>
        <v>0</v>
      </c>
      <c r="BV148" s="3236">
        <f t="shared" si="498"/>
        <v>166656169.224491</v>
      </c>
      <c r="BW148" s="3237"/>
      <c r="CA148" s="3235">
        <f t="shared" si="499"/>
        <v>240685828.18268144</v>
      </c>
      <c r="CB148" s="3236">
        <f t="shared" si="500"/>
        <v>74029658.958190456</v>
      </c>
      <c r="CC148" s="3236">
        <f t="shared" si="501"/>
        <v>0</v>
      </c>
      <c r="CD148" s="3236">
        <f t="shared" si="502"/>
        <v>166656169.224491</v>
      </c>
      <c r="CE148" s="3237"/>
      <c r="CI148" s="3235">
        <f t="shared" si="503"/>
        <v>240685828.18268144</v>
      </c>
      <c r="CJ148" s="3236">
        <f t="shared" si="504"/>
        <v>74029658.958190456</v>
      </c>
      <c r="CK148" s="3236">
        <f t="shared" si="505"/>
        <v>0</v>
      </c>
      <c r="CL148" s="3236">
        <f t="shared" si="506"/>
        <v>166656169.224491</v>
      </c>
      <c r="CM148" s="3237"/>
      <c r="CQ148" s="3235">
        <f t="shared" si="507"/>
        <v>240685828.18268144</v>
      </c>
      <c r="CR148" s="3236">
        <f t="shared" si="508"/>
        <v>74029658.958190456</v>
      </c>
      <c r="CS148" s="3236">
        <f t="shared" si="509"/>
        <v>0</v>
      </c>
      <c r="CT148" s="3236">
        <f t="shared" si="510"/>
        <v>166656169.224491</v>
      </c>
      <c r="CU148" s="3237"/>
      <c r="CY148" s="3235">
        <f t="shared" si="511"/>
        <v>240685828.18268144</v>
      </c>
      <c r="CZ148" s="3236">
        <f t="shared" si="512"/>
        <v>74029658.958190456</v>
      </c>
      <c r="DA148" s="3236">
        <f t="shared" si="513"/>
        <v>0</v>
      </c>
      <c r="DB148" s="3236">
        <f t="shared" si="514"/>
        <v>166656169.224491</v>
      </c>
      <c r="DC148" s="3237"/>
      <c r="DG148" s="3235">
        <f t="shared" si="515"/>
        <v>240685828.18268144</v>
      </c>
      <c r="DH148" s="3236">
        <f t="shared" si="516"/>
        <v>74029658.958190456</v>
      </c>
      <c r="DI148" s="3236">
        <f t="shared" si="517"/>
        <v>0</v>
      </c>
      <c r="DJ148" s="3236">
        <f t="shared" si="518"/>
        <v>166656169.224491</v>
      </c>
      <c r="DK148" s="3237"/>
      <c r="DO148" s="3235">
        <f t="shared" si="519"/>
        <v>240685828.18268144</v>
      </c>
      <c r="DP148" s="3236">
        <f t="shared" si="520"/>
        <v>74029658.958190456</v>
      </c>
      <c r="DQ148" s="3236">
        <f t="shared" si="521"/>
        <v>0</v>
      </c>
      <c r="DR148" s="3236">
        <f t="shared" si="522"/>
        <v>166656169.224491</v>
      </c>
      <c r="DS148" s="3237"/>
      <c r="DW148" s="3235">
        <f t="shared" si="523"/>
        <v>240685828.18268144</v>
      </c>
      <c r="DX148" s="3236">
        <f t="shared" si="524"/>
        <v>74029658.958190456</v>
      </c>
      <c r="DY148" s="3236">
        <f t="shared" si="525"/>
        <v>0</v>
      </c>
      <c r="DZ148" s="3236">
        <f t="shared" si="526"/>
        <v>166656169.224491</v>
      </c>
      <c r="EA148" s="3237"/>
      <c r="EE148" s="3235">
        <f t="shared" si="527"/>
        <v>240685828.18268144</v>
      </c>
      <c r="EF148" s="3236">
        <f t="shared" si="528"/>
        <v>74029658.958190456</v>
      </c>
      <c r="EG148" s="3236">
        <f t="shared" si="529"/>
        <v>0</v>
      </c>
      <c r="EH148" s="3236">
        <f t="shared" si="530"/>
        <v>166656169.224491</v>
      </c>
      <c r="EI148" s="3237"/>
      <c r="EM148" s="3235">
        <f t="shared" si="531"/>
        <v>240685828.18268144</v>
      </c>
      <c r="EN148" s="3236">
        <f t="shared" si="532"/>
        <v>74029658.958190456</v>
      </c>
      <c r="EO148" s="3236">
        <f t="shared" si="533"/>
        <v>0</v>
      </c>
      <c r="EP148" s="3236">
        <f t="shared" si="534"/>
        <v>166656169.224491</v>
      </c>
      <c r="EQ148" s="3237"/>
      <c r="EU148" s="3235">
        <f t="shared" si="535"/>
        <v>240685828.18268144</v>
      </c>
      <c r="EV148" s="3236">
        <f t="shared" si="536"/>
        <v>74029658.958190456</v>
      </c>
      <c r="EW148" s="3236">
        <f t="shared" si="537"/>
        <v>0</v>
      </c>
      <c r="EX148" s="3236">
        <f t="shared" si="538"/>
        <v>166656169.224491</v>
      </c>
      <c r="EY148" s="3237"/>
      <c r="FC148" s="3235">
        <f t="shared" si="539"/>
        <v>240685828.18268144</v>
      </c>
      <c r="FD148" s="3236">
        <f t="shared" si="540"/>
        <v>74029658.958190456</v>
      </c>
      <c r="FE148" s="3236">
        <f t="shared" si="541"/>
        <v>0</v>
      </c>
      <c r="FF148" s="3236">
        <f t="shared" si="542"/>
        <v>166656169.224491</v>
      </c>
      <c r="FG148" s="3237"/>
      <c r="FK148" s="3235">
        <f t="shared" si="543"/>
        <v>240685828.18268144</v>
      </c>
      <c r="FL148" s="3236">
        <f t="shared" si="544"/>
        <v>74029658.958190456</v>
      </c>
      <c r="FM148" s="3236">
        <f t="shared" si="545"/>
        <v>0</v>
      </c>
      <c r="FN148" s="3236">
        <f t="shared" si="546"/>
        <v>166656169.224491</v>
      </c>
      <c r="FO148" s="3237"/>
    </row>
    <row r="149" spans="1:171">
      <c r="A149" s="2442"/>
      <c r="B149" s="2290" t="s">
        <v>26</v>
      </c>
      <c r="C149" s="2464" t="s">
        <v>81</v>
      </c>
      <c r="D149" s="2464">
        <v>254</v>
      </c>
      <c r="E149" s="2424" t="str">
        <f>'Sch 1- Rate Base '!E149</f>
        <v>DIRECT</v>
      </c>
      <c r="F149" s="2171"/>
      <c r="G149" s="2424">
        <f>'Sch 1- Rate Base '!G149</f>
        <v>529787017.69000006</v>
      </c>
      <c r="H149" s="2424">
        <f>'Sch 1- Rate Base '!H149</f>
        <v>317891.18</v>
      </c>
      <c r="I149" s="2424">
        <f>'Sch 1- Rate Base '!I149</f>
        <v>0</v>
      </c>
      <c r="J149" s="2425">
        <f>'Sch 1- Rate Base '!J149</f>
        <v>529469126.51000005</v>
      </c>
      <c r="K149" s="3205">
        <f t="shared" si="466"/>
        <v>0</v>
      </c>
      <c r="O149" s="3235">
        <f t="shared" si="467"/>
        <v>529787017.69000006</v>
      </c>
      <c r="P149" s="3236">
        <f t="shared" si="468"/>
        <v>317891.18</v>
      </c>
      <c r="Q149" s="3236">
        <f t="shared" si="469"/>
        <v>0</v>
      </c>
      <c r="R149" s="3236">
        <f t="shared" si="470"/>
        <v>529469126.51000005</v>
      </c>
      <c r="S149" s="3237"/>
      <c r="W149" s="3235">
        <f t="shared" si="471"/>
        <v>529787017.69000006</v>
      </c>
      <c r="X149" s="3236">
        <f t="shared" si="472"/>
        <v>317891.18</v>
      </c>
      <c r="Y149" s="3236">
        <f t="shared" si="473"/>
        <v>0</v>
      </c>
      <c r="Z149" s="3236">
        <f t="shared" si="474"/>
        <v>529469126.51000005</v>
      </c>
      <c r="AA149" s="3237"/>
      <c r="AE149" s="3235">
        <f t="shared" si="475"/>
        <v>529787017.69000006</v>
      </c>
      <c r="AF149" s="3236">
        <f t="shared" si="476"/>
        <v>317891.18</v>
      </c>
      <c r="AG149" s="3236">
        <f t="shared" si="477"/>
        <v>0</v>
      </c>
      <c r="AH149" s="3236">
        <f t="shared" si="478"/>
        <v>529469126.51000005</v>
      </c>
      <c r="AI149" s="3237"/>
      <c r="AM149" s="3235">
        <f t="shared" si="479"/>
        <v>529787017.69000006</v>
      </c>
      <c r="AN149" s="3236">
        <f t="shared" si="480"/>
        <v>317891.18</v>
      </c>
      <c r="AO149" s="3236">
        <f t="shared" si="481"/>
        <v>0</v>
      </c>
      <c r="AP149" s="3236">
        <f t="shared" si="482"/>
        <v>529469126.51000005</v>
      </c>
      <c r="AQ149" s="3237"/>
      <c r="AU149" s="3235">
        <f t="shared" si="483"/>
        <v>529787017.69000006</v>
      </c>
      <c r="AV149" s="3236">
        <f t="shared" si="484"/>
        <v>317891.18</v>
      </c>
      <c r="AW149" s="3236">
        <f t="shared" si="485"/>
        <v>0</v>
      </c>
      <c r="AX149" s="3236">
        <f t="shared" si="486"/>
        <v>529469126.51000005</v>
      </c>
      <c r="AY149" s="3237"/>
      <c r="BC149" s="3235">
        <f t="shared" si="487"/>
        <v>529787017.69000006</v>
      </c>
      <c r="BD149" s="3236">
        <f t="shared" si="488"/>
        <v>317891.18</v>
      </c>
      <c r="BE149" s="3236">
        <f t="shared" si="489"/>
        <v>0</v>
      </c>
      <c r="BF149" s="3236">
        <f t="shared" si="490"/>
        <v>529469126.51000005</v>
      </c>
      <c r="BG149" s="3237"/>
      <c r="BK149" s="3235">
        <f t="shared" si="491"/>
        <v>529787017.69000006</v>
      </c>
      <c r="BL149" s="3236">
        <f t="shared" si="492"/>
        <v>317891.18</v>
      </c>
      <c r="BM149" s="3236">
        <f t="shared" si="493"/>
        <v>0</v>
      </c>
      <c r="BN149" s="3236">
        <f t="shared" si="494"/>
        <v>529469126.51000005</v>
      </c>
      <c r="BO149" s="3237"/>
      <c r="BS149" s="3235">
        <f t="shared" si="495"/>
        <v>529787017.69000006</v>
      </c>
      <c r="BT149" s="3236">
        <f t="shared" si="496"/>
        <v>317891.18</v>
      </c>
      <c r="BU149" s="3236">
        <f t="shared" si="497"/>
        <v>0</v>
      </c>
      <c r="BV149" s="3236">
        <f t="shared" si="498"/>
        <v>529469126.51000005</v>
      </c>
      <c r="BW149" s="3237"/>
      <c r="CA149" s="3235">
        <f t="shared" si="499"/>
        <v>529787017.69000006</v>
      </c>
      <c r="CB149" s="3236">
        <f t="shared" si="500"/>
        <v>317891.18</v>
      </c>
      <c r="CC149" s="3236">
        <f t="shared" si="501"/>
        <v>0</v>
      </c>
      <c r="CD149" s="3236">
        <f t="shared" si="502"/>
        <v>529469126.51000005</v>
      </c>
      <c r="CE149" s="3237"/>
      <c r="CI149" s="3235">
        <f t="shared" si="503"/>
        <v>529787017.69000006</v>
      </c>
      <c r="CJ149" s="3236">
        <f t="shared" si="504"/>
        <v>317891.18</v>
      </c>
      <c r="CK149" s="3236">
        <f t="shared" si="505"/>
        <v>0</v>
      </c>
      <c r="CL149" s="3236">
        <f t="shared" si="506"/>
        <v>529469126.51000005</v>
      </c>
      <c r="CM149" s="3237"/>
      <c r="CQ149" s="3235">
        <f t="shared" si="507"/>
        <v>529787017.69000006</v>
      </c>
      <c r="CR149" s="3236">
        <f t="shared" si="508"/>
        <v>317891.18</v>
      </c>
      <c r="CS149" s="3236">
        <f t="shared" si="509"/>
        <v>0</v>
      </c>
      <c r="CT149" s="3236">
        <f t="shared" si="510"/>
        <v>529469126.51000005</v>
      </c>
      <c r="CU149" s="3237"/>
      <c r="CY149" s="3235">
        <f t="shared" si="511"/>
        <v>529787017.69000006</v>
      </c>
      <c r="CZ149" s="3236">
        <f t="shared" si="512"/>
        <v>317891.18</v>
      </c>
      <c r="DA149" s="3236">
        <f t="shared" si="513"/>
        <v>0</v>
      </c>
      <c r="DB149" s="3236">
        <f t="shared" si="514"/>
        <v>529469126.51000005</v>
      </c>
      <c r="DC149" s="3237"/>
      <c r="DG149" s="3235">
        <f t="shared" si="515"/>
        <v>529787017.69000006</v>
      </c>
      <c r="DH149" s="3236">
        <f t="shared" si="516"/>
        <v>317891.18</v>
      </c>
      <c r="DI149" s="3236">
        <f t="shared" si="517"/>
        <v>0</v>
      </c>
      <c r="DJ149" s="3236">
        <f t="shared" si="518"/>
        <v>529469126.51000005</v>
      </c>
      <c r="DK149" s="3237"/>
      <c r="DO149" s="3235">
        <f t="shared" si="519"/>
        <v>529787017.69000006</v>
      </c>
      <c r="DP149" s="3236">
        <f t="shared" si="520"/>
        <v>317891.18</v>
      </c>
      <c r="DQ149" s="3236">
        <f t="shared" si="521"/>
        <v>0</v>
      </c>
      <c r="DR149" s="3236">
        <f t="shared" si="522"/>
        <v>529469126.51000005</v>
      </c>
      <c r="DS149" s="3237"/>
      <c r="DW149" s="3235">
        <f t="shared" si="523"/>
        <v>529787017.69000006</v>
      </c>
      <c r="DX149" s="3236">
        <f t="shared" si="524"/>
        <v>317891.18</v>
      </c>
      <c r="DY149" s="3236">
        <f t="shared" si="525"/>
        <v>0</v>
      </c>
      <c r="DZ149" s="3236">
        <f t="shared" si="526"/>
        <v>529469126.51000005</v>
      </c>
      <c r="EA149" s="3237"/>
      <c r="EE149" s="3235">
        <f t="shared" si="527"/>
        <v>529787017.69000006</v>
      </c>
      <c r="EF149" s="3236">
        <f t="shared" si="528"/>
        <v>317891.18</v>
      </c>
      <c r="EG149" s="3236">
        <f t="shared" si="529"/>
        <v>0</v>
      </c>
      <c r="EH149" s="3236">
        <f t="shared" si="530"/>
        <v>529469126.51000005</v>
      </c>
      <c r="EI149" s="3237"/>
      <c r="EM149" s="3235">
        <f t="shared" si="531"/>
        <v>529787017.69000006</v>
      </c>
      <c r="EN149" s="3236">
        <f t="shared" si="532"/>
        <v>317891.18</v>
      </c>
      <c r="EO149" s="3236">
        <f t="shared" si="533"/>
        <v>0</v>
      </c>
      <c r="EP149" s="3236">
        <f t="shared" si="534"/>
        <v>529469126.51000005</v>
      </c>
      <c r="EQ149" s="3237"/>
      <c r="EU149" s="3235">
        <f t="shared" si="535"/>
        <v>529787017.69000006</v>
      </c>
      <c r="EV149" s="3236">
        <f t="shared" si="536"/>
        <v>317891.18</v>
      </c>
      <c r="EW149" s="3236">
        <f t="shared" si="537"/>
        <v>0</v>
      </c>
      <c r="EX149" s="3236">
        <f t="shared" si="538"/>
        <v>529469126.51000005</v>
      </c>
      <c r="EY149" s="3237"/>
      <c r="FC149" s="3235">
        <f t="shared" si="539"/>
        <v>529787017.69000006</v>
      </c>
      <c r="FD149" s="3236">
        <f t="shared" si="540"/>
        <v>317891.18</v>
      </c>
      <c r="FE149" s="3236">
        <f t="shared" si="541"/>
        <v>0</v>
      </c>
      <c r="FF149" s="3236">
        <f t="shared" si="542"/>
        <v>529469126.51000005</v>
      </c>
      <c r="FG149" s="3237"/>
      <c r="FK149" s="3235">
        <f t="shared" si="543"/>
        <v>529787017.69000006</v>
      </c>
      <c r="FL149" s="3236">
        <f t="shared" si="544"/>
        <v>317891.18</v>
      </c>
      <c r="FM149" s="3236">
        <f t="shared" si="545"/>
        <v>0</v>
      </c>
      <c r="FN149" s="3236">
        <f t="shared" si="546"/>
        <v>529469126.51000005</v>
      </c>
      <c r="FO149" s="3237"/>
    </row>
    <row r="150" spans="1:171">
      <c r="A150" s="2442"/>
      <c r="B150" s="2290" t="s">
        <v>23</v>
      </c>
      <c r="C150" s="2464" t="s">
        <v>81</v>
      </c>
      <c r="D150" s="2464">
        <v>255</v>
      </c>
      <c r="E150" s="2424" t="str">
        <f>'Sch 1- Rate Base '!E150</f>
        <v>DIST</v>
      </c>
      <c r="F150" s="2171"/>
      <c r="G150" s="2424">
        <f>'Sch 1- Rate Base '!G150</f>
        <v>0</v>
      </c>
      <c r="H150" s="2424">
        <f>'Sch 1- Rate Base '!H150</f>
        <v>0</v>
      </c>
      <c r="I150" s="2424">
        <f>'Sch 1- Rate Base '!I150</f>
        <v>0</v>
      </c>
      <c r="J150" s="2425">
        <f>'Sch 1- Rate Base '!J150</f>
        <v>0</v>
      </c>
      <c r="K150" s="3205">
        <f t="shared" si="466"/>
        <v>1</v>
      </c>
      <c r="O150" s="3235">
        <f t="shared" si="467"/>
        <v>0</v>
      </c>
      <c r="P150" s="3236">
        <f t="shared" si="468"/>
        <v>0</v>
      </c>
      <c r="Q150" s="3236">
        <f t="shared" si="469"/>
        <v>0</v>
      </c>
      <c r="R150" s="3236">
        <f t="shared" si="470"/>
        <v>0</v>
      </c>
      <c r="S150" s="3237"/>
      <c r="W150" s="3235">
        <f t="shared" si="471"/>
        <v>0</v>
      </c>
      <c r="X150" s="3236">
        <f t="shared" si="472"/>
        <v>0</v>
      </c>
      <c r="Y150" s="3236">
        <f t="shared" si="473"/>
        <v>0</v>
      </c>
      <c r="Z150" s="3236">
        <f t="shared" si="474"/>
        <v>0</v>
      </c>
      <c r="AA150" s="3237"/>
      <c r="AE150" s="3235">
        <f t="shared" si="475"/>
        <v>0</v>
      </c>
      <c r="AF150" s="3236">
        <f t="shared" si="476"/>
        <v>0</v>
      </c>
      <c r="AG150" s="3236">
        <f t="shared" si="477"/>
        <v>0</v>
      </c>
      <c r="AH150" s="3236">
        <f t="shared" si="478"/>
        <v>0</v>
      </c>
      <c r="AI150" s="3237"/>
      <c r="AM150" s="3235">
        <f t="shared" si="479"/>
        <v>0</v>
      </c>
      <c r="AN150" s="3236">
        <f t="shared" si="480"/>
        <v>0</v>
      </c>
      <c r="AO150" s="3236">
        <f t="shared" si="481"/>
        <v>0</v>
      </c>
      <c r="AP150" s="3236">
        <f t="shared" si="482"/>
        <v>0</v>
      </c>
      <c r="AQ150" s="3237"/>
      <c r="AU150" s="3235">
        <f t="shared" si="483"/>
        <v>0</v>
      </c>
      <c r="AV150" s="3236">
        <f t="shared" si="484"/>
        <v>0</v>
      </c>
      <c r="AW150" s="3236">
        <f t="shared" si="485"/>
        <v>0</v>
      </c>
      <c r="AX150" s="3236">
        <f t="shared" si="486"/>
        <v>0</v>
      </c>
      <c r="AY150" s="3237"/>
      <c r="BC150" s="3235">
        <f t="shared" si="487"/>
        <v>0</v>
      </c>
      <c r="BD150" s="3236">
        <f t="shared" si="488"/>
        <v>0</v>
      </c>
      <c r="BE150" s="3236">
        <f t="shared" si="489"/>
        <v>0</v>
      </c>
      <c r="BF150" s="3236">
        <f t="shared" si="490"/>
        <v>0</v>
      </c>
      <c r="BG150" s="3237"/>
      <c r="BK150" s="3235">
        <f t="shared" si="491"/>
        <v>0</v>
      </c>
      <c r="BL150" s="3236">
        <f t="shared" si="492"/>
        <v>0</v>
      </c>
      <c r="BM150" s="3236">
        <f t="shared" si="493"/>
        <v>0</v>
      </c>
      <c r="BN150" s="3236">
        <f t="shared" si="494"/>
        <v>0</v>
      </c>
      <c r="BO150" s="3237"/>
      <c r="BS150" s="3235">
        <f t="shared" si="495"/>
        <v>0</v>
      </c>
      <c r="BT150" s="3236">
        <f t="shared" si="496"/>
        <v>0</v>
      </c>
      <c r="BU150" s="3236">
        <f t="shared" si="497"/>
        <v>0</v>
      </c>
      <c r="BV150" s="3236">
        <f t="shared" si="498"/>
        <v>0</v>
      </c>
      <c r="BW150" s="3237"/>
      <c r="CA150" s="3235">
        <f t="shared" si="499"/>
        <v>0</v>
      </c>
      <c r="CB150" s="3236">
        <f t="shared" si="500"/>
        <v>0</v>
      </c>
      <c r="CC150" s="3236">
        <f t="shared" si="501"/>
        <v>0</v>
      </c>
      <c r="CD150" s="3236">
        <f t="shared" si="502"/>
        <v>0</v>
      </c>
      <c r="CE150" s="3237"/>
      <c r="CI150" s="3235">
        <f t="shared" si="503"/>
        <v>0</v>
      </c>
      <c r="CJ150" s="3236">
        <f t="shared" si="504"/>
        <v>0</v>
      </c>
      <c r="CK150" s="3236">
        <f t="shared" si="505"/>
        <v>0</v>
      </c>
      <c r="CL150" s="3236">
        <f t="shared" si="506"/>
        <v>0</v>
      </c>
      <c r="CM150" s="3237"/>
      <c r="CQ150" s="3235">
        <f t="shared" si="507"/>
        <v>0</v>
      </c>
      <c r="CR150" s="3236">
        <f t="shared" si="508"/>
        <v>0</v>
      </c>
      <c r="CS150" s="3236">
        <f t="shared" si="509"/>
        <v>0</v>
      </c>
      <c r="CT150" s="3236">
        <f t="shared" si="510"/>
        <v>0</v>
      </c>
      <c r="CU150" s="3237"/>
      <c r="CY150" s="3235">
        <f t="shared" si="511"/>
        <v>0</v>
      </c>
      <c r="CZ150" s="3236">
        <f t="shared" si="512"/>
        <v>0</v>
      </c>
      <c r="DA150" s="3236">
        <f t="shared" si="513"/>
        <v>0</v>
      </c>
      <c r="DB150" s="3236">
        <f t="shared" si="514"/>
        <v>0</v>
      </c>
      <c r="DC150" s="3237"/>
      <c r="DG150" s="3235">
        <f t="shared" si="515"/>
        <v>0</v>
      </c>
      <c r="DH150" s="3236">
        <f t="shared" si="516"/>
        <v>0</v>
      </c>
      <c r="DI150" s="3236">
        <f t="shared" si="517"/>
        <v>0</v>
      </c>
      <c r="DJ150" s="3236">
        <f t="shared" si="518"/>
        <v>0</v>
      </c>
      <c r="DK150" s="3237"/>
      <c r="DO150" s="3235">
        <f t="shared" si="519"/>
        <v>0</v>
      </c>
      <c r="DP150" s="3236">
        <f t="shared" si="520"/>
        <v>0</v>
      </c>
      <c r="DQ150" s="3236">
        <f t="shared" si="521"/>
        <v>0</v>
      </c>
      <c r="DR150" s="3236">
        <f t="shared" si="522"/>
        <v>0</v>
      </c>
      <c r="DS150" s="3237"/>
      <c r="DW150" s="3235">
        <f t="shared" si="523"/>
        <v>0</v>
      </c>
      <c r="DX150" s="3236">
        <f t="shared" si="524"/>
        <v>0</v>
      </c>
      <c r="DY150" s="3236">
        <f t="shared" si="525"/>
        <v>0</v>
      </c>
      <c r="DZ150" s="3236">
        <f t="shared" si="526"/>
        <v>0</v>
      </c>
      <c r="EA150" s="3237"/>
      <c r="EE150" s="3235">
        <f t="shared" si="527"/>
        <v>0</v>
      </c>
      <c r="EF150" s="3236">
        <f t="shared" si="528"/>
        <v>0</v>
      </c>
      <c r="EG150" s="3236">
        <f t="shared" si="529"/>
        <v>0</v>
      </c>
      <c r="EH150" s="3236">
        <f t="shared" si="530"/>
        <v>0</v>
      </c>
      <c r="EI150" s="3237"/>
      <c r="EM150" s="3235">
        <f t="shared" si="531"/>
        <v>0</v>
      </c>
      <c r="EN150" s="3236">
        <f t="shared" si="532"/>
        <v>0</v>
      </c>
      <c r="EO150" s="3236">
        <f t="shared" si="533"/>
        <v>0</v>
      </c>
      <c r="EP150" s="3236">
        <f t="shared" si="534"/>
        <v>0</v>
      </c>
      <c r="EQ150" s="3237"/>
      <c r="EU150" s="3235">
        <f t="shared" si="535"/>
        <v>0</v>
      </c>
      <c r="EV150" s="3236">
        <f t="shared" si="536"/>
        <v>0</v>
      </c>
      <c r="EW150" s="3236">
        <f t="shared" si="537"/>
        <v>0</v>
      </c>
      <c r="EX150" s="3236">
        <f t="shared" si="538"/>
        <v>0</v>
      </c>
      <c r="EY150" s="3237"/>
      <c r="FC150" s="3235">
        <f t="shared" si="539"/>
        <v>0</v>
      </c>
      <c r="FD150" s="3236">
        <f t="shared" si="540"/>
        <v>0</v>
      </c>
      <c r="FE150" s="3236">
        <f t="shared" si="541"/>
        <v>0</v>
      </c>
      <c r="FF150" s="3236">
        <f t="shared" si="542"/>
        <v>0</v>
      </c>
      <c r="FG150" s="3237"/>
      <c r="FK150" s="3235">
        <f t="shared" si="543"/>
        <v>0</v>
      </c>
      <c r="FL150" s="3236">
        <f t="shared" si="544"/>
        <v>0</v>
      </c>
      <c r="FM150" s="3236">
        <f t="shared" si="545"/>
        <v>0</v>
      </c>
      <c r="FN150" s="3236">
        <f t="shared" si="546"/>
        <v>0</v>
      </c>
      <c r="FO150" s="3237"/>
    </row>
    <row r="151" spans="1:171">
      <c r="A151" s="2442"/>
      <c r="B151" s="2290" t="s">
        <v>24</v>
      </c>
      <c r="C151" s="2464" t="s">
        <v>81</v>
      </c>
      <c r="D151" s="2464">
        <v>256</v>
      </c>
      <c r="E151" s="2424" t="str">
        <f>'Sch 1- Rate Base '!E151</f>
        <v>DIRECT</v>
      </c>
      <c r="F151" s="2171"/>
      <c r="G151" s="2424">
        <f>'Sch 1- Rate Base '!G151</f>
        <v>1353224.7999999998</v>
      </c>
      <c r="H151" s="2424">
        <f>'Sch 1- Rate Base '!H151</f>
        <v>0</v>
      </c>
      <c r="I151" s="2424">
        <f>'Sch 1- Rate Base '!I151</f>
        <v>0</v>
      </c>
      <c r="J151" s="2425">
        <f>'Sch 1- Rate Base '!J151</f>
        <v>1353224.7999999998</v>
      </c>
      <c r="K151" s="3205">
        <f t="shared" si="466"/>
        <v>0</v>
      </c>
      <c r="O151" s="3235">
        <f t="shared" si="467"/>
        <v>1353224.7999999998</v>
      </c>
      <c r="P151" s="3236">
        <f t="shared" si="468"/>
        <v>0</v>
      </c>
      <c r="Q151" s="3236">
        <f t="shared" si="469"/>
        <v>0</v>
      </c>
      <c r="R151" s="3236">
        <f t="shared" si="470"/>
        <v>1353224.7999999998</v>
      </c>
      <c r="S151" s="3237"/>
      <c r="W151" s="3235">
        <f t="shared" si="471"/>
        <v>1353224.7999999998</v>
      </c>
      <c r="X151" s="3236">
        <f t="shared" si="472"/>
        <v>0</v>
      </c>
      <c r="Y151" s="3236">
        <f t="shared" si="473"/>
        <v>0</v>
      </c>
      <c r="Z151" s="3236">
        <f t="shared" si="474"/>
        <v>1353224.7999999998</v>
      </c>
      <c r="AA151" s="3237"/>
      <c r="AE151" s="3235">
        <f t="shared" si="475"/>
        <v>1353224.7999999998</v>
      </c>
      <c r="AF151" s="3236">
        <f t="shared" si="476"/>
        <v>0</v>
      </c>
      <c r="AG151" s="3236">
        <f t="shared" si="477"/>
        <v>0</v>
      </c>
      <c r="AH151" s="3236">
        <f t="shared" si="478"/>
        <v>1353224.7999999998</v>
      </c>
      <c r="AI151" s="3237"/>
      <c r="AM151" s="3235">
        <f t="shared" si="479"/>
        <v>1353224.7999999998</v>
      </c>
      <c r="AN151" s="3236">
        <f t="shared" si="480"/>
        <v>0</v>
      </c>
      <c r="AO151" s="3236">
        <f t="shared" si="481"/>
        <v>0</v>
      </c>
      <c r="AP151" s="3236">
        <f t="shared" si="482"/>
        <v>1353224.7999999998</v>
      </c>
      <c r="AQ151" s="3237"/>
      <c r="AU151" s="3235">
        <f t="shared" si="483"/>
        <v>1353224.7999999998</v>
      </c>
      <c r="AV151" s="3236">
        <f t="shared" si="484"/>
        <v>0</v>
      </c>
      <c r="AW151" s="3236">
        <f t="shared" si="485"/>
        <v>0</v>
      </c>
      <c r="AX151" s="3236">
        <f t="shared" si="486"/>
        <v>1353224.7999999998</v>
      </c>
      <c r="AY151" s="3237"/>
      <c r="BC151" s="3235">
        <f t="shared" si="487"/>
        <v>1353224.7999999998</v>
      </c>
      <c r="BD151" s="3236">
        <f t="shared" si="488"/>
        <v>0</v>
      </c>
      <c r="BE151" s="3236">
        <f t="shared" si="489"/>
        <v>0</v>
      </c>
      <c r="BF151" s="3236">
        <f t="shared" si="490"/>
        <v>1353224.7999999998</v>
      </c>
      <c r="BG151" s="3237"/>
      <c r="BK151" s="3235">
        <f t="shared" si="491"/>
        <v>1353224.7999999998</v>
      </c>
      <c r="BL151" s="3236">
        <f t="shared" si="492"/>
        <v>0</v>
      </c>
      <c r="BM151" s="3236">
        <f t="shared" si="493"/>
        <v>0</v>
      </c>
      <c r="BN151" s="3236">
        <f t="shared" si="494"/>
        <v>1353224.7999999998</v>
      </c>
      <c r="BO151" s="3237"/>
      <c r="BS151" s="3235">
        <f t="shared" si="495"/>
        <v>1353224.7999999998</v>
      </c>
      <c r="BT151" s="3236">
        <f t="shared" si="496"/>
        <v>0</v>
      </c>
      <c r="BU151" s="3236">
        <f t="shared" si="497"/>
        <v>0</v>
      </c>
      <c r="BV151" s="3236">
        <f t="shared" si="498"/>
        <v>1353224.7999999998</v>
      </c>
      <c r="BW151" s="3237"/>
      <c r="CA151" s="3235">
        <f t="shared" si="499"/>
        <v>1353224.7999999998</v>
      </c>
      <c r="CB151" s="3236">
        <f t="shared" si="500"/>
        <v>0</v>
      </c>
      <c r="CC151" s="3236">
        <f t="shared" si="501"/>
        <v>0</v>
      </c>
      <c r="CD151" s="3236">
        <f t="shared" si="502"/>
        <v>1353224.7999999998</v>
      </c>
      <c r="CE151" s="3237"/>
      <c r="CI151" s="3235">
        <f t="shared" si="503"/>
        <v>1353224.7999999998</v>
      </c>
      <c r="CJ151" s="3236">
        <f t="shared" si="504"/>
        <v>0</v>
      </c>
      <c r="CK151" s="3236">
        <f t="shared" si="505"/>
        <v>0</v>
      </c>
      <c r="CL151" s="3236">
        <f t="shared" si="506"/>
        <v>1353224.7999999998</v>
      </c>
      <c r="CM151" s="3237"/>
      <c r="CQ151" s="3235">
        <f t="shared" si="507"/>
        <v>1353224.7999999998</v>
      </c>
      <c r="CR151" s="3236">
        <f t="shared" si="508"/>
        <v>0</v>
      </c>
      <c r="CS151" s="3236">
        <f t="shared" si="509"/>
        <v>0</v>
      </c>
      <c r="CT151" s="3236">
        <f t="shared" si="510"/>
        <v>1353224.7999999998</v>
      </c>
      <c r="CU151" s="3237"/>
      <c r="CY151" s="3235">
        <f t="shared" si="511"/>
        <v>1353224.7999999998</v>
      </c>
      <c r="CZ151" s="3236">
        <f t="shared" si="512"/>
        <v>0</v>
      </c>
      <c r="DA151" s="3236">
        <f t="shared" si="513"/>
        <v>0</v>
      </c>
      <c r="DB151" s="3236">
        <f t="shared" si="514"/>
        <v>1353224.7999999998</v>
      </c>
      <c r="DC151" s="3237"/>
      <c r="DG151" s="3235">
        <f t="shared" si="515"/>
        <v>1353224.7999999998</v>
      </c>
      <c r="DH151" s="3236">
        <f t="shared" si="516"/>
        <v>0</v>
      </c>
      <c r="DI151" s="3236">
        <f t="shared" si="517"/>
        <v>0</v>
      </c>
      <c r="DJ151" s="3236">
        <f t="shared" si="518"/>
        <v>1353224.7999999998</v>
      </c>
      <c r="DK151" s="3237"/>
      <c r="DO151" s="3235">
        <f t="shared" si="519"/>
        <v>1353224.7999999998</v>
      </c>
      <c r="DP151" s="3236">
        <f t="shared" si="520"/>
        <v>0</v>
      </c>
      <c r="DQ151" s="3236">
        <f t="shared" si="521"/>
        <v>0</v>
      </c>
      <c r="DR151" s="3236">
        <f t="shared" si="522"/>
        <v>1353224.7999999998</v>
      </c>
      <c r="DS151" s="3237"/>
      <c r="DW151" s="3235">
        <f t="shared" si="523"/>
        <v>1353224.7999999998</v>
      </c>
      <c r="DX151" s="3236">
        <f t="shared" si="524"/>
        <v>0</v>
      </c>
      <c r="DY151" s="3236">
        <f t="shared" si="525"/>
        <v>0</v>
      </c>
      <c r="DZ151" s="3236">
        <f t="shared" si="526"/>
        <v>1353224.7999999998</v>
      </c>
      <c r="EA151" s="3237"/>
      <c r="EE151" s="3235">
        <f t="shared" si="527"/>
        <v>1353224.7999999998</v>
      </c>
      <c r="EF151" s="3236">
        <f t="shared" si="528"/>
        <v>0</v>
      </c>
      <c r="EG151" s="3236">
        <f t="shared" si="529"/>
        <v>0</v>
      </c>
      <c r="EH151" s="3236">
        <f t="shared" si="530"/>
        <v>1353224.7999999998</v>
      </c>
      <c r="EI151" s="3237"/>
      <c r="EM151" s="3235">
        <f t="shared" si="531"/>
        <v>1353224.7999999998</v>
      </c>
      <c r="EN151" s="3236">
        <f t="shared" si="532"/>
        <v>0</v>
      </c>
      <c r="EO151" s="3236">
        <f t="shared" si="533"/>
        <v>0</v>
      </c>
      <c r="EP151" s="3236">
        <f t="shared" si="534"/>
        <v>1353224.7999999998</v>
      </c>
      <c r="EQ151" s="3237"/>
      <c r="EU151" s="3235">
        <f t="shared" si="535"/>
        <v>1353224.7999999998</v>
      </c>
      <c r="EV151" s="3236">
        <f t="shared" si="536"/>
        <v>0</v>
      </c>
      <c r="EW151" s="3236">
        <f t="shared" si="537"/>
        <v>0</v>
      </c>
      <c r="EX151" s="3236">
        <f t="shared" si="538"/>
        <v>1353224.7999999998</v>
      </c>
      <c r="EY151" s="3237"/>
      <c r="FC151" s="3235">
        <f t="shared" si="539"/>
        <v>1353224.7999999998</v>
      </c>
      <c r="FD151" s="3236">
        <f t="shared" si="540"/>
        <v>0</v>
      </c>
      <c r="FE151" s="3236">
        <f t="shared" si="541"/>
        <v>0</v>
      </c>
      <c r="FF151" s="3236">
        <f t="shared" si="542"/>
        <v>1353224.7999999998</v>
      </c>
      <c r="FG151" s="3237"/>
      <c r="FK151" s="3235">
        <f t="shared" si="543"/>
        <v>1353224.7999999998</v>
      </c>
      <c r="FL151" s="3236">
        <f t="shared" si="544"/>
        <v>0</v>
      </c>
      <c r="FM151" s="3236">
        <f t="shared" si="545"/>
        <v>0</v>
      </c>
      <c r="FN151" s="3236">
        <f t="shared" si="546"/>
        <v>1353224.7999999998</v>
      </c>
      <c r="FO151" s="3237"/>
    </row>
    <row r="152" spans="1:171">
      <c r="A152" s="2442"/>
      <c r="B152" s="2290" t="s">
        <v>27</v>
      </c>
      <c r="C152" s="2464" t="s">
        <v>81</v>
      </c>
      <c r="D152" s="2464">
        <v>257</v>
      </c>
      <c r="E152" s="2424" t="str">
        <f>'Sch 1- Rate Base '!E152</f>
        <v>PTDG</v>
      </c>
      <c r="F152" s="2171"/>
      <c r="G152" s="2424">
        <f>'Sch 1- Rate Base '!G152</f>
        <v>0</v>
      </c>
      <c r="H152" s="2424">
        <f>'Sch 1- Rate Base '!H152</f>
        <v>0</v>
      </c>
      <c r="I152" s="2424">
        <f>'Sch 1- Rate Base '!I152</f>
        <v>0</v>
      </c>
      <c r="J152" s="2425">
        <f>'Sch 1- Rate Base '!J152</f>
        <v>0</v>
      </c>
      <c r="K152" s="3205">
        <f t="shared" si="466"/>
        <v>1</v>
      </c>
      <c r="O152" s="3235">
        <f t="shared" si="467"/>
        <v>0</v>
      </c>
      <c r="P152" s="3236">
        <f t="shared" si="468"/>
        <v>0</v>
      </c>
      <c r="Q152" s="3236">
        <f t="shared" si="469"/>
        <v>0</v>
      </c>
      <c r="R152" s="3236">
        <f t="shared" si="470"/>
        <v>0</v>
      </c>
      <c r="S152" s="3237"/>
      <c r="W152" s="3235">
        <f t="shared" si="471"/>
        <v>0</v>
      </c>
      <c r="X152" s="3236">
        <f t="shared" si="472"/>
        <v>0</v>
      </c>
      <c r="Y152" s="3236">
        <f t="shared" si="473"/>
        <v>0</v>
      </c>
      <c r="Z152" s="3236">
        <f t="shared" si="474"/>
        <v>0</v>
      </c>
      <c r="AA152" s="3237"/>
      <c r="AE152" s="3235">
        <f t="shared" si="475"/>
        <v>0</v>
      </c>
      <c r="AF152" s="3236">
        <f t="shared" si="476"/>
        <v>0</v>
      </c>
      <c r="AG152" s="3236">
        <f t="shared" si="477"/>
        <v>0</v>
      </c>
      <c r="AH152" s="3236">
        <f t="shared" si="478"/>
        <v>0</v>
      </c>
      <c r="AI152" s="3237"/>
      <c r="AM152" s="3235">
        <f t="shared" si="479"/>
        <v>0</v>
      </c>
      <c r="AN152" s="3236">
        <f t="shared" si="480"/>
        <v>0</v>
      </c>
      <c r="AO152" s="3236">
        <f t="shared" si="481"/>
        <v>0</v>
      </c>
      <c r="AP152" s="3236">
        <f t="shared" si="482"/>
        <v>0</v>
      </c>
      <c r="AQ152" s="3237"/>
      <c r="AU152" s="3235">
        <f t="shared" si="483"/>
        <v>0</v>
      </c>
      <c r="AV152" s="3236">
        <f t="shared" si="484"/>
        <v>0</v>
      </c>
      <c r="AW152" s="3236">
        <f t="shared" si="485"/>
        <v>0</v>
      </c>
      <c r="AX152" s="3236">
        <f t="shared" si="486"/>
        <v>0</v>
      </c>
      <c r="AY152" s="3237"/>
      <c r="BC152" s="3235">
        <f t="shared" si="487"/>
        <v>0</v>
      </c>
      <c r="BD152" s="3236">
        <f t="shared" si="488"/>
        <v>0</v>
      </c>
      <c r="BE152" s="3236">
        <f t="shared" si="489"/>
        <v>0</v>
      </c>
      <c r="BF152" s="3236">
        <f t="shared" si="490"/>
        <v>0</v>
      </c>
      <c r="BG152" s="3237"/>
      <c r="BK152" s="3235">
        <f t="shared" si="491"/>
        <v>0</v>
      </c>
      <c r="BL152" s="3236">
        <f t="shared" si="492"/>
        <v>0</v>
      </c>
      <c r="BM152" s="3236">
        <f t="shared" si="493"/>
        <v>0</v>
      </c>
      <c r="BN152" s="3236">
        <f t="shared" si="494"/>
        <v>0</v>
      </c>
      <c r="BO152" s="3237"/>
      <c r="BS152" s="3235">
        <f t="shared" si="495"/>
        <v>0</v>
      </c>
      <c r="BT152" s="3236">
        <f t="shared" si="496"/>
        <v>0</v>
      </c>
      <c r="BU152" s="3236">
        <f t="shared" si="497"/>
        <v>0</v>
      </c>
      <c r="BV152" s="3236">
        <f t="shared" si="498"/>
        <v>0</v>
      </c>
      <c r="BW152" s="3237"/>
      <c r="CA152" s="3235">
        <f t="shared" si="499"/>
        <v>0</v>
      </c>
      <c r="CB152" s="3236">
        <f t="shared" si="500"/>
        <v>0</v>
      </c>
      <c r="CC152" s="3236">
        <f t="shared" si="501"/>
        <v>0</v>
      </c>
      <c r="CD152" s="3236">
        <f t="shared" si="502"/>
        <v>0</v>
      </c>
      <c r="CE152" s="3237"/>
      <c r="CI152" s="3235">
        <f t="shared" si="503"/>
        <v>0</v>
      </c>
      <c r="CJ152" s="3236">
        <f t="shared" si="504"/>
        <v>0</v>
      </c>
      <c r="CK152" s="3236">
        <f t="shared" si="505"/>
        <v>0</v>
      </c>
      <c r="CL152" s="3236">
        <f t="shared" si="506"/>
        <v>0</v>
      </c>
      <c r="CM152" s="3237"/>
      <c r="CQ152" s="3235">
        <f t="shared" si="507"/>
        <v>0</v>
      </c>
      <c r="CR152" s="3236">
        <f t="shared" si="508"/>
        <v>0</v>
      </c>
      <c r="CS152" s="3236">
        <f t="shared" si="509"/>
        <v>0</v>
      </c>
      <c r="CT152" s="3236">
        <f t="shared" si="510"/>
        <v>0</v>
      </c>
      <c r="CU152" s="3237"/>
      <c r="CY152" s="3235">
        <f t="shared" si="511"/>
        <v>0</v>
      </c>
      <c r="CZ152" s="3236">
        <f t="shared" si="512"/>
        <v>0</v>
      </c>
      <c r="DA152" s="3236">
        <f t="shared" si="513"/>
        <v>0</v>
      </c>
      <c r="DB152" s="3236">
        <f t="shared" si="514"/>
        <v>0</v>
      </c>
      <c r="DC152" s="3237"/>
      <c r="DG152" s="3235">
        <f t="shared" si="515"/>
        <v>0</v>
      </c>
      <c r="DH152" s="3236">
        <f t="shared" si="516"/>
        <v>0</v>
      </c>
      <c r="DI152" s="3236">
        <f t="shared" si="517"/>
        <v>0</v>
      </c>
      <c r="DJ152" s="3236">
        <f t="shared" si="518"/>
        <v>0</v>
      </c>
      <c r="DK152" s="3237"/>
      <c r="DO152" s="3235">
        <f t="shared" si="519"/>
        <v>0</v>
      </c>
      <c r="DP152" s="3236">
        <f t="shared" si="520"/>
        <v>0</v>
      </c>
      <c r="DQ152" s="3236">
        <f t="shared" si="521"/>
        <v>0</v>
      </c>
      <c r="DR152" s="3236">
        <f t="shared" si="522"/>
        <v>0</v>
      </c>
      <c r="DS152" s="3237"/>
      <c r="DW152" s="3235">
        <f t="shared" si="523"/>
        <v>0</v>
      </c>
      <c r="DX152" s="3236">
        <f t="shared" si="524"/>
        <v>0</v>
      </c>
      <c r="DY152" s="3236">
        <f t="shared" si="525"/>
        <v>0</v>
      </c>
      <c r="DZ152" s="3236">
        <f t="shared" si="526"/>
        <v>0</v>
      </c>
      <c r="EA152" s="3237"/>
      <c r="EE152" s="3235">
        <f t="shared" si="527"/>
        <v>0</v>
      </c>
      <c r="EF152" s="3236">
        <f t="shared" si="528"/>
        <v>0</v>
      </c>
      <c r="EG152" s="3236">
        <f t="shared" si="529"/>
        <v>0</v>
      </c>
      <c r="EH152" s="3236">
        <f t="shared" si="530"/>
        <v>0</v>
      </c>
      <c r="EI152" s="3237"/>
      <c r="EM152" s="3235">
        <f t="shared" si="531"/>
        <v>0</v>
      </c>
      <c r="EN152" s="3236">
        <f t="shared" si="532"/>
        <v>0</v>
      </c>
      <c r="EO152" s="3236">
        <f t="shared" si="533"/>
        <v>0</v>
      </c>
      <c r="EP152" s="3236">
        <f t="shared" si="534"/>
        <v>0</v>
      </c>
      <c r="EQ152" s="3237"/>
      <c r="EU152" s="3235">
        <f t="shared" si="535"/>
        <v>0</v>
      </c>
      <c r="EV152" s="3236">
        <f t="shared" si="536"/>
        <v>0</v>
      </c>
      <c r="EW152" s="3236">
        <f t="shared" si="537"/>
        <v>0</v>
      </c>
      <c r="EX152" s="3236">
        <f t="shared" si="538"/>
        <v>0</v>
      </c>
      <c r="EY152" s="3237"/>
      <c r="FC152" s="3235">
        <f t="shared" si="539"/>
        <v>0</v>
      </c>
      <c r="FD152" s="3236">
        <f t="shared" si="540"/>
        <v>0</v>
      </c>
      <c r="FE152" s="3236">
        <f t="shared" si="541"/>
        <v>0</v>
      </c>
      <c r="FF152" s="3236">
        <f t="shared" si="542"/>
        <v>0</v>
      </c>
      <c r="FG152" s="3237"/>
      <c r="FK152" s="3235">
        <f t="shared" si="543"/>
        <v>0</v>
      </c>
      <c r="FL152" s="3236">
        <f t="shared" si="544"/>
        <v>0</v>
      </c>
      <c r="FM152" s="3236">
        <f t="shared" si="545"/>
        <v>0</v>
      </c>
      <c r="FN152" s="3236">
        <f t="shared" si="546"/>
        <v>0</v>
      </c>
      <c r="FO152" s="3237"/>
    </row>
    <row r="153" spans="1:171">
      <c r="A153" s="2442"/>
      <c r="B153" s="2290" t="s">
        <v>31</v>
      </c>
      <c r="C153" s="2464" t="s">
        <v>81</v>
      </c>
      <c r="D153" s="2464">
        <v>281</v>
      </c>
      <c r="E153" s="2424" t="str">
        <f>'Sch 1- Rate Base '!E153</f>
        <v>DIST</v>
      </c>
      <c r="F153" s="2171"/>
      <c r="G153" s="2424">
        <f>'Sch 1- Rate Base '!G153</f>
        <v>0</v>
      </c>
      <c r="H153" s="2424">
        <f>'Sch 1- Rate Base '!H153</f>
        <v>0</v>
      </c>
      <c r="I153" s="2424">
        <f>'Sch 1- Rate Base '!I153</f>
        <v>0</v>
      </c>
      <c r="J153" s="2425">
        <f>'Sch 1- Rate Base '!J153</f>
        <v>0</v>
      </c>
      <c r="K153" s="3205">
        <f t="shared" si="466"/>
        <v>1</v>
      </c>
      <c r="O153" s="3235">
        <f t="shared" si="467"/>
        <v>0</v>
      </c>
      <c r="P153" s="3236">
        <f t="shared" si="468"/>
        <v>0</v>
      </c>
      <c r="Q153" s="3236">
        <f t="shared" si="469"/>
        <v>0</v>
      </c>
      <c r="R153" s="3236">
        <f t="shared" si="470"/>
        <v>0</v>
      </c>
      <c r="S153" s="3237"/>
      <c r="W153" s="3235">
        <f t="shared" si="471"/>
        <v>0</v>
      </c>
      <c r="X153" s="3236">
        <f t="shared" si="472"/>
        <v>0</v>
      </c>
      <c r="Y153" s="3236">
        <f t="shared" si="473"/>
        <v>0</v>
      </c>
      <c r="Z153" s="3236">
        <f t="shared" si="474"/>
        <v>0</v>
      </c>
      <c r="AA153" s="3237"/>
      <c r="AE153" s="3235">
        <f t="shared" si="475"/>
        <v>0</v>
      </c>
      <c r="AF153" s="3236">
        <f t="shared" si="476"/>
        <v>0</v>
      </c>
      <c r="AG153" s="3236">
        <f t="shared" si="477"/>
        <v>0</v>
      </c>
      <c r="AH153" s="3236">
        <f t="shared" si="478"/>
        <v>0</v>
      </c>
      <c r="AI153" s="3237"/>
      <c r="AM153" s="3235">
        <f t="shared" si="479"/>
        <v>0</v>
      </c>
      <c r="AN153" s="3236">
        <f t="shared" si="480"/>
        <v>0</v>
      </c>
      <c r="AO153" s="3236">
        <f t="shared" si="481"/>
        <v>0</v>
      </c>
      <c r="AP153" s="3236">
        <f t="shared" si="482"/>
        <v>0</v>
      </c>
      <c r="AQ153" s="3237"/>
      <c r="AU153" s="3235">
        <f t="shared" si="483"/>
        <v>0</v>
      </c>
      <c r="AV153" s="3236">
        <f t="shared" si="484"/>
        <v>0</v>
      </c>
      <c r="AW153" s="3236">
        <f t="shared" si="485"/>
        <v>0</v>
      </c>
      <c r="AX153" s="3236">
        <f t="shared" si="486"/>
        <v>0</v>
      </c>
      <c r="AY153" s="3237"/>
      <c r="BC153" s="3235">
        <f t="shared" si="487"/>
        <v>0</v>
      </c>
      <c r="BD153" s="3236">
        <f t="shared" si="488"/>
        <v>0</v>
      </c>
      <c r="BE153" s="3236">
        <f t="shared" si="489"/>
        <v>0</v>
      </c>
      <c r="BF153" s="3236">
        <f t="shared" si="490"/>
        <v>0</v>
      </c>
      <c r="BG153" s="3237"/>
      <c r="BK153" s="3235">
        <f t="shared" si="491"/>
        <v>0</v>
      </c>
      <c r="BL153" s="3236">
        <f t="shared" si="492"/>
        <v>0</v>
      </c>
      <c r="BM153" s="3236">
        <f t="shared" si="493"/>
        <v>0</v>
      </c>
      <c r="BN153" s="3236">
        <f t="shared" si="494"/>
        <v>0</v>
      </c>
      <c r="BO153" s="3237"/>
      <c r="BS153" s="3235">
        <f t="shared" si="495"/>
        <v>0</v>
      </c>
      <c r="BT153" s="3236">
        <f t="shared" si="496"/>
        <v>0</v>
      </c>
      <c r="BU153" s="3236">
        <f t="shared" si="497"/>
        <v>0</v>
      </c>
      <c r="BV153" s="3236">
        <f t="shared" si="498"/>
        <v>0</v>
      </c>
      <c r="BW153" s="3237"/>
      <c r="CA153" s="3235">
        <f t="shared" si="499"/>
        <v>0</v>
      </c>
      <c r="CB153" s="3236">
        <f t="shared" si="500"/>
        <v>0</v>
      </c>
      <c r="CC153" s="3236">
        <f t="shared" si="501"/>
        <v>0</v>
      </c>
      <c r="CD153" s="3236">
        <f t="shared" si="502"/>
        <v>0</v>
      </c>
      <c r="CE153" s="3237"/>
      <c r="CI153" s="3235">
        <f t="shared" si="503"/>
        <v>0</v>
      </c>
      <c r="CJ153" s="3236">
        <f t="shared" si="504"/>
        <v>0</v>
      </c>
      <c r="CK153" s="3236">
        <f t="shared" si="505"/>
        <v>0</v>
      </c>
      <c r="CL153" s="3236">
        <f t="shared" si="506"/>
        <v>0</v>
      </c>
      <c r="CM153" s="3237"/>
      <c r="CQ153" s="3235">
        <f t="shared" si="507"/>
        <v>0</v>
      </c>
      <c r="CR153" s="3236">
        <f t="shared" si="508"/>
        <v>0</v>
      </c>
      <c r="CS153" s="3236">
        <f t="shared" si="509"/>
        <v>0</v>
      </c>
      <c r="CT153" s="3236">
        <f t="shared" si="510"/>
        <v>0</v>
      </c>
      <c r="CU153" s="3237"/>
      <c r="CY153" s="3235">
        <f t="shared" si="511"/>
        <v>0</v>
      </c>
      <c r="CZ153" s="3236">
        <f t="shared" si="512"/>
        <v>0</v>
      </c>
      <c r="DA153" s="3236">
        <f t="shared" si="513"/>
        <v>0</v>
      </c>
      <c r="DB153" s="3236">
        <f t="shared" si="514"/>
        <v>0</v>
      </c>
      <c r="DC153" s="3237"/>
      <c r="DG153" s="3235">
        <f t="shared" si="515"/>
        <v>0</v>
      </c>
      <c r="DH153" s="3236">
        <f t="shared" si="516"/>
        <v>0</v>
      </c>
      <c r="DI153" s="3236">
        <f t="shared" si="517"/>
        <v>0</v>
      </c>
      <c r="DJ153" s="3236">
        <f t="shared" si="518"/>
        <v>0</v>
      </c>
      <c r="DK153" s="3237"/>
      <c r="DO153" s="3235">
        <f t="shared" si="519"/>
        <v>0</v>
      </c>
      <c r="DP153" s="3236">
        <f t="shared" si="520"/>
        <v>0</v>
      </c>
      <c r="DQ153" s="3236">
        <f t="shared" si="521"/>
        <v>0</v>
      </c>
      <c r="DR153" s="3236">
        <f t="shared" si="522"/>
        <v>0</v>
      </c>
      <c r="DS153" s="3237"/>
      <c r="DW153" s="3235">
        <f t="shared" si="523"/>
        <v>0</v>
      </c>
      <c r="DX153" s="3236">
        <f t="shared" si="524"/>
        <v>0</v>
      </c>
      <c r="DY153" s="3236">
        <f t="shared" si="525"/>
        <v>0</v>
      </c>
      <c r="DZ153" s="3236">
        <f t="shared" si="526"/>
        <v>0</v>
      </c>
      <c r="EA153" s="3237"/>
      <c r="EE153" s="3235">
        <f t="shared" si="527"/>
        <v>0</v>
      </c>
      <c r="EF153" s="3236">
        <f t="shared" si="528"/>
        <v>0</v>
      </c>
      <c r="EG153" s="3236">
        <f t="shared" si="529"/>
        <v>0</v>
      </c>
      <c r="EH153" s="3236">
        <f t="shared" si="530"/>
        <v>0</v>
      </c>
      <c r="EI153" s="3237"/>
      <c r="EM153" s="3235">
        <f t="shared" si="531"/>
        <v>0</v>
      </c>
      <c r="EN153" s="3236">
        <f t="shared" si="532"/>
        <v>0</v>
      </c>
      <c r="EO153" s="3236">
        <f t="shared" si="533"/>
        <v>0</v>
      </c>
      <c r="EP153" s="3236">
        <f t="shared" si="534"/>
        <v>0</v>
      </c>
      <c r="EQ153" s="3237"/>
      <c r="EU153" s="3235">
        <f t="shared" si="535"/>
        <v>0</v>
      </c>
      <c r="EV153" s="3236">
        <f t="shared" si="536"/>
        <v>0</v>
      </c>
      <c r="EW153" s="3236">
        <f t="shared" si="537"/>
        <v>0</v>
      </c>
      <c r="EX153" s="3236">
        <f t="shared" si="538"/>
        <v>0</v>
      </c>
      <c r="EY153" s="3237"/>
      <c r="FC153" s="3235">
        <f t="shared" si="539"/>
        <v>0</v>
      </c>
      <c r="FD153" s="3236">
        <f t="shared" si="540"/>
        <v>0</v>
      </c>
      <c r="FE153" s="3236">
        <f t="shared" si="541"/>
        <v>0</v>
      </c>
      <c r="FF153" s="3236">
        <f t="shared" si="542"/>
        <v>0</v>
      </c>
      <c r="FG153" s="3237"/>
      <c r="FK153" s="3235">
        <f t="shared" si="543"/>
        <v>0</v>
      </c>
      <c r="FL153" s="3236">
        <f t="shared" si="544"/>
        <v>0</v>
      </c>
      <c r="FM153" s="3236">
        <f t="shared" si="545"/>
        <v>0</v>
      </c>
      <c r="FN153" s="3236">
        <f t="shared" si="546"/>
        <v>0</v>
      </c>
      <c r="FO153" s="3237"/>
    </row>
    <row r="154" spans="1:171">
      <c r="A154" s="2442"/>
      <c r="B154" s="2290" t="s">
        <v>32</v>
      </c>
      <c r="C154" s="2464" t="s">
        <v>81</v>
      </c>
      <c r="D154" s="2464">
        <v>282</v>
      </c>
      <c r="E154" s="2424" t="str">
        <f>'Sch 1- Rate Base '!E154</f>
        <v>DIST</v>
      </c>
      <c r="F154" s="2171"/>
      <c r="G154" s="2424">
        <f>'Sch 1- Rate Base '!G154</f>
        <v>763011479.07151985</v>
      </c>
      <c r="H154" s="2424">
        <f>'Sch 1- Rate Base '!H154</f>
        <v>0</v>
      </c>
      <c r="I154" s="2424">
        <f>'Sch 1- Rate Base '!I154</f>
        <v>0</v>
      </c>
      <c r="J154" s="2425">
        <f>'Sch 1- Rate Base '!J154</f>
        <v>763011479.07151985</v>
      </c>
      <c r="K154" s="3205">
        <f t="shared" si="466"/>
        <v>1</v>
      </c>
      <c r="O154" s="3235">
        <f t="shared" si="467"/>
        <v>763011479.07151985</v>
      </c>
      <c r="P154" s="3236">
        <f t="shared" si="468"/>
        <v>0</v>
      </c>
      <c r="Q154" s="3236">
        <f t="shared" si="469"/>
        <v>0</v>
      </c>
      <c r="R154" s="3236">
        <f t="shared" si="470"/>
        <v>763011479.07151985</v>
      </c>
      <c r="S154" s="3237"/>
      <c r="W154" s="3235">
        <f t="shared" si="471"/>
        <v>763011479.07151985</v>
      </c>
      <c r="X154" s="3236">
        <f t="shared" si="472"/>
        <v>0</v>
      </c>
      <c r="Y154" s="3236">
        <f t="shared" si="473"/>
        <v>0</v>
      </c>
      <c r="Z154" s="3236">
        <f t="shared" si="474"/>
        <v>763011479.07151985</v>
      </c>
      <c r="AA154" s="3237"/>
      <c r="AE154" s="3235">
        <f t="shared" si="475"/>
        <v>763011479.07151985</v>
      </c>
      <c r="AF154" s="3236">
        <f t="shared" si="476"/>
        <v>0</v>
      </c>
      <c r="AG154" s="3236">
        <f t="shared" si="477"/>
        <v>0</v>
      </c>
      <c r="AH154" s="3236">
        <f t="shared" si="478"/>
        <v>763011479.07151985</v>
      </c>
      <c r="AI154" s="3237"/>
      <c r="AM154" s="3235">
        <f t="shared" si="479"/>
        <v>763011479.07151985</v>
      </c>
      <c r="AN154" s="3236">
        <f t="shared" si="480"/>
        <v>0</v>
      </c>
      <c r="AO154" s="3236">
        <f t="shared" si="481"/>
        <v>0</v>
      </c>
      <c r="AP154" s="3236">
        <f t="shared" si="482"/>
        <v>763011479.07151985</v>
      </c>
      <c r="AQ154" s="3237"/>
      <c r="AU154" s="3235">
        <f t="shared" si="483"/>
        <v>763011479.07151985</v>
      </c>
      <c r="AV154" s="3236">
        <f t="shared" si="484"/>
        <v>0</v>
      </c>
      <c r="AW154" s="3236">
        <f t="shared" si="485"/>
        <v>0</v>
      </c>
      <c r="AX154" s="3236">
        <f t="shared" si="486"/>
        <v>763011479.07151985</v>
      </c>
      <c r="AY154" s="3237"/>
      <c r="BC154" s="3235">
        <f t="shared" si="487"/>
        <v>763011479.07151985</v>
      </c>
      <c r="BD154" s="3236">
        <f t="shared" si="488"/>
        <v>0</v>
      </c>
      <c r="BE154" s="3236">
        <f t="shared" si="489"/>
        <v>0</v>
      </c>
      <c r="BF154" s="3236">
        <f t="shared" si="490"/>
        <v>763011479.07151985</v>
      </c>
      <c r="BG154" s="3237"/>
      <c r="BK154" s="3235">
        <f t="shared" si="491"/>
        <v>763011479.07151985</v>
      </c>
      <c r="BL154" s="3236">
        <f t="shared" si="492"/>
        <v>0</v>
      </c>
      <c r="BM154" s="3236">
        <f t="shared" si="493"/>
        <v>0</v>
      </c>
      <c r="BN154" s="3236">
        <f t="shared" si="494"/>
        <v>763011479.07151985</v>
      </c>
      <c r="BO154" s="3237"/>
      <c r="BS154" s="3235">
        <f t="shared" si="495"/>
        <v>763011479.07151985</v>
      </c>
      <c r="BT154" s="3236">
        <f t="shared" si="496"/>
        <v>0</v>
      </c>
      <c r="BU154" s="3236">
        <f t="shared" si="497"/>
        <v>0</v>
      </c>
      <c r="BV154" s="3236">
        <f t="shared" si="498"/>
        <v>763011479.07151985</v>
      </c>
      <c r="BW154" s="3237"/>
      <c r="CA154" s="3235">
        <f t="shared" si="499"/>
        <v>763011479.07151985</v>
      </c>
      <c r="CB154" s="3236">
        <f t="shared" si="500"/>
        <v>0</v>
      </c>
      <c r="CC154" s="3236">
        <f t="shared" si="501"/>
        <v>0</v>
      </c>
      <c r="CD154" s="3236">
        <f t="shared" si="502"/>
        <v>763011479.07151985</v>
      </c>
      <c r="CE154" s="3237"/>
      <c r="CI154" s="3235">
        <f t="shared" si="503"/>
        <v>763011479.07151985</v>
      </c>
      <c r="CJ154" s="3236">
        <f t="shared" si="504"/>
        <v>0</v>
      </c>
      <c r="CK154" s="3236">
        <f t="shared" si="505"/>
        <v>0</v>
      </c>
      <c r="CL154" s="3236">
        <f t="shared" si="506"/>
        <v>763011479.07151985</v>
      </c>
      <c r="CM154" s="3237"/>
      <c r="CQ154" s="3235">
        <f t="shared" si="507"/>
        <v>763011479.07151985</v>
      </c>
      <c r="CR154" s="3236">
        <f t="shared" si="508"/>
        <v>0</v>
      </c>
      <c r="CS154" s="3236">
        <f t="shared" si="509"/>
        <v>0</v>
      </c>
      <c r="CT154" s="3236">
        <f t="shared" si="510"/>
        <v>763011479.07151985</v>
      </c>
      <c r="CU154" s="3237"/>
      <c r="CY154" s="3235">
        <f t="shared" si="511"/>
        <v>763011479.07151985</v>
      </c>
      <c r="CZ154" s="3236">
        <f t="shared" si="512"/>
        <v>0</v>
      </c>
      <c r="DA154" s="3236">
        <f t="shared" si="513"/>
        <v>0</v>
      </c>
      <c r="DB154" s="3236">
        <f t="shared" si="514"/>
        <v>763011479.07151985</v>
      </c>
      <c r="DC154" s="3237"/>
      <c r="DG154" s="3235">
        <f t="shared" si="515"/>
        <v>763011479.07151985</v>
      </c>
      <c r="DH154" s="3236">
        <f t="shared" si="516"/>
        <v>0</v>
      </c>
      <c r="DI154" s="3236">
        <f t="shared" si="517"/>
        <v>0</v>
      </c>
      <c r="DJ154" s="3236">
        <f t="shared" si="518"/>
        <v>763011479.07151985</v>
      </c>
      <c r="DK154" s="3237"/>
      <c r="DO154" s="3235">
        <f t="shared" si="519"/>
        <v>763011479.07151985</v>
      </c>
      <c r="DP154" s="3236">
        <f t="shared" si="520"/>
        <v>0</v>
      </c>
      <c r="DQ154" s="3236">
        <f t="shared" si="521"/>
        <v>0</v>
      </c>
      <c r="DR154" s="3236">
        <f t="shared" si="522"/>
        <v>763011479.07151985</v>
      </c>
      <c r="DS154" s="3237"/>
      <c r="DW154" s="3235">
        <f t="shared" si="523"/>
        <v>763011479.07151985</v>
      </c>
      <c r="DX154" s="3236">
        <f t="shared" si="524"/>
        <v>0</v>
      </c>
      <c r="DY154" s="3236">
        <f t="shared" si="525"/>
        <v>0</v>
      </c>
      <c r="DZ154" s="3236">
        <f t="shared" si="526"/>
        <v>763011479.07151985</v>
      </c>
      <c r="EA154" s="3237"/>
      <c r="EE154" s="3235">
        <f t="shared" si="527"/>
        <v>763011479.07151985</v>
      </c>
      <c r="EF154" s="3236">
        <f t="shared" si="528"/>
        <v>0</v>
      </c>
      <c r="EG154" s="3236">
        <f t="shared" si="529"/>
        <v>0</v>
      </c>
      <c r="EH154" s="3236">
        <f t="shared" si="530"/>
        <v>763011479.07151985</v>
      </c>
      <c r="EI154" s="3237"/>
      <c r="EM154" s="3235">
        <f t="shared" si="531"/>
        <v>763011479.07151985</v>
      </c>
      <c r="EN154" s="3236">
        <f t="shared" si="532"/>
        <v>0</v>
      </c>
      <c r="EO154" s="3236">
        <f t="shared" si="533"/>
        <v>0</v>
      </c>
      <c r="EP154" s="3236">
        <f t="shared" si="534"/>
        <v>763011479.07151985</v>
      </c>
      <c r="EQ154" s="3237"/>
      <c r="EU154" s="3235">
        <f t="shared" si="535"/>
        <v>763011479.07151985</v>
      </c>
      <c r="EV154" s="3236">
        <f t="shared" si="536"/>
        <v>0</v>
      </c>
      <c r="EW154" s="3236">
        <f t="shared" si="537"/>
        <v>0</v>
      </c>
      <c r="EX154" s="3236">
        <f t="shared" si="538"/>
        <v>763011479.07151985</v>
      </c>
      <c r="EY154" s="3237"/>
      <c r="FC154" s="3235">
        <f t="shared" si="539"/>
        <v>763011479.07151985</v>
      </c>
      <c r="FD154" s="3236">
        <f t="shared" si="540"/>
        <v>0</v>
      </c>
      <c r="FE154" s="3236">
        <f t="shared" si="541"/>
        <v>0</v>
      </c>
      <c r="FF154" s="3236">
        <f t="shared" si="542"/>
        <v>763011479.07151985</v>
      </c>
      <c r="FG154" s="3237"/>
      <c r="FK154" s="3235">
        <f t="shared" si="543"/>
        <v>763011479.07151985</v>
      </c>
      <c r="FL154" s="3236">
        <f t="shared" si="544"/>
        <v>0</v>
      </c>
      <c r="FM154" s="3236">
        <f t="shared" si="545"/>
        <v>0</v>
      </c>
      <c r="FN154" s="3236">
        <f t="shared" si="546"/>
        <v>763011479.07151985</v>
      </c>
      <c r="FO154" s="3237"/>
    </row>
    <row r="155" spans="1:171">
      <c r="A155" s="2442"/>
      <c r="B155" s="2290" t="s">
        <v>33</v>
      </c>
      <c r="C155" s="2464" t="s">
        <v>81</v>
      </c>
      <c r="D155" s="2464">
        <v>283</v>
      </c>
      <c r="E155" s="2424" t="str">
        <f>'Sch 1- Rate Base '!E155</f>
        <v>DIST</v>
      </c>
      <c r="F155" s="2171"/>
      <c r="G155" s="2424">
        <f>'Sch 1- Rate Base '!G155</f>
        <v>226461605.12920922</v>
      </c>
      <c r="H155" s="2424">
        <f>'Sch 1- Rate Base '!H155</f>
        <v>0</v>
      </c>
      <c r="I155" s="2424">
        <f>'Sch 1- Rate Base '!I155</f>
        <v>0</v>
      </c>
      <c r="J155" s="2425">
        <f>'Sch 1- Rate Base '!J155</f>
        <v>226461605.12920922</v>
      </c>
      <c r="K155" s="3205">
        <f t="shared" si="466"/>
        <v>1</v>
      </c>
      <c r="O155" s="3235">
        <f t="shared" si="467"/>
        <v>226461605.12920922</v>
      </c>
      <c r="P155" s="3236">
        <f t="shared" si="468"/>
        <v>0</v>
      </c>
      <c r="Q155" s="3236">
        <f t="shared" si="469"/>
        <v>0</v>
      </c>
      <c r="R155" s="3236">
        <f t="shared" si="470"/>
        <v>226461605.12920922</v>
      </c>
      <c r="S155" s="3237"/>
      <c r="W155" s="3235">
        <f t="shared" si="471"/>
        <v>226461605.12920922</v>
      </c>
      <c r="X155" s="3236">
        <f t="shared" si="472"/>
        <v>0</v>
      </c>
      <c r="Y155" s="3236">
        <f t="shared" si="473"/>
        <v>0</v>
      </c>
      <c r="Z155" s="3236">
        <f t="shared" si="474"/>
        <v>226461605.12920922</v>
      </c>
      <c r="AA155" s="3237"/>
      <c r="AE155" s="3235">
        <f t="shared" si="475"/>
        <v>226461605.12920922</v>
      </c>
      <c r="AF155" s="3236">
        <f t="shared" si="476"/>
        <v>0</v>
      </c>
      <c r="AG155" s="3236">
        <f t="shared" si="477"/>
        <v>0</v>
      </c>
      <c r="AH155" s="3236">
        <f t="shared" si="478"/>
        <v>226461605.12920922</v>
      </c>
      <c r="AI155" s="3237"/>
      <c r="AM155" s="3235">
        <f t="shared" si="479"/>
        <v>226461605.12920922</v>
      </c>
      <c r="AN155" s="3236">
        <f t="shared" si="480"/>
        <v>0</v>
      </c>
      <c r="AO155" s="3236">
        <f t="shared" si="481"/>
        <v>0</v>
      </c>
      <c r="AP155" s="3236">
        <f t="shared" si="482"/>
        <v>226461605.12920922</v>
      </c>
      <c r="AQ155" s="3237"/>
      <c r="AU155" s="3235">
        <f t="shared" si="483"/>
        <v>226461605.12920922</v>
      </c>
      <c r="AV155" s="3236">
        <f t="shared" si="484"/>
        <v>0</v>
      </c>
      <c r="AW155" s="3236">
        <f t="shared" si="485"/>
        <v>0</v>
      </c>
      <c r="AX155" s="3236">
        <f t="shared" si="486"/>
        <v>226461605.12920922</v>
      </c>
      <c r="AY155" s="3237"/>
      <c r="BC155" s="3235">
        <f t="shared" si="487"/>
        <v>226461605.12920922</v>
      </c>
      <c r="BD155" s="3236">
        <f t="shared" si="488"/>
        <v>0</v>
      </c>
      <c r="BE155" s="3236">
        <f t="shared" si="489"/>
        <v>0</v>
      </c>
      <c r="BF155" s="3236">
        <f t="shared" si="490"/>
        <v>226461605.12920922</v>
      </c>
      <c r="BG155" s="3237"/>
      <c r="BK155" s="3235">
        <f t="shared" si="491"/>
        <v>226461605.12920922</v>
      </c>
      <c r="BL155" s="3236">
        <f t="shared" si="492"/>
        <v>0</v>
      </c>
      <c r="BM155" s="3236">
        <f t="shared" si="493"/>
        <v>0</v>
      </c>
      <c r="BN155" s="3236">
        <f t="shared" si="494"/>
        <v>226461605.12920922</v>
      </c>
      <c r="BO155" s="3237"/>
      <c r="BS155" s="3235">
        <f t="shared" si="495"/>
        <v>226461605.12920922</v>
      </c>
      <c r="BT155" s="3236">
        <f t="shared" si="496"/>
        <v>0</v>
      </c>
      <c r="BU155" s="3236">
        <f t="shared" si="497"/>
        <v>0</v>
      </c>
      <c r="BV155" s="3236">
        <f t="shared" si="498"/>
        <v>226461605.12920922</v>
      </c>
      <c r="BW155" s="3237"/>
      <c r="CA155" s="3235">
        <f t="shared" si="499"/>
        <v>226461605.12920922</v>
      </c>
      <c r="CB155" s="3236">
        <f t="shared" si="500"/>
        <v>0</v>
      </c>
      <c r="CC155" s="3236">
        <f t="shared" si="501"/>
        <v>0</v>
      </c>
      <c r="CD155" s="3236">
        <f t="shared" si="502"/>
        <v>226461605.12920922</v>
      </c>
      <c r="CE155" s="3237"/>
      <c r="CI155" s="3235">
        <f t="shared" si="503"/>
        <v>226461605.12920922</v>
      </c>
      <c r="CJ155" s="3236">
        <f t="shared" si="504"/>
        <v>0</v>
      </c>
      <c r="CK155" s="3236">
        <f t="shared" si="505"/>
        <v>0</v>
      </c>
      <c r="CL155" s="3236">
        <f t="shared" si="506"/>
        <v>226461605.12920922</v>
      </c>
      <c r="CM155" s="3237"/>
      <c r="CQ155" s="3235">
        <f t="shared" si="507"/>
        <v>226461605.12920922</v>
      </c>
      <c r="CR155" s="3236">
        <f t="shared" si="508"/>
        <v>0</v>
      </c>
      <c r="CS155" s="3236">
        <f t="shared" si="509"/>
        <v>0</v>
      </c>
      <c r="CT155" s="3236">
        <f t="shared" si="510"/>
        <v>226461605.12920922</v>
      </c>
      <c r="CU155" s="3237"/>
      <c r="CY155" s="3235">
        <f t="shared" si="511"/>
        <v>226461605.12920922</v>
      </c>
      <c r="CZ155" s="3236">
        <f t="shared" si="512"/>
        <v>0</v>
      </c>
      <c r="DA155" s="3236">
        <f t="shared" si="513"/>
        <v>0</v>
      </c>
      <c r="DB155" s="3236">
        <f t="shared" si="514"/>
        <v>226461605.12920922</v>
      </c>
      <c r="DC155" s="3237"/>
      <c r="DG155" s="3235">
        <f t="shared" si="515"/>
        <v>226461605.12920922</v>
      </c>
      <c r="DH155" s="3236">
        <f t="shared" si="516"/>
        <v>0</v>
      </c>
      <c r="DI155" s="3236">
        <f t="shared" si="517"/>
        <v>0</v>
      </c>
      <c r="DJ155" s="3236">
        <f t="shared" si="518"/>
        <v>226461605.12920922</v>
      </c>
      <c r="DK155" s="3237"/>
      <c r="DO155" s="3235">
        <f t="shared" si="519"/>
        <v>226461605.12920922</v>
      </c>
      <c r="DP155" s="3236">
        <f t="shared" si="520"/>
        <v>0</v>
      </c>
      <c r="DQ155" s="3236">
        <f t="shared" si="521"/>
        <v>0</v>
      </c>
      <c r="DR155" s="3236">
        <f t="shared" si="522"/>
        <v>226461605.12920922</v>
      </c>
      <c r="DS155" s="3237"/>
      <c r="DW155" s="3235">
        <f t="shared" si="523"/>
        <v>226461605.12920922</v>
      </c>
      <c r="DX155" s="3236">
        <f t="shared" si="524"/>
        <v>0</v>
      </c>
      <c r="DY155" s="3236">
        <f t="shared" si="525"/>
        <v>0</v>
      </c>
      <c r="DZ155" s="3236">
        <f t="shared" si="526"/>
        <v>226461605.12920922</v>
      </c>
      <c r="EA155" s="3237"/>
      <c r="EE155" s="3235">
        <f t="shared" si="527"/>
        <v>226461605.12920922</v>
      </c>
      <c r="EF155" s="3236">
        <f t="shared" si="528"/>
        <v>0</v>
      </c>
      <c r="EG155" s="3236">
        <f t="shared" si="529"/>
        <v>0</v>
      </c>
      <c r="EH155" s="3236">
        <f t="shared" si="530"/>
        <v>226461605.12920922</v>
      </c>
      <c r="EI155" s="3237"/>
      <c r="EM155" s="3235">
        <f t="shared" si="531"/>
        <v>226461605.12920922</v>
      </c>
      <c r="EN155" s="3236">
        <f t="shared" si="532"/>
        <v>0</v>
      </c>
      <c r="EO155" s="3236">
        <f t="shared" si="533"/>
        <v>0</v>
      </c>
      <c r="EP155" s="3236">
        <f t="shared" si="534"/>
        <v>226461605.12920922</v>
      </c>
      <c r="EQ155" s="3237"/>
      <c r="EU155" s="3235">
        <f t="shared" si="535"/>
        <v>226461605.12920922</v>
      </c>
      <c r="EV155" s="3236">
        <f t="shared" si="536"/>
        <v>0</v>
      </c>
      <c r="EW155" s="3236">
        <f t="shared" si="537"/>
        <v>0</v>
      </c>
      <c r="EX155" s="3236">
        <f t="shared" si="538"/>
        <v>226461605.12920922</v>
      </c>
      <c r="EY155" s="3237"/>
      <c r="FC155" s="3235">
        <f t="shared" si="539"/>
        <v>226461605.12920922</v>
      </c>
      <c r="FD155" s="3236">
        <f t="shared" si="540"/>
        <v>0</v>
      </c>
      <c r="FE155" s="3236">
        <f t="shared" si="541"/>
        <v>0</v>
      </c>
      <c r="FF155" s="3236">
        <f t="shared" si="542"/>
        <v>226461605.12920922</v>
      </c>
      <c r="FG155" s="3237"/>
      <c r="FK155" s="3235">
        <f t="shared" si="543"/>
        <v>226461605.12920922</v>
      </c>
      <c r="FL155" s="3236">
        <f t="shared" si="544"/>
        <v>0</v>
      </c>
      <c r="FM155" s="3236">
        <f t="shared" si="545"/>
        <v>0</v>
      </c>
      <c r="FN155" s="3236">
        <f t="shared" si="546"/>
        <v>226461605.12920922</v>
      </c>
      <c r="FO155" s="3237"/>
    </row>
    <row r="156" spans="1:171">
      <c r="A156" s="2442"/>
      <c r="B156" s="3206" t="s">
        <v>104</v>
      </c>
      <c r="C156" s="3256"/>
      <c r="D156" s="3257"/>
      <c r="E156" s="3257"/>
      <c r="F156" s="3258"/>
      <c r="G156" s="3265">
        <f>SUM(G147:G155)</f>
        <v>1902848644.2734106</v>
      </c>
      <c r="H156" s="3265">
        <f>SUM(H147:H155)</f>
        <v>74347550.138190463</v>
      </c>
      <c r="I156" s="3265">
        <f>SUM(I147:I155)</f>
        <v>0</v>
      </c>
      <c r="J156" s="3266">
        <f>SUM(J147:J155)</f>
        <v>1828501094.1352201</v>
      </c>
      <c r="K156" s="3205"/>
      <c r="O156" s="3272">
        <f>SUM(O147:O155)</f>
        <v>1902848644.2734106</v>
      </c>
      <c r="P156" s="3272">
        <f>SUM(P147:P155)</f>
        <v>74347550.138190463</v>
      </c>
      <c r="Q156" s="3272">
        <f>SUM(Q147:Q155)</f>
        <v>0</v>
      </c>
      <c r="R156" s="3272">
        <f>SUM(R147:R155)</f>
        <v>1828501094.1352201</v>
      </c>
      <c r="S156" s="3237"/>
      <c r="W156" s="3272">
        <f>SUM(W147:W155)</f>
        <v>1902848644.2734106</v>
      </c>
      <c r="X156" s="3272">
        <f>SUM(X147:X155)</f>
        <v>74347550.138190463</v>
      </c>
      <c r="Y156" s="3272">
        <f>SUM(Y147:Y155)</f>
        <v>0</v>
      </c>
      <c r="Z156" s="3272">
        <f>SUM(Z147:Z155)</f>
        <v>1828501094.1352201</v>
      </c>
      <c r="AA156" s="3237"/>
      <c r="AE156" s="3272">
        <f>SUM(AE147:AE155)</f>
        <v>1902848644.2734106</v>
      </c>
      <c r="AF156" s="3272">
        <f>SUM(AF147:AF155)</f>
        <v>74347550.138190463</v>
      </c>
      <c r="AG156" s="3272">
        <f>SUM(AG147:AG155)</f>
        <v>0</v>
      </c>
      <c r="AH156" s="3272">
        <f>SUM(AH147:AH155)</f>
        <v>1828501094.1352201</v>
      </c>
      <c r="AI156" s="3237"/>
      <c r="AM156" s="3272">
        <f>SUM(AM147:AM155)</f>
        <v>1902848644.2734106</v>
      </c>
      <c r="AN156" s="3272">
        <f>SUM(AN147:AN155)</f>
        <v>74347550.138190463</v>
      </c>
      <c r="AO156" s="3272">
        <f>SUM(AO147:AO155)</f>
        <v>0</v>
      </c>
      <c r="AP156" s="3272">
        <f>SUM(AP147:AP155)</f>
        <v>1828501094.1352201</v>
      </c>
      <c r="AQ156" s="3237"/>
      <c r="AU156" s="3272">
        <f>SUM(AU147:AU155)</f>
        <v>1902848644.2734106</v>
      </c>
      <c r="AV156" s="3272">
        <f>SUM(AV147:AV155)</f>
        <v>74347550.138190463</v>
      </c>
      <c r="AW156" s="3272">
        <f>SUM(AW147:AW155)</f>
        <v>0</v>
      </c>
      <c r="AX156" s="3272">
        <f>SUM(AX147:AX155)</f>
        <v>1828501094.1352201</v>
      </c>
      <c r="AY156" s="3237"/>
      <c r="BC156" s="3272">
        <f>SUM(BC147:BC155)</f>
        <v>1902848644.2734106</v>
      </c>
      <c r="BD156" s="3272">
        <f>SUM(BD147:BD155)</f>
        <v>74347550.138190463</v>
      </c>
      <c r="BE156" s="3272">
        <f>SUM(BE147:BE155)</f>
        <v>0</v>
      </c>
      <c r="BF156" s="3272">
        <f>SUM(BF147:BF155)</f>
        <v>1828501094.1352201</v>
      </c>
      <c r="BG156" s="3237"/>
      <c r="BK156" s="3272">
        <f>SUM(BK147:BK155)</f>
        <v>1902848644.2734106</v>
      </c>
      <c r="BL156" s="3272">
        <f>SUM(BL147:BL155)</f>
        <v>74347550.138190463</v>
      </c>
      <c r="BM156" s="3272">
        <f>SUM(BM147:BM155)</f>
        <v>0</v>
      </c>
      <c r="BN156" s="3272">
        <f>SUM(BN147:BN155)</f>
        <v>1828501094.1352201</v>
      </c>
      <c r="BO156" s="3237"/>
      <c r="BS156" s="3272">
        <f>SUM(BS147:BS155)</f>
        <v>1902848644.2734106</v>
      </c>
      <c r="BT156" s="3272">
        <f>SUM(BT147:BT155)</f>
        <v>74347550.138190463</v>
      </c>
      <c r="BU156" s="3272">
        <f>SUM(BU147:BU155)</f>
        <v>0</v>
      </c>
      <c r="BV156" s="3272">
        <f>SUM(BV147:BV155)</f>
        <v>1828501094.1352201</v>
      </c>
      <c r="BW156" s="3237"/>
      <c r="CA156" s="3272">
        <f>SUM(CA147:CA155)</f>
        <v>1902848644.2734106</v>
      </c>
      <c r="CB156" s="3272">
        <f>SUM(CB147:CB155)</f>
        <v>74347550.138190463</v>
      </c>
      <c r="CC156" s="3272">
        <f>SUM(CC147:CC155)</f>
        <v>0</v>
      </c>
      <c r="CD156" s="3272">
        <f>SUM(CD147:CD155)</f>
        <v>1828501094.1352201</v>
      </c>
      <c r="CE156" s="3237"/>
      <c r="CI156" s="3272">
        <f>SUM(CI147:CI155)</f>
        <v>1902848644.2734106</v>
      </c>
      <c r="CJ156" s="3272">
        <f>SUM(CJ147:CJ155)</f>
        <v>74347550.138190463</v>
      </c>
      <c r="CK156" s="3272">
        <f>SUM(CK147:CK155)</f>
        <v>0</v>
      </c>
      <c r="CL156" s="3272">
        <f>SUM(CL147:CL155)</f>
        <v>1828501094.1352201</v>
      </c>
      <c r="CM156" s="3237"/>
      <c r="CQ156" s="3272">
        <f>SUM(CQ147:CQ155)</f>
        <v>1902848644.2734106</v>
      </c>
      <c r="CR156" s="3272">
        <f>SUM(CR147:CR155)</f>
        <v>74347550.138190463</v>
      </c>
      <c r="CS156" s="3272">
        <f>SUM(CS147:CS155)</f>
        <v>0</v>
      </c>
      <c r="CT156" s="3272">
        <f>SUM(CT147:CT155)</f>
        <v>1828501094.1352201</v>
      </c>
      <c r="CU156" s="3237"/>
      <c r="CY156" s="3272">
        <f>SUM(CY147:CY155)</f>
        <v>1902848644.2734106</v>
      </c>
      <c r="CZ156" s="3272">
        <f>SUM(CZ147:CZ155)</f>
        <v>74347550.138190463</v>
      </c>
      <c r="DA156" s="3272">
        <f>SUM(DA147:DA155)</f>
        <v>0</v>
      </c>
      <c r="DB156" s="3272">
        <f>SUM(DB147:DB155)</f>
        <v>1828501094.1352201</v>
      </c>
      <c r="DC156" s="3237"/>
      <c r="DG156" s="3272">
        <f>SUM(DG147:DG155)</f>
        <v>1902848644.2734106</v>
      </c>
      <c r="DH156" s="3272">
        <f>SUM(DH147:DH155)</f>
        <v>74347550.138190463</v>
      </c>
      <c r="DI156" s="3272">
        <f>SUM(DI147:DI155)</f>
        <v>0</v>
      </c>
      <c r="DJ156" s="3272">
        <f>SUM(DJ147:DJ155)</f>
        <v>1828501094.1352201</v>
      </c>
      <c r="DK156" s="3237"/>
      <c r="DO156" s="3272">
        <f>SUM(DO147:DO155)</f>
        <v>1902848644.2734106</v>
      </c>
      <c r="DP156" s="3272">
        <f>SUM(DP147:DP155)</f>
        <v>74347550.138190463</v>
      </c>
      <c r="DQ156" s="3272">
        <f>SUM(DQ147:DQ155)</f>
        <v>0</v>
      </c>
      <c r="DR156" s="3272">
        <f>SUM(DR147:DR155)</f>
        <v>1828501094.1352201</v>
      </c>
      <c r="DS156" s="3237"/>
      <c r="DW156" s="3272">
        <f>SUM(DW147:DW155)</f>
        <v>1902848644.2734106</v>
      </c>
      <c r="DX156" s="3272">
        <f>SUM(DX147:DX155)</f>
        <v>74347550.138190463</v>
      </c>
      <c r="DY156" s="3272">
        <f>SUM(DY147:DY155)</f>
        <v>0</v>
      </c>
      <c r="DZ156" s="3272">
        <f>SUM(DZ147:DZ155)</f>
        <v>1828501094.1352201</v>
      </c>
      <c r="EA156" s="3237"/>
      <c r="EE156" s="3272">
        <f>SUM(EE147:EE155)</f>
        <v>1902848644.2734106</v>
      </c>
      <c r="EF156" s="3272">
        <f>SUM(EF147:EF155)</f>
        <v>74347550.138190463</v>
      </c>
      <c r="EG156" s="3272">
        <f>SUM(EG147:EG155)</f>
        <v>0</v>
      </c>
      <c r="EH156" s="3272">
        <f>SUM(EH147:EH155)</f>
        <v>1828501094.1352201</v>
      </c>
      <c r="EI156" s="3237"/>
      <c r="EM156" s="3272">
        <f>SUM(EM147:EM155)</f>
        <v>1902848644.2734106</v>
      </c>
      <c r="EN156" s="3272">
        <f>SUM(EN147:EN155)</f>
        <v>74347550.138190463</v>
      </c>
      <c r="EO156" s="3272">
        <f>SUM(EO147:EO155)</f>
        <v>0</v>
      </c>
      <c r="EP156" s="3272">
        <f>SUM(EP147:EP155)</f>
        <v>1828501094.1352201</v>
      </c>
      <c r="EQ156" s="3237"/>
      <c r="EU156" s="3272">
        <f>SUM(EU147:EU155)</f>
        <v>1902848644.2734106</v>
      </c>
      <c r="EV156" s="3272">
        <f>SUM(EV147:EV155)</f>
        <v>74347550.138190463</v>
      </c>
      <c r="EW156" s="3272">
        <f>SUM(EW147:EW155)</f>
        <v>0</v>
      </c>
      <c r="EX156" s="3272">
        <f>SUM(EX147:EX155)</f>
        <v>1828501094.1352201</v>
      </c>
      <c r="EY156" s="3237"/>
      <c r="FC156" s="3272">
        <f>SUM(FC147:FC155)</f>
        <v>1902848644.2734106</v>
      </c>
      <c r="FD156" s="3272">
        <f>SUM(FD147:FD155)</f>
        <v>74347550.138190463</v>
      </c>
      <c r="FE156" s="3272">
        <f>SUM(FE147:FE155)</f>
        <v>0</v>
      </c>
      <c r="FF156" s="3272">
        <f>SUM(FF147:FF155)</f>
        <v>1828501094.1352201</v>
      </c>
      <c r="FG156" s="3237"/>
      <c r="FK156" s="3272">
        <f>SUM(FK147:FK155)</f>
        <v>1902848644.2734106</v>
      </c>
      <c r="FL156" s="3272">
        <f>SUM(FL147:FL155)</f>
        <v>74347550.138190463</v>
      </c>
      <c r="FM156" s="3272">
        <f>SUM(FM147:FM155)</f>
        <v>0</v>
      </c>
      <c r="FN156" s="3272">
        <f>SUM(FN147:FN155)</f>
        <v>1828501094.1352201</v>
      </c>
      <c r="FO156" s="3237"/>
    </row>
    <row r="157" spans="1:171">
      <c r="A157" s="2442"/>
      <c r="B157" s="2290"/>
      <c r="C157" s="2098"/>
      <c r="D157" s="3300"/>
      <c r="E157" s="2098"/>
      <c r="F157" s="2098"/>
      <c r="G157" s="3303"/>
      <c r="H157" s="3304"/>
      <c r="I157" s="3304"/>
      <c r="J157" s="3305"/>
      <c r="K157" s="3205"/>
      <c r="O157" s="2747"/>
      <c r="S157" s="3237"/>
      <c r="W157" s="2747"/>
      <c r="AA157" s="3237"/>
      <c r="AE157" s="2747"/>
      <c r="AI157" s="3237"/>
      <c r="AM157" s="2747"/>
      <c r="AQ157" s="3237"/>
      <c r="AU157" s="2747"/>
      <c r="AY157" s="3237"/>
      <c r="BC157" s="2747"/>
      <c r="BG157" s="3237"/>
      <c r="BK157" s="2747"/>
      <c r="BO157" s="3237"/>
      <c r="BS157" s="2747"/>
      <c r="BW157" s="3237"/>
      <c r="CA157" s="2747"/>
      <c r="CE157" s="3237"/>
      <c r="CI157" s="2747"/>
      <c r="CM157" s="3237"/>
      <c r="CQ157" s="2747"/>
      <c r="CU157" s="3237"/>
      <c r="CY157" s="2747"/>
      <c r="DC157" s="3237"/>
      <c r="DG157" s="2747"/>
      <c r="DK157" s="3237"/>
      <c r="DO157" s="2747"/>
      <c r="DS157" s="3237"/>
      <c r="DW157" s="2747"/>
      <c r="EA157" s="3237"/>
      <c r="EE157" s="2747"/>
      <c r="EI157" s="3237"/>
      <c r="EM157" s="2747"/>
      <c r="EQ157" s="3237"/>
      <c r="EU157" s="2747"/>
      <c r="EY157" s="3237"/>
      <c r="FC157" s="2747"/>
      <c r="FG157" s="3237"/>
      <c r="FK157" s="2747"/>
      <c r="FO157" s="3237"/>
    </row>
    <row r="158" spans="1:171">
      <c r="A158" s="2697" t="s">
        <v>73</v>
      </c>
      <c r="B158" s="2100"/>
      <c r="C158" s="3256"/>
      <c r="D158" s="3257"/>
      <c r="E158" s="3257"/>
      <c r="F158" s="3258"/>
      <c r="G158" s="3265">
        <f>+G156+G143</f>
        <v>2010043296.9734106</v>
      </c>
      <c r="H158" s="3265">
        <f>+H156+H143</f>
        <v>74347550.138190463</v>
      </c>
      <c r="I158" s="3265">
        <f>+I156+I143</f>
        <v>0</v>
      </c>
      <c r="J158" s="3266">
        <f>+J156+J143</f>
        <v>1935695746.8352201</v>
      </c>
      <c r="K158" s="3205"/>
      <c r="O158" s="3306">
        <f>+O156+O143</f>
        <v>2010043296.9734106</v>
      </c>
      <c r="P158" s="3306">
        <f>+P156+P143</f>
        <v>74347550.138190463</v>
      </c>
      <c r="Q158" s="3306">
        <f>+Q156+Q143</f>
        <v>0</v>
      </c>
      <c r="R158" s="3306">
        <f>+R156+R143</f>
        <v>1935695746.8352201</v>
      </c>
      <c r="S158" s="3237"/>
      <c r="W158" s="3306">
        <f>+W156+W143</f>
        <v>2010043296.9734106</v>
      </c>
      <c r="X158" s="3306">
        <f>+X156+X143</f>
        <v>74347550.138190463</v>
      </c>
      <c r="Y158" s="3306">
        <f>+Y156+Y143</f>
        <v>0</v>
      </c>
      <c r="Z158" s="3306">
        <f>+Z156+Z143</f>
        <v>1935695746.8352201</v>
      </c>
      <c r="AA158" s="3237"/>
      <c r="AE158" s="3306">
        <f>+AE156+AE143</f>
        <v>2010043296.9734106</v>
      </c>
      <c r="AF158" s="3306">
        <f>+AF156+AF143</f>
        <v>74347550.138190463</v>
      </c>
      <c r="AG158" s="3306">
        <f>+AG156+AG143</f>
        <v>0</v>
      </c>
      <c r="AH158" s="3306">
        <f>+AH156+AH143</f>
        <v>1935695746.8352201</v>
      </c>
      <c r="AI158" s="3237"/>
      <c r="AM158" s="3306">
        <f>+AM156+AM143</f>
        <v>2010043296.9734106</v>
      </c>
      <c r="AN158" s="3306">
        <f>+AN156+AN143</f>
        <v>74347550.138190463</v>
      </c>
      <c r="AO158" s="3306">
        <f>+AO156+AO143</f>
        <v>0</v>
      </c>
      <c r="AP158" s="3306">
        <f>+AP156+AP143</f>
        <v>1935695746.8352201</v>
      </c>
      <c r="AQ158" s="3237"/>
      <c r="AU158" s="3306">
        <f>+AU156+AU143</f>
        <v>2010043296.9734106</v>
      </c>
      <c r="AV158" s="3306">
        <f>+AV156+AV143</f>
        <v>74347550.138190463</v>
      </c>
      <c r="AW158" s="3306">
        <f>+AW156+AW143</f>
        <v>0</v>
      </c>
      <c r="AX158" s="3306">
        <f>+AX156+AX143</f>
        <v>1935695746.8352201</v>
      </c>
      <c r="AY158" s="3237"/>
      <c r="BC158" s="3306">
        <f>+BC156+BC143</f>
        <v>2010043296.9734106</v>
      </c>
      <c r="BD158" s="3306">
        <f>+BD156+BD143</f>
        <v>74347550.138190463</v>
      </c>
      <c r="BE158" s="3306">
        <f>+BE156+BE143</f>
        <v>0</v>
      </c>
      <c r="BF158" s="3306">
        <f>+BF156+BF143</f>
        <v>1935695746.8352201</v>
      </c>
      <c r="BG158" s="3237"/>
      <c r="BK158" s="3306">
        <f>+BK156+BK143</f>
        <v>2010043296.9734106</v>
      </c>
      <c r="BL158" s="3306">
        <f>+BL156+BL143</f>
        <v>74347550.138190463</v>
      </c>
      <c r="BM158" s="3306">
        <f>+BM156+BM143</f>
        <v>0</v>
      </c>
      <c r="BN158" s="3306">
        <f>+BN156+BN143</f>
        <v>1935695746.8352201</v>
      </c>
      <c r="BO158" s="3237"/>
      <c r="BS158" s="3306">
        <f>+BS156+BS143</f>
        <v>2010043296.9734106</v>
      </c>
      <c r="BT158" s="3306">
        <f>+BT156+BT143</f>
        <v>74347550.138190463</v>
      </c>
      <c r="BU158" s="3306">
        <f>+BU156+BU143</f>
        <v>0</v>
      </c>
      <c r="BV158" s="3306">
        <f>+BV156+BV143</f>
        <v>1935695746.8352201</v>
      </c>
      <c r="BW158" s="3237"/>
      <c r="CA158" s="3306">
        <f>+CA156+CA143</f>
        <v>2010043296.9734106</v>
      </c>
      <c r="CB158" s="3306">
        <f>+CB156+CB143</f>
        <v>74347550.138190463</v>
      </c>
      <c r="CC158" s="3306">
        <f>+CC156+CC143</f>
        <v>0</v>
      </c>
      <c r="CD158" s="3306">
        <f>+CD156+CD143</f>
        <v>1935695746.8352201</v>
      </c>
      <c r="CE158" s="3237"/>
      <c r="CI158" s="3306">
        <f>+CI156+CI143</f>
        <v>2010043296.9734106</v>
      </c>
      <c r="CJ158" s="3306">
        <f>+CJ156+CJ143</f>
        <v>74347550.138190463</v>
      </c>
      <c r="CK158" s="3306">
        <f>+CK156+CK143</f>
        <v>0</v>
      </c>
      <c r="CL158" s="3306">
        <f>+CL156+CL143</f>
        <v>1935695746.8352201</v>
      </c>
      <c r="CM158" s="3237"/>
      <c r="CQ158" s="3306">
        <f>+CQ156+CQ143</f>
        <v>2010043296.9734106</v>
      </c>
      <c r="CR158" s="3306">
        <f>+CR156+CR143</f>
        <v>74347550.138190463</v>
      </c>
      <c r="CS158" s="3306">
        <f>+CS156+CS143</f>
        <v>0</v>
      </c>
      <c r="CT158" s="3306">
        <f>+CT156+CT143</f>
        <v>1935695746.8352201</v>
      </c>
      <c r="CU158" s="3237"/>
      <c r="CY158" s="3306">
        <f>+CY156+CY143</f>
        <v>2010043296.9734106</v>
      </c>
      <c r="CZ158" s="3306">
        <f>+CZ156+CZ143</f>
        <v>74347550.138190463</v>
      </c>
      <c r="DA158" s="3306">
        <f>+DA156+DA143</f>
        <v>0</v>
      </c>
      <c r="DB158" s="3306">
        <f>+DB156+DB143</f>
        <v>1935695746.8352201</v>
      </c>
      <c r="DC158" s="3237"/>
      <c r="DG158" s="3306">
        <f>+DG156+DG143</f>
        <v>2010043296.9734106</v>
      </c>
      <c r="DH158" s="3306">
        <f>+DH156+DH143</f>
        <v>74347550.138190463</v>
      </c>
      <c r="DI158" s="3306">
        <f>+DI156+DI143</f>
        <v>0</v>
      </c>
      <c r="DJ158" s="3306">
        <f>+DJ156+DJ143</f>
        <v>1935695746.8352201</v>
      </c>
      <c r="DK158" s="3237"/>
      <c r="DO158" s="3306">
        <f>+DO156+DO143</f>
        <v>2010043296.9734106</v>
      </c>
      <c r="DP158" s="3306">
        <f>+DP156+DP143</f>
        <v>74347550.138190463</v>
      </c>
      <c r="DQ158" s="3306">
        <f>+DQ156+DQ143</f>
        <v>0</v>
      </c>
      <c r="DR158" s="3306">
        <f>+DR156+DR143</f>
        <v>1935695746.8352201</v>
      </c>
      <c r="DS158" s="3237"/>
      <c r="DW158" s="3306">
        <f>+DW156+DW143</f>
        <v>2010043296.9734106</v>
      </c>
      <c r="DX158" s="3306">
        <f>+DX156+DX143</f>
        <v>74347550.138190463</v>
      </c>
      <c r="DY158" s="3306">
        <f>+DY156+DY143</f>
        <v>0</v>
      </c>
      <c r="DZ158" s="3306">
        <f>+DZ156+DZ143</f>
        <v>1935695746.8352201</v>
      </c>
      <c r="EA158" s="3237"/>
      <c r="EE158" s="3306">
        <f>+EE156+EE143</f>
        <v>2010043296.9734106</v>
      </c>
      <c r="EF158" s="3306">
        <f>+EF156+EF143</f>
        <v>74347550.138190463</v>
      </c>
      <c r="EG158" s="3306">
        <f>+EG156+EG143</f>
        <v>0</v>
      </c>
      <c r="EH158" s="3306">
        <f>+EH156+EH143</f>
        <v>1935695746.8352201</v>
      </c>
      <c r="EI158" s="3237"/>
      <c r="EM158" s="3306">
        <f>+EM156+EM143</f>
        <v>2010043296.9734106</v>
      </c>
      <c r="EN158" s="3306">
        <f>+EN156+EN143</f>
        <v>74347550.138190463</v>
      </c>
      <c r="EO158" s="3306">
        <f>+EO156+EO143</f>
        <v>0</v>
      </c>
      <c r="EP158" s="3306">
        <f>+EP156+EP143</f>
        <v>1935695746.8352201</v>
      </c>
      <c r="EQ158" s="3237"/>
      <c r="EU158" s="3306">
        <f>+EU156+EU143</f>
        <v>2010043296.9734106</v>
      </c>
      <c r="EV158" s="3306">
        <f>+EV156+EV143</f>
        <v>74347550.138190463</v>
      </c>
      <c r="EW158" s="3306">
        <f>+EW156+EW143</f>
        <v>0</v>
      </c>
      <c r="EX158" s="3306">
        <f>+EX156+EX143</f>
        <v>1935695746.8352201</v>
      </c>
      <c r="EY158" s="3237"/>
      <c r="FC158" s="3306">
        <f>+FC156+FC143</f>
        <v>2010043296.9734106</v>
      </c>
      <c r="FD158" s="3306">
        <f>+FD156+FD143</f>
        <v>74347550.138190463</v>
      </c>
      <c r="FE158" s="3306">
        <f>+FE156+FE143</f>
        <v>0</v>
      </c>
      <c r="FF158" s="3306">
        <f>+FF156+FF143</f>
        <v>1935695746.8352201</v>
      </c>
      <c r="FG158" s="3237"/>
      <c r="FK158" s="3306">
        <f>+FK156+FK143</f>
        <v>2010043296.9734106</v>
      </c>
      <c r="FL158" s="3306">
        <f>+FL156+FL143</f>
        <v>74347550.138190463</v>
      </c>
      <c r="FM158" s="3306">
        <f>+FM156+FM143</f>
        <v>0</v>
      </c>
      <c r="FN158" s="3306">
        <f>+FN156+FN143</f>
        <v>1935695746.8352201</v>
      </c>
      <c r="FO158" s="3237"/>
    </row>
    <row r="159" spans="1:171">
      <c r="A159" s="2306"/>
      <c r="B159" s="2100"/>
      <c r="C159" s="2116"/>
      <c r="D159" s="2116"/>
      <c r="E159" s="2116"/>
      <c r="F159" s="2116"/>
      <c r="G159" s="2233"/>
      <c r="H159" s="2233"/>
      <c r="I159" s="2233"/>
      <c r="J159" s="3294"/>
      <c r="K159" s="3205"/>
      <c r="S159" s="3237"/>
      <c r="AA159" s="3237"/>
      <c r="AI159" s="3237"/>
      <c r="AQ159" s="3237"/>
      <c r="AY159" s="3237"/>
      <c r="BG159" s="3237"/>
      <c r="BO159" s="3237"/>
      <c r="BW159" s="3237"/>
      <c r="CE159" s="3237"/>
      <c r="CM159" s="3237"/>
      <c r="CU159" s="3237"/>
      <c r="DC159" s="3237"/>
      <c r="DK159" s="3237"/>
      <c r="DS159" s="3237"/>
      <c r="EA159" s="3237"/>
      <c r="EI159" s="3237"/>
      <c r="EQ159" s="3237"/>
      <c r="EY159" s="3237"/>
      <c r="FG159" s="3237"/>
      <c r="FO159" s="3237"/>
    </row>
    <row r="160" spans="1:171">
      <c r="A160" s="2314"/>
      <c r="B160" s="2290"/>
      <c r="C160" s="3300"/>
      <c r="D160" s="3300"/>
      <c r="E160" s="2290"/>
      <c r="F160" s="2290"/>
      <c r="G160" s="3307"/>
      <c r="H160" s="3307"/>
      <c r="I160" s="3307"/>
      <c r="J160" s="3308"/>
      <c r="K160" s="3205"/>
      <c r="S160" s="3237"/>
      <c r="AA160" s="3237"/>
      <c r="AI160" s="3237"/>
      <c r="AQ160" s="3237"/>
      <c r="AY160" s="3237"/>
      <c r="BG160" s="3237"/>
      <c r="BO160" s="3237"/>
      <c r="BW160" s="3237"/>
      <c r="CE160" s="3237"/>
      <c r="CM160" s="3237"/>
      <c r="CU160" s="3237"/>
      <c r="DC160" s="3237"/>
      <c r="DK160" s="3237"/>
      <c r="DS160" s="3237"/>
      <c r="EA160" s="3237"/>
      <c r="EI160" s="3237"/>
      <c r="EQ160" s="3237"/>
      <c r="EY160" s="3237"/>
      <c r="FG160" s="3237"/>
      <c r="FO160" s="3237"/>
    </row>
    <row r="161" spans="1:171">
      <c r="A161" s="2310" t="s">
        <v>477</v>
      </c>
      <c r="B161" s="2100"/>
      <c r="C161" s="3256"/>
      <c r="D161" s="3257"/>
      <c r="E161" s="3257"/>
      <c r="F161" s="3258"/>
      <c r="G161" s="3265">
        <f>G79+G135-G158</f>
        <v>7602520405.9922667</v>
      </c>
      <c r="H161" s="3265">
        <f>H79+H135-H158</f>
        <v>2217167777.4065552</v>
      </c>
      <c r="I161" s="3265">
        <f>I79+I135-I158</f>
        <v>0</v>
      </c>
      <c r="J161" s="3266">
        <f>J79+J135-J158</f>
        <v>5385352626.9445868</v>
      </c>
      <c r="K161" s="3205"/>
      <c r="O161" s="3292">
        <f>O79+O135-O158</f>
        <v>7602520405.9922667</v>
      </c>
      <c r="P161" s="3292">
        <f>P79+P135-P158</f>
        <v>2217167777.4065552</v>
      </c>
      <c r="Q161" s="3292">
        <f>Q79+Q135-Q158</f>
        <v>1395908114.0030434</v>
      </c>
      <c r="R161" s="3292">
        <f>R79+R135-R158</f>
        <v>3989444514.5826664</v>
      </c>
      <c r="S161" s="3264"/>
      <c r="W161" s="3292">
        <f>W79+W135-W158</f>
        <v>7602520405.9922667</v>
      </c>
      <c r="X161" s="3292">
        <f>X79+X135-X158</f>
        <v>2217167777.4065552</v>
      </c>
      <c r="Y161" s="3292">
        <f>Y79+Y135-Y158</f>
        <v>1395908114.0030434</v>
      </c>
      <c r="Z161" s="3292">
        <f>Z79+Z135-Z158</f>
        <v>3989444514.5826664</v>
      </c>
      <c r="AA161" s="3264"/>
      <c r="AE161" s="3292">
        <f>AE79+AE135-AE158</f>
        <v>7602520405.9922667</v>
      </c>
      <c r="AF161" s="3292">
        <f>AF79+AF135-AF158</f>
        <v>2217167777.4065552</v>
      </c>
      <c r="AG161" s="3292">
        <f>AG79+AG135-AG158</f>
        <v>1395908114.0030434</v>
      </c>
      <c r="AH161" s="3292">
        <f>AH79+AH135-AH158</f>
        <v>3989444514.5826664</v>
      </c>
      <c r="AI161" s="3264"/>
      <c r="AM161" s="3292">
        <f>AM79+AM135-AM158</f>
        <v>7602520405.9922667</v>
      </c>
      <c r="AN161" s="3292">
        <f>AN79+AN135-AN158</f>
        <v>2217167777.4065552</v>
      </c>
      <c r="AO161" s="3292">
        <f>AO79+AO135-AO158</f>
        <v>1395908114.0030434</v>
      </c>
      <c r="AP161" s="3292">
        <f>AP79+AP135-AP158</f>
        <v>3989444514.5826664</v>
      </c>
      <c r="AQ161" s="3264"/>
      <c r="AU161" s="3292">
        <f>AU79+AU135-AU158</f>
        <v>7602520405.9922667</v>
      </c>
      <c r="AV161" s="3292">
        <f>AV79+AV135-AV158</f>
        <v>2217167777.4065552</v>
      </c>
      <c r="AW161" s="3292">
        <f>AW79+AW135-AW158</f>
        <v>1395908114.0030434</v>
      </c>
      <c r="AX161" s="3292">
        <f>AX79+AX135-AX158</f>
        <v>3989444514.5826664</v>
      </c>
      <c r="AY161" s="3264"/>
      <c r="BC161" s="3292">
        <f>BC79+BC135-BC158</f>
        <v>7602520405.9922667</v>
      </c>
      <c r="BD161" s="3292">
        <f>BD79+BD135-BD158</f>
        <v>2217167777.4065552</v>
      </c>
      <c r="BE161" s="3292">
        <f>BE79+BE135-BE158</f>
        <v>1395908114.0030434</v>
      </c>
      <c r="BF161" s="3292">
        <f>BF79+BF135-BF158</f>
        <v>3989444514.5826664</v>
      </c>
      <c r="BG161" s="3264"/>
      <c r="BK161" s="3292">
        <f>BK79+BK135-BK158</f>
        <v>7602520405.9922667</v>
      </c>
      <c r="BL161" s="3292">
        <f>BL79+BL135-BL158</f>
        <v>2217167777.4065552</v>
      </c>
      <c r="BM161" s="3292">
        <f>BM79+BM135-BM158</f>
        <v>1395908114.0030434</v>
      </c>
      <c r="BN161" s="3292">
        <f>BN79+BN135-BN158</f>
        <v>3989444514.5826664</v>
      </c>
      <c r="BO161" s="3264"/>
      <c r="BS161" s="3292">
        <f>BS79+BS135-BS158</f>
        <v>7602520405.9922667</v>
      </c>
      <c r="BT161" s="3292">
        <f>BT79+BT135-BT158</f>
        <v>2217167777.4065552</v>
      </c>
      <c r="BU161" s="3292">
        <f>BU79+BU135-BU158</f>
        <v>1395908114.0030434</v>
      </c>
      <c r="BV161" s="3292">
        <f>BV79+BV135-BV158</f>
        <v>3989444514.5826664</v>
      </c>
      <c r="BW161" s="3264"/>
      <c r="CA161" s="3292">
        <f>CA79+CA135-CA158</f>
        <v>7602520405.9922667</v>
      </c>
      <c r="CB161" s="3292">
        <f>CB79+CB135-CB158</f>
        <v>2217167777.4065552</v>
      </c>
      <c r="CC161" s="3292">
        <f>CC79+CC135-CC158</f>
        <v>1395908114.0030434</v>
      </c>
      <c r="CD161" s="3292">
        <f>CD79+CD135-CD158</f>
        <v>3989444514.5826664</v>
      </c>
      <c r="CE161" s="3264"/>
      <c r="CI161" s="3292">
        <f>CI79+CI135-CI158</f>
        <v>7602520405.9922667</v>
      </c>
      <c r="CJ161" s="3292">
        <f>CJ79+CJ135-CJ158</f>
        <v>2217167777.4065552</v>
      </c>
      <c r="CK161" s="3292">
        <f>CK79+CK135-CK158</f>
        <v>1395908114.0030434</v>
      </c>
      <c r="CL161" s="3292">
        <f>CL79+CL135-CL158</f>
        <v>3989444514.5826664</v>
      </c>
      <c r="CM161" s="3264"/>
      <c r="CQ161" s="3292">
        <f>CQ79+CQ135-CQ158</f>
        <v>7602520405.9922667</v>
      </c>
      <c r="CR161" s="3292">
        <f>CR79+CR135-CR158</f>
        <v>2217167777.4065552</v>
      </c>
      <c r="CS161" s="3292">
        <f>CS79+CS135-CS158</f>
        <v>1395908114.0030434</v>
      </c>
      <c r="CT161" s="3292">
        <f>CT79+CT135-CT158</f>
        <v>3989444514.5826664</v>
      </c>
      <c r="CU161" s="3264"/>
      <c r="CY161" s="3292">
        <f>CY79+CY135-CY158</f>
        <v>7602520405.9922667</v>
      </c>
      <c r="CZ161" s="3292">
        <f>CZ79+CZ135-CZ158</f>
        <v>2217167777.4065552</v>
      </c>
      <c r="DA161" s="3292">
        <f>DA79+DA135-DA158</f>
        <v>1395908114.0030434</v>
      </c>
      <c r="DB161" s="3292">
        <f>DB79+DB135-DB158</f>
        <v>3989444514.5826664</v>
      </c>
      <c r="DC161" s="3264"/>
      <c r="DG161" s="3292">
        <f>DG79+DG135-DG158</f>
        <v>7602520405.9922667</v>
      </c>
      <c r="DH161" s="3292">
        <f>DH79+DH135-DH158</f>
        <v>2217167777.4065552</v>
      </c>
      <c r="DI161" s="3292">
        <f>DI79+DI135-DI158</f>
        <v>1395908114.0030434</v>
      </c>
      <c r="DJ161" s="3292">
        <f>DJ79+DJ135-DJ158</f>
        <v>3989444514.5826664</v>
      </c>
      <c r="DK161" s="3264"/>
      <c r="DO161" s="3292">
        <f>DO79+DO135-DO158</f>
        <v>7602520405.9922667</v>
      </c>
      <c r="DP161" s="3292">
        <f>DP79+DP135-DP158</f>
        <v>2217167777.4065552</v>
      </c>
      <c r="DQ161" s="3292">
        <f>DQ79+DQ135-DQ158</f>
        <v>1395908114.0030434</v>
      </c>
      <c r="DR161" s="3292">
        <f>DR79+DR135-DR158</f>
        <v>3989444514.5826664</v>
      </c>
      <c r="DS161" s="3264"/>
      <c r="DW161" s="3292">
        <f>DW79+DW135-DW158</f>
        <v>7602520405.9922667</v>
      </c>
      <c r="DX161" s="3292">
        <f>DX79+DX135-DX158</f>
        <v>2217167777.4065552</v>
      </c>
      <c r="DY161" s="3292">
        <f>DY79+DY135-DY158</f>
        <v>1395908114.0030434</v>
      </c>
      <c r="DZ161" s="3292">
        <f>DZ79+DZ135-DZ158</f>
        <v>3989444514.5826664</v>
      </c>
      <c r="EA161" s="3264"/>
      <c r="EE161" s="3292">
        <f>EE79+EE135-EE158</f>
        <v>7602520405.9922667</v>
      </c>
      <c r="EF161" s="3292">
        <f>EF79+EF135-EF158</f>
        <v>2217167777.4065552</v>
      </c>
      <c r="EG161" s="3292">
        <f>EG79+EG135-EG158</f>
        <v>1395908114.0030434</v>
      </c>
      <c r="EH161" s="3292">
        <f>EH79+EH135-EH158</f>
        <v>3989444514.5826664</v>
      </c>
      <c r="EI161" s="3264"/>
      <c r="EM161" s="3292">
        <f>EM79+EM135-EM158</f>
        <v>7602520405.9922667</v>
      </c>
      <c r="EN161" s="3292">
        <f>EN79+EN135-EN158</f>
        <v>2217167777.4065552</v>
      </c>
      <c r="EO161" s="3292">
        <f>EO79+EO135-EO158</f>
        <v>1395908114.0030434</v>
      </c>
      <c r="EP161" s="3292">
        <f>EP79+EP135-EP158</f>
        <v>3989444514.5826664</v>
      </c>
      <c r="EQ161" s="3264"/>
      <c r="EU161" s="3292">
        <f>EU79+EU135-EU158</f>
        <v>7602520405.9922667</v>
      </c>
      <c r="EV161" s="3292">
        <f>EV79+EV135-EV158</f>
        <v>2217167777.4065552</v>
      </c>
      <c r="EW161" s="3292">
        <f>EW79+EW135-EW158</f>
        <v>1395908114.0030434</v>
      </c>
      <c r="EX161" s="3292">
        <f>EX79+EX135-EX158</f>
        <v>3989444514.5826664</v>
      </c>
      <c r="EY161" s="3264"/>
      <c r="FC161" s="3292">
        <f>FC79+FC135-FC158</f>
        <v>7602520405.9922667</v>
      </c>
      <c r="FD161" s="3292">
        <f>FD79+FD135-FD158</f>
        <v>2217167777.4065552</v>
      </c>
      <c r="FE161" s="3292">
        <f>FE79+FE135-FE158</f>
        <v>1395908114.0030434</v>
      </c>
      <c r="FF161" s="3292">
        <f>FF79+FF135-FF158</f>
        <v>3989444514.5826664</v>
      </c>
      <c r="FG161" s="3264"/>
      <c r="FK161" s="3292">
        <f>FK79+FK135-FK158</f>
        <v>7602520405.9922667</v>
      </c>
      <c r="FL161" s="3292">
        <f>FL79+FL135-FL158</f>
        <v>2217167777.4065552</v>
      </c>
      <c r="FM161" s="3292">
        <f>FM79+FM135-FM158</f>
        <v>1395908114.0030434</v>
      </c>
      <c r="FN161" s="3292">
        <f>FN79+FN135-FN158</f>
        <v>3989444514.5826664</v>
      </c>
      <c r="FO161" s="3264"/>
    </row>
    <row r="162" spans="1:171">
      <c r="A162" s="2713" t="s">
        <v>83</v>
      </c>
      <c r="B162" s="2100"/>
      <c r="C162" s="2116"/>
      <c r="D162" s="2116"/>
      <c r="E162" s="2116"/>
      <c r="F162" s="2116"/>
      <c r="G162" s="2182"/>
      <c r="H162" s="2118"/>
      <c r="I162" s="2119"/>
      <c r="J162" s="3309"/>
      <c r="K162" s="3205"/>
      <c r="S162" s="3264"/>
      <c r="AA162" s="3264"/>
      <c r="AI162" s="3264"/>
      <c r="AQ162" s="3264"/>
      <c r="AY162" s="3264"/>
      <c r="BG162" s="3264"/>
      <c r="BO162" s="3264"/>
      <c r="BW162" s="3264"/>
      <c r="CE162" s="3264"/>
      <c r="CM162" s="3264"/>
      <c r="CU162" s="3264"/>
      <c r="DC162" s="3264"/>
      <c r="DK162" s="3264"/>
      <c r="DS162" s="3264"/>
      <c r="EA162" s="3264"/>
      <c r="EI162" s="3264"/>
      <c r="EQ162" s="3264"/>
      <c r="EY162" s="3264"/>
      <c r="FG162" s="3264"/>
      <c r="FO162" s="3264"/>
    </row>
    <row r="163" spans="1:171" ht="12" thickBot="1">
      <c r="A163" s="2516"/>
      <c r="B163" s="2099"/>
      <c r="C163" s="2120"/>
      <c r="D163" s="2120"/>
      <c r="E163" s="2120"/>
      <c r="F163" s="2120"/>
      <c r="G163" s="2220"/>
      <c r="H163" s="2122"/>
      <c r="I163" s="2123"/>
      <c r="J163" s="3310"/>
      <c r="K163" s="3205"/>
      <c r="S163" s="3264"/>
      <c r="AA163" s="3264"/>
      <c r="AI163" s="3264"/>
      <c r="AQ163" s="3264"/>
      <c r="AY163" s="3264"/>
      <c r="BG163" s="3264"/>
      <c r="BO163" s="3264"/>
      <c r="BW163" s="3264"/>
      <c r="CE163" s="3264"/>
      <c r="CM163" s="3264"/>
      <c r="CU163" s="3264"/>
      <c r="DC163" s="3264"/>
      <c r="DK163" s="3264"/>
      <c r="DS163" s="3264"/>
      <c r="EA163" s="3264"/>
      <c r="EI163" s="3264"/>
      <c r="EQ163" s="3264"/>
      <c r="EY163" s="3264"/>
      <c r="FG163" s="3264"/>
      <c r="FO163" s="3264"/>
    </row>
    <row r="164" spans="1:171" ht="12" thickTop="1">
      <c r="A164" s="2713"/>
      <c r="B164" s="2100"/>
      <c r="C164" s="2116"/>
      <c r="D164" s="2116"/>
      <c r="E164" s="2116"/>
      <c r="F164" s="2116"/>
      <c r="G164" s="2182"/>
      <c r="H164" s="2118"/>
      <c r="I164" s="2119"/>
      <c r="J164" s="3309"/>
      <c r="K164" s="3205"/>
      <c r="S164" s="3264"/>
      <c r="AA164" s="3264"/>
      <c r="AI164" s="3264"/>
      <c r="AQ164" s="3264"/>
      <c r="AY164" s="3264"/>
      <c r="BG164" s="3264"/>
      <c r="BO164" s="3264"/>
      <c r="BW164" s="3264"/>
      <c r="CE164" s="3264"/>
      <c r="CM164" s="3264"/>
      <c r="CU164" s="3264"/>
      <c r="DC164" s="3264"/>
      <c r="DK164" s="3264"/>
      <c r="DS164" s="3264"/>
      <c r="EA164" s="3264"/>
      <c r="EI164" s="3264"/>
      <c r="EQ164" s="3264"/>
      <c r="EY164" s="3264"/>
      <c r="FG164" s="3264"/>
      <c r="FO164" s="3264"/>
    </row>
    <row r="165" spans="1:171">
      <c r="A165" s="3248" t="s">
        <v>63</v>
      </c>
      <c r="G165" s="3311">
        <f>'Sch 2 -Rate of Return'!E14</f>
        <v>8.3803797468354424E-2</v>
      </c>
      <c r="H165" s="3312">
        <f>G165</f>
        <v>8.3803797468354424E-2</v>
      </c>
      <c r="I165" s="3312">
        <f>G165</f>
        <v>8.3803797468354424E-2</v>
      </c>
      <c r="J165" s="3313">
        <f>G165</f>
        <v>8.3803797468354424E-2</v>
      </c>
      <c r="K165" s="3205"/>
      <c r="O165" s="523">
        <f>$G$165</f>
        <v>8.3803797468354424E-2</v>
      </c>
      <c r="P165" s="523">
        <f>$G$165</f>
        <v>8.3803797468354424E-2</v>
      </c>
      <c r="Q165" s="523">
        <f>$G$165</f>
        <v>8.3803797468354424E-2</v>
      </c>
      <c r="R165" s="523">
        <f>$G$165</f>
        <v>8.3803797468354424E-2</v>
      </c>
      <c r="S165" s="3264"/>
      <c r="W165" s="523">
        <f>$G$165</f>
        <v>8.3803797468354424E-2</v>
      </c>
      <c r="X165" s="523">
        <f>$G$165</f>
        <v>8.3803797468354424E-2</v>
      </c>
      <c r="Y165" s="523">
        <f>$G$165</f>
        <v>8.3803797468354424E-2</v>
      </c>
      <c r="Z165" s="523">
        <f>$G$165</f>
        <v>8.3803797468354424E-2</v>
      </c>
      <c r="AA165" s="3264"/>
      <c r="AE165" s="523">
        <f>$G$165</f>
        <v>8.3803797468354424E-2</v>
      </c>
      <c r="AF165" s="523">
        <f>$G$165</f>
        <v>8.3803797468354424E-2</v>
      </c>
      <c r="AG165" s="523">
        <f>$G$165</f>
        <v>8.3803797468354424E-2</v>
      </c>
      <c r="AH165" s="523">
        <f>$G$165</f>
        <v>8.3803797468354424E-2</v>
      </c>
      <c r="AI165" s="3264"/>
      <c r="AM165" s="523">
        <f>$G$165</f>
        <v>8.3803797468354424E-2</v>
      </c>
      <c r="AN165" s="523">
        <f>$G$165</f>
        <v>8.3803797468354424E-2</v>
      </c>
      <c r="AO165" s="523">
        <f>$G$165</f>
        <v>8.3803797468354424E-2</v>
      </c>
      <c r="AP165" s="523">
        <f>$G$165</f>
        <v>8.3803797468354424E-2</v>
      </c>
      <c r="AQ165" s="3264"/>
      <c r="AU165" s="523">
        <f>$G$165</f>
        <v>8.3803797468354424E-2</v>
      </c>
      <c r="AV165" s="523">
        <f>$G$165</f>
        <v>8.3803797468354424E-2</v>
      </c>
      <c r="AW165" s="523">
        <f>$G$165</f>
        <v>8.3803797468354424E-2</v>
      </c>
      <c r="AX165" s="523">
        <f>$G$165</f>
        <v>8.3803797468354424E-2</v>
      </c>
      <c r="AY165" s="3264"/>
      <c r="BC165" s="523">
        <f>$G$165</f>
        <v>8.3803797468354424E-2</v>
      </c>
      <c r="BD165" s="523">
        <f>$G$165</f>
        <v>8.3803797468354424E-2</v>
      </c>
      <c r="BE165" s="523">
        <f>$G$165</f>
        <v>8.3803797468354424E-2</v>
      </c>
      <c r="BF165" s="523">
        <f>$G$165</f>
        <v>8.3803797468354424E-2</v>
      </c>
      <c r="BG165" s="3264"/>
      <c r="BK165" s="523">
        <f>$G$165</f>
        <v>8.3803797468354424E-2</v>
      </c>
      <c r="BL165" s="523">
        <f>$G$165</f>
        <v>8.3803797468354424E-2</v>
      </c>
      <c r="BM165" s="523">
        <f>$G$165</f>
        <v>8.3803797468354424E-2</v>
      </c>
      <c r="BN165" s="523">
        <f>$G$165</f>
        <v>8.3803797468354424E-2</v>
      </c>
      <c r="BO165" s="3264"/>
      <c r="BS165" s="523">
        <f>$G$165</f>
        <v>8.3803797468354424E-2</v>
      </c>
      <c r="BT165" s="523">
        <f>$G$165</f>
        <v>8.3803797468354424E-2</v>
      </c>
      <c r="BU165" s="523">
        <f>$G$165</f>
        <v>8.3803797468354424E-2</v>
      </c>
      <c r="BV165" s="523">
        <f>$G$165</f>
        <v>8.3803797468354424E-2</v>
      </c>
      <c r="BW165" s="3264"/>
      <c r="CA165" s="523">
        <f>$G$165</f>
        <v>8.3803797468354424E-2</v>
      </c>
      <c r="CB165" s="523">
        <f>$G$165</f>
        <v>8.3803797468354424E-2</v>
      </c>
      <c r="CC165" s="523">
        <f>$G$165</f>
        <v>8.3803797468354424E-2</v>
      </c>
      <c r="CD165" s="523">
        <f>$G$165</f>
        <v>8.3803797468354424E-2</v>
      </c>
      <c r="CE165" s="3264"/>
      <c r="CI165" s="523">
        <f>$G$165</f>
        <v>8.3803797468354424E-2</v>
      </c>
      <c r="CJ165" s="523">
        <f>$G$165</f>
        <v>8.3803797468354424E-2</v>
      </c>
      <c r="CK165" s="523">
        <f>$G$165</f>
        <v>8.3803797468354424E-2</v>
      </c>
      <c r="CL165" s="523">
        <f>$G$165</f>
        <v>8.3803797468354424E-2</v>
      </c>
      <c r="CM165" s="3264"/>
      <c r="CQ165" s="523">
        <f>$G$165</f>
        <v>8.3803797468354424E-2</v>
      </c>
      <c r="CR165" s="523">
        <f>$G$165</f>
        <v>8.3803797468354424E-2</v>
      </c>
      <c r="CS165" s="523">
        <f>$G$165</f>
        <v>8.3803797468354424E-2</v>
      </c>
      <c r="CT165" s="523">
        <f>$G$165</f>
        <v>8.3803797468354424E-2</v>
      </c>
      <c r="CU165" s="3264"/>
      <c r="CY165" s="523">
        <f>$G$165</f>
        <v>8.3803797468354424E-2</v>
      </c>
      <c r="CZ165" s="523">
        <f>$G$165</f>
        <v>8.3803797468354424E-2</v>
      </c>
      <c r="DA165" s="523">
        <f>$G$165</f>
        <v>8.3803797468354424E-2</v>
      </c>
      <c r="DB165" s="523">
        <f>$G$165</f>
        <v>8.3803797468354424E-2</v>
      </c>
      <c r="DC165" s="3264"/>
      <c r="DG165" s="523">
        <f>$G$165</f>
        <v>8.3803797468354424E-2</v>
      </c>
      <c r="DH165" s="523">
        <f>$G$165</f>
        <v>8.3803797468354424E-2</v>
      </c>
      <c r="DI165" s="523">
        <f>$G$165</f>
        <v>8.3803797468354424E-2</v>
      </c>
      <c r="DJ165" s="523">
        <f>$G$165</f>
        <v>8.3803797468354424E-2</v>
      </c>
      <c r="DK165" s="3264"/>
      <c r="DO165" s="523">
        <f>$G$165</f>
        <v>8.3803797468354424E-2</v>
      </c>
      <c r="DP165" s="523">
        <f>$G$165</f>
        <v>8.3803797468354424E-2</v>
      </c>
      <c r="DQ165" s="523">
        <f>$G$165</f>
        <v>8.3803797468354424E-2</v>
      </c>
      <c r="DR165" s="523">
        <f>$G$165</f>
        <v>8.3803797468354424E-2</v>
      </c>
      <c r="DS165" s="3264"/>
      <c r="DW165" s="523">
        <f>$G$165</f>
        <v>8.3803797468354424E-2</v>
      </c>
      <c r="DX165" s="523">
        <f>$G$165</f>
        <v>8.3803797468354424E-2</v>
      </c>
      <c r="DY165" s="523">
        <f>$G$165</f>
        <v>8.3803797468354424E-2</v>
      </c>
      <c r="DZ165" s="523">
        <f>$G$165</f>
        <v>8.3803797468354424E-2</v>
      </c>
      <c r="EA165" s="3264"/>
      <c r="EE165" s="523">
        <f>$G$165</f>
        <v>8.3803797468354424E-2</v>
      </c>
      <c r="EF165" s="523">
        <f>$G$165</f>
        <v>8.3803797468354424E-2</v>
      </c>
      <c r="EG165" s="523">
        <f>$G$165</f>
        <v>8.3803797468354424E-2</v>
      </c>
      <c r="EH165" s="523">
        <f>$G$165</f>
        <v>8.3803797468354424E-2</v>
      </c>
      <c r="EI165" s="3264"/>
      <c r="EM165" s="523">
        <f>$G$165</f>
        <v>8.3803797468354424E-2</v>
      </c>
      <c r="EN165" s="523">
        <f>$G$165</f>
        <v>8.3803797468354424E-2</v>
      </c>
      <c r="EO165" s="523">
        <f>$G$165</f>
        <v>8.3803797468354424E-2</v>
      </c>
      <c r="EP165" s="523">
        <f>$G$165</f>
        <v>8.3803797468354424E-2</v>
      </c>
      <c r="EQ165" s="3264"/>
      <c r="EU165" s="523">
        <f>$G$165</f>
        <v>8.3803797468354424E-2</v>
      </c>
      <c r="EV165" s="523">
        <f>$G$165</f>
        <v>8.3803797468354424E-2</v>
      </c>
      <c r="EW165" s="523">
        <f>$G$165</f>
        <v>8.3803797468354424E-2</v>
      </c>
      <c r="EX165" s="523">
        <f>$G$165</f>
        <v>8.3803797468354424E-2</v>
      </c>
      <c r="EY165" s="3264"/>
      <c r="FC165" s="523">
        <f>$G$165</f>
        <v>8.3803797468354424E-2</v>
      </c>
      <c r="FD165" s="523">
        <f>$G$165</f>
        <v>8.3803797468354424E-2</v>
      </c>
      <c r="FE165" s="523">
        <f>$G$165</f>
        <v>8.3803797468354424E-2</v>
      </c>
      <c r="FF165" s="523">
        <f>$G$165</f>
        <v>8.3803797468354424E-2</v>
      </c>
      <c r="FG165" s="3264"/>
      <c r="FK165" s="523">
        <f>$G$165</f>
        <v>8.3803797468354424E-2</v>
      </c>
      <c r="FL165" s="523">
        <f>$G$165</f>
        <v>8.3803797468354424E-2</v>
      </c>
      <c r="FM165" s="523">
        <f>$G$165</f>
        <v>8.3803797468354424E-2</v>
      </c>
      <c r="FN165" s="523">
        <f>$G$165</f>
        <v>8.3803797468354424E-2</v>
      </c>
      <c r="FO165" s="3264"/>
    </row>
    <row r="166" spans="1:171">
      <c r="A166" s="2714"/>
      <c r="J166" s="2340"/>
      <c r="K166" s="3205"/>
      <c r="S166" s="3264"/>
      <c r="AA166" s="3264"/>
      <c r="AI166" s="3264"/>
      <c r="AQ166" s="3264"/>
      <c r="AY166" s="3264"/>
      <c r="BG166" s="3264"/>
      <c r="BO166" s="3264"/>
      <c r="BW166" s="3264"/>
      <c r="CE166" s="3264"/>
      <c r="CM166" s="3264"/>
      <c r="CU166" s="3264"/>
      <c r="DC166" s="3264"/>
      <c r="DK166" s="3264"/>
      <c r="DS166" s="3264"/>
      <c r="EA166" s="3264"/>
      <c r="EI166" s="3264"/>
      <c r="EQ166" s="3264"/>
      <c r="EY166" s="3264"/>
      <c r="FG166" s="3264"/>
      <c r="FO166" s="3264"/>
    </row>
    <row r="167" spans="1:171">
      <c r="A167" s="3314" t="s">
        <v>141</v>
      </c>
      <c r="G167" s="3315">
        <f>G161*G165</f>
        <v>637120080.35280752</v>
      </c>
      <c r="H167" s="3315">
        <f>H161*H165</f>
        <v>185807079.37114048</v>
      </c>
      <c r="I167" s="3315">
        <f>I161*I165</f>
        <v>0</v>
      </c>
      <c r="J167" s="3316">
        <f>J161*J165</f>
        <v>451313000.84413463</v>
      </c>
      <c r="K167" s="3205"/>
      <c r="O167" s="3292">
        <f>O161*O165</f>
        <v>637120080.35280752</v>
      </c>
      <c r="P167" s="3292">
        <f>P161*P165</f>
        <v>185807079.37114048</v>
      </c>
      <c r="Q167" s="3292">
        <f>Q161*Q165</f>
        <v>116982400.87034366</v>
      </c>
      <c r="R167" s="3292">
        <f>R161*R165</f>
        <v>334330600.1113233</v>
      </c>
      <c r="S167" s="3264"/>
      <c r="W167" s="3292">
        <f>W161*W165</f>
        <v>637120080.35280752</v>
      </c>
      <c r="X167" s="3292">
        <f>X161*X165</f>
        <v>185807079.37114048</v>
      </c>
      <c r="Y167" s="3292">
        <f>Y161*Y165</f>
        <v>116982400.87034366</v>
      </c>
      <c r="Z167" s="3292">
        <f>Z161*Z165</f>
        <v>334330600.1113233</v>
      </c>
      <c r="AA167" s="3264"/>
      <c r="AE167" s="3292">
        <f>AE161*AE165</f>
        <v>637120080.35280752</v>
      </c>
      <c r="AF167" s="3292">
        <f>AF161*AF165</f>
        <v>185807079.37114048</v>
      </c>
      <c r="AG167" s="3292">
        <f>AG161*AG165</f>
        <v>116982400.87034366</v>
      </c>
      <c r="AH167" s="3292">
        <f>AH161*AH165</f>
        <v>334330600.1113233</v>
      </c>
      <c r="AI167" s="3264"/>
      <c r="AM167" s="3292">
        <f>AM161*AM165</f>
        <v>637120080.35280752</v>
      </c>
      <c r="AN167" s="3292">
        <f>AN161*AN165</f>
        <v>185807079.37114048</v>
      </c>
      <c r="AO167" s="3292">
        <f>AO161*AO165</f>
        <v>116982400.87034366</v>
      </c>
      <c r="AP167" s="3292">
        <f>AP161*AP165</f>
        <v>334330600.1113233</v>
      </c>
      <c r="AQ167" s="3264"/>
      <c r="AU167" s="3292">
        <f>AU161*AU165</f>
        <v>637120080.35280752</v>
      </c>
      <c r="AV167" s="3292">
        <f>AV161*AV165</f>
        <v>185807079.37114048</v>
      </c>
      <c r="AW167" s="3292">
        <f>AW161*AW165</f>
        <v>116982400.87034366</v>
      </c>
      <c r="AX167" s="3292">
        <f>AX161*AX165</f>
        <v>334330600.1113233</v>
      </c>
      <c r="AY167" s="3264"/>
      <c r="BC167" s="3292">
        <f>BC161*BC165</f>
        <v>637120080.35280752</v>
      </c>
      <c r="BD167" s="3292">
        <f>BD161*BD165</f>
        <v>185807079.37114048</v>
      </c>
      <c r="BE167" s="3292">
        <f>BE161*BE165</f>
        <v>116982400.87034366</v>
      </c>
      <c r="BF167" s="3292">
        <f>BF161*BF165</f>
        <v>334330600.1113233</v>
      </c>
      <c r="BG167" s="3264"/>
      <c r="BK167" s="3292">
        <f>BK161*BK165</f>
        <v>637120080.35280752</v>
      </c>
      <c r="BL167" s="3292">
        <f>BL161*BL165</f>
        <v>185807079.37114048</v>
      </c>
      <c r="BM167" s="3292">
        <f>BM161*BM165</f>
        <v>116982400.87034366</v>
      </c>
      <c r="BN167" s="3292">
        <f>BN161*BN165</f>
        <v>334330600.1113233</v>
      </c>
      <c r="BO167" s="3264"/>
      <c r="BS167" s="3292">
        <f>BS161*BS165</f>
        <v>637120080.35280752</v>
      </c>
      <c r="BT167" s="3292">
        <f>BT161*BT165</f>
        <v>185807079.37114048</v>
      </c>
      <c r="BU167" s="3292">
        <f>BU161*BU165</f>
        <v>116982400.87034366</v>
      </c>
      <c r="BV167" s="3292">
        <f>BV161*BV165</f>
        <v>334330600.1113233</v>
      </c>
      <c r="BW167" s="3264"/>
      <c r="CA167" s="3292">
        <f>CA161*CA165</f>
        <v>637120080.35280752</v>
      </c>
      <c r="CB167" s="3292">
        <f>CB161*CB165</f>
        <v>185807079.37114048</v>
      </c>
      <c r="CC167" s="3292">
        <f>CC161*CC165</f>
        <v>116982400.87034366</v>
      </c>
      <c r="CD167" s="3292">
        <f>CD161*CD165</f>
        <v>334330600.1113233</v>
      </c>
      <c r="CE167" s="3264"/>
      <c r="CI167" s="3292">
        <f>CI161*CI165</f>
        <v>637120080.35280752</v>
      </c>
      <c r="CJ167" s="3292">
        <f>CJ161*CJ165</f>
        <v>185807079.37114048</v>
      </c>
      <c r="CK167" s="3292">
        <f>CK161*CK165</f>
        <v>116982400.87034366</v>
      </c>
      <c r="CL167" s="3292">
        <f>CL161*CL165</f>
        <v>334330600.1113233</v>
      </c>
      <c r="CM167" s="3264"/>
      <c r="CQ167" s="3292">
        <f>CQ161*CQ165</f>
        <v>637120080.35280752</v>
      </c>
      <c r="CR167" s="3292">
        <f>CR161*CR165</f>
        <v>185807079.37114048</v>
      </c>
      <c r="CS167" s="3292">
        <f>CS161*CS165</f>
        <v>116982400.87034366</v>
      </c>
      <c r="CT167" s="3292">
        <f>CT161*CT165</f>
        <v>334330600.1113233</v>
      </c>
      <c r="CU167" s="3264"/>
      <c r="CY167" s="3292">
        <f>CY161*CY165</f>
        <v>637120080.35280752</v>
      </c>
      <c r="CZ167" s="3292">
        <f>CZ161*CZ165</f>
        <v>185807079.37114048</v>
      </c>
      <c r="DA167" s="3292">
        <f>DA161*DA165</f>
        <v>116982400.87034366</v>
      </c>
      <c r="DB167" s="3292">
        <f>DB161*DB165</f>
        <v>334330600.1113233</v>
      </c>
      <c r="DC167" s="3264"/>
      <c r="DG167" s="3292">
        <f>DG161*DG165</f>
        <v>637120080.35280752</v>
      </c>
      <c r="DH167" s="3292">
        <f>DH161*DH165</f>
        <v>185807079.37114048</v>
      </c>
      <c r="DI167" s="3292">
        <f>DI161*DI165</f>
        <v>116982400.87034366</v>
      </c>
      <c r="DJ167" s="3292">
        <f>DJ161*DJ165</f>
        <v>334330600.1113233</v>
      </c>
      <c r="DK167" s="3264"/>
      <c r="DO167" s="3292">
        <f>DO161*DO165</f>
        <v>637120080.35280752</v>
      </c>
      <c r="DP167" s="3292">
        <f>DP161*DP165</f>
        <v>185807079.37114048</v>
      </c>
      <c r="DQ167" s="3292">
        <f>DQ161*DQ165</f>
        <v>116982400.87034366</v>
      </c>
      <c r="DR167" s="3292">
        <f>DR161*DR165</f>
        <v>334330600.1113233</v>
      </c>
      <c r="DS167" s="3264"/>
      <c r="DW167" s="3292">
        <f>DW161*DW165</f>
        <v>637120080.35280752</v>
      </c>
      <c r="DX167" s="3292">
        <f>DX161*DX165</f>
        <v>185807079.37114048</v>
      </c>
      <c r="DY167" s="3292">
        <f>DY161*DY165</f>
        <v>116982400.87034366</v>
      </c>
      <c r="DZ167" s="3292">
        <f>DZ161*DZ165</f>
        <v>334330600.1113233</v>
      </c>
      <c r="EA167" s="3264"/>
      <c r="EE167" s="3292">
        <f>EE161*EE165</f>
        <v>637120080.35280752</v>
      </c>
      <c r="EF167" s="3292">
        <f>EF161*EF165</f>
        <v>185807079.37114048</v>
      </c>
      <c r="EG167" s="3292">
        <f>EG161*EG165</f>
        <v>116982400.87034366</v>
      </c>
      <c r="EH167" s="3292">
        <f>EH161*EH165</f>
        <v>334330600.1113233</v>
      </c>
      <c r="EI167" s="3264"/>
      <c r="EM167" s="3292">
        <f>EM161*EM165</f>
        <v>637120080.35280752</v>
      </c>
      <c r="EN167" s="3292">
        <f>EN161*EN165</f>
        <v>185807079.37114048</v>
      </c>
      <c r="EO167" s="3292">
        <f>EO161*EO165</f>
        <v>116982400.87034366</v>
      </c>
      <c r="EP167" s="3292">
        <f>EP161*EP165</f>
        <v>334330600.1113233</v>
      </c>
      <c r="EQ167" s="3264"/>
      <c r="EU167" s="3292">
        <f>EU161*EU165</f>
        <v>637120080.35280752</v>
      </c>
      <c r="EV167" s="3292">
        <f>EV161*EV165</f>
        <v>185807079.37114048</v>
      </c>
      <c r="EW167" s="3292">
        <f>EW161*EW165</f>
        <v>116982400.87034366</v>
      </c>
      <c r="EX167" s="3292">
        <f>EX161*EX165</f>
        <v>334330600.1113233</v>
      </c>
      <c r="EY167" s="3264"/>
      <c r="FC167" s="3292">
        <f>FC161*FC165</f>
        <v>637120080.35280752</v>
      </c>
      <c r="FD167" s="3292">
        <f>FD161*FD165</f>
        <v>185807079.37114048</v>
      </c>
      <c r="FE167" s="3292">
        <f>FE161*FE165</f>
        <v>116982400.87034366</v>
      </c>
      <c r="FF167" s="3292">
        <f>FF161*FF165</f>
        <v>334330600.1113233</v>
      </c>
      <c r="FG167" s="3264"/>
      <c r="FK167" s="3292">
        <f>FK161*FK165</f>
        <v>637120080.35280752</v>
      </c>
      <c r="FL167" s="3292">
        <f>FL161*FL165</f>
        <v>185807079.37114048</v>
      </c>
      <c r="FM167" s="3292">
        <f>FM161*FM165</f>
        <v>116982400.87034366</v>
      </c>
      <c r="FN167" s="3292">
        <f>FN161*FN165</f>
        <v>334330600.1113233</v>
      </c>
      <c r="FO167" s="3264"/>
    </row>
    <row r="168" spans="1:171">
      <c r="A168" s="2714"/>
      <c r="J168" s="2340"/>
      <c r="K168" s="3205"/>
      <c r="S168" s="3264"/>
      <c r="AA168" s="3264"/>
      <c r="AI168" s="3264"/>
      <c r="AQ168" s="3264"/>
      <c r="AY168" s="3264"/>
      <c r="BG168" s="3264"/>
      <c r="BO168" s="3264"/>
      <c r="BW168" s="3264"/>
      <c r="CE168" s="3264"/>
      <c r="CM168" s="3264"/>
      <c r="CU168" s="3264"/>
      <c r="DC168" s="3264"/>
      <c r="DK168" s="3264"/>
      <c r="DS168" s="3264"/>
      <c r="EA168" s="3264"/>
      <c r="EI168" s="3264"/>
      <c r="EQ168" s="3264"/>
      <c r="EY168" s="3264"/>
      <c r="FG168" s="3264"/>
      <c r="FO168" s="3264"/>
    </row>
    <row r="169" spans="1:171" ht="12" thickBot="1">
      <c r="A169" s="2714"/>
      <c r="J169" s="2340"/>
      <c r="K169" s="3205"/>
      <c r="S169" s="3264"/>
      <c r="AA169" s="3264"/>
      <c r="AI169" s="3264"/>
      <c r="AQ169" s="3264"/>
      <c r="AY169" s="3264"/>
      <c r="BG169" s="3264"/>
      <c r="BO169" s="3264"/>
      <c r="BW169" s="3264"/>
      <c r="CE169" s="3264"/>
      <c r="CM169" s="3264"/>
      <c r="CU169" s="3264"/>
      <c r="DC169" s="3264"/>
      <c r="DK169" s="3264"/>
      <c r="DS169" s="3264"/>
      <c r="EA169" s="3264"/>
      <c r="EI169" s="3264"/>
      <c r="EQ169" s="3264"/>
      <c r="EY169" s="3264"/>
      <c r="FG169" s="3264"/>
      <c r="FO169" s="3264"/>
    </row>
    <row r="170" spans="1:171" ht="12.75" thickTop="1" thickBot="1">
      <c r="A170" s="3317" t="s">
        <v>82</v>
      </c>
      <c r="B170" s="3318"/>
      <c r="C170" s="3318"/>
      <c r="D170" s="3318"/>
      <c r="E170" s="3319"/>
      <c r="F170" s="3319"/>
      <c r="G170" s="3320"/>
      <c r="H170" s="3321"/>
      <c r="I170" s="3321"/>
      <c r="J170" s="3322"/>
      <c r="K170" s="3205"/>
      <c r="S170" s="3264"/>
      <c r="AA170" s="3264"/>
      <c r="AI170" s="3264"/>
      <c r="AQ170" s="3264"/>
      <c r="AY170" s="3264"/>
      <c r="BG170" s="3264"/>
      <c r="BO170" s="3264"/>
      <c r="BW170" s="3264"/>
      <c r="CE170" s="3264"/>
      <c r="CM170" s="3264"/>
      <c r="CU170" s="3264"/>
      <c r="DC170" s="3264"/>
      <c r="DK170" s="3264"/>
      <c r="DS170" s="3264"/>
      <c r="EA170" s="3264"/>
      <c r="EI170" s="3264"/>
      <c r="EQ170" s="3264"/>
      <c r="EY170" s="3264"/>
      <c r="FG170" s="3264"/>
      <c r="FO170" s="3264"/>
    </row>
    <row r="171" spans="1:171" ht="12.75" thickTop="1" thickBot="1">
      <c r="A171" s="3323"/>
      <c r="B171" s="3809" t="s">
        <v>100</v>
      </c>
      <c r="C171" s="2457" t="s">
        <v>321</v>
      </c>
      <c r="D171" s="2457"/>
      <c r="E171" s="3907" t="s">
        <v>350</v>
      </c>
      <c r="F171" s="3908"/>
      <c r="G171" s="3901" t="s">
        <v>104</v>
      </c>
      <c r="H171" s="3903" t="s">
        <v>105</v>
      </c>
      <c r="I171" s="3891" t="s">
        <v>106</v>
      </c>
      <c r="J171" s="3228"/>
      <c r="K171" s="3205"/>
      <c r="S171" s="3264"/>
      <c r="AA171" s="3264"/>
      <c r="AI171" s="3264"/>
      <c r="AQ171" s="3264"/>
      <c r="AY171" s="3264"/>
      <c r="BG171" s="3264"/>
      <c r="BO171" s="3264"/>
      <c r="BW171" s="3264"/>
      <c r="CE171" s="3264"/>
      <c r="CM171" s="3264"/>
      <c r="CU171" s="3264"/>
      <c r="DC171" s="3264"/>
      <c r="DK171" s="3264"/>
      <c r="DS171" s="3264"/>
      <c r="EA171" s="3264"/>
      <c r="EI171" s="3264"/>
      <c r="EQ171" s="3264"/>
      <c r="EY171" s="3264"/>
      <c r="FG171" s="3264"/>
      <c r="FO171" s="3264"/>
    </row>
    <row r="172" spans="1:171" ht="12" thickBot="1">
      <c r="A172" s="3324"/>
      <c r="B172" s="3905"/>
      <c r="C172" s="2460" t="s">
        <v>270</v>
      </c>
      <c r="D172" s="2460" t="s">
        <v>96</v>
      </c>
      <c r="E172" s="3894"/>
      <c r="F172" s="3895"/>
      <c r="G172" s="3897"/>
      <c r="H172" s="3886"/>
      <c r="I172" s="3889"/>
      <c r="J172" s="2167" t="s">
        <v>98</v>
      </c>
      <c r="K172" s="3205"/>
      <c r="S172" s="3264"/>
      <c r="AA172" s="3264"/>
      <c r="AI172" s="3264"/>
      <c r="AQ172" s="3264"/>
      <c r="AY172" s="3264"/>
      <c r="BG172" s="3264"/>
      <c r="BO172" s="3264"/>
      <c r="BW172" s="3264"/>
      <c r="CE172" s="3264"/>
      <c r="CM172" s="3264"/>
      <c r="CU172" s="3264"/>
      <c r="DC172" s="3264"/>
      <c r="DK172" s="3264"/>
      <c r="DS172" s="3264"/>
      <c r="EA172" s="3264"/>
      <c r="EI172" s="3264"/>
      <c r="EQ172" s="3264"/>
      <c r="EY172" s="3264"/>
      <c r="FG172" s="3264"/>
      <c r="FO172" s="3264"/>
    </row>
    <row r="173" spans="1:171" ht="12" thickBot="1">
      <c r="A173" s="3325"/>
      <c r="B173" s="3906"/>
      <c r="C173" s="2461" t="s">
        <v>271</v>
      </c>
      <c r="D173" s="2461" t="s">
        <v>250</v>
      </c>
      <c r="E173" s="2461" t="s">
        <v>449</v>
      </c>
      <c r="F173" s="2461" t="s">
        <v>609</v>
      </c>
      <c r="G173" s="3898"/>
      <c r="H173" s="3887"/>
      <c r="I173" s="3890"/>
      <c r="J173" s="3231" t="s">
        <v>107</v>
      </c>
      <c r="K173" s="3205"/>
      <c r="S173" s="3264"/>
      <c r="AA173" s="3264"/>
      <c r="AI173" s="3264"/>
      <c r="AQ173" s="3264"/>
      <c r="AY173" s="3264"/>
      <c r="BG173" s="3264"/>
      <c r="BO173" s="3264"/>
      <c r="BW173" s="3264"/>
      <c r="CE173" s="3264"/>
      <c r="CM173" s="3264"/>
      <c r="CU173" s="3264"/>
      <c r="DC173" s="3264"/>
      <c r="DK173" s="3264"/>
      <c r="DS173" s="3264"/>
      <c r="EA173" s="3264"/>
      <c r="EI173" s="3264"/>
      <c r="EQ173" s="3264"/>
      <c r="EY173" s="3264"/>
      <c r="FG173" s="3264"/>
      <c r="FO173" s="3264"/>
    </row>
    <row r="174" spans="1:171" ht="12" thickTop="1">
      <c r="A174" s="2305" t="s">
        <v>455</v>
      </c>
      <c r="B174" s="2100"/>
      <c r="C174" s="2116"/>
      <c r="D174" s="2116"/>
      <c r="E174" s="2116"/>
      <c r="F174" s="2116"/>
      <c r="G174" s="2463"/>
      <c r="H174" s="2118"/>
      <c r="I174" s="2118"/>
      <c r="J174" s="2441"/>
      <c r="K174" s="3205"/>
      <c r="S174" s="3264"/>
      <c r="AA174" s="3264"/>
      <c r="AI174" s="3264"/>
      <c r="AQ174" s="3264"/>
      <c r="AY174" s="3264"/>
      <c r="BG174" s="3264"/>
      <c r="BO174" s="3264"/>
      <c r="BW174" s="3264"/>
      <c r="CE174" s="3264"/>
      <c r="CM174" s="3264"/>
      <c r="CU174" s="3264"/>
      <c r="DC174" s="3264"/>
      <c r="DK174" s="3264"/>
      <c r="DS174" s="3264"/>
      <c r="EA174" s="3264"/>
      <c r="EI174" s="3264"/>
      <c r="EQ174" s="3264"/>
      <c r="EY174" s="3264"/>
      <c r="FG174" s="3264"/>
      <c r="FO174" s="3264"/>
    </row>
    <row r="175" spans="1:171">
      <c r="A175" s="2442"/>
      <c r="B175" s="2139" t="s">
        <v>456</v>
      </c>
      <c r="C175" s="2116"/>
      <c r="D175" s="2116"/>
      <c r="E175" s="2116"/>
      <c r="F175" s="2116"/>
      <c r="G175" s="2463"/>
      <c r="H175" s="2118"/>
      <c r="I175" s="2118"/>
      <c r="J175" s="2441"/>
      <c r="K175" s="3205"/>
      <c r="S175" s="3264"/>
      <c r="AA175" s="3264"/>
      <c r="AI175" s="3264"/>
      <c r="AQ175" s="3264"/>
      <c r="AY175" s="3264"/>
      <c r="BG175" s="3264"/>
      <c r="BO175" s="3264"/>
      <c r="BW175" s="3264"/>
      <c r="CE175" s="3264"/>
      <c r="CM175" s="3264"/>
      <c r="CU175" s="3264"/>
      <c r="DC175" s="3264"/>
      <c r="DK175" s="3264"/>
      <c r="DS175" s="3264"/>
      <c r="EA175" s="3264"/>
      <c r="EI175" s="3264"/>
      <c r="EQ175" s="3264"/>
      <c r="EY175" s="3264"/>
      <c r="FG175" s="3264"/>
      <c r="FO175" s="3264"/>
    </row>
    <row r="176" spans="1:171">
      <c r="A176" s="3254">
        <v>160</v>
      </c>
      <c r="B176" s="2103" t="s">
        <v>257</v>
      </c>
      <c r="C176" s="2464" t="s">
        <v>72</v>
      </c>
      <c r="D176" s="2464">
        <v>501</v>
      </c>
      <c r="E176" s="2424" t="str">
        <f>'Sch 3 - Expenses'!E16</f>
        <v>PROD</v>
      </c>
      <c r="F176" s="2171"/>
      <c r="G176" s="2424">
        <f>'Sch 3 - Expenses'!G16</f>
        <v>60636604</v>
      </c>
      <c r="H176" s="2424">
        <f>'Sch 3 - Expenses'!H16</f>
        <v>60636604</v>
      </c>
      <c r="I176" s="2424">
        <f>'Sch 3 - Expenses'!I16</f>
        <v>0</v>
      </c>
      <c r="J176" s="2425">
        <f>'Sch 3 - Expenses'!J16</f>
        <v>0</v>
      </c>
      <c r="K176" s="3205">
        <f t="shared" ref="K176:K195" si="547">IF($E176="DIRECT",0,1)</f>
        <v>1</v>
      </c>
      <c r="N176" s="3326">
        <f>VLOOKUP($A176,'New Resources - Individual'!$A$4:$Y$133,N$2,FALSE)*N$1</f>
        <v>0</v>
      </c>
      <c r="O176" s="3235">
        <f>$G176+N176</f>
        <v>60636604</v>
      </c>
      <c r="P176" s="3236">
        <f>VLOOKUP($E176,O$442:R$453,2,FALSE)*O176*($K176)+IF($G176&lt;&gt;0,($H176/$G176)*O176,0)*(1-$K176)</f>
        <v>60636604</v>
      </c>
      <c r="Q176" s="3236">
        <f>VLOOKUP($E176,O$442:R$453,3,FALSE)*O176*($K176)+IF($G176&lt;&gt;0,($I176/$G176)*O176,0)*(1-$K176)</f>
        <v>0</v>
      </c>
      <c r="R176" s="3236">
        <f>VLOOKUP($E176,O$442:R$453,4,FALSE)*O176*($K176)+(O176-P176-Q176)*(1-$K176)</f>
        <v>0</v>
      </c>
      <c r="S176" s="3264"/>
      <c r="V176" s="3326">
        <f>VLOOKUP($A176,'New Resources - Individual'!$A$4:$Y$133,V$2,FALSE)*V$1</f>
        <v>0</v>
      </c>
      <c r="W176" s="3235">
        <f>$G176+V176</f>
        <v>60636604</v>
      </c>
      <c r="X176" s="3236">
        <f>VLOOKUP($E176,W$442:Z$453,2,FALSE)*W176*($K176)+IF($G176&lt;&gt;0,($H176/$G176)*W176,0)*(1-$K176)</f>
        <v>60636604</v>
      </c>
      <c r="Y176" s="3236">
        <f>VLOOKUP($E176,W$442:Z$453,3,FALSE)*W176*($K176)+IF($G176&lt;&gt;0,($I176/$G176)*W176,0)*(1-$K176)</f>
        <v>0</v>
      </c>
      <c r="Z176" s="3236">
        <f>VLOOKUP($E176,W$442:Z$453,4,FALSE)*W176*($K176)+(W176-X176-Y176)*(1-$K176)</f>
        <v>0</v>
      </c>
      <c r="AA176" s="3264"/>
      <c r="AD176" s="3326">
        <f>VLOOKUP($A176,'New Resources - Individual'!$A$4:$Y$133,AD$2,FALSE)*AD$1</f>
        <v>0</v>
      </c>
      <c r="AE176" s="3235">
        <f>$G176+AD176</f>
        <v>60636604</v>
      </c>
      <c r="AF176" s="3236">
        <f>VLOOKUP($E176,AE$442:AH$453,2,FALSE)*AE176*($K176)+IF($G176&lt;&gt;0,($H176/$G176)*AE176,0)*(1-$K176)</f>
        <v>60636604</v>
      </c>
      <c r="AG176" s="3236">
        <f>VLOOKUP($E176,AE$442:AH$453,3,FALSE)*AE176*($K176)+IF($G176&lt;&gt;0,($I176/$G176)*AE176,0)*(1-$K176)</f>
        <v>0</v>
      </c>
      <c r="AH176" s="3236">
        <f>VLOOKUP($E176,AE$442:AH$453,4,FALSE)*AE176*($K176)+(AE176-AF176-AG176)*(1-$K176)</f>
        <v>0</v>
      </c>
      <c r="AI176" s="3264"/>
      <c r="AL176" s="3326">
        <f>VLOOKUP($A176,'New Resources - Individual'!$A$4:$Y$133,AL$2,FALSE)*AL$1</f>
        <v>0</v>
      </c>
      <c r="AM176" s="3235">
        <f>$G176+AL176</f>
        <v>60636604</v>
      </c>
      <c r="AN176" s="3236">
        <f>VLOOKUP($E176,AM$442:AP$453,2,FALSE)*AM176*($K176)+IF($G176&lt;&gt;0,($H176/$G176)*AM176,0)*(1-$K176)</f>
        <v>60636604</v>
      </c>
      <c r="AO176" s="3236">
        <f>VLOOKUP($E176,AM$442:AP$453,3,FALSE)*AM176*($K176)+IF($G176&lt;&gt;0,($I176/$G176)*AM176,0)*(1-$K176)</f>
        <v>0</v>
      </c>
      <c r="AP176" s="3236">
        <f>VLOOKUP($E176,AM$442:AP$453,4,FALSE)*AM176*($K176)+(AM176-AN176-AO176)*(1-$K176)</f>
        <v>0</v>
      </c>
      <c r="AQ176" s="3264"/>
      <c r="AT176" s="3326">
        <f>VLOOKUP($A176,'New Resources - Individual'!$A$4:$Y$133,AT$2,FALSE)*AT$1</f>
        <v>0</v>
      </c>
      <c r="AU176" s="3235">
        <f>$G176+AT176</f>
        <v>60636604</v>
      </c>
      <c r="AV176" s="3236">
        <f>VLOOKUP($E176,AU$442:AX$453,2,FALSE)*AU176*($K176)+IF($G176&lt;&gt;0,($H176/$G176)*AU176,0)*(1-$K176)</f>
        <v>60636604</v>
      </c>
      <c r="AW176" s="3236">
        <f>VLOOKUP($E176,AU$442:AX$453,3,FALSE)*AU176*($K176)+IF($G176&lt;&gt;0,($I176/$G176)*AU176,0)*(1-$K176)</f>
        <v>0</v>
      </c>
      <c r="AX176" s="3236">
        <f>VLOOKUP($E176,AU$442:AX$453,4,FALSE)*AU176*($K176)+(AU176-AV176-AW176)*(1-$K176)</f>
        <v>0</v>
      </c>
      <c r="AY176" s="3264"/>
      <c r="BB176" s="3326">
        <f>VLOOKUP($A176,'New Resources - Individual'!$A$4:$Y$133,BB$2,FALSE)*BB$1</f>
        <v>0</v>
      </c>
      <c r="BC176" s="3235">
        <f>$G176+BB176</f>
        <v>60636604</v>
      </c>
      <c r="BD176" s="3236">
        <f>VLOOKUP($E176,BC$442:BF$453,2,FALSE)*BC176*($K176)+IF($G176&lt;&gt;0,($H176/$G176)*BC176,0)*(1-$K176)</f>
        <v>60636604</v>
      </c>
      <c r="BE176" s="3236">
        <f>VLOOKUP($E176,BC$442:BF$453,3,FALSE)*BC176*($K176)+IF($G176&lt;&gt;0,($I176/$G176)*BC176,0)*(1-$K176)</f>
        <v>0</v>
      </c>
      <c r="BF176" s="3236">
        <f>VLOOKUP($E176,BC$442:BF$453,4,FALSE)*BC176*($K176)+(BC176-BD176-BE176)*(1-$K176)</f>
        <v>0</v>
      </c>
      <c r="BG176" s="3264"/>
      <c r="BJ176" s="3326">
        <f>VLOOKUP($A176,'New Resources - Individual'!$A$4:$Y$133,BJ$2,FALSE)*BJ$1</f>
        <v>0</v>
      </c>
      <c r="BK176" s="3235">
        <f>$G176+BJ176</f>
        <v>60636604</v>
      </c>
      <c r="BL176" s="3236">
        <f>VLOOKUP($E176,BK$442:BN$453,2,FALSE)*BK176*($K176)+IF($G176&lt;&gt;0,($H176/$G176)*BK176,0)*(1-$K176)</f>
        <v>60636604</v>
      </c>
      <c r="BM176" s="3236">
        <f>VLOOKUP($E176,BK$442:BN$453,3,FALSE)*BK176*($K176)+IF($G176&lt;&gt;0,($I176/$G176)*BK176,0)*(1-$K176)</f>
        <v>0</v>
      </c>
      <c r="BN176" s="3236">
        <f>VLOOKUP($E176,BK$442:BN$453,4,FALSE)*BK176*($K176)+(BK176-BL176-BM176)*(1-$K176)</f>
        <v>0</v>
      </c>
      <c r="BO176" s="3264"/>
      <c r="BR176" s="3326">
        <f>VLOOKUP($A176,'New Resources - Individual'!$A$4:$Y$133,BR$2,FALSE)*BR$1</f>
        <v>0</v>
      </c>
      <c r="BS176" s="3235">
        <f>$G176+BR176</f>
        <v>60636604</v>
      </c>
      <c r="BT176" s="3236">
        <f>VLOOKUP($E176,BS$442:BV$453,2,FALSE)*BS176*($K176)+IF($G176&lt;&gt;0,($H176/$G176)*BS176,0)*(1-$K176)</f>
        <v>60636604</v>
      </c>
      <c r="BU176" s="3236">
        <f>VLOOKUP($E176,BS$442:BV$453,3,FALSE)*BS176*($K176)+IF($G176&lt;&gt;0,($I176/$G176)*BS176,0)*(1-$K176)</f>
        <v>0</v>
      </c>
      <c r="BV176" s="3236">
        <f>VLOOKUP($E176,BS$442:BV$453,4,FALSE)*BS176*($K176)+(BS176-BT176-BU176)*(1-$K176)</f>
        <v>0</v>
      </c>
      <c r="BW176" s="3264"/>
      <c r="BZ176" s="3326">
        <f>VLOOKUP($A176,'New Resources - Individual'!$A$4:$Y$133,BZ$2,FALSE)*BZ$1</f>
        <v>0</v>
      </c>
      <c r="CA176" s="3235">
        <f>$G176+BZ176</f>
        <v>60636604</v>
      </c>
      <c r="CB176" s="3236">
        <f>VLOOKUP($E176,CA$442:CD$453,2,FALSE)*CA176*($K176)+IF($G176&lt;&gt;0,($H176/$G176)*CA176,0)*(1-$K176)</f>
        <v>60636604</v>
      </c>
      <c r="CC176" s="3236">
        <f>VLOOKUP($E176,CA$442:CD$453,3,FALSE)*CA176*($K176)+IF($G176&lt;&gt;0,($I176/$G176)*CA176,0)*(1-$K176)</f>
        <v>0</v>
      </c>
      <c r="CD176" s="3236">
        <f>VLOOKUP($E176,CA$442:CD$453,4,FALSE)*CA176*($K176)+(CA176-CB176-CC176)*(1-$K176)</f>
        <v>0</v>
      </c>
      <c r="CE176" s="3264"/>
      <c r="CH176" s="3326">
        <f>VLOOKUP($A176,'New Resources - Individual'!$A$4:$Y$133,CH$2,FALSE)*CH$1</f>
        <v>0</v>
      </c>
      <c r="CI176" s="3235">
        <f>$G176+CH176</f>
        <v>60636604</v>
      </c>
      <c r="CJ176" s="3236">
        <f>VLOOKUP($E176,CI$442:CL$453,2,FALSE)*CI176*($K176)+IF($G176&lt;&gt;0,($H176/$G176)*CI176,0)*(1-$K176)</f>
        <v>60636604</v>
      </c>
      <c r="CK176" s="3236">
        <f>VLOOKUP($E176,CI$442:CL$453,3,FALSE)*CI176*($K176)+IF($G176&lt;&gt;0,($I176/$G176)*CI176,0)*(1-$K176)</f>
        <v>0</v>
      </c>
      <c r="CL176" s="3236">
        <f>VLOOKUP($E176,CI$442:CL$453,4,FALSE)*CI176*($K176)+(CI176-CJ176-CK176)*(1-$K176)</f>
        <v>0</v>
      </c>
      <c r="CM176" s="3264"/>
      <c r="CP176" s="3326">
        <f>VLOOKUP($A176,'New Resources - Individual'!$A$4:$Y$133,CP$2,FALSE)*CP$1</f>
        <v>0</v>
      </c>
      <c r="CQ176" s="3235">
        <f>$G176+CP176</f>
        <v>60636604</v>
      </c>
      <c r="CR176" s="3236">
        <f>VLOOKUP($E176,CQ$442:CT$453,2,FALSE)*CQ176*($K176)+IF($G176&lt;&gt;0,($H176/$G176)*CQ176,0)*(1-$K176)</f>
        <v>60636604</v>
      </c>
      <c r="CS176" s="3236">
        <f>VLOOKUP($E176,CQ$442:CT$453,3,FALSE)*CQ176*($K176)+IF($G176&lt;&gt;0,($I176/$G176)*CQ176,0)*(1-$K176)</f>
        <v>0</v>
      </c>
      <c r="CT176" s="3236">
        <f>VLOOKUP($E176,CQ$442:CT$453,4,FALSE)*CQ176*($K176)+(CQ176-CR176-CS176)*(1-$K176)</f>
        <v>0</v>
      </c>
      <c r="CU176" s="3264"/>
      <c r="CX176" s="3326">
        <f>VLOOKUP($A176,'New Resources - Individual'!$A$4:$Y$133,CX$2,FALSE)*CX$1</f>
        <v>0</v>
      </c>
      <c r="CY176" s="3235">
        <f>$G176+CX176</f>
        <v>60636604</v>
      </c>
      <c r="CZ176" s="3236">
        <f>VLOOKUP($E176,CY$442:DB$453,2,FALSE)*CY176*($K176)+IF($G176&lt;&gt;0,($H176/$G176)*CY176,0)*(1-$K176)</f>
        <v>60636604</v>
      </c>
      <c r="DA176" s="3236">
        <f>VLOOKUP($E176,CY$442:DB$453,3,FALSE)*CY176*($K176)+IF($G176&lt;&gt;0,($I176/$G176)*CY176,0)*(1-$K176)</f>
        <v>0</v>
      </c>
      <c r="DB176" s="3236">
        <f>VLOOKUP($E176,CY$442:DB$453,4,FALSE)*CY176*($K176)+(CY176-CZ176-DA176)*(1-$K176)</f>
        <v>0</v>
      </c>
      <c r="DC176" s="3264"/>
      <c r="DF176" s="3326">
        <f>VLOOKUP($A176,'New Resources - Individual'!$A$4:$Y$133,DF$2,FALSE)*DF$1</f>
        <v>0</v>
      </c>
      <c r="DG176" s="3235">
        <f>$G176+DF176</f>
        <v>60636604</v>
      </c>
      <c r="DH176" s="3236">
        <f>VLOOKUP($E176,DG$442:DJ$453,2,FALSE)*DG176*($K176)+IF($G176&lt;&gt;0,($H176/$G176)*DG176,0)*(1-$K176)</f>
        <v>60636604</v>
      </c>
      <c r="DI176" s="3236">
        <f>VLOOKUP($E176,DG$442:DJ$453,3,FALSE)*DG176*($K176)+IF($G176&lt;&gt;0,($I176/$G176)*DG176,0)*(1-$K176)</f>
        <v>0</v>
      </c>
      <c r="DJ176" s="3236">
        <f>VLOOKUP($E176,DG$442:DJ$453,4,FALSE)*DG176*($K176)+(DG176-DH176-DI176)*(1-$K176)</f>
        <v>0</v>
      </c>
      <c r="DK176" s="3264"/>
      <c r="DN176" s="3326">
        <f>VLOOKUP($A176,'New Resources - Individual'!$A$4:$Y$133,DN$2,FALSE)*DN$1</f>
        <v>0</v>
      </c>
      <c r="DO176" s="3235">
        <f>$G176+DN176</f>
        <v>60636604</v>
      </c>
      <c r="DP176" s="3236">
        <f>VLOOKUP($E176,DO$442:DR$453,2,FALSE)*DO176*($K176)+IF($G176&lt;&gt;0,($H176/$G176)*DO176,0)*(1-$K176)</f>
        <v>60636604</v>
      </c>
      <c r="DQ176" s="3236">
        <f>VLOOKUP($E176,DO$442:DR$453,3,FALSE)*DO176*($K176)+IF($G176&lt;&gt;0,($I176/$G176)*DO176,0)*(1-$K176)</f>
        <v>0</v>
      </c>
      <c r="DR176" s="3236">
        <f>VLOOKUP($E176,DO$442:DR$453,4,FALSE)*DO176*($K176)+(DO176-DP176-DQ176)*(1-$K176)</f>
        <v>0</v>
      </c>
      <c r="DS176" s="3264"/>
      <c r="DV176" s="3326">
        <f>VLOOKUP($A176,'New Resources - Individual'!$A$4:$Y$133,DV$2,FALSE)*DV$1</f>
        <v>0</v>
      </c>
      <c r="DW176" s="3235">
        <f>$G176+DV176</f>
        <v>60636604</v>
      </c>
      <c r="DX176" s="3236">
        <f>VLOOKUP($E176,DW$442:DZ$453,2,FALSE)*DW176*($K176)+IF($G176&lt;&gt;0,($H176/$G176)*DW176,0)*(1-$K176)</f>
        <v>60636604</v>
      </c>
      <c r="DY176" s="3236">
        <f>VLOOKUP($E176,DW$442:DZ$453,3,FALSE)*DW176*($K176)+IF($G176&lt;&gt;0,($I176/$G176)*DW176,0)*(1-$K176)</f>
        <v>0</v>
      </c>
      <c r="DZ176" s="3236">
        <f>VLOOKUP($E176,DW$442:DZ$453,4,FALSE)*DW176*($K176)+(DW176-DX176-DY176)*(1-$K176)</f>
        <v>0</v>
      </c>
      <c r="EA176" s="3264"/>
      <c r="ED176" s="3326">
        <f>VLOOKUP($A176,'New Resources - Individual'!$A$4:$Y$133,ED$2,FALSE)*ED$1</f>
        <v>0</v>
      </c>
      <c r="EE176" s="3235">
        <f>$G176+ED176</f>
        <v>60636604</v>
      </c>
      <c r="EF176" s="3236">
        <f>VLOOKUP($E176,EE$442:EH$453,2,FALSE)*EE176*($K176)+IF($G176&lt;&gt;0,($H176/$G176)*EE176,0)*(1-$K176)</f>
        <v>60636604</v>
      </c>
      <c r="EG176" s="3236">
        <f>VLOOKUP($E176,EE$442:EH$453,3,FALSE)*EE176*($K176)+IF($G176&lt;&gt;0,($I176/$G176)*EE176,0)*(1-$K176)</f>
        <v>0</v>
      </c>
      <c r="EH176" s="3236">
        <f>VLOOKUP($E176,EE$442:EH$453,4,FALSE)*EE176*($K176)+(EE176-EF176-EG176)*(1-$K176)</f>
        <v>0</v>
      </c>
      <c r="EI176" s="3264"/>
      <c r="EL176" s="3326">
        <f>VLOOKUP($A176,'New Resources - Individual'!$A$4:$Y$133,EL$2,FALSE)*EL$1</f>
        <v>0</v>
      </c>
      <c r="EM176" s="3235">
        <f>$G176+EL176</f>
        <v>60636604</v>
      </c>
      <c r="EN176" s="3236">
        <f>VLOOKUP($E176,EM$442:EP$453,2,FALSE)*EM176*($K176)+IF($G176&lt;&gt;0,($H176/$G176)*EM176,0)*(1-$K176)</f>
        <v>60636604</v>
      </c>
      <c r="EO176" s="3236">
        <f>VLOOKUP($E176,EM$442:EP$453,3,FALSE)*EM176*($K176)+IF($G176&lt;&gt;0,($I176/$G176)*EM176,0)*(1-$K176)</f>
        <v>0</v>
      </c>
      <c r="EP176" s="3236">
        <f>VLOOKUP($E176,EM$442:EP$453,4,FALSE)*EM176*($K176)+(EM176-EN176-EO176)*(1-$K176)</f>
        <v>0</v>
      </c>
      <c r="EQ176" s="3264"/>
      <c r="ET176" s="3326">
        <f>VLOOKUP($A176,'New Resources - Individual'!$A$4:$Y$133,ET$2,FALSE)*ET$1</f>
        <v>0</v>
      </c>
      <c r="EU176" s="3235">
        <f>$G176+ET176</f>
        <v>60636604</v>
      </c>
      <c r="EV176" s="3236">
        <f>VLOOKUP($E176,EU$442:EX$453,2,FALSE)*EU176*($K176)+IF($G176&lt;&gt;0,($H176/$G176)*EU176,0)*(1-$K176)</f>
        <v>60636604</v>
      </c>
      <c r="EW176" s="3236">
        <f>VLOOKUP($E176,EU$442:EX$453,3,FALSE)*EU176*($K176)+IF($G176&lt;&gt;0,($I176/$G176)*EU176,0)*(1-$K176)</f>
        <v>0</v>
      </c>
      <c r="EX176" s="3236">
        <f>VLOOKUP($E176,EU$442:EX$453,4,FALSE)*EU176*($K176)+(EU176-EV176-EW176)*(1-$K176)</f>
        <v>0</v>
      </c>
      <c r="EY176" s="3264"/>
      <c r="FB176" s="3326">
        <f>VLOOKUP($A176,'New Resources - Individual'!$A$4:$Y$133,FB$2,FALSE)*FB$1</f>
        <v>0</v>
      </c>
      <c r="FC176" s="3235">
        <f>$G176+FB176</f>
        <v>60636604</v>
      </c>
      <c r="FD176" s="3236">
        <f>VLOOKUP($E176,FC$442:FF$453,2,FALSE)*FC176*($K176)+IF($G176&lt;&gt;0,($H176/$G176)*FC176,0)*(1-$K176)</f>
        <v>60636604</v>
      </c>
      <c r="FE176" s="3236">
        <f>VLOOKUP($E176,FC$442:FF$453,3,FALSE)*FC176*($K176)+IF($G176&lt;&gt;0,($I176/$G176)*FC176,0)*(1-$K176)</f>
        <v>0</v>
      </c>
      <c r="FF176" s="3236">
        <f>VLOOKUP($E176,FC$442:FF$453,4,FALSE)*FC176*($K176)+(FC176-FD176-FE176)*(1-$K176)</f>
        <v>0</v>
      </c>
      <c r="FG176" s="3264"/>
      <c r="FJ176" s="3326">
        <f>VLOOKUP($A176,'New Resources - Individual'!$A$4:$Y$133,FJ$2,FALSE)*FJ$1</f>
        <v>0</v>
      </c>
      <c r="FK176" s="3235">
        <f>$G176+FJ176</f>
        <v>60636604</v>
      </c>
      <c r="FL176" s="3236">
        <f>VLOOKUP($E176,FK$442:FN$453,2,FALSE)*FK176*($K176)+IF($G176&lt;&gt;0,($H176/$G176)*FK176,0)*(1-$K176)</f>
        <v>60636604</v>
      </c>
      <c r="FM176" s="3236">
        <f>VLOOKUP($E176,FK$442:FN$453,3,FALSE)*FK176*($K176)+IF($G176&lt;&gt;0,($I176/$G176)*FK176,0)*(1-$K176)</f>
        <v>0</v>
      </c>
      <c r="FN176" s="3236">
        <f>VLOOKUP($E176,FK$442:FN$453,4,FALSE)*FK176*($K176)+(FK176-FL176-FM176)*(1-$K176)</f>
        <v>0</v>
      </c>
      <c r="FO176" s="3264"/>
    </row>
    <row r="177" spans="1:171">
      <c r="A177" s="3254">
        <v>170</v>
      </c>
      <c r="B177" s="2103" t="s">
        <v>258</v>
      </c>
      <c r="C177" s="2464" t="s">
        <v>72</v>
      </c>
      <c r="D177" s="2464" t="s">
        <v>451</v>
      </c>
      <c r="E177" s="2424" t="str">
        <f>'Sch 3 - Expenses'!E17</f>
        <v>PROD</v>
      </c>
      <c r="F177" s="2171"/>
      <c r="G177" s="2424">
        <f>'Sch 3 - Expenses'!G17</f>
        <v>20123737</v>
      </c>
      <c r="H177" s="2424">
        <f>'Sch 3 - Expenses'!H17</f>
        <v>20123737</v>
      </c>
      <c r="I177" s="2424">
        <f>'Sch 3 - Expenses'!I17</f>
        <v>0</v>
      </c>
      <c r="J177" s="2425">
        <f>'Sch 3 - Expenses'!J17</f>
        <v>0</v>
      </c>
      <c r="K177" s="3205">
        <f t="shared" si="547"/>
        <v>1</v>
      </c>
      <c r="N177" s="3284">
        <f>VLOOKUP($A177,'New Resources - Individual'!$A$4:$Y$133,N$2,FALSE)*N$1</f>
        <v>0</v>
      </c>
      <c r="O177" s="3235">
        <f>$G177+N177</f>
        <v>20123737</v>
      </c>
      <c r="P177" s="3236">
        <f>VLOOKUP($E177,O$442:R$453,2,FALSE)*O177*($K177)+IF($G177&lt;&gt;0,($H177/$G177)*O177,0)*(1-$K177)</f>
        <v>20123737</v>
      </c>
      <c r="Q177" s="3236">
        <f>VLOOKUP($E177,O$442:R$453,3,FALSE)*O177*($K177)+IF($G177&lt;&gt;0,($I177/$G177)*O177,0)*(1-$K177)</f>
        <v>0</v>
      </c>
      <c r="R177" s="3236">
        <f>VLOOKUP($E177,O$442:R$453,4,FALSE)*O177*($K177)+(O177-P177-Q177)*(1-$K177)</f>
        <v>0</v>
      </c>
      <c r="S177" s="3264"/>
      <c r="V177" s="3284">
        <f>VLOOKUP($A177,'New Resources - Individual'!$A$4:$Y$133,V$2,FALSE)*V$1</f>
        <v>0</v>
      </c>
      <c r="W177" s="3235">
        <f>$G177+V177</f>
        <v>20123737</v>
      </c>
      <c r="X177" s="3236">
        <f>VLOOKUP($E177,W$442:Z$453,2,FALSE)*W177*($K177)+IF($G177&lt;&gt;0,($H177/$G177)*W177,0)*(1-$K177)</f>
        <v>20123737</v>
      </c>
      <c r="Y177" s="3236">
        <f>VLOOKUP($E177,W$442:Z$453,3,FALSE)*W177*($K177)+IF($G177&lt;&gt;0,($I177/$G177)*W177,0)*(1-$K177)</f>
        <v>0</v>
      </c>
      <c r="Z177" s="3236">
        <f>VLOOKUP($E177,W$442:Z$453,4,FALSE)*W177*($K177)+(W177-X177-Y177)*(1-$K177)</f>
        <v>0</v>
      </c>
      <c r="AA177" s="3264"/>
      <c r="AD177" s="3284">
        <f>VLOOKUP($A177,'New Resources - Individual'!$A$4:$Y$133,AD$2,FALSE)*AD$1</f>
        <v>0</v>
      </c>
      <c r="AE177" s="3235">
        <f>$G177+AD177</f>
        <v>20123737</v>
      </c>
      <c r="AF177" s="3236">
        <f>VLOOKUP($E177,AE$442:AH$453,2,FALSE)*AE177*($K177)+IF($G177&lt;&gt;0,($H177/$G177)*AE177,0)*(1-$K177)</f>
        <v>20123737</v>
      </c>
      <c r="AG177" s="3236">
        <f>VLOOKUP($E177,AE$442:AH$453,3,FALSE)*AE177*($K177)+IF($G177&lt;&gt;0,($I177/$G177)*AE177,0)*(1-$K177)</f>
        <v>0</v>
      </c>
      <c r="AH177" s="3236">
        <f>VLOOKUP($E177,AE$442:AH$453,4,FALSE)*AE177*($K177)+(AE177-AF177-AG177)*(1-$K177)</f>
        <v>0</v>
      </c>
      <c r="AI177" s="3264"/>
      <c r="AL177" s="3284">
        <f>VLOOKUP($A177,'New Resources - Individual'!$A$4:$Y$133,AL$2,FALSE)*AL$1</f>
        <v>0</v>
      </c>
      <c r="AM177" s="3235">
        <f>$G177+AL177</f>
        <v>20123737</v>
      </c>
      <c r="AN177" s="3236">
        <f>VLOOKUP($E177,AM$442:AP$453,2,FALSE)*AM177*($K177)+IF($G177&lt;&gt;0,($H177/$G177)*AM177,0)*(1-$K177)</f>
        <v>20123737</v>
      </c>
      <c r="AO177" s="3236">
        <f>VLOOKUP($E177,AM$442:AP$453,3,FALSE)*AM177*($K177)+IF($G177&lt;&gt;0,($I177/$G177)*AM177,0)*(1-$K177)</f>
        <v>0</v>
      </c>
      <c r="AP177" s="3236">
        <f>VLOOKUP($E177,AM$442:AP$453,4,FALSE)*AM177*($K177)+(AM177-AN177-AO177)*(1-$K177)</f>
        <v>0</v>
      </c>
      <c r="AQ177" s="3264"/>
      <c r="AT177" s="3284">
        <f>VLOOKUP($A177,'New Resources - Individual'!$A$4:$Y$133,AT$2,FALSE)*AT$1</f>
        <v>0</v>
      </c>
      <c r="AU177" s="3235">
        <f>$G177+AT177</f>
        <v>20123737</v>
      </c>
      <c r="AV177" s="3236">
        <f>VLOOKUP($E177,AU$442:AX$453,2,FALSE)*AU177*($K177)+IF($G177&lt;&gt;0,($H177/$G177)*AU177,0)*(1-$K177)</f>
        <v>20123737</v>
      </c>
      <c r="AW177" s="3236">
        <f>VLOOKUP($E177,AU$442:AX$453,3,FALSE)*AU177*($K177)+IF($G177&lt;&gt;0,($I177/$G177)*AU177,0)*(1-$K177)</f>
        <v>0</v>
      </c>
      <c r="AX177" s="3236">
        <f>VLOOKUP($E177,AU$442:AX$453,4,FALSE)*AU177*($K177)+(AU177-AV177-AW177)*(1-$K177)</f>
        <v>0</v>
      </c>
      <c r="AY177" s="3264"/>
      <c r="BB177" s="3284">
        <f>VLOOKUP($A177,'New Resources - Individual'!$A$4:$Y$133,BB$2,FALSE)*BB$1</f>
        <v>0</v>
      </c>
      <c r="BC177" s="3235">
        <f>$G177+BB177</f>
        <v>20123737</v>
      </c>
      <c r="BD177" s="3236">
        <f>VLOOKUP($E177,BC$442:BF$453,2,FALSE)*BC177*($K177)+IF($G177&lt;&gt;0,($H177/$G177)*BC177,0)*(1-$K177)</f>
        <v>20123737</v>
      </c>
      <c r="BE177" s="3236">
        <f>VLOOKUP($E177,BC$442:BF$453,3,FALSE)*BC177*($K177)+IF($G177&lt;&gt;0,($I177/$G177)*BC177,0)*(1-$K177)</f>
        <v>0</v>
      </c>
      <c r="BF177" s="3236">
        <f>VLOOKUP($E177,BC$442:BF$453,4,FALSE)*BC177*($K177)+(BC177-BD177-BE177)*(1-$K177)</f>
        <v>0</v>
      </c>
      <c r="BG177" s="3264"/>
      <c r="BJ177" s="3284">
        <f>VLOOKUP($A177,'New Resources - Individual'!$A$4:$Y$133,BJ$2,FALSE)*BJ$1</f>
        <v>0</v>
      </c>
      <c r="BK177" s="3235">
        <f>$G177+BJ177</f>
        <v>20123737</v>
      </c>
      <c r="BL177" s="3236">
        <f>VLOOKUP($E177,BK$442:BN$453,2,FALSE)*BK177*($K177)+IF($G177&lt;&gt;0,($H177/$G177)*BK177,0)*(1-$K177)</f>
        <v>20123737</v>
      </c>
      <c r="BM177" s="3236">
        <f>VLOOKUP($E177,BK$442:BN$453,3,FALSE)*BK177*($K177)+IF($G177&lt;&gt;0,($I177/$G177)*BK177,0)*(1-$K177)</f>
        <v>0</v>
      </c>
      <c r="BN177" s="3236">
        <f>VLOOKUP($E177,BK$442:BN$453,4,FALSE)*BK177*($K177)+(BK177-BL177-BM177)*(1-$K177)</f>
        <v>0</v>
      </c>
      <c r="BO177" s="3264"/>
      <c r="BR177" s="3284">
        <f>VLOOKUP($A177,'New Resources - Individual'!$A$4:$Y$133,BR$2,FALSE)*BR$1</f>
        <v>0</v>
      </c>
      <c r="BS177" s="3235">
        <f>$G177+BR177</f>
        <v>20123737</v>
      </c>
      <c r="BT177" s="3236">
        <f>VLOOKUP($E177,BS$442:BV$453,2,FALSE)*BS177*($K177)+IF($G177&lt;&gt;0,($H177/$G177)*BS177,0)*(1-$K177)</f>
        <v>20123737</v>
      </c>
      <c r="BU177" s="3236">
        <f>VLOOKUP($E177,BS$442:BV$453,3,FALSE)*BS177*($K177)+IF($G177&lt;&gt;0,($I177/$G177)*BS177,0)*(1-$K177)</f>
        <v>0</v>
      </c>
      <c r="BV177" s="3236">
        <f>VLOOKUP($E177,BS$442:BV$453,4,FALSE)*BS177*($K177)+(BS177-BT177-BU177)*(1-$K177)</f>
        <v>0</v>
      </c>
      <c r="BW177" s="3264"/>
      <c r="BZ177" s="3284">
        <f>VLOOKUP($A177,'New Resources - Individual'!$A$4:$Y$133,BZ$2,FALSE)*BZ$1</f>
        <v>0</v>
      </c>
      <c r="CA177" s="3235">
        <f>$G177+BZ177</f>
        <v>20123737</v>
      </c>
      <c r="CB177" s="3236">
        <f>VLOOKUP($E177,CA$442:CD$453,2,FALSE)*CA177*($K177)+IF($G177&lt;&gt;0,($H177/$G177)*CA177,0)*(1-$K177)</f>
        <v>20123737</v>
      </c>
      <c r="CC177" s="3236">
        <f>VLOOKUP($E177,CA$442:CD$453,3,FALSE)*CA177*($K177)+IF($G177&lt;&gt;0,($I177/$G177)*CA177,0)*(1-$K177)</f>
        <v>0</v>
      </c>
      <c r="CD177" s="3236">
        <f>VLOOKUP($E177,CA$442:CD$453,4,FALSE)*CA177*($K177)+(CA177-CB177-CC177)*(1-$K177)</f>
        <v>0</v>
      </c>
      <c r="CE177" s="3264"/>
      <c r="CH177" s="3284">
        <f>VLOOKUP($A177,'New Resources - Individual'!$A$4:$Y$133,CH$2,FALSE)*CH$1</f>
        <v>0</v>
      </c>
      <c r="CI177" s="3235">
        <f>$G177+CH177</f>
        <v>20123737</v>
      </c>
      <c r="CJ177" s="3236">
        <f>VLOOKUP($E177,CI$442:CL$453,2,FALSE)*CI177*($K177)+IF($G177&lt;&gt;0,($H177/$G177)*CI177,0)*(1-$K177)</f>
        <v>20123737</v>
      </c>
      <c r="CK177" s="3236">
        <f>VLOOKUP($E177,CI$442:CL$453,3,FALSE)*CI177*($K177)+IF($G177&lt;&gt;0,($I177/$G177)*CI177,0)*(1-$K177)</f>
        <v>0</v>
      </c>
      <c r="CL177" s="3236">
        <f>VLOOKUP($E177,CI$442:CL$453,4,FALSE)*CI177*($K177)+(CI177-CJ177-CK177)*(1-$K177)</f>
        <v>0</v>
      </c>
      <c r="CM177" s="3264"/>
      <c r="CP177" s="3284">
        <f>VLOOKUP($A177,'New Resources - Individual'!$A$4:$Y$133,CP$2,FALSE)*CP$1</f>
        <v>0</v>
      </c>
      <c r="CQ177" s="3235">
        <f>$G177+CP177</f>
        <v>20123737</v>
      </c>
      <c r="CR177" s="3236">
        <f>VLOOKUP($E177,CQ$442:CT$453,2,FALSE)*CQ177*($K177)+IF($G177&lt;&gt;0,($H177/$G177)*CQ177,0)*(1-$K177)</f>
        <v>20123737</v>
      </c>
      <c r="CS177" s="3236">
        <f>VLOOKUP($E177,CQ$442:CT$453,3,FALSE)*CQ177*($K177)+IF($G177&lt;&gt;0,($I177/$G177)*CQ177,0)*(1-$K177)</f>
        <v>0</v>
      </c>
      <c r="CT177" s="3236">
        <f>VLOOKUP($E177,CQ$442:CT$453,4,FALSE)*CQ177*($K177)+(CQ177-CR177-CS177)*(1-$K177)</f>
        <v>0</v>
      </c>
      <c r="CU177" s="3264"/>
      <c r="CX177" s="3284">
        <f>VLOOKUP($A177,'New Resources - Individual'!$A$4:$Y$133,CX$2,FALSE)*CX$1</f>
        <v>0</v>
      </c>
      <c r="CY177" s="3235">
        <f>$G177+CX177</f>
        <v>20123737</v>
      </c>
      <c r="CZ177" s="3236">
        <f>VLOOKUP($E177,CY$442:DB$453,2,FALSE)*CY177*($K177)+IF($G177&lt;&gt;0,($H177/$G177)*CY177,0)*(1-$K177)</f>
        <v>20123737</v>
      </c>
      <c r="DA177" s="3236">
        <f>VLOOKUP($E177,CY$442:DB$453,3,FALSE)*CY177*($K177)+IF($G177&lt;&gt;0,($I177/$G177)*CY177,0)*(1-$K177)</f>
        <v>0</v>
      </c>
      <c r="DB177" s="3236">
        <f>VLOOKUP($E177,CY$442:DB$453,4,FALSE)*CY177*($K177)+(CY177-CZ177-DA177)*(1-$K177)</f>
        <v>0</v>
      </c>
      <c r="DC177" s="3264"/>
      <c r="DF177" s="3284">
        <f>VLOOKUP($A177,'New Resources - Individual'!$A$4:$Y$133,DF$2,FALSE)*DF$1</f>
        <v>0</v>
      </c>
      <c r="DG177" s="3235">
        <f>$G177+DF177</f>
        <v>20123737</v>
      </c>
      <c r="DH177" s="3236">
        <f>VLOOKUP($E177,DG$442:DJ$453,2,FALSE)*DG177*($K177)+IF($G177&lt;&gt;0,($H177/$G177)*DG177,0)*(1-$K177)</f>
        <v>20123737</v>
      </c>
      <c r="DI177" s="3236">
        <f>VLOOKUP($E177,DG$442:DJ$453,3,FALSE)*DG177*($K177)+IF($G177&lt;&gt;0,($I177/$G177)*DG177,0)*(1-$K177)</f>
        <v>0</v>
      </c>
      <c r="DJ177" s="3236">
        <f>VLOOKUP($E177,DG$442:DJ$453,4,FALSE)*DG177*($K177)+(DG177-DH177-DI177)*(1-$K177)</f>
        <v>0</v>
      </c>
      <c r="DK177" s="3264"/>
      <c r="DN177" s="3284">
        <f>VLOOKUP($A177,'New Resources - Individual'!$A$4:$Y$133,DN$2,FALSE)*DN$1</f>
        <v>0</v>
      </c>
      <c r="DO177" s="3235">
        <f>$G177+DN177</f>
        <v>20123737</v>
      </c>
      <c r="DP177" s="3236">
        <f>VLOOKUP($E177,DO$442:DR$453,2,FALSE)*DO177*($K177)+IF($G177&lt;&gt;0,($H177/$G177)*DO177,0)*(1-$K177)</f>
        <v>20123737</v>
      </c>
      <c r="DQ177" s="3236">
        <f>VLOOKUP($E177,DO$442:DR$453,3,FALSE)*DO177*($K177)+IF($G177&lt;&gt;0,($I177/$G177)*DO177,0)*(1-$K177)</f>
        <v>0</v>
      </c>
      <c r="DR177" s="3236">
        <f>VLOOKUP($E177,DO$442:DR$453,4,FALSE)*DO177*($K177)+(DO177-DP177-DQ177)*(1-$K177)</f>
        <v>0</v>
      </c>
      <c r="DS177" s="3264"/>
      <c r="DV177" s="3284">
        <f>VLOOKUP($A177,'New Resources - Individual'!$A$4:$Y$133,DV$2,FALSE)*DV$1</f>
        <v>0</v>
      </c>
      <c r="DW177" s="3235">
        <f>$G177+DV177</f>
        <v>20123737</v>
      </c>
      <c r="DX177" s="3236">
        <f>VLOOKUP($E177,DW$442:DZ$453,2,FALSE)*DW177*($K177)+IF($G177&lt;&gt;0,($H177/$G177)*DW177,0)*(1-$K177)</f>
        <v>20123737</v>
      </c>
      <c r="DY177" s="3236">
        <f>VLOOKUP($E177,DW$442:DZ$453,3,FALSE)*DW177*($K177)+IF($G177&lt;&gt;0,($I177/$G177)*DW177,0)*(1-$K177)</f>
        <v>0</v>
      </c>
      <c r="DZ177" s="3236">
        <f>VLOOKUP($E177,DW$442:DZ$453,4,FALSE)*DW177*($K177)+(DW177-DX177-DY177)*(1-$K177)</f>
        <v>0</v>
      </c>
      <c r="EA177" s="3264"/>
      <c r="ED177" s="3284">
        <f>VLOOKUP($A177,'New Resources - Individual'!$A$4:$Y$133,ED$2,FALSE)*ED$1</f>
        <v>0</v>
      </c>
      <c r="EE177" s="3235">
        <f>$G177+ED177</f>
        <v>20123737</v>
      </c>
      <c r="EF177" s="3236">
        <f>VLOOKUP($E177,EE$442:EH$453,2,FALSE)*EE177*($K177)+IF($G177&lt;&gt;0,($H177/$G177)*EE177,0)*(1-$K177)</f>
        <v>20123737</v>
      </c>
      <c r="EG177" s="3236">
        <f>VLOOKUP($E177,EE$442:EH$453,3,FALSE)*EE177*($K177)+IF($G177&lt;&gt;0,($I177/$G177)*EE177,0)*(1-$K177)</f>
        <v>0</v>
      </c>
      <c r="EH177" s="3236">
        <f>VLOOKUP($E177,EE$442:EH$453,4,FALSE)*EE177*($K177)+(EE177-EF177-EG177)*(1-$K177)</f>
        <v>0</v>
      </c>
      <c r="EI177" s="3264"/>
      <c r="EL177" s="3284">
        <f>VLOOKUP($A177,'New Resources - Individual'!$A$4:$Y$133,EL$2,FALSE)*EL$1</f>
        <v>0</v>
      </c>
      <c r="EM177" s="3235">
        <f>$G177+EL177</f>
        <v>20123737</v>
      </c>
      <c r="EN177" s="3236">
        <f>VLOOKUP($E177,EM$442:EP$453,2,FALSE)*EM177*($K177)+IF($G177&lt;&gt;0,($H177/$G177)*EM177,0)*(1-$K177)</f>
        <v>20123737</v>
      </c>
      <c r="EO177" s="3236">
        <f>VLOOKUP($E177,EM$442:EP$453,3,FALSE)*EM177*($K177)+IF($G177&lt;&gt;0,($I177/$G177)*EM177,0)*(1-$K177)</f>
        <v>0</v>
      </c>
      <c r="EP177" s="3236">
        <f>VLOOKUP($E177,EM$442:EP$453,4,FALSE)*EM177*($K177)+(EM177-EN177-EO177)*(1-$K177)</f>
        <v>0</v>
      </c>
      <c r="EQ177" s="3264"/>
      <c r="ET177" s="3284">
        <f>VLOOKUP($A177,'New Resources - Individual'!$A$4:$Y$133,ET$2,FALSE)*ET$1</f>
        <v>0</v>
      </c>
      <c r="EU177" s="3235">
        <f>$G177+ET177</f>
        <v>20123737</v>
      </c>
      <c r="EV177" s="3236">
        <f>VLOOKUP($E177,EU$442:EX$453,2,FALSE)*EU177*($K177)+IF($G177&lt;&gt;0,($H177/$G177)*EU177,0)*(1-$K177)</f>
        <v>20123737</v>
      </c>
      <c r="EW177" s="3236">
        <f>VLOOKUP($E177,EU$442:EX$453,3,FALSE)*EU177*($K177)+IF($G177&lt;&gt;0,($I177/$G177)*EU177,0)*(1-$K177)</f>
        <v>0</v>
      </c>
      <c r="EX177" s="3236">
        <f>VLOOKUP($E177,EU$442:EX$453,4,FALSE)*EU177*($K177)+(EU177-EV177-EW177)*(1-$K177)</f>
        <v>0</v>
      </c>
      <c r="EY177" s="3264"/>
      <c r="FB177" s="3284">
        <f>VLOOKUP($A177,'New Resources - Individual'!$A$4:$Y$133,FB$2,FALSE)*FB$1</f>
        <v>0</v>
      </c>
      <c r="FC177" s="3235">
        <f>$G177+FB177</f>
        <v>20123737</v>
      </c>
      <c r="FD177" s="3236">
        <f>VLOOKUP($E177,FC$442:FF$453,2,FALSE)*FC177*($K177)+IF($G177&lt;&gt;0,($H177/$G177)*FC177,0)*(1-$K177)</f>
        <v>20123737</v>
      </c>
      <c r="FE177" s="3236">
        <f>VLOOKUP($E177,FC$442:FF$453,3,FALSE)*FC177*($K177)+IF($G177&lt;&gt;0,($I177/$G177)*FC177,0)*(1-$K177)</f>
        <v>0</v>
      </c>
      <c r="FF177" s="3236">
        <f>VLOOKUP($E177,FC$442:FF$453,4,FALSE)*FC177*($K177)+(FC177-FD177-FE177)*(1-$K177)</f>
        <v>0</v>
      </c>
      <c r="FG177" s="3264"/>
      <c r="FJ177" s="3284">
        <f>VLOOKUP($A177,'New Resources - Individual'!$A$4:$Y$133,FJ$2,FALSE)*FJ$1</f>
        <v>0</v>
      </c>
      <c r="FK177" s="3235">
        <f>$G177+FJ177</f>
        <v>20123737</v>
      </c>
      <c r="FL177" s="3236">
        <f>VLOOKUP($E177,FK$442:FN$453,2,FALSE)*FK177*($K177)+IF($G177&lt;&gt;0,($H177/$G177)*FK177,0)*(1-$K177)</f>
        <v>20123737</v>
      </c>
      <c r="FM177" s="3236">
        <f>VLOOKUP($E177,FK$442:FN$453,3,FALSE)*FK177*($K177)+IF($G177&lt;&gt;0,($I177/$G177)*FK177,0)*(1-$K177)</f>
        <v>0</v>
      </c>
      <c r="FN177" s="3236">
        <f>VLOOKUP($E177,FK$442:FN$453,4,FALSE)*FK177*($K177)+(FK177-FL177-FM177)*(1-$K177)</f>
        <v>0</v>
      </c>
      <c r="FO177" s="3264"/>
    </row>
    <row r="178" spans="1:171">
      <c r="A178" s="3254">
        <v>180</v>
      </c>
      <c r="B178" s="2103" t="s">
        <v>259</v>
      </c>
      <c r="C178" s="2464" t="s">
        <v>72</v>
      </c>
      <c r="D178" s="2464" t="s">
        <v>260</v>
      </c>
      <c r="E178" s="2424" t="str">
        <f>'Sch 3 - Expenses'!E18</f>
        <v>PROD</v>
      </c>
      <c r="F178" s="2171"/>
      <c r="G178" s="2424">
        <f>'Sch 3 - Expenses'!G18</f>
        <v>23219450</v>
      </c>
      <c r="H178" s="2424">
        <f>'Sch 3 - Expenses'!H18</f>
        <v>23219450</v>
      </c>
      <c r="I178" s="2424">
        <f>'Sch 3 - Expenses'!I18</f>
        <v>0</v>
      </c>
      <c r="J178" s="2425">
        <f>'Sch 3 - Expenses'!J18</f>
        <v>0</v>
      </c>
      <c r="K178" s="3205">
        <f t="shared" si="547"/>
        <v>1</v>
      </c>
      <c r="N178" s="3284">
        <f>VLOOKUP($A178,'New Resources - Individual'!$A$4:$Y$133,N$2,FALSE)*N$1</f>
        <v>0</v>
      </c>
      <c r="O178" s="3235">
        <f>$G178+N178</f>
        <v>23219450</v>
      </c>
      <c r="P178" s="3236">
        <f>VLOOKUP($E178,O$442:R$453,2,FALSE)*O178*($K178)+IF($G178&lt;&gt;0,($H178/$G178)*O178,0)*(1-$K178)</f>
        <v>23219450</v>
      </c>
      <c r="Q178" s="3236">
        <f>VLOOKUP($E178,O$442:R$453,3,FALSE)*O178*($K178)+IF($G178&lt;&gt;0,($I178/$G178)*O178,0)*(1-$K178)</f>
        <v>0</v>
      </c>
      <c r="R178" s="3236">
        <f>VLOOKUP($E178,O$442:R$453,4,FALSE)*O178*($K178)+(O178-P178-Q178)*(1-$K178)</f>
        <v>0</v>
      </c>
      <c r="S178" s="3264"/>
      <c r="V178" s="3284">
        <f>VLOOKUP($A178,'New Resources - Individual'!$A$4:$Y$133,V$2,FALSE)*V$1</f>
        <v>0</v>
      </c>
      <c r="W178" s="3235">
        <f>$G178+V178</f>
        <v>23219450</v>
      </c>
      <c r="X178" s="3236">
        <f>VLOOKUP($E178,W$442:Z$453,2,FALSE)*W178*($K178)+IF($G178&lt;&gt;0,($H178/$G178)*W178,0)*(1-$K178)</f>
        <v>23219450</v>
      </c>
      <c r="Y178" s="3236">
        <f>VLOOKUP($E178,W$442:Z$453,3,FALSE)*W178*($K178)+IF($G178&lt;&gt;0,($I178/$G178)*W178,0)*(1-$K178)</f>
        <v>0</v>
      </c>
      <c r="Z178" s="3236">
        <f>VLOOKUP($E178,W$442:Z$453,4,FALSE)*W178*($K178)+(W178-X178-Y178)*(1-$K178)</f>
        <v>0</v>
      </c>
      <c r="AA178" s="3264"/>
      <c r="AD178" s="3284">
        <f>VLOOKUP($A178,'New Resources - Individual'!$A$4:$Y$133,AD$2,FALSE)*AD$1</f>
        <v>0</v>
      </c>
      <c r="AE178" s="3235">
        <f>$G178+AD178</f>
        <v>23219450</v>
      </c>
      <c r="AF178" s="3236">
        <f>VLOOKUP($E178,AE$442:AH$453,2,FALSE)*AE178*($K178)+IF($G178&lt;&gt;0,($H178/$G178)*AE178,0)*(1-$K178)</f>
        <v>23219450</v>
      </c>
      <c r="AG178" s="3236">
        <f>VLOOKUP($E178,AE$442:AH$453,3,FALSE)*AE178*($K178)+IF($G178&lt;&gt;0,($I178/$G178)*AE178,0)*(1-$K178)</f>
        <v>0</v>
      </c>
      <c r="AH178" s="3236">
        <f>VLOOKUP($E178,AE$442:AH$453,4,FALSE)*AE178*($K178)+(AE178-AF178-AG178)*(1-$K178)</f>
        <v>0</v>
      </c>
      <c r="AI178" s="3264"/>
      <c r="AL178" s="3284">
        <f>VLOOKUP($A178,'New Resources - Individual'!$A$4:$Y$133,AL$2,FALSE)*AL$1</f>
        <v>0</v>
      </c>
      <c r="AM178" s="3235">
        <f>$G178+AL178</f>
        <v>23219450</v>
      </c>
      <c r="AN178" s="3236">
        <f>VLOOKUP($E178,AM$442:AP$453,2,FALSE)*AM178*($K178)+IF($G178&lt;&gt;0,($H178/$G178)*AM178,0)*(1-$K178)</f>
        <v>23219450</v>
      </c>
      <c r="AO178" s="3236">
        <f>VLOOKUP($E178,AM$442:AP$453,3,FALSE)*AM178*($K178)+IF($G178&lt;&gt;0,($I178/$G178)*AM178,0)*(1-$K178)</f>
        <v>0</v>
      </c>
      <c r="AP178" s="3236">
        <f>VLOOKUP($E178,AM$442:AP$453,4,FALSE)*AM178*($K178)+(AM178-AN178-AO178)*(1-$K178)</f>
        <v>0</v>
      </c>
      <c r="AQ178" s="3264"/>
      <c r="AT178" s="3284">
        <f>VLOOKUP($A178,'New Resources - Individual'!$A$4:$Y$133,AT$2,FALSE)*AT$1</f>
        <v>0</v>
      </c>
      <c r="AU178" s="3235">
        <f>$G178+AT178</f>
        <v>23219450</v>
      </c>
      <c r="AV178" s="3236">
        <f>VLOOKUP($E178,AU$442:AX$453,2,FALSE)*AU178*($K178)+IF($G178&lt;&gt;0,($H178/$G178)*AU178,0)*(1-$K178)</f>
        <v>23219450</v>
      </c>
      <c r="AW178" s="3236">
        <f>VLOOKUP($E178,AU$442:AX$453,3,FALSE)*AU178*($K178)+IF($G178&lt;&gt;0,($I178/$G178)*AU178,0)*(1-$K178)</f>
        <v>0</v>
      </c>
      <c r="AX178" s="3236">
        <f>VLOOKUP($E178,AU$442:AX$453,4,FALSE)*AU178*($K178)+(AU178-AV178-AW178)*(1-$K178)</f>
        <v>0</v>
      </c>
      <c r="AY178" s="3264"/>
      <c r="BB178" s="3284">
        <f>VLOOKUP($A178,'New Resources - Individual'!$A$4:$Y$133,BB$2,FALSE)*BB$1</f>
        <v>0</v>
      </c>
      <c r="BC178" s="3235">
        <f>$G178+BB178</f>
        <v>23219450</v>
      </c>
      <c r="BD178" s="3236">
        <f>VLOOKUP($E178,BC$442:BF$453,2,FALSE)*BC178*($K178)+IF($G178&lt;&gt;0,($H178/$G178)*BC178,0)*(1-$K178)</f>
        <v>23219450</v>
      </c>
      <c r="BE178" s="3236">
        <f>VLOOKUP($E178,BC$442:BF$453,3,FALSE)*BC178*($K178)+IF($G178&lt;&gt;0,($I178/$G178)*BC178,0)*(1-$K178)</f>
        <v>0</v>
      </c>
      <c r="BF178" s="3236">
        <f>VLOOKUP($E178,BC$442:BF$453,4,FALSE)*BC178*($K178)+(BC178-BD178-BE178)*(1-$K178)</f>
        <v>0</v>
      </c>
      <c r="BG178" s="3264"/>
      <c r="BJ178" s="3284">
        <f>VLOOKUP($A178,'New Resources - Individual'!$A$4:$Y$133,BJ$2,FALSE)*BJ$1</f>
        <v>0</v>
      </c>
      <c r="BK178" s="3235">
        <f>$G178+BJ178</f>
        <v>23219450</v>
      </c>
      <c r="BL178" s="3236">
        <f>VLOOKUP($E178,BK$442:BN$453,2,FALSE)*BK178*($K178)+IF($G178&lt;&gt;0,($H178/$G178)*BK178,0)*(1-$K178)</f>
        <v>23219450</v>
      </c>
      <c r="BM178" s="3236">
        <f>VLOOKUP($E178,BK$442:BN$453,3,FALSE)*BK178*($K178)+IF($G178&lt;&gt;0,($I178/$G178)*BK178,0)*(1-$K178)</f>
        <v>0</v>
      </c>
      <c r="BN178" s="3236">
        <f>VLOOKUP($E178,BK$442:BN$453,4,FALSE)*BK178*($K178)+(BK178-BL178-BM178)*(1-$K178)</f>
        <v>0</v>
      </c>
      <c r="BO178" s="3264"/>
      <c r="BR178" s="3284">
        <f>VLOOKUP($A178,'New Resources - Individual'!$A$4:$Y$133,BR$2,FALSE)*BR$1</f>
        <v>0</v>
      </c>
      <c r="BS178" s="3235">
        <f>$G178+BR178</f>
        <v>23219450</v>
      </c>
      <c r="BT178" s="3236">
        <f>VLOOKUP($E178,BS$442:BV$453,2,FALSE)*BS178*($K178)+IF($G178&lt;&gt;0,($H178/$G178)*BS178,0)*(1-$K178)</f>
        <v>23219450</v>
      </c>
      <c r="BU178" s="3236">
        <f>VLOOKUP($E178,BS$442:BV$453,3,FALSE)*BS178*($K178)+IF($G178&lt;&gt;0,($I178/$G178)*BS178,0)*(1-$K178)</f>
        <v>0</v>
      </c>
      <c r="BV178" s="3236">
        <f>VLOOKUP($E178,BS$442:BV$453,4,FALSE)*BS178*($K178)+(BS178-BT178-BU178)*(1-$K178)</f>
        <v>0</v>
      </c>
      <c r="BW178" s="3264"/>
      <c r="BZ178" s="3284">
        <f>VLOOKUP($A178,'New Resources - Individual'!$A$4:$Y$133,BZ$2,FALSE)*BZ$1</f>
        <v>0</v>
      </c>
      <c r="CA178" s="3235">
        <f>$G178+BZ178</f>
        <v>23219450</v>
      </c>
      <c r="CB178" s="3236">
        <f>VLOOKUP($E178,CA$442:CD$453,2,FALSE)*CA178*($K178)+IF($G178&lt;&gt;0,($H178/$G178)*CA178,0)*(1-$K178)</f>
        <v>23219450</v>
      </c>
      <c r="CC178" s="3236">
        <f>VLOOKUP($E178,CA$442:CD$453,3,FALSE)*CA178*($K178)+IF($G178&lt;&gt;0,($I178/$G178)*CA178,0)*(1-$K178)</f>
        <v>0</v>
      </c>
      <c r="CD178" s="3236">
        <f>VLOOKUP($E178,CA$442:CD$453,4,FALSE)*CA178*($K178)+(CA178-CB178-CC178)*(1-$K178)</f>
        <v>0</v>
      </c>
      <c r="CE178" s="3264"/>
      <c r="CH178" s="3284">
        <f>VLOOKUP($A178,'New Resources - Individual'!$A$4:$Y$133,CH$2,FALSE)*CH$1</f>
        <v>0</v>
      </c>
      <c r="CI178" s="3235">
        <f>$G178+CH178</f>
        <v>23219450</v>
      </c>
      <c r="CJ178" s="3236">
        <f>VLOOKUP($E178,CI$442:CL$453,2,FALSE)*CI178*($K178)+IF($G178&lt;&gt;0,($H178/$G178)*CI178,0)*(1-$K178)</f>
        <v>23219450</v>
      </c>
      <c r="CK178" s="3236">
        <f>VLOOKUP($E178,CI$442:CL$453,3,FALSE)*CI178*($K178)+IF($G178&lt;&gt;0,($I178/$G178)*CI178,0)*(1-$K178)</f>
        <v>0</v>
      </c>
      <c r="CL178" s="3236">
        <f>VLOOKUP($E178,CI$442:CL$453,4,FALSE)*CI178*($K178)+(CI178-CJ178-CK178)*(1-$K178)</f>
        <v>0</v>
      </c>
      <c r="CM178" s="3264"/>
      <c r="CP178" s="3284">
        <f>VLOOKUP($A178,'New Resources - Individual'!$A$4:$Y$133,CP$2,FALSE)*CP$1</f>
        <v>0</v>
      </c>
      <c r="CQ178" s="3235">
        <f>$G178+CP178</f>
        <v>23219450</v>
      </c>
      <c r="CR178" s="3236">
        <f>VLOOKUP($E178,CQ$442:CT$453,2,FALSE)*CQ178*($K178)+IF($G178&lt;&gt;0,($H178/$G178)*CQ178,0)*(1-$K178)</f>
        <v>23219450</v>
      </c>
      <c r="CS178" s="3236">
        <f>VLOOKUP($E178,CQ$442:CT$453,3,FALSE)*CQ178*($K178)+IF($G178&lt;&gt;0,($I178/$G178)*CQ178,0)*(1-$K178)</f>
        <v>0</v>
      </c>
      <c r="CT178" s="3236">
        <f>VLOOKUP($E178,CQ$442:CT$453,4,FALSE)*CQ178*($K178)+(CQ178-CR178-CS178)*(1-$K178)</f>
        <v>0</v>
      </c>
      <c r="CU178" s="3264"/>
      <c r="CX178" s="3284">
        <f>VLOOKUP($A178,'New Resources - Individual'!$A$4:$Y$133,CX$2,FALSE)*CX$1</f>
        <v>0</v>
      </c>
      <c r="CY178" s="3235">
        <f>$G178+CX178</f>
        <v>23219450</v>
      </c>
      <c r="CZ178" s="3236">
        <f>VLOOKUP($E178,CY$442:DB$453,2,FALSE)*CY178*($K178)+IF($G178&lt;&gt;0,($H178/$G178)*CY178,0)*(1-$K178)</f>
        <v>23219450</v>
      </c>
      <c r="DA178" s="3236">
        <f>VLOOKUP($E178,CY$442:DB$453,3,FALSE)*CY178*($K178)+IF($G178&lt;&gt;0,($I178/$G178)*CY178,0)*(1-$K178)</f>
        <v>0</v>
      </c>
      <c r="DB178" s="3236">
        <f>VLOOKUP($E178,CY$442:DB$453,4,FALSE)*CY178*($K178)+(CY178-CZ178-DA178)*(1-$K178)</f>
        <v>0</v>
      </c>
      <c r="DC178" s="3264"/>
      <c r="DF178" s="3284">
        <f>VLOOKUP($A178,'New Resources - Individual'!$A$4:$Y$133,DF$2,FALSE)*DF$1</f>
        <v>0</v>
      </c>
      <c r="DG178" s="3235">
        <f>$G178+DF178</f>
        <v>23219450</v>
      </c>
      <c r="DH178" s="3236">
        <f>VLOOKUP($E178,DG$442:DJ$453,2,FALSE)*DG178*($K178)+IF($G178&lt;&gt;0,($H178/$G178)*DG178,0)*(1-$K178)</f>
        <v>23219450</v>
      </c>
      <c r="DI178" s="3236">
        <f>VLOOKUP($E178,DG$442:DJ$453,3,FALSE)*DG178*($K178)+IF($G178&lt;&gt;0,($I178/$G178)*DG178,0)*(1-$K178)</f>
        <v>0</v>
      </c>
      <c r="DJ178" s="3236">
        <f>VLOOKUP($E178,DG$442:DJ$453,4,FALSE)*DG178*($K178)+(DG178-DH178-DI178)*(1-$K178)</f>
        <v>0</v>
      </c>
      <c r="DK178" s="3264"/>
      <c r="DN178" s="3284">
        <f>VLOOKUP($A178,'New Resources - Individual'!$A$4:$Y$133,DN$2,FALSE)*DN$1</f>
        <v>0</v>
      </c>
      <c r="DO178" s="3235">
        <f>$G178+DN178</f>
        <v>23219450</v>
      </c>
      <c r="DP178" s="3236">
        <f>VLOOKUP($E178,DO$442:DR$453,2,FALSE)*DO178*($K178)+IF($G178&lt;&gt;0,($H178/$G178)*DO178,0)*(1-$K178)</f>
        <v>23219450</v>
      </c>
      <c r="DQ178" s="3236">
        <f>VLOOKUP($E178,DO$442:DR$453,3,FALSE)*DO178*($K178)+IF($G178&lt;&gt;0,($I178/$G178)*DO178,0)*(1-$K178)</f>
        <v>0</v>
      </c>
      <c r="DR178" s="3236">
        <f>VLOOKUP($E178,DO$442:DR$453,4,FALSE)*DO178*($K178)+(DO178-DP178-DQ178)*(1-$K178)</f>
        <v>0</v>
      </c>
      <c r="DS178" s="3264"/>
      <c r="DV178" s="3284">
        <f>VLOOKUP($A178,'New Resources - Individual'!$A$4:$Y$133,DV$2,FALSE)*DV$1</f>
        <v>0</v>
      </c>
      <c r="DW178" s="3235">
        <f>$G178+DV178</f>
        <v>23219450</v>
      </c>
      <c r="DX178" s="3236">
        <f>VLOOKUP($E178,DW$442:DZ$453,2,FALSE)*DW178*($K178)+IF($G178&lt;&gt;0,($H178/$G178)*DW178,0)*(1-$K178)</f>
        <v>23219450</v>
      </c>
      <c r="DY178" s="3236">
        <f>VLOOKUP($E178,DW$442:DZ$453,3,FALSE)*DW178*($K178)+IF($G178&lt;&gt;0,($I178/$G178)*DW178,0)*(1-$K178)</f>
        <v>0</v>
      </c>
      <c r="DZ178" s="3236">
        <f>VLOOKUP($E178,DW$442:DZ$453,4,FALSE)*DW178*($K178)+(DW178-DX178-DY178)*(1-$K178)</f>
        <v>0</v>
      </c>
      <c r="EA178" s="3264"/>
      <c r="ED178" s="3284">
        <f>VLOOKUP($A178,'New Resources - Individual'!$A$4:$Y$133,ED$2,FALSE)*ED$1</f>
        <v>0</v>
      </c>
      <c r="EE178" s="3235">
        <f>$G178+ED178</f>
        <v>23219450</v>
      </c>
      <c r="EF178" s="3236">
        <f>VLOOKUP($E178,EE$442:EH$453,2,FALSE)*EE178*($K178)+IF($G178&lt;&gt;0,($H178/$G178)*EE178,0)*(1-$K178)</f>
        <v>23219450</v>
      </c>
      <c r="EG178" s="3236">
        <f>VLOOKUP($E178,EE$442:EH$453,3,FALSE)*EE178*($K178)+IF($G178&lt;&gt;0,($I178/$G178)*EE178,0)*(1-$K178)</f>
        <v>0</v>
      </c>
      <c r="EH178" s="3236">
        <f>VLOOKUP($E178,EE$442:EH$453,4,FALSE)*EE178*($K178)+(EE178-EF178-EG178)*(1-$K178)</f>
        <v>0</v>
      </c>
      <c r="EI178" s="3264"/>
      <c r="EL178" s="3284">
        <f>VLOOKUP($A178,'New Resources - Individual'!$A$4:$Y$133,EL$2,FALSE)*EL$1</f>
        <v>0</v>
      </c>
      <c r="EM178" s="3235">
        <f>$G178+EL178</f>
        <v>23219450</v>
      </c>
      <c r="EN178" s="3236">
        <f>VLOOKUP($E178,EM$442:EP$453,2,FALSE)*EM178*($K178)+IF($G178&lt;&gt;0,($H178/$G178)*EM178,0)*(1-$K178)</f>
        <v>23219450</v>
      </c>
      <c r="EO178" s="3236">
        <f>VLOOKUP($E178,EM$442:EP$453,3,FALSE)*EM178*($K178)+IF($G178&lt;&gt;0,($I178/$G178)*EM178,0)*(1-$K178)</f>
        <v>0</v>
      </c>
      <c r="EP178" s="3236">
        <f>VLOOKUP($E178,EM$442:EP$453,4,FALSE)*EM178*($K178)+(EM178-EN178-EO178)*(1-$K178)</f>
        <v>0</v>
      </c>
      <c r="EQ178" s="3264"/>
      <c r="ET178" s="3284">
        <f>VLOOKUP($A178,'New Resources - Individual'!$A$4:$Y$133,ET$2,FALSE)*ET$1</f>
        <v>0</v>
      </c>
      <c r="EU178" s="3235">
        <f>$G178+ET178</f>
        <v>23219450</v>
      </c>
      <c r="EV178" s="3236">
        <f>VLOOKUP($E178,EU$442:EX$453,2,FALSE)*EU178*($K178)+IF($G178&lt;&gt;0,($H178/$G178)*EU178,0)*(1-$K178)</f>
        <v>23219450</v>
      </c>
      <c r="EW178" s="3236">
        <f>VLOOKUP($E178,EU$442:EX$453,3,FALSE)*EU178*($K178)+IF($G178&lt;&gt;0,($I178/$G178)*EU178,0)*(1-$K178)</f>
        <v>0</v>
      </c>
      <c r="EX178" s="3236">
        <f>VLOOKUP($E178,EU$442:EX$453,4,FALSE)*EU178*($K178)+(EU178-EV178-EW178)*(1-$K178)</f>
        <v>0</v>
      </c>
      <c r="EY178" s="3264"/>
      <c r="FB178" s="3284">
        <f>VLOOKUP($A178,'New Resources - Individual'!$A$4:$Y$133,FB$2,FALSE)*FB$1</f>
        <v>0</v>
      </c>
      <c r="FC178" s="3235">
        <f>$G178+FB178</f>
        <v>23219450</v>
      </c>
      <c r="FD178" s="3236">
        <f>VLOOKUP($E178,FC$442:FF$453,2,FALSE)*FC178*($K178)+IF($G178&lt;&gt;0,($H178/$G178)*FC178,0)*(1-$K178)</f>
        <v>23219450</v>
      </c>
      <c r="FE178" s="3236">
        <f>VLOOKUP($E178,FC$442:FF$453,3,FALSE)*FC178*($K178)+IF($G178&lt;&gt;0,($I178/$G178)*FC178,0)*(1-$K178)</f>
        <v>0</v>
      </c>
      <c r="FF178" s="3236">
        <f>VLOOKUP($E178,FC$442:FF$453,4,FALSE)*FC178*($K178)+(FC178-FD178-FE178)*(1-$K178)</f>
        <v>0</v>
      </c>
      <c r="FG178" s="3264"/>
      <c r="FJ178" s="3284">
        <f>VLOOKUP($A178,'New Resources - Individual'!$A$4:$Y$133,FJ$2,FALSE)*FJ$1</f>
        <v>0</v>
      </c>
      <c r="FK178" s="3235">
        <f>$G178+FJ178</f>
        <v>23219450</v>
      </c>
      <c r="FL178" s="3236">
        <f>VLOOKUP($E178,FK$442:FN$453,2,FALSE)*FK178*($K178)+IF($G178&lt;&gt;0,($H178/$G178)*FK178,0)*(1-$K178)</f>
        <v>23219450</v>
      </c>
      <c r="FM178" s="3236">
        <f>VLOOKUP($E178,FK$442:FN$453,3,FALSE)*FK178*($K178)+IF($G178&lt;&gt;0,($I178/$G178)*FK178,0)*(1-$K178)</f>
        <v>0</v>
      </c>
      <c r="FN178" s="3236">
        <f>VLOOKUP($E178,FK$442:FN$453,4,FALSE)*FK178*($K178)+(FK178-FL178-FM178)*(1-$K178)</f>
        <v>0</v>
      </c>
      <c r="FO178" s="3264"/>
    </row>
    <row r="179" spans="1:171">
      <c r="A179" s="3277"/>
      <c r="B179" s="2143" t="s">
        <v>457</v>
      </c>
      <c r="C179" s="2116"/>
      <c r="D179" s="2116"/>
      <c r="E179" s="2098"/>
      <c r="F179" s="2098"/>
      <c r="G179" s="2506"/>
      <c r="H179" s="2506"/>
      <c r="I179" s="2506"/>
      <c r="J179" s="3327"/>
      <c r="K179" s="3205"/>
      <c r="S179" s="3264"/>
      <c r="AA179" s="3264"/>
      <c r="AI179" s="3264"/>
      <c r="AQ179" s="3264"/>
      <c r="AY179" s="3264"/>
      <c r="BG179" s="3264"/>
      <c r="BO179" s="3264"/>
      <c r="BW179" s="3264"/>
      <c r="CE179" s="3264"/>
      <c r="CM179" s="3264"/>
      <c r="CU179" s="3264"/>
      <c r="DC179" s="3264"/>
      <c r="DK179" s="3264"/>
      <c r="DS179" s="3264"/>
      <c r="EA179" s="3264"/>
      <c r="EI179" s="3264"/>
      <c r="EQ179" s="3264"/>
      <c r="EY179" s="3264"/>
      <c r="FG179" s="3264"/>
      <c r="FO179" s="3264"/>
    </row>
    <row r="180" spans="1:171">
      <c r="A180" s="3254">
        <v>290</v>
      </c>
      <c r="B180" s="2103" t="s">
        <v>85</v>
      </c>
      <c r="C180" s="2464" t="s">
        <v>72</v>
      </c>
      <c r="D180" s="2464">
        <v>518</v>
      </c>
      <c r="E180" s="2424" t="str">
        <f>'Sch 3 - Expenses'!E20</f>
        <v>PROD</v>
      </c>
      <c r="F180" s="2171"/>
      <c r="G180" s="2424">
        <f>'Sch 3 - Expenses'!G20</f>
        <v>0</v>
      </c>
      <c r="H180" s="2424">
        <f>'Sch 3 - Expenses'!H20</f>
        <v>0</v>
      </c>
      <c r="I180" s="2424">
        <f>'Sch 3 - Expenses'!I20</f>
        <v>0</v>
      </c>
      <c r="J180" s="2425">
        <f>'Sch 3 - Expenses'!J20</f>
        <v>0</v>
      </c>
      <c r="K180" s="3205">
        <f t="shared" si="547"/>
        <v>1</v>
      </c>
      <c r="N180" s="3284">
        <f>VLOOKUP($A180,'New Resources - Individual'!$A$4:$Y$133,N$2,FALSE)*N$1</f>
        <v>0</v>
      </c>
      <c r="O180" s="3235">
        <f>$G180+N180</f>
        <v>0</v>
      </c>
      <c r="P180" s="3236">
        <f>VLOOKUP($E180,O$442:R$453,2,FALSE)*O180*($K180)+IF($G180&lt;&gt;0,($H180/$G180)*O180,0)*(1-$K180)</f>
        <v>0</v>
      </c>
      <c r="Q180" s="3236">
        <f>VLOOKUP($E180,O$442:R$453,3,FALSE)*O180*($K180)+IF($G180&lt;&gt;0,($I180/$G180)*O180,0)*(1-$K180)</f>
        <v>0</v>
      </c>
      <c r="R180" s="3236">
        <f>VLOOKUP($E180,O$442:R$453,4,FALSE)*O180*($K180)+(O180-P180-Q180)*(1-$K180)</f>
        <v>0</v>
      </c>
      <c r="S180" s="3264"/>
      <c r="V180" s="3284">
        <f>VLOOKUP($A180,'New Resources - Individual'!$A$4:$Y$133,V$2,FALSE)*V$1</f>
        <v>0</v>
      </c>
      <c r="W180" s="3235">
        <f>$G180+V180</f>
        <v>0</v>
      </c>
      <c r="X180" s="3236">
        <f>VLOOKUP($E180,W$442:Z$453,2,FALSE)*W180*($K180)+IF($G180&lt;&gt;0,($H180/$G180)*W180,0)*(1-$K180)</f>
        <v>0</v>
      </c>
      <c r="Y180" s="3236">
        <f>VLOOKUP($E180,W$442:Z$453,3,FALSE)*W180*($K180)+IF($G180&lt;&gt;0,($I180/$G180)*W180,0)*(1-$K180)</f>
        <v>0</v>
      </c>
      <c r="Z180" s="3236">
        <f>VLOOKUP($E180,W$442:Z$453,4,FALSE)*W180*($K180)+(W180-X180-Y180)*(1-$K180)</f>
        <v>0</v>
      </c>
      <c r="AA180" s="3264"/>
      <c r="AD180" s="3284">
        <f>VLOOKUP($A180,'New Resources - Individual'!$A$4:$Y$133,AD$2,FALSE)*AD$1</f>
        <v>0</v>
      </c>
      <c r="AE180" s="3235">
        <f>$G180+AD180</f>
        <v>0</v>
      </c>
      <c r="AF180" s="3236">
        <f>VLOOKUP($E180,AE$442:AH$453,2,FALSE)*AE180*($K180)+IF($G180&lt;&gt;0,($H180/$G180)*AE180,0)*(1-$K180)</f>
        <v>0</v>
      </c>
      <c r="AG180" s="3236">
        <f>VLOOKUP($E180,AE$442:AH$453,3,FALSE)*AE180*($K180)+IF($G180&lt;&gt;0,($I180/$G180)*AE180,0)*(1-$K180)</f>
        <v>0</v>
      </c>
      <c r="AH180" s="3236">
        <f>VLOOKUP($E180,AE$442:AH$453,4,FALSE)*AE180*($K180)+(AE180-AF180-AG180)*(1-$K180)</f>
        <v>0</v>
      </c>
      <c r="AI180" s="3264"/>
      <c r="AL180" s="3284">
        <f>VLOOKUP($A180,'New Resources - Individual'!$A$4:$Y$133,AL$2,FALSE)*AL$1</f>
        <v>0</v>
      </c>
      <c r="AM180" s="3235">
        <f>$G180+AL180</f>
        <v>0</v>
      </c>
      <c r="AN180" s="3236">
        <f>VLOOKUP($E180,AM$442:AP$453,2,FALSE)*AM180*($K180)+IF($G180&lt;&gt;0,($H180/$G180)*AM180,0)*(1-$K180)</f>
        <v>0</v>
      </c>
      <c r="AO180" s="3236">
        <f>VLOOKUP($E180,AM$442:AP$453,3,FALSE)*AM180*($K180)+IF($G180&lt;&gt;0,($I180/$G180)*AM180,0)*(1-$K180)</f>
        <v>0</v>
      </c>
      <c r="AP180" s="3236">
        <f>VLOOKUP($E180,AM$442:AP$453,4,FALSE)*AM180*($K180)+(AM180-AN180-AO180)*(1-$K180)</f>
        <v>0</v>
      </c>
      <c r="AQ180" s="3264"/>
      <c r="AT180" s="3284">
        <f>VLOOKUP($A180,'New Resources - Individual'!$A$4:$Y$133,AT$2,FALSE)*AT$1</f>
        <v>0</v>
      </c>
      <c r="AU180" s="3235">
        <f>$G180+AT180</f>
        <v>0</v>
      </c>
      <c r="AV180" s="3236">
        <f>VLOOKUP($E180,AU$442:AX$453,2,FALSE)*AU180*($K180)+IF($G180&lt;&gt;0,($H180/$G180)*AU180,0)*(1-$K180)</f>
        <v>0</v>
      </c>
      <c r="AW180" s="3236">
        <f>VLOOKUP($E180,AU$442:AX$453,3,FALSE)*AU180*($K180)+IF($G180&lt;&gt;0,($I180/$G180)*AU180,0)*(1-$K180)</f>
        <v>0</v>
      </c>
      <c r="AX180" s="3236">
        <f>VLOOKUP($E180,AU$442:AX$453,4,FALSE)*AU180*($K180)+(AU180-AV180-AW180)*(1-$K180)</f>
        <v>0</v>
      </c>
      <c r="AY180" s="3264"/>
      <c r="BB180" s="3284">
        <f>VLOOKUP($A180,'New Resources - Individual'!$A$4:$Y$133,BB$2,FALSE)*BB$1</f>
        <v>0</v>
      </c>
      <c r="BC180" s="3235">
        <f>$G180+BB180</f>
        <v>0</v>
      </c>
      <c r="BD180" s="3236">
        <f>VLOOKUP($E180,BC$442:BF$453,2,FALSE)*BC180*($K180)+IF($G180&lt;&gt;0,($H180/$G180)*BC180,0)*(1-$K180)</f>
        <v>0</v>
      </c>
      <c r="BE180" s="3236">
        <f>VLOOKUP($E180,BC$442:BF$453,3,FALSE)*BC180*($K180)+IF($G180&lt;&gt;0,($I180/$G180)*BC180,0)*(1-$K180)</f>
        <v>0</v>
      </c>
      <c r="BF180" s="3236">
        <f>VLOOKUP($E180,BC$442:BF$453,4,FALSE)*BC180*($K180)+(BC180-BD180-BE180)*(1-$K180)</f>
        <v>0</v>
      </c>
      <c r="BG180" s="3264"/>
      <c r="BJ180" s="3284">
        <f>VLOOKUP($A180,'New Resources - Individual'!$A$4:$Y$133,BJ$2,FALSE)*BJ$1</f>
        <v>0</v>
      </c>
      <c r="BK180" s="3235">
        <f>$G180+BJ180</f>
        <v>0</v>
      </c>
      <c r="BL180" s="3236">
        <f>VLOOKUP($E180,BK$442:BN$453,2,FALSE)*BK180*($K180)+IF($G180&lt;&gt;0,($H180/$G180)*BK180,0)*(1-$K180)</f>
        <v>0</v>
      </c>
      <c r="BM180" s="3236">
        <f>VLOOKUP($E180,BK$442:BN$453,3,FALSE)*BK180*($K180)+IF($G180&lt;&gt;0,($I180/$G180)*BK180,0)*(1-$K180)</f>
        <v>0</v>
      </c>
      <c r="BN180" s="3236">
        <f>VLOOKUP($E180,BK$442:BN$453,4,FALSE)*BK180*($K180)+(BK180-BL180-BM180)*(1-$K180)</f>
        <v>0</v>
      </c>
      <c r="BO180" s="3264"/>
      <c r="BR180" s="3284">
        <f>VLOOKUP($A180,'New Resources - Individual'!$A$4:$Y$133,BR$2,FALSE)*BR$1</f>
        <v>0</v>
      </c>
      <c r="BS180" s="3235">
        <f>$G180+BR180</f>
        <v>0</v>
      </c>
      <c r="BT180" s="3236">
        <f>VLOOKUP($E180,BS$442:BV$453,2,FALSE)*BS180*($K180)+IF($G180&lt;&gt;0,($H180/$G180)*BS180,0)*(1-$K180)</f>
        <v>0</v>
      </c>
      <c r="BU180" s="3236">
        <f>VLOOKUP($E180,BS$442:BV$453,3,FALSE)*BS180*($K180)+IF($G180&lt;&gt;0,($I180/$G180)*BS180,0)*(1-$K180)</f>
        <v>0</v>
      </c>
      <c r="BV180" s="3236">
        <f>VLOOKUP($E180,BS$442:BV$453,4,FALSE)*BS180*($K180)+(BS180-BT180-BU180)*(1-$K180)</f>
        <v>0</v>
      </c>
      <c r="BW180" s="3264"/>
      <c r="BZ180" s="3284">
        <f>VLOOKUP($A180,'New Resources - Individual'!$A$4:$Y$133,BZ$2,FALSE)*BZ$1</f>
        <v>0</v>
      </c>
      <c r="CA180" s="3235">
        <f>$G180+BZ180</f>
        <v>0</v>
      </c>
      <c r="CB180" s="3236">
        <f>VLOOKUP($E180,CA$442:CD$453,2,FALSE)*CA180*($K180)+IF($G180&lt;&gt;0,($H180/$G180)*CA180,0)*(1-$K180)</f>
        <v>0</v>
      </c>
      <c r="CC180" s="3236">
        <f>VLOOKUP($E180,CA$442:CD$453,3,FALSE)*CA180*($K180)+IF($G180&lt;&gt;0,($I180/$G180)*CA180,0)*(1-$K180)</f>
        <v>0</v>
      </c>
      <c r="CD180" s="3236">
        <f>VLOOKUP($E180,CA$442:CD$453,4,FALSE)*CA180*($K180)+(CA180-CB180-CC180)*(1-$K180)</f>
        <v>0</v>
      </c>
      <c r="CE180" s="3264"/>
      <c r="CH180" s="3284">
        <f>VLOOKUP($A180,'New Resources - Individual'!$A$4:$Y$133,CH$2,FALSE)*CH$1</f>
        <v>0</v>
      </c>
      <c r="CI180" s="3235">
        <f>$G180+CH180</f>
        <v>0</v>
      </c>
      <c r="CJ180" s="3236">
        <f>VLOOKUP($E180,CI$442:CL$453,2,FALSE)*CI180*($K180)+IF($G180&lt;&gt;0,($H180/$G180)*CI180,0)*(1-$K180)</f>
        <v>0</v>
      </c>
      <c r="CK180" s="3236">
        <f>VLOOKUP($E180,CI$442:CL$453,3,FALSE)*CI180*($K180)+IF($G180&lt;&gt;0,($I180/$G180)*CI180,0)*(1-$K180)</f>
        <v>0</v>
      </c>
      <c r="CL180" s="3236">
        <f>VLOOKUP($E180,CI$442:CL$453,4,FALSE)*CI180*($K180)+(CI180-CJ180-CK180)*(1-$K180)</f>
        <v>0</v>
      </c>
      <c r="CM180" s="3264"/>
      <c r="CP180" s="3284">
        <f>VLOOKUP($A180,'New Resources - Individual'!$A$4:$Y$133,CP$2,FALSE)*CP$1</f>
        <v>0</v>
      </c>
      <c r="CQ180" s="3235">
        <f>$G180+CP180</f>
        <v>0</v>
      </c>
      <c r="CR180" s="3236">
        <f>VLOOKUP($E180,CQ$442:CT$453,2,FALSE)*CQ180*($K180)+IF($G180&lt;&gt;0,($H180/$G180)*CQ180,0)*(1-$K180)</f>
        <v>0</v>
      </c>
      <c r="CS180" s="3236">
        <f>VLOOKUP($E180,CQ$442:CT$453,3,FALSE)*CQ180*($K180)+IF($G180&lt;&gt;0,($I180/$G180)*CQ180,0)*(1-$K180)</f>
        <v>0</v>
      </c>
      <c r="CT180" s="3236">
        <f>VLOOKUP($E180,CQ$442:CT$453,4,FALSE)*CQ180*($K180)+(CQ180-CR180-CS180)*(1-$K180)</f>
        <v>0</v>
      </c>
      <c r="CU180" s="3264"/>
      <c r="CX180" s="3284">
        <f>VLOOKUP($A180,'New Resources - Individual'!$A$4:$Y$133,CX$2,FALSE)*CX$1</f>
        <v>0</v>
      </c>
      <c r="CY180" s="3235">
        <f>$G180+CX180</f>
        <v>0</v>
      </c>
      <c r="CZ180" s="3236">
        <f>VLOOKUP($E180,CY$442:DB$453,2,FALSE)*CY180*($K180)+IF($G180&lt;&gt;0,($H180/$G180)*CY180,0)*(1-$K180)</f>
        <v>0</v>
      </c>
      <c r="DA180" s="3236">
        <f>VLOOKUP($E180,CY$442:DB$453,3,FALSE)*CY180*($K180)+IF($G180&lt;&gt;0,($I180/$G180)*CY180,0)*(1-$K180)</f>
        <v>0</v>
      </c>
      <c r="DB180" s="3236">
        <f>VLOOKUP($E180,CY$442:DB$453,4,FALSE)*CY180*($K180)+(CY180-CZ180-DA180)*(1-$K180)</f>
        <v>0</v>
      </c>
      <c r="DC180" s="3264"/>
      <c r="DF180" s="3284">
        <f>VLOOKUP($A180,'New Resources - Individual'!$A$4:$Y$133,DF$2,FALSE)*DF$1</f>
        <v>0</v>
      </c>
      <c r="DG180" s="3235">
        <f>$G180+DF180</f>
        <v>0</v>
      </c>
      <c r="DH180" s="3236">
        <f>VLOOKUP($E180,DG$442:DJ$453,2,FALSE)*DG180*($K180)+IF($G180&lt;&gt;0,($H180/$G180)*DG180,0)*(1-$K180)</f>
        <v>0</v>
      </c>
      <c r="DI180" s="3236">
        <f>VLOOKUP($E180,DG$442:DJ$453,3,FALSE)*DG180*($K180)+IF($G180&lt;&gt;0,($I180/$G180)*DG180,0)*(1-$K180)</f>
        <v>0</v>
      </c>
      <c r="DJ180" s="3236">
        <f>VLOOKUP($E180,DG$442:DJ$453,4,FALSE)*DG180*($K180)+(DG180-DH180-DI180)*(1-$K180)</f>
        <v>0</v>
      </c>
      <c r="DK180" s="3264"/>
      <c r="DN180" s="3284">
        <f>VLOOKUP($A180,'New Resources - Individual'!$A$4:$Y$133,DN$2,FALSE)*DN$1</f>
        <v>0</v>
      </c>
      <c r="DO180" s="3235">
        <f>$G180+DN180</f>
        <v>0</v>
      </c>
      <c r="DP180" s="3236">
        <f>VLOOKUP($E180,DO$442:DR$453,2,FALSE)*DO180*($K180)+IF($G180&lt;&gt;0,($H180/$G180)*DO180,0)*(1-$K180)</f>
        <v>0</v>
      </c>
      <c r="DQ180" s="3236">
        <f>VLOOKUP($E180,DO$442:DR$453,3,FALSE)*DO180*($K180)+IF($G180&lt;&gt;0,($I180/$G180)*DO180,0)*(1-$K180)</f>
        <v>0</v>
      </c>
      <c r="DR180" s="3236">
        <f>VLOOKUP($E180,DO$442:DR$453,4,FALSE)*DO180*($K180)+(DO180-DP180-DQ180)*(1-$K180)</f>
        <v>0</v>
      </c>
      <c r="DS180" s="3264"/>
      <c r="DV180" s="3284">
        <f>VLOOKUP($A180,'New Resources - Individual'!$A$4:$Y$133,DV$2,FALSE)*DV$1</f>
        <v>0</v>
      </c>
      <c r="DW180" s="3235">
        <f>$G180+DV180</f>
        <v>0</v>
      </c>
      <c r="DX180" s="3236">
        <f>VLOOKUP($E180,DW$442:DZ$453,2,FALSE)*DW180*($K180)+IF($G180&lt;&gt;0,($H180/$G180)*DW180,0)*(1-$K180)</f>
        <v>0</v>
      </c>
      <c r="DY180" s="3236">
        <f>VLOOKUP($E180,DW$442:DZ$453,3,FALSE)*DW180*($K180)+IF($G180&lt;&gt;0,($I180/$G180)*DW180,0)*(1-$K180)</f>
        <v>0</v>
      </c>
      <c r="DZ180" s="3236">
        <f>VLOOKUP($E180,DW$442:DZ$453,4,FALSE)*DW180*($K180)+(DW180-DX180-DY180)*(1-$K180)</f>
        <v>0</v>
      </c>
      <c r="EA180" s="3264"/>
      <c r="ED180" s="3284">
        <f>VLOOKUP($A180,'New Resources - Individual'!$A$4:$Y$133,ED$2,FALSE)*ED$1</f>
        <v>0</v>
      </c>
      <c r="EE180" s="3235">
        <f>$G180+ED180</f>
        <v>0</v>
      </c>
      <c r="EF180" s="3236">
        <f>VLOOKUP($E180,EE$442:EH$453,2,FALSE)*EE180*($K180)+IF($G180&lt;&gt;0,($H180/$G180)*EE180,0)*(1-$K180)</f>
        <v>0</v>
      </c>
      <c r="EG180" s="3236">
        <f>VLOOKUP($E180,EE$442:EH$453,3,FALSE)*EE180*($K180)+IF($G180&lt;&gt;0,($I180/$G180)*EE180,0)*(1-$K180)</f>
        <v>0</v>
      </c>
      <c r="EH180" s="3236">
        <f>VLOOKUP($E180,EE$442:EH$453,4,FALSE)*EE180*($K180)+(EE180-EF180-EG180)*(1-$K180)</f>
        <v>0</v>
      </c>
      <c r="EI180" s="3264"/>
      <c r="EL180" s="3284">
        <f>VLOOKUP($A180,'New Resources - Individual'!$A$4:$Y$133,EL$2,FALSE)*EL$1</f>
        <v>0</v>
      </c>
      <c r="EM180" s="3235">
        <f>$G180+EL180</f>
        <v>0</v>
      </c>
      <c r="EN180" s="3236">
        <f>VLOOKUP($E180,EM$442:EP$453,2,FALSE)*EM180*($K180)+IF($G180&lt;&gt;0,($H180/$G180)*EM180,0)*(1-$K180)</f>
        <v>0</v>
      </c>
      <c r="EO180" s="3236">
        <f>VLOOKUP($E180,EM$442:EP$453,3,FALSE)*EM180*($K180)+IF($G180&lt;&gt;0,($I180/$G180)*EM180,0)*(1-$K180)</f>
        <v>0</v>
      </c>
      <c r="EP180" s="3236">
        <f>VLOOKUP($E180,EM$442:EP$453,4,FALSE)*EM180*($K180)+(EM180-EN180-EO180)*(1-$K180)</f>
        <v>0</v>
      </c>
      <c r="EQ180" s="3264"/>
      <c r="ET180" s="3284">
        <f>VLOOKUP($A180,'New Resources - Individual'!$A$4:$Y$133,ET$2,FALSE)*ET$1</f>
        <v>0</v>
      </c>
      <c r="EU180" s="3235">
        <f>$G180+ET180</f>
        <v>0</v>
      </c>
      <c r="EV180" s="3236">
        <f>VLOOKUP($E180,EU$442:EX$453,2,FALSE)*EU180*($K180)+IF($G180&lt;&gt;0,($H180/$G180)*EU180,0)*(1-$K180)</f>
        <v>0</v>
      </c>
      <c r="EW180" s="3236">
        <f>VLOOKUP($E180,EU$442:EX$453,3,FALSE)*EU180*($K180)+IF($G180&lt;&gt;0,($I180/$G180)*EU180,0)*(1-$K180)</f>
        <v>0</v>
      </c>
      <c r="EX180" s="3236">
        <f>VLOOKUP($E180,EU$442:EX$453,4,FALSE)*EU180*($K180)+(EU180-EV180-EW180)*(1-$K180)</f>
        <v>0</v>
      </c>
      <c r="EY180" s="3264"/>
      <c r="FB180" s="3284">
        <f>VLOOKUP($A180,'New Resources - Individual'!$A$4:$Y$133,FB$2,FALSE)*FB$1</f>
        <v>0</v>
      </c>
      <c r="FC180" s="3235">
        <f>$G180+FB180</f>
        <v>0</v>
      </c>
      <c r="FD180" s="3236">
        <f>VLOOKUP($E180,FC$442:FF$453,2,FALSE)*FC180*($K180)+IF($G180&lt;&gt;0,($H180/$G180)*FC180,0)*(1-$K180)</f>
        <v>0</v>
      </c>
      <c r="FE180" s="3236">
        <f>VLOOKUP($E180,FC$442:FF$453,3,FALSE)*FC180*($K180)+IF($G180&lt;&gt;0,($I180/$G180)*FC180,0)*(1-$K180)</f>
        <v>0</v>
      </c>
      <c r="FF180" s="3236">
        <f>VLOOKUP($E180,FC$442:FF$453,4,FALSE)*FC180*($K180)+(FC180-FD180-FE180)*(1-$K180)</f>
        <v>0</v>
      </c>
      <c r="FG180" s="3264"/>
      <c r="FJ180" s="3284">
        <f>VLOOKUP($A180,'New Resources - Individual'!$A$4:$Y$133,FJ$2,FALSE)*FJ$1</f>
        <v>0</v>
      </c>
      <c r="FK180" s="3235">
        <f>$G180+FJ180</f>
        <v>0</v>
      </c>
      <c r="FL180" s="3236">
        <f>VLOOKUP($E180,FK$442:FN$453,2,FALSE)*FK180*($K180)+IF($G180&lt;&gt;0,($H180/$G180)*FK180,0)*(1-$K180)</f>
        <v>0</v>
      </c>
      <c r="FM180" s="3236">
        <f>VLOOKUP($E180,FK$442:FN$453,3,FALSE)*FK180*($K180)+IF($G180&lt;&gt;0,($I180/$G180)*FK180,0)*(1-$K180)</f>
        <v>0</v>
      </c>
      <c r="FN180" s="3236">
        <f>VLOOKUP($E180,FK$442:FN$453,4,FALSE)*FK180*($K180)+(FK180-FL180-FM180)*(1-$K180)</f>
        <v>0</v>
      </c>
      <c r="FO180" s="3264"/>
    </row>
    <row r="181" spans="1:171">
      <c r="A181" s="3254">
        <v>300</v>
      </c>
      <c r="B181" s="2185" t="s">
        <v>262</v>
      </c>
      <c r="C181" s="2464" t="s">
        <v>72</v>
      </c>
      <c r="D181" s="2464" t="s">
        <v>452</v>
      </c>
      <c r="E181" s="2424" t="str">
        <f>'Sch 3 - Expenses'!E21</f>
        <v>PROD</v>
      </c>
      <c r="F181" s="2171"/>
      <c r="G181" s="2424">
        <f>'Sch 3 - Expenses'!G21</f>
        <v>0</v>
      </c>
      <c r="H181" s="2424">
        <f>'Sch 3 - Expenses'!H21</f>
        <v>0</v>
      </c>
      <c r="I181" s="2424">
        <f>'Sch 3 - Expenses'!I21</f>
        <v>0</v>
      </c>
      <c r="J181" s="2425">
        <f>'Sch 3 - Expenses'!J21</f>
        <v>0</v>
      </c>
      <c r="K181" s="3205">
        <f t="shared" si="547"/>
        <v>1</v>
      </c>
      <c r="N181" s="3284">
        <f>VLOOKUP($A181,'New Resources - Individual'!$A$4:$Y$133,N$2,FALSE)*N$1</f>
        <v>0</v>
      </c>
      <c r="O181" s="3235">
        <f>$G181+N181</f>
        <v>0</v>
      </c>
      <c r="P181" s="3236">
        <f>VLOOKUP($E181,O$442:R$453,2,FALSE)*O181*($K181)+IF($G181&lt;&gt;0,($H181/$G181)*O181,0)*(1-$K181)</f>
        <v>0</v>
      </c>
      <c r="Q181" s="3236">
        <f>VLOOKUP($E181,O$442:R$453,3,FALSE)*O181*($K181)+IF($G181&lt;&gt;0,($I181/$G181)*O181,0)*(1-$K181)</f>
        <v>0</v>
      </c>
      <c r="R181" s="3236">
        <f>VLOOKUP($E181,O$442:R$453,4,FALSE)*O181*($K181)+(O181-P181-Q181)*(1-$K181)</f>
        <v>0</v>
      </c>
      <c r="S181" s="3264"/>
      <c r="V181" s="3284">
        <f>VLOOKUP($A181,'New Resources - Individual'!$A$4:$Y$133,V$2,FALSE)*V$1</f>
        <v>0</v>
      </c>
      <c r="W181" s="3235">
        <f>$G181+V181</f>
        <v>0</v>
      </c>
      <c r="X181" s="3236">
        <f>VLOOKUP($E181,W$442:Z$453,2,FALSE)*W181*($K181)+IF($G181&lt;&gt;0,($H181/$G181)*W181,0)*(1-$K181)</f>
        <v>0</v>
      </c>
      <c r="Y181" s="3236">
        <f>VLOOKUP($E181,W$442:Z$453,3,FALSE)*W181*($K181)+IF($G181&lt;&gt;0,($I181/$G181)*W181,0)*(1-$K181)</f>
        <v>0</v>
      </c>
      <c r="Z181" s="3236">
        <f>VLOOKUP($E181,W$442:Z$453,4,FALSE)*W181*($K181)+(W181-X181-Y181)*(1-$K181)</f>
        <v>0</v>
      </c>
      <c r="AA181" s="3264"/>
      <c r="AD181" s="3284">
        <f>VLOOKUP($A181,'New Resources - Individual'!$A$4:$Y$133,AD$2,FALSE)*AD$1</f>
        <v>0</v>
      </c>
      <c r="AE181" s="3235">
        <f>$G181+AD181</f>
        <v>0</v>
      </c>
      <c r="AF181" s="3236">
        <f>VLOOKUP($E181,AE$442:AH$453,2,FALSE)*AE181*($K181)+IF($G181&lt;&gt;0,($H181/$G181)*AE181,0)*(1-$K181)</f>
        <v>0</v>
      </c>
      <c r="AG181" s="3236">
        <f>VLOOKUP($E181,AE$442:AH$453,3,FALSE)*AE181*($K181)+IF($G181&lt;&gt;0,($I181/$G181)*AE181,0)*(1-$K181)</f>
        <v>0</v>
      </c>
      <c r="AH181" s="3236">
        <f>VLOOKUP($E181,AE$442:AH$453,4,FALSE)*AE181*($K181)+(AE181-AF181-AG181)*(1-$K181)</f>
        <v>0</v>
      </c>
      <c r="AI181" s="3264"/>
      <c r="AL181" s="3284">
        <f>VLOOKUP($A181,'New Resources - Individual'!$A$4:$Y$133,AL$2,FALSE)*AL$1</f>
        <v>0</v>
      </c>
      <c r="AM181" s="3235">
        <f>$G181+AL181</f>
        <v>0</v>
      </c>
      <c r="AN181" s="3236">
        <f>VLOOKUP($E181,AM$442:AP$453,2,FALSE)*AM181*($K181)+IF($G181&lt;&gt;0,($H181/$G181)*AM181,0)*(1-$K181)</f>
        <v>0</v>
      </c>
      <c r="AO181" s="3236">
        <f>VLOOKUP($E181,AM$442:AP$453,3,FALSE)*AM181*($K181)+IF($G181&lt;&gt;0,($I181/$G181)*AM181,0)*(1-$K181)</f>
        <v>0</v>
      </c>
      <c r="AP181" s="3236">
        <f>VLOOKUP($E181,AM$442:AP$453,4,FALSE)*AM181*($K181)+(AM181-AN181-AO181)*(1-$K181)</f>
        <v>0</v>
      </c>
      <c r="AQ181" s="3264"/>
      <c r="AT181" s="3284">
        <f>VLOOKUP($A181,'New Resources - Individual'!$A$4:$Y$133,AT$2,FALSE)*AT$1</f>
        <v>0</v>
      </c>
      <c r="AU181" s="3235">
        <f>$G181+AT181</f>
        <v>0</v>
      </c>
      <c r="AV181" s="3236">
        <f>VLOOKUP($E181,AU$442:AX$453,2,FALSE)*AU181*($K181)+IF($G181&lt;&gt;0,($H181/$G181)*AU181,0)*(1-$K181)</f>
        <v>0</v>
      </c>
      <c r="AW181" s="3236">
        <f>VLOOKUP($E181,AU$442:AX$453,3,FALSE)*AU181*($K181)+IF($G181&lt;&gt;0,($I181/$G181)*AU181,0)*(1-$K181)</f>
        <v>0</v>
      </c>
      <c r="AX181" s="3236">
        <f>VLOOKUP($E181,AU$442:AX$453,4,FALSE)*AU181*($K181)+(AU181-AV181-AW181)*(1-$K181)</f>
        <v>0</v>
      </c>
      <c r="AY181" s="3264"/>
      <c r="BB181" s="3284">
        <f>VLOOKUP($A181,'New Resources - Individual'!$A$4:$Y$133,BB$2,FALSE)*BB$1</f>
        <v>0</v>
      </c>
      <c r="BC181" s="3235">
        <f>$G181+BB181</f>
        <v>0</v>
      </c>
      <c r="BD181" s="3236">
        <f>VLOOKUP($E181,BC$442:BF$453,2,FALSE)*BC181*($K181)+IF($G181&lt;&gt;0,($H181/$G181)*BC181,0)*(1-$K181)</f>
        <v>0</v>
      </c>
      <c r="BE181" s="3236">
        <f>VLOOKUP($E181,BC$442:BF$453,3,FALSE)*BC181*($K181)+IF($G181&lt;&gt;0,($I181/$G181)*BC181,0)*(1-$K181)</f>
        <v>0</v>
      </c>
      <c r="BF181" s="3236">
        <f>VLOOKUP($E181,BC$442:BF$453,4,FALSE)*BC181*($K181)+(BC181-BD181-BE181)*(1-$K181)</f>
        <v>0</v>
      </c>
      <c r="BG181" s="3264"/>
      <c r="BJ181" s="3284">
        <f>VLOOKUP($A181,'New Resources - Individual'!$A$4:$Y$133,BJ$2,FALSE)*BJ$1</f>
        <v>0</v>
      </c>
      <c r="BK181" s="3235">
        <f>$G181+BJ181</f>
        <v>0</v>
      </c>
      <c r="BL181" s="3236">
        <f>VLOOKUP($E181,BK$442:BN$453,2,FALSE)*BK181*($K181)+IF($G181&lt;&gt;0,($H181/$G181)*BK181,0)*(1-$K181)</f>
        <v>0</v>
      </c>
      <c r="BM181" s="3236">
        <f>VLOOKUP($E181,BK$442:BN$453,3,FALSE)*BK181*($K181)+IF($G181&lt;&gt;0,($I181/$G181)*BK181,0)*(1-$K181)</f>
        <v>0</v>
      </c>
      <c r="BN181" s="3236">
        <f>VLOOKUP($E181,BK$442:BN$453,4,FALSE)*BK181*($K181)+(BK181-BL181-BM181)*(1-$K181)</f>
        <v>0</v>
      </c>
      <c r="BO181" s="3264"/>
      <c r="BR181" s="3284">
        <f>VLOOKUP($A181,'New Resources - Individual'!$A$4:$Y$133,BR$2,FALSE)*BR$1</f>
        <v>0</v>
      </c>
      <c r="BS181" s="3235">
        <f>$G181+BR181</f>
        <v>0</v>
      </c>
      <c r="BT181" s="3236">
        <f>VLOOKUP($E181,BS$442:BV$453,2,FALSE)*BS181*($K181)+IF($G181&lt;&gt;0,($H181/$G181)*BS181,0)*(1-$K181)</f>
        <v>0</v>
      </c>
      <c r="BU181" s="3236">
        <f>VLOOKUP($E181,BS$442:BV$453,3,FALSE)*BS181*($K181)+IF($G181&lt;&gt;0,($I181/$G181)*BS181,0)*(1-$K181)</f>
        <v>0</v>
      </c>
      <c r="BV181" s="3236">
        <f>VLOOKUP($E181,BS$442:BV$453,4,FALSE)*BS181*($K181)+(BS181-BT181-BU181)*(1-$K181)</f>
        <v>0</v>
      </c>
      <c r="BW181" s="3264"/>
      <c r="BZ181" s="3284">
        <f>VLOOKUP($A181,'New Resources - Individual'!$A$4:$Y$133,BZ$2,FALSE)*BZ$1</f>
        <v>0</v>
      </c>
      <c r="CA181" s="3235">
        <f>$G181+BZ181</f>
        <v>0</v>
      </c>
      <c r="CB181" s="3236">
        <f>VLOOKUP($E181,CA$442:CD$453,2,FALSE)*CA181*($K181)+IF($G181&lt;&gt;0,($H181/$G181)*CA181,0)*(1-$K181)</f>
        <v>0</v>
      </c>
      <c r="CC181" s="3236">
        <f>VLOOKUP($E181,CA$442:CD$453,3,FALSE)*CA181*($K181)+IF($G181&lt;&gt;0,($I181/$G181)*CA181,0)*(1-$K181)</f>
        <v>0</v>
      </c>
      <c r="CD181" s="3236">
        <f>VLOOKUP($E181,CA$442:CD$453,4,FALSE)*CA181*($K181)+(CA181-CB181-CC181)*(1-$K181)</f>
        <v>0</v>
      </c>
      <c r="CE181" s="3264"/>
      <c r="CH181" s="3284">
        <f>VLOOKUP($A181,'New Resources - Individual'!$A$4:$Y$133,CH$2,FALSE)*CH$1</f>
        <v>0</v>
      </c>
      <c r="CI181" s="3235">
        <f>$G181+CH181</f>
        <v>0</v>
      </c>
      <c r="CJ181" s="3236">
        <f>VLOOKUP($E181,CI$442:CL$453,2,FALSE)*CI181*($K181)+IF($G181&lt;&gt;0,($H181/$G181)*CI181,0)*(1-$K181)</f>
        <v>0</v>
      </c>
      <c r="CK181" s="3236">
        <f>VLOOKUP($E181,CI$442:CL$453,3,FALSE)*CI181*($K181)+IF($G181&lt;&gt;0,($I181/$G181)*CI181,0)*(1-$K181)</f>
        <v>0</v>
      </c>
      <c r="CL181" s="3236">
        <f>VLOOKUP($E181,CI$442:CL$453,4,FALSE)*CI181*($K181)+(CI181-CJ181-CK181)*(1-$K181)</f>
        <v>0</v>
      </c>
      <c r="CM181" s="3264"/>
      <c r="CP181" s="3284">
        <f>VLOOKUP($A181,'New Resources - Individual'!$A$4:$Y$133,CP$2,FALSE)*CP$1</f>
        <v>0</v>
      </c>
      <c r="CQ181" s="3235">
        <f>$G181+CP181</f>
        <v>0</v>
      </c>
      <c r="CR181" s="3236">
        <f>VLOOKUP($E181,CQ$442:CT$453,2,FALSE)*CQ181*($K181)+IF($G181&lt;&gt;0,($H181/$G181)*CQ181,0)*(1-$K181)</f>
        <v>0</v>
      </c>
      <c r="CS181" s="3236">
        <f>VLOOKUP($E181,CQ$442:CT$453,3,FALSE)*CQ181*($K181)+IF($G181&lt;&gt;0,($I181/$G181)*CQ181,0)*(1-$K181)</f>
        <v>0</v>
      </c>
      <c r="CT181" s="3236">
        <f>VLOOKUP($E181,CQ$442:CT$453,4,FALSE)*CQ181*($K181)+(CQ181-CR181-CS181)*(1-$K181)</f>
        <v>0</v>
      </c>
      <c r="CU181" s="3264"/>
      <c r="CX181" s="3284">
        <f>VLOOKUP($A181,'New Resources - Individual'!$A$4:$Y$133,CX$2,FALSE)*CX$1</f>
        <v>0</v>
      </c>
      <c r="CY181" s="3235">
        <f>$G181+CX181</f>
        <v>0</v>
      </c>
      <c r="CZ181" s="3236">
        <f>VLOOKUP($E181,CY$442:DB$453,2,FALSE)*CY181*($K181)+IF($G181&lt;&gt;0,($H181/$G181)*CY181,0)*(1-$K181)</f>
        <v>0</v>
      </c>
      <c r="DA181" s="3236">
        <f>VLOOKUP($E181,CY$442:DB$453,3,FALSE)*CY181*($K181)+IF($G181&lt;&gt;0,($I181/$G181)*CY181,0)*(1-$K181)</f>
        <v>0</v>
      </c>
      <c r="DB181" s="3236">
        <f>VLOOKUP($E181,CY$442:DB$453,4,FALSE)*CY181*($K181)+(CY181-CZ181-DA181)*(1-$K181)</f>
        <v>0</v>
      </c>
      <c r="DC181" s="3264"/>
      <c r="DF181" s="3284">
        <f>VLOOKUP($A181,'New Resources - Individual'!$A$4:$Y$133,DF$2,FALSE)*DF$1</f>
        <v>0</v>
      </c>
      <c r="DG181" s="3235">
        <f>$G181+DF181</f>
        <v>0</v>
      </c>
      <c r="DH181" s="3236">
        <f>VLOOKUP($E181,DG$442:DJ$453,2,FALSE)*DG181*($K181)+IF($G181&lt;&gt;0,($H181/$G181)*DG181,0)*(1-$K181)</f>
        <v>0</v>
      </c>
      <c r="DI181" s="3236">
        <f>VLOOKUP($E181,DG$442:DJ$453,3,FALSE)*DG181*($K181)+IF($G181&lt;&gt;0,($I181/$G181)*DG181,0)*(1-$K181)</f>
        <v>0</v>
      </c>
      <c r="DJ181" s="3236">
        <f>VLOOKUP($E181,DG$442:DJ$453,4,FALSE)*DG181*($K181)+(DG181-DH181-DI181)*(1-$K181)</f>
        <v>0</v>
      </c>
      <c r="DK181" s="3264"/>
      <c r="DN181" s="3284">
        <f>VLOOKUP($A181,'New Resources - Individual'!$A$4:$Y$133,DN$2,FALSE)*DN$1</f>
        <v>0</v>
      </c>
      <c r="DO181" s="3235">
        <f>$G181+DN181</f>
        <v>0</v>
      </c>
      <c r="DP181" s="3236">
        <f>VLOOKUP($E181,DO$442:DR$453,2,FALSE)*DO181*($K181)+IF($G181&lt;&gt;0,($H181/$G181)*DO181,0)*(1-$K181)</f>
        <v>0</v>
      </c>
      <c r="DQ181" s="3236">
        <f>VLOOKUP($E181,DO$442:DR$453,3,FALSE)*DO181*($K181)+IF($G181&lt;&gt;0,($I181/$G181)*DO181,0)*(1-$K181)</f>
        <v>0</v>
      </c>
      <c r="DR181" s="3236">
        <f>VLOOKUP($E181,DO$442:DR$453,4,FALSE)*DO181*($K181)+(DO181-DP181-DQ181)*(1-$K181)</f>
        <v>0</v>
      </c>
      <c r="DS181" s="3264"/>
      <c r="DV181" s="3284">
        <f>VLOOKUP($A181,'New Resources - Individual'!$A$4:$Y$133,DV$2,FALSE)*DV$1</f>
        <v>0</v>
      </c>
      <c r="DW181" s="3235">
        <f>$G181+DV181</f>
        <v>0</v>
      </c>
      <c r="DX181" s="3236">
        <f>VLOOKUP($E181,DW$442:DZ$453,2,FALSE)*DW181*($K181)+IF($G181&lt;&gt;0,($H181/$G181)*DW181,0)*(1-$K181)</f>
        <v>0</v>
      </c>
      <c r="DY181" s="3236">
        <f>VLOOKUP($E181,DW$442:DZ$453,3,FALSE)*DW181*($K181)+IF($G181&lt;&gt;0,($I181/$G181)*DW181,0)*(1-$K181)</f>
        <v>0</v>
      </c>
      <c r="DZ181" s="3236">
        <f>VLOOKUP($E181,DW$442:DZ$453,4,FALSE)*DW181*($K181)+(DW181-DX181-DY181)*(1-$K181)</f>
        <v>0</v>
      </c>
      <c r="EA181" s="3264"/>
      <c r="ED181" s="3284">
        <f>VLOOKUP($A181,'New Resources - Individual'!$A$4:$Y$133,ED$2,FALSE)*ED$1</f>
        <v>0</v>
      </c>
      <c r="EE181" s="3235">
        <f>$G181+ED181</f>
        <v>0</v>
      </c>
      <c r="EF181" s="3236">
        <f>VLOOKUP($E181,EE$442:EH$453,2,FALSE)*EE181*($K181)+IF($G181&lt;&gt;0,($H181/$G181)*EE181,0)*(1-$K181)</f>
        <v>0</v>
      </c>
      <c r="EG181" s="3236">
        <f>VLOOKUP($E181,EE$442:EH$453,3,FALSE)*EE181*($K181)+IF($G181&lt;&gt;0,($I181/$G181)*EE181,0)*(1-$K181)</f>
        <v>0</v>
      </c>
      <c r="EH181" s="3236">
        <f>VLOOKUP($E181,EE$442:EH$453,4,FALSE)*EE181*($K181)+(EE181-EF181-EG181)*(1-$K181)</f>
        <v>0</v>
      </c>
      <c r="EI181" s="3264"/>
      <c r="EL181" s="3284">
        <f>VLOOKUP($A181,'New Resources - Individual'!$A$4:$Y$133,EL$2,FALSE)*EL$1</f>
        <v>0</v>
      </c>
      <c r="EM181" s="3235">
        <f>$G181+EL181</f>
        <v>0</v>
      </c>
      <c r="EN181" s="3236">
        <f>VLOOKUP($E181,EM$442:EP$453,2,FALSE)*EM181*($K181)+IF($G181&lt;&gt;0,($H181/$G181)*EM181,0)*(1-$K181)</f>
        <v>0</v>
      </c>
      <c r="EO181" s="3236">
        <f>VLOOKUP($E181,EM$442:EP$453,3,FALSE)*EM181*($K181)+IF($G181&lt;&gt;0,($I181/$G181)*EM181,0)*(1-$K181)</f>
        <v>0</v>
      </c>
      <c r="EP181" s="3236">
        <f>VLOOKUP($E181,EM$442:EP$453,4,FALSE)*EM181*($K181)+(EM181-EN181-EO181)*(1-$K181)</f>
        <v>0</v>
      </c>
      <c r="EQ181" s="3264"/>
      <c r="ET181" s="3284">
        <f>VLOOKUP($A181,'New Resources - Individual'!$A$4:$Y$133,ET$2,FALSE)*ET$1</f>
        <v>0</v>
      </c>
      <c r="EU181" s="3235">
        <f>$G181+ET181</f>
        <v>0</v>
      </c>
      <c r="EV181" s="3236">
        <f>VLOOKUP($E181,EU$442:EX$453,2,FALSE)*EU181*($K181)+IF($G181&lt;&gt;0,($H181/$G181)*EU181,0)*(1-$K181)</f>
        <v>0</v>
      </c>
      <c r="EW181" s="3236">
        <f>VLOOKUP($E181,EU$442:EX$453,3,FALSE)*EU181*($K181)+IF($G181&lt;&gt;0,($I181/$G181)*EU181,0)*(1-$K181)</f>
        <v>0</v>
      </c>
      <c r="EX181" s="3236">
        <f>VLOOKUP($E181,EU$442:EX$453,4,FALSE)*EU181*($K181)+(EU181-EV181-EW181)*(1-$K181)</f>
        <v>0</v>
      </c>
      <c r="EY181" s="3264"/>
      <c r="FB181" s="3284">
        <f>VLOOKUP($A181,'New Resources - Individual'!$A$4:$Y$133,FB$2,FALSE)*FB$1</f>
        <v>0</v>
      </c>
      <c r="FC181" s="3235">
        <f>$G181+FB181</f>
        <v>0</v>
      </c>
      <c r="FD181" s="3236">
        <f>VLOOKUP($E181,FC$442:FF$453,2,FALSE)*FC181*($K181)+IF($G181&lt;&gt;0,($H181/$G181)*FC181,0)*(1-$K181)</f>
        <v>0</v>
      </c>
      <c r="FE181" s="3236">
        <f>VLOOKUP($E181,FC$442:FF$453,3,FALSE)*FC181*($K181)+IF($G181&lt;&gt;0,($I181/$G181)*FC181,0)*(1-$K181)</f>
        <v>0</v>
      </c>
      <c r="FF181" s="3236">
        <f>VLOOKUP($E181,FC$442:FF$453,4,FALSE)*FC181*($K181)+(FC181-FD181-FE181)*(1-$K181)</f>
        <v>0</v>
      </c>
      <c r="FG181" s="3264"/>
      <c r="FJ181" s="3284">
        <f>VLOOKUP($A181,'New Resources - Individual'!$A$4:$Y$133,FJ$2,FALSE)*FJ$1</f>
        <v>0</v>
      </c>
      <c r="FK181" s="3235">
        <f>$G181+FJ181</f>
        <v>0</v>
      </c>
      <c r="FL181" s="3236">
        <f>VLOOKUP($E181,FK$442:FN$453,2,FALSE)*FK181*($K181)+IF($G181&lt;&gt;0,($H181/$G181)*FK181,0)*(1-$K181)</f>
        <v>0</v>
      </c>
      <c r="FM181" s="3236">
        <f>VLOOKUP($E181,FK$442:FN$453,3,FALSE)*FK181*($K181)+IF($G181&lt;&gt;0,($I181/$G181)*FK181,0)*(1-$K181)</f>
        <v>0</v>
      </c>
      <c r="FN181" s="3236">
        <f>VLOOKUP($E181,FK$442:FN$453,4,FALSE)*FK181*($K181)+(FK181-FL181-FM181)*(1-$K181)</f>
        <v>0</v>
      </c>
      <c r="FO181" s="3264"/>
    </row>
    <row r="182" spans="1:171">
      <c r="A182" s="3254">
        <v>310</v>
      </c>
      <c r="B182" s="2097" t="s">
        <v>478</v>
      </c>
      <c r="C182" s="2464" t="s">
        <v>72</v>
      </c>
      <c r="D182" s="2464" t="s">
        <v>479</v>
      </c>
      <c r="E182" s="2424" t="str">
        <f>'Sch 3 - Expenses'!E22</f>
        <v>PROD</v>
      </c>
      <c r="F182" s="2171"/>
      <c r="G182" s="2424">
        <f>'Sch 3 - Expenses'!G22</f>
        <v>0</v>
      </c>
      <c r="H182" s="2424">
        <f>'Sch 3 - Expenses'!H22</f>
        <v>0</v>
      </c>
      <c r="I182" s="2424">
        <f>'Sch 3 - Expenses'!I22</f>
        <v>0</v>
      </c>
      <c r="J182" s="2425">
        <f>'Sch 3 - Expenses'!J22</f>
        <v>0</v>
      </c>
      <c r="K182" s="3205">
        <f t="shared" si="547"/>
        <v>1</v>
      </c>
      <c r="N182" s="3284">
        <f>VLOOKUP($A182,'New Resources - Individual'!$A$4:$Y$133,N$2,FALSE)*N$1</f>
        <v>0</v>
      </c>
      <c r="O182" s="3235">
        <f>$G182+N182</f>
        <v>0</v>
      </c>
      <c r="P182" s="3236">
        <f>VLOOKUP($E182,O$442:R$453,2,FALSE)*O182*($K182)+IF($G182&lt;&gt;0,($H182/$G182)*O182,0)*(1-$K182)</f>
        <v>0</v>
      </c>
      <c r="Q182" s="3236">
        <f>VLOOKUP($E182,O$442:R$453,3,FALSE)*O182*($K182)+IF($G182&lt;&gt;0,($I182/$G182)*O182,0)*(1-$K182)</f>
        <v>0</v>
      </c>
      <c r="R182" s="3236">
        <f>VLOOKUP($E182,O$442:R$453,4,FALSE)*O182*($K182)+(O182-P182-Q182)*(1-$K182)</f>
        <v>0</v>
      </c>
      <c r="S182" s="3264"/>
      <c r="V182" s="3284">
        <f>VLOOKUP($A182,'New Resources - Individual'!$A$4:$Y$133,V$2,FALSE)*V$1</f>
        <v>0</v>
      </c>
      <c r="W182" s="3235">
        <f>$G182+V182</f>
        <v>0</v>
      </c>
      <c r="X182" s="3236">
        <f>VLOOKUP($E182,W$442:Z$453,2,FALSE)*W182*($K182)+IF($G182&lt;&gt;0,($H182/$G182)*W182,0)*(1-$K182)</f>
        <v>0</v>
      </c>
      <c r="Y182" s="3236">
        <f>VLOOKUP($E182,W$442:Z$453,3,FALSE)*W182*($K182)+IF($G182&lt;&gt;0,($I182/$G182)*W182,0)*(1-$K182)</f>
        <v>0</v>
      </c>
      <c r="Z182" s="3236">
        <f>VLOOKUP($E182,W$442:Z$453,4,FALSE)*W182*($K182)+(W182-X182-Y182)*(1-$K182)</f>
        <v>0</v>
      </c>
      <c r="AA182" s="3264"/>
      <c r="AD182" s="3284">
        <f>VLOOKUP($A182,'New Resources - Individual'!$A$4:$Y$133,AD$2,FALSE)*AD$1</f>
        <v>0</v>
      </c>
      <c r="AE182" s="3235">
        <f>$G182+AD182</f>
        <v>0</v>
      </c>
      <c r="AF182" s="3236">
        <f>VLOOKUP($E182,AE$442:AH$453,2,FALSE)*AE182*($K182)+IF($G182&lt;&gt;0,($H182/$G182)*AE182,0)*(1-$K182)</f>
        <v>0</v>
      </c>
      <c r="AG182" s="3236">
        <f>VLOOKUP($E182,AE$442:AH$453,3,FALSE)*AE182*($K182)+IF($G182&lt;&gt;0,($I182/$G182)*AE182,0)*(1-$K182)</f>
        <v>0</v>
      </c>
      <c r="AH182" s="3236">
        <f>VLOOKUP($E182,AE$442:AH$453,4,FALSE)*AE182*($K182)+(AE182-AF182-AG182)*(1-$K182)</f>
        <v>0</v>
      </c>
      <c r="AI182" s="3264"/>
      <c r="AL182" s="3284">
        <f>VLOOKUP($A182,'New Resources - Individual'!$A$4:$Y$133,AL$2,FALSE)*AL$1</f>
        <v>0</v>
      </c>
      <c r="AM182" s="3235">
        <f>$G182+AL182</f>
        <v>0</v>
      </c>
      <c r="AN182" s="3236">
        <f>VLOOKUP($E182,AM$442:AP$453,2,FALSE)*AM182*($K182)+IF($G182&lt;&gt;0,($H182/$G182)*AM182,0)*(1-$K182)</f>
        <v>0</v>
      </c>
      <c r="AO182" s="3236">
        <f>VLOOKUP($E182,AM$442:AP$453,3,FALSE)*AM182*($K182)+IF($G182&lt;&gt;0,($I182/$G182)*AM182,0)*(1-$K182)</f>
        <v>0</v>
      </c>
      <c r="AP182" s="3236">
        <f>VLOOKUP($E182,AM$442:AP$453,4,FALSE)*AM182*($K182)+(AM182-AN182-AO182)*(1-$K182)</f>
        <v>0</v>
      </c>
      <c r="AQ182" s="3264"/>
      <c r="AT182" s="3284">
        <f>VLOOKUP($A182,'New Resources - Individual'!$A$4:$Y$133,AT$2,FALSE)*AT$1</f>
        <v>0</v>
      </c>
      <c r="AU182" s="3235">
        <f>$G182+AT182</f>
        <v>0</v>
      </c>
      <c r="AV182" s="3236">
        <f>VLOOKUP($E182,AU$442:AX$453,2,FALSE)*AU182*($K182)+IF($G182&lt;&gt;0,($H182/$G182)*AU182,0)*(1-$K182)</f>
        <v>0</v>
      </c>
      <c r="AW182" s="3236">
        <f>VLOOKUP($E182,AU$442:AX$453,3,FALSE)*AU182*($K182)+IF($G182&lt;&gt;0,($I182/$G182)*AU182,0)*(1-$K182)</f>
        <v>0</v>
      </c>
      <c r="AX182" s="3236">
        <f>VLOOKUP($E182,AU$442:AX$453,4,FALSE)*AU182*($K182)+(AU182-AV182-AW182)*(1-$K182)</f>
        <v>0</v>
      </c>
      <c r="AY182" s="3264"/>
      <c r="BB182" s="3284">
        <f>VLOOKUP($A182,'New Resources - Individual'!$A$4:$Y$133,BB$2,FALSE)*BB$1</f>
        <v>0</v>
      </c>
      <c r="BC182" s="3235">
        <f>$G182+BB182</f>
        <v>0</v>
      </c>
      <c r="BD182" s="3236">
        <f>VLOOKUP($E182,BC$442:BF$453,2,FALSE)*BC182*($K182)+IF($G182&lt;&gt;0,($H182/$G182)*BC182,0)*(1-$K182)</f>
        <v>0</v>
      </c>
      <c r="BE182" s="3236">
        <f>VLOOKUP($E182,BC$442:BF$453,3,FALSE)*BC182*($K182)+IF($G182&lt;&gt;0,($I182/$G182)*BC182,0)*(1-$K182)</f>
        <v>0</v>
      </c>
      <c r="BF182" s="3236">
        <f>VLOOKUP($E182,BC$442:BF$453,4,FALSE)*BC182*($K182)+(BC182-BD182-BE182)*(1-$K182)</f>
        <v>0</v>
      </c>
      <c r="BG182" s="3264"/>
      <c r="BJ182" s="3284">
        <f>VLOOKUP($A182,'New Resources - Individual'!$A$4:$Y$133,BJ$2,FALSE)*BJ$1</f>
        <v>0</v>
      </c>
      <c r="BK182" s="3235">
        <f>$G182+BJ182</f>
        <v>0</v>
      </c>
      <c r="BL182" s="3236">
        <f>VLOOKUP($E182,BK$442:BN$453,2,FALSE)*BK182*($K182)+IF($G182&lt;&gt;0,($H182/$G182)*BK182,0)*(1-$K182)</f>
        <v>0</v>
      </c>
      <c r="BM182" s="3236">
        <f>VLOOKUP($E182,BK$442:BN$453,3,FALSE)*BK182*($K182)+IF($G182&lt;&gt;0,($I182/$G182)*BK182,0)*(1-$K182)</f>
        <v>0</v>
      </c>
      <c r="BN182" s="3236">
        <f>VLOOKUP($E182,BK$442:BN$453,4,FALSE)*BK182*($K182)+(BK182-BL182-BM182)*(1-$K182)</f>
        <v>0</v>
      </c>
      <c r="BO182" s="3264"/>
      <c r="BR182" s="3284">
        <f>VLOOKUP($A182,'New Resources - Individual'!$A$4:$Y$133,BR$2,FALSE)*BR$1</f>
        <v>0</v>
      </c>
      <c r="BS182" s="3235">
        <f>$G182+BR182</f>
        <v>0</v>
      </c>
      <c r="BT182" s="3236">
        <f>VLOOKUP($E182,BS$442:BV$453,2,FALSE)*BS182*($K182)+IF($G182&lt;&gt;0,($H182/$G182)*BS182,0)*(1-$K182)</f>
        <v>0</v>
      </c>
      <c r="BU182" s="3236">
        <f>VLOOKUP($E182,BS$442:BV$453,3,FALSE)*BS182*($K182)+IF($G182&lt;&gt;0,($I182/$G182)*BS182,0)*(1-$K182)</f>
        <v>0</v>
      </c>
      <c r="BV182" s="3236">
        <f>VLOOKUP($E182,BS$442:BV$453,4,FALSE)*BS182*($K182)+(BS182-BT182-BU182)*(1-$K182)</f>
        <v>0</v>
      </c>
      <c r="BW182" s="3264"/>
      <c r="BZ182" s="3284">
        <f>VLOOKUP($A182,'New Resources - Individual'!$A$4:$Y$133,BZ$2,FALSE)*BZ$1</f>
        <v>0</v>
      </c>
      <c r="CA182" s="3235">
        <f>$G182+BZ182</f>
        <v>0</v>
      </c>
      <c r="CB182" s="3236">
        <f>VLOOKUP($E182,CA$442:CD$453,2,FALSE)*CA182*($K182)+IF($G182&lt;&gt;0,($H182/$G182)*CA182,0)*(1-$K182)</f>
        <v>0</v>
      </c>
      <c r="CC182" s="3236">
        <f>VLOOKUP($E182,CA$442:CD$453,3,FALSE)*CA182*($K182)+IF($G182&lt;&gt;0,($I182/$G182)*CA182,0)*(1-$K182)</f>
        <v>0</v>
      </c>
      <c r="CD182" s="3236">
        <f>VLOOKUP($E182,CA$442:CD$453,4,FALSE)*CA182*($K182)+(CA182-CB182-CC182)*(1-$K182)</f>
        <v>0</v>
      </c>
      <c r="CE182" s="3264"/>
      <c r="CH182" s="3284">
        <f>VLOOKUP($A182,'New Resources - Individual'!$A$4:$Y$133,CH$2,FALSE)*CH$1</f>
        <v>0</v>
      </c>
      <c r="CI182" s="3235">
        <f>$G182+CH182</f>
        <v>0</v>
      </c>
      <c r="CJ182" s="3236">
        <f>VLOOKUP($E182,CI$442:CL$453,2,FALSE)*CI182*($K182)+IF($G182&lt;&gt;0,($H182/$G182)*CI182,0)*(1-$K182)</f>
        <v>0</v>
      </c>
      <c r="CK182" s="3236">
        <f>VLOOKUP($E182,CI$442:CL$453,3,FALSE)*CI182*($K182)+IF($G182&lt;&gt;0,($I182/$G182)*CI182,0)*(1-$K182)</f>
        <v>0</v>
      </c>
      <c r="CL182" s="3236">
        <f>VLOOKUP($E182,CI$442:CL$453,4,FALSE)*CI182*($K182)+(CI182-CJ182-CK182)*(1-$K182)</f>
        <v>0</v>
      </c>
      <c r="CM182" s="3264"/>
      <c r="CP182" s="3284">
        <f>VLOOKUP($A182,'New Resources - Individual'!$A$4:$Y$133,CP$2,FALSE)*CP$1</f>
        <v>0</v>
      </c>
      <c r="CQ182" s="3235">
        <f>$G182+CP182</f>
        <v>0</v>
      </c>
      <c r="CR182" s="3236">
        <f>VLOOKUP($E182,CQ$442:CT$453,2,FALSE)*CQ182*($K182)+IF($G182&lt;&gt;0,($H182/$G182)*CQ182,0)*(1-$K182)</f>
        <v>0</v>
      </c>
      <c r="CS182" s="3236">
        <f>VLOOKUP($E182,CQ$442:CT$453,3,FALSE)*CQ182*($K182)+IF($G182&lt;&gt;0,($I182/$G182)*CQ182,0)*(1-$K182)</f>
        <v>0</v>
      </c>
      <c r="CT182" s="3236">
        <f>VLOOKUP($E182,CQ$442:CT$453,4,FALSE)*CQ182*($K182)+(CQ182-CR182-CS182)*(1-$K182)</f>
        <v>0</v>
      </c>
      <c r="CU182" s="3264"/>
      <c r="CX182" s="3284">
        <f>VLOOKUP($A182,'New Resources - Individual'!$A$4:$Y$133,CX$2,FALSE)*CX$1</f>
        <v>0</v>
      </c>
      <c r="CY182" s="3235">
        <f>$G182+CX182</f>
        <v>0</v>
      </c>
      <c r="CZ182" s="3236">
        <f>VLOOKUP($E182,CY$442:DB$453,2,FALSE)*CY182*($K182)+IF($G182&lt;&gt;0,($H182/$G182)*CY182,0)*(1-$K182)</f>
        <v>0</v>
      </c>
      <c r="DA182" s="3236">
        <f>VLOOKUP($E182,CY$442:DB$453,3,FALSE)*CY182*($K182)+IF($G182&lt;&gt;0,($I182/$G182)*CY182,0)*(1-$K182)</f>
        <v>0</v>
      </c>
      <c r="DB182" s="3236">
        <f>VLOOKUP($E182,CY$442:DB$453,4,FALSE)*CY182*($K182)+(CY182-CZ182-DA182)*(1-$K182)</f>
        <v>0</v>
      </c>
      <c r="DC182" s="3264"/>
      <c r="DF182" s="3284">
        <f>VLOOKUP($A182,'New Resources - Individual'!$A$4:$Y$133,DF$2,FALSE)*DF$1</f>
        <v>0</v>
      </c>
      <c r="DG182" s="3235">
        <f>$G182+DF182</f>
        <v>0</v>
      </c>
      <c r="DH182" s="3236">
        <f>VLOOKUP($E182,DG$442:DJ$453,2,FALSE)*DG182*($K182)+IF($G182&lt;&gt;0,($H182/$G182)*DG182,0)*(1-$K182)</f>
        <v>0</v>
      </c>
      <c r="DI182" s="3236">
        <f>VLOOKUP($E182,DG$442:DJ$453,3,FALSE)*DG182*($K182)+IF($G182&lt;&gt;0,($I182/$G182)*DG182,0)*(1-$K182)</f>
        <v>0</v>
      </c>
      <c r="DJ182" s="3236">
        <f>VLOOKUP($E182,DG$442:DJ$453,4,FALSE)*DG182*($K182)+(DG182-DH182-DI182)*(1-$K182)</f>
        <v>0</v>
      </c>
      <c r="DK182" s="3264"/>
      <c r="DN182" s="3284">
        <f>VLOOKUP($A182,'New Resources - Individual'!$A$4:$Y$133,DN$2,FALSE)*DN$1</f>
        <v>0</v>
      </c>
      <c r="DO182" s="3235">
        <f>$G182+DN182</f>
        <v>0</v>
      </c>
      <c r="DP182" s="3236">
        <f>VLOOKUP($E182,DO$442:DR$453,2,FALSE)*DO182*($K182)+IF($G182&lt;&gt;0,($H182/$G182)*DO182,0)*(1-$K182)</f>
        <v>0</v>
      </c>
      <c r="DQ182" s="3236">
        <f>VLOOKUP($E182,DO$442:DR$453,3,FALSE)*DO182*($K182)+IF($G182&lt;&gt;0,($I182/$G182)*DO182,0)*(1-$K182)</f>
        <v>0</v>
      </c>
      <c r="DR182" s="3236">
        <f>VLOOKUP($E182,DO$442:DR$453,4,FALSE)*DO182*($K182)+(DO182-DP182-DQ182)*(1-$K182)</f>
        <v>0</v>
      </c>
      <c r="DS182" s="3264"/>
      <c r="DV182" s="3284">
        <f>VLOOKUP($A182,'New Resources - Individual'!$A$4:$Y$133,DV$2,FALSE)*DV$1</f>
        <v>0</v>
      </c>
      <c r="DW182" s="3235">
        <f>$G182+DV182</f>
        <v>0</v>
      </c>
      <c r="DX182" s="3236">
        <f>VLOOKUP($E182,DW$442:DZ$453,2,FALSE)*DW182*($K182)+IF($G182&lt;&gt;0,($H182/$G182)*DW182,0)*(1-$K182)</f>
        <v>0</v>
      </c>
      <c r="DY182" s="3236">
        <f>VLOOKUP($E182,DW$442:DZ$453,3,FALSE)*DW182*($K182)+IF($G182&lt;&gt;0,($I182/$G182)*DW182,0)*(1-$K182)</f>
        <v>0</v>
      </c>
      <c r="DZ182" s="3236">
        <f>VLOOKUP($E182,DW$442:DZ$453,4,FALSE)*DW182*($K182)+(DW182-DX182-DY182)*(1-$K182)</f>
        <v>0</v>
      </c>
      <c r="EA182" s="3264"/>
      <c r="ED182" s="3284">
        <f>VLOOKUP($A182,'New Resources - Individual'!$A$4:$Y$133,ED$2,FALSE)*ED$1</f>
        <v>0</v>
      </c>
      <c r="EE182" s="3235">
        <f>$G182+ED182</f>
        <v>0</v>
      </c>
      <c r="EF182" s="3236">
        <f>VLOOKUP($E182,EE$442:EH$453,2,FALSE)*EE182*($K182)+IF($G182&lt;&gt;0,($H182/$G182)*EE182,0)*(1-$K182)</f>
        <v>0</v>
      </c>
      <c r="EG182" s="3236">
        <f>VLOOKUP($E182,EE$442:EH$453,3,FALSE)*EE182*($K182)+IF($G182&lt;&gt;0,($I182/$G182)*EE182,0)*(1-$K182)</f>
        <v>0</v>
      </c>
      <c r="EH182" s="3236">
        <f>VLOOKUP($E182,EE$442:EH$453,4,FALSE)*EE182*($K182)+(EE182-EF182-EG182)*(1-$K182)</f>
        <v>0</v>
      </c>
      <c r="EI182" s="3264"/>
      <c r="EL182" s="3284">
        <f>VLOOKUP($A182,'New Resources - Individual'!$A$4:$Y$133,EL$2,FALSE)*EL$1</f>
        <v>0</v>
      </c>
      <c r="EM182" s="3235">
        <f>$G182+EL182</f>
        <v>0</v>
      </c>
      <c r="EN182" s="3236">
        <f>VLOOKUP($E182,EM$442:EP$453,2,FALSE)*EM182*($K182)+IF($G182&lt;&gt;0,($H182/$G182)*EM182,0)*(1-$K182)</f>
        <v>0</v>
      </c>
      <c r="EO182" s="3236">
        <f>VLOOKUP($E182,EM$442:EP$453,3,FALSE)*EM182*($K182)+IF($G182&lt;&gt;0,($I182/$G182)*EM182,0)*(1-$K182)</f>
        <v>0</v>
      </c>
      <c r="EP182" s="3236">
        <f>VLOOKUP($E182,EM$442:EP$453,4,FALSE)*EM182*($K182)+(EM182-EN182-EO182)*(1-$K182)</f>
        <v>0</v>
      </c>
      <c r="EQ182" s="3264"/>
      <c r="ET182" s="3284">
        <f>VLOOKUP($A182,'New Resources - Individual'!$A$4:$Y$133,ET$2,FALSE)*ET$1</f>
        <v>0</v>
      </c>
      <c r="EU182" s="3235">
        <f>$G182+ET182</f>
        <v>0</v>
      </c>
      <c r="EV182" s="3236">
        <f>VLOOKUP($E182,EU$442:EX$453,2,FALSE)*EU182*($K182)+IF($G182&lt;&gt;0,($H182/$G182)*EU182,0)*(1-$K182)</f>
        <v>0</v>
      </c>
      <c r="EW182" s="3236">
        <f>VLOOKUP($E182,EU$442:EX$453,3,FALSE)*EU182*($K182)+IF($G182&lt;&gt;0,($I182/$G182)*EU182,0)*(1-$K182)</f>
        <v>0</v>
      </c>
      <c r="EX182" s="3236">
        <f>VLOOKUP($E182,EU$442:EX$453,4,FALSE)*EU182*($K182)+(EU182-EV182-EW182)*(1-$K182)</f>
        <v>0</v>
      </c>
      <c r="EY182" s="3264"/>
      <c r="FB182" s="3284">
        <f>VLOOKUP($A182,'New Resources - Individual'!$A$4:$Y$133,FB$2,FALSE)*FB$1</f>
        <v>0</v>
      </c>
      <c r="FC182" s="3235">
        <f>$G182+FB182</f>
        <v>0</v>
      </c>
      <c r="FD182" s="3236">
        <f>VLOOKUP($E182,FC$442:FF$453,2,FALSE)*FC182*($K182)+IF($G182&lt;&gt;0,($H182/$G182)*FC182,0)*(1-$K182)</f>
        <v>0</v>
      </c>
      <c r="FE182" s="3236">
        <f>VLOOKUP($E182,FC$442:FF$453,3,FALSE)*FC182*($K182)+IF($G182&lt;&gt;0,($I182/$G182)*FC182,0)*(1-$K182)</f>
        <v>0</v>
      </c>
      <c r="FF182" s="3236">
        <f>VLOOKUP($E182,FC$442:FF$453,4,FALSE)*FC182*($K182)+(FC182-FD182-FE182)*(1-$K182)</f>
        <v>0</v>
      </c>
      <c r="FG182" s="3264"/>
      <c r="FJ182" s="3284">
        <f>VLOOKUP($A182,'New Resources - Individual'!$A$4:$Y$133,FJ$2,FALSE)*FJ$1</f>
        <v>0</v>
      </c>
      <c r="FK182" s="3235">
        <f>$G182+FJ182</f>
        <v>0</v>
      </c>
      <c r="FL182" s="3236">
        <f>VLOOKUP($E182,FK$442:FN$453,2,FALSE)*FK182*($K182)+IF($G182&lt;&gt;0,($H182/$G182)*FK182,0)*(1-$K182)</f>
        <v>0</v>
      </c>
      <c r="FM182" s="3236">
        <f>VLOOKUP($E182,FK$442:FN$453,3,FALSE)*FK182*($K182)+IF($G182&lt;&gt;0,($I182/$G182)*FK182,0)*(1-$K182)</f>
        <v>0</v>
      </c>
      <c r="FN182" s="3236">
        <f>VLOOKUP($E182,FK$442:FN$453,4,FALSE)*FK182*($K182)+(FK182-FL182-FM182)*(1-$K182)</f>
        <v>0</v>
      </c>
      <c r="FO182" s="3264"/>
    </row>
    <row r="183" spans="1:171">
      <c r="A183" s="3328"/>
      <c r="B183" s="2143" t="s">
        <v>458</v>
      </c>
      <c r="C183" s="2116"/>
      <c r="D183" s="2116"/>
      <c r="E183" s="2098"/>
      <c r="F183" s="2098"/>
      <c r="G183" s="2506"/>
      <c r="H183" s="2506"/>
      <c r="I183" s="2506"/>
      <c r="J183" s="3327"/>
      <c r="K183" s="3205"/>
      <c r="S183" s="3264"/>
      <c r="AA183" s="3264"/>
      <c r="AI183" s="3264"/>
      <c r="AQ183" s="3264"/>
      <c r="AY183" s="3264"/>
      <c r="BG183" s="3264"/>
      <c r="BO183" s="3264"/>
      <c r="BW183" s="3264"/>
      <c r="CE183" s="3264"/>
      <c r="CM183" s="3264"/>
      <c r="CU183" s="3264"/>
      <c r="DC183" s="3264"/>
      <c r="DK183" s="3264"/>
      <c r="DS183" s="3264"/>
      <c r="EA183" s="3264"/>
      <c r="EI183" s="3264"/>
      <c r="EQ183" s="3264"/>
      <c r="EY183" s="3264"/>
      <c r="FG183" s="3264"/>
      <c r="FO183" s="3264"/>
    </row>
    <row r="184" spans="1:171">
      <c r="A184" s="3254">
        <v>410</v>
      </c>
      <c r="B184" s="2185" t="s">
        <v>86</v>
      </c>
      <c r="C184" s="2464" t="s">
        <v>72</v>
      </c>
      <c r="D184" s="2464" t="s">
        <v>598</v>
      </c>
      <c r="E184" s="2424" t="str">
        <f>'Sch 3 - Expenses'!E24</f>
        <v>PROD</v>
      </c>
      <c r="F184" s="2171"/>
      <c r="G184" s="2424">
        <f>'Sch 3 - Expenses'!G24</f>
        <v>7020837</v>
      </c>
      <c r="H184" s="2424">
        <f>'Sch 3 - Expenses'!H24</f>
        <v>7020837</v>
      </c>
      <c r="I184" s="2424">
        <f>'Sch 3 - Expenses'!I24</f>
        <v>0</v>
      </c>
      <c r="J184" s="2425">
        <f>'Sch 3 - Expenses'!J24</f>
        <v>0</v>
      </c>
      <c r="K184" s="3205">
        <f t="shared" si="547"/>
        <v>1</v>
      </c>
      <c r="N184" s="3284">
        <f>VLOOKUP($A184,'New Resources - Individual'!$A$4:$Y$133,N$2,FALSE)*N$1</f>
        <v>0</v>
      </c>
      <c r="O184" s="3235">
        <f>$G184+N184</f>
        <v>7020837</v>
      </c>
      <c r="P184" s="3236">
        <f>VLOOKUP($E184,O$442:R$453,2,FALSE)*O184*($K184)+IF($G184&lt;&gt;0,($H184/$G184)*O184,0)*(1-$K184)</f>
        <v>7020837</v>
      </c>
      <c r="Q184" s="3236">
        <f>VLOOKUP($E184,O$442:R$453,3,FALSE)*O184*($K184)+IF($G184&lt;&gt;0,($I184/$G184)*O184,0)*(1-$K184)</f>
        <v>0</v>
      </c>
      <c r="R184" s="3236">
        <f>VLOOKUP($E184,O$442:R$453,4,FALSE)*O184*($K184)+(O184-P184-Q184)*(1-$K184)</f>
        <v>0</v>
      </c>
      <c r="S184" s="3264"/>
      <c r="V184" s="3284">
        <f>VLOOKUP($A184,'New Resources - Individual'!$A$4:$Y$133,V$2,FALSE)*V$1</f>
        <v>0</v>
      </c>
      <c r="W184" s="3235">
        <f>$G184+V184</f>
        <v>7020837</v>
      </c>
      <c r="X184" s="3236">
        <f>VLOOKUP($E184,W$442:Z$453,2,FALSE)*W184*($K184)+IF($G184&lt;&gt;0,($H184/$G184)*W184,0)*(1-$K184)</f>
        <v>7020837</v>
      </c>
      <c r="Y184" s="3236">
        <f>VLOOKUP($E184,W$442:Z$453,3,FALSE)*W184*($K184)+IF($G184&lt;&gt;0,($I184/$G184)*W184,0)*(1-$K184)</f>
        <v>0</v>
      </c>
      <c r="Z184" s="3236">
        <f>VLOOKUP($E184,W$442:Z$453,4,FALSE)*W184*($K184)+(W184-X184-Y184)*(1-$K184)</f>
        <v>0</v>
      </c>
      <c r="AA184" s="3264"/>
      <c r="AD184" s="3284">
        <f>VLOOKUP($A184,'New Resources - Individual'!$A$4:$Y$133,AD$2,FALSE)*AD$1</f>
        <v>0</v>
      </c>
      <c r="AE184" s="3235">
        <f>$G184+AD184</f>
        <v>7020837</v>
      </c>
      <c r="AF184" s="3236">
        <f>VLOOKUP($E184,AE$442:AH$453,2,FALSE)*AE184*($K184)+IF($G184&lt;&gt;0,($H184/$G184)*AE184,0)*(1-$K184)</f>
        <v>7020837</v>
      </c>
      <c r="AG184" s="3236">
        <f>VLOOKUP($E184,AE$442:AH$453,3,FALSE)*AE184*($K184)+IF($G184&lt;&gt;0,($I184/$G184)*AE184,0)*(1-$K184)</f>
        <v>0</v>
      </c>
      <c r="AH184" s="3236">
        <f>VLOOKUP($E184,AE$442:AH$453,4,FALSE)*AE184*($K184)+(AE184-AF184-AG184)*(1-$K184)</f>
        <v>0</v>
      </c>
      <c r="AI184" s="3264"/>
      <c r="AL184" s="3284">
        <f>VLOOKUP($A184,'New Resources - Individual'!$A$4:$Y$133,AL$2,FALSE)*AL$1</f>
        <v>0</v>
      </c>
      <c r="AM184" s="3235">
        <f>$G184+AL184</f>
        <v>7020837</v>
      </c>
      <c r="AN184" s="3236">
        <f>VLOOKUP($E184,AM$442:AP$453,2,FALSE)*AM184*($K184)+IF($G184&lt;&gt;0,($H184/$G184)*AM184,0)*(1-$K184)</f>
        <v>7020837</v>
      </c>
      <c r="AO184" s="3236">
        <f>VLOOKUP($E184,AM$442:AP$453,3,FALSE)*AM184*($K184)+IF($G184&lt;&gt;0,($I184/$G184)*AM184,0)*(1-$K184)</f>
        <v>0</v>
      </c>
      <c r="AP184" s="3236">
        <f>VLOOKUP($E184,AM$442:AP$453,4,FALSE)*AM184*($K184)+(AM184-AN184-AO184)*(1-$K184)</f>
        <v>0</v>
      </c>
      <c r="AQ184" s="3264"/>
      <c r="AT184" s="3284">
        <f>VLOOKUP($A184,'New Resources - Individual'!$A$4:$Y$133,AT$2,FALSE)*AT$1</f>
        <v>0</v>
      </c>
      <c r="AU184" s="3235">
        <f>$G184+AT184</f>
        <v>7020837</v>
      </c>
      <c r="AV184" s="3236">
        <f>VLOOKUP($E184,AU$442:AX$453,2,FALSE)*AU184*($K184)+IF($G184&lt;&gt;0,($H184/$G184)*AU184,0)*(1-$K184)</f>
        <v>7020837</v>
      </c>
      <c r="AW184" s="3236">
        <f>VLOOKUP($E184,AU$442:AX$453,3,FALSE)*AU184*($K184)+IF($G184&lt;&gt;0,($I184/$G184)*AU184,0)*(1-$K184)</f>
        <v>0</v>
      </c>
      <c r="AX184" s="3236">
        <f>VLOOKUP($E184,AU$442:AX$453,4,FALSE)*AU184*($K184)+(AU184-AV184-AW184)*(1-$K184)</f>
        <v>0</v>
      </c>
      <c r="AY184" s="3264"/>
      <c r="BB184" s="3284">
        <f>VLOOKUP($A184,'New Resources - Individual'!$A$4:$Y$133,BB$2,FALSE)*BB$1</f>
        <v>0</v>
      </c>
      <c r="BC184" s="3235">
        <f>$G184+BB184</f>
        <v>7020837</v>
      </c>
      <c r="BD184" s="3236">
        <f>VLOOKUP($E184,BC$442:BF$453,2,FALSE)*BC184*($K184)+IF($G184&lt;&gt;0,($H184/$G184)*BC184,0)*(1-$K184)</f>
        <v>7020837</v>
      </c>
      <c r="BE184" s="3236">
        <f>VLOOKUP($E184,BC$442:BF$453,3,FALSE)*BC184*($K184)+IF($G184&lt;&gt;0,($I184/$G184)*BC184,0)*(1-$K184)</f>
        <v>0</v>
      </c>
      <c r="BF184" s="3236">
        <f>VLOOKUP($E184,BC$442:BF$453,4,FALSE)*BC184*($K184)+(BC184-BD184-BE184)*(1-$K184)</f>
        <v>0</v>
      </c>
      <c r="BG184" s="3264"/>
      <c r="BJ184" s="3284">
        <f>VLOOKUP($A184,'New Resources - Individual'!$A$4:$Y$133,BJ$2,FALSE)*BJ$1</f>
        <v>0</v>
      </c>
      <c r="BK184" s="3235">
        <f>$G184+BJ184</f>
        <v>7020837</v>
      </c>
      <c r="BL184" s="3236">
        <f>VLOOKUP($E184,BK$442:BN$453,2,FALSE)*BK184*($K184)+IF($G184&lt;&gt;0,($H184/$G184)*BK184,0)*(1-$K184)</f>
        <v>7020837</v>
      </c>
      <c r="BM184" s="3236">
        <f>VLOOKUP($E184,BK$442:BN$453,3,FALSE)*BK184*($K184)+IF($G184&lt;&gt;0,($I184/$G184)*BK184,0)*(1-$K184)</f>
        <v>0</v>
      </c>
      <c r="BN184" s="3236">
        <f>VLOOKUP($E184,BK$442:BN$453,4,FALSE)*BK184*($K184)+(BK184-BL184-BM184)*(1-$K184)</f>
        <v>0</v>
      </c>
      <c r="BO184" s="3264"/>
      <c r="BR184" s="3284">
        <f>VLOOKUP($A184,'New Resources - Individual'!$A$4:$Y$133,BR$2,FALSE)*BR$1</f>
        <v>0</v>
      </c>
      <c r="BS184" s="3235">
        <f>$G184+BR184</f>
        <v>7020837</v>
      </c>
      <c r="BT184" s="3236">
        <f>VLOOKUP($E184,BS$442:BV$453,2,FALSE)*BS184*($K184)+IF($G184&lt;&gt;0,($H184/$G184)*BS184,0)*(1-$K184)</f>
        <v>7020837</v>
      </c>
      <c r="BU184" s="3236">
        <f>VLOOKUP($E184,BS$442:BV$453,3,FALSE)*BS184*($K184)+IF($G184&lt;&gt;0,($I184/$G184)*BS184,0)*(1-$K184)</f>
        <v>0</v>
      </c>
      <c r="BV184" s="3236">
        <f>VLOOKUP($E184,BS$442:BV$453,4,FALSE)*BS184*($K184)+(BS184-BT184-BU184)*(1-$K184)</f>
        <v>0</v>
      </c>
      <c r="BW184" s="3264"/>
      <c r="BZ184" s="3284">
        <f>VLOOKUP($A184,'New Resources - Individual'!$A$4:$Y$133,BZ$2,FALSE)*BZ$1</f>
        <v>0</v>
      </c>
      <c r="CA184" s="3235">
        <f>$G184+BZ184</f>
        <v>7020837</v>
      </c>
      <c r="CB184" s="3236">
        <f>VLOOKUP($E184,CA$442:CD$453,2,FALSE)*CA184*($K184)+IF($G184&lt;&gt;0,($H184/$G184)*CA184,0)*(1-$K184)</f>
        <v>7020837</v>
      </c>
      <c r="CC184" s="3236">
        <f>VLOOKUP($E184,CA$442:CD$453,3,FALSE)*CA184*($K184)+IF($G184&lt;&gt;0,($I184/$G184)*CA184,0)*(1-$K184)</f>
        <v>0</v>
      </c>
      <c r="CD184" s="3236">
        <f>VLOOKUP($E184,CA$442:CD$453,4,FALSE)*CA184*($K184)+(CA184-CB184-CC184)*(1-$K184)</f>
        <v>0</v>
      </c>
      <c r="CE184" s="3264"/>
      <c r="CH184" s="3284">
        <f>VLOOKUP($A184,'New Resources - Individual'!$A$4:$Y$133,CH$2,FALSE)*CH$1</f>
        <v>0</v>
      </c>
      <c r="CI184" s="3235">
        <f>$G184+CH184</f>
        <v>7020837</v>
      </c>
      <c r="CJ184" s="3236">
        <f>VLOOKUP($E184,CI$442:CL$453,2,FALSE)*CI184*($K184)+IF($G184&lt;&gt;0,($H184/$G184)*CI184,0)*(1-$K184)</f>
        <v>7020837</v>
      </c>
      <c r="CK184" s="3236">
        <f>VLOOKUP($E184,CI$442:CL$453,3,FALSE)*CI184*($K184)+IF($G184&lt;&gt;0,($I184/$G184)*CI184,0)*(1-$K184)</f>
        <v>0</v>
      </c>
      <c r="CL184" s="3236">
        <f>VLOOKUP($E184,CI$442:CL$453,4,FALSE)*CI184*($K184)+(CI184-CJ184-CK184)*(1-$K184)</f>
        <v>0</v>
      </c>
      <c r="CM184" s="3264"/>
      <c r="CP184" s="3284">
        <f>VLOOKUP($A184,'New Resources - Individual'!$A$4:$Y$133,CP$2,FALSE)*CP$1</f>
        <v>0</v>
      </c>
      <c r="CQ184" s="3235">
        <f>$G184+CP184</f>
        <v>7020837</v>
      </c>
      <c r="CR184" s="3236">
        <f>VLOOKUP($E184,CQ$442:CT$453,2,FALSE)*CQ184*($K184)+IF($G184&lt;&gt;0,($H184/$G184)*CQ184,0)*(1-$K184)</f>
        <v>7020837</v>
      </c>
      <c r="CS184" s="3236">
        <f>VLOOKUP($E184,CQ$442:CT$453,3,FALSE)*CQ184*($K184)+IF($G184&lt;&gt;0,($I184/$G184)*CQ184,0)*(1-$K184)</f>
        <v>0</v>
      </c>
      <c r="CT184" s="3236">
        <f>VLOOKUP($E184,CQ$442:CT$453,4,FALSE)*CQ184*($K184)+(CQ184-CR184-CS184)*(1-$K184)</f>
        <v>0</v>
      </c>
      <c r="CU184" s="3264"/>
      <c r="CX184" s="3284">
        <f>VLOOKUP($A184,'New Resources - Individual'!$A$4:$Y$133,CX$2,FALSE)*CX$1</f>
        <v>0</v>
      </c>
      <c r="CY184" s="3235">
        <f>$G184+CX184</f>
        <v>7020837</v>
      </c>
      <c r="CZ184" s="3236">
        <f>VLOOKUP($E184,CY$442:DB$453,2,FALSE)*CY184*($K184)+IF($G184&lt;&gt;0,($H184/$G184)*CY184,0)*(1-$K184)</f>
        <v>7020837</v>
      </c>
      <c r="DA184" s="3236">
        <f>VLOOKUP($E184,CY$442:DB$453,3,FALSE)*CY184*($K184)+IF($G184&lt;&gt;0,($I184/$G184)*CY184,0)*(1-$K184)</f>
        <v>0</v>
      </c>
      <c r="DB184" s="3236">
        <f>VLOOKUP($E184,CY$442:DB$453,4,FALSE)*CY184*($K184)+(CY184-CZ184-DA184)*(1-$K184)</f>
        <v>0</v>
      </c>
      <c r="DC184" s="3264"/>
      <c r="DF184" s="3284">
        <f>VLOOKUP($A184,'New Resources - Individual'!$A$4:$Y$133,DF$2,FALSE)*DF$1</f>
        <v>0</v>
      </c>
      <c r="DG184" s="3235">
        <f>$G184+DF184</f>
        <v>7020837</v>
      </c>
      <c r="DH184" s="3236">
        <f>VLOOKUP($E184,DG$442:DJ$453,2,FALSE)*DG184*($K184)+IF($G184&lt;&gt;0,($H184/$G184)*DG184,0)*(1-$K184)</f>
        <v>7020837</v>
      </c>
      <c r="DI184" s="3236">
        <f>VLOOKUP($E184,DG$442:DJ$453,3,FALSE)*DG184*($K184)+IF($G184&lt;&gt;0,($I184/$G184)*DG184,0)*(1-$K184)</f>
        <v>0</v>
      </c>
      <c r="DJ184" s="3236">
        <f>VLOOKUP($E184,DG$442:DJ$453,4,FALSE)*DG184*($K184)+(DG184-DH184-DI184)*(1-$K184)</f>
        <v>0</v>
      </c>
      <c r="DK184" s="3264"/>
      <c r="DN184" s="3284">
        <f>VLOOKUP($A184,'New Resources - Individual'!$A$4:$Y$133,DN$2,FALSE)*DN$1</f>
        <v>0</v>
      </c>
      <c r="DO184" s="3235">
        <f>$G184+DN184</f>
        <v>7020837</v>
      </c>
      <c r="DP184" s="3236">
        <f>VLOOKUP($E184,DO$442:DR$453,2,FALSE)*DO184*($K184)+IF($G184&lt;&gt;0,($H184/$G184)*DO184,0)*(1-$K184)</f>
        <v>7020837</v>
      </c>
      <c r="DQ184" s="3236">
        <f>VLOOKUP($E184,DO$442:DR$453,3,FALSE)*DO184*($K184)+IF($G184&lt;&gt;0,($I184/$G184)*DO184,0)*(1-$K184)</f>
        <v>0</v>
      </c>
      <c r="DR184" s="3236">
        <f>VLOOKUP($E184,DO$442:DR$453,4,FALSE)*DO184*($K184)+(DO184-DP184-DQ184)*(1-$K184)</f>
        <v>0</v>
      </c>
      <c r="DS184" s="3264"/>
      <c r="DV184" s="3284">
        <f>VLOOKUP($A184,'New Resources - Individual'!$A$4:$Y$133,DV$2,FALSE)*DV$1</f>
        <v>0</v>
      </c>
      <c r="DW184" s="3235">
        <f>$G184+DV184</f>
        <v>7020837</v>
      </c>
      <c r="DX184" s="3236">
        <f>VLOOKUP($E184,DW$442:DZ$453,2,FALSE)*DW184*($K184)+IF($G184&lt;&gt;0,($H184/$G184)*DW184,0)*(1-$K184)</f>
        <v>7020837</v>
      </c>
      <c r="DY184" s="3236">
        <f>VLOOKUP($E184,DW$442:DZ$453,3,FALSE)*DW184*($K184)+IF($G184&lt;&gt;0,($I184/$G184)*DW184,0)*(1-$K184)</f>
        <v>0</v>
      </c>
      <c r="DZ184" s="3236">
        <f>VLOOKUP($E184,DW$442:DZ$453,4,FALSE)*DW184*($K184)+(DW184-DX184-DY184)*(1-$K184)</f>
        <v>0</v>
      </c>
      <c r="EA184" s="3264"/>
      <c r="ED184" s="3284">
        <f>VLOOKUP($A184,'New Resources - Individual'!$A$4:$Y$133,ED$2,FALSE)*ED$1</f>
        <v>0</v>
      </c>
      <c r="EE184" s="3235">
        <f>$G184+ED184</f>
        <v>7020837</v>
      </c>
      <c r="EF184" s="3236">
        <f>VLOOKUP($E184,EE$442:EH$453,2,FALSE)*EE184*($K184)+IF($G184&lt;&gt;0,($H184/$G184)*EE184,0)*(1-$K184)</f>
        <v>7020837</v>
      </c>
      <c r="EG184" s="3236">
        <f>VLOOKUP($E184,EE$442:EH$453,3,FALSE)*EE184*($K184)+IF($G184&lt;&gt;0,($I184/$G184)*EE184,0)*(1-$K184)</f>
        <v>0</v>
      </c>
      <c r="EH184" s="3236">
        <f>VLOOKUP($E184,EE$442:EH$453,4,FALSE)*EE184*($K184)+(EE184-EF184-EG184)*(1-$K184)</f>
        <v>0</v>
      </c>
      <c r="EI184" s="3264"/>
      <c r="EL184" s="3284">
        <f>VLOOKUP($A184,'New Resources - Individual'!$A$4:$Y$133,EL$2,FALSE)*EL$1</f>
        <v>0</v>
      </c>
      <c r="EM184" s="3235">
        <f>$G184+EL184</f>
        <v>7020837</v>
      </c>
      <c r="EN184" s="3236">
        <f>VLOOKUP($E184,EM$442:EP$453,2,FALSE)*EM184*($K184)+IF($G184&lt;&gt;0,($H184/$G184)*EM184,0)*(1-$K184)</f>
        <v>7020837</v>
      </c>
      <c r="EO184" s="3236">
        <f>VLOOKUP($E184,EM$442:EP$453,3,FALSE)*EM184*($K184)+IF($G184&lt;&gt;0,($I184/$G184)*EM184,0)*(1-$K184)</f>
        <v>0</v>
      </c>
      <c r="EP184" s="3236">
        <f>VLOOKUP($E184,EM$442:EP$453,4,FALSE)*EM184*($K184)+(EM184-EN184-EO184)*(1-$K184)</f>
        <v>0</v>
      </c>
      <c r="EQ184" s="3264"/>
      <c r="ET184" s="3284">
        <f>VLOOKUP($A184,'New Resources - Individual'!$A$4:$Y$133,ET$2,FALSE)*ET$1</f>
        <v>0</v>
      </c>
      <c r="EU184" s="3235">
        <f>$G184+ET184</f>
        <v>7020837</v>
      </c>
      <c r="EV184" s="3236">
        <f>VLOOKUP($E184,EU$442:EX$453,2,FALSE)*EU184*($K184)+IF($G184&lt;&gt;0,($H184/$G184)*EU184,0)*(1-$K184)</f>
        <v>7020837</v>
      </c>
      <c r="EW184" s="3236">
        <f>VLOOKUP($E184,EU$442:EX$453,3,FALSE)*EU184*($K184)+IF($G184&lt;&gt;0,($I184/$G184)*EU184,0)*(1-$K184)</f>
        <v>0</v>
      </c>
      <c r="EX184" s="3236">
        <f>VLOOKUP($E184,EU$442:EX$453,4,FALSE)*EU184*($K184)+(EU184-EV184-EW184)*(1-$K184)</f>
        <v>0</v>
      </c>
      <c r="EY184" s="3264"/>
      <c r="FB184" s="3284">
        <f>VLOOKUP($A184,'New Resources - Individual'!$A$4:$Y$133,FB$2,FALSE)*FB$1</f>
        <v>0</v>
      </c>
      <c r="FC184" s="3235">
        <f>$G184+FB184</f>
        <v>7020837</v>
      </c>
      <c r="FD184" s="3236">
        <f>VLOOKUP($E184,FC$442:FF$453,2,FALSE)*FC184*($K184)+IF($G184&lt;&gt;0,($H184/$G184)*FC184,0)*(1-$K184)</f>
        <v>7020837</v>
      </c>
      <c r="FE184" s="3236">
        <f>VLOOKUP($E184,FC$442:FF$453,3,FALSE)*FC184*($K184)+IF($G184&lt;&gt;0,($I184/$G184)*FC184,0)*(1-$K184)</f>
        <v>0</v>
      </c>
      <c r="FF184" s="3236">
        <f>VLOOKUP($E184,FC$442:FF$453,4,FALSE)*FC184*($K184)+(FC184-FD184-FE184)*(1-$K184)</f>
        <v>0</v>
      </c>
      <c r="FG184" s="3264"/>
      <c r="FJ184" s="3284">
        <f>VLOOKUP($A184,'New Resources - Individual'!$A$4:$Y$133,FJ$2,FALSE)*FJ$1</f>
        <v>0</v>
      </c>
      <c r="FK184" s="3235">
        <f>$G184+FJ184</f>
        <v>7020837</v>
      </c>
      <c r="FL184" s="3236">
        <f>VLOOKUP($E184,FK$442:FN$453,2,FALSE)*FK184*($K184)+IF($G184&lt;&gt;0,($H184/$G184)*FK184,0)*(1-$K184)</f>
        <v>7020837</v>
      </c>
      <c r="FM184" s="3236">
        <f>VLOOKUP($E184,FK$442:FN$453,3,FALSE)*FK184*($K184)+IF($G184&lt;&gt;0,($I184/$G184)*FK184,0)*(1-$K184)</f>
        <v>0</v>
      </c>
      <c r="FN184" s="3236">
        <f>VLOOKUP($E184,FK$442:FN$453,4,FALSE)*FK184*($K184)+(FK184-FL184-FM184)*(1-$K184)</f>
        <v>0</v>
      </c>
      <c r="FO184" s="3264"/>
    </row>
    <row r="185" spans="1:171">
      <c r="A185" s="3254">
        <v>420</v>
      </c>
      <c r="B185" s="2185" t="s">
        <v>87</v>
      </c>
      <c r="C185" s="2464" t="s">
        <v>72</v>
      </c>
      <c r="D185" s="2464" t="s">
        <v>599</v>
      </c>
      <c r="E185" s="2424" t="str">
        <f>'Sch 3 - Expenses'!E25</f>
        <v>PROD</v>
      </c>
      <c r="F185" s="2171"/>
      <c r="G185" s="2424">
        <f>'Sch 3 - Expenses'!G25</f>
        <v>6951788</v>
      </c>
      <c r="H185" s="2424">
        <f>'Sch 3 - Expenses'!H25</f>
        <v>6951788</v>
      </c>
      <c r="I185" s="2424">
        <f>'Sch 3 - Expenses'!I25</f>
        <v>0</v>
      </c>
      <c r="J185" s="2425">
        <f>'Sch 3 - Expenses'!J25</f>
        <v>0</v>
      </c>
      <c r="K185" s="3205">
        <f t="shared" si="547"/>
        <v>1</v>
      </c>
      <c r="N185" s="3284">
        <f>VLOOKUP($A185,'New Resources - Individual'!$A$4:$Y$133,N$2,FALSE)*N$1</f>
        <v>0</v>
      </c>
      <c r="O185" s="3235">
        <f>$G185+N185</f>
        <v>6951788</v>
      </c>
      <c r="P185" s="3236">
        <f>VLOOKUP($E185,O$442:R$453,2,FALSE)*O185*($K185)+IF($G185&lt;&gt;0,($H185/$G185)*O185,0)*(1-$K185)</f>
        <v>6951788</v>
      </c>
      <c r="Q185" s="3236">
        <f>VLOOKUP($E185,O$442:R$453,3,FALSE)*O185*($K185)+IF($G185&lt;&gt;0,($I185/$G185)*O185,0)*(1-$K185)</f>
        <v>0</v>
      </c>
      <c r="R185" s="3236">
        <f>VLOOKUP($E185,O$442:R$453,4,FALSE)*O185*($K185)+(O185-P185-Q185)*(1-$K185)</f>
        <v>0</v>
      </c>
      <c r="S185" s="3264"/>
      <c r="V185" s="3284">
        <f>VLOOKUP($A185,'New Resources - Individual'!$A$4:$Y$133,V$2,FALSE)*V$1</f>
        <v>0</v>
      </c>
      <c r="W185" s="3235">
        <f>$G185+V185</f>
        <v>6951788</v>
      </c>
      <c r="X185" s="3236">
        <f>VLOOKUP($E185,W$442:Z$453,2,FALSE)*W185*($K185)+IF($G185&lt;&gt;0,($H185/$G185)*W185,0)*(1-$K185)</f>
        <v>6951788</v>
      </c>
      <c r="Y185" s="3236">
        <f>VLOOKUP($E185,W$442:Z$453,3,FALSE)*W185*($K185)+IF($G185&lt;&gt;0,($I185/$G185)*W185,0)*(1-$K185)</f>
        <v>0</v>
      </c>
      <c r="Z185" s="3236">
        <f>VLOOKUP($E185,W$442:Z$453,4,FALSE)*W185*($K185)+(W185-X185-Y185)*(1-$K185)</f>
        <v>0</v>
      </c>
      <c r="AA185" s="3264"/>
      <c r="AD185" s="3284">
        <f>VLOOKUP($A185,'New Resources - Individual'!$A$4:$Y$133,AD$2,FALSE)*AD$1</f>
        <v>0</v>
      </c>
      <c r="AE185" s="3235">
        <f>$G185+AD185</f>
        <v>6951788</v>
      </c>
      <c r="AF185" s="3236">
        <f>VLOOKUP($E185,AE$442:AH$453,2,FALSE)*AE185*($K185)+IF($G185&lt;&gt;0,($H185/$G185)*AE185,0)*(1-$K185)</f>
        <v>6951788</v>
      </c>
      <c r="AG185" s="3236">
        <f>VLOOKUP($E185,AE$442:AH$453,3,FALSE)*AE185*($K185)+IF($G185&lt;&gt;0,($I185/$G185)*AE185,0)*(1-$K185)</f>
        <v>0</v>
      </c>
      <c r="AH185" s="3236">
        <f>VLOOKUP($E185,AE$442:AH$453,4,FALSE)*AE185*($K185)+(AE185-AF185-AG185)*(1-$K185)</f>
        <v>0</v>
      </c>
      <c r="AI185" s="3264"/>
      <c r="AL185" s="3284">
        <f>VLOOKUP($A185,'New Resources - Individual'!$A$4:$Y$133,AL$2,FALSE)*AL$1</f>
        <v>0</v>
      </c>
      <c r="AM185" s="3235">
        <f>$G185+AL185</f>
        <v>6951788</v>
      </c>
      <c r="AN185" s="3236">
        <f>VLOOKUP($E185,AM$442:AP$453,2,FALSE)*AM185*($K185)+IF($G185&lt;&gt;0,($H185/$G185)*AM185,0)*(1-$K185)</f>
        <v>6951788</v>
      </c>
      <c r="AO185" s="3236">
        <f>VLOOKUP($E185,AM$442:AP$453,3,FALSE)*AM185*($K185)+IF($G185&lt;&gt;0,($I185/$G185)*AM185,0)*(1-$K185)</f>
        <v>0</v>
      </c>
      <c r="AP185" s="3236">
        <f>VLOOKUP($E185,AM$442:AP$453,4,FALSE)*AM185*($K185)+(AM185-AN185-AO185)*(1-$K185)</f>
        <v>0</v>
      </c>
      <c r="AQ185" s="3264"/>
      <c r="AT185" s="3284">
        <f>VLOOKUP($A185,'New Resources - Individual'!$A$4:$Y$133,AT$2,FALSE)*AT$1</f>
        <v>0</v>
      </c>
      <c r="AU185" s="3235">
        <f>$G185+AT185</f>
        <v>6951788</v>
      </c>
      <c r="AV185" s="3236">
        <f>VLOOKUP($E185,AU$442:AX$453,2,FALSE)*AU185*($K185)+IF($G185&lt;&gt;0,($H185/$G185)*AU185,0)*(1-$K185)</f>
        <v>6951788</v>
      </c>
      <c r="AW185" s="3236">
        <f>VLOOKUP($E185,AU$442:AX$453,3,FALSE)*AU185*($K185)+IF($G185&lt;&gt;0,($I185/$G185)*AU185,0)*(1-$K185)</f>
        <v>0</v>
      </c>
      <c r="AX185" s="3236">
        <f>VLOOKUP($E185,AU$442:AX$453,4,FALSE)*AU185*($K185)+(AU185-AV185-AW185)*(1-$K185)</f>
        <v>0</v>
      </c>
      <c r="AY185" s="3264"/>
      <c r="BB185" s="3284">
        <f>VLOOKUP($A185,'New Resources - Individual'!$A$4:$Y$133,BB$2,FALSE)*BB$1</f>
        <v>0</v>
      </c>
      <c r="BC185" s="3235">
        <f>$G185+BB185</f>
        <v>6951788</v>
      </c>
      <c r="BD185" s="3236">
        <f>VLOOKUP($E185,BC$442:BF$453,2,FALSE)*BC185*($K185)+IF($G185&lt;&gt;0,($H185/$G185)*BC185,0)*(1-$K185)</f>
        <v>6951788</v>
      </c>
      <c r="BE185" s="3236">
        <f>VLOOKUP($E185,BC$442:BF$453,3,FALSE)*BC185*($K185)+IF($G185&lt;&gt;0,($I185/$G185)*BC185,0)*(1-$K185)</f>
        <v>0</v>
      </c>
      <c r="BF185" s="3236">
        <f>VLOOKUP($E185,BC$442:BF$453,4,FALSE)*BC185*($K185)+(BC185-BD185-BE185)*(1-$K185)</f>
        <v>0</v>
      </c>
      <c r="BG185" s="3264"/>
      <c r="BJ185" s="3284">
        <f>VLOOKUP($A185,'New Resources - Individual'!$A$4:$Y$133,BJ$2,FALSE)*BJ$1</f>
        <v>0</v>
      </c>
      <c r="BK185" s="3235">
        <f>$G185+BJ185</f>
        <v>6951788</v>
      </c>
      <c r="BL185" s="3236">
        <f>VLOOKUP($E185,BK$442:BN$453,2,FALSE)*BK185*($K185)+IF($G185&lt;&gt;0,($H185/$G185)*BK185,0)*(1-$K185)</f>
        <v>6951788</v>
      </c>
      <c r="BM185" s="3236">
        <f>VLOOKUP($E185,BK$442:BN$453,3,FALSE)*BK185*($K185)+IF($G185&lt;&gt;0,($I185/$G185)*BK185,0)*(1-$K185)</f>
        <v>0</v>
      </c>
      <c r="BN185" s="3236">
        <f>VLOOKUP($E185,BK$442:BN$453,4,FALSE)*BK185*($K185)+(BK185-BL185-BM185)*(1-$K185)</f>
        <v>0</v>
      </c>
      <c r="BO185" s="3264"/>
      <c r="BR185" s="3284">
        <f>VLOOKUP($A185,'New Resources - Individual'!$A$4:$Y$133,BR$2,FALSE)*BR$1</f>
        <v>0</v>
      </c>
      <c r="BS185" s="3235">
        <f>$G185+BR185</f>
        <v>6951788</v>
      </c>
      <c r="BT185" s="3236">
        <f>VLOOKUP($E185,BS$442:BV$453,2,FALSE)*BS185*($K185)+IF($G185&lt;&gt;0,($H185/$G185)*BS185,0)*(1-$K185)</f>
        <v>6951788</v>
      </c>
      <c r="BU185" s="3236">
        <f>VLOOKUP($E185,BS$442:BV$453,3,FALSE)*BS185*($K185)+IF($G185&lt;&gt;0,($I185/$G185)*BS185,0)*(1-$K185)</f>
        <v>0</v>
      </c>
      <c r="BV185" s="3236">
        <f>VLOOKUP($E185,BS$442:BV$453,4,FALSE)*BS185*($K185)+(BS185-BT185-BU185)*(1-$K185)</f>
        <v>0</v>
      </c>
      <c r="BW185" s="3264"/>
      <c r="BZ185" s="3284">
        <f>VLOOKUP($A185,'New Resources - Individual'!$A$4:$Y$133,BZ$2,FALSE)*BZ$1</f>
        <v>0</v>
      </c>
      <c r="CA185" s="3235">
        <f>$G185+BZ185</f>
        <v>6951788</v>
      </c>
      <c r="CB185" s="3236">
        <f>VLOOKUP($E185,CA$442:CD$453,2,FALSE)*CA185*($K185)+IF($G185&lt;&gt;0,($H185/$G185)*CA185,0)*(1-$K185)</f>
        <v>6951788</v>
      </c>
      <c r="CC185" s="3236">
        <f>VLOOKUP($E185,CA$442:CD$453,3,FALSE)*CA185*($K185)+IF($G185&lt;&gt;0,($I185/$G185)*CA185,0)*(1-$K185)</f>
        <v>0</v>
      </c>
      <c r="CD185" s="3236">
        <f>VLOOKUP($E185,CA$442:CD$453,4,FALSE)*CA185*($K185)+(CA185-CB185-CC185)*(1-$K185)</f>
        <v>0</v>
      </c>
      <c r="CE185" s="3264"/>
      <c r="CH185" s="3284">
        <f>VLOOKUP($A185,'New Resources - Individual'!$A$4:$Y$133,CH$2,FALSE)*CH$1</f>
        <v>0</v>
      </c>
      <c r="CI185" s="3235">
        <f>$G185+CH185</f>
        <v>6951788</v>
      </c>
      <c r="CJ185" s="3236">
        <f>VLOOKUP($E185,CI$442:CL$453,2,FALSE)*CI185*($K185)+IF($G185&lt;&gt;0,($H185/$G185)*CI185,0)*(1-$K185)</f>
        <v>6951788</v>
      </c>
      <c r="CK185" s="3236">
        <f>VLOOKUP($E185,CI$442:CL$453,3,FALSE)*CI185*($K185)+IF($G185&lt;&gt;0,($I185/$G185)*CI185,0)*(1-$K185)</f>
        <v>0</v>
      </c>
      <c r="CL185" s="3236">
        <f>VLOOKUP($E185,CI$442:CL$453,4,FALSE)*CI185*($K185)+(CI185-CJ185-CK185)*(1-$K185)</f>
        <v>0</v>
      </c>
      <c r="CM185" s="3264"/>
      <c r="CP185" s="3284">
        <f>VLOOKUP($A185,'New Resources - Individual'!$A$4:$Y$133,CP$2,FALSE)*CP$1</f>
        <v>0</v>
      </c>
      <c r="CQ185" s="3235">
        <f>$G185+CP185</f>
        <v>6951788</v>
      </c>
      <c r="CR185" s="3236">
        <f>VLOOKUP($E185,CQ$442:CT$453,2,FALSE)*CQ185*($K185)+IF($G185&lt;&gt;0,($H185/$G185)*CQ185,0)*(1-$K185)</f>
        <v>6951788</v>
      </c>
      <c r="CS185" s="3236">
        <f>VLOOKUP($E185,CQ$442:CT$453,3,FALSE)*CQ185*($K185)+IF($G185&lt;&gt;0,($I185/$G185)*CQ185,0)*(1-$K185)</f>
        <v>0</v>
      </c>
      <c r="CT185" s="3236">
        <f>VLOOKUP($E185,CQ$442:CT$453,4,FALSE)*CQ185*($K185)+(CQ185-CR185-CS185)*(1-$K185)</f>
        <v>0</v>
      </c>
      <c r="CU185" s="3264"/>
      <c r="CX185" s="3284">
        <f>VLOOKUP($A185,'New Resources - Individual'!$A$4:$Y$133,CX$2,FALSE)*CX$1</f>
        <v>0</v>
      </c>
      <c r="CY185" s="3235">
        <f>$G185+CX185</f>
        <v>6951788</v>
      </c>
      <c r="CZ185" s="3236">
        <f>VLOOKUP($E185,CY$442:DB$453,2,FALSE)*CY185*($K185)+IF($G185&lt;&gt;0,($H185/$G185)*CY185,0)*(1-$K185)</f>
        <v>6951788</v>
      </c>
      <c r="DA185" s="3236">
        <f>VLOOKUP($E185,CY$442:DB$453,3,FALSE)*CY185*($K185)+IF($G185&lt;&gt;0,($I185/$G185)*CY185,0)*(1-$K185)</f>
        <v>0</v>
      </c>
      <c r="DB185" s="3236">
        <f>VLOOKUP($E185,CY$442:DB$453,4,FALSE)*CY185*($K185)+(CY185-CZ185-DA185)*(1-$K185)</f>
        <v>0</v>
      </c>
      <c r="DC185" s="3264"/>
      <c r="DF185" s="3284">
        <f>VLOOKUP($A185,'New Resources - Individual'!$A$4:$Y$133,DF$2,FALSE)*DF$1</f>
        <v>0</v>
      </c>
      <c r="DG185" s="3235">
        <f>$G185+DF185</f>
        <v>6951788</v>
      </c>
      <c r="DH185" s="3236">
        <f>VLOOKUP($E185,DG$442:DJ$453,2,FALSE)*DG185*($K185)+IF($G185&lt;&gt;0,($H185/$G185)*DG185,0)*(1-$K185)</f>
        <v>6951788</v>
      </c>
      <c r="DI185" s="3236">
        <f>VLOOKUP($E185,DG$442:DJ$453,3,FALSE)*DG185*($K185)+IF($G185&lt;&gt;0,($I185/$G185)*DG185,0)*(1-$K185)</f>
        <v>0</v>
      </c>
      <c r="DJ185" s="3236">
        <f>VLOOKUP($E185,DG$442:DJ$453,4,FALSE)*DG185*($K185)+(DG185-DH185-DI185)*(1-$K185)</f>
        <v>0</v>
      </c>
      <c r="DK185" s="3264"/>
      <c r="DN185" s="3284">
        <f>VLOOKUP($A185,'New Resources - Individual'!$A$4:$Y$133,DN$2,FALSE)*DN$1</f>
        <v>0</v>
      </c>
      <c r="DO185" s="3235">
        <f>$G185+DN185</f>
        <v>6951788</v>
      </c>
      <c r="DP185" s="3236">
        <f>VLOOKUP($E185,DO$442:DR$453,2,FALSE)*DO185*($K185)+IF($G185&lt;&gt;0,($H185/$G185)*DO185,0)*(1-$K185)</f>
        <v>6951788</v>
      </c>
      <c r="DQ185" s="3236">
        <f>VLOOKUP($E185,DO$442:DR$453,3,FALSE)*DO185*($K185)+IF($G185&lt;&gt;0,($I185/$G185)*DO185,0)*(1-$K185)</f>
        <v>0</v>
      </c>
      <c r="DR185" s="3236">
        <f>VLOOKUP($E185,DO$442:DR$453,4,FALSE)*DO185*($K185)+(DO185-DP185-DQ185)*(1-$K185)</f>
        <v>0</v>
      </c>
      <c r="DS185" s="3264"/>
      <c r="DV185" s="3284">
        <f>VLOOKUP($A185,'New Resources - Individual'!$A$4:$Y$133,DV$2,FALSE)*DV$1</f>
        <v>0</v>
      </c>
      <c r="DW185" s="3235">
        <f>$G185+DV185</f>
        <v>6951788</v>
      </c>
      <c r="DX185" s="3236">
        <f>VLOOKUP($E185,DW$442:DZ$453,2,FALSE)*DW185*($K185)+IF($G185&lt;&gt;0,($H185/$G185)*DW185,0)*(1-$K185)</f>
        <v>6951788</v>
      </c>
      <c r="DY185" s="3236">
        <f>VLOOKUP($E185,DW$442:DZ$453,3,FALSE)*DW185*($K185)+IF($G185&lt;&gt;0,($I185/$G185)*DW185,0)*(1-$K185)</f>
        <v>0</v>
      </c>
      <c r="DZ185" s="3236">
        <f>VLOOKUP($E185,DW$442:DZ$453,4,FALSE)*DW185*($K185)+(DW185-DX185-DY185)*(1-$K185)</f>
        <v>0</v>
      </c>
      <c r="EA185" s="3264"/>
      <c r="ED185" s="3284">
        <f>VLOOKUP($A185,'New Resources - Individual'!$A$4:$Y$133,ED$2,FALSE)*ED$1</f>
        <v>0</v>
      </c>
      <c r="EE185" s="3235">
        <f>$G185+ED185</f>
        <v>6951788</v>
      </c>
      <c r="EF185" s="3236">
        <f>VLOOKUP($E185,EE$442:EH$453,2,FALSE)*EE185*($K185)+IF($G185&lt;&gt;0,($H185/$G185)*EE185,0)*(1-$K185)</f>
        <v>6951788</v>
      </c>
      <c r="EG185" s="3236">
        <f>VLOOKUP($E185,EE$442:EH$453,3,FALSE)*EE185*($K185)+IF($G185&lt;&gt;0,($I185/$G185)*EE185,0)*(1-$K185)</f>
        <v>0</v>
      </c>
      <c r="EH185" s="3236">
        <f>VLOOKUP($E185,EE$442:EH$453,4,FALSE)*EE185*($K185)+(EE185-EF185-EG185)*(1-$K185)</f>
        <v>0</v>
      </c>
      <c r="EI185" s="3264"/>
      <c r="EL185" s="3284">
        <f>VLOOKUP($A185,'New Resources - Individual'!$A$4:$Y$133,EL$2,FALSE)*EL$1</f>
        <v>0</v>
      </c>
      <c r="EM185" s="3235">
        <f>$G185+EL185</f>
        <v>6951788</v>
      </c>
      <c r="EN185" s="3236">
        <f>VLOOKUP($E185,EM$442:EP$453,2,FALSE)*EM185*($K185)+IF($G185&lt;&gt;0,($H185/$G185)*EM185,0)*(1-$K185)</f>
        <v>6951788</v>
      </c>
      <c r="EO185" s="3236">
        <f>VLOOKUP($E185,EM$442:EP$453,3,FALSE)*EM185*($K185)+IF($G185&lt;&gt;0,($I185/$G185)*EM185,0)*(1-$K185)</f>
        <v>0</v>
      </c>
      <c r="EP185" s="3236">
        <f>VLOOKUP($E185,EM$442:EP$453,4,FALSE)*EM185*($K185)+(EM185-EN185-EO185)*(1-$K185)</f>
        <v>0</v>
      </c>
      <c r="EQ185" s="3264"/>
      <c r="ET185" s="3284">
        <f>VLOOKUP($A185,'New Resources - Individual'!$A$4:$Y$133,ET$2,FALSE)*ET$1</f>
        <v>0</v>
      </c>
      <c r="EU185" s="3235">
        <f>$G185+ET185</f>
        <v>6951788</v>
      </c>
      <c r="EV185" s="3236">
        <f>VLOOKUP($E185,EU$442:EX$453,2,FALSE)*EU185*($K185)+IF($G185&lt;&gt;0,($H185/$G185)*EU185,0)*(1-$K185)</f>
        <v>6951788</v>
      </c>
      <c r="EW185" s="3236">
        <f>VLOOKUP($E185,EU$442:EX$453,3,FALSE)*EU185*($K185)+IF($G185&lt;&gt;0,($I185/$G185)*EU185,0)*(1-$K185)</f>
        <v>0</v>
      </c>
      <c r="EX185" s="3236">
        <f>VLOOKUP($E185,EU$442:EX$453,4,FALSE)*EU185*($K185)+(EU185-EV185-EW185)*(1-$K185)</f>
        <v>0</v>
      </c>
      <c r="EY185" s="3264"/>
      <c r="FB185" s="3284">
        <f>VLOOKUP($A185,'New Resources - Individual'!$A$4:$Y$133,FB$2,FALSE)*FB$1</f>
        <v>0</v>
      </c>
      <c r="FC185" s="3235">
        <f>$G185+FB185</f>
        <v>6951788</v>
      </c>
      <c r="FD185" s="3236">
        <f>VLOOKUP($E185,FC$442:FF$453,2,FALSE)*FC185*($K185)+IF($G185&lt;&gt;0,($H185/$G185)*FC185,0)*(1-$K185)</f>
        <v>6951788</v>
      </c>
      <c r="FE185" s="3236">
        <f>VLOOKUP($E185,FC$442:FF$453,3,FALSE)*FC185*($K185)+IF($G185&lt;&gt;0,($I185/$G185)*FC185,0)*(1-$K185)</f>
        <v>0</v>
      </c>
      <c r="FF185" s="3236">
        <f>VLOOKUP($E185,FC$442:FF$453,4,FALSE)*FC185*($K185)+(FC185-FD185-FE185)*(1-$K185)</f>
        <v>0</v>
      </c>
      <c r="FG185" s="3264"/>
      <c r="FJ185" s="3284">
        <f>VLOOKUP($A185,'New Resources - Individual'!$A$4:$Y$133,FJ$2,FALSE)*FJ$1</f>
        <v>0</v>
      </c>
      <c r="FK185" s="3235">
        <f>$G185+FJ185</f>
        <v>6951788</v>
      </c>
      <c r="FL185" s="3236">
        <f>VLOOKUP($E185,FK$442:FN$453,2,FALSE)*FK185*($K185)+IF($G185&lt;&gt;0,($H185/$G185)*FK185,0)*(1-$K185)</f>
        <v>6951788</v>
      </c>
      <c r="FM185" s="3236">
        <f>VLOOKUP($E185,FK$442:FN$453,3,FALSE)*FK185*($K185)+IF($G185&lt;&gt;0,($I185/$G185)*FK185,0)*(1-$K185)</f>
        <v>0</v>
      </c>
      <c r="FN185" s="3236">
        <f>VLOOKUP($E185,FK$442:FN$453,4,FALSE)*FK185*($K185)+(FK185-FL185-FM185)*(1-$K185)</f>
        <v>0</v>
      </c>
      <c r="FO185" s="3264"/>
    </row>
    <row r="186" spans="1:171">
      <c r="A186" s="3328"/>
      <c r="B186" s="2143" t="s">
        <v>459</v>
      </c>
      <c r="C186" s="2116"/>
      <c r="D186" s="2116"/>
      <c r="E186" s="2098"/>
      <c r="F186" s="2098"/>
      <c r="G186" s="2506"/>
      <c r="H186" s="2506"/>
      <c r="I186" s="2506"/>
      <c r="J186" s="3327"/>
      <c r="K186" s="3205"/>
      <c r="S186" s="3264"/>
      <c r="AA186" s="3264"/>
      <c r="AI186" s="3264"/>
      <c r="AQ186" s="3264"/>
      <c r="AY186" s="3264"/>
      <c r="BG186" s="3264"/>
      <c r="BO186" s="3264"/>
      <c r="BW186" s="3264"/>
      <c r="CE186" s="3264"/>
      <c r="CM186" s="3264"/>
      <c r="CU186" s="3264"/>
      <c r="DC186" s="3264"/>
      <c r="DK186" s="3264"/>
      <c r="DS186" s="3264"/>
      <c r="EA186" s="3264"/>
      <c r="EI186" s="3264"/>
      <c r="EQ186" s="3264"/>
      <c r="EY186" s="3264"/>
      <c r="FG186" s="3264"/>
      <c r="FO186" s="3264"/>
    </row>
    <row r="187" spans="1:171">
      <c r="A187" s="3254">
        <v>560</v>
      </c>
      <c r="B187" s="2103" t="s">
        <v>450</v>
      </c>
      <c r="C187" s="2464" t="s">
        <v>72</v>
      </c>
      <c r="D187" s="2464">
        <v>547</v>
      </c>
      <c r="E187" s="2424" t="str">
        <f>'Sch 3 - Expenses'!E27</f>
        <v>PROD</v>
      </c>
      <c r="F187" s="2171"/>
      <c r="G187" s="2424">
        <f>'Sch 3 - Expenses'!G27</f>
        <v>396650165</v>
      </c>
      <c r="H187" s="2424">
        <f>'Sch 3 - Expenses'!H27</f>
        <v>396650165</v>
      </c>
      <c r="I187" s="2424">
        <f>'Sch 3 - Expenses'!I27</f>
        <v>0</v>
      </c>
      <c r="J187" s="2425">
        <f>'Sch 3 - Expenses'!J27</f>
        <v>0</v>
      </c>
      <c r="K187" s="3205">
        <f t="shared" si="547"/>
        <v>1</v>
      </c>
      <c r="N187" s="3284">
        <f>VLOOKUP($A187,'New Resources - Individual'!$A$4:$Y$133,N$2,FALSE)*N$1</f>
        <v>0</v>
      </c>
      <c r="O187" s="3235">
        <f>$G187+N187</f>
        <v>396650165</v>
      </c>
      <c r="P187" s="3236">
        <f>VLOOKUP($E187,O$442:R$453,2,FALSE)*O187*($K187)+IF($G187&lt;&gt;0,($H187/$G187)*O187,0)*(1-$K187)</f>
        <v>396650165</v>
      </c>
      <c r="Q187" s="3236">
        <f>VLOOKUP($E187,O$442:R$453,3,FALSE)*O187*($K187)+IF($G187&lt;&gt;0,($I187/$G187)*O187,0)*(1-$K187)</f>
        <v>0</v>
      </c>
      <c r="R187" s="3236">
        <f>VLOOKUP($E187,O$442:R$453,4,FALSE)*O187*($K187)+(O187-P187-Q187)*(1-$K187)</f>
        <v>0</v>
      </c>
      <c r="S187" s="3264"/>
      <c r="V187" s="3284">
        <f>VLOOKUP($A187,'New Resources - Individual'!$A$4:$Y$133,V$2,FALSE)*V$1</f>
        <v>0</v>
      </c>
      <c r="W187" s="3235">
        <f>$G187+V187</f>
        <v>396650165</v>
      </c>
      <c r="X187" s="3236">
        <f>VLOOKUP($E187,W$442:Z$453,2,FALSE)*W187*($K187)+IF($G187&lt;&gt;0,($H187/$G187)*W187,0)*(1-$K187)</f>
        <v>396650165</v>
      </c>
      <c r="Y187" s="3236">
        <f>VLOOKUP($E187,W$442:Z$453,3,FALSE)*W187*($K187)+IF($G187&lt;&gt;0,($I187/$G187)*W187,0)*(1-$K187)</f>
        <v>0</v>
      </c>
      <c r="Z187" s="3236">
        <f>VLOOKUP($E187,W$442:Z$453,4,FALSE)*W187*($K187)+(W187-X187-Y187)*(1-$K187)</f>
        <v>0</v>
      </c>
      <c r="AA187" s="3264"/>
      <c r="AD187" s="3284">
        <f>VLOOKUP($A187,'New Resources - Individual'!$A$4:$Y$133,AD$2,FALSE)*AD$1</f>
        <v>0</v>
      </c>
      <c r="AE187" s="3235">
        <f>$G187+AD187</f>
        <v>396650165</v>
      </c>
      <c r="AF187" s="3236">
        <f>VLOOKUP($E187,AE$442:AH$453,2,FALSE)*AE187*($K187)+IF($G187&lt;&gt;0,($H187/$G187)*AE187,0)*(1-$K187)</f>
        <v>396650165</v>
      </c>
      <c r="AG187" s="3236">
        <f>VLOOKUP($E187,AE$442:AH$453,3,FALSE)*AE187*($K187)+IF($G187&lt;&gt;0,($I187/$G187)*AE187,0)*(1-$K187)</f>
        <v>0</v>
      </c>
      <c r="AH187" s="3236">
        <f>VLOOKUP($E187,AE$442:AH$453,4,FALSE)*AE187*($K187)+(AE187-AF187-AG187)*(1-$K187)</f>
        <v>0</v>
      </c>
      <c r="AI187" s="3264"/>
      <c r="AL187" s="3284">
        <f>VLOOKUP($A187,'New Resources - Individual'!$A$4:$Y$133,AL$2,FALSE)*AL$1</f>
        <v>0</v>
      </c>
      <c r="AM187" s="3235">
        <f>$G187+AL187</f>
        <v>396650165</v>
      </c>
      <c r="AN187" s="3236">
        <f>VLOOKUP($E187,AM$442:AP$453,2,FALSE)*AM187*($K187)+IF($G187&lt;&gt;0,($H187/$G187)*AM187,0)*(1-$K187)</f>
        <v>396650165</v>
      </c>
      <c r="AO187" s="3236">
        <f>VLOOKUP($E187,AM$442:AP$453,3,FALSE)*AM187*($K187)+IF($G187&lt;&gt;0,($I187/$G187)*AM187,0)*(1-$K187)</f>
        <v>0</v>
      </c>
      <c r="AP187" s="3236">
        <f>VLOOKUP($E187,AM$442:AP$453,4,FALSE)*AM187*($K187)+(AM187-AN187-AO187)*(1-$K187)</f>
        <v>0</v>
      </c>
      <c r="AQ187" s="3264"/>
      <c r="AT187" s="3284">
        <f>VLOOKUP($A187,'New Resources - Individual'!$A$4:$Y$133,AT$2,FALSE)*AT$1</f>
        <v>0</v>
      </c>
      <c r="AU187" s="3235">
        <f>$G187+AT187</f>
        <v>396650165</v>
      </c>
      <c r="AV187" s="3236">
        <f>VLOOKUP($E187,AU$442:AX$453,2,FALSE)*AU187*($K187)+IF($G187&lt;&gt;0,($H187/$G187)*AU187,0)*(1-$K187)</f>
        <v>396650165</v>
      </c>
      <c r="AW187" s="3236">
        <f>VLOOKUP($E187,AU$442:AX$453,3,FALSE)*AU187*($K187)+IF($G187&lt;&gt;0,($I187/$G187)*AU187,0)*(1-$K187)</f>
        <v>0</v>
      </c>
      <c r="AX187" s="3236">
        <f>VLOOKUP($E187,AU$442:AX$453,4,FALSE)*AU187*($K187)+(AU187-AV187-AW187)*(1-$K187)</f>
        <v>0</v>
      </c>
      <c r="AY187" s="3264"/>
      <c r="BB187" s="3284">
        <f>VLOOKUP($A187,'New Resources - Individual'!$A$4:$Y$133,BB$2,FALSE)*BB$1</f>
        <v>0</v>
      </c>
      <c r="BC187" s="3235">
        <f>$G187+BB187</f>
        <v>396650165</v>
      </c>
      <c r="BD187" s="3236">
        <f>VLOOKUP($E187,BC$442:BF$453,2,FALSE)*BC187*($K187)+IF($G187&lt;&gt;0,($H187/$G187)*BC187,0)*(1-$K187)</f>
        <v>396650165</v>
      </c>
      <c r="BE187" s="3236">
        <f>VLOOKUP($E187,BC$442:BF$453,3,FALSE)*BC187*($K187)+IF($G187&lt;&gt;0,($I187/$G187)*BC187,0)*(1-$K187)</f>
        <v>0</v>
      </c>
      <c r="BF187" s="3236">
        <f>VLOOKUP($E187,BC$442:BF$453,4,FALSE)*BC187*($K187)+(BC187-BD187-BE187)*(1-$K187)</f>
        <v>0</v>
      </c>
      <c r="BG187" s="3264"/>
      <c r="BJ187" s="3284">
        <f>VLOOKUP($A187,'New Resources - Individual'!$A$4:$Y$133,BJ$2,FALSE)*BJ$1</f>
        <v>0</v>
      </c>
      <c r="BK187" s="3235">
        <f>$G187+BJ187</f>
        <v>396650165</v>
      </c>
      <c r="BL187" s="3236">
        <f>VLOOKUP($E187,BK$442:BN$453,2,FALSE)*BK187*($K187)+IF($G187&lt;&gt;0,($H187/$G187)*BK187,0)*(1-$K187)</f>
        <v>396650165</v>
      </c>
      <c r="BM187" s="3236">
        <f>VLOOKUP($E187,BK$442:BN$453,3,FALSE)*BK187*($K187)+IF($G187&lt;&gt;0,($I187/$G187)*BK187,0)*(1-$K187)</f>
        <v>0</v>
      </c>
      <c r="BN187" s="3236">
        <f>VLOOKUP($E187,BK$442:BN$453,4,FALSE)*BK187*($K187)+(BK187-BL187-BM187)*(1-$K187)</f>
        <v>0</v>
      </c>
      <c r="BO187" s="3264"/>
      <c r="BR187" s="3284">
        <f>VLOOKUP($A187,'New Resources - Individual'!$A$4:$Y$133,BR$2,FALSE)*BR$1</f>
        <v>0</v>
      </c>
      <c r="BS187" s="3235">
        <f>$G187+BR187</f>
        <v>396650165</v>
      </c>
      <c r="BT187" s="3236">
        <f>VLOOKUP($E187,BS$442:BV$453,2,FALSE)*BS187*($K187)+IF($G187&lt;&gt;0,($H187/$G187)*BS187,0)*(1-$K187)</f>
        <v>396650165</v>
      </c>
      <c r="BU187" s="3236">
        <f>VLOOKUP($E187,BS$442:BV$453,3,FALSE)*BS187*($K187)+IF($G187&lt;&gt;0,($I187/$G187)*BS187,0)*(1-$K187)</f>
        <v>0</v>
      </c>
      <c r="BV187" s="3236">
        <f>VLOOKUP($E187,BS$442:BV$453,4,FALSE)*BS187*($K187)+(BS187-BT187-BU187)*(1-$K187)</f>
        <v>0</v>
      </c>
      <c r="BW187" s="3264"/>
      <c r="BZ187" s="3284">
        <f>VLOOKUP($A187,'New Resources - Individual'!$A$4:$Y$133,BZ$2,FALSE)*BZ$1</f>
        <v>0</v>
      </c>
      <c r="CA187" s="3235">
        <f>$G187+BZ187</f>
        <v>396650165</v>
      </c>
      <c r="CB187" s="3236">
        <f>VLOOKUP($E187,CA$442:CD$453,2,FALSE)*CA187*($K187)+IF($G187&lt;&gt;0,($H187/$G187)*CA187,0)*(1-$K187)</f>
        <v>396650165</v>
      </c>
      <c r="CC187" s="3236">
        <f>VLOOKUP($E187,CA$442:CD$453,3,FALSE)*CA187*($K187)+IF($G187&lt;&gt;0,($I187/$G187)*CA187,0)*(1-$K187)</f>
        <v>0</v>
      </c>
      <c r="CD187" s="3236">
        <f>VLOOKUP($E187,CA$442:CD$453,4,FALSE)*CA187*($K187)+(CA187-CB187-CC187)*(1-$K187)</f>
        <v>0</v>
      </c>
      <c r="CE187" s="3264"/>
      <c r="CH187" s="3284">
        <f>VLOOKUP($A187,'New Resources - Individual'!$A$4:$Y$133,CH$2,FALSE)*CH$1</f>
        <v>0</v>
      </c>
      <c r="CI187" s="3235">
        <f>$G187+CH187</f>
        <v>396650165</v>
      </c>
      <c r="CJ187" s="3236">
        <f>VLOOKUP($E187,CI$442:CL$453,2,FALSE)*CI187*($K187)+IF($G187&lt;&gt;0,($H187/$G187)*CI187,0)*(1-$K187)</f>
        <v>396650165</v>
      </c>
      <c r="CK187" s="3236">
        <f>VLOOKUP($E187,CI$442:CL$453,3,FALSE)*CI187*($K187)+IF($G187&lt;&gt;0,($I187/$G187)*CI187,0)*(1-$K187)</f>
        <v>0</v>
      </c>
      <c r="CL187" s="3236">
        <f>VLOOKUP($E187,CI$442:CL$453,4,FALSE)*CI187*($K187)+(CI187-CJ187-CK187)*(1-$K187)</f>
        <v>0</v>
      </c>
      <c r="CM187" s="3264"/>
      <c r="CP187" s="3284">
        <f>VLOOKUP($A187,'New Resources - Individual'!$A$4:$Y$133,CP$2,FALSE)*CP$1</f>
        <v>0</v>
      </c>
      <c r="CQ187" s="3235">
        <f>$G187+CP187</f>
        <v>396650165</v>
      </c>
      <c r="CR187" s="3236">
        <f>VLOOKUP($E187,CQ$442:CT$453,2,FALSE)*CQ187*($K187)+IF($G187&lt;&gt;0,($H187/$G187)*CQ187,0)*(1-$K187)</f>
        <v>396650165</v>
      </c>
      <c r="CS187" s="3236">
        <f>VLOOKUP($E187,CQ$442:CT$453,3,FALSE)*CQ187*($K187)+IF($G187&lt;&gt;0,($I187/$G187)*CQ187,0)*(1-$K187)</f>
        <v>0</v>
      </c>
      <c r="CT187" s="3236">
        <f>VLOOKUP($E187,CQ$442:CT$453,4,FALSE)*CQ187*($K187)+(CQ187-CR187-CS187)*(1-$K187)</f>
        <v>0</v>
      </c>
      <c r="CU187" s="3264"/>
      <c r="CX187" s="3284">
        <f>VLOOKUP($A187,'New Resources - Individual'!$A$4:$Y$133,CX$2,FALSE)*CX$1</f>
        <v>0</v>
      </c>
      <c r="CY187" s="3235">
        <f>$G187+CX187</f>
        <v>396650165</v>
      </c>
      <c r="CZ187" s="3236">
        <f>VLOOKUP($E187,CY$442:DB$453,2,FALSE)*CY187*($K187)+IF($G187&lt;&gt;0,($H187/$G187)*CY187,0)*(1-$K187)</f>
        <v>396650165</v>
      </c>
      <c r="DA187" s="3236">
        <f>VLOOKUP($E187,CY$442:DB$453,3,FALSE)*CY187*($K187)+IF($G187&lt;&gt;0,($I187/$G187)*CY187,0)*(1-$K187)</f>
        <v>0</v>
      </c>
      <c r="DB187" s="3236">
        <f>VLOOKUP($E187,CY$442:DB$453,4,FALSE)*CY187*($K187)+(CY187-CZ187-DA187)*(1-$K187)</f>
        <v>0</v>
      </c>
      <c r="DC187" s="3264"/>
      <c r="DF187" s="3284">
        <f>VLOOKUP($A187,'New Resources - Individual'!$A$4:$Y$133,DF$2,FALSE)*DF$1</f>
        <v>0</v>
      </c>
      <c r="DG187" s="3235">
        <f>$G187+DF187</f>
        <v>396650165</v>
      </c>
      <c r="DH187" s="3236">
        <f>VLOOKUP($E187,DG$442:DJ$453,2,FALSE)*DG187*($K187)+IF($G187&lt;&gt;0,($H187/$G187)*DG187,0)*(1-$K187)</f>
        <v>396650165</v>
      </c>
      <c r="DI187" s="3236">
        <f>VLOOKUP($E187,DG$442:DJ$453,3,FALSE)*DG187*($K187)+IF($G187&lt;&gt;0,($I187/$G187)*DG187,0)*(1-$K187)</f>
        <v>0</v>
      </c>
      <c r="DJ187" s="3236">
        <f>VLOOKUP($E187,DG$442:DJ$453,4,FALSE)*DG187*($K187)+(DG187-DH187-DI187)*(1-$K187)</f>
        <v>0</v>
      </c>
      <c r="DK187" s="3264"/>
      <c r="DN187" s="3284">
        <f>VLOOKUP($A187,'New Resources - Individual'!$A$4:$Y$133,DN$2,FALSE)*DN$1</f>
        <v>0</v>
      </c>
      <c r="DO187" s="3235">
        <f>$G187+DN187</f>
        <v>396650165</v>
      </c>
      <c r="DP187" s="3236">
        <f>VLOOKUP($E187,DO$442:DR$453,2,FALSE)*DO187*($K187)+IF($G187&lt;&gt;0,($H187/$G187)*DO187,0)*(1-$K187)</f>
        <v>396650165</v>
      </c>
      <c r="DQ187" s="3236">
        <f>VLOOKUP($E187,DO$442:DR$453,3,FALSE)*DO187*($K187)+IF($G187&lt;&gt;0,($I187/$G187)*DO187,0)*(1-$K187)</f>
        <v>0</v>
      </c>
      <c r="DR187" s="3236">
        <f>VLOOKUP($E187,DO$442:DR$453,4,FALSE)*DO187*($K187)+(DO187-DP187-DQ187)*(1-$K187)</f>
        <v>0</v>
      </c>
      <c r="DS187" s="3264"/>
      <c r="DV187" s="3284">
        <f>VLOOKUP($A187,'New Resources - Individual'!$A$4:$Y$133,DV$2,FALSE)*DV$1</f>
        <v>0</v>
      </c>
      <c r="DW187" s="3235">
        <f>$G187+DV187</f>
        <v>396650165</v>
      </c>
      <c r="DX187" s="3236">
        <f>VLOOKUP($E187,DW$442:DZ$453,2,FALSE)*DW187*($K187)+IF($G187&lt;&gt;0,($H187/$G187)*DW187,0)*(1-$K187)</f>
        <v>396650165</v>
      </c>
      <c r="DY187" s="3236">
        <f>VLOOKUP($E187,DW$442:DZ$453,3,FALSE)*DW187*($K187)+IF($G187&lt;&gt;0,($I187/$G187)*DW187,0)*(1-$K187)</f>
        <v>0</v>
      </c>
      <c r="DZ187" s="3236">
        <f>VLOOKUP($E187,DW$442:DZ$453,4,FALSE)*DW187*($K187)+(DW187-DX187-DY187)*(1-$K187)</f>
        <v>0</v>
      </c>
      <c r="EA187" s="3264"/>
      <c r="ED187" s="3284">
        <f>VLOOKUP($A187,'New Resources - Individual'!$A$4:$Y$133,ED$2,FALSE)*ED$1</f>
        <v>0</v>
      </c>
      <c r="EE187" s="3235">
        <f>$G187+ED187</f>
        <v>396650165</v>
      </c>
      <c r="EF187" s="3236">
        <f>VLOOKUP($E187,EE$442:EH$453,2,FALSE)*EE187*($K187)+IF($G187&lt;&gt;0,($H187/$G187)*EE187,0)*(1-$K187)</f>
        <v>396650165</v>
      </c>
      <c r="EG187" s="3236">
        <f>VLOOKUP($E187,EE$442:EH$453,3,FALSE)*EE187*($K187)+IF($G187&lt;&gt;0,($I187/$G187)*EE187,0)*(1-$K187)</f>
        <v>0</v>
      </c>
      <c r="EH187" s="3236">
        <f>VLOOKUP($E187,EE$442:EH$453,4,FALSE)*EE187*($K187)+(EE187-EF187-EG187)*(1-$K187)</f>
        <v>0</v>
      </c>
      <c r="EI187" s="3264"/>
      <c r="EL187" s="3284">
        <f>VLOOKUP($A187,'New Resources - Individual'!$A$4:$Y$133,EL$2,FALSE)*EL$1</f>
        <v>0</v>
      </c>
      <c r="EM187" s="3235">
        <f>$G187+EL187</f>
        <v>396650165</v>
      </c>
      <c r="EN187" s="3236">
        <f>VLOOKUP($E187,EM$442:EP$453,2,FALSE)*EM187*($K187)+IF($G187&lt;&gt;0,($H187/$G187)*EM187,0)*(1-$K187)</f>
        <v>396650165</v>
      </c>
      <c r="EO187" s="3236">
        <f>VLOOKUP($E187,EM$442:EP$453,3,FALSE)*EM187*($K187)+IF($G187&lt;&gt;0,($I187/$G187)*EM187,0)*(1-$K187)</f>
        <v>0</v>
      </c>
      <c r="EP187" s="3236">
        <f>VLOOKUP($E187,EM$442:EP$453,4,FALSE)*EM187*($K187)+(EM187-EN187-EO187)*(1-$K187)</f>
        <v>0</v>
      </c>
      <c r="EQ187" s="3264"/>
      <c r="ET187" s="3284">
        <f>VLOOKUP($A187,'New Resources - Individual'!$A$4:$Y$133,ET$2,FALSE)*ET$1</f>
        <v>0</v>
      </c>
      <c r="EU187" s="3235">
        <f>$G187+ET187</f>
        <v>396650165</v>
      </c>
      <c r="EV187" s="3236">
        <f>VLOOKUP($E187,EU$442:EX$453,2,FALSE)*EU187*($K187)+IF($G187&lt;&gt;0,($H187/$G187)*EU187,0)*(1-$K187)</f>
        <v>396650165</v>
      </c>
      <c r="EW187" s="3236">
        <f>VLOOKUP($E187,EU$442:EX$453,3,FALSE)*EU187*($K187)+IF($G187&lt;&gt;0,($I187/$G187)*EU187,0)*(1-$K187)</f>
        <v>0</v>
      </c>
      <c r="EX187" s="3236">
        <f>VLOOKUP($E187,EU$442:EX$453,4,FALSE)*EU187*($K187)+(EU187-EV187-EW187)*(1-$K187)</f>
        <v>0</v>
      </c>
      <c r="EY187" s="3264"/>
      <c r="FB187" s="3284">
        <f>VLOOKUP($A187,'New Resources - Individual'!$A$4:$Y$133,FB$2,FALSE)*FB$1</f>
        <v>0</v>
      </c>
      <c r="FC187" s="3235">
        <f>$G187+FB187</f>
        <v>396650165</v>
      </c>
      <c r="FD187" s="3236">
        <f>VLOOKUP($E187,FC$442:FF$453,2,FALSE)*FC187*($K187)+IF($G187&lt;&gt;0,($H187/$G187)*FC187,0)*(1-$K187)</f>
        <v>396650165</v>
      </c>
      <c r="FE187" s="3236">
        <f>VLOOKUP($E187,FC$442:FF$453,3,FALSE)*FC187*($K187)+IF($G187&lt;&gt;0,($I187/$G187)*FC187,0)*(1-$K187)</f>
        <v>0</v>
      </c>
      <c r="FF187" s="3236">
        <f>VLOOKUP($E187,FC$442:FF$453,4,FALSE)*FC187*($K187)+(FC187-FD187-FE187)*(1-$K187)</f>
        <v>0</v>
      </c>
      <c r="FG187" s="3264"/>
      <c r="FJ187" s="3284">
        <f>VLOOKUP($A187,'New Resources - Individual'!$A$4:$Y$133,FJ$2,FALSE)*FJ$1</f>
        <v>0</v>
      </c>
      <c r="FK187" s="3235">
        <f>$G187+FJ187</f>
        <v>396650165</v>
      </c>
      <c r="FL187" s="3236">
        <f>VLOOKUP($E187,FK$442:FN$453,2,FALSE)*FK187*($K187)+IF($G187&lt;&gt;0,($H187/$G187)*FK187,0)*(1-$K187)</f>
        <v>396650165</v>
      </c>
      <c r="FM187" s="3236">
        <f>VLOOKUP($E187,FK$442:FN$453,3,FALSE)*FK187*($K187)+IF($G187&lt;&gt;0,($I187/$G187)*FK187,0)*(1-$K187)</f>
        <v>0</v>
      </c>
      <c r="FN187" s="3236">
        <f>VLOOKUP($E187,FK$442:FN$453,4,FALSE)*FK187*($K187)+(FK187-FL187-FM187)*(1-$K187)</f>
        <v>0</v>
      </c>
      <c r="FO187" s="3264"/>
    </row>
    <row r="188" spans="1:171">
      <c r="A188" s="3254">
        <v>570</v>
      </c>
      <c r="B188" s="2185" t="s">
        <v>261</v>
      </c>
      <c r="C188" s="2464" t="s">
        <v>72</v>
      </c>
      <c r="D188" s="2464" t="s">
        <v>601</v>
      </c>
      <c r="E188" s="2424" t="str">
        <f>'Sch 3 - Expenses'!E28</f>
        <v>PROD</v>
      </c>
      <c r="F188" s="2171"/>
      <c r="G188" s="2424">
        <f>'Sch 3 - Expenses'!G28</f>
        <v>33443518</v>
      </c>
      <c r="H188" s="2424">
        <f>'Sch 3 - Expenses'!H28</f>
        <v>33443518</v>
      </c>
      <c r="I188" s="2424">
        <f>'Sch 3 - Expenses'!I28</f>
        <v>0</v>
      </c>
      <c r="J188" s="2425">
        <f>'Sch 3 - Expenses'!J28</f>
        <v>0</v>
      </c>
      <c r="K188" s="3205">
        <f t="shared" si="547"/>
        <v>1</v>
      </c>
      <c r="N188" s="3284">
        <f>VLOOKUP($A188,'New Resources - Individual'!$A$4:$Y$133,N$2,FALSE)*N$1</f>
        <v>0</v>
      </c>
      <c r="O188" s="3235">
        <f>$G188+N188</f>
        <v>33443518</v>
      </c>
      <c r="P188" s="3236">
        <f>VLOOKUP($E188,O$442:R$453,2,FALSE)*O188*($K188)+IF($G188&lt;&gt;0,($H188/$G188)*O188,0)*(1-$K188)</f>
        <v>33443518</v>
      </c>
      <c r="Q188" s="3236">
        <f>VLOOKUP($E188,O$442:R$453,3,FALSE)*O188*($K188)+IF($G188&lt;&gt;0,($I188/$G188)*O188,0)*(1-$K188)</f>
        <v>0</v>
      </c>
      <c r="R188" s="3236">
        <f>VLOOKUP($E188,O$442:R$453,4,FALSE)*O188*($K188)+(O188-P188-Q188)*(1-$K188)</f>
        <v>0</v>
      </c>
      <c r="S188" s="3264"/>
      <c r="V188" s="3284">
        <f>VLOOKUP($A188,'New Resources - Individual'!$A$4:$Y$133,V$2,FALSE)*V$1</f>
        <v>0</v>
      </c>
      <c r="W188" s="3235">
        <f>$G188+V188</f>
        <v>33443518</v>
      </c>
      <c r="X188" s="3236">
        <f>VLOOKUP($E188,W$442:Z$453,2,FALSE)*W188*($K188)+IF($G188&lt;&gt;0,($H188/$G188)*W188,0)*(1-$K188)</f>
        <v>33443518</v>
      </c>
      <c r="Y188" s="3236">
        <f>VLOOKUP($E188,W$442:Z$453,3,FALSE)*W188*($K188)+IF($G188&lt;&gt;0,($I188/$G188)*W188,0)*(1-$K188)</f>
        <v>0</v>
      </c>
      <c r="Z188" s="3236">
        <f>VLOOKUP($E188,W$442:Z$453,4,FALSE)*W188*($K188)+(W188-X188-Y188)*(1-$K188)</f>
        <v>0</v>
      </c>
      <c r="AA188" s="3264"/>
      <c r="AD188" s="3284">
        <f>VLOOKUP($A188,'New Resources - Individual'!$A$4:$Y$133,AD$2,FALSE)*AD$1</f>
        <v>0</v>
      </c>
      <c r="AE188" s="3235">
        <f>$G188+AD188</f>
        <v>33443518</v>
      </c>
      <c r="AF188" s="3236">
        <f>VLOOKUP($E188,AE$442:AH$453,2,FALSE)*AE188*($K188)+IF($G188&lt;&gt;0,($H188/$G188)*AE188,0)*(1-$K188)</f>
        <v>33443518</v>
      </c>
      <c r="AG188" s="3236">
        <f>VLOOKUP($E188,AE$442:AH$453,3,FALSE)*AE188*($K188)+IF($G188&lt;&gt;0,($I188/$G188)*AE188,0)*(1-$K188)</f>
        <v>0</v>
      </c>
      <c r="AH188" s="3236">
        <f>VLOOKUP($E188,AE$442:AH$453,4,FALSE)*AE188*($K188)+(AE188-AF188-AG188)*(1-$K188)</f>
        <v>0</v>
      </c>
      <c r="AI188" s="3264"/>
      <c r="AL188" s="3284">
        <f>VLOOKUP($A188,'New Resources - Individual'!$A$4:$Y$133,AL$2,FALSE)*AL$1</f>
        <v>0</v>
      </c>
      <c r="AM188" s="3235">
        <f>$G188+AL188</f>
        <v>33443518</v>
      </c>
      <c r="AN188" s="3236">
        <f>VLOOKUP($E188,AM$442:AP$453,2,FALSE)*AM188*($K188)+IF($G188&lt;&gt;0,($H188/$G188)*AM188,0)*(1-$K188)</f>
        <v>33443518</v>
      </c>
      <c r="AO188" s="3236">
        <f>VLOOKUP($E188,AM$442:AP$453,3,FALSE)*AM188*($K188)+IF($G188&lt;&gt;0,($I188/$G188)*AM188,0)*(1-$K188)</f>
        <v>0</v>
      </c>
      <c r="AP188" s="3236">
        <f>VLOOKUP($E188,AM$442:AP$453,4,FALSE)*AM188*($K188)+(AM188-AN188-AO188)*(1-$K188)</f>
        <v>0</v>
      </c>
      <c r="AQ188" s="3264"/>
      <c r="AT188" s="3284">
        <f>VLOOKUP($A188,'New Resources - Individual'!$A$4:$Y$133,AT$2,FALSE)*AT$1</f>
        <v>0</v>
      </c>
      <c r="AU188" s="3235">
        <f>$G188+AT188</f>
        <v>33443518</v>
      </c>
      <c r="AV188" s="3236">
        <f>VLOOKUP($E188,AU$442:AX$453,2,FALSE)*AU188*($K188)+IF($G188&lt;&gt;0,($H188/$G188)*AU188,0)*(1-$K188)</f>
        <v>33443518</v>
      </c>
      <c r="AW188" s="3236">
        <f>VLOOKUP($E188,AU$442:AX$453,3,FALSE)*AU188*($K188)+IF($G188&lt;&gt;0,($I188/$G188)*AU188,0)*(1-$K188)</f>
        <v>0</v>
      </c>
      <c r="AX188" s="3236">
        <f>VLOOKUP($E188,AU$442:AX$453,4,FALSE)*AU188*($K188)+(AU188-AV188-AW188)*(1-$K188)</f>
        <v>0</v>
      </c>
      <c r="AY188" s="3264"/>
      <c r="BB188" s="3284">
        <f>VLOOKUP($A188,'New Resources - Individual'!$A$4:$Y$133,BB$2,FALSE)*BB$1</f>
        <v>0</v>
      </c>
      <c r="BC188" s="3235">
        <f>$G188+BB188</f>
        <v>33443518</v>
      </c>
      <c r="BD188" s="3236">
        <f>VLOOKUP($E188,BC$442:BF$453,2,FALSE)*BC188*($K188)+IF($G188&lt;&gt;0,($H188/$G188)*BC188,0)*(1-$K188)</f>
        <v>33443518</v>
      </c>
      <c r="BE188" s="3236">
        <f>VLOOKUP($E188,BC$442:BF$453,3,FALSE)*BC188*($K188)+IF($G188&lt;&gt;0,($I188/$G188)*BC188,0)*(1-$K188)</f>
        <v>0</v>
      </c>
      <c r="BF188" s="3236">
        <f>VLOOKUP($E188,BC$442:BF$453,4,FALSE)*BC188*($K188)+(BC188-BD188-BE188)*(1-$K188)</f>
        <v>0</v>
      </c>
      <c r="BG188" s="3264"/>
      <c r="BJ188" s="3284">
        <f>VLOOKUP($A188,'New Resources - Individual'!$A$4:$Y$133,BJ$2,FALSE)*BJ$1</f>
        <v>0</v>
      </c>
      <c r="BK188" s="3235">
        <f>$G188+BJ188</f>
        <v>33443518</v>
      </c>
      <c r="BL188" s="3236">
        <f>VLOOKUP($E188,BK$442:BN$453,2,FALSE)*BK188*($K188)+IF($G188&lt;&gt;0,($H188/$G188)*BK188,0)*(1-$K188)</f>
        <v>33443518</v>
      </c>
      <c r="BM188" s="3236">
        <f>VLOOKUP($E188,BK$442:BN$453,3,FALSE)*BK188*($K188)+IF($G188&lt;&gt;0,($I188/$G188)*BK188,0)*(1-$K188)</f>
        <v>0</v>
      </c>
      <c r="BN188" s="3236">
        <f>VLOOKUP($E188,BK$442:BN$453,4,FALSE)*BK188*($K188)+(BK188-BL188-BM188)*(1-$K188)</f>
        <v>0</v>
      </c>
      <c r="BO188" s="3264"/>
      <c r="BR188" s="3284">
        <f>VLOOKUP($A188,'New Resources - Individual'!$A$4:$Y$133,BR$2,FALSE)*BR$1</f>
        <v>0</v>
      </c>
      <c r="BS188" s="3235">
        <f>$G188+BR188</f>
        <v>33443518</v>
      </c>
      <c r="BT188" s="3236">
        <f>VLOOKUP($E188,BS$442:BV$453,2,FALSE)*BS188*($K188)+IF($G188&lt;&gt;0,($H188/$G188)*BS188,0)*(1-$K188)</f>
        <v>33443518</v>
      </c>
      <c r="BU188" s="3236">
        <f>VLOOKUP($E188,BS$442:BV$453,3,FALSE)*BS188*($K188)+IF($G188&lt;&gt;0,($I188/$G188)*BS188,0)*(1-$K188)</f>
        <v>0</v>
      </c>
      <c r="BV188" s="3236">
        <f>VLOOKUP($E188,BS$442:BV$453,4,FALSE)*BS188*($K188)+(BS188-BT188-BU188)*(1-$K188)</f>
        <v>0</v>
      </c>
      <c r="BW188" s="3264"/>
      <c r="BZ188" s="3284">
        <f>VLOOKUP($A188,'New Resources - Individual'!$A$4:$Y$133,BZ$2,FALSE)*BZ$1</f>
        <v>0</v>
      </c>
      <c r="CA188" s="3235">
        <f>$G188+BZ188</f>
        <v>33443518</v>
      </c>
      <c r="CB188" s="3236">
        <f>VLOOKUP($E188,CA$442:CD$453,2,FALSE)*CA188*($K188)+IF($G188&lt;&gt;0,($H188/$G188)*CA188,0)*(1-$K188)</f>
        <v>33443518</v>
      </c>
      <c r="CC188" s="3236">
        <f>VLOOKUP($E188,CA$442:CD$453,3,FALSE)*CA188*($K188)+IF($G188&lt;&gt;0,($I188/$G188)*CA188,0)*(1-$K188)</f>
        <v>0</v>
      </c>
      <c r="CD188" s="3236">
        <f>VLOOKUP($E188,CA$442:CD$453,4,FALSE)*CA188*($K188)+(CA188-CB188-CC188)*(1-$K188)</f>
        <v>0</v>
      </c>
      <c r="CE188" s="3264"/>
      <c r="CH188" s="3284">
        <f>VLOOKUP($A188,'New Resources - Individual'!$A$4:$Y$133,CH$2,FALSE)*CH$1</f>
        <v>0</v>
      </c>
      <c r="CI188" s="3235">
        <f>$G188+CH188</f>
        <v>33443518</v>
      </c>
      <c r="CJ188" s="3236">
        <f>VLOOKUP($E188,CI$442:CL$453,2,FALSE)*CI188*($K188)+IF($G188&lt;&gt;0,($H188/$G188)*CI188,0)*(1-$K188)</f>
        <v>33443518</v>
      </c>
      <c r="CK188" s="3236">
        <f>VLOOKUP($E188,CI$442:CL$453,3,FALSE)*CI188*($K188)+IF($G188&lt;&gt;0,($I188/$G188)*CI188,0)*(1-$K188)</f>
        <v>0</v>
      </c>
      <c r="CL188" s="3236">
        <f>VLOOKUP($E188,CI$442:CL$453,4,FALSE)*CI188*($K188)+(CI188-CJ188-CK188)*(1-$K188)</f>
        <v>0</v>
      </c>
      <c r="CM188" s="3264"/>
      <c r="CP188" s="3284">
        <f>VLOOKUP($A188,'New Resources - Individual'!$A$4:$Y$133,CP$2,FALSE)*CP$1</f>
        <v>0</v>
      </c>
      <c r="CQ188" s="3235">
        <f>$G188+CP188</f>
        <v>33443518</v>
      </c>
      <c r="CR188" s="3236">
        <f>VLOOKUP($E188,CQ$442:CT$453,2,FALSE)*CQ188*($K188)+IF($G188&lt;&gt;0,($H188/$G188)*CQ188,0)*(1-$K188)</f>
        <v>33443518</v>
      </c>
      <c r="CS188" s="3236">
        <f>VLOOKUP($E188,CQ$442:CT$453,3,FALSE)*CQ188*($K188)+IF($G188&lt;&gt;0,($I188/$G188)*CQ188,0)*(1-$K188)</f>
        <v>0</v>
      </c>
      <c r="CT188" s="3236">
        <f>VLOOKUP($E188,CQ$442:CT$453,4,FALSE)*CQ188*($K188)+(CQ188-CR188-CS188)*(1-$K188)</f>
        <v>0</v>
      </c>
      <c r="CU188" s="3264"/>
      <c r="CX188" s="3284">
        <f>VLOOKUP($A188,'New Resources - Individual'!$A$4:$Y$133,CX$2,FALSE)*CX$1</f>
        <v>0</v>
      </c>
      <c r="CY188" s="3235">
        <f>$G188+CX188</f>
        <v>33443518</v>
      </c>
      <c r="CZ188" s="3236">
        <f>VLOOKUP($E188,CY$442:DB$453,2,FALSE)*CY188*($K188)+IF($G188&lt;&gt;0,($H188/$G188)*CY188,0)*(1-$K188)</f>
        <v>33443518</v>
      </c>
      <c r="DA188" s="3236">
        <f>VLOOKUP($E188,CY$442:DB$453,3,FALSE)*CY188*($K188)+IF($G188&lt;&gt;0,($I188/$G188)*CY188,0)*(1-$K188)</f>
        <v>0</v>
      </c>
      <c r="DB188" s="3236">
        <f>VLOOKUP($E188,CY$442:DB$453,4,FALSE)*CY188*($K188)+(CY188-CZ188-DA188)*(1-$K188)</f>
        <v>0</v>
      </c>
      <c r="DC188" s="3264"/>
      <c r="DF188" s="3284">
        <f>VLOOKUP($A188,'New Resources - Individual'!$A$4:$Y$133,DF$2,FALSE)*DF$1</f>
        <v>0</v>
      </c>
      <c r="DG188" s="3235">
        <f>$G188+DF188</f>
        <v>33443518</v>
      </c>
      <c r="DH188" s="3236">
        <f>VLOOKUP($E188,DG$442:DJ$453,2,FALSE)*DG188*($K188)+IF($G188&lt;&gt;0,($H188/$G188)*DG188,0)*(1-$K188)</f>
        <v>33443518</v>
      </c>
      <c r="DI188" s="3236">
        <f>VLOOKUP($E188,DG$442:DJ$453,3,FALSE)*DG188*($K188)+IF($G188&lt;&gt;0,($I188/$G188)*DG188,0)*(1-$K188)</f>
        <v>0</v>
      </c>
      <c r="DJ188" s="3236">
        <f>VLOOKUP($E188,DG$442:DJ$453,4,FALSE)*DG188*($K188)+(DG188-DH188-DI188)*(1-$K188)</f>
        <v>0</v>
      </c>
      <c r="DK188" s="3264"/>
      <c r="DN188" s="3284">
        <f>VLOOKUP($A188,'New Resources - Individual'!$A$4:$Y$133,DN$2,FALSE)*DN$1</f>
        <v>0</v>
      </c>
      <c r="DO188" s="3235">
        <f>$G188+DN188</f>
        <v>33443518</v>
      </c>
      <c r="DP188" s="3236">
        <f>VLOOKUP($E188,DO$442:DR$453,2,FALSE)*DO188*($K188)+IF($G188&lt;&gt;0,($H188/$G188)*DO188,0)*(1-$K188)</f>
        <v>33443518</v>
      </c>
      <c r="DQ188" s="3236">
        <f>VLOOKUP($E188,DO$442:DR$453,3,FALSE)*DO188*($K188)+IF($G188&lt;&gt;0,($I188/$G188)*DO188,0)*(1-$K188)</f>
        <v>0</v>
      </c>
      <c r="DR188" s="3236">
        <f>VLOOKUP($E188,DO$442:DR$453,4,FALSE)*DO188*($K188)+(DO188-DP188-DQ188)*(1-$K188)</f>
        <v>0</v>
      </c>
      <c r="DS188" s="3264"/>
      <c r="DV188" s="3284">
        <f>VLOOKUP($A188,'New Resources - Individual'!$A$4:$Y$133,DV$2,FALSE)*DV$1</f>
        <v>0</v>
      </c>
      <c r="DW188" s="3235">
        <f>$G188+DV188</f>
        <v>33443518</v>
      </c>
      <c r="DX188" s="3236">
        <f>VLOOKUP($E188,DW$442:DZ$453,2,FALSE)*DW188*($K188)+IF($G188&lt;&gt;0,($H188/$G188)*DW188,0)*(1-$K188)</f>
        <v>33443518</v>
      </c>
      <c r="DY188" s="3236">
        <f>VLOOKUP($E188,DW$442:DZ$453,3,FALSE)*DW188*($K188)+IF($G188&lt;&gt;0,($I188/$G188)*DW188,0)*(1-$K188)</f>
        <v>0</v>
      </c>
      <c r="DZ188" s="3236">
        <f>VLOOKUP($E188,DW$442:DZ$453,4,FALSE)*DW188*($K188)+(DW188-DX188-DY188)*(1-$K188)</f>
        <v>0</v>
      </c>
      <c r="EA188" s="3264"/>
      <c r="ED188" s="3284">
        <f>VLOOKUP($A188,'New Resources - Individual'!$A$4:$Y$133,ED$2,FALSE)*ED$1</f>
        <v>0</v>
      </c>
      <c r="EE188" s="3235">
        <f>$G188+ED188</f>
        <v>33443518</v>
      </c>
      <c r="EF188" s="3236">
        <f>VLOOKUP($E188,EE$442:EH$453,2,FALSE)*EE188*($K188)+IF($G188&lt;&gt;0,($H188/$G188)*EE188,0)*(1-$K188)</f>
        <v>33443518</v>
      </c>
      <c r="EG188" s="3236">
        <f>VLOOKUP($E188,EE$442:EH$453,3,FALSE)*EE188*($K188)+IF($G188&lt;&gt;0,($I188/$G188)*EE188,0)*(1-$K188)</f>
        <v>0</v>
      </c>
      <c r="EH188" s="3236">
        <f>VLOOKUP($E188,EE$442:EH$453,4,FALSE)*EE188*($K188)+(EE188-EF188-EG188)*(1-$K188)</f>
        <v>0</v>
      </c>
      <c r="EI188" s="3264"/>
      <c r="EL188" s="3284">
        <f>VLOOKUP($A188,'New Resources - Individual'!$A$4:$Y$133,EL$2,FALSE)*EL$1</f>
        <v>0</v>
      </c>
      <c r="EM188" s="3235">
        <f>$G188+EL188</f>
        <v>33443518</v>
      </c>
      <c r="EN188" s="3236">
        <f>VLOOKUP($E188,EM$442:EP$453,2,FALSE)*EM188*($K188)+IF($G188&lt;&gt;0,($H188/$G188)*EM188,0)*(1-$K188)</f>
        <v>33443518</v>
      </c>
      <c r="EO188" s="3236">
        <f>VLOOKUP($E188,EM$442:EP$453,3,FALSE)*EM188*($K188)+IF($G188&lt;&gt;0,($I188/$G188)*EM188,0)*(1-$K188)</f>
        <v>0</v>
      </c>
      <c r="EP188" s="3236">
        <f>VLOOKUP($E188,EM$442:EP$453,4,FALSE)*EM188*($K188)+(EM188-EN188-EO188)*(1-$K188)</f>
        <v>0</v>
      </c>
      <c r="EQ188" s="3264"/>
      <c r="ET188" s="3284">
        <f>VLOOKUP($A188,'New Resources - Individual'!$A$4:$Y$133,ET$2,FALSE)*ET$1</f>
        <v>0</v>
      </c>
      <c r="EU188" s="3235">
        <f>$G188+ET188</f>
        <v>33443518</v>
      </c>
      <c r="EV188" s="3236">
        <f>VLOOKUP($E188,EU$442:EX$453,2,FALSE)*EU188*($K188)+IF($G188&lt;&gt;0,($H188/$G188)*EU188,0)*(1-$K188)</f>
        <v>33443518</v>
      </c>
      <c r="EW188" s="3236">
        <f>VLOOKUP($E188,EU$442:EX$453,3,FALSE)*EU188*($K188)+IF($G188&lt;&gt;0,($I188/$G188)*EU188,0)*(1-$K188)</f>
        <v>0</v>
      </c>
      <c r="EX188" s="3236">
        <f>VLOOKUP($E188,EU$442:EX$453,4,FALSE)*EU188*($K188)+(EU188-EV188-EW188)*(1-$K188)</f>
        <v>0</v>
      </c>
      <c r="EY188" s="3264"/>
      <c r="FB188" s="3284">
        <f>VLOOKUP($A188,'New Resources - Individual'!$A$4:$Y$133,FB$2,FALSE)*FB$1</f>
        <v>0</v>
      </c>
      <c r="FC188" s="3235">
        <f>$G188+FB188</f>
        <v>33443518</v>
      </c>
      <c r="FD188" s="3236">
        <f>VLOOKUP($E188,FC$442:FF$453,2,FALSE)*FC188*($K188)+IF($G188&lt;&gt;0,($H188/$G188)*FC188,0)*(1-$K188)</f>
        <v>33443518</v>
      </c>
      <c r="FE188" s="3236">
        <f>VLOOKUP($E188,FC$442:FF$453,3,FALSE)*FC188*($K188)+IF($G188&lt;&gt;0,($I188/$G188)*FC188,0)*(1-$K188)</f>
        <v>0</v>
      </c>
      <c r="FF188" s="3236">
        <f>VLOOKUP($E188,FC$442:FF$453,4,FALSE)*FC188*($K188)+(FC188-FD188-FE188)*(1-$K188)</f>
        <v>0</v>
      </c>
      <c r="FG188" s="3264"/>
      <c r="FJ188" s="3284">
        <f>VLOOKUP($A188,'New Resources - Individual'!$A$4:$Y$133,FJ$2,FALSE)*FJ$1</f>
        <v>0</v>
      </c>
      <c r="FK188" s="3235">
        <f>$G188+FJ188</f>
        <v>33443518</v>
      </c>
      <c r="FL188" s="3236">
        <f>VLOOKUP($E188,FK$442:FN$453,2,FALSE)*FK188*($K188)+IF($G188&lt;&gt;0,($H188/$G188)*FK188,0)*(1-$K188)</f>
        <v>33443518</v>
      </c>
      <c r="FM188" s="3236">
        <f>VLOOKUP($E188,FK$442:FN$453,3,FALSE)*FK188*($K188)+IF($G188&lt;&gt;0,($I188/$G188)*FK188,0)*(1-$K188)</f>
        <v>0</v>
      </c>
      <c r="FN188" s="3236">
        <f>VLOOKUP($E188,FK$442:FN$453,4,FALSE)*FK188*($K188)+(FK188-FL188-FM188)*(1-$K188)</f>
        <v>0</v>
      </c>
      <c r="FO188" s="3264"/>
    </row>
    <row r="189" spans="1:171">
      <c r="A189" s="3254">
        <v>580</v>
      </c>
      <c r="B189" s="2185" t="s">
        <v>263</v>
      </c>
      <c r="C189" s="2464" t="s">
        <v>72</v>
      </c>
      <c r="D189" s="2464" t="s">
        <v>602</v>
      </c>
      <c r="E189" s="2424" t="str">
        <f>'Sch 3 - Expenses'!E29</f>
        <v>PROD</v>
      </c>
      <c r="F189" s="2171"/>
      <c r="G189" s="2424">
        <f>'Sch 3 - Expenses'!G29</f>
        <v>27656590</v>
      </c>
      <c r="H189" s="2424">
        <f>'Sch 3 - Expenses'!H29</f>
        <v>27656590</v>
      </c>
      <c r="I189" s="2424">
        <f>'Sch 3 - Expenses'!I29</f>
        <v>0</v>
      </c>
      <c r="J189" s="2425">
        <f>'Sch 3 - Expenses'!J29</f>
        <v>0</v>
      </c>
      <c r="K189" s="3205">
        <f t="shared" si="547"/>
        <v>1</v>
      </c>
      <c r="N189" s="3284">
        <f>VLOOKUP($A189,'New Resources - Individual'!$A$4:$Y$133,N$2,FALSE)*N$1</f>
        <v>0</v>
      </c>
      <c r="O189" s="3235">
        <f>$G189+N189</f>
        <v>27656590</v>
      </c>
      <c r="P189" s="3236">
        <f>VLOOKUP($E189,O$442:R$453,2,FALSE)*O189*($K189)+IF($G189&lt;&gt;0,($H189/$G189)*O189,0)*(1-$K189)</f>
        <v>27656590</v>
      </c>
      <c r="Q189" s="3236">
        <f>VLOOKUP($E189,O$442:R$453,3,FALSE)*O189*($K189)+IF($G189&lt;&gt;0,($I189/$G189)*O189,0)*(1-$K189)</f>
        <v>0</v>
      </c>
      <c r="R189" s="3236">
        <f>VLOOKUP($E189,O$442:R$453,4,FALSE)*O189*($K189)+(O189-P189-Q189)*(1-$K189)</f>
        <v>0</v>
      </c>
      <c r="S189" s="3264"/>
      <c r="V189" s="3284">
        <f>VLOOKUP($A189,'New Resources - Individual'!$A$4:$Y$133,V$2,FALSE)*V$1</f>
        <v>0</v>
      </c>
      <c r="W189" s="3235">
        <f>$G189+V189</f>
        <v>27656590</v>
      </c>
      <c r="X189" s="3236">
        <f>VLOOKUP($E189,W$442:Z$453,2,FALSE)*W189*($K189)+IF($G189&lt;&gt;0,($H189/$G189)*W189,0)*(1-$K189)</f>
        <v>27656590</v>
      </c>
      <c r="Y189" s="3236">
        <f>VLOOKUP($E189,W$442:Z$453,3,FALSE)*W189*($K189)+IF($G189&lt;&gt;0,($I189/$G189)*W189,0)*(1-$K189)</f>
        <v>0</v>
      </c>
      <c r="Z189" s="3236">
        <f>VLOOKUP($E189,W$442:Z$453,4,FALSE)*W189*($K189)+(W189-X189-Y189)*(1-$K189)</f>
        <v>0</v>
      </c>
      <c r="AA189" s="3264"/>
      <c r="AD189" s="3284">
        <f>VLOOKUP($A189,'New Resources - Individual'!$A$4:$Y$133,AD$2,FALSE)*AD$1</f>
        <v>0</v>
      </c>
      <c r="AE189" s="3235">
        <f>$G189+AD189</f>
        <v>27656590</v>
      </c>
      <c r="AF189" s="3236">
        <f>VLOOKUP($E189,AE$442:AH$453,2,FALSE)*AE189*($K189)+IF($G189&lt;&gt;0,($H189/$G189)*AE189,0)*(1-$K189)</f>
        <v>27656590</v>
      </c>
      <c r="AG189" s="3236">
        <f>VLOOKUP($E189,AE$442:AH$453,3,FALSE)*AE189*($K189)+IF($G189&lt;&gt;0,($I189/$G189)*AE189,0)*(1-$K189)</f>
        <v>0</v>
      </c>
      <c r="AH189" s="3236">
        <f>VLOOKUP($E189,AE$442:AH$453,4,FALSE)*AE189*($K189)+(AE189-AF189-AG189)*(1-$K189)</f>
        <v>0</v>
      </c>
      <c r="AI189" s="3264"/>
      <c r="AL189" s="3284">
        <f>VLOOKUP($A189,'New Resources - Individual'!$A$4:$Y$133,AL$2,FALSE)*AL$1</f>
        <v>0</v>
      </c>
      <c r="AM189" s="3235">
        <f>$G189+AL189</f>
        <v>27656590</v>
      </c>
      <c r="AN189" s="3236">
        <f>VLOOKUP($E189,AM$442:AP$453,2,FALSE)*AM189*($K189)+IF($G189&lt;&gt;0,($H189/$G189)*AM189,0)*(1-$K189)</f>
        <v>27656590</v>
      </c>
      <c r="AO189" s="3236">
        <f>VLOOKUP($E189,AM$442:AP$453,3,FALSE)*AM189*($K189)+IF($G189&lt;&gt;0,($I189/$G189)*AM189,0)*(1-$K189)</f>
        <v>0</v>
      </c>
      <c r="AP189" s="3236">
        <f>VLOOKUP($E189,AM$442:AP$453,4,FALSE)*AM189*($K189)+(AM189-AN189-AO189)*(1-$K189)</f>
        <v>0</v>
      </c>
      <c r="AQ189" s="3264"/>
      <c r="AT189" s="3284">
        <f>VLOOKUP($A189,'New Resources - Individual'!$A$4:$Y$133,AT$2,FALSE)*AT$1</f>
        <v>0</v>
      </c>
      <c r="AU189" s="3235">
        <f>$G189+AT189</f>
        <v>27656590</v>
      </c>
      <c r="AV189" s="3236">
        <f>VLOOKUP($E189,AU$442:AX$453,2,FALSE)*AU189*($K189)+IF($G189&lt;&gt;0,($H189/$G189)*AU189,0)*(1-$K189)</f>
        <v>27656590</v>
      </c>
      <c r="AW189" s="3236">
        <f>VLOOKUP($E189,AU$442:AX$453,3,FALSE)*AU189*($K189)+IF($G189&lt;&gt;0,($I189/$G189)*AU189,0)*(1-$K189)</f>
        <v>0</v>
      </c>
      <c r="AX189" s="3236">
        <f>VLOOKUP($E189,AU$442:AX$453,4,FALSE)*AU189*($K189)+(AU189-AV189-AW189)*(1-$K189)</f>
        <v>0</v>
      </c>
      <c r="AY189" s="3264"/>
      <c r="BB189" s="3284">
        <f>VLOOKUP($A189,'New Resources - Individual'!$A$4:$Y$133,BB$2,FALSE)*BB$1</f>
        <v>0</v>
      </c>
      <c r="BC189" s="3235">
        <f>$G189+BB189</f>
        <v>27656590</v>
      </c>
      <c r="BD189" s="3236">
        <f>VLOOKUP($E189,BC$442:BF$453,2,FALSE)*BC189*($K189)+IF($G189&lt;&gt;0,($H189/$G189)*BC189,0)*(1-$K189)</f>
        <v>27656590</v>
      </c>
      <c r="BE189" s="3236">
        <f>VLOOKUP($E189,BC$442:BF$453,3,FALSE)*BC189*($K189)+IF($G189&lt;&gt;0,($I189/$G189)*BC189,0)*(1-$K189)</f>
        <v>0</v>
      </c>
      <c r="BF189" s="3236">
        <f>VLOOKUP($E189,BC$442:BF$453,4,FALSE)*BC189*($K189)+(BC189-BD189-BE189)*(1-$K189)</f>
        <v>0</v>
      </c>
      <c r="BG189" s="3264"/>
      <c r="BJ189" s="3284">
        <f>VLOOKUP($A189,'New Resources - Individual'!$A$4:$Y$133,BJ$2,FALSE)*BJ$1</f>
        <v>0</v>
      </c>
      <c r="BK189" s="3235">
        <f>$G189+BJ189</f>
        <v>27656590</v>
      </c>
      <c r="BL189" s="3236">
        <f>VLOOKUP($E189,BK$442:BN$453,2,FALSE)*BK189*($K189)+IF($G189&lt;&gt;0,($H189/$G189)*BK189,0)*(1-$K189)</f>
        <v>27656590</v>
      </c>
      <c r="BM189" s="3236">
        <f>VLOOKUP($E189,BK$442:BN$453,3,FALSE)*BK189*($K189)+IF($G189&lt;&gt;0,($I189/$G189)*BK189,0)*(1-$K189)</f>
        <v>0</v>
      </c>
      <c r="BN189" s="3236">
        <f>VLOOKUP($E189,BK$442:BN$453,4,FALSE)*BK189*($K189)+(BK189-BL189-BM189)*(1-$K189)</f>
        <v>0</v>
      </c>
      <c r="BO189" s="3264"/>
      <c r="BR189" s="3284">
        <f>VLOOKUP($A189,'New Resources - Individual'!$A$4:$Y$133,BR$2,FALSE)*BR$1</f>
        <v>0</v>
      </c>
      <c r="BS189" s="3235">
        <f>$G189+BR189</f>
        <v>27656590</v>
      </c>
      <c r="BT189" s="3236">
        <f>VLOOKUP($E189,BS$442:BV$453,2,FALSE)*BS189*($K189)+IF($G189&lt;&gt;0,($H189/$G189)*BS189,0)*(1-$K189)</f>
        <v>27656590</v>
      </c>
      <c r="BU189" s="3236">
        <f>VLOOKUP($E189,BS$442:BV$453,3,FALSE)*BS189*($K189)+IF($G189&lt;&gt;0,($I189/$G189)*BS189,0)*(1-$K189)</f>
        <v>0</v>
      </c>
      <c r="BV189" s="3236">
        <f>VLOOKUP($E189,BS$442:BV$453,4,FALSE)*BS189*($K189)+(BS189-BT189-BU189)*(1-$K189)</f>
        <v>0</v>
      </c>
      <c r="BW189" s="3264"/>
      <c r="BZ189" s="3284">
        <f>VLOOKUP($A189,'New Resources - Individual'!$A$4:$Y$133,BZ$2,FALSE)*BZ$1</f>
        <v>0</v>
      </c>
      <c r="CA189" s="3235">
        <f>$G189+BZ189</f>
        <v>27656590</v>
      </c>
      <c r="CB189" s="3236">
        <f>VLOOKUP($E189,CA$442:CD$453,2,FALSE)*CA189*($K189)+IF($G189&lt;&gt;0,($H189/$G189)*CA189,0)*(1-$K189)</f>
        <v>27656590</v>
      </c>
      <c r="CC189" s="3236">
        <f>VLOOKUP($E189,CA$442:CD$453,3,FALSE)*CA189*($K189)+IF($G189&lt;&gt;0,($I189/$G189)*CA189,0)*(1-$K189)</f>
        <v>0</v>
      </c>
      <c r="CD189" s="3236">
        <f>VLOOKUP($E189,CA$442:CD$453,4,FALSE)*CA189*($K189)+(CA189-CB189-CC189)*(1-$K189)</f>
        <v>0</v>
      </c>
      <c r="CE189" s="3264"/>
      <c r="CH189" s="3284">
        <f>VLOOKUP($A189,'New Resources - Individual'!$A$4:$Y$133,CH$2,FALSE)*CH$1</f>
        <v>0</v>
      </c>
      <c r="CI189" s="3235">
        <f>$G189+CH189</f>
        <v>27656590</v>
      </c>
      <c r="CJ189" s="3236">
        <f>VLOOKUP($E189,CI$442:CL$453,2,FALSE)*CI189*($K189)+IF($G189&lt;&gt;0,($H189/$G189)*CI189,0)*(1-$K189)</f>
        <v>27656590</v>
      </c>
      <c r="CK189" s="3236">
        <f>VLOOKUP($E189,CI$442:CL$453,3,FALSE)*CI189*($K189)+IF($G189&lt;&gt;0,($I189/$G189)*CI189,0)*(1-$K189)</f>
        <v>0</v>
      </c>
      <c r="CL189" s="3236">
        <f>VLOOKUP($E189,CI$442:CL$453,4,FALSE)*CI189*($K189)+(CI189-CJ189-CK189)*(1-$K189)</f>
        <v>0</v>
      </c>
      <c r="CM189" s="3264"/>
      <c r="CP189" s="3284">
        <f>VLOOKUP($A189,'New Resources - Individual'!$A$4:$Y$133,CP$2,FALSE)*CP$1</f>
        <v>0</v>
      </c>
      <c r="CQ189" s="3235">
        <f>$G189+CP189</f>
        <v>27656590</v>
      </c>
      <c r="CR189" s="3236">
        <f>VLOOKUP($E189,CQ$442:CT$453,2,FALSE)*CQ189*($K189)+IF($G189&lt;&gt;0,($H189/$G189)*CQ189,0)*(1-$K189)</f>
        <v>27656590</v>
      </c>
      <c r="CS189" s="3236">
        <f>VLOOKUP($E189,CQ$442:CT$453,3,FALSE)*CQ189*($K189)+IF($G189&lt;&gt;0,($I189/$G189)*CQ189,0)*(1-$K189)</f>
        <v>0</v>
      </c>
      <c r="CT189" s="3236">
        <f>VLOOKUP($E189,CQ$442:CT$453,4,FALSE)*CQ189*($K189)+(CQ189-CR189-CS189)*(1-$K189)</f>
        <v>0</v>
      </c>
      <c r="CU189" s="3264"/>
      <c r="CX189" s="3284">
        <f>VLOOKUP($A189,'New Resources - Individual'!$A$4:$Y$133,CX$2,FALSE)*CX$1</f>
        <v>0</v>
      </c>
      <c r="CY189" s="3235">
        <f>$G189+CX189</f>
        <v>27656590</v>
      </c>
      <c r="CZ189" s="3236">
        <f>VLOOKUP($E189,CY$442:DB$453,2,FALSE)*CY189*($K189)+IF($G189&lt;&gt;0,($H189/$G189)*CY189,0)*(1-$K189)</f>
        <v>27656590</v>
      </c>
      <c r="DA189" s="3236">
        <f>VLOOKUP($E189,CY$442:DB$453,3,FALSE)*CY189*($K189)+IF($G189&lt;&gt;0,($I189/$G189)*CY189,0)*(1-$K189)</f>
        <v>0</v>
      </c>
      <c r="DB189" s="3236">
        <f>VLOOKUP($E189,CY$442:DB$453,4,FALSE)*CY189*($K189)+(CY189-CZ189-DA189)*(1-$K189)</f>
        <v>0</v>
      </c>
      <c r="DC189" s="3264"/>
      <c r="DF189" s="3284">
        <f>VLOOKUP($A189,'New Resources - Individual'!$A$4:$Y$133,DF$2,FALSE)*DF$1</f>
        <v>0</v>
      </c>
      <c r="DG189" s="3235">
        <f>$G189+DF189</f>
        <v>27656590</v>
      </c>
      <c r="DH189" s="3236">
        <f>VLOOKUP($E189,DG$442:DJ$453,2,FALSE)*DG189*($K189)+IF($G189&lt;&gt;0,($H189/$G189)*DG189,0)*(1-$K189)</f>
        <v>27656590</v>
      </c>
      <c r="DI189" s="3236">
        <f>VLOOKUP($E189,DG$442:DJ$453,3,FALSE)*DG189*($K189)+IF($G189&lt;&gt;0,($I189/$G189)*DG189,0)*(1-$K189)</f>
        <v>0</v>
      </c>
      <c r="DJ189" s="3236">
        <f>VLOOKUP($E189,DG$442:DJ$453,4,FALSE)*DG189*($K189)+(DG189-DH189-DI189)*(1-$K189)</f>
        <v>0</v>
      </c>
      <c r="DK189" s="3264"/>
      <c r="DN189" s="3284">
        <f>VLOOKUP($A189,'New Resources - Individual'!$A$4:$Y$133,DN$2,FALSE)*DN$1</f>
        <v>0</v>
      </c>
      <c r="DO189" s="3235">
        <f>$G189+DN189</f>
        <v>27656590</v>
      </c>
      <c r="DP189" s="3236">
        <f>VLOOKUP($E189,DO$442:DR$453,2,FALSE)*DO189*($K189)+IF($G189&lt;&gt;0,($H189/$G189)*DO189,0)*(1-$K189)</f>
        <v>27656590</v>
      </c>
      <c r="DQ189" s="3236">
        <f>VLOOKUP($E189,DO$442:DR$453,3,FALSE)*DO189*($K189)+IF($G189&lt;&gt;0,($I189/$G189)*DO189,0)*(1-$K189)</f>
        <v>0</v>
      </c>
      <c r="DR189" s="3236">
        <f>VLOOKUP($E189,DO$442:DR$453,4,FALSE)*DO189*($K189)+(DO189-DP189-DQ189)*(1-$K189)</f>
        <v>0</v>
      </c>
      <c r="DS189" s="3264"/>
      <c r="DV189" s="3284">
        <f>VLOOKUP($A189,'New Resources - Individual'!$A$4:$Y$133,DV$2,FALSE)*DV$1</f>
        <v>0</v>
      </c>
      <c r="DW189" s="3235">
        <f>$G189+DV189</f>
        <v>27656590</v>
      </c>
      <c r="DX189" s="3236">
        <f>VLOOKUP($E189,DW$442:DZ$453,2,FALSE)*DW189*($K189)+IF($G189&lt;&gt;0,($H189/$G189)*DW189,0)*(1-$K189)</f>
        <v>27656590</v>
      </c>
      <c r="DY189" s="3236">
        <f>VLOOKUP($E189,DW$442:DZ$453,3,FALSE)*DW189*($K189)+IF($G189&lt;&gt;0,($I189/$G189)*DW189,0)*(1-$K189)</f>
        <v>0</v>
      </c>
      <c r="DZ189" s="3236">
        <f>VLOOKUP($E189,DW$442:DZ$453,4,FALSE)*DW189*($K189)+(DW189-DX189-DY189)*(1-$K189)</f>
        <v>0</v>
      </c>
      <c r="EA189" s="3264"/>
      <c r="ED189" s="3284">
        <f>VLOOKUP($A189,'New Resources - Individual'!$A$4:$Y$133,ED$2,FALSE)*ED$1</f>
        <v>0</v>
      </c>
      <c r="EE189" s="3235">
        <f>$G189+ED189</f>
        <v>27656590</v>
      </c>
      <c r="EF189" s="3236">
        <f>VLOOKUP($E189,EE$442:EH$453,2,FALSE)*EE189*($K189)+IF($G189&lt;&gt;0,($H189/$G189)*EE189,0)*(1-$K189)</f>
        <v>27656590</v>
      </c>
      <c r="EG189" s="3236">
        <f>VLOOKUP($E189,EE$442:EH$453,3,FALSE)*EE189*($K189)+IF($G189&lt;&gt;0,($I189/$G189)*EE189,0)*(1-$K189)</f>
        <v>0</v>
      </c>
      <c r="EH189" s="3236">
        <f>VLOOKUP($E189,EE$442:EH$453,4,FALSE)*EE189*($K189)+(EE189-EF189-EG189)*(1-$K189)</f>
        <v>0</v>
      </c>
      <c r="EI189" s="3264"/>
      <c r="EL189" s="3284">
        <f>VLOOKUP($A189,'New Resources - Individual'!$A$4:$Y$133,EL$2,FALSE)*EL$1</f>
        <v>0</v>
      </c>
      <c r="EM189" s="3235">
        <f>$G189+EL189</f>
        <v>27656590</v>
      </c>
      <c r="EN189" s="3236">
        <f>VLOOKUP($E189,EM$442:EP$453,2,FALSE)*EM189*($K189)+IF($G189&lt;&gt;0,($H189/$G189)*EM189,0)*(1-$K189)</f>
        <v>27656590</v>
      </c>
      <c r="EO189" s="3236">
        <f>VLOOKUP($E189,EM$442:EP$453,3,FALSE)*EM189*($K189)+IF($G189&lt;&gt;0,($I189/$G189)*EM189,0)*(1-$K189)</f>
        <v>0</v>
      </c>
      <c r="EP189" s="3236">
        <f>VLOOKUP($E189,EM$442:EP$453,4,FALSE)*EM189*($K189)+(EM189-EN189-EO189)*(1-$K189)</f>
        <v>0</v>
      </c>
      <c r="EQ189" s="3264"/>
      <c r="ET189" s="3284">
        <f>VLOOKUP($A189,'New Resources - Individual'!$A$4:$Y$133,ET$2,FALSE)*ET$1</f>
        <v>0</v>
      </c>
      <c r="EU189" s="3235">
        <f>$G189+ET189</f>
        <v>27656590</v>
      </c>
      <c r="EV189" s="3236">
        <f>VLOOKUP($E189,EU$442:EX$453,2,FALSE)*EU189*($K189)+IF($G189&lt;&gt;0,($H189/$G189)*EU189,0)*(1-$K189)</f>
        <v>27656590</v>
      </c>
      <c r="EW189" s="3236">
        <f>VLOOKUP($E189,EU$442:EX$453,3,FALSE)*EU189*($K189)+IF($G189&lt;&gt;0,($I189/$G189)*EU189,0)*(1-$K189)</f>
        <v>0</v>
      </c>
      <c r="EX189" s="3236">
        <f>VLOOKUP($E189,EU$442:EX$453,4,FALSE)*EU189*($K189)+(EU189-EV189-EW189)*(1-$K189)</f>
        <v>0</v>
      </c>
      <c r="EY189" s="3264"/>
      <c r="FB189" s="3284">
        <f>VLOOKUP($A189,'New Resources - Individual'!$A$4:$Y$133,FB$2,FALSE)*FB$1</f>
        <v>0</v>
      </c>
      <c r="FC189" s="3235">
        <f>$G189+FB189</f>
        <v>27656590</v>
      </c>
      <c r="FD189" s="3236">
        <f>VLOOKUP($E189,FC$442:FF$453,2,FALSE)*FC189*($K189)+IF($G189&lt;&gt;0,($H189/$G189)*FC189,0)*(1-$K189)</f>
        <v>27656590</v>
      </c>
      <c r="FE189" s="3236">
        <f>VLOOKUP($E189,FC$442:FF$453,3,FALSE)*FC189*($K189)+IF($G189&lt;&gt;0,($I189/$G189)*FC189,0)*(1-$K189)</f>
        <v>0</v>
      </c>
      <c r="FF189" s="3236">
        <f>VLOOKUP($E189,FC$442:FF$453,4,FALSE)*FC189*($K189)+(FC189-FD189-FE189)*(1-$K189)</f>
        <v>0</v>
      </c>
      <c r="FG189" s="3264"/>
      <c r="FJ189" s="3284">
        <f>VLOOKUP($A189,'New Resources - Individual'!$A$4:$Y$133,FJ$2,FALSE)*FJ$1</f>
        <v>0</v>
      </c>
      <c r="FK189" s="3235">
        <f>$G189+FJ189</f>
        <v>27656590</v>
      </c>
      <c r="FL189" s="3236">
        <f>VLOOKUP($E189,FK$442:FN$453,2,FALSE)*FK189*($K189)+IF($G189&lt;&gt;0,($H189/$G189)*FK189,0)*(1-$K189)</f>
        <v>27656590</v>
      </c>
      <c r="FM189" s="3236">
        <f>VLOOKUP($E189,FK$442:FN$453,3,FALSE)*FK189*($K189)+IF($G189&lt;&gt;0,($I189/$G189)*FK189,0)*(1-$K189)</f>
        <v>0</v>
      </c>
      <c r="FN189" s="3236">
        <f>VLOOKUP($E189,FK$442:FN$453,4,FALSE)*FK189*($K189)+(FK189-FL189-FM189)*(1-$K189)</f>
        <v>0</v>
      </c>
      <c r="FO189" s="3264"/>
    </row>
    <row r="190" spans="1:171">
      <c r="A190" s="3328"/>
      <c r="B190" s="2143" t="s">
        <v>453</v>
      </c>
      <c r="C190" s="2116"/>
      <c r="D190" s="2116"/>
      <c r="E190" s="2098"/>
      <c r="F190" s="2098"/>
      <c r="G190" s="2506"/>
      <c r="H190" s="2506"/>
      <c r="I190" s="2506"/>
      <c r="J190" s="3327"/>
      <c r="K190" s="3205"/>
      <c r="S190" s="3264"/>
      <c r="AA190" s="3264"/>
      <c r="AI190" s="3264"/>
      <c r="AQ190" s="3264"/>
      <c r="AY190" s="3264"/>
      <c r="BG190" s="3264"/>
      <c r="BO190" s="3264"/>
      <c r="BW190" s="3264"/>
      <c r="CE190" s="3264"/>
      <c r="CM190" s="3264"/>
      <c r="CU190" s="3264"/>
      <c r="DC190" s="3264"/>
      <c r="DK190" s="3264"/>
      <c r="DS190" s="3264"/>
      <c r="EA190" s="3264"/>
      <c r="EI190" s="3264"/>
      <c r="EQ190" s="3264"/>
      <c r="EY190" s="3264"/>
      <c r="FG190" s="3264"/>
      <c r="FO190" s="3264"/>
    </row>
    <row r="191" spans="1:171">
      <c r="B191" s="2103" t="s">
        <v>264</v>
      </c>
      <c r="C191" s="2464" t="s">
        <v>72</v>
      </c>
      <c r="D191" s="2464">
        <v>555</v>
      </c>
      <c r="E191" s="2424" t="str">
        <f>'Sch 3 - Expenses'!E31</f>
        <v>PROD</v>
      </c>
      <c r="F191" s="2171"/>
      <c r="G191" s="2424">
        <f>'Sch 3 - Expenses'!G31</f>
        <v>1085637524</v>
      </c>
      <c r="H191" s="2424">
        <f>'Sch 3 - Expenses'!H31</f>
        <v>1085637524</v>
      </c>
      <c r="I191" s="2424">
        <f>'Sch 3 - Expenses'!I31</f>
        <v>0</v>
      </c>
      <c r="J191" s="2425">
        <f>'Sch 3 - Expenses'!J31</f>
        <v>0</v>
      </c>
      <c r="K191" s="3205">
        <f t="shared" si="547"/>
        <v>1</v>
      </c>
      <c r="O191" s="3329">
        <f>O465</f>
        <v>1085637524</v>
      </c>
      <c r="P191" s="3236">
        <f>VLOOKUP($E191,O$442:R$453,2,FALSE)*O191*($K191)+IF($G191&lt;&gt;0,($H191/$G191)*O191,0)*(1-$K191)</f>
        <v>1085637524</v>
      </c>
      <c r="Q191" s="3236">
        <f>VLOOKUP($E191,O$442:R$453,3,FALSE)*O191*($K191)+IF($G191&lt;&gt;0,($I191/$G191)*O191,0)*(1-$K191)</f>
        <v>0</v>
      </c>
      <c r="R191" s="3236">
        <f>VLOOKUP($E191,O$442:R$453,4,FALSE)*O191*($K191)+(O191-P191-Q191)*(1-$K191)</f>
        <v>0</v>
      </c>
      <c r="S191" s="3264"/>
      <c r="W191" s="3329">
        <f>W465</f>
        <v>1085637524</v>
      </c>
      <c r="X191" s="3236">
        <f>VLOOKUP($E191,W$442:Z$453,2,FALSE)*W191*($K191)+IF($G191&lt;&gt;0,($H191/$G191)*W191,0)*(1-$K191)</f>
        <v>1085637524</v>
      </c>
      <c r="Y191" s="3236">
        <f>VLOOKUP($E191,W$442:Z$453,3,FALSE)*W191*($K191)+IF($G191&lt;&gt;0,($I191/$G191)*W191,0)*(1-$K191)</f>
        <v>0</v>
      </c>
      <c r="Z191" s="3236">
        <f>VLOOKUP($E191,W$442:Z$453,4,FALSE)*W191*($K191)+(W191-X191-Y191)*(1-$K191)</f>
        <v>0</v>
      </c>
      <c r="AA191" s="3264"/>
      <c r="AE191" s="3329">
        <f>AE465</f>
        <v>1085637524</v>
      </c>
      <c r="AF191" s="3236">
        <f>VLOOKUP($E191,AE$442:AH$453,2,FALSE)*AE191*($K191)+IF($G191&lt;&gt;0,($H191/$G191)*AE191,0)*(1-$K191)</f>
        <v>1085637524</v>
      </c>
      <c r="AG191" s="3236">
        <f>VLOOKUP($E191,AE$442:AH$453,3,FALSE)*AE191*($K191)+IF($G191&lt;&gt;0,($I191/$G191)*AE191,0)*(1-$K191)</f>
        <v>0</v>
      </c>
      <c r="AH191" s="3236">
        <f>VLOOKUP($E191,AE$442:AH$453,4,FALSE)*AE191*($K191)+(AE191-AF191-AG191)*(1-$K191)</f>
        <v>0</v>
      </c>
      <c r="AI191" s="3264"/>
      <c r="AM191" s="3329">
        <f>AM465</f>
        <v>1085637524</v>
      </c>
      <c r="AN191" s="3236">
        <f>VLOOKUP($E191,AM$442:AP$453,2,FALSE)*AM191*($K191)+IF($G191&lt;&gt;0,($H191/$G191)*AM191,0)*(1-$K191)</f>
        <v>1085637524</v>
      </c>
      <c r="AO191" s="3236">
        <f>VLOOKUP($E191,AM$442:AP$453,3,FALSE)*AM191*($K191)+IF($G191&lt;&gt;0,($I191/$G191)*AM191,0)*(1-$K191)</f>
        <v>0</v>
      </c>
      <c r="AP191" s="3236">
        <f>VLOOKUP($E191,AM$442:AP$453,4,FALSE)*AM191*($K191)+(AM191-AN191-AO191)*(1-$K191)</f>
        <v>0</v>
      </c>
      <c r="AQ191" s="3264"/>
      <c r="AU191" s="3329">
        <f>AU465</f>
        <v>1085637524</v>
      </c>
      <c r="AV191" s="3236">
        <f>VLOOKUP($E191,AU$442:AX$453,2,FALSE)*AU191*($K191)+IF($G191&lt;&gt;0,($H191/$G191)*AU191,0)*(1-$K191)</f>
        <v>1085637524</v>
      </c>
      <c r="AW191" s="3236">
        <f>VLOOKUP($E191,AU$442:AX$453,3,FALSE)*AU191*($K191)+IF($G191&lt;&gt;0,($I191/$G191)*AU191,0)*(1-$K191)</f>
        <v>0</v>
      </c>
      <c r="AX191" s="3236">
        <f>VLOOKUP($E191,AU$442:AX$453,4,FALSE)*AU191*($K191)+(AU191-AV191-AW191)*(1-$K191)</f>
        <v>0</v>
      </c>
      <c r="AY191" s="3264"/>
      <c r="BC191" s="3329">
        <f>BC465</f>
        <v>1085637524</v>
      </c>
      <c r="BD191" s="3236">
        <f>VLOOKUP($E191,BC$442:BF$453,2,FALSE)*BC191*($K191)+IF($G191&lt;&gt;0,($H191/$G191)*BC191,0)*(1-$K191)</f>
        <v>1085637524</v>
      </c>
      <c r="BE191" s="3236">
        <f>VLOOKUP($E191,BC$442:BF$453,3,FALSE)*BC191*($K191)+IF($G191&lt;&gt;0,($I191/$G191)*BC191,0)*(1-$K191)</f>
        <v>0</v>
      </c>
      <c r="BF191" s="3236">
        <f>VLOOKUP($E191,BC$442:BF$453,4,FALSE)*BC191*($K191)+(BC191-BD191-BE191)*(1-$K191)</f>
        <v>0</v>
      </c>
      <c r="BG191" s="3264"/>
      <c r="BK191" s="3329">
        <f>BK465</f>
        <v>1085637524</v>
      </c>
      <c r="BL191" s="3236">
        <f>VLOOKUP($E191,BK$442:BN$453,2,FALSE)*BK191*($K191)+IF($G191&lt;&gt;0,($H191/$G191)*BK191,0)*(1-$K191)</f>
        <v>1085637524</v>
      </c>
      <c r="BM191" s="3236">
        <f>VLOOKUP($E191,BK$442:BN$453,3,FALSE)*BK191*($K191)+IF($G191&lt;&gt;0,($I191/$G191)*BK191,0)*(1-$K191)</f>
        <v>0</v>
      </c>
      <c r="BN191" s="3236">
        <f>VLOOKUP($E191,BK$442:BN$453,4,FALSE)*BK191*($K191)+(BK191-BL191-BM191)*(1-$K191)</f>
        <v>0</v>
      </c>
      <c r="BO191" s="3264"/>
      <c r="BS191" s="3329">
        <f>BS465</f>
        <v>1085637524</v>
      </c>
      <c r="BT191" s="3236">
        <f>VLOOKUP($E191,BS$442:BV$453,2,FALSE)*BS191*($K191)+IF($G191&lt;&gt;0,($H191/$G191)*BS191,0)*(1-$K191)</f>
        <v>1085637524</v>
      </c>
      <c r="BU191" s="3236">
        <f>VLOOKUP($E191,BS$442:BV$453,3,FALSE)*BS191*($K191)+IF($G191&lt;&gt;0,($I191/$G191)*BS191,0)*(1-$K191)</f>
        <v>0</v>
      </c>
      <c r="BV191" s="3236">
        <f>VLOOKUP($E191,BS$442:BV$453,4,FALSE)*BS191*($K191)+(BS191-BT191-BU191)*(1-$K191)</f>
        <v>0</v>
      </c>
      <c r="BW191" s="3264"/>
      <c r="CA191" s="3329">
        <f>CA465</f>
        <v>1085637524</v>
      </c>
      <c r="CB191" s="3236">
        <f>VLOOKUP($E191,CA$442:CD$453,2,FALSE)*CA191*($K191)+IF($G191&lt;&gt;0,($H191/$G191)*CA191,0)*(1-$K191)</f>
        <v>1085637524</v>
      </c>
      <c r="CC191" s="3236">
        <f>VLOOKUP($E191,CA$442:CD$453,3,FALSE)*CA191*($K191)+IF($G191&lt;&gt;0,($I191/$G191)*CA191,0)*(1-$K191)</f>
        <v>0</v>
      </c>
      <c r="CD191" s="3236">
        <f>VLOOKUP($E191,CA$442:CD$453,4,FALSE)*CA191*($K191)+(CA191-CB191-CC191)*(1-$K191)</f>
        <v>0</v>
      </c>
      <c r="CE191" s="3264"/>
      <c r="CI191" s="3329">
        <f>CI465</f>
        <v>1085637524</v>
      </c>
      <c r="CJ191" s="3236">
        <f>VLOOKUP($E191,CI$442:CL$453,2,FALSE)*CI191*($K191)+IF($G191&lt;&gt;0,($H191/$G191)*CI191,0)*(1-$K191)</f>
        <v>1085637524</v>
      </c>
      <c r="CK191" s="3236">
        <f>VLOOKUP($E191,CI$442:CL$453,3,FALSE)*CI191*($K191)+IF($G191&lt;&gt;0,($I191/$G191)*CI191,0)*(1-$K191)</f>
        <v>0</v>
      </c>
      <c r="CL191" s="3236">
        <f>VLOOKUP($E191,CI$442:CL$453,4,FALSE)*CI191*($K191)+(CI191-CJ191-CK191)*(1-$K191)</f>
        <v>0</v>
      </c>
      <c r="CM191" s="3264"/>
      <c r="CQ191" s="3329">
        <f>CQ465</f>
        <v>1085637524</v>
      </c>
      <c r="CR191" s="3236">
        <f>VLOOKUP($E191,CQ$442:CT$453,2,FALSE)*CQ191*($K191)+IF($G191&lt;&gt;0,($H191/$G191)*CQ191,0)*(1-$K191)</f>
        <v>1085637524</v>
      </c>
      <c r="CS191" s="3236">
        <f>VLOOKUP($E191,CQ$442:CT$453,3,FALSE)*CQ191*($K191)+IF($G191&lt;&gt;0,($I191/$G191)*CQ191,0)*(1-$K191)</f>
        <v>0</v>
      </c>
      <c r="CT191" s="3236">
        <f>VLOOKUP($E191,CQ$442:CT$453,4,FALSE)*CQ191*($K191)+(CQ191-CR191-CS191)*(1-$K191)</f>
        <v>0</v>
      </c>
      <c r="CU191" s="3264"/>
      <c r="CY191" s="3329">
        <f>CY465</f>
        <v>1085637524</v>
      </c>
      <c r="CZ191" s="3236">
        <f>VLOOKUP($E191,CY$442:DB$453,2,FALSE)*CY191*($K191)+IF($G191&lt;&gt;0,($H191/$G191)*CY191,0)*(1-$K191)</f>
        <v>1085637524</v>
      </c>
      <c r="DA191" s="3236">
        <f>VLOOKUP($E191,CY$442:DB$453,3,FALSE)*CY191*($K191)+IF($G191&lt;&gt;0,($I191/$G191)*CY191,0)*(1-$K191)</f>
        <v>0</v>
      </c>
      <c r="DB191" s="3236">
        <f>VLOOKUP($E191,CY$442:DB$453,4,FALSE)*CY191*($K191)+(CY191-CZ191-DA191)*(1-$K191)</f>
        <v>0</v>
      </c>
      <c r="DC191" s="3264"/>
      <c r="DG191" s="3329">
        <f>DG465</f>
        <v>1085637524</v>
      </c>
      <c r="DH191" s="3236">
        <f>VLOOKUP($E191,DG$442:DJ$453,2,FALSE)*DG191*($K191)+IF($G191&lt;&gt;0,($H191/$G191)*DG191,0)*(1-$K191)</f>
        <v>1085637524</v>
      </c>
      <c r="DI191" s="3236">
        <f>VLOOKUP($E191,DG$442:DJ$453,3,FALSE)*DG191*($K191)+IF($G191&lt;&gt;0,($I191/$G191)*DG191,0)*(1-$K191)</f>
        <v>0</v>
      </c>
      <c r="DJ191" s="3236">
        <f>VLOOKUP($E191,DG$442:DJ$453,4,FALSE)*DG191*($K191)+(DG191-DH191-DI191)*(1-$K191)</f>
        <v>0</v>
      </c>
      <c r="DK191" s="3264"/>
      <c r="DO191" s="3329">
        <f>DO465</f>
        <v>1085637524</v>
      </c>
      <c r="DP191" s="3236">
        <f>VLOOKUP($E191,DO$442:DR$453,2,FALSE)*DO191*($K191)+IF($G191&lt;&gt;0,($H191/$G191)*DO191,0)*(1-$K191)</f>
        <v>1085637524</v>
      </c>
      <c r="DQ191" s="3236">
        <f>VLOOKUP($E191,DO$442:DR$453,3,FALSE)*DO191*($K191)+IF($G191&lt;&gt;0,($I191/$G191)*DO191,0)*(1-$K191)</f>
        <v>0</v>
      </c>
      <c r="DR191" s="3236">
        <f>VLOOKUP($E191,DO$442:DR$453,4,FALSE)*DO191*($K191)+(DO191-DP191-DQ191)*(1-$K191)</f>
        <v>0</v>
      </c>
      <c r="DS191" s="3264"/>
      <c r="DW191" s="3329">
        <f>DW465</f>
        <v>1085637524</v>
      </c>
      <c r="DX191" s="3236">
        <f>VLOOKUP($E191,DW$442:DZ$453,2,FALSE)*DW191*($K191)+IF($G191&lt;&gt;0,($H191/$G191)*DW191,0)*(1-$K191)</f>
        <v>1085637524</v>
      </c>
      <c r="DY191" s="3236">
        <f>VLOOKUP($E191,DW$442:DZ$453,3,FALSE)*DW191*($K191)+IF($G191&lt;&gt;0,($I191/$G191)*DW191,0)*(1-$K191)</f>
        <v>0</v>
      </c>
      <c r="DZ191" s="3236">
        <f>VLOOKUP($E191,DW$442:DZ$453,4,FALSE)*DW191*($K191)+(DW191-DX191-DY191)*(1-$K191)</f>
        <v>0</v>
      </c>
      <c r="EA191" s="3264"/>
      <c r="EE191" s="3329">
        <f>EE465</f>
        <v>1085637524</v>
      </c>
      <c r="EF191" s="3236">
        <f>VLOOKUP($E191,EE$442:EH$453,2,FALSE)*EE191*($K191)+IF($G191&lt;&gt;0,($H191/$G191)*EE191,0)*(1-$K191)</f>
        <v>1085637524</v>
      </c>
      <c r="EG191" s="3236">
        <f>VLOOKUP($E191,EE$442:EH$453,3,FALSE)*EE191*($K191)+IF($G191&lt;&gt;0,($I191/$G191)*EE191,0)*(1-$K191)</f>
        <v>0</v>
      </c>
      <c r="EH191" s="3236">
        <f>VLOOKUP($E191,EE$442:EH$453,4,FALSE)*EE191*($K191)+(EE191-EF191-EG191)*(1-$K191)</f>
        <v>0</v>
      </c>
      <c r="EI191" s="3264"/>
      <c r="EM191" s="3329">
        <f>EM465</f>
        <v>1085637524</v>
      </c>
      <c r="EN191" s="3236">
        <f>VLOOKUP($E191,EM$442:EP$453,2,FALSE)*EM191*($K191)+IF($G191&lt;&gt;0,($H191/$G191)*EM191,0)*(1-$K191)</f>
        <v>1085637524</v>
      </c>
      <c r="EO191" s="3236">
        <f>VLOOKUP($E191,EM$442:EP$453,3,FALSE)*EM191*($K191)+IF($G191&lt;&gt;0,($I191/$G191)*EM191,0)*(1-$K191)</f>
        <v>0</v>
      </c>
      <c r="EP191" s="3236">
        <f>VLOOKUP($E191,EM$442:EP$453,4,FALSE)*EM191*($K191)+(EM191-EN191-EO191)*(1-$K191)</f>
        <v>0</v>
      </c>
      <c r="EQ191" s="3264"/>
      <c r="EU191" s="3329">
        <f>EU465</f>
        <v>1085637524</v>
      </c>
      <c r="EV191" s="3236">
        <f>VLOOKUP($E191,EU$442:EX$453,2,FALSE)*EU191*($K191)+IF($G191&lt;&gt;0,($H191/$G191)*EU191,0)*(1-$K191)</f>
        <v>1085637524</v>
      </c>
      <c r="EW191" s="3236">
        <f>VLOOKUP($E191,EU$442:EX$453,3,FALSE)*EU191*($K191)+IF($G191&lt;&gt;0,($I191/$G191)*EU191,0)*(1-$K191)</f>
        <v>0</v>
      </c>
      <c r="EX191" s="3236">
        <f>VLOOKUP($E191,EU$442:EX$453,4,FALSE)*EU191*($K191)+(EU191-EV191-EW191)*(1-$K191)</f>
        <v>0</v>
      </c>
      <c r="EY191" s="3264"/>
      <c r="FC191" s="3329">
        <f>FC465</f>
        <v>1085637524</v>
      </c>
      <c r="FD191" s="3236">
        <f>VLOOKUP($E191,FC$442:FF$453,2,FALSE)*FC191*($K191)+IF($G191&lt;&gt;0,($H191/$G191)*FC191,0)*(1-$K191)</f>
        <v>1085637524</v>
      </c>
      <c r="FE191" s="3236">
        <f>VLOOKUP($E191,FC$442:FF$453,3,FALSE)*FC191*($K191)+IF($G191&lt;&gt;0,($I191/$G191)*FC191,0)*(1-$K191)</f>
        <v>0</v>
      </c>
      <c r="FF191" s="3236">
        <f>VLOOKUP($E191,FC$442:FF$453,4,FALSE)*FC191*($K191)+(FC191-FD191-FE191)*(1-$K191)</f>
        <v>0</v>
      </c>
      <c r="FG191" s="3264"/>
      <c r="FK191" s="3329">
        <f>FK465</f>
        <v>1085637524</v>
      </c>
      <c r="FL191" s="3236">
        <f>VLOOKUP($E191,FK$442:FN$453,2,FALSE)*FK191*($K191)+IF($G191&lt;&gt;0,($H191/$G191)*FK191,0)*(1-$K191)</f>
        <v>1085637524</v>
      </c>
      <c r="FM191" s="3236">
        <f>VLOOKUP($E191,FK$442:FN$453,3,FALSE)*FK191*($K191)+IF($G191&lt;&gt;0,($I191/$G191)*FK191,0)*(1-$K191)</f>
        <v>0</v>
      </c>
      <c r="FN191" s="3236">
        <f>VLOOKUP($E191,FK$442:FN$453,4,FALSE)*FK191*($K191)+(FK191-FL191-FM191)*(1-$K191)</f>
        <v>0</v>
      </c>
      <c r="FO191" s="3264"/>
    </row>
    <row r="192" spans="1:171">
      <c r="A192" s="3254">
        <v>810</v>
      </c>
      <c r="B192" s="2185" t="s">
        <v>454</v>
      </c>
      <c r="C192" s="2464" t="s">
        <v>72</v>
      </c>
      <c r="D192" s="2464">
        <v>556</v>
      </c>
      <c r="E192" s="2424" t="str">
        <f>'Sch 3 - Expenses'!E32</f>
        <v>PROD</v>
      </c>
      <c r="F192" s="2171"/>
      <c r="G192" s="2424">
        <f>'Sch 3 - Expenses'!G32</f>
        <v>28612</v>
      </c>
      <c r="H192" s="2424">
        <f>'Sch 3 - Expenses'!H32</f>
        <v>28612</v>
      </c>
      <c r="I192" s="2424">
        <f>'Sch 3 - Expenses'!I32</f>
        <v>0</v>
      </c>
      <c r="J192" s="2425">
        <f>'Sch 3 - Expenses'!J32</f>
        <v>0</v>
      </c>
      <c r="K192" s="3205">
        <f t="shared" si="547"/>
        <v>1</v>
      </c>
      <c r="N192" s="3284">
        <f>VLOOKUP($A192,'New Resources - Individual'!$A$4:$Y$133,N$2,FALSE)*N$1</f>
        <v>0</v>
      </c>
      <c r="O192" s="3235">
        <f>$G192+N192</f>
        <v>28612</v>
      </c>
      <c r="P192" s="3236">
        <f>VLOOKUP($E192,O$442:R$453,2,FALSE)*O192*($K192)+IF($G192&lt;&gt;0,($H192/$G192)*O192,0)*(1-$K192)</f>
        <v>28612</v>
      </c>
      <c r="Q192" s="3236">
        <f>VLOOKUP($E192,O$442:R$453,3,FALSE)*O192*($K192)+IF($G192&lt;&gt;0,($I192/$G192)*O192,0)*(1-$K192)</f>
        <v>0</v>
      </c>
      <c r="R192" s="3236">
        <f>VLOOKUP($E192,O$442:R$453,4,FALSE)*O192*($K192)+(O192-P192-Q192)*(1-$K192)</f>
        <v>0</v>
      </c>
      <c r="S192" s="3264"/>
      <c r="V192" s="3284">
        <f>VLOOKUP($A192,'New Resources - Individual'!$A$4:$Y$133,V$2,FALSE)*V$1</f>
        <v>0</v>
      </c>
      <c r="W192" s="3235">
        <f>$G192+V192</f>
        <v>28612</v>
      </c>
      <c r="X192" s="3236">
        <f>VLOOKUP($E192,W$442:Z$453,2,FALSE)*W192*($K192)+IF($G192&lt;&gt;0,($H192/$G192)*W192,0)*(1-$K192)</f>
        <v>28612</v>
      </c>
      <c r="Y192" s="3236">
        <f>VLOOKUP($E192,W$442:Z$453,3,FALSE)*W192*($K192)+IF($G192&lt;&gt;0,($I192/$G192)*W192,0)*(1-$K192)</f>
        <v>0</v>
      </c>
      <c r="Z192" s="3236">
        <f>VLOOKUP($E192,W$442:Z$453,4,FALSE)*W192*($K192)+(W192-X192-Y192)*(1-$K192)</f>
        <v>0</v>
      </c>
      <c r="AA192" s="3264"/>
      <c r="AD192" s="3284">
        <f>VLOOKUP($A192,'New Resources - Individual'!$A$4:$Y$133,AD$2,FALSE)*AD$1</f>
        <v>0</v>
      </c>
      <c r="AE192" s="3235">
        <f>$G192+AD192</f>
        <v>28612</v>
      </c>
      <c r="AF192" s="3236">
        <f>VLOOKUP($E192,AE$442:AH$453,2,FALSE)*AE192*($K192)+IF($G192&lt;&gt;0,($H192/$G192)*AE192,0)*(1-$K192)</f>
        <v>28612</v>
      </c>
      <c r="AG192" s="3236">
        <f>VLOOKUP($E192,AE$442:AH$453,3,FALSE)*AE192*($K192)+IF($G192&lt;&gt;0,($I192/$G192)*AE192,0)*(1-$K192)</f>
        <v>0</v>
      </c>
      <c r="AH192" s="3236">
        <f>VLOOKUP($E192,AE$442:AH$453,4,FALSE)*AE192*($K192)+(AE192-AF192-AG192)*(1-$K192)</f>
        <v>0</v>
      </c>
      <c r="AI192" s="3264"/>
      <c r="AL192" s="3284">
        <f>VLOOKUP($A192,'New Resources - Individual'!$A$4:$Y$133,AL$2,FALSE)*AL$1</f>
        <v>0</v>
      </c>
      <c r="AM192" s="3235">
        <f>$G192+AL192</f>
        <v>28612</v>
      </c>
      <c r="AN192" s="3236">
        <f>VLOOKUP($E192,AM$442:AP$453,2,FALSE)*AM192*($K192)+IF($G192&lt;&gt;0,($H192/$G192)*AM192,0)*(1-$K192)</f>
        <v>28612</v>
      </c>
      <c r="AO192" s="3236">
        <f>VLOOKUP($E192,AM$442:AP$453,3,FALSE)*AM192*($K192)+IF($G192&lt;&gt;0,($I192/$G192)*AM192,0)*(1-$K192)</f>
        <v>0</v>
      </c>
      <c r="AP192" s="3236">
        <f>VLOOKUP($E192,AM$442:AP$453,4,FALSE)*AM192*($K192)+(AM192-AN192-AO192)*(1-$K192)</f>
        <v>0</v>
      </c>
      <c r="AQ192" s="3264"/>
      <c r="AT192" s="3284">
        <f>VLOOKUP($A192,'New Resources - Individual'!$A$4:$Y$133,AT$2,FALSE)*AT$1</f>
        <v>0</v>
      </c>
      <c r="AU192" s="3235">
        <f>$G192+AT192</f>
        <v>28612</v>
      </c>
      <c r="AV192" s="3236">
        <f>VLOOKUP($E192,AU$442:AX$453,2,FALSE)*AU192*($K192)+IF($G192&lt;&gt;0,($H192/$G192)*AU192,0)*(1-$K192)</f>
        <v>28612</v>
      </c>
      <c r="AW192" s="3236">
        <f>VLOOKUP($E192,AU$442:AX$453,3,FALSE)*AU192*($K192)+IF($G192&lt;&gt;0,($I192/$G192)*AU192,0)*(1-$K192)</f>
        <v>0</v>
      </c>
      <c r="AX192" s="3236">
        <f>VLOOKUP($E192,AU$442:AX$453,4,FALSE)*AU192*($K192)+(AU192-AV192-AW192)*(1-$K192)</f>
        <v>0</v>
      </c>
      <c r="AY192" s="3264"/>
      <c r="BB192" s="3284">
        <f>VLOOKUP($A192,'New Resources - Individual'!$A$4:$Y$133,BB$2,FALSE)*BB$1</f>
        <v>0</v>
      </c>
      <c r="BC192" s="3235">
        <f>$G192+BB192</f>
        <v>28612</v>
      </c>
      <c r="BD192" s="3236">
        <f>VLOOKUP($E192,BC$442:BF$453,2,FALSE)*BC192*($K192)+IF($G192&lt;&gt;0,($H192/$G192)*BC192,0)*(1-$K192)</f>
        <v>28612</v>
      </c>
      <c r="BE192" s="3236">
        <f>VLOOKUP($E192,BC$442:BF$453,3,FALSE)*BC192*($K192)+IF($G192&lt;&gt;0,($I192/$G192)*BC192,0)*(1-$K192)</f>
        <v>0</v>
      </c>
      <c r="BF192" s="3236">
        <f>VLOOKUP($E192,BC$442:BF$453,4,FALSE)*BC192*($K192)+(BC192-BD192-BE192)*(1-$K192)</f>
        <v>0</v>
      </c>
      <c r="BG192" s="3264"/>
      <c r="BJ192" s="3284">
        <f>VLOOKUP($A192,'New Resources - Individual'!$A$4:$Y$133,BJ$2,FALSE)*BJ$1</f>
        <v>0</v>
      </c>
      <c r="BK192" s="3235">
        <f>$G192+BJ192</f>
        <v>28612</v>
      </c>
      <c r="BL192" s="3236">
        <f>VLOOKUP($E192,BK$442:BN$453,2,FALSE)*BK192*($K192)+IF($G192&lt;&gt;0,($H192/$G192)*BK192,0)*(1-$K192)</f>
        <v>28612</v>
      </c>
      <c r="BM192" s="3236">
        <f>VLOOKUP($E192,BK$442:BN$453,3,FALSE)*BK192*($K192)+IF($G192&lt;&gt;0,($I192/$G192)*BK192,0)*(1-$K192)</f>
        <v>0</v>
      </c>
      <c r="BN192" s="3236">
        <f>VLOOKUP($E192,BK$442:BN$453,4,FALSE)*BK192*($K192)+(BK192-BL192-BM192)*(1-$K192)</f>
        <v>0</v>
      </c>
      <c r="BO192" s="3264"/>
      <c r="BR192" s="3284">
        <f>VLOOKUP($A192,'New Resources - Individual'!$A$4:$Y$133,BR$2,FALSE)*BR$1</f>
        <v>0</v>
      </c>
      <c r="BS192" s="3235">
        <f>$G192+BR192</f>
        <v>28612</v>
      </c>
      <c r="BT192" s="3236">
        <f>VLOOKUP($E192,BS$442:BV$453,2,FALSE)*BS192*($K192)+IF($G192&lt;&gt;0,($H192/$G192)*BS192,0)*(1-$K192)</f>
        <v>28612</v>
      </c>
      <c r="BU192" s="3236">
        <f>VLOOKUP($E192,BS$442:BV$453,3,FALSE)*BS192*($K192)+IF($G192&lt;&gt;0,($I192/$G192)*BS192,0)*(1-$K192)</f>
        <v>0</v>
      </c>
      <c r="BV192" s="3236">
        <f>VLOOKUP($E192,BS$442:BV$453,4,FALSE)*BS192*($K192)+(BS192-BT192-BU192)*(1-$K192)</f>
        <v>0</v>
      </c>
      <c r="BW192" s="3264"/>
      <c r="BZ192" s="3284">
        <f>VLOOKUP($A192,'New Resources - Individual'!$A$4:$Y$133,BZ$2,FALSE)*BZ$1</f>
        <v>0</v>
      </c>
      <c r="CA192" s="3235">
        <f>$G192+BZ192</f>
        <v>28612</v>
      </c>
      <c r="CB192" s="3236">
        <f>VLOOKUP($E192,CA$442:CD$453,2,FALSE)*CA192*($K192)+IF($G192&lt;&gt;0,($H192/$G192)*CA192,0)*(1-$K192)</f>
        <v>28612</v>
      </c>
      <c r="CC192" s="3236">
        <f>VLOOKUP($E192,CA$442:CD$453,3,FALSE)*CA192*($K192)+IF($G192&lt;&gt;0,($I192/$G192)*CA192,0)*(1-$K192)</f>
        <v>0</v>
      </c>
      <c r="CD192" s="3236">
        <f>VLOOKUP($E192,CA$442:CD$453,4,FALSE)*CA192*($K192)+(CA192-CB192-CC192)*(1-$K192)</f>
        <v>0</v>
      </c>
      <c r="CE192" s="3264"/>
      <c r="CH192" s="3284">
        <f>VLOOKUP($A192,'New Resources - Individual'!$A$4:$Y$133,CH$2,FALSE)*CH$1</f>
        <v>0</v>
      </c>
      <c r="CI192" s="3235">
        <f>$G192+CH192</f>
        <v>28612</v>
      </c>
      <c r="CJ192" s="3236">
        <f>VLOOKUP($E192,CI$442:CL$453,2,FALSE)*CI192*($K192)+IF($G192&lt;&gt;0,($H192/$G192)*CI192,0)*(1-$K192)</f>
        <v>28612</v>
      </c>
      <c r="CK192" s="3236">
        <f>VLOOKUP($E192,CI$442:CL$453,3,FALSE)*CI192*($K192)+IF($G192&lt;&gt;0,($I192/$G192)*CI192,0)*(1-$K192)</f>
        <v>0</v>
      </c>
      <c r="CL192" s="3236">
        <f>VLOOKUP($E192,CI$442:CL$453,4,FALSE)*CI192*($K192)+(CI192-CJ192-CK192)*(1-$K192)</f>
        <v>0</v>
      </c>
      <c r="CM192" s="3264"/>
      <c r="CP192" s="3284">
        <f>VLOOKUP($A192,'New Resources - Individual'!$A$4:$Y$133,CP$2,FALSE)*CP$1</f>
        <v>0</v>
      </c>
      <c r="CQ192" s="3235">
        <f>$G192+CP192</f>
        <v>28612</v>
      </c>
      <c r="CR192" s="3236">
        <f>VLOOKUP($E192,CQ$442:CT$453,2,FALSE)*CQ192*($K192)+IF($G192&lt;&gt;0,($H192/$G192)*CQ192,0)*(1-$K192)</f>
        <v>28612</v>
      </c>
      <c r="CS192" s="3236">
        <f>VLOOKUP($E192,CQ$442:CT$453,3,FALSE)*CQ192*($K192)+IF($G192&lt;&gt;0,($I192/$G192)*CQ192,0)*(1-$K192)</f>
        <v>0</v>
      </c>
      <c r="CT192" s="3236">
        <f>VLOOKUP($E192,CQ$442:CT$453,4,FALSE)*CQ192*($K192)+(CQ192-CR192-CS192)*(1-$K192)</f>
        <v>0</v>
      </c>
      <c r="CU192" s="3264"/>
      <c r="CX192" s="3284">
        <f>VLOOKUP($A192,'New Resources - Individual'!$A$4:$Y$133,CX$2,FALSE)*CX$1</f>
        <v>0</v>
      </c>
      <c r="CY192" s="3235">
        <f>$G192+CX192</f>
        <v>28612</v>
      </c>
      <c r="CZ192" s="3236">
        <f>VLOOKUP($E192,CY$442:DB$453,2,FALSE)*CY192*($K192)+IF($G192&lt;&gt;0,($H192/$G192)*CY192,0)*(1-$K192)</f>
        <v>28612</v>
      </c>
      <c r="DA192" s="3236">
        <f>VLOOKUP($E192,CY$442:DB$453,3,FALSE)*CY192*($K192)+IF($G192&lt;&gt;0,($I192/$G192)*CY192,0)*(1-$K192)</f>
        <v>0</v>
      </c>
      <c r="DB192" s="3236">
        <f>VLOOKUP($E192,CY$442:DB$453,4,FALSE)*CY192*($K192)+(CY192-CZ192-DA192)*(1-$K192)</f>
        <v>0</v>
      </c>
      <c r="DC192" s="3264"/>
      <c r="DF192" s="3284">
        <f>VLOOKUP($A192,'New Resources - Individual'!$A$4:$Y$133,DF$2,FALSE)*DF$1</f>
        <v>0</v>
      </c>
      <c r="DG192" s="3235">
        <f>$G192+DF192</f>
        <v>28612</v>
      </c>
      <c r="DH192" s="3236">
        <f>VLOOKUP($E192,DG$442:DJ$453,2,FALSE)*DG192*($K192)+IF($G192&lt;&gt;0,($H192/$G192)*DG192,0)*(1-$K192)</f>
        <v>28612</v>
      </c>
      <c r="DI192" s="3236">
        <f>VLOOKUP($E192,DG$442:DJ$453,3,FALSE)*DG192*($K192)+IF($G192&lt;&gt;0,($I192/$G192)*DG192,0)*(1-$K192)</f>
        <v>0</v>
      </c>
      <c r="DJ192" s="3236">
        <f>VLOOKUP($E192,DG$442:DJ$453,4,FALSE)*DG192*($K192)+(DG192-DH192-DI192)*(1-$K192)</f>
        <v>0</v>
      </c>
      <c r="DK192" s="3264"/>
      <c r="DN192" s="3284">
        <f>VLOOKUP($A192,'New Resources - Individual'!$A$4:$Y$133,DN$2,FALSE)*DN$1</f>
        <v>0</v>
      </c>
      <c r="DO192" s="3235">
        <f>$G192+DN192</f>
        <v>28612</v>
      </c>
      <c r="DP192" s="3236">
        <f>VLOOKUP($E192,DO$442:DR$453,2,FALSE)*DO192*($K192)+IF($G192&lt;&gt;0,($H192/$G192)*DO192,0)*(1-$K192)</f>
        <v>28612</v>
      </c>
      <c r="DQ192" s="3236">
        <f>VLOOKUP($E192,DO$442:DR$453,3,FALSE)*DO192*($K192)+IF($G192&lt;&gt;0,($I192/$G192)*DO192,0)*(1-$K192)</f>
        <v>0</v>
      </c>
      <c r="DR192" s="3236">
        <f>VLOOKUP($E192,DO$442:DR$453,4,FALSE)*DO192*($K192)+(DO192-DP192-DQ192)*(1-$K192)</f>
        <v>0</v>
      </c>
      <c r="DS192" s="3264"/>
      <c r="DV192" s="3284">
        <f>VLOOKUP($A192,'New Resources - Individual'!$A$4:$Y$133,DV$2,FALSE)*DV$1</f>
        <v>0</v>
      </c>
      <c r="DW192" s="3235">
        <f>$G192+DV192</f>
        <v>28612</v>
      </c>
      <c r="DX192" s="3236">
        <f>VLOOKUP($E192,DW$442:DZ$453,2,FALSE)*DW192*($K192)+IF($G192&lt;&gt;0,($H192/$G192)*DW192,0)*(1-$K192)</f>
        <v>28612</v>
      </c>
      <c r="DY192" s="3236">
        <f>VLOOKUP($E192,DW$442:DZ$453,3,FALSE)*DW192*($K192)+IF($G192&lt;&gt;0,($I192/$G192)*DW192,0)*(1-$K192)</f>
        <v>0</v>
      </c>
      <c r="DZ192" s="3236">
        <f>VLOOKUP($E192,DW$442:DZ$453,4,FALSE)*DW192*($K192)+(DW192-DX192-DY192)*(1-$K192)</f>
        <v>0</v>
      </c>
      <c r="EA192" s="3264"/>
      <c r="ED192" s="3284">
        <f>VLOOKUP($A192,'New Resources - Individual'!$A$4:$Y$133,ED$2,FALSE)*ED$1</f>
        <v>0</v>
      </c>
      <c r="EE192" s="3235">
        <f>$G192+ED192</f>
        <v>28612</v>
      </c>
      <c r="EF192" s="3236">
        <f>VLOOKUP($E192,EE$442:EH$453,2,FALSE)*EE192*($K192)+IF($G192&lt;&gt;0,($H192/$G192)*EE192,0)*(1-$K192)</f>
        <v>28612</v>
      </c>
      <c r="EG192" s="3236">
        <f>VLOOKUP($E192,EE$442:EH$453,3,FALSE)*EE192*($K192)+IF($G192&lt;&gt;0,($I192/$G192)*EE192,0)*(1-$K192)</f>
        <v>0</v>
      </c>
      <c r="EH192" s="3236">
        <f>VLOOKUP($E192,EE$442:EH$453,4,FALSE)*EE192*($K192)+(EE192-EF192-EG192)*(1-$K192)</f>
        <v>0</v>
      </c>
      <c r="EI192" s="3264"/>
      <c r="EL192" s="3284">
        <f>VLOOKUP($A192,'New Resources - Individual'!$A$4:$Y$133,EL$2,FALSE)*EL$1</f>
        <v>0</v>
      </c>
      <c r="EM192" s="3235">
        <f>$G192+EL192</f>
        <v>28612</v>
      </c>
      <c r="EN192" s="3236">
        <f>VLOOKUP($E192,EM$442:EP$453,2,FALSE)*EM192*($K192)+IF($G192&lt;&gt;0,($H192/$G192)*EM192,0)*(1-$K192)</f>
        <v>28612</v>
      </c>
      <c r="EO192" s="3236">
        <f>VLOOKUP($E192,EM$442:EP$453,3,FALSE)*EM192*($K192)+IF($G192&lt;&gt;0,($I192/$G192)*EM192,0)*(1-$K192)</f>
        <v>0</v>
      </c>
      <c r="EP192" s="3236">
        <f>VLOOKUP($E192,EM$442:EP$453,4,FALSE)*EM192*($K192)+(EM192-EN192-EO192)*(1-$K192)</f>
        <v>0</v>
      </c>
      <c r="EQ192" s="3264"/>
      <c r="ET192" s="3284">
        <f>VLOOKUP($A192,'New Resources - Individual'!$A$4:$Y$133,ET$2,FALSE)*ET$1</f>
        <v>0</v>
      </c>
      <c r="EU192" s="3235">
        <f>$G192+ET192</f>
        <v>28612</v>
      </c>
      <c r="EV192" s="3236">
        <f>VLOOKUP($E192,EU$442:EX$453,2,FALSE)*EU192*($K192)+IF($G192&lt;&gt;0,($H192/$G192)*EU192,0)*(1-$K192)</f>
        <v>28612</v>
      </c>
      <c r="EW192" s="3236">
        <f>VLOOKUP($E192,EU$442:EX$453,3,FALSE)*EU192*($K192)+IF($G192&lt;&gt;0,($I192/$G192)*EU192,0)*(1-$K192)</f>
        <v>0</v>
      </c>
      <c r="EX192" s="3236">
        <f>VLOOKUP($E192,EU$442:EX$453,4,FALSE)*EU192*($K192)+(EU192-EV192-EW192)*(1-$K192)</f>
        <v>0</v>
      </c>
      <c r="EY192" s="3264"/>
      <c r="FB192" s="3284">
        <f>VLOOKUP($A192,'New Resources - Individual'!$A$4:$Y$133,FB$2,FALSE)*FB$1</f>
        <v>0</v>
      </c>
      <c r="FC192" s="3235">
        <f>$G192+FB192</f>
        <v>28612</v>
      </c>
      <c r="FD192" s="3236">
        <f>VLOOKUP($E192,FC$442:FF$453,2,FALSE)*FC192*($K192)+IF($G192&lt;&gt;0,($H192/$G192)*FC192,0)*(1-$K192)</f>
        <v>28612</v>
      </c>
      <c r="FE192" s="3236">
        <f>VLOOKUP($E192,FC$442:FF$453,3,FALSE)*FC192*($K192)+IF($G192&lt;&gt;0,($I192/$G192)*FC192,0)*(1-$K192)</f>
        <v>0</v>
      </c>
      <c r="FF192" s="3236">
        <f>VLOOKUP($E192,FC$442:FF$453,4,FALSE)*FC192*($K192)+(FC192-FD192-FE192)*(1-$K192)</f>
        <v>0</v>
      </c>
      <c r="FG192" s="3264"/>
      <c r="FJ192" s="3284">
        <f>VLOOKUP($A192,'New Resources - Individual'!$A$4:$Y$133,FJ$2,FALSE)*FJ$1</f>
        <v>0</v>
      </c>
      <c r="FK192" s="3235">
        <f>$G192+FJ192</f>
        <v>28612</v>
      </c>
      <c r="FL192" s="3236">
        <f>VLOOKUP($E192,FK$442:FN$453,2,FALSE)*FK192*($K192)+IF($G192&lt;&gt;0,($H192/$G192)*FK192,0)*(1-$K192)</f>
        <v>28612</v>
      </c>
      <c r="FM192" s="3236">
        <f>VLOOKUP($E192,FK$442:FN$453,3,FALSE)*FK192*($K192)+IF($G192&lt;&gt;0,($I192/$G192)*FK192,0)*(1-$K192)</f>
        <v>0</v>
      </c>
      <c r="FN192" s="3236">
        <f>VLOOKUP($E192,FK$442:FN$453,4,FALSE)*FK192*($K192)+(FK192-FL192-FM192)*(1-$K192)</f>
        <v>0</v>
      </c>
      <c r="FO192" s="3264"/>
    </row>
    <row r="193" spans="1:171">
      <c r="A193" s="3254">
        <v>820</v>
      </c>
      <c r="B193" s="2185" t="s">
        <v>265</v>
      </c>
      <c r="C193" s="2464" t="s">
        <v>72</v>
      </c>
      <c r="D193" s="2464">
        <v>557</v>
      </c>
      <c r="E193" s="2424" t="str">
        <f>'Sch 3 - Expenses'!E33</f>
        <v>PROD</v>
      </c>
      <c r="F193" s="2171"/>
      <c r="G193" s="2424">
        <f>'Sch 3 - Expenses'!G33</f>
        <v>94142017</v>
      </c>
      <c r="H193" s="2424">
        <f>'Sch 3 - Expenses'!H33</f>
        <v>94142017</v>
      </c>
      <c r="I193" s="2424">
        <f>'Sch 3 - Expenses'!I33</f>
        <v>0</v>
      </c>
      <c r="J193" s="2425">
        <f>'Sch 3 - Expenses'!J33</f>
        <v>0</v>
      </c>
      <c r="K193" s="3205">
        <f t="shared" si="547"/>
        <v>1</v>
      </c>
      <c r="N193" s="3330">
        <f>VLOOKUP($A193,'New Resources - Individual'!$A$4:$Y$133,N$2,FALSE)*N$1</f>
        <v>0</v>
      </c>
      <c r="O193" s="3235">
        <f>$G193+N193</f>
        <v>94142017</v>
      </c>
      <c r="P193" s="3236">
        <f>VLOOKUP($E193,O$442:R$453,2,FALSE)*O193*($K193)+IF($G193&lt;&gt;0,($H193/$G193)*O193,0)*(1-$K193)</f>
        <v>94142017</v>
      </c>
      <c r="Q193" s="3236">
        <f>VLOOKUP($E193,O$442:R$453,3,FALSE)*O193*($K193)+IF($G193&lt;&gt;0,($I193/$G193)*O193,0)*(1-$K193)</f>
        <v>0</v>
      </c>
      <c r="R193" s="3236">
        <f>VLOOKUP($E193,O$442:R$453,4,FALSE)*O193*($K193)+(O193-P193-Q193)*(1-$K193)</f>
        <v>0</v>
      </c>
      <c r="S193" s="3264"/>
      <c r="V193" s="3330">
        <f>VLOOKUP($A193,'New Resources - Individual'!$A$4:$Y$133,V$2,FALSE)*V$1</f>
        <v>0</v>
      </c>
      <c r="W193" s="3235">
        <f>$G193+V193</f>
        <v>94142017</v>
      </c>
      <c r="X193" s="3236">
        <f>VLOOKUP($E193,W$442:Z$453,2,FALSE)*W193*($K193)+IF($G193&lt;&gt;0,($H193/$G193)*W193,0)*(1-$K193)</f>
        <v>94142017</v>
      </c>
      <c r="Y193" s="3236">
        <f>VLOOKUP($E193,W$442:Z$453,3,FALSE)*W193*($K193)+IF($G193&lt;&gt;0,($I193/$G193)*W193,0)*(1-$K193)</f>
        <v>0</v>
      </c>
      <c r="Z193" s="3236">
        <f>VLOOKUP($E193,W$442:Z$453,4,FALSE)*W193*($K193)+(W193-X193-Y193)*(1-$K193)</f>
        <v>0</v>
      </c>
      <c r="AA193" s="3264"/>
      <c r="AD193" s="3330">
        <f>VLOOKUP($A193,'New Resources - Individual'!$A$4:$Y$133,AD$2,FALSE)*AD$1</f>
        <v>0</v>
      </c>
      <c r="AE193" s="3235">
        <f>$G193+AD193</f>
        <v>94142017</v>
      </c>
      <c r="AF193" s="3236">
        <f>VLOOKUP($E193,AE$442:AH$453,2,FALSE)*AE193*($K193)+IF($G193&lt;&gt;0,($H193/$G193)*AE193,0)*(1-$K193)</f>
        <v>94142017</v>
      </c>
      <c r="AG193" s="3236">
        <f>VLOOKUP($E193,AE$442:AH$453,3,FALSE)*AE193*($K193)+IF($G193&lt;&gt;0,($I193/$G193)*AE193,0)*(1-$K193)</f>
        <v>0</v>
      </c>
      <c r="AH193" s="3236">
        <f>VLOOKUP($E193,AE$442:AH$453,4,FALSE)*AE193*($K193)+(AE193-AF193-AG193)*(1-$K193)</f>
        <v>0</v>
      </c>
      <c r="AI193" s="3264"/>
      <c r="AL193" s="3330">
        <f>VLOOKUP($A193,'New Resources - Individual'!$A$4:$Y$133,AL$2,FALSE)*AL$1</f>
        <v>0</v>
      </c>
      <c r="AM193" s="3235">
        <f>$G193+AL193</f>
        <v>94142017</v>
      </c>
      <c r="AN193" s="3236">
        <f>VLOOKUP($E193,AM$442:AP$453,2,FALSE)*AM193*($K193)+IF($G193&lt;&gt;0,($H193/$G193)*AM193,0)*(1-$K193)</f>
        <v>94142017</v>
      </c>
      <c r="AO193" s="3236">
        <f>VLOOKUP($E193,AM$442:AP$453,3,FALSE)*AM193*($K193)+IF($G193&lt;&gt;0,($I193/$G193)*AM193,0)*(1-$K193)</f>
        <v>0</v>
      </c>
      <c r="AP193" s="3236">
        <f>VLOOKUP($E193,AM$442:AP$453,4,FALSE)*AM193*($K193)+(AM193-AN193-AO193)*(1-$K193)</f>
        <v>0</v>
      </c>
      <c r="AQ193" s="3264"/>
      <c r="AT193" s="3330">
        <f>VLOOKUP($A193,'New Resources - Individual'!$A$4:$Y$133,AT$2,FALSE)*AT$1</f>
        <v>0</v>
      </c>
      <c r="AU193" s="3235">
        <f>$G193+AT193</f>
        <v>94142017</v>
      </c>
      <c r="AV193" s="3236">
        <f>VLOOKUP($E193,AU$442:AX$453,2,FALSE)*AU193*($K193)+IF($G193&lt;&gt;0,($H193/$G193)*AU193,0)*(1-$K193)</f>
        <v>94142017</v>
      </c>
      <c r="AW193" s="3236">
        <f>VLOOKUP($E193,AU$442:AX$453,3,FALSE)*AU193*($K193)+IF($G193&lt;&gt;0,($I193/$G193)*AU193,0)*(1-$K193)</f>
        <v>0</v>
      </c>
      <c r="AX193" s="3236">
        <f>VLOOKUP($E193,AU$442:AX$453,4,FALSE)*AU193*($K193)+(AU193-AV193-AW193)*(1-$K193)</f>
        <v>0</v>
      </c>
      <c r="AY193" s="3264"/>
      <c r="BB193" s="3330">
        <f>VLOOKUP($A193,'New Resources - Individual'!$A$4:$Y$133,BB$2,FALSE)*BB$1</f>
        <v>0</v>
      </c>
      <c r="BC193" s="3235">
        <f>$G193+BB193</f>
        <v>94142017</v>
      </c>
      <c r="BD193" s="3236">
        <f>VLOOKUP($E193,BC$442:BF$453,2,FALSE)*BC193*($K193)+IF($G193&lt;&gt;0,($H193/$G193)*BC193,0)*(1-$K193)</f>
        <v>94142017</v>
      </c>
      <c r="BE193" s="3236">
        <f>VLOOKUP($E193,BC$442:BF$453,3,FALSE)*BC193*($K193)+IF($G193&lt;&gt;0,($I193/$G193)*BC193,0)*(1-$K193)</f>
        <v>0</v>
      </c>
      <c r="BF193" s="3236">
        <f>VLOOKUP($E193,BC$442:BF$453,4,FALSE)*BC193*($K193)+(BC193-BD193-BE193)*(1-$K193)</f>
        <v>0</v>
      </c>
      <c r="BG193" s="3264"/>
      <c r="BJ193" s="3330">
        <f>VLOOKUP($A193,'New Resources - Individual'!$A$4:$Y$133,BJ$2,FALSE)*BJ$1</f>
        <v>0</v>
      </c>
      <c r="BK193" s="3235">
        <f>$G193+BJ193</f>
        <v>94142017</v>
      </c>
      <c r="BL193" s="3236">
        <f>VLOOKUP($E193,BK$442:BN$453,2,FALSE)*BK193*($K193)+IF($G193&lt;&gt;0,($H193/$G193)*BK193,0)*(1-$K193)</f>
        <v>94142017</v>
      </c>
      <c r="BM193" s="3236">
        <f>VLOOKUP($E193,BK$442:BN$453,3,FALSE)*BK193*($K193)+IF($G193&lt;&gt;0,($I193/$G193)*BK193,0)*(1-$K193)</f>
        <v>0</v>
      </c>
      <c r="BN193" s="3236">
        <f>VLOOKUP($E193,BK$442:BN$453,4,FALSE)*BK193*($K193)+(BK193-BL193-BM193)*(1-$K193)</f>
        <v>0</v>
      </c>
      <c r="BO193" s="3264"/>
      <c r="BR193" s="3330">
        <f>VLOOKUP($A193,'New Resources - Individual'!$A$4:$Y$133,BR$2,FALSE)*BR$1</f>
        <v>0</v>
      </c>
      <c r="BS193" s="3235">
        <f>$G193+BR193</f>
        <v>94142017</v>
      </c>
      <c r="BT193" s="3236">
        <f>VLOOKUP($E193,BS$442:BV$453,2,FALSE)*BS193*($K193)+IF($G193&lt;&gt;0,($H193/$G193)*BS193,0)*(1-$K193)</f>
        <v>94142017</v>
      </c>
      <c r="BU193" s="3236">
        <f>VLOOKUP($E193,BS$442:BV$453,3,FALSE)*BS193*($K193)+IF($G193&lt;&gt;0,($I193/$G193)*BS193,0)*(1-$K193)</f>
        <v>0</v>
      </c>
      <c r="BV193" s="3236">
        <f>VLOOKUP($E193,BS$442:BV$453,4,FALSE)*BS193*($K193)+(BS193-BT193-BU193)*(1-$K193)</f>
        <v>0</v>
      </c>
      <c r="BW193" s="3264"/>
      <c r="BZ193" s="3330">
        <f>VLOOKUP($A193,'New Resources - Individual'!$A$4:$Y$133,BZ$2,FALSE)*BZ$1</f>
        <v>0</v>
      </c>
      <c r="CA193" s="3235">
        <f>$G193+BZ193</f>
        <v>94142017</v>
      </c>
      <c r="CB193" s="3236">
        <f>VLOOKUP($E193,CA$442:CD$453,2,FALSE)*CA193*($K193)+IF($G193&lt;&gt;0,($H193/$G193)*CA193,0)*(1-$K193)</f>
        <v>94142017</v>
      </c>
      <c r="CC193" s="3236">
        <f>VLOOKUP($E193,CA$442:CD$453,3,FALSE)*CA193*($K193)+IF($G193&lt;&gt;0,($I193/$G193)*CA193,0)*(1-$K193)</f>
        <v>0</v>
      </c>
      <c r="CD193" s="3236">
        <f>VLOOKUP($E193,CA$442:CD$453,4,FALSE)*CA193*($K193)+(CA193-CB193-CC193)*(1-$K193)</f>
        <v>0</v>
      </c>
      <c r="CE193" s="3264"/>
      <c r="CH193" s="3330">
        <f>VLOOKUP($A193,'New Resources - Individual'!$A$4:$Y$133,CH$2,FALSE)*CH$1</f>
        <v>0</v>
      </c>
      <c r="CI193" s="3235">
        <f>$G193+CH193</f>
        <v>94142017</v>
      </c>
      <c r="CJ193" s="3236">
        <f>VLOOKUP($E193,CI$442:CL$453,2,FALSE)*CI193*($K193)+IF($G193&lt;&gt;0,($H193/$G193)*CI193,0)*(1-$K193)</f>
        <v>94142017</v>
      </c>
      <c r="CK193" s="3236">
        <f>VLOOKUP($E193,CI$442:CL$453,3,FALSE)*CI193*($K193)+IF($G193&lt;&gt;0,($I193/$G193)*CI193,0)*(1-$K193)</f>
        <v>0</v>
      </c>
      <c r="CL193" s="3236">
        <f>VLOOKUP($E193,CI$442:CL$453,4,FALSE)*CI193*($K193)+(CI193-CJ193-CK193)*(1-$K193)</f>
        <v>0</v>
      </c>
      <c r="CM193" s="3264"/>
      <c r="CP193" s="3330">
        <f>VLOOKUP($A193,'New Resources - Individual'!$A$4:$Y$133,CP$2,FALSE)*CP$1</f>
        <v>0</v>
      </c>
      <c r="CQ193" s="3235">
        <f>$G193+CP193</f>
        <v>94142017</v>
      </c>
      <c r="CR193" s="3236">
        <f>VLOOKUP($E193,CQ$442:CT$453,2,FALSE)*CQ193*($K193)+IF($G193&lt;&gt;0,($H193/$G193)*CQ193,0)*(1-$K193)</f>
        <v>94142017</v>
      </c>
      <c r="CS193" s="3236">
        <f>VLOOKUP($E193,CQ$442:CT$453,3,FALSE)*CQ193*($K193)+IF($G193&lt;&gt;0,($I193/$G193)*CQ193,0)*(1-$K193)</f>
        <v>0</v>
      </c>
      <c r="CT193" s="3236">
        <f>VLOOKUP($E193,CQ$442:CT$453,4,FALSE)*CQ193*($K193)+(CQ193-CR193-CS193)*(1-$K193)</f>
        <v>0</v>
      </c>
      <c r="CU193" s="3264"/>
      <c r="CX193" s="3330">
        <f>VLOOKUP($A193,'New Resources - Individual'!$A$4:$Y$133,CX$2,FALSE)*CX$1</f>
        <v>0</v>
      </c>
      <c r="CY193" s="3235">
        <f>$G193+CX193</f>
        <v>94142017</v>
      </c>
      <c r="CZ193" s="3236">
        <f>VLOOKUP($E193,CY$442:DB$453,2,FALSE)*CY193*($K193)+IF($G193&lt;&gt;0,($H193/$G193)*CY193,0)*(1-$K193)</f>
        <v>94142017</v>
      </c>
      <c r="DA193" s="3236">
        <f>VLOOKUP($E193,CY$442:DB$453,3,FALSE)*CY193*($K193)+IF($G193&lt;&gt;0,($I193/$G193)*CY193,0)*(1-$K193)</f>
        <v>0</v>
      </c>
      <c r="DB193" s="3236">
        <f>VLOOKUP($E193,CY$442:DB$453,4,FALSE)*CY193*($K193)+(CY193-CZ193-DA193)*(1-$K193)</f>
        <v>0</v>
      </c>
      <c r="DC193" s="3264"/>
      <c r="DF193" s="3330">
        <f>VLOOKUP($A193,'New Resources - Individual'!$A$4:$Y$133,DF$2,FALSE)*DF$1</f>
        <v>0</v>
      </c>
      <c r="DG193" s="3235">
        <f>$G193+DF193</f>
        <v>94142017</v>
      </c>
      <c r="DH193" s="3236">
        <f>VLOOKUP($E193,DG$442:DJ$453,2,FALSE)*DG193*($K193)+IF($G193&lt;&gt;0,($H193/$G193)*DG193,0)*(1-$K193)</f>
        <v>94142017</v>
      </c>
      <c r="DI193" s="3236">
        <f>VLOOKUP($E193,DG$442:DJ$453,3,FALSE)*DG193*($K193)+IF($G193&lt;&gt;0,($I193/$G193)*DG193,0)*(1-$K193)</f>
        <v>0</v>
      </c>
      <c r="DJ193" s="3236">
        <f>VLOOKUP($E193,DG$442:DJ$453,4,FALSE)*DG193*($K193)+(DG193-DH193-DI193)*(1-$K193)</f>
        <v>0</v>
      </c>
      <c r="DK193" s="3264"/>
      <c r="DN193" s="3330">
        <f>VLOOKUP($A193,'New Resources - Individual'!$A$4:$Y$133,DN$2,FALSE)*DN$1</f>
        <v>0</v>
      </c>
      <c r="DO193" s="3235">
        <f>$G193+DN193</f>
        <v>94142017</v>
      </c>
      <c r="DP193" s="3236">
        <f>VLOOKUP($E193,DO$442:DR$453,2,FALSE)*DO193*($K193)+IF($G193&lt;&gt;0,($H193/$G193)*DO193,0)*(1-$K193)</f>
        <v>94142017</v>
      </c>
      <c r="DQ193" s="3236">
        <f>VLOOKUP($E193,DO$442:DR$453,3,FALSE)*DO193*($K193)+IF($G193&lt;&gt;0,($I193/$G193)*DO193,0)*(1-$K193)</f>
        <v>0</v>
      </c>
      <c r="DR193" s="3236">
        <f>VLOOKUP($E193,DO$442:DR$453,4,FALSE)*DO193*($K193)+(DO193-DP193-DQ193)*(1-$K193)</f>
        <v>0</v>
      </c>
      <c r="DS193" s="3264"/>
      <c r="DV193" s="3330">
        <f>VLOOKUP($A193,'New Resources - Individual'!$A$4:$Y$133,DV$2,FALSE)*DV$1</f>
        <v>0</v>
      </c>
      <c r="DW193" s="3235">
        <f>$G193+DV193</f>
        <v>94142017</v>
      </c>
      <c r="DX193" s="3236">
        <f>VLOOKUP($E193,DW$442:DZ$453,2,FALSE)*DW193*($K193)+IF($G193&lt;&gt;0,($H193/$G193)*DW193,0)*(1-$K193)</f>
        <v>94142017</v>
      </c>
      <c r="DY193" s="3236">
        <f>VLOOKUP($E193,DW$442:DZ$453,3,FALSE)*DW193*($K193)+IF($G193&lt;&gt;0,($I193/$G193)*DW193,0)*(1-$K193)</f>
        <v>0</v>
      </c>
      <c r="DZ193" s="3236">
        <f>VLOOKUP($E193,DW$442:DZ$453,4,FALSE)*DW193*($K193)+(DW193-DX193-DY193)*(1-$K193)</f>
        <v>0</v>
      </c>
      <c r="EA193" s="3264"/>
      <c r="ED193" s="3330">
        <f>VLOOKUP($A193,'New Resources - Individual'!$A$4:$Y$133,ED$2,FALSE)*ED$1</f>
        <v>0</v>
      </c>
      <c r="EE193" s="3235">
        <f>$G193+ED193</f>
        <v>94142017</v>
      </c>
      <c r="EF193" s="3236">
        <f>VLOOKUP($E193,EE$442:EH$453,2,FALSE)*EE193*($K193)+IF($G193&lt;&gt;0,($H193/$G193)*EE193,0)*(1-$K193)</f>
        <v>94142017</v>
      </c>
      <c r="EG193" s="3236">
        <f>VLOOKUP($E193,EE$442:EH$453,3,FALSE)*EE193*($K193)+IF($G193&lt;&gt;0,($I193/$G193)*EE193,0)*(1-$K193)</f>
        <v>0</v>
      </c>
      <c r="EH193" s="3236">
        <f>VLOOKUP($E193,EE$442:EH$453,4,FALSE)*EE193*($K193)+(EE193-EF193-EG193)*(1-$K193)</f>
        <v>0</v>
      </c>
      <c r="EI193" s="3264"/>
      <c r="EL193" s="3330">
        <f>VLOOKUP($A193,'New Resources - Individual'!$A$4:$Y$133,EL$2,FALSE)*EL$1</f>
        <v>0</v>
      </c>
      <c r="EM193" s="3235">
        <f>$G193+EL193</f>
        <v>94142017</v>
      </c>
      <c r="EN193" s="3236">
        <f>VLOOKUP($E193,EM$442:EP$453,2,FALSE)*EM193*($K193)+IF($G193&lt;&gt;0,($H193/$G193)*EM193,0)*(1-$K193)</f>
        <v>94142017</v>
      </c>
      <c r="EO193" s="3236">
        <f>VLOOKUP($E193,EM$442:EP$453,3,FALSE)*EM193*($K193)+IF($G193&lt;&gt;0,($I193/$G193)*EM193,0)*(1-$K193)</f>
        <v>0</v>
      </c>
      <c r="EP193" s="3236">
        <f>VLOOKUP($E193,EM$442:EP$453,4,FALSE)*EM193*($K193)+(EM193-EN193-EO193)*(1-$K193)</f>
        <v>0</v>
      </c>
      <c r="EQ193" s="3264"/>
      <c r="ET193" s="3330">
        <f>VLOOKUP($A193,'New Resources - Individual'!$A$4:$Y$133,ET$2,FALSE)*ET$1</f>
        <v>0</v>
      </c>
      <c r="EU193" s="3235">
        <f>$G193+ET193</f>
        <v>94142017</v>
      </c>
      <c r="EV193" s="3236">
        <f>VLOOKUP($E193,EU$442:EX$453,2,FALSE)*EU193*($K193)+IF($G193&lt;&gt;0,($H193/$G193)*EU193,0)*(1-$K193)</f>
        <v>94142017</v>
      </c>
      <c r="EW193" s="3236">
        <f>VLOOKUP($E193,EU$442:EX$453,3,FALSE)*EU193*($K193)+IF($G193&lt;&gt;0,($I193/$G193)*EU193,0)*(1-$K193)</f>
        <v>0</v>
      </c>
      <c r="EX193" s="3236">
        <f>VLOOKUP($E193,EU$442:EX$453,4,FALSE)*EU193*($K193)+(EU193-EV193-EW193)*(1-$K193)</f>
        <v>0</v>
      </c>
      <c r="EY193" s="3264"/>
      <c r="FB193" s="3330">
        <f>VLOOKUP($A193,'New Resources - Individual'!$A$4:$Y$133,FB$2,FALSE)*FB$1</f>
        <v>0</v>
      </c>
      <c r="FC193" s="3235">
        <f>$G193+FB193</f>
        <v>94142017</v>
      </c>
      <c r="FD193" s="3236">
        <f>VLOOKUP($E193,FC$442:FF$453,2,FALSE)*FC193*($K193)+IF($G193&lt;&gt;0,($H193/$G193)*FC193,0)*(1-$K193)</f>
        <v>94142017</v>
      </c>
      <c r="FE193" s="3236">
        <f>VLOOKUP($E193,FC$442:FF$453,3,FALSE)*FC193*($K193)+IF($G193&lt;&gt;0,($I193/$G193)*FC193,0)*(1-$K193)</f>
        <v>0</v>
      </c>
      <c r="FF193" s="3236">
        <f>VLOOKUP($E193,FC$442:FF$453,4,FALSE)*FC193*($K193)+(FC193-FD193-FE193)*(1-$K193)</f>
        <v>0</v>
      </c>
      <c r="FG193" s="3264"/>
      <c r="FJ193" s="3330">
        <f>VLOOKUP($A193,'New Resources - Individual'!$A$4:$Y$133,FJ$2,FALSE)*FJ$1</f>
        <v>0</v>
      </c>
      <c r="FK193" s="3235">
        <f>$G193+FJ193</f>
        <v>94142017</v>
      </c>
      <c r="FL193" s="3236">
        <f>VLOOKUP($E193,FK$442:FN$453,2,FALSE)*FK193*($K193)+IF($G193&lt;&gt;0,($H193/$G193)*FK193,0)*(1-$K193)</f>
        <v>94142017</v>
      </c>
      <c r="FM193" s="3236">
        <f>VLOOKUP($E193,FK$442:FN$453,3,FALSE)*FK193*($K193)+IF($G193&lt;&gt;0,($I193/$G193)*FK193,0)*(1-$K193)</f>
        <v>0</v>
      </c>
      <c r="FN193" s="3236">
        <f>VLOOKUP($E193,FK$442:FN$453,4,FALSE)*FK193*($K193)+(FK193-FL193-FM193)*(1-$K193)</f>
        <v>0</v>
      </c>
      <c r="FO193" s="3264"/>
    </row>
    <row r="194" spans="1:171">
      <c r="A194" s="2442"/>
      <c r="B194" s="2103" t="s">
        <v>52</v>
      </c>
      <c r="C194" s="2464">
        <v>327</v>
      </c>
      <c r="D194" s="2464">
        <v>555</v>
      </c>
      <c r="E194" s="2424" t="str">
        <f>'Sch 3 - Expenses'!E34</f>
        <v>PROD</v>
      </c>
      <c r="F194" s="2171"/>
      <c r="G194" s="2424">
        <f>'Sch 3 - Expenses'!G34</f>
        <v>0</v>
      </c>
      <c r="H194" s="2424">
        <f>'Sch 3 - Expenses'!H34</f>
        <v>0</v>
      </c>
      <c r="I194" s="2424">
        <f>'Sch 3 - Expenses'!I34</f>
        <v>0</v>
      </c>
      <c r="J194" s="2425">
        <f>'Sch 3 - Expenses'!J34</f>
        <v>0</v>
      </c>
      <c r="K194" s="3205">
        <f t="shared" si="547"/>
        <v>1</v>
      </c>
      <c r="O194" s="3235">
        <f>$G194</f>
        <v>0</v>
      </c>
      <c r="P194" s="3236">
        <f>VLOOKUP($E194,O$442:R$453,2,FALSE)*O194*($K194)+IF($G194&lt;&gt;0,($H194/$G194)*O194,0)*(1-$K194)</f>
        <v>0</v>
      </c>
      <c r="Q194" s="3236">
        <f>VLOOKUP($E194,O$442:R$453,3,FALSE)*O194*($K194)+IF($G194&lt;&gt;0,($I194/$G194)*O194,0)*(1-$K194)</f>
        <v>0</v>
      </c>
      <c r="R194" s="3236">
        <f>VLOOKUP($E194,O$442:R$453,4,FALSE)*O194*($K194)+(O194-P194-Q194)*(1-$K194)</f>
        <v>0</v>
      </c>
      <c r="S194" s="3264"/>
      <c r="W194" s="3235">
        <f>$G194</f>
        <v>0</v>
      </c>
      <c r="X194" s="3236">
        <f>VLOOKUP($E194,W$442:Z$453,2,FALSE)*W194*($K194)+IF($G194&lt;&gt;0,($H194/$G194)*W194,0)*(1-$K194)</f>
        <v>0</v>
      </c>
      <c r="Y194" s="3236">
        <f>VLOOKUP($E194,W$442:Z$453,3,FALSE)*W194*($K194)+IF($G194&lt;&gt;0,($I194/$G194)*W194,0)*(1-$K194)</f>
        <v>0</v>
      </c>
      <c r="Z194" s="3236">
        <f>VLOOKUP($E194,W$442:Z$453,4,FALSE)*W194*($K194)+(W194-X194-Y194)*(1-$K194)</f>
        <v>0</v>
      </c>
      <c r="AA194" s="3264"/>
      <c r="AE194" s="3235">
        <f>$G194</f>
        <v>0</v>
      </c>
      <c r="AF194" s="3236">
        <f>VLOOKUP($E194,AE$442:AH$453,2,FALSE)*AE194*($K194)+IF($G194&lt;&gt;0,($H194/$G194)*AE194,0)*(1-$K194)</f>
        <v>0</v>
      </c>
      <c r="AG194" s="3236">
        <f>VLOOKUP($E194,AE$442:AH$453,3,FALSE)*AE194*($K194)+IF($G194&lt;&gt;0,($I194/$G194)*AE194,0)*(1-$K194)</f>
        <v>0</v>
      </c>
      <c r="AH194" s="3236">
        <f>VLOOKUP($E194,AE$442:AH$453,4,FALSE)*AE194*($K194)+(AE194-AF194-AG194)*(1-$K194)</f>
        <v>0</v>
      </c>
      <c r="AI194" s="3264"/>
      <c r="AM194" s="3235">
        <f>$G194</f>
        <v>0</v>
      </c>
      <c r="AN194" s="3236">
        <f>VLOOKUP($E194,AM$442:AP$453,2,FALSE)*AM194*($K194)+IF($G194&lt;&gt;0,($H194/$G194)*AM194,0)*(1-$K194)</f>
        <v>0</v>
      </c>
      <c r="AO194" s="3236">
        <f>VLOOKUP($E194,AM$442:AP$453,3,FALSE)*AM194*($K194)+IF($G194&lt;&gt;0,($I194/$G194)*AM194,0)*(1-$K194)</f>
        <v>0</v>
      </c>
      <c r="AP194" s="3236">
        <f>VLOOKUP($E194,AM$442:AP$453,4,FALSE)*AM194*($K194)+(AM194-AN194-AO194)*(1-$K194)</f>
        <v>0</v>
      </c>
      <c r="AQ194" s="3264"/>
      <c r="AU194" s="3235">
        <f>$G194</f>
        <v>0</v>
      </c>
      <c r="AV194" s="3236">
        <f>VLOOKUP($E194,AU$442:AX$453,2,FALSE)*AU194*($K194)+IF($G194&lt;&gt;0,($H194/$G194)*AU194,0)*(1-$K194)</f>
        <v>0</v>
      </c>
      <c r="AW194" s="3236">
        <f>VLOOKUP($E194,AU$442:AX$453,3,FALSE)*AU194*($K194)+IF($G194&lt;&gt;0,($I194/$G194)*AU194,0)*(1-$K194)</f>
        <v>0</v>
      </c>
      <c r="AX194" s="3236">
        <f>VLOOKUP($E194,AU$442:AX$453,4,FALSE)*AU194*($K194)+(AU194-AV194-AW194)*(1-$K194)</f>
        <v>0</v>
      </c>
      <c r="AY194" s="3264"/>
      <c r="BC194" s="3235">
        <f>$G194</f>
        <v>0</v>
      </c>
      <c r="BD194" s="3236">
        <f>VLOOKUP($E194,BC$442:BF$453,2,FALSE)*BC194*($K194)+IF($G194&lt;&gt;0,($H194/$G194)*BC194,0)*(1-$K194)</f>
        <v>0</v>
      </c>
      <c r="BE194" s="3236">
        <f>VLOOKUP($E194,BC$442:BF$453,3,FALSE)*BC194*($K194)+IF($G194&lt;&gt;0,($I194/$G194)*BC194,0)*(1-$K194)</f>
        <v>0</v>
      </c>
      <c r="BF194" s="3236">
        <f>VLOOKUP($E194,BC$442:BF$453,4,FALSE)*BC194*($K194)+(BC194-BD194-BE194)*(1-$K194)</f>
        <v>0</v>
      </c>
      <c r="BG194" s="3264"/>
      <c r="BK194" s="3235">
        <f>$G194</f>
        <v>0</v>
      </c>
      <c r="BL194" s="3236">
        <f>VLOOKUP($E194,BK$442:BN$453,2,FALSE)*BK194*($K194)+IF($G194&lt;&gt;0,($H194/$G194)*BK194,0)*(1-$K194)</f>
        <v>0</v>
      </c>
      <c r="BM194" s="3236">
        <f>VLOOKUP($E194,BK$442:BN$453,3,FALSE)*BK194*($K194)+IF($G194&lt;&gt;0,($I194/$G194)*BK194,0)*(1-$K194)</f>
        <v>0</v>
      </c>
      <c r="BN194" s="3236">
        <f>VLOOKUP($E194,BK$442:BN$453,4,FALSE)*BK194*($K194)+(BK194-BL194-BM194)*(1-$K194)</f>
        <v>0</v>
      </c>
      <c r="BO194" s="3264"/>
      <c r="BS194" s="3235">
        <f>$G194</f>
        <v>0</v>
      </c>
      <c r="BT194" s="3236">
        <f>VLOOKUP($E194,BS$442:BV$453,2,FALSE)*BS194*($K194)+IF($G194&lt;&gt;0,($H194/$G194)*BS194,0)*(1-$K194)</f>
        <v>0</v>
      </c>
      <c r="BU194" s="3236">
        <f>VLOOKUP($E194,BS$442:BV$453,3,FALSE)*BS194*($K194)+IF($G194&lt;&gt;0,($I194/$G194)*BS194,0)*(1-$K194)</f>
        <v>0</v>
      </c>
      <c r="BV194" s="3236">
        <f>VLOOKUP($E194,BS$442:BV$453,4,FALSE)*BS194*($K194)+(BS194-BT194-BU194)*(1-$K194)</f>
        <v>0</v>
      </c>
      <c r="BW194" s="3264"/>
      <c r="CA194" s="3235">
        <f>$G194</f>
        <v>0</v>
      </c>
      <c r="CB194" s="3236">
        <f>VLOOKUP($E194,CA$442:CD$453,2,FALSE)*CA194*($K194)+IF($G194&lt;&gt;0,($H194/$G194)*CA194,0)*(1-$K194)</f>
        <v>0</v>
      </c>
      <c r="CC194" s="3236">
        <f>VLOOKUP($E194,CA$442:CD$453,3,FALSE)*CA194*($K194)+IF($G194&lt;&gt;0,($I194/$G194)*CA194,0)*(1-$K194)</f>
        <v>0</v>
      </c>
      <c r="CD194" s="3236">
        <f>VLOOKUP($E194,CA$442:CD$453,4,FALSE)*CA194*($K194)+(CA194-CB194-CC194)*(1-$K194)</f>
        <v>0</v>
      </c>
      <c r="CE194" s="3264"/>
      <c r="CI194" s="3235">
        <f>$G194</f>
        <v>0</v>
      </c>
      <c r="CJ194" s="3236">
        <f>VLOOKUP($E194,CI$442:CL$453,2,FALSE)*CI194*($K194)+IF($G194&lt;&gt;0,($H194/$G194)*CI194,0)*(1-$K194)</f>
        <v>0</v>
      </c>
      <c r="CK194" s="3236">
        <f>VLOOKUP($E194,CI$442:CL$453,3,FALSE)*CI194*($K194)+IF($G194&lt;&gt;0,($I194/$G194)*CI194,0)*(1-$K194)</f>
        <v>0</v>
      </c>
      <c r="CL194" s="3236">
        <f>VLOOKUP($E194,CI$442:CL$453,4,FALSE)*CI194*($K194)+(CI194-CJ194-CK194)*(1-$K194)</f>
        <v>0</v>
      </c>
      <c r="CM194" s="3264"/>
      <c r="CQ194" s="3235">
        <f>$G194</f>
        <v>0</v>
      </c>
      <c r="CR194" s="3236">
        <f>VLOOKUP($E194,CQ$442:CT$453,2,FALSE)*CQ194*($K194)+IF($G194&lt;&gt;0,($H194/$G194)*CQ194,0)*(1-$K194)</f>
        <v>0</v>
      </c>
      <c r="CS194" s="3236">
        <f>VLOOKUP($E194,CQ$442:CT$453,3,FALSE)*CQ194*($K194)+IF($G194&lt;&gt;0,($I194/$G194)*CQ194,0)*(1-$K194)</f>
        <v>0</v>
      </c>
      <c r="CT194" s="3236">
        <f>VLOOKUP($E194,CQ$442:CT$453,4,FALSE)*CQ194*($K194)+(CQ194-CR194-CS194)*(1-$K194)</f>
        <v>0</v>
      </c>
      <c r="CU194" s="3264"/>
      <c r="CY194" s="3235">
        <f>$G194</f>
        <v>0</v>
      </c>
      <c r="CZ194" s="3236">
        <f>VLOOKUP($E194,CY$442:DB$453,2,FALSE)*CY194*($K194)+IF($G194&lt;&gt;0,($H194/$G194)*CY194,0)*(1-$K194)</f>
        <v>0</v>
      </c>
      <c r="DA194" s="3236">
        <f>VLOOKUP($E194,CY$442:DB$453,3,FALSE)*CY194*($K194)+IF($G194&lt;&gt;0,($I194/$G194)*CY194,0)*(1-$K194)</f>
        <v>0</v>
      </c>
      <c r="DB194" s="3236">
        <f>VLOOKUP($E194,CY$442:DB$453,4,FALSE)*CY194*($K194)+(CY194-CZ194-DA194)*(1-$K194)</f>
        <v>0</v>
      </c>
      <c r="DC194" s="3264"/>
      <c r="DG194" s="3235">
        <f>$G194</f>
        <v>0</v>
      </c>
      <c r="DH194" s="3236">
        <f>VLOOKUP($E194,DG$442:DJ$453,2,FALSE)*DG194*($K194)+IF($G194&lt;&gt;0,($H194/$G194)*DG194,0)*(1-$K194)</f>
        <v>0</v>
      </c>
      <c r="DI194" s="3236">
        <f>VLOOKUP($E194,DG$442:DJ$453,3,FALSE)*DG194*($K194)+IF($G194&lt;&gt;0,($I194/$G194)*DG194,0)*(1-$K194)</f>
        <v>0</v>
      </c>
      <c r="DJ194" s="3236">
        <f>VLOOKUP($E194,DG$442:DJ$453,4,FALSE)*DG194*($K194)+(DG194-DH194-DI194)*(1-$K194)</f>
        <v>0</v>
      </c>
      <c r="DK194" s="3264"/>
      <c r="DO194" s="3235">
        <f>$G194</f>
        <v>0</v>
      </c>
      <c r="DP194" s="3236">
        <f>VLOOKUP($E194,DO$442:DR$453,2,FALSE)*DO194*($K194)+IF($G194&lt;&gt;0,($H194/$G194)*DO194,0)*(1-$K194)</f>
        <v>0</v>
      </c>
      <c r="DQ194" s="3236">
        <f>VLOOKUP($E194,DO$442:DR$453,3,FALSE)*DO194*($K194)+IF($G194&lt;&gt;0,($I194/$G194)*DO194,0)*(1-$K194)</f>
        <v>0</v>
      </c>
      <c r="DR194" s="3236">
        <f>VLOOKUP($E194,DO$442:DR$453,4,FALSE)*DO194*($K194)+(DO194-DP194-DQ194)*(1-$K194)</f>
        <v>0</v>
      </c>
      <c r="DS194" s="3264"/>
      <c r="DW194" s="3235">
        <f>$G194</f>
        <v>0</v>
      </c>
      <c r="DX194" s="3236">
        <f>VLOOKUP($E194,DW$442:DZ$453,2,FALSE)*DW194*($K194)+IF($G194&lt;&gt;0,($H194/$G194)*DW194,0)*(1-$K194)</f>
        <v>0</v>
      </c>
      <c r="DY194" s="3236">
        <f>VLOOKUP($E194,DW$442:DZ$453,3,FALSE)*DW194*($K194)+IF($G194&lt;&gt;0,($I194/$G194)*DW194,0)*(1-$K194)</f>
        <v>0</v>
      </c>
      <c r="DZ194" s="3236">
        <f>VLOOKUP($E194,DW$442:DZ$453,4,FALSE)*DW194*($K194)+(DW194-DX194-DY194)*(1-$K194)</f>
        <v>0</v>
      </c>
      <c r="EA194" s="3264"/>
      <c r="EE194" s="3235">
        <f>$G194</f>
        <v>0</v>
      </c>
      <c r="EF194" s="3236">
        <f>VLOOKUP($E194,EE$442:EH$453,2,FALSE)*EE194*($K194)+IF($G194&lt;&gt;0,($H194/$G194)*EE194,0)*(1-$K194)</f>
        <v>0</v>
      </c>
      <c r="EG194" s="3236">
        <f>VLOOKUP($E194,EE$442:EH$453,3,FALSE)*EE194*($K194)+IF($G194&lt;&gt;0,($I194/$G194)*EE194,0)*(1-$K194)</f>
        <v>0</v>
      </c>
      <c r="EH194" s="3236">
        <f>VLOOKUP($E194,EE$442:EH$453,4,FALSE)*EE194*($K194)+(EE194-EF194-EG194)*(1-$K194)</f>
        <v>0</v>
      </c>
      <c r="EI194" s="3264"/>
      <c r="EM194" s="3235">
        <f>$G194</f>
        <v>0</v>
      </c>
      <c r="EN194" s="3236">
        <f>VLOOKUP($E194,EM$442:EP$453,2,FALSE)*EM194*($K194)+IF($G194&lt;&gt;0,($H194/$G194)*EM194,0)*(1-$K194)</f>
        <v>0</v>
      </c>
      <c r="EO194" s="3236">
        <f>VLOOKUP($E194,EM$442:EP$453,3,FALSE)*EM194*($K194)+IF($G194&lt;&gt;0,($I194/$G194)*EM194,0)*(1-$K194)</f>
        <v>0</v>
      </c>
      <c r="EP194" s="3236">
        <f>VLOOKUP($E194,EM$442:EP$453,4,FALSE)*EM194*($K194)+(EM194-EN194-EO194)*(1-$K194)</f>
        <v>0</v>
      </c>
      <c r="EQ194" s="3264"/>
      <c r="EU194" s="3235">
        <f>$G194</f>
        <v>0</v>
      </c>
      <c r="EV194" s="3236">
        <f>VLOOKUP($E194,EU$442:EX$453,2,FALSE)*EU194*($K194)+IF($G194&lt;&gt;0,($H194/$G194)*EU194,0)*(1-$K194)</f>
        <v>0</v>
      </c>
      <c r="EW194" s="3236">
        <f>VLOOKUP($E194,EU$442:EX$453,3,FALSE)*EU194*($K194)+IF($G194&lt;&gt;0,($I194/$G194)*EU194,0)*(1-$K194)</f>
        <v>0</v>
      </c>
      <c r="EX194" s="3236">
        <f>VLOOKUP($E194,EU$442:EX$453,4,FALSE)*EU194*($K194)+(EU194-EV194-EW194)*(1-$K194)</f>
        <v>0</v>
      </c>
      <c r="EY194" s="3264"/>
      <c r="FC194" s="3235">
        <f>$G194</f>
        <v>0</v>
      </c>
      <c r="FD194" s="3236">
        <f>VLOOKUP($E194,FC$442:FF$453,2,FALSE)*FC194*($K194)+IF($G194&lt;&gt;0,($H194/$G194)*FC194,0)*(1-$K194)</f>
        <v>0</v>
      </c>
      <c r="FE194" s="3236">
        <f>VLOOKUP($E194,FC$442:FF$453,3,FALSE)*FC194*($K194)+IF($G194&lt;&gt;0,($I194/$G194)*FC194,0)*(1-$K194)</f>
        <v>0</v>
      </c>
      <c r="FF194" s="3236">
        <f>VLOOKUP($E194,FC$442:FF$453,4,FALSE)*FC194*($K194)+(FC194-FD194-FE194)*(1-$K194)</f>
        <v>0</v>
      </c>
      <c r="FG194" s="3264"/>
      <c r="FK194" s="3235">
        <f>$G194</f>
        <v>0</v>
      </c>
      <c r="FL194" s="3236">
        <f>VLOOKUP($E194,FK$442:FN$453,2,FALSE)*FK194*($K194)+IF($G194&lt;&gt;0,($H194/$G194)*FK194,0)*(1-$K194)</f>
        <v>0</v>
      </c>
      <c r="FM194" s="3236">
        <f>VLOOKUP($E194,FK$442:FN$453,3,FALSE)*FK194*($K194)+IF($G194&lt;&gt;0,($I194/$G194)*FK194,0)*(1-$K194)</f>
        <v>0</v>
      </c>
      <c r="FN194" s="3236">
        <f>VLOOKUP($E194,FK$442:FN$453,4,FALSE)*FK194*($K194)+(FK194-FL194-FM194)*(1-$K194)</f>
        <v>0</v>
      </c>
      <c r="FO194" s="3264"/>
    </row>
    <row r="195" spans="1:171">
      <c r="A195" s="2442"/>
      <c r="B195" s="2185" t="s">
        <v>501</v>
      </c>
      <c r="C195" s="2464"/>
      <c r="D195" s="2171"/>
      <c r="E195" s="2424" t="str">
        <f>'Sch 3 - Expenses'!E35</f>
        <v>DIRECT</v>
      </c>
      <c r="F195" s="2171"/>
      <c r="G195" s="2424">
        <f>'Sch 3 - Expenses'!G35</f>
        <v>0</v>
      </c>
      <c r="H195" s="2424">
        <f>'Sch 3 - Expenses'!H35</f>
        <v>0</v>
      </c>
      <c r="I195" s="2424">
        <f>'Sch 3 - Expenses'!I35</f>
        <v>0</v>
      </c>
      <c r="J195" s="2425">
        <f>'Sch 3 - Expenses'!J35</f>
        <v>0</v>
      </c>
      <c r="K195" s="3205">
        <f t="shared" si="547"/>
        <v>0</v>
      </c>
      <c r="O195" s="3235">
        <f>$G195</f>
        <v>0</v>
      </c>
      <c r="P195" s="3236">
        <f>VLOOKUP($E195,O$442:R$453,2,FALSE)*O195*($K195)+IF($G195&lt;&gt;0,($H195/$G195)*O195,0)*(1-$K195)</f>
        <v>0</v>
      </c>
      <c r="Q195" s="3236">
        <f>VLOOKUP($E195,O$442:R$453,3,FALSE)*O195*($K195)+IF($G195&lt;&gt;0,($I195/$G195)*O195,0)*(1-$K195)</f>
        <v>0</v>
      </c>
      <c r="R195" s="3236">
        <f>VLOOKUP($E195,O$442:R$453,4,FALSE)*O195*($K195)+(O195-P195-Q195)*(1-$K195)</f>
        <v>0</v>
      </c>
      <c r="S195" s="3264"/>
      <c r="W195" s="3235">
        <f>$G195</f>
        <v>0</v>
      </c>
      <c r="X195" s="3236">
        <f>VLOOKUP($E195,W$442:Z$453,2,FALSE)*W195*($K195)+IF($G195&lt;&gt;0,($H195/$G195)*W195,0)*(1-$K195)</f>
        <v>0</v>
      </c>
      <c r="Y195" s="3236">
        <f>VLOOKUP($E195,W$442:Z$453,3,FALSE)*W195*($K195)+IF($G195&lt;&gt;0,($I195/$G195)*W195,0)*(1-$K195)</f>
        <v>0</v>
      </c>
      <c r="Z195" s="3236">
        <f>VLOOKUP($E195,W$442:Z$453,4,FALSE)*W195*($K195)+(W195-X195-Y195)*(1-$K195)</f>
        <v>0</v>
      </c>
      <c r="AA195" s="3264"/>
      <c r="AE195" s="3235">
        <f>$G195</f>
        <v>0</v>
      </c>
      <c r="AF195" s="3236">
        <f>VLOOKUP($E195,AE$442:AH$453,2,FALSE)*AE195*($K195)+IF($G195&lt;&gt;0,($H195/$G195)*AE195,0)*(1-$K195)</f>
        <v>0</v>
      </c>
      <c r="AG195" s="3236">
        <f>VLOOKUP($E195,AE$442:AH$453,3,FALSE)*AE195*($K195)+IF($G195&lt;&gt;0,($I195/$G195)*AE195,0)*(1-$K195)</f>
        <v>0</v>
      </c>
      <c r="AH195" s="3236">
        <f>VLOOKUP($E195,AE$442:AH$453,4,FALSE)*AE195*($K195)+(AE195-AF195-AG195)*(1-$K195)</f>
        <v>0</v>
      </c>
      <c r="AI195" s="3264"/>
      <c r="AM195" s="3235">
        <f>$G195</f>
        <v>0</v>
      </c>
      <c r="AN195" s="3236">
        <f>VLOOKUP($E195,AM$442:AP$453,2,FALSE)*AM195*($K195)+IF($G195&lt;&gt;0,($H195/$G195)*AM195,0)*(1-$K195)</f>
        <v>0</v>
      </c>
      <c r="AO195" s="3236">
        <f>VLOOKUP($E195,AM$442:AP$453,3,FALSE)*AM195*($K195)+IF($G195&lt;&gt;0,($I195/$G195)*AM195,0)*(1-$K195)</f>
        <v>0</v>
      </c>
      <c r="AP195" s="3236">
        <f>VLOOKUP($E195,AM$442:AP$453,4,FALSE)*AM195*($K195)+(AM195-AN195-AO195)*(1-$K195)</f>
        <v>0</v>
      </c>
      <c r="AQ195" s="3264"/>
      <c r="AU195" s="3235">
        <f>$G195</f>
        <v>0</v>
      </c>
      <c r="AV195" s="3236">
        <f>VLOOKUP($E195,AU$442:AX$453,2,FALSE)*AU195*($K195)+IF($G195&lt;&gt;0,($H195/$G195)*AU195,0)*(1-$K195)</f>
        <v>0</v>
      </c>
      <c r="AW195" s="3236">
        <f>VLOOKUP($E195,AU$442:AX$453,3,FALSE)*AU195*($K195)+IF($G195&lt;&gt;0,($I195/$G195)*AU195,0)*(1-$K195)</f>
        <v>0</v>
      </c>
      <c r="AX195" s="3236">
        <f>VLOOKUP($E195,AU$442:AX$453,4,FALSE)*AU195*($K195)+(AU195-AV195-AW195)*(1-$K195)</f>
        <v>0</v>
      </c>
      <c r="AY195" s="3264"/>
      <c r="BC195" s="3235">
        <f>$G195</f>
        <v>0</v>
      </c>
      <c r="BD195" s="3236">
        <f>VLOOKUP($E195,BC$442:BF$453,2,FALSE)*BC195*($K195)+IF($G195&lt;&gt;0,($H195/$G195)*BC195,0)*(1-$K195)</f>
        <v>0</v>
      </c>
      <c r="BE195" s="3236">
        <f>VLOOKUP($E195,BC$442:BF$453,3,FALSE)*BC195*($K195)+IF($G195&lt;&gt;0,($I195/$G195)*BC195,0)*(1-$K195)</f>
        <v>0</v>
      </c>
      <c r="BF195" s="3236">
        <f>VLOOKUP($E195,BC$442:BF$453,4,FALSE)*BC195*($K195)+(BC195-BD195-BE195)*(1-$K195)</f>
        <v>0</v>
      </c>
      <c r="BG195" s="3264"/>
      <c r="BK195" s="3235">
        <f>$G195</f>
        <v>0</v>
      </c>
      <c r="BL195" s="3236">
        <f>VLOOKUP($E195,BK$442:BN$453,2,FALSE)*BK195*($K195)+IF($G195&lt;&gt;0,($H195/$G195)*BK195,0)*(1-$K195)</f>
        <v>0</v>
      </c>
      <c r="BM195" s="3236">
        <f>VLOOKUP($E195,BK$442:BN$453,3,FALSE)*BK195*($K195)+IF($G195&lt;&gt;0,($I195/$G195)*BK195,0)*(1-$K195)</f>
        <v>0</v>
      </c>
      <c r="BN195" s="3236">
        <f>VLOOKUP($E195,BK$442:BN$453,4,FALSE)*BK195*($K195)+(BK195-BL195-BM195)*(1-$K195)</f>
        <v>0</v>
      </c>
      <c r="BO195" s="3264"/>
      <c r="BS195" s="3235">
        <f>$G195</f>
        <v>0</v>
      </c>
      <c r="BT195" s="3236">
        <f>VLOOKUP($E195,BS$442:BV$453,2,FALSE)*BS195*($K195)+IF($G195&lt;&gt;0,($H195/$G195)*BS195,0)*(1-$K195)</f>
        <v>0</v>
      </c>
      <c r="BU195" s="3236">
        <f>VLOOKUP($E195,BS$442:BV$453,3,FALSE)*BS195*($K195)+IF($G195&lt;&gt;0,($I195/$G195)*BS195,0)*(1-$K195)</f>
        <v>0</v>
      </c>
      <c r="BV195" s="3236">
        <f>VLOOKUP($E195,BS$442:BV$453,4,FALSE)*BS195*($K195)+(BS195-BT195-BU195)*(1-$K195)</f>
        <v>0</v>
      </c>
      <c r="BW195" s="3264"/>
      <c r="CA195" s="3235">
        <f>$G195</f>
        <v>0</v>
      </c>
      <c r="CB195" s="3236">
        <f>VLOOKUP($E195,CA$442:CD$453,2,FALSE)*CA195*($K195)+IF($G195&lt;&gt;0,($H195/$G195)*CA195,0)*(1-$K195)</f>
        <v>0</v>
      </c>
      <c r="CC195" s="3236">
        <f>VLOOKUP($E195,CA$442:CD$453,3,FALSE)*CA195*($K195)+IF($G195&lt;&gt;0,($I195/$G195)*CA195,0)*(1-$K195)</f>
        <v>0</v>
      </c>
      <c r="CD195" s="3236">
        <f>VLOOKUP($E195,CA$442:CD$453,4,FALSE)*CA195*($K195)+(CA195-CB195-CC195)*(1-$K195)</f>
        <v>0</v>
      </c>
      <c r="CE195" s="3264"/>
      <c r="CI195" s="3235">
        <f>$G195</f>
        <v>0</v>
      </c>
      <c r="CJ195" s="3236">
        <f>VLOOKUP($E195,CI$442:CL$453,2,FALSE)*CI195*($K195)+IF($G195&lt;&gt;0,($H195/$G195)*CI195,0)*(1-$K195)</f>
        <v>0</v>
      </c>
      <c r="CK195" s="3236">
        <f>VLOOKUP($E195,CI$442:CL$453,3,FALSE)*CI195*($K195)+IF($G195&lt;&gt;0,($I195/$G195)*CI195,0)*(1-$K195)</f>
        <v>0</v>
      </c>
      <c r="CL195" s="3236">
        <f>VLOOKUP($E195,CI$442:CL$453,4,FALSE)*CI195*($K195)+(CI195-CJ195-CK195)*(1-$K195)</f>
        <v>0</v>
      </c>
      <c r="CM195" s="3264"/>
      <c r="CQ195" s="3235">
        <f>$G195</f>
        <v>0</v>
      </c>
      <c r="CR195" s="3236">
        <f>VLOOKUP($E195,CQ$442:CT$453,2,FALSE)*CQ195*($K195)+IF($G195&lt;&gt;0,($H195/$G195)*CQ195,0)*(1-$K195)</f>
        <v>0</v>
      </c>
      <c r="CS195" s="3236">
        <f>VLOOKUP($E195,CQ$442:CT$453,3,FALSE)*CQ195*($K195)+IF($G195&lt;&gt;0,($I195/$G195)*CQ195,0)*(1-$K195)</f>
        <v>0</v>
      </c>
      <c r="CT195" s="3236">
        <f>VLOOKUP($E195,CQ$442:CT$453,4,FALSE)*CQ195*($K195)+(CQ195-CR195-CS195)*(1-$K195)</f>
        <v>0</v>
      </c>
      <c r="CU195" s="3264"/>
      <c r="CY195" s="3235">
        <f>$G195</f>
        <v>0</v>
      </c>
      <c r="CZ195" s="3236">
        <f>VLOOKUP($E195,CY$442:DB$453,2,FALSE)*CY195*($K195)+IF($G195&lt;&gt;0,($H195/$G195)*CY195,0)*(1-$K195)</f>
        <v>0</v>
      </c>
      <c r="DA195" s="3236">
        <f>VLOOKUP($E195,CY$442:DB$453,3,FALSE)*CY195*($K195)+IF($G195&lt;&gt;0,($I195/$G195)*CY195,0)*(1-$K195)</f>
        <v>0</v>
      </c>
      <c r="DB195" s="3236">
        <f>VLOOKUP($E195,CY$442:DB$453,4,FALSE)*CY195*($K195)+(CY195-CZ195-DA195)*(1-$K195)</f>
        <v>0</v>
      </c>
      <c r="DC195" s="3264"/>
      <c r="DG195" s="3235">
        <f>$G195</f>
        <v>0</v>
      </c>
      <c r="DH195" s="3236">
        <f>VLOOKUP($E195,DG$442:DJ$453,2,FALSE)*DG195*($K195)+IF($G195&lt;&gt;0,($H195/$G195)*DG195,0)*(1-$K195)</f>
        <v>0</v>
      </c>
      <c r="DI195" s="3236">
        <f>VLOOKUP($E195,DG$442:DJ$453,3,FALSE)*DG195*($K195)+IF($G195&lt;&gt;0,($I195/$G195)*DG195,0)*(1-$K195)</f>
        <v>0</v>
      </c>
      <c r="DJ195" s="3236">
        <f>VLOOKUP($E195,DG$442:DJ$453,4,FALSE)*DG195*($K195)+(DG195-DH195-DI195)*(1-$K195)</f>
        <v>0</v>
      </c>
      <c r="DK195" s="3264"/>
      <c r="DO195" s="3235">
        <f>$G195</f>
        <v>0</v>
      </c>
      <c r="DP195" s="3236">
        <f>VLOOKUP($E195,DO$442:DR$453,2,FALSE)*DO195*($K195)+IF($G195&lt;&gt;0,($H195/$G195)*DO195,0)*(1-$K195)</f>
        <v>0</v>
      </c>
      <c r="DQ195" s="3236">
        <f>VLOOKUP($E195,DO$442:DR$453,3,FALSE)*DO195*($K195)+IF($G195&lt;&gt;0,($I195/$G195)*DO195,0)*(1-$K195)</f>
        <v>0</v>
      </c>
      <c r="DR195" s="3236">
        <f>VLOOKUP($E195,DO$442:DR$453,4,FALSE)*DO195*($K195)+(DO195-DP195-DQ195)*(1-$K195)</f>
        <v>0</v>
      </c>
      <c r="DS195" s="3264"/>
      <c r="DW195" s="3235">
        <f>$G195</f>
        <v>0</v>
      </c>
      <c r="DX195" s="3236">
        <f>VLOOKUP($E195,DW$442:DZ$453,2,FALSE)*DW195*($K195)+IF($G195&lt;&gt;0,($H195/$G195)*DW195,0)*(1-$K195)</f>
        <v>0</v>
      </c>
      <c r="DY195" s="3236">
        <f>VLOOKUP($E195,DW$442:DZ$453,3,FALSE)*DW195*($K195)+IF($G195&lt;&gt;0,($I195/$G195)*DW195,0)*(1-$K195)</f>
        <v>0</v>
      </c>
      <c r="DZ195" s="3236">
        <f>VLOOKUP($E195,DW$442:DZ$453,4,FALSE)*DW195*($K195)+(DW195-DX195-DY195)*(1-$K195)</f>
        <v>0</v>
      </c>
      <c r="EA195" s="3264"/>
      <c r="EE195" s="3235">
        <f>$G195</f>
        <v>0</v>
      </c>
      <c r="EF195" s="3236">
        <f>VLOOKUP($E195,EE$442:EH$453,2,FALSE)*EE195*($K195)+IF($G195&lt;&gt;0,($H195/$G195)*EE195,0)*(1-$K195)</f>
        <v>0</v>
      </c>
      <c r="EG195" s="3236">
        <f>VLOOKUP($E195,EE$442:EH$453,3,FALSE)*EE195*($K195)+IF($G195&lt;&gt;0,($I195/$G195)*EE195,0)*(1-$K195)</f>
        <v>0</v>
      </c>
      <c r="EH195" s="3236">
        <f>VLOOKUP($E195,EE$442:EH$453,4,FALSE)*EE195*($K195)+(EE195-EF195-EG195)*(1-$K195)</f>
        <v>0</v>
      </c>
      <c r="EI195" s="3264"/>
      <c r="EM195" s="3235">
        <f>$G195</f>
        <v>0</v>
      </c>
      <c r="EN195" s="3236">
        <f>VLOOKUP($E195,EM$442:EP$453,2,FALSE)*EM195*($K195)+IF($G195&lt;&gt;0,($H195/$G195)*EM195,0)*(1-$K195)</f>
        <v>0</v>
      </c>
      <c r="EO195" s="3236">
        <f>VLOOKUP($E195,EM$442:EP$453,3,FALSE)*EM195*($K195)+IF($G195&lt;&gt;0,($I195/$G195)*EM195,0)*(1-$K195)</f>
        <v>0</v>
      </c>
      <c r="EP195" s="3236">
        <f>VLOOKUP($E195,EM$442:EP$453,4,FALSE)*EM195*($K195)+(EM195-EN195-EO195)*(1-$K195)</f>
        <v>0</v>
      </c>
      <c r="EQ195" s="3264"/>
      <c r="EU195" s="3235">
        <f>$G195</f>
        <v>0</v>
      </c>
      <c r="EV195" s="3236">
        <f>VLOOKUP($E195,EU$442:EX$453,2,FALSE)*EU195*($K195)+IF($G195&lt;&gt;0,($H195/$G195)*EU195,0)*(1-$K195)</f>
        <v>0</v>
      </c>
      <c r="EW195" s="3236">
        <f>VLOOKUP($E195,EU$442:EX$453,3,FALSE)*EU195*($K195)+IF($G195&lt;&gt;0,($I195/$G195)*EU195,0)*(1-$K195)</f>
        <v>0</v>
      </c>
      <c r="EX195" s="3236">
        <f>VLOOKUP($E195,EU$442:EX$453,4,FALSE)*EU195*($K195)+(EU195-EV195-EW195)*(1-$K195)</f>
        <v>0</v>
      </c>
      <c r="EY195" s="3264"/>
      <c r="FC195" s="3235">
        <f>$G195</f>
        <v>0</v>
      </c>
      <c r="FD195" s="3236">
        <f>VLOOKUP($E195,FC$442:FF$453,2,FALSE)*FC195*($K195)+IF($G195&lt;&gt;0,($H195/$G195)*FC195,0)*(1-$K195)</f>
        <v>0</v>
      </c>
      <c r="FE195" s="3236">
        <f>VLOOKUP($E195,FC$442:FF$453,3,FALSE)*FC195*($K195)+IF($G195&lt;&gt;0,($I195/$G195)*FC195,0)*(1-$K195)</f>
        <v>0</v>
      </c>
      <c r="FF195" s="3236">
        <f>VLOOKUP($E195,FC$442:FF$453,4,FALSE)*FC195*($K195)+(FC195-FD195-FE195)*(1-$K195)</f>
        <v>0</v>
      </c>
      <c r="FG195" s="3264"/>
      <c r="FK195" s="3235">
        <f>$G195</f>
        <v>0</v>
      </c>
      <c r="FL195" s="3236">
        <f>VLOOKUP($E195,FK$442:FN$453,2,FALSE)*FK195*($K195)+IF($G195&lt;&gt;0,($H195/$G195)*FK195,0)*(1-$K195)</f>
        <v>0</v>
      </c>
      <c r="FM195" s="3236">
        <f>VLOOKUP($E195,FK$442:FN$453,3,FALSE)*FK195*($K195)+IF($G195&lt;&gt;0,($I195/$G195)*FK195,0)*(1-$K195)</f>
        <v>0</v>
      </c>
      <c r="FN195" s="3236">
        <f>VLOOKUP($E195,FK$442:FN$453,4,FALSE)*FK195*($K195)+(FK195-FL195-FM195)*(1-$K195)</f>
        <v>0</v>
      </c>
      <c r="FO195" s="3264"/>
    </row>
    <row r="196" spans="1:171">
      <c r="A196" s="2310" t="s">
        <v>480</v>
      </c>
      <c r="B196" s="2097"/>
      <c r="C196" s="3256"/>
      <c r="D196" s="3257"/>
      <c r="E196" s="3257"/>
      <c r="F196" s="3258"/>
      <c r="G196" s="3265">
        <f>SUM(G176:G195)</f>
        <v>1755510842</v>
      </c>
      <c r="H196" s="3265">
        <f>SUM(H176:H195)</f>
        <v>1755510842</v>
      </c>
      <c r="I196" s="3265">
        <f>SUM(I176:I195)</f>
        <v>0</v>
      </c>
      <c r="J196" s="3266">
        <f>SUM(J176:J195)</f>
        <v>0</v>
      </c>
      <c r="K196" s="3205"/>
      <c r="O196" s="3331">
        <f>SUM(O176:O195)</f>
        <v>1755510842</v>
      </c>
      <c r="P196" s="3331">
        <f>SUM(P176:P195)</f>
        <v>1755510842</v>
      </c>
      <c r="Q196" s="3331">
        <f>SUM(Q176:Q195)</f>
        <v>0</v>
      </c>
      <c r="R196" s="3331">
        <f>SUM(R176:R195)</f>
        <v>0</v>
      </c>
      <c r="S196" s="3264"/>
      <c r="W196" s="3331">
        <f>SUM(W176:W195)</f>
        <v>1755510842</v>
      </c>
      <c r="X196" s="3331">
        <f>SUM(X176:X195)</f>
        <v>1755510842</v>
      </c>
      <c r="Y196" s="3331">
        <f>SUM(Y176:Y195)</f>
        <v>0</v>
      </c>
      <c r="Z196" s="3331">
        <f>SUM(Z176:Z195)</f>
        <v>0</v>
      </c>
      <c r="AA196" s="3264"/>
      <c r="AE196" s="3331">
        <f>SUM(AE176:AE195)</f>
        <v>1755510842</v>
      </c>
      <c r="AF196" s="3331">
        <f>SUM(AF176:AF195)</f>
        <v>1755510842</v>
      </c>
      <c r="AG196" s="3331">
        <f>SUM(AG176:AG195)</f>
        <v>0</v>
      </c>
      <c r="AH196" s="3331">
        <f>SUM(AH176:AH195)</f>
        <v>0</v>
      </c>
      <c r="AI196" s="3264"/>
      <c r="AM196" s="3331">
        <f>SUM(AM176:AM195)</f>
        <v>1755510842</v>
      </c>
      <c r="AN196" s="3331">
        <f>SUM(AN176:AN195)</f>
        <v>1755510842</v>
      </c>
      <c r="AO196" s="3331">
        <f>SUM(AO176:AO195)</f>
        <v>0</v>
      </c>
      <c r="AP196" s="3331">
        <f>SUM(AP176:AP195)</f>
        <v>0</v>
      </c>
      <c r="AQ196" s="3264"/>
      <c r="AU196" s="3331">
        <f>SUM(AU176:AU195)</f>
        <v>1755510842</v>
      </c>
      <c r="AV196" s="3331">
        <f>SUM(AV176:AV195)</f>
        <v>1755510842</v>
      </c>
      <c r="AW196" s="3331">
        <f>SUM(AW176:AW195)</f>
        <v>0</v>
      </c>
      <c r="AX196" s="3331">
        <f>SUM(AX176:AX195)</f>
        <v>0</v>
      </c>
      <c r="AY196" s="3264"/>
      <c r="BC196" s="3331">
        <f>SUM(BC176:BC195)</f>
        <v>1755510842</v>
      </c>
      <c r="BD196" s="3331">
        <f>SUM(BD176:BD195)</f>
        <v>1755510842</v>
      </c>
      <c r="BE196" s="3331">
        <f>SUM(BE176:BE195)</f>
        <v>0</v>
      </c>
      <c r="BF196" s="3331">
        <f>SUM(BF176:BF195)</f>
        <v>0</v>
      </c>
      <c r="BG196" s="3264"/>
      <c r="BK196" s="3331">
        <f>SUM(BK176:BK195)</f>
        <v>1755510842</v>
      </c>
      <c r="BL196" s="3331">
        <f>SUM(BL176:BL195)</f>
        <v>1755510842</v>
      </c>
      <c r="BM196" s="3331">
        <f>SUM(BM176:BM195)</f>
        <v>0</v>
      </c>
      <c r="BN196" s="3331">
        <f>SUM(BN176:BN195)</f>
        <v>0</v>
      </c>
      <c r="BO196" s="3264"/>
      <c r="BS196" s="3331">
        <f>SUM(BS176:BS195)</f>
        <v>1755510842</v>
      </c>
      <c r="BT196" s="3331">
        <f>SUM(BT176:BT195)</f>
        <v>1755510842</v>
      </c>
      <c r="BU196" s="3331">
        <f>SUM(BU176:BU195)</f>
        <v>0</v>
      </c>
      <c r="BV196" s="3331">
        <f>SUM(BV176:BV195)</f>
        <v>0</v>
      </c>
      <c r="BW196" s="3264"/>
      <c r="CA196" s="3331">
        <f>SUM(CA176:CA195)</f>
        <v>1755510842</v>
      </c>
      <c r="CB196" s="3331">
        <f>SUM(CB176:CB195)</f>
        <v>1755510842</v>
      </c>
      <c r="CC196" s="3331">
        <f>SUM(CC176:CC195)</f>
        <v>0</v>
      </c>
      <c r="CD196" s="3331">
        <f>SUM(CD176:CD195)</f>
        <v>0</v>
      </c>
      <c r="CE196" s="3264"/>
      <c r="CI196" s="3331">
        <f>SUM(CI176:CI195)</f>
        <v>1755510842</v>
      </c>
      <c r="CJ196" s="3331">
        <f>SUM(CJ176:CJ195)</f>
        <v>1755510842</v>
      </c>
      <c r="CK196" s="3331">
        <f>SUM(CK176:CK195)</f>
        <v>0</v>
      </c>
      <c r="CL196" s="3331">
        <f>SUM(CL176:CL195)</f>
        <v>0</v>
      </c>
      <c r="CM196" s="3264"/>
      <c r="CQ196" s="3331">
        <f>SUM(CQ176:CQ195)</f>
        <v>1755510842</v>
      </c>
      <c r="CR196" s="3331">
        <f>SUM(CR176:CR195)</f>
        <v>1755510842</v>
      </c>
      <c r="CS196" s="3331">
        <f>SUM(CS176:CS195)</f>
        <v>0</v>
      </c>
      <c r="CT196" s="3331">
        <f>SUM(CT176:CT195)</f>
        <v>0</v>
      </c>
      <c r="CU196" s="3264"/>
      <c r="CY196" s="3331">
        <f>SUM(CY176:CY195)</f>
        <v>1755510842</v>
      </c>
      <c r="CZ196" s="3331">
        <f>SUM(CZ176:CZ195)</f>
        <v>1755510842</v>
      </c>
      <c r="DA196" s="3331">
        <f>SUM(DA176:DA195)</f>
        <v>0</v>
      </c>
      <c r="DB196" s="3331">
        <f>SUM(DB176:DB195)</f>
        <v>0</v>
      </c>
      <c r="DC196" s="3264"/>
      <c r="DG196" s="3331">
        <f>SUM(DG176:DG195)</f>
        <v>1755510842</v>
      </c>
      <c r="DH196" s="3331">
        <f>SUM(DH176:DH195)</f>
        <v>1755510842</v>
      </c>
      <c r="DI196" s="3331">
        <f>SUM(DI176:DI195)</f>
        <v>0</v>
      </c>
      <c r="DJ196" s="3331">
        <f>SUM(DJ176:DJ195)</f>
        <v>0</v>
      </c>
      <c r="DK196" s="3264"/>
      <c r="DO196" s="3331">
        <f>SUM(DO176:DO195)</f>
        <v>1755510842</v>
      </c>
      <c r="DP196" s="3331">
        <f>SUM(DP176:DP195)</f>
        <v>1755510842</v>
      </c>
      <c r="DQ196" s="3331">
        <f>SUM(DQ176:DQ195)</f>
        <v>0</v>
      </c>
      <c r="DR196" s="3331">
        <f>SUM(DR176:DR195)</f>
        <v>0</v>
      </c>
      <c r="DS196" s="3264"/>
      <c r="DW196" s="3331">
        <f>SUM(DW176:DW195)</f>
        <v>1755510842</v>
      </c>
      <c r="DX196" s="3331">
        <f>SUM(DX176:DX195)</f>
        <v>1755510842</v>
      </c>
      <c r="DY196" s="3331">
        <f>SUM(DY176:DY195)</f>
        <v>0</v>
      </c>
      <c r="DZ196" s="3331">
        <f>SUM(DZ176:DZ195)</f>
        <v>0</v>
      </c>
      <c r="EA196" s="3264"/>
      <c r="EE196" s="3331">
        <f>SUM(EE176:EE195)</f>
        <v>1755510842</v>
      </c>
      <c r="EF196" s="3331">
        <f>SUM(EF176:EF195)</f>
        <v>1755510842</v>
      </c>
      <c r="EG196" s="3331">
        <f>SUM(EG176:EG195)</f>
        <v>0</v>
      </c>
      <c r="EH196" s="3331">
        <f>SUM(EH176:EH195)</f>
        <v>0</v>
      </c>
      <c r="EI196" s="3264"/>
      <c r="EM196" s="3331">
        <f>SUM(EM176:EM195)</f>
        <v>1755510842</v>
      </c>
      <c r="EN196" s="3331">
        <f>SUM(EN176:EN195)</f>
        <v>1755510842</v>
      </c>
      <c r="EO196" s="3331">
        <f>SUM(EO176:EO195)</f>
        <v>0</v>
      </c>
      <c r="EP196" s="3331">
        <f>SUM(EP176:EP195)</f>
        <v>0</v>
      </c>
      <c r="EQ196" s="3264"/>
      <c r="EU196" s="3331">
        <f>SUM(EU176:EU195)</f>
        <v>1755510842</v>
      </c>
      <c r="EV196" s="3331">
        <f>SUM(EV176:EV195)</f>
        <v>1755510842</v>
      </c>
      <c r="EW196" s="3331">
        <f>SUM(EW176:EW195)</f>
        <v>0</v>
      </c>
      <c r="EX196" s="3331">
        <f>SUM(EX176:EX195)</f>
        <v>0</v>
      </c>
      <c r="EY196" s="3264"/>
      <c r="FC196" s="3331">
        <f>SUM(FC176:FC195)</f>
        <v>1755510842</v>
      </c>
      <c r="FD196" s="3331">
        <f>SUM(FD176:FD195)</f>
        <v>1755510842</v>
      </c>
      <c r="FE196" s="3331">
        <f>SUM(FE176:FE195)</f>
        <v>0</v>
      </c>
      <c r="FF196" s="3331">
        <f>SUM(FF176:FF195)</f>
        <v>0</v>
      </c>
      <c r="FG196" s="3264"/>
      <c r="FK196" s="3331">
        <f>SUM(FK176:FK195)</f>
        <v>1755510842</v>
      </c>
      <c r="FL196" s="3331">
        <f>SUM(FL176:FL195)</f>
        <v>1755510842</v>
      </c>
      <c r="FM196" s="3331">
        <f>SUM(FM176:FM195)</f>
        <v>0</v>
      </c>
      <c r="FN196" s="3331">
        <f>SUM(FN176:FN195)</f>
        <v>0</v>
      </c>
      <c r="FO196" s="3264"/>
    </row>
    <row r="197" spans="1:171">
      <c r="A197" s="2306"/>
      <c r="B197" s="2097"/>
      <c r="C197" s="2116"/>
      <c r="D197" s="2116"/>
      <c r="E197" s="2100"/>
      <c r="F197" s="2100"/>
      <c r="G197" s="2463"/>
      <c r="H197" s="2118"/>
      <c r="I197" s="2118"/>
      <c r="J197" s="2441"/>
      <c r="K197" s="3205"/>
      <c r="S197" s="3264"/>
      <c r="AA197" s="3264"/>
      <c r="AI197" s="3264"/>
      <c r="AQ197" s="3264"/>
      <c r="AY197" s="3264"/>
      <c r="BG197" s="3264"/>
      <c r="BO197" s="3264"/>
      <c r="BW197" s="3264"/>
      <c r="CE197" s="3264"/>
      <c r="CM197" s="3264"/>
      <c r="CU197" s="3264"/>
      <c r="DC197" s="3264"/>
      <c r="DK197" s="3264"/>
      <c r="DS197" s="3264"/>
      <c r="EA197" s="3264"/>
      <c r="EI197" s="3264"/>
      <c r="EQ197" s="3264"/>
      <c r="EY197" s="3264"/>
      <c r="FG197" s="3264"/>
      <c r="FO197" s="3264"/>
    </row>
    <row r="198" spans="1:171">
      <c r="A198" s="2305" t="s">
        <v>500</v>
      </c>
      <c r="B198" s="2097"/>
      <c r="C198" s="2116"/>
      <c r="D198" s="2098"/>
      <c r="E198" s="2097"/>
      <c r="F198" s="2097"/>
      <c r="G198" s="2463"/>
      <c r="H198" s="2118"/>
      <c r="I198" s="2118"/>
      <c r="J198" s="2441"/>
      <c r="K198" s="3205"/>
      <c r="S198" s="3264"/>
      <c r="AA198" s="3264"/>
      <c r="AI198" s="3264"/>
      <c r="AQ198" s="3264"/>
      <c r="AY198" s="3264"/>
      <c r="BG198" s="3264"/>
      <c r="BO198" s="3264"/>
      <c r="BW198" s="3264"/>
      <c r="CE198" s="3264"/>
      <c r="CM198" s="3264"/>
      <c r="CU198" s="3264"/>
      <c r="DC198" s="3264"/>
      <c r="DK198" s="3264"/>
      <c r="DS198" s="3264"/>
      <c r="EA198" s="3264"/>
      <c r="EI198" s="3264"/>
      <c r="EQ198" s="3264"/>
      <c r="EY198" s="3264"/>
      <c r="FG198" s="3264"/>
      <c r="FO198" s="3264"/>
    </row>
    <row r="199" spans="1:171">
      <c r="A199" s="3254">
        <v>870</v>
      </c>
      <c r="B199" s="2185" t="s">
        <v>397</v>
      </c>
      <c r="C199" s="2464" t="s">
        <v>72</v>
      </c>
      <c r="D199" s="2171" t="s">
        <v>481</v>
      </c>
      <c r="E199" s="2424" t="str">
        <f>'Sch 3 - Expenses'!E39</f>
        <v>prod</v>
      </c>
      <c r="F199" s="2171"/>
      <c r="G199" s="2424">
        <f>'Sch 3 - Expenses'!G39</f>
        <v>162583424</v>
      </c>
      <c r="H199" s="2424">
        <f>'Sch 3 - Expenses'!H39</f>
        <v>162583424</v>
      </c>
      <c r="I199" s="2424">
        <f>'Sch 3 - Expenses'!I39</f>
        <v>0</v>
      </c>
      <c r="J199" s="2425">
        <f>'Sch 3 - Expenses'!J39</f>
        <v>0</v>
      </c>
      <c r="K199" s="3205">
        <f>IF($E199="DIRECT",0,1)</f>
        <v>1</v>
      </c>
      <c r="N199" s="3284">
        <f>VLOOKUP($A199,'New Resources - Individual'!$A$4:$Y$133,N$2,FALSE)*N$1</f>
        <v>0</v>
      </c>
      <c r="O199" s="3235">
        <f>$G199+N199</f>
        <v>162583424</v>
      </c>
      <c r="P199" s="3236">
        <f>VLOOKUP($E199,O$442:R$453,2,FALSE)*O199*($K199)+IF($G199&lt;&gt;0,($H199/$G199)*O199,0)*(1-$K199)</f>
        <v>162583424</v>
      </c>
      <c r="Q199" s="3236">
        <f>VLOOKUP($E199,O$442:R$453,3,FALSE)*O199*($K199)+IF($G199&lt;&gt;0,($I199/$G199)*O199,0)*(1-$K199)</f>
        <v>0</v>
      </c>
      <c r="R199" s="3236">
        <f>VLOOKUP($E199,O$442:R$453,4,FALSE)*O199*($K199)+(O199-P199-Q199)*(1-$K199)</f>
        <v>0</v>
      </c>
      <c r="S199" s="3264"/>
      <c r="V199" s="3284">
        <f>VLOOKUP($A199,'New Resources - Individual'!$A$4:$Y$133,V$2,FALSE)*V$1</f>
        <v>0</v>
      </c>
      <c r="W199" s="3235">
        <f>$G199+V199</f>
        <v>162583424</v>
      </c>
      <c r="X199" s="3236">
        <f>VLOOKUP($E199,W$442:Z$453,2,FALSE)*W199*($K199)+IF($G199&lt;&gt;0,($H199/$G199)*W199,0)*(1-$K199)</f>
        <v>162583424</v>
      </c>
      <c r="Y199" s="3236">
        <f>VLOOKUP($E199,W$442:Z$453,3,FALSE)*W199*($K199)+IF($G199&lt;&gt;0,($I199/$G199)*W199,0)*(1-$K199)</f>
        <v>0</v>
      </c>
      <c r="Z199" s="3236">
        <f>VLOOKUP($E199,W$442:Z$453,4,FALSE)*W199*($K199)+(W199-X199-Y199)*(1-$K199)</f>
        <v>0</v>
      </c>
      <c r="AA199" s="3264"/>
      <c r="AD199" s="3284">
        <f>VLOOKUP($A199,'New Resources - Individual'!$A$4:$Y$133,AD$2,FALSE)*AD$1</f>
        <v>0</v>
      </c>
      <c r="AE199" s="3235">
        <f>$G199+AD199</f>
        <v>162583424</v>
      </c>
      <c r="AF199" s="3236">
        <f>VLOOKUP($E199,AE$442:AH$453,2,FALSE)*AE199*($K199)+IF($G199&lt;&gt;0,($H199/$G199)*AE199,0)*(1-$K199)</f>
        <v>162583424</v>
      </c>
      <c r="AG199" s="3236">
        <f>VLOOKUP($E199,AE$442:AH$453,3,FALSE)*AE199*($K199)+IF($G199&lt;&gt;0,($I199/$G199)*AE199,0)*(1-$K199)</f>
        <v>0</v>
      </c>
      <c r="AH199" s="3236">
        <f>VLOOKUP($E199,AE$442:AH$453,4,FALSE)*AE199*($K199)+(AE199-AF199-AG199)*(1-$K199)</f>
        <v>0</v>
      </c>
      <c r="AI199" s="3264"/>
      <c r="AL199" s="3284">
        <f>VLOOKUP($A199,'New Resources - Individual'!$A$4:$Y$133,AL$2,FALSE)*AL$1</f>
        <v>0</v>
      </c>
      <c r="AM199" s="3235">
        <f>$G199+AL199</f>
        <v>162583424</v>
      </c>
      <c r="AN199" s="3236">
        <f>VLOOKUP($E199,AM$442:AP$453,2,FALSE)*AM199*($K199)+IF($G199&lt;&gt;0,($H199/$G199)*AM199,0)*(1-$K199)</f>
        <v>162583424</v>
      </c>
      <c r="AO199" s="3236">
        <f>VLOOKUP($E199,AM$442:AP$453,3,FALSE)*AM199*($K199)+IF($G199&lt;&gt;0,($I199/$G199)*AM199,0)*(1-$K199)</f>
        <v>0</v>
      </c>
      <c r="AP199" s="3236">
        <f>VLOOKUP($E199,AM$442:AP$453,4,FALSE)*AM199*($K199)+(AM199-AN199-AO199)*(1-$K199)</f>
        <v>0</v>
      </c>
      <c r="AQ199" s="3264"/>
      <c r="AT199" s="3284">
        <f>VLOOKUP($A199,'New Resources - Individual'!$A$4:$Y$133,AT$2,FALSE)*AT$1</f>
        <v>0</v>
      </c>
      <c r="AU199" s="3235">
        <f>$G199+AT199</f>
        <v>162583424</v>
      </c>
      <c r="AV199" s="3236">
        <f>VLOOKUP($E199,AU$442:AX$453,2,FALSE)*AU199*($K199)+IF($G199&lt;&gt;0,($H199/$G199)*AU199,0)*(1-$K199)</f>
        <v>162583424</v>
      </c>
      <c r="AW199" s="3236">
        <f>VLOOKUP($E199,AU$442:AX$453,3,FALSE)*AU199*($K199)+IF($G199&lt;&gt;0,($I199/$G199)*AU199,0)*(1-$K199)</f>
        <v>0</v>
      </c>
      <c r="AX199" s="3236">
        <f>VLOOKUP($E199,AU$442:AX$453,4,FALSE)*AU199*($K199)+(AU199-AV199-AW199)*(1-$K199)</f>
        <v>0</v>
      </c>
      <c r="AY199" s="3264"/>
      <c r="BB199" s="3284">
        <f>VLOOKUP($A199,'New Resources - Individual'!$A$4:$Y$133,BB$2,FALSE)*BB$1</f>
        <v>0</v>
      </c>
      <c r="BC199" s="3235">
        <f>$G199+BB199</f>
        <v>162583424</v>
      </c>
      <c r="BD199" s="3236">
        <f>VLOOKUP($E199,BC$442:BF$453,2,FALSE)*BC199*($K199)+IF($G199&lt;&gt;0,($H199/$G199)*BC199,0)*(1-$K199)</f>
        <v>162583424</v>
      </c>
      <c r="BE199" s="3236">
        <f>VLOOKUP($E199,BC$442:BF$453,3,FALSE)*BC199*($K199)+IF($G199&lt;&gt;0,($I199/$G199)*BC199,0)*(1-$K199)</f>
        <v>0</v>
      </c>
      <c r="BF199" s="3236">
        <f>VLOOKUP($E199,BC$442:BF$453,4,FALSE)*BC199*($K199)+(BC199-BD199-BE199)*(1-$K199)</f>
        <v>0</v>
      </c>
      <c r="BG199" s="3264"/>
      <c r="BJ199" s="3284">
        <f>VLOOKUP($A199,'New Resources - Individual'!$A$4:$Y$133,BJ$2,FALSE)*BJ$1</f>
        <v>0</v>
      </c>
      <c r="BK199" s="3235">
        <f>$G199+BJ199</f>
        <v>162583424</v>
      </c>
      <c r="BL199" s="3236">
        <f>VLOOKUP($E199,BK$442:BN$453,2,FALSE)*BK199*($K199)+IF($G199&lt;&gt;0,($H199/$G199)*BK199,0)*(1-$K199)</f>
        <v>162583424</v>
      </c>
      <c r="BM199" s="3236">
        <f>VLOOKUP($E199,BK$442:BN$453,3,FALSE)*BK199*($K199)+IF($G199&lt;&gt;0,($I199/$G199)*BK199,0)*(1-$K199)</f>
        <v>0</v>
      </c>
      <c r="BN199" s="3236">
        <f>VLOOKUP($E199,BK$442:BN$453,4,FALSE)*BK199*($K199)+(BK199-BL199-BM199)*(1-$K199)</f>
        <v>0</v>
      </c>
      <c r="BO199" s="3264"/>
      <c r="BR199" s="3284">
        <f>VLOOKUP($A199,'New Resources - Individual'!$A$4:$Y$133,BR$2,FALSE)*BR$1</f>
        <v>0</v>
      </c>
      <c r="BS199" s="3235">
        <f>$G199+BR199</f>
        <v>162583424</v>
      </c>
      <c r="BT199" s="3236">
        <f>VLOOKUP($E199,BS$442:BV$453,2,FALSE)*BS199*($K199)+IF($G199&lt;&gt;0,($H199/$G199)*BS199,0)*(1-$K199)</f>
        <v>162583424</v>
      </c>
      <c r="BU199" s="3236">
        <f>VLOOKUP($E199,BS$442:BV$453,3,FALSE)*BS199*($K199)+IF($G199&lt;&gt;0,($I199/$G199)*BS199,0)*(1-$K199)</f>
        <v>0</v>
      </c>
      <c r="BV199" s="3236">
        <f>VLOOKUP($E199,BS$442:BV$453,4,FALSE)*BS199*($K199)+(BS199-BT199-BU199)*(1-$K199)</f>
        <v>0</v>
      </c>
      <c r="BW199" s="3264"/>
      <c r="BZ199" s="3284">
        <f>VLOOKUP($A199,'New Resources - Individual'!$A$4:$Y$133,BZ$2,FALSE)*BZ$1</f>
        <v>0</v>
      </c>
      <c r="CA199" s="3235">
        <f>$G199+BZ199</f>
        <v>162583424</v>
      </c>
      <c r="CB199" s="3236">
        <f>VLOOKUP($E199,CA$442:CD$453,2,FALSE)*CA199*($K199)+IF($G199&lt;&gt;0,($H199/$G199)*CA199,0)*(1-$K199)</f>
        <v>162583424</v>
      </c>
      <c r="CC199" s="3236">
        <f>VLOOKUP($E199,CA$442:CD$453,3,FALSE)*CA199*($K199)+IF($G199&lt;&gt;0,($I199/$G199)*CA199,0)*(1-$K199)</f>
        <v>0</v>
      </c>
      <c r="CD199" s="3236">
        <f>VLOOKUP($E199,CA$442:CD$453,4,FALSE)*CA199*($K199)+(CA199-CB199-CC199)*(1-$K199)</f>
        <v>0</v>
      </c>
      <c r="CE199" s="3264"/>
      <c r="CH199" s="3284">
        <f>VLOOKUP($A199,'New Resources - Individual'!$A$4:$Y$133,CH$2,FALSE)*CH$1</f>
        <v>0</v>
      </c>
      <c r="CI199" s="3235">
        <f>$G199+CH199</f>
        <v>162583424</v>
      </c>
      <c r="CJ199" s="3236">
        <f>VLOOKUP($E199,CI$442:CL$453,2,FALSE)*CI199*($K199)+IF($G199&lt;&gt;0,($H199/$G199)*CI199,0)*(1-$K199)</f>
        <v>162583424</v>
      </c>
      <c r="CK199" s="3236">
        <f>VLOOKUP($E199,CI$442:CL$453,3,FALSE)*CI199*($K199)+IF($G199&lt;&gt;0,($I199/$G199)*CI199,0)*(1-$K199)</f>
        <v>0</v>
      </c>
      <c r="CL199" s="3236">
        <f>VLOOKUP($E199,CI$442:CL$453,4,FALSE)*CI199*($K199)+(CI199-CJ199-CK199)*(1-$K199)</f>
        <v>0</v>
      </c>
      <c r="CM199" s="3264"/>
      <c r="CP199" s="3284">
        <f>VLOOKUP($A199,'New Resources - Individual'!$A$4:$Y$133,CP$2,FALSE)*CP$1</f>
        <v>0</v>
      </c>
      <c r="CQ199" s="3235">
        <f>$G199+CP199</f>
        <v>162583424</v>
      </c>
      <c r="CR199" s="3236">
        <f>VLOOKUP($E199,CQ$442:CT$453,2,FALSE)*CQ199*($K199)+IF($G199&lt;&gt;0,($H199/$G199)*CQ199,0)*(1-$K199)</f>
        <v>162583424</v>
      </c>
      <c r="CS199" s="3236">
        <f>VLOOKUP($E199,CQ$442:CT$453,3,FALSE)*CQ199*($K199)+IF($G199&lt;&gt;0,($I199/$G199)*CQ199,0)*(1-$K199)</f>
        <v>0</v>
      </c>
      <c r="CT199" s="3236">
        <f>VLOOKUP($E199,CQ$442:CT$453,4,FALSE)*CQ199*($K199)+(CQ199-CR199-CS199)*(1-$K199)</f>
        <v>0</v>
      </c>
      <c r="CU199" s="3264"/>
      <c r="CX199" s="3284">
        <f>VLOOKUP($A199,'New Resources - Individual'!$A$4:$Y$133,CX$2,FALSE)*CX$1</f>
        <v>0</v>
      </c>
      <c r="CY199" s="3235">
        <f>$G199+CX199</f>
        <v>162583424</v>
      </c>
      <c r="CZ199" s="3236">
        <f>VLOOKUP($E199,CY$442:DB$453,2,FALSE)*CY199*($K199)+IF($G199&lt;&gt;0,($H199/$G199)*CY199,0)*(1-$K199)</f>
        <v>162583424</v>
      </c>
      <c r="DA199" s="3236">
        <f>VLOOKUP($E199,CY$442:DB$453,3,FALSE)*CY199*($K199)+IF($G199&lt;&gt;0,($I199/$G199)*CY199,0)*(1-$K199)</f>
        <v>0</v>
      </c>
      <c r="DB199" s="3236">
        <f>VLOOKUP($E199,CY$442:DB$453,4,FALSE)*CY199*($K199)+(CY199-CZ199-DA199)*(1-$K199)</f>
        <v>0</v>
      </c>
      <c r="DC199" s="3264"/>
      <c r="DF199" s="3284">
        <f>VLOOKUP($A199,'New Resources - Individual'!$A$4:$Y$133,DF$2,FALSE)*DF$1</f>
        <v>0</v>
      </c>
      <c r="DG199" s="3235">
        <f>$G199+DF199</f>
        <v>162583424</v>
      </c>
      <c r="DH199" s="3236">
        <f>VLOOKUP($E199,DG$442:DJ$453,2,FALSE)*DG199*($K199)+IF($G199&lt;&gt;0,($H199/$G199)*DG199,0)*(1-$K199)</f>
        <v>162583424</v>
      </c>
      <c r="DI199" s="3236">
        <f>VLOOKUP($E199,DG$442:DJ$453,3,FALSE)*DG199*($K199)+IF($G199&lt;&gt;0,($I199/$G199)*DG199,0)*(1-$K199)</f>
        <v>0</v>
      </c>
      <c r="DJ199" s="3236">
        <f>VLOOKUP($E199,DG$442:DJ$453,4,FALSE)*DG199*($K199)+(DG199-DH199-DI199)*(1-$K199)</f>
        <v>0</v>
      </c>
      <c r="DK199" s="3264"/>
      <c r="DN199" s="3284">
        <f>VLOOKUP($A199,'New Resources - Individual'!$A$4:$Y$133,DN$2,FALSE)*DN$1</f>
        <v>0</v>
      </c>
      <c r="DO199" s="3235">
        <f>$G199+DN199</f>
        <v>162583424</v>
      </c>
      <c r="DP199" s="3236">
        <f>VLOOKUP($E199,DO$442:DR$453,2,FALSE)*DO199*($K199)+IF($G199&lt;&gt;0,($H199/$G199)*DO199,0)*(1-$K199)</f>
        <v>162583424</v>
      </c>
      <c r="DQ199" s="3236">
        <f>VLOOKUP($E199,DO$442:DR$453,3,FALSE)*DO199*($K199)+IF($G199&lt;&gt;0,($I199/$G199)*DO199,0)*(1-$K199)</f>
        <v>0</v>
      </c>
      <c r="DR199" s="3236">
        <f>VLOOKUP($E199,DO$442:DR$453,4,FALSE)*DO199*($K199)+(DO199-DP199-DQ199)*(1-$K199)</f>
        <v>0</v>
      </c>
      <c r="DS199" s="3264"/>
      <c r="DV199" s="3284">
        <f>VLOOKUP($A199,'New Resources - Individual'!$A$4:$Y$133,DV$2,FALSE)*DV$1</f>
        <v>0</v>
      </c>
      <c r="DW199" s="3235">
        <f>$G199+DV199</f>
        <v>162583424</v>
      </c>
      <c r="DX199" s="3236">
        <f>VLOOKUP($E199,DW$442:DZ$453,2,FALSE)*DW199*($K199)+IF($G199&lt;&gt;0,($H199/$G199)*DW199,0)*(1-$K199)</f>
        <v>162583424</v>
      </c>
      <c r="DY199" s="3236">
        <f>VLOOKUP($E199,DW$442:DZ$453,3,FALSE)*DW199*($K199)+IF($G199&lt;&gt;0,($I199/$G199)*DW199,0)*(1-$K199)</f>
        <v>0</v>
      </c>
      <c r="DZ199" s="3236">
        <f>VLOOKUP($E199,DW$442:DZ$453,4,FALSE)*DW199*($K199)+(DW199-DX199-DY199)*(1-$K199)</f>
        <v>0</v>
      </c>
      <c r="EA199" s="3264"/>
      <c r="ED199" s="3284">
        <f>VLOOKUP($A199,'New Resources - Individual'!$A$4:$Y$133,ED$2,FALSE)*ED$1</f>
        <v>0</v>
      </c>
      <c r="EE199" s="3235">
        <f>$G199+ED199</f>
        <v>162583424</v>
      </c>
      <c r="EF199" s="3236">
        <f>VLOOKUP($E199,EE$442:EH$453,2,FALSE)*EE199*($K199)+IF($G199&lt;&gt;0,($H199/$G199)*EE199,0)*(1-$K199)</f>
        <v>162583424</v>
      </c>
      <c r="EG199" s="3236">
        <f>VLOOKUP($E199,EE$442:EH$453,3,FALSE)*EE199*($K199)+IF($G199&lt;&gt;0,($I199/$G199)*EE199,0)*(1-$K199)</f>
        <v>0</v>
      </c>
      <c r="EH199" s="3236">
        <f>VLOOKUP($E199,EE$442:EH$453,4,FALSE)*EE199*($K199)+(EE199-EF199-EG199)*(1-$K199)</f>
        <v>0</v>
      </c>
      <c r="EI199" s="3264"/>
      <c r="EL199" s="3284">
        <f>VLOOKUP($A199,'New Resources - Individual'!$A$4:$Y$133,EL$2,FALSE)*EL$1</f>
        <v>0</v>
      </c>
      <c r="EM199" s="3235">
        <f>$G199+EL199</f>
        <v>162583424</v>
      </c>
      <c r="EN199" s="3236">
        <f>VLOOKUP($E199,EM$442:EP$453,2,FALSE)*EM199*($K199)+IF($G199&lt;&gt;0,($H199/$G199)*EM199,0)*(1-$K199)</f>
        <v>162583424</v>
      </c>
      <c r="EO199" s="3236">
        <f>VLOOKUP($E199,EM$442:EP$453,3,FALSE)*EM199*($K199)+IF($G199&lt;&gt;0,($I199/$G199)*EM199,0)*(1-$K199)</f>
        <v>0</v>
      </c>
      <c r="EP199" s="3236">
        <f>VLOOKUP($E199,EM$442:EP$453,4,FALSE)*EM199*($K199)+(EM199-EN199-EO199)*(1-$K199)</f>
        <v>0</v>
      </c>
      <c r="EQ199" s="3264"/>
      <c r="ET199" s="3284">
        <f>VLOOKUP($A199,'New Resources - Individual'!$A$4:$Y$133,ET$2,FALSE)*ET$1</f>
        <v>0</v>
      </c>
      <c r="EU199" s="3235">
        <f>$G199+ET199</f>
        <v>162583424</v>
      </c>
      <c r="EV199" s="3236">
        <f>VLOOKUP($E199,EU$442:EX$453,2,FALSE)*EU199*($K199)+IF($G199&lt;&gt;0,($H199/$G199)*EU199,0)*(1-$K199)</f>
        <v>162583424</v>
      </c>
      <c r="EW199" s="3236">
        <f>VLOOKUP($E199,EU$442:EX$453,3,FALSE)*EU199*($K199)+IF($G199&lt;&gt;0,($I199/$G199)*EU199,0)*(1-$K199)</f>
        <v>0</v>
      </c>
      <c r="EX199" s="3236">
        <f>VLOOKUP($E199,EU$442:EX$453,4,FALSE)*EU199*($K199)+(EU199-EV199-EW199)*(1-$K199)</f>
        <v>0</v>
      </c>
      <c r="EY199" s="3264"/>
      <c r="FB199" s="3284">
        <f>VLOOKUP($A199,'New Resources - Individual'!$A$4:$Y$133,FB$2,FALSE)*FB$1</f>
        <v>0</v>
      </c>
      <c r="FC199" s="3235">
        <f>$G199+FB199</f>
        <v>162583424</v>
      </c>
      <c r="FD199" s="3236">
        <f>VLOOKUP($E199,FC$442:FF$453,2,FALSE)*FC199*($K199)+IF($G199&lt;&gt;0,($H199/$G199)*FC199,0)*(1-$K199)</f>
        <v>162583424</v>
      </c>
      <c r="FE199" s="3236">
        <f>VLOOKUP($E199,FC$442:FF$453,3,FALSE)*FC199*($K199)+IF($G199&lt;&gt;0,($I199/$G199)*FC199,0)*(1-$K199)</f>
        <v>0</v>
      </c>
      <c r="FF199" s="3236">
        <f>VLOOKUP($E199,FC$442:FF$453,4,FALSE)*FC199*($K199)+(FC199-FD199-FE199)*(1-$K199)</f>
        <v>0</v>
      </c>
      <c r="FG199" s="3264"/>
      <c r="FJ199" s="3284">
        <f>VLOOKUP($A199,'New Resources - Individual'!$A$4:$Y$133,FJ$2,FALSE)*FJ$1</f>
        <v>0</v>
      </c>
      <c r="FK199" s="3235">
        <f>$G199+FJ199</f>
        <v>162583424</v>
      </c>
      <c r="FL199" s="3236">
        <f>VLOOKUP($E199,FK$442:FN$453,2,FALSE)*FK199*($K199)+IF($G199&lt;&gt;0,($H199/$G199)*FK199,0)*(1-$K199)</f>
        <v>162583424</v>
      </c>
      <c r="FM199" s="3236">
        <f>VLOOKUP($E199,FK$442:FN$453,3,FALSE)*FK199*($K199)+IF($G199&lt;&gt;0,($I199/$G199)*FK199,0)*(1-$K199)</f>
        <v>0</v>
      </c>
      <c r="FN199" s="3236">
        <f>VLOOKUP($E199,FK$442:FN$453,4,FALSE)*FK199*($K199)+(FK199-FL199-FM199)*(1-$K199)</f>
        <v>0</v>
      </c>
      <c r="FO199" s="3264"/>
    </row>
    <row r="200" spans="1:171">
      <c r="A200" s="3254">
        <v>880</v>
      </c>
      <c r="B200" s="2185" t="s">
        <v>460</v>
      </c>
      <c r="C200" s="2464" t="s">
        <v>72</v>
      </c>
      <c r="D200" s="2171" t="s">
        <v>300</v>
      </c>
      <c r="E200" s="2424" t="str">
        <f>'Sch 3 - Expenses'!E40</f>
        <v>TRANS</v>
      </c>
      <c r="F200" s="2171"/>
      <c r="G200" s="2424">
        <f>'Sch 3 - Expenses'!G40</f>
        <v>14310154</v>
      </c>
      <c r="H200" s="2424">
        <f>'Sch 3 - Expenses'!H40</f>
        <v>0</v>
      </c>
      <c r="I200" s="2424">
        <f>'Sch 3 - Expenses'!I40</f>
        <v>0</v>
      </c>
      <c r="J200" s="2425">
        <f>'Sch 3 - Expenses'!J40</f>
        <v>14310154</v>
      </c>
      <c r="K200" s="3205">
        <f>IF($E200="DIRECT",0,1)</f>
        <v>1</v>
      </c>
      <c r="N200" s="3284">
        <f>VLOOKUP($A200,'New Resources - Individual'!$A$4:$Y$133,N$2,FALSE)*N$1</f>
        <v>0</v>
      </c>
      <c r="O200" s="3235">
        <f>$G200+N200</f>
        <v>14310154</v>
      </c>
      <c r="P200" s="3236">
        <f>VLOOKUP($E200,O$442:R$453,2,FALSE)*O200*($K200)+IF($G200&lt;&gt;0,($H200/$G200)*O200,0)*(1-$K200)</f>
        <v>0</v>
      </c>
      <c r="Q200" s="3236">
        <f>VLOOKUP($E200,O$442:R$453,3,FALSE)*O200*($K200)+IF($G200&lt;&gt;0,($I200/$G200)*O200,0)*(1-$K200)</f>
        <v>14310154</v>
      </c>
      <c r="R200" s="3236">
        <f>VLOOKUP($E200,O$442:R$453,4,FALSE)*O200*($K200)+(O200-P200-Q200)*(1-$K200)</f>
        <v>0</v>
      </c>
      <c r="S200" s="3264"/>
      <c r="V200" s="3284">
        <f>VLOOKUP($A200,'New Resources - Individual'!$A$4:$Y$133,V$2,FALSE)*V$1</f>
        <v>0</v>
      </c>
      <c r="W200" s="3235">
        <f>$G200+V200</f>
        <v>14310154</v>
      </c>
      <c r="X200" s="3236">
        <f>VLOOKUP($E200,W$442:Z$453,2,FALSE)*W200*($K200)+IF($G200&lt;&gt;0,($H200/$G200)*W200,0)*(1-$K200)</f>
        <v>0</v>
      </c>
      <c r="Y200" s="3236">
        <f>VLOOKUP($E200,W$442:Z$453,3,FALSE)*W200*($K200)+IF($G200&lt;&gt;0,($I200/$G200)*W200,0)*(1-$K200)</f>
        <v>14310154</v>
      </c>
      <c r="Z200" s="3236">
        <f>VLOOKUP($E200,W$442:Z$453,4,FALSE)*W200*($K200)+(W200-X200-Y200)*(1-$K200)</f>
        <v>0</v>
      </c>
      <c r="AA200" s="3264"/>
      <c r="AD200" s="3284">
        <f>VLOOKUP($A200,'New Resources - Individual'!$A$4:$Y$133,AD$2,FALSE)*AD$1</f>
        <v>0</v>
      </c>
      <c r="AE200" s="3235">
        <f>$G200+AD200</f>
        <v>14310154</v>
      </c>
      <c r="AF200" s="3236">
        <f>VLOOKUP($E200,AE$442:AH$453,2,FALSE)*AE200*($K200)+IF($G200&lt;&gt;0,($H200/$G200)*AE200,0)*(1-$K200)</f>
        <v>0</v>
      </c>
      <c r="AG200" s="3236">
        <f>VLOOKUP($E200,AE$442:AH$453,3,FALSE)*AE200*($K200)+IF($G200&lt;&gt;0,($I200/$G200)*AE200,0)*(1-$K200)</f>
        <v>14310154</v>
      </c>
      <c r="AH200" s="3236">
        <f>VLOOKUP($E200,AE$442:AH$453,4,FALSE)*AE200*($K200)+(AE200-AF200-AG200)*(1-$K200)</f>
        <v>0</v>
      </c>
      <c r="AI200" s="3264"/>
      <c r="AL200" s="3284">
        <f>VLOOKUP($A200,'New Resources - Individual'!$A$4:$Y$133,AL$2,FALSE)*AL$1</f>
        <v>0</v>
      </c>
      <c r="AM200" s="3235">
        <f>$G200+AL200</f>
        <v>14310154</v>
      </c>
      <c r="AN200" s="3236">
        <f>VLOOKUP($E200,AM$442:AP$453,2,FALSE)*AM200*($K200)+IF($G200&lt;&gt;0,($H200/$G200)*AM200,0)*(1-$K200)</f>
        <v>0</v>
      </c>
      <c r="AO200" s="3236">
        <f>VLOOKUP($E200,AM$442:AP$453,3,FALSE)*AM200*($K200)+IF($G200&lt;&gt;0,($I200/$G200)*AM200,0)*(1-$K200)</f>
        <v>14310154</v>
      </c>
      <c r="AP200" s="3236">
        <f>VLOOKUP($E200,AM$442:AP$453,4,FALSE)*AM200*($K200)+(AM200-AN200-AO200)*(1-$K200)</f>
        <v>0</v>
      </c>
      <c r="AQ200" s="3264"/>
      <c r="AT200" s="3284">
        <f>VLOOKUP($A200,'New Resources - Individual'!$A$4:$Y$133,AT$2,FALSE)*AT$1</f>
        <v>0</v>
      </c>
      <c r="AU200" s="3235">
        <f>$G200+AT200</f>
        <v>14310154</v>
      </c>
      <c r="AV200" s="3236">
        <f>VLOOKUP($E200,AU$442:AX$453,2,FALSE)*AU200*($K200)+IF($G200&lt;&gt;0,($H200/$G200)*AU200,0)*(1-$K200)</f>
        <v>0</v>
      </c>
      <c r="AW200" s="3236">
        <f>VLOOKUP($E200,AU$442:AX$453,3,FALSE)*AU200*($K200)+IF($G200&lt;&gt;0,($I200/$G200)*AU200,0)*(1-$K200)</f>
        <v>14310154</v>
      </c>
      <c r="AX200" s="3236">
        <f>VLOOKUP($E200,AU$442:AX$453,4,FALSE)*AU200*($K200)+(AU200-AV200-AW200)*(1-$K200)</f>
        <v>0</v>
      </c>
      <c r="AY200" s="3264"/>
      <c r="BB200" s="3284">
        <f>VLOOKUP($A200,'New Resources - Individual'!$A$4:$Y$133,BB$2,FALSE)*BB$1</f>
        <v>0</v>
      </c>
      <c r="BC200" s="3235">
        <f>$G200+BB200</f>
        <v>14310154</v>
      </c>
      <c r="BD200" s="3236">
        <f>VLOOKUP($E200,BC$442:BF$453,2,FALSE)*BC200*($K200)+IF($G200&lt;&gt;0,($H200/$G200)*BC200,0)*(1-$K200)</f>
        <v>0</v>
      </c>
      <c r="BE200" s="3236">
        <f>VLOOKUP($E200,BC$442:BF$453,3,FALSE)*BC200*($K200)+IF($G200&lt;&gt;0,($I200/$G200)*BC200,0)*(1-$K200)</f>
        <v>14310154</v>
      </c>
      <c r="BF200" s="3236">
        <f>VLOOKUP($E200,BC$442:BF$453,4,FALSE)*BC200*($K200)+(BC200-BD200-BE200)*(1-$K200)</f>
        <v>0</v>
      </c>
      <c r="BG200" s="3264"/>
      <c r="BJ200" s="3284">
        <f>VLOOKUP($A200,'New Resources - Individual'!$A$4:$Y$133,BJ$2,FALSE)*BJ$1</f>
        <v>0</v>
      </c>
      <c r="BK200" s="3235">
        <f>$G200+BJ200</f>
        <v>14310154</v>
      </c>
      <c r="BL200" s="3236">
        <f>VLOOKUP($E200,BK$442:BN$453,2,FALSE)*BK200*($K200)+IF($G200&lt;&gt;0,($H200/$G200)*BK200,0)*(1-$K200)</f>
        <v>0</v>
      </c>
      <c r="BM200" s="3236">
        <f>VLOOKUP($E200,BK$442:BN$453,3,FALSE)*BK200*($K200)+IF($G200&lt;&gt;0,($I200/$G200)*BK200,0)*(1-$K200)</f>
        <v>14310154</v>
      </c>
      <c r="BN200" s="3236">
        <f>VLOOKUP($E200,BK$442:BN$453,4,FALSE)*BK200*($K200)+(BK200-BL200-BM200)*(1-$K200)</f>
        <v>0</v>
      </c>
      <c r="BO200" s="3264"/>
      <c r="BR200" s="3284">
        <f>VLOOKUP($A200,'New Resources - Individual'!$A$4:$Y$133,BR$2,FALSE)*BR$1</f>
        <v>0</v>
      </c>
      <c r="BS200" s="3235">
        <f>$G200+BR200</f>
        <v>14310154</v>
      </c>
      <c r="BT200" s="3236">
        <f>VLOOKUP($E200,BS$442:BV$453,2,FALSE)*BS200*($K200)+IF($G200&lt;&gt;0,($H200/$G200)*BS200,0)*(1-$K200)</f>
        <v>0</v>
      </c>
      <c r="BU200" s="3236">
        <f>VLOOKUP($E200,BS$442:BV$453,3,FALSE)*BS200*($K200)+IF($G200&lt;&gt;0,($I200/$G200)*BS200,0)*(1-$K200)</f>
        <v>14310154</v>
      </c>
      <c r="BV200" s="3236">
        <f>VLOOKUP($E200,BS$442:BV$453,4,FALSE)*BS200*($K200)+(BS200-BT200-BU200)*(1-$K200)</f>
        <v>0</v>
      </c>
      <c r="BW200" s="3264"/>
      <c r="BZ200" s="3284">
        <f>VLOOKUP($A200,'New Resources - Individual'!$A$4:$Y$133,BZ$2,FALSE)*BZ$1</f>
        <v>0</v>
      </c>
      <c r="CA200" s="3235">
        <f>$G200+BZ200</f>
        <v>14310154</v>
      </c>
      <c r="CB200" s="3236">
        <f>VLOOKUP($E200,CA$442:CD$453,2,FALSE)*CA200*($K200)+IF($G200&lt;&gt;0,($H200/$G200)*CA200,0)*(1-$K200)</f>
        <v>0</v>
      </c>
      <c r="CC200" s="3236">
        <f>VLOOKUP($E200,CA$442:CD$453,3,FALSE)*CA200*($K200)+IF($G200&lt;&gt;0,($I200/$G200)*CA200,0)*(1-$K200)</f>
        <v>14310154</v>
      </c>
      <c r="CD200" s="3236">
        <f>VLOOKUP($E200,CA$442:CD$453,4,FALSE)*CA200*($K200)+(CA200-CB200-CC200)*(1-$K200)</f>
        <v>0</v>
      </c>
      <c r="CE200" s="3264"/>
      <c r="CH200" s="3284">
        <f>VLOOKUP($A200,'New Resources - Individual'!$A$4:$Y$133,CH$2,FALSE)*CH$1</f>
        <v>0</v>
      </c>
      <c r="CI200" s="3235">
        <f>$G200+CH200</f>
        <v>14310154</v>
      </c>
      <c r="CJ200" s="3236">
        <f>VLOOKUP($E200,CI$442:CL$453,2,FALSE)*CI200*($K200)+IF($G200&lt;&gt;0,($H200/$G200)*CI200,0)*(1-$K200)</f>
        <v>0</v>
      </c>
      <c r="CK200" s="3236">
        <f>VLOOKUP($E200,CI$442:CL$453,3,FALSE)*CI200*($K200)+IF($G200&lt;&gt;0,($I200/$G200)*CI200,0)*(1-$K200)</f>
        <v>14310154</v>
      </c>
      <c r="CL200" s="3236">
        <f>VLOOKUP($E200,CI$442:CL$453,4,FALSE)*CI200*($K200)+(CI200-CJ200-CK200)*(1-$K200)</f>
        <v>0</v>
      </c>
      <c r="CM200" s="3264"/>
      <c r="CP200" s="3284">
        <f>VLOOKUP($A200,'New Resources - Individual'!$A$4:$Y$133,CP$2,FALSE)*CP$1</f>
        <v>0</v>
      </c>
      <c r="CQ200" s="3235">
        <f>$G200+CP200</f>
        <v>14310154</v>
      </c>
      <c r="CR200" s="3236">
        <f>VLOOKUP($E200,CQ$442:CT$453,2,FALSE)*CQ200*($K200)+IF($G200&lt;&gt;0,($H200/$G200)*CQ200,0)*(1-$K200)</f>
        <v>0</v>
      </c>
      <c r="CS200" s="3236">
        <f>VLOOKUP($E200,CQ$442:CT$453,3,FALSE)*CQ200*($K200)+IF($G200&lt;&gt;0,($I200/$G200)*CQ200,0)*(1-$K200)</f>
        <v>14310154</v>
      </c>
      <c r="CT200" s="3236">
        <f>VLOOKUP($E200,CQ$442:CT$453,4,FALSE)*CQ200*($K200)+(CQ200-CR200-CS200)*(1-$K200)</f>
        <v>0</v>
      </c>
      <c r="CU200" s="3264"/>
      <c r="CX200" s="3284">
        <f>VLOOKUP($A200,'New Resources - Individual'!$A$4:$Y$133,CX$2,FALSE)*CX$1</f>
        <v>0</v>
      </c>
      <c r="CY200" s="3235">
        <f>$G200+CX200</f>
        <v>14310154</v>
      </c>
      <c r="CZ200" s="3236">
        <f>VLOOKUP($E200,CY$442:DB$453,2,FALSE)*CY200*($K200)+IF($G200&lt;&gt;0,($H200/$G200)*CY200,0)*(1-$K200)</f>
        <v>0</v>
      </c>
      <c r="DA200" s="3236">
        <f>VLOOKUP($E200,CY$442:DB$453,3,FALSE)*CY200*($K200)+IF($G200&lt;&gt;0,($I200/$G200)*CY200,0)*(1-$K200)</f>
        <v>14310154</v>
      </c>
      <c r="DB200" s="3236">
        <f>VLOOKUP($E200,CY$442:DB$453,4,FALSE)*CY200*($K200)+(CY200-CZ200-DA200)*(1-$K200)</f>
        <v>0</v>
      </c>
      <c r="DC200" s="3264"/>
      <c r="DF200" s="3284">
        <f>VLOOKUP($A200,'New Resources - Individual'!$A$4:$Y$133,DF$2,FALSE)*DF$1</f>
        <v>0</v>
      </c>
      <c r="DG200" s="3235">
        <f>$G200+DF200</f>
        <v>14310154</v>
      </c>
      <c r="DH200" s="3236">
        <f>VLOOKUP($E200,DG$442:DJ$453,2,FALSE)*DG200*($K200)+IF($G200&lt;&gt;0,($H200/$G200)*DG200,0)*(1-$K200)</f>
        <v>0</v>
      </c>
      <c r="DI200" s="3236">
        <f>VLOOKUP($E200,DG$442:DJ$453,3,FALSE)*DG200*($K200)+IF($G200&lt;&gt;0,($I200/$G200)*DG200,0)*(1-$K200)</f>
        <v>14310154</v>
      </c>
      <c r="DJ200" s="3236">
        <f>VLOOKUP($E200,DG$442:DJ$453,4,FALSE)*DG200*($K200)+(DG200-DH200-DI200)*(1-$K200)</f>
        <v>0</v>
      </c>
      <c r="DK200" s="3264"/>
      <c r="DN200" s="3284">
        <f>VLOOKUP($A200,'New Resources - Individual'!$A$4:$Y$133,DN$2,FALSE)*DN$1</f>
        <v>0</v>
      </c>
      <c r="DO200" s="3235">
        <f>$G200+DN200</f>
        <v>14310154</v>
      </c>
      <c r="DP200" s="3236">
        <f>VLOOKUP($E200,DO$442:DR$453,2,FALSE)*DO200*($K200)+IF($G200&lt;&gt;0,($H200/$G200)*DO200,0)*(1-$K200)</f>
        <v>0</v>
      </c>
      <c r="DQ200" s="3236">
        <f>VLOOKUP($E200,DO$442:DR$453,3,FALSE)*DO200*($K200)+IF($G200&lt;&gt;0,($I200/$G200)*DO200,0)*(1-$K200)</f>
        <v>14310154</v>
      </c>
      <c r="DR200" s="3236">
        <f>VLOOKUP($E200,DO$442:DR$453,4,FALSE)*DO200*($K200)+(DO200-DP200-DQ200)*(1-$K200)</f>
        <v>0</v>
      </c>
      <c r="DS200" s="3264"/>
      <c r="DV200" s="3284">
        <f>VLOOKUP($A200,'New Resources - Individual'!$A$4:$Y$133,DV$2,FALSE)*DV$1</f>
        <v>0</v>
      </c>
      <c r="DW200" s="3235">
        <f>$G200+DV200</f>
        <v>14310154</v>
      </c>
      <c r="DX200" s="3236">
        <f>VLOOKUP($E200,DW$442:DZ$453,2,FALSE)*DW200*($K200)+IF($G200&lt;&gt;0,($H200/$G200)*DW200,0)*(1-$K200)</f>
        <v>0</v>
      </c>
      <c r="DY200" s="3236">
        <f>VLOOKUP($E200,DW$442:DZ$453,3,FALSE)*DW200*($K200)+IF($G200&lt;&gt;0,($I200/$G200)*DW200,0)*(1-$K200)</f>
        <v>14310154</v>
      </c>
      <c r="DZ200" s="3236">
        <f>VLOOKUP($E200,DW$442:DZ$453,4,FALSE)*DW200*($K200)+(DW200-DX200-DY200)*(1-$K200)</f>
        <v>0</v>
      </c>
      <c r="EA200" s="3264"/>
      <c r="ED200" s="3284">
        <f>VLOOKUP($A200,'New Resources - Individual'!$A$4:$Y$133,ED$2,FALSE)*ED$1</f>
        <v>0</v>
      </c>
      <c r="EE200" s="3235">
        <f>$G200+ED200</f>
        <v>14310154</v>
      </c>
      <c r="EF200" s="3236">
        <f>VLOOKUP($E200,EE$442:EH$453,2,FALSE)*EE200*($K200)+IF($G200&lt;&gt;0,($H200/$G200)*EE200,0)*(1-$K200)</f>
        <v>0</v>
      </c>
      <c r="EG200" s="3236">
        <f>VLOOKUP($E200,EE$442:EH$453,3,FALSE)*EE200*($K200)+IF($G200&lt;&gt;0,($I200/$G200)*EE200,0)*(1-$K200)</f>
        <v>14310154</v>
      </c>
      <c r="EH200" s="3236">
        <f>VLOOKUP($E200,EE$442:EH$453,4,FALSE)*EE200*($K200)+(EE200-EF200-EG200)*(1-$K200)</f>
        <v>0</v>
      </c>
      <c r="EI200" s="3264"/>
      <c r="EL200" s="3284">
        <f>VLOOKUP($A200,'New Resources - Individual'!$A$4:$Y$133,EL$2,FALSE)*EL$1</f>
        <v>0</v>
      </c>
      <c r="EM200" s="3235">
        <f>$G200+EL200</f>
        <v>14310154</v>
      </c>
      <c r="EN200" s="3236">
        <f>VLOOKUP($E200,EM$442:EP$453,2,FALSE)*EM200*($K200)+IF($G200&lt;&gt;0,($H200/$G200)*EM200,0)*(1-$K200)</f>
        <v>0</v>
      </c>
      <c r="EO200" s="3236">
        <f>VLOOKUP($E200,EM$442:EP$453,3,FALSE)*EM200*($K200)+IF($G200&lt;&gt;0,($I200/$G200)*EM200,0)*(1-$K200)</f>
        <v>14310154</v>
      </c>
      <c r="EP200" s="3236">
        <f>VLOOKUP($E200,EM$442:EP$453,4,FALSE)*EM200*($K200)+(EM200-EN200-EO200)*(1-$K200)</f>
        <v>0</v>
      </c>
      <c r="EQ200" s="3264"/>
      <c r="ET200" s="3284">
        <f>VLOOKUP($A200,'New Resources - Individual'!$A$4:$Y$133,ET$2,FALSE)*ET$1</f>
        <v>0</v>
      </c>
      <c r="EU200" s="3235">
        <f>$G200+ET200</f>
        <v>14310154</v>
      </c>
      <c r="EV200" s="3236">
        <f>VLOOKUP($E200,EU$442:EX$453,2,FALSE)*EU200*($K200)+IF($G200&lt;&gt;0,($H200/$G200)*EU200,0)*(1-$K200)</f>
        <v>0</v>
      </c>
      <c r="EW200" s="3236">
        <f>VLOOKUP($E200,EU$442:EX$453,3,FALSE)*EU200*($K200)+IF($G200&lt;&gt;0,($I200/$G200)*EU200,0)*(1-$K200)</f>
        <v>14310154</v>
      </c>
      <c r="EX200" s="3236">
        <f>VLOOKUP($E200,EU$442:EX$453,4,FALSE)*EU200*($K200)+(EU200-EV200-EW200)*(1-$K200)</f>
        <v>0</v>
      </c>
      <c r="EY200" s="3264"/>
      <c r="FB200" s="3284">
        <f>VLOOKUP($A200,'New Resources - Individual'!$A$4:$Y$133,FB$2,FALSE)*FB$1</f>
        <v>0</v>
      </c>
      <c r="FC200" s="3235">
        <f>$G200+FB200</f>
        <v>14310154</v>
      </c>
      <c r="FD200" s="3236">
        <f>VLOOKUP($E200,FC$442:FF$453,2,FALSE)*FC200*($K200)+IF($G200&lt;&gt;0,($H200/$G200)*FC200,0)*(1-$K200)</f>
        <v>0</v>
      </c>
      <c r="FE200" s="3236">
        <f>VLOOKUP($E200,FC$442:FF$453,3,FALSE)*FC200*($K200)+IF($G200&lt;&gt;0,($I200/$G200)*FC200,0)*(1-$K200)</f>
        <v>14310154</v>
      </c>
      <c r="FF200" s="3236">
        <f>VLOOKUP($E200,FC$442:FF$453,4,FALSE)*FC200*($K200)+(FC200-FD200-FE200)*(1-$K200)</f>
        <v>0</v>
      </c>
      <c r="FG200" s="3264"/>
      <c r="FJ200" s="3284">
        <f>VLOOKUP($A200,'New Resources - Individual'!$A$4:$Y$133,FJ$2,FALSE)*FJ$1</f>
        <v>0</v>
      </c>
      <c r="FK200" s="3235">
        <f>$G200+FJ200</f>
        <v>14310154</v>
      </c>
      <c r="FL200" s="3236">
        <f>VLOOKUP($E200,FK$442:FN$453,2,FALSE)*FK200*($K200)+IF($G200&lt;&gt;0,($H200/$G200)*FK200,0)*(1-$K200)</f>
        <v>0</v>
      </c>
      <c r="FM200" s="3236">
        <f>VLOOKUP($E200,FK$442:FN$453,3,FALSE)*FK200*($K200)+IF($G200&lt;&gt;0,($I200/$G200)*FK200,0)*(1-$K200)</f>
        <v>14310154</v>
      </c>
      <c r="FN200" s="3236">
        <f>VLOOKUP($E200,FK$442:FN$453,4,FALSE)*FK200*($K200)+(FK200-FL200-FM200)*(1-$K200)</f>
        <v>0</v>
      </c>
      <c r="FO200" s="3264"/>
    </row>
    <row r="201" spans="1:171">
      <c r="A201" s="3254">
        <v>890</v>
      </c>
      <c r="B201" s="2185" t="s">
        <v>461</v>
      </c>
      <c r="C201" s="2464" t="s">
        <v>72</v>
      </c>
      <c r="D201" s="2171" t="s">
        <v>301</v>
      </c>
      <c r="E201" s="2424" t="str">
        <f>'Sch 3 - Expenses'!E41</f>
        <v>TRANS</v>
      </c>
      <c r="F201" s="2171"/>
      <c r="G201" s="2424">
        <f>'Sch 3 - Expenses'!G41</f>
        <v>11909901</v>
      </c>
      <c r="H201" s="2424">
        <f>'Sch 3 - Expenses'!H41</f>
        <v>0</v>
      </c>
      <c r="I201" s="2424">
        <f>'Sch 3 - Expenses'!I41</f>
        <v>0</v>
      </c>
      <c r="J201" s="2425">
        <f>'Sch 3 - Expenses'!J41</f>
        <v>11909901</v>
      </c>
      <c r="K201" s="3205">
        <f>IF($E201="DIRECT",0,1)</f>
        <v>1</v>
      </c>
      <c r="N201" s="3284">
        <f>VLOOKUP($A201,'New Resources - Individual'!$A$4:$Y$133,N$2,FALSE)*N$1</f>
        <v>0</v>
      </c>
      <c r="O201" s="3235">
        <f>$G201+N201</f>
        <v>11909901</v>
      </c>
      <c r="P201" s="3236">
        <f>VLOOKUP($E201,O$442:R$453,2,FALSE)*O201*($K201)+IF($G201&lt;&gt;0,($H201/$G201)*O201,0)*(1-$K201)</f>
        <v>0</v>
      </c>
      <c r="Q201" s="3236">
        <f>VLOOKUP($E201,O$442:R$453,3,FALSE)*O201*($K201)+IF($G201&lt;&gt;0,($I201/$G201)*O201,0)*(1-$K201)</f>
        <v>11909901</v>
      </c>
      <c r="R201" s="3236">
        <f>VLOOKUP($E201,O$442:R$453,4,FALSE)*O201*($K201)+(O201-P201-Q201)*(1-$K201)</f>
        <v>0</v>
      </c>
      <c r="S201" s="3264"/>
      <c r="V201" s="3284">
        <f>VLOOKUP($A201,'New Resources - Individual'!$A$4:$Y$133,V$2,FALSE)*V$1</f>
        <v>0</v>
      </c>
      <c r="W201" s="3235">
        <f>$G201+V201</f>
        <v>11909901</v>
      </c>
      <c r="X201" s="3236">
        <f>VLOOKUP($E201,W$442:Z$453,2,FALSE)*W201*($K201)+IF($G201&lt;&gt;0,($H201/$G201)*W201,0)*(1-$K201)</f>
        <v>0</v>
      </c>
      <c r="Y201" s="3236">
        <f>VLOOKUP($E201,W$442:Z$453,3,FALSE)*W201*($K201)+IF($G201&lt;&gt;0,($I201/$G201)*W201,0)*(1-$K201)</f>
        <v>11909901</v>
      </c>
      <c r="Z201" s="3236">
        <f>VLOOKUP($E201,W$442:Z$453,4,FALSE)*W201*($K201)+(W201-X201-Y201)*(1-$K201)</f>
        <v>0</v>
      </c>
      <c r="AA201" s="3264"/>
      <c r="AD201" s="3284">
        <f>VLOOKUP($A201,'New Resources - Individual'!$A$4:$Y$133,AD$2,FALSE)*AD$1</f>
        <v>0</v>
      </c>
      <c r="AE201" s="3235">
        <f>$G201+AD201</f>
        <v>11909901</v>
      </c>
      <c r="AF201" s="3236">
        <f>VLOOKUP($E201,AE$442:AH$453,2,FALSE)*AE201*($K201)+IF($G201&lt;&gt;0,($H201/$G201)*AE201,0)*(1-$K201)</f>
        <v>0</v>
      </c>
      <c r="AG201" s="3236">
        <f>VLOOKUP($E201,AE$442:AH$453,3,FALSE)*AE201*($K201)+IF($G201&lt;&gt;0,($I201/$G201)*AE201,0)*(1-$K201)</f>
        <v>11909901</v>
      </c>
      <c r="AH201" s="3236">
        <f>VLOOKUP($E201,AE$442:AH$453,4,FALSE)*AE201*($K201)+(AE201-AF201-AG201)*(1-$K201)</f>
        <v>0</v>
      </c>
      <c r="AI201" s="3264"/>
      <c r="AL201" s="3284">
        <f>VLOOKUP($A201,'New Resources - Individual'!$A$4:$Y$133,AL$2,FALSE)*AL$1</f>
        <v>0</v>
      </c>
      <c r="AM201" s="3235">
        <f>$G201+AL201</f>
        <v>11909901</v>
      </c>
      <c r="AN201" s="3236">
        <f>VLOOKUP($E201,AM$442:AP$453,2,FALSE)*AM201*($K201)+IF($G201&lt;&gt;0,($H201/$G201)*AM201,0)*(1-$K201)</f>
        <v>0</v>
      </c>
      <c r="AO201" s="3236">
        <f>VLOOKUP($E201,AM$442:AP$453,3,FALSE)*AM201*($K201)+IF($G201&lt;&gt;0,($I201/$G201)*AM201,0)*(1-$K201)</f>
        <v>11909901</v>
      </c>
      <c r="AP201" s="3236">
        <f>VLOOKUP($E201,AM$442:AP$453,4,FALSE)*AM201*($K201)+(AM201-AN201-AO201)*(1-$K201)</f>
        <v>0</v>
      </c>
      <c r="AQ201" s="3264"/>
      <c r="AT201" s="3284">
        <f>VLOOKUP($A201,'New Resources - Individual'!$A$4:$Y$133,AT$2,FALSE)*AT$1</f>
        <v>0</v>
      </c>
      <c r="AU201" s="3235">
        <f>$G201+AT201</f>
        <v>11909901</v>
      </c>
      <c r="AV201" s="3236">
        <f>VLOOKUP($E201,AU$442:AX$453,2,FALSE)*AU201*($K201)+IF($G201&lt;&gt;0,($H201/$G201)*AU201,0)*(1-$K201)</f>
        <v>0</v>
      </c>
      <c r="AW201" s="3236">
        <f>VLOOKUP($E201,AU$442:AX$453,3,FALSE)*AU201*($K201)+IF($G201&lt;&gt;0,($I201/$G201)*AU201,0)*(1-$K201)</f>
        <v>11909901</v>
      </c>
      <c r="AX201" s="3236">
        <f>VLOOKUP($E201,AU$442:AX$453,4,FALSE)*AU201*($K201)+(AU201-AV201-AW201)*(1-$K201)</f>
        <v>0</v>
      </c>
      <c r="AY201" s="3264"/>
      <c r="BB201" s="3284">
        <f>VLOOKUP($A201,'New Resources - Individual'!$A$4:$Y$133,BB$2,FALSE)*BB$1</f>
        <v>0</v>
      </c>
      <c r="BC201" s="3235">
        <f>$G201+BB201</f>
        <v>11909901</v>
      </c>
      <c r="BD201" s="3236">
        <f>VLOOKUP($E201,BC$442:BF$453,2,FALSE)*BC201*($K201)+IF($G201&lt;&gt;0,($H201/$G201)*BC201,0)*(1-$K201)</f>
        <v>0</v>
      </c>
      <c r="BE201" s="3236">
        <f>VLOOKUP($E201,BC$442:BF$453,3,FALSE)*BC201*($K201)+IF($G201&lt;&gt;0,($I201/$G201)*BC201,0)*(1-$K201)</f>
        <v>11909901</v>
      </c>
      <c r="BF201" s="3236">
        <f>VLOOKUP($E201,BC$442:BF$453,4,FALSE)*BC201*($K201)+(BC201-BD201-BE201)*(1-$K201)</f>
        <v>0</v>
      </c>
      <c r="BG201" s="3264"/>
      <c r="BJ201" s="3284">
        <f>VLOOKUP($A201,'New Resources - Individual'!$A$4:$Y$133,BJ$2,FALSE)*BJ$1</f>
        <v>0</v>
      </c>
      <c r="BK201" s="3235">
        <f>$G201+BJ201</f>
        <v>11909901</v>
      </c>
      <c r="BL201" s="3236">
        <f>VLOOKUP($E201,BK$442:BN$453,2,FALSE)*BK201*($K201)+IF($G201&lt;&gt;0,($H201/$G201)*BK201,0)*(1-$K201)</f>
        <v>0</v>
      </c>
      <c r="BM201" s="3236">
        <f>VLOOKUP($E201,BK$442:BN$453,3,FALSE)*BK201*($K201)+IF($G201&lt;&gt;0,($I201/$G201)*BK201,0)*(1-$K201)</f>
        <v>11909901</v>
      </c>
      <c r="BN201" s="3236">
        <f>VLOOKUP($E201,BK$442:BN$453,4,FALSE)*BK201*($K201)+(BK201-BL201-BM201)*(1-$K201)</f>
        <v>0</v>
      </c>
      <c r="BO201" s="3264"/>
      <c r="BR201" s="3284">
        <f>VLOOKUP($A201,'New Resources - Individual'!$A$4:$Y$133,BR$2,FALSE)*BR$1</f>
        <v>0</v>
      </c>
      <c r="BS201" s="3235">
        <f>$G201+BR201</f>
        <v>11909901</v>
      </c>
      <c r="BT201" s="3236">
        <f>VLOOKUP($E201,BS$442:BV$453,2,FALSE)*BS201*($K201)+IF($G201&lt;&gt;0,($H201/$G201)*BS201,0)*(1-$K201)</f>
        <v>0</v>
      </c>
      <c r="BU201" s="3236">
        <f>VLOOKUP($E201,BS$442:BV$453,3,FALSE)*BS201*($K201)+IF($G201&lt;&gt;0,($I201/$G201)*BS201,0)*(1-$K201)</f>
        <v>11909901</v>
      </c>
      <c r="BV201" s="3236">
        <f>VLOOKUP($E201,BS$442:BV$453,4,FALSE)*BS201*($K201)+(BS201-BT201-BU201)*(1-$K201)</f>
        <v>0</v>
      </c>
      <c r="BW201" s="3264"/>
      <c r="BZ201" s="3284">
        <f>VLOOKUP($A201,'New Resources - Individual'!$A$4:$Y$133,BZ$2,FALSE)*BZ$1</f>
        <v>0</v>
      </c>
      <c r="CA201" s="3235">
        <f>$G201+BZ201</f>
        <v>11909901</v>
      </c>
      <c r="CB201" s="3236">
        <f>VLOOKUP($E201,CA$442:CD$453,2,FALSE)*CA201*($K201)+IF($G201&lt;&gt;0,($H201/$G201)*CA201,0)*(1-$K201)</f>
        <v>0</v>
      </c>
      <c r="CC201" s="3236">
        <f>VLOOKUP($E201,CA$442:CD$453,3,FALSE)*CA201*($K201)+IF($G201&lt;&gt;0,($I201/$G201)*CA201,0)*(1-$K201)</f>
        <v>11909901</v>
      </c>
      <c r="CD201" s="3236">
        <f>VLOOKUP($E201,CA$442:CD$453,4,FALSE)*CA201*($K201)+(CA201-CB201-CC201)*(1-$K201)</f>
        <v>0</v>
      </c>
      <c r="CE201" s="3264"/>
      <c r="CH201" s="3284">
        <f>VLOOKUP($A201,'New Resources - Individual'!$A$4:$Y$133,CH$2,FALSE)*CH$1</f>
        <v>0</v>
      </c>
      <c r="CI201" s="3235">
        <f>$G201+CH201</f>
        <v>11909901</v>
      </c>
      <c r="CJ201" s="3236">
        <f>VLOOKUP($E201,CI$442:CL$453,2,FALSE)*CI201*($K201)+IF($G201&lt;&gt;0,($H201/$G201)*CI201,0)*(1-$K201)</f>
        <v>0</v>
      </c>
      <c r="CK201" s="3236">
        <f>VLOOKUP($E201,CI$442:CL$453,3,FALSE)*CI201*($K201)+IF($G201&lt;&gt;0,($I201/$G201)*CI201,0)*(1-$K201)</f>
        <v>11909901</v>
      </c>
      <c r="CL201" s="3236">
        <f>VLOOKUP($E201,CI$442:CL$453,4,FALSE)*CI201*($K201)+(CI201-CJ201-CK201)*(1-$K201)</f>
        <v>0</v>
      </c>
      <c r="CM201" s="3264"/>
      <c r="CP201" s="3284">
        <f>VLOOKUP($A201,'New Resources - Individual'!$A$4:$Y$133,CP$2,FALSE)*CP$1</f>
        <v>0</v>
      </c>
      <c r="CQ201" s="3235">
        <f>$G201+CP201</f>
        <v>11909901</v>
      </c>
      <c r="CR201" s="3236">
        <f>VLOOKUP($E201,CQ$442:CT$453,2,FALSE)*CQ201*($K201)+IF($G201&lt;&gt;0,($H201/$G201)*CQ201,0)*(1-$K201)</f>
        <v>0</v>
      </c>
      <c r="CS201" s="3236">
        <f>VLOOKUP($E201,CQ$442:CT$453,3,FALSE)*CQ201*($K201)+IF($G201&lt;&gt;0,($I201/$G201)*CQ201,0)*(1-$K201)</f>
        <v>11909901</v>
      </c>
      <c r="CT201" s="3236">
        <f>VLOOKUP($E201,CQ$442:CT$453,4,FALSE)*CQ201*($K201)+(CQ201-CR201-CS201)*(1-$K201)</f>
        <v>0</v>
      </c>
      <c r="CU201" s="3264"/>
      <c r="CX201" s="3284">
        <f>VLOOKUP($A201,'New Resources - Individual'!$A$4:$Y$133,CX$2,FALSE)*CX$1</f>
        <v>0</v>
      </c>
      <c r="CY201" s="3235">
        <f>$G201+CX201</f>
        <v>11909901</v>
      </c>
      <c r="CZ201" s="3236">
        <f>VLOOKUP($E201,CY$442:DB$453,2,FALSE)*CY201*($K201)+IF($G201&lt;&gt;0,($H201/$G201)*CY201,0)*(1-$K201)</f>
        <v>0</v>
      </c>
      <c r="DA201" s="3236">
        <f>VLOOKUP($E201,CY$442:DB$453,3,FALSE)*CY201*($K201)+IF($G201&lt;&gt;0,($I201/$G201)*CY201,0)*(1-$K201)</f>
        <v>11909901</v>
      </c>
      <c r="DB201" s="3236">
        <f>VLOOKUP($E201,CY$442:DB$453,4,FALSE)*CY201*($K201)+(CY201-CZ201-DA201)*(1-$K201)</f>
        <v>0</v>
      </c>
      <c r="DC201" s="3264"/>
      <c r="DF201" s="3284">
        <f>VLOOKUP($A201,'New Resources - Individual'!$A$4:$Y$133,DF$2,FALSE)*DF$1</f>
        <v>0</v>
      </c>
      <c r="DG201" s="3235">
        <f>$G201+DF201</f>
        <v>11909901</v>
      </c>
      <c r="DH201" s="3236">
        <f>VLOOKUP($E201,DG$442:DJ$453,2,FALSE)*DG201*($K201)+IF($G201&lt;&gt;0,($H201/$G201)*DG201,0)*(1-$K201)</f>
        <v>0</v>
      </c>
      <c r="DI201" s="3236">
        <f>VLOOKUP($E201,DG$442:DJ$453,3,FALSE)*DG201*($K201)+IF($G201&lt;&gt;0,($I201/$G201)*DG201,0)*(1-$K201)</f>
        <v>11909901</v>
      </c>
      <c r="DJ201" s="3236">
        <f>VLOOKUP($E201,DG$442:DJ$453,4,FALSE)*DG201*($K201)+(DG201-DH201-DI201)*(1-$K201)</f>
        <v>0</v>
      </c>
      <c r="DK201" s="3264"/>
      <c r="DN201" s="3284">
        <f>VLOOKUP($A201,'New Resources - Individual'!$A$4:$Y$133,DN$2,FALSE)*DN$1</f>
        <v>0</v>
      </c>
      <c r="DO201" s="3235">
        <f>$G201+DN201</f>
        <v>11909901</v>
      </c>
      <c r="DP201" s="3236">
        <f>VLOOKUP($E201,DO$442:DR$453,2,FALSE)*DO201*($K201)+IF($G201&lt;&gt;0,($H201/$G201)*DO201,0)*(1-$K201)</f>
        <v>0</v>
      </c>
      <c r="DQ201" s="3236">
        <f>VLOOKUP($E201,DO$442:DR$453,3,FALSE)*DO201*($K201)+IF($G201&lt;&gt;0,($I201/$G201)*DO201,0)*(1-$K201)</f>
        <v>11909901</v>
      </c>
      <c r="DR201" s="3236">
        <f>VLOOKUP($E201,DO$442:DR$453,4,FALSE)*DO201*($K201)+(DO201-DP201-DQ201)*(1-$K201)</f>
        <v>0</v>
      </c>
      <c r="DS201" s="3264"/>
      <c r="DV201" s="3284">
        <f>VLOOKUP($A201,'New Resources - Individual'!$A$4:$Y$133,DV$2,FALSE)*DV$1</f>
        <v>0</v>
      </c>
      <c r="DW201" s="3235">
        <f>$G201+DV201</f>
        <v>11909901</v>
      </c>
      <c r="DX201" s="3236">
        <f>VLOOKUP($E201,DW$442:DZ$453,2,FALSE)*DW201*($K201)+IF($G201&lt;&gt;0,($H201/$G201)*DW201,0)*(1-$K201)</f>
        <v>0</v>
      </c>
      <c r="DY201" s="3236">
        <f>VLOOKUP($E201,DW$442:DZ$453,3,FALSE)*DW201*($K201)+IF($G201&lt;&gt;0,($I201/$G201)*DW201,0)*(1-$K201)</f>
        <v>11909901</v>
      </c>
      <c r="DZ201" s="3236">
        <f>VLOOKUP($E201,DW$442:DZ$453,4,FALSE)*DW201*($K201)+(DW201-DX201-DY201)*(1-$K201)</f>
        <v>0</v>
      </c>
      <c r="EA201" s="3264"/>
      <c r="ED201" s="3284">
        <f>VLOOKUP($A201,'New Resources - Individual'!$A$4:$Y$133,ED$2,FALSE)*ED$1</f>
        <v>0</v>
      </c>
      <c r="EE201" s="3235">
        <f>$G201+ED201</f>
        <v>11909901</v>
      </c>
      <c r="EF201" s="3236">
        <f>VLOOKUP($E201,EE$442:EH$453,2,FALSE)*EE201*($K201)+IF($G201&lt;&gt;0,($H201/$G201)*EE201,0)*(1-$K201)</f>
        <v>0</v>
      </c>
      <c r="EG201" s="3236">
        <f>VLOOKUP($E201,EE$442:EH$453,3,FALSE)*EE201*($K201)+IF($G201&lt;&gt;0,($I201/$G201)*EE201,0)*(1-$K201)</f>
        <v>11909901</v>
      </c>
      <c r="EH201" s="3236">
        <f>VLOOKUP($E201,EE$442:EH$453,4,FALSE)*EE201*($K201)+(EE201-EF201-EG201)*(1-$K201)</f>
        <v>0</v>
      </c>
      <c r="EI201" s="3264"/>
      <c r="EL201" s="3284">
        <f>VLOOKUP($A201,'New Resources - Individual'!$A$4:$Y$133,EL$2,FALSE)*EL$1</f>
        <v>0</v>
      </c>
      <c r="EM201" s="3235">
        <f>$G201+EL201</f>
        <v>11909901</v>
      </c>
      <c r="EN201" s="3236">
        <f>VLOOKUP($E201,EM$442:EP$453,2,FALSE)*EM201*($K201)+IF($G201&lt;&gt;0,($H201/$G201)*EM201,0)*(1-$K201)</f>
        <v>0</v>
      </c>
      <c r="EO201" s="3236">
        <f>VLOOKUP($E201,EM$442:EP$453,3,FALSE)*EM201*($K201)+IF($G201&lt;&gt;0,($I201/$G201)*EM201,0)*(1-$K201)</f>
        <v>11909901</v>
      </c>
      <c r="EP201" s="3236">
        <f>VLOOKUP($E201,EM$442:EP$453,4,FALSE)*EM201*($K201)+(EM201-EN201-EO201)*(1-$K201)</f>
        <v>0</v>
      </c>
      <c r="EQ201" s="3264"/>
      <c r="ET201" s="3284">
        <f>VLOOKUP($A201,'New Resources - Individual'!$A$4:$Y$133,ET$2,FALSE)*ET$1</f>
        <v>0</v>
      </c>
      <c r="EU201" s="3235">
        <f>$G201+ET201</f>
        <v>11909901</v>
      </c>
      <c r="EV201" s="3236">
        <f>VLOOKUP($E201,EU$442:EX$453,2,FALSE)*EU201*($K201)+IF($G201&lt;&gt;0,($H201/$G201)*EU201,0)*(1-$K201)</f>
        <v>0</v>
      </c>
      <c r="EW201" s="3236">
        <f>VLOOKUP($E201,EU$442:EX$453,3,FALSE)*EU201*($K201)+IF($G201&lt;&gt;0,($I201/$G201)*EU201,0)*(1-$K201)</f>
        <v>11909901</v>
      </c>
      <c r="EX201" s="3236">
        <f>VLOOKUP($E201,EU$442:EX$453,4,FALSE)*EU201*($K201)+(EU201-EV201-EW201)*(1-$K201)</f>
        <v>0</v>
      </c>
      <c r="EY201" s="3264"/>
      <c r="FB201" s="3284">
        <f>VLOOKUP($A201,'New Resources - Individual'!$A$4:$Y$133,FB$2,FALSE)*FB$1</f>
        <v>0</v>
      </c>
      <c r="FC201" s="3235">
        <f>$G201+FB201</f>
        <v>11909901</v>
      </c>
      <c r="FD201" s="3236">
        <f>VLOOKUP($E201,FC$442:FF$453,2,FALSE)*FC201*($K201)+IF($G201&lt;&gt;0,($H201/$G201)*FC201,0)*(1-$K201)</f>
        <v>0</v>
      </c>
      <c r="FE201" s="3236">
        <f>VLOOKUP($E201,FC$442:FF$453,3,FALSE)*FC201*($K201)+IF($G201&lt;&gt;0,($I201/$G201)*FC201,0)*(1-$K201)</f>
        <v>11909901</v>
      </c>
      <c r="FF201" s="3236">
        <f>VLOOKUP($E201,FC$442:FF$453,4,FALSE)*FC201*($K201)+(FC201-FD201-FE201)*(1-$K201)</f>
        <v>0</v>
      </c>
      <c r="FG201" s="3264"/>
      <c r="FJ201" s="3284">
        <f>VLOOKUP($A201,'New Resources - Individual'!$A$4:$Y$133,FJ$2,FALSE)*FJ$1</f>
        <v>0</v>
      </c>
      <c r="FK201" s="3235">
        <f>$G201+FJ201</f>
        <v>11909901</v>
      </c>
      <c r="FL201" s="3236">
        <f>VLOOKUP($E201,FK$442:FN$453,2,FALSE)*FK201*($K201)+IF($G201&lt;&gt;0,($H201/$G201)*FK201,0)*(1-$K201)</f>
        <v>0</v>
      </c>
      <c r="FM201" s="3236">
        <f>VLOOKUP($E201,FK$442:FN$453,3,FALSE)*FK201*($K201)+IF($G201&lt;&gt;0,($I201/$G201)*FK201,0)*(1-$K201)</f>
        <v>11909901</v>
      </c>
      <c r="FN201" s="3236">
        <f>VLOOKUP($E201,FK$442:FN$453,4,FALSE)*FK201*($K201)+(FK201-FL201-FM201)*(1-$K201)</f>
        <v>0</v>
      </c>
      <c r="FO201" s="3264"/>
    </row>
    <row r="202" spans="1:171">
      <c r="A202" s="2310" t="s">
        <v>482</v>
      </c>
      <c r="B202" s="2097"/>
      <c r="C202" s="3256"/>
      <c r="D202" s="3257"/>
      <c r="E202" s="3257"/>
      <c r="F202" s="3258"/>
      <c r="G202" s="3265">
        <f>SUM(G199:G201)</f>
        <v>188803479</v>
      </c>
      <c r="H202" s="3265">
        <f>SUM(H199:H201)</f>
        <v>162583424</v>
      </c>
      <c r="I202" s="3265">
        <f>SUM(I199:I201)</f>
        <v>0</v>
      </c>
      <c r="J202" s="3266">
        <f>SUM(J199:J201)</f>
        <v>26220055</v>
      </c>
      <c r="K202" s="3205"/>
      <c r="O202" s="3331">
        <f>SUM(O199:O201)</f>
        <v>188803479</v>
      </c>
      <c r="P202" s="3331">
        <f>SUM(P199:P201)</f>
        <v>162583424</v>
      </c>
      <c r="Q202" s="3331">
        <f>SUM(Q199:Q201)</f>
        <v>26220055</v>
      </c>
      <c r="R202" s="3331">
        <f>SUM(R199:R201)</f>
        <v>0</v>
      </c>
      <c r="S202" s="3264"/>
      <c r="W202" s="3331">
        <f>SUM(W199:W201)</f>
        <v>188803479</v>
      </c>
      <c r="X202" s="3331">
        <f>SUM(X199:X201)</f>
        <v>162583424</v>
      </c>
      <c r="Y202" s="3331">
        <f>SUM(Y199:Y201)</f>
        <v>26220055</v>
      </c>
      <c r="Z202" s="3331">
        <f>SUM(Z199:Z201)</f>
        <v>0</v>
      </c>
      <c r="AA202" s="3264"/>
      <c r="AE202" s="3331">
        <f>SUM(AE199:AE201)</f>
        <v>188803479</v>
      </c>
      <c r="AF202" s="3331">
        <f>SUM(AF199:AF201)</f>
        <v>162583424</v>
      </c>
      <c r="AG202" s="3331">
        <f>SUM(AG199:AG201)</f>
        <v>26220055</v>
      </c>
      <c r="AH202" s="3331">
        <f>SUM(AH199:AH201)</f>
        <v>0</v>
      </c>
      <c r="AI202" s="3264"/>
      <c r="AM202" s="3331">
        <f>SUM(AM199:AM201)</f>
        <v>188803479</v>
      </c>
      <c r="AN202" s="3331">
        <f>SUM(AN199:AN201)</f>
        <v>162583424</v>
      </c>
      <c r="AO202" s="3331">
        <f>SUM(AO199:AO201)</f>
        <v>26220055</v>
      </c>
      <c r="AP202" s="3331">
        <f>SUM(AP199:AP201)</f>
        <v>0</v>
      </c>
      <c r="AQ202" s="3264"/>
      <c r="AU202" s="3331">
        <f>SUM(AU199:AU201)</f>
        <v>188803479</v>
      </c>
      <c r="AV202" s="3331">
        <f>SUM(AV199:AV201)</f>
        <v>162583424</v>
      </c>
      <c r="AW202" s="3331">
        <f>SUM(AW199:AW201)</f>
        <v>26220055</v>
      </c>
      <c r="AX202" s="3331">
        <f>SUM(AX199:AX201)</f>
        <v>0</v>
      </c>
      <c r="AY202" s="3264"/>
      <c r="BC202" s="3331">
        <f>SUM(BC199:BC201)</f>
        <v>188803479</v>
      </c>
      <c r="BD202" s="3331">
        <f>SUM(BD199:BD201)</f>
        <v>162583424</v>
      </c>
      <c r="BE202" s="3331">
        <f>SUM(BE199:BE201)</f>
        <v>26220055</v>
      </c>
      <c r="BF202" s="3331">
        <f>SUM(BF199:BF201)</f>
        <v>0</v>
      </c>
      <c r="BG202" s="3264"/>
      <c r="BK202" s="3331">
        <f>SUM(BK199:BK201)</f>
        <v>188803479</v>
      </c>
      <c r="BL202" s="3331">
        <f>SUM(BL199:BL201)</f>
        <v>162583424</v>
      </c>
      <c r="BM202" s="3331">
        <f>SUM(BM199:BM201)</f>
        <v>26220055</v>
      </c>
      <c r="BN202" s="3331">
        <f>SUM(BN199:BN201)</f>
        <v>0</v>
      </c>
      <c r="BO202" s="3264"/>
      <c r="BS202" s="3331">
        <f>SUM(BS199:BS201)</f>
        <v>188803479</v>
      </c>
      <c r="BT202" s="3331">
        <f>SUM(BT199:BT201)</f>
        <v>162583424</v>
      </c>
      <c r="BU202" s="3331">
        <f>SUM(BU199:BU201)</f>
        <v>26220055</v>
      </c>
      <c r="BV202" s="3331">
        <f>SUM(BV199:BV201)</f>
        <v>0</v>
      </c>
      <c r="BW202" s="3264"/>
      <c r="CA202" s="3331">
        <f>SUM(CA199:CA201)</f>
        <v>188803479</v>
      </c>
      <c r="CB202" s="3331">
        <f>SUM(CB199:CB201)</f>
        <v>162583424</v>
      </c>
      <c r="CC202" s="3331">
        <f>SUM(CC199:CC201)</f>
        <v>26220055</v>
      </c>
      <c r="CD202" s="3331">
        <f>SUM(CD199:CD201)</f>
        <v>0</v>
      </c>
      <c r="CE202" s="3264"/>
      <c r="CI202" s="3331">
        <f>SUM(CI199:CI201)</f>
        <v>188803479</v>
      </c>
      <c r="CJ202" s="3331">
        <f>SUM(CJ199:CJ201)</f>
        <v>162583424</v>
      </c>
      <c r="CK202" s="3331">
        <f>SUM(CK199:CK201)</f>
        <v>26220055</v>
      </c>
      <c r="CL202" s="3331">
        <f>SUM(CL199:CL201)</f>
        <v>0</v>
      </c>
      <c r="CM202" s="3264"/>
      <c r="CQ202" s="3331">
        <f>SUM(CQ199:CQ201)</f>
        <v>188803479</v>
      </c>
      <c r="CR202" s="3331">
        <f>SUM(CR199:CR201)</f>
        <v>162583424</v>
      </c>
      <c r="CS202" s="3331">
        <f>SUM(CS199:CS201)</f>
        <v>26220055</v>
      </c>
      <c r="CT202" s="3331">
        <f>SUM(CT199:CT201)</f>
        <v>0</v>
      </c>
      <c r="CU202" s="3264"/>
      <c r="CY202" s="3331">
        <f>SUM(CY199:CY201)</f>
        <v>188803479</v>
      </c>
      <c r="CZ202" s="3331">
        <f>SUM(CZ199:CZ201)</f>
        <v>162583424</v>
      </c>
      <c r="DA202" s="3331">
        <f>SUM(DA199:DA201)</f>
        <v>26220055</v>
      </c>
      <c r="DB202" s="3331">
        <f>SUM(DB199:DB201)</f>
        <v>0</v>
      </c>
      <c r="DC202" s="3264"/>
      <c r="DG202" s="3331">
        <f>SUM(DG199:DG201)</f>
        <v>188803479</v>
      </c>
      <c r="DH202" s="3331">
        <f>SUM(DH199:DH201)</f>
        <v>162583424</v>
      </c>
      <c r="DI202" s="3331">
        <f>SUM(DI199:DI201)</f>
        <v>26220055</v>
      </c>
      <c r="DJ202" s="3331">
        <f>SUM(DJ199:DJ201)</f>
        <v>0</v>
      </c>
      <c r="DK202" s="3264"/>
      <c r="DO202" s="3331">
        <f>SUM(DO199:DO201)</f>
        <v>188803479</v>
      </c>
      <c r="DP202" s="3331">
        <f>SUM(DP199:DP201)</f>
        <v>162583424</v>
      </c>
      <c r="DQ202" s="3331">
        <f>SUM(DQ199:DQ201)</f>
        <v>26220055</v>
      </c>
      <c r="DR202" s="3331">
        <f>SUM(DR199:DR201)</f>
        <v>0</v>
      </c>
      <c r="DS202" s="3264"/>
      <c r="DW202" s="3331">
        <f>SUM(DW199:DW201)</f>
        <v>188803479</v>
      </c>
      <c r="DX202" s="3331">
        <f>SUM(DX199:DX201)</f>
        <v>162583424</v>
      </c>
      <c r="DY202" s="3331">
        <f>SUM(DY199:DY201)</f>
        <v>26220055</v>
      </c>
      <c r="DZ202" s="3331">
        <f>SUM(DZ199:DZ201)</f>
        <v>0</v>
      </c>
      <c r="EA202" s="3264"/>
      <c r="EE202" s="3331">
        <f>SUM(EE199:EE201)</f>
        <v>188803479</v>
      </c>
      <c r="EF202" s="3331">
        <f>SUM(EF199:EF201)</f>
        <v>162583424</v>
      </c>
      <c r="EG202" s="3331">
        <f>SUM(EG199:EG201)</f>
        <v>26220055</v>
      </c>
      <c r="EH202" s="3331">
        <f>SUM(EH199:EH201)</f>
        <v>0</v>
      </c>
      <c r="EI202" s="3264"/>
      <c r="EM202" s="3331">
        <f>SUM(EM199:EM201)</f>
        <v>188803479</v>
      </c>
      <c r="EN202" s="3331">
        <f>SUM(EN199:EN201)</f>
        <v>162583424</v>
      </c>
      <c r="EO202" s="3331">
        <f>SUM(EO199:EO201)</f>
        <v>26220055</v>
      </c>
      <c r="EP202" s="3331">
        <f>SUM(EP199:EP201)</f>
        <v>0</v>
      </c>
      <c r="EQ202" s="3264"/>
      <c r="EU202" s="3331">
        <f>SUM(EU199:EU201)</f>
        <v>188803479</v>
      </c>
      <c r="EV202" s="3331">
        <f>SUM(EV199:EV201)</f>
        <v>162583424</v>
      </c>
      <c r="EW202" s="3331">
        <f>SUM(EW199:EW201)</f>
        <v>26220055</v>
      </c>
      <c r="EX202" s="3331">
        <f>SUM(EX199:EX201)</f>
        <v>0</v>
      </c>
      <c r="EY202" s="3264"/>
      <c r="FC202" s="3331">
        <f>SUM(FC199:FC201)</f>
        <v>188803479</v>
      </c>
      <c r="FD202" s="3331">
        <f>SUM(FD199:FD201)</f>
        <v>162583424</v>
      </c>
      <c r="FE202" s="3331">
        <f>SUM(FE199:FE201)</f>
        <v>26220055</v>
      </c>
      <c r="FF202" s="3331">
        <f>SUM(FF199:FF201)</f>
        <v>0</v>
      </c>
      <c r="FG202" s="3264"/>
      <c r="FK202" s="3331">
        <f>SUM(FK199:FK201)</f>
        <v>188803479</v>
      </c>
      <c r="FL202" s="3331">
        <f>SUM(FL199:FL201)</f>
        <v>162583424</v>
      </c>
      <c r="FM202" s="3331">
        <f>SUM(FM199:FM201)</f>
        <v>26220055</v>
      </c>
      <c r="FN202" s="3331">
        <f>SUM(FN199:FN201)</f>
        <v>0</v>
      </c>
      <c r="FO202" s="3264"/>
    </row>
    <row r="203" spans="1:171" ht="12" thickBot="1">
      <c r="A203" s="2443"/>
      <c r="B203" s="2444"/>
      <c r="C203" s="2120"/>
      <c r="D203" s="2120"/>
      <c r="E203" s="2099"/>
      <c r="F203" s="2099"/>
      <c r="G203" s="3332"/>
      <c r="H203" s="2122"/>
      <c r="I203" s="2122"/>
      <c r="J203" s="3333"/>
      <c r="K203" s="3205"/>
      <c r="S203" s="3264"/>
      <c r="AA203" s="3264"/>
      <c r="AI203" s="3264"/>
      <c r="AQ203" s="3264"/>
      <c r="AY203" s="3264"/>
      <c r="BG203" s="3264"/>
      <c r="BO203" s="3264"/>
      <c r="BW203" s="3264"/>
      <c r="CE203" s="3264"/>
      <c r="CM203" s="3264"/>
      <c r="CU203" s="3264"/>
      <c r="DC203" s="3264"/>
      <c r="DK203" s="3264"/>
      <c r="DS203" s="3264"/>
      <c r="EA203" s="3264"/>
      <c r="EI203" s="3264"/>
      <c r="EQ203" s="3264"/>
      <c r="EY203" s="3264"/>
      <c r="FG203" s="3264"/>
      <c r="FO203" s="3264"/>
    </row>
    <row r="204" spans="1:171" ht="12" thickTop="1">
      <c r="A204" s="2305" t="s">
        <v>483</v>
      </c>
      <c r="B204" s="2097"/>
      <c r="C204" s="2116"/>
      <c r="D204" s="2098"/>
      <c r="E204" s="2097"/>
      <c r="F204" s="2097"/>
      <c r="G204" s="2463"/>
      <c r="H204" s="2118"/>
      <c r="I204" s="2118"/>
      <c r="J204" s="2441"/>
      <c r="K204" s="3205"/>
      <c r="S204" s="3264"/>
      <c r="AA204" s="3264"/>
      <c r="AI204" s="3264"/>
      <c r="AQ204" s="3264"/>
      <c r="AY204" s="3264"/>
      <c r="BG204" s="3264"/>
      <c r="BO204" s="3264"/>
      <c r="BW204" s="3264"/>
      <c r="CE204" s="3264"/>
      <c r="CM204" s="3264"/>
      <c r="CU204" s="3264"/>
      <c r="DC204" s="3264"/>
      <c r="DK204" s="3264"/>
      <c r="DS204" s="3264"/>
      <c r="EA204" s="3264"/>
      <c r="EI204" s="3264"/>
      <c r="EQ204" s="3264"/>
      <c r="EY204" s="3264"/>
      <c r="FG204" s="3264"/>
      <c r="FO204" s="3264"/>
    </row>
    <row r="205" spans="1:171">
      <c r="A205" s="2442"/>
      <c r="B205" s="2185" t="s">
        <v>462</v>
      </c>
      <c r="C205" s="2464" t="s">
        <v>72</v>
      </c>
      <c r="D205" s="2171" t="s">
        <v>484</v>
      </c>
      <c r="E205" s="2424" t="str">
        <f>'Sch 3 - Expenses'!E45</f>
        <v>DIST</v>
      </c>
      <c r="F205" s="2171"/>
      <c r="G205" s="2424">
        <f>'Sch 3 - Expenses'!G45</f>
        <v>44589259</v>
      </c>
      <c r="H205" s="2424">
        <f>'Sch 3 - Expenses'!H45</f>
        <v>0</v>
      </c>
      <c r="I205" s="2424">
        <f>'Sch 3 - Expenses'!I45</f>
        <v>0</v>
      </c>
      <c r="J205" s="2425">
        <f>'Sch 3 - Expenses'!J45</f>
        <v>44589259</v>
      </c>
      <c r="K205" s="3205">
        <f>IF($E205="DIRECT",0,1)</f>
        <v>1</v>
      </c>
      <c r="O205" s="3235">
        <f>$G205</f>
        <v>44589259</v>
      </c>
      <c r="P205" s="3236">
        <f>VLOOKUP($E205,O$442:R$453,2,FALSE)*O205*($K205)+IF($G205&lt;&gt;0,($H205/$G205)*O205,0)*(1-$K205)</f>
        <v>0</v>
      </c>
      <c r="Q205" s="3236">
        <f>VLOOKUP($E205,O$442:R$453,3,FALSE)*O205*($K205)+IF($G205&lt;&gt;0,($I205/$G205)*O205,0)*(1-$K205)</f>
        <v>0</v>
      </c>
      <c r="R205" s="3236">
        <f>VLOOKUP($E205,O$442:R$453,4,FALSE)*O205*($K205)+(O205-P205-Q205)*(1-$K205)</f>
        <v>44589259</v>
      </c>
      <c r="S205" s="3264"/>
      <c r="W205" s="3235">
        <f>$G205</f>
        <v>44589259</v>
      </c>
      <c r="X205" s="3236">
        <f>VLOOKUP($E205,W$442:Z$453,2,FALSE)*W205*($K205)+IF($G205&lt;&gt;0,($H205/$G205)*W205,0)*(1-$K205)</f>
        <v>0</v>
      </c>
      <c r="Y205" s="3236">
        <f>VLOOKUP($E205,W$442:Z$453,3,FALSE)*W205*($K205)+IF($G205&lt;&gt;0,($I205/$G205)*W205,0)*(1-$K205)</f>
        <v>0</v>
      </c>
      <c r="Z205" s="3236">
        <f>VLOOKUP($E205,W$442:Z$453,4,FALSE)*W205*($K205)+(W205-X205-Y205)*(1-$K205)</f>
        <v>44589259</v>
      </c>
      <c r="AA205" s="3264"/>
      <c r="AE205" s="3235">
        <f>$G205</f>
        <v>44589259</v>
      </c>
      <c r="AF205" s="3236">
        <f>VLOOKUP($E205,AE$442:AH$453,2,FALSE)*AE205*($K205)+IF($G205&lt;&gt;0,($H205/$G205)*AE205,0)*(1-$K205)</f>
        <v>0</v>
      </c>
      <c r="AG205" s="3236">
        <f>VLOOKUP($E205,AE$442:AH$453,3,FALSE)*AE205*($K205)+IF($G205&lt;&gt;0,($I205/$G205)*AE205,0)*(1-$K205)</f>
        <v>0</v>
      </c>
      <c r="AH205" s="3236">
        <f>VLOOKUP($E205,AE$442:AH$453,4,FALSE)*AE205*($K205)+(AE205-AF205-AG205)*(1-$K205)</f>
        <v>44589259</v>
      </c>
      <c r="AI205" s="3264"/>
      <c r="AM205" s="3235">
        <f>$G205</f>
        <v>44589259</v>
      </c>
      <c r="AN205" s="3236">
        <f>VLOOKUP($E205,AM$442:AP$453,2,FALSE)*AM205*($K205)+IF($G205&lt;&gt;0,($H205/$G205)*AM205,0)*(1-$K205)</f>
        <v>0</v>
      </c>
      <c r="AO205" s="3236">
        <f>VLOOKUP($E205,AM$442:AP$453,3,FALSE)*AM205*($K205)+IF($G205&lt;&gt;0,($I205/$G205)*AM205,0)*(1-$K205)</f>
        <v>0</v>
      </c>
      <c r="AP205" s="3236">
        <f>VLOOKUP($E205,AM$442:AP$453,4,FALSE)*AM205*($K205)+(AM205-AN205-AO205)*(1-$K205)</f>
        <v>44589259</v>
      </c>
      <c r="AQ205" s="3264"/>
      <c r="AU205" s="3235">
        <f>$G205</f>
        <v>44589259</v>
      </c>
      <c r="AV205" s="3236">
        <f>VLOOKUP($E205,AU$442:AX$453,2,FALSE)*AU205*($K205)+IF($G205&lt;&gt;0,($H205/$G205)*AU205,0)*(1-$K205)</f>
        <v>0</v>
      </c>
      <c r="AW205" s="3236">
        <f>VLOOKUP($E205,AU$442:AX$453,3,FALSE)*AU205*($K205)+IF($G205&lt;&gt;0,($I205/$G205)*AU205,0)*(1-$K205)</f>
        <v>0</v>
      </c>
      <c r="AX205" s="3236">
        <f>VLOOKUP($E205,AU$442:AX$453,4,FALSE)*AU205*($K205)+(AU205-AV205-AW205)*(1-$K205)</f>
        <v>44589259</v>
      </c>
      <c r="AY205" s="3264"/>
      <c r="BC205" s="3235">
        <f>$G205</f>
        <v>44589259</v>
      </c>
      <c r="BD205" s="3236">
        <f>VLOOKUP($E205,BC$442:BF$453,2,FALSE)*BC205*($K205)+IF($G205&lt;&gt;0,($H205/$G205)*BC205,0)*(1-$K205)</f>
        <v>0</v>
      </c>
      <c r="BE205" s="3236">
        <f>VLOOKUP($E205,BC$442:BF$453,3,FALSE)*BC205*($K205)+IF($G205&lt;&gt;0,($I205/$G205)*BC205,0)*(1-$K205)</f>
        <v>0</v>
      </c>
      <c r="BF205" s="3236">
        <f>VLOOKUP($E205,BC$442:BF$453,4,FALSE)*BC205*($K205)+(BC205-BD205-BE205)*(1-$K205)</f>
        <v>44589259</v>
      </c>
      <c r="BG205" s="3264"/>
      <c r="BK205" s="3235">
        <f>$G205</f>
        <v>44589259</v>
      </c>
      <c r="BL205" s="3236">
        <f>VLOOKUP($E205,BK$442:BN$453,2,FALSE)*BK205*($K205)+IF($G205&lt;&gt;0,($H205/$G205)*BK205,0)*(1-$K205)</f>
        <v>0</v>
      </c>
      <c r="BM205" s="3236">
        <f>VLOOKUP($E205,BK$442:BN$453,3,FALSE)*BK205*($K205)+IF($G205&lt;&gt;0,($I205/$G205)*BK205,0)*(1-$K205)</f>
        <v>0</v>
      </c>
      <c r="BN205" s="3236">
        <f>VLOOKUP($E205,BK$442:BN$453,4,FALSE)*BK205*($K205)+(BK205-BL205-BM205)*(1-$K205)</f>
        <v>44589259</v>
      </c>
      <c r="BO205" s="3264"/>
      <c r="BS205" s="3235">
        <f>$G205</f>
        <v>44589259</v>
      </c>
      <c r="BT205" s="3236">
        <f>VLOOKUP($E205,BS$442:BV$453,2,FALSE)*BS205*($K205)+IF($G205&lt;&gt;0,($H205/$G205)*BS205,0)*(1-$K205)</f>
        <v>0</v>
      </c>
      <c r="BU205" s="3236">
        <f>VLOOKUP($E205,BS$442:BV$453,3,FALSE)*BS205*($K205)+IF($G205&lt;&gt;0,($I205/$G205)*BS205,0)*(1-$K205)</f>
        <v>0</v>
      </c>
      <c r="BV205" s="3236">
        <f>VLOOKUP($E205,BS$442:BV$453,4,FALSE)*BS205*($K205)+(BS205-BT205-BU205)*(1-$K205)</f>
        <v>44589259</v>
      </c>
      <c r="BW205" s="3264"/>
      <c r="CA205" s="3235">
        <f>$G205</f>
        <v>44589259</v>
      </c>
      <c r="CB205" s="3236">
        <f>VLOOKUP($E205,CA$442:CD$453,2,FALSE)*CA205*($K205)+IF($G205&lt;&gt;0,($H205/$G205)*CA205,0)*(1-$K205)</f>
        <v>0</v>
      </c>
      <c r="CC205" s="3236">
        <f>VLOOKUP($E205,CA$442:CD$453,3,FALSE)*CA205*($K205)+IF($G205&lt;&gt;0,($I205/$G205)*CA205,0)*(1-$K205)</f>
        <v>0</v>
      </c>
      <c r="CD205" s="3236">
        <f>VLOOKUP($E205,CA$442:CD$453,4,FALSE)*CA205*($K205)+(CA205-CB205-CC205)*(1-$K205)</f>
        <v>44589259</v>
      </c>
      <c r="CE205" s="3264"/>
      <c r="CI205" s="3235">
        <f>$G205</f>
        <v>44589259</v>
      </c>
      <c r="CJ205" s="3236">
        <f>VLOOKUP($E205,CI$442:CL$453,2,FALSE)*CI205*($K205)+IF($G205&lt;&gt;0,($H205/$G205)*CI205,0)*(1-$K205)</f>
        <v>0</v>
      </c>
      <c r="CK205" s="3236">
        <f>VLOOKUP($E205,CI$442:CL$453,3,FALSE)*CI205*($K205)+IF($G205&lt;&gt;0,($I205/$G205)*CI205,0)*(1-$K205)</f>
        <v>0</v>
      </c>
      <c r="CL205" s="3236">
        <f>VLOOKUP($E205,CI$442:CL$453,4,FALSE)*CI205*($K205)+(CI205-CJ205-CK205)*(1-$K205)</f>
        <v>44589259</v>
      </c>
      <c r="CM205" s="3264"/>
      <c r="CQ205" s="3235">
        <f>$G205</f>
        <v>44589259</v>
      </c>
      <c r="CR205" s="3236">
        <f>VLOOKUP($E205,CQ$442:CT$453,2,FALSE)*CQ205*($K205)+IF($G205&lt;&gt;0,($H205/$G205)*CQ205,0)*(1-$K205)</f>
        <v>0</v>
      </c>
      <c r="CS205" s="3236">
        <f>VLOOKUP($E205,CQ$442:CT$453,3,FALSE)*CQ205*($K205)+IF($G205&lt;&gt;0,($I205/$G205)*CQ205,0)*(1-$K205)</f>
        <v>0</v>
      </c>
      <c r="CT205" s="3236">
        <f>VLOOKUP($E205,CQ$442:CT$453,4,FALSE)*CQ205*($K205)+(CQ205-CR205-CS205)*(1-$K205)</f>
        <v>44589259</v>
      </c>
      <c r="CU205" s="3264"/>
      <c r="CY205" s="3235">
        <f>$G205</f>
        <v>44589259</v>
      </c>
      <c r="CZ205" s="3236">
        <f>VLOOKUP($E205,CY$442:DB$453,2,FALSE)*CY205*($K205)+IF($G205&lt;&gt;0,($H205/$G205)*CY205,0)*(1-$K205)</f>
        <v>0</v>
      </c>
      <c r="DA205" s="3236">
        <f>VLOOKUP($E205,CY$442:DB$453,3,FALSE)*CY205*($K205)+IF($G205&lt;&gt;0,($I205/$G205)*CY205,0)*(1-$K205)</f>
        <v>0</v>
      </c>
      <c r="DB205" s="3236">
        <f>VLOOKUP($E205,CY$442:DB$453,4,FALSE)*CY205*($K205)+(CY205-CZ205-DA205)*(1-$K205)</f>
        <v>44589259</v>
      </c>
      <c r="DC205" s="3264"/>
      <c r="DG205" s="3235">
        <f>$G205</f>
        <v>44589259</v>
      </c>
      <c r="DH205" s="3236">
        <f>VLOOKUP($E205,DG$442:DJ$453,2,FALSE)*DG205*($K205)+IF($G205&lt;&gt;0,($H205/$G205)*DG205,0)*(1-$K205)</f>
        <v>0</v>
      </c>
      <c r="DI205" s="3236">
        <f>VLOOKUP($E205,DG$442:DJ$453,3,FALSE)*DG205*($K205)+IF($G205&lt;&gt;0,($I205/$G205)*DG205,0)*(1-$K205)</f>
        <v>0</v>
      </c>
      <c r="DJ205" s="3236">
        <f>VLOOKUP($E205,DG$442:DJ$453,4,FALSE)*DG205*($K205)+(DG205-DH205-DI205)*(1-$K205)</f>
        <v>44589259</v>
      </c>
      <c r="DK205" s="3264"/>
      <c r="DO205" s="3235">
        <f>$G205</f>
        <v>44589259</v>
      </c>
      <c r="DP205" s="3236">
        <f>VLOOKUP($E205,DO$442:DR$453,2,FALSE)*DO205*($K205)+IF($G205&lt;&gt;0,($H205/$G205)*DO205,0)*(1-$K205)</f>
        <v>0</v>
      </c>
      <c r="DQ205" s="3236">
        <f>VLOOKUP($E205,DO$442:DR$453,3,FALSE)*DO205*($K205)+IF($G205&lt;&gt;0,($I205/$G205)*DO205,0)*(1-$K205)</f>
        <v>0</v>
      </c>
      <c r="DR205" s="3236">
        <f>VLOOKUP($E205,DO$442:DR$453,4,FALSE)*DO205*($K205)+(DO205-DP205-DQ205)*(1-$K205)</f>
        <v>44589259</v>
      </c>
      <c r="DS205" s="3264"/>
      <c r="DW205" s="3235">
        <f>$G205</f>
        <v>44589259</v>
      </c>
      <c r="DX205" s="3236">
        <f>VLOOKUP($E205,DW$442:DZ$453,2,FALSE)*DW205*($K205)+IF($G205&lt;&gt;0,($H205/$G205)*DW205,0)*(1-$K205)</f>
        <v>0</v>
      </c>
      <c r="DY205" s="3236">
        <f>VLOOKUP($E205,DW$442:DZ$453,3,FALSE)*DW205*($K205)+IF($G205&lt;&gt;0,($I205/$G205)*DW205,0)*(1-$K205)</f>
        <v>0</v>
      </c>
      <c r="DZ205" s="3236">
        <f>VLOOKUP($E205,DW$442:DZ$453,4,FALSE)*DW205*($K205)+(DW205-DX205-DY205)*(1-$K205)</f>
        <v>44589259</v>
      </c>
      <c r="EA205" s="3264"/>
      <c r="EE205" s="3235">
        <f>$G205</f>
        <v>44589259</v>
      </c>
      <c r="EF205" s="3236">
        <f>VLOOKUP($E205,EE$442:EH$453,2,FALSE)*EE205*($K205)+IF($G205&lt;&gt;0,($H205/$G205)*EE205,0)*(1-$K205)</f>
        <v>0</v>
      </c>
      <c r="EG205" s="3236">
        <f>VLOOKUP($E205,EE$442:EH$453,3,FALSE)*EE205*($K205)+IF($G205&lt;&gt;0,($I205/$G205)*EE205,0)*(1-$K205)</f>
        <v>0</v>
      </c>
      <c r="EH205" s="3236">
        <f>VLOOKUP($E205,EE$442:EH$453,4,FALSE)*EE205*($K205)+(EE205-EF205-EG205)*(1-$K205)</f>
        <v>44589259</v>
      </c>
      <c r="EI205" s="3264"/>
      <c r="EM205" s="3235">
        <f>$G205</f>
        <v>44589259</v>
      </c>
      <c r="EN205" s="3236">
        <f>VLOOKUP($E205,EM$442:EP$453,2,FALSE)*EM205*($K205)+IF($G205&lt;&gt;0,($H205/$G205)*EM205,0)*(1-$K205)</f>
        <v>0</v>
      </c>
      <c r="EO205" s="3236">
        <f>VLOOKUP($E205,EM$442:EP$453,3,FALSE)*EM205*($K205)+IF($G205&lt;&gt;0,($I205/$G205)*EM205,0)*(1-$K205)</f>
        <v>0</v>
      </c>
      <c r="EP205" s="3236">
        <f>VLOOKUP($E205,EM$442:EP$453,4,FALSE)*EM205*($K205)+(EM205-EN205-EO205)*(1-$K205)</f>
        <v>44589259</v>
      </c>
      <c r="EQ205" s="3264"/>
      <c r="EU205" s="3235">
        <f>$G205</f>
        <v>44589259</v>
      </c>
      <c r="EV205" s="3236">
        <f>VLOOKUP($E205,EU$442:EX$453,2,FALSE)*EU205*($K205)+IF($G205&lt;&gt;0,($H205/$G205)*EU205,0)*(1-$K205)</f>
        <v>0</v>
      </c>
      <c r="EW205" s="3236">
        <f>VLOOKUP($E205,EU$442:EX$453,3,FALSE)*EU205*($K205)+IF($G205&lt;&gt;0,($I205/$G205)*EU205,0)*(1-$K205)</f>
        <v>0</v>
      </c>
      <c r="EX205" s="3236">
        <f>VLOOKUP($E205,EU$442:EX$453,4,FALSE)*EU205*($K205)+(EU205-EV205-EW205)*(1-$K205)</f>
        <v>44589259</v>
      </c>
      <c r="EY205" s="3264"/>
      <c r="FC205" s="3235">
        <f>$G205</f>
        <v>44589259</v>
      </c>
      <c r="FD205" s="3236">
        <f>VLOOKUP($E205,FC$442:FF$453,2,FALSE)*FC205*($K205)+IF($G205&lt;&gt;0,($H205/$G205)*FC205,0)*(1-$K205)</f>
        <v>0</v>
      </c>
      <c r="FE205" s="3236">
        <f>VLOOKUP($E205,FC$442:FF$453,3,FALSE)*FC205*($K205)+IF($G205&lt;&gt;0,($I205/$G205)*FC205,0)*(1-$K205)</f>
        <v>0</v>
      </c>
      <c r="FF205" s="3236">
        <f>VLOOKUP($E205,FC$442:FF$453,4,FALSE)*FC205*($K205)+(FC205-FD205-FE205)*(1-$K205)</f>
        <v>44589259</v>
      </c>
      <c r="FG205" s="3264"/>
      <c r="FK205" s="3235">
        <f>$G205</f>
        <v>44589259</v>
      </c>
      <c r="FL205" s="3236">
        <f>VLOOKUP($E205,FK$442:FN$453,2,FALSE)*FK205*($K205)+IF($G205&lt;&gt;0,($H205/$G205)*FK205,0)*(1-$K205)</f>
        <v>0</v>
      </c>
      <c r="FM205" s="3236">
        <f>VLOOKUP($E205,FK$442:FN$453,3,FALSE)*FK205*($K205)+IF($G205&lt;&gt;0,($I205/$G205)*FK205,0)*(1-$K205)</f>
        <v>0</v>
      </c>
      <c r="FN205" s="3236">
        <f>VLOOKUP($E205,FK$442:FN$453,4,FALSE)*FK205*($K205)+(FK205-FL205-FM205)*(1-$K205)</f>
        <v>44589259</v>
      </c>
      <c r="FO205" s="3264"/>
    </row>
    <row r="206" spans="1:171">
      <c r="A206" s="2442"/>
      <c r="B206" s="2185" t="s">
        <v>461</v>
      </c>
      <c r="C206" s="2464" t="s">
        <v>72</v>
      </c>
      <c r="D206" s="2171" t="s">
        <v>485</v>
      </c>
      <c r="E206" s="2424" t="str">
        <f>'Sch 3 - Expenses'!E46</f>
        <v>DIST</v>
      </c>
      <c r="F206" s="2171"/>
      <c r="G206" s="2424">
        <f>'Sch 3 - Expenses'!G46</f>
        <v>64057473</v>
      </c>
      <c r="H206" s="2424">
        <f>'Sch 3 - Expenses'!H46</f>
        <v>0</v>
      </c>
      <c r="I206" s="2424">
        <f>'Sch 3 - Expenses'!I46</f>
        <v>0</v>
      </c>
      <c r="J206" s="2425">
        <f>'Sch 3 - Expenses'!J46</f>
        <v>64057473</v>
      </c>
      <c r="K206" s="3205">
        <f>IF($E206="DIRECT",0,1)</f>
        <v>1</v>
      </c>
      <c r="O206" s="3235">
        <f>$G206</f>
        <v>64057473</v>
      </c>
      <c r="P206" s="3236">
        <f>VLOOKUP($E206,O$442:R$453,2,FALSE)*O206*($K206)+IF($G206&lt;&gt;0,($H206/$G206)*O206,0)*(1-$K206)</f>
        <v>0</v>
      </c>
      <c r="Q206" s="3236">
        <f>VLOOKUP($E206,O$442:R$453,3,FALSE)*O206*($K206)+IF($G206&lt;&gt;0,($I206/$G206)*O206,0)*(1-$K206)</f>
        <v>0</v>
      </c>
      <c r="R206" s="3236">
        <f>VLOOKUP($E206,O$442:R$453,4,FALSE)*O206*($K206)+(O206-P206-Q206)*(1-$K206)</f>
        <v>64057473</v>
      </c>
      <c r="S206" s="3264"/>
      <c r="W206" s="3235">
        <f>$G206</f>
        <v>64057473</v>
      </c>
      <c r="X206" s="3236">
        <f>VLOOKUP($E206,W$442:Z$453,2,FALSE)*W206*($K206)+IF($G206&lt;&gt;0,($H206/$G206)*W206,0)*(1-$K206)</f>
        <v>0</v>
      </c>
      <c r="Y206" s="3236">
        <f>VLOOKUP($E206,W$442:Z$453,3,FALSE)*W206*($K206)+IF($G206&lt;&gt;0,($I206/$G206)*W206,0)*(1-$K206)</f>
        <v>0</v>
      </c>
      <c r="Z206" s="3236">
        <f>VLOOKUP($E206,W$442:Z$453,4,FALSE)*W206*($K206)+(W206-X206-Y206)*(1-$K206)</f>
        <v>64057473</v>
      </c>
      <c r="AA206" s="3264"/>
      <c r="AE206" s="3235">
        <f>$G206</f>
        <v>64057473</v>
      </c>
      <c r="AF206" s="3236">
        <f>VLOOKUP($E206,AE$442:AH$453,2,FALSE)*AE206*($K206)+IF($G206&lt;&gt;0,($H206/$G206)*AE206,0)*(1-$K206)</f>
        <v>0</v>
      </c>
      <c r="AG206" s="3236">
        <f>VLOOKUP($E206,AE$442:AH$453,3,FALSE)*AE206*($K206)+IF($G206&lt;&gt;0,($I206/$G206)*AE206,0)*(1-$K206)</f>
        <v>0</v>
      </c>
      <c r="AH206" s="3236">
        <f>VLOOKUP($E206,AE$442:AH$453,4,FALSE)*AE206*($K206)+(AE206-AF206-AG206)*(1-$K206)</f>
        <v>64057473</v>
      </c>
      <c r="AI206" s="3264"/>
      <c r="AM206" s="3235">
        <f>$G206</f>
        <v>64057473</v>
      </c>
      <c r="AN206" s="3236">
        <f>VLOOKUP($E206,AM$442:AP$453,2,FALSE)*AM206*($K206)+IF($G206&lt;&gt;0,($H206/$G206)*AM206,0)*(1-$K206)</f>
        <v>0</v>
      </c>
      <c r="AO206" s="3236">
        <f>VLOOKUP($E206,AM$442:AP$453,3,FALSE)*AM206*($K206)+IF($G206&lt;&gt;0,($I206/$G206)*AM206,0)*(1-$K206)</f>
        <v>0</v>
      </c>
      <c r="AP206" s="3236">
        <f>VLOOKUP($E206,AM$442:AP$453,4,FALSE)*AM206*($K206)+(AM206-AN206-AO206)*(1-$K206)</f>
        <v>64057473</v>
      </c>
      <c r="AQ206" s="3264"/>
      <c r="AU206" s="3235">
        <f>$G206</f>
        <v>64057473</v>
      </c>
      <c r="AV206" s="3236">
        <f>VLOOKUP($E206,AU$442:AX$453,2,FALSE)*AU206*($K206)+IF($G206&lt;&gt;0,($H206/$G206)*AU206,0)*(1-$K206)</f>
        <v>0</v>
      </c>
      <c r="AW206" s="3236">
        <f>VLOOKUP($E206,AU$442:AX$453,3,FALSE)*AU206*($K206)+IF($G206&lt;&gt;0,($I206/$G206)*AU206,0)*(1-$K206)</f>
        <v>0</v>
      </c>
      <c r="AX206" s="3236">
        <f>VLOOKUP($E206,AU$442:AX$453,4,FALSE)*AU206*($K206)+(AU206-AV206-AW206)*(1-$K206)</f>
        <v>64057473</v>
      </c>
      <c r="AY206" s="3264"/>
      <c r="BC206" s="3235">
        <f>$G206</f>
        <v>64057473</v>
      </c>
      <c r="BD206" s="3236">
        <f>VLOOKUP($E206,BC$442:BF$453,2,FALSE)*BC206*($K206)+IF($G206&lt;&gt;0,($H206/$G206)*BC206,0)*(1-$K206)</f>
        <v>0</v>
      </c>
      <c r="BE206" s="3236">
        <f>VLOOKUP($E206,BC$442:BF$453,3,FALSE)*BC206*($K206)+IF($G206&lt;&gt;0,($I206/$G206)*BC206,0)*(1-$K206)</f>
        <v>0</v>
      </c>
      <c r="BF206" s="3236">
        <f>VLOOKUP($E206,BC$442:BF$453,4,FALSE)*BC206*($K206)+(BC206-BD206-BE206)*(1-$K206)</f>
        <v>64057473</v>
      </c>
      <c r="BG206" s="3264"/>
      <c r="BK206" s="3235">
        <f>$G206</f>
        <v>64057473</v>
      </c>
      <c r="BL206" s="3236">
        <f>VLOOKUP($E206,BK$442:BN$453,2,FALSE)*BK206*($K206)+IF($G206&lt;&gt;0,($H206/$G206)*BK206,0)*(1-$K206)</f>
        <v>0</v>
      </c>
      <c r="BM206" s="3236">
        <f>VLOOKUP($E206,BK$442:BN$453,3,FALSE)*BK206*($K206)+IF($G206&lt;&gt;0,($I206/$G206)*BK206,0)*(1-$K206)</f>
        <v>0</v>
      </c>
      <c r="BN206" s="3236">
        <f>VLOOKUP($E206,BK$442:BN$453,4,FALSE)*BK206*($K206)+(BK206-BL206-BM206)*(1-$K206)</f>
        <v>64057473</v>
      </c>
      <c r="BO206" s="3264"/>
      <c r="BS206" s="3235">
        <f>$G206</f>
        <v>64057473</v>
      </c>
      <c r="BT206" s="3236">
        <f>VLOOKUP($E206,BS$442:BV$453,2,FALSE)*BS206*($K206)+IF($G206&lt;&gt;0,($H206/$G206)*BS206,0)*(1-$K206)</f>
        <v>0</v>
      </c>
      <c r="BU206" s="3236">
        <f>VLOOKUP($E206,BS$442:BV$453,3,FALSE)*BS206*($K206)+IF($G206&lt;&gt;0,($I206/$G206)*BS206,0)*(1-$K206)</f>
        <v>0</v>
      </c>
      <c r="BV206" s="3236">
        <f>VLOOKUP($E206,BS$442:BV$453,4,FALSE)*BS206*($K206)+(BS206-BT206-BU206)*(1-$K206)</f>
        <v>64057473</v>
      </c>
      <c r="BW206" s="3264"/>
      <c r="CA206" s="3235">
        <f>$G206</f>
        <v>64057473</v>
      </c>
      <c r="CB206" s="3236">
        <f>VLOOKUP($E206,CA$442:CD$453,2,FALSE)*CA206*($K206)+IF($G206&lt;&gt;0,($H206/$G206)*CA206,0)*(1-$K206)</f>
        <v>0</v>
      </c>
      <c r="CC206" s="3236">
        <f>VLOOKUP($E206,CA$442:CD$453,3,FALSE)*CA206*($K206)+IF($G206&lt;&gt;0,($I206/$G206)*CA206,0)*(1-$K206)</f>
        <v>0</v>
      </c>
      <c r="CD206" s="3236">
        <f>VLOOKUP($E206,CA$442:CD$453,4,FALSE)*CA206*($K206)+(CA206-CB206-CC206)*(1-$K206)</f>
        <v>64057473</v>
      </c>
      <c r="CE206" s="3264"/>
      <c r="CI206" s="3235">
        <f>$G206</f>
        <v>64057473</v>
      </c>
      <c r="CJ206" s="3236">
        <f>VLOOKUP($E206,CI$442:CL$453,2,FALSE)*CI206*($K206)+IF($G206&lt;&gt;0,($H206/$G206)*CI206,0)*(1-$K206)</f>
        <v>0</v>
      </c>
      <c r="CK206" s="3236">
        <f>VLOOKUP($E206,CI$442:CL$453,3,FALSE)*CI206*($K206)+IF($G206&lt;&gt;0,($I206/$G206)*CI206,0)*(1-$K206)</f>
        <v>0</v>
      </c>
      <c r="CL206" s="3236">
        <f>VLOOKUP($E206,CI$442:CL$453,4,FALSE)*CI206*($K206)+(CI206-CJ206-CK206)*(1-$K206)</f>
        <v>64057473</v>
      </c>
      <c r="CM206" s="3264"/>
      <c r="CQ206" s="3235">
        <f>$G206</f>
        <v>64057473</v>
      </c>
      <c r="CR206" s="3236">
        <f>VLOOKUP($E206,CQ$442:CT$453,2,FALSE)*CQ206*($K206)+IF($G206&lt;&gt;0,($H206/$G206)*CQ206,0)*(1-$K206)</f>
        <v>0</v>
      </c>
      <c r="CS206" s="3236">
        <f>VLOOKUP($E206,CQ$442:CT$453,3,FALSE)*CQ206*($K206)+IF($G206&lt;&gt;0,($I206/$G206)*CQ206,0)*(1-$K206)</f>
        <v>0</v>
      </c>
      <c r="CT206" s="3236">
        <f>VLOOKUP($E206,CQ$442:CT$453,4,FALSE)*CQ206*($K206)+(CQ206-CR206-CS206)*(1-$K206)</f>
        <v>64057473</v>
      </c>
      <c r="CU206" s="3264"/>
      <c r="CY206" s="3235">
        <f>$G206</f>
        <v>64057473</v>
      </c>
      <c r="CZ206" s="3236">
        <f>VLOOKUP($E206,CY$442:DB$453,2,FALSE)*CY206*($K206)+IF($G206&lt;&gt;0,($H206/$G206)*CY206,0)*(1-$K206)</f>
        <v>0</v>
      </c>
      <c r="DA206" s="3236">
        <f>VLOOKUP($E206,CY$442:DB$453,3,FALSE)*CY206*($K206)+IF($G206&lt;&gt;0,($I206/$G206)*CY206,0)*(1-$K206)</f>
        <v>0</v>
      </c>
      <c r="DB206" s="3236">
        <f>VLOOKUP($E206,CY$442:DB$453,4,FALSE)*CY206*($K206)+(CY206-CZ206-DA206)*(1-$K206)</f>
        <v>64057473</v>
      </c>
      <c r="DC206" s="3264"/>
      <c r="DG206" s="3235">
        <f>$G206</f>
        <v>64057473</v>
      </c>
      <c r="DH206" s="3236">
        <f>VLOOKUP($E206,DG$442:DJ$453,2,FALSE)*DG206*($K206)+IF($G206&lt;&gt;0,($H206/$G206)*DG206,0)*(1-$K206)</f>
        <v>0</v>
      </c>
      <c r="DI206" s="3236">
        <f>VLOOKUP($E206,DG$442:DJ$453,3,FALSE)*DG206*($K206)+IF($G206&lt;&gt;0,($I206/$G206)*DG206,0)*(1-$K206)</f>
        <v>0</v>
      </c>
      <c r="DJ206" s="3236">
        <f>VLOOKUP($E206,DG$442:DJ$453,4,FALSE)*DG206*($K206)+(DG206-DH206-DI206)*(1-$K206)</f>
        <v>64057473</v>
      </c>
      <c r="DK206" s="3264"/>
      <c r="DO206" s="3235">
        <f>$G206</f>
        <v>64057473</v>
      </c>
      <c r="DP206" s="3236">
        <f>VLOOKUP($E206,DO$442:DR$453,2,FALSE)*DO206*($K206)+IF($G206&lt;&gt;0,($H206/$G206)*DO206,0)*(1-$K206)</f>
        <v>0</v>
      </c>
      <c r="DQ206" s="3236">
        <f>VLOOKUP($E206,DO$442:DR$453,3,FALSE)*DO206*($K206)+IF($G206&lt;&gt;0,($I206/$G206)*DO206,0)*(1-$K206)</f>
        <v>0</v>
      </c>
      <c r="DR206" s="3236">
        <f>VLOOKUP($E206,DO$442:DR$453,4,FALSE)*DO206*($K206)+(DO206-DP206-DQ206)*(1-$K206)</f>
        <v>64057473</v>
      </c>
      <c r="DS206" s="3264"/>
      <c r="DW206" s="3235">
        <f>$G206</f>
        <v>64057473</v>
      </c>
      <c r="DX206" s="3236">
        <f>VLOOKUP($E206,DW$442:DZ$453,2,FALSE)*DW206*($K206)+IF($G206&lt;&gt;0,($H206/$G206)*DW206,0)*(1-$K206)</f>
        <v>0</v>
      </c>
      <c r="DY206" s="3236">
        <f>VLOOKUP($E206,DW$442:DZ$453,3,FALSE)*DW206*($K206)+IF($G206&lt;&gt;0,($I206/$G206)*DW206,0)*(1-$K206)</f>
        <v>0</v>
      </c>
      <c r="DZ206" s="3236">
        <f>VLOOKUP($E206,DW$442:DZ$453,4,FALSE)*DW206*($K206)+(DW206-DX206-DY206)*(1-$K206)</f>
        <v>64057473</v>
      </c>
      <c r="EA206" s="3264"/>
      <c r="EE206" s="3235">
        <f>$G206</f>
        <v>64057473</v>
      </c>
      <c r="EF206" s="3236">
        <f>VLOOKUP($E206,EE$442:EH$453,2,FALSE)*EE206*($K206)+IF($G206&lt;&gt;0,($H206/$G206)*EE206,0)*(1-$K206)</f>
        <v>0</v>
      </c>
      <c r="EG206" s="3236">
        <f>VLOOKUP($E206,EE$442:EH$453,3,FALSE)*EE206*($K206)+IF($G206&lt;&gt;0,($I206/$G206)*EE206,0)*(1-$K206)</f>
        <v>0</v>
      </c>
      <c r="EH206" s="3236">
        <f>VLOOKUP($E206,EE$442:EH$453,4,FALSE)*EE206*($K206)+(EE206-EF206-EG206)*(1-$K206)</f>
        <v>64057473</v>
      </c>
      <c r="EI206" s="3264"/>
      <c r="EM206" s="3235">
        <f>$G206</f>
        <v>64057473</v>
      </c>
      <c r="EN206" s="3236">
        <f>VLOOKUP($E206,EM$442:EP$453,2,FALSE)*EM206*($K206)+IF($G206&lt;&gt;0,($H206/$G206)*EM206,0)*(1-$K206)</f>
        <v>0</v>
      </c>
      <c r="EO206" s="3236">
        <f>VLOOKUP($E206,EM$442:EP$453,3,FALSE)*EM206*($K206)+IF($G206&lt;&gt;0,($I206/$G206)*EM206,0)*(1-$K206)</f>
        <v>0</v>
      </c>
      <c r="EP206" s="3236">
        <f>VLOOKUP($E206,EM$442:EP$453,4,FALSE)*EM206*($K206)+(EM206-EN206-EO206)*(1-$K206)</f>
        <v>64057473</v>
      </c>
      <c r="EQ206" s="3264"/>
      <c r="EU206" s="3235">
        <f>$G206</f>
        <v>64057473</v>
      </c>
      <c r="EV206" s="3236">
        <f>VLOOKUP($E206,EU$442:EX$453,2,FALSE)*EU206*($K206)+IF($G206&lt;&gt;0,($H206/$G206)*EU206,0)*(1-$K206)</f>
        <v>0</v>
      </c>
      <c r="EW206" s="3236">
        <f>VLOOKUP($E206,EU$442:EX$453,3,FALSE)*EU206*($K206)+IF($G206&lt;&gt;0,($I206/$G206)*EU206,0)*(1-$K206)</f>
        <v>0</v>
      </c>
      <c r="EX206" s="3236">
        <f>VLOOKUP($E206,EU$442:EX$453,4,FALSE)*EU206*($K206)+(EU206-EV206-EW206)*(1-$K206)</f>
        <v>64057473</v>
      </c>
      <c r="EY206" s="3264"/>
      <c r="FC206" s="3235">
        <f>$G206</f>
        <v>64057473</v>
      </c>
      <c r="FD206" s="3236">
        <f>VLOOKUP($E206,FC$442:FF$453,2,FALSE)*FC206*($K206)+IF($G206&lt;&gt;0,($H206/$G206)*FC206,0)*(1-$K206)</f>
        <v>0</v>
      </c>
      <c r="FE206" s="3236">
        <f>VLOOKUP($E206,FC$442:FF$453,3,FALSE)*FC206*($K206)+IF($G206&lt;&gt;0,($I206/$G206)*FC206,0)*(1-$K206)</f>
        <v>0</v>
      </c>
      <c r="FF206" s="3236">
        <f>VLOOKUP($E206,FC$442:FF$453,4,FALSE)*FC206*($K206)+(FC206-FD206-FE206)*(1-$K206)</f>
        <v>64057473</v>
      </c>
      <c r="FG206" s="3264"/>
      <c r="FK206" s="3235">
        <f>$G206</f>
        <v>64057473</v>
      </c>
      <c r="FL206" s="3236">
        <f>VLOOKUP($E206,FK$442:FN$453,2,FALSE)*FK206*($K206)+IF($G206&lt;&gt;0,($H206/$G206)*FK206,0)*(1-$K206)</f>
        <v>0</v>
      </c>
      <c r="FM206" s="3236">
        <f>VLOOKUP($E206,FK$442:FN$453,3,FALSE)*FK206*($K206)+IF($G206&lt;&gt;0,($I206/$G206)*FK206,0)*(1-$K206)</f>
        <v>0</v>
      </c>
      <c r="FN206" s="3236">
        <f>VLOOKUP($E206,FK$442:FN$453,4,FALSE)*FK206*($K206)+(FK206-FL206-FM206)*(1-$K206)</f>
        <v>64057473</v>
      </c>
      <c r="FO206" s="3264"/>
    </row>
    <row r="207" spans="1:171">
      <c r="A207" s="2310" t="s">
        <v>486</v>
      </c>
      <c r="B207" s="2097"/>
      <c r="C207" s="3256"/>
      <c r="D207" s="3257"/>
      <c r="E207" s="3257"/>
      <c r="F207" s="3258"/>
      <c r="G207" s="3265">
        <f>SUM(G205:G206)</f>
        <v>108646732</v>
      </c>
      <c r="H207" s="3265">
        <f>SUM(H205:H206)</f>
        <v>0</v>
      </c>
      <c r="I207" s="3265">
        <f>SUM(I205:I206)</f>
        <v>0</v>
      </c>
      <c r="J207" s="3266">
        <f>SUM(J205:J206)</f>
        <v>108646732</v>
      </c>
      <c r="K207" s="3205"/>
      <c r="O207" s="3331">
        <f>SUM(O205:O206)</f>
        <v>108646732</v>
      </c>
      <c r="P207" s="3331">
        <f>SUM(P205:P206)</f>
        <v>0</v>
      </c>
      <c r="Q207" s="3331">
        <f>SUM(Q205:Q206)</f>
        <v>0</v>
      </c>
      <c r="R207" s="3331">
        <f>SUM(R205:R206)</f>
        <v>108646732</v>
      </c>
      <c r="S207" s="3264"/>
      <c r="W207" s="3331">
        <f>SUM(W205:W206)</f>
        <v>108646732</v>
      </c>
      <c r="X207" s="3331">
        <f>SUM(X205:X206)</f>
        <v>0</v>
      </c>
      <c r="Y207" s="3331">
        <f>SUM(Y205:Y206)</f>
        <v>0</v>
      </c>
      <c r="Z207" s="3331">
        <f>SUM(Z205:Z206)</f>
        <v>108646732</v>
      </c>
      <c r="AA207" s="3264"/>
      <c r="AE207" s="3331">
        <f>SUM(AE205:AE206)</f>
        <v>108646732</v>
      </c>
      <c r="AF207" s="3331">
        <f>SUM(AF205:AF206)</f>
        <v>0</v>
      </c>
      <c r="AG207" s="3331">
        <f>SUM(AG205:AG206)</f>
        <v>0</v>
      </c>
      <c r="AH207" s="3331">
        <f>SUM(AH205:AH206)</f>
        <v>108646732</v>
      </c>
      <c r="AI207" s="3264"/>
      <c r="AM207" s="3331">
        <f>SUM(AM205:AM206)</f>
        <v>108646732</v>
      </c>
      <c r="AN207" s="3331">
        <f>SUM(AN205:AN206)</f>
        <v>0</v>
      </c>
      <c r="AO207" s="3331">
        <f>SUM(AO205:AO206)</f>
        <v>0</v>
      </c>
      <c r="AP207" s="3331">
        <f>SUM(AP205:AP206)</f>
        <v>108646732</v>
      </c>
      <c r="AQ207" s="3264"/>
      <c r="AU207" s="3331">
        <f>SUM(AU205:AU206)</f>
        <v>108646732</v>
      </c>
      <c r="AV207" s="3331">
        <f>SUM(AV205:AV206)</f>
        <v>0</v>
      </c>
      <c r="AW207" s="3331">
        <f>SUM(AW205:AW206)</f>
        <v>0</v>
      </c>
      <c r="AX207" s="3331">
        <f>SUM(AX205:AX206)</f>
        <v>108646732</v>
      </c>
      <c r="AY207" s="3264"/>
      <c r="BC207" s="3331">
        <f>SUM(BC205:BC206)</f>
        <v>108646732</v>
      </c>
      <c r="BD207" s="3331">
        <f>SUM(BD205:BD206)</f>
        <v>0</v>
      </c>
      <c r="BE207" s="3331">
        <f>SUM(BE205:BE206)</f>
        <v>0</v>
      </c>
      <c r="BF207" s="3331">
        <f>SUM(BF205:BF206)</f>
        <v>108646732</v>
      </c>
      <c r="BG207" s="3264"/>
      <c r="BK207" s="3331">
        <f>SUM(BK205:BK206)</f>
        <v>108646732</v>
      </c>
      <c r="BL207" s="3331">
        <f>SUM(BL205:BL206)</f>
        <v>0</v>
      </c>
      <c r="BM207" s="3331">
        <f>SUM(BM205:BM206)</f>
        <v>0</v>
      </c>
      <c r="BN207" s="3331">
        <f>SUM(BN205:BN206)</f>
        <v>108646732</v>
      </c>
      <c r="BO207" s="3264"/>
      <c r="BS207" s="3331">
        <f>SUM(BS205:BS206)</f>
        <v>108646732</v>
      </c>
      <c r="BT207" s="3331">
        <f>SUM(BT205:BT206)</f>
        <v>0</v>
      </c>
      <c r="BU207" s="3331">
        <f>SUM(BU205:BU206)</f>
        <v>0</v>
      </c>
      <c r="BV207" s="3331">
        <f>SUM(BV205:BV206)</f>
        <v>108646732</v>
      </c>
      <c r="BW207" s="3264"/>
      <c r="CA207" s="3331">
        <f>SUM(CA205:CA206)</f>
        <v>108646732</v>
      </c>
      <c r="CB207" s="3331">
        <f>SUM(CB205:CB206)</f>
        <v>0</v>
      </c>
      <c r="CC207" s="3331">
        <f>SUM(CC205:CC206)</f>
        <v>0</v>
      </c>
      <c r="CD207" s="3331">
        <f>SUM(CD205:CD206)</f>
        <v>108646732</v>
      </c>
      <c r="CE207" s="3264"/>
      <c r="CI207" s="3331">
        <f>SUM(CI205:CI206)</f>
        <v>108646732</v>
      </c>
      <c r="CJ207" s="3331">
        <f>SUM(CJ205:CJ206)</f>
        <v>0</v>
      </c>
      <c r="CK207" s="3331">
        <f>SUM(CK205:CK206)</f>
        <v>0</v>
      </c>
      <c r="CL207" s="3331">
        <f>SUM(CL205:CL206)</f>
        <v>108646732</v>
      </c>
      <c r="CM207" s="3264"/>
      <c r="CQ207" s="3331">
        <f>SUM(CQ205:CQ206)</f>
        <v>108646732</v>
      </c>
      <c r="CR207" s="3331">
        <f>SUM(CR205:CR206)</f>
        <v>0</v>
      </c>
      <c r="CS207" s="3331">
        <f>SUM(CS205:CS206)</f>
        <v>0</v>
      </c>
      <c r="CT207" s="3331">
        <f>SUM(CT205:CT206)</f>
        <v>108646732</v>
      </c>
      <c r="CU207" s="3264"/>
      <c r="CY207" s="3331">
        <f>SUM(CY205:CY206)</f>
        <v>108646732</v>
      </c>
      <c r="CZ207" s="3331">
        <f>SUM(CZ205:CZ206)</f>
        <v>0</v>
      </c>
      <c r="DA207" s="3331">
        <f>SUM(DA205:DA206)</f>
        <v>0</v>
      </c>
      <c r="DB207" s="3331">
        <f>SUM(DB205:DB206)</f>
        <v>108646732</v>
      </c>
      <c r="DC207" s="3264"/>
      <c r="DG207" s="3331">
        <f>SUM(DG205:DG206)</f>
        <v>108646732</v>
      </c>
      <c r="DH207" s="3331">
        <f>SUM(DH205:DH206)</f>
        <v>0</v>
      </c>
      <c r="DI207" s="3331">
        <f>SUM(DI205:DI206)</f>
        <v>0</v>
      </c>
      <c r="DJ207" s="3331">
        <f>SUM(DJ205:DJ206)</f>
        <v>108646732</v>
      </c>
      <c r="DK207" s="3264"/>
      <c r="DO207" s="3331">
        <f>SUM(DO205:DO206)</f>
        <v>108646732</v>
      </c>
      <c r="DP207" s="3331">
        <f>SUM(DP205:DP206)</f>
        <v>0</v>
      </c>
      <c r="DQ207" s="3331">
        <f>SUM(DQ205:DQ206)</f>
        <v>0</v>
      </c>
      <c r="DR207" s="3331">
        <f>SUM(DR205:DR206)</f>
        <v>108646732</v>
      </c>
      <c r="DS207" s="3264"/>
      <c r="DW207" s="3331">
        <f>SUM(DW205:DW206)</f>
        <v>108646732</v>
      </c>
      <c r="DX207" s="3331">
        <f>SUM(DX205:DX206)</f>
        <v>0</v>
      </c>
      <c r="DY207" s="3331">
        <f>SUM(DY205:DY206)</f>
        <v>0</v>
      </c>
      <c r="DZ207" s="3331">
        <f>SUM(DZ205:DZ206)</f>
        <v>108646732</v>
      </c>
      <c r="EA207" s="3264"/>
      <c r="EE207" s="3331">
        <f>SUM(EE205:EE206)</f>
        <v>108646732</v>
      </c>
      <c r="EF207" s="3331">
        <f>SUM(EF205:EF206)</f>
        <v>0</v>
      </c>
      <c r="EG207" s="3331">
        <f>SUM(EG205:EG206)</f>
        <v>0</v>
      </c>
      <c r="EH207" s="3331">
        <f>SUM(EH205:EH206)</f>
        <v>108646732</v>
      </c>
      <c r="EI207" s="3264"/>
      <c r="EM207" s="3331">
        <f>SUM(EM205:EM206)</f>
        <v>108646732</v>
      </c>
      <c r="EN207" s="3331">
        <f>SUM(EN205:EN206)</f>
        <v>0</v>
      </c>
      <c r="EO207" s="3331">
        <f>SUM(EO205:EO206)</f>
        <v>0</v>
      </c>
      <c r="EP207" s="3331">
        <f>SUM(EP205:EP206)</f>
        <v>108646732</v>
      </c>
      <c r="EQ207" s="3264"/>
      <c r="EU207" s="3331">
        <f>SUM(EU205:EU206)</f>
        <v>108646732</v>
      </c>
      <c r="EV207" s="3331">
        <f>SUM(EV205:EV206)</f>
        <v>0</v>
      </c>
      <c r="EW207" s="3331">
        <f>SUM(EW205:EW206)</f>
        <v>0</v>
      </c>
      <c r="EX207" s="3331">
        <f>SUM(EX205:EX206)</f>
        <v>108646732</v>
      </c>
      <c r="EY207" s="3264"/>
      <c r="FC207" s="3331">
        <f>SUM(FC205:FC206)</f>
        <v>108646732</v>
      </c>
      <c r="FD207" s="3331">
        <f>SUM(FD205:FD206)</f>
        <v>0</v>
      </c>
      <c r="FE207" s="3331">
        <f>SUM(FE205:FE206)</f>
        <v>0</v>
      </c>
      <c r="FF207" s="3331">
        <f>SUM(FF205:FF206)</f>
        <v>108646732</v>
      </c>
      <c r="FG207" s="3264"/>
      <c r="FK207" s="3331">
        <f>SUM(FK205:FK206)</f>
        <v>108646732</v>
      </c>
      <c r="FL207" s="3331">
        <f>SUM(FL205:FL206)</f>
        <v>0</v>
      </c>
      <c r="FM207" s="3331">
        <f>SUM(FM205:FM206)</f>
        <v>0</v>
      </c>
      <c r="FN207" s="3331">
        <f>SUM(FN205:FN206)</f>
        <v>108646732</v>
      </c>
      <c r="FO207" s="3264"/>
    </row>
    <row r="208" spans="1:171">
      <c r="A208" s="2306"/>
      <c r="B208" s="2097"/>
      <c r="C208" s="2116"/>
      <c r="D208" s="2116"/>
      <c r="E208" s="2116"/>
      <c r="F208" s="2116"/>
      <c r="G208" s="3334"/>
      <c r="H208" s="2119"/>
      <c r="I208" s="2119"/>
      <c r="J208" s="3335"/>
      <c r="K208" s="3205"/>
      <c r="O208" s="2747"/>
      <c r="S208" s="3264"/>
      <c r="W208" s="2747"/>
      <c r="AA208" s="3264"/>
      <c r="AE208" s="2747"/>
      <c r="AI208" s="3264"/>
      <c r="AM208" s="2747"/>
      <c r="AQ208" s="3264"/>
      <c r="AU208" s="2747"/>
      <c r="AY208" s="3264"/>
      <c r="BC208" s="2747"/>
      <c r="BG208" s="3264"/>
      <c r="BK208" s="2747"/>
      <c r="BO208" s="3264"/>
      <c r="BS208" s="2747"/>
      <c r="BW208" s="3264"/>
      <c r="CA208" s="2747"/>
      <c r="CE208" s="3264"/>
      <c r="CI208" s="2747"/>
      <c r="CM208" s="3264"/>
      <c r="CQ208" s="2747"/>
      <c r="CU208" s="3264"/>
      <c r="CY208" s="2747"/>
      <c r="DC208" s="3264"/>
      <c r="DG208" s="2747"/>
      <c r="DK208" s="3264"/>
      <c r="DO208" s="2747"/>
      <c r="DS208" s="3264"/>
      <c r="DW208" s="2747"/>
      <c r="EA208" s="3264"/>
      <c r="EE208" s="2747"/>
      <c r="EI208" s="3264"/>
      <c r="EM208" s="2747"/>
      <c r="EQ208" s="3264"/>
      <c r="EU208" s="2747"/>
      <c r="EY208" s="3264"/>
      <c r="FC208" s="2747"/>
      <c r="FG208" s="3264"/>
      <c r="FK208" s="2747"/>
      <c r="FO208" s="3264"/>
    </row>
    <row r="209" spans="1:171">
      <c r="A209" s="2305" t="s">
        <v>487</v>
      </c>
      <c r="B209" s="2097"/>
      <c r="C209" s="2116"/>
      <c r="D209" s="2116"/>
      <c r="E209" s="2116"/>
      <c r="F209" s="2116"/>
      <c r="G209" s="3334"/>
      <c r="H209" s="2119"/>
      <c r="I209" s="2119"/>
      <c r="J209" s="3335"/>
      <c r="K209" s="3205"/>
      <c r="O209" s="2747"/>
      <c r="S209" s="3264"/>
      <c r="W209" s="2747"/>
      <c r="AA209" s="3264"/>
      <c r="AE209" s="2747"/>
      <c r="AI209" s="3264"/>
      <c r="AM209" s="2747"/>
      <c r="AQ209" s="3264"/>
      <c r="AU209" s="2747"/>
      <c r="AY209" s="3264"/>
      <c r="BC209" s="2747"/>
      <c r="BG209" s="3264"/>
      <c r="BK209" s="2747"/>
      <c r="BO209" s="3264"/>
      <c r="BS209" s="2747"/>
      <c r="BW209" s="3264"/>
      <c r="CA209" s="2747"/>
      <c r="CE209" s="3264"/>
      <c r="CI209" s="2747"/>
      <c r="CM209" s="3264"/>
      <c r="CQ209" s="2747"/>
      <c r="CU209" s="3264"/>
      <c r="CY209" s="2747"/>
      <c r="DC209" s="3264"/>
      <c r="DG209" s="2747"/>
      <c r="DK209" s="3264"/>
      <c r="DO209" s="2747"/>
      <c r="DS209" s="3264"/>
      <c r="DW209" s="2747"/>
      <c r="EA209" s="3264"/>
      <c r="EE209" s="2747"/>
      <c r="EI209" s="3264"/>
      <c r="EM209" s="2747"/>
      <c r="EQ209" s="3264"/>
      <c r="EU209" s="2747"/>
      <c r="EY209" s="3264"/>
      <c r="FC209" s="2747"/>
      <c r="FG209" s="3264"/>
      <c r="FK209" s="2747"/>
      <c r="FO209" s="3264"/>
    </row>
    <row r="210" spans="1:171">
      <c r="A210" s="2442"/>
      <c r="B210" s="2185" t="s">
        <v>463</v>
      </c>
      <c r="C210" s="2464" t="s">
        <v>72</v>
      </c>
      <c r="D210" s="2464" t="s">
        <v>488</v>
      </c>
      <c r="E210" s="2424" t="str">
        <f>'Sch 3 - Expenses'!E50</f>
        <v>DIST</v>
      </c>
      <c r="F210" s="2171"/>
      <c r="G210" s="2424">
        <f>'Sch 3 - Expenses'!G50</f>
        <v>59970042</v>
      </c>
      <c r="H210" s="2424">
        <f>'Sch 3 - Expenses'!H50</f>
        <v>0</v>
      </c>
      <c r="I210" s="2424">
        <f>'Sch 3 - Expenses'!I50</f>
        <v>0</v>
      </c>
      <c r="J210" s="2425">
        <f>'Sch 3 - Expenses'!J50</f>
        <v>59970042</v>
      </c>
      <c r="K210" s="3205">
        <f>IF($E210="DIRECT",0,1)</f>
        <v>1</v>
      </c>
      <c r="O210" s="3235">
        <f>$G210</f>
        <v>59970042</v>
      </c>
      <c r="P210" s="3236">
        <f>VLOOKUP($E210,O$442:R$453,2,FALSE)*O210*($K210)+IF($G210&lt;&gt;0,($H210/$G210)*O210,0)*(1-$K210)</f>
        <v>0</v>
      </c>
      <c r="Q210" s="3236">
        <f>VLOOKUP($E210,O$442:R$453,3,FALSE)*O210*($K210)+IF($G210&lt;&gt;0,($I210/$G210)*O210,0)*(1-$K210)</f>
        <v>0</v>
      </c>
      <c r="R210" s="3236">
        <f>VLOOKUP($E210,O$442:R$453,4,FALSE)*O210*($K210)+(O210-P210-Q210)*(1-$K210)</f>
        <v>59970042</v>
      </c>
      <c r="S210" s="3264"/>
      <c r="W210" s="3235">
        <f>$G210</f>
        <v>59970042</v>
      </c>
      <c r="X210" s="3236">
        <f>VLOOKUP($E210,W$442:Z$453,2,FALSE)*W210*($K210)+IF($G210&lt;&gt;0,($H210/$G210)*W210,0)*(1-$K210)</f>
        <v>0</v>
      </c>
      <c r="Y210" s="3236">
        <f>VLOOKUP($E210,W$442:Z$453,3,FALSE)*W210*($K210)+IF($G210&lt;&gt;0,($I210/$G210)*W210,0)*(1-$K210)</f>
        <v>0</v>
      </c>
      <c r="Z210" s="3236">
        <f>VLOOKUP($E210,W$442:Z$453,4,FALSE)*W210*($K210)+(W210-X210-Y210)*(1-$K210)</f>
        <v>59970042</v>
      </c>
      <c r="AA210" s="3264"/>
      <c r="AE210" s="3235">
        <f>$G210</f>
        <v>59970042</v>
      </c>
      <c r="AF210" s="3236">
        <f>VLOOKUP($E210,AE$442:AH$453,2,FALSE)*AE210*($K210)+IF($G210&lt;&gt;0,($H210/$G210)*AE210,0)*(1-$K210)</f>
        <v>0</v>
      </c>
      <c r="AG210" s="3236">
        <f>VLOOKUP($E210,AE$442:AH$453,3,FALSE)*AE210*($K210)+IF($G210&lt;&gt;0,($I210/$G210)*AE210,0)*(1-$K210)</f>
        <v>0</v>
      </c>
      <c r="AH210" s="3236">
        <f>VLOOKUP($E210,AE$442:AH$453,4,FALSE)*AE210*($K210)+(AE210-AF210-AG210)*(1-$K210)</f>
        <v>59970042</v>
      </c>
      <c r="AI210" s="3264"/>
      <c r="AM210" s="3235">
        <f>$G210</f>
        <v>59970042</v>
      </c>
      <c r="AN210" s="3236">
        <f>VLOOKUP($E210,AM$442:AP$453,2,FALSE)*AM210*($K210)+IF($G210&lt;&gt;0,($H210/$G210)*AM210,0)*(1-$K210)</f>
        <v>0</v>
      </c>
      <c r="AO210" s="3236">
        <f>VLOOKUP($E210,AM$442:AP$453,3,FALSE)*AM210*($K210)+IF($G210&lt;&gt;0,($I210/$G210)*AM210,0)*(1-$K210)</f>
        <v>0</v>
      </c>
      <c r="AP210" s="3236">
        <f>VLOOKUP($E210,AM$442:AP$453,4,FALSE)*AM210*($K210)+(AM210-AN210-AO210)*(1-$K210)</f>
        <v>59970042</v>
      </c>
      <c r="AQ210" s="3264"/>
      <c r="AU210" s="3235">
        <f>$G210</f>
        <v>59970042</v>
      </c>
      <c r="AV210" s="3236">
        <f>VLOOKUP($E210,AU$442:AX$453,2,FALSE)*AU210*($K210)+IF($G210&lt;&gt;0,($H210/$G210)*AU210,0)*(1-$K210)</f>
        <v>0</v>
      </c>
      <c r="AW210" s="3236">
        <f>VLOOKUP($E210,AU$442:AX$453,3,FALSE)*AU210*($K210)+IF($G210&lt;&gt;0,($I210/$G210)*AU210,0)*(1-$K210)</f>
        <v>0</v>
      </c>
      <c r="AX210" s="3236">
        <f>VLOOKUP($E210,AU$442:AX$453,4,FALSE)*AU210*($K210)+(AU210-AV210-AW210)*(1-$K210)</f>
        <v>59970042</v>
      </c>
      <c r="AY210" s="3264"/>
      <c r="BC210" s="3235">
        <f>$G210</f>
        <v>59970042</v>
      </c>
      <c r="BD210" s="3236">
        <f>VLOOKUP($E210,BC$442:BF$453,2,FALSE)*BC210*($K210)+IF($G210&lt;&gt;0,($H210/$G210)*BC210,0)*(1-$K210)</f>
        <v>0</v>
      </c>
      <c r="BE210" s="3236">
        <f>VLOOKUP($E210,BC$442:BF$453,3,FALSE)*BC210*($K210)+IF($G210&lt;&gt;0,($I210/$G210)*BC210,0)*(1-$K210)</f>
        <v>0</v>
      </c>
      <c r="BF210" s="3236">
        <f>VLOOKUP($E210,BC$442:BF$453,4,FALSE)*BC210*($K210)+(BC210-BD210-BE210)*(1-$K210)</f>
        <v>59970042</v>
      </c>
      <c r="BG210" s="3264"/>
      <c r="BK210" s="3235">
        <f>$G210</f>
        <v>59970042</v>
      </c>
      <c r="BL210" s="3236">
        <f>VLOOKUP($E210,BK$442:BN$453,2,FALSE)*BK210*($K210)+IF($G210&lt;&gt;0,($H210/$G210)*BK210,0)*(1-$K210)</f>
        <v>0</v>
      </c>
      <c r="BM210" s="3236">
        <f>VLOOKUP($E210,BK$442:BN$453,3,FALSE)*BK210*($K210)+IF($G210&lt;&gt;0,($I210/$G210)*BK210,0)*(1-$K210)</f>
        <v>0</v>
      </c>
      <c r="BN210" s="3236">
        <f>VLOOKUP($E210,BK$442:BN$453,4,FALSE)*BK210*($K210)+(BK210-BL210-BM210)*(1-$K210)</f>
        <v>59970042</v>
      </c>
      <c r="BO210" s="3264"/>
      <c r="BS210" s="3235">
        <f>$G210</f>
        <v>59970042</v>
      </c>
      <c r="BT210" s="3236">
        <f>VLOOKUP($E210,BS$442:BV$453,2,FALSE)*BS210*($K210)+IF($G210&lt;&gt;0,($H210/$G210)*BS210,0)*(1-$K210)</f>
        <v>0</v>
      </c>
      <c r="BU210" s="3236">
        <f>VLOOKUP($E210,BS$442:BV$453,3,FALSE)*BS210*($K210)+IF($G210&lt;&gt;0,($I210/$G210)*BS210,0)*(1-$K210)</f>
        <v>0</v>
      </c>
      <c r="BV210" s="3236">
        <f>VLOOKUP($E210,BS$442:BV$453,4,FALSE)*BS210*($K210)+(BS210-BT210-BU210)*(1-$K210)</f>
        <v>59970042</v>
      </c>
      <c r="BW210" s="3264"/>
      <c r="CA210" s="3235">
        <f>$G210</f>
        <v>59970042</v>
      </c>
      <c r="CB210" s="3236">
        <f>VLOOKUP($E210,CA$442:CD$453,2,FALSE)*CA210*($K210)+IF($G210&lt;&gt;0,($H210/$G210)*CA210,0)*(1-$K210)</f>
        <v>0</v>
      </c>
      <c r="CC210" s="3236">
        <f>VLOOKUP($E210,CA$442:CD$453,3,FALSE)*CA210*($K210)+IF($G210&lt;&gt;0,($I210/$G210)*CA210,0)*(1-$K210)</f>
        <v>0</v>
      </c>
      <c r="CD210" s="3236">
        <f>VLOOKUP($E210,CA$442:CD$453,4,FALSE)*CA210*($K210)+(CA210-CB210-CC210)*(1-$K210)</f>
        <v>59970042</v>
      </c>
      <c r="CE210" s="3264"/>
      <c r="CI210" s="3235">
        <f>$G210</f>
        <v>59970042</v>
      </c>
      <c r="CJ210" s="3236">
        <f>VLOOKUP($E210,CI$442:CL$453,2,FALSE)*CI210*($K210)+IF($G210&lt;&gt;0,($H210/$G210)*CI210,0)*(1-$K210)</f>
        <v>0</v>
      </c>
      <c r="CK210" s="3236">
        <f>VLOOKUP($E210,CI$442:CL$453,3,FALSE)*CI210*($K210)+IF($G210&lt;&gt;0,($I210/$G210)*CI210,0)*(1-$K210)</f>
        <v>0</v>
      </c>
      <c r="CL210" s="3236">
        <f>VLOOKUP($E210,CI$442:CL$453,4,FALSE)*CI210*($K210)+(CI210-CJ210-CK210)*(1-$K210)</f>
        <v>59970042</v>
      </c>
      <c r="CM210" s="3264"/>
      <c r="CQ210" s="3235">
        <f>$G210</f>
        <v>59970042</v>
      </c>
      <c r="CR210" s="3236">
        <f>VLOOKUP($E210,CQ$442:CT$453,2,FALSE)*CQ210*($K210)+IF($G210&lt;&gt;0,($H210/$G210)*CQ210,0)*(1-$K210)</f>
        <v>0</v>
      </c>
      <c r="CS210" s="3236">
        <f>VLOOKUP($E210,CQ$442:CT$453,3,FALSE)*CQ210*($K210)+IF($G210&lt;&gt;0,($I210/$G210)*CQ210,0)*(1-$K210)</f>
        <v>0</v>
      </c>
      <c r="CT210" s="3236">
        <f>VLOOKUP($E210,CQ$442:CT$453,4,FALSE)*CQ210*($K210)+(CQ210-CR210-CS210)*(1-$K210)</f>
        <v>59970042</v>
      </c>
      <c r="CU210" s="3264"/>
      <c r="CY210" s="3235">
        <f>$G210</f>
        <v>59970042</v>
      </c>
      <c r="CZ210" s="3236">
        <f>VLOOKUP($E210,CY$442:DB$453,2,FALSE)*CY210*($K210)+IF($G210&lt;&gt;0,($H210/$G210)*CY210,0)*(1-$K210)</f>
        <v>0</v>
      </c>
      <c r="DA210" s="3236">
        <f>VLOOKUP($E210,CY$442:DB$453,3,FALSE)*CY210*($K210)+IF($G210&lt;&gt;0,($I210/$G210)*CY210,0)*(1-$K210)</f>
        <v>0</v>
      </c>
      <c r="DB210" s="3236">
        <f>VLOOKUP($E210,CY$442:DB$453,4,FALSE)*CY210*($K210)+(CY210-CZ210-DA210)*(1-$K210)</f>
        <v>59970042</v>
      </c>
      <c r="DC210" s="3264"/>
      <c r="DG210" s="3235">
        <f>$G210</f>
        <v>59970042</v>
      </c>
      <c r="DH210" s="3236">
        <f>VLOOKUP($E210,DG$442:DJ$453,2,FALSE)*DG210*($K210)+IF($G210&lt;&gt;0,($H210/$G210)*DG210,0)*(1-$K210)</f>
        <v>0</v>
      </c>
      <c r="DI210" s="3236">
        <f>VLOOKUP($E210,DG$442:DJ$453,3,FALSE)*DG210*($K210)+IF($G210&lt;&gt;0,($I210/$G210)*DG210,0)*(1-$K210)</f>
        <v>0</v>
      </c>
      <c r="DJ210" s="3236">
        <f>VLOOKUP($E210,DG$442:DJ$453,4,FALSE)*DG210*($K210)+(DG210-DH210-DI210)*(1-$K210)</f>
        <v>59970042</v>
      </c>
      <c r="DK210" s="3264"/>
      <c r="DO210" s="3235">
        <f>$G210</f>
        <v>59970042</v>
      </c>
      <c r="DP210" s="3236">
        <f>VLOOKUP($E210,DO$442:DR$453,2,FALSE)*DO210*($K210)+IF($G210&lt;&gt;0,($H210/$G210)*DO210,0)*(1-$K210)</f>
        <v>0</v>
      </c>
      <c r="DQ210" s="3236">
        <f>VLOOKUP($E210,DO$442:DR$453,3,FALSE)*DO210*($K210)+IF($G210&lt;&gt;0,($I210/$G210)*DO210,0)*(1-$K210)</f>
        <v>0</v>
      </c>
      <c r="DR210" s="3236">
        <f>VLOOKUP($E210,DO$442:DR$453,4,FALSE)*DO210*($K210)+(DO210-DP210-DQ210)*(1-$K210)</f>
        <v>59970042</v>
      </c>
      <c r="DS210" s="3264"/>
      <c r="DW210" s="3235">
        <f>$G210</f>
        <v>59970042</v>
      </c>
      <c r="DX210" s="3236">
        <f>VLOOKUP($E210,DW$442:DZ$453,2,FALSE)*DW210*($K210)+IF($G210&lt;&gt;0,($H210/$G210)*DW210,0)*(1-$K210)</f>
        <v>0</v>
      </c>
      <c r="DY210" s="3236">
        <f>VLOOKUP($E210,DW$442:DZ$453,3,FALSE)*DW210*($K210)+IF($G210&lt;&gt;0,($I210/$G210)*DW210,0)*(1-$K210)</f>
        <v>0</v>
      </c>
      <c r="DZ210" s="3236">
        <f>VLOOKUP($E210,DW$442:DZ$453,4,FALSE)*DW210*($K210)+(DW210-DX210-DY210)*(1-$K210)</f>
        <v>59970042</v>
      </c>
      <c r="EA210" s="3264"/>
      <c r="EE210" s="3235">
        <f>$G210</f>
        <v>59970042</v>
      </c>
      <c r="EF210" s="3236">
        <f>VLOOKUP($E210,EE$442:EH$453,2,FALSE)*EE210*($K210)+IF($G210&lt;&gt;0,($H210/$G210)*EE210,0)*(1-$K210)</f>
        <v>0</v>
      </c>
      <c r="EG210" s="3236">
        <f>VLOOKUP($E210,EE$442:EH$453,3,FALSE)*EE210*($K210)+IF($G210&lt;&gt;0,($I210/$G210)*EE210,0)*(1-$K210)</f>
        <v>0</v>
      </c>
      <c r="EH210" s="3236">
        <f>VLOOKUP($E210,EE$442:EH$453,4,FALSE)*EE210*($K210)+(EE210-EF210-EG210)*(1-$K210)</f>
        <v>59970042</v>
      </c>
      <c r="EI210" s="3264"/>
      <c r="EM210" s="3235">
        <f>$G210</f>
        <v>59970042</v>
      </c>
      <c r="EN210" s="3236">
        <f>VLOOKUP($E210,EM$442:EP$453,2,FALSE)*EM210*($K210)+IF($G210&lt;&gt;0,($H210/$G210)*EM210,0)*(1-$K210)</f>
        <v>0</v>
      </c>
      <c r="EO210" s="3236">
        <f>VLOOKUP($E210,EM$442:EP$453,3,FALSE)*EM210*($K210)+IF($G210&lt;&gt;0,($I210/$G210)*EM210,0)*(1-$K210)</f>
        <v>0</v>
      </c>
      <c r="EP210" s="3236">
        <f>VLOOKUP($E210,EM$442:EP$453,4,FALSE)*EM210*($K210)+(EM210-EN210-EO210)*(1-$K210)</f>
        <v>59970042</v>
      </c>
      <c r="EQ210" s="3264"/>
      <c r="EU210" s="3235">
        <f>$G210</f>
        <v>59970042</v>
      </c>
      <c r="EV210" s="3236">
        <f>VLOOKUP($E210,EU$442:EX$453,2,FALSE)*EU210*($K210)+IF($G210&lt;&gt;0,($H210/$G210)*EU210,0)*(1-$K210)</f>
        <v>0</v>
      </c>
      <c r="EW210" s="3236">
        <f>VLOOKUP($E210,EU$442:EX$453,3,FALSE)*EU210*($K210)+IF($G210&lt;&gt;0,($I210/$G210)*EU210,0)*(1-$K210)</f>
        <v>0</v>
      </c>
      <c r="EX210" s="3236">
        <f>VLOOKUP($E210,EU$442:EX$453,4,FALSE)*EU210*($K210)+(EU210-EV210-EW210)*(1-$K210)</f>
        <v>59970042</v>
      </c>
      <c r="EY210" s="3264"/>
      <c r="FC210" s="3235">
        <f>$G210</f>
        <v>59970042</v>
      </c>
      <c r="FD210" s="3236">
        <f>VLOOKUP($E210,FC$442:FF$453,2,FALSE)*FC210*($K210)+IF($G210&lt;&gt;0,($H210/$G210)*FC210,0)*(1-$K210)</f>
        <v>0</v>
      </c>
      <c r="FE210" s="3236">
        <f>VLOOKUP($E210,FC$442:FF$453,3,FALSE)*FC210*($K210)+IF($G210&lt;&gt;0,($I210/$G210)*FC210,0)*(1-$K210)</f>
        <v>0</v>
      </c>
      <c r="FF210" s="3236">
        <f>VLOOKUP($E210,FC$442:FF$453,4,FALSE)*FC210*($K210)+(FC210-FD210-FE210)*(1-$K210)</f>
        <v>59970042</v>
      </c>
      <c r="FG210" s="3264"/>
      <c r="FK210" s="3235">
        <f>$G210</f>
        <v>59970042</v>
      </c>
      <c r="FL210" s="3236">
        <f>VLOOKUP($E210,FK$442:FN$453,2,FALSE)*FK210*($K210)+IF($G210&lt;&gt;0,($H210/$G210)*FK210,0)*(1-$K210)</f>
        <v>0</v>
      </c>
      <c r="FM210" s="3236">
        <f>VLOOKUP($E210,FK$442:FN$453,3,FALSE)*FK210*($K210)+IF($G210&lt;&gt;0,($I210/$G210)*FK210,0)*(1-$K210)</f>
        <v>0</v>
      </c>
      <c r="FN210" s="3236">
        <f>VLOOKUP($E210,FK$442:FN$453,4,FALSE)*FK210*($K210)+(FK210-FL210-FM210)*(1-$K210)</f>
        <v>59970042</v>
      </c>
      <c r="FO210" s="3264"/>
    </row>
    <row r="211" spans="1:171">
      <c r="A211" s="2442"/>
      <c r="B211" s="2185" t="s">
        <v>172</v>
      </c>
      <c r="C211" s="2464" t="s">
        <v>72</v>
      </c>
      <c r="D211" s="2464" t="s">
        <v>393</v>
      </c>
      <c r="E211" s="2424" t="str">
        <f>'Sch 3 - Expenses'!E51</f>
        <v>DIST</v>
      </c>
      <c r="F211" s="2171"/>
      <c r="G211" s="2424">
        <f>'Sch 3 - Expenses'!G51</f>
        <v>0</v>
      </c>
      <c r="H211" s="2424">
        <f>'Sch 3 - Expenses'!H51</f>
        <v>0</v>
      </c>
      <c r="I211" s="2424">
        <f>'Sch 3 - Expenses'!I51</f>
        <v>0</v>
      </c>
      <c r="J211" s="2425">
        <f>'Sch 3 - Expenses'!J51</f>
        <v>0</v>
      </c>
      <c r="K211" s="3205">
        <f>IF($E211="DIRECT",0,1)</f>
        <v>1</v>
      </c>
      <c r="O211" s="3235">
        <f>$G211</f>
        <v>0</v>
      </c>
      <c r="P211" s="3236">
        <f>VLOOKUP($E211,O$442:R$453,2,FALSE)*O211*($K211)+IF($G211&lt;&gt;0,($H211/$G211)*O211,0)*(1-$K211)</f>
        <v>0</v>
      </c>
      <c r="Q211" s="3236">
        <f>VLOOKUP($E211,O$442:R$453,3,FALSE)*O211*($K211)+IF($G211&lt;&gt;0,($I211/$G211)*O211,0)*(1-$K211)</f>
        <v>0</v>
      </c>
      <c r="R211" s="3236">
        <f>VLOOKUP($E211,O$442:R$453,4,FALSE)*O211*($K211)+(O211-P211-Q211)*(1-$K211)</f>
        <v>0</v>
      </c>
      <c r="S211" s="3264"/>
      <c r="W211" s="3235">
        <f>$G211</f>
        <v>0</v>
      </c>
      <c r="X211" s="3236">
        <f>VLOOKUP($E211,W$442:Z$453,2,FALSE)*W211*($K211)+IF($G211&lt;&gt;0,($H211/$G211)*W211,0)*(1-$K211)</f>
        <v>0</v>
      </c>
      <c r="Y211" s="3236">
        <f>VLOOKUP($E211,W$442:Z$453,3,FALSE)*W211*($K211)+IF($G211&lt;&gt;0,($I211/$G211)*W211,0)*(1-$K211)</f>
        <v>0</v>
      </c>
      <c r="Z211" s="3236">
        <f>VLOOKUP($E211,W$442:Z$453,4,FALSE)*W211*($K211)+(W211-X211-Y211)*(1-$K211)</f>
        <v>0</v>
      </c>
      <c r="AA211" s="3264"/>
      <c r="AE211" s="3235">
        <f>$G211</f>
        <v>0</v>
      </c>
      <c r="AF211" s="3236">
        <f>VLOOKUP($E211,AE$442:AH$453,2,FALSE)*AE211*($K211)+IF($G211&lt;&gt;0,($H211/$G211)*AE211,0)*(1-$K211)</f>
        <v>0</v>
      </c>
      <c r="AG211" s="3236">
        <f>VLOOKUP($E211,AE$442:AH$453,3,FALSE)*AE211*($K211)+IF($G211&lt;&gt;0,($I211/$G211)*AE211,0)*(1-$K211)</f>
        <v>0</v>
      </c>
      <c r="AH211" s="3236">
        <f>VLOOKUP($E211,AE$442:AH$453,4,FALSE)*AE211*($K211)+(AE211-AF211-AG211)*(1-$K211)</f>
        <v>0</v>
      </c>
      <c r="AI211" s="3264"/>
      <c r="AM211" s="3235">
        <f>$G211</f>
        <v>0</v>
      </c>
      <c r="AN211" s="3236">
        <f>VLOOKUP($E211,AM$442:AP$453,2,FALSE)*AM211*($K211)+IF($G211&lt;&gt;0,($H211/$G211)*AM211,0)*(1-$K211)</f>
        <v>0</v>
      </c>
      <c r="AO211" s="3236">
        <f>VLOOKUP($E211,AM$442:AP$453,3,FALSE)*AM211*($K211)+IF($G211&lt;&gt;0,($I211/$G211)*AM211,0)*(1-$K211)</f>
        <v>0</v>
      </c>
      <c r="AP211" s="3236">
        <f>VLOOKUP($E211,AM$442:AP$453,4,FALSE)*AM211*($K211)+(AM211-AN211-AO211)*(1-$K211)</f>
        <v>0</v>
      </c>
      <c r="AQ211" s="3264"/>
      <c r="AU211" s="3235">
        <f>$G211</f>
        <v>0</v>
      </c>
      <c r="AV211" s="3236">
        <f>VLOOKUP($E211,AU$442:AX$453,2,FALSE)*AU211*($K211)+IF($G211&lt;&gt;0,($H211/$G211)*AU211,0)*(1-$K211)</f>
        <v>0</v>
      </c>
      <c r="AW211" s="3236">
        <f>VLOOKUP($E211,AU$442:AX$453,3,FALSE)*AU211*($K211)+IF($G211&lt;&gt;0,($I211/$G211)*AU211,0)*(1-$K211)</f>
        <v>0</v>
      </c>
      <c r="AX211" s="3236">
        <f>VLOOKUP($E211,AU$442:AX$453,4,FALSE)*AU211*($K211)+(AU211-AV211-AW211)*(1-$K211)</f>
        <v>0</v>
      </c>
      <c r="AY211" s="3264"/>
      <c r="BC211" s="3235">
        <f>$G211</f>
        <v>0</v>
      </c>
      <c r="BD211" s="3236">
        <f>VLOOKUP($E211,BC$442:BF$453,2,FALSE)*BC211*($K211)+IF($G211&lt;&gt;0,($H211/$G211)*BC211,0)*(1-$K211)</f>
        <v>0</v>
      </c>
      <c r="BE211" s="3236">
        <f>VLOOKUP($E211,BC$442:BF$453,3,FALSE)*BC211*($K211)+IF($G211&lt;&gt;0,($I211/$G211)*BC211,0)*(1-$K211)</f>
        <v>0</v>
      </c>
      <c r="BF211" s="3236">
        <f>VLOOKUP($E211,BC$442:BF$453,4,FALSE)*BC211*($K211)+(BC211-BD211-BE211)*(1-$K211)</f>
        <v>0</v>
      </c>
      <c r="BG211" s="3264"/>
      <c r="BK211" s="3235">
        <f>$G211</f>
        <v>0</v>
      </c>
      <c r="BL211" s="3236">
        <f>VLOOKUP($E211,BK$442:BN$453,2,FALSE)*BK211*($K211)+IF($G211&lt;&gt;0,($H211/$G211)*BK211,0)*(1-$K211)</f>
        <v>0</v>
      </c>
      <c r="BM211" s="3236">
        <f>VLOOKUP($E211,BK$442:BN$453,3,FALSE)*BK211*($K211)+IF($G211&lt;&gt;0,($I211/$G211)*BK211,0)*(1-$K211)</f>
        <v>0</v>
      </c>
      <c r="BN211" s="3236">
        <f>VLOOKUP($E211,BK$442:BN$453,4,FALSE)*BK211*($K211)+(BK211-BL211-BM211)*(1-$K211)</f>
        <v>0</v>
      </c>
      <c r="BO211" s="3264"/>
      <c r="BS211" s="3235">
        <f>$G211</f>
        <v>0</v>
      </c>
      <c r="BT211" s="3236">
        <f>VLOOKUP($E211,BS$442:BV$453,2,FALSE)*BS211*($K211)+IF($G211&lt;&gt;0,($H211/$G211)*BS211,0)*(1-$K211)</f>
        <v>0</v>
      </c>
      <c r="BU211" s="3236">
        <f>VLOOKUP($E211,BS$442:BV$453,3,FALSE)*BS211*($K211)+IF($G211&lt;&gt;0,($I211/$G211)*BS211,0)*(1-$K211)</f>
        <v>0</v>
      </c>
      <c r="BV211" s="3236">
        <f>VLOOKUP($E211,BS$442:BV$453,4,FALSE)*BS211*($K211)+(BS211-BT211-BU211)*(1-$K211)</f>
        <v>0</v>
      </c>
      <c r="BW211" s="3264"/>
      <c r="CA211" s="3235">
        <f>$G211</f>
        <v>0</v>
      </c>
      <c r="CB211" s="3236">
        <f>VLOOKUP($E211,CA$442:CD$453,2,FALSE)*CA211*($K211)+IF($G211&lt;&gt;0,($H211/$G211)*CA211,0)*(1-$K211)</f>
        <v>0</v>
      </c>
      <c r="CC211" s="3236">
        <f>VLOOKUP($E211,CA$442:CD$453,3,FALSE)*CA211*($K211)+IF($G211&lt;&gt;0,($I211/$G211)*CA211,0)*(1-$K211)</f>
        <v>0</v>
      </c>
      <c r="CD211" s="3236">
        <f>VLOOKUP($E211,CA$442:CD$453,4,FALSE)*CA211*($K211)+(CA211-CB211-CC211)*(1-$K211)</f>
        <v>0</v>
      </c>
      <c r="CE211" s="3264"/>
      <c r="CI211" s="3235">
        <f>$G211</f>
        <v>0</v>
      </c>
      <c r="CJ211" s="3236">
        <f>VLOOKUP($E211,CI$442:CL$453,2,FALSE)*CI211*($K211)+IF($G211&lt;&gt;0,($H211/$G211)*CI211,0)*(1-$K211)</f>
        <v>0</v>
      </c>
      <c r="CK211" s="3236">
        <f>VLOOKUP($E211,CI$442:CL$453,3,FALSE)*CI211*($K211)+IF($G211&lt;&gt;0,($I211/$G211)*CI211,0)*(1-$K211)</f>
        <v>0</v>
      </c>
      <c r="CL211" s="3236">
        <f>VLOOKUP($E211,CI$442:CL$453,4,FALSE)*CI211*($K211)+(CI211-CJ211-CK211)*(1-$K211)</f>
        <v>0</v>
      </c>
      <c r="CM211" s="3264"/>
      <c r="CQ211" s="3235">
        <f>$G211</f>
        <v>0</v>
      </c>
      <c r="CR211" s="3236">
        <f>VLOOKUP($E211,CQ$442:CT$453,2,FALSE)*CQ211*($K211)+IF($G211&lt;&gt;0,($H211/$G211)*CQ211,0)*(1-$K211)</f>
        <v>0</v>
      </c>
      <c r="CS211" s="3236">
        <f>VLOOKUP($E211,CQ$442:CT$453,3,FALSE)*CQ211*($K211)+IF($G211&lt;&gt;0,($I211/$G211)*CQ211,0)*(1-$K211)</f>
        <v>0</v>
      </c>
      <c r="CT211" s="3236">
        <f>VLOOKUP($E211,CQ$442:CT$453,4,FALSE)*CQ211*($K211)+(CQ211-CR211-CS211)*(1-$K211)</f>
        <v>0</v>
      </c>
      <c r="CU211" s="3264"/>
      <c r="CY211" s="3235">
        <f>$G211</f>
        <v>0</v>
      </c>
      <c r="CZ211" s="3236">
        <f>VLOOKUP($E211,CY$442:DB$453,2,FALSE)*CY211*($K211)+IF($G211&lt;&gt;0,($H211/$G211)*CY211,0)*(1-$K211)</f>
        <v>0</v>
      </c>
      <c r="DA211" s="3236">
        <f>VLOOKUP($E211,CY$442:DB$453,3,FALSE)*CY211*($K211)+IF($G211&lt;&gt;0,($I211/$G211)*CY211,0)*(1-$K211)</f>
        <v>0</v>
      </c>
      <c r="DB211" s="3236">
        <f>VLOOKUP($E211,CY$442:DB$453,4,FALSE)*CY211*($K211)+(CY211-CZ211-DA211)*(1-$K211)</f>
        <v>0</v>
      </c>
      <c r="DC211" s="3264"/>
      <c r="DG211" s="3235">
        <f>$G211</f>
        <v>0</v>
      </c>
      <c r="DH211" s="3236">
        <f>VLOOKUP($E211,DG$442:DJ$453,2,FALSE)*DG211*($K211)+IF($G211&lt;&gt;0,($H211/$G211)*DG211,0)*(1-$K211)</f>
        <v>0</v>
      </c>
      <c r="DI211" s="3236">
        <f>VLOOKUP($E211,DG$442:DJ$453,3,FALSE)*DG211*($K211)+IF($G211&lt;&gt;0,($I211/$G211)*DG211,0)*(1-$K211)</f>
        <v>0</v>
      </c>
      <c r="DJ211" s="3236">
        <f>VLOOKUP($E211,DG$442:DJ$453,4,FALSE)*DG211*($K211)+(DG211-DH211-DI211)*(1-$K211)</f>
        <v>0</v>
      </c>
      <c r="DK211" s="3264"/>
      <c r="DO211" s="3235">
        <f>$G211</f>
        <v>0</v>
      </c>
      <c r="DP211" s="3236">
        <f>VLOOKUP($E211,DO$442:DR$453,2,FALSE)*DO211*($K211)+IF($G211&lt;&gt;0,($H211/$G211)*DO211,0)*(1-$K211)</f>
        <v>0</v>
      </c>
      <c r="DQ211" s="3236">
        <f>VLOOKUP($E211,DO$442:DR$453,3,FALSE)*DO211*($K211)+IF($G211&lt;&gt;0,($I211/$G211)*DO211,0)*(1-$K211)</f>
        <v>0</v>
      </c>
      <c r="DR211" s="3236">
        <f>VLOOKUP($E211,DO$442:DR$453,4,FALSE)*DO211*($K211)+(DO211-DP211-DQ211)*(1-$K211)</f>
        <v>0</v>
      </c>
      <c r="DS211" s="3264"/>
      <c r="DW211" s="3235">
        <f>$G211</f>
        <v>0</v>
      </c>
      <c r="DX211" s="3236">
        <f>VLOOKUP($E211,DW$442:DZ$453,2,FALSE)*DW211*($K211)+IF($G211&lt;&gt;0,($H211/$G211)*DW211,0)*(1-$K211)</f>
        <v>0</v>
      </c>
      <c r="DY211" s="3236">
        <f>VLOOKUP($E211,DW$442:DZ$453,3,FALSE)*DW211*($K211)+IF($G211&lt;&gt;0,($I211/$G211)*DW211,0)*(1-$K211)</f>
        <v>0</v>
      </c>
      <c r="DZ211" s="3236">
        <f>VLOOKUP($E211,DW$442:DZ$453,4,FALSE)*DW211*($K211)+(DW211-DX211-DY211)*(1-$K211)</f>
        <v>0</v>
      </c>
      <c r="EA211" s="3264"/>
      <c r="EE211" s="3235">
        <f>$G211</f>
        <v>0</v>
      </c>
      <c r="EF211" s="3236">
        <f>VLOOKUP($E211,EE$442:EH$453,2,FALSE)*EE211*($K211)+IF($G211&lt;&gt;0,($H211/$G211)*EE211,0)*(1-$K211)</f>
        <v>0</v>
      </c>
      <c r="EG211" s="3236">
        <f>VLOOKUP($E211,EE$442:EH$453,3,FALSE)*EE211*($K211)+IF($G211&lt;&gt;0,($I211/$G211)*EE211,0)*(1-$K211)</f>
        <v>0</v>
      </c>
      <c r="EH211" s="3236">
        <f>VLOOKUP($E211,EE$442:EH$453,4,FALSE)*EE211*($K211)+(EE211-EF211-EG211)*(1-$K211)</f>
        <v>0</v>
      </c>
      <c r="EI211" s="3264"/>
      <c r="EM211" s="3235">
        <f>$G211</f>
        <v>0</v>
      </c>
      <c r="EN211" s="3236">
        <f>VLOOKUP($E211,EM$442:EP$453,2,FALSE)*EM211*($K211)+IF($G211&lt;&gt;0,($H211/$G211)*EM211,0)*(1-$K211)</f>
        <v>0</v>
      </c>
      <c r="EO211" s="3236">
        <f>VLOOKUP($E211,EM$442:EP$453,3,FALSE)*EM211*($K211)+IF($G211&lt;&gt;0,($I211/$G211)*EM211,0)*(1-$K211)</f>
        <v>0</v>
      </c>
      <c r="EP211" s="3236">
        <f>VLOOKUP($E211,EM$442:EP$453,4,FALSE)*EM211*($K211)+(EM211-EN211-EO211)*(1-$K211)</f>
        <v>0</v>
      </c>
      <c r="EQ211" s="3264"/>
      <c r="EU211" s="3235">
        <f>$G211</f>
        <v>0</v>
      </c>
      <c r="EV211" s="3236">
        <f>VLOOKUP($E211,EU$442:EX$453,2,FALSE)*EU211*($K211)+IF($G211&lt;&gt;0,($H211/$G211)*EU211,0)*(1-$K211)</f>
        <v>0</v>
      </c>
      <c r="EW211" s="3236">
        <f>VLOOKUP($E211,EU$442:EX$453,3,FALSE)*EU211*($K211)+IF($G211&lt;&gt;0,($I211/$G211)*EU211,0)*(1-$K211)</f>
        <v>0</v>
      </c>
      <c r="EX211" s="3236">
        <f>VLOOKUP($E211,EU$442:EX$453,4,FALSE)*EU211*($K211)+(EU211-EV211-EW211)*(1-$K211)</f>
        <v>0</v>
      </c>
      <c r="EY211" s="3264"/>
      <c r="FC211" s="3235">
        <f>$G211</f>
        <v>0</v>
      </c>
      <c r="FD211" s="3236">
        <f>VLOOKUP($E211,FC$442:FF$453,2,FALSE)*FC211*($K211)+IF($G211&lt;&gt;0,($H211/$G211)*FC211,0)*(1-$K211)</f>
        <v>0</v>
      </c>
      <c r="FE211" s="3236">
        <f>VLOOKUP($E211,FC$442:FF$453,3,FALSE)*FC211*($K211)+IF($G211&lt;&gt;0,($I211/$G211)*FC211,0)*(1-$K211)</f>
        <v>0</v>
      </c>
      <c r="FF211" s="3236">
        <f>VLOOKUP($E211,FC$442:FF$453,4,FALSE)*FC211*($K211)+(FC211-FD211-FE211)*(1-$K211)</f>
        <v>0</v>
      </c>
      <c r="FG211" s="3264"/>
      <c r="FK211" s="3235">
        <f>$G211</f>
        <v>0</v>
      </c>
      <c r="FL211" s="3236">
        <f>VLOOKUP($E211,FK$442:FN$453,2,FALSE)*FK211*($K211)+IF($G211&lt;&gt;0,($H211/$G211)*FK211,0)*(1-$K211)</f>
        <v>0</v>
      </c>
      <c r="FM211" s="3236">
        <f>VLOOKUP($E211,FK$442:FN$453,3,FALSE)*FK211*($K211)+IF($G211&lt;&gt;0,($I211/$G211)*FK211,0)*(1-$K211)</f>
        <v>0</v>
      </c>
      <c r="FN211" s="3236">
        <f>VLOOKUP($E211,FK$442:FN$453,4,FALSE)*FK211*($K211)+(FK211-FL211-FM211)*(1-$K211)</f>
        <v>0</v>
      </c>
      <c r="FO211" s="3264"/>
    </row>
    <row r="212" spans="1:171">
      <c r="A212" s="2442"/>
      <c r="B212" s="2185" t="s">
        <v>617</v>
      </c>
      <c r="C212" s="2464" t="s">
        <v>72</v>
      </c>
      <c r="D212" s="2464">
        <v>908</v>
      </c>
      <c r="E212" s="2424" t="str">
        <f>'Sch 3 - Expenses'!E52</f>
        <v>DIRECT</v>
      </c>
      <c r="F212" s="2171"/>
      <c r="G212" s="2424">
        <f>'Sch 3 - Expenses'!G52</f>
        <v>144569269</v>
      </c>
      <c r="H212" s="2424">
        <f>'Sch 3 - Expenses'!H52</f>
        <v>97941405.329999998</v>
      </c>
      <c r="I212" s="2424">
        <f>'Sch 3 - Expenses'!I52</f>
        <v>0</v>
      </c>
      <c r="J212" s="2425">
        <f>'Sch 3 - Expenses'!J52</f>
        <v>46627864.049999997</v>
      </c>
      <c r="K212" s="3205">
        <f>IF($E212="DIRECT",0,1)</f>
        <v>0</v>
      </c>
      <c r="O212" s="3235">
        <f>$G212</f>
        <v>144569269</v>
      </c>
      <c r="P212" s="3236">
        <f>VLOOKUP($E212,O$442:R$453,2,FALSE)*O212*($K212)+IF($G212&lt;&gt;0,($H212/$G212)*O212,0)*(1-$K212)</f>
        <v>97941405.329999998</v>
      </c>
      <c r="Q212" s="3236">
        <f>VLOOKUP($E212,O$442:R$453,3,FALSE)*O212*($K212)+IF($G212&lt;&gt;0,($I212/$G212)*O212,0)*(1-$K212)</f>
        <v>0</v>
      </c>
      <c r="R212" s="3236">
        <f>VLOOKUP($E212,O$442:R$453,4,FALSE)*O212*($K212)+(O212-P212-Q212)*(1-$K212)</f>
        <v>46627863.670000002</v>
      </c>
      <c r="S212" s="3264"/>
      <c r="W212" s="3235">
        <f>$G212</f>
        <v>144569269</v>
      </c>
      <c r="X212" s="3236">
        <f>VLOOKUP($E212,W$442:Z$453,2,FALSE)*W212*($K212)+IF($G212&lt;&gt;0,($H212/$G212)*W212,0)*(1-$K212)</f>
        <v>97941405.329999998</v>
      </c>
      <c r="Y212" s="3236">
        <f>VLOOKUP($E212,W$442:Z$453,3,FALSE)*W212*($K212)+IF($G212&lt;&gt;0,($I212/$G212)*W212,0)*(1-$K212)</f>
        <v>0</v>
      </c>
      <c r="Z212" s="3236">
        <f>VLOOKUP($E212,W$442:Z$453,4,FALSE)*W212*($K212)+(W212-X212-Y212)*(1-$K212)</f>
        <v>46627863.670000002</v>
      </c>
      <c r="AA212" s="3264"/>
      <c r="AE212" s="3235">
        <f>$G212</f>
        <v>144569269</v>
      </c>
      <c r="AF212" s="3236">
        <f>VLOOKUP($E212,AE$442:AH$453,2,FALSE)*AE212*($K212)+IF($G212&lt;&gt;0,($H212/$G212)*AE212,0)*(1-$K212)</f>
        <v>97941405.329999998</v>
      </c>
      <c r="AG212" s="3236">
        <f>VLOOKUP($E212,AE$442:AH$453,3,FALSE)*AE212*($K212)+IF($G212&lt;&gt;0,($I212/$G212)*AE212,0)*(1-$K212)</f>
        <v>0</v>
      </c>
      <c r="AH212" s="3236">
        <f>VLOOKUP($E212,AE$442:AH$453,4,FALSE)*AE212*($K212)+(AE212-AF212-AG212)*(1-$K212)</f>
        <v>46627863.670000002</v>
      </c>
      <c r="AI212" s="3264"/>
      <c r="AM212" s="3235">
        <f>$G212</f>
        <v>144569269</v>
      </c>
      <c r="AN212" s="3236">
        <f>VLOOKUP($E212,AM$442:AP$453,2,FALSE)*AM212*($K212)+IF($G212&lt;&gt;0,($H212/$G212)*AM212,0)*(1-$K212)</f>
        <v>97941405.329999998</v>
      </c>
      <c r="AO212" s="3236">
        <f>VLOOKUP($E212,AM$442:AP$453,3,FALSE)*AM212*($K212)+IF($G212&lt;&gt;0,($I212/$G212)*AM212,0)*(1-$K212)</f>
        <v>0</v>
      </c>
      <c r="AP212" s="3236">
        <f>VLOOKUP($E212,AM$442:AP$453,4,FALSE)*AM212*($K212)+(AM212-AN212-AO212)*(1-$K212)</f>
        <v>46627863.670000002</v>
      </c>
      <c r="AQ212" s="3264"/>
      <c r="AU212" s="3235">
        <f>$G212</f>
        <v>144569269</v>
      </c>
      <c r="AV212" s="3236">
        <f>VLOOKUP($E212,AU$442:AX$453,2,FALSE)*AU212*($K212)+IF($G212&lt;&gt;0,($H212/$G212)*AU212,0)*(1-$K212)</f>
        <v>97941405.329999998</v>
      </c>
      <c r="AW212" s="3236">
        <f>VLOOKUP($E212,AU$442:AX$453,3,FALSE)*AU212*($K212)+IF($G212&lt;&gt;0,($I212/$G212)*AU212,0)*(1-$K212)</f>
        <v>0</v>
      </c>
      <c r="AX212" s="3236">
        <f>VLOOKUP($E212,AU$442:AX$453,4,FALSE)*AU212*($K212)+(AU212-AV212-AW212)*(1-$K212)</f>
        <v>46627863.670000002</v>
      </c>
      <c r="AY212" s="3264"/>
      <c r="BC212" s="3235">
        <f>$G212</f>
        <v>144569269</v>
      </c>
      <c r="BD212" s="3236">
        <f>VLOOKUP($E212,BC$442:BF$453,2,FALSE)*BC212*($K212)+IF($G212&lt;&gt;0,($H212/$G212)*BC212,0)*(1-$K212)</f>
        <v>97941405.329999998</v>
      </c>
      <c r="BE212" s="3236">
        <f>VLOOKUP($E212,BC$442:BF$453,3,FALSE)*BC212*($K212)+IF($G212&lt;&gt;0,($I212/$G212)*BC212,0)*(1-$K212)</f>
        <v>0</v>
      </c>
      <c r="BF212" s="3236">
        <f>VLOOKUP($E212,BC$442:BF$453,4,FALSE)*BC212*($K212)+(BC212-BD212-BE212)*(1-$K212)</f>
        <v>46627863.670000002</v>
      </c>
      <c r="BG212" s="3264"/>
      <c r="BK212" s="3235">
        <f>$G212</f>
        <v>144569269</v>
      </c>
      <c r="BL212" s="3236">
        <f>VLOOKUP($E212,BK$442:BN$453,2,FALSE)*BK212*($K212)+IF($G212&lt;&gt;0,($H212/$G212)*BK212,0)*(1-$K212)</f>
        <v>97941405.329999998</v>
      </c>
      <c r="BM212" s="3236">
        <f>VLOOKUP($E212,BK$442:BN$453,3,FALSE)*BK212*($K212)+IF($G212&lt;&gt;0,($I212/$G212)*BK212,0)*(1-$K212)</f>
        <v>0</v>
      </c>
      <c r="BN212" s="3236">
        <f>VLOOKUP($E212,BK$442:BN$453,4,FALSE)*BK212*($K212)+(BK212-BL212-BM212)*(1-$K212)</f>
        <v>46627863.670000002</v>
      </c>
      <c r="BO212" s="3264"/>
      <c r="BS212" s="3235">
        <f>$G212</f>
        <v>144569269</v>
      </c>
      <c r="BT212" s="3236">
        <f>VLOOKUP($E212,BS$442:BV$453,2,FALSE)*BS212*($K212)+IF($G212&lt;&gt;0,($H212/$G212)*BS212,0)*(1-$K212)</f>
        <v>97941405.329999998</v>
      </c>
      <c r="BU212" s="3236">
        <f>VLOOKUP($E212,BS$442:BV$453,3,FALSE)*BS212*($K212)+IF($G212&lt;&gt;0,($I212/$G212)*BS212,0)*(1-$K212)</f>
        <v>0</v>
      </c>
      <c r="BV212" s="3236">
        <f>VLOOKUP($E212,BS$442:BV$453,4,FALSE)*BS212*($K212)+(BS212-BT212-BU212)*(1-$K212)</f>
        <v>46627863.670000002</v>
      </c>
      <c r="BW212" s="3264"/>
      <c r="CA212" s="3235">
        <f>$G212</f>
        <v>144569269</v>
      </c>
      <c r="CB212" s="3236">
        <f>VLOOKUP($E212,CA$442:CD$453,2,FALSE)*CA212*($K212)+IF($G212&lt;&gt;0,($H212/$G212)*CA212,0)*(1-$K212)</f>
        <v>97941405.329999998</v>
      </c>
      <c r="CC212" s="3236">
        <f>VLOOKUP($E212,CA$442:CD$453,3,FALSE)*CA212*($K212)+IF($G212&lt;&gt;0,($I212/$G212)*CA212,0)*(1-$K212)</f>
        <v>0</v>
      </c>
      <c r="CD212" s="3236">
        <f>VLOOKUP($E212,CA$442:CD$453,4,FALSE)*CA212*($K212)+(CA212-CB212-CC212)*(1-$K212)</f>
        <v>46627863.670000002</v>
      </c>
      <c r="CE212" s="3264"/>
      <c r="CI212" s="3235">
        <f>$G212</f>
        <v>144569269</v>
      </c>
      <c r="CJ212" s="3236">
        <f>VLOOKUP($E212,CI$442:CL$453,2,FALSE)*CI212*($K212)+IF($G212&lt;&gt;0,($H212/$G212)*CI212,0)*(1-$K212)</f>
        <v>97941405.329999998</v>
      </c>
      <c r="CK212" s="3236">
        <f>VLOOKUP($E212,CI$442:CL$453,3,FALSE)*CI212*($K212)+IF($G212&lt;&gt;0,($I212/$G212)*CI212,0)*(1-$K212)</f>
        <v>0</v>
      </c>
      <c r="CL212" s="3236">
        <f>VLOOKUP($E212,CI$442:CL$453,4,FALSE)*CI212*($K212)+(CI212-CJ212-CK212)*(1-$K212)</f>
        <v>46627863.670000002</v>
      </c>
      <c r="CM212" s="3264"/>
      <c r="CQ212" s="3235">
        <f>$G212</f>
        <v>144569269</v>
      </c>
      <c r="CR212" s="3236">
        <f>VLOOKUP($E212,CQ$442:CT$453,2,FALSE)*CQ212*($K212)+IF($G212&lt;&gt;0,($H212/$G212)*CQ212,0)*(1-$K212)</f>
        <v>97941405.329999998</v>
      </c>
      <c r="CS212" s="3236">
        <f>VLOOKUP($E212,CQ$442:CT$453,3,FALSE)*CQ212*($K212)+IF($G212&lt;&gt;0,($I212/$G212)*CQ212,0)*(1-$K212)</f>
        <v>0</v>
      </c>
      <c r="CT212" s="3236">
        <f>VLOOKUP($E212,CQ$442:CT$453,4,FALSE)*CQ212*($K212)+(CQ212-CR212-CS212)*(1-$K212)</f>
        <v>46627863.670000002</v>
      </c>
      <c r="CU212" s="3264"/>
      <c r="CY212" s="3235">
        <f>$G212</f>
        <v>144569269</v>
      </c>
      <c r="CZ212" s="3236">
        <f>VLOOKUP($E212,CY$442:DB$453,2,FALSE)*CY212*($K212)+IF($G212&lt;&gt;0,($H212/$G212)*CY212,0)*(1-$K212)</f>
        <v>97941405.329999998</v>
      </c>
      <c r="DA212" s="3236">
        <f>VLOOKUP($E212,CY$442:DB$453,3,FALSE)*CY212*($K212)+IF($G212&lt;&gt;0,($I212/$G212)*CY212,0)*(1-$K212)</f>
        <v>0</v>
      </c>
      <c r="DB212" s="3236">
        <f>VLOOKUP($E212,CY$442:DB$453,4,FALSE)*CY212*($K212)+(CY212-CZ212-DA212)*(1-$K212)</f>
        <v>46627863.670000002</v>
      </c>
      <c r="DC212" s="3264"/>
      <c r="DG212" s="3235">
        <f>$G212</f>
        <v>144569269</v>
      </c>
      <c r="DH212" s="3236">
        <f>VLOOKUP($E212,DG$442:DJ$453,2,FALSE)*DG212*($K212)+IF($G212&lt;&gt;0,($H212/$G212)*DG212,0)*(1-$K212)</f>
        <v>97941405.329999998</v>
      </c>
      <c r="DI212" s="3236">
        <f>VLOOKUP($E212,DG$442:DJ$453,3,FALSE)*DG212*($K212)+IF($G212&lt;&gt;0,($I212/$G212)*DG212,0)*(1-$K212)</f>
        <v>0</v>
      </c>
      <c r="DJ212" s="3236">
        <f>VLOOKUP($E212,DG$442:DJ$453,4,FALSE)*DG212*($K212)+(DG212-DH212-DI212)*(1-$K212)</f>
        <v>46627863.670000002</v>
      </c>
      <c r="DK212" s="3264"/>
      <c r="DO212" s="3235">
        <f>$G212</f>
        <v>144569269</v>
      </c>
      <c r="DP212" s="3236">
        <f>VLOOKUP($E212,DO$442:DR$453,2,FALSE)*DO212*($K212)+IF($G212&lt;&gt;0,($H212/$G212)*DO212,0)*(1-$K212)</f>
        <v>97941405.329999998</v>
      </c>
      <c r="DQ212" s="3236">
        <f>VLOOKUP($E212,DO$442:DR$453,3,FALSE)*DO212*($K212)+IF($G212&lt;&gt;0,($I212/$G212)*DO212,0)*(1-$K212)</f>
        <v>0</v>
      </c>
      <c r="DR212" s="3236">
        <f>VLOOKUP($E212,DO$442:DR$453,4,FALSE)*DO212*($K212)+(DO212-DP212-DQ212)*(1-$K212)</f>
        <v>46627863.670000002</v>
      </c>
      <c r="DS212" s="3264"/>
      <c r="DW212" s="3235">
        <f>$G212</f>
        <v>144569269</v>
      </c>
      <c r="DX212" s="3236">
        <f>VLOOKUP($E212,DW$442:DZ$453,2,FALSE)*DW212*($K212)+IF($G212&lt;&gt;0,($H212/$G212)*DW212,0)*(1-$K212)</f>
        <v>97941405.329999998</v>
      </c>
      <c r="DY212" s="3236">
        <f>VLOOKUP($E212,DW$442:DZ$453,3,FALSE)*DW212*($K212)+IF($G212&lt;&gt;0,($I212/$G212)*DW212,0)*(1-$K212)</f>
        <v>0</v>
      </c>
      <c r="DZ212" s="3236">
        <f>VLOOKUP($E212,DW$442:DZ$453,4,FALSE)*DW212*($K212)+(DW212-DX212-DY212)*(1-$K212)</f>
        <v>46627863.670000002</v>
      </c>
      <c r="EA212" s="3264"/>
      <c r="EE212" s="3235">
        <f>$G212</f>
        <v>144569269</v>
      </c>
      <c r="EF212" s="3236">
        <f>VLOOKUP($E212,EE$442:EH$453,2,FALSE)*EE212*($K212)+IF($G212&lt;&gt;0,($H212/$G212)*EE212,0)*(1-$K212)</f>
        <v>97941405.329999998</v>
      </c>
      <c r="EG212" s="3236">
        <f>VLOOKUP($E212,EE$442:EH$453,3,FALSE)*EE212*($K212)+IF($G212&lt;&gt;0,($I212/$G212)*EE212,0)*(1-$K212)</f>
        <v>0</v>
      </c>
      <c r="EH212" s="3236">
        <f>VLOOKUP($E212,EE$442:EH$453,4,FALSE)*EE212*($K212)+(EE212-EF212-EG212)*(1-$K212)</f>
        <v>46627863.670000002</v>
      </c>
      <c r="EI212" s="3264"/>
      <c r="EM212" s="3235">
        <f>$G212</f>
        <v>144569269</v>
      </c>
      <c r="EN212" s="3236">
        <f>VLOOKUP($E212,EM$442:EP$453,2,FALSE)*EM212*($K212)+IF($G212&lt;&gt;0,($H212/$G212)*EM212,0)*(1-$K212)</f>
        <v>97941405.329999998</v>
      </c>
      <c r="EO212" s="3236">
        <f>VLOOKUP($E212,EM$442:EP$453,3,FALSE)*EM212*($K212)+IF($G212&lt;&gt;0,($I212/$G212)*EM212,0)*(1-$K212)</f>
        <v>0</v>
      </c>
      <c r="EP212" s="3236">
        <f>VLOOKUP($E212,EM$442:EP$453,4,FALSE)*EM212*($K212)+(EM212-EN212-EO212)*(1-$K212)</f>
        <v>46627863.670000002</v>
      </c>
      <c r="EQ212" s="3264"/>
      <c r="EU212" s="3235">
        <f>$G212</f>
        <v>144569269</v>
      </c>
      <c r="EV212" s="3236">
        <f>VLOOKUP($E212,EU$442:EX$453,2,FALSE)*EU212*($K212)+IF($G212&lt;&gt;0,($H212/$G212)*EU212,0)*(1-$K212)</f>
        <v>97941405.329999998</v>
      </c>
      <c r="EW212" s="3236">
        <f>VLOOKUP($E212,EU$442:EX$453,3,FALSE)*EU212*($K212)+IF($G212&lt;&gt;0,($I212/$G212)*EU212,0)*(1-$K212)</f>
        <v>0</v>
      </c>
      <c r="EX212" s="3236">
        <f>VLOOKUP($E212,EU$442:EX$453,4,FALSE)*EU212*($K212)+(EU212-EV212-EW212)*(1-$K212)</f>
        <v>46627863.670000002</v>
      </c>
      <c r="EY212" s="3264"/>
      <c r="FC212" s="3235">
        <f>$G212</f>
        <v>144569269</v>
      </c>
      <c r="FD212" s="3236">
        <f>VLOOKUP($E212,FC$442:FF$453,2,FALSE)*FC212*($K212)+IF($G212&lt;&gt;0,($H212/$G212)*FC212,0)*(1-$K212)</f>
        <v>97941405.329999998</v>
      </c>
      <c r="FE212" s="3236">
        <f>VLOOKUP($E212,FC$442:FF$453,3,FALSE)*FC212*($K212)+IF($G212&lt;&gt;0,($I212/$G212)*FC212,0)*(1-$K212)</f>
        <v>0</v>
      </c>
      <c r="FF212" s="3236">
        <f>VLOOKUP($E212,FC$442:FF$453,4,FALSE)*FC212*($K212)+(FC212-FD212-FE212)*(1-$K212)</f>
        <v>46627863.670000002</v>
      </c>
      <c r="FG212" s="3264"/>
      <c r="FK212" s="3235">
        <f>$G212</f>
        <v>144569269</v>
      </c>
      <c r="FL212" s="3236">
        <f>VLOOKUP($E212,FK$442:FN$453,2,FALSE)*FK212*($K212)+IF($G212&lt;&gt;0,($H212/$G212)*FK212,0)*(1-$K212)</f>
        <v>97941405.329999998</v>
      </c>
      <c r="FM212" s="3236">
        <f>VLOOKUP($E212,FK$442:FN$453,3,FALSE)*FK212*($K212)+IF($G212&lt;&gt;0,($I212/$G212)*FK212,0)*(1-$K212)</f>
        <v>0</v>
      </c>
      <c r="FN212" s="3236">
        <f>VLOOKUP($E212,FK$442:FN$453,4,FALSE)*FK212*($K212)+(FK212-FL212-FM212)*(1-$K212)</f>
        <v>46627863.670000002</v>
      </c>
      <c r="FO212" s="3264"/>
    </row>
    <row r="213" spans="1:171">
      <c r="A213" s="2442"/>
      <c r="B213" s="2185" t="s">
        <v>172</v>
      </c>
      <c r="C213" s="2464" t="s">
        <v>72</v>
      </c>
      <c r="D213" s="2464" t="s">
        <v>394</v>
      </c>
      <c r="E213" s="2424" t="str">
        <f>'Sch 3 - Expenses'!E53</f>
        <v>DIST</v>
      </c>
      <c r="F213" s="2171"/>
      <c r="G213" s="2424">
        <f>'Sch 3 - Expenses'!G53</f>
        <v>2499626</v>
      </c>
      <c r="H213" s="2424">
        <f>'Sch 3 - Expenses'!H53</f>
        <v>0</v>
      </c>
      <c r="I213" s="2424">
        <f>'Sch 3 - Expenses'!I53</f>
        <v>0</v>
      </c>
      <c r="J213" s="2425">
        <f>'Sch 3 - Expenses'!J53</f>
        <v>2499626</v>
      </c>
      <c r="K213" s="3205">
        <f>IF($E213="DIRECT",0,1)</f>
        <v>1</v>
      </c>
      <c r="O213" s="3235">
        <f>$G213</f>
        <v>2499626</v>
      </c>
      <c r="P213" s="3236">
        <f>VLOOKUP($E213,O$442:R$453,2,FALSE)*O213*($K213)+IF($G213&lt;&gt;0,($H213/$G213)*O213,0)*(1-$K213)</f>
        <v>0</v>
      </c>
      <c r="Q213" s="3236">
        <f>VLOOKUP($E213,O$442:R$453,3,FALSE)*O213*($K213)+IF($G213&lt;&gt;0,($I213/$G213)*O213,0)*(1-$K213)</f>
        <v>0</v>
      </c>
      <c r="R213" s="3236">
        <f>VLOOKUP($E213,O$442:R$453,4,FALSE)*O213*($K213)+(O213-P213-Q213)*(1-$K213)</f>
        <v>2499626</v>
      </c>
      <c r="S213" s="3264"/>
      <c r="W213" s="3235">
        <f>$G213</f>
        <v>2499626</v>
      </c>
      <c r="X213" s="3236">
        <f>VLOOKUP($E213,W$442:Z$453,2,FALSE)*W213*($K213)+IF($G213&lt;&gt;0,($H213/$G213)*W213,0)*(1-$K213)</f>
        <v>0</v>
      </c>
      <c r="Y213" s="3236">
        <f>VLOOKUP($E213,W$442:Z$453,3,FALSE)*W213*($K213)+IF($G213&lt;&gt;0,($I213/$G213)*W213,0)*(1-$K213)</f>
        <v>0</v>
      </c>
      <c r="Z213" s="3236">
        <f>VLOOKUP($E213,W$442:Z$453,4,FALSE)*W213*($K213)+(W213-X213-Y213)*(1-$K213)</f>
        <v>2499626</v>
      </c>
      <c r="AA213" s="3264"/>
      <c r="AE213" s="3235">
        <f>$G213</f>
        <v>2499626</v>
      </c>
      <c r="AF213" s="3236">
        <f>VLOOKUP($E213,AE$442:AH$453,2,FALSE)*AE213*($K213)+IF($G213&lt;&gt;0,($H213/$G213)*AE213,0)*(1-$K213)</f>
        <v>0</v>
      </c>
      <c r="AG213" s="3236">
        <f>VLOOKUP($E213,AE$442:AH$453,3,FALSE)*AE213*($K213)+IF($G213&lt;&gt;0,($I213/$G213)*AE213,0)*(1-$K213)</f>
        <v>0</v>
      </c>
      <c r="AH213" s="3236">
        <f>VLOOKUP($E213,AE$442:AH$453,4,FALSE)*AE213*($K213)+(AE213-AF213-AG213)*(1-$K213)</f>
        <v>2499626</v>
      </c>
      <c r="AI213" s="3264"/>
      <c r="AM213" s="3235">
        <f>$G213</f>
        <v>2499626</v>
      </c>
      <c r="AN213" s="3236">
        <f>VLOOKUP($E213,AM$442:AP$453,2,FALSE)*AM213*($K213)+IF($G213&lt;&gt;0,($H213/$G213)*AM213,0)*(1-$K213)</f>
        <v>0</v>
      </c>
      <c r="AO213" s="3236">
        <f>VLOOKUP($E213,AM$442:AP$453,3,FALSE)*AM213*($K213)+IF($G213&lt;&gt;0,($I213/$G213)*AM213,0)*(1-$K213)</f>
        <v>0</v>
      </c>
      <c r="AP213" s="3236">
        <f>VLOOKUP($E213,AM$442:AP$453,4,FALSE)*AM213*($K213)+(AM213-AN213-AO213)*(1-$K213)</f>
        <v>2499626</v>
      </c>
      <c r="AQ213" s="3264"/>
      <c r="AU213" s="3235">
        <f>$G213</f>
        <v>2499626</v>
      </c>
      <c r="AV213" s="3236">
        <f>VLOOKUP($E213,AU$442:AX$453,2,FALSE)*AU213*($K213)+IF($G213&lt;&gt;0,($H213/$G213)*AU213,0)*(1-$K213)</f>
        <v>0</v>
      </c>
      <c r="AW213" s="3236">
        <f>VLOOKUP($E213,AU$442:AX$453,3,FALSE)*AU213*($K213)+IF($G213&lt;&gt;0,($I213/$G213)*AU213,0)*(1-$K213)</f>
        <v>0</v>
      </c>
      <c r="AX213" s="3236">
        <f>VLOOKUP($E213,AU$442:AX$453,4,FALSE)*AU213*($K213)+(AU213-AV213-AW213)*(1-$K213)</f>
        <v>2499626</v>
      </c>
      <c r="AY213" s="3264"/>
      <c r="BC213" s="3235">
        <f>$G213</f>
        <v>2499626</v>
      </c>
      <c r="BD213" s="3236">
        <f>VLOOKUP($E213,BC$442:BF$453,2,FALSE)*BC213*($K213)+IF($G213&lt;&gt;0,($H213/$G213)*BC213,0)*(1-$K213)</f>
        <v>0</v>
      </c>
      <c r="BE213" s="3236">
        <f>VLOOKUP($E213,BC$442:BF$453,3,FALSE)*BC213*($K213)+IF($G213&lt;&gt;0,($I213/$G213)*BC213,0)*(1-$K213)</f>
        <v>0</v>
      </c>
      <c r="BF213" s="3236">
        <f>VLOOKUP($E213,BC$442:BF$453,4,FALSE)*BC213*($K213)+(BC213-BD213-BE213)*(1-$K213)</f>
        <v>2499626</v>
      </c>
      <c r="BG213" s="3264"/>
      <c r="BK213" s="3235">
        <f>$G213</f>
        <v>2499626</v>
      </c>
      <c r="BL213" s="3236">
        <f>VLOOKUP($E213,BK$442:BN$453,2,FALSE)*BK213*($K213)+IF($G213&lt;&gt;0,($H213/$G213)*BK213,0)*(1-$K213)</f>
        <v>0</v>
      </c>
      <c r="BM213" s="3236">
        <f>VLOOKUP($E213,BK$442:BN$453,3,FALSE)*BK213*($K213)+IF($G213&lt;&gt;0,($I213/$G213)*BK213,0)*(1-$K213)</f>
        <v>0</v>
      </c>
      <c r="BN213" s="3236">
        <f>VLOOKUP($E213,BK$442:BN$453,4,FALSE)*BK213*($K213)+(BK213-BL213-BM213)*(1-$K213)</f>
        <v>2499626</v>
      </c>
      <c r="BO213" s="3264"/>
      <c r="BS213" s="3235">
        <f>$G213</f>
        <v>2499626</v>
      </c>
      <c r="BT213" s="3236">
        <f>VLOOKUP($E213,BS$442:BV$453,2,FALSE)*BS213*($K213)+IF($G213&lt;&gt;0,($H213/$G213)*BS213,0)*(1-$K213)</f>
        <v>0</v>
      </c>
      <c r="BU213" s="3236">
        <f>VLOOKUP($E213,BS$442:BV$453,3,FALSE)*BS213*($K213)+IF($G213&lt;&gt;0,($I213/$G213)*BS213,0)*(1-$K213)</f>
        <v>0</v>
      </c>
      <c r="BV213" s="3236">
        <f>VLOOKUP($E213,BS$442:BV$453,4,FALSE)*BS213*($K213)+(BS213-BT213-BU213)*(1-$K213)</f>
        <v>2499626</v>
      </c>
      <c r="BW213" s="3264"/>
      <c r="CA213" s="3235">
        <f>$G213</f>
        <v>2499626</v>
      </c>
      <c r="CB213" s="3236">
        <f>VLOOKUP($E213,CA$442:CD$453,2,FALSE)*CA213*($K213)+IF($G213&lt;&gt;0,($H213/$G213)*CA213,0)*(1-$K213)</f>
        <v>0</v>
      </c>
      <c r="CC213" s="3236">
        <f>VLOOKUP($E213,CA$442:CD$453,3,FALSE)*CA213*($K213)+IF($G213&lt;&gt;0,($I213/$G213)*CA213,0)*(1-$K213)</f>
        <v>0</v>
      </c>
      <c r="CD213" s="3236">
        <f>VLOOKUP($E213,CA$442:CD$453,4,FALSE)*CA213*($K213)+(CA213-CB213-CC213)*(1-$K213)</f>
        <v>2499626</v>
      </c>
      <c r="CE213" s="3264"/>
      <c r="CI213" s="3235">
        <f>$G213</f>
        <v>2499626</v>
      </c>
      <c r="CJ213" s="3236">
        <f>VLOOKUP($E213,CI$442:CL$453,2,FALSE)*CI213*($K213)+IF($G213&lt;&gt;0,($H213/$G213)*CI213,0)*(1-$K213)</f>
        <v>0</v>
      </c>
      <c r="CK213" s="3236">
        <f>VLOOKUP($E213,CI$442:CL$453,3,FALSE)*CI213*($K213)+IF($G213&lt;&gt;0,($I213/$G213)*CI213,0)*(1-$K213)</f>
        <v>0</v>
      </c>
      <c r="CL213" s="3236">
        <f>VLOOKUP($E213,CI$442:CL$453,4,FALSE)*CI213*($K213)+(CI213-CJ213-CK213)*(1-$K213)</f>
        <v>2499626</v>
      </c>
      <c r="CM213" s="3264"/>
      <c r="CQ213" s="3235">
        <f>$G213</f>
        <v>2499626</v>
      </c>
      <c r="CR213" s="3236">
        <f>VLOOKUP($E213,CQ$442:CT$453,2,FALSE)*CQ213*($K213)+IF($G213&lt;&gt;0,($H213/$G213)*CQ213,0)*(1-$K213)</f>
        <v>0</v>
      </c>
      <c r="CS213" s="3236">
        <f>VLOOKUP($E213,CQ$442:CT$453,3,FALSE)*CQ213*($K213)+IF($G213&lt;&gt;0,($I213/$G213)*CQ213,0)*(1-$K213)</f>
        <v>0</v>
      </c>
      <c r="CT213" s="3236">
        <f>VLOOKUP($E213,CQ$442:CT$453,4,FALSE)*CQ213*($K213)+(CQ213-CR213-CS213)*(1-$K213)</f>
        <v>2499626</v>
      </c>
      <c r="CU213" s="3264"/>
      <c r="CY213" s="3235">
        <f>$G213</f>
        <v>2499626</v>
      </c>
      <c r="CZ213" s="3236">
        <f>VLOOKUP($E213,CY$442:DB$453,2,FALSE)*CY213*($K213)+IF($G213&lt;&gt;0,($H213/$G213)*CY213,0)*(1-$K213)</f>
        <v>0</v>
      </c>
      <c r="DA213" s="3236">
        <f>VLOOKUP($E213,CY$442:DB$453,3,FALSE)*CY213*($K213)+IF($G213&lt;&gt;0,($I213/$G213)*CY213,0)*(1-$K213)</f>
        <v>0</v>
      </c>
      <c r="DB213" s="3236">
        <f>VLOOKUP($E213,CY$442:DB$453,4,FALSE)*CY213*($K213)+(CY213-CZ213-DA213)*(1-$K213)</f>
        <v>2499626</v>
      </c>
      <c r="DC213" s="3264"/>
      <c r="DG213" s="3235">
        <f>$G213</f>
        <v>2499626</v>
      </c>
      <c r="DH213" s="3236">
        <f>VLOOKUP($E213,DG$442:DJ$453,2,FALSE)*DG213*($K213)+IF($G213&lt;&gt;0,($H213/$G213)*DG213,0)*(1-$K213)</f>
        <v>0</v>
      </c>
      <c r="DI213" s="3236">
        <f>VLOOKUP($E213,DG$442:DJ$453,3,FALSE)*DG213*($K213)+IF($G213&lt;&gt;0,($I213/$G213)*DG213,0)*(1-$K213)</f>
        <v>0</v>
      </c>
      <c r="DJ213" s="3236">
        <f>VLOOKUP($E213,DG$442:DJ$453,4,FALSE)*DG213*($K213)+(DG213-DH213-DI213)*(1-$K213)</f>
        <v>2499626</v>
      </c>
      <c r="DK213" s="3264"/>
      <c r="DO213" s="3235">
        <f>$G213</f>
        <v>2499626</v>
      </c>
      <c r="DP213" s="3236">
        <f>VLOOKUP($E213,DO$442:DR$453,2,FALSE)*DO213*($K213)+IF($G213&lt;&gt;0,($H213/$G213)*DO213,0)*(1-$K213)</f>
        <v>0</v>
      </c>
      <c r="DQ213" s="3236">
        <f>VLOOKUP($E213,DO$442:DR$453,3,FALSE)*DO213*($K213)+IF($G213&lt;&gt;0,($I213/$G213)*DO213,0)*(1-$K213)</f>
        <v>0</v>
      </c>
      <c r="DR213" s="3236">
        <f>VLOOKUP($E213,DO$442:DR$453,4,FALSE)*DO213*($K213)+(DO213-DP213-DQ213)*(1-$K213)</f>
        <v>2499626</v>
      </c>
      <c r="DS213" s="3264"/>
      <c r="DW213" s="3235">
        <f>$G213</f>
        <v>2499626</v>
      </c>
      <c r="DX213" s="3236">
        <f>VLOOKUP($E213,DW$442:DZ$453,2,FALSE)*DW213*($K213)+IF($G213&lt;&gt;0,($H213/$G213)*DW213,0)*(1-$K213)</f>
        <v>0</v>
      </c>
      <c r="DY213" s="3236">
        <f>VLOOKUP($E213,DW$442:DZ$453,3,FALSE)*DW213*($K213)+IF($G213&lt;&gt;0,($I213/$G213)*DW213,0)*(1-$K213)</f>
        <v>0</v>
      </c>
      <c r="DZ213" s="3236">
        <f>VLOOKUP($E213,DW$442:DZ$453,4,FALSE)*DW213*($K213)+(DW213-DX213-DY213)*(1-$K213)</f>
        <v>2499626</v>
      </c>
      <c r="EA213" s="3264"/>
      <c r="EE213" s="3235">
        <f>$G213</f>
        <v>2499626</v>
      </c>
      <c r="EF213" s="3236">
        <f>VLOOKUP($E213,EE$442:EH$453,2,FALSE)*EE213*($K213)+IF($G213&lt;&gt;0,($H213/$G213)*EE213,0)*(1-$K213)</f>
        <v>0</v>
      </c>
      <c r="EG213" s="3236">
        <f>VLOOKUP($E213,EE$442:EH$453,3,FALSE)*EE213*($K213)+IF($G213&lt;&gt;0,($I213/$G213)*EE213,0)*(1-$K213)</f>
        <v>0</v>
      </c>
      <c r="EH213" s="3236">
        <f>VLOOKUP($E213,EE$442:EH$453,4,FALSE)*EE213*($K213)+(EE213-EF213-EG213)*(1-$K213)</f>
        <v>2499626</v>
      </c>
      <c r="EI213" s="3264"/>
      <c r="EM213" s="3235">
        <f>$G213</f>
        <v>2499626</v>
      </c>
      <c r="EN213" s="3236">
        <f>VLOOKUP($E213,EM$442:EP$453,2,FALSE)*EM213*($K213)+IF($G213&lt;&gt;0,($H213/$G213)*EM213,0)*(1-$K213)</f>
        <v>0</v>
      </c>
      <c r="EO213" s="3236">
        <f>VLOOKUP($E213,EM$442:EP$453,3,FALSE)*EM213*($K213)+IF($G213&lt;&gt;0,($I213/$G213)*EM213,0)*(1-$K213)</f>
        <v>0</v>
      </c>
      <c r="EP213" s="3236">
        <f>VLOOKUP($E213,EM$442:EP$453,4,FALSE)*EM213*($K213)+(EM213-EN213-EO213)*(1-$K213)</f>
        <v>2499626</v>
      </c>
      <c r="EQ213" s="3264"/>
      <c r="EU213" s="3235">
        <f>$G213</f>
        <v>2499626</v>
      </c>
      <c r="EV213" s="3236">
        <f>VLOOKUP($E213,EU$442:EX$453,2,FALSE)*EU213*($K213)+IF($G213&lt;&gt;0,($H213/$G213)*EU213,0)*(1-$K213)</f>
        <v>0</v>
      </c>
      <c r="EW213" s="3236">
        <f>VLOOKUP($E213,EU$442:EX$453,3,FALSE)*EU213*($K213)+IF($G213&lt;&gt;0,($I213/$G213)*EU213,0)*(1-$K213)</f>
        <v>0</v>
      </c>
      <c r="EX213" s="3236">
        <f>VLOOKUP($E213,EU$442:EX$453,4,FALSE)*EU213*($K213)+(EU213-EV213-EW213)*(1-$K213)</f>
        <v>2499626</v>
      </c>
      <c r="EY213" s="3264"/>
      <c r="FC213" s="3235">
        <f>$G213</f>
        <v>2499626</v>
      </c>
      <c r="FD213" s="3236">
        <f>VLOOKUP($E213,FC$442:FF$453,2,FALSE)*FC213*($K213)+IF($G213&lt;&gt;0,($H213/$G213)*FC213,0)*(1-$K213)</f>
        <v>0</v>
      </c>
      <c r="FE213" s="3236">
        <f>VLOOKUP($E213,FC$442:FF$453,3,FALSE)*FC213*($K213)+IF($G213&lt;&gt;0,($I213/$G213)*FC213,0)*(1-$K213)</f>
        <v>0</v>
      </c>
      <c r="FF213" s="3236">
        <f>VLOOKUP($E213,FC$442:FF$453,4,FALSE)*FC213*($K213)+(FC213-FD213-FE213)*(1-$K213)</f>
        <v>2499626</v>
      </c>
      <c r="FG213" s="3264"/>
      <c r="FK213" s="3235">
        <f>$G213</f>
        <v>2499626</v>
      </c>
      <c r="FL213" s="3236">
        <f>VLOOKUP($E213,FK$442:FN$453,2,FALSE)*FK213*($K213)+IF($G213&lt;&gt;0,($H213/$G213)*FK213,0)*(1-$K213)</f>
        <v>0</v>
      </c>
      <c r="FM213" s="3236">
        <f>VLOOKUP($E213,FK$442:FN$453,3,FALSE)*FK213*($K213)+IF($G213&lt;&gt;0,($I213/$G213)*FK213,0)*(1-$K213)</f>
        <v>0</v>
      </c>
      <c r="FN213" s="3236">
        <f>VLOOKUP($E213,FK$442:FN$453,4,FALSE)*FK213*($K213)+(FK213-FL213-FM213)*(1-$K213)</f>
        <v>2499626</v>
      </c>
      <c r="FO213" s="3264"/>
    </row>
    <row r="214" spans="1:171">
      <c r="A214" s="2442"/>
      <c r="B214" s="2185" t="s">
        <v>395</v>
      </c>
      <c r="C214" s="2464" t="s">
        <v>72</v>
      </c>
      <c r="D214" s="2464" t="s">
        <v>396</v>
      </c>
      <c r="E214" s="2424" t="str">
        <f>'Sch 3 - Expenses'!E54</f>
        <v>DIST</v>
      </c>
      <c r="F214" s="2171"/>
      <c r="G214" s="2424">
        <f>'Sch 3 - Expenses'!G54</f>
        <v>1231798</v>
      </c>
      <c r="H214" s="2424">
        <f>'Sch 3 - Expenses'!H54</f>
        <v>0</v>
      </c>
      <c r="I214" s="2424">
        <f>'Sch 3 - Expenses'!I54</f>
        <v>0</v>
      </c>
      <c r="J214" s="2425">
        <f>'Sch 3 - Expenses'!J54</f>
        <v>1231798</v>
      </c>
      <c r="K214" s="3205">
        <f>IF($E214="DIRECT",0,1)</f>
        <v>1</v>
      </c>
      <c r="O214" s="3235">
        <f>$G214</f>
        <v>1231798</v>
      </c>
      <c r="P214" s="3236">
        <f>VLOOKUP($E214,O$442:R$453,2,FALSE)*O214*($K214)+IF($G214&lt;&gt;0,($H214/$G214)*O214,0)*(1-$K214)</f>
        <v>0</v>
      </c>
      <c r="Q214" s="3236">
        <f>VLOOKUP($E214,O$442:R$453,3,FALSE)*O214*($K214)+IF($G214&lt;&gt;0,($I214/$G214)*O214,0)*(1-$K214)</f>
        <v>0</v>
      </c>
      <c r="R214" s="3236">
        <f>VLOOKUP($E214,O$442:R$453,4,FALSE)*O214*($K214)+(O214-P214-Q214)*(1-$K214)</f>
        <v>1231798</v>
      </c>
      <c r="S214" s="3264"/>
      <c r="W214" s="3235">
        <f>$G214</f>
        <v>1231798</v>
      </c>
      <c r="X214" s="3236">
        <f>VLOOKUP($E214,W$442:Z$453,2,FALSE)*W214*($K214)+IF($G214&lt;&gt;0,($H214/$G214)*W214,0)*(1-$K214)</f>
        <v>0</v>
      </c>
      <c r="Y214" s="3236">
        <f>VLOOKUP($E214,W$442:Z$453,3,FALSE)*W214*($K214)+IF($G214&lt;&gt;0,($I214/$G214)*W214,0)*(1-$K214)</f>
        <v>0</v>
      </c>
      <c r="Z214" s="3236">
        <f>VLOOKUP($E214,W$442:Z$453,4,FALSE)*W214*($K214)+(W214-X214-Y214)*(1-$K214)</f>
        <v>1231798</v>
      </c>
      <c r="AA214" s="3264"/>
      <c r="AE214" s="3235">
        <f>$G214</f>
        <v>1231798</v>
      </c>
      <c r="AF214" s="3236">
        <f>VLOOKUP($E214,AE$442:AH$453,2,FALSE)*AE214*($K214)+IF($G214&lt;&gt;0,($H214/$G214)*AE214,0)*(1-$K214)</f>
        <v>0</v>
      </c>
      <c r="AG214" s="3236">
        <f>VLOOKUP($E214,AE$442:AH$453,3,FALSE)*AE214*($K214)+IF($G214&lt;&gt;0,($I214/$G214)*AE214,0)*(1-$K214)</f>
        <v>0</v>
      </c>
      <c r="AH214" s="3236">
        <f>VLOOKUP($E214,AE$442:AH$453,4,FALSE)*AE214*($K214)+(AE214-AF214-AG214)*(1-$K214)</f>
        <v>1231798</v>
      </c>
      <c r="AI214" s="3264"/>
      <c r="AM214" s="3235">
        <f>$G214</f>
        <v>1231798</v>
      </c>
      <c r="AN214" s="3236">
        <f>VLOOKUP($E214,AM$442:AP$453,2,FALSE)*AM214*($K214)+IF($G214&lt;&gt;0,($H214/$G214)*AM214,0)*(1-$K214)</f>
        <v>0</v>
      </c>
      <c r="AO214" s="3236">
        <f>VLOOKUP($E214,AM$442:AP$453,3,FALSE)*AM214*($K214)+IF($G214&lt;&gt;0,($I214/$G214)*AM214,0)*(1-$K214)</f>
        <v>0</v>
      </c>
      <c r="AP214" s="3236">
        <f>VLOOKUP($E214,AM$442:AP$453,4,FALSE)*AM214*($K214)+(AM214-AN214-AO214)*(1-$K214)</f>
        <v>1231798</v>
      </c>
      <c r="AQ214" s="3264"/>
      <c r="AU214" s="3235">
        <f>$G214</f>
        <v>1231798</v>
      </c>
      <c r="AV214" s="3236">
        <f>VLOOKUP($E214,AU$442:AX$453,2,FALSE)*AU214*($K214)+IF($G214&lt;&gt;0,($H214/$G214)*AU214,0)*(1-$K214)</f>
        <v>0</v>
      </c>
      <c r="AW214" s="3236">
        <f>VLOOKUP($E214,AU$442:AX$453,3,FALSE)*AU214*($K214)+IF($G214&lt;&gt;0,($I214/$G214)*AU214,0)*(1-$K214)</f>
        <v>0</v>
      </c>
      <c r="AX214" s="3236">
        <f>VLOOKUP($E214,AU$442:AX$453,4,FALSE)*AU214*($K214)+(AU214-AV214-AW214)*(1-$K214)</f>
        <v>1231798</v>
      </c>
      <c r="AY214" s="3264"/>
      <c r="BC214" s="3235">
        <f>$G214</f>
        <v>1231798</v>
      </c>
      <c r="BD214" s="3236">
        <f>VLOOKUP($E214,BC$442:BF$453,2,FALSE)*BC214*($K214)+IF($G214&lt;&gt;0,($H214/$G214)*BC214,0)*(1-$K214)</f>
        <v>0</v>
      </c>
      <c r="BE214" s="3236">
        <f>VLOOKUP($E214,BC$442:BF$453,3,FALSE)*BC214*($K214)+IF($G214&lt;&gt;0,($I214/$G214)*BC214,0)*(1-$K214)</f>
        <v>0</v>
      </c>
      <c r="BF214" s="3236">
        <f>VLOOKUP($E214,BC$442:BF$453,4,FALSE)*BC214*($K214)+(BC214-BD214-BE214)*(1-$K214)</f>
        <v>1231798</v>
      </c>
      <c r="BG214" s="3264"/>
      <c r="BK214" s="3235">
        <f>$G214</f>
        <v>1231798</v>
      </c>
      <c r="BL214" s="3236">
        <f>VLOOKUP($E214,BK$442:BN$453,2,FALSE)*BK214*($K214)+IF($G214&lt;&gt;0,($H214/$G214)*BK214,0)*(1-$K214)</f>
        <v>0</v>
      </c>
      <c r="BM214" s="3236">
        <f>VLOOKUP($E214,BK$442:BN$453,3,FALSE)*BK214*($K214)+IF($G214&lt;&gt;0,($I214/$G214)*BK214,0)*(1-$K214)</f>
        <v>0</v>
      </c>
      <c r="BN214" s="3236">
        <f>VLOOKUP($E214,BK$442:BN$453,4,FALSE)*BK214*($K214)+(BK214-BL214-BM214)*(1-$K214)</f>
        <v>1231798</v>
      </c>
      <c r="BO214" s="3264"/>
      <c r="BS214" s="3235">
        <f>$G214</f>
        <v>1231798</v>
      </c>
      <c r="BT214" s="3236">
        <f>VLOOKUP($E214,BS$442:BV$453,2,FALSE)*BS214*($K214)+IF($G214&lt;&gt;0,($H214/$G214)*BS214,0)*(1-$K214)</f>
        <v>0</v>
      </c>
      <c r="BU214" s="3236">
        <f>VLOOKUP($E214,BS$442:BV$453,3,FALSE)*BS214*($K214)+IF($G214&lt;&gt;0,($I214/$G214)*BS214,0)*(1-$K214)</f>
        <v>0</v>
      </c>
      <c r="BV214" s="3236">
        <f>VLOOKUP($E214,BS$442:BV$453,4,FALSE)*BS214*($K214)+(BS214-BT214-BU214)*(1-$K214)</f>
        <v>1231798</v>
      </c>
      <c r="BW214" s="3264"/>
      <c r="CA214" s="3235">
        <f>$G214</f>
        <v>1231798</v>
      </c>
      <c r="CB214" s="3236">
        <f>VLOOKUP($E214,CA$442:CD$453,2,FALSE)*CA214*($K214)+IF($G214&lt;&gt;0,($H214/$G214)*CA214,0)*(1-$K214)</f>
        <v>0</v>
      </c>
      <c r="CC214" s="3236">
        <f>VLOOKUP($E214,CA$442:CD$453,3,FALSE)*CA214*($K214)+IF($G214&lt;&gt;0,($I214/$G214)*CA214,0)*(1-$K214)</f>
        <v>0</v>
      </c>
      <c r="CD214" s="3236">
        <f>VLOOKUP($E214,CA$442:CD$453,4,FALSE)*CA214*($K214)+(CA214-CB214-CC214)*(1-$K214)</f>
        <v>1231798</v>
      </c>
      <c r="CE214" s="3264"/>
      <c r="CI214" s="3235">
        <f>$G214</f>
        <v>1231798</v>
      </c>
      <c r="CJ214" s="3236">
        <f>VLOOKUP($E214,CI$442:CL$453,2,FALSE)*CI214*($K214)+IF($G214&lt;&gt;0,($H214/$G214)*CI214,0)*(1-$K214)</f>
        <v>0</v>
      </c>
      <c r="CK214" s="3236">
        <f>VLOOKUP($E214,CI$442:CL$453,3,FALSE)*CI214*($K214)+IF($G214&lt;&gt;0,($I214/$G214)*CI214,0)*(1-$K214)</f>
        <v>0</v>
      </c>
      <c r="CL214" s="3236">
        <f>VLOOKUP($E214,CI$442:CL$453,4,FALSE)*CI214*($K214)+(CI214-CJ214-CK214)*(1-$K214)</f>
        <v>1231798</v>
      </c>
      <c r="CM214" s="3264"/>
      <c r="CQ214" s="3235">
        <f>$G214</f>
        <v>1231798</v>
      </c>
      <c r="CR214" s="3236">
        <f>VLOOKUP($E214,CQ$442:CT$453,2,FALSE)*CQ214*($K214)+IF($G214&lt;&gt;0,($H214/$G214)*CQ214,0)*(1-$K214)</f>
        <v>0</v>
      </c>
      <c r="CS214" s="3236">
        <f>VLOOKUP($E214,CQ$442:CT$453,3,FALSE)*CQ214*($K214)+IF($G214&lt;&gt;0,($I214/$G214)*CQ214,0)*(1-$K214)</f>
        <v>0</v>
      </c>
      <c r="CT214" s="3236">
        <f>VLOOKUP($E214,CQ$442:CT$453,4,FALSE)*CQ214*($K214)+(CQ214-CR214-CS214)*(1-$K214)</f>
        <v>1231798</v>
      </c>
      <c r="CU214" s="3264"/>
      <c r="CY214" s="3235">
        <f>$G214</f>
        <v>1231798</v>
      </c>
      <c r="CZ214" s="3236">
        <f>VLOOKUP($E214,CY$442:DB$453,2,FALSE)*CY214*($K214)+IF($G214&lt;&gt;0,($H214/$G214)*CY214,0)*(1-$K214)</f>
        <v>0</v>
      </c>
      <c r="DA214" s="3236">
        <f>VLOOKUP($E214,CY$442:DB$453,3,FALSE)*CY214*($K214)+IF($G214&lt;&gt;0,($I214/$G214)*CY214,0)*(1-$K214)</f>
        <v>0</v>
      </c>
      <c r="DB214" s="3236">
        <f>VLOOKUP($E214,CY$442:DB$453,4,FALSE)*CY214*($K214)+(CY214-CZ214-DA214)*(1-$K214)</f>
        <v>1231798</v>
      </c>
      <c r="DC214" s="3264"/>
      <c r="DG214" s="3235">
        <f>$G214</f>
        <v>1231798</v>
      </c>
      <c r="DH214" s="3236">
        <f>VLOOKUP($E214,DG$442:DJ$453,2,FALSE)*DG214*($K214)+IF($G214&lt;&gt;0,($H214/$G214)*DG214,0)*(1-$K214)</f>
        <v>0</v>
      </c>
      <c r="DI214" s="3236">
        <f>VLOOKUP($E214,DG$442:DJ$453,3,FALSE)*DG214*($K214)+IF($G214&lt;&gt;0,($I214/$G214)*DG214,0)*(1-$K214)</f>
        <v>0</v>
      </c>
      <c r="DJ214" s="3236">
        <f>VLOOKUP($E214,DG$442:DJ$453,4,FALSE)*DG214*($K214)+(DG214-DH214-DI214)*(1-$K214)</f>
        <v>1231798</v>
      </c>
      <c r="DK214" s="3264"/>
      <c r="DO214" s="3235">
        <f>$G214</f>
        <v>1231798</v>
      </c>
      <c r="DP214" s="3236">
        <f>VLOOKUP($E214,DO$442:DR$453,2,FALSE)*DO214*($K214)+IF($G214&lt;&gt;0,($H214/$G214)*DO214,0)*(1-$K214)</f>
        <v>0</v>
      </c>
      <c r="DQ214" s="3236">
        <f>VLOOKUP($E214,DO$442:DR$453,3,FALSE)*DO214*($K214)+IF($G214&lt;&gt;0,($I214/$G214)*DO214,0)*(1-$K214)</f>
        <v>0</v>
      </c>
      <c r="DR214" s="3236">
        <f>VLOOKUP($E214,DO$442:DR$453,4,FALSE)*DO214*($K214)+(DO214-DP214-DQ214)*(1-$K214)</f>
        <v>1231798</v>
      </c>
      <c r="DS214" s="3264"/>
      <c r="DW214" s="3235">
        <f>$G214</f>
        <v>1231798</v>
      </c>
      <c r="DX214" s="3236">
        <f>VLOOKUP($E214,DW$442:DZ$453,2,FALSE)*DW214*($K214)+IF($G214&lt;&gt;0,($H214/$G214)*DW214,0)*(1-$K214)</f>
        <v>0</v>
      </c>
      <c r="DY214" s="3236">
        <f>VLOOKUP($E214,DW$442:DZ$453,3,FALSE)*DW214*($K214)+IF($G214&lt;&gt;0,($I214/$G214)*DW214,0)*(1-$K214)</f>
        <v>0</v>
      </c>
      <c r="DZ214" s="3236">
        <f>VLOOKUP($E214,DW$442:DZ$453,4,FALSE)*DW214*($K214)+(DW214-DX214-DY214)*(1-$K214)</f>
        <v>1231798</v>
      </c>
      <c r="EA214" s="3264"/>
      <c r="EE214" s="3235">
        <f>$G214</f>
        <v>1231798</v>
      </c>
      <c r="EF214" s="3236">
        <f>VLOOKUP($E214,EE$442:EH$453,2,FALSE)*EE214*($K214)+IF($G214&lt;&gt;0,($H214/$G214)*EE214,0)*(1-$K214)</f>
        <v>0</v>
      </c>
      <c r="EG214" s="3236">
        <f>VLOOKUP($E214,EE$442:EH$453,3,FALSE)*EE214*($K214)+IF($G214&lt;&gt;0,($I214/$G214)*EE214,0)*(1-$K214)</f>
        <v>0</v>
      </c>
      <c r="EH214" s="3236">
        <f>VLOOKUP($E214,EE$442:EH$453,4,FALSE)*EE214*($K214)+(EE214-EF214-EG214)*(1-$K214)</f>
        <v>1231798</v>
      </c>
      <c r="EI214" s="3264"/>
      <c r="EM214" s="3235">
        <f>$G214</f>
        <v>1231798</v>
      </c>
      <c r="EN214" s="3236">
        <f>VLOOKUP($E214,EM$442:EP$453,2,FALSE)*EM214*($K214)+IF($G214&lt;&gt;0,($H214/$G214)*EM214,0)*(1-$K214)</f>
        <v>0</v>
      </c>
      <c r="EO214" s="3236">
        <f>VLOOKUP($E214,EM$442:EP$453,3,FALSE)*EM214*($K214)+IF($G214&lt;&gt;0,($I214/$G214)*EM214,0)*(1-$K214)</f>
        <v>0</v>
      </c>
      <c r="EP214" s="3236">
        <f>VLOOKUP($E214,EM$442:EP$453,4,FALSE)*EM214*($K214)+(EM214-EN214-EO214)*(1-$K214)</f>
        <v>1231798</v>
      </c>
      <c r="EQ214" s="3264"/>
      <c r="EU214" s="3235">
        <f>$G214</f>
        <v>1231798</v>
      </c>
      <c r="EV214" s="3236">
        <f>VLOOKUP($E214,EU$442:EX$453,2,FALSE)*EU214*($K214)+IF($G214&lt;&gt;0,($H214/$G214)*EU214,0)*(1-$K214)</f>
        <v>0</v>
      </c>
      <c r="EW214" s="3236">
        <f>VLOOKUP($E214,EU$442:EX$453,3,FALSE)*EU214*($K214)+IF($G214&lt;&gt;0,($I214/$G214)*EU214,0)*(1-$K214)</f>
        <v>0</v>
      </c>
      <c r="EX214" s="3236">
        <f>VLOOKUP($E214,EU$442:EX$453,4,FALSE)*EU214*($K214)+(EU214-EV214-EW214)*(1-$K214)</f>
        <v>1231798</v>
      </c>
      <c r="EY214" s="3264"/>
      <c r="FC214" s="3235">
        <f>$G214</f>
        <v>1231798</v>
      </c>
      <c r="FD214" s="3236">
        <f>VLOOKUP($E214,FC$442:FF$453,2,FALSE)*FC214*($K214)+IF($G214&lt;&gt;0,($H214/$G214)*FC214,0)*(1-$K214)</f>
        <v>0</v>
      </c>
      <c r="FE214" s="3236">
        <f>VLOOKUP($E214,FC$442:FF$453,3,FALSE)*FC214*($K214)+IF($G214&lt;&gt;0,($I214/$G214)*FC214,0)*(1-$K214)</f>
        <v>0</v>
      </c>
      <c r="FF214" s="3236">
        <f>VLOOKUP($E214,FC$442:FF$453,4,FALSE)*FC214*($K214)+(FC214-FD214-FE214)*(1-$K214)</f>
        <v>1231798</v>
      </c>
      <c r="FG214" s="3264"/>
      <c r="FK214" s="3235">
        <f>$G214</f>
        <v>1231798</v>
      </c>
      <c r="FL214" s="3236">
        <f>VLOOKUP($E214,FK$442:FN$453,2,FALSE)*FK214*($K214)+IF($G214&lt;&gt;0,($H214/$G214)*FK214,0)*(1-$K214)</f>
        <v>0</v>
      </c>
      <c r="FM214" s="3236">
        <f>VLOOKUP($E214,FK$442:FN$453,3,FALSE)*FK214*($K214)+IF($G214&lt;&gt;0,($I214/$G214)*FK214,0)*(1-$K214)</f>
        <v>0</v>
      </c>
      <c r="FN214" s="3236">
        <f>VLOOKUP($E214,FK$442:FN$453,4,FALSE)*FK214*($K214)+(FK214-FL214-FM214)*(1-$K214)</f>
        <v>1231798</v>
      </c>
      <c r="FO214" s="3264"/>
    </row>
    <row r="215" spans="1:171">
      <c r="A215" s="2310" t="s">
        <v>489</v>
      </c>
      <c r="B215" s="2097"/>
      <c r="C215" s="3256"/>
      <c r="D215" s="3257"/>
      <c r="E215" s="3257"/>
      <c r="F215" s="3258"/>
      <c r="G215" s="3265">
        <f>SUM(G210:G214)</f>
        <v>208270735</v>
      </c>
      <c r="H215" s="3265">
        <f>SUM(H210:H214)</f>
        <v>97941405.329999998</v>
      </c>
      <c r="I215" s="3265">
        <f>SUM(I210:I214)</f>
        <v>0</v>
      </c>
      <c r="J215" s="3266">
        <f>SUM(J210:J214)</f>
        <v>110329330.05</v>
      </c>
      <c r="K215" s="3205"/>
      <c r="O215" s="3336">
        <f>SUM(O210:O214)</f>
        <v>208270735</v>
      </c>
      <c r="P215" s="3336">
        <f>SUM(P210:P214)</f>
        <v>97941405.329999998</v>
      </c>
      <c r="Q215" s="3336">
        <f>SUM(Q210:Q214)</f>
        <v>0</v>
      </c>
      <c r="R215" s="3336">
        <f>SUM(R210:R214)</f>
        <v>110329329.67</v>
      </c>
      <c r="S215" s="3264"/>
      <c r="W215" s="3336">
        <f>SUM(W210:W214)</f>
        <v>208270735</v>
      </c>
      <c r="X215" s="3336">
        <f>SUM(X210:X214)</f>
        <v>97941405.329999998</v>
      </c>
      <c r="Y215" s="3336">
        <f>SUM(Y210:Y214)</f>
        <v>0</v>
      </c>
      <c r="Z215" s="3336">
        <f>SUM(Z210:Z214)</f>
        <v>110329329.67</v>
      </c>
      <c r="AA215" s="3264"/>
      <c r="AE215" s="3336">
        <f>SUM(AE210:AE214)</f>
        <v>208270735</v>
      </c>
      <c r="AF215" s="3336">
        <f>SUM(AF210:AF214)</f>
        <v>97941405.329999998</v>
      </c>
      <c r="AG215" s="3336">
        <f>SUM(AG210:AG214)</f>
        <v>0</v>
      </c>
      <c r="AH215" s="3336">
        <f>SUM(AH210:AH214)</f>
        <v>110329329.67</v>
      </c>
      <c r="AI215" s="3264"/>
      <c r="AM215" s="3336">
        <f>SUM(AM210:AM214)</f>
        <v>208270735</v>
      </c>
      <c r="AN215" s="3336">
        <f>SUM(AN210:AN214)</f>
        <v>97941405.329999998</v>
      </c>
      <c r="AO215" s="3336">
        <f>SUM(AO210:AO214)</f>
        <v>0</v>
      </c>
      <c r="AP215" s="3336">
        <f>SUM(AP210:AP214)</f>
        <v>110329329.67</v>
      </c>
      <c r="AQ215" s="3264"/>
      <c r="AU215" s="3336">
        <f>SUM(AU210:AU214)</f>
        <v>208270735</v>
      </c>
      <c r="AV215" s="3336">
        <f>SUM(AV210:AV214)</f>
        <v>97941405.329999998</v>
      </c>
      <c r="AW215" s="3336">
        <f>SUM(AW210:AW214)</f>
        <v>0</v>
      </c>
      <c r="AX215" s="3336">
        <f>SUM(AX210:AX214)</f>
        <v>110329329.67</v>
      </c>
      <c r="AY215" s="3264"/>
      <c r="BC215" s="3336">
        <f>SUM(BC210:BC214)</f>
        <v>208270735</v>
      </c>
      <c r="BD215" s="3336">
        <f>SUM(BD210:BD214)</f>
        <v>97941405.329999998</v>
      </c>
      <c r="BE215" s="3336">
        <f>SUM(BE210:BE214)</f>
        <v>0</v>
      </c>
      <c r="BF215" s="3336">
        <f>SUM(BF210:BF214)</f>
        <v>110329329.67</v>
      </c>
      <c r="BG215" s="3264"/>
      <c r="BK215" s="3336">
        <f>SUM(BK210:BK214)</f>
        <v>208270735</v>
      </c>
      <c r="BL215" s="3336">
        <f>SUM(BL210:BL214)</f>
        <v>97941405.329999998</v>
      </c>
      <c r="BM215" s="3336">
        <f>SUM(BM210:BM214)</f>
        <v>0</v>
      </c>
      <c r="BN215" s="3336">
        <f>SUM(BN210:BN214)</f>
        <v>110329329.67</v>
      </c>
      <c r="BO215" s="3264"/>
      <c r="BS215" s="3336">
        <f>SUM(BS210:BS214)</f>
        <v>208270735</v>
      </c>
      <c r="BT215" s="3336">
        <f>SUM(BT210:BT214)</f>
        <v>97941405.329999998</v>
      </c>
      <c r="BU215" s="3336">
        <f>SUM(BU210:BU214)</f>
        <v>0</v>
      </c>
      <c r="BV215" s="3336">
        <f>SUM(BV210:BV214)</f>
        <v>110329329.67</v>
      </c>
      <c r="BW215" s="3264"/>
      <c r="CA215" s="3336">
        <f>SUM(CA210:CA214)</f>
        <v>208270735</v>
      </c>
      <c r="CB215" s="3336">
        <f>SUM(CB210:CB214)</f>
        <v>97941405.329999998</v>
      </c>
      <c r="CC215" s="3336">
        <f>SUM(CC210:CC214)</f>
        <v>0</v>
      </c>
      <c r="CD215" s="3336">
        <f>SUM(CD210:CD214)</f>
        <v>110329329.67</v>
      </c>
      <c r="CE215" s="3264"/>
      <c r="CI215" s="3336">
        <f>SUM(CI210:CI214)</f>
        <v>208270735</v>
      </c>
      <c r="CJ215" s="3336">
        <f>SUM(CJ210:CJ214)</f>
        <v>97941405.329999998</v>
      </c>
      <c r="CK215" s="3336">
        <f>SUM(CK210:CK214)</f>
        <v>0</v>
      </c>
      <c r="CL215" s="3336">
        <f>SUM(CL210:CL214)</f>
        <v>110329329.67</v>
      </c>
      <c r="CM215" s="3264"/>
      <c r="CQ215" s="3336">
        <f>SUM(CQ210:CQ214)</f>
        <v>208270735</v>
      </c>
      <c r="CR215" s="3336">
        <f>SUM(CR210:CR214)</f>
        <v>97941405.329999998</v>
      </c>
      <c r="CS215" s="3336">
        <f>SUM(CS210:CS214)</f>
        <v>0</v>
      </c>
      <c r="CT215" s="3336">
        <f>SUM(CT210:CT214)</f>
        <v>110329329.67</v>
      </c>
      <c r="CU215" s="3264"/>
      <c r="CY215" s="3336">
        <f>SUM(CY210:CY214)</f>
        <v>208270735</v>
      </c>
      <c r="CZ215" s="3336">
        <f>SUM(CZ210:CZ214)</f>
        <v>97941405.329999998</v>
      </c>
      <c r="DA215" s="3336">
        <f>SUM(DA210:DA214)</f>
        <v>0</v>
      </c>
      <c r="DB215" s="3336">
        <f>SUM(DB210:DB214)</f>
        <v>110329329.67</v>
      </c>
      <c r="DC215" s="3264"/>
      <c r="DG215" s="3336">
        <f>SUM(DG210:DG214)</f>
        <v>208270735</v>
      </c>
      <c r="DH215" s="3336">
        <f>SUM(DH210:DH214)</f>
        <v>97941405.329999998</v>
      </c>
      <c r="DI215" s="3336">
        <f>SUM(DI210:DI214)</f>
        <v>0</v>
      </c>
      <c r="DJ215" s="3336">
        <f>SUM(DJ210:DJ214)</f>
        <v>110329329.67</v>
      </c>
      <c r="DK215" s="3264"/>
      <c r="DO215" s="3336">
        <f>SUM(DO210:DO214)</f>
        <v>208270735</v>
      </c>
      <c r="DP215" s="3336">
        <f>SUM(DP210:DP214)</f>
        <v>97941405.329999998</v>
      </c>
      <c r="DQ215" s="3336">
        <f>SUM(DQ210:DQ214)</f>
        <v>0</v>
      </c>
      <c r="DR215" s="3336">
        <f>SUM(DR210:DR214)</f>
        <v>110329329.67</v>
      </c>
      <c r="DS215" s="3264"/>
      <c r="DW215" s="3336">
        <f>SUM(DW210:DW214)</f>
        <v>208270735</v>
      </c>
      <c r="DX215" s="3336">
        <f>SUM(DX210:DX214)</f>
        <v>97941405.329999998</v>
      </c>
      <c r="DY215" s="3336">
        <f>SUM(DY210:DY214)</f>
        <v>0</v>
      </c>
      <c r="DZ215" s="3336">
        <f>SUM(DZ210:DZ214)</f>
        <v>110329329.67</v>
      </c>
      <c r="EA215" s="3264"/>
      <c r="EE215" s="3336">
        <f>SUM(EE210:EE214)</f>
        <v>208270735</v>
      </c>
      <c r="EF215" s="3336">
        <f>SUM(EF210:EF214)</f>
        <v>97941405.329999998</v>
      </c>
      <c r="EG215" s="3336">
        <f>SUM(EG210:EG214)</f>
        <v>0</v>
      </c>
      <c r="EH215" s="3336">
        <f>SUM(EH210:EH214)</f>
        <v>110329329.67</v>
      </c>
      <c r="EI215" s="3264"/>
      <c r="EM215" s="3336">
        <f>SUM(EM210:EM214)</f>
        <v>208270735</v>
      </c>
      <c r="EN215" s="3336">
        <f>SUM(EN210:EN214)</f>
        <v>97941405.329999998</v>
      </c>
      <c r="EO215" s="3336">
        <f>SUM(EO210:EO214)</f>
        <v>0</v>
      </c>
      <c r="EP215" s="3336">
        <f>SUM(EP210:EP214)</f>
        <v>110329329.67</v>
      </c>
      <c r="EQ215" s="3264"/>
      <c r="EU215" s="3336">
        <f>SUM(EU210:EU214)</f>
        <v>208270735</v>
      </c>
      <c r="EV215" s="3336">
        <f>SUM(EV210:EV214)</f>
        <v>97941405.329999998</v>
      </c>
      <c r="EW215" s="3336">
        <f>SUM(EW210:EW214)</f>
        <v>0</v>
      </c>
      <c r="EX215" s="3336">
        <f>SUM(EX210:EX214)</f>
        <v>110329329.67</v>
      </c>
      <c r="EY215" s="3264"/>
      <c r="FC215" s="3336">
        <f>SUM(FC210:FC214)</f>
        <v>208270735</v>
      </c>
      <c r="FD215" s="3336">
        <f>SUM(FD210:FD214)</f>
        <v>97941405.329999998</v>
      </c>
      <c r="FE215" s="3336">
        <f>SUM(FE210:FE214)</f>
        <v>0</v>
      </c>
      <c r="FF215" s="3336">
        <f>SUM(FF210:FF214)</f>
        <v>110329329.67</v>
      </c>
      <c r="FG215" s="3264"/>
      <c r="FK215" s="3336">
        <f>SUM(FK210:FK214)</f>
        <v>208270735</v>
      </c>
      <c r="FL215" s="3336">
        <f>SUM(FL210:FL214)</f>
        <v>97941405.329999998</v>
      </c>
      <c r="FM215" s="3336">
        <f>SUM(FM210:FM214)</f>
        <v>0</v>
      </c>
      <c r="FN215" s="3336">
        <f>SUM(FN210:FN214)</f>
        <v>110329329.67</v>
      </c>
      <c r="FO215" s="3264"/>
    </row>
    <row r="216" spans="1:171">
      <c r="A216" s="2306"/>
      <c r="B216" s="2097"/>
      <c r="C216" s="2116"/>
      <c r="D216" s="2098"/>
      <c r="E216" s="2098"/>
      <c r="F216" s="2098"/>
      <c r="G216" s="3334"/>
      <c r="H216" s="2119"/>
      <c r="I216" s="2119"/>
      <c r="J216" s="3335"/>
      <c r="K216" s="3205"/>
      <c r="O216" s="2747"/>
      <c r="S216" s="3264"/>
      <c r="W216" s="2747"/>
      <c r="AA216" s="3264"/>
      <c r="AE216" s="2747"/>
      <c r="AI216" s="3264"/>
      <c r="AM216" s="2747"/>
      <c r="AQ216" s="3264"/>
      <c r="AU216" s="2747"/>
      <c r="AY216" s="3264"/>
      <c r="BC216" s="2747"/>
      <c r="BG216" s="3264"/>
      <c r="BK216" s="2747"/>
      <c r="BO216" s="3264"/>
      <c r="BS216" s="2747"/>
      <c r="BW216" s="3264"/>
      <c r="CA216" s="2747"/>
      <c r="CE216" s="3264"/>
      <c r="CI216" s="2747"/>
      <c r="CM216" s="3264"/>
      <c r="CQ216" s="2747"/>
      <c r="CU216" s="3264"/>
      <c r="CY216" s="2747"/>
      <c r="DC216" s="3264"/>
      <c r="DG216" s="2747"/>
      <c r="DK216" s="3264"/>
      <c r="DO216" s="2747"/>
      <c r="DS216" s="3264"/>
      <c r="DW216" s="2747"/>
      <c r="EA216" s="3264"/>
      <c r="EE216" s="2747"/>
      <c r="EI216" s="3264"/>
      <c r="EM216" s="2747"/>
      <c r="EQ216" s="3264"/>
      <c r="EU216" s="2747"/>
      <c r="EY216" s="3264"/>
      <c r="FC216" s="2747"/>
      <c r="FG216" s="3264"/>
      <c r="FK216" s="2747"/>
      <c r="FO216" s="3264"/>
    </row>
    <row r="217" spans="1:171">
      <c r="A217" s="2305" t="s">
        <v>490</v>
      </c>
      <c r="B217" s="2097"/>
      <c r="C217" s="2116"/>
      <c r="D217" s="2098"/>
      <c r="E217" s="2097"/>
      <c r="F217" s="2097"/>
      <c r="G217" s="2463"/>
      <c r="H217" s="2118"/>
      <c r="I217" s="2118"/>
      <c r="J217" s="2441"/>
      <c r="K217" s="3205"/>
      <c r="O217" s="2747"/>
      <c r="S217" s="3264"/>
      <c r="W217" s="2747"/>
      <c r="AA217" s="3264"/>
      <c r="AE217" s="2747"/>
      <c r="AI217" s="3264"/>
      <c r="AM217" s="2747"/>
      <c r="AQ217" s="3264"/>
      <c r="AU217" s="2747"/>
      <c r="AY217" s="3264"/>
      <c r="BC217" s="2747"/>
      <c r="BG217" s="3264"/>
      <c r="BK217" s="2747"/>
      <c r="BO217" s="3264"/>
      <c r="BS217" s="2747"/>
      <c r="BW217" s="3264"/>
      <c r="CA217" s="2747"/>
      <c r="CE217" s="3264"/>
      <c r="CI217" s="2747"/>
      <c r="CM217" s="3264"/>
      <c r="CQ217" s="2747"/>
      <c r="CU217" s="3264"/>
      <c r="CY217" s="2747"/>
      <c r="DC217" s="3264"/>
      <c r="DG217" s="2747"/>
      <c r="DK217" s="3264"/>
      <c r="DO217" s="2747"/>
      <c r="DS217" s="3264"/>
      <c r="DW217" s="2747"/>
      <c r="EA217" s="3264"/>
      <c r="EE217" s="2747"/>
      <c r="EI217" s="3264"/>
      <c r="EM217" s="2747"/>
      <c r="EQ217" s="3264"/>
      <c r="EU217" s="2747"/>
      <c r="EY217" s="3264"/>
      <c r="FC217" s="2747"/>
      <c r="FG217" s="3264"/>
      <c r="FK217" s="2747"/>
      <c r="FO217" s="3264"/>
    </row>
    <row r="218" spans="1:171">
      <c r="A218" s="2305"/>
      <c r="B218" s="2143" t="s">
        <v>436</v>
      </c>
      <c r="C218" s="2116"/>
      <c r="D218" s="2098"/>
      <c r="E218" s="2097"/>
      <c r="F218" s="2097"/>
      <c r="G218" s="2463"/>
      <c r="H218" s="2118"/>
      <c r="I218" s="2118"/>
      <c r="J218" s="2441"/>
      <c r="K218" s="3205"/>
      <c r="O218" s="2747"/>
      <c r="S218" s="3264"/>
      <c r="W218" s="2747"/>
      <c r="AA218" s="3264"/>
      <c r="AE218" s="2747"/>
      <c r="AI218" s="3264"/>
      <c r="AM218" s="2747"/>
      <c r="AQ218" s="3264"/>
      <c r="AU218" s="2747"/>
      <c r="AY218" s="3264"/>
      <c r="BC218" s="2747"/>
      <c r="BG218" s="3264"/>
      <c r="BK218" s="2747"/>
      <c r="BO218" s="3264"/>
      <c r="BS218" s="2747"/>
      <c r="BW218" s="3264"/>
      <c r="CA218" s="2747"/>
      <c r="CE218" s="3264"/>
      <c r="CI218" s="2747"/>
      <c r="CM218" s="3264"/>
      <c r="CQ218" s="2747"/>
      <c r="CU218" s="3264"/>
      <c r="CY218" s="2747"/>
      <c r="DC218" s="3264"/>
      <c r="DG218" s="2747"/>
      <c r="DK218" s="3264"/>
      <c r="DO218" s="2747"/>
      <c r="DS218" s="3264"/>
      <c r="DW218" s="2747"/>
      <c r="EA218" s="3264"/>
      <c r="EE218" s="2747"/>
      <c r="EI218" s="3264"/>
      <c r="EM218" s="2747"/>
      <c r="EQ218" s="3264"/>
      <c r="EU218" s="2747"/>
      <c r="EY218" s="3264"/>
      <c r="FC218" s="2747"/>
      <c r="FG218" s="3264"/>
      <c r="FK218" s="2747"/>
      <c r="FO218" s="3264"/>
    </row>
    <row r="219" spans="1:171">
      <c r="A219" s="2442"/>
      <c r="B219" s="2185" t="s">
        <v>163</v>
      </c>
      <c r="C219" s="2464" t="s">
        <v>72</v>
      </c>
      <c r="D219" s="2464">
        <v>920</v>
      </c>
      <c r="E219" s="2424" t="str">
        <f>'Sch 3 - Expenses'!E59</f>
        <v>LABOR</v>
      </c>
      <c r="F219" s="2171"/>
      <c r="G219" s="2424">
        <f>'Sch 3 - Expenses'!G59</f>
        <v>78570677</v>
      </c>
      <c r="H219" s="2424">
        <f>'Sch 3 - Expenses'!H59</f>
        <v>26700683.57674123</v>
      </c>
      <c r="I219" s="2424">
        <f>'Sch 3 - Expenses'!I59</f>
        <v>0</v>
      </c>
      <c r="J219" s="2425">
        <f>'Sch 3 - Expenses'!J59</f>
        <v>51869993.423258774</v>
      </c>
      <c r="K219" s="3205">
        <f t="shared" ref="K219:K234" si="548">IF($E219="DIRECT",0,1)</f>
        <v>1</v>
      </c>
      <c r="O219" s="3235">
        <f t="shared" ref="O219:O232" si="549">$G219</f>
        <v>78570677</v>
      </c>
      <c r="P219" s="3236">
        <f t="shared" ref="P219:P234" si="550">VLOOKUP($E219,O$442:R$453,2,FALSE)*O219*($K219)+IF($G219&lt;&gt;0,($H219/$G219)*O219,0)*(1-$K219)</f>
        <v>26700683.57674123</v>
      </c>
      <c r="Q219" s="3236">
        <f t="shared" ref="Q219:Q234" si="551">VLOOKUP($E219,O$442:R$453,3,FALSE)*O219*($K219)+IF($G219&lt;&gt;0,($I219/$G219)*O219,0)*(1-$K219)</f>
        <v>4263717.9788232679</v>
      </c>
      <c r="R219" s="3236">
        <f t="shared" ref="R219:R234" si="552">VLOOKUP($E219,O$442:R$453,4,FALSE)*O219*($K219)+(O219-P219-Q219)*(1-$K219)</f>
        <v>47606275.444435507</v>
      </c>
      <c r="S219" s="3264"/>
      <c r="W219" s="3235">
        <f t="shared" ref="W219:W232" si="553">$G219</f>
        <v>78570677</v>
      </c>
      <c r="X219" s="3236">
        <f t="shared" ref="X219:X232" si="554">VLOOKUP($E219,W$442:Z$453,2,FALSE)*W219*($K219)+IF($G219&lt;&gt;0,($H219/$G219)*W219,0)*(1-$K219)</f>
        <v>26700683.57674123</v>
      </c>
      <c r="Y219" s="3236">
        <f t="shared" ref="Y219:Y232" si="555">VLOOKUP($E219,W$442:Z$453,3,FALSE)*W219*($K219)+IF($G219&lt;&gt;0,($I219/$G219)*W219,0)*(1-$K219)</f>
        <v>4263717.9788232679</v>
      </c>
      <c r="Z219" s="3236">
        <f t="shared" ref="Z219:Z232" si="556">VLOOKUP($E219,W$442:Z$453,4,FALSE)*W219*($K219)+(W219-X219-Y219)*(1-$K219)</f>
        <v>47606275.444435507</v>
      </c>
      <c r="AA219" s="3264"/>
      <c r="AE219" s="3235">
        <f t="shared" ref="AE219:AE232" si="557">$G219</f>
        <v>78570677</v>
      </c>
      <c r="AF219" s="3236">
        <f t="shared" ref="AF219:AF232" si="558">VLOOKUP($E219,AE$442:AH$453,2,FALSE)*AE219*($K219)+IF($G219&lt;&gt;0,($H219/$G219)*AE219,0)*(1-$K219)</f>
        <v>26700683.57674123</v>
      </c>
      <c r="AG219" s="3236">
        <f t="shared" ref="AG219:AG232" si="559">VLOOKUP($E219,AE$442:AH$453,3,FALSE)*AE219*($K219)+IF($G219&lt;&gt;0,($I219/$G219)*AE219,0)*(1-$K219)</f>
        <v>4263717.9788232679</v>
      </c>
      <c r="AH219" s="3236">
        <f t="shared" ref="AH219:AH232" si="560">VLOOKUP($E219,AE$442:AH$453,4,FALSE)*AE219*($K219)+(AE219-AF219-AG219)*(1-$K219)</f>
        <v>47606275.444435507</v>
      </c>
      <c r="AI219" s="3264"/>
      <c r="AM219" s="3235">
        <f t="shared" ref="AM219:AM232" si="561">$G219</f>
        <v>78570677</v>
      </c>
      <c r="AN219" s="3236">
        <f t="shared" ref="AN219:AN232" si="562">VLOOKUP($E219,AM$442:AP$453,2,FALSE)*AM219*($K219)+IF($G219&lt;&gt;0,($H219/$G219)*AM219,0)*(1-$K219)</f>
        <v>26700683.57674123</v>
      </c>
      <c r="AO219" s="3236">
        <f t="shared" ref="AO219:AO232" si="563">VLOOKUP($E219,AM$442:AP$453,3,FALSE)*AM219*($K219)+IF($G219&lt;&gt;0,($I219/$G219)*AM219,0)*(1-$K219)</f>
        <v>4263717.9788232679</v>
      </c>
      <c r="AP219" s="3236">
        <f t="shared" ref="AP219:AP232" si="564">VLOOKUP($E219,AM$442:AP$453,4,FALSE)*AM219*($K219)+(AM219-AN219-AO219)*(1-$K219)</f>
        <v>47606275.444435507</v>
      </c>
      <c r="AQ219" s="3264"/>
      <c r="AU219" s="3235">
        <f t="shared" ref="AU219:AU232" si="565">$G219</f>
        <v>78570677</v>
      </c>
      <c r="AV219" s="3236">
        <f t="shared" ref="AV219:AV232" si="566">VLOOKUP($E219,AU$442:AX$453,2,FALSE)*AU219*($K219)+IF($G219&lt;&gt;0,($H219/$G219)*AU219,0)*(1-$K219)</f>
        <v>26700683.57674123</v>
      </c>
      <c r="AW219" s="3236">
        <f t="shared" ref="AW219:AW232" si="567">VLOOKUP($E219,AU$442:AX$453,3,FALSE)*AU219*($K219)+IF($G219&lt;&gt;0,($I219/$G219)*AU219,0)*(1-$K219)</f>
        <v>4263717.9788232679</v>
      </c>
      <c r="AX219" s="3236">
        <f t="shared" ref="AX219:AX232" si="568">VLOOKUP($E219,AU$442:AX$453,4,FALSE)*AU219*($K219)+(AU219-AV219-AW219)*(1-$K219)</f>
        <v>47606275.444435507</v>
      </c>
      <c r="AY219" s="3264"/>
      <c r="BC219" s="3235">
        <f t="shared" ref="BC219:BC232" si="569">$G219</f>
        <v>78570677</v>
      </c>
      <c r="BD219" s="3236">
        <f t="shared" ref="BD219:BD232" si="570">VLOOKUP($E219,BC$442:BF$453,2,FALSE)*BC219*($K219)+IF($G219&lt;&gt;0,($H219/$G219)*BC219,0)*(1-$K219)</f>
        <v>26700683.57674123</v>
      </c>
      <c r="BE219" s="3236">
        <f t="shared" ref="BE219:BE232" si="571">VLOOKUP($E219,BC$442:BF$453,3,FALSE)*BC219*($K219)+IF($G219&lt;&gt;0,($I219/$G219)*BC219,0)*(1-$K219)</f>
        <v>4263717.9788232679</v>
      </c>
      <c r="BF219" s="3236">
        <f t="shared" ref="BF219:BF232" si="572">VLOOKUP($E219,BC$442:BF$453,4,FALSE)*BC219*($K219)+(BC219-BD219-BE219)*(1-$K219)</f>
        <v>47606275.444435507</v>
      </c>
      <c r="BG219" s="3264"/>
      <c r="BK219" s="3235">
        <f t="shared" ref="BK219:BK232" si="573">$G219</f>
        <v>78570677</v>
      </c>
      <c r="BL219" s="3236">
        <f t="shared" ref="BL219:BL232" si="574">VLOOKUP($E219,BK$442:BN$453,2,FALSE)*BK219*($K219)+IF($G219&lt;&gt;0,($H219/$G219)*BK219,0)*(1-$K219)</f>
        <v>26700683.57674123</v>
      </c>
      <c r="BM219" s="3236">
        <f t="shared" ref="BM219:BM232" si="575">VLOOKUP($E219,BK$442:BN$453,3,FALSE)*BK219*($K219)+IF($G219&lt;&gt;0,($I219/$G219)*BK219,0)*(1-$K219)</f>
        <v>4263717.9788232679</v>
      </c>
      <c r="BN219" s="3236">
        <f t="shared" ref="BN219:BN232" si="576">VLOOKUP($E219,BK$442:BN$453,4,FALSE)*BK219*($K219)+(BK219-BL219-BM219)*(1-$K219)</f>
        <v>47606275.444435507</v>
      </c>
      <c r="BO219" s="3264"/>
      <c r="BS219" s="3235">
        <f t="shared" ref="BS219:BS232" si="577">$G219</f>
        <v>78570677</v>
      </c>
      <c r="BT219" s="3236">
        <f t="shared" ref="BT219:BT232" si="578">VLOOKUP($E219,BS$442:BV$453,2,FALSE)*BS219*($K219)+IF($G219&lt;&gt;0,($H219/$G219)*BS219,0)*(1-$K219)</f>
        <v>26700683.57674123</v>
      </c>
      <c r="BU219" s="3236">
        <f t="shared" ref="BU219:BU232" si="579">VLOOKUP($E219,BS$442:BV$453,3,FALSE)*BS219*($K219)+IF($G219&lt;&gt;0,($I219/$G219)*BS219,0)*(1-$K219)</f>
        <v>4263717.9788232679</v>
      </c>
      <c r="BV219" s="3236">
        <f t="shared" ref="BV219:BV232" si="580">VLOOKUP($E219,BS$442:BV$453,4,FALSE)*BS219*($K219)+(BS219-BT219-BU219)*(1-$K219)</f>
        <v>47606275.444435507</v>
      </c>
      <c r="BW219" s="3264"/>
      <c r="CA219" s="3235">
        <f t="shared" ref="CA219:CA232" si="581">$G219</f>
        <v>78570677</v>
      </c>
      <c r="CB219" s="3236">
        <f t="shared" ref="CB219:CB232" si="582">VLOOKUP($E219,CA$442:CD$453,2,FALSE)*CA219*($K219)+IF($G219&lt;&gt;0,($H219/$G219)*CA219,0)*(1-$K219)</f>
        <v>26700683.57674123</v>
      </c>
      <c r="CC219" s="3236">
        <f t="shared" ref="CC219:CC232" si="583">VLOOKUP($E219,CA$442:CD$453,3,FALSE)*CA219*($K219)+IF($G219&lt;&gt;0,($I219/$G219)*CA219,0)*(1-$K219)</f>
        <v>4263717.9788232679</v>
      </c>
      <c r="CD219" s="3236">
        <f t="shared" ref="CD219:CD232" si="584">VLOOKUP($E219,CA$442:CD$453,4,FALSE)*CA219*($K219)+(CA219-CB219-CC219)*(1-$K219)</f>
        <v>47606275.444435507</v>
      </c>
      <c r="CE219" s="3264"/>
      <c r="CI219" s="3235">
        <f t="shared" ref="CI219:CI232" si="585">$G219</f>
        <v>78570677</v>
      </c>
      <c r="CJ219" s="3236">
        <f t="shared" ref="CJ219:CJ232" si="586">VLOOKUP($E219,CI$442:CL$453,2,FALSE)*CI219*($K219)+IF($G219&lt;&gt;0,($H219/$G219)*CI219,0)*(1-$K219)</f>
        <v>26700683.57674123</v>
      </c>
      <c r="CK219" s="3236">
        <f t="shared" ref="CK219:CK232" si="587">VLOOKUP($E219,CI$442:CL$453,3,FALSE)*CI219*($K219)+IF($G219&lt;&gt;0,($I219/$G219)*CI219,0)*(1-$K219)</f>
        <v>4263717.9788232679</v>
      </c>
      <c r="CL219" s="3236">
        <f t="shared" ref="CL219:CL232" si="588">VLOOKUP($E219,CI$442:CL$453,4,FALSE)*CI219*($K219)+(CI219-CJ219-CK219)*(1-$K219)</f>
        <v>47606275.444435507</v>
      </c>
      <c r="CM219" s="3264"/>
      <c r="CQ219" s="3235">
        <f t="shared" ref="CQ219:CQ232" si="589">$G219</f>
        <v>78570677</v>
      </c>
      <c r="CR219" s="3236">
        <f t="shared" ref="CR219:CR232" si="590">VLOOKUP($E219,CQ$442:CT$453,2,FALSE)*CQ219*($K219)+IF($G219&lt;&gt;0,($H219/$G219)*CQ219,0)*(1-$K219)</f>
        <v>26700683.57674123</v>
      </c>
      <c r="CS219" s="3236">
        <f t="shared" ref="CS219:CS232" si="591">VLOOKUP($E219,CQ$442:CT$453,3,FALSE)*CQ219*($K219)+IF($G219&lt;&gt;0,($I219/$G219)*CQ219,0)*(1-$K219)</f>
        <v>4263717.9788232679</v>
      </c>
      <c r="CT219" s="3236">
        <f t="shared" ref="CT219:CT232" si="592">VLOOKUP($E219,CQ$442:CT$453,4,FALSE)*CQ219*($K219)+(CQ219-CR219-CS219)*(1-$K219)</f>
        <v>47606275.444435507</v>
      </c>
      <c r="CU219" s="3264"/>
      <c r="CY219" s="3235">
        <f t="shared" ref="CY219:CY232" si="593">$G219</f>
        <v>78570677</v>
      </c>
      <c r="CZ219" s="3236">
        <f t="shared" ref="CZ219:CZ232" si="594">VLOOKUP($E219,CY$442:DB$453,2,FALSE)*CY219*($K219)+IF($G219&lt;&gt;0,($H219/$G219)*CY219,0)*(1-$K219)</f>
        <v>26700683.57674123</v>
      </c>
      <c r="DA219" s="3236">
        <f t="shared" ref="DA219:DA232" si="595">VLOOKUP($E219,CY$442:DB$453,3,FALSE)*CY219*($K219)+IF($G219&lt;&gt;0,($I219/$G219)*CY219,0)*(1-$K219)</f>
        <v>4263717.9788232679</v>
      </c>
      <c r="DB219" s="3236">
        <f t="shared" ref="DB219:DB232" si="596">VLOOKUP($E219,CY$442:DB$453,4,FALSE)*CY219*($K219)+(CY219-CZ219-DA219)*(1-$K219)</f>
        <v>47606275.444435507</v>
      </c>
      <c r="DC219" s="3264"/>
      <c r="DG219" s="3235">
        <f t="shared" ref="DG219:DG232" si="597">$G219</f>
        <v>78570677</v>
      </c>
      <c r="DH219" s="3236">
        <f t="shared" ref="DH219:DH232" si="598">VLOOKUP($E219,DG$442:DJ$453,2,FALSE)*DG219*($K219)+IF($G219&lt;&gt;0,($H219/$G219)*DG219,0)*(1-$K219)</f>
        <v>26700683.57674123</v>
      </c>
      <c r="DI219" s="3236">
        <f t="shared" ref="DI219:DI232" si="599">VLOOKUP($E219,DG$442:DJ$453,3,FALSE)*DG219*($K219)+IF($G219&lt;&gt;0,($I219/$G219)*DG219,0)*(1-$K219)</f>
        <v>4263717.9788232679</v>
      </c>
      <c r="DJ219" s="3236">
        <f t="shared" ref="DJ219:DJ232" si="600">VLOOKUP($E219,DG$442:DJ$453,4,FALSE)*DG219*($K219)+(DG219-DH219-DI219)*(1-$K219)</f>
        <v>47606275.444435507</v>
      </c>
      <c r="DK219" s="3264"/>
      <c r="DO219" s="3235">
        <f t="shared" ref="DO219:DO232" si="601">$G219</f>
        <v>78570677</v>
      </c>
      <c r="DP219" s="3236">
        <f t="shared" ref="DP219:DP232" si="602">VLOOKUP($E219,DO$442:DR$453,2,FALSE)*DO219*($K219)+IF($G219&lt;&gt;0,($H219/$G219)*DO219,0)*(1-$K219)</f>
        <v>26700683.57674123</v>
      </c>
      <c r="DQ219" s="3236">
        <f t="shared" ref="DQ219:DQ232" si="603">VLOOKUP($E219,DO$442:DR$453,3,FALSE)*DO219*($K219)+IF($G219&lt;&gt;0,($I219/$G219)*DO219,0)*(1-$K219)</f>
        <v>4263717.9788232679</v>
      </c>
      <c r="DR219" s="3236">
        <f t="shared" ref="DR219:DR232" si="604">VLOOKUP($E219,DO$442:DR$453,4,FALSE)*DO219*($K219)+(DO219-DP219-DQ219)*(1-$K219)</f>
        <v>47606275.444435507</v>
      </c>
      <c r="DS219" s="3264"/>
      <c r="DW219" s="3235">
        <f t="shared" ref="DW219:DW232" si="605">$G219</f>
        <v>78570677</v>
      </c>
      <c r="DX219" s="3236">
        <f t="shared" ref="DX219:DX232" si="606">VLOOKUP($E219,DW$442:DZ$453,2,FALSE)*DW219*($K219)+IF($G219&lt;&gt;0,($H219/$G219)*DW219,0)*(1-$K219)</f>
        <v>26700683.57674123</v>
      </c>
      <c r="DY219" s="3236">
        <f t="shared" ref="DY219:DY232" si="607">VLOOKUP($E219,DW$442:DZ$453,3,FALSE)*DW219*($K219)+IF($G219&lt;&gt;0,($I219/$G219)*DW219,0)*(1-$K219)</f>
        <v>4263717.9788232679</v>
      </c>
      <c r="DZ219" s="3236">
        <f t="shared" ref="DZ219:DZ232" si="608">VLOOKUP($E219,DW$442:DZ$453,4,FALSE)*DW219*($K219)+(DW219-DX219-DY219)*(1-$K219)</f>
        <v>47606275.444435507</v>
      </c>
      <c r="EA219" s="3264"/>
      <c r="EE219" s="3235">
        <f t="shared" ref="EE219:EE232" si="609">$G219</f>
        <v>78570677</v>
      </c>
      <c r="EF219" s="3236">
        <f t="shared" ref="EF219:EF232" si="610">VLOOKUP($E219,EE$442:EH$453,2,FALSE)*EE219*($K219)+IF($G219&lt;&gt;0,($H219/$G219)*EE219,0)*(1-$K219)</f>
        <v>26700683.57674123</v>
      </c>
      <c r="EG219" s="3236">
        <f t="shared" ref="EG219:EG232" si="611">VLOOKUP($E219,EE$442:EH$453,3,FALSE)*EE219*($K219)+IF($G219&lt;&gt;0,($I219/$G219)*EE219,0)*(1-$K219)</f>
        <v>4263717.9788232679</v>
      </c>
      <c r="EH219" s="3236">
        <f t="shared" ref="EH219:EH232" si="612">VLOOKUP($E219,EE$442:EH$453,4,FALSE)*EE219*($K219)+(EE219-EF219-EG219)*(1-$K219)</f>
        <v>47606275.444435507</v>
      </c>
      <c r="EI219" s="3264"/>
      <c r="EM219" s="3235">
        <f t="shared" ref="EM219:EM232" si="613">$G219</f>
        <v>78570677</v>
      </c>
      <c r="EN219" s="3236">
        <f t="shared" ref="EN219:EN232" si="614">VLOOKUP($E219,EM$442:EP$453,2,FALSE)*EM219*($K219)+IF($G219&lt;&gt;0,($H219/$G219)*EM219,0)*(1-$K219)</f>
        <v>26700683.57674123</v>
      </c>
      <c r="EO219" s="3236">
        <f t="shared" ref="EO219:EO232" si="615">VLOOKUP($E219,EM$442:EP$453,3,FALSE)*EM219*($K219)+IF($G219&lt;&gt;0,($I219/$G219)*EM219,0)*(1-$K219)</f>
        <v>4263717.9788232679</v>
      </c>
      <c r="EP219" s="3236">
        <f t="shared" ref="EP219:EP232" si="616">VLOOKUP($E219,EM$442:EP$453,4,FALSE)*EM219*($K219)+(EM219-EN219-EO219)*(1-$K219)</f>
        <v>47606275.444435507</v>
      </c>
      <c r="EQ219" s="3264"/>
      <c r="EU219" s="3235">
        <f t="shared" ref="EU219:EU232" si="617">$G219</f>
        <v>78570677</v>
      </c>
      <c r="EV219" s="3236">
        <f t="shared" ref="EV219:EV232" si="618">VLOOKUP($E219,EU$442:EX$453,2,FALSE)*EU219*($K219)+IF($G219&lt;&gt;0,($H219/$G219)*EU219,0)*(1-$K219)</f>
        <v>26700683.57674123</v>
      </c>
      <c r="EW219" s="3236">
        <f t="shared" ref="EW219:EW232" si="619">VLOOKUP($E219,EU$442:EX$453,3,FALSE)*EU219*($K219)+IF($G219&lt;&gt;0,($I219/$G219)*EU219,0)*(1-$K219)</f>
        <v>4263717.9788232679</v>
      </c>
      <c r="EX219" s="3236">
        <f t="shared" ref="EX219:EX232" si="620">VLOOKUP($E219,EU$442:EX$453,4,FALSE)*EU219*($K219)+(EU219-EV219-EW219)*(1-$K219)</f>
        <v>47606275.444435507</v>
      </c>
      <c r="EY219" s="3264"/>
      <c r="FC219" s="3235">
        <f t="shared" ref="FC219:FC232" si="621">$G219</f>
        <v>78570677</v>
      </c>
      <c r="FD219" s="3236">
        <f t="shared" ref="FD219:FD232" si="622">VLOOKUP($E219,FC$442:FF$453,2,FALSE)*FC219*($K219)+IF($G219&lt;&gt;0,($H219/$G219)*FC219,0)*(1-$K219)</f>
        <v>26700683.57674123</v>
      </c>
      <c r="FE219" s="3236">
        <f t="shared" ref="FE219:FE232" si="623">VLOOKUP($E219,FC$442:FF$453,3,FALSE)*FC219*($K219)+IF($G219&lt;&gt;0,($I219/$G219)*FC219,0)*(1-$K219)</f>
        <v>4263717.9788232679</v>
      </c>
      <c r="FF219" s="3236">
        <f t="shared" ref="FF219:FF232" si="624">VLOOKUP($E219,FC$442:FF$453,4,FALSE)*FC219*($K219)+(FC219-FD219-FE219)*(1-$K219)</f>
        <v>47606275.444435507</v>
      </c>
      <c r="FG219" s="3264"/>
      <c r="FK219" s="3235">
        <f t="shared" ref="FK219:FK232" si="625">$G219</f>
        <v>78570677</v>
      </c>
      <c r="FL219" s="3236">
        <f t="shared" ref="FL219:FL232" si="626">VLOOKUP($E219,FK$442:FN$453,2,FALSE)*FK219*($K219)+IF($G219&lt;&gt;0,($H219/$G219)*FK219,0)*(1-$K219)</f>
        <v>26700683.57674123</v>
      </c>
      <c r="FM219" s="3236">
        <f t="shared" ref="FM219:FM232" si="627">VLOOKUP($E219,FK$442:FN$453,3,FALSE)*FK219*($K219)+IF($G219&lt;&gt;0,($I219/$G219)*FK219,0)*(1-$K219)</f>
        <v>4263717.9788232679</v>
      </c>
      <c r="FN219" s="3236">
        <f t="shared" ref="FN219:FN232" si="628">VLOOKUP($E219,FK$442:FN$453,4,FALSE)*FK219*($K219)+(FK219-FL219-FM219)*(1-$K219)</f>
        <v>47606275.444435507</v>
      </c>
      <c r="FO219" s="3264"/>
    </row>
    <row r="220" spans="1:171">
      <c r="A220" s="2442"/>
      <c r="B220" s="2185" t="s">
        <v>164</v>
      </c>
      <c r="C220" s="2464" t="s">
        <v>72</v>
      </c>
      <c r="D220" s="2464">
        <v>921</v>
      </c>
      <c r="E220" s="2424" t="str">
        <f>'Sch 3 - Expenses'!E60</f>
        <v>LABOR</v>
      </c>
      <c r="F220" s="2171"/>
      <c r="G220" s="2424">
        <f>'Sch 3 - Expenses'!G60</f>
        <v>7463412</v>
      </c>
      <c r="H220" s="2424">
        <f>'Sch 3 - Expenses'!H60</f>
        <v>2536292.2889776477</v>
      </c>
      <c r="I220" s="2424">
        <f>'Sch 3 - Expenses'!I60</f>
        <v>0</v>
      </c>
      <c r="J220" s="2425">
        <f>'Sch 3 - Expenses'!J60</f>
        <v>4927119.7110223528</v>
      </c>
      <c r="K220" s="3205">
        <f t="shared" si="548"/>
        <v>1</v>
      </c>
      <c r="O220" s="3235">
        <f t="shared" si="549"/>
        <v>7463412</v>
      </c>
      <c r="P220" s="3236">
        <f t="shared" si="550"/>
        <v>2536292.2889776477</v>
      </c>
      <c r="Q220" s="3236">
        <f t="shared" si="551"/>
        <v>405009.66954587045</v>
      </c>
      <c r="R220" s="3236">
        <f t="shared" si="552"/>
        <v>4522110.0414764825</v>
      </c>
      <c r="S220" s="3264"/>
      <c r="W220" s="3235">
        <f t="shared" si="553"/>
        <v>7463412</v>
      </c>
      <c r="X220" s="3236">
        <f t="shared" si="554"/>
        <v>2536292.2889776477</v>
      </c>
      <c r="Y220" s="3236">
        <f t="shared" si="555"/>
        <v>405009.66954587045</v>
      </c>
      <c r="Z220" s="3236">
        <f t="shared" si="556"/>
        <v>4522110.0414764825</v>
      </c>
      <c r="AA220" s="3264"/>
      <c r="AE220" s="3235">
        <f t="shared" si="557"/>
        <v>7463412</v>
      </c>
      <c r="AF220" s="3236">
        <f t="shared" si="558"/>
        <v>2536292.2889776477</v>
      </c>
      <c r="AG220" s="3236">
        <f t="shared" si="559"/>
        <v>405009.66954587045</v>
      </c>
      <c r="AH220" s="3236">
        <f t="shared" si="560"/>
        <v>4522110.0414764825</v>
      </c>
      <c r="AI220" s="3264"/>
      <c r="AM220" s="3235">
        <f t="shared" si="561"/>
        <v>7463412</v>
      </c>
      <c r="AN220" s="3236">
        <f t="shared" si="562"/>
        <v>2536292.2889776477</v>
      </c>
      <c r="AO220" s="3236">
        <f t="shared" si="563"/>
        <v>405009.66954587045</v>
      </c>
      <c r="AP220" s="3236">
        <f t="shared" si="564"/>
        <v>4522110.0414764825</v>
      </c>
      <c r="AQ220" s="3264"/>
      <c r="AU220" s="3235">
        <f t="shared" si="565"/>
        <v>7463412</v>
      </c>
      <c r="AV220" s="3236">
        <f t="shared" si="566"/>
        <v>2536292.2889776477</v>
      </c>
      <c r="AW220" s="3236">
        <f t="shared" si="567"/>
        <v>405009.66954587045</v>
      </c>
      <c r="AX220" s="3236">
        <f t="shared" si="568"/>
        <v>4522110.0414764825</v>
      </c>
      <c r="AY220" s="3264"/>
      <c r="BC220" s="3235">
        <f t="shared" si="569"/>
        <v>7463412</v>
      </c>
      <c r="BD220" s="3236">
        <f t="shared" si="570"/>
        <v>2536292.2889776477</v>
      </c>
      <c r="BE220" s="3236">
        <f t="shared" si="571"/>
        <v>405009.66954587045</v>
      </c>
      <c r="BF220" s="3236">
        <f t="shared" si="572"/>
        <v>4522110.0414764825</v>
      </c>
      <c r="BG220" s="3264"/>
      <c r="BK220" s="3235">
        <f t="shared" si="573"/>
        <v>7463412</v>
      </c>
      <c r="BL220" s="3236">
        <f t="shared" si="574"/>
        <v>2536292.2889776477</v>
      </c>
      <c r="BM220" s="3236">
        <f t="shared" si="575"/>
        <v>405009.66954587045</v>
      </c>
      <c r="BN220" s="3236">
        <f t="shared" si="576"/>
        <v>4522110.0414764825</v>
      </c>
      <c r="BO220" s="3264"/>
      <c r="BS220" s="3235">
        <f t="shared" si="577"/>
        <v>7463412</v>
      </c>
      <c r="BT220" s="3236">
        <f t="shared" si="578"/>
        <v>2536292.2889776477</v>
      </c>
      <c r="BU220" s="3236">
        <f t="shared" si="579"/>
        <v>405009.66954587045</v>
      </c>
      <c r="BV220" s="3236">
        <f t="shared" si="580"/>
        <v>4522110.0414764825</v>
      </c>
      <c r="BW220" s="3264"/>
      <c r="CA220" s="3235">
        <f t="shared" si="581"/>
        <v>7463412</v>
      </c>
      <c r="CB220" s="3236">
        <f t="shared" si="582"/>
        <v>2536292.2889776477</v>
      </c>
      <c r="CC220" s="3236">
        <f t="shared" si="583"/>
        <v>405009.66954587045</v>
      </c>
      <c r="CD220" s="3236">
        <f t="shared" si="584"/>
        <v>4522110.0414764825</v>
      </c>
      <c r="CE220" s="3264"/>
      <c r="CI220" s="3235">
        <f t="shared" si="585"/>
        <v>7463412</v>
      </c>
      <c r="CJ220" s="3236">
        <f t="shared" si="586"/>
        <v>2536292.2889776477</v>
      </c>
      <c r="CK220" s="3236">
        <f t="shared" si="587"/>
        <v>405009.66954587045</v>
      </c>
      <c r="CL220" s="3236">
        <f t="shared" si="588"/>
        <v>4522110.0414764825</v>
      </c>
      <c r="CM220" s="3264"/>
      <c r="CQ220" s="3235">
        <f t="shared" si="589"/>
        <v>7463412</v>
      </c>
      <c r="CR220" s="3236">
        <f t="shared" si="590"/>
        <v>2536292.2889776477</v>
      </c>
      <c r="CS220" s="3236">
        <f t="shared" si="591"/>
        <v>405009.66954587045</v>
      </c>
      <c r="CT220" s="3236">
        <f t="shared" si="592"/>
        <v>4522110.0414764825</v>
      </c>
      <c r="CU220" s="3264"/>
      <c r="CY220" s="3235">
        <f t="shared" si="593"/>
        <v>7463412</v>
      </c>
      <c r="CZ220" s="3236">
        <f t="shared" si="594"/>
        <v>2536292.2889776477</v>
      </c>
      <c r="DA220" s="3236">
        <f t="shared" si="595"/>
        <v>405009.66954587045</v>
      </c>
      <c r="DB220" s="3236">
        <f t="shared" si="596"/>
        <v>4522110.0414764825</v>
      </c>
      <c r="DC220" s="3264"/>
      <c r="DG220" s="3235">
        <f t="shared" si="597"/>
        <v>7463412</v>
      </c>
      <c r="DH220" s="3236">
        <f t="shared" si="598"/>
        <v>2536292.2889776477</v>
      </c>
      <c r="DI220" s="3236">
        <f t="shared" si="599"/>
        <v>405009.66954587045</v>
      </c>
      <c r="DJ220" s="3236">
        <f t="shared" si="600"/>
        <v>4522110.0414764825</v>
      </c>
      <c r="DK220" s="3264"/>
      <c r="DO220" s="3235">
        <f t="shared" si="601"/>
        <v>7463412</v>
      </c>
      <c r="DP220" s="3236">
        <f t="shared" si="602"/>
        <v>2536292.2889776477</v>
      </c>
      <c r="DQ220" s="3236">
        <f t="shared" si="603"/>
        <v>405009.66954587045</v>
      </c>
      <c r="DR220" s="3236">
        <f t="shared" si="604"/>
        <v>4522110.0414764825</v>
      </c>
      <c r="DS220" s="3264"/>
      <c r="DW220" s="3235">
        <f t="shared" si="605"/>
        <v>7463412</v>
      </c>
      <c r="DX220" s="3236">
        <f t="shared" si="606"/>
        <v>2536292.2889776477</v>
      </c>
      <c r="DY220" s="3236">
        <f t="shared" si="607"/>
        <v>405009.66954587045</v>
      </c>
      <c r="DZ220" s="3236">
        <f t="shared" si="608"/>
        <v>4522110.0414764825</v>
      </c>
      <c r="EA220" s="3264"/>
      <c r="EE220" s="3235">
        <f t="shared" si="609"/>
        <v>7463412</v>
      </c>
      <c r="EF220" s="3236">
        <f t="shared" si="610"/>
        <v>2536292.2889776477</v>
      </c>
      <c r="EG220" s="3236">
        <f t="shared" si="611"/>
        <v>405009.66954587045</v>
      </c>
      <c r="EH220" s="3236">
        <f t="shared" si="612"/>
        <v>4522110.0414764825</v>
      </c>
      <c r="EI220" s="3264"/>
      <c r="EM220" s="3235">
        <f t="shared" si="613"/>
        <v>7463412</v>
      </c>
      <c r="EN220" s="3236">
        <f t="shared" si="614"/>
        <v>2536292.2889776477</v>
      </c>
      <c r="EO220" s="3236">
        <f t="shared" si="615"/>
        <v>405009.66954587045</v>
      </c>
      <c r="EP220" s="3236">
        <f t="shared" si="616"/>
        <v>4522110.0414764825</v>
      </c>
      <c r="EQ220" s="3264"/>
      <c r="EU220" s="3235">
        <f t="shared" si="617"/>
        <v>7463412</v>
      </c>
      <c r="EV220" s="3236">
        <f t="shared" si="618"/>
        <v>2536292.2889776477</v>
      </c>
      <c r="EW220" s="3236">
        <f t="shared" si="619"/>
        <v>405009.66954587045</v>
      </c>
      <c r="EX220" s="3236">
        <f t="shared" si="620"/>
        <v>4522110.0414764825</v>
      </c>
      <c r="EY220" s="3264"/>
      <c r="FC220" s="3235">
        <f t="shared" si="621"/>
        <v>7463412</v>
      </c>
      <c r="FD220" s="3236">
        <f t="shared" si="622"/>
        <v>2536292.2889776477</v>
      </c>
      <c r="FE220" s="3236">
        <f t="shared" si="623"/>
        <v>405009.66954587045</v>
      </c>
      <c r="FF220" s="3236">
        <f t="shared" si="624"/>
        <v>4522110.0414764825</v>
      </c>
      <c r="FG220" s="3264"/>
      <c r="FK220" s="3235">
        <f t="shared" si="625"/>
        <v>7463412</v>
      </c>
      <c r="FL220" s="3236">
        <f t="shared" si="626"/>
        <v>2536292.2889776477</v>
      </c>
      <c r="FM220" s="3236">
        <f t="shared" si="627"/>
        <v>405009.66954587045</v>
      </c>
      <c r="FN220" s="3236">
        <f t="shared" si="628"/>
        <v>4522110.0414764825</v>
      </c>
      <c r="FO220" s="3264"/>
    </row>
    <row r="221" spans="1:171">
      <c r="A221" s="2442"/>
      <c r="B221" s="2185" t="s">
        <v>165</v>
      </c>
      <c r="C221" s="2464" t="s">
        <v>72</v>
      </c>
      <c r="D221" s="2464">
        <v>922</v>
      </c>
      <c r="E221" s="2424" t="str">
        <f>'Sch 3 - Expenses'!E61</f>
        <v>LABOR</v>
      </c>
      <c r="F221" s="2171"/>
      <c r="G221" s="2424">
        <f>'Sch 3 - Expenses'!G61</f>
        <v>32365661</v>
      </c>
      <c r="H221" s="2424">
        <f>'Sch 3 - Expenses'!H61</f>
        <v>10998826.866581207</v>
      </c>
      <c r="I221" s="2424">
        <f>'Sch 3 - Expenses'!I61</f>
        <v>0</v>
      </c>
      <c r="J221" s="2425">
        <f>'Sch 3 - Expenses'!J61</f>
        <v>21366834.133418795</v>
      </c>
      <c r="K221" s="3205">
        <f t="shared" si="548"/>
        <v>1</v>
      </c>
      <c r="O221" s="3235">
        <f t="shared" si="549"/>
        <v>32365661</v>
      </c>
      <c r="P221" s="3236">
        <f t="shared" si="550"/>
        <v>10998826.866581207</v>
      </c>
      <c r="Q221" s="3236">
        <f t="shared" si="551"/>
        <v>1756355.6274588173</v>
      </c>
      <c r="R221" s="3236">
        <f t="shared" si="552"/>
        <v>19610478.505959976</v>
      </c>
      <c r="S221" s="3264"/>
      <c r="W221" s="3235">
        <f t="shared" si="553"/>
        <v>32365661</v>
      </c>
      <c r="X221" s="3236">
        <f t="shared" si="554"/>
        <v>10998826.866581207</v>
      </c>
      <c r="Y221" s="3236">
        <f t="shared" si="555"/>
        <v>1756355.6274588173</v>
      </c>
      <c r="Z221" s="3236">
        <f t="shared" si="556"/>
        <v>19610478.505959976</v>
      </c>
      <c r="AA221" s="3264"/>
      <c r="AE221" s="3235">
        <f t="shared" si="557"/>
        <v>32365661</v>
      </c>
      <c r="AF221" s="3236">
        <f t="shared" si="558"/>
        <v>10998826.866581207</v>
      </c>
      <c r="AG221" s="3236">
        <f t="shared" si="559"/>
        <v>1756355.6274588173</v>
      </c>
      <c r="AH221" s="3236">
        <f t="shared" si="560"/>
        <v>19610478.505959976</v>
      </c>
      <c r="AI221" s="3264"/>
      <c r="AM221" s="3235">
        <f t="shared" si="561"/>
        <v>32365661</v>
      </c>
      <c r="AN221" s="3236">
        <f t="shared" si="562"/>
        <v>10998826.866581207</v>
      </c>
      <c r="AO221" s="3236">
        <f t="shared" si="563"/>
        <v>1756355.6274588173</v>
      </c>
      <c r="AP221" s="3236">
        <f t="shared" si="564"/>
        <v>19610478.505959976</v>
      </c>
      <c r="AQ221" s="3264"/>
      <c r="AU221" s="3235">
        <f t="shared" si="565"/>
        <v>32365661</v>
      </c>
      <c r="AV221" s="3236">
        <f t="shared" si="566"/>
        <v>10998826.866581207</v>
      </c>
      <c r="AW221" s="3236">
        <f t="shared" si="567"/>
        <v>1756355.6274588173</v>
      </c>
      <c r="AX221" s="3236">
        <f t="shared" si="568"/>
        <v>19610478.505959976</v>
      </c>
      <c r="AY221" s="3264"/>
      <c r="BC221" s="3235">
        <f t="shared" si="569"/>
        <v>32365661</v>
      </c>
      <c r="BD221" s="3236">
        <f t="shared" si="570"/>
        <v>10998826.866581207</v>
      </c>
      <c r="BE221" s="3236">
        <f t="shared" si="571"/>
        <v>1756355.6274588173</v>
      </c>
      <c r="BF221" s="3236">
        <f t="shared" si="572"/>
        <v>19610478.505959976</v>
      </c>
      <c r="BG221" s="3264"/>
      <c r="BK221" s="3235">
        <f t="shared" si="573"/>
        <v>32365661</v>
      </c>
      <c r="BL221" s="3236">
        <f t="shared" si="574"/>
        <v>10998826.866581207</v>
      </c>
      <c r="BM221" s="3236">
        <f t="shared" si="575"/>
        <v>1756355.6274588173</v>
      </c>
      <c r="BN221" s="3236">
        <f t="shared" si="576"/>
        <v>19610478.505959976</v>
      </c>
      <c r="BO221" s="3264"/>
      <c r="BS221" s="3235">
        <f t="shared" si="577"/>
        <v>32365661</v>
      </c>
      <c r="BT221" s="3236">
        <f t="shared" si="578"/>
        <v>10998826.866581207</v>
      </c>
      <c r="BU221" s="3236">
        <f t="shared" si="579"/>
        <v>1756355.6274588173</v>
      </c>
      <c r="BV221" s="3236">
        <f t="shared" si="580"/>
        <v>19610478.505959976</v>
      </c>
      <c r="BW221" s="3264"/>
      <c r="CA221" s="3235">
        <f t="shared" si="581"/>
        <v>32365661</v>
      </c>
      <c r="CB221" s="3236">
        <f t="shared" si="582"/>
        <v>10998826.866581207</v>
      </c>
      <c r="CC221" s="3236">
        <f t="shared" si="583"/>
        <v>1756355.6274588173</v>
      </c>
      <c r="CD221" s="3236">
        <f t="shared" si="584"/>
        <v>19610478.505959976</v>
      </c>
      <c r="CE221" s="3264"/>
      <c r="CI221" s="3235">
        <f t="shared" si="585"/>
        <v>32365661</v>
      </c>
      <c r="CJ221" s="3236">
        <f t="shared" si="586"/>
        <v>10998826.866581207</v>
      </c>
      <c r="CK221" s="3236">
        <f t="shared" si="587"/>
        <v>1756355.6274588173</v>
      </c>
      <c r="CL221" s="3236">
        <f t="shared" si="588"/>
        <v>19610478.505959976</v>
      </c>
      <c r="CM221" s="3264"/>
      <c r="CQ221" s="3235">
        <f t="shared" si="589"/>
        <v>32365661</v>
      </c>
      <c r="CR221" s="3236">
        <f t="shared" si="590"/>
        <v>10998826.866581207</v>
      </c>
      <c r="CS221" s="3236">
        <f t="shared" si="591"/>
        <v>1756355.6274588173</v>
      </c>
      <c r="CT221" s="3236">
        <f t="shared" si="592"/>
        <v>19610478.505959976</v>
      </c>
      <c r="CU221" s="3264"/>
      <c r="CY221" s="3235">
        <f t="shared" si="593"/>
        <v>32365661</v>
      </c>
      <c r="CZ221" s="3236">
        <f t="shared" si="594"/>
        <v>10998826.866581207</v>
      </c>
      <c r="DA221" s="3236">
        <f t="shared" si="595"/>
        <v>1756355.6274588173</v>
      </c>
      <c r="DB221" s="3236">
        <f t="shared" si="596"/>
        <v>19610478.505959976</v>
      </c>
      <c r="DC221" s="3264"/>
      <c r="DG221" s="3235">
        <f t="shared" si="597"/>
        <v>32365661</v>
      </c>
      <c r="DH221" s="3236">
        <f t="shared" si="598"/>
        <v>10998826.866581207</v>
      </c>
      <c r="DI221" s="3236">
        <f t="shared" si="599"/>
        <v>1756355.6274588173</v>
      </c>
      <c r="DJ221" s="3236">
        <f t="shared" si="600"/>
        <v>19610478.505959976</v>
      </c>
      <c r="DK221" s="3264"/>
      <c r="DO221" s="3235">
        <f t="shared" si="601"/>
        <v>32365661</v>
      </c>
      <c r="DP221" s="3236">
        <f t="shared" si="602"/>
        <v>10998826.866581207</v>
      </c>
      <c r="DQ221" s="3236">
        <f t="shared" si="603"/>
        <v>1756355.6274588173</v>
      </c>
      <c r="DR221" s="3236">
        <f t="shared" si="604"/>
        <v>19610478.505959976</v>
      </c>
      <c r="DS221" s="3264"/>
      <c r="DW221" s="3235">
        <f t="shared" si="605"/>
        <v>32365661</v>
      </c>
      <c r="DX221" s="3236">
        <f t="shared" si="606"/>
        <v>10998826.866581207</v>
      </c>
      <c r="DY221" s="3236">
        <f t="shared" si="607"/>
        <v>1756355.6274588173</v>
      </c>
      <c r="DZ221" s="3236">
        <f t="shared" si="608"/>
        <v>19610478.505959976</v>
      </c>
      <c r="EA221" s="3264"/>
      <c r="EE221" s="3235">
        <f t="shared" si="609"/>
        <v>32365661</v>
      </c>
      <c r="EF221" s="3236">
        <f t="shared" si="610"/>
        <v>10998826.866581207</v>
      </c>
      <c r="EG221" s="3236">
        <f t="shared" si="611"/>
        <v>1756355.6274588173</v>
      </c>
      <c r="EH221" s="3236">
        <f t="shared" si="612"/>
        <v>19610478.505959976</v>
      </c>
      <c r="EI221" s="3264"/>
      <c r="EM221" s="3235">
        <f t="shared" si="613"/>
        <v>32365661</v>
      </c>
      <c r="EN221" s="3236">
        <f t="shared" si="614"/>
        <v>10998826.866581207</v>
      </c>
      <c r="EO221" s="3236">
        <f t="shared" si="615"/>
        <v>1756355.6274588173</v>
      </c>
      <c r="EP221" s="3236">
        <f t="shared" si="616"/>
        <v>19610478.505959976</v>
      </c>
      <c r="EQ221" s="3264"/>
      <c r="EU221" s="3235">
        <f t="shared" si="617"/>
        <v>32365661</v>
      </c>
      <c r="EV221" s="3236">
        <f t="shared" si="618"/>
        <v>10998826.866581207</v>
      </c>
      <c r="EW221" s="3236">
        <f t="shared" si="619"/>
        <v>1756355.6274588173</v>
      </c>
      <c r="EX221" s="3236">
        <f t="shared" si="620"/>
        <v>19610478.505959976</v>
      </c>
      <c r="EY221" s="3264"/>
      <c r="FC221" s="3235">
        <f t="shared" si="621"/>
        <v>32365661</v>
      </c>
      <c r="FD221" s="3236">
        <f t="shared" si="622"/>
        <v>10998826.866581207</v>
      </c>
      <c r="FE221" s="3236">
        <f t="shared" si="623"/>
        <v>1756355.6274588173</v>
      </c>
      <c r="FF221" s="3236">
        <f t="shared" si="624"/>
        <v>19610478.505959976</v>
      </c>
      <c r="FG221" s="3264"/>
      <c r="FK221" s="3235">
        <f t="shared" si="625"/>
        <v>32365661</v>
      </c>
      <c r="FL221" s="3236">
        <f t="shared" si="626"/>
        <v>10998826.866581207</v>
      </c>
      <c r="FM221" s="3236">
        <f t="shared" si="627"/>
        <v>1756355.6274588173</v>
      </c>
      <c r="FN221" s="3236">
        <f t="shared" si="628"/>
        <v>19610478.505959976</v>
      </c>
      <c r="FO221" s="3264"/>
    </row>
    <row r="222" spans="1:171">
      <c r="A222" s="2442"/>
      <c r="B222" s="2185" t="s">
        <v>166</v>
      </c>
      <c r="C222" s="2464" t="s">
        <v>72</v>
      </c>
      <c r="D222" s="2464">
        <v>923</v>
      </c>
      <c r="E222" s="2424" t="str">
        <f>'Sch 3 - Expenses'!E62</f>
        <v>LABOR</v>
      </c>
      <c r="F222" s="2171"/>
      <c r="G222" s="2424">
        <f>'Sch 3 - Expenses'!G62</f>
        <v>20765085</v>
      </c>
      <c r="H222" s="2424">
        <f>'Sch 3 - Expenses'!H62</f>
        <v>7056601.5872452725</v>
      </c>
      <c r="I222" s="2424">
        <f>'Sch 3 - Expenses'!I62</f>
        <v>0</v>
      </c>
      <c r="J222" s="2425">
        <f>'Sch 3 - Expenses'!J62</f>
        <v>13708483.412754728</v>
      </c>
      <c r="K222" s="3205">
        <f t="shared" si="548"/>
        <v>1</v>
      </c>
      <c r="O222" s="3235">
        <f t="shared" si="549"/>
        <v>20765085</v>
      </c>
      <c r="P222" s="3236">
        <f t="shared" si="550"/>
        <v>7056601.5872452725</v>
      </c>
      <c r="Q222" s="3236">
        <f t="shared" si="551"/>
        <v>1126838.5309482997</v>
      </c>
      <c r="R222" s="3236">
        <f t="shared" si="552"/>
        <v>12581644.881806429</v>
      </c>
      <c r="S222" s="3264"/>
      <c r="W222" s="3235">
        <f t="shared" si="553"/>
        <v>20765085</v>
      </c>
      <c r="X222" s="3236">
        <f t="shared" si="554"/>
        <v>7056601.5872452725</v>
      </c>
      <c r="Y222" s="3236">
        <f t="shared" si="555"/>
        <v>1126838.5309482997</v>
      </c>
      <c r="Z222" s="3236">
        <f t="shared" si="556"/>
        <v>12581644.881806429</v>
      </c>
      <c r="AA222" s="3264"/>
      <c r="AE222" s="3235">
        <f t="shared" si="557"/>
        <v>20765085</v>
      </c>
      <c r="AF222" s="3236">
        <f t="shared" si="558"/>
        <v>7056601.5872452725</v>
      </c>
      <c r="AG222" s="3236">
        <f t="shared" si="559"/>
        <v>1126838.5309482997</v>
      </c>
      <c r="AH222" s="3236">
        <f t="shared" si="560"/>
        <v>12581644.881806429</v>
      </c>
      <c r="AI222" s="3264"/>
      <c r="AM222" s="3235">
        <f t="shared" si="561"/>
        <v>20765085</v>
      </c>
      <c r="AN222" s="3236">
        <f t="shared" si="562"/>
        <v>7056601.5872452725</v>
      </c>
      <c r="AO222" s="3236">
        <f t="shared" si="563"/>
        <v>1126838.5309482997</v>
      </c>
      <c r="AP222" s="3236">
        <f t="shared" si="564"/>
        <v>12581644.881806429</v>
      </c>
      <c r="AQ222" s="3264"/>
      <c r="AU222" s="3235">
        <f t="shared" si="565"/>
        <v>20765085</v>
      </c>
      <c r="AV222" s="3236">
        <f t="shared" si="566"/>
        <v>7056601.5872452725</v>
      </c>
      <c r="AW222" s="3236">
        <f t="shared" si="567"/>
        <v>1126838.5309482997</v>
      </c>
      <c r="AX222" s="3236">
        <f t="shared" si="568"/>
        <v>12581644.881806429</v>
      </c>
      <c r="AY222" s="3264"/>
      <c r="BC222" s="3235">
        <f t="shared" si="569"/>
        <v>20765085</v>
      </c>
      <c r="BD222" s="3236">
        <f t="shared" si="570"/>
        <v>7056601.5872452725</v>
      </c>
      <c r="BE222" s="3236">
        <f t="shared" si="571"/>
        <v>1126838.5309482997</v>
      </c>
      <c r="BF222" s="3236">
        <f t="shared" si="572"/>
        <v>12581644.881806429</v>
      </c>
      <c r="BG222" s="3264"/>
      <c r="BK222" s="3235">
        <f t="shared" si="573"/>
        <v>20765085</v>
      </c>
      <c r="BL222" s="3236">
        <f t="shared" si="574"/>
        <v>7056601.5872452725</v>
      </c>
      <c r="BM222" s="3236">
        <f t="shared" si="575"/>
        <v>1126838.5309482997</v>
      </c>
      <c r="BN222" s="3236">
        <f t="shared" si="576"/>
        <v>12581644.881806429</v>
      </c>
      <c r="BO222" s="3264"/>
      <c r="BS222" s="3235">
        <f t="shared" si="577"/>
        <v>20765085</v>
      </c>
      <c r="BT222" s="3236">
        <f t="shared" si="578"/>
        <v>7056601.5872452725</v>
      </c>
      <c r="BU222" s="3236">
        <f t="shared" si="579"/>
        <v>1126838.5309482997</v>
      </c>
      <c r="BV222" s="3236">
        <f t="shared" si="580"/>
        <v>12581644.881806429</v>
      </c>
      <c r="BW222" s="3264"/>
      <c r="CA222" s="3235">
        <f t="shared" si="581"/>
        <v>20765085</v>
      </c>
      <c r="CB222" s="3236">
        <f t="shared" si="582"/>
        <v>7056601.5872452725</v>
      </c>
      <c r="CC222" s="3236">
        <f t="shared" si="583"/>
        <v>1126838.5309482997</v>
      </c>
      <c r="CD222" s="3236">
        <f t="shared" si="584"/>
        <v>12581644.881806429</v>
      </c>
      <c r="CE222" s="3264"/>
      <c r="CI222" s="3235">
        <f t="shared" si="585"/>
        <v>20765085</v>
      </c>
      <c r="CJ222" s="3236">
        <f t="shared" si="586"/>
        <v>7056601.5872452725</v>
      </c>
      <c r="CK222" s="3236">
        <f t="shared" si="587"/>
        <v>1126838.5309482997</v>
      </c>
      <c r="CL222" s="3236">
        <f t="shared" si="588"/>
        <v>12581644.881806429</v>
      </c>
      <c r="CM222" s="3264"/>
      <c r="CQ222" s="3235">
        <f t="shared" si="589"/>
        <v>20765085</v>
      </c>
      <c r="CR222" s="3236">
        <f t="shared" si="590"/>
        <v>7056601.5872452725</v>
      </c>
      <c r="CS222" s="3236">
        <f t="shared" si="591"/>
        <v>1126838.5309482997</v>
      </c>
      <c r="CT222" s="3236">
        <f t="shared" si="592"/>
        <v>12581644.881806429</v>
      </c>
      <c r="CU222" s="3264"/>
      <c r="CY222" s="3235">
        <f t="shared" si="593"/>
        <v>20765085</v>
      </c>
      <c r="CZ222" s="3236">
        <f t="shared" si="594"/>
        <v>7056601.5872452725</v>
      </c>
      <c r="DA222" s="3236">
        <f t="shared" si="595"/>
        <v>1126838.5309482997</v>
      </c>
      <c r="DB222" s="3236">
        <f t="shared" si="596"/>
        <v>12581644.881806429</v>
      </c>
      <c r="DC222" s="3264"/>
      <c r="DG222" s="3235">
        <f t="shared" si="597"/>
        <v>20765085</v>
      </c>
      <c r="DH222" s="3236">
        <f t="shared" si="598"/>
        <v>7056601.5872452725</v>
      </c>
      <c r="DI222" s="3236">
        <f t="shared" si="599"/>
        <v>1126838.5309482997</v>
      </c>
      <c r="DJ222" s="3236">
        <f t="shared" si="600"/>
        <v>12581644.881806429</v>
      </c>
      <c r="DK222" s="3264"/>
      <c r="DO222" s="3235">
        <f t="shared" si="601"/>
        <v>20765085</v>
      </c>
      <c r="DP222" s="3236">
        <f t="shared" si="602"/>
        <v>7056601.5872452725</v>
      </c>
      <c r="DQ222" s="3236">
        <f t="shared" si="603"/>
        <v>1126838.5309482997</v>
      </c>
      <c r="DR222" s="3236">
        <f t="shared" si="604"/>
        <v>12581644.881806429</v>
      </c>
      <c r="DS222" s="3264"/>
      <c r="DW222" s="3235">
        <f t="shared" si="605"/>
        <v>20765085</v>
      </c>
      <c r="DX222" s="3236">
        <f t="shared" si="606"/>
        <v>7056601.5872452725</v>
      </c>
      <c r="DY222" s="3236">
        <f t="shared" si="607"/>
        <v>1126838.5309482997</v>
      </c>
      <c r="DZ222" s="3236">
        <f t="shared" si="608"/>
        <v>12581644.881806429</v>
      </c>
      <c r="EA222" s="3264"/>
      <c r="EE222" s="3235">
        <f t="shared" si="609"/>
        <v>20765085</v>
      </c>
      <c r="EF222" s="3236">
        <f t="shared" si="610"/>
        <v>7056601.5872452725</v>
      </c>
      <c r="EG222" s="3236">
        <f t="shared" si="611"/>
        <v>1126838.5309482997</v>
      </c>
      <c r="EH222" s="3236">
        <f t="shared" si="612"/>
        <v>12581644.881806429</v>
      </c>
      <c r="EI222" s="3264"/>
      <c r="EM222" s="3235">
        <f t="shared" si="613"/>
        <v>20765085</v>
      </c>
      <c r="EN222" s="3236">
        <f t="shared" si="614"/>
        <v>7056601.5872452725</v>
      </c>
      <c r="EO222" s="3236">
        <f t="shared" si="615"/>
        <v>1126838.5309482997</v>
      </c>
      <c r="EP222" s="3236">
        <f t="shared" si="616"/>
        <v>12581644.881806429</v>
      </c>
      <c r="EQ222" s="3264"/>
      <c r="EU222" s="3235">
        <f t="shared" si="617"/>
        <v>20765085</v>
      </c>
      <c r="EV222" s="3236">
        <f t="shared" si="618"/>
        <v>7056601.5872452725</v>
      </c>
      <c r="EW222" s="3236">
        <f t="shared" si="619"/>
        <v>1126838.5309482997</v>
      </c>
      <c r="EX222" s="3236">
        <f t="shared" si="620"/>
        <v>12581644.881806429</v>
      </c>
      <c r="EY222" s="3264"/>
      <c r="FC222" s="3235">
        <f t="shared" si="621"/>
        <v>20765085</v>
      </c>
      <c r="FD222" s="3236">
        <f t="shared" si="622"/>
        <v>7056601.5872452725</v>
      </c>
      <c r="FE222" s="3236">
        <f t="shared" si="623"/>
        <v>1126838.5309482997</v>
      </c>
      <c r="FF222" s="3236">
        <f t="shared" si="624"/>
        <v>12581644.881806429</v>
      </c>
      <c r="FG222" s="3264"/>
      <c r="FK222" s="3235">
        <f t="shared" si="625"/>
        <v>20765085</v>
      </c>
      <c r="FL222" s="3236">
        <f t="shared" si="626"/>
        <v>7056601.5872452725</v>
      </c>
      <c r="FM222" s="3236">
        <f t="shared" si="627"/>
        <v>1126838.5309482997</v>
      </c>
      <c r="FN222" s="3236">
        <f t="shared" si="628"/>
        <v>12581644.881806429</v>
      </c>
      <c r="FO222" s="3264"/>
    </row>
    <row r="223" spans="1:171">
      <c r="A223" s="3254">
        <v>94000</v>
      </c>
      <c r="B223" s="2185" t="s">
        <v>167</v>
      </c>
      <c r="C223" s="2464" t="s">
        <v>72</v>
      </c>
      <c r="D223" s="2464">
        <v>924</v>
      </c>
      <c r="E223" s="2424" t="str">
        <f>'Sch 3 - Expenses'!E63</f>
        <v>PTDG</v>
      </c>
      <c r="F223" s="2171"/>
      <c r="G223" s="2424">
        <f>'Sch 3 - Expenses'!G63</f>
        <v>6318020</v>
      </c>
      <c r="H223" s="2424">
        <f>'Sch 3 - Expenses'!H63</f>
        <v>2210502.0408064411</v>
      </c>
      <c r="I223" s="2424">
        <f>'Sch 3 - Expenses'!I63</f>
        <v>0</v>
      </c>
      <c r="J223" s="2425">
        <f>'Sch 3 - Expenses'!J63</f>
        <v>4107517.9579843101</v>
      </c>
      <c r="K223" s="3205">
        <f t="shared" si="548"/>
        <v>1</v>
      </c>
      <c r="N223" s="3284">
        <f>VLOOKUP($A223,'New Resources - Individual'!$A$4:$Y$133,N$2,FALSE)*N$1</f>
        <v>0</v>
      </c>
      <c r="O223" s="3235">
        <f>$G223+N223</f>
        <v>6318020</v>
      </c>
      <c r="P223" s="3236">
        <f t="shared" si="550"/>
        <v>2210502.0408064411</v>
      </c>
      <c r="Q223" s="3236">
        <f t="shared" si="551"/>
        <v>1109224.7257383247</v>
      </c>
      <c r="R223" s="3236">
        <f t="shared" si="552"/>
        <v>2998293.2334552342</v>
      </c>
      <c r="S223" s="3264"/>
      <c r="V223" s="3284">
        <f>VLOOKUP($A223,'New Resources - Individual'!$A$4:$Y$133,V$2,FALSE)*V$1</f>
        <v>0</v>
      </c>
      <c r="W223" s="3235">
        <f>$G223+V223</f>
        <v>6318020</v>
      </c>
      <c r="X223" s="3236">
        <f t="shared" si="554"/>
        <v>2210502.0408064411</v>
      </c>
      <c r="Y223" s="3236">
        <f t="shared" si="555"/>
        <v>1109224.7257383247</v>
      </c>
      <c r="Z223" s="3236">
        <f t="shared" si="556"/>
        <v>2998293.2334552342</v>
      </c>
      <c r="AA223" s="3264"/>
      <c r="AD223" s="3284">
        <f>VLOOKUP($A223,'New Resources - Individual'!$A$4:$Y$133,AD$2,FALSE)*AD$1</f>
        <v>0</v>
      </c>
      <c r="AE223" s="3235">
        <f>$G223+AD223</f>
        <v>6318020</v>
      </c>
      <c r="AF223" s="3236">
        <f t="shared" si="558"/>
        <v>2210502.0408064411</v>
      </c>
      <c r="AG223" s="3236">
        <f t="shared" si="559"/>
        <v>1109224.7257383247</v>
      </c>
      <c r="AH223" s="3236">
        <f t="shared" si="560"/>
        <v>2998293.2334552342</v>
      </c>
      <c r="AI223" s="3264"/>
      <c r="AL223" s="3284">
        <f>VLOOKUP($A223,'New Resources - Individual'!$A$4:$Y$133,AL$2,FALSE)*AL$1</f>
        <v>0</v>
      </c>
      <c r="AM223" s="3235">
        <f>$G223+AL223</f>
        <v>6318020</v>
      </c>
      <c r="AN223" s="3236">
        <f t="shared" si="562"/>
        <v>2210502.0408064411</v>
      </c>
      <c r="AO223" s="3236">
        <f t="shared" si="563"/>
        <v>1109224.7257383247</v>
      </c>
      <c r="AP223" s="3236">
        <f t="shared" si="564"/>
        <v>2998293.2334552342</v>
      </c>
      <c r="AQ223" s="3264"/>
      <c r="AT223" s="3284">
        <f>VLOOKUP($A223,'New Resources - Individual'!$A$4:$Y$133,AT$2,FALSE)*AT$1</f>
        <v>0</v>
      </c>
      <c r="AU223" s="3235">
        <f>$G223+AT223</f>
        <v>6318020</v>
      </c>
      <c r="AV223" s="3236">
        <f t="shared" si="566"/>
        <v>2210502.0408064411</v>
      </c>
      <c r="AW223" s="3236">
        <f t="shared" si="567"/>
        <v>1109224.7257383247</v>
      </c>
      <c r="AX223" s="3236">
        <f t="shared" si="568"/>
        <v>2998293.2334552342</v>
      </c>
      <c r="AY223" s="3264"/>
      <c r="BB223" s="3284">
        <f>VLOOKUP($A223,'New Resources - Individual'!$A$4:$Y$133,BB$2,FALSE)*BB$1</f>
        <v>0</v>
      </c>
      <c r="BC223" s="3235">
        <f>$G223+BB223</f>
        <v>6318020</v>
      </c>
      <c r="BD223" s="3236">
        <f t="shared" si="570"/>
        <v>2210502.0408064411</v>
      </c>
      <c r="BE223" s="3236">
        <f t="shared" si="571"/>
        <v>1109224.7257383247</v>
      </c>
      <c r="BF223" s="3236">
        <f t="shared" si="572"/>
        <v>2998293.2334552342</v>
      </c>
      <c r="BG223" s="3264"/>
      <c r="BJ223" s="3284">
        <f>VLOOKUP($A223,'New Resources - Individual'!$A$4:$Y$133,BJ$2,FALSE)*BJ$1</f>
        <v>0</v>
      </c>
      <c r="BK223" s="3235">
        <f>$G223+BJ223</f>
        <v>6318020</v>
      </c>
      <c r="BL223" s="3236">
        <f t="shared" si="574"/>
        <v>2210502.0408064411</v>
      </c>
      <c r="BM223" s="3236">
        <f t="shared" si="575"/>
        <v>1109224.7257383247</v>
      </c>
      <c r="BN223" s="3236">
        <f t="shared" si="576"/>
        <v>2998293.2334552342</v>
      </c>
      <c r="BO223" s="3264"/>
      <c r="BR223" s="3284">
        <f>VLOOKUP($A223,'New Resources - Individual'!$A$4:$Y$133,BR$2,FALSE)*BR$1</f>
        <v>0</v>
      </c>
      <c r="BS223" s="3235">
        <f>$G223+BR223</f>
        <v>6318020</v>
      </c>
      <c r="BT223" s="3236">
        <f t="shared" si="578"/>
        <v>2210502.0408064411</v>
      </c>
      <c r="BU223" s="3236">
        <f t="shared" si="579"/>
        <v>1109224.7257383247</v>
      </c>
      <c r="BV223" s="3236">
        <f t="shared" si="580"/>
        <v>2998293.2334552342</v>
      </c>
      <c r="BW223" s="3264"/>
      <c r="BZ223" s="3284">
        <f>VLOOKUP($A223,'New Resources - Individual'!$A$4:$Y$133,BZ$2,FALSE)*BZ$1</f>
        <v>0</v>
      </c>
      <c r="CA223" s="3235">
        <f>$G223+BZ223</f>
        <v>6318020</v>
      </c>
      <c r="CB223" s="3236">
        <f t="shared" si="582"/>
        <v>2210502.0408064411</v>
      </c>
      <c r="CC223" s="3236">
        <f t="shared" si="583"/>
        <v>1109224.7257383247</v>
      </c>
      <c r="CD223" s="3236">
        <f t="shared" si="584"/>
        <v>2998293.2334552342</v>
      </c>
      <c r="CE223" s="3264"/>
      <c r="CH223" s="3284">
        <f>VLOOKUP($A223,'New Resources - Individual'!$A$4:$Y$133,CH$2,FALSE)*CH$1</f>
        <v>0</v>
      </c>
      <c r="CI223" s="3235">
        <f>$G223+CH223</f>
        <v>6318020</v>
      </c>
      <c r="CJ223" s="3236">
        <f t="shared" si="586"/>
        <v>2210502.0408064411</v>
      </c>
      <c r="CK223" s="3236">
        <f t="shared" si="587"/>
        <v>1109224.7257383247</v>
      </c>
      <c r="CL223" s="3236">
        <f t="shared" si="588"/>
        <v>2998293.2334552342</v>
      </c>
      <c r="CM223" s="3264"/>
      <c r="CP223" s="3284">
        <f>VLOOKUP($A223,'New Resources - Individual'!$A$4:$Y$133,CP$2,FALSE)*CP$1</f>
        <v>0</v>
      </c>
      <c r="CQ223" s="3235">
        <f>$G223+CP223</f>
        <v>6318020</v>
      </c>
      <c r="CR223" s="3236">
        <f t="shared" si="590"/>
        <v>2210502.0408064411</v>
      </c>
      <c r="CS223" s="3236">
        <f t="shared" si="591"/>
        <v>1109224.7257383247</v>
      </c>
      <c r="CT223" s="3236">
        <f t="shared" si="592"/>
        <v>2998293.2334552342</v>
      </c>
      <c r="CU223" s="3264"/>
      <c r="CX223" s="3284">
        <f>VLOOKUP($A223,'New Resources - Individual'!$A$4:$Y$133,CX$2,FALSE)*CX$1</f>
        <v>0</v>
      </c>
      <c r="CY223" s="3235">
        <f>$G223+CX223</f>
        <v>6318020</v>
      </c>
      <c r="CZ223" s="3236">
        <f t="shared" si="594"/>
        <v>2210502.0408064411</v>
      </c>
      <c r="DA223" s="3236">
        <f t="shared" si="595"/>
        <v>1109224.7257383247</v>
      </c>
      <c r="DB223" s="3236">
        <f t="shared" si="596"/>
        <v>2998293.2334552342</v>
      </c>
      <c r="DC223" s="3264"/>
      <c r="DF223" s="3284">
        <f>VLOOKUP($A223,'New Resources - Individual'!$A$4:$Y$133,DF$2,FALSE)*DF$1</f>
        <v>0</v>
      </c>
      <c r="DG223" s="3235">
        <f>$G223+DF223</f>
        <v>6318020</v>
      </c>
      <c r="DH223" s="3236">
        <f t="shared" si="598"/>
        <v>2210502.0408064411</v>
      </c>
      <c r="DI223" s="3236">
        <f t="shared" si="599"/>
        <v>1109224.7257383247</v>
      </c>
      <c r="DJ223" s="3236">
        <f t="shared" si="600"/>
        <v>2998293.2334552342</v>
      </c>
      <c r="DK223" s="3264"/>
      <c r="DN223" s="3284">
        <f>VLOOKUP($A223,'New Resources - Individual'!$A$4:$Y$133,DN$2,FALSE)*DN$1</f>
        <v>0</v>
      </c>
      <c r="DO223" s="3235">
        <f>$G223+DN223</f>
        <v>6318020</v>
      </c>
      <c r="DP223" s="3236">
        <f t="shared" si="602"/>
        <v>2210502.0408064411</v>
      </c>
      <c r="DQ223" s="3236">
        <f t="shared" si="603"/>
        <v>1109224.7257383247</v>
      </c>
      <c r="DR223" s="3236">
        <f t="shared" si="604"/>
        <v>2998293.2334552342</v>
      </c>
      <c r="DS223" s="3264"/>
      <c r="DV223" s="3284">
        <f>VLOOKUP($A223,'New Resources - Individual'!$A$4:$Y$133,DV$2,FALSE)*DV$1</f>
        <v>0</v>
      </c>
      <c r="DW223" s="3235">
        <f>$G223+DV223</f>
        <v>6318020</v>
      </c>
      <c r="DX223" s="3236">
        <f t="shared" si="606"/>
        <v>2210502.0408064411</v>
      </c>
      <c r="DY223" s="3236">
        <f t="shared" si="607"/>
        <v>1109224.7257383247</v>
      </c>
      <c r="DZ223" s="3236">
        <f t="shared" si="608"/>
        <v>2998293.2334552342</v>
      </c>
      <c r="EA223" s="3264"/>
      <c r="ED223" s="3284">
        <f>VLOOKUP($A223,'New Resources - Individual'!$A$4:$Y$133,ED$2,FALSE)*ED$1</f>
        <v>0</v>
      </c>
      <c r="EE223" s="3235">
        <f>$G223+ED223</f>
        <v>6318020</v>
      </c>
      <c r="EF223" s="3236">
        <f t="shared" si="610"/>
        <v>2210502.0408064411</v>
      </c>
      <c r="EG223" s="3236">
        <f t="shared" si="611"/>
        <v>1109224.7257383247</v>
      </c>
      <c r="EH223" s="3236">
        <f t="shared" si="612"/>
        <v>2998293.2334552342</v>
      </c>
      <c r="EI223" s="3264"/>
      <c r="EL223" s="3284">
        <f>VLOOKUP($A223,'New Resources - Individual'!$A$4:$Y$133,EL$2,FALSE)*EL$1</f>
        <v>0</v>
      </c>
      <c r="EM223" s="3235">
        <f>$G223+EL223</f>
        <v>6318020</v>
      </c>
      <c r="EN223" s="3236">
        <f t="shared" si="614"/>
        <v>2210502.0408064411</v>
      </c>
      <c r="EO223" s="3236">
        <f t="shared" si="615"/>
        <v>1109224.7257383247</v>
      </c>
      <c r="EP223" s="3236">
        <f t="shared" si="616"/>
        <v>2998293.2334552342</v>
      </c>
      <c r="EQ223" s="3264"/>
      <c r="ET223" s="3284">
        <f>VLOOKUP($A223,'New Resources - Individual'!$A$4:$Y$133,ET$2,FALSE)*ET$1</f>
        <v>0</v>
      </c>
      <c r="EU223" s="3235">
        <f>$G223+ET223</f>
        <v>6318020</v>
      </c>
      <c r="EV223" s="3236">
        <f t="shared" si="618"/>
        <v>2210502.0408064411</v>
      </c>
      <c r="EW223" s="3236">
        <f t="shared" si="619"/>
        <v>1109224.7257383247</v>
      </c>
      <c r="EX223" s="3236">
        <f t="shared" si="620"/>
        <v>2998293.2334552342</v>
      </c>
      <c r="EY223" s="3264"/>
      <c r="FB223" s="3284">
        <f>VLOOKUP($A223,'New Resources - Individual'!$A$4:$Y$133,FB$2,FALSE)*FB$1</f>
        <v>0</v>
      </c>
      <c r="FC223" s="3235">
        <f>$G223+FB223</f>
        <v>6318020</v>
      </c>
      <c r="FD223" s="3236">
        <f t="shared" si="622"/>
        <v>2210502.0408064411</v>
      </c>
      <c r="FE223" s="3236">
        <f t="shared" si="623"/>
        <v>1109224.7257383247</v>
      </c>
      <c r="FF223" s="3236">
        <f t="shared" si="624"/>
        <v>2998293.2334552342</v>
      </c>
      <c r="FG223" s="3264"/>
      <c r="FJ223" s="3284">
        <f>VLOOKUP($A223,'New Resources - Individual'!$A$4:$Y$133,FJ$2,FALSE)*FJ$1</f>
        <v>0</v>
      </c>
      <c r="FK223" s="3235">
        <f>$G223+FJ223</f>
        <v>6318020</v>
      </c>
      <c r="FL223" s="3236">
        <f t="shared" si="626"/>
        <v>2210502.0408064411</v>
      </c>
      <c r="FM223" s="3236">
        <f t="shared" si="627"/>
        <v>1109224.7257383247</v>
      </c>
      <c r="FN223" s="3236">
        <f t="shared" si="628"/>
        <v>2998293.2334552342</v>
      </c>
      <c r="FO223" s="3264"/>
    </row>
    <row r="224" spans="1:171">
      <c r="A224" s="2442"/>
      <c r="B224" s="2185" t="s">
        <v>464</v>
      </c>
      <c r="C224" s="2464" t="s">
        <v>72</v>
      </c>
      <c r="D224" s="2464">
        <v>925</v>
      </c>
      <c r="E224" s="2424" t="str">
        <f>'Sch 3 - Expenses'!E64</f>
        <v>Labor</v>
      </c>
      <c r="F224" s="2171"/>
      <c r="G224" s="2424">
        <f>'Sch 3 - Expenses'!G64</f>
        <v>8919311</v>
      </c>
      <c r="H224" s="2424">
        <f>'Sch 3 - Expenses'!H64</f>
        <v>3031050.6390768071</v>
      </c>
      <c r="I224" s="2424">
        <f>'Sch 3 - Expenses'!I64</f>
        <v>0</v>
      </c>
      <c r="J224" s="2425">
        <f>'Sch 3 - Expenses'!J64</f>
        <v>5888260.3609231925</v>
      </c>
      <c r="K224" s="3205">
        <f t="shared" si="548"/>
        <v>1</v>
      </c>
      <c r="O224" s="3235">
        <f t="shared" si="549"/>
        <v>8919311</v>
      </c>
      <c r="P224" s="3236">
        <f t="shared" si="550"/>
        <v>3031050.6390768071</v>
      </c>
      <c r="Q224" s="3236">
        <f t="shared" si="551"/>
        <v>484015.51471188344</v>
      </c>
      <c r="R224" s="3236">
        <f t="shared" si="552"/>
        <v>5404244.8462113105</v>
      </c>
      <c r="S224" s="3264"/>
      <c r="W224" s="3235">
        <f t="shared" si="553"/>
        <v>8919311</v>
      </c>
      <c r="X224" s="3236">
        <f t="shared" si="554"/>
        <v>3031050.6390768071</v>
      </c>
      <c r="Y224" s="3236">
        <f t="shared" si="555"/>
        <v>484015.51471188344</v>
      </c>
      <c r="Z224" s="3236">
        <f t="shared" si="556"/>
        <v>5404244.8462113105</v>
      </c>
      <c r="AA224" s="3264"/>
      <c r="AE224" s="3235">
        <f t="shared" si="557"/>
        <v>8919311</v>
      </c>
      <c r="AF224" s="3236">
        <f t="shared" si="558"/>
        <v>3031050.6390768071</v>
      </c>
      <c r="AG224" s="3236">
        <f t="shared" si="559"/>
        <v>484015.51471188344</v>
      </c>
      <c r="AH224" s="3236">
        <f t="shared" si="560"/>
        <v>5404244.8462113105</v>
      </c>
      <c r="AI224" s="3264"/>
      <c r="AM224" s="3235">
        <f t="shared" si="561"/>
        <v>8919311</v>
      </c>
      <c r="AN224" s="3236">
        <f t="shared" si="562"/>
        <v>3031050.6390768071</v>
      </c>
      <c r="AO224" s="3236">
        <f t="shared" si="563"/>
        <v>484015.51471188344</v>
      </c>
      <c r="AP224" s="3236">
        <f t="shared" si="564"/>
        <v>5404244.8462113105</v>
      </c>
      <c r="AQ224" s="3264"/>
      <c r="AU224" s="3235">
        <f t="shared" si="565"/>
        <v>8919311</v>
      </c>
      <c r="AV224" s="3236">
        <f t="shared" si="566"/>
        <v>3031050.6390768071</v>
      </c>
      <c r="AW224" s="3236">
        <f t="shared" si="567"/>
        <v>484015.51471188344</v>
      </c>
      <c r="AX224" s="3236">
        <f t="shared" si="568"/>
        <v>5404244.8462113105</v>
      </c>
      <c r="AY224" s="3264"/>
      <c r="BC224" s="3235">
        <f t="shared" si="569"/>
        <v>8919311</v>
      </c>
      <c r="BD224" s="3236">
        <f t="shared" si="570"/>
        <v>3031050.6390768071</v>
      </c>
      <c r="BE224" s="3236">
        <f t="shared" si="571"/>
        <v>484015.51471188344</v>
      </c>
      <c r="BF224" s="3236">
        <f t="shared" si="572"/>
        <v>5404244.8462113105</v>
      </c>
      <c r="BG224" s="3264"/>
      <c r="BK224" s="3235">
        <f t="shared" si="573"/>
        <v>8919311</v>
      </c>
      <c r="BL224" s="3236">
        <f t="shared" si="574"/>
        <v>3031050.6390768071</v>
      </c>
      <c r="BM224" s="3236">
        <f t="shared" si="575"/>
        <v>484015.51471188344</v>
      </c>
      <c r="BN224" s="3236">
        <f t="shared" si="576"/>
        <v>5404244.8462113105</v>
      </c>
      <c r="BO224" s="3264"/>
      <c r="BS224" s="3235">
        <f t="shared" si="577"/>
        <v>8919311</v>
      </c>
      <c r="BT224" s="3236">
        <f t="shared" si="578"/>
        <v>3031050.6390768071</v>
      </c>
      <c r="BU224" s="3236">
        <f t="shared" si="579"/>
        <v>484015.51471188344</v>
      </c>
      <c r="BV224" s="3236">
        <f t="shared" si="580"/>
        <v>5404244.8462113105</v>
      </c>
      <c r="BW224" s="3264"/>
      <c r="CA224" s="3235">
        <f t="shared" si="581"/>
        <v>8919311</v>
      </c>
      <c r="CB224" s="3236">
        <f t="shared" si="582"/>
        <v>3031050.6390768071</v>
      </c>
      <c r="CC224" s="3236">
        <f t="shared" si="583"/>
        <v>484015.51471188344</v>
      </c>
      <c r="CD224" s="3236">
        <f t="shared" si="584"/>
        <v>5404244.8462113105</v>
      </c>
      <c r="CE224" s="3264"/>
      <c r="CI224" s="3235">
        <f t="shared" si="585"/>
        <v>8919311</v>
      </c>
      <c r="CJ224" s="3236">
        <f t="shared" si="586"/>
        <v>3031050.6390768071</v>
      </c>
      <c r="CK224" s="3236">
        <f t="shared" si="587"/>
        <v>484015.51471188344</v>
      </c>
      <c r="CL224" s="3236">
        <f t="shared" si="588"/>
        <v>5404244.8462113105</v>
      </c>
      <c r="CM224" s="3264"/>
      <c r="CQ224" s="3235">
        <f t="shared" si="589"/>
        <v>8919311</v>
      </c>
      <c r="CR224" s="3236">
        <f t="shared" si="590"/>
        <v>3031050.6390768071</v>
      </c>
      <c r="CS224" s="3236">
        <f t="shared" si="591"/>
        <v>484015.51471188344</v>
      </c>
      <c r="CT224" s="3236">
        <f t="shared" si="592"/>
        <v>5404244.8462113105</v>
      </c>
      <c r="CU224" s="3264"/>
      <c r="CY224" s="3235">
        <f t="shared" si="593"/>
        <v>8919311</v>
      </c>
      <c r="CZ224" s="3236">
        <f t="shared" si="594"/>
        <v>3031050.6390768071</v>
      </c>
      <c r="DA224" s="3236">
        <f t="shared" si="595"/>
        <v>484015.51471188344</v>
      </c>
      <c r="DB224" s="3236">
        <f t="shared" si="596"/>
        <v>5404244.8462113105</v>
      </c>
      <c r="DC224" s="3264"/>
      <c r="DG224" s="3235">
        <f t="shared" si="597"/>
        <v>8919311</v>
      </c>
      <c r="DH224" s="3236">
        <f t="shared" si="598"/>
        <v>3031050.6390768071</v>
      </c>
      <c r="DI224" s="3236">
        <f t="shared" si="599"/>
        <v>484015.51471188344</v>
      </c>
      <c r="DJ224" s="3236">
        <f t="shared" si="600"/>
        <v>5404244.8462113105</v>
      </c>
      <c r="DK224" s="3264"/>
      <c r="DO224" s="3235">
        <f t="shared" si="601"/>
        <v>8919311</v>
      </c>
      <c r="DP224" s="3236">
        <f t="shared" si="602"/>
        <v>3031050.6390768071</v>
      </c>
      <c r="DQ224" s="3236">
        <f t="shared" si="603"/>
        <v>484015.51471188344</v>
      </c>
      <c r="DR224" s="3236">
        <f t="shared" si="604"/>
        <v>5404244.8462113105</v>
      </c>
      <c r="DS224" s="3264"/>
      <c r="DW224" s="3235">
        <f t="shared" si="605"/>
        <v>8919311</v>
      </c>
      <c r="DX224" s="3236">
        <f t="shared" si="606"/>
        <v>3031050.6390768071</v>
      </c>
      <c r="DY224" s="3236">
        <f t="shared" si="607"/>
        <v>484015.51471188344</v>
      </c>
      <c r="DZ224" s="3236">
        <f t="shared" si="608"/>
        <v>5404244.8462113105</v>
      </c>
      <c r="EA224" s="3264"/>
      <c r="EE224" s="3235">
        <f t="shared" si="609"/>
        <v>8919311</v>
      </c>
      <c r="EF224" s="3236">
        <f t="shared" si="610"/>
        <v>3031050.6390768071</v>
      </c>
      <c r="EG224" s="3236">
        <f t="shared" si="611"/>
        <v>484015.51471188344</v>
      </c>
      <c r="EH224" s="3236">
        <f t="shared" si="612"/>
        <v>5404244.8462113105</v>
      </c>
      <c r="EI224" s="3264"/>
      <c r="EM224" s="3235">
        <f t="shared" si="613"/>
        <v>8919311</v>
      </c>
      <c r="EN224" s="3236">
        <f t="shared" si="614"/>
        <v>3031050.6390768071</v>
      </c>
      <c r="EO224" s="3236">
        <f t="shared" si="615"/>
        <v>484015.51471188344</v>
      </c>
      <c r="EP224" s="3236">
        <f t="shared" si="616"/>
        <v>5404244.8462113105</v>
      </c>
      <c r="EQ224" s="3264"/>
      <c r="EU224" s="3235">
        <f t="shared" si="617"/>
        <v>8919311</v>
      </c>
      <c r="EV224" s="3236">
        <f t="shared" si="618"/>
        <v>3031050.6390768071</v>
      </c>
      <c r="EW224" s="3236">
        <f t="shared" si="619"/>
        <v>484015.51471188344</v>
      </c>
      <c r="EX224" s="3236">
        <f t="shared" si="620"/>
        <v>5404244.8462113105</v>
      </c>
      <c r="EY224" s="3264"/>
      <c r="FC224" s="3235">
        <f t="shared" si="621"/>
        <v>8919311</v>
      </c>
      <c r="FD224" s="3236">
        <f t="shared" si="622"/>
        <v>3031050.6390768071</v>
      </c>
      <c r="FE224" s="3236">
        <f t="shared" si="623"/>
        <v>484015.51471188344</v>
      </c>
      <c r="FF224" s="3236">
        <f t="shared" si="624"/>
        <v>5404244.8462113105</v>
      </c>
      <c r="FG224" s="3264"/>
      <c r="FK224" s="3235">
        <f t="shared" si="625"/>
        <v>8919311</v>
      </c>
      <c r="FL224" s="3236">
        <f t="shared" si="626"/>
        <v>3031050.6390768071</v>
      </c>
      <c r="FM224" s="3236">
        <f t="shared" si="627"/>
        <v>484015.51471188344</v>
      </c>
      <c r="FN224" s="3236">
        <f t="shared" si="628"/>
        <v>5404244.8462113105</v>
      </c>
      <c r="FO224" s="3264"/>
    </row>
    <row r="225" spans="1:171">
      <c r="A225" s="2442"/>
      <c r="B225" s="2185" t="s">
        <v>465</v>
      </c>
      <c r="C225" s="2464" t="s">
        <v>72</v>
      </c>
      <c r="D225" s="2464">
        <v>926</v>
      </c>
      <c r="E225" s="2424" t="str">
        <f>'Sch 3 - Expenses'!E65</f>
        <v>LABOR</v>
      </c>
      <c r="F225" s="2171"/>
      <c r="G225" s="2424">
        <f>'Sch 3 - Expenses'!G65</f>
        <v>28392494</v>
      </c>
      <c r="H225" s="2424">
        <f>'Sch 3 - Expenses'!H65</f>
        <v>9648624.9984650631</v>
      </c>
      <c r="I225" s="2424">
        <f>'Sch 3 - Expenses'!I65</f>
        <v>0</v>
      </c>
      <c r="J225" s="2425">
        <f>'Sch 3 - Expenses'!J65</f>
        <v>18743869.001534939</v>
      </c>
      <c r="K225" s="3205">
        <f t="shared" si="548"/>
        <v>1</v>
      </c>
      <c r="O225" s="3235">
        <f t="shared" si="549"/>
        <v>28392494</v>
      </c>
      <c r="P225" s="3236">
        <f t="shared" si="550"/>
        <v>9648624.9984650631</v>
      </c>
      <c r="Q225" s="3236">
        <f t="shared" si="551"/>
        <v>1540747.6650790698</v>
      </c>
      <c r="R225" s="3236">
        <f t="shared" si="552"/>
        <v>17203121.33645587</v>
      </c>
      <c r="S225" s="3264"/>
      <c r="W225" s="3235">
        <f t="shared" si="553"/>
        <v>28392494</v>
      </c>
      <c r="X225" s="3236">
        <f t="shared" si="554"/>
        <v>9648624.9984650631</v>
      </c>
      <c r="Y225" s="3236">
        <f t="shared" si="555"/>
        <v>1540747.6650790698</v>
      </c>
      <c r="Z225" s="3236">
        <f t="shared" si="556"/>
        <v>17203121.33645587</v>
      </c>
      <c r="AA225" s="3264"/>
      <c r="AE225" s="3235">
        <f t="shared" si="557"/>
        <v>28392494</v>
      </c>
      <c r="AF225" s="3236">
        <f t="shared" si="558"/>
        <v>9648624.9984650631</v>
      </c>
      <c r="AG225" s="3236">
        <f t="shared" si="559"/>
        <v>1540747.6650790698</v>
      </c>
      <c r="AH225" s="3236">
        <f t="shared" si="560"/>
        <v>17203121.33645587</v>
      </c>
      <c r="AI225" s="3264"/>
      <c r="AM225" s="3235">
        <f t="shared" si="561"/>
        <v>28392494</v>
      </c>
      <c r="AN225" s="3236">
        <f t="shared" si="562"/>
        <v>9648624.9984650631</v>
      </c>
      <c r="AO225" s="3236">
        <f t="shared" si="563"/>
        <v>1540747.6650790698</v>
      </c>
      <c r="AP225" s="3236">
        <f t="shared" si="564"/>
        <v>17203121.33645587</v>
      </c>
      <c r="AQ225" s="3264"/>
      <c r="AU225" s="3235">
        <f t="shared" si="565"/>
        <v>28392494</v>
      </c>
      <c r="AV225" s="3236">
        <f t="shared" si="566"/>
        <v>9648624.9984650631</v>
      </c>
      <c r="AW225" s="3236">
        <f t="shared" si="567"/>
        <v>1540747.6650790698</v>
      </c>
      <c r="AX225" s="3236">
        <f t="shared" si="568"/>
        <v>17203121.33645587</v>
      </c>
      <c r="AY225" s="3264"/>
      <c r="BC225" s="3235">
        <f t="shared" si="569"/>
        <v>28392494</v>
      </c>
      <c r="BD225" s="3236">
        <f t="shared" si="570"/>
        <v>9648624.9984650631</v>
      </c>
      <c r="BE225" s="3236">
        <f t="shared" si="571"/>
        <v>1540747.6650790698</v>
      </c>
      <c r="BF225" s="3236">
        <f t="shared" si="572"/>
        <v>17203121.33645587</v>
      </c>
      <c r="BG225" s="3264"/>
      <c r="BK225" s="3235">
        <f t="shared" si="573"/>
        <v>28392494</v>
      </c>
      <c r="BL225" s="3236">
        <f t="shared" si="574"/>
        <v>9648624.9984650631</v>
      </c>
      <c r="BM225" s="3236">
        <f t="shared" si="575"/>
        <v>1540747.6650790698</v>
      </c>
      <c r="BN225" s="3236">
        <f t="shared" si="576"/>
        <v>17203121.33645587</v>
      </c>
      <c r="BO225" s="3264"/>
      <c r="BS225" s="3235">
        <f t="shared" si="577"/>
        <v>28392494</v>
      </c>
      <c r="BT225" s="3236">
        <f t="shared" si="578"/>
        <v>9648624.9984650631</v>
      </c>
      <c r="BU225" s="3236">
        <f t="shared" si="579"/>
        <v>1540747.6650790698</v>
      </c>
      <c r="BV225" s="3236">
        <f t="shared" si="580"/>
        <v>17203121.33645587</v>
      </c>
      <c r="BW225" s="3264"/>
      <c r="CA225" s="3235">
        <f t="shared" si="581"/>
        <v>28392494</v>
      </c>
      <c r="CB225" s="3236">
        <f t="shared" si="582"/>
        <v>9648624.9984650631</v>
      </c>
      <c r="CC225" s="3236">
        <f t="shared" si="583"/>
        <v>1540747.6650790698</v>
      </c>
      <c r="CD225" s="3236">
        <f t="shared" si="584"/>
        <v>17203121.33645587</v>
      </c>
      <c r="CE225" s="3264"/>
      <c r="CI225" s="3235">
        <f t="shared" si="585"/>
        <v>28392494</v>
      </c>
      <c r="CJ225" s="3236">
        <f t="shared" si="586"/>
        <v>9648624.9984650631</v>
      </c>
      <c r="CK225" s="3236">
        <f t="shared" si="587"/>
        <v>1540747.6650790698</v>
      </c>
      <c r="CL225" s="3236">
        <f t="shared" si="588"/>
        <v>17203121.33645587</v>
      </c>
      <c r="CM225" s="3264"/>
      <c r="CQ225" s="3235">
        <f t="shared" si="589"/>
        <v>28392494</v>
      </c>
      <c r="CR225" s="3236">
        <f t="shared" si="590"/>
        <v>9648624.9984650631</v>
      </c>
      <c r="CS225" s="3236">
        <f t="shared" si="591"/>
        <v>1540747.6650790698</v>
      </c>
      <c r="CT225" s="3236">
        <f t="shared" si="592"/>
        <v>17203121.33645587</v>
      </c>
      <c r="CU225" s="3264"/>
      <c r="CY225" s="3235">
        <f t="shared" si="593"/>
        <v>28392494</v>
      </c>
      <c r="CZ225" s="3236">
        <f t="shared" si="594"/>
        <v>9648624.9984650631</v>
      </c>
      <c r="DA225" s="3236">
        <f t="shared" si="595"/>
        <v>1540747.6650790698</v>
      </c>
      <c r="DB225" s="3236">
        <f t="shared" si="596"/>
        <v>17203121.33645587</v>
      </c>
      <c r="DC225" s="3264"/>
      <c r="DG225" s="3235">
        <f t="shared" si="597"/>
        <v>28392494</v>
      </c>
      <c r="DH225" s="3236">
        <f t="shared" si="598"/>
        <v>9648624.9984650631</v>
      </c>
      <c r="DI225" s="3236">
        <f t="shared" si="599"/>
        <v>1540747.6650790698</v>
      </c>
      <c r="DJ225" s="3236">
        <f t="shared" si="600"/>
        <v>17203121.33645587</v>
      </c>
      <c r="DK225" s="3264"/>
      <c r="DO225" s="3235">
        <f t="shared" si="601"/>
        <v>28392494</v>
      </c>
      <c r="DP225" s="3236">
        <f t="shared" si="602"/>
        <v>9648624.9984650631</v>
      </c>
      <c r="DQ225" s="3236">
        <f t="shared" si="603"/>
        <v>1540747.6650790698</v>
      </c>
      <c r="DR225" s="3236">
        <f t="shared" si="604"/>
        <v>17203121.33645587</v>
      </c>
      <c r="DS225" s="3264"/>
      <c r="DW225" s="3235">
        <f t="shared" si="605"/>
        <v>28392494</v>
      </c>
      <c r="DX225" s="3236">
        <f t="shared" si="606"/>
        <v>9648624.9984650631</v>
      </c>
      <c r="DY225" s="3236">
        <f t="shared" si="607"/>
        <v>1540747.6650790698</v>
      </c>
      <c r="DZ225" s="3236">
        <f t="shared" si="608"/>
        <v>17203121.33645587</v>
      </c>
      <c r="EA225" s="3264"/>
      <c r="EE225" s="3235">
        <f t="shared" si="609"/>
        <v>28392494</v>
      </c>
      <c r="EF225" s="3236">
        <f t="shared" si="610"/>
        <v>9648624.9984650631</v>
      </c>
      <c r="EG225" s="3236">
        <f t="shared" si="611"/>
        <v>1540747.6650790698</v>
      </c>
      <c r="EH225" s="3236">
        <f t="shared" si="612"/>
        <v>17203121.33645587</v>
      </c>
      <c r="EI225" s="3264"/>
      <c r="EM225" s="3235">
        <f t="shared" si="613"/>
        <v>28392494</v>
      </c>
      <c r="EN225" s="3236">
        <f t="shared" si="614"/>
        <v>9648624.9984650631</v>
      </c>
      <c r="EO225" s="3236">
        <f t="shared" si="615"/>
        <v>1540747.6650790698</v>
      </c>
      <c r="EP225" s="3236">
        <f t="shared" si="616"/>
        <v>17203121.33645587</v>
      </c>
      <c r="EQ225" s="3264"/>
      <c r="EU225" s="3235">
        <f t="shared" si="617"/>
        <v>28392494</v>
      </c>
      <c r="EV225" s="3236">
        <f t="shared" si="618"/>
        <v>9648624.9984650631</v>
      </c>
      <c r="EW225" s="3236">
        <f t="shared" si="619"/>
        <v>1540747.6650790698</v>
      </c>
      <c r="EX225" s="3236">
        <f t="shared" si="620"/>
        <v>17203121.33645587</v>
      </c>
      <c r="EY225" s="3264"/>
      <c r="FC225" s="3235">
        <f t="shared" si="621"/>
        <v>28392494</v>
      </c>
      <c r="FD225" s="3236">
        <f t="shared" si="622"/>
        <v>9648624.9984650631</v>
      </c>
      <c r="FE225" s="3236">
        <f t="shared" si="623"/>
        <v>1540747.6650790698</v>
      </c>
      <c r="FF225" s="3236">
        <f t="shared" si="624"/>
        <v>17203121.33645587</v>
      </c>
      <c r="FG225" s="3264"/>
      <c r="FK225" s="3235">
        <f t="shared" si="625"/>
        <v>28392494</v>
      </c>
      <c r="FL225" s="3236">
        <f t="shared" si="626"/>
        <v>9648624.9984650631</v>
      </c>
      <c r="FM225" s="3236">
        <f t="shared" si="627"/>
        <v>1540747.6650790698</v>
      </c>
      <c r="FN225" s="3236">
        <f t="shared" si="628"/>
        <v>17203121.33645587</v>
      </c>
      <c r="FO225" s="3264"/>
    </row>
    <row r="226" spans="1:171">
      <c r="A226" s="2442"/>
      <c r="B226" s="2185" t="s">
        <v>466</v>
      </c>
      <c r="C226" s="2464" t="s">
        <v>72</v>
      </c>
      <c r="D226" s="2464">
        <v>927</v>
      </c>
      <c r="E226" s="2424" t="str">
        <f>'Sch 3 - Expenses'!E66</f>
        <v>DIST</v>
      </c>
      <c r="F226" s="2171"/>
      <c r="G226" s="2424">
        <f>'Sch 3 - Expenses'!G66</f>
        <v>0</v>
      </c>
      <c r="H226" s="2424">
        <f>'Sch 3 - Expenses'!H66</f>
        <v>0</v>
      </c>
      <c r="I226" s="2424">
        <f>'Sch 3 - Expenses'!I66</f>
        <v>0</v>
      </c>
      <c r="J226" s="2425">
        <f>'Sch 3 - Expenses'!J66</f>
        <v>0</v>
      </c>
      <c r="K226" s="3205">
        <f t="shared" si="548"/>
        <v>1</v>
      </c>
      <c r="O226" s="3235">
        <f t="shared" si="549"/>
        <v>0</v>
      </c>
      <c r="P226" s="3236">
        <f t="shared" si="550"/>
        <v>0</v>
      </c>
      <c r="Q226" s="3236">
        <f t="shared" si="551"/>
        <v>0</v>
      </c>
      <c r="R226" s="3236">
        <f t="shared" si="552"/>
        <v>0</v>
      </c>
      <c r="S226" s="3264"/>
      <c r="W226" s="3235">
        <f t="shared" si="553"/>
        <v>0</v>
      </c>
      <c r="X226" s="3236">
        <f t="shared" si="554"/>
        <v>0</v>
      </c>
      <c r="Y226" s="3236">
        <f t="shared" si="555"/>
        <v>0</v>
      </c>
      <c r="Z226" s="3236">
        <f t="shared" si="556"/>
        <v>0</v>
      </c>
      <c r="AA226" s="3264"/>
      <c r="AE226" s="3235">
        <f t="shared" si="557"/>
        <v>0</v>
      </c>
      <c r="AF226" s="3236">
        <f t="shared" si="558"/>
        <v>0</v>
      </c>
      <c r="AG226" s="3236">
        <f t="shared" si="559"/>
        <v>0</v>
      </c>
      <c r="AH226" s="3236">
        <f t="shared" si="560"/>
        <v>0</v>
      </c>
      <c r="AI226" s="3264"/>
      <c r="AM226" s="3235">
        <f t="shared" si="561"/>
        <v>0</v>
      </c>
      <c r="AN226" s="3236">
        <f t="shared" si="562"/>
        <v>0</v>
      </c>
      <c r="AO226" s="3236">
        <f t="shared" si="563"/>
        <v>0</v>
      </c>
      <c r="AP226" s="3236">
        <f t="shared" si="564"/>
        <v>0</v>
      </c>
      <c r="AQ226" s="3264"/>
      <c r="AU226" s="3235">
        <f t="shared" si="565"/>
        <v>0</v>
      </c>
      <c r="AV226" s="3236">
        <f t="shared" si="566"/>
        <v>0</v>
      </c>
      <c r="AW226" s="3236">
        <f t="shared" si="567"/>
        <v>0</v>
      </c>
      <c r="AX226" s="3236">
        <f t="shared" si="568"/>
        <v>0</v>
      </c>
      <c r="AY226" s="3264"/>
      <c r="BC226" s="3235">
        <f t="shared" si="569"/>
        <v>0</v>
      </c>
      <c r="BD226" s="3236">
        <f t="shared" si="570"/>
        <v>0</v>
      </c>
      <c r="BE226" s="3236">
        <f t="shared" si="571"/>
        <v>0</v>
      </c>
      <c r="BF226" s="3236">
        <f t="shared" si="572"/>
        <v>0</v>
      </c>
      <c r="BG226" s="3264"/>
      <c r="BK226" s="3235">
        <f t="shared" si="573"/>
        <v>0</v>
      </c>
      <c r="BL226" s="3236">
        <f t="shared" si="574"/>
        <v>0</v>
      </c>
      <c r="BM226" s="3236">
        <f t="shared" si="575"/>
        <v>0</v>
      </c>
      <c r="BN226" s="3236">
        <f t="shared" si="576"/>
        <v>0</v>
      </c>
      <c r="BO226" s="3264"/>
      <c r="BS226" s="3235">
        <f t="shared" si="577"/>
        <v>0</v>
      </c>
      <c r="BT226" s="3236">
        <f t="shared" si="578"/>
        <v>0</v>
      </c>
      <c r="BU226" s="3236">
        <f t="shared" si="579"/>
        <v>0</v>
      </c>
      <c r="BV226" s="3236">
        <f t="shared" si="580"/>
        <v>0</v>
      </c>
      <c r="BW226" s="3264"/>
      <c r="CA226" s="3235">
        <f t="shared" si="581"/>
        <v>0</v>
      </c>
      <c r="CB226" s="3236">
        <f t="shared" si="582"/>
        <v>0</v>
      </c>
      <c r="CC226" s="3236">
        <f t="shared" si="583"/>
        <v>0</v>
      </c>
      <c r="CD226" s="3236">
        <f t="shared" si="584"/>
        <v>0</v>
      </c>
      <c r="CE226" s="3264"/>
      <c r="CI226" s="3235">
        <f t="shared" si="585"/>
        <v>0</v>
      </c>
      <c r="CJ226" s="3236">
        <f t="shared" si="586"/>
        <v>0</v>
      </c>
      <c r="CK226" s="3236">
        <f t="shared" si="587"/>
        <v>0</v>
      </c>
      <c r="CL226" s="3236">
        <f t="shared" si="588"/>
        <v>0</v>
      </c>
      <c r="CM226" s="3264"/>
      <c r="CQ226" s="3235">
        <f t="shared" si="589"/>
        <v>0</v>
      </c>
      <c r="CR226" s="3236">
        <f t="shared" si="590"/>
        <v>0</v>
      </c>
      <c r="CS226" s="3236">
        <f t="shared" si="591"/>
        <v>0</v>
      </c>
      <c r="CT226" s="3236">
        <f t="shared" si="592"/>
        <v>0</v>
      </c>
      <c r="CU226" s="3264"/>
      <c r="CY226" s="3235">
        <f t="shared" si="593"/>
        <v>0</v>
      </c>
      <c r="CZ226" s="3236">
        <f t="shared" si="594"/>
        <v>0</v>
      </c>
      <c r="DA226" s="3236">
        <f t="shared" si="595"/>
        <v>0</v>
      </c>
      <c r="DB226" s="3236">
        <f t="shared" si="596"/>
        <v>0</v>
      </c>
      <c r="DC226" s="3264"/>
      <c r="DG226" s="3235">
        <f t="shared" si="597"/>
        <v>0</v>
      </c>
      <c r="DH226" s="3236">
        <f t="shared" si="598"/>
        <v>0</v>
      </c>
      <c r="DI226" s="3236">
        <f t="shared" si="599"/>
        <v>0</v>
      </c>
      <c r="DJ226" s="3236">
        <f t="shared" si="600"/>
        <v>0</v>
      </c>
      <c r="DK226" s="3264"/>
      <c r="DO226" s="3235">
        <f t="shared" si="601"/>
        <v>0</v>
      </c>
      <c r="DP226" s="3236">
        <f t="shared" si="602"/>
        <v>0</v>
      </c>
      <c r="DQ226" s="3236">
        <f t="shared" si="603"/>
        <v>0</v>
      </c>
      <c r="DR226" s="3236">
        <f t="shared" si="604"/>
        <v>0</v>
      </c>
      <c r="DS226" s="3264"/>
      <c r="DW226" s="3235">
        <f t="shared" si="605"/>
        <v>0</v>
      </c>
      <c r="DX226" s="3236">
        <f t="shared" si="606"/>
        <v>0</v>
      </c>
      <c r="DY226" s="3236">
        <f t="shared" si="607"/>
        <v>0</v>
      </c>
      <c r="DZ226" s="3236">
        <f t="shared" si="608"/>
        <v>0</v>
      </c>
      <c r="EA226" s="3264"/>
      <c r="EE226" s="3235">
        <f t="shared" si="609"/>
        <v>0</v>
      </c>
      <c r="EF226" s="3236">
        <f t="shared" si="610"/>
        <v>0</v>
      </c>
      <c r="EG226" s="3236">
        <f t="shared" si="611"/>
        <v>0</v>
      </c>
      <c r="EH226" s="3236">
        <f t="shared" si="612"/>
        <v>0</v>
      </c>
      <c r="EI226" s="3264"/>
      <c r="EM226" s="3235">
        <f t="shared" si="613"/>
        <v>0</v>
      </c>
      <c r="EN226" s="3236">
        <f t="shared" si="614"/>
        <v>0</v>
      </c>
      <c r="EO226" s="3236">
        <f t="shared" si="615"/>
        <v>0</v>
      </c>
      <c r="EP226" s="3236">
        <f t="shared" si="616"/>
        <v>0</v>
      </c>
      <c r="EQ226" s="3264"/>
      <c r="EU226" s="3235">
        <f t="shared" si="617"/>
        <v>0</v>
      </c>
      <c r="EV226" s="3236">
        <f t="shared" si="618"/>
        <v>0</v>
      </c>
      <c r="EW226" s="3236">
        <f t="shared" si="619"/>
        <v>0</v>
      </c>
      <c r="EX226" s="3236">
        <f t="shared" si="620"/>
        <v>0</v>
      </c>
      <c r="EY226" s="3264"/>
      <c r="FC226" s="3235">
        <f t="shared" si="621"/>
        <v>0</v>
      </c>
      <c r="FD226" s="3236">
        <f t="shared" si="622"/>
        <v>0</v>
      </c>
      <c r="FE226" s="3236">
        <f t="shared" si="623"/>
        <v>0</v>
      </c>
      <c r="FF226" s="3236">
        <f t="shared" si="624"/>
        <v>0</v>
      </c>
      <c r="FG226" s="3264"/>
      <c r="FK226" s="3235">
        <f t="shared" si="625"/>
        <v>0</v>
      </c>
      <c r="FL226" s="3236">
        <f t="shared" si="626"/>
        <v>0</v>
      </c>
      <c r="FM226" s="3236">
        <f t="shared" si="627"/>
        <v>0</v>
      </c>
      <c r="FN226" s="3236">
        <f t="shared" si="628"/>
        <v>0</v>
      </c>
      <c r="FO226" s="3264"/>
    </row>
    <row r="227" spans="1:171">
      <c r="A227" s="2442"/>
      <c r="B227" s="2185" t="s">
        <v>468</v>
      </c>
      <c r="C227" s="2464" t="s">
        <v>72</v>
      </c>
      <c r="D227" s="2464">
        <v>928</v>
      </c>
      <c r="E227" s="2424" t="str">
        <f>'Sch 3 - Expenses'!E67</f>
        <v>DIST</v>
      </c>
      <c r="F227" s="2171"/>
      <c r="G227" s="2424">
        <f>'Sch 3 - Expenses'!G67</f>
        <v>16043545</v>
      </c>
      <c r="H227" s="2424">
        <f>'Sch 3 - Expenses'!H67</f>
        <v>0</v>
      </c>
      <c r="I227" s="2424">
        <f>'Sch 3 - Expenses'!I67</f>
        <v>0</v>
      </c>
      <c r="J227" s="2425">
        <f>'Sch 3 - Expenses'!J67</f>
        <v>16043545</v>
      </c>
      <c r="K227" s="3205">
        <f t="shared" si="548"/>
        <v>1</v>
      </c>
      <c r="O227" s="3235">
        <f t="shared" si="549"/>
        <v>16043545</v>
      </c>
      <c r="P227" s="3236">
        <f t="shared" si="550"/>
        <v>0</v>
      </c>
      <c r="Q227" s="3236">
        <f t="shared" si="551"/>
        <v>0</v>
      </c>
      <c r="R227" s="3236">
        <f t="shared" si="552"/>
        <v>16043545</v>
      </c>
      <c r="S227" s="3264"/>
      <c r="W227" s="3235">
        <f t="shared" si="553"/>
        <v>16043545</v>
      </c>
      <c r="X227" s="3236">
        <f t="shared" si="554"/>
        <v>0</v>
      </c>
      <c r="Y227" s="3236">
        <f t="shared" si="555"/>
        <v>0</v>
      </c>
      <c r="Z227" s="3236">
        <f t="shared" si="556"/>
        <v>16043545</v>
      </c>
      <c r="AA227" s="3264"/>
      <c r="AE227" s="3235">
        <f t="shared" si="557"/>
        <v>16043545</v>
      </c>
      <c r="AF227" s="3236">
        <f t="shared" si="558"/>
        <v>0</v>
      </c>
      <c r="AG227" s="3236">
        <f t="shared" si="559"/>
        <v>0</v>
      </c>
      <c r="AH227" s="3236">
        <f t="shared" si="560"/>
        <v>16043545</v>
      </c>
      <c r="AI227" s="3264"/>
      <c r="AM227" s="3235">
        <f t="shared" si="561"/>
        <v>16043545</v>
      </c>
      <c r="AN227" s="3236">
        <f t="shared" si="562"/>
        <v>0</v>
      </c>
      <c r="AO227" s="3236">
        <f t="shared" si="563"/>
        <v>0</v>
      </c>
      <c r="AP227" s="3236">
        <f t="shared" si="564"/>
        <v>16043545</v>
      </c>
      <c r="AQ227" s="3264"/>
      <c r="AU227" s="3235">
        <f t="shared" si="565"/>
        <v>16043545</v>
      </c>
      <c r="AV227" s="3236">
        <f t="shared" si="566"/>
        <v>0</v>
      </c>
      <c r="AW227" s="3236">
        <f t="shared" si="567"/>
        <v>0</v>
      </c>
      <c r="AX227" s="3236">
        <f t="shared" si="568"/>
        <v>16043545</v>
      </c>
      <c r="AY227" s="3264"/>
      <c r="BC227" s="3235">
        <f t="shared" si="569"/>
        <v>16043545</v>
      </c>
      <c r="BD227" s="3236">
        <f t="shared" si="570"/>
        <v>0</v>
      </c>
      <c r="BE227" s="3236">
        <f t="shared" si="571"/>
        <v>0</v>
      </c>
      <c r="BF227" s="3236">
        <f t="shared" si="572"/>
        <v>16043545</v>
      </c>
      <c r="BG227" s="3264"/>
      <c r="BK227" s="3235">
        <f t="shared" si="573"/>
        <v>16043545</v>
      </c>
      <c r="BL227" s="3236">
        <f t="shared" si="574"/>
        <v>0</v>
      </c>
      <c r="BM227" s="3236">
        <f t="shared" si="575"/>
        <v>0</v>
      </c>
      <c r="BN227" s="3236">
        <f t="shared" si="576"/>
        <v>16043545</v>
      </c>
      <c r="BO227" s="3264"/>
      <c r="BS227" s="3235">
        <f t="shared" si="577"/>
        <v>16043545</v>
      </c>
      <c r="BT227" s="3236">
        <f t="shared" si="578"/>
        <v>0</v>
      </c>
      <c r="BU227" s="3236">
        <f t="shared" si="579"/>
        <v>0</v>
      </c>
      <c r="BV227" s="3236">
        <f t="shared" si="580"/>
        <v>16043545</v>
      </c>
      <c r="BW227" s="3264"/>
      <c r="CA227" s="3235">
        <f t="shared" si="581"/>
        <v>16043545</v>
      </c>
      <c r="CB227" s="3236">
        <f t="shared" si="582"/>
        <v>0</v>
      </c>
      <c r="CC227" s="3236">
        <f t="shared" si="583"/>
        <v>0</v>
      </c>
      <c r="CD227" s="3236">
        <f t="shared" si="584"/>
        <v>16043545</v>
      </c>
      <c r="CE227" s="3264"/>
      <c r="CI227" s="3235">
        <f t="shared" si="585"/>
        <v>16043545</v>
      </c>
      <c r="CJ227" s="3236">
        <f t="shared" si="586"/>
        <v>0</v>
      </c>
      <c r="CK227" s="3236">
        <f t="shared" si="587"/>
        <v>0</v>
      </c>
      <c r="CL227" s="3236">
        <f t="shared" si="588"/>
        <v>16043545</v>
      </c>
      <c r="CM227" s="3264"/>
      <c r="CQ227" s="3235">
        <f t="shared" si="589"/>
        <v>16043545</v>
      </c>
      <c r="CR227" s="3236">
        <f t="shared" si="590"/>
        <v>0</v>
      </c>
      <c r="CS227" s="3236">
        <f t="shared" si="591"/>
        <v>0</v>
      </c>
      <c r="CT227" s="3236">
        <f t="shared" si="592"/>
        <v>16043545</v>
      </c>
      <c r="CU227" s="3264"/>
      <c r="CY227" s="3235">
        <f t="shared" si="593"/>
        <v>16043545</v>
      </c>
      <c r="CZ227" s="3236">
        <f t="shared" si="594"/>
        <v>0</v>
      </c>
      <c r="DA227" s="3236">
        <f t="shared" si="595"/>
        <v>0</v>
      </c>
      <c r="DB227" s="3236">
        <f t="shared" si="596"/>
        <v>16043545</v>
      </c>
      <c r="DC227" s="3264"/>
      <c r="DG227" s="3235">
        <f t="shared" si="597"/>
        <v>16043545</v>
      </c>
      <c r="DH227" s="3236">
        <f t="shared" si="598"/>
        <v>0</v>
      </c>
      <c r="DI227" s="3236">
        <f t="shared" si="599"/>
        <v>0</v>
      </c>
      <c r="DJ227" s="3236">
        <f t="shared" si="600"/>
        <v>16043545</v>
      </c>
      <c r="DK227" s="3264"/>
      <c r="DO227" s="3235">
        <f t="shared" si="601"/>
        <v>16043545</v>
      </c>
      <c r="DP227" s="3236">
        <f t="shared" si="602"/>
        <v>0</v>
      </c>
      <c r="DQ227" s="3236">
        <f t="shared" si="603"/>
        <v>0</v>
      </c>
      <c r="DR227" s="3236">
        <f t="shared" si="604"/>
        <v>16043545</v>
      </c>
      <c r="DS227" s="3264"/>
      <c r="DW227" s="3235">
        <f t="shared" si="605"/>
        <v>16043545</v>
      </c>
      <c r="DX227" s="3236">
        <f t="shared" si="606"/>
        <v>0</v>
      </c>
      <c r="DY227" s="3236">
        <f t="shared" si="607"/>
        <v>0</v>
      </c>
      <c r="DZ227" s="3236">
        <f t="shared" si="608"/>
        <v>16043545</v>
      </c>
      <c r="EA227" s="3264"/>
      <c r="EE227" s="3235">
        <f t="shared" si="609"/>
        <v>16043545</v>
      </c>
      <c r="EF227" s="3236">
        <f t="shared" si="610"/>
        <v>0</v>
      </c>
      <c r="EG227" s="3236">
        <f t="shared" si="611"/>
        <v>0</v>
      </c>
      <c r="EH227" s="3236">
        <f t="shared" si="612"/>
        <v>16043545</v>
      </c>
      <c r="EI227" s="3264"/>
      <c r="EM227" s="3235">
        <f t="shared" si="613"/>
        <v>16043545</v>
      </c>
      <c r="EN227" s="3236">
        <f t="shared" si="614"/>
        <v>0</v>
      </c>
      <c r="EO227" s="3236">
        <f t="shared" si="615"/>
        <v>0</v>
      </c>
      <c r="EP227" s="3236">
        <f t="shared" si="616"/>
        <v>16043545</v>
      </c>
      <c r="EQ227" s="3264"/>
      <c r="EU227" s="3235">
        <f t="shared" si="617"/>
        <v>16043545</v>
      </c>
      <c r="EV227" s="3236">
        <f t="shared" si="618"/>
        <v>0</v>
      </c>
      <c r="EW227" s="3236">
        <f t="shared" si="619"/>
        <v>0</v>
      </c>
      <c r="EX227" s="3236">
        <f t="shared" si="620"/>
        <v>16043545</v>
      </c>
      <c r="EY227" s="3264"/>
      <c r="FC227" s="3235">
        <f t="shared" si="621"/>
        <v>16043545</v>
      </c>
      <c r="FD227" s="3236">
        <f t="shared" si="622"/>
        <v>0</v>
      </c>
      <c r="FE227" s="3236">
        <f t="shared" si="623"/>
        <v>0</v>
      </c>
      <c r="FF227" s="3236">
        <f t="shared" si="624"/>
        <v>16043545</v>
      </c>
      <c r="FG227" s="3264"/>
      <c r="FK227" s="3235">
        <f t="shared" si="625"/>
        <v>16043545</v>
      </c>
      <c r="FL227" s="3236">
        <f t="shared" si="626"/>
        <v>0</v>
      </c>
      <c r="FM227" s="3236">
        <f t="shared" si="627"/>
        <v>0</v>
      </c>
      <c r="FN227" s="3236">
        <f t="shared" si="628"/>
        <v>16043545</v>
      </c>
      <c r="FO227" s="3264"/>
    </row>
    <row r="228" spans="1:171">
      <c r="A228" s="2442"/>
      <c r="B228" s="2185" t="s">
        <v>168</v>
      </c>
      <c r="C228" s="2464" t="s">
        <v>72</v>
      </c>
      <c r="D228" s="2464">
        <v>929</v>
      </c>
      <c r="E228" s="2424" t="str">
        <f>'Sch 3 - Expenses'!E68</f>
        <v>PTDG</v>
      </c>
      <c r="F228" s="2171"/>
      <c r="G228" s="2424">
        <f>'Sch 3 - Expenses'!G68</f>
        <v>0</v>
      </c>
      <c r="H228" s="2424">
        <f>'Sch 3 - Expenses'!H68</f>
        <v>0</v>
      </c>
      <c r="I228" s="2424">
        <f>'Sch 3 - Expenses'!I68</f>
        <v>0</v>
      </c>
      <c r="J228" s="2425">
        <f>'Sch 3 - Expenses'!J68</f>
        <v>0</v>
      </c>
      <c r="K228" s="3205">
        <f t="shared" si="548"/>
        <v>1</v>
      </c>
      <c r="O228" s="3235">
        <f t="shared" si="549"/>
        <v>0</v>
      </c>
      <c r="P228" s="3236">
        <f t="shared" si="550"/>
        <v>0</v>
      </c>
      <c r="Q228" s="3236">
        <f t="shared" si="551"/>
        <v>0</v>
      </c>
      <c r="R228" s="3236">
        <f t="shared" si="552"/>
        <v>0</v>
      </c>
      <c r="S228" s="3264"/>
      <c r="W228" s="3235">
        <f t="shared" si="553"/>
        <v>0</v>
      </c>
      <c r="X228" s="3236">
        <f t="shared" si="554"/>
        <v>0</v>
      </c>
      <c r="Y228" s="3236">
        <f t="shared" si="555"/>
        <v>0</v>
      </c>
      <c r="Z228" s="3236">
        <f t="shared" si="556"/>
        <v>0</v>
      </c>
      <c r="AA228" s="3264"/>
      <c r="AE228" s="3235">
        <f t="shared" si="557"/>
        <v>0</v>
      </c>
      <c r="AF228" s="3236">
        <f t="shared" si="558"/>
        <v>0</v>
      </c>
      <c r="AG228" s="3236">
        <f t="shared" si="559"/>
        <v>0</v>
      </c>
      <c r="AH228" s="3236">
        <f t="shared" si="560"/>
        <v>0</v>
      </c>
      <c r="AI228" s="3264"/>
      <c r="AM228" s="3235">
        <f t="shared" si="561"/>
        <v>0</v>
      </c>
      <c r="AN228" s="3236">
        <f t="shared" si="562"/>
        <v>0</v>
      </c>
      <c r="AO228" s="3236">
        <f t="shared" si="563"/>
        <v>0</v>
      </c>
      <c r="AP228" s="3236">
        <f t="shared" si="564"/>
        <v>0</v>
      </c>
      <c r="AQ228" s="3264"/>
      <c r="AU228" s="3235">
        <f t="shared" si="565"/>
        <v>0</v>
      </c>
      <c r="AV228" s="3236">
        <f t="shared" si="566"/>
        <v>0</v>
      </c>
      <c r="AW228" s="3236">
        <f t="shared" si="567"/>
        <v>0</v>
      </c>
      <c r="AX228" s="3236">
        <f t="shared" si="568"/>
        <v>0</v>
      </c>
      <c r="AY228" s="3264"/>
      <c r="BC228" s="3235">
        <f t="shared" si="569"/>
        <v>0</v>
      </c>
      <c r="BD228" s="3236">
        <f t="shared" si="570"/>
        <v>0</v>
      </c>
      <c r="BE228" s="3236">
        <f t="shared" si="571"/>
        <v>0</v>
      </c>
      <c r="BF228" s="3236">
        <f t="shared" si="572"/>
        <v>0</v>
      </c>
      <c r="BG228" s="3264"/>
      <c r="BK228" s="3235">
        <f t="shared" si="573"/>
        <v>0</v>
      </c>
      <c r="BL228" s="3236">
        <f t="shared" si="574"/>
        <v>0</v>
      </c>
      <c r="BM228" s="3236">
        <f t="shared" si="575"/>
        <v>0</v>
      </c>
      <c r="BN228" s="3236">
        <f t="shared" si="576"/>
        <v>0</v>
      </c>
      <c r="BO228" s="3264"/>
      <c r="BS228" s="3235">
        <f t="shared" si="577"/>
        <v>0</v>
      </c>
      <c r="BT228" s="3236">
        <f t="shared" si="578"/>
        <v>0</v>
      </c>
      <c r="BU228" s="3236">
        <f t="shared" si="579"/>
        <v>0</v>
      </c>
      <c r="BV228" s="3236">
        <f t="shared" si="580"/>
        <v>0</v>
      </c>
      <c r="BW228" s="3264"/>
      <c r="CA228" s="3235">
        <f t="shared" si="581"/>
        <v>0</v>
      </c>
      <c r="CB228" s="3236">
        <f t="shared" si="582"/>
        <v>0</v>
      </c>
      <c r="CC228" s="3236">
        <f t="shared" si="583"/>
        <v>0</v>
      </c>
      <c r="CD228" s="3236">
        <f t="shared" si="584"/>
        <v>0</v>
      </c>
      <c r="CE228" s="3264"/>
      <c r="CI228" s="3235">
        <f t="shared" si="585"/>
        <v>0</v>
      </c>
      <c r="CJ228" s="3236">
        <f t="shared" si="586"/>
        <v>0</v>
      </c>
      <c r="CK228" s="3236">
        <f t="shared" si="587"/>
        <v>0</v>
      </c>
      <c r="CL228" s="3236">
        <f t="shared" si="588"/>
        <v>0</v>
      </c>
      <c r="CM228" s="3264"/>
      <c r="CQ228" s="3235">
        <f t="shared" si="589"/>
        <v>0</v>
      </c>
      <c r="CR228" s="3236">
        <f t="shared" si="590"/>
        <v>0</v>
      </c>
      <c r="CS228" s="3236">
        <f t="shared" si="591"/>
        <v>0</v>
      </c>
      <c r="CT228" s="3236">
        <f t="shared" si="592"/>
        <v>0</v>
      </c>
      <c r="CU228" s="3264"/>
      <c r="CY228" s="3235">
        <f t="shared" si="593"/>
        <v>0</v>
      </c>
      <c r="CZ228" s="3236">
        <f t="shared" si="594"/>
        <v>0</v>
      </c>
      <c r="DA228" s="3236">
        <f t="shared" si="595"/>
        <v>0</v>
      </c>
      <c r="DB228" s="3236">
        <f t="shared" si="596"/>
        <v>0</v>
      </c>
      <c r="DC228" s="3264"/>
      <c r="DG228" s="3235">
        <f t="shared" si="597"/>
        <v>0</v>
      </c>
      <c r="DH228" s="3236">
        <f t="shared" si="598"/>
        <v>0</v>
      </c>
      <c r="DI228" s="3236">
        <f t="shared" si="599"/>
        <v>0</v>
      </c>
      <c r="DJ228" s="3236">
        <f t="shared" si="600"/>
        <v>0</v>
      </c>
      <c r="DK228" s="3264"/>
      <c r="DO228" s="3235">
        <f t="shared" si="601"/>
        <v>0</v>
      </c>
      <c r="DP228" s="3236">
        <f t="shared" si="602"/>
        <v>0</v>
      </c>
      <c r="DQ228" s="3236">
        <f t="shared" si="603"/>
        <v>0</v>
      </c>
      <c r="DR228" s="3236">
        <f t="shared" si="604"/>
        <v>0</v>
      </c>
      <c r="DS228" s="3264"/>
      <c r="DW228" s="3235">
        <f t="shared" si="605"/>
        <v>0</v>
      </c>
      <c r="DX228" s="3236">
        <f t="shared" si="606"/>
        <v>0</v>
      </c>
      <c r="DY228" s="3236">
        <f t="shared" si="607"/>
        <v>0</v>
      </c>
      <c r="DZ228" s="3236">
        <f t="shared" si="608"/>
        <v>0</v>
      </c>
      <c r="EA228" s="3264"/>
      <c r="EE228" s="3235">
        <f t="shared" si="609"/>
        <v>0</v>
      </c>
      <c r="EF228" s="3236">
        <f t="shared" si="610"/>
        <v>0</v>
      </c>
      <c r="EG228" s="3236">
        <f t="shared" si="611"/>
        <v>0</v>
      </c>
      <c r="EH228" s="3236">
        <f t="shared" si="612"/>
        <v>0</v>
      </c>
      <c r="EI228" s="3264"/>
      <c r="EM228" s="3235">
        <f t="shared" si="613"/>
        <v>0</v>
      </c>
      <c r="EN228" s="3236">
        <f t="shared" si="614"/>
        <v>0</v>
      </c>
      <c r="EO228" s="3236">
        <f t="shared" si="615"/>
        <v>0</v>
      </c>
      <c r="EP228" s="3236">
        <f t="shared" si="616"/>
        <v>0</v>
      </c>
      <c r="EQ228" s="3264"/>
      <c r="EU228" s="3235">
        <f t="shared" si="617"/>
        <v>0</v>
      </c>
      <c r="EV228" s="3236">
        <f t="shared" si="618"/>
        <v>0</v>
      </c>
      <c r="EW228" s="3236">
        <f t="shared" si="619"/>
        <v>0</v>
      </c>
      <c r="EX228" s="3236">
        <f t="shared" si="620"/>
        <v>0</v>
      </c>
      <c r="EY228" s="3264"/>
      <c r="FC228" s="3235">
        <f t="shared" si="621"/>
        <v>0</v>
      </c>
      <c r="FD228" s="3236">
        <f t="shared" si="622"/>
        <v>0</v>
      </c>
      <c r="FE228" s="3236">
        <f t="shared" si="623"/>
        <v>0</v>
      </c>
      <c r="FF228" s="3236">
        <f t="shared" si="624"/>
        <v>0</v>
      </c>
      <c r="FG228" s="3264"/>
      <c r="FK228" s="3235">
        <f t="shared" si="625"/>
        <v>0</v>
      </c>
      <c r="FL228" s="3236">
        <f t="shared" si="626"/>
        <v>0</v>
      </c>
      <c r="FM228" s="3236">
        <f t="shared" si="627"/>
        <v>0</v>
      </c>
      <c r="FN228" s="3236">
        <f t="shared" si="628"/>
        <v>0</v>
      </c>
      <c r="FO228" s="3264"/>
    </row>
    <row r="229" spans="1:171">
      <c r="A229" s="2442"/>
      <c r="B229" s="2185" t="s">
        <v>169</v>
      </c>
      <c r="C229" s="2464" t="s">
        <v>72</v>
      </c>
      <c r="D229" s="2464">
        <v>930.1</v>
      </c>
      <c r="E229" s="2424" t="str">
        <f>'Sch 3 - Expenses'!E69</f>
        <v>DIST</v>
      </c>
      <c r="F229" s="2171"/>
      <c r="G229" s="2424">
        <f>'Sch 3 - Expenses'!G69</f>
        <v>56129</v>
      </c>
      <c r="H229" s="2424">
        <f>'Sch 3 - Expenses'!H69</f>
        <v>0</v>
      </c>
      <c r="I229" s="2424">
        <f>'Sch 3 - Expenses'!I69</f>
        <v>0</v>
      </c>
      <c r="J229" s="2425">
        <f>'Sch 3 - Expenses'!J69</f>
        <v>56129</v>
      </c>
      <c r="K229" s="3205">
        <f t="shared" si="548"/>
        <v>1</v>
      </c>
      <c r="O229" s="3235">
        <f t="shared" si="549"/>
        <v>56129</v>
      </c>
      <c r="P229" s="3236">
        <f t="shared" si="550"/>
        <v>0</v>
      </c>
      <c r="Q229" s="3236">
        <f t="shared" si="551"/>
        <v>0</v>
      </c>
      <c r="R229" s="3236">
        <f t="shared" si="552"/>
        <v>56129</v>
      </c>
      <c r="S229" s="3264"/>
      <c r="W229" s="3235">
        <f t="shared" si="553"/>
        <v>56129</v>
      </c>
      <c r="X229" s="3236">
        <f t="shared" si="554"/>
        <v>0</v>
      </c>
      <c r="Y229" s="3236">
        <f t="shared" si="555"/>
        <v>0</v>
      </c>
      <c r="Z229" s="3236">
        <f t="shared" si="556"/>
        <v>56129</v>
      </c>
      <c r="AA229" s="3264"/>
      <c r="AE229" s="3235">
        <f t="shared" si="557"/>
        <v>56129</v>
      </c>
      <c r="AF229" s="3236">
        <f t="shared" si="558"/>
        <v>0</v>
      </c>
      <c r="AG229" s="3236">
        <f t="shared" si="559"/>
        <v>0</v>
      </c>
      <c r="AH229" s="3236">
        <f t="shared" si="560"/>
        <v>56129</v>
      </c>
      <c r="AI229" s="3264"/>
      <c r="AM229" s="3235">
        <f t="shared" si="561"/>
        <v>56129</v>
      </c>
      <c r="AN229" s="3236">
        <f t="shared" si="562"/>
        <v>0</v>
      </c>
      <c r="AO229" s="3236">
        <f t="shared" si="563"/>
        <v>0</v>
      </c>
      <c r="AP229" s="3236">
        <f t="shared" si="564"/>
        <v>56129</v>
      </c>
      <c r="AQ229" s="3264"/>
      <c r="AU229" s="3235">
        <f t="shared" si="565"/>
        <v>56129</v>
      </c>
      <c r="AV229" s="3236">
        <f t="shared" si="566"/>
        <v>0</v>
      </c>
      <c r="AW229" s="3236">
        <f t="shared" si="567"/>
        <v>0</v>
      </c>
      <c r="AX229" s="3236">
        <f t="shared" si="568"/>
        <v>56129</v>
      </c>
      <c r="AY229" s="3264"/>
      <c r="BC229" s="3235">
        <f t="shared" si="569"/>
        <v>56129</v>
      </c>
      <c r="BD229" s="3236">
        <f t="shared" si="570"/>
        <v>0</v>
      </c>
      <c r="BE229" s="3236">
        <f t="shared" si="571"/>
        <v>0</v>
      </c>
      <c r="BF229" s="3236">
        <f t="shared" si="572"/>
        <v>56129</v>
      </c>
      <c r="BG229" s="3264"/>
      <c r="BK229" s="3235">
        <f t="shared" si="573"/>
        <v>56129</v>
      </c>
      <c r="BL229" s="3236">
        <f t="shared" si="574"/>
        <v>0</v>
      </c>
      <c r="BM229" s="3236">
        <f t="shared" si="575"/>
        <v>0</v>
      </c>
      <c r="BN229" s="3236">
        <f t="shared" si="576"/>
        <v>56129</v>
      </c>
      <c r="BO229" s="3264"/>
      <c r="BS229" s="3235">
        <f t="shared" si="577"/>
        <v>56129</v>
      </c>
      <c r="BT229" s="3236">
        <f t="shared" si="578"/>
        <v>0</v>
      </c>
      <c r="BU229" s="3236">
        <f t="shared" si="579"/>
        <v>0</v>
      </c>
      <c r="BV229" s="3236">
        <f t="shared" si="580"/>
        <v>56129</v>
      </c>
      <c r="BW229" s="3264"/>
      <c r="CA229" s="3235">
        <f t="shared" si="581"/>
        <v>56129</v>
      </c>
      <c r="CB229" s="3236">
        <f t="shared" si="582"/>
        <v>0</v>
      </c>
      <c r="CC229" s="3236">
        <f t="shared" si="583"/>
        <v>0</v>
      </c>
      <c r="CD229" s="3236">
        <f t="shared" si="584"/>
        <v>56129</v>
      </c>
      <c r="CE229" s="3264"/>
      <c r="CI229" s="3235">
        <f t="shared" si="585"/>
        <v>56129</v>
      </c>
      <c r="CJ229" s="3236">
        <f t="shared" si="586"/>
        <v>0</v>
      </c>
      <c r="CK229" s="3236">
        <f t="shared" si="587"/>
        <v>0</v>
      </c>
      <c r="CL229" s="3236">
        <f t="shared" si="588"/>
        <v>56129</v>
      </c>
      <c r="CM229" s="3264"/>
      <c r="CQ229" s="3235">
        <f t="shared" si="589"/>
        <v>56129</v>
      </c>
      <c r="CR229" s="3236">
        <f t="shared" si="590"/>
        <v>0</v>
      </c>
      <c r="CS229" s="3236">
        <f t="shared" si="591"/>
        <v>0</v>
      </c>
      <c r="CT229" s="3236">
        <f t="shared" si="592"/>
        <v>56129</v>
      </c>
      <c r="CU229" s="3264"/>
      <c r="CY229" s="3235">
        <f t="shared" si="593"/>
        <v>56129</v>
      </c>
      <c r="CZ229" s="3236">
        <f t="shared" si="594"/>
        <v>0</v>
      </c>
      <c r="DA229" s="3236">
        <f t="shared" si="595"/>
        <v>0</v>
      </c>
      <c r="DB229" s="3236">
        <f t="shared" si="596"/>
        <v>56129</v>
      </c>
      <c r="DC229" s="3264"/>
      <c r="DG229" s="3235">
        <f t="shared" si="597"/>
        <v>56129</v>
      </c>
      <c r="DH229" s="3236">
        <f t="shared" si="598"/>
        <v>0</v>
      </c>
      <c r="DI229" s="3236">
        <f t="shared" si="599"/>
        <v>0</v>
      </c>
      <c r="DJ229" s="3236">
        <f t="shared" si="600"/>
        <v>56129</v>
      </c>
      <c r="DK229" s="3264"/>
      <c r="DO229" s="3235">
        <f t="shared" si="601"/>
        <v>56129</v>
      </c>
      <c r="DP229" s="3236">
        <f t="shared" si="602"/>
        <v>0</v>
      </c>
      <c r="DQ229" s="3236">
        <f t="shared" si="603"/>
        <v>0</v>
      </c>
      <c r="DR229" s="3236">
        <f t="shared" si="604"/>
        <v>56129</v>
      </c>
      <c r="DS229" s="3264"/>
      <c r="DW229" s="3235">
        <f t="shared" si="605"/>
        <v>56129</v>
      </c>
      <c r="DX229" s="3236">
        <f t="shared" si="606"/>
        <v>0</v>
      </c>
      <c r="DY229" s="3236">
        <f t="shared" si="607"/>
        <v>0</v>
      </c>
      <c r="DZ229" s="3236">
        <f t="shared" si="608"/>
        <v>56129</v>
      </c>
      <c r="EA229" s="3264"/>
      <c r="EE229" s="3235">
        <f t="shared" si="609"/>
        <v>56129</v>
      </c>
      <c r="EF229" s="3236">
        <f t="shared" si="610"/>
        <v>0</v>
      </c>
      <c r="EG229" s="3236">
        <f t="shared" si="611"/>
        <v>0</v>
      </c>
      <c r="EH229" s="3236">
        <f t="shared" si="612"/>
        <v>56129</v>
      </c>
      <c r="EI229" s="3264"/>
      <c r="EM229" s="3235">
        <f t="shared" si="613"/>
        <v>56129</v>
      </c>
      <c r="EN229" s="3236">
        <f t="shared" si="614"/>
        <v>0</v>
      </c>
      <c r="EO229" s="3236">
        <f t="shared" si="615"/>
        <v>0</v>
      </c>
      <c r="EP229" s="3236">
        <f t="shared" si="616"/>
        <v>56129</v>
      </c>
      <c r="EQ229" s="3264"/>
      <c r="EU229" s="3235">
        <f t="shared" si="617"/>
        <v>56129</v>
      </c>
      <c r="EV229" s="3236">
        <f t="shared" si="618"/>
        <v>0</v>
      </c>
      <c r="EW229" s="3236">
        <f t="shared" si="619"/>
        <v>0</v>
      </c>
      <c r="EX229" s="3236">
        <f t="shared" si="620"/>
        <v>56129</v>
      </c>
      <c r="EY229" s="3264"/>
      <c r="FC229" s="3235">
        <f t="shared" si="621"/>
        <v>56129</v>
      </c>
      <c r="FD229" s="3236">
        <f t="shared" si="622"/>
        <v>0</v>
      </c>
      <c r="FE229" s="3236">
        <f t="shared" si="623"/>
        <v>0</v>
      </c>
      <c r="FF229" s="3236">
        <f t="shared" si="624"/>
        <v>56129</v>
      </c>
      <c r="FG229" s="3264"/>
      <c r="FK229" s="3235">
        <f t="shared" si="625"/>
        <v>56129</v>
      </c>
      <c r="FL229" s="3236">
        <f t="shared" si="626"/>
        <v>0</v>
      </c>
      <c r="FM229" s="3236">
        <f t="shared" si="627"/>
        <v>0</v>
      </c>
      <c r="FN229" s="3236">
        <f t="shared" si="628"/>
        <v>56129</v>
      </c>
      <c r="FO229" s="3264"/>
    </row>
    <row r="230" spans="1:171">
      <c r="A230" s="2442"/>
      <c r="B230" s="2185" t="s">
        <v>467</v>
      </c>
      <c r="C230" s="2464" t="s">
        <v>72</v>
      </c>
      <c r="D230" s="2464">
        <v>930.2</v>
      </c>
      <c r="E230" s="2424" t="str">
        <f>'Sch 3 - Expenses'!E70</f>
        <v>DIST</v>
      </c>
      <c r="F230" s="2171"/>
      <c r="G230" s="2424">
        <f>'Sch 3 - Expenses'!G70</f>
        <v>9187393</v>
      </c>
      <c r="H230" s="2424">
        <f>'Sch 3 - Expenses'!H70</f>
        <v>0</v>
      </c>
      <c r="I230" s="2424">
        <f>'Sch 3 - Expenses'!I70</f>
        <v>0</v>
      </c>
      <c r="J230" s="2425">
        <f>'Sch 3 - Expenses'!J70</f>
        <v>9187393</v>
      </c>
      <c r="K230" s="3205">
        <f t="shared" si="548"/>
        <v>1</v>
      </c>
      <c r="O230" s="3235">
        <f t="shared" si="549"/>
        <v>9187393</v>
      </c>
      <c r="P230" s="3236">
        <f t="shared" si="550"/>
        <v>0</v>
      </c>
      <c r="Q230" s="3236">
        <f t="shared" si="551"/>
        <v>0</v>
      </c>
      <c r="R230" s="3236">
        <f t="shared" si="552"/>
        <v>9187393</v>
      </c>
      <c r="S230" s="3264"/>
      <c r="W230" s="3235">
        <f t="shared" si="553"/>
        <v>9187393</v>
      </c>
      <c r="X230" s="3236">
        <f t="shared" si="554"/>
        <v>0</v>
      </c>
      <c r="Y230" s="3236">
        <f t="shared" si="555"/>
        <v>0</v>
      </c>
      <c r="Z230" s="3236">
        <f t="shared" si="556"/>
        <v>9187393</v>
      </c>
      <c r="AA230" s="3264"/>
      <c r="AE230" s="3235">
        <f t="shared" si="557"/>
        <v>9187393</v>
      </c>
      <c r="AF230" s="3236">
        <f t="shared" si="558"/>
        <v>0</v>
      </c>
      <c r="AG230" s="3236">
        <f t="shared" si="559"/>
        <v>0</v>
      </c>
      <c r="AH230" s="3236">
        <f t="shared" si="560"/>
        <v>9187393</v>
      </c>
      <c r="AI230" s="3264"/>
      <c r="AM230" s="3235">
        <f t="shared" si="561"/>
        <v>9187393</v>
      </c>
      <c r="AN230" s="3236">
        <f t="shared" si="562"/>
        <v>0</v>
      </c>
      <c r="AO230" s="3236">
        <f t="shared" si="563"/>
        <v>0</v>
      </c>
      <c r="AP230" s="3236">
        <f t="shared" si="564"/>
        <v>9187393</v>
      </c>
      <c r="AQ230" s="3264"/>
      <c r="AU230" s="3235">
        <f t="shared" si="565"/>
        <v>9187393</v>
      </c>
      <c r="AV230" s="3236">
        <f t="shared" si="566"/>
        <v>0</v>
      </c>
      <c r="AW230" s="3236">
        <f t="shared" si="567"/>
        <v>0</v>
      </c>
      <c r="AX230" s="3236">
        <f t="shared" si="568"/>
        <v>9187393</v>
      </c>
      <c r="AY230" s="3264"/>
      <c r="BC230" s="3235">
        <f t="shared" si="569"/>
        <v>9187393</v>
      </c>
      <c r="BD230" s="3236">
        <f t="shared" si="570"/>
        <v>0</v>
      </c>
      <c r="BE230" s="3236">
        <f t="shared" si="571"/>
        <v>0</v>
      </c>
      <c r="BF230" s="3236">
        <f t="shared" si="572"/>
        <v>9187393</v>
      </c>
      <c r="BG230" s="3264"/>
      <c r="BK230" s="3235">
        <f t="shared" si="573"/>
        <v>9187393</v>
      </c>
      <c r="BL230" s="3236">
        <f t="shared" si="574"/>
        <v>0</v>
      </c>
      <c r="BM230" s="3236">
        <f t="shared" si="575"/>
        <v>0</v>
      </c>
      <c r="BN230" s="3236">
        <f t="shared" si="576"/>
        <v>9187393</v>
      </c>
      <c r="BO230" s="3264"/>
      <c r="BS230" s="3235">
        <f t="shared" si="577"/>
        <v>9187393</v>
      </c>
      <c r="BT230" s="3236">
        <f t="shared" si="578"/>
        <v>0</v>
      </c>
      <c r="BU230" s="3236">
        <f t="shared" si="579"/>
        <v>0</v>
      </c>
      <c r="BV230" s="3236">
        <f t="shared" si="580"/>
        <v>9187393</v>
      </c>
      <c r="BW230" s="3264"/>
      <c r="CA230" s="3235">
        <f t="shared" si="581"/>
        <v>9187393</v>
      </c>
      <c r="CB230" s="3236">
        <f t="shared" si="582"/>
        <v>0</v>
      </c>
      <c r="CC230" s="3236">
        <f t="shared" si="583"/>
        <v>0</v>
      </c>
      <c r="CD230" s="3236">
        <f t="shared" si="584"/>
        <v>9187393</v>
      </c>
      <c r="CE230" s="3264"/>
      <c r="CI230" s="3235">
        <f t="shared" si="585"/>
        <v>9187393</v>
      </c>
      <c r="CJ230" s="3236">
        <f t="shared" si="586"/>
        <v>0</v>
      </c>
      <c r="CK230" s="3236">
        <f t="shared" si="587"/>
        <v>0</v>
      </c>
      <c r="CL230" s="3236">
        <f t="shared" si="588"/>
        <v>9187393</v>
      </c>
      <c r="CM230" s="3264"/>
      <c r="CQ230" s="3235">
        <f t="shared" si="589"/>
        <v>9187393</v>
      </c>
      <c r="CR230" s="3236">
        <f t="shared" si="590"/>
        <v>0</v>
      </c>
      <c r="CS230" s="3236">
        <f t="shared" si="591"/>
        <v>0</v>
      </c>
      <c r="CT230" s="3236">
        <f t="shared" si="592"/>
        <v>9187393</v>
      </c>
      <c r="CU230" s="3264"/>
      <c r="CY230" s="3235">
        <f t="shared" si="593"/>
        <v>9187393</v>
      </c>
      <c r="CZ230" s="3236">
        <f t="shared" si="594"/>
        <v>0</v>
      </c>
      <c r="DA230" s="3236">
        <f t="shared" si="595"/>
        <v>0</v>
      </c>
      <c r="DB230" s="3236">
        <f t="shared" si="596"/>
        <v>9187393</v>
      </c>
      <c r="DC230" s="3264"/>
      <c r="DG230" s="3235">
        <f t="shared" si="597"/>
        <v>9187393</v>
      </c>
      <c r="DH230" s="3236">
        <f t="shared" si="598"/>
        <v>0</v>
      </c>
      <c r="DI230" s="3236">
        <f t="shared" si="599"/>
        <v>0</v>
      </c>
      <c r="DJ230" s="3236">
        <f t="shared" si="600"/>
        <v>9187393</v>
      </c>
      <c r="DK230" s="3264"/>
      <c r="DO230" s="3235">
        <f t="shared" si="601"/>
        <v>9187393</v>
      </c>
      <c r="DP230" s="3236">
        <f t="shared" si="602"/>
        <v>0</v>
      </c>
      <c r="DQ230" s="3236">
        <f t="shared" si="603"/>
        <v>0</v>
      </c>
      <c r="DR230" s="3236">
        <f t="shared" si="604"/>
        <v>9187393</v>
      </c>
      <c r="DS230" s="3264"/>
      <c r="DW230" s="3235">
        <f t="shared" si="605"/>
        <v>9187393</v>
      </c>
      <c r="DX230" s="3236">
        <f t="shared" si="606"/>
        <v>0</v>
      </c>
      <c r="DY230" s="3236">
        <f t="shared" si="607"/>
        <v>0</v>
      </c>
      <c r="DZ230" s="3236">
        <f t="shared" si="608"/>
        <v>9187393</v>
      </c>
      <c r="EA230" s="3264"/>
      <c r="EE230" s="3235">
        <f t="shared" si="609"/>
        <v>9187393</v>
      </c>
      <c r="EF230" s="3236">
        <f t="shared" si="610"/>
        <v>0</v>
      </c>
      <c r="EG230" s="3236">
        <f t="shared" si="611"/>
        <v>0</v>
      </c>
      <c r="EH230" s="3236">
        <f t="shared" si="612"/>
        <v>9187393</v>
      </c>
      <c r="EI230" s="3264"/>
      <c r="EM230" s="3235">
        <f t="shared" si="613"/>
        <v>9187393</v>
      </c>
      <c r="EN230" s="3236">
        <f t="shared" si="614"/>
        <v>0</v>
      </c>
      <c r="EO230" s="3236">
        <f t="shared" si="615"/>
        <v>0</v>
      </c>
      <c r="EP230" s="3236">
        <f t="shared" si="616"/>
        <v>9187393</v>
      </c>
      <c r="EQ230" s="3264"/>
      <c r="EU230" s="3235">
        <f t="shared" si="617"/>
        <v>9187393</v>
      </c>
      <c r="EV230" s="3236">
        <f t="shared" si="618"/>
        <v>0</v>
      </c>
      <c r="EW230" s="3236">
        <f t="shared" si="619"/>
        <v>0</v>
      </c>
      <c r="EX230" s="3236">
        <f t="shared" si="620"/>
        <v>9187393</v>
      </c>
      <c r="EY230" s="3264"/>
      <c r="FC230" s="3235">
        <f t="shared" si="621"/>
        <v>9187393</v>
      </c>
      <c r="FD230" s="3236">
        <f t="shared" si="622"/>
        <v>0</v>
      </c>
      <c r="FE230" s="3236">
        <f t="shared" si="623"/>
        <v>0</v>
      </c>
      <c r="FF230" s="3236">
        <f t="shared" si="624"/>
        <v>9187393</v>
      </c>
      <c r="FG230" s="3264"/>
      <c r="FK230" s="3235">
        <f t="shared" si="625"/>
        <v>9187393</v>
      </c>
      <c r="FL230" s="3236">
        <f t="shared" si="626"/>
        <v>0</v>
      </c>
      <c r="FM230" s="3236">
        <f t="shared" si="627"/>
        <v>0</v>
      </c>
      <c r="FN230" s="3236">
        <f t="shared" si="628"/>
        <v>9187393</v>
      </c>
      <c r="FO230" s="3264"/>
    </row>
    <row r="231" spans="1:171">
      <c r="A231" s="2442"/>
      <c r="B231" s="2185" t="s">
        <v>491</v>
      </c>
      <c r="C231" s="2464" t="s">
        <v>72</v>
      </c>
      <c r="D231" s="2464">
        <v>931</v>
      </c>
      <c r="E231" s="2424" t="str">
        <f>'Sch 3 - Expenses'!E71</f>
        <v>DIST</v>
      </c>
      <c r="F231" s="2171"/>
      <c r="G231" s="2424">
        <f>'Sch 3 - Expenses'!G71</f>
        <v>10338554</v>
      </c>
      <c r="H231" s="2424">
        <f>'Sch 3 - Expenses'!H71</f>
        <v>0</v>
      </c>
      <c r="I231" s="2424">
        <f>'Sch 3 - Expenses'!I71</f>
        <v>0</v>
      </c>
      <c r="J231" s="2425">
        <f>'Sch 3 - Expenses'!J71</f>
        <v>10338554</v>
      </c>
      <c r="K231" s="3205">
        <f t="shared" si="548"/>
        <v>1</v>
      </c>
      <c r="O231" s="3235">
        <f t="shared" si="549"/>
        <v>10338554</v>
      </c>
      <c r="P231" s="3236">
        <f t="shared" si="550"/>
        <v>0</v>
      </c>
      <c r="Q231" s="3236">
        <f t="shared" si="551"/>
        <v>0</v>
      </c>
      <c r="R231" s="3236">
        <f t="shared" si="552"/>
        <v>10338554</v>
      </c>
      <c r="S231" s="3264"/>
      <c r="W231" s="3235">
        <f t="shared" si="553"/>
        <v>10338554</v>
      </c>
      <c r="X231" s="3236">
        <f t="shared" si="554"/>
        <v>0</v>
      </c>
      <c r="Y231" s="3236">
        <f t="shared" si="555"/>
        <v>0</v>
      </c>
      <c r="Z231" s="3236">
        <f t="shared" si="556"/>
        <v>10338554</v>
      </c>
      <c r="AA231" s="3264"/>
      <c r="AE231" s="3235">
        <f t="shared" si="557"/>
        <v>10338554</v>
      </c>
      <c r="AF231" s="3236">
        <f t="shared" si="558"/>
        <v>0</v>
      </c>
      <c r="AG231" s="3236">
        <f t="shared" si="559"/>
        <v>0</v>
      </c>
      <c r="AH231" s="3236">
        <f t="shared" si="560"/>
        <v>10338554</v>
      </c>
      <c r="AI231" s="3264"/>
      <c r="AM231" s="3235">
        <f t="shared" si="561"/>
        <v>10338554</v>
      </c>
      <c r="AN231" s="3236">
        <f t="shared" si="562"/>
        <v>0</v>
      </c>
      <c r="AO231" s="3236">
        <f t="shared" si="563"/>
        <v>0</v>
      </c>
      <c r="AP231" s="3236">
        <f t="shared" si="564"/>
        <v>10338554</v>
      </c>
      <c r="AQ231" s="3264"/>
      <c r="AU231" s="3235">
        <f t="shared" si="565"/>
        <v>10338554</v>
      </c>
      <c r="AV231" s="3236">
        <f t="shared" si="566"/>
        <v>0</v>
      </c>
      <c r="AW231" s="3236">
        <f t="shared" si="567"/>
        <v>0</v>
      </c>
      <c r="AX231" s="3236">
        <f t="shared" si="568"/>
        <v>10338554</v>
      </c>
      <c r="AY231" s="3264"/>
      <c r="BC231" s="3235">
        <f t="shared" si="569"/>
        <v>10338554</v>
      </c>
      <c r="BD231" s="3236">
        <f t="shared" si="570"/>
        <v>0</v>
      </c>
      <c r="BE231" s="3236">
        <f t="shared" si="571"/>
        <v>0</v>
      </c>
      <c r="BF231" s="3236">
        <f t="shared" si="572"/>
        <v>10338554</v>
      </c>
      <c r="BG231" s="3264"/>
      <c r="BK231" s="3235">
        <f t="shared" si="573"/>
        <v>10338554</v>
      </c>
      <c r="BL231" s="3236">
        <f t="shared" si="574"/>
        <v>0</v>
      </c>
      <c r="BM231" s="3236">
        <f t="shared" si="575"/>
        <v>0</v>
      </c>
      <c r="BN231" s="3236">
        <f t="shared" si="576"/>
        <v>10338554</v>
      </c>
      <c r="BO231" s="3264"/>
      <c r="BS231" s="3235">
        <f t="shared" si="577"/>
        <v>10338554</v>
      </c>
      <c r="BT231" s="3236">
        <f t="shared" si="578"/>
        <v>0</v>
      </c>
      <c r="BU231" s="3236">
        <f t="shared" si="579"/>
        <v>0</v>
      </c>
      <c r="BV231" s="3236">
        <f t="shared" si="580"/>
        <v>10338554</v>
      </c>
      <c r="BW231" s="3264"/>
      <c r="CA231" s="3235">
        <f t="shared" si="581"/>
        <v>10338554</v>
      </c>
      <c r="CB231" s="3236">
        <f t="shared" si="582"/>
        <v>0</v>
      </c>
      <c r="CC231" s="3236">
        <f t="shared" si="583"/>
        <v>0</v>
      </c>
      <c r="CD231" s="3236">
        <f t="shared" si="584"/>
        <v>10338554</v>
      </c>
      <c r="CE231" s="3264"/>
      <c r="CI231" s="3235">
        <f t="shared" si="585"/>
        <v>10338554</v>
      </c>
      <c r="CJ231" s="3236">
        <f t="shared" si="586"/>
        <v>0</v>
      </c>
      <c r="CK231" s="3236">
        <f t="shared" si="587"/>
        <v>0</v>
      </c>
      <c r="CL231" s="3236">
        <f t="shared" si="588"/>
        <v>10338554</v>
      </c>
      <c r="CM231" s="3264"/>
      <c r="CQ231" s="3235">
        <f t="shared" si="589"/>
        <v>10338554</v>
      </c>
      <c r="CR231" s="3236">
        <f t="shared" si="590"/>
        <v>0</v>
      </c>
      <c r="CS231" s="3236">
        <f t="shared" si="591"/>
        <v>0</v>
      </c>
      <c r="CT231" s="3236">
        <f t="shared" si="592"/>
        <v>10338554</v>
      </c>
      <c r="CU231" s="3264"/>
      <c r="CY231" s="3235">
        <f t="shared" si="593"/>
        <v>10338554</v>
      </c>
      <c r="CZ231" s="3236">
        <f t="shared" si="594"/>
        <v>0</v>
      </c>
      <c r="DA231" s="3236">
        <f t="shared" si="595"/>
        <v>0</v>
      </c>
      <c r="DB231" s="3236">
        <f t="shared" si="596"/>
        <v>10338554</v>
      </c>
      <c r="DC231" s="3264"/>
      <c r="DG231" s="3235">
        <f t="shared" si="597"/>
        <v>10338554</v>
      </c>
      <c r="DH231" s="3236">
        <f t="shared" si="598"/>
        <v>0</v>
      </c>
      <c r="DI231" s="3236">
        <f t="shared" si="599"/>
        <v>0</v>
      </c>
      <c r="DJ231" s="3236">
        <f t="shared" si="600"/>
        <v>10338554</v>
      </c>
      <c r="DK231" s="3264"/>
      <c r="DO231" s="3235">
        <f t="shared" si="601"/>
        <v>10338554</v>
      </c>
      <c r="DP231" s="3236">
        <f t="shared" si="602"/>
        <v>0</v>
      </c>
      <c r="DQ231" s="3236">
        <f t="shared" si="603"/>
        <v>0</v>
      </c>
      <c r="DR231" s="3236">
        <f t="shared" si="604"/>
        <v>10338554</v>
      </c>
      <c r="DS231" s="3264"/>
      <c r="DW231" s="3235">
        <f t="shared" si="605"/>
        <v>10338554</v>
      </c>
      <c r="DX231" s="3236">
        <f t="shared" si="606"/>
        <v>0</v>
      </c>
      <c r="DY231" s="3236">
        <f t="shared" si="607"/>
        <v>0</v>
      </c>
      <c r="DZ231" s="3236">
        <f t="shared" si="608"/>
        <v>10338554</v>
      </c>
      <c r="EA231" s="3264"/>
      <c r="EE231" s="3235">
        <f t="shared" si="609"/>
        <v>10338554</v>
      </c>
      <c r="EF231" s="3236">
        <f t="shared" si="610"/>
        <v>0</v>
      </c>
      <c r="EG231" s="3236">
        <f t="shared" si="611"/>
        <v>0</v>
      </c>
      <c r="EH231" s="3236">
        <f t="shared" si="612"/>
        <v>10338554</v>
      </c>
      <c r="EI231" s="3264"/>
      <c r="EM231" s="3235">
        <f t="shared" si="613"/>
        <v>10338554</v>
      </c>
      <c r="EN231" s="3236">
        <f t="shared" si="614"/>
        <v>0</v>
      </c>
      <c r="EO231" s="3236">
        <f t="shared" si="615"/>
        <v>0</v>
      </c>
      <c r="EP231" s="3236">
        <f t="shared" si="616"/>
        <v>10338554</v>
      </c>
      <c r="EQ231" s="3264"/>
      <c r="EU231" s="3235">
        <f t="shared" si="617"/>
        <v>10338554</v>
      </c>
      <c r="EV231" s="3236">
        <f t="shared" si="618"/>
        <v>0</v>
      </c>
      <c r="EW231" s="3236">
        <f t="shared" si="619"/>
        <v>0</v>
      </c>
      <c r="EX231" s="3236">
        <f t="shared" si="620"/>
        <v>10338554</v>
      </c>
      <c r="EY231" s="3264"/>
      <c r="FC231" s="3235">
        <f t="shared" si="621"/>
        <v>10338554</v>
      </c>
      <c r="FD231" s="3236">
        <f t="shared" si="622"/>
        <v>0</v>
      </c>
      <c r="FE231" s="3236">
        <f t="shared" si="623"/>
        <v>0</v>
      </c>
      <c r="FF231" s="3236">
        <f t="shared" si="624"/>
        <v>10338554</v>
      </c>
      <c r="FG231" s="3264"/>
      <c r="FK231" s="3235">
        <f t="shared" si="625"/>
        <v>10338554</v>
      </c>
      <c r="FL231" s="3236">
        <f t="shared" si="626"/>
        <v>0</v>
      </c>
      <c r="FM231" s="3236">
        <f t="shared" si="627"/>
        <v>0</v>
      </c>
      <c r="FN231" s="3236">
        <f t="shared" si="628"/>
        <v>10338554</v>
      </c>
      <c r="FO231" s="3264"/>
    </row>
    <row r="232" spans="1:171">
      <c r="A232" s="2442"/>
      <c r="B232" s="2185" t="s">
        <v>267</v>
      </c>
      <c r="C232" s="2464" t="s">
        <v>266</v>
      </c>
      <c r="D232" s="2464">
        <v>933</v>
      </c>
      <c r="E232" s="2424" t="str">
        <f>'Sch 3 - Expenses'!E72</f>
        <v>DIST</v>
      </c>
      <c r="F232" s="2171"/>
      <c r="G232" s="2424">
        <f>'Sch 3 - Expenses'!G72</f>
        <v>0</v>
      </c>
      <c r="H232" s="2424">
        <f>'Sch 3 - Expenses'!H72</f>
        <v>0</v>
      </c>
      <c r="I232" s="2424">
        <f>'Sch 3 - Expenses'!I72</f>
        <v>0</v>
      </c>
      <c r="J232" s="2425">
        <f>'Sch 3 - Expenses'!J72</f>
        <v>0</v>
      </c>
      <c r="K232" s="3205">
        <f t="shared" si="548"/>
        <v>1</v>
      </c>
      <c r="O232" s="3235">
        <f t="shared" si="549"/>
        <v>0</v>
      </c>
      <c r="P232" s="3236">
        <f t="shared" si="550"/>
        <v>0</v>
      </c>
      <c r="Q232" s="3236">
        <f t="shared" si="551"/>
        <v>0</v>
      </c>
      <c r="R232" s="3236">
        <f t="shared" si="552"/>
        <v>0</v>
      </c>
      <c r="S232" s="3264"/>
      <c r="W232" s="3235">
        <f t="shared" si="553"/>
        <v>0</v>
      </c>
      <c r="X232" s="3236">
        <f t="shared" si="554"/>
        <v>0</v>
      </c>
      <c r="Y232" s="3236">
        <f t="shared" si="555"/>
        <v>0</v>
      </c>
      <c r="Z232" s="3236">
        <f t="shared" si="556"/>
        <v>0</v>
      </c>
      <c r="AA232" s="3264"/>
      <c r="AE232" s="3235">
        <f t="shared" si="557"/>
        <v>0</v>
      </c>
      <c r="AF232" s="3236">
        <f t="shared" si="558"/>
        <v>0</v>
      </c>
      <c r="AG232" s="3236">
        <f t="shared" si="559"/>
        <v>0</v>
      </c>
      <c r="AH232" s="3236">
        <f t="shared" si="560"/>
        <v>0</v>
      </c>
      <c r="AI232" s="3264"/>
      <c r="AM232" s="3235">
        <f t="shared" si="561"/>
        <v>0</v>
      </c>
      <c r="AN232" s="3236">
        <f t="shared" si="562"/>
        <v>0</v>
      </c>
      <c r="AO232" s="3236">
        <f t="shared" si="563"/>
        <v>0</v>
      </c>
      <c r="AP232" s="3236">
        <f t="shared" si="564"/>
        <v>0</v>
      </c>
      <c r="AQ232" s="3264"/>
      <c r="AU232" s="3235">
        <f t="shared" si="565"/>
        <v>0</v>
      </c>
      <c r="AV232" s="3236">
        <f t="shared" si="566"/>
        <v>0</v>
      </c>
      <c r="AW232" s="3236">
        <f t="shared" si="567"/>
        <v>0</v>
      </c>
      <c r="AX232" s="3236">
        <f t="shared" si="568"/>
        <v>0</v>
      </c>
      <c r="AY232" s="3264"/>
      <c r="BC232" s="3235">
        <f t="shared" si="569"/>
        <v>0</v>
      </c>
      <c r="BD232" s="3236">
        <f t="shared" si="570"/>
        <v>0</v>
      </c>
      <c r="BE232" s="3236">
        <f t="shared" si="571"/>
        <v>0</v>
      </c>
      <c r="BF232" s="3236">
        <f t="shared" si="572"/>
        <v>0</v>
      </c>
      <c r="BG232" s="3264"/>
      <c r="BK232" s="3235">
        <f t="shared" si="573"/>
        <v>0</v>
      </c>
      <c r="BL232" s="3236">
        <f t="shared" si="574"/>
        <v>0</v>
      </c>
      <c r="BM232" s="3236">
        <f t="shared" si="575"/>
        <v>0</v>
      </c>
      <c r="BN232" s="3236">
        <f t="shared" si="576"/>
        <v>0</v>
      </c>
      <c r="BO232" s="3264"/>
      <c r="BS232" s="3235">
        <f t="shared" si="577"/>
        <v>0</v>
      </c>
      <c r="BT232" s="3236">
        <f t="shared" si="578"/>
        <v>0</v>
      </c>
      <c r="BU232" s="3236">
        <f t="shared" si="579"/>
        <v>0</v>
      </c>
      <c r="BV232" s="3236">
        <f t="shared" si="580"/>
        <v>0</v>
      </c>
      <c r="BW232" s="3264"/>
      <c r="CA232" s="3235">
        <f t="shared" si="581"/>
        <v>0</v>
      </c>
      <c r="CB232" s="3236">
        <f t="shared" si="582"/>
        <v>0</v>
      </c>
      <c r="CC232" s="3236">
        <f t="shared" si="583"/>
        <v>0</v>
      </c>
      <c r="CD232" s="3236">
        <f t="shared" si="584"/>
        <v>0</v>
      </c>
      <c r="CE232" s="3264"/>
      <c r="CI232" s="3235">
        <f t="shared" si="585"/>
        <v>0</v>
      </c>
      <c r="CJ232" s="3236">
        <f t="shared" si="586"/>
        <v>0</v>
      </c>
      <c r="CK232" s="3236">
        <f t="shared" si="587"/>
        <v>0</v>
      </c>
      <c r="CL232" s="3236">
        <f t="shared" si="588"/>
        <v>0</v>
      </c>
      <c r="CM232" s="3264"/>
      <c r="CQ232" s="3235">
        <f t="shared" si="589"/>
        <v>0</v>
      </c>
      <c r="CR232" s="3236">
        <f t="shared" si="590"/>
        <v>0</v>
      </c>
      <c r="CS232" s="3236">
        <f t="shared" si="591"/>
        <v>0</v>
      </c>
      <c r="CT232" s="3236">
        <f t="shared" si="592"/>
        <v>0</v>
      </c>
      <c r="CU232" s="3264"/>
      <c r="CY232" s="3235">
        <f t="shared" si="593"/>
        <v>0</v>
      </c>
      <c r="CZ232" s="3236">
        <f t="shared" si="594"/>
        <v>0</v>
      </c>
      <c r="DA232" s="3236">
        <f t="shared" si="595"/>
        <v>0</v>
      </c>
      <c r="DB232" s="3236">
        <f t="shared" si="596"/>
        <v>0</v>
      </c>
      <c r="DC232" s="3264"/>
      <c r="DG232" s="3235">
        <f t="shared" si="597"/>
        <v>0</v>
      </c>
      <c r="DH232" s="3236">
        <f t="shared" si="598"/>
        <v>0</v>
      </c>
      <c r="DI232" s="3236">
        <f t="shared" si="599"/>
        <v>0</v>
      </c>
      <c r="DJ232" s="3236">
        <f t="shared" si="600"/>
        <v>0</v>
      </c>
      <c r="DK232" s="3264"/>
      <c r="DO232" s="3235">
        <f t="shared" si="601"/>
        <v>0</v>
      </c>
      <c r="DP232" s="3236">
        <f t="shared" si="602"/>
        <v>0</v>
      </c>
      <c r="DQ232" s="3236">
        <f t="shared" si="603"/>
        <v>0</v>
      </c>
      <c r="DR232" s="3236">
        <f t="shared" si="604"/>
        <v>0</v>
      </c>
      <c r="DS232" s="3264"/>
      <c r="DW232" s="3235">
        <f t="shared" si="605"/>
        <v>0</v>
      </c>
      <c r="DX232" s="3236">
        <f t="shared" si="606"/>
        <v>0</v>
      </c>
      <c r="DY232" s="3236">
        <f t="shared" si="607"/>
        <v>0</v>
      </c>
      <c r="DZ232" s="3236">
        <f t="shared" si="608"/>
        <v>0</v>
      </c>
      <c r="EA232" s="3264"/>
      <c r="EE232" s="3235">
        <f t="shared" si="609"/>
        <v>0</v>
      </c>
      <c r="EF232" s="3236">
        <f t="shared" si="610"/>
        <v>0</v>
      </c>
      <c r="EG232" s="3236">
        <f t="shared" si="611"/>
        <v>0</v>
      </c>
      <c r="EH232" s="3236">
        <f t="shared" si="612"/>
        <v>0</v>
      </c>
      <c r="EI232" s="3264"/>
      <c r="EM232" s="3235">
        <f t="shared" si="613"/>
        <v>0</v>
      </c>
      <c r="EN232" s="3236">
        <f t="shared" si="614"/>
        <v>0</v>
      </c>
      <c r="EO232" s="3236">
        <f t="shared" si="615"/>
        <v>0</v>
      </c>
      <c r="EP232" s="3236">
        <f t="shared" si="616"/>
        <v>0</v>
      </c>
      <c r="EQ232" s="3264"/>
      <c r="EU232" s="3235">
        <f t="shared" si="617"/>
        <v>0</v>
      </c>
      <c r="EV232" s="3236">
        <f t="shared" si="618"/>
        <v>0</v>
      </c>
      <c r="EW232" s="3236">
        <f t="shared" si="619"/>
        <v>0</v>
      </c>
      <c r="EX232" s="3236">
        <f t="shared" si="620"/>
        <v>0</v>
      </c>
      <c r="EY232" s="3264"/>
      <c r="FC232" s="3235">
        <f t="shared" si="621"/>
        <v>0</v>
      </c>
      <c r="FD232" s="3236">
        <f t="shared" si="622"/>
        <v>0</v>
      </c>
      <c r="FE232" s="3236">
        <f t="shared" si="623"/>
        <v>0</v>
      </c>
      <c r="FF232" s="3236">
        <f t="shared" si="624"/>
        <v>0</v>
      </c>
      <c r="FG232" s="3264"/>
      <c r="FK232" s="3235">
        <f t="shared" si="625"/>
        <v>0</v>
      </c>
      <c r="FL232" s="3236">
        <f t="shared" si="626"/>
        <v>0</v>
      </c>
      <c r="FM232" s="3236">
        <f t="shared" si="627"/>
        <v>0</v>
      </c>
      <c r="FN232" s="3236">
        <f t="shared" si="628"/>
        <v>0</v>
      </c>
      <c r="FO232" s="3264"/>
    </row>
    <row r="233" spans="1:171">
      <c r="A233" s="2442"/>
      <c r="B233" s="2143" t="s">
        <v>437</v>
      </c>
      <c r="C233" s="2116"/>
      <c r="D233" s="2098"/>
      <c r="E233" s="2098"/>
      <c r="F233" s="2098"/>
      <c r="G233" s="2506"/>
      <c r="H233" s="2506"/>
      <c r="I233" s="2506"/>
      <c r="J233" s="3327"/>
      <c r="K233" s="3205"/>
      <c r="O233" s="3235"/>
      <c r="S233" s="3264"/>
      <c r="W233" s="3235"/>
      <c r="AA233" s="3264"/>
      <c r="AE233" s="3235"/>
      <c r="AI233" s="3264"/>
      <c r="AM233" s="3235"/>
      <c r="AQ233" s="3264"/>
      <c r="AU233" s="3235"/>
      <c r="AY233" s="3264"/>
      <c r="BC233" s="3235"/>
      <c r="BG233" s="3264"/>
      <c r="BK233" s="3235"/>
      <c r="BO233" s="3264"/>
      <c r="BS233" s="3235"/>
      <c r="BW233" s="3264"/>
      <c r="CA233" s="3235"/>
      <c r="CE233" s="3264"/>
      <c r="CI233" s="3235"/>
      <c r="CM233" s="3264"/>
      <c r="CQ233" s="3235"/>
      <c r="CU233" s="3264"/>
      <c r="CY233" s="3235"/>
      <c r="DC233" s="3264"/>
      <c r="DG233" s="3235"/>
      <c r="DK233" s="3264"/>
      <c r="DO233" s="3235"/>
      <c r="DS233" s="3264"/>
      <c r="DW233" s="3235"/>
      <c r="EA233" s="3264"/>
      <c r="EE233" s="3235"/>
      <c r="EI233" s="3264"/>
      <c r="EM233" s="3235"/>
      <c r="EQ233" s="3264"/>
      <c r="EU233" s="3235"/>
      <c r="EY233" s="3264"/>
      <c r="FC233" s="3235"/>
      <c r="FG233" s="3264"/>
      <c r="FK233" s="3235"/>
      <c r="FO233" s="3264"/>
    </row>
    <row r="234" spans="1:171">
      <c r="A234" s="2442"/>
      <c r="B234" s="2185" t="s">
        <v>94</v>
      </c>
      <c r="C234" s="2464" t="s">
        <v>72</v>
      </c>
      <c r="D234" s="2464">
        <v>935</v>
      </c>
      <c r="E234" s="2424" t="str">
        <f>'Sch 3 - Expenses'!E74</f>
        <v>GPM</v>
      </c>
      <c r="F234" s="2171"/>
      <c r="G234" s="2424">
        <f>'Sch 3 - Expenses'!G74</f>
        <v>18392095</v>
      </c>
      <c r="H234" s="2424">
        <f>'Sch 3 - Expenses'!H74</f>
        <v>6400177.2589254314</v>
      </c>
      <c r="I234" s="2424">
        <f>'Sch 3 - Expenses'!I74</f>
        <v>0</v>
      </c>
      <c r="J234" s="2425">
        <f>'Sch 3 - Expenses'!J74</f>
        <v>11991917.74107457</v>
      </c>
      <c r="K234" s="3205">
        <f t="shared" si="548"/>
        <v>1</v>
      </c>
      <c r="O234" s="3235">
        <f>$G234</f>
        <v>18392095</v>
      </c>
      <c r="P234" s="3236">
        <f t="shared" si="550"/>
        <v>6400177.2589254314</v>
      </c>
      <c r="Q234" s="3236">
        <f t="shared" si="551"/>
        <v>3005693.4191217558</v>
      </c>
      <c r="R234" s="3236">
        <f t="shared" si="552"/>
        <v>8986224.3219528142</v>
      </c>
      <c r="S234" s="3264"/>
      <c r="W234" s="3235">
        <f>$G234</f>
        <v>18392095</v>
      </c>
      <c r="X234" s="3236">
        <f>VLOOKUP($E234,W$442:Z$453,2,FALSE)*W234*($K234)+IF($G234&lt;&gt;0,($H234/$G234)*W234,0)*(1-$K234)</f>
        <v>6400177.2589254314</v>
      </c>
      <c r="Y234" s="3236">
        <f>VLOOKUP($E234,W$442:Z$453,3,FALSE)*W234*($K234)+IF($G234&lt;&gt;0,($I234/$G234)*W234,0)*(1-$K234)</f>
        <v>3005693.4191217558</v>
      </c>
      <c r="Z234" s="3236">
        <f>VLOOKUP($E234,W$442:Z$453,4,FALSE)*W234*($K234)+(W234-X234-Y234)*(1-$K234)</f>
        <v>8986224.3219528142</v>
      </c>
      <c r="AA234" s="3264"/>
      <c r="AE234" s="3235">
        <f>$G234</f>
        <v>18392095</v>
      </c>
      <c r="AF234" s="3236">
        <f>VLOOKUP($E234,AE$442:AH$453,2,FALSE)*AE234*($K234)+IF($G234&lt;&gt;0,($H234/$G234)*AE234,0)*(1-$K234)</f>
        <v>6400177.2589254314</v>
      </c>
      <c r="AG234" s="3236">
        <f>VLOOKUP($E234,AE$442:AH$453,3,FALSE)*AE234*($K234)+IF($G234&lt;&gt;0,($I234/$G234)*AE234,0)*(1-$K234)</f>
        <v>3005693.4191217558</v>
      </c>
      <c r="AH234" s="3236">
        <f>VLOOKUP($E234,AE$442:AH$453,4,FALSE)*AE234*($K234)+(AE234-AF234-AG234)*(1-$K234)</f>
        <v>8986224.3219528142</v>
      </c>
      <c r="AI234" s="3264"/>
      <c r="AM234" s="3235">
        <f>$G234</f>
        <v>18392095</v>
      </c>
      <c r="AN234" s="3236">
        <f>VLOOKUP($E234,AM$442:AP$453,2,FALSE)*AM234*($K234)+IF($G234&lt;&gt;0,($H234/$G234)*AM234,0)*(1-$K234)</f>
        <v>6400177.2589254314</v>
      </c>
      <c r="AO234" s="3236">
        <f>VLOOKUP($E234,AM$442:AP$453,3,FALSE)*AM234*($K234)+IF($G234&lt;&gt;0,($I234/$G234)*AM234,0)*(1-$K234)</f>
        <v>3005693.4191217558</v>
      </c>
      <c r="AP234" s="3236">
        <f>VLOOKUP($E234,AM$442:AP$453,4,FALSE)*AM234*($K234)+(AM234-AN234-AO234)*(1-$K234)</f>
        <v>8986224.3219528142</v>
      </c>
      <c r="AQ234" s="3264"/>
      <c r="AU234" s="3235">
        <f>$G234</f>
        <v>18392095</v>
      </c>
      <c r="AV234" s="3236">
        <f>VLOOKUP($E234,AU$442:AX$453,2,FALSE)*AU234*($K234)+IF($G234&lt;&gt;0,($H234/$G234)*AU234,0)*(1-$K234)</f>
        <v>6400177.2589254314</v>
      </c>
      <c r="AW234" s="3236">
        <f>VLOOKUP($E234,AU$442:AX$453,3,FALSE)*AU234*($K234)+IF($G234&lt;&gt;0,($I234/$G234)*AU234,0)*(1-$K234)</f>
        <v>3005693.4191217558</v>
      </c>
      <c r="AX234" s="3236">
        <f>VLOOKUP($E234,AU$442:AX$453,4,FALSE)*AU234*($K234)+(AU234-AV234-AW234)*(1-$K234)</f>
        <v>8986224.3219528142</v>
      </c>
      <c r="AY234" s="3264"/>
      <c r="BC234" s="3235">
        <f>$G234</f>
        <v>18392095</v>
      </c>
      <c r="BD234" s="3236">
        <f>VLOOKUP($E234,BC$442:BF$453,2,FALSE)*BC234*($K234)+IF($G234&lt;&gt;0,($H234/$G234)*BC234,0)*(1-$K234)</f>
        <v>6400177.2589254314</v>
      </c>
      <c r="BE234" s="3236">
        <f>VLOOKUP($E234,BC$442:BF$453,3,FALSE)*BC234*($K234)+IF($G234&lt;&gt;0,($I234/$G234)*BC234,0)*(1-$K234)</f>
        <v>3005693.4191217558</v>
      </c>
      <c r="BF234" s="3236">
        <f>VLOOKUP($E234,BC$442:BF$453,4,FALSE)*BC234*($K234)+(BC234-BD234-BE234)*(1-$K234)</f>
        <v>8986224.3219528142</v>
      </c>
      <c r="BG234" s="3264"/>
      <c r="BK234" s="3235">
        <f>$G234</f>
        <v>18392095</v>
      </c>
      <c r="BL234" s="3236">
        <f>VLOOKUP($E234,BK$442:BN$453,2,FALSE)*BK234*($K234)+IF($G234&lt;&gt;0,($H234/$G234)*BK234,0)*(1-$K234)</f>
        <v>6400177.2589254314</v>
      </c>
      <c r="BM234" s="3236">
        <f>VLOOKUP($E234,BK$442:BN$453,3,FALSE)*BK234*($K234)+IF($G234&lt;&gt;0,($I234/$G234)*BK234,0)*(1-$K234)</f>
        <v>3005693.4191217558</v>
      </c>
      <c r="BN234" s="3236">
        <f>VLOOKUP($E234,BK$442:BN$453,4,FALSE)*BK234*($K234)+(BK234-BL234-BM234)*(1-$K234)</f>
        <v>8986224.3219528142</v>
      </c>
      <c r="BO234" s="3264"/>
      <c r="BS234" s="3235">
        <f>$G234</f>
        <v>18392095</v>
      </c>
      <c r="BT234" s="3236">
        <f>VLOOKUP($E234,BS$442:BV$453,2,FALSE)*BS234*($K234)+IF($G234&lt;&gt;0,($H234/$G234)*BS234,0)*(1-$K234)</f>
        <v>6400177.2589254314</v>
      </c>
      <c r="BU234" s="3236">
        <f>VLOOKUP($E234,BS$442:BV$453,3,FALSE)*BS234*($K234)+IF($G234&lt;&gt;0,($I234/$G234)*BS234,0)*(1-$K234)</f>
        <v>3005693.4191217558</v>
      </c>
      <c r="BV234" s="3236">
        <f>VLOOKUP($E234,BS$442:BV$453,4,FALSE)*BS234*($K234)+(BS234-BT234-BU234)*(1-$K234)</f>
        <v>8986224.3219528142</v>
      </c>
      <c r="BW234" s="3264"/>
      <c r="CA234" s="3235">
        <f>$G234</f>
        <v>18392095</v>
      </c>
      <c r="CB234" s="3236">
        <f>VLOOKUP($E234,CA$442:CD$453,2,FALSE)*CA234*($K234)+IF($G234&lt;&gt;0,($H234/$G234)*CA234,0)*(1-$K234)</f>
        <v>6400177.2589254314</v>
      </c>
      <c r="CC234" s="3236">
        <f>VLOOKUP($E234,CA$442:CD$453,3,FALSE)*CA234*($K234)+IF($G234&lt;&gt;0,($I234/$G234)*CA234,0)*(1-$K234)</f>
        <v>3005693.4191217558</v>
      </c>
      <c r="CD234" s="3236">
        <f>VLOOKUP($E234,CA$442:CD$453,4,FALSE)*CA234*($K234)+(CA234-CB234-CC234)*(1-$K234)</f>
        <v>8986224.3219528142</v>
      </c>
      <c r="CE234" s="3264"/>
      <c r="CI234" s="3235">
        <f>$G234</f>
        <v>18392095</v>
      </c>
      <c r="CJ234" s="3236">
        <f>VLOOKUP($E234,CI$442:CL$453,2,FALSE)*CI234*($K234)+IF($G234&lt;&gt;0,($H234/$G234)*CI234,0)*(1-$K234)</f>
        <v>6400177.2589254314</v>
      </c>
      <c r="CK234" s="3236">
        <f>VLOOKUP($E234,CI$442:CL$453,3,FALSE)*CI234*($K234)+IF($G234&lt;&gt;0,($I234/$G234)*CI234,0)*(1-$K234)</f>
        <v>3005693.4191217558</v>
      </c>
      <c r="CL234" s="3236">
        <f>VLOOKUP($E234,CI$442:CL$453,4,FALSE)*CI234*($K234)+(CI234-CJ234-CK234)*(1-$K234)</f>
        <v>8986224.3219528142</v>
      </c>
      <c r="CM234" s="3264"/>
      <c r="CQ234" s="3235">
        <f>$G234</f>
        <v>18392095</v>
      </c>
      <c r="CR234" s="3236">
        <f>VLOOKUP($E234,CQ$442:CT$453,2,FALSE)*CQ234*($K234)+IF($G234&lt;&gt;0,($H234/$G234)*CQ234,0)*(1-$K234)</f>
        <v>6400177.2589254314</v>
      </c>
      <c r="CS234" s="3236">
        <f>VLOOKUP($E234,CQ$442:CT$453,3,FALSE)*CQ234*($K234)+IF($G234&lt;&gt;0,($I234/$G234)*CQ234,0)*(1-$K234)</f>
        <v>3005693.4191217558</v>
      </c>
      <c r="CT234" s="3236">
        <f>VLOOKUP($E234,CQ$442:CT$453,4,FALSE)*CQ234*($K234)+(CQ234-CR234-CS234)*(1-$K234)</f>
        <v>8986224.3219528142</v>
      </c>
      <c r="CU234" s="3264"/>
      <c r="CY234" s="3235">
        <f>$G234</f>
        <v>18392095</v>
      </c>
      <c r="CZ234" s="3236">
        <f>VLOOKUP($E234,CY$442:DB$453,2,FALSE)*CY234*($K234)+IF($G234&lt;&gt;0,($H234/$G234)*CY234,0)*(1-$K234)</f>
        <v>6400177.2589254314</v>
      </c>
      <c r="DA234" s="3236">
        <f>VLOOKUP($E234,CY$442:DB$453,3,FALSE)*CY234*($K234)+IF($G234&lt;&gt;0,($I234/$G234)*CY234,0)*(1-$K234)</f>
        <v>3005693.4191217558</v>
      </c>
      <c r="DB234" s="3236">
        <f>VLOOKUP($E234,CY$442:DB$453,4,FALSE)*CY234*($K234)+(CY234-CZ234-DA234)*(1-$K234)</f>
        <v>8986224.3219528142</v>
      </c>
      <c r="DC234" s="3264"/>
      <c r="DG234" s="3235">
        <f>$G234</f>
        <v>18392095</v>
      </c>
      <c r="DH234" s="3236">
        <f>VLOOKUP($E234,DG$442:DJ$453,2,FALSE)*DG234*($K234)+IF($G234&lt;&gt;0,($H234/$G234)*DG234,0)*(1-$K234)</f>
        <v>6400177.2589254314</v>
      </c>
      <c r="DI234" s="3236">
        <f>VLOOKUP($E234,DG$442:DJ$453,3,FALSE)*DG234*($K234)+IF($G234&lt;&gt;0,($I234/$G234)*DG234,0)*(1-$K234)</f>
        <v>3005693.4191217558</v>
      </c>
      <c r="DJ234" s="3236">
        <f>VLOOKUP($E234,DG$442:DJ$453,4,FALSE)*DG234*($K234)+(DG234-DH234-DI234)*(1-$K234)</f>
        <v>8986224.3219528142</v>
      </c>
      <c r="DK234" s="3264"/>
      <c r="DO234" s="3235">
        <f>$G234</f>
        <v>18392095</v>
      </c>
      <c r="DP234" s="3236">
        <f>VLOOKUP($E234,DO$442:DR$453,2,FALSE)*DO234*($K234)+IF($G234&lt;&gt;0,($H234/$G234)*DO234,0)*(1-$K234)</f>
        <v>6400177.2589254314</v>
      </c>
      <c r="DQ234" s="3236">
        <f>VLOOKUP($E234,DO$442:DR$453,3,FALSE)*DO234*($K234)+IF($G234&lt;&gt;0,($I234/$G234)*DO234,0)*(1-$K234)</f>
        <v>3005693.4191217558</v>
      </c>
      <c r="DR234" s="3236">
        <f>VLOOKUP($E234,DO$442:DR$453,4,FALSE)*DO234*($K234)+(DO234-DP234-DQ234)*(1-$K234)</f>
        <v>8986224.3219528142</v>
      </c>
      <c r="DS234" s="3264"/>
      <c r="DW234" s="3235">
        <f>$G234</f>
        <v>18392095</v>
      </c>
      <c r="DX234" s="3236">
        <f>VLOOKUP($E234,DW$442:DZ$453,2,FALSE)*DW234*($K234)+IF($G234&lt;&gt;0,($H234/$G234)*DW234,0)*(1-$K234)</f>
        <v>6400177.2589254314</v>
      </c>
      <c r="DY234" s="3236">
        <f>VLOOKUP($E234,DW$442:DZ$453,3,FALSE)*DW234*($K234)+IF($G234&lt;&gt;0,($I234/$G234)*DW234,0)*(1-$K234)</f>
        <v>3005693.4191217558</v>
      </c>
      <c r="DZ234" s="3236">
        <f>VLOOKUP($E234,DW$442:DZ$453,4,FALSE)*DW234*($K234)+(DW234-DX234-DY234)*(1-$K234)</f>
        <v>8986224.3219528142</v>
      </c>
      <c r="EA234" s="3264"/>
      <c r="EE234" s="3235">
        <f>$G234</f>
        <v>18392095</v>
      </c>
      <c r="EF234" s="3236">
        <f>VLOOKUP($E234,EE$442:EH$453,2,FALSE)*EE234*($K234)+IF($G234&lt;&gt;0,($H234/$G234)*EE234,0)*(1-$K234)</f>
        <v>6400177.2589254314</v>
      </c>
      <c r="EG234" s="3236">
        <f>VLOOKUP($E234,EE$442:EH$453,3,FALSE)*EE234*($K234)+IF($G234&lt;&gt;0,($I234/$G234)*EE234,0)*(1-$K234)</f>
        <v>3005693.4191217558</v>
      </c>
      <c r="EH234" s="3236">
        <f>VLOOKUP($E234,EE$442:EH$453,4,FALSE)*EE234*($K234)+(EE234-EF234-EG234)*(1-$K234)</f>
        <v>8986224.3219528142</v>
      </c>
      <c r="EI234" s="3264"/>
      <c r="EM234" s="3235">
        <f>$G234</f>
        <v>18392095</v>
      </c>
      <c r="EN234" s="3236">
        <f>VLOOKUP($E234,EM$442:EP$453,2,FALSE)*EM234*($K234)+IF($G234&lt;&gt;0,($H234/$G234)*EM234,0)*(1-$K234)</f>
        <v>6400177.2589254314</v>
      </c>
      <c r="EO234" s="3236">
        <f>VLOOKUP($E234,EM$442:EP$453,3,FALSE)*EM234*($K234)+IF($G234&lt;&gt;0,($I234/$G234)*EM234,0)*(1-$K234)</f>
        <v>3005693.4191217558</v>
      </c>
      <c r="EP234" s="3236">
        <f>VLOOKUP($E234,EM$442:EP$453,4,FALSE)*EM234*($K234)+(EM234-EN234-EO234)*(1-$K234)</f>
        <v>8986224.3219528142</v>
      </c>
      <c r="EQ234" s="3264"/>
      <c r="EU234" s="3235">
        <f>$G234</f>
        <v>18392095</v>
      </c>
      <c r="EV234" s="3236">
        <f>VLOOKUP($E234,EU$442:EX$453,2,FALSE)*EU234*($K234)+IF($G234&lt;&gt;0,($H234/$G234)*EU234,0)*(1-$K234)</f>
        <v>6400177.2589254314</v>
      </c>
      <c r="EW234" s="3236">
        <f>VLOOKUP($E234,EU$442:EX$453,3,FALSE)*EU234*($K234)+IF($G234&lt;&gt;0,($I234/$G234)*EU234,0)*(1-$K234)</f>
        <v>3005693.4191217558</v>
      </c>
      <c r="EX234" s="3236">
        <f>VLOOKUP($E234,EU$442:EX$453,4,FALSE)*EU234*($K234)+(EU234-EV234-EW234)*(1-$K234)</f>
        <v>8986224.3219528142</v>
      </c>
      <c r="EY234" s="3264"/>
      <c r="FC234" s="3235">
        <f>$G234</f>
        <v>18392095</v>
      </c>
      <c r="FD234" s="3236">
        <f>VLOOKUP($E234,FC$442:FF$453,2,FALSE)*FC234*($K234)+IF($G234&lt;&gt;0,($H234/$G234)*FC234,0)*(1-$K234)</f>
        <v>6400177.2589254314</v>
      </c>
      <c r="FE234" s="3236">
        <f>VLOOKUP($E234,FC$442:FF$453,3,FALSE)*FC234*($K234)+IF($G234&lt;&gt;0,($I234/$G234)*FC234,0)*(1-$K234)</f>
        <v>3005693.4191217558</v>
      </c>
      <c r="FF234" s="3236">
        <f>VLOOKUP($E234,FC$442:FF$453,4,FALSE)*FC234*($K234)+(FC234-FD234-FE234)*(1-$K234)</f>
        <v>8986224.3219528142</v>
      </c>
      <c r="FG234" s="3264"/>
      <c r="FK234" s="3235">
        <f>$G234</f>
        <v>18392095</v>
      </c>
      <c r="FL234" s="3236">
        <f>VLOOKUP($E234,FK$442:FN$453,2,FALSE)*FK234*($K234)+IF($G234&lt;&gt;0,($H234/$G234)*FK234,0)*(1-$K234)</f>
        <v>6400177.2589254314</v>
      </c>
      <c r="FM234" s="3236">
        <f>VLOOKUP($E234,FK$442:FN$453,3,FALSE)*FK234*($K234)+IF($G234&lt;&gt;0,($I234/$G234)*FK234,0)*(1-$K234)</f>
        <v>3005693.4191217558</v>
      </c>
      <c r="FN234" s="3236">
        <f>VLOOKUP($E234,FK$442:FN$453,4,FALSE)*FK234*($K234)+(FK234-FL234-FM234)*(1-$K234)</f>
        <v>8986224.3219528142</v>
      </c>
      <c r="FO234" s="3264"/>
    </row>
    <row r="235" spans="1:171">
      <c r="A235" s="2310" t="s">
        <v>492</v>
      </c>
      <c r="B235" s="2097"/>
      <c r="C235" s="3256"/>
      <c r="D235" s="3257"/>
      <c r="E235" s="3257"/>
      <c r="F235" s="3258"/>
      <c r="G235" s="3265">
        <f>SUM(G219:G220,G222:G227,G229:G232,G234)-G221-G228</f>
        <v>172081054</v>
      </c>
      <c r="H235" s="3265">
        <f>SUM(H219:H220,H222:H227,H229:H232,H234)-H221-H228</f>
        <v>46585105.523656681</v>
      </c>
      <c r="I235" s="3265">
        <f>SUM(I219:I220,I222:I227,I229:I232,I234)-I221-I228</f>
        <v>0</v>
      </c>
      <c r="J235" s="3266">
        <f>SUM(J219:J220,J222:J227,J229:J232,J234)-J221-J228</f>
        <v>125495948.47513407</v>
      </c>
      <c r="K235" s="3205"/>
      <c r="O235" s="3336">
        <f>SUM(O219:O220,O222:O227,O229:O232,O234)-O221-O228</f>
        <v>172081054</v>
      </c>
      <c r="P235" s="3336">
        <f>SUM(P219:P220,P222:P227,P229:P232,P234)-P221-P228</f>
        <v>46585105.523656681</v>
      </c>
      <c r="Q235" s="3336">
        <f>SUM(Q219:Q220,Q222:Q227,Q229:Q232,Q234)-Q221-Q228</f>
        <v>10178891.876509655</v>
      </c>
      <c r="R235" s="3336">
        <f>SUM(R219:R220,R222:R227,R229:R232,R234)-R221-R228</f>
        <v>115317056.59983368</v>
      </c>
      <c r="S235" s="3264"/>
      <c r="W235" s="3336">
        <f>SUM(W219:W220,W222:W227,W229:W232,W234)-W221-W228</f>
        <v>172081054</v>
      </c>
      <c r="X235" s="3336">
        <f>SUM(X219:X220,X222:X227,X229:X232,X234)-X221-X228</f>
        <v>46585105.523656681</v>
      </c>
      <c r="Y235" s="3336">
        <f>SUM(Y219:Y220,Y222:Y227,Y229:Y232,Y234)-Y221-Y228</f>
        <v>10178891.876509655</v>
      </c>
      <c r="Z235" s="3336">
        <f>SUM(Z219:Z220,Z222:Z227,Z229:Z232,Z234)-Z221-Z228</f>
        <v>115317056.59983368</v>
      </c>
      <c r="AA235" s="3264"/>
      <c r="AE235" s="3336">
        <f>SUM(AE219:AE220,AE222:AE227,AE229:AE232,AE234)-AE221-AE228</f>
        <v>172081054</v>
      </c>
      <c r="AF235" s="3336">
        <f>SUM(AF219:AF220,AF222:AF227,AF229:AF232,AF234)-AF221-AF228</f>
        <v>46585105.523656681</v>
      </c>
      <c r="AG235" s="3336">
        <f>SUM(AG219:AG220,AG222:AG227,AG229:AG232,AG234)-AG221-AG228</f>
        <v>10178891.876509655</v>
      </c>
      <c r="AH235" s="3336">
        <f>SUM(AH219:AH220,AH222:AH227,AH229:AH232,AH234)-AH221-AH228</f>
        <v>115317056.59983368</v>
      </c>
      <c r="AI235" s="3264"/>
      <c r="AM235" s="3336">
        <f>SUM(AM219:AM220,AM222:AM227,AM229:AM232,AM234)-AM221-AM228</f>
        <v>172081054</v>
      </c>
      <c r="AN235" s="3336">
        <f>SUM(AN219:AN220,AN222:AN227,AN229:AN232,AN234)-AN221-AN228</f>
        <v>46585105.523656681</v>
      </c>
      <c r="AO235" s="3336">
        <f>SUM(AO219:AO220,AO222:AO227,AO229:AO232,AO234)-AO221-AO228</f>
        <v>10178891.876509655</v>
      </c>
      <c r="AP235" s="3336">
        <f>SUM(AP219:AP220,AP222:AP227,AP229:AP232,AP234)-AP221-AP228</f>
        <v>115317056.59983368</v>
      </c>
      <c r="AQ235" s="3264"/>
      <c r="AU235" s="3336">
        <f>SUM(AU219:AU220,AU222:AU227,AU229:AU232,AU234)-AU221-AU228</f>
        <v>172081054</v>
      </c>
      <c r="AV235" s="3336">
        <f>SUM(AV219:AV220,AV222:AV227,AV229:AV232,AV234)-AV221-AV228</f>
        <v>46585105.523656681</v>
      </c>
      <c r="AW235" s="3336">
        <f>SUM(AW219:AW220,AW222:AW227,AW229:AW232,AW234)-AW221-AW228</f>
        <v>10178891.876509655</v>
      </c>
      <c r="AX235" s="3336">
        <f>SUM(AX219:AX220,AX222:AX227,AX229:AX232,AX234)-AX221-AX228</f>
        <v>115317056.59983368</v>
      </c>
      <c r="AY235" s="3264"/>
      <c r="BC235" s="3336">
        <f>SUM(BC219:BC220,BC222:BC227,BC229:BC232,BC234)-BC221-BC228</f>
        <v>172081054</v>
      </c>
      <c r="BD235" s="3336">
        <f>SUM(BD219:BD220,BD222:BD227,BD229:BD232,BD234)-BD221-BD228</f>
        <v>46585105.523656681</v>
      </c>
      <c r="BE235" s="3336">
        <f>SUM(BE219:BE220,BE222:BE227,BE229:BE232,BE234)-BE221-BE228</f>
        <v>10178891.876509655</v>
      </c>
      <c r="BF235" s="3336">
        <f>SUM(BF219:BF220,BF222:BF227,BF229:BF232,BF234)-BF221-BF228</f>
        <v>115317056.59983368</v>
      </c>
      <c r="BG235" s="3264"/>
      <c r="BK235" s="3336">
        <f>SUM(BK219:BK220,BK222:BK227,BK229:BK232,BK234)-BK221-BK228</f>
        <v>172081054</v>
      </c>
      <c r="BL235" s="3336">
        <f>SUM(BL219:BL220,BL222:BL227,BL229:BL232,BL234)-BL221-BL228</f>
        <v>46585105.523656681</v>
      </c>
      <c r="BM235" s="3336">
        <f>SUM(BM219:BM220,BM222:BM227,BM229:BM232,BM234)-BM221-BM228</f>
        <v>10178891.876509655</v>
      </c>
      <c r="BN235" s="3336">
        <f>SUM(BN219:BN220,BN222:BN227,BN229:BN232,BN234)-BN221-BN228</f>
        <v>115317056.59983368</v>
      </c>
      <c r="BO235" s="3264"/>
      <c r="BS235" s="3336">
        <f>SUM(BS219:BS220,BS222:BS227,BS229:BS232,BS234)-BS221-BS228</f>
        <v>172081054</v>
      </c>
      <c r="BT235" s="3336">
        <f>SUM(BT219:BT220,BT222:BT227,BT229:BT232,BT234)-BT221-BT228</f>
        <v>46585105.523656681</v>
      </c>
      <c r="BU235" s="3336">
        <f>SUM(BU219:BU220,BU222:BU227,BU229:BU232,BU234)-BU221-BU228</f>
        <v>10178891.876509655</v>
      </c>
      <c r="BV235" s="3336">
        <f>SUM(BV219:BV220,BV222:BV227,BV229:BV232,BV234)-BV221-BV228</f>
        <v>115317056.59983368</v>
      </c>
      <c r="BW235" s="3264"/>
      <c r="CA235" s="3336">
        <f>SUM(CA219:CA220,CA222:CA227,CA229:CA232,CA234)-CA221-CA228</f>
        <v>172081054</v>
      </c>
      <c r="CB235" s="3336">
        <f>SUM(CB219:CB220,CB222:CB227,CB229:CB232,CB234)-CB221-CB228</f>
        <v>46585105.523656681</v>
      </c>
      <c r="CC235" s="3336">
        <f>SUM(CC219:CC220,CC222:CC227,CC229:CC232,CC234)-CC221-CC228</f>
        <v>10178891.876509655</v>
      </c>
      <c r="CD235" s="3336">
        <f>SUM(CD219:CD220,CD222:CD227,CD229:CD232,CD234)-CD221-CD228</f>
        <v>115317056.59983368</v>
      </c>
      <c r="CE235" s="3264"/>
      <c r="CI235" s="3336">
        <f>SUM(CI219:CI220,CI222:CI227,CI229:CI232,CI234)-CI221-CI228</f>
        <v>172081054</v>
      </c>
      <c r="CJ235" s="3336">
        <f>SUM(CJ219:CJ220,CJ222:CJ227,CJ229:CJ232,CJ234)-CJ221-CJ228</f>
        <v>46585105.523656681</v>
      </c>
      <c r="CK235" s="3336">
        <f>SUM(CK219:CK220,CK222:CK227,CK229:CK232,CK234)-CK221-CK228</f>
        <v>10178891.876509655</v>
      </c>
      <c r="CL235" s="3336">
        <f>SUM(CL219:CL220,CL222:CL227,CL229:CL232,CL234)-CL221-CL228</f>
        <v>115317056.59983368</v>
      </c>
      <c r="CM235" s="3264"/>
      <c r="CQ235" s="3336">
        <f>SUM(CQ219:CQ220,CQ222:CQ227,CQ229:CQ232,CQ234)-CQ221-CQ228</f>
        <v>172081054</v>
      </c>
      <c r="CR235" s="3336">
        <f>SUM(CR219:CR220,CR222:CR227,CR229:CR232,CR234)-CR221-CR228</f>
        <v>46585105.523656681</v>
      </c>
      <c r="CS235" s="3336">
        <f>SUM(CS219:CS220,CS222:CS227,CS229:CS232,CS234)-CS221-CS228</f>
        <v>10178891.876509655</v>
      </c>
      <c r="CT235" s="3336">
        <f>SUM(CT219:CT220,CT222:CT227,CT229:CT232,CT234)-CT221-CT228</f>
        <v>115317056.59983368</v>
      </c>
      <c r="CU235" s="3264"/>
      <c r="CY235" s="3336">
        <f>SUM(CY219:CY220,CY222:CY227,CY229:CY232,CY234)-CY221-CY228</f>
        <v>172081054</v>
      </c>
      <c r="CZ235" s="3336">
        <f>SUM(CZ219:CZ220,CZ222:CZ227,CZ229:CZ232,CZ234)-CZ221-CZ228</f>
        <v>46585105.523656681</v>
      </c>
      <c r="DA235" s="3336">
        <f>SUM(DA219:DA220,DA222:DA227,DA229:DA232,DA234)-DA221-DA228</f>
        <v>10178891.876509655</v>
      </c>
      <c r="DB235" s="3336">
        <f>SUM(DB219:DB220,DB222:DB227,DB229:DB232,DB234)-DB221-DB228</f>
        <v>115317056.59983368</v>
      </c>
      <c r="DC235" s="3264"/>
      <c r="DG235" s="3336">
        <f>SUM(DG219:DG220,DG222:DG227,DG229:DG232,DG234)-DG221-DG228</f>
        <v>172081054</v>
      </c>
      <c r="DH235" s="3336">
        <f>SUM(DH219:DH220,DH222:DH227,DH229:DH232,DH234)-DH221-DH228</f>
        <v>46585105.523656681</v>
      </c>
      <c r="DI235" s="3336">
        <f>SUM(DI219:DI220,DI222:DI227,DI229:DI232,DI234)-DI221-DI228</f>
        <v>10178891.876509655</v>
      </c>
      <c r="DJ235" s="3336">
        <f>SUM(DJ219:DJ220,DJ222:DJ227,DJ229:DJ232,DJ234)-DJ221-DJ228</f>
        <v>115317056.59983368</v>
      </c>
      <c r="DK235" s="3264"/>
      <c r="DO235" s="3336">
        <f>SUM(DO219:DO220,DO222:DO227,DO229:DO232,DO234)-DO221-DO228</f>
        <v>172081054</v>
      </c>
      <c r="DP235" s="3336">
        <f>SUM(DP219:DP220,DP222:DP227,DP229:DP232,DP234)-DP221-DP228</f>
        <v>46585105.523656681</v>
      </c>
      <c r="DQ235" s="3336">
        <f>SUM(DQ219:DQ220,DQ222:DQ227,DQ229:DQ232,DQ234)-DQ221-DQ228</f>
        <v>10178891.876509655</v>
      </c>
      <c r="DR235" s="3336">
        <f>SUM(DR219:DR220,DR222:DR227,DR229:DR232,DR234)-DR221-DR228</f>
        <v>115317056.59983368</v>
      </c>
      <c r="DS235" s="3264"/>
      <c r="DW235" s="3336">
        <f>SUM(DW219:DW220,DW222:DW227,DW229:DW232,DW234)-DW221-DW228</f>
        <v>172081054</v>
      </c>
      <c r="DX235" s="3336">
        <f>SUM(DX219:DX220,DX222:DX227,DX229:DX232,DX234)-DX221-DX228</f>
        <v>46585105.523656681</v>
      </c>
      <c r="DY235" s="3336">
        <f>SUM(DY219:DY220,DY222:DY227,DY229:DY232,DY234)-DY221-DY228</f>
        <v>10178891.876509655</v>
      </c>
      <c r="DZ235" s="3336">
        <f>SUM(DZ219:DZ220,DZ222:DZ227,DZ229:DZ232,DZ234)-DZ221-DZ228</f>
        <v>115317056.59983368</v>
      </c>
      <c r="EA235" s="3264"/>
      <c r="EE235" s="3336">
        <f>SUM(EE219:EE220,EE222:EE227,EE229:EE232,EE234)-EE221-EE228</f>
        <v>172081054</v>
      </c>
      <c r="EF235" s="3336">
        <f>SUM(EF219:EF220,EF222:EF227,EF229:EF232,EF234)-EF221-EF228</f>
        <v>46585105.523656681</v>
      </c>
      <c r="EG235" s="3336">
        <f>SUM(EG219:EG220,EG222:EG227,EG229:EG232,EG234)-EG221-EG228</f>
        <v>10178891.876509655</v>
      </c>
      <c r="EH235" s="3336">
        <f>SUM(EH219:EH220,EH222:EH227,EH229:EH232,EH234)-EH221-EH228</f>
        <v>115317056.59983368</v>
      </c>
      <c r="EI235" s="3264"/>
      <c r="EM235" s="3336">
        <f>SUM(EM219:EM220,EM222:EM227,EM229:EM232,EM234)-EM221-EM228</f>
        <v>172081054</v>
      </c>
      <c r="EN235" s="3336">
        <f>SUM(EN219:EN220,EN222:EN227,EN229:EN232,EN234)-EN221-EN228</f>
        <v>46585105.523656681</v>
      </c>
      <c r="EO235" s="3336">
        <f>SUM(EO219:EO220,EO222:EO227,EO229:EO232,EO234)-EO221-EO228</f>
        <v>10178891.876509655</v>
      </c>
      <c r="EP235" s="3336">
        <f>SUM(EP219:EP220,EP222:EP227,EP229:EP232,EP234)-EP221-EP228</f>
        <v>115317056.59983368</v>
      </c>
      <c r="EQ235" s="3264"/>
      <c r="EU235" s="3336">
        <f>SUM(EU219:EU220,EU222:EU227,EU229:EU232,EU234)-EU221-EU228</f>
        <v>172081054</v>
      </c>
      <c r="EV235" s="3336">
        <f>SUM(EV219:EV220,EV222:EV227,EV229:EV232,EV234)-EV221-EV228</f>
        <v>46585105.523656681</v>
      </c>
      <c r="EW235" s="3336">
        <f>SUM(EW219:EW220,EW222:EW227,EW229:EW232,EW234)-EW221-EW228</f>
        <v>10178891.876509655</v>
      </c>
      <c r="EX235" s="3336">
        <f>SUM(EX219:EX220,EX222:EX227,EX229:EX232,EX234)-EX221-EX228</f>
        <v>115317056.59983368</v>
      </c>
      <c r="EY235" s="3264"/>
      <c r="FC235" s="3336">
        <f>SUM(FC219:FC220,FC222:FC227,FC229:FC232,FC234)-FC221-FC228</f>
        <v>172081054</v>
      </c>
      <c r="FD235" s="3336">
        <f>SUM(FD219:FD220,FD222:FD227,FD229:FD232,FD234)-FD221-FD228</f>
        <v>46585105.523656681</v>
      </c>
      <c r="FE235" s="3336">
        <f>SUM(FE219:FE220,FE222:FE227,FE229:FE232,FE234)-FE221-FE228</f>
        <v>10178891.876509655</v>
      </c>
      <c r="FF235" s="3336">
        <f>SUM(FF219:FF220,FF222:FF227,FF229:FF232,FF234)-FF221-FF228</f>
        <v>115317056.59983368</v>
      </c>
      <c r="FG235" s="3264"/>
      <c r="FK235" s="3336">
        <f>SUM(FK219:FK220,FK222:FK227,FK229:FK232,FK234)-FK221-FK228</f>
        <v>172081054</v>
      </c>
      <c r="FL235" s="3336">
        <f>SUM(FL219:FL220,FL222:FL227,FL229:FL232,FL234)-FL221-FL228</f>
        <v>46585105.523656681</v>
      </c>
      <c r="FM235" s="3336">
        <f>SUM(FM219:FM220,FM222:FM227,FM229:FM232,FM234)-FM221-FM228</f>
        <v>10178891.876509655</v>
      </c>
      <c r="FN235" s="3336">
        <f>SUM(FN219:FN220,FN222:FN227,FN229:FN232,FN234)-FN221-FN228</f>
        <v>115317056.59983368</v>
      </c>
      <c r="FO235" s="3264"/>
    </row>
    <row r="236" spans="1:171" ht="12" thickBot="1">
      <c r="A236" s="2316"/>
      <c r="B236" s="2444"/>
      <c r="C236" s="2120"/>
      <c r="D236" s="2105"/>
      <c r="E236" s="2105"/>
      <c r="F236" s="2105"/>
      <c r="G236" s="3337"/>
      <c r="H236" s="2445"/>
      <c r="I236" s="2445"/>
      <c r="J236" s="2446"/>
      <c r="K236" s="3205"/>
      <c r="O236" s="2747"/>
      <c r="S236" s="3264"/>
      <c r="W236" s="2747"/>
      <c r="AA236" s="3264"/>
      <c r="AE236" s="2747"/>
      <c r="AI236" s="3264"/>
      <c r="AM236" s="2747"/>
      <c r="AQ236" s="3264"/>
      <c r="AU236" s="2747"/>
      <c r="AY236" s="3264"/>
      <c r="BC236" s="2747"/>
      <c r="BG236" s="3264"/>
      <c r="BK236" s="2747"/>
      <c r="BO236" s="3264"/>
      <c r="BS236" s="2747"/>
      <c r="BW236" s="3264"/>
      <c r="CA236" s="2747"/>
      <c r="CE236" s="3264"/>
      <c r="CI236" s="2747"/>
      <c r="CM236" s="3264"/>
      <c r="CQ236" s="2747"/>
      <c r="CU236" s="3264"/>
      <c r="CY236" s="2747"/>
      <c r="DC236" s="3264"/>
      <c r="DG236" s="2747"/>
      <c r="DK236" s="3264"/>
      <c r="DO236" s="2747"/>
      <c r="DS236" s="3264"/>
      <c r="DW236" s="2747"/>
      <c r="EA236" s="3264"/>
      <c r="EE236" s="2747"/>
      <c r="EI236" s="3264"/>
      <c r="EM236" s="2747"/>
      <c r="EQ236" s="3264"/>
      <c r="EU236" s="2747"/>
      <c r="EY236" s="3264"/>
      <c r="FC236" s="2747"/>
      <c r="FG236" s="3264"/>
      <c r="FK236" s="2747"/>
      <c r="FO236" s="3264"/>
    </row>
    <row r="237" spans="1:171" ht="12" thickTop="1">
      <c r="A237" s="2310" t="s">
        <v>493</v>
      </c>
      <c r="B237" s="2097"/>
      <c r="C237" s="3256"/>
      <c r="D237" s="3257"/>
      <c r="E237" s="3257"/>
      <c r="F237" s="3258"/>
      <c r="G237" s="3265">
        <f>G196+G202+G207+G215+G235</f>
        <v>2433312842</v>
      </c>
      <c r="H237" s="3265">
        <f>H196+H202+H207+H215+H235</f>
        <v>2062620776.8536565</v>
      </c>
      <c r="I237" s="3265">
        <f>I196+I202+I207+I215+I235</f>
        <v>0</v>
      </c>
      <c r="J237" s="3266">
        <f>J196+J202+J207+J215+J235</f>
        <v>370692065.52513409</v>
      </c>
      <c r="K237" s="3205"/>
      <c r="O237" s="3331">
        <f>O196+O202+O207+O215+O235</f>
        <v>2433312842</v>
      </c>
      <c r="P237" s="3331">
        <f>P196+P202+P207+P215+P235</f>
        <v>2062620776.8536565</v>
      </c>
      <c r="Q237" s="3331">
        <f>Q196+Q202+Q207+Q215+Q235</f>
        <v>36398946.876509652</v>
      </c>
      <c r="R237" s="3331">
        <f>R196+R202+R207+R215+R235</f>
        <v>334293118.26983368</v>
      </c>
      <c r="S237" s="3264"/>
      <c r="W237" s="3331">
        <f>W196+W202+W207+W215+W235</f>
        <v>2433312842</v>
      </c>
      <c r="X237" s="3331">
        <f>X196+X202+X207+X215+X235</f>
        <v>2062620776.8536565</v>
      </c>
      <c r="Y237" s="3331">
        <f>Y196+Y202+Y207+Y215+Y235</f>
        <v>36398946.876509652</v>
      </c>
      <c r="Z237" s="3331">
        <f>Z196+Z202+Z207+Z215+Z235</f>
        <v>334293118.26983368</v>
      </c>
      <c r="AA237" s="3264"/>
      <c r="AE237" s="3331">
        <f>AE196+AE202+AE207+AE215+AE235</f>
        <v>2433312842</v>
      </c>
      <c r="AF237" s="3331">
        <f>AF196+AF202+AF207+AF215+AF235</f>
        <v>2062620776.8536565</v>
      </c>
      <c r="AG237" s="3331">
        <f>AG196+AG202+AG207+AG215+AG235</f>
        <v>36398946.876509652</v>
      </c>
      <c r="AH237" s="3331">
        <f>AH196+AH202+AH207+AH215+AH235</f>
        <v>334293118.26983368</v>
      </c>
      <c r="AI237" s="3264"/>
      <c r="AM237" s="3331">
        <f>AM196+AM202+AM207+AM215+AM235</f>
        <v>2433312842</v>
      </c>
      <c r="AN237" s="3331">
        <f>AN196+AN202+AN207+AN215+AN235</f>
        <v>2062620776.8536565</v>
      </c>
      <c r="AO237" s="3331">
        <f>AO196+AO202+AO207+AO215+AO235</f>
        <v>36398946.876509652</v>
      </c>
      <c r="AP237" s="3331">
        <f>AP196+AP202+AP207+AP215+AP235</f>
        <v>334293118.26983368</v>
      </c>
      <c r="AQ237" s="3264"/>
      <c r="AU237" s="3331">
        <f>AU196+AU202+AU207+AU215+AU235</f>
        <v>2433312842</v>
      </c>
      <c r="AV237" s="3331">
        <f>AV196+AV202+AV207+AV215+AV235</f>
        <v>2062620776.8536565</v>
      </c>
      <c r="AW237" s="3331">
        <f>AW196+AW202+AW207+AW215+AW235</f>
        <v>36398946.876509652</v>
      </c>
      <c r="AX237" s="3331">
        <f>AX196+AX202+AX207+AX215+AX235</f>
        <v>334293118.26983368</v>
      </c>
      <c r="AY237" s="3264"/>
      <c r="BC237" s="3331">
        <f>BC196+BC202+BC207+BC215+BC235</f>
        <v>2433312842</v>
      </c>
      <c r="BD237" s="3331">
        <f>BD196+BD202+BD207+BD215+BD235</f>
        <v>2062620776.8536565</v>
      </c>
      <c r="BE237" s="3331">
        <f>BE196+BE202+BE207+BE215+BE235</f>
        <v>36398946.876509652</v>
      </c>
      <c r="BF237" s="3331">
        <f>BF196+BF202+BF207+BF215+BF235</f>
        <v>334293118.26983368</v>
      </c>
      <c r="BG237" s="3264"/>
      <c r="BK237" s="3331">
        <f>BK196+BK202+BK207+BK215+BK235</f>
        <v>2433312842</v>
      </c>
      <c r="BL237" s="3331">
        <f>BL196+BL202+BL207+BL215+BL235</f>
        <v>2062620776.8536565</v>
      </c>
      <c r="BM237" s="3331">
        <f>BM196+BM202+BM207+BM215+BM235</f>
        <v>36398946.876509652</v>
      </c>
      <c r="BN237" s="3331">
        <f>BN196+BN202+BN207+BN215+BN235</f>
        <v>334293118.26983368</v>
      </c>
      <c r="BO237" s="3264"/>
      <c r="BS237" s="3331">
        <f>BS196+BS202+BS207+BS215+BS235</f>
        <v>2433312842</v>
      </c>
      <c r="BT237" s="3331">
        <f>BT196+BT202+BT207+BT215+BT235</f>
        <v>2062620776.8536565</v>
      </c>
      <c r="BU237" s="3331">
        <f>BU196+BU202+BU207+BU215+BU235</f>
        <v>36398946.876509652</v>
      </c>
      <c r="BV237" s="3331">
        <f>BV196+BV202+BV207+BV215+BV235</f>
        <v>334293118.26983368</v>
      </c>
      <c r="BW237" s="3264"/>
      <c r="CA237" s="3331">
        <f>CA196+CA202+CA207+CA215+CA235</f>
        <v>2433312842</v>
      </c>
      <c r="CB237" s="3331">
        <f>CB196+CB202+CB207+CB215+CB235</f>
        <v>2062620776.8536565</v>
      </c>
      <c r="CC237" s="3331">
        <f>CC196+CC202+CC207+CC215+CC235</f>
        <v>36398946.876509652</v>
      </c>
      <c r="CD237" s="3331">
        <f>CD196+CD202+CD207+CD215+CD235</f>
        <v>334293118.26983368</v>
      </c>
      <c r="CE237" s="3264"/>
      <c r="CI237" s="3331">
        <f>CI196+CI202+CI207+CI215+CI235</f>
        <v>2433312842</v>
      </c>
      <c r="CJ237" s="3331">
        <f>CJ196+CJ202+CJ207+CJ215+CJ235</f>
        <v>2062620776.8536565</v>
      </c>
      <c r="CK237" s="3331">
        <f>CK196+CK202+CK207+CK215+CK235</f>
        <v>36398946.876509652</v>
      </c>
      <c r="CL237" s="3331">
        <f>CL196+CL202+CL207+CL215+CL235</f>
        <v>334293118.26983368</v>
      </c>
      <c r="CM237" s="3264"/>
      <c r="CQ237" s="3331">
        <f>CQ196+CQ202+CQ207+CQ215+CQ235</f>
        <v>2433312842</v>
      </c>
      <c r="CR237" s="3331">
        <f>CR196+CR202+CR207+CR215+CR235</f>
        <v>2062620776.8536565</v>
      </c>
      <c r="CS237" s="3331">
        <f>CS196+CS202+CS207+CS215+CS235</f>
        <v>36398946.876509652</v>
      </c>
      <c r="CT237" s="3331">
        <f>CT196+CT202+CT207+CT215+CT235</f>
        <v>334293118.26983368</v>
      </c>
      <c r="CU237" s="3264"/>
      <c r="CY237" s="3331">
        <f>CY196+CY202+CY207+CY215+CY235</f>
        <v>2433312842</v>
      </c>
      <c r="CZ237" s="3331">
        <f>CZ196+CZ202+CZ207+CZ215+CZ235</f>
        <v>2062620776.8536565</v>
      </c>
      <c r="DA237" s="3331">
        <f>DA196+DA202+DA207+DA215+DA235</f>
        <v>36398946.876509652</v>
      </c>
      <c r="DB237" s="3331">
        <f>DB196+DB202+DB207+DB215+DB235</f>
        <v>334293118.26983368</v>
      </c>
      <c r="DC237" s="3264"/>
      <c r="DG237" s="3331">
        <f>DG196+DG202+DG207+DG215+DG235</f>
        <v>2433312842</v>
      </c>
      <c r="DH237" s="3331">
        <f>DH196+DH202+DH207+DH215+DH235</f>
        <v>2062620776.8536565</v>
      </c>
      <c r="DI237" s="3331">
        <f>DI196+DI202+DI207+DI215+DI235</f>
        <v>36398946.876509652</v>
      </c>
      <c r="DJ237" s="3331">
        <f>DJ196+DJ202+DJ207+DJ215+DJ235</f>
        <v>334293118.26983368</v>
      </c>
      <c r="DK237" s="3264"/>
      <c r="DO237" s="3331">
        <f>DO196+DO202+DO207+DO215+DO235</f>
        <v>2433312842</v>
      </c>
      <c r="DP237" s="3331">
        <f>DP196+DP202+DP207+DP215+DP235</f>
        <v>2062620776.8536565</v>
      </c>
      <c r="DQ237" s="3331">
        <f>DQ196+DQ202+DQ207+DQ215+DQ235</f>
        <v>36398946.876509652</v>
      </c>
      <c r="DR237" s="3331">
        <f>DR196+DR202+DR207+DR215+DR235</f>
        <v>334293118.26983368</v>
      </c>
      <c r="DS237" s="3264"/>
      <c r="DW237" s="3331">
        <f>DW196+DW202+DW207+DW215+DW235</f>
        <v>2433312842</v>
      </c>
      <c r="DX237" s="3331">
        <f>DX196+DX202+DX207+DX215+DX235</f>
        <v>2062620776.8536565</v>
      </c>
      <c r="DY237" s="3331">
        <f>DY196+DY202+DY207+DY215+DY235</f>
        <v>36398946.876509652</v>
      </c>
      <c r="DZ237" s="3331">
        <f>DZ196+DZ202+DZ207+DZ215+DZ235</f>
        <v>334293118.26983368</v>
      </c>
      <c r="EA237" s="3264"/>
      <c r="EE237" s="3331">
        <f>EE196+EE202+EE207+EE215+EE235</f>
        <v>2433312842</v>
      </c>
      <c r="EF237" s="3331">
        <f>EF196+EF202+EF207+EF215+EF235</f>
        <v>2062620776.8536565</v>
      </c>
      <c r="EG237" s="3331">
        <f>EG196+EG202+EG207+EG215+EG235</f>
        <v>36398946.876509652</v>
      </c>
      <c r="EH237" s="3331">
        <f>EH196+EH202+EH207+EH215+EH235</f>
        <v>334293118.26983368</v>
      </c>
      <c r="EI237" s="3264"/>
      <c r="EM237" s="3331">
        <f>EM196+EM202+EM207+EM215+EM235</f>
        <v>2433312842</v>
      </c>
      <c r="EN237" s="3331">
        <f>EN196+EN202+EN207+EN215+EN235</f>
        <v>2062620776.8536565</v>
      </c>
      <c r="EO237" s="3331">
        <f>EO196+EO202+EO207+EO215+EO235</f>
        <v>36398946.876509652</v>
      </c>
      <c r="EP237" s="3331">
        <f>EP196+EP202+EP207+EP215+EP235</f>
        <v>334293118.26983368</v>
      </c>
      <c r="EQ237" s="3264"/>
      <c r="EU237" s="3331">
        <f>EU196+EU202+EU207+EU215+EU235</f>
        <v>2433312842</v>
      </c>
      <c r="EV237" s="3331">
        <f>EV196+EV202+EV207+EV215+EV235</f>
        <v>2062620776.8536565</v>
      </c>
      <c r="EW237" s="3331">
        <f>EW196+EW202+EW207+EW215+EW235</f>
        <v>36398946.876509652</v>
      </c>
      <c r="EX237" s="3331">
        <f>EX196+EX202+EX207+EX215+EX235</f>
        <v>334293118.26983368</v>
      </c>
      <c r="EY237" s="3264"/>
      <c r="FC237" s="3331">
        <f>FC196+FC202+FC207+FC215+FC235</f>
        <v>2433312842</v>
      </c>
      <c r="FD237" s="3331">
        <f>FD196+FD202+FD207+FD215+FD235</f>
        <v>2062620776.8536565</v>
      </c>
      <c r="FE237" s="3331">
        <f>FE196+FE202+FE207+FE215+FE235</f>
        <v>36398946.876509652</v>
      </c>
      <c r="FF237" s="3331">
        <f>FF196+FF202+FF207+FF215+FF235</f>
        <v>334293118.26983368</v>
      </c>
      <c r="FG237" s="3264"/>
      <c r="FK237" s="3331">
        <f>FK196+FK202+FK207+FK215+FK235</f>
        <v>2433312842</v>
      </c>
      <c r="FL237" s="3331">
        <f>FL196+FL202+FL207+FL215+FL235</f>
        <v>2062620776.8536565</v>
      </c>
      <c r="FM237" s="3331">
        <f>FM196+FM202+FM207+FM215+FM235</f>
        <v>36398946.876509652</v>
      </c>
      <c r="FN237" s="3331">
        <f>FN196+FN202+FN207+FN215+FN235</f>
        <v>334293118.26983368</v>
      </c>
      <c r="FO237" s="3264"/>
    </row>
    <row r="238" spans="1:171">
      <c r="A238" s="2496" t="s">
        <v>428</v>
      </c>
      <c r="B238" s="2497"/>
      <c r="C238" s="2498"/>
      <c r="D238" s="2185"/>
      <c r="E238" s="2185"/>
      <c r="F238" s="2185"/>
      <c r="G238" s="3334"/>
      <c r="H238" s="3338"/>
      <c r="I238" s="3338"/>
      <c r="J238" s="3339"/>
      <c r="K238" s="3205"/>
      <c r="S238" s="3264"/>
      <c r="AA238" s="3264"/>
      <c r="AI238" s="3264"/>
      <c r="AQ238" s="3264"/>
      <c r="AY238" s="3264"/>
      <c r="BG238" s="3264"/>
      <c r="BO238" s="3264"/>
      <c r="BW238" s="3264"/>
      <c r="CE238" s="3264"/>
      <c r="CM238" s="3264"/>
      <c r="CU238" s="3264"/>
      <c r="DC238" s="3264"/>
      <c r="DK238" s="3264"/>
      <c r="DS238" s="3264"/>
      <c r="EA238" s="3264"/>
      <c r="EI238" s="3264"/>
      <c r="EQ238" s="3264"/>
      <c r="EY238" s="3264"/>
      <c r="FG238" s="3264"/>
      <c r="FO238" s="3264"/>
    </row>
    <row r="239" spans="1:171">
      <c r="A239" s="2714"/>
      <c r="C239" s="3340"/>
      <c r="D239" s="3341"/>
      <c r="E239" s="3340"/>
      <c r="F239" s="3340"/>
      <c r="G239" s="3342"/>
      <c r="H239" s="3343"/>
      <c r="I239" s="3343"/>
      <c r="J239" s="3344"/>
      <c r="K239" s="3205"/>
      <c r="S239" s="3264"/>
      <c r="AA239" s="3264"/>
      <c r="AI239" s="3264"/>
      <c r="AQ239" s="3264"/>
      <c r="AY239" s="3264"/>
      <c r="BG239" s="3264"/>
      <c r="BO239" s="3264"/>
      <c r="BW239" s="3264"/>
      <c r="CE239" s="3264"/>
      <c r="CM239" s="3264"/>
      <c r="CU239" s="3264"/>
      <c r="DC239" s="3264"/>
      <c r="DK239" s="3264"/>
      <c r="DS239" s="3264"/>
      <c r="EA239" s="3264"/>
      <c r="EI239" s="3264"/>
      <c r="EQ239" s="3264"/>
      <c r="EY239" s="3264"/>
      <c r="FG239" s="3264"/>
      <c r="FO239" s="3264"/>
    </row>
    <row r="240" spans="1:171">
      <c r="A240" s="2305" t="s">
        <v>40</v>
      </c>
      <c r="B240" s="2506"/>
      <c r="C240" s="896"/>
      <c r="D240" s="896"/>
      <c r="E240" s="896"/>
      <c r="F240" s="2097"/>
      <c r="G240" s="2233"/>
      <c r="H240" s="2463"/>
      <c r="I240" s="2463"/>
      <c r="J240" s="3345"/>
      <c r="K240" s="3205"/>
      <c r="S240" s="3264"/>
      <c r="AA240" s="3264"/>
      <c r="AI240" s="3264"/>
      <c r="AQ240" s="3264"/>
      <c r="AY240" s="3264"/>
      <c r="BG240" s="3264"/>
      <c r="BO240" s="3264"/>
      <c r="BW240" s="3264"/>
      <c r="CE240" s="3264"/>
      <c r="CM240" s="3264"/>
      <c r="CU240" s="3264"/>
      <c r="DC240" s="3264"/>
      <c r="DK240" s="3264"/>
      <c r="DS240" s="3264"/>
      <c r="EA240" s="3264"/>
      <c r="EI240" s="3264"/>
      <c r="EQ240" s="3264"/>
      <c r="EY240" s="3264"/>
      <c r="FG240" s="3264"/>
      <c r="FO240" s="3264"/>
    </row>
    <row r="241" spans="1:171">
      <c r="A241" s="3277"/>
      <c r="B241" s="2185" t="s">
        <v>368</v>
      </c>
      <c r="C241" s="2464">
        <v>336</v>
      </c>
      <c r="D241" s="2464">
        <v>403</v>
      </c>
      <c r="E241" s="2424" t="str">
        <f>'Sch 3 - Expenses'!E81</f>
        <v>DIST</v>
      </c>
      <c r="F241" s="2171"/>
      <c r="G241" s="2424">
        <f>'Sch 3 - Expenses'!G81</f>
        <v>0</v>
      </c>
      <c r="H241" s="2424">
        <f>'Sch 3 - Expenses'!H81</f>
        <v>0</v>
      </c>
      <c r="I241" s="2424">
        <f>'Sch 3 - Expenses'!I81</f>
        <v>0</v>
      </c>
      <c r="J241" s="2425">
        <f>'Sch 3 - Expenses'!J81</f>
        <v>0</v>
      </c>
      <c r="K241" s="3205">
        <f t="shared" ref="K241:K256" si="629">IF($E241="DIRECT",0,1)</f>
        <v>1</v>
      </c>
      <c r="O241" s="3235">
        <f>$G241</f>
        <v>0</v>
      </c>
      <c r="P241" s="3236">
        <f t="shared" ref="P241:P256" si="630">VLOOKUP($E241,O$442:R$453,2,FALSE)*O241*($K241)+IF($G241&lt;&gt;0,($H241/$G241)*O241,0)*(1-$K241)</f>
        <v>0</v>
      </c>
      <c r="Q241" s="3236">
        <f t="shared" ref="Q241:Q256" si="631">VLOOKUP($E241,O$442:R$453,3,FALSE)*O241*($K241)+IF($G241&lt;&gt;0,($I241/$G241)*O241,0)*(1-$K241)</f>
        <v>0</v>
      </c>
      <c r="R241" s="3236">
        <f t="shared" ref="R241:R256" si="632">VLOOKUP($E241,O$442:R$453,4,FALSE)*O241*($K241)+(O241-P241-Q241)*(1-$K241)</f>
        <v>0</v>
      </c>
      <c r="S241" s="3264"/>
      <c r="W241" s="3235">
        <f>$G241</f>
        <v>0</v>
      </c>
      <c r="X241" s="3236">
        <f t="shared" ref="X241:X256" si="633">VLOOKUP($E241,W$442:Z$453,2,FALSE)*W241*($K241)+IF($G241&lt;&gt;0,($H241/$G241)*W241,0)*(1-$K241)</f>
        <v>0</v>
      </c>
      <c r="Y241" s="3236">
        <f t="shared" ref="Y241:Y256" si="634">VLOOKUP($E241,W$442:Z$453,3,FALSE)*W241*($K241)+IF($G241&lt;&gt;0,($I241/$G241)*W241,0)*(1-$K241)</f>
        <v>0</v>
      </c>
      <c r="Z241" s="3236">
        <f t="shared" ref="Z241:Z256" si="635">VLOOKUP($E241,W$442:Z$453,4,FALSE)*W241*($K241)+(W241-X241-Y241)*(1-$K241)</f>
        <v>0</v>
      </c>
      <c r="AA241" s="3264"/>
      <c r="AE241" s="3235">
        <f>$G241</f>
        <v>0</v>
      </c>
      <c r="AF241" s="3236">
        <f t="shared" ref="AF241:AF256" si="636">VLOOKUP($E241,AE$442:AH$453,2,FALSE)*AE241*($K241)+IF($G241&lt;&gt;0,($H241/$G241)*AE241,0)*(1-$K241)</f>
        <v>0</v>
      </c>
      <c r="AG241" s="3236">
        <f t="shared" ref="AG241:AG256" si="637">VLOOKUP($E241,AE$442:AH$453,3,FALSE)*AE241*($K241)+IF($G241&lt;&gt;0,($I241/$G241)*AE241,0)*(1-$K241)</f>
        <v>0</v>
      </c>
      <c r="AH241" s="3236">
        <f t="shared" ref="AH241:AH256" si="638">VLOOKUP($E241,AE$442:AH$453,4,FALSE)*AE241*($K241)+(AE241-AF241-AG241)*(1-$K241)</f>
        <v>0</v>
      </c>
      <c r="AI241" s="3264"/>
      <c r="AM241" s="3235">
        <f>$G241</f>
        <v>0</v>
      </c>
      <c r="AN241" s="3236">
        <f t="shared" ref="AN241:AN256" si="639">VLOOKUP($E241,AM$442:AP$453,2,FALSE)*AM241*($K241)+IF($G241&lt;&gt;0,($H241/$G241)*AM241,0)*(1-$K241)</f>
        <v>0</v>
      </c>
      <c r="AO241" s="3236">
        <f t="shared" ref="AO241:AO256" si="640">VLOOKUP($E241,AM$442:AP$453,3,FALSE)*AM241*($K241)+IF($G241&lt;&gt;0,($I241/$G241)*AM241,0)*(1-$K241)</f>
        <v>0</v>
      </c>
      <c r="AP241" s="3236">
        <f t="shared" ref="AP241:AP256" si="641">VLOOKUP($E241,AM$442:AP$453,4,FALSE)*AM241*($K241)+(AM241-AN241-AO241)*(1-$K241)</f>
        <v>0</v>
      </c>
      <c r="AQ241" s="3264"/>
      <c r="AU241" s="3235">
        <f>$G241</f>
        <v>0</v>
      </c>
      <c r="AV241" s="3236">
        <f t="shared" ref="AV241:AV256" si="642">VLOOKUP($E241,AU$442:AX$453,2,FALSE)*AU241*($K241)+IF($G241&lt;&gt;0,($H241/$G241)*AU241,0)*(1-$K241)</f>
        <v>0</v>
      </c>
      <c r="AW241" s="3236">
        <f t="shared" ref="AW241:AW256" si="643">VLOOKUP($E241,AU$442:AX$453,3,FALSE)*AU241*($K241)+IF($G241&lt;&gt;0,($I241/$G241)*AU241,0)*(1-$K241)</f>
        <v>0</v>
      </c>
      <c r="AX241" s="3236">
        <f t="shared" ref="AX241:AX256" si="644">VLOOKUP($E241,AU$442:AX$453,4,FALSE)*AU241*($K241)+(AU241-AV241-AW241)*(1-$K241)</f>
        <v>0</v>
      </c>
      <c r="AY241" s="3264"/>
      <c r="BC241" s="3235">
        <f>$G241</f>
        <v>0</v>
      </c>
      <c r="BD241" s="3236">
        <f t="shared" ref="BD241:BD256" si="645">VLOOKUP($E241,BC$442:BF$453,2,FALSE)*BC241*($K241)+IF($G241&lt;&gt;0,($H241/$G241)*BC241,0)*(1-$K241)</f>
        <v>0</v>
      </c>
      <c r="BE241" s="3236">
        <f t="shared" ref="BE241:BE256" si="646">VLOOKUP($E241,BC$442:BF$453,3,FALSE)*BC241*($K241)+IF($G241&lt;&gt;0,($I241/$G241)*BC241,0)*(1-$K241)</f>
        <v>0</v>
      </c>
      <c r="BF241" s="3236">
        <f t="shared" ref="BF241:BF256" si="647">VLOOKUP($E241,BC$442:BF$453,4,FALSE)*BC241*($K241)+(BC241-BD241-BE241)*(1-$K241)</f>
        <v>0</v>
      </c>
      <c r="BG241" s="3264"/>
      <c r="BK241" s="3235">
        <f>$G241</f>
        <v>0</v>
      </c>
      <c r="BL241" s="3236">
        <f t="shared" ref="BL241:BL256" si="648">VLOOKUP($E241,BK$442:BN$453,2,FALSE)*BK241*($K241)+IF($G241&lt;&gt;0,($H241/$G241)*BK241,0)*(1-$K241)</f>
        <v>0</v>
      </c>
      <c r="BM241" s="3236">
        <f t="shared" ref="BM241:BM256" si="649">VLOOKUP($E241,BK$442:BN$453,3,FALSE)*BK241*($K241)+IF($G241&lt;&gt;0,($I241/$G241)*BK241,0)*(1-$K241)</f>
        <v>0</v>
      </c>
      <c r="BN241" s="3236">
        <f t="shared" ref="BN241:BN256" si="650">VLOOKUP($E241,BK$442:BN$453,4,FALSE)*BK241*($K241)+(BK241-BL241-BM241)*(1-$K241)</f>
        <v>0</v>
      </c>
      <c r="BO241" s="3264"/>
      <c r="BS241" s="3235">
        <f>$G241</f>
        <v>0</v>
      </c>
      <c r="BT241" s="3236">
        <f t="shared" ref="BT241:BT256" si="651">VLOOKUP($E241,BS$442:BV$453,2,FALSE)*BS241*($K241)+IF($G241&lt;&gt;0,($H241/$G241)*BS241,0)*(1-$K241)</f>
        <v>0</v>
      </c>
      <c r="BU241" s="3236">
        <f t="shared" ref="BU241:BU256" si="652">VLOOKUP($E241,BS$442:BV$453,3,FALSE)*BS241*($K241)+IF($G241&lt;&gt;0,($I241/$G241)*BS241,0)*(1-$K241)</f>
        <v>0</v>
      </c>
      <c r="BV241" s="3236">
        <f t="shared" ref="BV241:BV256" si="653">VLOOKUP($E241,BS$442:BV$453,4,FALSE)*BS241*($K241)+(BS241-BT241-BU241)*(1-$K241)</f>
        <v>0</v>
      </c>
      <c r="BW241" s="3264"/>
      <c r="CA241" s="3235">
        <f>$G241</f>
        <v>0</v>
      </c>
      <c r="CB241" s="3236">
        <f t="shared" ref="CB241:CB256" si="654">VLOOKUP($E241,CA$442:CD$453,2,FALSE)*CA241*($K241)+IF($G241&lt;&gt;0,($H241/$G241)*CA241,0)*(1-$K241)</f>
        <v>0</v>
      </c>
      <c r="CC241" s="3236">
        <f t="shared" ref="CC241:CC256" si="655">VLOOKUP($E241,CA$442:CD$453,3,FALSE)*CA241*($K241)+IF($G241&lt;&gt;0,($I241/$G241)*CA241,0)*(1-$K241)</f>
        <v>0</v>
      </c>
      <c r="CD241" s="3236">
        <f t="shared" ref="CD241:CD256" si="656">VLOOKUP($E241,CA$442:CD$453,4,FALSE)*CA241*($K241)+(CA241-CB241-CC241)*(1-$K241)</f>
        <v>0</v>
      </c>
      <c r="CE241" s="3264"/>
      <c r="CI241" s="3235">
        <f>$G241</f>
        <v>0</v>
      </c>
      <c r="CJ241" s="3236">
        <f t="shared" ref="CJ241:CJ256" si="657">VLOOKUP($E241,CI$442:CL$453,2,FALSE)*CI241*($K241)+IF($G241&lt;&gt;0,($H241/$G241)*CI241,0)*(1-$K241)</f>
        <v>0</v>
      </c>
      <c r="CK241" s="3236">
        <f t="shared" ref="CK241:CK256" si="658">VLOOKUP($E241,CI$442:CL$453,3,FALSE)*CI241*($K241)+IF($G241&lt;&gt;0,($I241/$G241)*CI241,0)*(1-$K241)</f>
        <v>0</v>
      </c>
      <c r="CL241" s="3236">
        <f t="shared" ref="CL241:CL256" si="659">VLOOKUP($E241,CI$442:CL$453,4,FALSE)*CI241*($K241)+(CI241-CJ241-CK241)*(1-$K241)</f>
        <v>0</v>
      </c>
      <c r="CM241" s="3264"/>
      <c r="CQ241" s="3235">
        <f>$G241</f>
        <v>0</v>
      </c>
      <c r="CR241" s="3236">
        <f t="shared" ref="CR241:CR256" si="660">VLOOKUP($E241,CQ$442:CT$453,2,FALSE)*CQ241*($K241)+IF($G241&lt;&gt;0,($H241/$G241)*CQ241,0)*(1-$K241)</f>
        <v>0</v>
      </c>
      <c r="CS241" s="3236">
        <f t="shared" ref="CS241:CS256" si="661">VLOOKUP($E241,CQ$442:CT$453,3,FALSE)*CQ241*($K241)+IF($G241&lt;&gt;0,($I241/$G241)*CQ241,0)*(1-$K241)</f>
        <v>0</v>
      </c>
      <c r="CT241" s="3236">
        <f t="shared" ref="CT241:CT256" si="662">VLOOKUP($E241,CQ$442:CT$453,4,FALSE)*CQ241*($K241)+(CQ241-CR241-CS241)*(1-$K241)</f>
        <v>0</v>
      </c>
      <c r="CU241" s="3264"/>
      <c r="CY241" s="3235">
        <f>$G241</f>
        <v>0</v>
      </c>
      <c r="CZ241" s="3236">
        <f t="shared" ref="CZ241:CZ256" si="663">VLOOKUP($E241,CY$442:DB$453,2,FALSE)*CY241*($K241)+IF($G241&lt;&gt;0,($H241/$G241)*CY241,0)*(1-$K241)</f>
        <v>0</v>
      </c>
      <c r="DA241" s="3236">
        <f t="shared" ref="DA241:DA256" si="664">VLOOKUP($E241,CY$442:DB$453,3,FALSE)*CY241*($K241)+IF($G241&lt;&gt;0,($I241/$G241)*CY241,0)*(1-$K241)</f>
        <v>0</v>
      </c>
      <c r="DB241" s="3236">
        <f t="shared" ref="DB241:DB256" si="665">VLOOKUP($E241,CY$442:DB$453,4,FALSE)*CY241*($K241)+(CY241-CZ241-DA241)*(1-$K241)</f>
        <v>0</v>
      </c>
      <c r="DC241" s="3264"/>
      <c r="DG241" s="3235">
        <f>$G241</f>
        <v>0</v>
      </c>
      <c r="DH241" s="3236">
        <f t="shared" ref="DH241:DH256" si="666">VLOOKUP($E241,DG$442:DJ$453,2,FALSE)*DG241*($K241)+IF($G241&lt;&gt;0,($H241/$G241)*DG241,0)*(1-$K241)</f>
        <v>0</v>
      </c>
      <c r="DI241" s="3236">
        <f t="shared" ref="DI241:DI256" si="667">VLOOKUP($E241,DG$442:DJ$453,3,FALSE)*DG241*($K241)+IF($G241&lt;&gt;0,($I241/$G241)*DG241,0)*(1-$K241)</f>
        <v>0</v>
      </c>
      <c r="DJ241" s="3236">
        <f t="shared" ref="DJ241:DJ256" si="668">VLOOKUP($E241,DG$442:DJ$453,4,FALSE)*DG241*($K241)+(DG241-DH241-DI241)*(1-$K241)</f>
        <v>0</v>
      </c>
      <c r="DK241" s="3264"/>
      <c r="DO241" s="3235">
        <f>$G241</f>
        <v>0</v>
      </c>
      <c r="DP241" s="3236">
        <f t="shared" ref="DP241:DP256" si="669">VLOOKUP($E241,DO$442:DR$453,2,FALSE)*DO241*($K241)+IF($G241&lt;&gt;0,($H241/$G241)*DO241,0)*(1-$K241)</f>
        <v>0</v>
      </c>
      <c r="DQ241" s="3236">
        <f t="shared" ref="DQ241:DQ256" si="670">VLOOKUP($E241,DO$442:DR$453,3,FALSE)*DO241*($K241)+IF($G241&lt;&gt;0,($I241/$G241)*DO241,0)*(1-$K241)</f>
        <v>0</v>
      </c>
      <c r="DR241" s="3236">
        <f t="shared" ref="DR241:DR256" si="671">VLOOKUP($E241,DO$442:DR$453,4,FALSE)*DO241*($K241)+(DO241-DP241-DQ241)*(1-$K241)</f>
        <v>0</v>
      </c>
      <c r="DS241" s="3264"/>
      <c r="DW241" s="3235">
        <f>$G241</f>
        <v>0</v>
      </c>
      <c r="DX241" s="3236">
        <f t="shared" ref="DX241:DX256" si="672">VLOOKUP($E241,DW$442:DZ$453,2,FALSE)*DW241*($K241)+IF($G241&lt;&gt;0,($H241/$G241)*DW241,0)*(1-$K241)</f>
        <v>0</v>
      </c>
      <c r="DY241" s="3236">
        <f t="shared" ref="DY241:DY256" si="673">VLOOKUP($E241,DW$442:DZ$453,3,FALSE)*DW241*($K241)+IF($G241&lt;&gt;0,($I241/$G241)*DW241,0)*(1-$K241)</f>
        <v>0</v>
      </c>
      <c r="DZ241" s="3236">
        <f t="shared" ref="DZ241:DZ256" si="674">VLOOKUP($E241,DW$442:DZ$453,4,FALSE)*DW241*($K241)+(DW241-DX241-DY241)*(1-$K241)</f>
        <v>0</v>
      </c>
      <c r="EA241" s="3264"/>
      <c r="EE241" s="3235">
        <f>$G241</f>
        <v>0</v>
      </c>
      <c r="EF241" s="3236">
        <f t="shared" ref="EF241:EF256" si="675">VLOOKUP($E241,EE$442:EH$453,2,FALSE)*EE241*($K241)+IF($G241&lt;&gt;0,($H241/$G241)*EE241,0)*(1-$K241)</f>
        <v>0</v>
      </c>
      <c r="EG241" s="3236">
        <f t="shared" ref="EG241:EG256" si="676">VLOOKUP($E241,EE$442:EH$453,3,FALSE)*EE241*($K241)+IF($G241&lt;&gt;0,($I241/$G241)*EE241,0)*(1-$K241)</f>
        <v>0</v>
      </c>
      <c r="EH241" s="3236">
        <f t="shared" ref="EH241:EH256" si="677">VLOOKUP($E241,EE$442:EH$453,4,FALSE)*EE241*($K241)+(EE241-EF241-EG241)*(1-$K241)</f>
        <v>0</v>
      </c>
      <c r="EI241" s="3264"/>
      <c r="EM241" s="3235">
        <f>$G241</f>
        <v>0</v>
      </c>
      <c r="EN241" s="3236">
        <f t="shared" ref="EN241:EN256" si="678">VLOOKUP($E241,EM$442:EP$453,2,FALSE)*EM241*($K241)+IF($G241&lt;&gt;0,($H241/$G241)*EM241,0)*(1-$K241)</f>
        <v>0</v>
      </c>
      <c r="EO241" s="3236">
        <f t="shared" ref="EO241:EO256" si="679">VLOOKUP($E241,EM$442:EP$453,3,FALSE)*EM241*($K241)+IF($G241&lt;&gt;0,($I241/$G241)*EM241,0)*(1-$K241)</f>
        <v>0</v>
      </c>
      <c r="EP241" s="3236">
        <f t="shared" ref="EP241:EP256" si="680">VLOOKUP($E241,EM$442:EP$453,4,FALSE)*EM241*($K241)+(EM241-EN241-EO241)*(1-$K241)</f>
        <v>0</v>
      </c>
      <c r="EQ241" s="3264"/>
      <c r="EU241" s="3235">
        <f>$G241</f>
        <v>0</v>
      </c>
      <c r="EV241" s="3236">
        <f t="shared" ref="EV241:EV256" si="681">VLOOKUP($E241,EU$442:EX$453,2,FALSE)*EU241*($K241)+IF($G241&lt;&gt;0,($H241/$G241)*EU241,0)*(1-$K241)</f>
        <v>0</v>
      </c>
      <c r="EW241" s="3236">
        <f t="shared" ref="EW241:EW256" si="682">VLOOKUP($E241,EU$442:EX$453,3,FALSE)*EU241*($K241)+IF($G241&lt;&gt;0,($I241/$G241)*EU241,0)*(1-$K241)</f>
        <v>0</v>
      </c>
      <c r="EX241" s="3236">
        <f t="shared" ref="EX241:EX256" si="683">VLOOKUP($E241,EU$442:EX$453,4,FALSE)*EU241*($K241)+(EU241-EV241-EW241)*(1-$K241)</f>
        <v>0</v>
      </c>
      <c r="EY241" s="3264"/>
      <c r="FC241" s="3235">
        <f>$G241</f>
        <v>0</v>
      </c>
      <c r="FD241" s="3236">
        <f t="shared" ref="FD241:FD256" si="684">VLOOKUP($E241,FC$442:FF$453,2,FALSE)*FC241*($K241)+IF($G241&lt;&gt;0,($H241/$G241)*FC241,0)*(1-$K241)</f>
        <v>0</v>
      </c>
      <c r="FE241" s="3236">
        <f t="shared" ref="FE241:FE256" si="685">VLOOKUP($E241,FC$442:FF$453,3,FALSE)*FC241*($K241)+IF($G241&lt;&gt;0,($I241/$G241)*FC241,0)*(1-$K241)</f>
        <v>0</v>
      </c>
      <c r="FF241" s="3236">
        <f t="shared" ref="FF241:FF256" si="686">VLOOKUP($E241,FC$442:FF$453,4,FALSE)*FC241*($K241)+(FC241-FD241-FE241)*(1-$K241)</f>
        <v>0</v>
      </c>
      <c r="FG241" s="3264"/>
      <c r="FK241" s="3235">
        <f>$G241</f>
        <v>0</v>
      </c>
      <c r="FL241" s="3236">
        <f t="shared" ref="FL241:FL256" si="687">VLOOKUP($E241,FK$442:FN$453,2,FALSE)*FK241*($K241)+IF($G241&lt;&gt;0,($H241/$G241)*FK241,0)*(1-$K241)</f>
        <v>0</v>
      </c>
      <c r="FM241" s="3236">
        <f t="shared" ref="FM241:FM256" si="688">VLOOKUP($E241,FK$442:FN$453,3,FALSE)*FK241*($K241)+IF($G241&lt;&gt;0,($I241/$G241)*FK241,0)*(1-$K241)</f>
        <v>0</v>
      </c>
      <c r="FN241" s="3236">
        <f t="shared" ref="FN241:FN256" si="689">VLOOKUP($E241,FK$442:FN$453,4,FALSE)*FK241*($K241)+(FK241-FL241-FM241)*(1-$K241)</f>
        <v>0</v>
      </c>
      <c r="FO241" s="3264"/>
    </row>
    <row r="242" spans="1:171">
      <c r="A242" s="3277"/>
      <c r="B242" s="2185" t="s">
        <v>369</v>
      </c>
      <c r="C242" s="2464">
        <v>336</v>
      </c>
      <c r="D242" s="2464">
        <v>403</v>
      </c>
      <c r="E242" s="2424" t="str">
        <f>'Sch 3 - Expenses'!E82</f>
        <v>DIRECT</v>
      </c>
      <c r="F242" s="2171"/>
      <c r="G242" s="2424">
        <f>'Sch 3 - Expenses'!G82</f>
        <v>3046815.6500000004</v>
      </c>
      <c r="H242" s="2424">
        <f>'Sch 3 - Expenses'!H82</f>
        <v>2120600.2430168567</v>
      </c>
      <c r="I242" s="2424">
        <f>'Sch 3 - Expenses'!I82</f>
        <v>0</v>
      </c>
      <c r="J242" s="2425">
        <f>'Sch 3 - Expenses'!J82</f>
        <v>926215.4069831433</v>
      </c>
      <c r="K242" s="3205">
        <f t="shared" si="629"/>
        <v>0</v>
      </c>
      <c r="O242" s="3235">
        <f>$G242</f>
        <v>3046815.6500000004</v>
      </c>
      <c r="P242" s="3236">
        <f t="shared" si="630"/>
        <v>2120600.2430168567</v>
      </c>
      <c r="Q242" s="3236">
        <f t="shared" si="631"/>
        <v>0</v>
      </c>
      <c r="R242" s="3236">
        <f t="shared" si="632"/>
        <v>926215.40698314365</v>
      </c>
      <c r="S242" s="3264"/>
      <c r="W242" s="3235">
        <f>$G242</f>
        <v>3046815.6500000004</v>
      </c>
      <c r="X242" s="3236">
        <f t="shared" si="633"/>
        <v>2120600.2430168567</v>
      </c>
      <c r="Y242" s="3236">
        <f t="shared" si="634"/>
        <v>0</v>
      </c>
      <c r="Z242" s="3236">
        <f t="shared" si="635"/>
        <v>926215.40698314365</v>
      </c>
      <c r="AA242" s="3264"/>
      <c r="AE242" s="3235">
        <f>$G242</f>
        <v>3046815.6500000004</v>
      </c>
      <c r="AF242" s="3236">
        <f t="shared" si="636"/>
        <v>2120600.2430168567</v>
      </c>
      <c r="AG242" s="3236">
        <f t="shared" si="637"/>
        <v>0</v>
      </c>
      <c r="AH242" s="3236">
        <f t="shared" si="638"/>
        <v>926215.40698314365</v>
      </c>
      <c r="AI242" s="3264"/>
      <c r="AM242" s="3235">
        <f>$G242</f>
        <v>3046815.6500000004</v>
      </c>
      <c r="AN242" s="3236">
        <f t="shared" si="639"/>
        <v>2120600.2430168567</v>
      </c>
      <c r="AO242" s="3236">
        <f t="shared" si="640"/>
        <v>0</v>
      </c>
      <c r="AP242" s="3236">
        <f t="shared" si="641"/>
        <v>926215.40698314365</v>
      </c>
      <c r="AQ242" s="3264"/>
      <c r="AU242" s="3235">
        <f>$G242</f>
        <v>3046815.6500000004</v>
      </c>
      <c r="AV242" s="3236">
        <f t="shared" si="642"/>
        <v>2120600.2430168567</v>
      </c>
      <c r="AW242" s="3236">
        <f t="shared" si="643"/>
        <v>0</v>
      </c>
      <c r="AX242" s="3236">
        <f t="shared" si="644"/>
        <v>926215.40698314365</v>
      </c>
      <c r="AY242" s="3264"/>
      <c r="BC242" s="3235">
        <f>$G242</f>
        <v>3046815.6500000004</v>
      </c>
      <c r="BD242" s="3236">
        <f t="shared" si="645"/>
        <v>2120600.2430168567</v>
      </c>
      <c r="BE242" s="3236">
        <f t="shared" si="646"/>
        <v>0</v>
      </c>
      <c r="BF242" s="3236">
        <f t="shared" si="647"/>
        <v>926215.40698314365</v>
      </c>
      <c r="BG242" s="3264"/>
      <c r="BK242" s="3235">
        <f>$G242</f>
        <v>3046815.6500000004</v>
      </c>
      <c r="BL242" s="3236">
        <f t="shared" si="648"/>
        <v>2120600.2430168567</v>
      </c>
      <c r="BM242" s="3236">
        <f t="shared" si="649"/>
        <v>0</v>
      </c>
      <c r="BN242" s="3236">
        <f t="shared" si="650"/>
        <v>926215.40698314365</v>
      </c>
      <c r="BO242" s="3264"/>
      <c r="BS242" s="3235">
        <f>$G242</f>
        <v>3046815.6500000004</v>
      </c>
      <c r="BT242" s="3236">
        <f t="shared" si="651"/>
        <v>2120600.2430168567</v>
      </c>
      <c r="BU242" s="3236">
        <f t="shared" si="652"/>
        <v>0</v>
      </c>
      <c r="BV242" s="3236">
        <f t="shared" si="653"/>
        <v>926215.40698314365</v>
      </c>
      <c r="BW242" s="3264"/>
      <c r="CA242" s="3235">
        <f>$G242</f>
        <v>3046815.6500000004</v>
      </c>
      <c r="CB242" s="3236">
        <f t="shared" si="654"/>
        <v>2120600.2430168567</v>
      </c>
      <c r="CC242" s="3236">
        <f t="shared" si="655"/>
        <v>0</v>
      </c>
      <c r="CD242" s="3236">
        <f t="shared" si="656"/>
        <v>926215.40698314365</v>
      </c>
      <c r="CE242" s="3264"/>
      <c r="CI242" s="3235">
        <f>$G242</f>
        <v>3046815.6500000004</v>
      </c>
      <c r="CJ242" s="3236">
        <f t="shared" si="657"/>
        <v>2120600.2430168567</v>
      </c>
      <c r="CK242" s="3236">
        <f t="shared" si="658"/>
        <v>0</v>
      </c>
      <c r="CL242" s="3236">
        <f t="shared" si="659"/>
        <v>926215.40698314365</v>
      </c>
      <c r="CM242" s="3264"/>
      <c r="CQ242" s="3235">
        <f>$G242</f>
        <v>3046815.6500000004</v>
      </c>
      <c r="CR242" s="3236">
        <f t="shared" si="660"/>
        <v>2120600.2430168567</v>
      </c>
      <c r="CS242" s="3236">
        <f t="shared" si="661"/>
        <v>0</v>
      </c>
      <c r="CT242" s="3236">
        <f t="shared" si="662"/>
        <v>926215.40698314365</v>
      </c>
      <c r="CU242" s="3264"/>
      <c r="CY242" s="3235">
        <f>$G242</f>
        <v>3046815.6500000004</v>
      </c>
      <c r="CZ242" s="3236">
        <f t="shared" si="663"/>
        <v>2120600.2430168567</v>
      </c>
      <c r="DA242" s="3236">
        <f t="shared" si="664"/>
        <v>0</v>
      </c>
      <c r="DB242" s="3236">
        <f t="shared" si="665"/>
        <v>926215.40698314365</v>
      </c>
      <c r="DC242" s="3264"/>
      <c r="DG242" s="3235">
        <f>$G242</f>
        <v>3046815.6500000004</v>
      </c>
      <c r="DH242" s="3236">
        <f t="shared" si="666"/>
        <v>2120600.2430168567</v>
      </c>
      <c r="DI242" s="3236">
        <f t="shared" si="667"/>
        <v>0</v>
      </c>
      <c r="DJ242" s="3236">
        <f t="shared" si="668"/>
        <v>926215.40698314365</v>
      </c>
      <c r="DK242" s="3264"/>
      <c r="DO242" s="3235">
        <f>$G242</f>
        <v>3046815.6500000004</v>
      </c>
      <c r="DP242" s="3236">
        <f t="shared" si="669"/>
        <v>2120600.2430168567</v>
      </c>
      <c r="DQ242" s="3236">
        <f t="shared" si="670"/>
        <v>0</v>
      </c>
      <c r="DR242" s="3236">
        <f t="shared" si="671"/>
        <v>926215.40698314365</v>
      </c>
      <c r="DS242" s="3264"/>
      <c r="DW242" s="3235">
        <f>$G242</f>
        <v>3046815.6500000004</v>
      </c>
      <c r="DX242" s="3236">
        <f t="shared" si="672"/>
        <v>2120600.2430168567</v>
      </c>
      <c r="DY242" s="3236">
        <f t="shared" si="673"/>
        <v>0</v>
      </c>
      <c r="DZ242" s="3236">
        <f t="shared" si="674"/>
        <v>926215.40698314365</v>
      </c>
      <c r="EA242" s="3264"/>
      <c r="EE242" s="3235">
        <f>$G242</f>
        <v>3046815.6500000004</v>
      </c>
      <c r="EF242" s="3236">
        <f t="shared" si="675"/>
        <v>2120600.2430168567</v>
      </c>
      <c r="EG242" s="3236">
        <f t="shared" si="676"/>
        <v>0</v>
      </c>
      <c r="EH242" s="3236">
        <f t="shared" si="677"/>
        <v>926215.40698314365</v>
      </c>
      <c r="EI242" s="3264"/>
      <c r="EM242" s="3235">
        <f>$G242</f>
        <v>3046815.6500000004</v>
      </c>
      <c r="EN242" s="3236">
        <f t="shared" si="678"/>
        <v>2120600.2430168567</v>
      </c>
      <c r="EO242" s="3236">
        <f t="shared" si="679"/>
        <v>0</v>
      </c>
      <c r="EP242" s="3236">
        <f t="shared" si="680"/>
        <v>926215.40698314365</v>
      </c>
      <c r="EQ242" s="3264"/>
      <c r="EU242" s="3235">
        <f>$G242</f>
        <v>3046815.6500000004</v>
      </c>
      <c r="EV242" s="3236">
        <f t="shared" si="681"/>
        <v>2120600.2430168567</v>
      </c>
      <c r="EW242" s="3236">
        <f t="shared" si="682"/>
        <v>0</v>
      </c>
      <c r="EX242" s="3236">
        <f t="shared" si="683"/>
        <v>926215.40698314365</v>
      </c>
      <c r="EY242" s="3264"/>
      <c r="FC242" s="3235">
        <f>$G242</f>
        <v>3046815.6500000004</v>
      </c>
      <c r="FD242" s="3236">
        <f t="shared" si="684"/>
        <v>2120600.2430168567</v>
      </c>
      <c r="FE242" s="3236">
        <f t="shared" si="685"/>
        <v>0</v>
      </c>
      <c r="FF242" s="3236">
        <f t="shared" si="686"/>
        <v>926215.40698314365</v>
      </c>
      <c r="FG242" s="3264"/>
      <c r="FK242" s="3235">
        <f>$G242</f>
        <v>3046815.6500000004</v>
      </c>
      <c r="FL242" s="3236">
        <f t="shared" si="687"/>
        <v>2120600.2430168567</v>
      </c>
      <c r="FM242" s="3236">
        <f t="shared" si="688"/>
        <v>0</v>
      </c>
      <c r="FN242" s="3236">
        <f t="shared" si="689"/>
        <v>926215.40698314365</v>
      </c>
      <c r="FO242" s="3264"/>
    </row>
    <row r="243" spans="1:171">
      <c r="A243" s="3277"/>
      <c r="B243" s="2185" t="s">
        <v>398</v>
      </c>
      <c r="C243" s="2464">
        <v>336</v>
      </c>
      <c r="D243" s="2464">
        <v>403</v>
      </c>
      <c r="E243" s="2424" t="str">
        <f>'Sch 3 - Expenses'!E83</f>
        <v>DIRECT</v>
      </c>
      <c r="F243" s="2171"/>
      <c r="G243" s="2424">
        <f>'Sch 3 - Expenses'!G83</f>
        <v>9732326.5399999991</v>
      </c>
      <c r="H243" s="2424">
        <f>'Sch 3 - Expenses'!H83</f>
        <v>0</v>
      </c>
      <c r="I243" s="2424">
        <f>'Sch 3 - Expenses'!I83</f>
        <v>0</v>
      </c>
      <c r="J243" s="2425">
        <f>'Sch 3 - Expenses'!J83</f>
        <v>9732326.5399999991</v>
      </c>
      <c r="K243" s="3205">
        <f t="shared" si="629"/>
        <v>0</v>
      </c>
      <c r="O243" s="3235">
        <f>$G243</f>
        <v>9732326.5399999991</v>
      </c>
      <c r="P243" s="3236">
        <f t="shared" si="630"/>
        <v>0</v>
      </c>
      <c r="Q243" s="3236">
        <f t="shared" si="631"/>
        <v>0</v>
      </c>
      <c r="R243" s="3236">
        <f t="shared" si="632"/>
        <v>9732326.5399999991</v>
      </c>
      <c r="S243" s="3264"/>
      <c r="W243" s="3235">
        <f>$G243</f>
        <v>9732326.5399999991</v>
      </c>
      <c r="X243" s="3236">
        <f t="shared" si="633"/>
        <v>0</v>
      </c>
      <c r="Y243" s="3236">
        <f t="shared" si="634"/>
        <v>0</v>
      </c>
      <c r="Z243" s="3236">
        <f t="shared" si="635"/>
        <v>9732326.5399999991</v>
      </c>
      <c r="AA243" s="3264"/>
      <c r="AE243" s="3235">
        <f>$G243</f>
        <v>9732326.5399999991</v>
      </c>
      <c r="AF243" s="3236">
        <f t="shared" si="636"/>
        <v>0</v>
      </c>
      <c r="AG243" s="3236">
        <f t="shared" si="637"/>
        <v>0</v>
      </c>
      <c r="AH243" s="3236">
        <f t="shared" si="638"/>
        <v>9732326.5399999991</v>
      </c>
      <c r="AI243" s="3264"/>
      <c r="AM243" s="3235">
        <f>$G243</f>
        <v>9732326.5399999991</v>
      </c>
      <c r="AN243" s="3236">
        <f t="shared" si="639"/>
        <v>0</v>
      </c>
      <c r="AO243" s="3236">
        <f t="shared" si="640"/>
        <v>0</v>
      </c>
      <c r="AP243" s="3236">
        <f t="shared" si="641"/>
        <v>9732326.5399999991</v>
      </c>
      <c r="AQ243" s="3264"/>
      <c r="AU243" s="3235">
        <f>$G243</f>
        <v>9732326.5399999991</v>
      </c>
      <c r="AV243" s="3236">
        <f t="shared" si="642"/>
        <v>0</v>
      </c>
      <c r="AW243" s="3236">
        <f t="shared" si="643"/>
        <v>0</v>
      </c>
      <c r="AX243" s="3236">
        <f t="shared" si="644"/>
        <v>9732326.5399999991</v>
      </c>
      <c r="AY243" s="3264"/>
      <c r="BC243" s="3235">
        <f>$G243</f>
        <v>9732326.5399999991</v>
      </c>
      <c r="BD243" s="3236">
        <f t="shared" si="645"/>
        <v>0</v>
      </c>
      <c r="BE243" s="3236">
        <f t="shared" si="646"/>
        <v>0</v>
      </c>
      <c r="BF243" s="3236">
        <f t="shared" si="647"/>
        <v>9732326.5399999991</v>
      </c>
      <c r="BG243" s="3264"/>
      <c r="BK243" s="3235">
        <f>$G243</f>
        <v>9732326.5399999991</v>
      </c>
      <c r="BL243" s="3236">
        <f t="shared" si="648"/>
        <v>0</v>
      </c>
      <c r="BM243" s="3236">
        <f t="shared" si="649"/>
        <v>0</v>
      </c>
      <c r="BN243" s="3236">
        <f t="shared" si="650"/>
        <v>9732326.5399999991</v>
      </c>
      <c r="BO243" s="3264"/>
      <c r="BS243" s="3235">
        <f>$G243</f>
        <v>9732326.5399999991</v>
      </c>
      <c r="BT243" s="3236">
        <f t="shared" si="651"/>
        <v>0</v>
      </c>
      <c r="BU243" s="3236">
        <f t="shared" si="652"/>
        <v>0</v>
      </c>
      <c r="BV243" s="3236">
        <f t="shared" si="653"/>
        <v>9732326.5399999991</v>
      </c>
      <c r="BW243" s="3264"/>
      <c r="CA243" s="3235">
        <f>$G243</f>
        <v>9732326.5399999991</v>
      </c>
      <c r="CB243" s="3236">
        <f t="shared" si="654"/>
        <v>0</v>
      </c>
      <c r="CC243" s="3236">
        <f t="shared" si="655"/>
        <v>0</v>
      </c>
      <c r="CD243" s="3236">
        <f t="shared" si="656"/>
        <v>9732326.5399999991</v>
      </c>
      <c r="CE243" s="3264"/>
      <c r="CI243" s="3235">
        <f>$G243</f>
        <v>9732326.5399999991</v>
      </c>
      <c r="CJ243" s="3236">
        <f t="shared" si="657"/>
        <v>0</v>
      </c>
      <c r="CK243" s="3236">
        <f t="shared" si="658"/>
        <v>0</v>
      </c>
      <c r="CL243" s="3236">
        <f t="shared" si="659"/>
        <v>9732326.5399999991</v>
      </c>
      <c r="CM243" s="3264"/>
      <c r="CQ243" s="3235">
        <f>$G243</f>
        <v>9732326.5399999991</v>
      </c>
      <c r="CR243" s="3236">
        <f t="shared" si="660"/>
        <v>0</v>
      </c>
      <c r="CS243" s="3236">
        <f t="shared" si="661"/>
        <v>0</v>
      </c>
      <c r="CT243" s="3236">
        <f t="shared" si="662"/>
        <v>9732326.5399999991</v>
      </c>
      <c r="CU243" s="3264"/>
      <c r="CY243" s="3235">
        <f>$G243</f>
        <v>9732326.5399999991</v>
      </c>
      <c r="CZ243" s="3236">
        <f t="shared" si="663"/>
        <v>0</v>
      </c>
      <c r="DA243" s="3236">
        <f t="shared" si="664"/>
        <v>0</v>
      </c>
      <c r="DB243" s="3236">
        <f t="shared" si="665"/>
        <v>9732326.5399999991</v>
      </c>
      <c r="DC243" s="3264"/>
      <c r="DG243" s="3235">
        <f>$G243</f>
        <v>9732326.5399999991</v>
      </c>
      <c r="DH243" s="3236">
        <f t="shared" si="666"/>
        <v>0</v>
      </c>
      <c r="DI243" s="3236">
        <f t="shared" si="667"/>
        <v>0</v>
      </c>
      <c r="DJ243" s="3236">
        <f t="shared" si="668"/>
        <v>9732326.5399999991</v>
      </c>
      <c r="DK243" s="3264"/>
      <c r="DO243" s="3235">
        <f>$G243</f>
        <v>9732326.5399999991</v>
      </c>
      <c r="DP243" s="3236">
        <f t="shared" si="669"/>
        <v>0</v>
      </c>
      <c r="DQ243" s="3236">
        <f t="shared" si="670"/>
        <v>0</v>
      </c>
      <c r="DR243" s="3236">
        <f t="shared" si="671"/>
        <v>9732326.5399999991</v>
      </c>
      <c r="DS243" s="3264"/>
      <c r="DW243" s="3235">
        <f>$G243</f>
        <v>9732326.5399999991</v>
      </c>
      <c r="DX243" s="3236">
        <f t="shared" si="672"/>
        <v>0</v>
      </c>
      <c r="DY243" s="3236">
        <f t="shared" si="673"/>
        <v>0</v>
      </c>
      <c r="DZ243" s="3236">
        <f t="shared" si="674"/>
        <v>9732326.5399999991</v>
      </c>
      <c r="EA243" s="3264"/>
      <c r="EE243" s="3235">
        <f>$G243</f>
        <v>9732326.5399999991</v>
      </c>
      <c r="EF243" s="3236">
        <f t="shared" si="675"/>
        <v>0</v>
      </c>
      <c r="EG243" s="3236">
        <f t="shared" si="676"/>
        <v>0</v>
      </c>
      <c r="EH243" s="3236">
        <f t="shared" si="677"/>
        <v>9732326.5399999991</v>
      </c>
      <c r="EI243" s="3264"/>
      <c r="EM243" s="3235">
        <f>$G243</f>
        <v>9732326.5399999991</v>
      </c>
      <c r="EN243" s="3236">
        <f t="shared" si="678"/>
        <v>0</v>
      </c>
      <c r="EO243" s="3236">
        <f t="shared" si="679"/>
        <v>0</v>
      </c>
      <c r="EP243" s="3236">
        <f t="shared" si="680"/>
        <v>9732326.5399999991</v>
      </c>
      <c r="EQ243" s="3264"/>
      <c r="EU243" s="3235">
        <f>$G243</f>
        <v>9732326.5399999991</v>
      </c>
      <c r="EV243" s="3236">
        <f t="shared" si="681"/>
        <v>0</v>
      </c>
      <c r="EW243" s="3236">
        <f t="shared" si="682"/>
        <v>0</v>
      </c>
      <c r="EX243" s="3236">
        <f t="shared" si="683"/>
        <v>9732326.5399999991</v>
      </c>
      <c r="EY243" s="3264"/>
      <c r="FC243" s="3235">
        <f>$G243</f>
        <v>9732326.5399999991</v>
      </c>
      <c r="FD243" s="3236">
        <f t="shared" si="684"/>
        <v>0</v>
      </c>
      <c r="FE243" s="3236">
        <f t="shared" si="685"/>
        <v>0</v>
      </c>
      <c r="FF243" s="3236">
        <f t="shared" si="686"/>
        <v>9732326.5399999991</v>
      </c>
      <c r="FG243" s="3264"/>
      <c r="FK243" s="3235">
        <f>$G243</f>
        <v>9732326.5399999991</v>
      </c>
      <c r="FL243" s="3236">
        <f t="shared" si="687"/>
        <v>0</v>
      </c>
      <c r="FM243" s="3236">
        <f t="shared" si="688"/>
        <v>0</v>
      </c>
      <c r="FN243" s="3236">
        <f t="shared" si="689"/>
        <v>9732326.5399999991</v>
      </c>
      <c r="FO243" s="3264"/>
    </row>
    <row r="244" spans="1:171">
      <c r="A244" s="3254">
        <v>200</v>
      </c>
      <c r="B244" s="2185" t="s">
        <v>88</v>
      </c>
      <c r="C244" s="2464">
        <v>336</v>
      </c>
      <c r="D244" s="2464">
        <v>403</v>
      </c>
      <c r="E244" s="2424" t="str">
        <f>'Sch 3 - Expenses'!E84</f>
        <v>PROD</v>
      </c>
      <c r="F244" s="2171"/>
      <c r="G244" s="2424">
        <f>'Sch 3 - Expenses'!G84</f>
        <v>39706645</v>
      </c>
      <c r="H244" s="2424">
        <f>'Sch 3 - Expenses'!H84</f>
        <v>39706645</v>
      </c>
      <c r="I244" s="2424">
        <f>'Sch 3 - Expenses'!I84</f>
        <v>0</v>
      </c>
      <c r="J244" s="2425">
        <f>'Sch 3 - Expenses'!J84</f>
        <v>0</v>
      </c>
      <c r="K244" s="3205">
        <f t="shared" si="629"/>
        <v>1</v>
      </c>
      <c r="N244" s="3284">
        <f>VLOOKUP($A244,'New Resources - Individual'!$A$4:$Y$133,N$2,FALSE)*N$1</f>
        <v>0</v>
      </c>
      <c r="O244" s="3235">
        <f t="shared" ref="O244:O249" si="690">$G244+N244</f>
        <v>39706645</v>
      </c>
      <c r="P244" s="3236">
        <f t="shared" si="630"/>
        <v>39706645</v>
      </c>
      <c r="Q244" s="3236">
        <f t="shared" si="631"/>
        <v>0</v>
      </c>
      <c r="R244" s="3236">
        <f t="shared" si="632"/>
        <v>0</v>
      </c>
      <c r="S244" s="3264"/>
      <c r="V244" s="3284">
        <f>VLOOKUP($A244,'New Resources - Individual'!$A$4:$Y$133,V$2,FALSE)*V$1</f>
        <v>0</v>
      </c>
      <c r="W244" s="3235">
        <f t="shared" ref="W244:W249" si="691">$G244+V244</f>
        <v>39706645</v>
      </c>
      <c r="X244" s="3236">
        <f t="shared" si="633"/>
        <v>39706645</v>
      </c>
      <c r="Y244" s="3236">
        <f t="shared" si="634"/>
        <v>0</v>
      </c>
      <c r="Z244" s="3236">
        <f t="shared" si="635"/>
        <v>0</v>
      </c>
      <c r="AA244" s="3264"/>
      <c r="AD244" s="3284">
        <f>VLOOKUP($A244,'New Resources - Individual'!$A$4:$Y$133,AD$2,FALSE)*AD$1</f>
        <v>0</v>
      </c>
      <c r="AE244" s="3235">
        <f t="shared" ref="AE244:AE249" si="692">$G244+AD244</f>
        <v>39706645</v>
      </c>
      <c r="AF244" s="3236">
        <f t="shared" si="636"/>
        <v>39706645</v>
      </c>
      <c r="AG244" s="3236">
        <f t="shared" si="637"/>
        <v>0</v>
      </c>
      <c r="AH244" s="3236">
        <f t="shared" si="638"/>
        <v>0</v>
      </c>
      <c r="AI244" s="3264"/>
      <c r="AL244" s="3284">
        <f>VLOOKUP($A244,'New Resources - Individual'!$A$4:$Y$133,AL$2,FALSE)*AL$1</f>
        <v>0</v>
      </c>
      <c r="AM244" s="3235">
        <f t="shared" ref="AM244:AM249" si="693">$G244+AL244</f>
        <v>39706645</v>
      </c>
      <c r="AN244" s="3236">
        <f t="shared" si="639"/>
        <v>39706645</v>
      </c>
      <c r="AO244" s="3236">
        <f t="shared" si="640"/>
        <v>0</v>
      </c>
      <c r="AP244" s="3236">
        <f t="shared" si="641"/>
        <v>0</v>
      </c>
      <c r="AQ244" s="3264"/>
      <c r="AT244" s="3284">
        <f>VLOOKUP($A244,'New Resources - Individual'!$A$4:$Y$133,AT$2,FALSE)*AT$1</f>
        <v>0</v>
      </c>
      <c r="AU244" s="3235">
        <f t="shared" ref="AU244:AU249" si="694">$G244+AT244</f>
        <v>39706645</v>
      </c>
      <c r="AV244" s="3236">
        <f t="shared" si="642"/>
        <v>39706645</v>
      </c>
      <c r="AW244" s="3236">
        <f t="shared" si="643"/>
        <v>0</v>
      </c>
      <c r="AX244" s="3236">
        <f t="shared" si="644"/>
        <v>0</v>
      </c>
      <c r="AY244" s="3264"/>
      <c r="BB244" s="3284">
        <f>VLOOKUP($A244,'New Resources - Individual'!$A$4:$Y$133,BB$2,FALSE)*BB$1</f>
        <v>0</v>
      </c>
      <c r="BC244" s="3235">
        <f t="shared" ref="BC244:BC249" si="695">$G244+BB244</f>
        <v>39706645</v>
      </c>
      <c r="BD244" s="3236">
        <f t="shared" si="645"/>
        <v>39706645</v>
      </c>
      <c r="BE244" s="3236">
        <f t="shared" si="646"/>
        <v>0</v>
      </c>
      <c r="BF244" s="3236">
        <f t="shared" si="647"/>
        <v>0</v>
      </c>
      <c r="BG244" s="3264"/>
      <c r="BJ244" s="3284">
        <f>VLOOKUP($A244,'New Resources - Individual'!$A$4:$Y$133,BJ$2,FALSE)*BJ$1</f>
        <v>0</v>
      </c>
      <c r="BK244" s="3235">
        <f t="shared" ref="BK244:BK249" si="696">$G244+BJ244</f>
        <v>39706645</v>
      </c>
      <c r="BL244" s="3236">
        <f t="shared" si="648"/>
        <v>39706645</v>
      </c>
      <c r="BM244" s="3236">
        <f t="shared" si="649"/>
        <v>0</v>
      </c>
      <c r="BN244" s="3236">
        <f t="shared" si="650"/>
        <v>0</v>
      </c>
      <c r="BO244" s="3264"/>
      <c r="BR244" s="3284">
        <f>VLOOKUP($A244,'New Resources - Individual'!$A$4:$Y$133,BR$2,FALSE)*BR$1</f>
        <v>0</v>
      </c>
      <c r="BS244" s="3235">
        <f t="shared" ref="BS244:BS249" si="697">$G244+BR244</f>
        <v>39706645</v>
      </c>
      <c r="BT244" s="3236">
        <f t="shared" si="651"/>
        <v>39706645</v>
      </c>
      <c r="BU244" s="3236">
        <f t="shared" si="652"/>
        <v>0</v>
      </c>
      <c r="BV244" s="3236">
        <f t="shared" si="653"/>
        <v>0</v>
      </c>
      <c r="BW244" s="3264"/>
      <c r="BZ244" s="3284">
        <f>VLOOKUP($A244,'New Resources - Individual'!$A$4:$Y$133,BZ$2,FALSE)*BZ$1</f>
        <v>0</v>
      </c>
      <c r="CA244" s="3235">
        <f t="shared" ref="CA244:CA249" si="698">$G244+BZ244</f>
        <v>39706645</v>
      </c>
      <c r="CB244" s="3236">
        <f t="shared" si="654"/>
        <v>39706645</v>
      </c>
      <c r="CC244" s="3236">
        <f t="shared" si="655"/>
        <v>0</v>
      </c>
      <c r="CD244" s="3236">
        <f t="shared" si="656"/>
        <v>0</v>
      </c>
      <c r="CE244" s="3264"/>
      <c r="CH244" s="3284">
        <f>VLOOKUP($A244,'New Resources - Individual'!$A$4:$Y$133,CH$2,FALSE)*CH$1</f>
        <v>0</v>
      </c>
      <c r="CI244" s="3235">
        <f t="shared" ref="CI244:CI249" si="699">$G244+CH244</f>
        <v>39706645</v>
      </c>
      <c r="CJ244" s="3236">
        <f t="shared" si="657"/>
        <v>39706645</v>
      </c>
      <c r="CK244" s="3236">
        <f t="shared" si="658"/>
        <v>0</v>
      </c>
      <c r="CL244" s="3236">
        <f t="shared" si="659"/>
        <v>0</v>
      </c>
      <c r="CM244" s="3264"/>
      <c r="CP244" s="3284">
        <f>VLOOKUP($A244,'New Resources - Individual'!$A$4:$Y$133,CP$2,FALSE)*CP$1</f>
        <v>0</v>
      </c>
      <c r="CQ244" s="3235">
        <f t="shared" ref="CQ244:CQ249" si="700">$G244+CP244</f>
        <v>39706645</v>
      </c>
      <c r="CR244" s="3236">
        <f t="shared" si="660"/>
        <v>39706645</v>
      </c>
      <c r="CS244" s="3236">
        <f t="shared" si="661"/>
        <v>0</v>
      </c>
      <c r="CT244" s="3236">
        <f t="shared" si="662"/>
        <v>0</v>
      </c>
      <c r="CU244" s="3264"/>
      <c r="CX244" s="3284">
        <f>VLOOKUP($A244,'New Resources - Individual'!$A$4:$Y$133,CX$2,FALSE)*CX$1</f>
        <v>0</v>
      </c>
      <c r="CY244" s="3235">
        <f t="shared" ref="CY244:CY249" si="701">$G244+CX244</f>
        <v>39706645</v>
      </c>
      <c r="CZ244" s="3236">
        <f t="shared" si="663"/>
        <v>39706645</v>
      </c>
      <c r="DA244" s="3236">
        <f t="shared" si="664"/>
        <v>0</v>
      </c>
      <c r="DB244" s="3236">
        <f t="shared" si="665"/>
        <v>0</v>
      </c>
      <c r="DC244" s="3264"/>
      <c r="DF244" s="3284">
        <f>VLOOKUP($A244,'New Resources - Individual'!$A$4:$Y$133,DF$2,FALSE)*DF$1</f>
        <v>0</v>
      </c>
      <c r="DG244" s="3235">
        <f t="shared" ref="DG244:DG249" si="702">$G244+DF244</f>
        <v>39706645</v>
      </c>
      <c r="DH244" s="3236">
        <f t="shared" si="666"/>
        <v>39706645</v>
      </c>
      <c r="DI244" s="3236">
        <f t="shared" si="667"/>
        <v>0</v>
      </c>
      <c r="DJ244" s="3236">
        <f t="shared" si="668"/>
        <v>0</v>
      </c>
      <c r="DK244" s="3264"/>
      <c r="DN244" s="3284">
        <f>VLOOKUP($A244,'New Resources - Individual'!$A$4:$Y$133,DN$2,FALSE)*DN$1</f>
        <v>0</v>
      </c>
      <c r="DO244" s="3235">
        <f t="shared" ref="DO244:DO249" si="703">$G244+DN244</f>
        <v>39706645</v>
      </c>
      <c r="DP244" s="3236">
        <f t="shared" si="669"/>
        <v>39706645</v>
      </c>
      <c r="DQ244" s="3236">
        <f t="shared" si="670"/>
        <v>0</v>
      </c>
      <c r="DR244" s="3236">
        <f t="shared" si="671"/>
        <v>0</v>
      </c>
      <c r="DS244" s="3264"/>
      <c r="DV244" s="3284">
        <f>VLOOKUP($A244,'New Resources - Individual'!$A$4:$Y$133,DV$2,FALSE)*DV$1</f>
        <v>0</v>
      </c>
      <c r="DW244" s="3235">
        <f t="shared" ref="DW244:DW249" si="704">$G244+DV244</f>
        <v>39706645</v>
      </c>
      <c r="DX244" s="3236">
        <f t="shared" si="672"/>
        <v>39706645</v>
      </c>
      <c r="DY244" s="3236">
        <f t="shared" si="673"/>
        <v>0</v>
      </c>
      <c r="DZ244" s="3236">
        <f t="shared" si="674"/>
        <v>0</v>
      </c>
      <c r="EA244" s="3264"/>
      <c r="ED244" s="3284">
        <f>VLOOKUP($A244,'New Resources - Individual'!$A$4:$Y$133,ED$2,FALSE)*ED$1</f>
        <v>0</v>
      </c>
      <c r="EE244" s="3235">
        <f t="shared" ref="EE244:EE249" si="705">$G244+ED244</f>
        <v>39706645</v>
      </c>
      <c r="EF244" s="3236">
        <f t="shared" si="675"/>
        <v>39706645</v>
      </c>
      <c r="EG244" s="3236">
        <f t="shared" si="676"/>
        <v>0</v>
      </c>
      <c r="EH244" s="3236">
        <f t="shared" si="677"/>
        <v>0</v>
      </c>
      <c r="EI244" s="3264"/>
      <c r="EL244" s="3284">
        <f>VLOOKUP($A244,'New Resources - Individual'!$A$4:$Y$133,EL$2,FALSE)*EL$1</f>
        <v>0</v>
      </c>
      <c r="EM244" s="3235">
        <f t="shared" ref="EM244:EM249" si="706">$G244+EL244</f>
        <v>39706645</v>
      </c>
      <c r="EN244" s="3236">
        <f t="shared" si="678"/>
        <v>39706645</v>
      </c>
      <c r="EO244" s="3236">
        <f t="shared" si="679"/>
        <v>0</v>
      </c>
      <c r="EP244" s="3236">
        <f t="shared" si="680"/>
        <v>0</v>
      </c>
      <c r="EQ244" s="3264"/>
      <c r="ET244" s="3284">
        <f>VLOOKUP($A244,'New Resources - Individual'!$A$4:$Y$133,ET$2,FALSE)*ET$1</f>
        <v>0</v>
      </c>
      <c r="EU244" s="3235">
        <f t="shared" ref="EU244:EU249" si="707">$G244+ET244</f>
        <v>39706645</v>
      </c>
      <c r="EV244" s="3236">
        <f t="shared" si="681"/>
        <v>39706645</v>
      </c>
      <c r="EW244" s="3236">
        <f t="shared" si="682"/>
        <v>0</v>
      </c>
      <c r="EX244" s="3236">
        <f t="shared" si="683"/>
        <v>0</v>
      </c>
      <c r="EY244" s="3264"/>
      <c r="FB244" s="3284">
        <f>VLOOKUP($A244,'New Resources - Individual'!$A$4:$Y$133,FB$2,FALSE)*FB$1</f>
        <v>0</v>
      </c>
      <c r="FC244" s="3235">
        <f t="shared" ref="FC244:FC249" si="708">$G244+FB244</f>
        <v>39706645</v>
      </c>
      <c r="FD244" s="3236">
        <f t="shared" si="684"/>
        <v>39706645</v>
      </c>
      <c r="FE244" s="3236">
        <f t="shared" si="685"/>
        <v>0</v>
      </c>
      <c r="FF244" s="3236">
        <f t="shared" si="686"/>
        <v>0</v>
      </c>
      <c r="FG244" s="3264"/>
      <c r="FJ244" s="3284">
        <f>VLOOKUP($A244,'New Resources - Individual'!$A$4:$Y$133,FJ$2,FALSE)*FJ$1</f>
        <v>0</v>
      </c>
      <c r="FK244" s="3235">
        <f t="shared" ref="FK244:FK249" si="709">$G244+FJ244</f>
        <v>39706645</v>
      </c>
      <c r="FL244" s="3236">
        <f t="shared" si="687"/>
        <v>39706645</v>
      </c>
      <c r="FM244" s="3236">
        <f t="shared" si="688"/>
        <v>0</v>
      </c>
      <c r="FN244" s="3236">
        <f t="shared" si="689"/>
        <v>0</v>
      </c>
      <c r="FO244" s="3264"/>
    </row>
    <row r="245" spans="1:171">
      <c r="A245" s="3254">
        <v>330</v>
      </c>
      <c r="B245" s="2185" t="s">
        <v>89</v>
      </c>
      <c r="C245" s="2464">
        <v>336</v>
      </c>
      <c r="D245" s="2464">
        <v>403</v>
      </c>
      <c r="E245" s="2424" t="str">
        <f>'Sch 3 - Expenses'!E85</f>
        <v>PROD</v>
      </c>
      <c r="F245" s="2171"/>
      <c r="G245" s="2424">
        <f>'Sch 3 - Expenses'!G85</f>
        <v>0</v>
      </c>
      <c r="H245" s="2424">
        <f>'Sch 3 - Expenses'!H85</f>
        <v>0</v>
      </c>
      <c r="I245" s="2424">
        <f>'Sch 3 - Expenses'!I85</f>
        <v>0</v>
      </c>
      <c r="J245" s="2425">
        <f>'Sch 3 - Expenses'!J85</f>
        <v>0</v>
      </c>
      <c r="K245" s="3205">
        <f t="shared" si="629"/>
        <v>1</v>
      </c>
      <c r="N245" s="3284">
        <f>VLOOKUP($A245,'New Resources - Individual'!$A$4:$Y$133,N$2,FALSE)*N$1</f>
        <v>0</v>
      </c>
      <c r="O245" s="3235">
        <f t="shared" si="690"/>
        <v>0</v>
      </c>
      <c r="P245" s="3236">
        <f t="shared" si="630"/>
        <v>0</v>
      </c>
      <c r="Q245" s="3236">
        <f t="shared" si="631"/>
        <v>0</v>
      </c>
      <c r="R245" s="3236">
        <f t="shared" si="632"/>
        <v>0</v>
      </c>
      <c r="S245" s="3264"/>
      <c r="V245" s="3284">
        <f>VLOOKUP($A245,'New Resources - Individual'!$A$4:$Y$133,V$2,FALSE)*V$1</f>
        <v>0</v>
      </c>
      <c r="W245" s="3235">
        <f t="shared" si="691"/>
        <v>0</v>
      </c>
      <c r="X245" s="3236">
        <f t="shared" si="633"/>
        <v>0</v>
      </c>
      <c r="Y245" s="3236">
        <f t="shared" si="634"/>
        <v>0</v>
      </c>
      <c r="Z245" s="3236">
        <f t="shared" si="635"/>
        <v>0</v>
      </c>
      <c r="AA245" s="3264"/>
      <c r="AD245" s="3284">
        <f>VLOOKUP($A245,'New Resources - Individual'!$A$4:$Y$133,AD$2,FALSE)*AD$1</f>
        <v>0</v>
      </c>
      <c r="AE245" s="3235">
        <f t="shared" si="692"/>
        <v>0</v>
      </c>
      <c r="AF245" s="3236">
        <f t="shared" si="636"/>
        <v>0</v>
      </c>
      <c r="AG245" s="3236">
        <f t="shared" si="637"/>
        <v>0</v>
      </c>
      <c r="AH245" s="3236">
        <f t="shared" si="638"/>
        <v>0</v>
      </c>
      <c r="AI245" s="3264"/>
      <c r="AL245" s="3284">
        <f>VLOOKUP($A245,'New Resources - Individual'!$A$4:$Y$133,AL$2,FALSE)*AL$1</f>
        <v>0</v>
      </c>
      <c r="AM245" s="3235">
        <f t="shared" si="693"/>
        <v>0</v>
      </c>
      <c r="AN245" s="3236">
        <f t="shared" si="639"/>
        <v>0</v>
      </c>
      <c r="AO245" s="3236">
        <f t="shared" si="640"/>
        <v>0</v>
      </c>
      <c r="AP245" s="3236">
        <f t="shared" si="641"/>
        <v>0</v>
      </c>
      <c r="AQ245" s="3264"/>
      <c r="AT245" s="3284">
        <f>VLOOKUP($A245,'New Resources - Individual'!$A$4:$Y$133,AT$2,FALSE)*AT$1</f>
        <v>0</v>
      </c>
      <c r="AU245" s="3235">
        <f t="shared" si="694"/>
        <v>0</v>
      </c>
      <c r="AV245" s="3236">
        <f t="shared" si="642"/>
        <v>0</v>
      </c>
      <c r="AW245" s="3236">
        <f t="shared" si="643"/>
        <v>0</v>
      </c>
      <c r="AX245" s="3236">
        <f t="shared" si="644"/>
        <v>0</v>
      </c>
      <c r="AY245" s="3264"/>
      <c r="BB245" s="3284">
        <f>VLOOKUP($A245,'New Resources - Individual'!$A$4:$Y$133,BB$2,FALSE)*BB$1</f>
        <v>0</v>
      </c>
      <c r="BC245" s="3235">
        <f t="shared" si="695"/>
        <v>0</v>
      </c>
      <c r="BD245" s="3236">
        <f t="shared" si="645"/>
        <v>0</v>
      </c>
      <c r="BE245" s="3236">
        <f t="shared" si="646"/>
        <v>0</v>
      </c>
      <c r="BF245" s="3236">
        <f t="shared" si="647"/>
        <v>0</v>
      </c>
      <c r="BG245" s="3264"/>
      <c r="BJ245" s="3284">
        <f>VLOOKUP($A245,'New Resources - Individual'!$A$4:$Y$133,BJ$2,FALSE)*BJ$1</f>
        <v>0</v>
      </c>
      <c r="BK245" s="3235">
        <f t="shared" si="696"/>
        <v>0</v>
      </c>
      <c r="BL245" s="3236">
        <f t="shared" si="648"/>
        <v>0</v>
      </c>
      <c r="BM245" s="3236">
        <f t="shared" si="649"/>
        <v>0</v>
      </c>
      <c r="BN245" s="3236">
        <f t="shared" si="650"/>
        <v>0</v>
      </c>
      <c r="BO245" s="3264"/>
      <c r="BR245" s="3284">
        <f>VLOOKUP($A245,'New Resources - Individual'!$A$4:$Y$133,BR$2,FALSE)*BR$1</f>
        <v>0</v>
      </c>
      <c r="BS245" s="3235">
        <f t="shared" si="697"/>
        <v>0</v>
      </c>
      <c r="BT245" s="3236">
        <f t="shared" si="651"/>
        <v>0</v>
      </c>
      <c r="BU245" s="3236">
        <f t="shared" si="652"/>
        <v>0</v>
      </c>
      <c r="BV245" s="3236">
        <f t="shared" si="653"/>
        <v>0</v>
      </c>
      <c r="BW245" s="3264"/>
      <c r="BZ245" s="3284">
        <f>VLOOKUP($A245,'New Resources - Individual'!$A$4:$Y$133,BZ$2,FALSE)*BZ$1</f>
        <v>0</v>
      </c>
      <c r="CA245" s="3235">
        <f t="shared" si="698"/>
        <v>0</v>
      </c>
      <c r="CB245" s="3236">
        <f t="shared" si="654"/>
        <v>0</v>
      </c>
      <c r="CC245" s="3236">
        <f t="shared" si="655"/>
        <v>0</v>
      </c>
      <c r="CD245" s="3236">
        <f t="shared" si="656"/>
        <v>0</v>
      </c>
      <c r="CE245" s="3264"/>
      <c r="CH245" s="3284">
        <f>VLOOKUP($A245,'New Resources - Individual'!$A$4:$Y$133,CH$2,FALSE)*CH$1</f>
        <v>0</v>
      </c>
      <c r="CI245" s="3235">
        <f t="shared" si="699"/>
        <v>0</v>
      </c>
      <c r="CJ245" s="3236">
        <f t="shared" si="657"/>
        <v>0</v>
      </c>
      <c r="CK245" s="3236">
        <f t="shared" si="658"/>
        <v>0</v>
      </c>
      <c r="CL245" s="3236">
        <f t="shared" si="659"/>
        <v>0</v>
      </c>
      <c r="CM245" s="3264"/>
      <c r="CP245" s="3284">
        <f>VLOOKUP($A245,'New Resources - Individual'!$A$4:$Y$133,CP$2,FALSE)*CP$1</f>
        <v>0</v>
      </c>
      <c r="CQ245" s="3235">
        <f t="shared" si="700"/>
        <v>0</v>
      </c>
      <c r="CR245" s="3236">
        <f t="shared" si="660"/>
        <v>0</v>
      </c>
      <c r="CS245" s="3236">
        <f t="shared" si="661"/>
        <v>0</v>
      </c>
      <c r="CT245" s="3236">
        <f t="shared" si="662"/>
        <v>0</v>
      </c>
      <c r="CU245" s="3264"/>
      <c r="CX245" s="3284">
        <f>VLOOKUP($A245,'New Resources - Individual'!$A$4:$Y$133,CX$2,FALSE)*CX$1</f>
        <v>0</v>
      </c>
      <c r="CY245" s="3235">
        <f t="shared" si="701"/>
        <v>0</v>
      </c>
      <c r="CZ245" s="3236">
        <f t="shared" si="663"/>
        <v>0</v>
      </c>
      <c r="DA245" s="3236">
        <f t="shared" si="664"/>
        <v>0</v>
      </c>
      <c r="DB245" s="3236">
        <f t="shared" si="665"/>
        <v>0</v>
      </c>
      <c r="DC245" s="3264"/>
      <c r="DF245" s="3284">
        <f>VLOOKUP($A245,'New Resources - Individual'!$A$4:$Y$133,DF$2,FALSE)*DF$1</f>
        <v>0</v>
      </c>
      <c r="DG245" s="3235">
        <f t="shared" si="702"/>
        <v>0</v>
      </c>
      <c r="DH245" s="3236">
        <f t="shared" si="666"/>
        <v>0</v>
      </c>
      <c r="DI245" s="3236">
        <f t="shared" si="667"/>
        <v>0</v>
      </c>
      <c r="DJ245" s="3236">
        <f t="shared" si="668"/>
        <v>0</v>
      </c>
      <c r="DK245" s="3264"/>
      <c r="DN245" s="3284">
        <f>VLOOKUP($A245,'New Resources - Individual'!$A$4:$Y$133,DN$2,FALSE)*DN$1</f>
        <v>0</v>
      </c>
      <c r="DO245" s="3235">
        <f t="shared" si="703"/>
        <v>0</v>
      </c>
      <c r="DP245" s="3236">
        <f t="shared" si="669"/>
        <v>0</v>
      </c>
      <c r="DQ245" s="3236">
        <f t="shared" si="670"/>
        <v>0</v>
      </c>
      <c r="DR245" s="3236">
        <f t="shared" si="671"/>
        <v>0</v>
      </c>
      <c r="DS245" s="3264"/>
      <c r="DV245" s="3284">
        <f>VLOOKUP($A245,'New Resources - Individual'!$A$4:$Y$133,DV$2,FALSE)*DV$1</f>
        <v>0</v>
      </c>
      <c r="DW245" s="3235">
        <f t="shared" si="704"/>
        <v>0</v>
      </c>
      <c r="DX245" s="3236">
        <f t="shared" si="672"/>
        <v>0</v>
      </c>
      <c r="DY245" s="3236">
        <f t="shared" si="673"/>
        <v>0</v>
      </c>
      <c r="DZ245" s="3236">
        <f t="shared" si="674"/>
        <v>0</v>
      </c>
      <c r="EA245" s="3264"/>
      <c r="ED245" s="3284">
        <f>VLOOKUP($A245,'New Resources - Individual'!$A$4:$Y$133,ED$2,FALSE)*ED$1</f>
        <v>0</v>
      </c>
      <c r="EE245" s="3235">
        <f t="shared" si="705"/>
        <v>0</v>
      </c>
      <c r="EF245" s="3236">
        <f t="shared" si="675"/>
        <v>0</v>
      </c>
      <c r="EG245" s="3236">
        <f t="shared" si="676"/>
        <v>0</v>
      </c>
      <c r="EH245" s="3236">
        <f t="shared" si="677"/>
        <v>0</v>
      </c>
      <c r="EI245" s="3264"/>
      <c r="EL245" s="3284">
        <f>VLOOKUP($A245,'New Resources - Individual'!$A$4:$Y$133,EL$2,FALSE)*EL$1</f>
        <v>0</v>
      </c>
      <c r="EM245" s="3235">
        <f t="shared" si="706"/>
        <v>0</v>
      </c>
      <c r="EN245" s="3236">
        <f t="shared" si="678"/>
        <v>0</v>
      </c>
      <c r="EO245" s="3236">
        <f t="shared" si="679"/>
        <v>0</v>
      </c>
      <c r="EP245" s="3236">
        <f t="shared" si="680"/>
        <v>0</v>
      </c>
      <c r="EQ245" s="3264"/>
      <c r="ET245" s="3284">
        <f>VLOOKUP($A245,'New Resources - Individual'!$A$4:$Y$133,ET$2,FALSE)*ET$1</f>
        <v>0</v>
      </c>
      <c r="EU245" s="3235">
        <f t="shared" si="707"/>
        <v>0</v>
      </c>
      <c r="EV245" s="3236">
        <f t="shared" si="681"/>
        <v>0</v>
      </c>
      <c r="EW245" s="3236">
        <f t="shared" si="682"/>
        <v>0</v>
      </c>
      <c r="EX245" s="3236">
        <f t="shared" si="683"/>
        <v>0</v>
      </c>
      <c r="EY245" s="3264"/>
      <c r="FB245" s="3284">
        <f>VLOOKUP($A245,'New Resources - Individual'!$A$4:$Y$133,FB$2,FALSE)*FB$1</f>
        <v>0</v>
      </c>
      <c r="FC245" s="3235">
        <f t="shared" si="708"/>
        <v>0</v>
      </c>
      <c r="FD245" s="3236">
        <f t="shared" si="684"/>
        <v>0</v>
      </c>
      <c r="FE245" s="3236">
        <f t="shared" si="685"/>
        <v>0</v>
      </c>
      <c r="FF245" s="3236">
        <f t="shared" si="686"/>
        <v>0</v>
      </c>
      <c r="FG245" s="3264"/>
      <c r="FJ245" s="3284">
        <f>VLOOKUP($A245,'New Resources - Individual'!$A$4:$Y$133,FJ$2,FALSE)*FJ$1</f>
        <v>0</v>
      </c>
      <c r="FK245" s="3235">
        <f t="shared" si="709"/>
        <v>0</v>
      </c>
      <c r="FL245" s="3236">
        <f t="shared" si="687"/>
        <v>0</v>
      </c>
      <c r="FM245" s="3236">
        <f t="shared" si="688"/>
        <v>0</v>
      </c>
      <c r="FN245" s="3236">
        <f t="shared" si="689"/>
        <v>0</v>
      </c>
      <c r="FO245" s="3264"/>
    </row>
    <row r="246" spans="1:171">
      <c r="A246" s="3254">
        <v>450</v>
      </c>
      <c r="B246" s="2185" t="s">
        <v>429</v>
      </c>
      <c r="C246" s="2464">
        <v>336</v>
      </c>
      <c r="D246" s="2464">
        <v>403</v>
      </c>
      <c r="E246" s="2424" t="str">
        <f>'Sch 3 - Expenses'!E86</f>
        <v>PROD</v>
      </c>
      <c r="F246" s="2171"/>
      <c r="G246" s="2424">
        <f>'Sch 3 - Expenses'!G86</f>
        <v>20380239</v>
      </c>
      <c r="H246" s="2424">
        <f>'Sch 3 - Expenses'!H86</f>
        <v>20380239</v>
      </c>
      <c r="I246" s="2424">
        <f>'Sch 3 - Expenses'!I86</f>
        <v>0</v>
      </c>
      <c r="J246" s="2425">
        <f>'Sch 3 - Expenses'!J86</f>
        <v>0</v>
      </c>
      <c r="K246" s="3205">
        <f t="shared" si="629"/>
        <v>1</v>
      </c>
      <c r="N246" s="3284">
        <f>VLOOKUP($A246,'New Resources - Individual'!$A$4:$Y$133,N$2,FALSE)*N$1</f>
        <v>0</v>
      </c>
      <c r="O246" s="3235">
        <f t="shared" si="690"/>
        <v>20380239</v>
      </c>
      <c r="P246" s="3236">
        <f t="shared" si="630"/>
        <v>20380239</v>
      </c>
      <c r="Q246" s="3236">
        <f t="shared" si="631"/>
        <v>0</v>
      </c>
      <c r="R246" s="3236">
        <f t="shared" si="632"/>
        <v>0</v>
      </c>
      <c r="S246" s="3264"/>
      <c r="V246" s="3284">
        <f>VLOOKUP($A246,'New Resources - Individual'!$A$4:$Y$133,V$2,FALSE)*V$1</f>
        <v>0</v>
      </c>
      <c r="W246" s="3235">
        <f t="shared" si="691"/>
        <v>20380239</v>
      </c>
      <c r="X246" s="3236">
        <f t="shared" si="633"/>
        <v>20380239</v>
      </c>
      <c r="Y246" s="3236">
        <f t="shared" si="634"/>
        <v>0</v>
      </c>
      <c r="Z246" s="3236">
        <f t="shared" si="635"/>
        <v>0</v>
      </c>
      <c r="AA246" s="3264"/>
      <c r="AD246" s="3284">
        <f>VLOOKUP($A246,'New Resources - Individual'!$A$4:$Y$133,AD$2,FALSE)*AD$1</f>
        <v>0</v>
      </c>
      <c r="AE246" s="3235">
        <f t="shared" si="692"/>
        <v>20380239</v>
      </c>
      <c r="AF246" s="3236">
        <f t="shared" si="636"/>
        <v>20380239</v>
      </c>
      <c r="AG246" s="3236">
        <f t="shared" si="637"/>
        <v>0</v>
      </c>
      <c r="AH246" s="3236">
        <f t="shared" si="638"/>
        <v>0</v>
      </c>
      <c r="AI246" s="3264"/>
      <c r="AL246" s="3284">
        <f>VLOOKUP($A246,'New Resources - Individual'!$A$4:$Y$133,AL$2,FALSE)*AL$1</f>
        <v>0</v>
      </c>
      <c r="AM246" s="3235">
        <f t="shared" si="693"/>
        <v>20380239</v>
      </c>
      <c r="AN246" s="3236">
        <f t="shared" si="639"/>
        <v>20380239</v>
      </c>
      <c r="AO246" s="3236">
        <f t="shared" si="640"/>
        <v>0</v>
      </c>
      <c r="AP246" s="3236">
        <f t="shared" si="641"/>
        <v>0</v>
      </c>
      <c r="AQ246" s="3264"/>
      <c r="AT246" s="3284">
        <f>VLOOKUP($A246,'New Resources - Individual'!$A$4:$Y$133,AT$2,FALSE)*AT$1</f>
        <v>0</v>
      </c>
      <c r="AU246" s="3235">
        <f t="shared" si="694"/>
        <v>20380239</v>
      </c>
      <c r="AV246" s="3236">
        <f t="shared" si="642"/>
        <v>20380239</v>
      </c>
      <c r="AW246" s="3236">
        <f t="shared" si="643"/>
        <v>0</v>
      </c>
      <c r="AX246" s="3236">
        <f t="shared" si="644"/>
        <v>0</v>
      </c>
      <c r="AY246" s="3264"/>
      <c r="BB246" s="3284">
        <f>VLOOKUP($A246,'New Resources - Individual'!$A$4:$Y$133,BB$2,FALSE)*BB$1</f>
        <v>0</v>
      </c>
      <c r="BC246" s="3235">
        <f t="shared" si="695"/>
        <v>20380239</v>
      </c>
      <c r="BD246" s="3236">
        <f t="shared" si="645"/>
        <v>20380239</v>
      </c>
      <c r="BE246" s="3236">
        <f t="shared" si="646"/>
        <v>0</v>
      </c>
      <c r="BF246" s="3236">
        <f t="shared" si="647"/>
        <v>0</v>
      </c>
      <c r="BG246" s="3264"/>
      <c r="BJ246" s="3284">
        <f>VLOOKUP($A246,'New Resources - Individual'!$A$4:$Y$133,BJ$2,FALSE)*BJ$1</f>
        <v>0</v>
      </c>
      <c r="BK246" s="3235">
        <f t="shared" si="696"/>
        <v>20380239</v>
      </c>
      <c r="BL246" s="3236">
        <f t="shared" si="648"/>
        <v>20380239</v>
      </c>
      <c r="BM246" s="3236">
        <f t="shared" si="649"/>
        <v>0</v>
      </c>
      <c r="BN246" s="3236">
        <f t="shared" si="650"/>
        <v>0</v>
      </c>
      <c r="BO246" s="3264"/>
      <c r="BR246" s="3284">
        <f>VLOOKUP($A246,'New Resources - Individual'!$A$4:$Y$133,BR$2,FALSE)*BR$1</f>
        <v>0</v>
      </c>
      <c r="BS246" s="3235">
        <f t="shared" si="697"/>
        <v>20380239</v>
      </c>
      <c r="BT246" s="3236">
        <f t="shared" si="651"/>
        <v>20380239</v>
      </c>
      <c r="BU246" s="3236">
        <f t="shared" si="652"/>
        <v>0</v>
      </c>
      <c r="BV246" s="3236">
        <f t="shared" si="653"/>
        <v>0</v>
      </c>
      <c r="BW246" s="3264"/>
      <c r="BZ246" s="3284">
        <f>VLOOKUP($A246,'New Resources - Individual'!$A$4:$Y$133,BZ$2,FALSE)*BZ$1</f>
        <v>0</v>
      </c>
      <c r="CA246" s="3235">
        <f t="shared" si="698"/>
        <v>20380239</v>
      </c>
      <c r="CB246" s="3236">
        <f t="shared" si="654"/>
        <v>20380239</v>
      </c>
      <c r="CC246" s="3236">
        <f t="shared" si="655"/>
        <v>0</v>
      </c>
      <c r="CD246" s="3236">
        <f t="shared" si="656"/>
        <v>0</v>
      </c>
      <c r="CE246" s="3264"/>
      <c r="CH246" s="3284">
        <f>VLOOKUP($A246,'New Resources - Individual'!$A$4:$Y$133,CH$2,FALSE)*CH$1</f>
        <v>0</v>
      </c>
      <c r="CI246" s="3235">
        <f t="shared" si="699"/>
        <v>20380239</v>
      </c>
      <c r="CJ246" s="3236">
        <f t="shared" si="657"/>
        <v>20380239</v>
      </c>
      <c r="CK246" s="3236">
        <f t="shared" si="658"/>
        <v>0</v>
      </c>
      <c r="CL246" s="3236">
        <f t="shared" si="659"/>
        <v>0</v>
      </c>
      <c r="CM246" s="3264"/>
      <c r="CP246" s="3284">
        <f>VLOOKUP($A246,'New Resources - Individual'!$A$4:$Y$133,CP$2,FALSE)*CP$1</f>
        <v>0</v>
      </c>
      <c r="CQ246" s="3235">
        <f t="shared" si="700"/>
        <v>20380239</v>
      </c>
      <c r="CR246" s="3236">
        <f t="shared" si="660"/>
        <v>20380239</v>
      </c>
      <c r="CS246" s="3236">
        <f t="shared" si="661"/>
        <v>0</v>
      </c>
      <c r="CT246" s="3236">
        <f t="shared" si="662"/>
        <v>0</v>
      </c>
      <c r="CU246" s="3264"/>
      <c r="CX246" s="3284">
        <f>VLOOKUP($A246,'New Resources - Individual'!$A$4:$Y$133,CX$2,FALSE)*CX$1</f>
        <v>0</v>
      </c>
      <c r="CY246" s="3235">
        <f t="shared" si="701"/>
        <v>20380239</v>
      </c>
      <c r="CZ246" s="3236">
        <f t="shared" si="663"/>
        <v>20380239</v>
      </c>
      <c r="DA246" s="3236">
        <f t="shared" si="664"/>
        <v>0</v>
      </c>
      <c r="DB246" s="3236">
        <f t="shared" si="665"/>
        <v>0</v>
      </c>
      <c r="DC246" s="3264"/>
      <c r="DF246" s="3284">
        <f>VLOOKUP($A246,'New Resources - Individual'!$A$4:$Y$133,DF$2,FALSE)*DF$1</f>
        <v>0</v>
      </c>
      <c r="DG246" s="3235">
        <f t="shared" si="702"/>
        <v>20380239</v>
      </c>
      <c r="DH246" s="3236">
        <f t="shared" si="666"/>
        <v>20380239</v>
      </c>
      <c r="DI246" s="3236">
        <f t="shared" si="667"/>
        <v>0</v>
      </c>
      <c r="DJ246" s="3236">
        <f t="shared" si="668"/>
        <v>0</v>
      </c>
      <c r="DK246" s="3264"/>
      <c r="DN246" s="3284">
        <f>VLOOKUP($A246,'New Resources - Individual'!$A$4:$Y$133,DN$2,FALSE)*DN$1</f>
        <v>0</v>
      </c>
      <c r="DO246" s="3235">
        <f t="shared" si="703"/>
        <v>20380239</v>
      </c>
      <c r="DP246" s="3236">
        <f t="shared" si="669"/>
        <v>20380239</v>
      </c>
      <c r="DQ246" s="3236">
        <f t="shared" si="670"/>
        <v>0</v>
      </c>
      <c r="DR246" s="3236">
        <f t="shared" si="671"/>
        <v>0</v>
      </c>
      <c r="DS246" s="3264"/>
      <c r="DV246" s="3284">
        <f>VLOOKUP($A246,'New Resources - Individual'!$A$4:$Y$133,DV$2,FALSE)*DV$1</f>
        <v>0</v>
      </c>
      <c r="DW246" s="3235">
        <f t="shared" si="704"/>
        <v>20380239</v>
      </c>
      <c r="DX246" s="3236">
        <f t="shared" si="672"/>
        <v>20380239</v>
      </c>
      <c r="DY246" s="3236">
        <f t="shared" si="673"/>
        <v>0</v>
      </c>
      <c r="DZ246" s="3236">
        <f t="shared" si="674"/>
        <v>0</v>
      </c>
      <c r="EA246" s="3264"/>
      <c r="ED246" s="3284">
        <f>VLOOKUP($A246,'New Resources - Individual'!$A$4:$Y$133,ED$2,FALSE)*ED$1</f>
        <v>0</v>
      </c>
      <c r="EE246" s="3235">
        <f t="shared" si="705"/>
        <v>20380239</v>
      </c>
      <c r="EF246" s="3236">
        <f t="shared" si="675"/>
        <v>20380239</v>
      </c>
      <c r="EG246" s="3236">
        <f t="shared" si="676"/>
        <v>0</v>
      </c>
      <c r="EH246" s="3236">
        <f t="shared" si="677"/>
        <v>0</v>
      </c>
      <c r="EI246" s="3264"/>
      <c r="EL246" s="3284">
        <f>VLOOKUP($A246,'New Resources - Individual'!$A$4:$Y$133,EL$2,FALSE)*EL$1</f>
        <v>0</v>
      </c>
      <c r="EM246" s="3235">
        <f t="shared" si="706"/>
        <v>20380239</v>
      </c>
      <c r="EN246" s="3236">
        <f t="shared" si="678"/>
        <v>20380239</v>
      </c>
      <c r="EO246" s="3236">
        <f t="shared" si="679"/>
        <v>0</v>
      </c>
      <c r="EP246" s="3236">
        <f t="shared" si="680"/>
        <v>0</v>
      </c>
      <c r="EQ246" s="3264"/>
      <c r="ET246" s="3284">
        <f>VLOOKUP($A246,'New Resources - Individual'!$A$4:$Y$133,ET$2,FALSE)*ET$1</f>
        <v>0</v>
      </c>
      <c r="EU246" s="3235">
        <f t="shared" si="707"/>
        <v>20380239</v>
      </c>
      <c r="EV246" s="3236">
        <f t="shared" si="681"/>
        <v>20380239</v>
      </c>
      <c r="EW246" s="3236">
        <f t="shared" si="682"/>
        <v>0</v>
      </c>
      <c r="EX246" s="3236">
        <f t="shared" si="683"/>
        <v>0</v>
      </c>
      <c r="EY246" s="3264"/>
      <c r="FB246" s="3284">
        <f>VLOOKUP($A246,'New Resources - Individual'!$A$4:$Y$133,FB$2,FALSE)*FB$1</f>
        <v>0</v>
      </c>
      <c r="FC246" s="3235">
        <f t="shared" si="708"/>
        <v>20380239</v>
      </c>
      <c r="FD246" s="3236">
        <f t="shared" si="684"/>
        <v>20380239</v>
      </c>
      <c r="FE246" s="3236">
        <f t="shared" si="685"/>
        <v>0</v>
      </c>
      <c r="FF246" s="3236">
        <f t="shared" si="686"/>
        <v>0</v>
      </c>
      <c r="FG246" s="3264"/>
      <c r="FJ246" s="3284">
        <f>VLOOKUP($A246,'New Resources - Individual'!$A$4:$Y$133,FJ$2,FALSE)*FJ$1</f>
        <v>0</v>
      </c>
      <c r="FK246" s="3235">
        <f t="shared" si="709"/>
        <v>20380239</v>
      </c>
      <c r="FL246" s="3236">
        <f t="shared" si="687"/>
        <v>20380239</v>
      </c>
      <c r="FM246" s="3236">
        <f t="shared" si="688"/>
        <v>0</v>
      </c>
      <c r="FN246" s="3236">
        <f t="shared" si="689"/>
        <v>0</v>
      </c>
      <c r="FO246" s="3264"/>
    </row>
    <row r="247" spans="1:171">
      <c r="A247" s="3254">
        <v>460</v>
      </c>
      <c r="B247" s="2185" t="s">
        <v>430</v>
      </c>
      <c r="C247" s="2464">
        <v>336</v>
      </c>
      <c r="D247" s="2464">
        <v>403</v>
      </c>
      <c r="E247" s="2424" t="str">
        <f>'Sch 3 - Expenses'!E87</f>
        <v>PROD</v>
      </c>
      <c r="F247" s="2171"/>
      <c r="G247" s="2424">
        <f>'Sch 3 - Expenses'!G87</f>
        <v>0</v>
      </c>
      <c r="H247" s="2424">
        <f>'Sch 3 - Expenses'!H87</f>
        <v>0</v>
      </c>
      <c r="I247" s="2424">
        <f>'Sch 3 - Expenses'!I87</f>
        <v>0</v>
      </c>
      <c r="J247" s="2425">
        <f>'Sch 3 - Expenses'!J87</f>
        <v>0</v>
      </c>
      <c r="K247" s="3205">
        <f t="shared" si="629"/>
        <v>1</v>
      </c>
      <c r="N247" s="3284">
        <f>VLOOKUP($A247,'New Resources - Individual'!$A$4:$Y$133,N$2,FALSE)*N$1</f>
        <v>0</v>
      </c>
      <c r="O247" s="3235">
        <f t="shared" si="690"/>
        <v>0</v>
      </c>
      <c r="P247" s="3236">
        <f t="shared" si="630"/>
        <v>0</v>
      </c>
      <c r="Q247" s="3236">
        <f t="shared" si="631"/>
        <v>0</v>
      </c>
      <c r="R247" s="3236">
        <f t="shared" si="632"/>
        <v>0</v>
      </c>
      <c r="S247" s="3264"/>
      <c r="V247" s="3284">
        <f>VLOOKUP($A247,'New Resources - Individual'!$A$4:$Y$133,V$2,FALSE)*V$1</f>
        <v>0</v>
      </c>
      <c r="W247" s="3235">
        <f t="shared" si="691"/>
        <v>0</v>
      </c>
      <c r="X247" s="3236">
        <f t="shared" si="633"/>
        <v>0</v>
      </c>
      <c r="Y247" s="3236">
        <f t="shared" si="634"/>
        <v>0</v>
      </c>
      <c r="Z247" s="3236">
        <f t="shared" si="635"/>
        <v>0</v>
      </c>
      <c r="AA247" s="3264"/>
      <c r="AD247" s="3284">
        <f>VLOOKUP($A247,'New Resources - Individual'!$A$4:$Y$133,AD$2,FALSE)*AD$1</f>
        <v>0</v>
      </c>
      <c r="AE247" s="3235">
        <f t="shared" si="692"/>
        <v>0</v>
      </c>
      <c r="AF247" s="3236">
        <f t="shared" si="636"/>
        <v>0</v>
      </c>
      <c r="AG247" s="3236">
        <f t="shared" si="637"/>
        <v>0</v>
      </c>
      <c r="AH247" s="3236">
        <f t="shared" si="638"/>
        <v>0</v>
      </c>
      <c r="AI247" s="3264"/>
      <c r="AL247" s="3284">
        <f>VLOOKUP($A247,'New Resources - Individual'!$A$4:$Y$133,AL$2,FALSE)*AL$1</f>
        <v>0</v>
      </c>
      <c r="AM247" s="3235">
        <f t="shared" si="693"/>
        <v>0</v>
      </c>
      <c r="AN247" s="3236">
        <f t="shared" si="639"/>
        <v>0</v>
      </c>
      <c r="AO247" s="3236">
        <f t="shared" si="640"/>
        <v>0</v>
      </c>
      <c r="AP247" s="3236">
        <f t="shared" si="641"/>
        <v>0</v>
      </c>
      <c r="AQ247" s="3264"/>
      <c r="AT247" s="3284">
        <f>VLOOKUP($A247,'New Resources - Individual'!$A$4:$Y$133,AT$2,FALSE)*AT$1</f>
        <v>0</v>
      </c>
      <c r="AU247" s="3235">
        <f t="shared" si="694"/>
        <v>0</v>
      </c>
      <c r="AV247" s="3236">
        <f t="shared" si="642"/>
        <v>0</v>
      </c>
      <c r="AW247" s="3236">
        <f t="shared" si="643"/>
        <v>0</v>
      </c>
      <c r="AX247" s="3236">
        <f t="shared" si="644"/>
        <v>0</v>
      </c>
      <c r="AY247" s="3264"/>
      <c r="BB247" s="3284">
        <f>VLOOKUP($A247,'New Resources - Individual'!$A$4:$Y$133,BB$2,FALSE)*BB$1</f>
        <v>0</v>
      </c>
      <c r="BC247" s="3235">
        <f t="shared" si="695"/>
        <v>0</v>
      </c>
      <c r="BD247" s="3236">
        <f t="shared" si="645"/>
        <v>0</v>
      </c>
      <c r="BE247" s="3236">
        <f t="shared" si="646"/>
        <v>0</v>
      </c>
      <c r="BF247" s="3236">
        <f t="shared" si="647"/>
        <v>0</v>
      </c>
      <c r="BG247" s="3264"/>
      <c r="BJ247" s="3284">
        <f>VLOOKUP($A247,'New Resources - Individual'!$A$4:$Y$133,BJ$2,FALSE)*BJ$1</f>
        <v>0</v>
      </c>
      <c r="BK247" s="3235">
        <f t="shared" si="696"/>
        <v>0</v>
      </c>
      <c r="BL247" s="3236">
        <f t="shared" si="648"/>
        <v>0</v>
      </c>
      <c r="BM247" s="3236">
        <f t="shared" si="649"/>
        <v>0</v>
      </c>
      <c r="BN247" s="3236">
        <f t="shared" si="650"/>
        <v>0</v>
      </c>
      <c r="BO247" s="3264"/>
      <c r="BR247" s="3284">
        <f>VLOOKUP($A247,'New Resources - Individual'!$A$4:$Y$133,BR$2,FALSE)*BR$1</f>
        <v>0</v>
      </c>
      <c r="BS247" s="3235">
        <f t="shared" si="697"/>
        <v>0</v>
      </c>
      <c r="BT247" s="3236">
        <f t="shared" si="651"/>
        <v>0</v>
      </c>
      <c r="BU247" s="3236">
        <f t="shared" si="652"/>
        <v>0</v>
      </c>
      <c r="BV247" s="3236">
        <f t="shared" si="653"/>
        <v>0</v>
      </c>
      <c r="BW247" s="3264"/>
      <c r="BZ247" s="3284">
        <f>VLOOKUP($A247,'New Resources - Individual'!$A$4:$Y$133,BZ$2,FALSE)*BZ$1</f>
        <v>0</v>
      </c>
      <c r="CA247" s="3235">
        <f t="shared" si="698"/>
        <v>0</v>
      </c>
      <c r="CB247" s="3236">
        <f t="shared" si="654"/>
        <v>0</v>
      </c>
      <c r="CC247" s="3236">
        <f t="shared" si="655"/>
        <v>0</v>
      </c>
      <c r="CD247" s="3236">
        <f t="shared" si="656"/>
        <v>0</v>
      </c>
      <c r="CE247" s="3264"/>
      <c r="CH247" s="3284">
        <f>VLOOKUP($A247,'New Resources - Individual'!$A$4:$Y$133,CH$2,FALSE)*CH$1</f>
        <v>0</v>
      </c>
      <c r="CI247" s="3235">
        <f t="shared" si="699"/>
        <v>0</v>
      </c>
      <c r="CJ247" s="3236">
        <f t="shared" si="657"/>
        <v>0</v>
      </c>
      <c r="CK247" s="3236">
        <f t="shared" si="658"/>
        <v>0</v>
      </c>
      <c r="CL247" s="3236">
        <f t="shared" si="659"/>
        <v>0</v>
      </c>
      <c r="CM247" s="3264"/>
      <c r="CP247" s="3284">
        <f>VLOOKUP($A247,'New Resources - Individual'!$A$4:$Y$133,CP$2,FALSE)*CP$1</f>
        <v>0</v>
      </c>
      <c r="CQ247" s="3235">
        <f t="shared" si="700"/>
        <v>0</v>
      </c>
      <c r="CR247" s="3236">
        <f t="shared" si="660"/>
        <v>0</v>
      </c>
      <c r="CS247" s="3236">
        <f t="shared" si="661"/>
        <v>0</v>
      </c>
      <c r="CT247" s="3236">
        <f t="shared" si="662"/>
        <v>0</v>
      </c>
      <c r="CU247" s="3264"/>
      <c r="CX247" s="3284">
        <f>VLOOKUP($A247,'New Resources - Individual'!$A$4:$Y$133,CX$2,FALSE)*CX$1</f>
        <v>0</v>
      </c>
      <c r="CY247" s="3235">
        <f t="shared" si="701"/>
        <v>0</v>
      </c>
      <c r="CZ247" s="3236">
        <f t="shared" si="663"/>
        <v>0</v>
      </c>
      <c r="DA247" s="3236">
        <f t="shared" si="664"/>
        <v>0</v>
      </c>
      <c r="DB247" s="3236">
        <f t="shared" si="665"/>
        <v>0</v>
      </c>
      <c r="DC247" s="3264"/>
      <c r="DF247" s="3284">
        <f>VLOOKUP($A247,'New Resources - Individual'!$A$4:$Y$133,DF$2,FALSE)*DF$1</f>
        <v>0</v>
      </c>
      <c r="DG247" s="3235">
        <f t="shared" si="702"/>
        <v>0</v>
      </c>
      <c r="DH247" s="3236">
        <f t="shared" si="666"/>
        <v>0</v>
      </c>
      <c r="DI247" s="3236">
        <f t="shared" si="667"/>
        <v>0</v>
      </c>
      <c r="DJ247" s="3236">
        <f t="shared" si="668"/>
        <v>0</v>
      </c>
      <c r="DK247" s="3264"/>
      <c r="DN247" s="3284">
        <f>VLOOKUP($A247,'New Resources - Individual'!$A$4:$Y$133,DN$2,FALSE)*DN$1</f>
        <v>0</v>
      </c>
      <c r="DO247" s="3235">
        <f t="shared" si="703"/>
        <v>0</v>
      </c>
      <c r="DP247" s="3236">
        <f t="shared" si="669"/>
        <v>0</v>
      </c>
      <c r="DQ247" s="3236">
        <f t="shared" si="670"/>
        <v>0</v>
      </c>
      <c r="DR247" s="3236">
        <f t="shared" si="671"/>
        <v>0</v>
      </c>
      <c r="DS247" s="3264"/>
      <c r="DV247" s="3284">
        <f>VLOOKUP($A247,'New Resources - Individual'!$A$4:$Y$133,DV$2,FALSE)*DV$1</f>
        <v>0</v>
      </c>
      <c r="DW247" s="3235">
        <f t="shared" si="704"/>
        <v>0</v>
      </c>
      <c r="DX247" s="3236">
        <f t="shared" si="672"/>
        <v>0</v>
      </c>
      <c r="DY247" s="3236">
        <f t="shared" si="673"/>
        <v>0</v>
      </c>
      <c r="DZ247" s="3236">
        <f t="shared" si="674"/>
        <v>0</v>
      </c>
      <c r="EA247" s="3264"/>
      <c r="ED247" s="3284">
        <f>VLOOKUP($A247,'New Resources - Individual'!$A$4:$Y$133,ED$2,FALSE)*ED$1</f>
        <v>0</v>
      </c>
      <c r="EE247" s="3235">
        <f t="shared" si="705"/>
        <v>0</v>
      </c>
      <c r="EF247" s="3236">
        <f t="shared" si="675"/>
        <v>0</v>
      </c>
      <c r="EG247" s="3236">
        <f t="shared" si="676"/>
        <v>0</v>
      </c>
      <c r="EH247" s="3236">
        <f t="shared" si="677"/>
        <v>0</v>
      </c>
      <c r="EI247" s="3264"/>
      <c r="EL247" s="3284">
        <f>VLOOKUP($A247,'New Resources - Individual'!$A$4:$Y$133,EL$2,FALSE)*EL$1</f>
        <v>0</v>
      </c>
      <c r="EM247" s="3235">
        <f t="shared" si="706"/>
        <v>0</v>
      </c>
      <c r="EN247" s="3236">
        <f t="shared" si="678"/>
        <v>0</v>
      </c>
      <c r="EO247" s="3236">
        <f t="shared" si="679"/>
        <v>0</v>
      </c>
      <c r="EP247" s="3236">
        <f t="shared" si="680"/>
        <v>0</v>
      </c>
      <c r="EQ247" s="3264"/>
      <c r="ET247" s="3284">
        <f>VLOOKUP($A247,'New Resources - Individual'!$A$4:$Y$133,ET$2,FALSE)*ET$1</f>
        <v>0</v>
      </c>
      <c r="EU247" s="3235">
        <f t="shared" si="707"/>
        <v>0</v>
      </c>
      <c r="EV247" s="3236">
        <f t="shared" si="681"/>
        <v>0</v>
      </c>
      <c r="EW247" s="3236">
        <f t="shared" si="682"/>
        <v>0</v>
      </c>
      <c r="EX247" s="3236">
        <f t="shared" si="683"/>
        <v>0</v>
      </c>
      <c r="EY247" s="3264"/>
      <c r="FB247" s="3284">
        <f>VLOOKUP($A247,'New Resources - Individual'!$A$4:$Y$133,FB$2,FALSE)*FB$1</f>
        <v>0</v>
      </c>
      <c r="FC247" s="3235">
        <f t="shared" si="708"/>
        <v>0</v>
      </c>
      <c r="FD247" s="3236">
        <f t="shared" si="684"/>
        <v>0</v>
      </c>
      <c r="FE247" s="3236">
        <f t="shared" si="685"/>
        <v>0</v>
      </c>
      <c r="FF247" s="3236">
        <f t="shared" si="686"/>
        <v>0</v>
      </c>
      <c r="FG247" s="3264"/>
      <c r="FJ247" s="3284">
        <f>VLOOKUP($A247,'New Resources - Individual'!$A$4:$Y$133,FJ$2,FALSE)*FJ$1</f>
        <v>0</v>
      </c>
      <c r="FK247" s="3235">
        <f t="shared" si="709"/>
        <v>0</v>
      </c>
      <c r="FL247" s="3236">
        <f t="shared" si="687"/>
        <v>0</v>
      </c>
      <c r="FM247" s="3236">
        <f t="shared" si="688"/>
        <v>0</v>
      </c>
      <c r="FN247" s="3236">
        <f t="shared" si="689"/>
        <v>0</v>
      </c>
      <c r="FO247" s="3264"/>
    </row>
    <row r="248" spans="1:171">
      <c r="A248" s="3254">
        <v>600</v>
      </c>
      <c r="B248" s="2185" t="s">
        <v>137</v>
      </c>
      <c r="C248" s="2464">
        <v>336</v>
      </c>
      <c r="D248" s="2464">
        <v>403</v>
      </c>
      <c r="E248" s="2424" t="str">
        <f>'Sch 3 - Expenses'!E88</f>
        <v>PROD</v>
      </c>
      <c r="F248" s="2171"/>
      <c r="G248" s="2424">
        <f>'Sch 3 - Expenses'!G88</f>
        <v>91335455</v>
      </c>
      <c r="H248" s="2424">
        <f>'Sch 3 - Expenses'!H88</f>
        <v>91335455</v>
      </c>
      <c r="I248" s="2424">
        <f>'Sch 3 - Expenses'!I88</f>
        <v>0</v>
      </c>
      <c r="J248" s="2425">
        <f>'Sch 3 - Expenses'!J88</f>
        <v>0</v>
      </c>
      <c r="K248" s="3205">
        <f t="shared" si="629"/>
        <v>1</v>
      </c>
      <c r="N248" s="3284">
        <f>VLOOKUP($A248,'New Resources - Individual'!$A$4:$Y$133,N$2,FALSE)*N$1</f>
        <v>0</v>
      </c>
      <c r="O248" s="3235">
        <f t="shared" si="690"/>
        <v>91335455</v>
      </c>
      <c r="P248" s="3236">
        <f t="shared" si="630"/>
        <v>91335455</v>
      </c>
      <c r="Q248" s="3236">
        <f t="shared" si="631"/>
        <v>0</v>
      </c>
      <c r="R248" s="3236">
        <f t="shared" si="632"/>
        <v>0</v>
      </c>
      <c r="S248" s="3264"/>
      <c r="V248" s="3284">
        <f>VLOOKUP($A248,'New Resources - Individual'!$A$4:$Y$133,V$2,FALSE)*V$1</f>
        <v>0</v>
      </c>
      <c r="W248" s="3235">
        <f t="shared" si="691"/>
        <v>91335455</v>
      </c>
      <c r="X248" s="3236">
        <f t="shared" si="633"/>
        <v>91335455</v>
      </c>
      <c r="Y248" s="3236">
        <f t="shared" si="634"/>
        <v>0</v>
      </c>
      <c r="Z248" s="3236">
        <f t="shared" si="635"/>
        <v>0</v>
      </c>
      <c r="AA248" s="3264"/>
      <c r="AD248" s="3284">
        <f>VLOOKUP($A248,'New Resources - Individual'!$A$4:$Y$133,AD$2,FALSE)*AD$1</f>
        <v>0</v>
      </c>
      <c r="AE248" s="3235">
        <f t="shared" si="692"/>
        <v>91335455</v>
      </c>
      <c r="AF248" s="3236">
        <f t="shared" si="636"/>
        <v>91335455</v>
      </c>
      <c r="AG248" s="3236">
        <f t="shared" si="637"/>
        <v>0</v>
      </c>
      <c r="AH248" s="3236">
        <f t="shared" si="638"/>
        <v>0</v>
      </c>
      <c r="AI248" s="3264"/>
      <c r="AL248" s="3284">
        <f>VLOOKUP($A248,'New Resources - Individual'!$A$4:$Y$133,AL$2,FALSE)*AL$1</f>
        <v>0</v>
      </c>
      <c r="AM248" s="3235">
        <f t="shared" si="693"/>
        <v>91335455</v>
      </c>
      <c r="AN248" s="3236">
        <f t="shared" si="639"/>
        <v>91335455</v>
      </c>
      <c r="AO248" s="3236">
        <f t="shared" si="640"/>
        <v>0</v>
      </c>
      <c r="AP248" s="3236">
        <f t="shared" si="641"/>
        <v>0</v>
      </c>
      <c r="AQ248" s="3264"/>
      <c r="AT248" s="3284">
        <f>VLOOKUP($A248,'New Resources - Individual'!$A$4:$Y$133,AT$2,FALSE)*AT$1</f>
        <v>0</v>
      </c>
      <c r="AU248" s="3235">
        <f t="shared" si="694"/>
        <v>91335455</v>
      </c>
      <c r="AV248" s="3236">
        <f t="shared" si="642"/>
        <v>91335455</v>
      </c>
      <c r="AW248" s="3236">
        <f t="shared" si="643"/>
        <v>0</v>
      </c>
      <c r="AX248" s="3236">
        <f t="shared" si="644"/>
        <v>0</v>
      </c>
      <c r="AY248" s="3264"/>
      <c r="BB248" s="3284">
        <f>VLOOKUP($A248,'New Resources - Individual'!$A$4:$Y$133,BB$2,FALSE)*BB$1</f>
        <v>0</v>
      </c>
      <c r="BC248" s="3235">
        <f t="shared" si="695"/>
        <v>91335455</v>
      </c>
      <c r="BD248" s="3236">
        <f t="shared" si="645"/>
        <v>91335455</v>
      </c>
      <c r="BE248" s="3236">
        <f t="shared" si="646"/>
        <v>0</v>
      </c>
      <c r="BF248" s="3236">
        <f t="shared" si="647"/>
        <v>0</v>
      </c>
      <c r="BG248" s="3264"/>
      <c r="BJ248" s="3284">
        <f>VLOOKUP($A248,'New Resources - Individual'!$A$4:$Y$133,BJ$2,FALSE)*BJ$1</f>
        <v>0</v>
      </c>
      <c r="BK248" s="3235">
        <f t="shared" si="696"/>
        <v>91335455</v>
      </c>
      <c r="BL248" s="3236">
        <f t="shared" si="648"/>
        <v>91335455</v>
      </c>
      <c r="BM248" s="3236">
        <f t="shared" si="649"/>
        <v>0</v>
      </c>
      <c r="BN248" s="3236">
        <f t="shared" si="650"/>
        <v>0</v>
      </c>
      <c r="BO248" s="3264"/>
      <c r="BR248" s="3284">
        <f>VLOOKUP($A248,'New Resources - Individual'!$A$4:$Y$133,BR$2,FALSE)*BR$1</f>
        <v>0</v>
      </c>
      <c r="BS248" s="3235">
        <f t="shared" si="697"/>
        <v>91335455</v>
      </c>
      <c r="BT248" s="3236">
        <f t="shared" si="651"/>
        <v>91335455</v>
      </c>
      <c r="BU248" s="3236">
        <f t="shared" si="652"/>
        <v>0</v>
      </c>
      <c r="BV248" s="3236">
        <f t="shared" si="653"/>
        <v>0</v>
      </c>
      <c r="BW248" s="3264"/>
      <c r="BZ248" s="3284">
        <f>VLOOKUP($A248,'New Resources - Individual'!$A$4:$Y$133,BZ$2,FALSE)*BZ$1</f>
        <v>0</v>
      </c>
      <c r="CA248" s="3235">
        <f t="shared" si="698"/>
        <v>91335455</v>
      </c>
      <c r="CB248" s="3236">
        <f t="shared" si="654"/>
        <v>91335455</v>
      </c>
      <c r="CC248" s="3236">
        <f t="shared" si="655"/>
        <v>0</v>
      </c>
      <c r="CD248" s="3236">
        <f t="shared" si="656"/>
        <v>0</v>
      </c>
      <c r="CE248" s="3264"/>
      <c r="CH248" s="3284">
        <f>VLOOKUP($A248,'New Resources - Individual'!$A$4:$Y$133,CH$2,FALSE)*CH$1</f>
        <v>0</v>
      </c>
      <c r="CI248" s="3235">
        <f t="shared" si="699"/>
        <v>91335455</v>
      </c>
      <c r="CJ248" s="3236">
        <f t="shared" si="657"/>
        <v>91335455</v>
      </c>
      <c r="CK248" s="3236">
        <f t="shared" si="658"/>
        <v>0</v>
      </c>
      <c r="CL248" s="3236">
        <f t="shared" si="659"/>
        <v>0</v>
      </c>
      <c r="CM248" s="3264"/>
      <c r="CP248" s="3284">
        <f>VLOOKUP($A248,'New Resources - Individual'!$A$4:$Y$133,CP$2,FALSE)*CP$1</f>
        <v>0</v>
      </c>
      <c r="CQ248" s="3235">
        <f t="shared" si="700"/>
        <v>91335455</v>
      </c>
      <c r="CR248" s="3236">
        <f t="shared" si="660"/>
        <v>91335455</v>
      </c>
      <c r="CS248" s="3236">
        <f t="shared" si="661"/>
        <v>0</v>
      </c>
      <c r="CT248" s="3236">
        <f t="shared" si="662"/>
        <v>0</v>
      </c>
      <c r="CU248" s="3264"/>
      <c r="CX248" s="3284">
        <f>VLOOKUP($A248,'New Resources - Individual'!$A$4:$Y$133,CX$2,FALSE)*CX$1</f>
        <v>0</v>
      </c>
      <c r="CY248" s="3235">
        <f t="shared" si="701"/>
        <v>91335455</v>
      </c>
      <c r="CZ248" s="3236">
        <f t="shared" si="663"/>
        <v>91335455</v>
      </c>
      <c r="DA248" s="3236">
        <f t="shared" si="664"/>
        <v>0</v>
      </c>
      <c r="DB248" s="3236">
        <f t="shared" si="665"/>
        <v>0</v>
      </c>
      <c r="DC248" s="3264"/>
      <c r="DF248" s="3284">
        <f>VLOOKUP($A248,'New Resources - Individual'!$A$4:$Y$133,DF$2,FALSE)*DF$1</f>
        <v>0</v>
      </c>
      <c r="DG248" s="3235">
        <f t="shared" si="702"/>
        <v>91335455</v>
      </c>
      <c r="DH248" s="3236">
        <f t="shared" si="666"/>
        <v>91335455</v>
      </c>
      <c r="DI248" s="3236">
        <f t="shared" si="667"/>
        <v>0</v>
      </c>
      <c r="DJ248" s="3236">
        <f t="shared" si="668"/>
        <v>0</v>
      </c>
      <c r="DK248" s="3264"/>
      <c r="DN248" s="3284">
        <f>VLOOKUP($A248,'New Resources - Individual'!$A$4:$Y$133,DN$2,FALSE)*DN$1</f>
        <v>0</v>
      </c>
      <c r="DO248" s="3235">
        <f t="shared" si="703"/>
        <v>91335455</v>
      </c>
      <c r="DP248" s="3236">
        <f t="shared" si="669"/>
        <v>91335455</v>
      </c>
      <c r="DQ248" s="3236">
        <f t="shared" si="670"/>
        <v>0</v>
      </c>
      <c r="DR248" s="3236">
        <f t="shared" si="671"/>
        <v>0</v>
      </c>
      <c r="DS248" s="3264"/>
      <c r="DV248" s="3284">
        <f>VLOOKUP($A248,'New Resources - Individual'!$A$4:$Y$133,DV$2,FALSE)*DV$1</f>
        <v>0</v>
      </c>
      <c r="DW248" s="3235">
        <f t="shared" si="704"/>
        <v>91335455</v>
      </c>
      <c r="DX248" s="3236">
        <f t="shared" si="672"/>
        <v>91335455</v>
      </c>
      <c r="DY248" s="3236">
        <f t="shared" si="673"/>
        <v>0</v>
      </c>
      <c r="DZ248" s="3236">
        <f t="shared" si="674"/>
        <v>0</v>
      </c>
      <c r="EA248" s="3264"/>
      <c r="ED248" s="3284">
        <f>VLOOKUP($A248,'New Resources - Individual'!$A$4:$Y$133,ED$2,FALSE)*ED$1</f>
        <v>0</v>
      </c>
      <c r="EE248" s="3235">
        <f t="shared" si="705"/>
        <v>91335455</v>
      </c>
      <c r="EF248" s="3236">
        <f t="shared" si="675"/>
        <v>91335455</v>
      </c>
      <c r="EG248" s="3236">
        <f t="shared" si="676"/>
        <v>0</v>
      </c>
      <c r="EH248" s="3236">
        <f t="shared" si="677"/>
        <v>0</v>
      </c>
      <c r="EI248" s="3264"/>
      <c r="EL248" s="3284">
        <f>VLOOKUP($A248,'New Resources - Individual'!$A$4:$Y$133,EL$2,FALSE)*EL$1</f>
        <v>0</v>
      </c>
      <c r="EM248" s="3235">
        <f t="shared" si="706"/>
        <v>91335455</v>
      </c>
      <c r="EN248" s="3236">
        <f t="shared" si="678"/>
        <v>91335455</v>
      </c>
      <c r="EO248" s="3236">
        <f t="shared" si="679"/>
        <v>0</v>
      </c>
      <c r="EP248" s="3236">
        <f t="shared" si="680"/>
        <v>0</v>
      </c>
      <c r="EQ248" s="3264"/>
      <c r="ET248" s="3284">
        <f>VLOOKUP($A248,'New Resources - Individual'!$A$4:$Y$133,ET$2,FALSE)*ET$1</f>
        <v>0</v>
      </c>
      <c r="EU248" s="3235">
        <f t="shared" si="707"/>
        <v>91335455</v>
      </c>
      <c r="EV248" s="3236">
        <f t="shared" si="681"/>
        <v>91335455</v>
      </c>
      <c r="EW248" s="3236">
        <f t="shared" si="682"/>
        <v>0</v>
      </c>
      <c r="EX248" s="3236">
        <f t="shared" si="683"/>
        <v>0</v>
      </c>
      <c r="EY248" s="3264"/>
      <c r="FB248" s="3284">
        <f>VLOOKUP($A248,'New Resources - Individual'!$A$4:$Y$133,FB$2,FALSE)*FB$1</f>
        <v>0</v>
      </c>
      <c r="FC248" s="3235">
        <f t="shared" si="708"/>
        <v>91335455</v>
      </c>
      <c r="FD248" s="3236">
        <f t="shared" si="684"/>
        <v>91335455</v>
      </c>
      <c r="FE248" s="3236">
        <f t="shared" si="685"/>
        <v>0</v>
      </c>
      <c r="FF248" s="3236">
        <f t="shared" si="686"/>
        <v>0</v>
      </c>
      <c r="FG248" s="3264"/>
      <c r="FJ248" s="3284">
        <f>VLOOKUP($A248,'New Resources - Individual'!$A$4:$Y$133,FJ$2,FALSE)*FJ$1</f>
        <v>0</v>
      </c>
      <c r="FK248" s="3235">
        <f t="shared" si="709"/>
        <v>91335455</v>
      </c>
      <c r="FL248" s="3236">
        <f t="shared" si="687"/>
        <v>91335455</v>
      </c>
      <c r="FM248" s="3236">
        <f t="shared" si="688"/>
        <v>0</v>
      </c>
      <c r="FN248" s="3236">
        <f t="shared" si="689"/>
        <v>0</v>
      </c>
      <c r="FO248" s="3264"/>
    </row>
    <row r="249" spans="1:171">
      <c r="A249" s="3254">
        <v>910</v>
      </c>
      <c r="B249" s="2185" t="s">
        <v>143</v>
      </c>
      <c r="C249" s="2464">
        <v>336</v>
      </c>
      <c r="D249" s="2464">
        <v>403</v>
      </c>
      <c r="E249" s="2424" t="str">
        <f>'Sch 3 - Expenses'!E89</f>
        <v>TRANS</v>
      </c>
      <c r="F249" s="2171"/>
      <c r="G249" s="2424">
        <f>'Sch 3 - Expenses'!G89</f>
        <v>37267959</v>
      </c>
      <c r="H249" s="2424">
        <f>'Sch 3 - Expenses'!H89</f>
        <v>0</v>
      </c>
      <c r="I249" s="2424">
        <f>'Sch 3 - Expenses'!I89</f>
        <v>0</v>
      </c>
      <c r="J249" s="2425">
        <f>'Sch 3 - Expenses'!J89</f>
        <v>37267959</v>
      </c>
      <c r="K249" s="3205">
        <f t="shared" si="629"/>
        <v>1</v>
      </c>
      <c r="N249" s="3284">
        <f>VLOOKUP($A249,'New Resources - Individual'!$A$4:$Y$133,N$2,FALSE)*N$1</f>
        <v>0</v>
      </c>
      <c r="O249" s="3235">
        <f t="shared" si="690"/>
        <v>37267959</v>
      </c>
      <c r="P249" s="3236">
        <f t="shared" si="630"/>
        <v>0</v>
      </c>
      <c r="Q249" s="3236">
        <f t="shared" si="631"/>
        <v>37267959</v>
      </c>
      <c r="R249" s="3236">
        <f t="shared" si="632"/>
        <v>0</v>
      </c>
      <c r="S249" s="3264"/>
      <c r="V249" s="3284">
        <f>VLOOKUP($A249,'New Resources - Individual'!$A$4:$Y$133,V$2,FALSE)*V$1</f>
        <v>0</v>
      </c>
      <c r="W249" s="3235">
        <f t="shared" si="691"/>
        <v>37267959</v>
      </c>
      <c r="X249" s="3236">
        <f t="shared" si="633"/>
        <v>0</v>
      </c>
      <c r="Y249" s="3236">
        <f t="shared" si="634"/>
        <v>37267959</v>
      </c>
      <c r="Z249" s="3236">
        <f t="shared" si="635"/>
        <v>0</v>
      </c>
      <c r="AA249" s="3264"/>
      <c r="AD249" s="3284">
        <f>VLOOKUP($A249,'New Resources - Individual'!$A$4:$Y$133,AD$2,FALSE)*AD$1</f>
        <v>0</v>
      </c>
      <c r="AE249" s="3235">
        <f t="shared" si="692"/>
        <v>37267959</v>
      </c>
      <c r="AF249" s="3236">
        <f t="shared" si="636"/>
        <v>0</v>
      </c>
      <c r="AG249" s="3236">
        <f t="shared" si="637"/>
        <v>37267959</v>
      </c>
      <c r="AH249" s="3236">
        <f t="shared" si="638"/>
        <v>0</v>
      </c>
      <c r="AI249" s="3264"/>
      <c r="AL249" s="3284">
        <f>VLOOKUP($A249,'New Resources - Individual'!$A$4:$Y$133,AL$2,FALSE)*AL$1</f>
        <v>0</v>
      </c>
      <c r="AM249" s="3235">
        <f t="shared" si="693"/>
        <v>37267959</v>
      </c>
      <c r="AN249" s="3236">
        <f t="shared" si="639"/>
        <v>0</v>
      </c>
      <c r="AO249" s="3236">
        <f t="shared" si="640"/>
        <v>37267959</v>
      </c>
      <c r="AP249" s="3236">
        <f t="shared" si="641"/>
        <v>0</v>
      </c>
      <c r="AQ249" s="3264"/>
      <c r="AT249" s="3284">
        <f>VLOOKUP($A249,'New Resources - Individual'!$A$4:$Y$133,AT$2,FALSE)*AT$1</f>
        <v>0</v>
      </c>
      <c r="AU249" s="3235">
        <f t="shared" si="694"/>
        <v>37267959</v>
      </c>
      <c r="AV249" s="3236">
        <f t="shared" si="642"/>
        <v>0</v>
      </c>
      <c r="AW249" s="3236">
        <f t="shared" si="643"/>
        <v>37267959</v>
      </c>
      <c r="AX249" s="3236">
        <f t="shared" si="644"/>
        <v>0</v>
      </c>
      <c r="AY249" s="3264"/>
      <c r="BB249" s="3284">
        <f>VLOOKUP($A249,'New Resources - Individual'!$A$4:$Y$133,BB$2,FALSE)*BB$1</f>
        <v>0</v>
      </c>
      <c r="BC249" s="3235">
        <f t="shared" si="695"/>
        <v>37267959</v>
      </c>
      <c r="BD249" s="3236">
        <f t="shared" si="645"/>
        <v>0</v>
      </c>
      <c r="BE249" s="3236">
        <f t="shared" si="646"/>
        <v>37267959</v>
      </c>
      <c r="BF249" s="3236">
        <f t="shared" si="647"/>
        <v>0</v>
      </c>
      <c r="BG249" s="3264"/>
      <c r="BJ249" s="3284">
        <f>VLOOKUP($A249,'New Resources - Individual'!$A$4:$Y$133,BJ$2,FALSE)*BJ$1</f>
        <v>0</v>
      </c>
      <c r="BK249" s="3235">
        <f t="shared" si="696"/>
        <v>37267959</v>
      </c>
      <c r="BL249" s="3236">
        <f t="shared" si="648"/>
        <v>0</v>
      </c>
      <c r="BM249" s="3236">
        <f t="shared" si="649"/>
        <v>37267959</v>
      </c>
      <c r="BN249" s="3236">
        <f t="shared" si="650"/>
        <v>0</v>
      </c>
      <c r="BO249" s="3264"/>
      <c r="BR249" s="3284">
        <f>VLOOKUP($A249,'New Resources - Individual'!$A$4:$Y$133,BR$2,FALSE)*BR$1</f>
        <v>0</v>
      </c>
      <c r="BS249" s="3235">
        <f t="shared" si="697"/>
        <v>37267959</v>
      </c>
      <c r="BT249" s="3236">
        <f t="shared" si="651"/>
        <v>0</v>
      </c>
      <c r="BU249" s="3236">
        <f t="shared" si="652"/>
        <v>37267959</v>
      </c>
      <c r="BV249" s="3236">
        <f t="shared" si="653"/>
        <v>0</v>
      </c>
      <c r="BW249" s="3264"/>
      <c r="BZ249" s="3284">
        <f>VLOOKUP($A249,'New Resources - Individual'!$A$4:$Y$133,BZ$2,FALSE)*BZ$1</f>
        <v>0</v>
      </c>
      <c r="CA249" s="3235">
        <f t="shared" si="698"/>
        <v>37267959</v>
      </c>
      <c r="CB249" s="3236">
        <f t="shared" si="654"/>
        <v>0</v>
      </c>
      <c r="CC249" s="3236">
        <f t="shared" si="655"/>
        <v>37267959</v>
      </c>
      <c r="CD249" s="3236">
        <f t="shared" si="656"/>
        <v>0</v>
      </c>
      <c r="CE249" s="3264"/>
      <c r="CH249" s="3284">
        <f>VLOOKUP($A249,'New Resources - Individual'!$A$4:$Y$133,CH$2,FALSE)*CH$1</f>
        <v>0</v>
      </c>
      <c r="CI249" s="3235">
        <f t="shared" si="699"/>
        <v>37267959</v>
      </c>
      <c r="CJ249" s="3236">
        <f t="shared" si="657"/>
        <v>0</v>
      </c>
      <c r="CK249" s="3236">
        <f t="shared" si="658"/>
        <v>37267959</v>
      </c>
      <c r="CL249" s="3236">
        <f t="shared" si="659"/>
        <v>0</v>
      </c>
      <c r="CM249" s="3264"/>
      <c r="CP249" s="3284">
        <f>VLOOKUP($A249,'New Resources - Individual'!$A$4:$Y$133,CP$2,FALSE)*CP$1</f>
        <v>0</v>
      </c>
      <c r="CQ249" s="3235">
        <f t="shared" si="700"/>
        <v>37267959</v>
      </c>
      <c r="CR249" s="3236">
        <f t="shared" si="660"/>
        <v>0</v>
      </c>
      <c r="CS249" s="3236">
        <f t="shared" si="661"/>
        <v>37267959</v>
      </c>
      <c r="CT249" s="3236">
        <f t="shared" si="662"/>
        <v>0</v>
      </c>
      <c r="CU249" s="3264"/>
      <c r="CX249" s="3284">
        <f>VLOOKUP($A249,'New Resources - Individual'!$A$4:$Y$133,CX$2,FALSE)*CX$1</f>
        <v>0</v>
      </c>
      <c r="CY249" s="3235">
        <f t="shared" si="701"/>
        <v>37267959</v>
      </c>
      <c r="CZ249" s="3236">
        <f t="shared" si="663"/>
        <v>0</v>
      </c>
      <c r="DA249" s="3236">
        <f t="shared" si="664"/>
        <v>37267959</v>
      </c>
      <c r="DB249" s="3236">
        <f t="shared" si="665"/>
        <v>0</v>
      </c>
      <c r="DC249" s="3264"/>
      <c r="DF249" s="3284">
        <f>VLOOKUP($A249,'New Resources - Individual'!$A$4:$Y$133,DF$2,FALSE)*DF$1</f>
        <v>0</v>
      </c>
      <c r="DG249" s="3235">
        <f t="shared" si="702"/>
        <v>37267959</v>
      </c>
      <c r="DH249" s="3236">
        <f t="shared" si="666"/>
        <v>0</v>
      </c>
      <c r="DI249" s="3236">
        <f t="shared" si="667"/>
        <v>37267959</v>
      </c>
      <c r="DJ249" s="3236">
        <f t="shared" si="668"/>
        <v>0</v>
      </c>
      <c r="DK249" s="3264"/>
      <c r="DN249" s="3284">
        <f>VLOOKUP($A249,'New Resources - Individual'!$A$4:$Y$133,DN$2,FALSE)*DN$1</f>
        <v>0</v>
      </c>
      <c r="DO249" s="3235">
        <f t="shared" si="703"/>
        <v>37267959</v>
      </c>
      <c r="DP249" s="3236">
        <f t="shared" si="669"/>
        <v>0</v>
      </c>
      <c r="DQ249" s="3236">
        <f t="shared" si="670"/>
        <v>37267959</v>
      </c>
      <c r="DR249" s="3236">
        <f t="shared" si="671"/>
        <v>0</v>
      </c>
      <c r="DS249" s="3264"/>
      <c r="DV249" s="3284">
        <f>VLOOKUP($A249,'New Resources - Individual'!$A$4:$Y$133,DV$2,FALSE)*DV$1</f>
        <v>0</v>
      </c>
      <c r="DW249" s="3235">
        <f t="shared" si="704"/>
        <v>37267959</v>
      </c>
      <c r="DX249" s="3236">
        <f t="shared" si="672"/>
        <v>0</v>
      </c>
      <c r="DY249" s="3236">
        <f t="shared" si="673"/>
        <v>37267959</v>
      </c>
      <c r="DZ249" s="3236">
        <f t="shared" si="674"/>
        <v>0</v>
      </c>
      <c r="EA249" s="3264"/>
      <c r="ED249" s="3284">
        <f>VLOOKUP($A249,'New Resources - Individual'!$A$4:$Y$133,ED$2,FALSE)*ED$1</f>
        <v>0</v>
      </c>
      <c r="EE249" s="3235">
        <f t="shared" si="705"/>
        <v>37267959</v>
      </c>
      <c r="EF249" s="3236">
        <f t="shared" si="675"/>
        <v>0</v>
      </c>
      <c r="EG249" s="3236">
        <f t="shared" si="676"/>
        <v>37267959</v>
      </c>
      <c r="EH249" s="3236">
        <f t="shared" si="677"/>
        <v>0</v>
      </c>
      <c r="EI249" s="3264"/>
      <c r="EL249" s="3284">
        <f>VLOOKUP($A249,'New Resources - Individual'!$A$4:$Y$133,EL$2,FALSE)*EL$1</f>
        <v>0</v>
      </c>
      <c r="EM249" s="3235">
        <f t="shared" si="706"/>
        <v>37267959</v>
      </c>
      <c r="EN249" s="3236">
        <f t="shared" si="678"/>
        <v>0</v>
      </c>
      <c r="EO249" s="3236">
        <f t="shared" si="679"/>
        <v>37267959</v>
      </c>
      <c r="EP249" s="3236">
        <f t="shared" si="680"/>
        <v>0</v>
      </c>
      <c r="EQ249" s="3264"/>
      <c r="ET249" s="3284">
        <f>VLOOKUP($A249,'New Resources - Individual'!$A$4:$Y$133,ET$2,FALSE)*ET$1</f>
        <v>0</v>
      </c>
      <c r="EU249" s="3235">
        <f t="shared" si="707"/>
        <v>37267959</v>
      </c>
      <c r="EV249" s="3236">
        <f t="shared" si="681"/>
        <v>0</v>
      </c>
      <c r="EW249" s="3236">
        <f t="shared" si="682"/>
        <v>37267959</v>
      </c>
      <c r="EX249" s="3236">
        <f t="shared" si="683"/>
        <v>0</v>
      </c>
      <c r="EY249" s="3264"/>
      <c r="FB249" s="3284">
        <f>VLOOKUP($A249,'New Resources - Individual'!$A$4:$Y$133,FB$2,FALSE)*FB$1</f>
        <v>0</v>
      </c>
      <c r="FC249" s="3235">
        <f t="shared" si="708"/>
        <v>37267959</v>
      </c>
      <c r="FD249" s="3236">
        <f t="shared" si="684"/>
        <v>0</v>
      </c>
      <c r="FE249" s="3236">
        <f t="shared" si="685"/>
        <v>37267959</v>
      </c>
      <c r="FF249" s="3236">
        <f t="shared" si="686"/>
        <v>0</v>
      </c>
      <c r="FG249" s="3264"/>
      <c r="FJ249" s="3284">
        <f>VLOOKUP($A249,'New Resources - Individual'!$A$4:$Y$133,FJ$2,FALSE)*FJ$1</f>
        <v>0</v>
      </c>
      <c r="FK249" s="3235">
        <f t="shared" si="709"/>
        <v>37267959</v>
      </c>
      <c r="FL249" s="3236">
        <f t="shared" si="687"/>
        <v>0</v>
      </c>
      <c r="FM249" s="3236">
        <f t="shared" si="688"/>
        <v>37267959</v>
      </c>
      <c r="FN249" s="3236">
        <f t="shared" si="689"/>
        <v>0</v>
      </c>
      <c r="FO249" s="3264"/>
    </row>
    <row r="250" spans="1:171">
      <c r="A250" s="3277"/>
      <c r="B250" s="2185" t="s">
        <v>469</v>
      </c>
      <c r="C250" s="2464">
        <v>336</v>
      </c>
      <c r="D250" s="2464">
        <v>403</v>
      </c>
      <c r="E250" s="2424" t="str">
        <f>'Sch 3 - Expenses'!E90</f>
        <v>DIST</v>
      </c>
      <c r="F250" s="2171"/>
      <c r="G250" s="2424">
        <f>'Sch 3 - Expenses'!G90</f>
        <v>171427092</v>
      </c>
      <c r="H250" s="2424">
        <f>'Sch 3 - Expenses'!H90</f>
        <v>0</v>
      </c>
      <c r="I250" s="2424">
        <f>'Sch 3 - Expenses'!I90</f>
        <v>0</v>
      </c>
      <c r="J250" s="2425">
        <f>'Sch 3 - Expenses'!J90</f>
        <v>171427092</v>
      </c>
      <c r="K250" s="3205">
        <f t="shared" si="629"/>
        <v>1</v>
      </c>
      <c r="O250" s="3235">
        <f t="shared" ref="O250:O256" si="710">$G250</f>
        <v>171427092</v>
      </c>
      <c r="P250" s="3236">
        <f t="shared" si="630"/>
        <v>0</v>
      </c>
      <c r="Q250" s="3236">
        <f t="shared" si="631"/>
        <v>0</v>
      </c>
      <c r="R250" s="3236">
        <f t="shared" si="632"/>
        <v>171427092</v>
      </c>
      <c r="S250" s="3264"/>
      <c r="W250" s="3235">
        <f t="shared" ref="W250:W256" si="711">$G250</f>
        <v>171427092</v>
      </c>
      <c r="X250" s="3236">
        <f t="shared" si="633"/>
        <v>0</v>
      </c>
      <c r="Y250" s="3236">
        <f t="shared" si="634"/>
        <v>0</v>
      </c>
      <c r="Z250" s="3236">
        <f t="shared" si="635"/>
        <v>171427092</v>
      </c>
      <c r="AA250" s="3264"/>
      <c r="AE250" s="3235">
        <f t="shared" ref="AE250:AE256" si="712">$G250</f>
        <v>171427092</v>
      </c>
      <c r="AF250" s="3236">
        <f t="shared" si="636"/>
        <v>0</v>
      </c>
      <c r="AG250" s="3236">
        <f t="shared" si="637"/>
        <v>0</v>
      </c>
      <c r="AH250" s="3236">
        <f t="shared" si="638"/>
        <v>171427092</v>
      </c>
      <c r="AI250" s="3264"/>
      <c r="AM250" s="3235">
        <f t="shared" ref="AM250:AM256" si="713">$G250</f>
        <v>171427092</v>
      </c>
      <c r="AN250" s="3236">
        <f t="shared" si="639"/>
        <v>0</v>
      </c>
      <c r="AO250" s="3236">
        <f t="shared" si="640"/>
        <v>0</v>
      </c>
      <c r="AP250" s="3236">
        <f t="shared" si="641"/>
        <v>171427092</v>
      </c>
      <c r="AQ250" s="3264"/>
      <c r="AU250" s="3235">
        <f t="shared" ref="AU250:AU256" si="714">$G250</f>
        <v>171427092</v>
      </c>
      <c r="AV250" s="3236">
        <f t="shared" si="642"/>
        <v>0</v>
      </c>
      <c r="AW250" s="3236">
        <f t="shared" si="643"/>
        <v>0</v>
      </c>
      <c r="AX250" s="3236">
        <f t="shared" si="644"/>
        <v>171427092</v>
      </c>
      <c r="AY250" s="3264"/>
      <c r="BC250" s="3235">
        <f t="shared" ref="BC250:BC256" si="715">$G250</f>
        <v>171427092</v>
      </c>
      <c r="BD250" s="3236">
        <f t="shared" si="645"/>
        <v>0</v>
      </c>
      <c r="BE250" s="3236">
        <f t="shared" si="646"/>
        <v>0</v>
      </c>
      <c r="BF250" s="3236">
        <f t="shared" si="647"/>
        <v>171427092</v>
      </c>
      <c r="BG250" s="3264"/>
      <c r="BK250" s="3235">
        <f t="shared" ref="BK250:BK256" si="716">$G250</f>
        <v>171427092</v>
      </c>
      <c r="BL250" s="3236">
        <f t="shared" si="648"/>
        <v>0</v>
      </c>
      <c r="BM250" s="3236">
        <f t="shared" si="649"/>
        <v>0</v>
      </c>
      <c r="BN250" s="3236">
        <f t="shared" si="650"/>
        <v>171427092</v>
      </c>
      <c r="BO250" s="3264"/>
      <c r="BS250" s="3235">
        <f t="shared" ref="BS250:BS256" si="717">$G250</f>
        <v>171427092</v>
      </c>
      <c r="BT250" s="3236">
        <f t="shared" si="651"/>
        <v>0</v>
      </c>
      <c r="BU250" s="3236">
        <f t="shared" si="652"/>
        <v>0</v>
      </c>
      <c r="BV250" s="3236">
        <f t="shared" si="653"/>
        <v>171427092</v>
      </c>
      <c r="BW250" s="3264"/>
      <c r="CA250" s="3235">
        <f t="shared" ref="CA250:CA256" si="718">$G250</f>
        <v>171427092</v>
      </c>
      <c r="CB250" s="3236">
        <f t="shared" si="654"/>
        <v>0</v>
      </c>
      <c r="CC250" s="3236">
        <f t="shared" si="655"/>
        <v>0</v>
      </c>
      <c r="CD250" s="3236">
        <f t="shared" si="656"/>
        <v>171427092</v>
      </c>
      <c r="CE250" s="3264"/>
      <c r="CI250" s="3235">
        <f t="shared" ref="CI250:CI256" si="719">$G250</f>
        <v>171427092</v>
      </c>
      <c r="CJ250" s="3236">
        <f t="shared" si="657"/>
        <v>0</v>
      </c>
      <c r="CK250" s="3236">
        <f t="shared" si="658"/>
        <v>0</v>
      </c>
      <c r="CL250" s="3236">
        <f t="shared" si="659"/>
        <v>171427092</v>
      </c>
      <c r="CM250" s="3264"/>
      <c r="CQ250" s="3235">
        <f t="shared" ref="CQ250:CQ256" si="720">$G250</f>
        <v>171427092</v>
      </c>
      <c r="CR250" s="3236">
        <f t="shared" si="660"/>
        <v>0</v>
      </c>
      <c r="CS250" s="3236">
        <f t="shared" si="661"/>
        <v>0</v>
      </c>
      <c r="CT250" s="3236">
        <f t="shared" si="662"/>
        <v>171427092</v>
      </c>
      <c r="CU250" s="3264"/>
      <c r="CY250" s="3235">
        <f t="shared" ref="CY250:CY256" si="721">$G250</f>
        <v>171427092</v>
      </c>
      <c r="CZ250" s="3236">
        <f t="shared" si="663"/>
        <v>0</v>
      </c>
      <c r="DA250" s="3236">
        <f t="shared" si="664"/>
        <v>0</v>
      </c>
      <c r="DB250" s="3236">
        <f t="shared" si="665"/>
        <v>171427092</v>
      </c>
      <c r="DC250" s="3264"/>
      <c r="DG250" s="3235">
        <f t="shared" ref="DG250:DG256" si="722">$G250</f>
        <v>171427092</v>
      </c>
      <c r="DH250" s="3236">
        <f t="shared" si="666"/>
        <v>0</v>
      </c>
      <c r="DI250" s="3236">
        <f t="shared" si="667"/>
        <v>0</v>
      </c>
      <c r="DJ250" s="3236">
        <f t="shared" si="668"/>
        <v>171427092</v>
      </c>
      <c r="DK250" s="3264"/>
      <c r="DO250" s="3235">
        <f t="shared" ref="DO250:DO256" si="723">$G250</f>
        <v>171427092</v>
      </c>
      <c r="DP250" s="3236">
        <f t="shared" si="669"/>
        <v>0</v>
      </c>
      <c r="DQ250" s="3236">
        <f t="shared" si="670"/>
        <v>0</v>
      </c>
      <c r="DR250" s="3236">
        <f t="shared" si="671"/>
        <v>171427092</v>
      </c>
      <c r="DS250" s="3264"/>
      <c r="DW250" s="3235">
        <f t="shared" ref="DW250:DW256" si="724">$G250</f>
        <v>171427092</v>
      </c>
      <c r="DX250" s="3236">
        <f t="shared" si="672"/>
        <v>0</v>
      </c>
      <c r="DY250" s="3236">
        <f t="shared" si="673"/>
        <v>0</v>
      </c>
      <c r="DZ250" s="3236">
        <f t="shared" si="674"/>
        <v>171427092</v>
      </c>
      <c r="EA250" s="3264"/>
      <c r="EE250" s="3235">
        <f t="shared" ref="EE250:EE256" si="725">$G250</f>
        <v>171427092</v>
      </c>
      <c r="EF250" s="3236">
        <f t="shared" si="675"/>
        <v>0</v>
      </c>
      <c r="EG250" s="3236">
        <f t="shared" si="676"/>
        <v>0</v>
      </c>
      <c r="EH250" s="3236">
        <f t="shared" si="677"/>
        <v>171427092</v>
      </c>
      <c r="EI250" s="3264"/>
      <c r="EM250" s="3235">
        <f t="shared" ref="EM250:EM256" si="726">$G250</f>
        <v>171427092</v>
      </c>
      <c r="EN250" s="3236">
        <f t="shared" si="678"/>
        <v>0</v>
      </c>
      <c r="EO250" s="3236">
        <f t="shared" si="679"/>
        <v>0</v>
      </c>
      <c r="EP250" s="3236">
        <f t="shared" si="680"/>
        <v>171427092</v>
      </c>
      <c r="EQ250" s="3264"/>
      <c r="EU250" s="3235">
        <f t="shared" ref="EU250:EU256" si="727">$G250</f>
        <v>171427092</v>
      </c>
      <c r="EV250" s="3236">
        <f t="shared" si="681"/>
        <v>0</v>
      </c>
      <c r="EW250" s="3236">
        <f t="shared" si="682"/>
        <v>0</v>
      </c>
      <c r="EX250" s="3236">
        <f t="shared" si="683"/>
        <v>171427092</v>
      </c>
      <c r="EY250" s="3264"/>
      <c r="FC250" s="3235">
        <f t="shared" ref="FC250:FC256" si="728">$G250</f>
        <v>171427092</v>
      </c>
      <c r="FD250" s="3236">
        <f t="shared" si="684"/>
        <v>0</v>
      </c>
      <c r="FE250" s="3236">
        <f t="shared" si="685"/>
        <v>0</v>
      </c>
      <c r="FF250" s="3236">
        <f t="shared" si="686"/>
        <v>171427092</v>
      </c>
      <c r="FG250" s="3264"/>
      <c r="FK250" s="3235">
        <f t="shared" ref="FK250:FK256" si="729">$G250</f>
        <v>171427092</v>
      </c>
      <c r="FL250" s="3236">
        <f t="shared" si="687"/>
        <v>0</v>
      </c>
      <c r="FM250" s="3236">
        <f t="shared" si="688"/>
        <v>0</v>
      </c>
      <c r="FN250" s="3236">
        <f t="shared" si="689"/>
        <v>171427092</v>
      </c>
      <c r="FO250" s="3264"/>
    </row>
    <row r="251" spans="1:171">
      <c r="A251" s="3277"/>
      <c r="B251" s="2185" t="s">
        <v>92</v>
      </c>
      <c r="C251" s="2464">
        <v>336</v>
      </c>
      <c r="D251" s="2464">
        <v>403</v>
      </c>
      <c r="E251" s="2424" t="str">
        <f>'Sch 3 - Expenses'!E91</f>
        <v>GP</v>
      </c>
      <c r="F251" s="2171"/>
      <c r="G251" s="2424">
        <f>'Sch 3 - Expenses'!G91</f>
        <v>15618734</v>
      </c>
      <c r="H251" s="2424">
        <f>'Sch 3 - Expenses'!H91</f>
        <v>5322403.9378776001</v>
      </c>
      <c r="I251" s="2424">
        <f>'Sch 3 - Expenses'!I91</f>
        <v>0</v>
      </c>
      <c r="J251" s="2425">
        <f>'Sch 3 - Expenses'!J91</f>
        <v>10296330.062122401</v>
      </c>
      <c r="K251" s="3205">
        <f t="shared" si="629"/>
        <v>1</v>
      </c>
      <c r="O251" s="3235">
        <f>($G251/$G50)*O50</f>
        <v>15618734</v>
      </c>
      <c r="P251" s="3236">
        <f t="shared" si="630"/>
        <v>5322403.9378776001</v>
      </c>
      <c r="Q251" s="3236">
        <f t="shared" si="631"/>
        <v>2622165.3568439935</v>
      </c>
      <c r="R251" s="3236">
        <f t="shared" si="632"/>
        <v>7674164.7052784059</v>
      </c>
      <c r="S251" s="3264"/>
      <c r="W251" s="3235">
        <f>($G251/$G50)*W50</f>
        <v>15618734</v>
      </c>
      <c r="X251" s="3236">
        <f t="shared" si="633"/>
        <v>5322403.9378776001</v>
      </c>
      <c r="Y251" s="3236">
        <f t="shared" si="634"/>
        <v>2622165.3568439935</v>
      </c>
      <c r="Z251" s="3236">
        <f t="shared" si="635"/>
        <v>7674164.7052784059</v>
      </c>
      <c r="AA251" s="3264"/>
      <c r="AE251" s="3235">
        <f>($G251/$G50)*AE50</f>
        <v>15618734</v>
      </c>
      <c r="AF251" s="3236">
        <f t="shared" si="636"/>
        <v>5322403.9378776001</v>
      </c>
      <c r="AG251" s="3236">
        <f t="shared" si="637"/>
        <v>2622165.3568439935</v>
      </c>
      <c r="AH251" s="3236">
        <f t="shared" si="638"/>
        <v>7674164.7052784059</v>
      </c>
      <c r="AI251" s="3264"/>
      <c r="AM251" s="3235">
        <f>($G251/$G50)*AM50</f>
        <v>15618734</v>
      </c>
      <c r="AN251" s="3236">
        <f t="shared" si="639"/>
        <v>5322403.9378776001</v>
      </c>
      <c r="AO251" s="3236">
        <f t="shared" si="640"/>
        <v>2622165.3568439935</v>
      </c>
      <c r="AP251" s="3236">
        <f t="shared" si="641"/>
        <v>7674164.7052784059</v>
      </c>
      <c r="AQ251" s="3264"/>
      <c r="AU251" s="3235">
        <f>($G251/$G50)*AU50</f>
        <v>15618734</v>
      </c>
      <c r="AV251" s="3236">
        <f t="shared" si="642"/>
        <v>5322403.9378776001</v>
      </c>
      <c r="AW251" s="3236">
        <f t="shared" si="643"/>
        <v>2622165.3568439935</v>
      </c>
      <c r="AX251" s="3236">
        <f t="shared" si="644"/>
        <v>7674164.7052784059</v>
      </c>
      <c r="AY251" s="3264"/>
      <c r="BC251" s="3235">
        <f>($G251/$G50)*BC50</f>
        <v>15618734</v>
      </c>
      <c r="BD251" s="3236">
        <f t="shared" si="645"/>
        <v>5322403.9378776001</v>
      </c>
      <c r="BE251" s="3236">
        <f t="shared" si="646"/>
        <v>2622165.3568439935</v>
      </c>
      <c r="BF251" s="3236">
        <f t="shared" si="647"/>
        <v>7674164.7052784059</v>
      </c>
      <c r="BG251" s="3264"/>
      <c r="BK251" s="3235">
        <f>($G251/$G50)*BK50</f>
        <v>15618734</v>
      </c>
      <c r="BL251" s="3236">
        <f t="shared" si="648"/>
        <v>5322403.9378776001</v>
      </c>
      <c r="BM251" s="3236">
        <f t="shared" si="649"/>
        <v>2622165.3568439935</v>
      </c>
      <c r="BN251" s="3236">
        <f t="shared" si="650"/>
        <v>7674164.7052784059</v>
      </c>
      <c r="BO251" s="3264"/>
      <c r="BS251" s="3235">
        <f>($G251/$G50)*BS50</f>
        <v>15618734</v>
      </c>
      <c r="BT251" s="3236">
        <f t="shared" si="651"/>
        <v>5322403.9378776001</v>
      </c>
      <c r="BU251" s="3236">
        <f t="shared" si="652"/>
        <v>2622165.3568439935</v>
      </c>
      <c r="BV251" s="3236">
        <f t="shared" si="653"/>
        <v>7674164.7052784059</v>
      </c>
      <c r="BW251" s="3264"/>
      <c r="CA251" s="3235">
        <f>($G251/$G50)*CA50</f>
        <v>15618734</v>
      </c>
      <c r="CB251" s="3236">
        <f t="shared" si="654"/>
        <v>5322403.9378776001</v>
      </c>
      <c r="CC251" s="3236">
        <f t="shared" si="655"/>
        <v>2622165.3568439935</v>
      </c>
      <c r="CD251" s="3236">
        <f t="shared" si="656"/>
        <v>7674164.7052784059</v>
      </c>
      <c r="CE251" s="3264"/>
      <c r="CI251" s="3235">
        <f>($G251/$G50)*CI50</f>
        <v>15618734</v>
      </c>
      <c r="CJ251" s="3236">
        <f t="shared" si="657"/>
        <v>5322403.9378776001</v>
      </c>
      <c r="CK251" s="3236">
        <f t="shared" si="658"/>
        <v>2622165.3568439935</v>
      </c>
      <c r="CL251" s="3236">
        <f t="shared" si="659"/>
        <v>7674164.7052784059</v>
      </c>
      <c r="CM251" s="3264"/>
      <c r="CQ251" s="3235">
        <f>($G251/$G50)*CQ50</f>
        <v>15618734</v>
      </c>
      <c r="CR251" s="3236">
        <f t="shared" si="660"/>
        <v>5322403.9378776001</v>
      </c>
      <c r="CS251" s="3236">
        <f t="shared" si="661"/>
        <v>2622165.3568439935</v>
      </c>
      <c r="CT251" s="3236">
        <f t="shared" si="662"/>
        <v>7674164.7052784059</v>
      </c>
      <c r="CU251" s="3264"/>
      <c r="CY251" s="3235">
        <f>($G251/$G50)*CY50</f>
        <v>15618734</v>
      </c>
      <c r="CZ251" s="3236">
        <f t="shared" si="663"/>
        <v>5322403.9378776001</v>
      </c>
      <c r="DA251" s="3236">
        <f t="shared" si="664"/>
        <v>2622165.3568439935</v>
      </c>
      <c r="DB251" s="3236">
        <f t="shared" si="665"/>
        <v>7674164.7052784059</v>
      </c>
      <c r="DC251" s="3264"/>
      <c r="DG251" s="3235">
        <f>($G251/$G50)*DG50</f>
        <v>15618734</v>
      </c>
      <c r="DH251" s="3236">
        <f t="shared" si="666"/>
        <v>5322403.9378776001</v>
      </c>
      <c r="DI251" s="3236">
        <f t="shared" si="667"/>
        <v>2622165.3568439935</v>
      </c>
      <c r="DJ251" s="3236">
        <f t="shared" si="668"/>
        <v>7674164.7052784059</v>
      </c>
      <c r="DK251" s="3264"/>
      <c r="DO251" s="3235">
        <f>($G251/$G50)*DO50</f>
        <v>15618734</v>
      </c>
      <c r="DP251" s="3236">
        <f t="shared" si="669"/>
        <v>5322403.9378776001</v>
      </c>
      <c r="DQ251" s="3236">
        <f t="shared" si="670"/>
        <v>2622165.3568439935</v>
      </c>
      <c r="DR251" s="3236">
        <f t="shared" si="671"/>
        <v>7674164.7052784059</v>
      </c>
      <c r="DS251" s="3264"/>
      <c r="DW251" s="3235">
        <f>($G251/$G50)*DW50</f>
        <v>15618734</v>
      </c>
      <c r="DX251" s="3236">
        <f t="shared" si="672"/>
        <v>5322403.9378776001</v>
      </c>
      <c r="DY251" s="3236">
        <f t="shared" si="673"/>
        <v>2622165.3568439935</v>
      </c>
      <c r="DZ251" s="3236">
        <f t="shared" si="674"/>
        <v>7674164.7052784059</v>
      </c>
      <c r="EA251" s="3264"/>
      <c r="EE251" s="3235">
        <f>($G251/$G50)*EE50</f>
        <v>15618734</v>
      </c>
      <c r="EF251" s="3236">
        <f t="shared" si="675"/>
        <v>5322403.9378776001</v>
      </c>
      <c r="EG251" s="3236">
        <f t="shared" si="676"/>
        <v>2622165.3568439935</v>
      </c>
      <c r="EH251" s="3236">
        <f t="shared" si="677"/>
        <v>7674164.7052784059</v>
      </c>
      <c r="EI251" s="3264"/>
      <c r="EM251" s="3235">
        <f>($G251/$G50)*EM50</f>
        <v>15618734</v>
      </c>
      <c r="EN251" s="3236">
        <f t="shared" si="678"/>
        <v>5322403.9378776001</v>
      </c>
      <c r="EO251" s="3236">
        <f t="shared" si="679"/>
        <v>2622165.3568439935</v>
      </c>
      <c r="EP251" s="3236">
        <f t="shared" si="680"/>
        <v>7674164.7052784059</v>
      </c>
      <c r="EQ251" s="3264"/>
      <c r="EU251" s="3235">
        <f>($G251/$G50)*EU50</f>
        <v>15618734</v>
      </c>
      <c r="EV251" s="3236">
        <f t="shared" si="681"/>
        <v>5322403.9378776001</v>
      </c>
      <c r="EW251" s="3236">
        <f t="shared" si="682"/>
        <v>2622165.3568439935</v>
      </c>
      <c r="EX251" s="3236">
        <f t="shared" si="683"/>
        <v>7674164.7052784059</v>
      </c>
      <c r="EY251" s="3264"/>
      <c r="FC251" s="3235">
        <f>($G251/$G50)*FC50</f>
        <v>15618734</v>
      </c>
      <c r="FD251" s="3236">
        <f t="shared" si="684"/>
        <v>5322403.9378776001</v>
      </c>
      <c r="FE251" s="3236">
        <f t="shared" si="685"/>
        <v>2622165.3568439935</v>
      </c>
      <c r="FF251" s="3236">
        <f t="shared" si="686"/>
        <v>7674164.7052784059</v>
      </c>
      <c r="FG251" s="3264"/>
      <c r="FK251" s="3235">
        <f>($G251/$G50)*FK50</f>
        <v>15618734</v>
      </c>
      <c r="FL251" s="3236">
        <f t="shared" si="687"/>
        <v>5322403.9378776001</v>
      </c>
      <c r="FM251" s="3236">
        <f t="shared" si="688"/>
        <v>2622165.3568439935</v>
      </c>
      <c r="FN251" s="3236">
        <f t="shared" si="689"/>
        <v>7674164.7052784059</v>
      </c>
      <c r="FO251" s="3264"/>
    </row>
    <row r="252" spans="1:171">
      <c r="A252" s="3277"/>
      <c r="B252" s="2185" t="s">
        <v>431</v>
      </c>
      <c r="C252" s="2464">
        <v>336</v>
      </c>
      <c r="D252" s="2509">
        <v>404</v>
      </c>
      <c r="E252" s="2424" t="str">
        <f>'Sch 3 - Expenses'!E92</f>
        <v>DIRECT</v>
      </c>
      <c r="F252" s="2171"/>
      <c r="G252" s="2424">
        <f>'Sch 3 - Expenses'!G92</f>
        <v>18119462</v>
      </c>
      <c r="H252" s="2424">
        <f>'Sch 3 - Expenses'!H92</f>
        <v>6138737.0983232521</v>
      </c>
      <c r="I252" s="2424">
        <f>'Sch 3 - Expenses'!I92</f>
        <v>0</v>
      </c>
      <c r="J252" s="2425">
        <f>'Sch 3 - Expenses'!J92</f>
        <v>11980724.901676752</v>
      </c>
      <c r="K252" s="3205">
        <f t="shared" si="629"/>
        <v>0</v>
      </c>
      <c r="O252" s="3235">
        <f t="shared" si="710"/>
        <v>18119462</v>
      </c>
      <c r="P252" s="3236">
        <f t="shared" si="630"/>
        <v>6138737.0983232521</v>
      </c>
      <c r="Q252" s="3236">
        <f t="shared" si="631"/>
        <v>0</v>
      </c>
      <c r="R252" s="3236">
        <f t="shared" si="632"/>
        <v>11980724.901676748</v>
      </c>
      <c r="S252" s="3264"/>
      <c r="W252" s="3235">
        <f t="shared" si="711"/>
        <v>18119462</v>
      </c>
      <c r="X252" s="3236">
        <f t="shared" si="633"/>
        <v>6138737.0983232521</v>
      </c>
      <c r="Y252" s="3236">
        <f t="shared" si="634"/>
        <v>0</v>
      </c>
      <c r="Z252" s="3236">
        <f t="shared" si="635"/>
        <v>11980724.901676748</v>
      </c>
      <c r="AA252" s="3264"/>
      <c r="AE252" s="3235">
        <f t="shared" si="712"/>
        <v>18119462</v>
      </c>
      <c r="AF252" s="3236">
        <f t="shared" si="636"/>
        <v>6138737.0983232521</v>
      </c>
      <c r="AG252" s="3236">
        <f t="shared" si="637"/>
        <v>0</v>
      </c>
      <c r="AH252" s="3236">
        <f t="shared" si="638"/>
        <v>11980724.901676748</v>
      </c>
      <c r="AI252" s="3264"/>
      <c r="AM252" s="3235">
        <f t="shared" si="713"/>
        <v>18119462</v>
      </c>
      <c r="AN252" s="3236">
        <f t="shared" si="639"/>
        <v>6138737.0983232521</v>
      </c>
      <c r="AO252" s="3236">
        <f t="shared" si="640"/>
        <v>0</v>
      </c>
      <c r="AP252" s="3236">
        <f t="shared" si="641"/>
        <v>11980724.901676748</v>
      </c>
      <c r="AQ252" s="3264"/>
      <c r="AU252" s="3235">
        <f t="shared" si="714"/>
        <v>18119462</v>
      </c>
      <c r="AV252" s="3236">
        <f t="shared" si="642"/>
        <v>6138737.0983232521</v>
      </c>
      <c r="AW252" s="3236">
        <f t="shared" si="643"/>
        <v>0</v>
      </c>
      <c r="AX252" s="3236">
        <f t="shared" si="644"/>
        <v>11980724.901676748</v>
      </c>
      <c r="AY252" s="3264"/>
      <c r="BC252" s="3235">
        <f t="shared" si="715"/>
        <v>18119462</v>
      </c>
      <c r="BD252" s="3236">
        <f t="shared" si="645"/>
        <v>6138737.0983232521</v>
      </c>
      <c r="BE252" s="3236">
        <f t="shared" si="646"/>
        <v>0</v>
      </c>
      <c r="BF252" s="3236">
        <f t="shared" si="647"/>
        <v>11980724.901676748</v>
      </c>
      <c r="BG252" s="3264"/>
      <c r="BK252" s="3235">
        <f t="shared" si="716"/>
        <v>18119462</v>
      </c>
      <c r="BL252" s="3236">
        <f t="shared" si="648"/>
        <v>6138737.0983232521</v>
      </c>
      <c r="BM252" s="3236">
        <f t="shared" si="649"/>
        <v>0</v>
      </c>
      <c r="BN252" s="3236">
        <f t="shared" si="650"/>
        <v>11980724.901676748</v>
      </c>
      <c r="BO252" s="3264"/>
      <c r="BS252" s="3235">
        <f t="shared" si="717"/>
        <v>18119462</v>
      </c>
      <c r="BT252" s="3236">
        <f t="shared" si="651"/>
        <v>6138737.0983232521</v>
      </c>
      <c r="BU252" s="3236">
        <f t="shared" si="652"/>
        <v>0</v>
      </c>
      <c r="BV252" s="3236">
        <f t="shared" si="653"/>
        <v>11980724.901676748</v>
      </c>
      <c r="BW252" s="3264"/>
      <c r="CA252" s="3235">
        <f t="shared" si="718"/>
        <v>18119462</v>
      </c>
      <c r="CB252" s="3236">
        <f t="shared" si="654"/>
        <v>6138737.0983232521</v>
      </c>
      <c r="CC252" s="3236">
        <f t="shared" si="655"/>
        <v>0</v>
      </c>
      <c r="CD252" s="3236">
        <f t="shared" si="656"/>
        <v>11980724.901676748</v>
      </c>
      <c r="CE252" s="3264"/>
      <c r="CI252" s="3235">
        <f t="shared" si="719"/>
        <v>18119462</v>
      </c>
      <c r="CJ252" s="3236">
        <f t="shared" si="657"/>
        <v>6138737.0983232521</v>
      </c>
      <c r="CK252" s="3236">
        <f t="shared" si="658"/>
        <v>0</v>
      </c>
      <c r="CL252" s="3236">
        <f t="shared" si="659"/>
        <v>11980724.901676748</v>
      </c>
      <c r="CM252" s="3264"/>
      <c r="CQ252" s="3235">
        <f t="shared" si="720"/>
        <v>18119462</v>
      </c>
      <c r="CR252" s="3236">
        <f t="shared" si="660"/>
        <v>6138737.0983232521</v>
      </c>
      <c r="CS252" s="3236">
        <f t="shared" si="661"/>
        <v>0</v>
      </c>
      <c r="CT252" s="3236">
        <f t="shared" si="662"/>
        <v>11980724.901676748</v>
      </c>
      <c r="CU252" s="3264"/>
      <c r="CY252" s="3235">
        <f t="shared" si="721"/>
        <v>18119462</v>
      </c>
      <c r="CZ252" s="3236">
        <f t="shared" si="663"/>
        <v>6138737.0983232521</v>
      </c>
      <c r="DA252" s="3236">
        <f t="shared" si="664"/>
        <v>0</v>
      </c>
      <c r="DB252" s="3236">
        <f t="shared" si="665"/>
        <v>11980724.901676748</v>
      </c>
      <c r="DC252" s="3264"/>
      <c r="DG252" s="3235">
        <f t="shared" si="722"/>
        <v>18119462</v>
      </c>
      <c r="DH252" s="3236">
        <f t="shared" si="666"/>
        <v>6138737.0983232521</v>
      </c>
      <c r="DI252" s="3236">
        <f t="shared" si="667"/>
        <v>0</v>
      </c>
      <c r="DJ252" s="3236">
        <f t="shared" si="668"/>
        <v>11980724.901676748</v>
      </c>
      <c r="DK252" s="3264"/>
      <c r="DO252" s="3235">
        <f t="shared" si="723"/>
        <v>18119462</v>
      </c>
      <c r="DP252" s="3236">
        <f t="shared" si="669"/>
        <v>6138737.0983232521</v>
      </c>
      <c r="DQ252" s="3236">
        <f t="shared" si="670"/>
        <v>0</v>
      </c>
      <c r="DR252" s="3236">
        <f t="shared" si="671"/>
        <v>11980724.901676748</v>
      </c>
      <c r="DS252" s="3264"/>
      <c r="DW252" s="3235">
        <f t="shared" si="724"/>
        <v>18119462</v>
      </c>
      <c r="DX252" s="3236">
        <f t="shared" si="672"/>
        <v>6138737.0983232521</v>
      </c>
      <c r="DY252" s="3236">
        <f t="shared" si="673"/>
        <v>0</v>
      </c>
      <c r="DZ252" s="3236">
        <f t="shared" si="674"/>
        <v>11980724.901676748</v>
      </c>
      <c r="EA252" s="3264"/>
      <c r="EE252" s="3235">
        <f t="shared" si="725"/>
        <v>18119462</v>
      </c>
      <c r="EF252" s="3236">
        <f t="shared" si="675"/>
        <v>6138737.0983232521</v>
      </c>
      <c r="EG252" s="3236">
        <f t="shared" si="676"/>
        <v>0</v>
      </c>
      <c r="EH252" s="3236">
        <f t="shared" si="677"/>
        <v>11980724.901676748</v>
      </c>
      <c r="EI252" s="3264"/>
      <c r="EM252" s="3235">
        <f t="shared" si="726"/>
        <v>18119462</v>
      </c>
      <c r="EN252" s="3236">
        <f t="shared" si="678"/>
        <v>6138737.0983232521</v>
      </c>
      <c r="EO252" s="3236">
        <f t="shared" si="679"/>
        <v>0</v>
      </c>
      <c r="EP252" s="3236">
        <f t="shared" si="680"/>
        <v>11980724.901676748</v>
      </c>
      <c r="EQ252" s="3264"/>
      <c r="EU252" s="3235">
        <f t="shared" si="727"/>
        <v>18119462</v>
      </c>
      <c r="EV252" s="3236">
        <f t="shared" si="681"/>
        <v>6138737.0983232521</v>
      </c>
      <c r="EW252" s="3236">
        <f t="shared" si="682"/>
        <v>0</v>
      </c>
      <c r="EX252" s="3236">
        <f t="shared" si="683"/>
        <v>11980724.901676748</v>
      </c>
      <c r="EY252" s="3264"/>
      <c r="FC252" s="3235">
        <f t="shared" si="728"/>
        <v>18119462</v>
      </c>
      <c r="FD252" s="3236">
        <f t="shared" si="684"/>
        <v>6138737.0983232521</v>
      </c>
      <c r="FE252" s="3236">
        <f t="shared" si="685"/>
        <v>0</v>
      </c>
      <c r="FF252" s="3236">
        <f t="shared" si="686"/>
        <v>11980724.901676748</v>
      </c>
      <c r="FG252" s="3264"/>
      <c r="FK252" s="3235">
        <f t="shared" si="729"/>
        <v>18119462</v>
      </c>
      <c r="FL252" s="3236">
        <f t="shared" si="687"/>
        <v>6138737.0983232521</v>
      </c>
      <c r="FM252" s="3236">
        <f t="shared" si="688"/>
        <v>0</v>
      </c>
      <c r="FN252" s="3236">
        <f t="shared" si="689"/>
        <v>11980724.901676748</v>
      </c>
      <c r="FO252" s="3264"/>
    </row>
    <row r="253" spans="1:171">
      <c r="A253" s="3277"/>
      <c r="B253" s="2185" t="s">
        <v>431</v>
      </c>
      <c r="C253" s="2464">
        <v>336</v>
      </c>
      <c r="D253" s="2509">
        <v>404</v>
      </c>
      <c r="E253" s="2424" t="str">
        <f>'Sch 3 - Expenses'!E93</f>
        <v>DIRECT</v>
      </c>
      <c r="F253" s="2171"/>
      <c r="G253" s="2424">
        <f>'Sch 3 - Expenses'!G93</f>
        <v>44095861</v>
      </c>
      <c r="H253" s="2424">
        <f>'Sch 3 - Expenses'!H93</f>
        <v>11880277.722496061</v>
      </c>
      <c r="I253" s="2424">
        <f>'Sch 3 - Expenses'!I93</f>
        <v>0</v>
      </c>
      <c r="J253" s="2425">
        <f>'Sch 3 - Expenses'!J93</f>
        <v>32215583.277454484</v>
      </c>
      <c r="K253" s="3205">
        <f t="shared" si="629"/>
        <v>0</v>
      </c>
      <c r="O253" s="3235">
        <f t="shared" si="710"/>
        <v>44095861</v>
      </c>
      <c r="P253" s="3236">
        <f t="shared" si="630"/>
        <v>11880277.722496061</v>
      </c>
      <c r="Q253" s="3236">
        <f t="shared" si="631"/>
        <v>0</v>
      </c>
      <c r="R253" s="3236">
        <f t="shared" si="632"/>
        <v>32215583.277503937</v>
      </c>
      <c r="S253" s="3264"/>
      <c r="W253" s="3235">
        <f t="shared" si="711"/>
        <v>44095861</v>
      </c>
      <c r="X253" s="3236">
        <f t="shared" si="633"/>
        <v>11880277.722496061</v>
      </c>
      <c r="Y253" s="3236">
        <f t="shared" si="634"/>
        <v>0</v>
      </c>
      <c r="Z253" s="3236">
        <f t="shared" si="635"/>
        <v>32215583.277503937</v>
      </c>
      <c r="AA253" s="3264"/>
      <c r="AE253" s="3235">
        <f t="shared" si="712"/>
        <v>44095861</v>
      </c>
      <c r="AF253" s="3236">
        <f t="shared" si="636"/>
        <v>11880277.722496061</v>
      </c>
      <c r="AG253" s="3236">
        <f t="shared" si="637"/>
        <v>0</v>
      </c>
      <c r="AH253" s="3236">
        <f t="shared" si="638"/>
        <v>32215583.277503937</v>
      </c>
      <c r="AI253" s="3264"/>
      <c r="AM253" s="3235">
        <f t="shared" si="713"/>
        <v>44095861</v>
      </c>
      <c r="AN253" s="3236">
        <f t="shared" si="639"/>
        <v>11880277.722496061</v>
      </c>
      <c r="AO253" s="3236">
        <f t="shared" si="640"/>
        <v>0</v>
      </c>
      <c r="AP253" s="3236">
        <f t="shared" si="641"/>
        <v>32215583.277503937</v>
      </c>
      <c r="AQ253" s="3264"/>
      <c r="AU253" s="3235">
        <f t="shared" si="714"/>
        <v>44095861</v>
      </c>
      <c r="AV253" s="3236">
        <f t="shared" si="642"/>
        <v>11880277.722496061</v>
      </c>
      <c r="AW253" s="3236">
        <f t="shared" si="643"/>
        <v>0</v>
      </c>
      <c r="AX253" s="3236">
        <f t="shared" si="644"/>
        <v>32215583.277503937</v>
      </c>
      <c r="AY253" s="3264"/>
      <c r="BC253" s="3235">
        <f t="shared" si="715"/>
        <v>44095861</v>
      </c>
      <c r="BD253" s="3236">
        <f t="shared" si="645"/>
        <v>11880277.722496061</v>
      </c>
      <c r="BE253" s="3236">
        <f t="shared" si="646"/>
        <v>0</v>
      </c>
      <c r="BF253" s="3236">
        <f t="shared" si="647"/>
        <v>32215583.277503937</v>
      </c>
      <c r="BG253" s="3264"/>
      <c r="BK253" s="3235">
        <f t="shared" si="716"/>
        <v>44095861</v>
      </c>
      <c r="BL253" s="3236">
        <f t="shared" si="648"/>
        <v>11880277.722496061</v>
      </c>
      <c r="BM253" s="3236">
        <f t="shared" si="649"/>
        <v>0</v>
      </c>
      <c r="BN253" s="3236">
        <f t="shared" si="650"/>
        <v>32215583.277503937</v>
      </c>
      <c r="BO253" s="3264"/>
      <c r="BS253" s="3235">
        <f t="shared" si="717"/>
        <v>44095861</v>
      </c>
      <c r="BT253" s="3236">
        <f t="shared" si="651"/>
        <v>11880277.722496061</v>
      </c>
      <c r="BU253" s="3236">
        <f t="shared" si="652"/>
        <v>0</v>
      </c>
      <c r="BV253" s="3236">
        <f t="shared" si="653"/>
        <v>32215583.277503937</v>
      </c>
      <c r="BW253" s="3264"/>
      <c r="CA253" s="3235">
        <f t="shared" si="718"/>
        <v>44095861</v>
      </c>
      <c r="CB253" s="3236">
        <f t="shared" si="654"/>
        <v>11880277.722496061</v>
      </c>
      <c r="CC253" s="3236">
        <f t="shared" si="655"/>
        <v>0</v>
      </c>
      <c r="CD253" s="3236">
        <f t="shared" si="656"/>
        <v>32215583.277503937</v>
      </c>
      <c r="CE253" s="3264"/>
      <c r="CI253" s="3235">
        <f t="shared" si="719"/>
        <v>44095861</v>
      </c>
      <c r="CJ253" s="3236">
        <f t="shared" si="657"/>
        <v>11880277.722496061</v>
      </c>
      <c r="CK253" s="3236">
        <f t="shared" si="658"/>
        <v>0</v>
      </c>
      <c r="CL253" s="3236">
        <f t="shared" si="659"/>
        <v>32215583.277503937</v>
      </c>
      <c r="CM253" s="3264"/>
      <c r="CQ253" s="3235">
        <f t="shared" si="720"/>
        <v>44095861</v>
      </c>
      <c r="CR253" s="3236">
        <f t="shared" si="660"/>
        <v>11880277.722496061</v>
      </c>
      <c r="CS253" s="3236">
        <f t="shared" si="661"/>
        <v>0</v>
      </c>
      <c r="CT253" s="3236">
        <f t="shared" si="662"/>
        <v>32215583.277503937</v>
      </c>
      <c r="CU253" s="3264"/>
      <c r="CY253" s="3235">
        <f t="shared" si="721"/>
        <v>44095861</v>
      </c>
      <c r="CZ253" s="3236">
        <f t="shared" si="663"/>
        <v>11880277.722496061</v>
      </c>
      <c r="DA253" s="3236">
        <f t="shared" si="664"/>
        <v>0</v>
      </c>
      <c r="DB253" s="3236">
        <f t="shared" si="665"/>
        <v>32215583.277503937</v>
      </c>
      <c r="DC253" s="3264"/>
      <c r="DG253" s="3235">
        <f t="shared" si="722"/>
        <v>44095861</v>
      </c>
      <c r="DH253" s="3236">
        <f t="shared" si="666"/>
        <v>11880277.722496061</v>
      </c>
      <c r="DI253" s="3236">
        <f t="shared" si="667"/>
        <v>0</v>
      </c>
      <c r="DJ253" s="3236">
        <f t="shared" si="668"/>
        <v>32215583.277503937</v>
      </c>
      <c r="DK253" s="3264"/>
      <c r="DO253" s="3235">
        <f t="shared" si="723"/>
        <v>44095861</v>
      </c>
      <c r="DP253" s="3236">
        <f t="shared" si="669"/>
        <v>11880277.722496061</v>
      </c>
      <c r="DQ253" s="3236">
        <f t="shared" si="670"/>
        <v>0</v>
      </c>
      <c r="DR253" s="3236">
        <f t="shared" si="671"/>
        <v>32215583.277503937</v>
      </c>
      <c r="DS253" s="3264"/>
      <c r="DW253" s="3235">
        <f t="shared" si="724"/>
        <v>44095861</v>
      </c>
      <c r="DX253" s="3236">
        <f t="shared" si="672"/>
        <v>11880277.722496061</v>
      </c>
      <c r="DY253" s="3236">
        <f t="shared" si="673"/>
        <v>0</v>
      </c>
      <c r="DZ253" s="3236">
        <f t="shared" si="674"/>
        <v>32215583.277503937</v>
      </c>
      <c r="EA253" s="3264"/>
      <c r="EE253" s="3235">
        <f t="shared" si="725"/>
        <v>44095861</v>
      </c>
      <c r="EF253" s="3236">
        <f t="shared" si="675"/>
        <v>11880277.722496061</v>
      </c>
      <c r="EG253" s="3236">
        <f t="shared" si="676"/>
        <v>0</v>
      </c>
      <c r="EH253" s="3236">
        <f t="shared" si="677"/>
        <v>32215583.277503937</v>
      </c>
      <c r="EI253" s="3264"/>
      <c r="EM253" s="3235">
        <f t="shared" si="726"/>
        <v>44095861</v>
      </c>
      <c r="EN253" s="3236">
        <f t="shared" si="678"/>
        <v>11880277.722496061</v>
      </c>
      <c r="EO253" s="3236">
        <f t="shared" si="679"/>
        <v>0</v>
      </c>
      <c r="EP253" s="3236">
        <f t="shared" si="680"/>
        <v>32215583.277503937</v>
      </c>
      <c r="EQ253" s="3264"/>
      <c r="EU253" s="3235">
        <f t="shared" si="727"/>
        <v>44095861</v>
      </c>
      <c r="EV253" s="3236">
        <f t="shared" si="681"/>
        <v>11880277.722496061</v>
      </c>
      <c r="EW253" s="3236">
        <f t="shared" si="682"/>
        <v>0</v>
      </c>
      <c r="EX253" s="3236">
        <f t="shared" si="683"/>
        <v>32215583.277503937</v>
      </c>
      <c r="EY253" s="3264"/>
      <c r="FC253" s="3235">
        <f t="shared" si="728"/>
        <v>44095861</v>
      </c>
      <c r="FD253" s="3236">
        <f t="shared" si="684"/>
        <v>11880277.722496061</v>
      </c>
      <c r="FE253" s="3236">
        <f t="shared" si="685"/>
        <v>0</v>
      </c>
      <c r="FF253" s="3236">
        <f t="shared" si="686"/>
        <v>32215583.277503937</v>
      </c>
      <c r="FG253" s="3264"/>
      <c r="FK253" s="3235">
        <f t="shared" si="729"/>
        <v>44095861</v>
      </c>
      <c r="FL253" s="3236">
        <f t="shared" si="687"/>
        <v>11880277.722496061</v>
      </c>
      <c r="FM253" s="3236">
        <f t="shared" si="688"/>
        <v>0</v>
      </c>
      <c r="FN253" s="3236">
        <f t="shared" si="689"/>
        <v>32215583.277503937</v>
      </c>
      <c r="FO253" s="3264"/>
    </row>
    <row r="254" spans="1:171">
      <c r="A254" s="3277"/>
      <c r="B254" s="2185" t="s">
        <v>563</v>
      </c>
      <c r="C254" s="2464">
        <v>336</v>
      </c>
      <c r="D254" s="2509">
        <v>403.1</v>
      </c>
      <c r="E254" s="2424" t="str">
        <f>'Sch 3 - Expenses'!E94</f>
        <v>DIRECT</v>
      </c>
      <c r="F254" s="2171"/>
      <c r="G254" s="2424">
        <f>'Sch 3 - Expenses'!G94</f>
        <v>3659244</v>
      </c>
      <c r="H254" s="2424">
        <f>'Sch 3 - Expenses'!H94</f>
        <v>3364796</v>
      </c>
      <c r="I254" s="2424">
        <f>'Sch 3 - Expenses'!I94</f>
        <v>0</v>
      </c>
      <c r="J254" s="2425">
        <f>'Sch 3 - Expenses'!J94</f>
        <v>294448</v>
      </c>
      <c r="K254" s="3205">
        <f t="shared" si="629"/>
        <v>0</v>
      </c>
      <c r="O254" s="3235">
        <f t="shared" si="710"/>
        <v>3659244</v>
      </c>
      <c r="P254" s="3236">
        <f t="shared" si="630"/>
        <v>3364796</v>
      </c>
      <c r="Q254" s="3236">
        <f t="shared" si="631"/>
        <v>0</v>
      </c>
      <c r="R254" s="3236">
        <f t="shared" si="632"/>
        <v>294448</v>
      </c>
      <c r="S254" s="3264"/>
      <c r="W254" s="3235">
        <f t="shared" si="711"/>
        <v>3659244</v>
      </c>
      <c r="X254" s="3236">
        <f t="shared" si="633"/>
        <v>3364796</v>
      </c>
      <c r="Y254" s="3236">
        <f t="shared" si="634"/>
        <v>0</v>
      </c>
      <c r="Z254" s="3236">
        <f t="shared" si="635"/>
        <v>294448</v>
      </c>
      <c r="AA254" s="3264"/>
      <c r="AE254" s="3235">
        <f t="shared" si="712"/>
        <v>3659244</v>
      </c>
      <c r="AF254" s="3236">
        <f t="shared" si="636"/>
        <v>3364796</v>
      </c>
      <c r="AG254" s="3236">
        <f t="shared" si="637"/>
        <v>0</v>
      </c>
      <c r="AH254" s="3236">
        <f t="shared" si="638"/>
        <v>294448</v>
      </c>
      <c r="AI254" s="3264"/>
      <c r="AM254" s="3235">
        <f t="shared" si="713"/>
        <v>3659244</v>
      </c>
      <c r="AN254" s="3236">
        <f t="shared" si="639"/>
        <v>3364796</v>
      </c>
      <c r="AO254" s="3236">
        <f t="shared" si="640"/>
        <v>0</v>
      </c>
      <c r="AP254" s="3236">
        <f t="shared" si="641"/>
        <v>294448</v>
      </c>
      <c r="AQ254" s="3264"/>
      <c r="AU254" s="3235">
        <f t="shared" si="714"/>
        <v>3659244</v>
      </c>
      <c r="AV254" s="3236">
        <f t="shared" si="642"/>
        <v>3364796</v>
      </c>
      <c r="AW254" s="3236">
        <f t="shared" si="643"/>
        <v>0</v>
      </c>
      <c r="AX254" s="3236">
        <f t="shared" si="644"/>
        <v>294448</v>
      </c>
      <c r="AY254" s="3264"/>
      <c r="BC254" s="3235">
        <f t="shared" si="715"/>
        <v>3659244</v>
      </c>
      <c r="BD254" s="3236">
        <f t="shared" si="645"/>
        <v>3364796</v>
      </c>
      <c r="BE254" s="3236">
        <f t="shared" si="646"/>
        <v>0</v>
      </c>
      <c r="BF254" s="3236">
        <f t="shared" si="647"/>
        <v>294448</v>
      </c>
      <c r="BG254" s="3264"/>
      <c r="BK254" s="3235">
        <f t="shared" si="716"/>
        <v>3659244</v>
      </c>
      <c r="BL254" s="3236">
        <f t="shared" si="648"/>
        <v>3364796</v>
      </c>
      <c r="BM254" s="3236">
        <f t="shared" si="649"/>
        <v>0</v>
      </c>
      <c r="BN254" s="3236">
        <f t="shared" si="650"/>
        <v>294448</v>
      </c>
      <c r="BO254" s="3264"/>
      <c r="BS254" s="3235">
        <f t="shared" si="717"/>
        <v>3659244</v>
      </c>
      <c r="BT254" s="3236">
        <f t="shared" si="651"/>
        <v>3364796</v>
      </c>
      <c r="BU254" s="3236">
        <f t="shared" si="652"/>
        <v>0</v>
      </c>
      <c r="BV254" s="3236">
        <f t="shared" si="653"/>
        <v>294448</v>
      </c>
      <c r="BW254" s="3264"/>
      <c r="CA254" s="3235">
        <f t="shared" si="718"/>
        <v>3659244</v>
      </c>
      <c r="CB254" s="3236">
        <f t="shared" si="654"/>
        <v>3364796</v>
      </c>
      <c r="CC254" s="3236">
        <f t="shared" si="655"/>
        <v>0</v>
      </c>
      <c r="CD254" s="3236">
        <f t="shared" si="656"/>
        <v>294448</v>
      </c>
      <c r="CE254" s="3264"/>
      <c r="CI254" s="3235">
        <f t="shared" si="719"/>
        <v>3659244</v>
      </c>
      <c r="CJ254" s="3236">
        <f t="shared" si="657"/>
        <v>3364796</v>
      </c>
      <c r="CK254" s="3236">
        <f t="shared" si="658"/>
        <v>0</v>
      </c>
      <c r="CL254" s="3236">
        <f t="shared" si="659"/>
        <v>294448</v>
      </c>
      <c r="CM254" s="3264"/>
      <c r="CQ254" s="3235">
        <f t="shared" si="720"/>
        <v>3659244</v>
      </c>
      <c r="CR254" s="3236">
        <f t="shared" si="660"/>
        <v>3364796</v>
      </c>
      <c r="CS254" s="3236">
        <f t="shared" si="661"/>
        <v>0</v>
      </c>
      <c r="CT254" s="3236">
        <f t="shared" si="662"/>
        <v>294448</v>
      </c>
      <c r="CU254" s="3264"/>
      <c r="CY254" s="3235">
        <f t="shared" si="721"/>
        <v>3659244</v>
      </c>
      <c r="CZ254" s="3236">
        <f t="shared" si="663"/>
        <v>3364796</v>
      </c>
      <c r="DA254" s="3236">
        <f t="shared" si="664"/>
        <v>0</v>
      </c>
      <c r="DB254" s="3236">
        <f t="shared" si="665"/>
        <v>294448</v>
      </c>
      <c r="DC254" s="3264"/>
      <c r="DG254" s="3235">
        <f t="shared" si="722"/>
        <v>3659244</v>
      </c>
      <c r="DH254" s="3236">
        <f t="shared" si="666"/>
        <v>3364796</v>
      </c>
      <c r="DI254" s="3236">
        <f t="shared" si="667"/>
        <v>0</v>
      </c>
      <c r="DJ254" s="3236">
        <f t="shared" si="668"/>
        <v>294448</v>
      </c>
      <c r="DK254" s="3264"/>
      <c r="DO254" s="3235">
        <f t="shared" si="723"/>
        <v>3659244</v>
      </c>
      <c r="DP254" s="3236">
        <f t="shared" si="669"/>
        <v>3364796</v>
      </c>
      <c r="DQ254" s="3236">
        <f t="shared" si="670"/>
        <v>0</v>
      </c>
      <c r="DR254" s="3236">
        <f t="shared" si="671"/>
        <v>294448</v>
      </c>
      <c r="DS254" s="3264"/>
      <c r="DW254" s="3235">
        <f t="shared" si="724"/>
        <v>3659244</v>
      </c>
      <c r="DX254" s="3236">
        <f t="shared" si="672"/>
        <v>3364796</v>
      </c>
      <c r="DY254" s="3236">
        <f t="shared" si="673"/>
        <v>0</v>
      </c>
      <c r="DZ254" s="3236">
        <f t="shared" si="674"/>
        <v>294448</v>
      </c>
      <c r="EA254" s="3264"/>
      <c r="EE254" s="3235">
        <f t="shared" si="725"/>
        <v>3659244</v>
      </c>
      <c r="EF254" s="3236">
        <f t="shared" si="675"/>
        <v>3364796</v>
      </c>
      <c r="EG254" s="3236">
        <f t="shared" si="676"/>
        <v>0</v>
      </c>
      <c r="EH254" s="3236">
        <f t="shared" si="677"/>
        <v>294448</v>
      </c>
      <c r="EI254" s="3264"/>
      <c r="EM254" s="3235">
        <f t="shared" si="726"/>
        <v>3659244</v>
      </c>
      <c r="EN254" s="3236">
        <f t="shared" si="678"/>
        <v>3364796</v>
      </c>
      <c r="EO254" s="3236">
        <f t="shared" si="679"/>
        <v>0</v>
      </c>
      <c r="EP254" s="3236">
        <f t="shared" si="680"/>
        <v>294448</v>
      </c>
      <c r="EQ254" s="3264"/>
      <c r="EU254" s="3235">
        <f t="shared" si="727"/>
        <v>3659244</v>
      </c>
      <c r="EV254" s="3236">
        <f t="shared" si="681"/>
        <v>3364796</v>
      </c>
      <c r="EW254" s="3236">
        <f t="shared" si="682"/>
        <v>0</v>
      </c>
      <c r="EX254" s="3236">
        <f t="shared" si="683"/>
        <v>294448</v>
      </c>
      <c r="EY254" s="3264"/>
      <c r="FC254" s="3235">
        <f t="shared" si="728"/>
        <v>3659244</v>
      </c>
      <c r="FD254" s="3236">
        <f t="shared" si="684"/>
        <v>3364796</v>
      </c>
      <c r="FE254" s="3236">
        <f t="shared" si="685"/>
        <v>0</v>
      </c>
      <c r="FF254" s="3236">
        <f t="shared" si="686"/>
        <v>294448</v>
      </c>
      <c r="FG254" s="3264"/>
      <c r="FK254" s="3235">
        <f t="shared" si="729"/>
        <v>3659244</v>
      </c>
      <c r="FL254" s="3236">
        <f t="shared" si="687"/>
        <v>3364796</v>
      </c>
      <c r="FM254" s="3236">
        <f t="shared" si="688"/>
        <v>0</v>
      </c>
      <c r="FN254" s="3236">
        <f t="shared" si="689"/>
        <v>294448</v>
      </c>
      <c r="FO254" s="3264"/>
    </row>
    <row r="255" spans="1:171">
      <c r="A255" s="3277"/>
      <c r="B255" s="2185" t="s">
        <v>564</v>
      </c>
      <c r="C255" s="2464">
        <v>336</v>
      </c>
      <c r="D255" s="2509">
        <v>404</v>
      </c>
      <c r="E255" s="2424" t="str">
        <f>'Sch 3 - Expenses'!E95</f>
        <v>DIRECT</v>
      </c>
      <c r="F255" s="2171"/>
      <c r="G255" s="2424">
        <f>'Sch 3 - Expenses'!G95</f>
        <v>-0.12000000011175871</v>
      </c>
      <c r="H255" s="2424">
        <f>'Sch 3 - Expenses'!H95</f>
        <v>0</v>
      </c>
      <c r="I255" s="2424">
        <f>'Sch 3 - Expenses'!I95</f>
        <v>0</v>
      </c>
      <c r="J255" s="2425">
        <f>'Sch 3 - Expenses'!J95</f>
        <v>0</v>
      </c>
      <c r="K255" s="3205">
        <f t="shared" si="629"/>
        <v>0</v>
      </c>
      <c r="O255" s="3235">
        <f t="shared" si="710"/>
        <v>-0.12000000011175871</v>
      </c>
      <c r="P255" s="3236">
        <f t="shared" si="630"/>
        <v>0</v>
      </c>
      <c r="Q255" s="3236">
        <f t="shared" si="631"/>
        <v>0</v>
      </c>
      <c r="R255" s="3236">
        <f t="shared" si="632"/>
        <v>-0.12000000011175871</v>
      </c>
      <c r="S255" s="3264"/>
      <c r="W255" s="3235">
        <f t="shared" si="711"/>
        <v>-0.12000000011175871</v>
      </c>
      <c r="X255" s="3236">
        <f t="shared" si="633"/>
        <v>0</v>
      </c>
      <c r="Y255" s="3236">
        <f t="shared" si="634"/>
        <v>0</v>
      </c>
      <c r="Z255" s="3236">
        <f t="shared" si="635"/>
        <v>-0.12000000011175871</v>
      </c>
      <c r="AA255" s="3264"/>
      <c r="AE255" s="3235">
        <f t="shared" si="712"/>
        <v>-0.12000000011175871</v>
      </c>
      <c r="AF255" s="3236">
        <f t="shared" si="636"/>
        <v>0</v>
      </c>
      <c r="AG255" s="3236">
        <f t="shared" si="637"/>
        <v>0</v>
      </c>
      <c r="AH255" s="3236">
        <f t="shared" si="638"/>
        <v>-0.12000000011175871</v>
      </c>
      <c r="AI255" s="3264"/>
      <c r="AM255" s="3235">
        <f t="shared" si="713"/>
        <v>-0.12000000011175871</v>
      </c>
      <c r="AN255" s="3236">
        <f t="shared" si="639"/>
        <v>0</v>
      </c>
      <c r="AO255" s="3236">
        <f t="shared" si="640"/>
        <v>0</v>
      </c>
      <c r="AP255" s="3236">
        <f t="shared" si="641"/>
        <v>-0.12000000011175871</v>
      </c>
      <c r="AQ255" s="3264"/>
      <c r="AU255" s="3235">
        <f t="shared" si="714"/>
        <v>-0.12000000011175871</v>
      </c>
      <c r="AV255" s="3236">
        <f t="shared" si="642"/>
        <v>0</v>
      </c>
      <c r="AW255" s="3236">
        <f t="shared" si="643"/>
        <v>0</v>
      </c>
      <c r="AX255" s="3236">
        <f t="shared" si="644"/>
        <v>-0.12000000011175871</v>
      </c>
      <c r="AY255" s="3264"/>
      <c r="BC255" s="3235">
        <f t="shared" si="715"/>
        <v>-0.12000000011175871</v>
      </c>
      <c r="BD255" s="3236">
        <f t="shared" si="645"/>
        <v>0</v>
      </c>
      <c r="BE255" s="3236">
        <f t="shared" si="646"/>
        <v>0</v>
      </c>
      <c r="BF255" s="3236">
        <f t="shared" si="647"/>
        <v>-0.12000000011175871</v>
      </c>
      <c r="BG255" s="3264"/>
      <c r="BK255" s="3235">
        <f t="shared" si="716"/>
        <v>-0.12000000011175871</v>
      </c>
      <c r="BL255" s="3236">
        <f t="shared" si="648"/>
        <v>0</v>
      </c>
      <c r="BM255" s="3236">
        <f t="shared" si="649"/>
        <v>0</v>
      </c>
      <c r="BN255" s="3236">
        <f t="shared" si="650"/>
        <v>-0.12000000011175871</v>
      </c>
      <c r="BO255" s="3264"/>
      <c r="BS255" s="3235">
        <f t="shared" si="717"/>
        <v>-0.12000000011175871</v>
      </c>
      <c r="BT255" s="3236">
        <f t="shared" si="651"/>
        <v>0</v>
      </c>
      <c r="BU255" s="3236">
        <f t="shared" si="652"/>
        <v>0</v>
      </c>
      <c r="BV255" s="3236">
        <f t="shared" si="653"/>
        <v>-0.12000000011175871</v>
      </c>
      <c r="BW255" s="3264"/>
      <c r="CA255" s="3235">
        <f t="shared" si="718"/>
        <v>-0.12000000011175871</v>
      </c>
      <c r="CB255" s="3236">
        <f t="shared" si="654"/>
        <v>0</v>
      </c>
      <c r="CC255" s="3236">
        <f t="shared" si="655"/>
        <v>0</v>
      </c>
      <c r="CD255" s="3236">
        <f t="shared" si="656"/>
        <v>-0.12000000011175871</v>
      </c>
      <c r="CE255" s="3264"/>
      <c r="CI255" s="3235">
        <f t="shared" si="719"/>
        <v>-0.12000000011175871</v>
      </c>
      <c r="CJ255" s="3236">
        <f t="shared" si="657"/>
        <v>0</v>
      </c>
      <c r="CK255" s="3236">
        <f t="shared" si="658"/>
        <v>0</v>
      </c>
      <c r="CL255" s="3236">
        <f t="shared" si="659"/>
        <v>-0.12000000011175871</v>
      </c>
      <c r="CM255" s="3264"/>
      <c r="CQ255" s="3235">
        <f t="shared" si="720"/>
        <v>-0.12000000011175871</v>
      </c>
      <c r="CR255" s="3236">
        <f t="shared" si="660"/>
        <v>0</v>
      </c>
      <c r="CS255" s="3236">
        <f t="shared" si="661"/>
        <v>0</v>
      </c>
      <c r="CT255" s="3236">
        <f t="shared" si="662"/>
        <v>-0.12000000011175871</v>
      </c>
      <c r="CU255" s="3264"/>
      <c r="CY255" s="3235">
        <f t="shared" si="721"/>
        <v>-0.12000000011175871</v>
      </c>
      <c r="CZ255" s="3236">
        <f t="shared" si="663"/>
        <v>0</v>
      </c>
      <c r="DA255" s="3236">
        <f t="shared" si="664"/>
        <v>0</v>
      </c>
      <c r="DB255" s="3236">
        <f t="shared" si="665"/>
        <v>-0.12000000011175871</v>
      </c>
      <c r="DC255" s="3264"/>
      <c r="DG255" s="3235">
        <f t="shared" si="722"/>
        <v>-0.12000000011175871</v>
      </c>
      <c r="DH255" s="3236">
        <f t="shared" si="666"/>
        <v>0</v>
      </c>
      <c r="DI255" s="3236">
        <f t="shared" si="667"/>
        <v>0</v>
      </c>
      <c r="DJ255" s="3236">
        <f t="shared" si="668"/>
        <v>-0.12000000011175871</v>
      </c>
      <c r="DK255" s="3264"/>
      <c r="DO255" s="3235">
        <f t="shared" si="723"/>
        <v>-0.12000000011175871</v>
      </c>
      <c r="DP255" s="3236">
        <f t="shared" si="669"/>
        <v>0</v>
      </c>
      <c r="DQ255" s="3236">
        <f t="shared" si="670"/>
        <v>0</v>
      </c>
      <c r="DR255" s="3236">
        <f t="shared" si="671"/>
        <v>-0.12000000011175871</v>
      </c>
      <c r="DS255" s="3264"/>
      <c r="DW255" s="3235">
        <f t="shared" si="724"/>
        <v>-0.12000000011175871</v>
      </c>
      <c r="DX255" s="3236">
        <f t="shared" si="672"/>
        <v>0</v>
      </c>
      <c r="DY255" s="3236">
        <f t="shared" si="673"/>
        <v>0</v>
      </c>
      <c r="DZ255" s="3236">
        <f t="shared" si="674"/>
        <v>-0.12000000011175871</v>
      </c>
      <c r="EA255" s="3264"/>
      <c r="EE255" s="3235">
        <f t="shared" si="725"/>
        <v>-0.12000000011175871</v>
      </c>
      <c r="EF255" s="3236">
        <f t="shared" si="675"/>
        <v>0</v>
      </c>
      <c r="EG255" s="3236">
        <f t="shared" si="676"/>
        <v>0</v>
      </c>
      <c r="EH255" s="3236">
        <f t="shared" si="677"/>
        <v>-0.12000000011175871</v>
      </c>
      <c r="EI255" s="3264"/>
      <c r="EM255" s="3235">
        <f t="shared" si="726"/>
        <v>-0.12000000011175871</v>
      </c>
      <c r="EN255" s="3236">
        <f t="shared" si="678"/>
        <v>0</v>
      </c>
      <c r="EO255" s="3236">
        <f t="shared" si="679"/>
        <v>0</v>
      </c>
      <c r="EP255" s="3236">
        <f t="shared" si="680"/>
        <v>-0.12000000011175871</v>
      </c>
      <c r="EQ255" s="3264"/>
      <c r="EU255" s="3235">
        <f t="shared" si="727"/>
        <v>-0.12000000011175871</v>
      </c>
      <c r="EV255" s="3236">
        <f t="shared" si="681"/>
        <v>0</v>
      </c>
      <c r="EW255" s="3236">
        <f t="shared" si="682"/>
        <v>0</v>
      </c>
      <c r="EX255" s="3236">
        <f t="shared" si="683"/>
        <v>-0.12000000011175871</v>
      </c>
      <c r="EY255" s="3264"/>
      <c r="FC255" s="3235">
        <f t="shared" si="728"/>
        <v>-0.12000000011175871</v>
      </c>
      <c r="FD255" s="3236">
        <f t="shared" si="684"/>
        <v>0</v>
      </c>
      <c r="FE255" s="3236">
        <f t="shared" si="685"/>
        <v>0</v>
      </c>
      <c r="FF255" s="3236">
        <f t="shared" si="686"/>
        <v>-0.12000000011175871</v>
      </c>
      <c r="FG255" s="3264"/>
      <c r="FK255" s="3235">
        <f t="shared" si="729"/>
        <v>-0.12000000011175871</v>
      </c>
      <c r="FL255" s="3236">
        <f t="shared" si="687"/>
        <v>0</v>
      </c>
      <c r="FM255" s="3236">
        <f t="shared" si="688"/>
        <v>0</v>
      </c>
      <c r="FN255" s="3236">
        <f t="shared" si="689"/>
        <v>-0.12000000011175871</v>
      </c>
      <c r="FO255" s="3264"/>
    </row>
    <row r="256" spans="1:171">
      <c r="A256" s="3277"/>
      <c r="B256" s="2185" t="s">
        <v>30</v>
      </c>
      <c r="C256" s="2464" t="s">
        <v>69</v>
      </c>
      <c r="D256" s="2509">
        <v>114</v>
      </c>
      <c r="E256" s="2424" t="str">
        <f>'Sch 3 - Expenses'!E96</f>
        <v>DIRECT</v>
      </c>
      <c r="F256" s="2171"/>
      <c r="G256" s="2424">
        <f>'Sch 3 - Expenses'!G96</f>
        <v>43464024</v>
      </c>
      <c r="H256" s="2424">
        <f>'Sch 3 - Expenses'!H96</f>
        <v>7550389.0994674871</v>
      </c>
      <c r="I256" s="2424">
        <f>'Sch 3 - Expenses'!I96</f>
        <v>0</v>
      </c>
      <c r="J256" s="2425">
        <f>'Sch 3 - Expenses'!J96</f>
        <v>35913634.510532513</v>
      </c>
      <c r="K256" s="3205">
        <f t="shared" si="629"/>
        <v>0</v>
      </c>
      <c r="O256" s="3235">
        <f t="shared" si="710"/>
        <v>43464024</v>
      </c>
      <c r="P256" s="3236">
        <f t="shared" si="630"/>
        <v>7550389.0994674871</v>
      </c>
      <c r="Q256" s="3236">
        <f t="shared" si="631"/>
        <v>0</v>
      </c>
      <c r="R256" s="3236">
        <f t="shared" si="632"/>
        <v>35913634.900532514</v>
      </c>
      <c r="S256" s="3264"/>
      <c r="W256" s="3235">
        <f t="shared" si="711"/>
        <v>43464024</v>
      </c>
      <c r="X256" s="3236">
        <f t="shared" si="633"/>
        <v>7550389.0994674871</v>
      </c>
      <c r="Y256" s="3236">
        <f t="shared" si="634"/>
        <v>0</v>
      </c>
      <c r="Z256" s="3236">
        <f t="shared" si="635"/>
        <v>35913634.900532514</v>
      </c>
      <c r="AA256" s="3264"/>
      <c r="AE256" s="3235">
        <f t="shared" si="712"/>
        <v>43464024</v>
      </c>
      <c r="AF256" s="3236">
        <f t="shared" si="636"/>
        <v>7550389.0994674871</v>
      </c>
      <c r="AG256" s="3236">
        <f t="shared" si="637"/>
        <v>0</v>
      </c>
      <c r="AH256" s="3236">
        <f t="shared" si="638"/>
        <v>35913634.900532514</v>
      </c>
      <c r="AI256" s="3264"/>
      <c r="AM256" s="3235">
        <f t="shared" si="713"/>
        <v>43464024</v>
      </c>
      <c r="AN256" s="3236">
        <f t="shared" si="639"/>
        <v>7550389.0994674871</v>
      </c>
      <c r="AO256" s="3236">
        <f t="shared" si="640"/>
        <v>0</v>
      </c>
      <c r="AP256" s="3236">
        <f t="shared" si="641"/>
        <v>35913634.900532514</v>
      </c>
      <c r="AQ256" s="3264"/>
      <c r="AU256" s="3235">
        <f t="shared" si="714"/>
        <v>43464024</v>
      </c>
      <c r="AV256" s="3236">
        <f t="shared" si="642"/>
        <v>7550389.0994674871</v>
      </c>
      <c r="AW256" s="3236">
        <f t="shared" si="643"/>
        <v>0</v>
      </c>
      <c r="AX256" s="3236">
        <f t="shared" si="644"/>
        <v>35913634.900532514</v>
      </c>
      <c r="AY256" s="3264"/>
      <c r="BC256" s="3235">
        <f t="shared" si="715"/>
        <v>43464024</v>
      </c>
      <c r="BD256" s="3236">
        <f t="shared" si="645"/>
        <v>7550389.0994674871</v>
      </c>
      <c r="BE256" s="3236">
        <f t="shared" si="646"/>
        <v>0</v>
      </c>
      <c r="BF256" s="3236">
        <f t="shared" si="647"/>
        <v>35913634.900532514</v>
      </c>
      <c r="BG256" s="3264"/>
      <c r="BK256" s="3235">
        <f t="shared" si="716"/>
        <v>43464024</v>
      </c>
      <c r="BL256" s="3236">
        <f t="shared" si="648"/>
        <v>7550389.0994674871</v>
      </c>
      <c r="BM256" s="3236">
        <f t="shared" si="649"/>
        <v>0</v>
      </c>
      <c r="BN256" s="3236">
        <f t="shared" si="650"/>
        <v>35913634.900532514</v>
      </c>
      <c r="BO256" s="3264"/>
      <c r="BS256" s="3235">
        <f t="shared" si="717"/>
        <v>43464024</v>
      </c>
      <c r="BT256" s="3236">
        <f t="shared" si="651"/>
        <v>7550389.0994674871</v>
      </c>
      <c r="BU256" s="3236">
        <f t="shared" si="652"/>
        <v>0</v>
      </c>
      <c r="BV256" s="3236">
        <f t="shared" si="653"/>
        <v>35913634.900532514</v>
      </c>
      <c r="BW256" s="3264"/>
      <c r="CA256" s="3235">
        <f t="shared" si="718"/>
        <v>43464024</v>
      </c>
      <c r="CB256" s="3236">
        <f t="shared" si="654"/>
        <v>7550389.0994674871</v>
      </c>
      <c r="CC256" s="3236">
        <f t="shared" si="655"/>
        <v>0</v>
      </c>
      <c r="CD256" s="3236">
        <f t="shared" si="656"/>
        <v>35913634.900532514</v>
      </c>
      <c r="CE256" s="3264"/>
      <c r="CI256" s="3235">
        <f t="shared" si="719"/>
        <v>43464024</v>
      </c>
      <c r="CJ256" s="3236">
        <f t="shared" si="657"/>
        <v>7550389.0994674871</v>
      </c>
      <c r="CK256" s="3236">
        <f t="shared" si="658"/>
        <v>0</v>
      </c>
      <c r="CL256" s="3236">
        <f t="shared" si="659"/>
        <v>35913634.900532514</v>
      </c>
      <c r="CM256" s="3264"/>
      <c r="CQ256" s="3235">
        <f t="shared" si="720"/>
        <v>43464024</v>
      </c>
      <c r="CR256" s="3236">
        <f t="shared" si="660"/>
        <v>7550389.0994674871</v>
      </c>
      <c r="CS256" s="3236">
        <f t="shared" si="661"/>
        <v>0</v>
      </c>
      <c r="CT256" s="3236">
        <f t="shared" si="662"/>
        <v>35913634.900532514</v>
      </c>
      <c r="CU256" s="3264"/>
      <c r="CY256" s="3235">
        <f t="shared" si="721"/>
        <v>43464024</v>
      </c>
      <c r="CZ256" s="3236">
        <f t="shared" si="663"/>
        <v>7550389.0994674871</v>
      </c>
      <c r="DA256" s="3236">
        <f t="shared" si="664"/>
        <v>0</v>
      </c>
      <c r="DB256" s="3236">
        <f t="shared" si="665"/>
        <v>35913634.900532514</v>
      </c>
      <c r="DC256" s="3264"/>
      <c r="DG256" s="3235">
        <f t="shared" si="722"/>
        <v>43464024</v>
      </c>
      <c r="DH256" s="3236">
        <f t="shared" si="666"/>
        <v>7550389.0994674871</v>
      </c>
      <c r="DI256" s="3236">
        <f t="shared" si="667"/>
        <v>0</v>
      </c>
      <c r="DJ256" s="3236">
        <f t="shared" si="668"/>
        <v>35913634.900532514</v>
      </c>
      <c r="DK256" s="3264"/>
      <c r="DO256" s="3235">
        <f t="shared" si="723"/>
        <v>43464024</v>
      </c>
      <c r="DP256" s="3236">
        <f t="shared" si="669"/>
        <v>7550389.0994674871</v>
      </c>
      <c r="DQ256" s="3236">
        <f t="shared" si="670"/>
        <v>0</v>
      </c>
      <c r="DR256" s="3236">
        <f t="shared" si="671"/>
        <v>35913634.900532514</v>
      </c>
      <c r="DS256" s="3264"/>
      <c r="DW256" s="3235">
        <f t="shared" si="724"/>
        <v>43464024</v>
      </c>
      <c r="DX256" s="3236">
        <f t="shared" si="672"/>
        <v>7550389.0994674871</v>
      </c>
      <c r="DY256" s="3236">
        <f t="shared" si="673"/>
        <v>0</v>
      </c>
      <c r="DZ256" s="3236">
        <f t="shared" si="674"/>
        <v>35913634.900532514</v>
      </c>
      <c r="EA256" s="3264"/>
      <c r="EE256" s="3235">
        <f t="shared" si="725"/>
        <v>43464024</v>
      </c>
      <c r="EF256" s="3236">
        <f t="shared" si="675"/>
        <v>7550389.0994674871</v>
      </c>
      <c r="EG256" s="3236">
        <f t="shared" si="676"/>
        <v>0</v>
      </c>
      <c r="EH256" s="3236">
        <f t="shared" si="677"/>
        <v>35913634.900532514</v>
      </c>
      <c r="EI256" s="3264"/>
      <c r="EM256" s="3235">
        <f t="shared" si="726"/>
        <v>43464024</v>
      </c>
      <c r="EN256" s="3236">
        <f t="shared" si="678"/>
        <v>7550389.0994674871</v>
      </c>
      <c r="EO256" s="3236">
        <f t="shared" si="679"/>
        <v>0</v>
      </c>
      <c r="EP256" s="3236">
        <f t="shared" si="680"/>
        <v>35913634.900532514</v>
      </c>
      <c r="EQ256" s="3264"/>
      <c r="EU256" s="3235">
        <f t="shared" si="727"/>
        <v>43464024</v>
      </c>
      <c r="EV256" s="3236">
        <f t="shared" si="681"/>
        <v>7550389.0994674871</v>
      </c>
      <c r="EW256" s="3236">
        <f t="shared" si="682"/>
        <v>0</v>
      </c>
      <c r="EX256" s="3236">
        <f t="shared" si="683"/>
        <v>35913634.900532514</v>
      </c>
      <c r="EY256" s="3264"/>
      <c r="FC256" s="3235">
        <f t="shared" si="728"/>
        <v>43464024</v>
      </c>
      <c r="FD256" s="3236">
        <f t="shared" si="684"/>
        <v>7550389.0994674871</v>
      </c>
      <c r="FE256" s="3236">
        <f t="shared" si="685"/>
        <v>0</v>
      </c>
      <c r="FF256" s="3236">
        <f t="shared" si="686"/>
        <v>35913634.900532514</v>
      </c>
      <c r="FG256" s="3264"/>
      <c r="FK256" s="3235">
        <f t="shared" si="729"/>
        <v>43464024</v>
      </c>
      <c r="FL256" s="3236">
        <f t="shared" si="687"/>
        <v>7550389.0994674871</v>
      </c>
      <c r="FM256" s="3236">
        <f t="shared" si="688"/>
        <v>0</v>
      </c>
      <c r="FN256" s="3236">
        <f t="shared" si="689"/>
        <v>35913634.900532514</v>
      </c>
      <c r="FO256" s="3264"/>
    </row>
    <row r="257" spans="1:171">
      <c r="A257" s="2310" t="s">
        <v>470</v>
      </c>
      <c r="B257" s="2097"/>
      <c r="C257" s="3256"/>
      <c r="D257" s="3257"/>
      <c r="E257" s="3257"/>
      <c r="F257" s="3258"/>
      <c r="G257" s="3265">
        <f>SUM(G241:G256)</f>
        <v>497853857.06999999</v>
      </c>
      <c r="H257" s="3265">
        <f>SUM(H241:H256)</f>
        <v>187799543.10118124</v>
      </c>
      <c r="I257" s="3265">
        <f>SUM(I241:I256)</f>
        <v>0</v>
      </c>
      <c r="J257" s="3266">
        <f>SUM(J241:J256)</f>
        <v>310054313.69876927</v>
      </c>
      <c r="K257" s="3205"/>
      <c r="O257" s="3331">
        <f>SUM(O241:O256)</f>
        <v>497853857.06999999</v>
      </c>
      <c r="P257" s="3331">
        <f>SUM(P241:P256)</f>
        <v>187799543.10118124</v>
      </c>
      <c r="Q257" s="3331">
        <f>SUM(Q241:Q256)</f>
        <v>39890124.356843993</v>
      </c>
      <c r="R257" s="3331">
        <f>SUM(R241:R256)</f>
        <v>270164189.61197472</v>
      </c>
      <c r="S257" s="3264"/>
      <c r="W257" s="3331">
        <f>SUM(W241:W256)</f>
        <v>497853857.06999999</v>
      </c>
      <c r="X257" s="3331">
        <f>SUM(X241:X256)</f>
        <v>187799543.10118124</v>
      </c>
      <c r="Y257" s="3331">
        <f>SUM(Y241:Y256)</f>
        <v>39890124.356843993</v>
      </c>
      <c r="Z257" s="3331">
        <f>SUM(Z241:Z256)</f>
        <v>270164189.61197472</v>
      </c>
      <c r="AA257" s="3264"/>
      <c r="AE257" s="3331">
        <f>SUM(AE241:AE256)</f>
        <v>497853857.06999999</v>
      </c>
      <c r="AF257" s="3331">
        <f>SUM(AF241:AF256)</f>
        <v>187799543.10118124</v>
      </c>
      <c r="AG257" s="3331">
        <f>SUM(AG241:AG256)</f>
        <v>39890124.356843993</v>
      </c>
      <c r="AH257" s="3331">
        <f>SUM(AH241:AH256)</f>
        <v>270164189.61197472</v>
      </c>
      <c r="AI257" s="3264"/>
      <c r="AM257" s="3331">
        <f>SUM(AM241:AM256)</f>
        <v>497853857.06999999</v>
      </c>
      <c r="AN257" s="3331">
        <f>SUM(AN241:AN256)</f>
        <v>187799543.10118124</v>
      </c>
      <c r="AO257" s="3331">
        <f>SUM(AO241:AO256)</f>
        <v>39890124.356843993</v>
      </c>
      <c r="AP257" s="3331">
        <f>SUM(AP241:AP256)</f>
        <v>270164189.61197472</v>
      </c>
      <c r="AQ257" s="3264"/>
      <c r="AU257" s="3331">
        <f>SUM(AU241:AU256)</f>
        <v>497853857.06999999</v>
      </c>
      <c r="AV257" s="3331">
        <f>SUM(AV241:AV256)</f>
        <v>187799543.10118124</v>
      </c>
      <c r="AW257" s="3331">
        <f>SUM(AW241:AW256)</f>
        <v>39890124.356843993</v>
      </c>
      <c r="AX257" s="3331">
        <f>SUM(AX241:AX256)</f>
        <v>270164189.61197472</v>
      </c>
      <c r="AY257" s="3264"/>
      <c r="BC257" s="3331">
        <f>SUM(BC241:BC256)</f>
        <v>497853857.06999999</v>
      </c>
      <c r="BD257" s="3331">
        <f>SUM(BD241:BD256)</f>
        <v>187799543.10118124</v>
      </c>
      <c r="BE257" s="3331">
        <f>SUM(BE241:BE256)</f>
        <v>39890124.356843993</v>
      </c>
      <c r="BF257" s="3331">
        <f>SUM(BF241:BF256)</f>
        <v>270164189.61197472</v>
      </c>
      <c r="BG257" s="3264"/>
      <c r="BK257" s="3331">
        <f>SUM(BK241:BK256)</f>
        <v>497853857.06999999</v>
      </c>
      <c r="BL257" s="3331">
        <f>SUM(BL241:BL256)</f>
        <v>187799543.10118124</v>
      </c>
      <c r="BM257" s="3331">
        <f>SUM(BM241:BM256)</f>
        <v>39890124.356843993</v>
      </c>
      <c r="BN257" s="3331">
        <f>SUM(BN241:BN256)</f>
        <v>270164189.61197472</v>
      </c>
      <c r="BO257" s="3264"/>
      <c r="BS257" s="3331">
        <f>SUM(BS241:BS256)</f>
        <v>497853857.06999999</v>
      </c>
      <c r="BT257" s="3331">
        <f>SUM(BT241:BT256)</f>
        <v>187799543.10118124</v>
      </c>
      <c r="BU257" s="3331">
        <f>SUM(BU241:BU256)</f>
        <v>39890124.356843993</v>
      </c>
      <c r="BV257" s="3331">
        <f>SUM(BV241:BV256)</f>
        <v>270164189.61197472</v>
      </c>
      <c r="BW257" s="3264"/>
      <c r="CA257" s="3331">
        <f>SUM(CA241:CA256)</f>
        <v>497853857.06999999</v>
      </c>
      <c r="CB257" s="3331">
        <f>SUM(CB241:CB256)</f>
        <v>187799543.10118124</v>
      </c>
      <c r="CC257" s="3331">
        <f>SUM(CC241:CC256)</f>
        <v>39890124.356843993</v>
      </c>
      <c r="CD257" s="3331">
        <f>SUM(CD241:CD256)</f>
        <v>270164189.61197472</v>
      </c>
      <c r="CE257" s="3264"/>
      <c r="CI257" s="3331">
        <f>SUM(CI241:CI256)</f>
        <v>497853857.06999999</v>
      </c>
      <c r="CJ257" s="3331">
        <f>SUM(CJ241:CJ256)</f>
        <v>187799543.10118124</v>
      </c>
      <c r="CK257" s="3331">
        <f>SUM(CK241:CK256)</f>
        <v>39890124.356843993</v>
      </c>
      <c r="CL257" s="3331">
        <f>SUM(CL241:CL256)</f>
        <v>270164189.61197472</v>
      </c>
      <c r="CM257" s="3264"/>
      <c r="CQ257" s="3331">
        <f>SUM(CQ241:CQ256)</f>
        <v>497853857.06999999</v>
      </c>
      <c r="CR257" s="3331">
        <f>SUM(CR241:CR256)</f>
        <v>187799543.10118124</v>
      </c>
      <c r="CS257" s="3331">
        <f>SUM(CS241:CS256)</f>
        <v>39890124.356843993</v>
      </c>
      <c r="CT257" s="3331">
        <f>SUM(CT241:CT256)</f>
        <v>270164189.61197472</v>
      </c>
      <c r="CU257" s="3264"/>
      <c r="CY257" s="3331">
        <f>SUM(CY241:CY256)</f>
        <v>497853857.06999999</v>
      </c>
      <c r="CZ257" s="3331">
        <f>SUM(CZ241:CZ256)</f>
        <v>187799543.10118124</v>
      </c>
      <c r="DA257" s="3331">
        <f>SUM(DA241:DA256)</f>
        <v>39890124.356843993</v>
      </c>
      <c r="DB257" s="3331">
        <f>SUM(DB241:DB256)</f>
        <v>270164189.61197472</v>
      </c>
      <c r="DC257" s="3264"/>
      <c r="DG257" s="3331">
        <f>SUM(DG241:DG256)</f>
        <v>497853857.06999999</v>
      </c>
      <c r="DH257" s="3331">
        <f>SUM(DH241:DH256)</f>
        <v>187799543.10118124</v>
      </c>
      <c r="DI257" s="3331">
        <f>SUM(DI241:DI256)</f>
        <v>39890124.356843993</v>
      </c>
      <c r="DJ257" s="3331">
        <f>SUM(DJ241:DJ256)</f>
        <v>270164189.61197472</v>
      </c>
      <c r="DK257" s="3264"/>
      <c r="DO257" s="3331">
        <f>SUM(DO241:DO256)</f>
        <v>497853857.06999999</v>
      </c>
      <c r="DP257" s="3331">
        <f>SUM(DP241:DP256)</f>
        <v>187799543.10118124</v>
      </c>
      <c r="DQ257" s="3331">
        <f>SUM(DQ241:DQ256)</f>
        <v>39890124.356843993</v>
      </c>
      <c r="DR257" s="3331">
        <f>SUM(DR241:DR256)</f>
        <v>270164189.61197472</v>
      </c>
      <c r="DS257" s="3264"/>
      <c r="DW257" s="3331">
        <f>SUM(DW241:DW256)</f>
        <v>497853857.06999999</v>
      </c>
      <c r="DX257" s="3331">
        <f>SUM(DX241:DX256)</f>
        <v>187799543.10118124</v>
      </c>
      <c r="DY257" s="3331">
        <f>SUM(DY241:DY256)</f>
        <v>39890124.356843993</v>
      </c>
      <c r="DZ257" s="3331">
        <f>SUM(DZ241:DZ256)</f>
        <v>270164189.61197472</v>
      </c>
      <c r="EA257" s="3264"/>
      <c r="EE257" s="3331">
        <f>SUM(EE241:EE256)</f>
        <v>497853857.06999999</v>
      </c>
      <c r="EF257" s="3331">
        <f>SUM(EF241:EF256)</f>
        <v>187799543.10118124</v>
      </c>
      <c r="EG257" s="3331">
        <f>SUM(EG241:EG256)</f>
        <v>39890124.356843993</v>
      </c>
      <c r="EH257" s="3331">
        <f>SUM(EH241:EH256)</f>
        <v>270164189.61197472</v>
      </c>
      <c r="EI257" s="3264"/>
      <c r="EM257" s="3331">
        <f>SUM(EM241:EM256)</f>
        <v>497853857.06999999</v>
      </c>
      <c r="EN257" s="3331">
        <f>SUM(EN241:EN256)</f>
        <v>187799543.10118124</v>
      </c>
      <c r="EO257" s="3331">
        <f>SUM(EO241:EO256)</f>
        <v>39890124.356843993</v>
      </c>
      <c r="EP257" s="3331">
        <f>SUM(EP241:EP256)</f>
        <v>270164189.61197472</v>
      </c>
      <c r="EQ257" s="3264"/>
      <c r="EU257" s="3331">
        <f>SUM(EU241:EU256)</f>
        <v>497853857.06999999</v>
      </c>
      <c r="EV257" s="3331">
        <f>SUM(EV241:EV256)</f>
        <v>187799543.10118124</v>
      </c>
      <c r="EW257" s="3331">
        <f>SUM(EW241:EW256)</f>
        <v>39890124.356843993</v>
      </c>
      <c r="EX257" s="3331">
        <f>SUM(EX241:EX256)</f>
        <v>270164189.61197472</v>
      </c>
      <c r="EY257" s="3264"/>
      <c r="FC257" s="3331">
        <f>SUM(FC241:FC256)</f>
        <v>497853857.06999999</v>
      </c>
      <c r="FD257" s="3331">
        <f>SUM(FD241:FD256)</f>
        <v>187799543.10118124</v>
      </c>
      <c r="FE257" s="3331">
        <f>SUM(FE241:FE256)</f>
        <v>39890124.356843993</v>
      </c>
      <c r="FF257" s="3331">
        <f>SUM(FF241:FF256)</f>
        <v>270164189.61197472</v>
      </c>
      <c r="FG257" s="3264"/>
      <c r="FK257" s="3331">
        <f>SUM(FK241:FK256)</f>
        <v>497853857.06999999</v>
      </c>
      <c r="FL257" s="3331">
        <f>SUM(FL241:FL256)</f>
        <v>187799543.10118124</v>
      </c>
      <c r="FM257" s="3331">
        <f>SUM(FM241:FM256)</f>
        <v>39890124.356843993</v>
      </c>
      <c r="FN257" s="3331">
        <f>SUM(FN241:FN256)</f>
        <v>270164189.61197472</v>
      </c>
      <c r="FO257" s="3264"/>
    </row>
    <row r="258" spans="1:171">
      <c r="A258" s="2310"/>
      <c r="B258" s="2097"/>
      <c r="C258" s="2116"/>
      <c r="D258" s="2098"/>
      <c r="E258" s="2097"/>
      <c r="F258" s="2097"/>
      <c r="G258" s="3346"/>
      <c r="H258" s="2513"/>
      <c r="I258" s="2513"/>
      <c r="J258" s="2514"/>
      <c r="K258" s="3205"/>
      <c r="S258" s="3264"/>
      <c r="AA258" s="3264"/>
      <c r="AI258" s="3264"/>
      <c r="AQ258" s="3264"/>
      <c r="AY258" s="3264"/>
      <c r="BG258" s="3264"/>
      <c r="BO258" s="3264"/>
      <c r="BW258" s="3264"/>
      <c r="CE258" s="3264"/>
      <c r="CM258" s="3264"/>
      <c r="CU258" s="3264"/>
      <c r="DC258" s="3264"/>
      <c r="DK258" s="3264"/>
      <c r="DS258" s="3264"/>
      <c r="EA258" s="3264"/>
      <c r="EI258" s="3264"/>
      <c r="EQ258" s="3264"/>
      <c r="EY258" s="3264"/>
      <c r="FG258" s="3264"/>
      <c r="FO258" s="3264"/>
    </row>
    <row r="259" spans="1:171">
      <c r="A259" s="2314"/>
      <c r="B259" s="2290"/>
      <c r="C259" s="2290"/>
      <c r="D259" s="2290"/>
      <c r="E259" s="2290"/>
      <c r="F259" s="2290"/>
      <c r="G259" s="2506"/>
      <c r="J259" s="2340"/>
      <c r="K259" s="3205"/>
      <c r="S259" s="3264"/>
      <c r="AA259" s="3264"/>
      <c r="AI259" s="3264"/>
      <c r="AQ259" s="3264"/>
      <c r="AY259" s="3264"/>
      <c r="BG259" s="3264"/>
      <c r="BO259" s="3264"/>
      <c r="BW259" s="3264"/>
      <c r="CE259" s="3264"/>
      <c r="CM259" s="3264"/>
      <c r="CU259" s="3264"/>
      <c r="DC259" s="3264"/>
      <c r="DK259" s="3264"/>
      <c r="DS259" s="3264"/>
      <c r="EA259" s="3264"/>
      <c r="EI259" s="3264"/>
      <c r="EQ259" s="3264"/>
      <c r="EY259" s="3264"/>
      <c r="FG259" s="3264"/>
      <c r="FO259" s="3264"/>
    </row>
    <row r="260" spans="1:171">
      <c r="A260" s="2310" t="s">
        <v>50</v>
      </c>
      <c r="B260" s="2100"/>
      <c r="C260" s="3256"/>
      <c r="D260" s="3257"/>
      <c r="E260" s="3257"/>
      <c r="F260" s="3258"/>
      <c r="G260" s="3265">
        <f>G237+G257</f>
        <v>2931166699.0700002</v>
      </c>
      <c r="H260" s="3265">
        <f>H237+H257</f>
        <v>2250420319.9548378</v>
      </c>
      <c r="I260" s="3265">
        <f>I237+I257</f>
        <v>0</v>
      </c>
      <c r="J260" s="3266">
        <f>J237+J257</f>
        <v>680746379.22390342</v>
      </c>
      <c r="K260" s="3205"/>
      <c r="O260" s="3336">
        <f>O237+O257</f>
        <v>2931166699.0700002</v>
      </c>
      <c r="P260" s="3336">
        <f>P237+P257</f>
        <v>2250420319.9548378</v>
      </c>
      <c r="Q260" s="3336">
        <f>Q237+Q257</f>
        <v>76289071.233353645</v>
      </c>
      <c r="R260" s="3336">
        <f>R237+R257</f>
        <v>604457307.8818084</v>
      </c>
      <c r="S260" s="3264"/>
      <c r="W260" s="3336">
        <f>W237+W257</f>
        <v>2931166699.0700002</v>
      </c>
      <c r="X260" s="3336">
        <f>X237+X257</f>
        <v>2250420319.9548378</v>
      </c>
      <c r="Y260" s="3336">
        <f>Y237+Y257</f>
        <v>76289071.233353645</v>
      </c>
      <c r="Z260" s="3336">
        <f>Z237+Z257</f>
        <v>604457307.8818084</v>
      </c>
      <c r="AA260" s="3264"/>
      <c r="AE260" s="3336">
        <f>AE237+AE257</f>
        <v>2931166699.0700002</v>
      </c>
      <c r="AF260" s="3336">
        <f>AF237+AF257</f>
        <v>2250420319.9548378</v>
      </c>
      <c r="AG260" s="3336">
        <f>AG237+AG257</f>
        <v>76289071.233353645</v>
      </c>
      <c r="AH260" s="3336">
        <f>AH237+AH257</f>
        <v>604457307.8818084</v>
      </c>
      <c r="AI260" s="3264"/>
      <c r="AM260" s="3336">
        <f>AM237+AM257</f>
        <v>2931166699.0700002</v>
      </c>
      <c r="AN260" s="3336">
        <f>AN237+AN257</f>
        <v>2250420319.9548378</v>
      </c>
      <c r="AO260" s="3336">
        <f>AO237+AO257</f>
        <v>76289071.233353645</v>
      </c>
      <c r="AP260" s="3336">
        <f>AP237+AP257</f>
        <v>604457307.8818084</v>
      </c>
      <c r="AQ260" s="3264"/>
      <c r="AU260" s="3336">
        <f>AU237+AU257</f>
        <v>2931166699.0700002</v>
      </c>
      <c r="AV260" s="3336">
        <f>AV237+AV257</f>
        <v>2250420319.9548378</v>
      </c>
      <c r="AW260" s="3336">
        <f>AW237+AW257</f>
        <v>76289071.233353645</v>
      </c>
      <c r="AX260" s="3336">
        <f>AX237+AX257</f>
        <v>604457307.8818084</v>
      </c>
      <c r="AY260" s="3264"/>
      <c r="BC260" s="3336">
        <f>BC237+BC257</f>
        <v>2931166699.0700002</v>
      </c>
      <c r="BD260" s="3336">
        <f>BD237+BD257</f>
        <v>2250420319.9548378</v>
      </c>
      <c r="BE260" s="3336">
        <f>BE237+BE257</f>
        <v>76289071.233353645</v>
      </c>
      <c r="BF260" s="3336">
        <f>BF237+BF257</f>
        <v>604457307.8818084</v>
      </c>
      <c r="BG260" s="3264"/>
      <c r="BK260" s="3336">
        <f>BK237+BK257</f>
        <v>2931166699.0700002</v>
      </c>
      <c r="BL260" s="3336">
        <f>BL237+BL257</f>
        <v>2250420319.9548378</v>
      </c>
      <c r="BM260" s="3336">
        <f>BM237+BM257</f>
        <v>76289071.233353645</v>
      </c>
      <c r="BN260" s="3336">
        <f>BN237+BN257</f>
        <v>604457307.8818084</v>
      </c>
      <c r="BO260" s="3264"/>
      <c r="BS260" s="3336">
        <f>BS237+BS257</f>
        <v>2931166699.0700002</v>
      </c>
      <c r="BT260" s="3336">
        <f>BT237+BT257</f>
        <v>2250420319.9548378</v>
      </c>
      <c r="BU260" s="3336">
        <f>BU237+BU257</f>
        <v>76289071.233353645</v>
      </c>
      <c r="BV260" s="3336">
        <f>BV237+BV257</f>
        <v>604457307.8818084</v>
      </c>
      <c r="BW260" s="3264"/>
      <c r="CA260" s="3336">
        <f>CA237+CA257</f>
        <v>2931166699.0700002</v>
      </c>
      <c r="CB260" s="3336">
        <f>CB237+CB257</f>
        <v>2250420319.9548378</v>
      </c>
      <c r="CC260" s="3336">
        <f>CC237+CC257</f>
        <v>76289071.233353645</v>
      </c>
      <c r="CD260" s="3336">
        <f>CD237+CD257</f>
        <v>604457307.8818084</v>
      </c>
      <c r="CE260" s="3264"/>
      <c r="CI260" s="3336">
        <f>CI237+CI257</f>
        <v>2931166699.0700002</v>
      </c>
      <c r="CJ260" s="3336">
        <f>CJ237+CJ257</f>
        <v>2250420319.9548378</v>
      </c>
      <c r="CK260" s="3336">
        <f>CK237+CK257</f>
        <v>76289071.233353645</v>
      </c>
      <c r="CL260" s="3336">
        <f>CL237+CL257</f>
        <v>604457307.8818084</v>
      </c>
      <c r="CM260" s="3264"/>
      <c r="CQ260" s="3336">
        <f>CQ237+CQ257</f>
        <v>2931166699.0700002</v>
      </c>
      <c r="CR260" s="3336">
        <f>CR237+CR257</f>
        <v>2250420319.9548378</v>
      </c>
      <c r="CS260" s="3336">
        <f>CS237+CS257</f>
        <v>76289071.233353645</v>
      </c>
      <c r="CT260" s="3336">
        <f>CT237+CT257</f>
        <v>604457307.8818084</v>
      </c>
      <c r="CU260" s="3264"/>
      <c r="CY260" s="3336">
        <f>CY237+CY257</f>
        <v>2931166699.0700002</v>
      </c>
      <c r="CZ260" s="3336">
        <f>CZ237+CZ257</f>
        <v>2250420319.9548378</v>
      </c>
      <c r="DA260" s="3336">
        <f>DA237+DA257</f>
        <v>76289071.233353645</v>
      </c>
      <c r="DB260" s="3336">
        <f>DB237+DB257</f>
        <v>604457307.8818084</v>
      </c>
      <c r="DC260" s="3264"/>
      <c r="DG260" s="3336">
        <f>DG237+DG257</f>
        <v>2931166699.0700002</v>
      </c>
      <c r="DH260" s="3336">
        <f>DH237+DH257</f>
        <v>2250420319.9548378</v>
      </c>
      <c r="DI260" s="3336">
        <f>DI237+DI257</f>
        <v>76289071.233353645</v>
      </c>
      <c r="DJ260" s="3336">
        <f>DJ237+DJ257</f>
        <v>604457307.8818084</v>
      </c>
      <c r="DK260" s="3264"/>
      <c r="DO260" s="3336">
        <f>DO237+DO257</f>
        <v>2931166699.0700002</v>
      </c>
      <c r="DP260" s="3336">
        <f>DP237+DP257</f>
        <v>2250420319.9548378</v>
      </c>
      <c r="DQ260" s="3336">
        <f>DQ237+DQ257</f>
        <v>76289071.233353645</v>
      </c>
      <c r="DR260" s="3336">
        <f>DR237+DR257</f>
        <v>604457307.8818084</v>
      </c>
      <c r="DS260" s="3264"/>
      <c r="DW260" s="3336">
        <f>DW237+DW257</f>
        <v>2931166699.0700002</v>
      </c>
      <c r="DX260" s="3336">
        <f>DX237+DX257</f>
        <v>2250420319.9548378</v>
      </c>
      <c r="DY260" s="3336">
        <f>DY237+DY257</f>
        <v>76289071.233353645</v>
      </c>
      <c r="DZ260" s="3336">
        <f>DZ237+DZ257</f>
        <v>604457307.8818084</v>
      </c>
      <c r="EA260" s="3264"/>
      <c r="EE260" s="3336">
        <f>EE237+EE257</f>
        <v>2931166699.0700002</v>
      </c>
      <c r="EF260" s="3336">
        <f>EF237+EF257</f>
        <v>2250420319.9548378</v>
      </c>
      <c r="EG260" s="3336">
        <f>EG237+EG257</f>
        <v>76289071.233353645</v>
      </c>
      <c r="EH260" s="3336">
        <f>EH237+EH257</f>
        <v>604457307.8818084</v>
      </c>
      <c r="EI260" s="3264"/>
      <c r="EM260" s="3336">
        <f>EM237+EM257</f>
        <v>2931166699.0700002</v>
      </c>
      <c r="EN260" s="3336">
        <f>EN237+EN257</f>
        <v>2250420319.9548378</v>
      </c>
      <c r="EO260" s="3336">
        <f>EO237+EO257</f>
        <v>76289071.233353645</v>
      </c>
      <c r="EP260" s="3336">
        <f>EP237+EP257</f>
        <v>604457307.8818084</v>
      </c>
      <c r="EQ260" s="3264"/>
      <c r="EU260" s="3336">
        <f>EU237+EU257</f>
        <v>2931166699.0700002</v>
      </c>
      <c r="EV260" s="3336">
        <f>EV237+EV257</f>
        <v>2250420319.9548378</v>
      </c>
      <c r="EW260" s="3336">
        <f>EW237+EW257</f>
        <v>76289071.233353645</v>
      </c>
      <c r="EX260" s="3336">
        <f>EX237+EX257</f>
        <v>604457307.8818084</v>
      </c>
      <c r="EY260" s="3264"/>
      <c r="FC260" s="3336">
        <f>FC237+FC257</f>
        <v>2931166699.0700002</v>
      </c>
      <c r="FD260" s="3336">
        <f>FD237+FD257</f>
        <v>2250420319.9548378</v>
      </c>
      <c r="FE260" s="3336">
        <f>FE237+FE257</f>
        <v>76289071.233353645</v>
      </c>
      <c r="FF260" s="3336">
        <f>FF237+FF257</f>
        <v>604457307.8818084</v>
      </c>
      <c r="FG260" s="3264"/>
      <c r="FK260" s="3336">
        <f>FK237+FK257</f>
        <v>2931166699.0700002</v>
      </c>
      <c r="FL260" s="3336">
        <f>FL237+FL257</f>
        <v>2250420319.9548378</v>
      </c>
      <c r="FM260" s="3336">
        <f>FM237+FM257</f>
        <v>76289071.233353645</v>
      </c>
      <c r="FN260" s="3336">
        <f>FN237+FN257</f>
        <v>604457307.8818084</v>
      </c>
      <c r="FO260" s="3264"/>
    </row>
    <row r="261" spans="1:171" ht="12" thickBot="1">
      <c r="A261" s="2516"/>
      <c r="B261" s="2099"/>
      <c r="C261" s="2120"/>
      <c r="D261" s="2120"/>
      <c r="E261" s="2120"/>
      <c r="F261" s="2120"/>
      <c r="G261" s="3337"/>
      <c r="H261" s="2445"/>
      <c r="I261" s="2445"/>
      <c r="J261" s="2446"/>
      <c r="K261" s="3205"/>
      <c r="S261" s="3264"/>
      <c r="AA261" s="3264"/>
      <c r="AI261" s="3264"/>
      <c r="AQ261" s="3264"/>
      <c r="AY261" s="3264"/>
      <c r="BG261" s="3264"/>
      <c r="BO261" s="3264"/>
      <c r="BW261" s="3264"/>
      <c r="CE261" s="3264"/>
      <c r="CM261" s="3264"/>
      <c r="CU261" s="3264"/>
      <c r="DC261" s="3264"/>
      <c r="DK261" s="3264"/>
      <c r="DS261" s="3264"/>
      <c r="EA261" s="3264"/>
      <c r="EI261" s="3264"/>
      <c r="EQ261" s="3264"/>
      <c r="EY261" s="3264"/>
      <c r="FG261" s="3264"/>
      <c r="FO261" s="3264"/>
    </row>
    <row r="262" spans="1:171" ht="12" thickTop="1">
      <c r="A262" s="2714"/>
      <c r="G262" s="2506"/>
      <c r="H262" s="2506"/>
      <c r="I262" s="2506"/>
      <c r="J262" s="3327"/>
      <c r="K262" s="3205"/>
      <c r="S262" s="3264"/>
      <c r="AA262" s="3264"/>
      <c r="AI262" s="3264"/>
      <c r="AQ262" s="3264"/>
      <c r="AY262" s="3264"/>
      <c r="BG262" s="3264"/>
      <c r="BO262" s="3264"/>
      <c r="BW262" s="3264"/>
      <c r="CE262" s="3264"/>
      <c r="CM262" s="3264"/>
      <c r="CU262" s="3264"/>
      <c r="DC262" s="3264"/>
      <c r="DK262" s="3264"/>
      <c r="DS262" s="3264"/>
      <c r="EA262" s="3264"/>
      <c r="EI262" s="3264"/>
      <c r="EQ262" s="3264"/>
      <c r="EY262" s="3264"/>
      <c r="FG262" s="3264"/>
      <c r="FO262" s="3264"/>
    </row>
    <row r="263" spans="1:171" ht="12" thickBot="1">
      <c r="A263" s="2301" t="s">
        <v>148</v>
      </c>
      <c r="B263" s="3347"/>
      <c r="C263" s="3347"/>
      <c r="D263" s="3347"/>
      <c r="E263" s="2325"/>
      <c r="F263" s="2689"/>
      <c r="G263" s="2349"/>
      <c r="H263" s="2349"/>
      <c r="I263" s="2350"/>
      <c r="J263" s="3348"/>
      <c r="K263" s="3205"/>
      <c r="S263" s="3264"/>
      <c r="AA263" s="3264"/>
      <c r="AI263" s="3264"/>
      <c r="AQ263" s="3264"/>
      <c r="AY263" s="3264"/>
      <c r="BG263" s="3264"/>
      <c r="BO263" s="3264"/>
      <c r="BW263" s="3264"/>
      <c r="CE263" s="3264"/>
      <c r="CM263" s="3264"/>
      <c r="CU263" s="3264"/>
      <c r="DC263" s="3264"/>
      <c r="DK263" s="3264"/>
      <c r="DS263" s="3264"/>
      <c r="EA263" s="3264"/>
      <c r="EI263" s="3264"/>
      <c r="EQ263" s="3264"/>
      <c r="EY263" s="3264"/>
      <c r="FG263" s="3264"/>
      <c r="FO263" s="3264"/>
    </row>
    <row r="264" spans="1:171" ht="12.75" thickTop="1" thickBot="1">
      <c r="A264" s="3323"/>
      <c r="B264" s="3809" t="s">
        <v>100</v>
      </c>
      <c r="C264" s="2457" t="s">
        <v>321</v>
      </c>
      <c r="D264" s="2457"/>
      <c r="E264" s="3892" t="s">
        <v>350</v>
      </c>
      <c r="F264" s="3893"/>
      <c r="G264" s="3896" t="s">
        <v>104</v>
      </c>
      <c r="H264" s="3885" t="s">
        <v>105</v>
      </c>
      <c r="I264" s="3888" t="s">
        <v>106</v>
      </c>
      <c r="J264" s="3228"/>
      <c r="K264" s="3205"/>
      <c r="S264" s="3264"/>
      <c r="AA264" s="3264"/>
      <c r="AI264" s="3264"/>
      <c r="AQ264" s="3264"/>
      <c r="AY264" s="3264"/>
      <c r="BG264" s="3264"/>
      <c r="BO264" s="3264"/>
      <c r="BW264" s="3264"/>
      <c r="CE264" s="3264"/>
      <c r="CM264" s="3264"/>
      <c r="CU264" s="3264"/>
      <c r="DC264" s="3264"/>
      <c r="DK264" s="3264"/>
      <c r="DS264" s="3264"/>
      <c r="EA264" s="3264"/>
      <c r="EI264" s="3264"/>
      <c r="EQ264" s="3264"/>
      <c r="EY264" s="3264"/>
      <c r="FG264" s="3264"/>
      <c r="FO264" s="3264"/>
    </row>
    <row r="265" spans="1:171" ht="12" thickBot="1">
      <c r="A265" s="3324"/>
      <c r="B265" s="3905"/>
      <c r="C265" s="2460" t="s">
        <v>270</v>
      </c>
      <c r="D265" s="2460" t="s">
        <v>96</v>
      </c>
      <c r="E265" s="3894"/>
      <c r="F265" s="3895"/>
      <c r="G265" s="3897"/>
      <c r="H265" s="3886"/>
      <c r="I265" s="3889"/>
      <c r="J265" s="2167" t="s">
        <v>98</v>
      </c>
      <c r="K265" s="3205"/>
      <c r="S265" s="3264"/>
      <c r="AA265" s="3264"/>
      <c r="AI265" s="3264"/>
      <c r="AQ265" s="3264"/>
      <c r="AY265" s="3264"/>
      <c r="BG265" s="3264"/>
      <c r="BO265" s="3264"/>
      <c r="BW265" s="3264"/>
      <c r="CE265" s="3264"/>
      <c r="CM265" s="3264"/>
      <c r="CU265" s="3264"/>
      <c r="DC265" s="3264"/>
      <c r="DK265" s="3264"/>
      <c r="DS265" s="3264"/>
      <c r="EA265" s="3264"/>
      <c r="EI265" s="3264"/>
      <c r="EQ265" s="3264"/>
      <c r="EY265" s="3264"/>
      <c r="FG265" s="3264"/>
      <c r="FO265" s="3264"/>
    </row>
    <row r="266" spans="1:171" ht="12" thickBot="1">
      <c r="A266" s="3325"/>
      <c r="B266" s="3906"/>
      <c r="C266" s="2461" t="s">
        <v>271</v>
      </c>
      <c r="D266" s="2461" t="s">
        <v>250</v>
      </c>
      <c r="E266" s="2461" t="s">
        <v>449</v>
      </c>
      <c r="F266" s="2461" t="s">
        <v>609</v>
      </c>
      <c r="G266" s="3898"/>
      <c r="H266" s="3887"/>
      <c r="I266" s="3890"/>
      <c r="J266" s="3231" t="s">
        <v>107</v>
      </c>
      <c r="K266" s="3205"/>
      <c r="S266" s="3264"/>
      <c r="AA266" s="3264"/>
      <c r="AI266" s="3264"/>
      <c r="AQ266" s="3264"/>
      <c r="AY266" s="3264"/>
      <c r="BG266" s="3264"/>
      <c r="BO266" s="3264"/>
      <c r="BW266" s="3264"/>
      <c r="CE266" s="3264"/>
      <c r="CM266" s="3264"/>
      <c r="CU266" s="3264"/>
      <c r="DC266" s="3264"/>
      <c r="DK266" s="3264"/>
      <c r="DS266" s="3264"/>
      <c r="EA266" s="3264"/>
      <c r="EI266" s="3264"/>
      <c r="EQ266" s="3264"/>
      <c r="EY266" s="3264"/>
      <c r="FG266" s="3264"/>
      <c r="FO266" s="3264"/>
    </row>
    <row r="267" spans="1:171" ht="12" thickTop="1">
      <c r="A267" s="2669" t="s">
        <v>149</v>
      </c>
      <c r="B267" s="2290"/>
      <c r="C267" s="2353"/>
      <c r="D267" s="2356"/>
      <c r="E267" s="2098"/>
      <c r="F267" s="2098"/>
      <c r="G267" s="2670"/>
      <c r="H267" s="2671"/>
      <c r="I267" s="2671"/>
      <c r="J267" s="2672"/>
      <c r="K267" s="3205"/>
      <c r="S267" s="3264"/>
      <c r="AA267" s="3264"/>
      <c r="AI267" s="3264"/>
      <c r="AQ267" s="3264"/>
      <c r="AY267" s="3264"/>
      <c r="BG267" s="3264"/>
      <c r="BO267" s="3264"/>
      <c r="BW267" s="3264"/>
      <c r="CE267" s="3264"/>
      <c r="CM267" s="3264"/>
      <c r="CU267" s="3264"/>
      <c r="DC267" s="3264"/>
      <c r="DK267" s="3264"/>
      <c r="DS267" s="3264"/>
      <c r="EA267" s="3264"/>
      <c r="EI267" s="3264"/>
      <c r="EQ267" s="3264"/>
      <c r="EY267" s="3264"/>
      <c r="FG267" s="3264"/>
      <c r="FO267" s="3264"/>
    </row>
    <row r="268" spans="1:171">
      <c r="A268" s="2314"/>
      <c r="B268" s="2365" t="s">
        <v>35</v>
      </c>
      <c r="C268" s="2673">
        <v>262</v>
      </c>
      <c r="D268" s="2674">
        <v>409.1</v>
      </c>
      <c r="E268" s="2424" t="str">
        <f>'Sch 3A - Taxes'!E16</f>
        <v>DIST</v>
      </c>
      <c r="F268" s="2171"/>
      <c r="G268" s="2424">
        <f>'Sch 3A - Taxes'!F16</f>
        <v>181201019</v>
      </c>
      <c r="H268" s="2424">
        <f>'Sch 3A - Taxes'!G16</f>
        <v>0</v>
      </c>
      <c r="I268" s="2424">
        <f>'Sch 3A - Taxes'!H16</f>
        <v>0</v>
      </c>
      <c r="J268" s="2425">
        <f>'Sch 3A - Taxes'!I16</f>
        <v>181201019</v>
      </c>
      <c r="K268" s="3205">
        <f>IF($E268="DIRECT",0,1)</f>
        <v>1</v>
      </c>
      <c r="O268" s="3235">
        <f>$G268</f>
        <v>181201019</v>
      </c>
      <c r="P268" s="3236">
        <f>VLOOKUP($E268,O$442:R$453,2,FALSE)*O268*($K268)+IF($G268&lt;&gt;0,($H268/$G268)*O268,0)*(1-$K268)</f>
        <v>0</v>
      </c>
      <c r="Q268" s="3236">
        <f>VLOOKUP($E268,O$442:R$453,3,FALSE)*O268*($K268)+IF($G268&lt;&gt;0,($I268/$G268)*O268,0)*(1-$K268)</f>
        <v>0</v>
      </c>
      <c r="R268" s="3236">
        <f>VLOOKUP($E268,O$442:R$453,4,FALSE)*O268*($K268)+(O268-P268-Q268)*(1-$K268)</f>
        <v>181201019</v>
      </c>
      <c r="S268" s="3264"/>
      <c r="W268" s="3235">
        <f>$G268</f>
        <v>181201019</v>
      </c>
      <c r="X268" s="3236">
        <f>VLOOKUP($E268,W$442:Z$453,2,FALSE)*W268*($K268)+IF($G268&lt;&gt;0,($H268/$G268)*W268,0)*(1-$K268)</f>
        <v>0</v>
      </c>
      <c r="Y268" s="3236">
        <f>VLOOKUP($E268,W$442:Z$453,3,FALSE)*W268*($K268)+IF($G268&lt;&gt;0,($I268/$G268)*W268,0)*(1-$K268)</f>
        <v>0</v>
      </c>
      <c r="Z268" s="3236">
        <f>VLOOKUP($E268,W$442:Z$453,4,FALSE)*W268*($K268)+(W268-X268-Y268)*(1-$K268)</f>
        <v>181201019</v>
      </c>
      <c r="AA268" s="3264"/>
      <c r="AE268" s="3235">
        <f>$G268</f>
        <v>181201019</v>
      </c>
      <c r="AF268" s="3236">
        <f>VLOOKUP($E268,AE$442:AH$453,2,FALSE)*AE268*($K268)+IF($G268&lt;&gt;0,($H268/$G268)*AE268,0)*(1-$K268)</f>
        <v>0</v>
      </c>
      <c r="AG268" s="3236">
        <f>VLOOKUP($E268,AE$442:AH$453,3,FALSE)*AE268*($K268)+IF($G268&lt;&gt;0,($I268/$G268)*AE268,0)*(1-$K268)</f>
        <v>0</v>
      </c>
      <c r="AH268" s="3236">
        <f>VLOOKUP($E268,AE$442:AH$453,4,FALSE)*AE268*($K268)+(AE268-AF268-AG268)*(1-$K268)</f>
        <v>181201019</v>
      </c>
      <c r="AI268" s="3264"/>
      <c r="AM268" s="3235">
        <f>$G268</f>
        <v>181201019</v>
      </c>
      <c r="AN268" s="3236">
        <f>VLOOKUP($E268,AM$442:AP$453,2,FALSE)*AM268*($K268)+IF($G268&lt;&gt;0,($H268/$G268)*AM268,0)*(1-$K268)</f>
        <v>0</v>
      </c>
      <c r="AO268" s="3236">
        <f>VLOOKUP($E268,AM$442:AP$453,3,FALSE)*AM268*($K268)+IF($G268&lt;&gt;0,($I268/$G268)*AM268,0)*(1-$K268)</f>
        <v>0</v>
      </c>
      <c r="AP268" s="3236">
        <f>VLOOKUP($E268,AM$442:AP$453,4,FALSE)*AM268*($K268)+(AM268-AN268-AO268)*(1-$K268)</f>
        <v>181201019</v>
      </c>
      <c r="AQ268" s="3264"/>
      <c r="AU268" s="3235">
        <f>$G268</f>
        <v>181201019</v>
      </c>
      <c r="AV268" s="3236">
        <f>VLOOKUP($E268,AU$442:AX$453,2,FALSE)*AU268*($K268)+IF($G268&lt;&gt;0,($H268/$G268)*AU268,0)*(1-$K268)</f>
        <v>0</v>
      </c>
      <c r="AW268" s="3236">
        <f>VLOOKUP($E268,AU$442:AX$453,3,FALSE)*AU268*($K268)+IF($G268&lt;&gt;0,($I268/$G268)*AU268,0)*(1-$K268)</f>
        <v>0</v>
      </c>
      <c r="AX268" s="3236">
        <f>VLOOKUP($E268,AU$442:AX$453,4,FALSE)*AU268*($K268)+(AU268-AV268-AW268)*(1-$K268)</f>
        <v>181201019</v>
      </c>
      <c r="AY268" s="3264"/>
      <c r="BC268" s="3235">
        <f>$G268</f>
        <v>181201019</v>
      </c>
      <c r="BD268" s="3236">
        <f>VLOOKUP($E268,BC$442:BF$453,2,FALSE)*BC268*($K268)+IF($G268&lt;&gt;0,($H268/$G268)*BC268,0)*(1-$K268)</f>
        <v>0</v>
      </c>
      <c r="BE268" s="3236">
        <f>VLOOKUP($E268,BC$442:BF$453,3,FALSE)*BC268*($K268)+IF($G268&lt;&gt;0,($I268/$G268)*BC268,0)*(1-$K268)</f>
        <v>0</v>
      </c>
      <c r="BF268" s="3236">
        <f>VLOOKUP($E268,BC$442:BF$453,4,FALSE)*BC268*($K268)+(BC268-BD268-BE268)*(1-$K268)</f>
        <v>181201019</v>
      </c>
      <c r="BG268" s="3264"/>
      <c r="BK268" s="3235">
        <f>$G268</f>
        <v>181201019</v>
      </c>
      <c r="BL268" s="3236">
        <f>VLOOKUP($E268,BK$442:BN$453,2,FALSE)*BK268*($K268)+IF($G268&lt;&gt;0,($H268/$G268)*BK268,0)*(1-$K268)</f>
        <v>0</v>
      </c>
      <c r="BM268" s="3236">
        <f>VLOOKUP($E268,BK$442:BN$453,3,FALSE)*BK268*($K268)+IF($G268&lt;&gt;0,($I268/$G268)*BK268,0)*(1-$K268)</f>
        <v>0</v>
      </c>
      <c r="BN268" s="3236">
        <f>VLOOKUP($E268,BK$442:BN$453,4,FALSE)*BK268*($K268)+(BK268-BL268-BM268)*(1-$K268)</f>
        <v>181201019</v>
      </c>
      <c r="BO268" s="3264"/>
      <c r="BS268" s="3235">
        <f>$G268</f>
        <v>181201019</v>
      </c>
      <c r="BT268" s="3236">
        <f>VLOOKUP($E268,BS$442:BV$453,2,FALSE)*BS268*($K268)+IF($G268&lt;&gt;0,($H268/$G268)*BS268,0)*(1-$K268)</f>
        <v>0</v>
      </c>
      <c r="BU268" s="3236">
        <f>VLOOKUP($E268,BS$442:BV$453,3,FALSE)*BS268*($K268)+IF($G268&lt;&gt;0,($I268/$G268)*BS268,0)*(1-$K268)</f>
        <v>0</v>
      </c>
      <c r="BV268" s="3236">
        <f>VLOOKUP($E268,BS$442:BV$453,4,FALSE)*BS268*($K268)+(BS268-BT268-BU268)*(1-$K268)</f>
        <v>181201019</v>
      </c>
      <c r="BW268" s="3264"/>
      <c r="CA268" s="3235">
        <f>$G268</f>
        <v>181201019</v>
      </c>
      <c r="CB268" s="3236">
        <f>VLOOKUP($E268,CA$442:CD$453,2,FALSE)*CA268*($K268)+IF($G268&lt;&gt;0,($H268/$G268)*CA268,0)*(1-$K268)</f>
        <v>0</v>
      </c>
      <c r="CC268" s="3236">
        <f>VLOOKUP($E268,CA$442:CD$453,3,FALSE)*CA268*($K268)+IF($G268&lt;&gt;0,($I268/$G268)*CA268,0)*(1-$K268)</f>
        <v>0</v>
      </c>
      <c r="CD268" s="3236">
        <f>VLOOKUP($E268,CA$442:CD$453,4,FALSE)*CA268*($K268)+(CA268-CB268-CC268)*(1-$K268)</f>
        <v>181201019</v>
      </c>
      <c r="CE268" s="3264"/>
      <c r="CI268" s="3235">
        <f>$G268</f>
        <v>181201019</v>
      </c>
      <c r="CJ268" s="3236">
        <f>VLOOKUP($E268,CI$442:CL$453,2,FALSE)*CI268*($K268)+IF($G268&lt;&gt;0,($H268/$G268)*CI268,0)*(1-$K268)</f>
        <v>0</v>
      </c>
      <c r="CK268" s="3236">
        <f>VLOOKUP($E268,CI$442:CL$453,3,FALSE)*CI268*($K268)+IF($G268&lt;&gt;0,($I268/$G268)*CI268,0)*(1-$K268)</f>
        <v>0</v>
      </c>
      <c r="CL268" s="3236">
        <f>VLOOKUP($E268,CI$442:CL$453,4,FALSE)*CI268*($K268)+(CI268-CJ268-CK268)*(1-$K268)</f>
        <v>181201019</v>
      </c>
      <c r="CM268" s="3264"/>
      <c r="CQ268" s="3235">
        <f>$G268</f>
        <v>181201019</v>
      </c>
      <c r="CR268" s="3236">
        <f>VLOOKUP($E268,CQ$442:CT$453,2,FALSE)*CQ268*($K268)+IF($G268&lt;&gt;0,($H268/$G268)*CQ268,0)*(1-$K268)</f>
        <v>0</v>
      </c>
      <c r="CS268" s="3236">
        <f>VLOOKUP($E268,CQ$442:CT$453,3,FALSE)*CQ268*($K268)+IF($G268&lt;&gt;0,($I268/$G268)*CQ268,0)*(1-$K268)</f>
        <v>0</v>
      </c>
      <c r="CT268" s="3236">
        <f>VLOOKUP($E268,CQ$442:CT$453,4,FALSE)*CQ268*($K268)+(CQ268-CR268-CS268)*(1-$K268)</f>
        <v>181201019</v>
      </c>
      <c r="CU268" s="3264"/>
      <c r="CY268" s="3235">
        <f>$G268</f>
        <v>181201019</v>
      </c>
      <c r="CZ268" s="3236">
        <f>VLOOKUP($E268,CY$442:DB$453,2,FALSE)*CY268*($K268)+IF($G268&lt;&gt;0,($H268/$G268)*CY268,0)*(1-$K268)</f>
        <v>0</v>
      </c>
      <c r="DA268" s="3236">
        <f>VLOOKUP($E268,CY$442:DB$453,3,FALSE)*CY268*($K268)+IF($G268&lt;&gt;0,($I268/$G268)*CY268,0)*(1-$K268)</f>
        <v>0</v>
      </c>
      <c r="DB268" s="3236">
        <f>VLOOKUP($E268,CY$442:DB$453,4,FALSE)*CY268*($K268)+(CY268-CZ268-DA268)*(1-$K268)</f>
        <v>181201019</v>
      </c>
      <c r="DC268" s="3264"/>
      <c r="DG268" s="3235">
        <f>$G268</f>
        <v>181201019</v>
      </c>
      <c r="DH268" s="3236">
        <f>VLOOKUP($E268,DG$442:DJ$453,2,FALSE)*DG268*($K268)+IF($G268&lt;&gt;0,($H268/$G268)*DG268,0)*(1-$K268)</f>
        <v>0</v>
      </c>
      <c r="DI268" s="3236">
        <f>VLOOKUP($E268,DG$442:DJ$453,3,FALSE)*DG268*($K268)+IF($G268&lt;&gt;0,($I268/$G268)*DG268,0)*(1-$K268)</f>
        <v>0</v>
      </c>
      <c r="DJ268" s="3236">
        <f>VLOOKUP($E268,DG$442:DJ$453,4,FALSE)*DG268*($K268)+(DG268-DH268-DI268)*(1-$K268)</f>
        <v>181201019</v>
      </c>
      <c r="DK268" s="3264"/>
      <c r="DO268" s="3235">
        <f>$G268</f>
        <v>181201019</v>
      </c>
      <c r="DP268" s="3236">
        <f>VLOOKUP($E268,DO$442:DR$453,2,FALSE)*DO268*($K268)+IF($G268&lt;&gt;0,($H268/$G268)*DO268,0)*(1-$K268)</f>
        <v>0</v>
      </c>
      <c r="DQ268" s="3236">
        <f>VLOOKUP($E268,DO$442:DR$453,3,FALSE)*DO268*($K268)+IF($G268&lt;&gt;0,($I268/$G268)*DO268,0)*(1-$K268)</f>
        <v>0</v>
      </c>
      <c r="DR268" s="3236">
        <f>VLOOKUP($E268,DO$442:DR$453,4,FALSE)*DO268*($K268)+(DO268-DP268-DQ268)*(1-$K268)</f>
        <v>181201019</v>
      </c>
      <c r="DS268" s="3264"/>
      <c r="DW268" s="3235">
        <f>$G268</f>
        <v>181201019</v>
      </c>
      <c r="DX268" s="3236">
        <f>VLOOKUP($E268,DW$442:DZ$453,2,FALSE)*DW268*($K268)+IF($G268&lt;&gt;0,($H268/$G268)*DW268,0)*(1-$K268)</f>
        <v>0</v>
      </c>
      <c r="DY268" s="3236">
        <f>VLOOKUP($E268,DW$442:DZ$453,3,FALSE)*DW268*($K268)+IF($G268&lt;&gt;0,($I268/$G268)*DW268,0)*(1-$K268)</f>
        <v>0</v>
      </c>
      <c r="DZ268" s="3236">
        <f>VLOOKUP($E268,DW$442:DZ$453,4,FALSE)*DW268*($K268)+(DW268-DX268-DY268)*(1-$K268)</f>
        <v>181201019</v>
      </c>
      <c r="EA268" s="3264"/>
      <c r="EE268" s="3235">
        <f>$G268</f>
        <v>181201019</v>
      </c>
      <c r="EF268" s="3236">
        <f>VLOOKUP($E268,EE$442:EH$453,2,FALSE)*EE268*($K268)+IF($G268&lt;&gt;0,($H268/$G268)*EE268,0)*(1-$K268)</f>
        <v>0</v>
      </c>
      <c r="EG268" s="3236">
        <f>VLOOKUP($E268,EE$442:EH$453,3,FALSE)*EE268*($K268)+IF($G268&lt;&gt;0,($I268/$G268)*EE268,0)*(1-$K268)</f>
        <v>0</v>
      </c>
      <c r="EH268" s="3236">
        <f>VLOOKUP($E268,EE$442:EH$453,4,FALSE)*EE268*($K268)+(EE268-EF268-EG268)*(1-$K268)</f>
        <v>181201019</v>
      </c>
      <c r="EI268" s="3264"/>
      <c r="EM268" s="3235">
        <f>$G268</f>
        <v>181201019</v>
      </c>
      <c r="EN268" s="3236">
        <f>VLOOKUP($E268,EM$442:EP$453,2,FALSE)*EM268*($K268)+IF($G268&lt;&gt;0,($H268/$G268)*EM268,0)*(1-$K268)</f>
        <v>0</v>
      </c>
      <c r="EO268" s="3236">
        <f>VLOOKUP($E268,EM$442:EP$453,3,FALSE)*EM268*($K268)+IF($G268&lt;&gt;0,($I268/$G268)*EM268,0)*(1-$K268)</f>
        <v>0</v>
      </c>
      <c r="EP268" s="3236">
        <f>VLOOKUP($E268,EM$442:EP$453,4,FALSE)*EM268*($K268)+(EM268-EN268-EO268)*(1-$K268)</f>
        <v>181201019</v>
      </c>
      <c r="EQ268" s="3264"/>
      <c r="EU268" s="3235">
        <f>$G268</f>
        <v>181201019</v>
      </c>
      <c r="EV268" s="3236">
        <f>VLOOKUP($E268,EU$442:EX$453,2,FALSE)*EU268*($K268)+IF($G268&lt;&gt;0,($H268/$G268)*EU268,0)*(1-$K268)</f>
        <v>0</v>
      </c>
      <c r="EW268" s="3236">
        <f>VLOOKUP($E268,EU$442:EX$453,3,FALSE)*EU268*($K268)+IF($G268&lt;&gt;0,($I268/$G268)*EU268,0)*(1-$K268)</f>
        <v>0</v>
      </c>
      <c r="EX268" s="3236">
        <f>VLOOKUP($E268,EU$442:EX$453,4,FALSE)*EU268*($K268)+(EU268-EV268-EW268)*(1-$K268)</f>
        <v>181201019</v>
      </c>
      <c r="EY268" s="3264"/>
      <c r="FC268" s="3235">
        <f>$G268</f>
        <v>181201019</v>
      </c>
      <c r="FD268" s="3236">
        <f>VLOOKUP($E268,FC$442:FF$453,2,FALSE)*FC268*($K268)+IF($G268&lt;&gt;0,($H268/$G268)*FC268,0)*(1-$K268)</f>
        <v>0</v>
      </c>
      <c r="FE268" s="3236">
        <f>VLOOKUP($E268,FC$442:FF$453,3,FALSE)*FC268*($K268)+IF($G268&lt;&gt;0,($I268/$G268)*FC268,0)*(1-$K268)</f>
        <v>0</v>
      </c>
      <c r="FF268" s="3236">
        <f>VLOOKUP($E268,FC$442:FF$453,4,FALSE)*FC268*($K268)+(FC268-FD268-FE268)*(1-$K268)</f>
        <v>181201019</v>
      </c>
      <c r="FG268" s="3264"/>
      <c r="FK268" s="3235">
        <f>$G268</f>
        <v>181201019</v>
      </c>
      <c r="FL268" s="3236">
        <f>VLOOKUP($E268,FK$442:FN$453,2,FALSE)*FK268*($K268)+IF($G268&lt;&gt;0,($H268/$G268)*FK268,0)*(1-$K268)</f>
        <v>0</v>
      </c>
      <c r="FM268" s="3236">
        <f>VLOOKUP($E268,FK$442:FN$453,3,FALSE)*FK268*($K268)+IF($G268&lt;&gt;0,($I268/$G268)*FK268,0)*(1-$K268)</f>
        <v>0</v>
      </c>
      <c r="FN268" s="3236">
        <f>VLOOKUP($E268,FK$442:FN$453,4,FALSE)*FK268*($K268)+(FK268-FL268-FM268)*(1-$K268)</f>
        <v>181201019</v>
      </c>
      <c r="FO268" s="3264"/>
    </row>
    <row r="269" spans="1:171">
      <c r="A269" s="2314"/>
      <c r="B269" s="2365" t="s">
        <v>150</v>
      </c>
      <c r="C269" s="2673">
        <v>262</v>
      </c>
      <c r="D269" s="2674">
        <v>408.1</v>
      </c>
      <c r="E269" s="2424" t="str">
        <f>'Sch 3A - Taxes'!E17</f>
        <v>LABOR</v>
      </c>
      <c r="F269" s="2171"/>
      <c r="G269" s="2424">
        <f>'Sch 3A - Taxes'!F17</f>
        <v>10966229</v>
      </c>
      <c r="H269" s="2424">
        <f>'Sch 3A - Taxes'!G17</f>
        <v>3726655.054265135</v>
      </c>
      <c r="I269" s="2424">
        <f>'Sch 3A - Taxes'!H17</f>
        <v>0</v>
      </c>
      <c r="J269" s="2425">
        <f>'Sch 3A - Taxes'!I17</f>
        <v>7239573.945734865</v>
      </c>
      <c r="K269" s="3205">
        <f>IF($E269="DIRECT",0,1)</f>
        <v>1</v>
      </c>
      <c r="O269" s="3235">
        <f>$G269</f>
        <v>10966229</v>
      </c>
      <c r="P269" s="3236">
        <f>VLOOKUP($E269,O$442:R$453,2,FALSE)*O269*($K269)+IF($G269&lt;&gt;0,($H269/$G269)*O269,0)*(1-$K269)</f>
        <v>3726655.054265135</v>
      </c>
      <c r="Q269" s="3236">
        <f>VLOOKUP($E269,O$442:R$453,3,FALSE)*O269*($K269)+IF($G269&lt;&gt;0,($I269/$G269)*O269,0)*(1-$K269)</f>
        <v>595093.60912332614</v>
      </c>
      <c r="R269" s="3236">
        <f>VLOOKUP($E269,O$442:R$453,4,FALSE)*O269*($K269)+(O269-P269-Q269)*(1-$K269)</f>
        <v>6644480.3366115401</v>
      </c>
      <c r="S269" s="3264"/>
      <c r="W269" s="3235">
        <f>$G269</f>
        <v>10966229</v>
      </c>
      <c r="X269" s="3236">
        <f>VLOOKUP($E269,W$442:Z$453,2,FALSE)*W269*($K269)+IF($G269&lt;&gt;0,($H269/$G269)*W269,0)*(1-$K269)</f>
        <v>3726655.054265135</v>
      </c>
      <c r="Y269" s="3236">
        <f>VLOOKUP($E269,W$442:Z$453,3,FALSE)*W269*($K269)+IF($G269&lt;&gt;0,($I269/$G269)*W269,0)*(1-$K269)</f>
        <v>595093.60912332614</v>
      </c>
      <c r="Z269" s="3236">
        <f>VLOOKUP($E269,W$442:Z$453,4,FALSE)*W269*($K269)+(W269-X269-Y269)*(1-$K269)</f>
        <v>6644480.3366115401</v>
      </c>
      <c r="AA269" s="3264"/>
      <c r="AE269" s="3235">
        <f>$G269</f>
        <v>10966229</v>
      </c>
      <c r="AF269" s="3236">
        <f>VLOOKUP($E269,AE$442:AH$453,2,FALSE)*AE269*($K269)+IF($G269&lt;&gt;0,($H269/$G269)*AE269,0)*(1-$K269)</f>
        <v>3726655.054265135</v>
      </c>
      <c r="AG269" s="3236">
        <f>VLOOKUP($E269,AE$442:AH$453,3,FALSE)*AE269*($K269)+IF($G269&lt;&gt;0,($I269/$G269)*AE269,0)*(1-$K269)</f>
        <v>595093.60912332614</v>
      </c>
      <c r="AH269" s="3236">
        <f>VLOOKUP($E269,AE$442:AH$453,4,FALSE)*AE269*($K269)+(AE269-AF269-AG269)*(1-$K269)</f>
        <v>6644480.3366115401</v>
      </c>
      <c r="AI269" s="3264"/>
      <c r="AM269" s="3235">
        <f>$G269</f>
        <v>10966229</v>
      </c>
      <c r="AN269" s="3236">
        <f>VLOOKUP($E269,AM$442:AP$453,2,FALSE)*AM269*($K269)+IF($G269&lt;&gt;0,($H269/$G269)*AM269,0)*(1-$K269)</f>
        <v>3726655.054265135</v>
      </c>
      <c r="AO269" s="3236">
        <f>VLOOKUP($E269,AM$442:AP$453,3,FALSE)*AM269*($K269)+IF($G269&lt;&gt;0,($I269/$G269)*AM269,0)*(1-$K269)</f>
        <v>595093.60912332614</v>
      </c>
      <c r="AP269" s="3236">
        <f>VLOOKUP($E269,AM$442:AP$453,4,FALSE)*AM269*($K269)+(AM269-AN269-AO269)*(1-$K269)</f>
        <v>6644480.3366115401</v>
      </c>
      <c r="AQ269" s="3264"/>
      <c r="AU269" s="3235">
        <f>$G269</f>
        <v>10966229</v>
      </c>
      <c r="AV269" s="3236">
        <f>VLOOKUP($E269,AU$442:AX$453,2,FALSE)*AU269*($K269)+IF($G269&lt;&gt;0,($H269/$G269)*AU269,0)*(1-$K269)</f>
        <v>3726655.054265135</v>
      </c>
      <c r="AW269" s="3236">
        <f>VLOOKUP($E269,AU$442:AX$453,3,FALSE)*AU269*($K269)+IF($G269&lt;&gt;0,($I269/$G269)*AU269,0)*(1-$K269)</f>
        <v>595093.60912332614</v>
      </c>
      <c r="AX269" s="3236">
        <f>VLOOKUP($E269,AU$442:AX$453,4,FALSE)*AU269*($K269)+(AU269-AV269-AW269)*(1-$K269)</f>
        <v>6644480.3366115401</v>
      </c>
      <c r="AY269" s="3264"/>
      <c r="BC269" s="3235">
        <f>$G269</f>
        <v>10966229</v>
      </c>
      <c r="BD269" s="3236">
        <f>VLOOKUP($E269,BC$442:BF$453,2,FALSE)*BC269*($K269)+IF($G269&lt;&gt;0,($H269/$G269)*BC269,0)*(1-$K269)</f>
        <v>3726655.054265135</v>
      </c>
      <c r="BE269" s="3236">
        <f>VLOOKUP($E269,BC$442:BF$453,3,FALSE)*BC269*($K269)+IF($G269&lt;&gt;0,($I269/$G269)*BC269,0)*(1-$K269)</f>
        <v>595093.60912332614</v>
      </c>
      <c r="BF269" s="3236">
        <f>VLOOKUP($E269,BC$442:BF$453,4,FALSE)*BC269*($K269)+(BC269-BD269-BE269)*(1-$K269)</f>
        <v>6644480.3366115401</v>
      </c>
      <c r="BG269" s="3264"/>
      <c r="BK269" s="3235">
        <f>$G269</f>
        <v>10966229</v>
      </c>
      <c r="BL269" s="3236">
        <f>VLOOKUP($E269,BK$442:BN$453,2,FALSE)*BK269*($K269)+IF($G269&lt;&gt;0,($H269/$G269)*BK269,0)*(1-$K269)</f>
        <v>3726655.054265135</v>
      </c>
      <c r="BM269" s="3236">
        <f>VLOOKUP($E269,BK$442:BN$453,3,FALSE)*BK269*($K269)+IF($G269&lt;&gt;0,($I269/$G269)*BK269,0)*(1-$K269)</f>
        <v>595093.60912332614</v>
      </c>
      <c r="BN269" s="3236">
        <f>VLOOKUP($E269,BK$442:BN$453,4,FALSE)*BK269*($K269)+(BK269-BL269-BM269)*(1-$K269)</f>
        <v>6644480.3366115401</v>
      </c>
      <c r="BO269" s="3264"/>
      <c r="BS269" s="3235">
        <f>$G269</f>
        <v>10966229</v>
      </c>
      <c r="BT269" s="3236">
        <f>VLOOKUP($E269,BS$442:BV$453,2,FALSE)*BS269*($K269)+IF($G269&lt;&gt;0,($H269/$G269)*BS269,0)*(1-$K269)</f>
        <v>3726655.054265135</v>
      </c>
      <c r="BU269" s="3236">
        <f>VLOOKUP($E269,BS$442:BV$453,3,FALSE)*BS269*($K269)+IF($G269&lt;&gt;0,($I269/$G269)*BS269,0)*(1-$K269)</f>
        <v>595093.60912332614</v>
      </c>
      <c r="BV269" s="3236">
        <f>VLOOKUP($E269,BS$442:BV$453,4,FALSE)*BS269*($K269)+(BS269-BT269-BU269)*(1-$K269)</f>
        <v>6644480.3366115401</v>
      </c>
      <c r="BW269" s="3264"/>
      <c r="CA269" s="3235">
        <f>$G269</f>
        <v>10966229</v>
      </c>
      <c r="CB269" s="3236">
        <f>VLOOKUP($E269,CA$442:CD$453,2,FALSE)*CA269*($K269)+IF($G269&lt;&gt;0,($H269/$G269)*CA269,0)*(1-$K269)</f>
        <v>3726655.054265135</v>
      </c>
      <c r="CC269" s="3236">
        <f>VLOOKUP($E269,CA$442:CD$453,3,FALSE)*CA269*($K269)+IF($G269&lt;&gt;0,($I269/$G269)*CA269,0)*(1-$K269)</f>
        <v>595093.60912332614</v>
      </c>
      <c r="CD269" s="3236">
        <f>VLOOKUP($E269,CA$442:CD$453,4,FALSE)*CA269*($K269)+(CA269-CB269-CC269)*(1-$K269)</f>
        <v>6644480.3366115401</v>
      </c>
      <c r="CE269" s="3264"/>
      <c r="CI269" s="3235">
        <f>$G269</f>
        <v>10966229</v>
      </c>
      <c r="CJ269" s="3236">
        <f>VLOOKUP($E269,CI$442:CL$453,2,FALSE)*CI269*($K269)+IF($G269&lt;&gt;0,($H269/$G269)*CI269,0)*(1-$K269)</f>
        <v>3726655.054265135</v>
      </c>
      <c r="CK269" s="3236">
        <f>VLOOKUP($E269,CI$442:CL$453,3,FALSE)*CI269*($K269)+IF($G269&lt;&gt;0,($I269/$G269)*CI269,0)*(1-$K269)</f>
        <v>595093.60912332614</v>
      </c>
      <c r="CL269" s="3236">
        <f>VLOOKUP($E269,CI$442:CL$453,4,FALSE)*CI269*($K269)+(CI269-CJ269-CK269)*(1-$K269)</f>
        <v>6644480.3366115401</v>
      </c>
      <c r="CM269" s="3264"/>
      <c r="CQ269" s="3235">
        <f>$G269</f>
        <v>10966229</v>
      </c>
      <c r="CR269" s="3236">
        <f>VLOOKUP($E269,CQ$442:CT$453,2,FALSE)*CQ269*($K269)+IF($G269&lt;&gt;0,($H269/$G269)*CQ269,0)*(1-$K269)</f>
        <v>3726655.054265135</v>
      </c>
      <c r="CS269" s="3236">
        <f>VLOOKUP($E269,CQ$442:CT$453,3,FALSE)*CQ269*($K269)+IF($G269&lt;&gt;0,($I269/$G269)*CQ269,0)*(1-$K269)</f>
        <v>595093.60912332614</v>
      </c>
      <c r="CT269" s="3236">
        <f>VLOOKUP($E269,CQ$442:CT$453,4,FALSE)*CQ269*($K269)+(CQ269-CR269-CS269)*(1-$K269)</f>
        <v>6644480.3366115401</v>
      </c>
      <c r="CU269" s="3264"/>
      <c r="CY269" s="3235">
        <f>$G269</f>
        <v>10966229</v>
      </c>
      <c r="CZ269" s="3236">
        <f>VLOOKUP($E269,CY$442:DB$453,2,FALSE)*CY269*($K269)+IF($G269&lt;&gt;0,($H269/$G269)*CY269,0)*(1-$K269)</f>
        <v>3726655.054265135</v>
      </c>
      <c r="DA269" s="3236">
        <f>VLOOKUP($E269,CY$442:DB$453,3,FALSE)*CY269*($K269)+IF($G269&lt;&gt;0,($I269/$G269)*CY269,0)*(1-$K269)</f>
        <v>595093.60912332614</v>
      </c>
      <c r="DB269" s="3236">
        <f>VLOOKUP($E269,CY$442:DB$453,4,FALSE)*CY269*($K269)+(CY269-CZ269-DA269)*(1-$K269)</f>
        <v>6644480.3366115401</v>
      </c>
      <c r="DC269" s="3264"/>
      <c r="DG269" s="3235">
        <f>$G269</f>
        <v>10966229</v>
      </c>
      <c r="DH269" s="3236">
        <f>VLOOKUP($E269,DG$442:DJ$453,2,FALSE)*DG269*($K269)+IF($G269&lt;&gt;0,($H269/$G269)*DG269,0)*(1-$K269)</f>
        <v>3726655.054265135</v>
      </c>
      <c r="DI269" s="3236">
        <f>VLOOKUP($E269,DG$442:DJ$453,3,FALSE)*DG269*($K269)+IF($G269&lt;&gt;0,($I269/$G269)*DG269,0)*(1-$K269)</f>
        <v>595093.60912332614</v>
      </c>
      <c r="DJ269" s="3236">
        <f>VLOOKUP($E269,DG$442:DJ$453,4,FALSE)*DG269*($K269)+(DG269-DH269-DI269)*(1-$K269)</f>
        <v>6644480.3366115401</v>
      </c>
      <c r="DK269" s="3264"/>
      <c r="DO269" s="3235">
        <f>$G269</f>
        <v>10966229</v>
      </c>
      <c r="DP269" s="3236">
        <f>VLOOKUP($E269,DO$442:DR$453,2,FALSE)*DO269*($K269)+IF($G269&lt;&gt;0,($H269/$G269)*DO269,0)*(1-$K269)</f>
        <v>3726655.054265135</v>
      </c>
      <c r="DQ269" s="3236">
        <f>VLOOKUP($E269,DO$442:DR$453,3,FALSE)*DO269*($K269)+IF($G269&lt;&gt;0,($I269/$G269)*DO269,0)*(1-$K269)</f>
        <v>595093.60912332614</v>
      </c>
      <c r="DR269" s="3236">
        <f>VLOOKUP($E269,DO$442:DR$453,4,FALSE)*DO269*($K269)+(DO269-DP269-DQ269)*(1-$K269)</f>
        <v>6644480.3366115401</v>
      </c>
      <c r="DS269" s="3264"/>
      <c r="DW269" s="3235">
        <f>$G269</f>
        <v>10966229</v>
      </c>
      <c r="DX269" s="3236">
        <f>VLOOKUP($E269,DW$442:DZ$453,2,FALSE)*DW269*($K269)+IF($G269&lt;&gt;0,($H269/$G269)*DW269,0)*(1-$K269)</f>
        <v>3726655.054265135</v>
      </c>
      <c r="DY269" s="3236">
        <f>VLOOKUP($E269,DW$442:DZ$453,3,FALSE)*DW269*($K269)+IF($G269&lt;&gt;0,($I269/$G269)*DW269,0)*(1-$K269)</f>
        <v>595093.60912332614</v>
      </c>
      <c r="DZ269" s="3236">
        <f>VLOOKUP($E269,DW$442:DZ$453,4,FALSE)*DW269*($K269)+(DW269-DX269-DY269)*(1-$K269)</f>
        <v>6644480.3366115401</v>
      </c>
      <c r="EA269" s="3264"/>
      <c r="EE269" s="3235">
        <f>$G269</f>
        <v>10966229</v>
      </c>
      <c r="EF269" s="3236">
        <f>VLOOKUP($E269,EE$442:EH$453,2,FALSE)*EE269*($K269)+IF($G269&lt;&gt;0,($H269/$G269)*EE269,0)*(1-$K269)</f>
        <v>3726655.054265135</v>
      </c>
      <c r="EG269" s="3236">
        <f>VLOOKUP($E269,EE$442:EH$453,3,FALSE)*EE269*($K269)+IF($G269&lt;&gt;0,($I269/$G269)*EE269,0)*(1-$K269)</f>
        <v>595093.60912332614</v>
      </c>
      <c r="EH269" s="3236">
        <f>VLOOKUP($E269,EE$442:EH$453,4,FALSE)*EE269*($K269)+(EE269-EF269-EG269)*(1-$K269)</f>
        <v>6644480.3366115401</v>
      </c>
      <c r="EI269" s="3264"/>
      <c r="EM269" s="3235">
        <f>$G269</f>
        <v>10966229</v>
      </c>
      <c r="EN269" s="3236">
        <f>VLOOKUP($E269,EM$442:EP$453,2,FALSE)*EM269*($K269)+IF($G269&lt;&gt;0,($H269/$G269)*EM269,0)*(1-$K269)</f>
        <v>3726655.054265135</v>
      </c>
      <c r="EO269" s="3236">
        <f>VLOOKUP($E269,EM$442:EP$453,3,FALSE)*EM269*($K269)+IF($G269&lt;&gt;0,($I269/$G269)*EM269,0)*(1-$K269)</f>
        <v>595093.60912332614</v>
      </c>
      <c r="EP269" s="3236">
        <f>VLOOKUP($E269,EM$442:EP$453,4,FALSE)*EM269*($K269)+(EM269-EN269-EO269)*(1-$K269)</f>
        <v>6644480.3366115401</v>
      </c>
      <c r="EQ269" s="3264"/>
      <c r="EU269" s="3235">
        <f>$G269</f>
        <v>10966229</v>
      </c>
      <c r="EV269" s="3236">
        <f>VLOOKUP($E269,EU$442:EX$453,2,FALSE)*EU269*($K269)+IF($G269&lt;&gt;0,($H269/$G269)*EU269,0)*(1-$K269)</f>
        <v>3726655.054265135</v>
      </c>
      <c r="EW269" s="3236">
        <f>VLOOKUP($E269,EU$442:EX$453,3,FALSE)*EU269*($K269)+IF($G269&lt;&gt;0,($I269/$G269)*EU269,0)*(1-$K269)</f>
        <v>595093.60912332614</v>
      </c>
      <c r="EX269" s="3236">
        <f>VLOOKUP($E269,EU$442:EX$453,4,FALSE)*EU269*($K269)+(EU269-EV269-EW269)*(1-$K269)</f>
        <v>6644480.3366115401</v>
      </c>
      <c r="EY269" s="3264"/>
      <c r="FC269" s="3235">
        <f>$G269</f>
        <v>10966229</v>
      </c>
      <c r="FD269" s="3236">
        <f>VLOOKUP($E269,FC$442:FF$453,2,FALSE)*FC269*($K269)+IF($G269&lt;&gt;0,($H269/$G269)*FC269,0)*(1-$K269)</f>
        <v>3726655.054265135</v>
      </c>
      <c r="FE269" s="3236">
        <f>VLOOKUP($E269,FC$442:FF$453,3,FALSE)*FC269*($K269)+IF($G269&lt;&gt;0,($I269/$G269)*FC269,0)*(1-$K269)</f>
        <v>595093.60912332614</v>
      </c>
      <c r="FF269" s="3236">
        <f>VLOOKUP($E269,FC$442:FF$453,4,FALSE)*FC269*($K269)+(FC269-FD269-FE269)*(1-$K269)</f>
        <v>6644480.3366115401</v>
      </c>
      <c r="FG269" s="3264"/>
      <c r="FK269" s="3235">
        <f>$G269</f>
        <v>10966229</v>
      </c>
      <c r="FL269" s="3236">
        <f>VLOOKUP($E269,FK$442:FN$453,2,FALSE)*FK269*($K269)+IF($G269&lt;&gt;0,($H269/$G269)*FK269,0)*(1-$K269)</f>
        <v>3726655.054265135</v>
      </c>
      <c r="FM269" s="3236">
        <f>VLOOKUP($E269,FK$442:FN$453,3,FALSE)*FK269*($K269)+IF($G269&lt;&gt;0,($I269/$G269)*FK269,0)*(1-$K269)</f>
        <v>595093.60912332614</v>
      </c>
      <c r="FN269" s="3236">
        <f>VLOOKUP($E269,FK$442:FN$453,4,FALSE)*FK269*($K269)+(FK269-FL269-FM269)*(1-$K269)</f>
        <v>6644480.3366115401</v>
      </c>
      <c r="FO269" s="3264"/>
    </row>
    <row r="270" spans="1:171" ht="12" thickBot="1">
      <c r="A270" s="2314"/>
      <c r="B270" s="2365" t="s">
        <v>151</v>
      </c>
      <c r="C270" s="2673">
        <v>262</v>
      </c>
      <c r="D270" s="2674">
        <v>408.1</v>
      </c>
      <c r="E270" s="2424" t="str">
        <f>'Sch 3A - Taxes'!E18</f>
        <v>DIST</v>
      </c>
      <c r="F270" s="2171"/>
      <c r="G270" s="2424">
        <f>'Sch 3A - Taxes'!F18</f>
        <v>0</v>
      </c>
      <c r="H270" s="2424">
        <f>'Sch 3A - Taxes'!G18</f>
        <v>0</v>
      </c>
      <c r="I270" s="2424">
        <f>'Sch 3A - Taxes'!H18</f>
        <v>0</v>
      </c>
      <c r="J270" s="2425">
        <f>'Sch 3A - Taxes'!I18</f>
        <v>0</v>
      </c>
      <c r="K270" s="3205">
        <f>IF($E270="DIRECT",0,1)</f>
        <v>1</v>
      </c>
      <c r="O270" s="3235">
        <f>$G270</f>
        <v>0</v>
      </c>
      <c r="P270" s="3236">
        <f>VLOOKUP($E270,O$442:R$453,2,FALSE)*O270*($K270)+IF($G270&lt;&gt;0,($H270/$G270)*O270,0)*(1-$K270)</f>
        <v>0</v>
      </c>
      <c r="Q270" s="3236">
        <f>VLOOKUP($E270,O$442:R$453,3,FALSE)*O270*($K270)+IF($G270&lt;&gt;0,($I270/$G270)*O270,0)*(1-$K270)</f>
        <v>0</v>
      </c>
      <c r="R270" s="3236">
        <f>VLOOKUP($E270,O$442:R$453,4,FALSE)*O270*($K270)+(O270-P270-Q270)*(1-$K270)</f>
        <v>0</v>
      </c>
      <c r="S270" s="3264"/>
      <c r="W270" s="3235">
        <f>$G270</f>
        <v>0</v>
      </c>
      <c r="X270" s="3236">
        <f>VLOOKUP($E270,W$442:Z$453,2,FALSE)*W270*($K270)+IF($G270&lt;&gt;0,($H270/$G270)*W270,0)*(1-$K270)</f>
        <v>0</v>
      </c>
      <c r="Y270" s="3236">
        <f>VLOOKUP($E270,W$442:Z$453,3,FALSE)*W270*($K270)+IF($G270&lt;&gt;0,($I270/$G270)*W270,0)*(1-$K270)</f>
        <v>0</v>
      </c>
      <c r="Z270" s="3236">
        <f>VLOOKUP($E270,W$442:Z$453,4,FALSE)*W270*($K270)+(W270-X270-Y270)*(1-$K270)</f>
        <v>0</v>
      </c>
      <c r="AA270" s="3264"/>
      <c r="AE270" s="3235">
        <f>$G270</f>
        <v>0</v>
      </c>
      <c r="AF270" s="3236">
        <f>VLOOKUP($E270,AE$442:AH$453,2,FALSE)*AE270*($K270)+IF($G270&lt;&gt;0,($H270/$G270)*AE270,0)*(1-$K270)</f>
        <v>0</v>
      </c>
      <c r="AG270" s="3236">
        <f>VLOOKUP($E270,AE$442:AH$453,3,FALSE)*AE270*($K270)+IF($G270&lt;&gt;0,($I270/$G270)*AE270,0)*(1-$K270)</f>
        <v>0</v>
      </c>
      <c r="AH270" s="3236">
        <f>VLOOKUP($E270,AE$442:AH$453,4,FALSE)*AE270*($K270)+(AE270-AF270-AG270)*(1-$K270)</f>
        <v>0</v>
      </c>
      <c r="AI270" s="3264"/>
      <c r="AM270" s="3235">
        <f>$G270</f>
        <v>0</v>
      </c>
      <c r="AN270" s="3236">
        <f>VLOOKUP($E270,AM$442:AP$453,2,FALSE)*AM270*($K270)+IF($G270&lt;&gt;0,($H270/$G270)*AM270,0)*(1-$K270)</f>
        <v>0</v>
      </c>
      <c r="AO270" s="3236">
        <f>VLOOKUP($E270,AM$442:AP$453,3,FALSE)*AM270*($K270)+IF($G270&lt;&gt;0,($I270/$G270)*AM270,0)*(1-$K270)</f>
        <v>0</v>
      </c>
      <c r="AP270" s="3236">
        <f>VLOOKUP($E270,AM$442:AP$453,4,FALSE)*AM270*($K270)+(AM270-AN270-AO270)*(1-$K270)</f>
        <v>0</v>
      </c>
      <c r="AQ270" s="3264"/>
      <c r="AU270" s="3235">
        <f>$G270</f>
        <v>0</v>
      </c>
      <c r="AV270" s="3236">
        <f>VLOOKUP($E270,AU$442:AX$453,2,FALSE)*AU270*($K270)+IF($G270&lt;&gt;0,($H270/$G270)*AU270,0)*(1-$K270)</f>
        <v>0</v>
      </c>
      <c r="AW270" s="3236">
        <f>VLOOKUP($E270,AU$442:AX$453,3,FALSE)*AU270*($K270)+IF($G270&lt;&gt;0,($I270/$G270)*AU270,0)*(1-$K270)</f>
        <v>0</v>
      </c>
      <c r="AX270" s="3236">
        <f>VLOOKUP($E270,AU$442:AX$453,4,FALSE)*AU270*($K270)+(AU270-AV270-AW270)*(1-$K270)</f>
        <v>0</v>
      </c>
      <c r="AY270" s="3264"/>
      <c r="BC270" s="3235">
        <f>$G270</f>
        <v>0</v>
      </c>
      <c r="BD270" s="3236">
        <f>VLOOKUP($E270,BC$442:BF$453,2,FALSE)*BC270*($K270)+IF($G270&lt;&gt;0,($H270/$G270)*BC270,0)*(1-$K270)</f>
        <v>0</v>
      </c>
      <c r="BE270" s="3236">
        <f>VLOOKUP($E270,BC$442:BF$453,3,FALSE)*BC270*($K270)+IF($G270&lt;&gt;0,($I270/$G270)*BC270,0)*(1-$K270)</f>
        <v>0</v>
      </c>
      <c r="BF270" s="3236">
        <f>VLOOKUP($E270,BC$442:BF$453,4,FALSE)*BC270*($K270)+(BC270-BD270-BE270)*(1-$K270)</f>
        <v>0</v>
      </c>
      <c r="BG270" s="3264"/>
      <c r="BK270" s="3235">
        <f>$G270</f>
        <v>0</v>
      </c>
      <c r="BL270" s="3236">
        <f>VLOOKUP($E270,BK$442:BN$453,2,FALSE)*BK270*($K270)+IF($G270&lt;&gt;0,($H270/$G270)*BK270,0)*(1-$K270)</f>
        <v>0</v>
      </c>
      <c r="BM270" s="3236">
        <f>VLOOKUP($E270,BK$442:BN$453,3,FALSE)*BK270*($K270)+IF($G270&lt;&gt;0,($I270/$G270)*BK270,0)*(1-$K270)</f>
        <v>0</v>
      </c>
      <c r="BN270" s="3236">
        <f>VLOOKUP($E270,BK$442:BN$453,4,FALSE)*BK270*($K270)+(BK270-BL270-BM270)*(1-$K270)</f>
        <v>0</v>
      </c>
      <c r="BO270" s="3264"/>
      <c r="BS270" s="3235">
        <f>$G270</f>
        <v>0</v>
      </c>
      <c r="BT270" s="3236">
        <f>VLOOKUP($E270,BS$442:BV$453,2,FALSE)*BS270*($K270)+IF($G270&lt;&gt;0,($H270/$G270)*BS270,0)*(1-$K270)</f>
        <v>0</v>
      </c>
      <c r="BU270" s="3236">
        <f>VLOOKUP($E270,BS$442:BV$453,3,FALSE)*BS270*($K270)+IF($G270&lt;&gt;0,($I270/$G270)*BS270,0)*(1-$K270)</f>
        <v>0</v>
      </c>
      <c r="BV270" s="3236">
        <f>VLOOKUP($E270,BS$442:BV$453,4,FALSE)*BS270*($K270)+(BS270-BT270-BU270)*(1-$K270)</f>
        <v>0</v>
      </c>
      <c r="BW270" s="3264"/>
      <c r="CA270" s="3235">
        <f>$G270</f>
        <v>0</v>
      </c>
      <c r="CB270" s="3236">
        <f>VLOOKUP($E270,CA$442:CD$453,2,FALSE)*CA270*($K270)+IF($G270&lt;&gt;0,($H270/$G270)*CA270,0)*(1-$K270)</f>
        <v>0</v>
      </c>
      <c r="CC270" s="3236">
        <f>VLOOKUP($E270,CA$442:CD$453,3,FALSE)*CA270*($K270)+IF($G270&lt;&gt;0,($I270/$G270)*CA270,0)*(1-$K270)</f>
        <v>0</v>
      </c>
      <c r="CD270" s="3236">
        <f>VLOOKUP($E270,CA$442:CD$453,4,FALSE)*CA270*($K270)+(CA270-CB270-CC270)*(1-$K270)</f>
        <v>0</v>
      </c>
      <c r="CE270" s="3264"/>
      <c r="CI270" s="3235">
        <f>$G270</f>
        <v>0</v>
      </c>
      <c r="CJ270" s="3236">
        <f>VLOOKUP($E270,CI$442:CL$453,2,FALSE)*CI270*($K270)+IF($G270&lt;&gt;0,($H270/$G270)*CI270,0)*(1-$K270)</f>
        <v>0</v>
      </c>
      <c r="CK270" s="3236">
        <f>VLOOKUP($E270,CI$442:CL$453,3,FALSE)*CI270*($K270)+IF($G270&lt;&gt;0,($I270/$G270)*CI270,0)*(1-$K270)</f>
        <v>0</v>
      </c>
      <c r="CL270" s="3236">
        <f>VLOOKUP($E270,CI$442:CL$453,4,FALSE)*CI270*($K270)+(CI270-CJ270-CK270)*(1-$K270)</f>
        <v>0</v>
      </c>
      <c r="CM270" s="3264"/>
      <c r="CQ270" s="3235">
        <f>$G270</f>
        <v>0</v>
      </c>
      <c r="CR270" s="3236">
        <f>VLOOKUP($E270,CQ$442:CT$453,2,FALSE)*CQ270*($K270)+IF($G270&lt;&gt;0,($H270/$G270)*CQ270,0)*(1-$K270)</f>
        <v>0</v>
      </c>
      <c r="CS270" s="3236">
        <f>VLOOKUP($E270,CQ$442:CT$453,3,FALSE)*CQ270*($K270)+IF($G270&lt;&gt;0,($I270/$G270)*CQ270,0)*(1-$K270)</f>
        <v>0</v>
      </c>
      <c r="CT270" s="3236">
        <f>VLOOKUP($E270,CQ$442:CT$453,4,FALSE)*CQ270*($K270)+(CQ270-CR270-CS270)*(1-$K270)</f>
        <v>0</v>
      </c>
      <c r="CU270" s="3264"/>
      <c r="CY270" s="3235">
        <f>$G270</f>
        <v>0</v>
      </c>
      <c r="CZ270" s="3236">
        <f>VLOOKUP($E270,CY$442:DB$453,2,FALSE)*CY270*($K270)+IF($G270&lt;&gt;0,($H270/$G270)*CY270,0)*(1-$K270)</f>
        <v>0</v>
      </c>
      <c r="DA270" s="3236">
        <f>VLOOKUP($E270,CY$442:DB$453,3,FALSE)*CY270*($K270)+IF($G270&lt;&gt;0,($I270/$G270)*CY270,0)*(1-$K270)</f>
        <v>0</v>
      </c>
      <c r="DB270" s="3236">
        <f>VLOOKUP($E270,CY$442:DB$453,4,FALSE)*CY270*($K270)+(CY270-CZ270-DA270)*(1-$K270)</f>
        <v>0</v>
      </c>
      <c r="DC270" s="3264"/>
      <c r="DG270" s="3235">
        <f>$G270</f>
        <v>0</v>
      </c>
      <c r="DH270" s="3236">
        <f>VLOOKUP($E270,DG$442:DJ$453,2,FALSE)*DG270*($K270)+IF($G270&lt;&gt;0,($H270/$G270)*DG270,0)*(1-$K270)</f>
        <v>0</v>
      </c>
      <c r="DI270" s="3236">
        <f>VLOOKUP($E270,DG$442:DJ$453,3,FALSE)*DG270*($K270)+IF($G270&lt;&gt;0,($I270/$G270)*DG270,0)*(1-$K270)</f>
        <v>0</v>
      </c>
      <c r="DJ270" s="3236">
        <f>VLOOKUP($E270,DG$442:DJ$453,4,FALSE)*DG270*($K270)+(DG270-DH270-DI270)*(1-$K270)</f>
        <v>0</v>
      </c>
      <c r="DK270" s="3264"/>
      <c r="DO270" s="3235">
        <f>$G270</f>
        <v>0</v>
      </c>
      <c r="DP270" s="3236">
        <f>VLOOKUP($E270,DO$442:DR$453,2,FALSE)*DO270*($K270)+IF($G270&lt;&gt;0,($H270/$G270)*DO270,0)*(1-$K270)</f>
        <v>0</v>
      </c>
      <c r="DQ270" s="3236">
        <f>VLOOKUP($E270,DO$442:DR$453,3,FALSE)*DO270*($K270)+IF($G270&lt;&gt;0,($I270/$G270)*DO270,0)*(1-$K270)</f>
        <v>0</v>
      </c>
      <c r="DR270" s="3236">
        <f>VLOOKUP($E270,DO$442:DR$453,4,FALSE)*DO270*($K270)+(DO270-DP270-DQ270)*(1-$K270)</f>
        <v>0</v>
      </c>
      <c r="DS270" s="3264"/>
      <c r="DW270" s="3235">
        <f>$G270</f>
        <v>0</v>
      </c>
      <c r="DX270" s="3236">
        <f>VLOOKUP($E270,DW$442:DZ$453,2,FALSE)*DW270*($K270)+IF($G270&lt;&gt;0,($H270/$G270)*DW270,0)*(1-$K270)</f>
        <v>0</v>
      </c>
      <c r="DY270" s="3236">
        <f>VLOOKUP($E270,DW$442:DZ$453,3,FALSE)*DW270*($K270)+IF($G270&lt;&gt;0,($I270/$G270)*DW270,0)*(1-$K270)</f>
        <v>0</v>
      </c>
      <c r="DZ270" s="3236">
        <f>VLOOKUP($E270,DW$442:DZ$453,4,FALSE)*DW270*($K270)+(DW270-DX270-DY270)*(1-$K270)</f>
        <v>0</v>
      </c>
      <c r="EA270" s="3264"/>
      <c r="EE270" s="3235">
        <f>$G270</f>
        <v>0</v>
      </c>
      <c r="EF270" s="3236">
        <f>VLOOKUP($E270,EE$442:EH$453,2,FALSE)*EE270*($K270)+IF($G270&lt;&gt;0,($H270/$G270)*EE270,0)*(1-$K270)</f>
        <v>0</v>
      </c>
      <c r="EG270" s="3236">
        <f>VLOOKUP($E270,EE$442:EH$453,3,FALSE)*EE270*($K270)+IF($G270&lt;&gt;0,($I270/$G270)*EE270,0)*(1-$K270)</f>
        <v>0</v>
      </c>
      <c r="EH270" s="3236">
        <f>VLOOKUP($E270,EE$442:EH$453,4,FALSE)*EE270*($K270)+(EE270-EF270-EG270)*(1-$K270)</f>
        <v>0</v>
      </c>
      <c r="EI270" s="3264"/>
      <c r="EM270" s="3235">
        <f>$G270</f>
        <v>0</v>
      </c>
      <c r="EN270" s="3236">
        <f>VLOOKUP($E270,EM$442:EP$453,2,FALSE)*EM270*($K270)+IF($G270&lt;&gt;0,($H270/$G270)*EM270,0)*(1-$K270)</f>
        <v>0</v>
      </c>
      <c r="EO270" s="3236">
        <f>VLOOKUP($E270,EM$442:EP$453,3,FALSE)*EM270*($K270)+IF($G270&lt;&gt;0,($I270/$G270)*EM270,0)*(1-$K270)</f>
        <v>0</v>
      </c>
      <c r="EP270" s="3236">
        <f>VLOOKUP($E270,EM$442:EP$453,4,FALSE)*EM270*($K270)+(EM270-EN270-EO270)*(1-$K270)</f>
        <v>0</v>
      </c>
      <c r="EQ270" s="3264"/>
      <c r="EU270" s="3235">
        <f>$G270</f>
        <v>0</v>
      </c>
      <c r="EV270" s="3236">
        <f>VLOOKUP($E270,EU$442:EX$453,2,FALSE)*EU270*($K270)+IF($G270&lt;&gt;0,($H270/$G270)*EU270,0)*(1-$K270)</f>
        <v>0</v>
      </c>
      <c r="EW270" s="3236">
        <f>VLOOKUP($E270,EU$442:EX$453,3,FALSE)*EU270*($K270)+IF($G270&lt;&gt;0,($I270/$G270)*EU270,0)*(1-$K270)</f>
        <v>0</v>
      </c>
      <c r="EX270" s="3236">
        <f>VLOOKUP($E270,EU$442:EX$453,4,FALSE)*EU270*($K270)+(EU270-EV270-EW270)*(1-$K270)</f>
        <v>0</v>
      </c>
      <c r="EY270" s="3264"/>
      <c r="FC270" s="3235">
        <f>$G270</f>
        <v>0</v>
      </c>
      <c r="FD270" s="3236">
        <f>VLOOKUP($E270,FC$442:FF$453,2,FALSE)*FC270*($K270)+IF($G270&lt;&gt;0,($H270/$G270)*FC270,0)*(1-$K270)</f>
        <v>0</v>
      </c>
      <c r="FE270" s="3236">
        <f>VLOOKUP($E270,FC$442:FF$453,3,FALSE)*FC270*($K270)+IF($G270&lt;&gt;0,($I270/$G270)*FC270,0)*(1-$K270)</f>
        <v>0</v>
      </c>
      <c r="FF270" s="3236">
        <f>VLOOKUP($E270,FC$442:FF$453,4,FALSE)*FC270*($K270)+(FC270-FD270-FE270)*(1-$K270)</f>
        <v>0</v>
      </c>
      <c r="FG270" s="3264"/>
      <c r="FK270" s="3235">
        <f>$G270</f>
        <v>0</v>
      </c>
      <c r="FL270" s="3236">
        <f>VLOOKUP($E270,FK$442:FN$453,2,FALSE)*FK270*($K270)+IF($G270&lt;&gt;0,($H270/$G270)*FK270,0)*(1-$K270)</f>
        <v>0</v>
      </c>
      <c r="FM270" s="3236">
        <f>VLOOKUP($E270,FK$442:FN$453,3,FALSE)*FK270*($K270)+IF($G270&lt;&gt;0,($I270/$G270)*FK270,0)*(1-$K270)</f>
        <v>0</v>
      </c>
      <c r="FN270" s="3236">
        <f>VLOOKUP($E270,FK$442:FN$453,4,FALSE)*FK270*($K270)+(FK270-FL270-FM270)*(1-$K270)</f>
        <v>0</v>
      </c>
      <c r="FO270" s="3264"/>
    </row>
    <row r="271" spans="1:171" ht="12" thickBot="1">
      <c r="A271" s="2675" t="s">
        <v>37</v>
      </c>
      <c r="B271" s="2676"/>
      <c r="C271" s="3256"/>
      <c r="D271" s="3257"/>
      <c r="E271" s="3257"/>
      <c r="F271" s="3258"/>
      <c r="G271" s="3265">
        <f>SUM(G268:G270)</f>
        <v>192167248</v>
      </c>
      <c r="H271" s="3265">
        <f>SUM(H268:H270)</f>
        <v>3726655.054265135</v>
      </c>
      <c r="I271" s="3265">
        <f>SUM(I268:I270)</f>
        <v>0</v>
      </c>
      <c r="J271" s="3266">
        <f>SUM(J268:J270)</f>
        <v>188440592.94573486</v>
      </c>
      <c r="K271" s="3205"/>
      <c r="O271" s="3349">
        <f>SUM(O268:O270)</f>
        <v>192167248</v>
      </c>
      <c r="P271" s="3350">
        <f>SUM(P268:P270)</f>
        <v>3726655.054265135</v>
      </c>
      <c r="Q271" s="3350">
        <f>SUM(Q268:Q270)</f>
        <v>595093.60912332614</v>
      </c>
      <c r="R271" s="3350">
        <f>SUM(R268:R270)</f>
        <v>187845499.33661154</v>
      </c>
      <c r="S271" s="3264"/>
      <c r="W271" s="3349">
        <f>SUM(W268:W270)</f>
        <v>192167248</v>
      </c>
      <c r="X271" s="3350">
        <f>SUM(X268:X270)</f>
        <v>3726655.054265135</v>
      </c>
      <c r="Y271" s="3350">
        <f>SUM(Y268:Y270)</f>
        <v>595093.60912332614</v>
      </c>
      <c r="Z271" s="3350">
        <f>SUM(Z268:Z270)</f>
        <v>187845499.33661154</v>
      </c>
      <c r="AA271" s="3264"/>
      <c r="AE271" s="3349">
        <f>SUM(AE268:AE270)</f>
        <v>192167248</v>
      </c>
      <c r="AF271" s="3350">
        <f>SUM(AF268:AF270)</f>
        <v>3726655.054265135</v>
      </c>
      <c r="AG271" s="3350">
        <f>SUM(AG268:AG270)</f>
        <v>595093.60912332614</v>
      </c>
      <c r="AH271" s="3350">
        <f>SUM(AH268:AH270)</f>
        <v>187845499.33661154</v>
      </c>
      <c r="AI271" s="3264"/>
      <c r="AM271" s="3349">
        <f>SUM(AM268:AM270)</f>
        <v>192167248</v>
      </c>
      <c r="AN271" s="3350">
        <f>SUM(AN268:AN270)</f>
        <v>3726655.054265135</v>
      </c>
      <c r="AO271" s="3350">
        <f>SUM(AO268:AO270)</f>
        <v>595093.60912332614</v>
      </c>
      <c r="AP271" s="3350">
        <f>SUM(AP268:AP270)</f>
        <v>187845499.33661154</v>
      </c>
      <c r="AQ271" s="3264"/>
      <c r="AU271" s="3349">
        <f>SUM(AU268:AU270)</f>
        <v>192167248</v>
      </c>
      <c r="AV271" s="3350">
        <f>SUM(AV268:AV270)</f>
        <v>3726655.054265135</v>
      </c>
      <c r="AW271" s="3350">
        <f>SUM(AW268:AW270)</f>
        <v>595093.60912332614</v>
      </c>
      <c r="AX271" s="3350">
        <f>SUM(AX268:AX270)</f>
        <v>187845499.33661154</v>
      </c>
      <c r="AY271" s="3264"/>
      <c r="BC271" s="3349">
        <f>SUM(BC268:BC270)</f>
        <v>192167248</v>
      </c>
      <c r="BD271" s="3350">
        <f>SUM(BD268:BD270)</f>
        <v>3726655.054265135</v>
      </c>
      <c r="BE271" s="3350">
        <f>SUM(BE268:BE270)</f>
        <v>595093.60912332614</v>
      </c>
      <c r="BF271" s="3350">
        <f>SUM(BF268:BF270)</f>
        <v>187845499.33661154</v>
      </c>
      <c r="BG271" s="3264"/>
      <c r="BK271" s="3349">
        <f>SUM(BK268:BK270)</f>
        <v>192167248</v>
      </c>
      <c r="BL271" s="3350">
        <f>SUM(BL268:BL270)</f>
        <v>3726655.054265135</v>
      </c>
      <c r="BM271" s="3350">
        <f>SUM(BM268:BM270)</f>
        <v>595093.60912332614</v>
      </c>
      <c r="BN271" s="3350">
        <f>SUM(BN268:BN270)</f>
        <v>187845499.33661154</v>
      </c>
      <c r="BO271" s="3264"/>
      <c r="BS271" s="3349">
        <f>SUM(BS268:BS270)</f>
        <v>192167248</v>
      </c>
      <c r="BT271" s="3350">
        <f>SUM(BT268:BT270)</f>
        <v>3726655.054265135</v>
      </c>
      <c r="BU271" s="3350">
        <f>SUM(BU268:BU270)</f>
        <v>595093.60912332614</v>
      </c>
      <c r="BV271" s="3350">
        <f>SUM(BV268:BV270)</f>
        <v>187845499.33661154</v>
      </c>
      <c r="BW271" s="3264"/>
      <c r="CA271" s="3349">
        <f>SUM(CA268:CA270)</f>
        <v>192167248</v>
      </c>
      <c r="CB271" s="3350">
        <f>SUM(CB268:CB270)</f>
        <v>3726655.054265135</v>
      </c>
      <c r="CC271" s="3350">
        <f>SUM(CC268:CC270)</f>
        <v>595093.60912332614</v>
      </c>
      <c r="CD271" s="3350">
        <f>SUM(CD268:CD270)</f>
        <v>187845499.33661154</v>
      </c>
      <c r="CE271" s="3264"/>
      <c r="CI271" s="3349">
        <f>SUM(CI268:CI270)</f>
        <v>192167248</v>
      </c>
      <c r="CJ271" s="3350">
        <f>SUM(CJ268:CJ270)</f>
        <v>3726655.054265135</v>
      </c>
      <c r="CK271" s="3350">
        <f>SUM(CK268:CK270)</f>
        <v>595093.60912332614</v>
      </c>
      <c r="CL271" s="3350">
        <f>SUM(CL268:CL270)</f>
        <v>187845499.33661154</v>
      </c>
      <c r="CM271" s="3264"/>
      <c r="CQ271" s="3349">
        <f>SUM(CQ268:CQ270)</f>
        <v>192167248</v>
      </c>
      <c r="CR271" s="3350">
        <f>SUM(CR268:CR270)</f>
        <v>3726655.054265135</v>
      </c>
      <c r="CS271" s="3350">
        <f>SUM(CS268:CS270)</f>
        <v>595093.60912332614</v>
      </c>
      <c r="CT271" s="3350">
        <f>SUM(CT268:CT270)</f>
        <v>187845499.33661154</v>
      </c>
      <c r="CU271" s="3264"/>
      <c r="CY271" s="3349">
        <f>SUM(CY268:CY270)</f>
        <v>192167248</v>
      </c>
      <c r="CZ271" s="3350">
        <f>SUM(CZ268:CZ270)</f>
        <v>3726655.054265135</v>
      </c>
      <c r="DA271" s="3350">
        <f>SUM(DA268:DA270)</f>
        <v>595093.60912332614</v>
      </c>
      <c r="DB271" s="3350">
        <f>SUM(DB268:DB270)</f>
        <v>187845499.33661154</v>
      </c>
      <c r="DC271" s="3264"/>
      <c r="DG271" s="3349">
        <f>SUM(DG268:DG270)</f>
        <v>192167248</v>
      </c>
      <c r="DH271" s="3350">
        <f>SUM(DH268:DH270)</f>
        <v>3726655.054265135</v>
      </c>
      <c r="DI271" s="3350">
        <f>SUM(DI268:DI270)</f>
        <v>595093.60912332614</v>
      </c>
      <c r="DJ271" s="3350">
        <f>SUM(DJ268:DJ270)</f>
        <v>187845499.33661154</v>
      </c>
      <c r="DK271" s="3264"/>
      <c r="DO271" s="3349">
        <f>SUM(DO268:DO270)</f>
        <v>192167248</v>
      </c>
      <c r="DP271" s="3350">
        <f>SUM(DP268:DP270)</f>
        <v>3726655.054265135</v>
      </c>
      <c r="DQ271" s="3350">
        <f>SUM(DQ268:DQ270)</f>
        <v>595093.60912332614</v>
      </c>
      <c r="DR271" s="3350">
        <f>SUM(DR268:DR270)</f>
        <v>187845499.33661154</v>
      </c>
      <c r="DS271" s="3264"/>
      <c r="DW271" s="3349">
        <f>SUM(DW268:DW270)</f>
        <v>192167248</v>
      </c>
      <c r="DX271" s="3350">
        <f>SUM(DX268:DX270)</f>
        <v>3726655.054265135</v>
      </c>
      <c r="DY271" s="3350">
        <f>SUM(DY268:DY270)</f>
        <v>595093.60912332614</v>
      </c>
      <c r="DZ271" s="3350">
        <f>SUM(DZ268:DZ270)</f>
        <v>187845499.33661154</v>
      </c>
      <c r="EA271" s="3264"/>
      <c r="EE271" s="3349">
        <f>SUM(EE268:EE270)</f>
        <v>192167248</v>
      </c>
      <c r="EF271" s="3350">
        <f>SUM(EF268:EF270)</f>
        <v>3726655.054265135</v>
      </c>
      <c r="EG271" s="3350">
        <f>SUM(EG268:EG270)</f>
        <v>595093.60912332614</v>
      </c>
      <c r="EH271" s="3350">
        <f>SUM(EH268:EH270)</f>
        <v>187845499.33661154</v>
      </c>
      <c r="EI271" s="3264"/>
      <c r="EM271" s="3349">
        <f>SUM(EM268:EM270)</f>
        <v>192167248</v>
      </c>
      <c r="EN271" s="3350">
        <f>SUM(EN268:EN270)</f>
        <v>3726655.054265135</v>
      </c>
      <c r="EO271" s="3350">
        <f>SUM(EO268:EO270)</f>
        <v>595093.60912332614</v>
      </c>
      <c r="EP271" s="3350">
        <f>SUM(EP268:EP270)</f>
        <v>187845499.33661154</v>
      </c>
      <c r="EQ271" s="3264"/>
      <c r="EU271" s="3349">
        <f>SUM(EU268:EU270)</f>
        <v>192167248</v>
      </c>
      <c r="EV271" s="3350">
        <f>SUM(EV268:EV270)</f>
        <v>3726655.054265135</v>
      </c>
      <c r="EW271" s="3350">
        <f>SUM(EW268:EW270)</f>
        <v>595093.60912332614</v>
      </c>
      <c r="EX271" s="3350">
        <f>SUM(EX268:EX270)</f>
        <v>187845499.33661154</v>
      </c>
      <c r="EY271" s="3264"/>
      <c r="FC271" s="3349">
        <f>SUM(FC268:FC270)</f>
        <v>192167248</v>
      </c>
      <c r="FD271" s="3350">
        <f>SUM(FD268:FD270)</f>
        <v>3726655.054265135</v>
      </c>
      <c r="FE271" s="3350">
        <f>SUM(FE268:FE270)</f>
        <v>595093.60912332614</v>
      </c>
      <c r="FF271" s="3350">
        <f>SUM(FF268:FF270)</f>
        <v>187845499.33661154</v>
      </c>
      <c r="FG271" s="3264"/>
      <c r="FK271" s="3349">
        <f>SUM(FK268:FK270)</f>
        <v>192167248</v>
      </c>
      <c r="FL271" s="3350">
        <f>SUM(FL268:FL270)</f>
        <v>3726655.054265135</v>
      </c>
      <c r="FM271" s="3350">
        <f>SUM(FM268:FM270)</f>
        <v>595093.60912332614</v>
      </c>
      <c r="FN271" s="3350">
        <f>SUM(FN268:FN270)</f>
        <v>187845499.33661154</v>
      </c>
      <c r="FO271" s="3264"/>
    </row>
    <row r="272" spans="1:171">
      <c r="A272" s="2675"/>
      <c r="B272" s="2676"/>
      <c r="C272" s="3351"/>
      <c r="D272" s="3352"/>
      <c r="E272" s="2098"/>
      <c r="F272" s="2098"/>
      <c r="G272" s="2670"/>
      <c r="H272" s="2670"/>
      <c r="I272" s="2670"/>
      <c r="J272" s="2680"/>
      <c r="K272" s="3205"/>
      <c r="S272" s="3264"/>
      <c r="AA272" s="3264"/>
      <c r="AI272" s="3264"/>
      <c r="AQ272" s="3264"/>
      <c r="AY272" s="3264"/>
      <c r="BG272" s="3264"/>
      <c r="BO272" s="3264"/>
      <c r="BW272" s="3264"/>
      <c r="CE272" s="3264"/>
      <c r="CM272" s="3264"/>
      <c r="CU272" s="3264"/>
      <c r="DC272" s="3264"/>
      <c r="DK272" s="3264"/>
      <c r="DS272" s="3264"/>
      <c r="EA272" s="3264"/>
      <c r="EI272" s="3264"/>
      <c r="EQ272" s="3264"/>
      <c r="EY272" s="3264"/>
      <c r="FG272" s="3264"/>
      <c r="FO272" s="3264"/>
    </row>
    <row r="273" spans="1:171">
      <c r="A273" s="2351" t="s">
        <v>38</v>
      </c>
      <c r="B273" s="2365"/>
      <c r="C273" s="2353"/>
      <c r="D273" s="2356"/>
      <c r="E273" s="2098"/>
      <c r="F273" s="2098"/>
      <c r="G273" s="2670"/>
      <c r="H273" s="2670"/>
      <c r="I273" s="2670"/>
      <c r="J273" s="2680"/>
      <c r="K273" s="3205"/>
      <c r="S273" s="3264"/>
      <c r="AA273" s="3264"/>
      <c r="AI273" s="3264"/>
      <c r="AQ273" s="3264"/>
      <c r="AY273" s="3264"/>
      <c r="BG273" s="3264"/>
      <c r="BO273" s="3264"/>
      <c r="BW273" s="3264"/>
      <c r="CE273" s="3264"/>
      <c r="CM273" s="3264"/>
      <c r="CU273" s="3264"/>
      <c r="DC273" s="3264"/>
      <c r="DK273" s="3264"/>
      <c r="DS273" s="3264"/>
      <c r="EA273" s="3264"/>
      <c r="EI273" s="3264"/>
      <c r="EQ273" s="3264"/>
      <c r="EY273" s="3264"/>
      <c r="FG273" s="3264"/>
      <c r="FO273" s="3264"/>
    </row>
    <row r="274" spans="1:171">
      <c r="A274" s="3254">
        <v>96000</v>
      </c>
      <c r="B274" s="2365" t="s">
        <v>566</v>
      </c>
      <c r="C274" s="2673">
        <v>262</v>
      </c>
      <c r="D274" s="2674">
        <v>408.1</v>
      </c>
      <c r="E274" s="2424" t="str">
        <f>'Sch 3A - Taxes'!E22</f>
        <v>PTDG</v>
      </c>
      <c r="F274" s="2171"/>
      <c r="G274" s="2424">
        <f>'Sch 3A - Taxes'!F22</f>
        <v>47092120</v>
      </c>
      <c r="H274" s="2424">
        <f>'Sch 3A - Taxes'!G22</f>
        <v>16476242.140085313</v>
      </c>
      <c r="I274" s="2424">
        <f>'Sch 3A - Taxes'!H22</f>
        <v>0</v>
      </c>
      <c r="J274" s="2425">
        <f>'Sch 3A - Taxes'!I22</f>
        <v>30615877.850901406</v>
      </c>
      <c r="K274" s="3205">
        <f t="shared" ref="K274:K280" si="730">IF($E274="DIRECT",0,1)</f>
        <v>1</v>
      </c>
      <c r="N274" s="3284">
        <f>VLOOKUP($A274,'New Resources - Individual'!$A$4:$Y$133,N$2,FALSE)*N$1</f>
        <v>0</v>
      </c>
      <c r="O274" s="3235">
        <f>$G274+N274</f>
        <v>47092120</v>
      </c>
      <c r="P274" s="3236">
        <f t="shared" ref="P274:P280" si="731">VLOOKUP($E274,O$442:R$453,2,FALSE)*O274*($K274)+IF($G274&lt;&gt;0,($H274/$G274)*O274,0)*(1-$K274)</f>
        <v>16476242.140085313</v>
      </c>
      <c r="Q274" s="3236">
        <f t="shared" ref="Q274:Q280" si="732">VLOOKUP($E274,O$442:R$453,3,FALSE)*O274*($K274)+IF($G274&lt;&gt;0,($I274/$G274)*O274,0)*(1-$K274)</f>
        <v>8267739.5594563298</v>
      </c>
      <c r="R274" s="3236">
        <f t="shared" ref="R274:R280" si="733">VLOOKUP($E274,O$442:R$453,4,FALSE)*O274*($K274)+(O274-P274-Q274)*(1-$K274)</f>
        <v>22348138.300458357</v>
      </c>
      <c r="S274" s="3264"/>
      <c r="V274" s="3284">
        <f>VLOOKUP($A274,'New Resources - Individual'!$A$4:$Y$133,V$2,FALSE)*V$1</f>
        <v>0</v>
      </c>
      <c r="W274" s="3235">
        <f>$G274+V274</f>
        <v>47092120</v>
      </c>
      <c r="X274" s="3236">
        <f t="shared" ref="X274:X280" si="734">VLOOKUP($E274,W$442:Z$453,2,FALSE)*W274*($K274)+IF($G274&lt;&gt;0,($H274/$G274)*W274,0)*(1-$K274)</f>
        <v>16476242.140085313</v>
      </c>
      <c r="Y274" s="3236">
        <f t="shared" ref="Y274:Y280" si="735">VLOOKUP($E274,W$442:Z$453,3,FALSE)*W274*($K274)+IF($G274&lt;&gt;0,($I274/$G274)*W274,0)*(1-$K274)</f>
        <v>8267739.5594563298</v>
      </c>
      <c r="Z274" s="3236">
        <f t="shared" ref="Z274:Z280" si="736">VLOOKUP($E274,W$442:Z$453,4,FALSE)*W274*($K274)+(W274-X274-Y274)*(1-$K274)</f>
        <v>22348138.300458357</v>
      </c>
      <c r="AA274" s="3264"/>
      <c r="AD274" s="3284">
        <f>VLOOKUP($A274,'New Resources - Individual'!$A$4:$Y$133,AD$2,FALSE)*AD$1</f>
        <v>0</v>
      </c>
      <c r="AE274" s="3235">
        <f>$G274+AD274</f>
        <v>47092120</v>
      </c>
      <c r="AF274" s="3236">
        <f t="shared" ref="AF274:AF280" si="737">VLOOKUP($E274,AE$442:AH$453,2,FALSE)*AE274*($K274)+IF($G274&lt;&gt;0,($H274/$G274)*AE274,0)*(1-$K274)</f>
        <v>16476242.140085313</v>
      </c>
      <c r="AG274" s="3236">
        <f t="shared" ref="AG274:AG280" si="738">VLOOKUP($E274,AE$442:AH$453,3,FALSE)*AE274*($K274)+IF($G274&lt;&gt;0,($I274/$G274)*AE274,0)*(1-$K274)</f>
        <v>8267739.5594563298</v>
      </c>
      <c r="AH274" s="3236">
        <f t="shared" ref="AH274:AH280" si="739">VLOOKUP($E274,AE$442:AH$453,4,FALSE)*AE274*($K274)+(AE274-AF274-AG274)*(1-$K274)</f>
        <v>22348138.300458357</v>
      </c>
      <c r="AI274" s="3264"/>
      <c r="AL274" s="3284">
        <f>VLOOKUP($A274,'New Resources - Individual'!$A$4:$Y$133,AL$2,FALSE)*AL$1</f>
        <v>0</v>
      </c>
      <c r="AM274" s="3235">
        <f>$G274+AL274</f>
        <v>47092120</v>
      </c>
      <c r="AN274" s="3236">
        <f t="shared" ref="AN274:AN280" si="740">VLOOKUP($E274,AM$442:AP$453,2,FALSE)*AM274*($K274)+IF($G274&lt;&gt;0,($H274/$G274)*AM274,0)*(1-$K274)</f>
        <v>16476242.140085313</v>
      </c>
      <c r="AO274" s="3236">
        <f t="shared" ref="AO274:AO280" si="741">VLOOKUP($E274,AM$442:AP$453,3,FALSE)*AM274*($K274)+IF($G274&lt;&gt;0,($I274/$G274)*AM274,0)*(1-$K274)</f>
        <v>8267739.5594563298</v>
      </c>
      <c r="AP274" s="3236">
        <f t="shared" ref="AP274:AP280" si="742">VLOOKUP($E274,AM$442:AP$453,4,FALSE)*AM274*($K274)+(AM274-AN274-AO274)*(1-$K274)</f>
        <v>22348138.300458357</v>
      </c>
      <c r="AQ274" s="3264"/>
      <c r="AT274" s="3284">
        <f>VLOOKUP($A274,'New Resources - Individual'!$A$4:$Y$133,AT$2,FALSE)*AT$1</f>
        <v>0</v>
      </c>
      <c r="AU274" s="3235">
        <f>$G274+AT274</f>
        <v>47092120</v>
      </c>
      <c r="AV274" s="3236">
        <f t="shared" ref="AV274:AV280" si="743">VLOOKUP($E274,AU$442:AX$453,2,FALSE)*AU274*($K274)+IF($G274&lt;&gt;0,($H274/$G274)*AU274,0)*(1-$K274)</f>
        <v>16476242.140085313</v>
      </c>
      <c r="AW274" s="3236">
        <f t="shared" ref="AW274:AW280" si="744">VLOOKUP($E274,AU$442:AX$453,3,FALSE)*AU274*($K274)+IF($G274&lt;&gt;0,($I274/$G274)*AU274,0)*(1-$K274)</f>
        <v>8267739.5594563298</v>
      </c>
      <c r="AX274" s="3236">
        <f t="shared" ref="AX274:AX280" si="745">VLOOKUP($E274,AU$442:AX$453,4,FALSE)*AU274*($K274)+(AU274-AV274-AW274)*(1-$K274)</f>
        <v>22348138.300458357</v>
      </c>
      <c r="AY274" s="3264"/>
      <c r="BB274" s="3284">
        <f>VLOOKUP($A274,'New Resources - Individual'!$A$4:$Y$133,BB$2,FALSE)*BB$1</f>
        <v>0</v>
      </c>
      <c r="BC274" s="3235">
        <f>$G274+BB274</f>
        <v>47092120</v>
      </c>
      <c r="BD274" s="3236">
        <f t="shared" ref="BD274:BD280" si="746">VLOOKUP($E274,BC$442:BF$453,2,FALSE)*BC274*($K274)+IF($G274&lt;&gt;0,($H274/$G274)*BC274,0)*(1-$K274)</f>
        <v>16476242.140085313</v>
      </c>
      <c r="BE274" s="3236">
        <f t="shared" ref="BE274:BE280" si="747">VLOOKUP($E274,BC$442:BF$453,3,FALSE)*BC274*($K274)+IF($G274&lt;&gt;0,($I274/$G274)*BC274,0)*(1-$K274)</f>
        <v>8267739.5594563298</v>
      </c>
      <c r="BF274" s="3236">
        <f t="shared" ref="BF274:BF280" si="748">VLOOKUP($E274,BC$442:BF$453,4,FALSE)*BC274*($K274)+(BC274-BD274-BE274)*(1-$K274)</f>
        <v>22348138.300458357</v>
      </c>
      <c r="BG274" s="3264"/>
      <c r="BJ274" s="3284">
        <f>VLOOKUP($A274,'New Resources - Individual'!$A$4:$Y$133,BJ$2,FALSE)*BJ$1</f>
        <v>0</v>
      </c>
      <c r="BK274" s="3235">
        <f>$G274+BJ274</f>
        <v>47092120</v>
      </c>
      <c r="BL274" s="3236">
        <f t="shared" ref="BL274:BL280" si="749">VLOOKUP($E274,BK$442:BN$453,2,FALSE)*BK274*($K274)+IF($G274&lt;&gt;0,($H274/$G274)*BK274,0)*(1-$K274)</f>
        <v>16476242.140085313</v>
      </c>
      <c r="BM274" s="3236">
        <f t="shared" ref="BM274:BM280" si="750">VLOOKUP($E274,BK$442:BN$453,3,FALSE)*BK274*($K274)+IF($G274&lt;&gt;0,($I274/$G274)*BK274,0)*(1-$K274)</f>
        <v>8267739.5594563298</v>
      </c>
      <c r="BN274" s="3236">
        <f t="shared" ref="BN274:BN280" si="751">VLOOKUP($E274,BK$442:BN$453,4,FALSE)*BK274*($K274)+(BK274-BL274-BM274)*(1-$K274)</f>
        <v>22348138.300458357</v>
      </c>
      <c r="BO274" s="3264"/>
      <c r="BR274" s="3284">
        <f>VLOOKUP($A274,'New Resources - Individual'!$A$4:$Y$133,BR$2,FALSE)*BR$1</f>
        <v>0</v>
      </c>
      <c r="BS274" s="3235">
        <f>$G274+BR274</f>
        <v>47092120</v>
      </c>
      <c r="BT274" s="3236">
        <f t="shared" ref="BT274:BT280" si="752">VLOOKUP($E274,BS$442:BV$453,2,FALSE)*BS274*($K274)+IF($G274&lt;&gt;0,($H274/$G274)*BS274,0)*(1-$K274)</f>
        <v>16476242.140085313</v>
      </c>
      <c r="BU274" s="3236">
        <f t="shared" ref="BU274:BU280" si="753">VLOOKUP($E274,BS$442:BV$453,3,FALSE)*BS274*($K274)+IF($G274&lt;&gt;0,($I274/$G274)*BS274,0)*(1-$K274)</f>
        <v>8267739.5594563298</v>
      </c>
      <c r="BV274" s="3236">
        <f t="shared" ref="BV274:BV280" si="754">VLOOKUP($E274,BS$442:BV$453,4,FALSE)*BS274*($K274)+(BS274-BT274-BU274)*(1-$K274)</f>
        <v>22348138.300458357</v>
      </c>
      <c r="BW274" s="3264"/>
      <c r="BZ274" s="3284">
        <f>VLOOKUP($A274,'New Resources - Individual'!$A$4:$Y$133,BZ$2,FALSE)*BZ$1</f>
        <v>0</v>
      </c>
      <c r="CA274" s="3235">
        <f>$G274+BZ274</f>
        <v>47092120</v>
      </c>
      <c r="CB274" s="3236">
        <f t="shared" ref="CB274:CB280" si="755">VLOOKUP($E274,CA$442:CD$453,2,FALSE)*CA274*($K274)+IF($G274&lt;&gt;0,($H274/$G274)*CA274,0)*(1-$K274)</f>
        <v>16476242.140085313</v>
      </c>
      <c r="CC274" s="3236">
        <f t="shared" ref="CC274:CC280" si="756">VLOOKUP($E274,CA$442:CD$453,3,FALSE)*CA274*($K274)+IF($G274&lt;&gt;0,($I274/$G274)*CA274,0)*(1-$K274)</f>
        <v>8267739.5594563298</v>
      </c>
      <c r="CD274" s="3236">
        <f t="shared" ref="CD274:CD280" si="757">VLOOKUP($E274,CA$442:CD$453,4,FALSE)*CA274*($K274)+(CA274-CB274-CC274)*(1-$K274)</f>
        <v>22348138.300458357</v>
      </c>
      <c r="CE274" s="3264"/>
      <c r="CH274" s="3284">
        <f>VLOOKUP($A274,'New Resources - Individual'!$A$4:$Y$133,CH$2,FALSE)*CH$1</f>
        <v>0</v>
      </c>
      <c r="CI274" s="3235">
        <f>$G274+CH274</f>
        <v>47092120</v>
      </c>
      <c r="CJ274" s="3236">
        <f t="shared" ref="CJ274:CJ280" si="758">VLOOKUP($E274,CI$442:CL$453,2,FALSE)*CI274*($K274)+IF($G274&lt;&gt;0,($H274/$G274)*CI274,0)*(1-$K274)</f>
        <v>16476242.140085313</v>
      </c>
      <c r="CK274" s="3236">
        <f t="shared" ref="CK274:CK280" si="759">VLOOKUP($E274,CI$442:CL$453,3,FALSE)*CI274*($K274)+IF($G274&lt;&gt;0,($I274/$G274)*CI274,0)*(1-$K274)</f>
        <v>8267739.5594563298</v>
      </c>
      <c r="CL274" s="3236">
        <f t="shared" ref="CL274:CL280" si="760">VLOOKUP($E274,CI$442:CL$453,4,FALSE)*CI274*($K274)+(CI274-CJ274-CK274)*(1-$K274)</f>
        <v>22348138.300458357</v>
      </c>
      <c r="CM274" s="3264"/>
      <c r="CP274" s="3284">
        <f>VLOOKUP($A274,'New Resources - Individual'!$A$4:$Y$133,CP$2,FALSE)*CP$1</f>
        <v>0</v>
      </c>
      <c r="CQ274" s="3235">
        <f>$G274+CP274</f>
        <v>47092120</v>
      </c>
      <c r="CR274" s="3236">
        <f t="shared" ref="CR274:CR280" si="761">VLOOKUP($E274,CQ$442:CT$453,2,FALSE)*CQ274*($K274)+IF($G274&lt;&gt;0,($H274/$G274)*CQ274,0)*(1-$K274)</f>
        <v>16476242.140085313</v>
      </c>
      <c r="CS274" s="3236">
        <f t="shared" ref="CS274:CS280" si="762">VLOOKUP($E274,CQ$442:CT$453,3,FALSE)*CQ274*($K274)+IF($G274&lt;&gt;0,($I274/$G274)*CQ274,0)*(1-$K274)</f>
        <v>8267739.5594563298</v>
      </c>
      <c r="CT274" s="3236">
        <f t="shared" ref="CT274:CT280" si="763">VLOOKUP($E274,CQ$442:CT$453,4,FALSE)*CQ274*($K274)+(CQ274-CR274-CS274)*(1-$K274)</f>
        <v>22348138.300458357</v>
      </c>
      <c r="CU274" s="3264"/>
      <c r="CX274" s="3284">
        <f>VLOOKUP($A274,'New Resources - Individual'!$A$4:$Y$133,CX$2,FALSE)*CX$1</f>
        <v>0</v>
      </c>
      <c r="CY274" s="3235">
        <f>$G274+CX274</f>
        <v>47092120</v>
      </c>
      <c r="CZ274" s="3236">
        <f t="shared" ref="CZ274:CZ280" si="764">VLOOKUP($E274,CY$442:DB$453,2,FALSE)*CY274*($K274)+IF($G274&lt;&gt;0,($H274/$G274)*CY274,0)*(1-$K274)</f>
        <v>16476242.140085313</v>
      </c>
      <c r="DA274" s="3236">
        <f t="shared" ref="DA274:DA280" si="765">VLOOKUP($E274,CY$442:DB$453,3,FALSE)*CY274*($K274)+IF($G274&lt;&gt;0,($I274/$G274)*CY274,0)*(1-$K274)</f>
        <v>8267739.5594563298</v>
      </c>
      <c r="DB274" s="3236">
        <f t="shared" ref="DB274:DB280" si="766">VLOOKUP($E274,CY$442:DB$453,4,FALSE)*CY274*($K274)+(CY274-CZ274-DA274)*(1-$K274)</f>
        <v>22348138.300458357</v>
      </c>
      <c r="DC274" s="3264"/>
      <c r="DF274" s="3284">
        <f>VLOOKUP($A274,'New Resources - Individual'!$A$4:$Y$133,DF$2,FALSE)*DF$1</f>
        <v>0</v>
      </c>
      <c r="DG274" s="3235">
        <f>$G274+DF274</f>
        <v>47092120</v>
      </c>
      <c r="DH274" s="3236">
        <f t="shared" ref="DH274:DH280" si="767">VLOOKUP($E274,DG$442:DJ$453,2,FALSE)*DG274*($K274)+IF($G274&lt;&gt;0,($H274/$G274)*DG274,0)*(1-$K274)</f>
        <v>16476242.140085313</v>
      </c>
      <c r="DI274" s="3236">
        <f t="shared" ref="DI274:DI280" si="768">VLOOKUP($E274,DG$442:DJ$453,3,FALSE)*DG274*($K274)+IF($G274&lt;&gt;0,($I274/$G274)*DG274,0)*(1-$K274)</f>
        <v>8267739.5594563298</v>
      </c>
      <c r="DJ274" s="3236">
        <f t="shared" ref="DJ274:DJ280" si="769">VLOOKUP($E274,DG$442:DJ$453,4,FALSE)*DG274*($K274)+(DG274-DH274-DI274)*(1-$K274)</f>
        <v>22348138.300458357</v>
      </c>
      <c r="DK274" s="3264"/>
      <c r="DN274" s="3284">
        <f>VLOOKUP($A274,'New Resources - Individual'!$A$4:$Y$133,DN$2,FALSE)*DN$1</f>
        <v>0</v>
      </c>
      <c r="DO274" s="3235">
        <f>$G274+DN274</f>
        <v>47092120</v>
      </c>
      <c r="DP274" s="3236">
        <f t="shared" ref="DP274:DP280" si="770">VLOOKUP($E274,DO$442:DR$453,2,FALSE)*DO274*($K274)+IF($G274&lt;&gt;0,($H274/$G274)*DO274,0)*(1-$K274)</f>
        <v>16476242.140085313</v>
      </c>
      <c r="DQ274" s="3236">
        <f t="shared" ref="DQ274:DQ280" si="771">VLOOKUP($E274,DO$442:DR$453,3,FALSE)*DO274*($K274)+IF($G274&lt;&gt;0,($I274/$G274)*DO274,0)*(1-$K274)</f>
        <v>8267739.5594563298</v>
      </c>
      <c r="DR274" s="3236">
        <f t="shared" ref="DR274:DR280" si="772">VLOOKUP($E274,DO$442:DR$453,4,FALSE)*DO274*($K274)+(DO274-DP274-DQ274)*(1-$K274)</f>
        <v>22348138.300458357</v>
      </c>
      <c r="DS274" s="3264"/>
      <c r="DV274" s="3284">
        <f>VLOOKUP($A274,'New Resources - Individual'!$A$4:$Y$133,DV$2,FALSE)*DV$1</f>
        <v>0</v>
      </c>
      <c r="DW274" s="3235">
        <f>$G274+DV274</f>
        <v>47092120</v>
      </c>
      <c r="DX274" s="3236">
        <f t="shared" ref="DX274:DX280" si="773">VLOOKUP($E274,DW$442:DZ$453,2,FALSE)*DW274*($K274)+IF($G274&lt;&gt;0,($H274/$G274)*DW274,0)*(1-$K274)</f>
        <v>16476242.140085313</v>
      </c>
      <c r="DY274" s="3236">
        <f t="shared" ref="DY274:DY280" si="774">VLOOKUP($E274,DW$442:DZ$453,3,FALSE)*DW274*($K274)+IF($G274&lt;&gt;0,($I274/$G274)*DW274,0)*(1-$K274)</f>
        <v>8267739.5594563298</v>
      </c>
      <c r="DZ274" s="3236">
        <f t="shared" ref="DZ274:DZ280" si="775">VLOOKUP($E274,DW$442:DZ$453,4,FALSE)*DW274*($K274)+(DW274-DX274-DY274)*(1-$K274)</f>
        <v>22348138.300458357</v>
      </c>
      <c r="EA274" s="3264"/>
      <c r="ED274" s="3284">
        <f>VLOOKUP($A274,'New Resources - Individual'!$A$4:$Y$133,ED$2,FALSE)*ED$1</f>
        <v>0</v>
      </c>
      <c r="EE274" s="3235">
        <f>$G274+ED274</f>
        <v>47092120</v>
      </c>
      <c r="EF274" s="3236">
        <f t="shared" ref="EF274:EF280" si="776">VLOOKUP($E274,EE$442:EH$453,2,FALSE)*EE274*($K274)+IF($G274&lt;&gt;0,($H274/$G274)*EE274,0)*(1-$K274)</f>
        <v>16476242.140085313</v>
      </c>
      <c r="EG274" s="3236">
        <f t="shared" ref="EG274:EG280" si="777">VLOOKUP($E274,EE$442:EH$453,3,FALSE)*EE274*($K274)+IF($G274&lt;&gt;0,($I274/$G274)*EE274,0)*(1-$K274)</f>
        <v>8267739.5594563298</v>
      </c>
      <c r="EH274" s="3236">
        <f t="shared" ref="EH274:EH280" si="778">VLOOKUP($E274,EE$442:EH$453,4,FALSE)*EE274*($K274)+(EE274-EF274-EG274)*(1-$K274)</f>
        <v>22348138.300458357</v>
      </c>
      <c r="EI274" s="3264"/>
      <c r="EL274" s="3284">
        <f>VLOOKUP($A274,'New Resources - Individual'!$A$4:$Y$133,EL$2,FALSE)*EL$1</f>
        <v>0</v>
      </c>
      <c r="EM274" s="3235">
        <f>$G274+EL274</f>
        <v>47092120</v>
      </c>
      <c r="EN274" s="3236">
        <f t="shared" ref="EN274:EN280" si="779">VLOOKUP($E274,EM$442:EP$453,2,FALSE)*EM274*($K274)+IF($G274&lt;&gt;0,($H274/$G274)*EM274,0)*(1-$K274)</f>
        <v>16476242.140085313</v>
      </c>
      <c r="EO274" s="3236">
        <f t="shared" ref="EO274:EO280" si="780">VLOOKUP($E274,EM$442:EP$453,3,FALSE)*EM274*($K274)+IF($G274&lt;&gt;0,($I274/$G274)*EM274,0)*(1-$K274)</f>
        <v>8267739.5594563298</v>
      </c>
      <c r="EP274" s="3236">
        <f t="shared" ref="EP274:EP280" si="781">VLOOKUP($E274,EM$442:EP$453,4,FALSE)*EM274*($K274)+(EM274-EN274-EO274)*(1-$K274)</f>
        <v>22348138.300458357</v>
      </c>
      <c r="EQ274" s="3264"/>
      <c r="ET274" s="3284">
        <f>VLOOKUP($A274,'New Resources - Individual'!$A$4:$Y$133,ET$2,FALSE)*ET$1</f>
        <v>0</v>
      </c>
      <c r="EU274" s="3235">
        <f>$G274+ET274</f>
        <v>47092120</v>
      </c>
      <c r="EV274" s="3236">
        <f t="shared" ref="EV274:EV280" si="782">VLOOKUP($E274,EU$442:EX$453,2,FALSE)*EU274*($K274)+IF($G274&lt;&gt;0,($H274/$G274)*EU274,0)*(1-$K274)</f>
        <v>16476242.140085313</v>
      </c>
      <c r="EW274" s="3236">
        <f t="shared" ref="EW274:EW280" si="783">VLOOKUP($E274,EU$442:EX$453,3,FALSE)*EU274*($K274)+IF($G274&lt;&gt;0,($I274/$G274)*EU274,0)*(1-$K274)</f>
        <v>8267739.5594563298</v>
      </c>
      <c r="EX274" s="3236">
        <f t="shared" ref="EX274:EX280" si="784">VLOOKUP($E274,EU$442:EX$453,4,FALSE)*EU274*($K274)+(EU274-EV274-EW274)*(1-$K274)</f>
        <v>22348138.300458357</v>
      </c>
      <c r="EY274" s="3264"/>
      <c r="FB274" s="3284">
        <f>VLOOKUP($A274,'New Resources - Individual'!$A$4:$Y$133,FB$2,FALSE)*FB$1</f>
        <v>0</v>
      </c>
      <c r="FC274" s="3235">
        <f>$G274+FB274</f>
        <v>47092120</v>
      </c>
      <c r="FD274" s="3236">
        <f t="shared" ref="FD274:FD280" si="785">VLOOKUP($E274,FC$442:FF$453,2,FALSE)*FC274*($K274)+IF($G274&lt;&gt;0,($H274/$G274)*FC274,0)*(1-$K274)</f>
        <v>16476242.140085313</v>
      </c>
      <c r="FE274" s="3236">
        <f t="shared" ref="FE274:FE280" si="786">VLOOKUP($E274,FC$442:FF$453,3,FALSE)*FC274*($K274)+IF($G274&lt;&gt;0,($I274/$G274)*FC274,0)*(1-$K274)</f>
        <v>8267739.5594563298</v>
      </c>
      <c r="FF274" s="3236">
        <f t="shared" ref="FF274:FF280" si="787">VLOOKUP($E274,FC$442:FF$453,4,FALSE)*FC274*($K274)+(FC274-FD274-FE274)*(1-$K274)</f>
        <v>22348138.300458357</v>
      </c>
      <c r="FG274" s="3264"/>
      <c r="FJ274" s="3284">
        <f>VLOOKUP($A274,'New Resources - Individual'!$A$4:$Y$133,FJ$2,FALSE)*FJ$1</f>
        <v>0</v>
      </c>
      <c r="FK274" s="3235">
        <f>$G274+FJ274</f>
        <v>47092120</v>
      </c>
      <c r="FL274" s="3236">
        <f t="shared" ref="FL274:FL280" si="788">VLOOKUP($E274,FK$442:FN$453,2,FALSE)*FK274*($K274)+IF($G274&lt;&gt;0,($H274/$G274)*FK274,0)*(1-$K274)</f>
        <v>16476242.140085313</v>
      </c>
      <c r="FM274" s="3236">
        <f t="shared" ref="FM274:FM280" si="789">VLOOKUP($E274,FK$442:FN$453,3,FALSE)*FK274*($K274)+IF($G274&lt;&gt;0,($I274/$G274)*FK274,0)*(1-$K274)</f>
        <v>8267739.5594563298</v>
      </c>
      <c r="FN274" s="3236">
        <f t="shared" ref="FN274:FN280" si="790">VLOOKUP($E274,FK$442:FN$453,4,FALSE)*FK274*($K274)+(FK274-FL274-FM274)*(1-$K274)</f>
        <v>22348138.300458357</v>
      </c>
      <c r="FO274" s="3264"/>
    </row>
    <row r="275" spans="1:171">
      <c r="A275" s="2314"/>
      <c r="B275" s="2365" t="s">
        <v>152</v>
      </c>
      <c r="C275" s="2673">
        <v>262</v>
      </c>
      <c r="D275" s="2674">
        <v>408.1</v>
      </c>
      <c r="E275" s="2424" t="str">
        <f>'Sch 3A - Taxes'!E23</f>
        <v>LABOR</v>
      </c>
      <c r="F275" s="2171"/>
      <c r="G275" s="2424">
        <f>'Sch 3A - Taxes'!F23</f>
        <v>0</v>
      </c>
      <c r="H275" s="2424">
        <f>'Sch 3A - Taxes'!G23</f>
        <v>0</v>
      </c>
      <c r="I275" s="2424">
        <f>'Sch 3A - Taxes'!H23</f>
        <v>0</v>
      </c>
      <c r="J275" s="2425">
        <f>'Sch 3A - Taxes'!I23</f>
        <v>0</v>
      </c>
      <c r="K275" s="3205">
        <f t="shared" si="730"/>
        <v>1</v>
      </c>
      <c r="O275" s="3235">
        <f t="shared" ref="O275:O280" si="791">$G275</f>
        <v>0</v>
      </c>
      <c r="P275" s="3236">
        <f t="shared" si="731"/>
        <v>0</v>
      </c>
      <c r="Q275" s="3236">
        <f t="shared" si="732"/>
        <v>0</v>
      </c>
      <c r="R275" s="3236">
        <f t="shared" si="733"/>
        <v>0</v>
      </c>
      <c r="S275" s="3264"/>
      <c r="W275" s="3235">
        <f t="shared" ref="W275:W280" si="792">$G275</f>
        <v>0</v>
      </c>
      <c r="X275" s="3236">
        <f t="shared" si="734"/>
        <v>0</v>
      </c>
      <c r="Y275" s="3236">
        <f t="shared" si="735"/>
        <v>0</v>
      </c>
      <c r="Z275" s="3236">
        <f t="shared" si="736"/>
        <v>0</v>
      </c>
      <c r="AA275" s="3264"/>
      <c r="AE275" s="3235">
        <f t="shared" ref="AE275:AE280" si="793">$G275</f>
        <v>0</v>
      </c>
      <c r="AF275" s="3236">
        <f t="shared" si="737"/>
        <v>0</v>
      </c>
      <c r="AG275" s="3236">
        <f t="shared" si="738"/>
        <v>0</v>
      </c>
      <c r="AH275" s="3236">
        <f t="shared" si="739"/>
        <v>0</v>
      </c>
      <c r="AI275" s="3264"/>
      <c r="AM275" s="3235">
        <f t="shared" ref="AM275:AM280" si="794">$G275</f>
        <v>0</v>
      </c>
      <c r="AN275" s="3236">
        <f t="shared" si="740"/>
        <v>0</v>
      </c>
      <c r="AO275" s="3236">
        <f t="shared" si="741"/>
        <v>0</v>
      </c>
      <c r="AP275" s="3236">
        <f t="shared" si="742"/>
        <v>0</v>
      </c>
      <c r="AQ275" s="3264"/>
      <c r="AU275" s="3235">
        <f t="shared" ref="AU275:AU280" si="795">$G275</f>
        <v>0</v>
      </c>
      <c r="AV275" s="3236">
        <f t="shared" si="743"/>
        <v>0</v>
      </c>
      <c r="AW275" s="3236">
        <f t="shared" si="744"/>
        <v>0</v>
      </c>
      <c r="AX275" s="3236">
        <f t="shared" si="745"/>
        <v>0</v>
      </c>
      <c r="AY275" s="3264"/>
      <c r="BC275" s="3235">
        <f t="shared" ref="BC275:BC280" si="796">$G275</f>
        <v>0</v>
      </c>
      <c r="BD275" s="3236">
        <f t="shared" si="746"/>
        <v>0</v>
      </c>
      <c r="BE275" s="3236">
        <f t="shared" si="747"/>
        <v>0</v>
      </c>
      <c r="BF275" s="3236">
        <f t="shared" si="748"/>
        <v>0</v>
      </c>
      <c r="BG275" s="3264"/>
      <c r="BK275" s="3235">
        <f t="shared" ref="BK275:BK280" si="797">$G275</f>
        <v>0</v>
      </c>
      <c r="BL275" s="3236">
        <f t="shared" si="749"/>
        <v>0</v>
      </c>
      <c r="BM275" s="3236">
        <f t="shared" si="750"/>
        <v>0</v>
      </c>
      <c r="BN275" s="3236">
        <f t="shared" si="751"/>
        <v>0</v>
      </c>
      <c r="BO275" s="3264"/>
      <c r="BS275" s="3235">
        <f t="shared" ref="BS275:BS280" si="798">$G275</f>
        <v>0</v>
      </c>
      <c r="BT275" s="3236">
        <f t="shared" si="752"/>
        <v>0</v>
      </c>
      <c r="BU275" s="3236">
        <f t="shared" si="753"/>
        <v>0</v>
      </c>
      <c r="BV275" s="3236">
        <f t="shared" si="754"/>
        <v>0</v>
      </c>
      <c r="BW275" s="3264"/>
      <c r="CA275" s="3235">
        <f t="shared" ref="CA275:CA280" si="799">$G275</f>
        <v>0</v>
      </c>
      <c r="CB275" s="3236">
        <f t="shared" si="755"/>
        <v>0</v>
      </c>
      <c r="CC275" s="3236">
        <f t="shared" si="756"/>
        <v>0</v>
      </c>
      <c r="CD275" s="3236">
        <f t="shared" si="757"/>
        <v>0</v>
      </c>
      <c r="CE275" s="3264"/>
      <c r="CI275" s="3235">
        <f t="shared" ref="CI275:CI280" si="800">$G275</f>
        <v>0</v>
      </c>
      <c r="CJ275" s="3236">
        <f t="shared" si="758"/>
        <v>0</v>
      </c>
      <c r="CK275" s="3236">
        <f t="shared" si="759"/>
        <v>0</v>
      </c>
      <c r="CL275" s="3236">
        <f t="shared" si="760"/>
        <v>0</v>
      </c>
      <c r="CM275" s="3264"/>
      <c r="CQ275" s="3235">
        <f t="shared" ref="CQ275:CQ280" si="801">$G275</f>
        <v>0</v>
      </c>
      <c r="CR275" s="3236">
        <f t="shared" si="761"/>
        <v>0</v>
      </c>
      <c r="CS275" s="3236">
        <f t="shared" si="762"/>
        <v>0</v>
      </c>
      <c r="CT275" s="3236">
        <f t="shared" si="763"/>
        <v>0</v>
      </c>
      <c r="CU275" s="3264"/>
      <c r="CY275" s="3235">
        <f t="shared" ref="CY275:CY280" si="802">$G275</f>
        <v>0</v>
      </c>
      <c r="CZ275" s="3236">
        <f t="shared" si="764"/>
        <v>0</v>
      </c>
      <c r="DA275" s="3236">
        <f t="shared" si="765"/>
        <v>0</v>
      </c>
      <c r="DB275" s="3236">
        <f t="shared" si="766"/>
        <v>0</v>
      </c>
      <c r="DC275" s="3264"/>
      <c r="DG275" s="3235">
        <f t="shared" ref="DG275:DG280" si="803">$G275</f>
        <v>0</v>
      </c>
      <c r="DH275" s="3236">
        <f t="shared" si="767"/>
        <v>0</v>
      </c>
      <c r="DI275" s="3236">
        <f t="shared" si="768"/>
        <v>0</v>
      </c>
      <c r="DJ275" s="3236">
        <f t="shared" si="769"/>
        <v>0</v>
      </c>
      <c r="DK275" s="3264"/>
      <c r="DO275" s="3235">
        <f t="shared" ref="DO275:DO280" si="804">$G275</f>
        <v>0</v>
      </c>
      <c r="DP275" s="3236">
        <f t="shared" si="770"/>
        <v>0</v>
      </c>
      <c r="DQ275" s="3236">
        <f t="shared" si="771"/>
        <v>0</v>
      </c>
      <c r="DR275" s="3236">
        <f t="shared" si="772"/>
        <v>0</v>
      </c>
      <c r="DS275" s="3264"/>
      <c r="DW275" s="3235">
        <f t="shared" ref="DW275:DW280" si="805">$G275</f>
        <v>0</v>
      </c>
      <c r="DX275" s="3236">
        <f t="shared" si="773"/>
        <v>0</v>
      </c>
      <c r="DY275" s="3236">
        <f t="shared" si="774"/>
        <v>0</v>
      </c>
      <c r="DZ275" s="3236">
        <f t="shared" si="775"/>
        <v>0</v>
      </c>
      <c r="EA275" s="3264"/>
      <c r="EE275" s="3235">
        <f t="shared" ref="EE275:EE280" si="806">$G275</f>
        <v>0</v>
      </c>
      <c r="EF275" s="3236">
        <f t="shared" si="776"/>
        <v>0</v>
      </c>
      <c r="EG275" s="3236">
        <f t="shared" si="777"/>
        <v>0</v>
      </c>
      <c r="EH275" s="3236">
        <f t="shared" si="778"/>
        <v>0</v>
      </c>
      <c r="EI275" s="3264"/>
      <c r="EM275" s="3235">
        <f t="shared" ref="EM275:EM280" si="807">$G275</f>
        <v>0</v>
      </c>
      <c r="EN275" s="3236">
        <f t="shared" si="779"/>
        <v>0</v>
      </c>
      <c r="EO275" s="3236">
        <f t="shared" si="780"/>
        <v>0</v>
      </c>
      <c r="EP275" s="3236">
        <f t="shared" si="781"/>
        <v>0</v>
      </c>
      <c r="EQ275" s="3264"/>
      <c r="EU275" s="3235">
        <f t="shared" ref="EU275:EU280" si="808">$G275</f>
        <v>0</v>
      </c>
      <c r="EV275" s="3236">
        <f t="shared" si="782"/>
        <v>0</v>
      </c>
      <c r="EW275" s="3236">
        <f t="shared" si="783"/>
        <v>0</v>
      </c>
      <c r="EX275" s="3236">
        <f t="shared" si="784"/>
        <v>0</v>
      </c>
      <c r="EY275" s="3264"/>
      <c r="FC275" s="3235">
        <f t="shared" ref="FC275:FC280" si="809">$G275</f>
        <v>0</v>
      </c>
      <c r="FD275" s="3236">
        <f t="shared" si="785"/>
        <v>0</v>
      </c>
      <c r="FE275" s="3236">
        <f t="shared" si="786"/>
        <v>0</v>
      </c>
      <c r="FF275" s="3236">
        <f t="shared" si="787"/>
        <v>0</v>
      </c>
      <c r="FG275" s="3264"/>
      <c r="FK275" s="3235">
        <f t="shared" ref="FK275:FK280" si="810">$G275</f>
        <v>0</v>
      </c>
      <c r="FL275" s="3236">
        <f t="shared" si="788"/>
        <v>0</v>
      </c>
      <c r="FM275" s="3236">
        <f t="shared" si="789"/>
        <v>0</v>
      </c>
      <c r="FN275" s="3236">
        <f t="shared" si="790"/>
        <v>0</v>
      </c>
      <c r="FO275" s="3264"/>
    </row>
    <row r="276" spans="1:171">
      <c r="A276" s="2314"/>
      <c r="B276" s="2365" t="s">
        <v>567</v>
      </c>
      <c r="C276" s="2673">
        <v>262</v>
      </c>
      <c r="D276" s="2674">
        <v>409.1</v>
      </c>
      <c r="E276" s="2424" t="str">
        <f>'Sch 3A - Taxes'!E24</f>
        <v>DIST</v>
      </c>
      <c r="F276" s="2171"/>
      <c r="G276" s="2424">
        <f>'Sch 3A - Taxes'!F24</f>
        <v>104687355</v>
      </c>
      <c r="H276" s="2424">
        <f>'Sch 3A - Taxes'!G24</f>
        <v>0</v>
      </c>
      <c r="I276" s="2424">
        <f>'Sch 3A - Taxes'!H24</f>
        <v>0</v>
      </c>
      <c r="J276" s="2425">
        <f>'Sch 3A - Taxes'!I24</f>
        <v>104687355</v>
      </c>
      <c r="K276" s="3205">
        <f t="shared" si="730"/>
        <v>1</v>
      </c>
      <c r="O276" s="3235">
        <f t="shared" si="791"/>
        <v>104687355</v>
      </c>
      <c r="P276" s="3236">
        <f t="shared" si="731"/>
        <v>0</v>
      </c>
      <c r="Q276" s="3236">
        <f t="shared" si="732"/>
        <v>0</v>
      </c>
      <c r="R276" s="3236">
        <f t="shared" si="733"/>
        <v>104687355</v>
      </c>
      <c r="S276" s="3264"/>
      <c r="W276" s="3235">
        <f t="shared" si="792"/>
        <v>104687355</v>
      </c>
      <c r="X276" s="3236">
        <f t="shared" si="734"/>
        <v>0</v>
      </c>
      <c r="Y276" s="3236">
        <f t="shared" si="735"/>
        <v>0</v>
      </c>
      <c r="Z276" s="3236">
        <f t="shared" si="736"/>
        <v>104687355</v>
      </c>
      <c r="AA276" s="3264"/>
      <c r="AE276" s="3235">
        <f t="shared" si="793"/>
        <v>104687355</v>
      </c>
      <c r="AF276" s="3236">
        <f t="shared" si="737"/>
        <v>0</v>
      </c>
      <c r="AG276" s="3236">
        <f t="shared" si="738"/>
        <v>0</v>
      </c>
      <c r="AH276" s="3236">
        <f t="shared" si="739"/>
        <v>104687355</v>
      </c>
      <c r="AI276" s="3264"/>
      <c r="AM276" s="3235">
        <f t="shared" si="794"/>
        <v>104687355</v>
      </c>
      <c r="AN276" s="3236">
        <f t="shared" si="740"/>
        <v>0</v>
      </c>
      <c r="AO276" s="3236">
        <f t="shared" si="741"/>
        <v>0</v>
      </c>
      <c r="AP276" s="3236">
        <f t="shared" si="742"/>
        <v>104687355</v>
      </c>
      <c r="AQ276" s="3264"/>
      <c r="AU276" s="3235">
        <f t="shared" si="795"/>
        <v>104687355</v>
      </c>
      <c r="AV276" s="3236">
        <f t="shared" si="743"/>
        <v>0</v>
      </c>
      <c r="AW276" s="3236">
        <f t="shared" si="744"/>
        <v>0</v>
      </c>
      <c r="AX276" s="3236">
        <f t="shared" si="745"/>
        <v>104687355</v>
      </c>
      <c r="AY276" s="3264"/>
      <c r="BC276" s="3235">
        <f t="shared" si="796"/>
        <v>104687355</v>
      </c>
      <c r="BD276" s="3236">
        <f t="shared" si="746"/>
        <v>0</v>
      </c>
      <c r="BE276" s="3236">
        <f t="shared" si="747"/>
        <v>0</v>
      </c>
      <c r="BF276" s="3236">
        <f t="shared" si="748"/>
        <v>104687355</v>
      </c>
      <c r="BG276" s="3264"/>
      <c r="BK276" s="3235">
        <f t="shared" si="797"/>
        <v>104687355</v>
      </c>
      <c r="BL276" s="3236">
        <f t="shared" si="749"/>
        <v>0</v>
      </c>
      <c r="BM276" s="3236">
        <f t="shared" si="750"/>
        <v>0</v>
      </c>
      <c r="BN276" s="3236">
        <f t="shared" si="751"/>
        <v>104687355</v>
      </c>
      <c r="BO276" s="3264"/>
      <c r="BS276" s="3235">
        <f t="shared" si="798"/>
        <v>104687355</v>
      </c>
      <c r="BT276" s="3236">
        <f t="shared" si="752"/>
        <v>0</v>
      </c>
      <c r="BU276" s="3236">
        <f t="shared" si="753"/>
        <v>0</v>
      </c>
      <c r="BV276" s="3236">
        <f t="shared" si="754"/>
        <v>104687355</v>
      </c>
      <c r="BW276" s="3264"/>
      <c r="CA276" s="3235">
        <f t="shared" si="799"/>
        <v>104687355</v>
      </c>
      <c r="CB276" s="3236">
        <f t="shared" si="755"/>
        <v>0</v>
      </c>
      <c r="CC276" s="3236">
        <f t="shared" si="756"/>
        <v>0</v>
      </c>
      <c r="CD276" s="3236">
        <f t="shared" si="757"/>
        <v>104687355</v>
      </c>
      <c r="CE276" s="3264"/>
      <c r="CI276" s="3235">
        <f t="shared" si="800"/>
        <v>104687355</v>
      </c>
      <c r="CJ276" s="3236">
        <f t="shared" si="758"/>
        <v>0</v>
      </c>
      <c r="CK276" s="3236">
        <f t="shared" si="759"/>
        <v>0</v>
      </c>
      <c r="CL276" s="3236">
        <f t="shared" si="760"/>
        <v>104687355</v>
      </c>
      <c r="CM276" s="3264"/>
      <c r="CQ276" s="3235">
        <f t="shared" si="801"/>
        <v>104687355</v>
      </c>
      <c r="CR276" s="3236">
        <f t="shared" si="761"/>
        <v>0</v>
      </c>
      <c r="CS276" s="3236">
        <f t="shared" si="762"/>
        <v>0</v>
      </c>
      <c r="CT276" s="3236">
        <f t="shared" si="763"/>
        <v>104687355</v>
      </c>
      <c r="CU276" s="3264"/>
      <c r="CY276" s="3235">
        <f t="shared" si="802"/>
        <v>104687355</v>
      </c>
      <c r="CZ276" s="3236">
        <f t="shared" si="764"/>
        <v>0</v>
      </c>
      <c r="DA276" s="3236">
        <f t="shared" si="765"/>
        <v>0</v>
      </c>
      <c r="DB276" s="3236">
        <f t="shared" si="766"/>
        <v>104687355</v>
      </c>
      <c r="DC276" s="3264"/>
      <c r="DG276" s="3235">
        <f t="shared" si="803"/>
        <v>104687355</v>
      </c>
      <c r="DH276" s="3236">
        <f t="shared" si="767"/>
        <v>0</v>
      </c>
      <c r="DI276" s="3236">
        <f t="shared" si="768"/>
        <v>0</v>
      </c>
      <c r="DJ276" s="3236">
        <f t="shared" si="769"/>
        <v>104687355</v>
      </c>
      <c r="DK276" s="3264"/>
      <c r="DO276" s="3235">
        <f t="shared" si="804"/>
        <v>104687355</v>
      </c>
      <c r="DP276" s="3236">
        <f t="shared" si="770"/>
        <v>0</v>
      </c>
      <c r="DQ276" s="3236">
        <f t="shared" si="771"/>
        <v>0</v>
      </c>
      <c r="DR276" s="3236">
        <f t="shared" si="772"/>
        <v>104687355</v>
      </c>
      <c r="DS276" s="3264"/>
      <c r="DW276" s="3235">
        <f t="shared" si="805"/>
        <v>104687355</v>
      </c>
      <c r="DX276" s="3236">
        <f t="shared" si="773"/>
        <v>0</v>
      </c>
      <c r="DY276" s="3236">
        <f t="shared" si="774"/>
        <v>0</v>
      </c>
      <c r="DZ276" s="3236">
        <f t="shared" si="775"/>
        <v>104687355</v>
      </c>
      <c r="EA276" s="3264"/>
      <c r="EE276" s="3235">
        <f t="shared" si="806"/>
        <v>104687355</v>
      </c>
      <c r="EF276" s="3236">
        <f t="shared" si="776"/>
        <v>0</v>
      </c>
      <c r="EG276" s="3236">
        <f t="shared" si="777"/>
        <v>0</v>
      </c>
      <c r="EH276" s="3236">
        <f t="shared" si="778"/>
        <v>104687355</v>
      </c>
      <c r="EI276" s="3264"/>
      <c r="EM276" s="3235">
        <f t="shared" si="807"/>
        <v>104687355</v>
      </c>
      <c r="EN276" s="3236">
        <f t="shared" si="779"/>
        <v>0</v>
      </c>
      <c r="EO276" s="3236">
        <f t="shared" si="780"/>
        <v>0</v>
      </c>
      <c r="EP276" s="3236">
        <f t="shared" si="781"/>
        <v>104687355</v>
      </c>
      <c r="EQ276" s="3264"/>
      <c r="EU276" s="3235">
        <f t="shared" si="808"/>
        <v>104687355</v>
      </c>
      <c r="EV276" s="3236">
        <f t="shared" si="782"/>
        <v>0</v>
      </c>
      <c r="EW276" s="3236">
        <f t="shared" si="783"/>
        <v>0</v>
      </c>
      <c r="EX276" s="3236">
        <f t="shared" si="784"/>
        <v>104687355</v>
      </c>
      <c r="EY276" s="3264"/>
      <c r="FC276" s="3235">
        <f t="shared" si="809"/>
        <v>104687355</v>
      </c>
      <c r="FD276" s="3236">
        <f t="shared" si="785"/>
        <v>0</v>
      </c>
      <c r="FE276" s="3236">
        <f t="shared" si="786"/>
        <v>0</v>
      </c>
      <c r="FF276" s="3236">
        <f t="shared" si="787"/>
        <v>104687355</v>
      </c>
      <c r="FG276" s="3264"/>
      <c r="FK276" s="3235">
        <f t="shared" si="810"/>
        <v>104687355</v>
      </c>
      <c r="FL276" s="3236">
        <f t="shared" si="788"/>
        <v>0</v>
      </c>
      <c r="FM276" s="3236">
        <f t="shared" si="789"/>
        <v>0</v>
      </c>
      <c r="FN276" s="3236">
        <f t="shared" si="790"/>
        <v>104687355</v>
      </c>
      <c r="FO276" s="3264"/>
    </row>
    <row r="277" spans="1:171">
      <c r="A277" s="2314"/>
      <c r="B277" s="2365" t="s">
        <v>568</v>
      </c>
      <c r="C277" s="2673">
        <v>262</v>
      </c>
      <c r="D277" s="2674">
        <v>408.1</v>
      </c>
      <c r="E277" s="2424" t="str">
        <f>'Sch 3A - Taxes'!E25</f>
        <v>DIST</v>
      </c>
      <c r="F277" s="2171"/>
      <c r="G277" s="2424">
        <f>'Sch 3A - Taxes'!F25</f>
        <v>0</v>
      </c>
      <c r="H277" s="2424">
        <f>'Sch 3A - Taxes'!G25</f>
        <v>0</v>
      </c>
      <c r="I277" s="2424">
        <f>'Sch 3A - Taxes'!H25</f>
        <v>0</v>
      </c>
      <c r="J277" s="2425">
        <f>'Sch 3A - Taxes'!I25</f>
        <v>0</v>
      </c>
      <c r="K277" s="3205">
        <f t="shared" si="730"/>
        <v>1</v>
      </c>
      <c r="O277" s="3235">
        <f t="shared" si="791"/>
        <v>0</v>
      </c>
      <c r="P277" s="3236">
        <f t="shared" si="731"/>
        <v>0</v>
      </c>
      <c r="Q277" s="3236">
        <f t="shared" si="732"/>
        <v>0</v>
      </c>
      <c r="R277" s="3236">
        <f t="shared" si="733"/>
        <v>0</v>
      </c>
      <c r="S277" s="3264"/>
      <c r="W277" s="3235">
        <f t="shared" si="792"/>
        <v>0</v>
      </c>
      <c r="X277" s="3236">
        <f t="shared" si="734"/>
        <v>0</v>
      </c>
      <c r="Y277" s="3236">
        <f t="shared" si="735"/>
        <v>0</v>
      </c>
      <c r="Z277" s="3236">
        <f t="shared" si="736"/>
        <v>0</v>
      </c>
      <c r="AA277" s="3264"/>
      <c r="AE277" s="3235">
        <f t="shared" si="793"/>
        <v>0</v>
      </c>
      <c r="AF277" s="3236">
        <f t="shared" si="737"/>
        <v>0</v>
      </c>
      <c r="AG277" s="3236">
        <f t="shared" si="738"/>
        <v>0</v>
      </c>
      <c r="AH277" s="3236">
        <f t="shared" si="739"/>
        <v>0</v>
      </c>
      <c r="AI277" s="3264"/>
      <c r="AM277" s="3235">
        <f t="shared" si="794"/>
        <v>0</v>
      </c>
      <c r="AN277" s="3236">
        <f t="shared" si="740"/>
        <v>0</v>
      </c>
      <c r="AO277" s="3236">
        <f t="shared" si="741"/>
        <v>0</v>
      </c>
      <c r="AP277" s="3236">
        <f t="shared" si="742"/>
        <v>0</v>
      </c>
      <c r="AQ277" s="3264"/>
      <c r="AU277" s="3235">
        <f t="shared" si="795"/>
        <v>0</v>
      </c>
      <c r="AV277" s="3236">
        <f t="shared" si="743"/>
        <v>0</v>
      </c>
      <c r="AW277" s="3236">
        <f t="shared" si="744"/>
        <v>0</v>
      </c>
      <c r="AX277" s="3236">
        <f t="shared" si="745"/>
        <v>0</v>
      </c>
      <c r="AY277" s="3264"/>
      <c r="BC277" s="3235">
        <f t="shared" si="796"/>
        <v>0</v>
      </c>
      <c r="BD277" s="3236">
        <f t="shared" si="746"/>
        <v>0</v>
      </c>
      <c r="BE277" s="3236">
        <f t="shared" si="747"/>
        <v>0</v>
      </c>
      <c r="BF277" s="3236">
        <f t="shared" si="748"/>
        <v>0</v>
      </c>
      <c r="BG277" s="3264"/>
      <c r="BK277" s="3235">
        <f t="shared" si="797"/>
        <v>0</v>
      </c>
      <c r="BL277" s="3236">
        <f t="shared" si="749"/>
        <v>0</v>
      </c>
      <c r="BM277" s="3236">
        <f t="shared" si="750"/>
        <v>0</v>
      </c>
      <c r="BN277" s="3236">
        <f t="shared" si="751"/>
        <v>0</v>
      </c>
      <c r="BO277" s="3264"/>
      <c r="BS277" s="3235">
        <f t="shared" si="798"/>
        <v>0</v>
      </c>
      <c r="BT277" s="3236">
        <f t="shared" si="752"/>
        <v>0</v>
      </c>
      <c r="BU277" s="3236">
        <f t="shared" si="753"/>
        <v>0</v>
      </c>
      <c r="BV277" s="3236">
        <f t="shared" si="754"/>
        <v>0</v>
      </c>
      <c r="BW277" s="3264"/>
      <c r="CA277" s="3235">
        <f t="shared" si="799"/>
        <v>0</v>
      </c>
      <c r="CB277" s="3236">
        <f t="shared" si="755"/>
        <v>0</v>
      </c>
      <c r="CC277" s="3236">
        <f t="shared" si="756"/>
        <v>0</v>
      </c>
      <c r="CD277" s="3236">
        <f t="shared" si="757"/>
        <v>0</v>
      </c>
      <c r="CE277" s="3264"/>
      <c r="CI277" s="3235">
        <f t="shared" si="800"/>
        <v>0</v>
      </c>
      <c r="CJ277" s="3236">
        <f t="shared" si="758"/>
        <v>0</v>
      </c>
      <c r="CK277" s="3236">
        <f t="shared" si="759"/>
        <v>0</v>
      </c>
      <c r="CL277" s="3236">
        <f t="shared" si="760"/>
        <v>0</v>
      </c>
      <c r="CM277" s="3264"/>
      <c r="CQ277" s="3235">
        <f t="shared" si="801"/>
        <v>0</v>
      </c>
      <c r="CR277" s="3236">
        <f t="shared" si="761"/>
        <v>0</v>
      </c>
      <c r="CS277" s="3236">
        <f t="shared" si="762"/>
        <v>0</v>
      </c>
      <c r="CT277" s="3236">
        <f t="shared" si="763"/>
        <v>0</v>
      </c>
      <c r="CU277" s="3264"/>
      <c r="CY277" s="3235">
        <f t="shared" si="802"/>
        <v>0</v>
      </c>
      <c r="CZ277" s="3236">
        <f t="shared" si="764"/>
        <v>0</v>
      </c>
      <c r="DA277" s="3236">
        <f t="shared" si="765"/>
        <v>0</v>
      </c>
      <c r="DB277" s="3236">
        <f t="shared" si="766"/>
        <v>0</v>
      </c>
      <c r="DC277" s="3264"/>
      <c r="DG277" s="3235">
        <f t="shared" si="803"/>
        <v>0</v>
      </c>
      <c r="DH277" s="3236">
        <f t="shared" si="767"/>
        <v>0</v>
      </c>
      <c r="DI277" s="3236">
        <f t="shared" si="768"/>
        <v>0</v>
      </c>
      <c r="DJ277" s="3236">
        <f t="shared" si="769"/>
        <v>0</v>
      </c>
      <c r="DK277" s="3264"/>
      <c r="DO277" s="3235">
        <f t="shared" si="804"/>
        <v>0</v>
      </c>
      <c r="DP277" s="3236">
        <f t="shared" si="770"/>
        <v>0</v>
      </c>
      <c r="DQ277" s="3236">
        <f t="shared" si="771"/>
        <v>0</v>
      </c>
      <c r="DR277" s="3236">
        <f t="shared" si="772"/>
        <v>0</v>
      </c>
      <c r="DS277" s="3264"/>
      <c r="DW277" s="3235">
        <f t="shared" si="805"/>
        <v>0</v>
      </c>
      <c r="DX277" s="3236">
        <f t="shared" si="773"/>
        <v>0</v>
      </c>
      <c r="DY277" s="3236">
        <f t="shared" si="774"/>
        <v>0</v>
      </c>
      <c r="DZ277" s="3236">
        <f t="shared" si="775"/>
        <v>0</v>
      </c>
      <c r="EA277" s="3264"/>
      <c r="EE277" s="3235">
        <f t="shared" si="806"/>
        <v>0</v>
      </c>
      <c r="EF277" s="3236">
        <f t="shared" si="776"/>
        <v>0</v>
      </c>
      <c r="EG277" s="3236">
        <f t="shared" si="777"/>
        <v>0</v>
      </c>
      <c r="EH277" s="3236">
        <f t="shared" si="778"/>
        <v>0</v>
      </c>
      <c r="EI277" s="3264"/>
      <c r="EM277" s="3235">
        <f t="shared" si="807"/>
        <v>0</v>
      </c>
      <c r="EN277" s="3236">
        <f t="shared" si="779"/>
        <v>0</v>
      </c>
      <c r="EO277" s="3236">
        <f t="shared" si="780"/>
        <v>0</v>
      </c>
      <c r="EP277" s="3236">
        <f t="shared" si="781"/>
        <v>0</v>
      </c>
      <c r="EQ277" s="3264"/>
      <c r="EU277" s="3235">
        <f t="shared" si="808"/>
        <v>0</v>
      </c>
      <c r="EV277" s="3236">
        <f t="shared" si="782"/>
        <v>0</v>
      </c>
      <c r="EW277" s="3236">
        <f t="shared" si="783"/>
        <v>0</v>
      </c>
      <c r="EX277" s="3236">
        <f t="shared" si="784"/>
        <v>0</v>
      </c>
      <c r="EY277" s="3264"/>
      <c r="FC277" s="3235">
        <f t="shared" si="809"/>
        <v>0</v>
      </c>
      <c r="FD277" s="3236">
        <f t="shared" si="785"/>
        <v>0</v>
      </c>
      <c r="FE277" s="3236">
        <f t="shared" si="786"/>
        <v>0</v>
      </c>
      <c r="FF277" s="3236">
        <f t="shared" si="787"/>
        <v>0</v>
      </c>
      <c r="FG277" s="3264"/>
      <c r="FK277" s="3235">
        <f t="shared" si="810"/>
        <v>0</v>
      </c>
      <c r="FL277" s="3236">
        <f t="shared" si="788"/>
        <v>0</v>
      </c>
      <c r="FM277" s="3236">
        <f t="shared" si="789"/>
        <v>0</v>
      </c>
      <c r="FN277" s="3236">
        <f t="shared" si="790"/>
        <v>0</v>
      </c>
      <c r="FO277" s="3264"/>
    </row>
    <row r="278" spans="1:171">
      <c r="A278" s="2314"/>
      <c r="B278" s="2365" t="s">
        <v>153</v>
      </c>
      <c r="C278" s="2673">
        <v>262</v>
      </c>
      <c r="D278" s="2674">
        <v>408.1</v>
      </c>
      <c r="E278" s="2424" t="str">
        <f>'Sch 3A - Taxes'!E26</f>
        <v>DIST</v>
      </c>
      <c r="F278" s="2171"/>
      <c r="G278" s="2424">
        <f>'Sch 3A - Taxes'!F26</f>
        <v>0</v>
      </c>
      <c r="H278" s="2424">
        <f>'Sch 3A - Taxes'!G26</f>
        <v>0</v>
      </c>
      <c r="I278" s="2424">
        <f>'Sch 3A - Taxes'!H26</f>
        <v>0</v>
      </c>
      <c r="J278" s="2425">
        <f>'Sch 3A - Taxes'!I26</f>
        <v>0</v>
      </c>
      <c r="K278" s="3205">
        <f t="shared" si="730"/>
        <v>1</v>
      </c>
      <c r="O278" s="3235">
        <f t="shared" si="791"/>
        <v>0</v>
      </c>
      <c r="P278" s="3236">
        <f t="shared" si="731"/>
        <v>0</v>
      </c>
      <c r="Q278" s="3236">
        <f t="shared" si="732"/>
        <v>0</v>
      </c>
      <c r="R278" s="3236">
        <f t="shared" si="733"/>
        <v>0</v>
      </c>
      <c r="S278" s="3264"/>
      <c r="W278" s="3235">
        <f t="shared" si="792"/>
        <v>0</v>
      </c>
      <c r="X278" s="3236">
        <f t="shared" si="734"/>
        <v>0</v>
      </c>
      <c r="Y278" s="3236">
        <f t="shared" si="735"/>
        <v>0</v>
      </c>
      <c r="Z278" s="3236">
        <f t="shared" si="736"/>
        <v>0</v>
      </c>
      <c r="AA278" s="3264"/>
      <c r="AE278" s="3235">
        <f t="shared" si="793"/>
        <v>0</v>
      </c>
      <c r="AF278" s="3236">
        <f t="shared" si="737"/>
        <v>0</v>
      </c>
      <c r="AG278" s="3236">
        <f t="shared" si="738"/>
        <v>0</v>
      </c>
      <c r="AH278" s="3236">
        <f t="shared" si="739"/>
        <v>0</v>
      </c>
      <c r="AI278" s="3264"/>
      <c r="AM278" s="3235">
        <f t="shared" si="794"/>
        <v>0</v>
      </c>
      <c r="AN278" s="3236">
        <f t="shared" si="740"/>
        <v>0</v>
      </c>
      <c r="AO278" s="3236">
        <f t="shared" si="741"/>
        <v>0</v>
      </c>
      <c r="AP278" s="3236">
        <f t="shared" si="742"/>
        <v>0</v>
      </c>
      <c r="AQ278" s="3264"/>
      <c r="AU278" s="3235">
        <f t="shared" si="795"/>
        <v>0</v>
      </c>
      <c r="AV278" s="3236">
        <f t="shared" si="743"/>
        <v>0</v>
      </c>
      <c r="AW278" s="3236">
        <f t="shared" si="744"/>
        <v>0</v>
      </c>
      <c r="AX278" s="3236">
        <f t="shared" si="745"/>
        <v>0</v>
      </c>
      <c r="AY278" s="3264"/>
      <c r="BC278" s="3235">
        <f t="shared" si="796"/>
        <v>0</v>
      </c>
      <c r="BD278" s="3236">
        <f t="shared" si="746"/>
        <v>0</v>
      </c>
      <c r="BE278" s="3236">
        <f t="shared" si="747"/>
        <v>0</v>
      </c>
      <c r="BF278" s="3236">
        <f t="shared" si="748"/>
        <v>0</v>
      </c>
      <c r="BG278" s="3264"/>
      <c r="BK278" s="3235">
        <f t="shared" si="797"/>
        <v>0</v>
      </c>
      <c r="BL278" s="3236">
        <f t="shared" si="749"/>
        <v>0</v>
      </c>
      <c r="BM278" s="3236">
        <f t="shared" si="750"/>
        <v>0</v>
      </c>
      <c r="BN278" s="3236">
        <f t="shared" si="751"/>
        <v>0</v>
      </c>
      <c r="BO278" s="3264"/>
      <c r="BS278" s="3235">
        <f t="shared" si="798"/>
        <v>0</v>
      </c>
      <c r="BT278" s="3236">
        <f t="shared" si="752"/>
        <v>0</v>
      </c>
      <c r="BU278" s="3236">
        <f t="shared" si="753"/>
        <v>0</v>
      </c>
      <c r="BV278" s="3236">
        <f t="shared" si="754"/>
        <v>0</v>
      </c>
      <c r="BW278" s="3264"/>
      <c r="CA278" s="3235">
        <f t="shared" si="799"/>
        <v>0</v>
      </c>
      <c r="CB278" s="3236">
        <f t="shared" si="755"/>
        <v>0</v>
      </c>
      <c r="CC278" s="3236">
        <f t="shared" si="756"/>
        <v>0</v>
      </c>
      <c r="CD278" s="3236">
        <f t="shared" si="757"/>
        <v>0</v>
      </c>
      <c r="CE278" s="3264"/>
      <c r="CI278" s="3235">
        <f t="shared" si="800"/>
        <v>0</v>
      </c>
      <c r="CJ278" s="3236">
        <f t="shared" si="758"/>
        <v>0</v>
      </c>
      <c r="CK278" s="3236">
        <f t="shared" si="759"/>
        <v>0</v>
      </c>
      <c r="CL278" s="3236">
        <f t="shared" si="760"/>
        <v>0</v>
      </c>
      <c r="CM278" s="3264"/>
      <c r="CQ278" s="3235">
        <f t="shared" si="801"/>
        <v>0</v>
      </c>
      <c r="CR278" s="3236">
        <f t="shared" si="761"/>
        <v>0</v>
      </c>
      <c r="CS278" s="3236">
        <f t="shared" si="762"/>
        <v>0</v>
      </c>
      <c r="CT278" s="3236">
        <f t="shared" si="763"/>
        <v>0</v>
      </c>
      <c r="CU278" s="3264"/>
      <c r="CY278" s="3235">
        <f t="shared" si="802"/>
        <v>0</v>
      </c>
      <c r="CZ278" s="3236">
        <f t="shared" si="764"/>
        <v>0</v>
      </c>
      <c r="DA278" s="3236">
        <f t="shared" si="765"/>
        <v>0</v>
      </c>
      <c r="DB278" s="3236">
        <f t="shared" si="766"/>
        <v>0</v>
      </c>
      <c r="DC278" s="3264"/>
      <c r="DG278" s="3235">
        <f t="shared" si="803"/>
        <v>0</v>
      </c>
      <c r="DH278" s="3236">
        <f t="shared" si="767"/>
        <v>0</v>
      </c>
      <c r="DI278" s="3236">
        <f t="shared" si="768"/>
        <v>0</v>
      </c>
      <c r="DJ278" s="3236">
        <f t="shared" si="769"/>
        <v>0</v>
      </c>
      <c r="DK278" s="3264"/>
      <c r="DO278" s="3235">
        <f t="shared" si="804"/>
        <v>0</v>
      </c>
      <c r="DP278" s="3236">
        <f t="shared" si="770"/>
        <v>0</v>
      </c>
      <c r="DQ278" s="3236">
        <f t="shared" si="771"/>
        <v>0</v>
      </c>
      <c r="DR278" s="3236">
        <f t="shared" si="772"/>
        <v>0</v>
      </c>
      <c r="DS278" s="3264"/>
      <c r="DW278" s="3235">
        <f t="shared" si="805"/>
        <v>0</v>
      </c>
      <c r="DX278" s="3236">
        <f t="shared" si="773"/>
        <v>0</v>
      </c>
      <c r="DY278" s="3236">
        <f t="shared" si="774"/>
        <v>0</v>
      </c>
      <c r="DZ278" s="3236">
        <f t="shared" si="775"/>
        <v>0</v>
      </c>
      <c r="EA278" s="3264"/>
      <c r="EE278" s="3235">
        <f t="shared" si="806"/>
        <v>0</v>
      </c>
      <c r="EF278" s="3236">
        <f t="shared" si="776"/>
        <v>0</v>
      </c>
      <c r="EG278" s="3236">
        <f t="shared" si="777"/>
        <v>0</v>
      </c>
      <c r="EH278" s="3236">
        <f t="shared" si="778"/>
        <v>0</v>
      </c>
      <c r="EI278" s="3264"/>
      <c r="EM278" s="3235">
        <f t="shared" si="807"/>
        <v>0</v>
      </c>
      <c r="EN278" s="3236">
        <f t="shared" si="779"/>
        <v>0</v>
      </c>
      <c r="EO278" s="3236">
        <f t="shared" si="780"/>
        <v>0</v>
      </c>
      <c r="EP278" s="3236">
        <f t="shared" si="781"/>
        <v>0</v>
      </c>
      <c r="EQ278" s="3264"/>
      <c r="EU278" s="3235">
        <f t="shared" si="808"/>
        <v>0</v>
      </c>
      <c r="EV278" s="3236">
        <f t="shared" si="782"/>
        <v>0</v>
      </c>
      <c r="EW278" s="3236">
        <f t="shared" si="783"/>
        <v>0</v>
      </c>
      <c r="EX278" s="3236">
        <f t="shared" si="784"/>
        <v>0</v>
      </c>
      <c r="EY278" s="3264"/>
      <c r="FC278" s="3235">
        <f t="shared" si="809"/>
        <v>0</v>
      </c>
      <c r="FD278" s="3236">
        <f t="shared" si="785"/>
        <v>0</v>
      </c>
      <c r="FE278" s="3236">
        <f t="shared" si="786"/>
        <v>0</v>
      </c>
      <c r="FF278" s="3236">
        <f t="shared" si="787"/>
        <v>0</v>
      </c>
      <c r="FG278" s="3264"/>
      <c r="FK278" s="3235">
        <f t="shared" si="810"/>
        <v>0</v>
      </c>
      <c r="FL278" s="3236">
        <f t="shared" si="788"/>
        <v>0</v>
      </c>
      <c r="FM278" s="3236">
        <f t="shared" si="789"/>
        <v>0</v>
      </c>
      <c r="FN278" s="3236">
        <f t="shared" si="790"/>
        <v>0</v>
      </c>
      <c r="FO278" s="3264"/>
    </row>
    <row r="279" spans="1:171">
      <c r="A279" s="2314"/>
      <c r="B279" s="2365" t="s">
        <v>569</v>
      </c>
      <c r="C279" s="2673">
        <v>262</v>
      </c>
      <c r="D279" s="2674">
        <v>408.1</v>
      </c>
      <c r="E279" s="2424" t="str">
        <f>'Sch 3A - Taxes'!E27</f>
        <v>DIST</v>
      </c>
      <c r="F279" s="2171"/>
      <c r="G279" s="2424">
        <f>'Sch 3A - Taxes'!F27</f>
        <v>103454099</v>
      </c>
      <c r="H279" s="2424">
        <f>'Sch 3A - Taxes'!G27</f>
        <v>0</v>
      </c>
      <c r="I279" s="2424">
        <f>'Sch 3A - Taxes'!H27</f>
        <v>0</v>
      </c>
      <c r="J279" s="2425">
        <f>'Sch 3A - Taxes'!I27</f>
        <v>103454099</v>
      </c>
      <c r="K279" s="3205">
        <f t="shared" si="730"/>
        <v>1</v>
      </c>
      <c r="O279" s="3235">
        <f t="shared" si="791"/>
        <v>103454099</v>
      </c>
      <c r="P279" s="3236">
        <f t="shared" si="731"/>
        <v>0</v>
      </c>
      <c r="Q279" s="3236">
        <f t="shared" si="732"/>
        <v>0</v>
      </c>
      <c r="R279" s="3236">
        <f t="shared" si="733"/>
        <v>103454099</v>
      </c>
      <c r="S279" s="3264"/>
      <c r="W279" s="3235">
        <f t="shared" si="792"/>
        <v>103454099</v>
      </c>
      <c r="X279" s="3236">
        <f t="shared" si="734"/>
        <v>0</v>
      </c>
      <c r="Y279" s="3236">
        <f t="shared" si="735"/>
        <v>0</v>
      </c>
      <c r="Z279" s="3236">
        <f t="shared" si="736"/>
        <v>103454099</v>
      </c>
      <c r="AA279" s="3264"/>
      <c r="AE279" s="3235">
        <f t="shared" si="793"/>
        <v>103454099</v>
      </c>
      <c r="AF279" s="3236">
        <f t="shared" si="737"/>
        <v>0</v>
      </c>
      <c r="AG279" s="3236">
        <f t="shared" si="738"/>
        <v>0</v>
      </c>
      <c r="AH279" s="3236">
        <f t="shared" si="739"/>
        <v>103454099</v>
      </c>
      <c r="AI279" s="3264"/>
      <c r="AM279" s="3235">
        <f t="shared" si="794"/>
        <v>103454099</v>
      </c>
      <c r="AN279" s="3236">
        <f t="shared" si="740"/>
        <v>0</v>
      </c>
      <c r="AO279" s="3236">
        <f t="shared" si="741"/>
        <v>0</v>
      </c>
      <c r="AP279" s="3236">
        <f t="shared" si="742"/>
        <v>103454099</v>
      </c>
      <c r="AQ279" s="3264"/>
      <c r="AU279" s="3235">
        <f t="shared" si="795"/>
        <v>103454099</v>
      </c>
      <c r="AV279" s="3236">
        <f t="shared" si="743"/>
        <v>0</v>
      </c>
      <c r="AW279" s="3236">
        <f t="shared" si="744"/>
        <v>0</v>
      </c>
      <c r="AX279" s="3236">
        <f t="shared" si="745"/>
        <v>103454099</v>
      </c>
      <c r="AY279" s="3264"/>
      <c r="BC279" s="3235">
        <f t="shared" si="796"/>
        <v>103454099</v>
      </c>
      <c r="BD279" s="3236">
        <f t="shared" si="746"/>
        <v>0</v>
      </c>
      <c r="BE279" s="3236">
        <f t="shared" si="747"/>
        <v>0</v>
      </c>
      <c r="BF279" s="3236">
        <f t="shared" si="748"/>
        <v>103454099</v>
      </c>
      <c r="BG279" s="3264"/>
      <c r="BK279" s="3235">
        <f t="shared" si="797"/>
        <v>103454099</v>
      </c>
      <c r="BL279" s="3236">
        <f t="shared" si="749"/>
        <v>0</v>
      </c>
      <c r="BM279" s="3236">
        <f t="shared" si="750"/>
        <v>0</v>
      </c>
      <c r="BN279" s="3236">
        <f t="shared" si="751"/>
        <v>103454099</v>
      </c>
      <c r="BO279" s="3264"/>
      <c r="BS279" s="3235">
        <f t="shared" si="798"/>
        <v>103454099</v>
      </c>
      <c r="BT279" s="3236">
        <f t="shared" si="752"/>
        <v>0</v>
      </c>
      <c r="BU279" s="3236">
        <f t="shared" si="753"/>
        <v>0</v>
      </c>
      <c r="BV279" s="3236">
        <f t="shared" si="754"/>
        <v>103454099</v>
      </c>
      <c r="BW279" s="3264"/>
      <c r="CA279" s="3235">
        <f t="shared" si="799"/>
        <v>103454099</v>
      </c>
      <c r="CB279" s="3236">
        <f t="shared" si="755"/>
        <v>0</v>
      </c>
      <c r="CC279" s="3236">
        <f t="shared" si="756"/>
        <v>0</v>
      </c>
      <c r="CD279" s="3236">
        <f t="shared" si="757"/>
        <v>103454099</v>
      </c>
      <c r="CE279" s="3264"/>
      <c r="CI279" s="3235">
        <f t="shared" si="800"/>
        <v>103454099</v>
      </c>
      <c r="CJ279" s="3236">
        <f t="shared" si="758"/>
        <v>0</v>
      </c>
      <c r="CK279" s="3236">
        <f t="shared" si="759"/>
        <v>0</v>
      </c>
      <c r="CL279" s="3236">
        <f t="shared" si="760"/>
        <v>103454099</v>
      </c>
      <c r="CM279" s="3264"/>
      <c r="CQ279" s="3235">
        <f t="shared" si="801"/>
        <v>103454099</v>
      </c>
      <c r="CR279" s="3236">
        <f t="shared" si="761"/>
        <v>0</v>
      </c>
      <c r="CS279" s="3236">
        <f t="shared" si="762"/>
        <v>0</v>
      </c>
      <c r="CT279" s="3236">
        <f t="shared" si="763"/>
        <v>103454099</v>
      </c>
      <c r="CU279" s="3264"/>
      <c r="CY279" s="3235">
        <f t="shared" si="802"/>
        <v>103454099</v>
      </c>
      <c r="CZ279" s="3236">
        <f t="shared" si="764"/>
        <v>0</v>
      </c>
      <c r="DA279" s="3236">
        <f t="shared" si="765"/>
        <v>0</v>
      </c>
      <c r="DB279" s="3236">
        <f t="shared" si="766"/>
        <v>103454099</v>
      </c>
      <c r="DC279" s="3264"/>
      <c r="DG279" s="3235">
        <f t="shared" si="803"/>
        <v>103454099</v>
      </c>
      <c r="DH279" s="3236">
        <f t="shared" si="767"/>
        <v>0</v>
      </c>
      <c r="DI279" s="3236">
        <f t="shared" si="768"/>
        <v>0</v>
      </c>
      <c r="DJ279" s="3236">
        <f t="shared" si="769"/>
        <v>103454099</v>
      </c>
      <c r="DK279" s="3264"/>
      <c r="DO279" s="3235">
        <f t="shared" si="804"/>
        <v>103454099</v>
      </c>
      <c r="DP279" s="3236">
        <f t="shared" si="770"/>
        <v>0</v>
      </c>
      <c r="DQ279" s="3236">
        <f t="shared" si="771"/>
        <v>0</v>
      </c>
      <c r="DR279" s="3236">
        <f t="shared" si="772"/>
        <v>103454099</v>
      </c>
      <c r="DS279" s="3264"/>
      <c r="DW279" s="3235">
        <f t="shared" si="805"/>
        <v>103454099</v>
      </c>
      <c r="DX279" s="3236">
        <f t="shared" si="773"/>
        <v>0</v>
      </c>
      <c r="DY279" s="3236">
        <f t="shared" si="774"/>
        <v>0</v>
      </c>
      <c r="DZ279" s="3236">
        <f t="shared" si="775"/>
        <v>103454099</v>
      </c>
      <c r="EA279" s="3264"/>
      <c r="EE279" s="3235">
        <f t="shared" si="806"/>
        <v>103454099</v>
      </c>
      <c r="EF279" s="3236">
        <f t="shared" si="776"/>
        <v>0</v>
      </c>
      <c r="EG279" s="3236">
        <f t="shared" si="777"/>
        <v>0</v>
      </c>
      <c r="EH279" s="3236">
        <f t="shared" si="778"/>
        <v>103454099</v>
      </c>
      <c r="EI279" s="3264"/>
      <c r="EM279" s="3235">
        <f t="shared" si="807"/>
        <v>103454099</v>
      </c>
      <c r="EN279" s="3236">
        <f t="shared" si="779"/>
        <v>0</v>
      </c>
      <c r="EO279" s="3236">
        <f t="shared" si="780"/>
        <v>0</v>
      </c>
      <c r="EP279" s="3236">
        <f t="shared" si="781"/>
        <v>103454099</v>
      </c>
      <c r="EQ279" s="3264"/>
      <c r="EU279" s="3235">
        <f t="shared" si="808"/>
        <v>103454099</v>
      </c>
      <c r="EV279" s="3236">
        <f t="shared" si="782"/>
        <v>0</v>
      </c>
      <c r="EW279" s="3236">
        <f t="shared" si="783"/>
        <v>0</v>
      </c>
      <c r="EX279" s="3236">
        <f t="shared" si="784"/>
        <v>103454099</v>
      </c>
      <c r="EY279" s="3264"/>
      <c r="FC279" s="3235">
        <f t="shared" si="809"/>
        <v>103454099</v>
      </c>
      <c r="FD279" s="3236">
        <f t="shared" si="785"/>
        <v>0</v>
      </c>
      <c r="FE279" s="3236">
        <f t="shared" si="786"/>
        <v>0</v>
      </c>
      <c r="FF279" s="3236">
        <f t="shared" si="787"/>
        <v>103454099</v>
      </c>
      <c r="FG279" s="3264"/>
      <c r="FK279" s="3235">
        <f t="shared" si="810"/>
        <v>103454099</v>
      </c>
      <c r="FL279" s="3236">
        <f t="shared" si="788"/>
        <v>0</v>
      </c>
      <c r="FM279" s="3236">
        <f t="shared" si="789"/>
        <v>0</v>
      </c>
      <c r="FN279" s="3236">
        <f t="shared" si="790"/>
        <v>103454099</v>
      </c>
      <c r="FO279" s="3264"/>
    </row>
    <row r="280" spans="1:171" ht="12" thickBot="1">
      <c r="A280" s="2314"/>
      <c r="B280" s="2365" t="s">
        <v>107</v>
      </c>
      <c r="C280" s="2673">
        <v>262</v>
      </c>
      <c r="D280" s="2674">
        <v>408.1</v>
      </c>
      <c r="E280" s="2424" t="str">
        <f>'Sch 3A - Taxes'!E28</f>
        <v>DIST</v>
      </c>
      <c r="F280" s="2171"/>
      <c r="G280" s="2424">
        <f>'Sch 3A - Taxes'!F28</f>
        <v>879365</v>
      </c>
      <c r="H280" s="2424">
        <f>'Sch 3A - Taxes'!G28</f>
        <v>0</v>
      </c>
      <c r="I280" s="2424">
        <f>'Sch 3A - Taxes'!H28</f>
        <v>0</v>
      </c>
      <c r="J280" s="2425">
        <f>'Sch 3A - Taxes'!I28</f>
        <v>879365</v>
      </c>
      <c r="K280" s="3205">
        <f t="shared" si="730"/>
        <v>1</v>
      </c>
      <c r="O280" s="3235">
        <f t="shared" si="791"/>
        <v>879365</v>
      </c>
      <c r="P280" s="3236">
        <f t="shared" si="731"/>
        <v>0</v>
      </c>
      <c r="Q280" s="3236">
        <f t="shared" si="732"/>
        <v>0</v>
      </c>
      <c r="R280" s="3236">
        <f t="shared" si="733"/>
        <v>879365</v>
      </c>
      <c r="S280" s="3264"/>
      <c r="W280" s="3235">
        <f t="shared" si="792"/>
        <v>879365</v>
      </c>
      <c r="X280" s="3236">
        <f t="shared" si="734"/>
        <v>0</v>
      </c>
      <c r="Y280" s="3236">
        <f t="shared" si="735"/>
        <v>0</v>
      </c>
      <c r="Z280" s="3236">
        <f t="shared" si="736"/>
        <v>879365</v>
      </c>
      <c r="AA280" s="3264"/>
      <c r="AE280" s="3235">
        <f t="shared" si="793"/>
        <v>879365</v>
      </c>
      <c r="AF280" s="3236">
        <f t="shared" si="737"/>
        <v>0</v>
      </c>
      <c r="AG280" s="3236">
        <f t="shared" si="738"/>
        <v>0</v>
      </c>
      <c r="AH280" s="3236">
        <f t="shared" si="739"/>
        <v>879365</v>
      </c>
      <c r="AI280" s="3264"/>
      <c r="AM280" s="3235">
        <f t="shared" si="794"/>
        <v>879365</v>
      </c>
      <c r="AN280" s="3236">
        <f t="shared" si="740"/>
        <v>0</v>
      </c>
      <c r="AO280" s="3236">
        <f t="shared" si="741"/>
        <v>0</v>
      </c>
      <c r="AP280" s="3236">
        <f t="shared" si="742"/>
        <v>879365</v>
      </c>
      <c r="AQ280" s="3264"/>
      <c r="AU280" s="3235">
        <f t="shared" si="795"/>
        <v>879365</v>
      </c>
      <c r="AV280" s="3236">
        <f t="shared" si="743"/>
        <v>0</v>
      </c>
      <c r="AW280" s="3236">
        <f t="shared" si="744"/>
        <v>0</v>
      </c>
      <c r="AX280" s="3236">
        <f t="shared" si="745"/>
        <v>879365</v>
      </c>
      <c r="AY280" s="3264"/>
      <c r="BC280" s="3235">
        <f t="shared" si="796"/>
        <v>879365</v>
      </c>
      <c r="BD280" s="3236">
        <f t="shared" si="746"/>
        <v>0</v>
      </c>
      <c r="BE280" s="3236">
        <f t="shared" si="747"/>
        <v>0</v>
      </c>
      <c r="BF280" s="3236">
        <f t="shared" si="748"/>
        <v>879365</v>
      </c>
      <c r="BG280" s="3264"/>
      <c r="BK280" s="3235">
        <f t="shared" si="797"/>
        <v>879365</v>
      </c>
      <c r="BL280" s="3236">
        <f t="shared" si="749"/>
        <v>0</v>
      </c>
      <c r="BM280" s="3236">
        <f t="shared" si="750"/>
        <v>0</v>
      </c>
      <c r="BN280" s="3236">
        <f t="shared" si="751"/>
        <v>879365</v>
      </c>
      <c r="BO280" s="3264"/>
      <c r="BS280" s="3235">
        <f t="shared" si="798"/>
        <v>879365</v>
      </c>
      <c r="BT280" s="3236">
        <f t="shared" si="752"/>
        <v>0</v>
      </c>
      <c r="BU280" s="3236">
        <f t="shared" si="753"/>
        <v>0</v>
      </c>
      <c r="BV280" s="3236">
        <f t="shared" si="754"/>
        <v>879365</v>
      </c>
      <c r="BW280" s="3264"/>
      <c r="CA280" s="3235">
        <f t="shared" si="799"/>
        <v>879365</v>
      </c>
      <c r="CB280" s="3236">
        <f t="shared" si="755"/>
        <v>0</v>
      </c>
      <c r="CC280" s="3236">
        <f t="shared" si="756"/>
        <v>0</v>
      </c>
      <c r="CD280" s="3236">
        <f t="shared" si="757"/>
        <v>879365</v>
      </c>
      <c r="CE280" s="3264"/>
      <c r="CI280" s="3235">
        <f t="shared" si="800"/>
        <v>879365</v>
      </c>
      <c r="CJ280" s="3236">
        <f t="shared" si="758"/>
        <v>0</v>
      </c>
      <c r="CK280" s="3236">
        <f t="shared" si="759"/>
        <v>0</v>
      </c>
      <c r="CL280" s="3236">
        <f t="shared" si="760"/>
        <v>879365</v>
      </c>
      <c r="CM280" s="3264"/>
      <c r="CQ280" s="3235">
        <f t="shared" si="801"/>
        <v>879365</v>
      </c>
      <c r="CR280" s="3236">
        <f t="shared" si="761"/>
        <v>0</v>
      </c>
      <c r="CS280" s="3236">
        <f t="shared" si="762"/>
        <v>0</v>
      </c>
      <c r="CT280" s="3236">
        <f t="shared" si="763"/>
        <v>879365</v>
      </c>
      <c r="CU280" s="3264"/>
      <c r="CY280" s="3235">
        <f t="shared" si="802"/>
        <v>879365</v>
      </c>
      <c r="CZ280" s="3236">
        <f t="shared" si="764"/>
        <v>0</v>
      </c>
      <c r="DA280" s="3236">
        <f t="shared" si="765"/>
        <v>0</v>
      </c>
      <c r="DB280" s="3236">
        <f t="shared" si="766"/>
        <v>879365</v>
      </c>
      <c r="DC280" s="3264"/>
      <c r="DG280" s="3235">
        <f t="shared" si="803"/>
        <v>879365</v>
      </c>
      <c r="DH280" s="3236">
        <f t="shared" si="767"/>
        <v>0</v>
      </c>
      <c r="DI280" s="3236">
        <f t="shared" si="768"/>
        <v>0</v>
      </c>
      <c r="DJ280" s="3236">
        <f t="shared" si="769"/>
        <v>879365</v>
      </c>
      <c r="DK280" s="3264"/>
      <c r="DO280" s="3235">
        <f t="shared" si="804"/>
        <v>879365</v>
      </c>
      <c r="DP280" s="3236">
        <f t="shared" si="770"/>
        <v>0</v>
      </c>
      <c r="DQ280" s="3236">
        <f t="shared" si="771"/>
        <v>0</v>
      </c>
      <c r="DR280" s="3236">
        <f t="shared" si="772"/>
        <v>879365</v>
      </c>
      <c r="DS280" s="3264"/>
      <c r="DW280" s="3235">
        <f t="shared" si="805"/>
        <v>879365</v>
      </c>
      <c r="DX280" s="3236">
        <f t="shared" si="773"/>
        <v>0</v>
      </c>
      <c r="DY280" s="3236">
        <f t="shared" si="774"/>
        <v>0</v>
      </c>
      <c r="DZ280" s="3236">
        <f t="shared" si="775"/>
        <v>879365</v>
      </c>
      <c r="EA280" s="3264"/>
      <c r="EE280" s="3235">
        <f t="shared" si="806"/>
        <v>879365</v>
      </c>
      <c r="EF280" s="3236">
        <f t="shared" si="776"/>
        <v>0</v>
      </c>
      <c r="EG280" s="3236">
        <f t="shared" si="777"/>
        <v>0</v>
      </c>
      <c r="EH280" s="3236">
        <f t="shared" si="778"/>
        <v>879365</v>
      </c>
      <c r="EI280" s="3264"/>
      <c r="EM280" s="3235">
        <f t="shared" si="807"/>
        <v>879365</v>
      </c>
      <c r="EN280" s="3236">
        <f t="shared" si="779"/>
        <v>0</v>
      </c>
      <c r="EO280" s="3236">
        <f t="shared" si="780"/>
        <v>0</v>
      </c>
      <c r="EP280" s="3236">
        <f t="shared" si="781"/>
        <v>879365</v>
      </c>
      <c r="EQ280" s="3264"/>
      <c r="EU280" s="3235">
        <f t="shared" si="808"/>
        <v>879365</v>
      </c>
      <c r="EV280" s="3236">
        <f t="shared" si="782"/>
        <v>0</v>
      </c>
      <c r="EW280" s="3236">
        <f t="shared" si="783"/>
        <v>0</v>
      </c>
      <c r="EX280" s="3236">
        <f t="shared" si="784"/>
        <v>879365</v>
      </c>
      <c r="EY280" s="3264"/>
      <c r="FC280" s="3235">
        <f t="shared" si="809"/>
        <v>879365</v>
      </c>
      <c r="FD280" s="3236">
        <f t="shared" si="785"/>
        <v>0</v>
      </c>
      <c r="FE280" s="3236">
        <f t="shared" si="786"/>
        <v>0</v>
      </c>
      <c r="FF280" s="3236">
        <f t="shared" si="787"/>
        <v>879365</v>
      </c>
      <c r="FG280" s="3264"/>
      <c r="FK280" s="3235">
        <f t="shared" si="810"/>
        <v>879365</v>
      </c>
      <c r="FL280" s="3236">
        <f t="shared" si="788"/>
        <v>0</v>
      </c>
      <c r="FM280" s="3236">
        <f t="shared" si="789"/>
        <v>0</v>
      </c>
      <c r="FN280" s="3236">
        <f t="shared" si="790"/>
        <v>879365</v>
      </c>
      <c r="FO280" s="3264"/>
    </row>
    <row r="281" spans="1:171" ht="12" thickBot="1">
      <c r="A281" s="2675" t="s">
        <v>36</v>
      </c>
      <c r="B281" s="2365"/>
      <c r="C281" s="3256"/>
      <c r="D281" s="3257"/>
      <c r="E281" s="3257"/>
      <c r="F281" s="3258"/>
      <c r="G281" s="3265">
        <f>SUM(G274:G280)</f>
        <v>256112939</v>
      </c>
      <c r="H281" s="3265">
        <f>SUM(H274:H280)</f>
        <v>16476242.140085313</v>
      </c>
      <c r="I281" s="3265">
        <f>SUM(I274:I280)</f>
        <v>0</v>
      </c>
      <c r="J281" s="3266">
        <f>SUM(J274:J280)</f>
        <v>239636696.8509014</v>
      </c>
      <c r="K281" s="3205"/>
      <c r="O281" s="3349">
        <f>SUM(O274:O280)</f>
        <v>256112939</v>
      </c>
      <c r="P281" s="3349">
        <f>SUM(P274:P280)</f>
        <v>16476242.140085313</v>
      </c>
      <c r="Q281" s="3349">
        <f>SUM(Q274:Q280)</f>
        <v>8267739.5594563298</v>
      </c>
      <c r="R281" s="3349">
        <f>SUM(R274:R280)</f>
        <v>231368957.30045837</v>
      </c>
      <c r="S281" s="3264"/>
      <c r="W281" s="3349">
        <f>SUM(W274:W280)</f>
        <v>256112939</v>
      </c>
      <c r="X281" s="3349">
        <f>SUM(X274:X280)</f>
        <v>16476242.140085313</v>
      </c>
      <c r="Y281" s="3349">
        <f>SUM(Y274:Y280)</f>
        <v>8267739.5594563298</v>
      </c>
      <c r="Z281" s="3349">
        <f>SUM(Z274:Z280)</f>
        <v>231368957.30045837</v>
      </c>
      <c r="AA281" s="3264"/>
      <c r="AE281" s="3349">
        <f>SUM(AE274:AE280)</f>
        <v>256112939</v>
      </c>
      <c r="AF281" s="3349">
        <f>SUM(AF274:AF280)</f>
        <v>16476242.140085313</v>
      </c>
      <c r="AG281" s="3349">
        <f>SUM(AG274:AG280)</f>
        <v>8267739.5594563298</v>
      </c>
      <c r="AH281" s="3349">
        <f>SUM(AH274:AH280)</f>
        <v>231368957.30045837</v>
      </c>
      <c r="AI281" s="3264"/>
      <c r="AM281" s="3349">
        <f>SUM(AM274:AM280)</f>
        <v>256112939</v>
      </c>
      <c r="AN281" s="3349">
        <f>SUM(AN274:AN280)</f>
        <v>16476242.140085313</v>
      </c>
      <c r="AO281" s="3349">
        <f>SUM(AO274:AO280)</f>
        <v>8267739.5594563298</v>
      </c>
      <c r="AP281" s="3349">
        <f>SUM(AP274:AP280)</f>
        <v>231368957.30045837</v>
      </c>
      <c r="AQ281" s="3264"/>
      <c r="AU281" s="3349">
        <f>SUM(AU274:AU280)</f>
        <v>256112939</v>
      </c>
      <c r="AV281" s="3349">
        <f>SUM(AV274:AV280)</f>
        <v>16476242.140085313</v>
      </c>
      <c r="AW281" s="3349">
        <f>SUM(AW274:AW280)</f>
        <v>8267739.5594563298</v>
      </c>
      <c r="AX281" s="3349">
        <f>SUM(AX274:AX280)</f>
        <v>231368957.30045837</v>
      </c>
      <c r="AY281" s="3264"/>
      <c r="BC281" s="3349">
        <f>SUM(BC274:BC280)</f>
        <v>256112939</v>
      </c>
      <c r="BD281" s="3349">
        <f>SUM(BD274:BD280)</f>
        <v>16476242.140085313</v>
      </c>
      <c r="BE281" s="3349">
        <f>SUM(BE274:BE280)</f>
        <v>8267739.5594563298</v>
      </c>
      <c r="BF281" s="3349">
        <f>SUM(BF274:BF280)</f>
        <v>231368957.30045837</v>
      </c>
      <c r="BG281" s="3264"/>
      <c r="BK281" s="3349">
        <f>SUM(BK274:BK280)</f>
        <v>256112939</v>
      </c>
      <c r="BL281" s="3349">
        <f>SUM(BL274:BL280)</f>
        <v>16476242.140085313</v>
      </c>
      <c r="BM281" s="3349">
        <f>SUM(BM274:BM280)</f>
        <v>8267739.5594563298</v>
      </c>
      <c r="BN281" s="3349">
        <f>SUM(BN274:BN280)</f>
        <v>231368957.30045837</v>
      </c>
      <c r="BO281" s="3264"/>
      <c r="BS281" s="3349">
        <f>SUM(BS274:BS280)</f>
        <v>256112939</v>
      </c>
      <c r="BT281" s="3349">
        <f>SUM(BT274:BT280)</f>
        <v>16476242.140085313</v>
      </c>
      <c r="BU281" s="3349">
        <f>SUM(BU274:BU280)</f>
        <v>8267739.5594563298</v>
      </c>
      <c r="BV281" s="3349">
        <f>SUM(BV274:BV280)</f>
        <v>231368957.30045837</v>
      </c>
      <c r="BW281" s="3264"/>
      <c r="CA281" s="3349">
        <f>SUM(CA274:CA280)</f>
        <v>256112939</v>
      </c>
      <c r="CB281" s="3349">
        <f>SUM(CB274:CB280)</f>
        <v>16476242.140085313</v>
      </c>
      <c r="CC281" s="3349">
        <f>SUM(CC274:CC280)</f>
        <v>8267739.5594563298</v>
      </c>
      <c r="CD281" s="3349">
        <f>SUM(CD274:CD280)</f>
        <v>231368957.30045837</v>
      </c>
      <c r="CE281" s="3264"/>
      <c r="CI281" s="3349">
        <f>SUM(CI274:CI280)</f>
        <v>256112939</v>
      </c>
      <c r="CJ281" s="3349">
        <f>SUM(CJ274:CJ280)</f>
        <v>16476242.140085313</v>
      </c>
      <c r="CK281" s="3349">
        <f>SUM(CK274:CK280)</f>
        <v>8267739.5594563298</v>
      </c>
      <c r="CL281" s="3349">
        <f>SUM(CL274:CL280)</f>
        <v>231368957.30045837</v>
      </c>
      <c r="CM281" s="3264"/>
      <c r="CQ281" s="3349">
        <f>SUM(CQ274:CQ280)</f>
        <v>256112939</v>
      </c>
      <c r="CR281" s="3349">
        <f>SUM(CR274:CR280)</f>
        <v>16476242.140085313</v>
      </c>
      <c r="CS281" s="3349">
        <f>SUM(CS274:CS280)</f>
        <v>8267739.5594563298</v>
      </c>
      <c r="CT281" s="3349">
        <f>SUM(CT274:CT280)</f>
        <v>231368957.30045837</v>
      </c>
      <c r="CU281" s="3264"/>
      <c r="CY281" s="3349">
        <f>SUM(CY274:CY280)</f>
        <v>256112939</v>
      </c>
      <c r="CZ281" s="3349">
        <f>SUM(CZ274:CZ280)</f>
        <v>16476242.140085313</v>
      </c>
      <c r="DA281" s="3349">
        <f>SUM(DA274:DA280)</f>
        <v>8267739.5594563298</v>
      </c>
      <c r="DB281" s="3349">
        <f>SUM(DB274:DB280)</f>
        <v>231368957.30045837</v>
      </c>
      <c r="DC281" s="3264"/>
      <c r="DG281" s="3349">
        <f>SUM(DG274:DG280)</f>
        <v>256112939</v>
      </c>
      <c r="DH281" s="3349">
        <f>SUM(DH274:DH280)</f>
        <v>16476242.140085313</v>
      </c>
      <c r="DI281" s="3349">
        <f>SUM(DI274:DI280)</f>
        <v>8267739.5594563298</v>
      </c>
      <c r="DJ281" s="3349">
        <f>SUM(DJ274:DJ280)</f>
        <v>231368957.30045837</v>
      </c>
      <c r="DK281" s="3264"/>
      <c r="DO281" s="3349">
        <f>SUM(DO274:DO280)</f>
        <v>256112939</v>
      </c>
      <c r="DP281" s="3349">
        <f>SUM(DP274:DP280)</f>
        <v>16476242.140085313</v>
      </c>
      <c r="DQ281" s="3349">
        <f>SUM(DQ274:DQ280)</f>
        <v>8267739.5594563298</v>
      </c>
      <c r="DR281" s="3349">
        <f>SUM(DR274:DR280)</f>
        <v>231368957.30045837</v>
      </c>
      <c r="DS281" s="3264"/>
      <c r="DW281" s="3349">
        <f>SUM(DW274:DW280)</f>
        <v>256112939</v>
      </c>
      <c r="DX281" s="3349">
        <f>SUM(DX274:DX280)</f>
        <v>16476242.140085313</v>
      </c>
      <c r="DY281" s="3349">
        <f>SUM(DY274:DY280)</f>
        <v>8267739.5594563298</v>
      </c>
      <c r="DZ281" s="3349">
        <f>SUM(DZ274:DZ280)</f>
        <v>231368957.30045837</v>
      </c>
      <c r="EA281" s="3264"/>
      <c r="EE281" s="3349">
        <f>SUM(EE274:EE280)</f>
        <v>256112939</v>
      </c>
      <c r="EF281" s="3349">
        <f>SUM(EF274:EF280)</f>
        <v>16476242.140085313</v>
      </c>
      <c r="EG281" s="3349">
        <f>SUM(EG274:EG280)</f>
        <v>8267739.5594563298</v>
      </c>
      <c r="EH281" s="3349">
        <f>SUM(EH274:EH280)</f>
        <v>231368957.30045837</v>
      </c>
      <c r="EI281" s="3264"/>
      <c r="EM281" s="3349">
        <f>SUM(EM274:EM280)</f>
        <v>256112939</v>
      </c>
      <c r="EN281" s="3349">
        <f>SUM(EN274:EN280)</f>
        <v>16476242.140085313</v>
      </c>
      <c r="EO281" s="3349">
        <f>SUM(EO274:EO280)</f>
        <v>8267739.5594563298</v>
      </c>
      <c r="EP281" s="3349">
        <f>SUM(EP274:EP280)</f>
        <v>231368957.30045837</v>
      </c>
      <c r="EQ281" s="3264"/>
      <c r="EU281" s="3349">
        <f>SUM(EU274:EU280)</f>
        <v>256112939</v>
      </c>
      <c r="EV281" s="3349">
        <f>SUM(EV274:EV280)</f>
        <v>16476242.140085313</v>
      </c>
      <c r="EW281" s="3349">
        <f>SUM(EW274:EW280)</f>
        <v>8267739.5594563298</v>
      </c>
      <c r="EX281" s="3349">
        <f>SUM(EX274:EX280)</f>
        <v>231368957.30045837</v>
      </c>
      <c r="EY281" s="3264"/>
      <c r="FC281" s="3349">
        <f>SUM(FC274:FC280)</f>
        <v>256112939</v>
      </c>
      <c r="FD281" s="3349">
        <f>SUM(FD274:FD280)</f>
        <v>16476242.140085313</v>
      </c>
      <c r="FE281" s="3349">
        <f>SUM(FE274:FE280)</f>
        <v>8267739.5594563298</v>
      </c>
      <c r="FF281" s="3349">
        <f>SUM(FF274:FF280)</f>
        <v>231368957.30045837</v>
      </c>
      <c r="FG281" s="3264"/>
      <c r="FK281" s="3349">
        <f>SUM(FK274:FK280)</f>
        <v>256112939</v>
      </c>
      <c r="FL281" s="3349">
        <f>SUM(FL274:FL280)</f>
        <v>16476242.140085313</v>
      </c>
      <c r="FM281" s="3349">
        <f>SUM(FM274:FM280)</f>
        <v>8267739.5594563298</v>
      </c>
      <c r="FN281" s="3349">
        <f>SUM(FN274:FN280)</f>
        <v>231368957.30045837</v>
      </c>
      <c r="FO281" s="3264"/>
    </row>
    <row r="282" spans="1:171" ht="12" thickBot="1">
      <c r="A282" s="2314"/>
      <c r="B282" s="2365"/>
      <c r="C282" s="2353"/>
      <c r="D282" s="2356"/>
      <c r="E282" s="2098"/>
      <c r="F282" s="2098"/>
      <c r="G282" s="3353"/>
      <c r="H282" s="3353"/>
      <c r="I282" s="3353"/>
      <c r="J282" s="3354"/>
      <c r="K282" s="3205"/>
      <c r="O282" s="2747"/>
      <c r="P282" s="2747"/>
      <c r="Q282" s="2747"/>
      <c r="R282" s="2747"/>
      <c r="S282" s="3264"/>
      <c r="W282" s="2747"/>
      <c r="X282" s="2747"/>
      <c r="Y282" s="2747"/>
      <c r="Z282" s="2747"/>
      <c r="AA282" s="3264"/>
      <c r="AE282" s="2747"/>
      <c r="AF282" s="2747"/>
      <c r="AG282" s="2747"/>
      <c r="AH282" s="2747"/>
      <c r="AI282" s="3264"/>
      <c r="AM282" s="2747"/>
      <c r="AN282" s="2747"/>
      <c r="AO282" s="2747"/>
      <c r="AP282" s="2747"/>
      <c r="AQ282" s="3264"/>
      <c r="AU282" s="2747"/>
      <c r="AV282" s="2747"/>
      <c r="AW282" s="2747"/>
      <c r="AX282" s="2747"/>
      <c r="AY282" s="3264"/>
      <c r="BC282" s="2747"/>
      <c r="BD282" s="2747"/>
      <c r="BE282" s="2747"/>
      <c r="BF282" s="2747"/>
      <c r="BG282" s="3264"/>
      <c r="BK282" s="2747"/>
      <c r="BL282" s="2747"/>
      <c r="BM282" s="2747"/>
      <c r="BN282" s="2747"/>
      <c r="BO282" s="3264"/>
      <c r="BS282" s="2747"/>
      <c r="BT282" s="2747"/>
      <c r="BU282" s="2747"/>
      <c r="BV282" s="2747"/>
      <c r="BW282" s="3264"/>
      <c r="CA282" s="2747"/>
      <c r="CB282" s="2747"/>
      <c r="CC282" s="2747"/>
      <c r="CD282" s="2747"/>
      <c r="CE282" s="3264"/>
      <c r="CI282" s="2747"/>
      <c r="CJ282" s="2747"/>
      <c r="CK282" s="2747"/>
      <c r="CL282" s="2747"/>
      <c r="CM282" s="3264"/>
      <c r="CQ282" s="2747"/>
      <c r="CR282" s="2747"/>
      <c r="CS282" s="2747"/>
      <c r="CT282" s="2747"/>
      <c r="CU282" s="3264"/>
      <c r="CY282" s="2747"/>
      <c r="CZ282" s="2747"/>
      <c r="DA282" s="2747"/>
      <c r="DB282" s="2747"/>
      <c r="DC282" s="3264"/>
      <c r="DG282" s="2747"/>
      <c r="DH282" s="2747"/>
      <c r="DI282" s="2747"/>
      <c r="DJ282" s="2747"/>
      <c r="DK282" s="3264"/>
      <c r="DO282" s="2747"/>
      <c r="DP282" s="2747"/>
      <c r="DQ282" s="2747"/>
      <c r="DR282" s="2747"/>
      <c r="DS282" s="3264"/>
      <c r="DW282" s="2747"/>
      <c r="DX282" s="2747"/>
      <c r="DY282" s="2747"/>
      <c r="DZ282" s="2747"/>
      <c r="EA282" s="3264"/>
      <c r="EE282" s="2747"/>
      <c r="EF282" s="2747"/>
      <c r="EG282" s="2747"/>
      <c r="EH282" s="2747"/>
      <c r="EI282" s="3264"/>
      <c r="EM282" s="2747"/>
      <c r="EN282" s="2747"/>
      <c r="EO282" s="2747"/>
      <c r="EP282" s="2747"/>
      <c r="EQ282" s="3264"/>
      <c r="EU282" s="2747"/>
      <c r="EV282" s="2747"/>
      <c r="EW282" s="2747"/>
      <c r="EX282" s="2747"/>
      <c r="EY282" s="3264"/>
      <c r="FC282" s="2747"/>
      <c r="FD282" s="2747"/>
      <c r="FE282" s="2747"/>
      <c r="FF282" s="2747"/>
      <c r="FG282" s="3264"/>
      <c r="FK282" s="2747"/>
      <c r="FL282" s="2747"/>
      <c r="FM282" s="2747"/>
      <c r="FN282" s="2747"/>
      <c r="FO282" s="3264"/>
    </row>
    <row r="283" spans="1:171" ht="12" thickBot="1">
      <c r="A283" s="2675" t="s">
        <v>570</v>
      </c>
      <c r="B283" s="2290"/>
      <c r="C283" s="3256"/>
      <c r="D283" s="3257"/>
      <c r="E283" s="3257"/>
      <c r="F283" s="3258"/>
      <c r="G283" s="3265">
        <f>SUM(G271,G281)</f>
        <v>448280187</v>
      </c>
      <c r="H283" s="3265">
        <f>SUM(H271,H281)</f>
        <v>20202897.194350448</v>
      </c>
      <c r="I283" s="3265">
        <f>SUM(I271,I281)</f>
        <v>0</v>
      </c>
      <c r="J283" s="3266">
        <f>SUM(J271,J281)</f>
        <v>428077289.79663622</v>
      </c>
      <c r="K283" s="3205"/>
      <c r="O283" s="3349">
        <f>SUM(O271,O281)</f>
        <v>448280187</v>
      </c>
      <c r="P283" s="3349">
        <f>SUM(P271,P281)</f>
        <v>20202897.194350448</v>
      </c>
      <c r="Q283" s="3349">
        <f>SUM(Q271,Q281)</f>
        <v>8862833.1685796566</v>
      </c>
      <c r="R283" s="3349">
        <f>SUM(R271,R281)</f>
        <v>419214456.63706994</v>
      </c>
      <c r="S283" s="3264"/>
      <c r="W283" s="3349">
        <f>SUM(W271,W281)</f>
        <v>448280187</v>
      </c>
      <c r="X283" s="3349">
        <f>SUM(X271,X281)</f>
        <v>20202897.194350448</v>
      </c>
      <c r="Y283" s="3349">
        <f>SUM(Y271,Y281)</f>
        <v>8862833.1685796566</v>
      </c>
      <c r="Z283" s="3349">
        <f>SUM(Z271,Z281)</f>
        <v>419214456.63706994</v>
      </c>
      <c r="AA283" s="3264"/>
      <c r="AE283" s="3349">
        <f>SUM(AE271,AE281)</f>
        <v>448280187</v>
      </c>
      <c r="AF283" s="3349">
        <f>SUM(AF271,AF281)</f>
        <v>20202897.194350448</v>
      </c>
      <c r="AG283" s="3349">
        <f>SUM(AG271,AG281)</f>
        <v>8862833.1685796566</v>
      </c>
      <c r="AH283" s="3349">
        <f>SUM(AH271,AH281)</f>
        <v>419214456.63706994</v>
      </c>
      <c r="AI283" s="3264"/>
      <c r="AM283" s="3349">
        <f>SUM(AM271,AM281)</f>
        <v>448280187</v>
      </c>
      <c r="AN283" s="3349">
        <f>SUM(AN271,AN281)</f>
        <v>20202897.194350448</v>
      </c>
      <c r="AO283" s="3349">
        <f>SUM(AO271,AO281)</f>
        <v>8862833.1685796566</v>
      </c>
      <c r="AP283" s="3349">
        <f>SUM(AP271,AP281)</f>
        <v>419214456.63706994</v>
      </c>
      <c r="AQ283" s="3264"/>
      <c r="AU283" s="3349">
        <f>SUM(AU271,AU281)</f>
        <v>448280187</v>
      </c>
      <c r="AV283" s="3349">
        <f>SUM(AV271,AV281)</f>
        <v>20202897.194350448</v>
      </c>
      <c r="AW283" s="3349">
        <f>SUM(AW271,AW281)</f>
        <v>8862833.1685796566</v>
      </c>
      <c r="AX283" s="3349">
        <f>SUM(AX271,AX281)</f>
        <v>419214456.63706994</v>
      </c>
      <c r="AY283" s="3264"/>
      <c r="BC283" s="3349">
        <f>SUM(BC271,BC281)</f>
        <v>448280187</v>
      </c>
      <c r="BD283" s="3349">
        <f>SUM(BD271,BD281)</f>
        <v>20202897.194350448</v>
      </c>
      <c r="BE283" s="3349">
        <f>SUM(BE271,BE281)</f>
        <v>8862833.1685796566</v>
      </c>
      <c r="BF283" s="3349">
        <f>SUM(BF271,BF281)</f>
        <v>419214456.63706994</v>
      </c>
      <c r="BG283" s="3264"/>
      <c r="BK283" s="3349">
        <f>SUM(BK271,BK281)</f>
        <v>448280187</v>
      </c>
      <c r="BL283" s="3349">
        <f>SUM(BL271,BL281)</f>
        <v>20202897.194350448</v>
      </c>
      <c r="BM283" s="3349">
        <f>SUM(BM271,BM281)</f>
        <v>8862833.1685796566</v>
      </c>
      <c r="BN283" s="3349">
        <f>SUM(BN271,BN281)</f>
        <v>419214456.63706994</v>
      </c>
      <c r="BO283" s="3264"/>
      <c r="BS283" s="3349">
        <f>SUM(BS271,BS281)</f>
        <v>448280187</v>
      </c>
      <c r="BT283" s="3349">
        <f>SUM(BT271,BT281)</f>
        <v>20202897.194350448</v>
      </c>
      <c r="BU283" s="3349">
        <f>SUM(BU271,BU281)</f>
        <v>8862833.1685796566</v>
      </c>
      <c r="BV283" s="3349">
        <f>SUM(BV271,BV281)</f>
        <v>419214456.63706994</v>
      </c>
      <c r="BW283" s="3264"/>
      <c r="CA283" s="3349">
        <f>SUM(CA271,CA281)</f>
        <v>448280187</v>
      </c>
      <c r="CB283" s="3349">
        <f>SUM(CB271,CB281)</f>
        <v>20202897.194350448</v>
      </c>
      <c r="CC283" s="3349">
        <f>SUM(CC271,CC281)</f>
        <v>8862833.1685796566</v>
      </c>
      <c r="CD283" s="3349">
        <f>SUM(CD271,CD281)</f>
        <v>419214456.63706994</v>
      </c>
      <c r="CE283" s="3264"/>
      <c r="CI283" s="3349">
        <f>SUM(CI271,CI281)</f>
        <v>448280187</v>
      </c>
      <c r="CJ283" s="3349">
        <f>SUM(CJ271,CJ281)</f>
        <v>20202897.194350448</v>
      </c>
      <c r="CK283" s="3349">
        <f>SUM(CK271,CK281)</f>
        <v>8862833.1685796566</v>
      </c>
      <c r="CL283" s="3349">
        <f>SUM(CL271,CL281)</f>
        <v>419214456.63706994</v>
      </c>
      <c r="CM283" s="3264"/>
      <c r="CQ283" s="3349">
        <f>SUM(CQ271,CQ281)</f>
        <v>448280187</v>
      </c>
      <c r="CR283" s="3349">
        <f>SUM(CR271,CR281)</f>
        <v>20202897.194350448</v>
      </c>
      <c r="CS283" s="3349">
        <f>SUM(CS271,CS281)</f>
        <v>8862833.1685796566</v>
      </c>
      <c r="CT283" s="3349">
        <f>SUM(CT271,CT281)</f>
        <v>419214456.63706994</v>
      </c>
      <c r="CU283" s="3264"/>
      <c r="CY283" s="3349">
        <f>SUM(CY271,CY281)</f>
        <v>448280187</v>
      </c>
      <c r="CZ283" s="3349">
        <f>SUM(CZ271,CZ281)</f>
        <v>20202897.194350448</v>
      </c>
      <c r="DA283" s="3349">
        <f>SUM(DA271,DA281)</f>
        <v>8862833.1685796566</v>
      </c>
      <c r="DB283" s="3349">
        <f>SUM(DB271,DB281)</f>
        <v>419214456.63706994</v>
      </c>
      <c r="DC283" s="3264"/>
      <c r="DG283" s="3349">
        <f>SUM(DG271,DG281)</f>
        <v>448280187</v>
      </c>
      <c r="DH283" s="3349">
        <f>SUM(DH271,DH281)</f>
        <v>20202897.194350448</v>
      </c>
      <c r="DI283" s="3349">
        <f>SUM(DI271,DI281)</f>
        <v>8862833.1685796566</v>
      </c>
      <c r="DJ283" s="3349">
        <f>SUM(DJ271,DJ281)</f>
        <v>419214456.63706994</v>
      </c>
      <c r="DK283" s="3264"/>
      <c r="DO283" s="3349">
        <f>SUM(DO271,DO281)</f>
        <v>448280187</v>
      </c>
      <c r="DP283" s="3349">
        <f>SUM(DP271,DP281)</f>
        <v>20202897.194350448</v>
      </c>
      <c r="DQ283" s="3349">
        <f>SUM(DQ271,DQ281)</f>
        <v>8862833.1685796566</v>
      </c>
      <c r="DR283" s="3349">
        <f>SUM(DR271,DR281)</f>
        <v>419214456.63706994</v>
      </c>
      <c r="DS283" s="3264"/>
      <c r="DW283" s="3349">
        <f>SUM(DW271,DW281)</f>
        <v>448280187</v>
      </c>
      <c r="DX283" s="3349">
        <f>SUM(DX271,DX281)</f>
        <v>20202897.194350448</v>
      </c>
      <c r="DY283" s="3349">
        <f>SUM(DY271,DY281)</f>
        <v>8862833.1685796566</v>
      </c>
      <c r="DZ283" s="3349">
        <f>SUM(DZ271,DZ281)</f>
        <v>419214456.63706994</v>
      </c>
      <c r="EA283" s="3264"/>
      <c r="EE283" s="3349">
        <f>SUM(EE271,EE281)</f>
        <v>448280187</v>
      </c>
      <c r="EF283" s="3349">
        <f>SUM(EF271,EF281)</f>
        <v>20202897.194350448</v>
      </c>
      <c r="EG283" s="3349">
        <f>SUM(EG271,EG281)</f>
        <v>8862833.1685796566</v>
      </c>
      <c r="EH283" s="3349">
        <f>SUM(EH271,EH281)</f>
        <v>419214456.63706994</v>
      </c>
      <c r="EI283" s="3264"/>
      <c r="EM283" s="3349">
        <f>SUM(EM271,EM281)</f>
        <v>448280187</v>
      </c>
      <c r="EN283" s="3349">
        <f>SUM(EN271,EN281)</f>
        <v>20202897.194350448</v>
      </c>
      <c r="EO283" s="3349">
        <f>SUM(EO271,EO281)</f>
        <v>8862833.1685796566</v>
      </c>
      <c r="EP283" s="3349">
        <f>SUM(EP271,EP281)</f>
        <v>419214456.63706994</v>
      </c>
      <c r="EQ283" s="3264"/>
      <c r="EU283" s="3349">
        <f>SUM(EU271,EU281)</f>
        <v>448280187</v>
      </c>
      <c r="EV283" s="3349">
        <f>SUM(EV271,EV281)</f>
        <v>20202897.194350448</v>
      </c>
      <c r="EW283" s="3349">
        <f>SUM(EW271,EW281)</f>
        <v>8862833.1685796566</v>
      </c>
      <c r="EX283" s="3349">
        <f>SUM(EX271,EX281)</f>
        <v>419214456.63706994</v>
      </c>
      <c r="EY283" s="3264"/>
      <c r="FC283" s="3349">
        <f>SUM(FC271,FC281)</f>
        <v>448280187</v>
      </c>
      <c r="FD283" s="3349">
        <f>SUM(FD271,FD281)</f>
        <v>20202897.194350448</v>
      </c>
      <c r="FE283" s="3349">
        <f>SUM(FE271,FE281)</f>
        <v>8862833.1685796566</v>
      </c>
      <c r="FF283" s="3349">
        <f>SUM(FF271,FF281)</f>
        <v>419214456.63706994</v>
      </c>
      <c r="FG283" s="3264"/>
      <c r="FK283" s="3349">
        <f>SUM(FK271,FK281)</f>
        <v>448280187</v>
      </c>
      <c r="FL283" s="3349">
        <f>SUM(FL271,FL281)</f>
        <v>20202897.194350448</v>
      </c>
      <c r="FM283" s="3349">
        <f>SUM(FM271,FM281)</f>
        <v>8862833.1685796566</v>
      </c>
      <c r="FN283" s="3349">
        <f>SUM(FN271,FN281)</f>
        <v>419214456.63706994</v>
      </c>
      <c r="FO283" s="3264"/>
    </row>
    <row r="284" spans="1:171" ht="12" thickBot="1">
      <c r="A284" s="2316"/>
      <c r="B284" s="2317"/>
      <c r="C284" s="2317"/>
      <c r="D284" s="2317"/>
      <c r="E284" s="2317"/>
      <c r="F284" s="2317"/>
      <c r="G284" s="2317"/>
      <c r="H284" s="2317"/>
      <c r="I284" s="2317"/>
      <c r="J284" s="3355"/>
      <c r="K284" s="3205"/>
      <c r="S284" s="3264"/>
      <c r="AA284" s="3264"/>
      <c r="AI284" s="3264"/>
      <c r="AQ284" s="3264"/>
      <c r="AY284" s="3264"/>
      <c r="BG284" s="3264"/>
      <c r="BO284" s="3264"/>
      <c r="BW284" s="3264"/>
      <c r="CE284" s="3264"/>
      <c r="CM284" s="3264"/>
      <c r="CU284" s="3264"/>
      <c r="DC284" s="3264"/>
      <c r="DK284" s="3264"/>
      <c r="DS284" s="3264"/>
      <c r="EA284" s="3264"/>
      <c r="EI284" s="3264"/>
      <c r="EQ284" s="3264"/>
      <c r="EY284" s="3264"/>
      <c r="FG284" s="3264"/>
      <c r="FO284" s="3264"/>
    </row>
    <row r="285" spans="1:171" ht="12" thickTop="1">
      <c r="A285" s="2714"/>
      <c r="J285" s="2340"/>
      <c r="K285" s="3205"/>
      <c r="S285" s="3264"/>
      <c r="AA285" s="3264"/>
      <c r="AI285" s="3264"/>
      <c r="AQ285" s="3264"/>
      <c r="AY285" s="3264"/>
      <c r="BG285" s="3264"/>
      <c r="BO285" s="3264"/>
      <c r="BW285" s="3264"/>
      <c r="CE285" s="3264"/>
      <c r="CM285" s="3264"/>
      <c r="CU285" s="3264"/>
      <c r="DC285" s="3264"/>
      <c r="DK285" s="3264"/>
      <c r="DS285" s="3264"/>
      <c r="EA285" s="3264"/>
      <c r="EI285" s="3264"/>
      <c r="EQ285" s="3264"/>
      <c r="EY285" s="3264"/>
      <c r="FG285" s="3264"/>
      <c r="FO285" s="3264"/>
    </row>
    <row r="286" spans="1:171" ht="12" thickBot="1">
      <c r="A286" s="2301" t="s">
        <v>618</v>
      </c>
      <c r="B286" s="3347"/>
      <c r="C286" s="3347"/>
      <c r="D286" s="3347"/>
      <c r="E286" s="2325"/>
      <c r="F286" s="2689"/>
      <c r="G286" s="2349"/>
      <c r="H286" s="2349"/>
      <c r="I286" s="2350"/>
      <c r="J286" s="3348"/>
      <c r="K286" s="3205"/>
      <c r="S286" s="3264"/>
      <c r="AA286" s="3264"/>
      <c r="AI286" s="3264"/>
      <c r="AQ286" s="3264"/>
      <c r="AY286" s="3264"/>
      <c r="BG286" s="3264"/>
      <c r="BO286" s="3264"/>
      <c r="BW286" s="3264"/>
      <c r="CE286" s="3264"/>
      <c r="CM286" s="3264"/>
      <c r="CU286" s="3264"/>
      <c r="DC286" s="3264"/>
      <c r="DK286" s="3264"/>
      <c r="DS286" s="3264"/>
      <c r="EA286" s="3264"/>
      <c r="EI286" s="3264"/>
      <c r="EQ286" s="3264"/>
      <c r="EY286" s="3264"/>
      <c r="FG286" s="3264"/>
      <c r="FO286" s="3264"/>
    </row>
    <row r="287" spans="1:171" ht="12.75" thickTop="1" thickBot="1">
      <c r="A287" s="3323"/>
      <c r="B287" s="3809" t="s">
        <v>100</v>
      </c>
      <c r="C287" s="2457" t="s">
        <v>321</v>
      </c>
      <c r="D287" s="2457"/>
      <c r="E287" s="3892" t="s">
        <v>350</v>
      </c>
      <c r="F287" s="3893"/>
      <c r="G287" s="3896" t="s">
        <v>104</v>
      </c>
      <c r="H287" s="3885" t="s">
        <v>105</v>
      </c>
      <c r="I287" s="3888" t="s">
        <v>106</v>
      </c>
      <c r="J287" s="3228"/>
      <c r="K287" s="3205"/>
      <c r="S287" s="3264"/>
      <c r="AA287" s="3264"/>
      <c r="AI287" s="3264"/>
      <c r="AQ287" s="3264"/>
      <c r="AY287" s="3264"/>
      <c r="BG287" s="3264"/>
      <c r="BO287" s="3264"/>
      <c r="BW287" s="3264"/>
      <c r="CE287" s="3264"/>
      <c r="CM287" s="3264"/>
      <c r="CU287" s="3264"/>
      <c r="DC287" s="3264"/>
      <c r="DK287" s="3264"/>
      <c r="DS287" s="3264"/>
      <c r="EA287" s="3264"/>
      <c r="EI287" s="3264"/>
      <c r="EQ287" s="3264"/>
      <c r="EY287" s="3264"/>
      <c r="FG287" s="3264"/>
      <c r="FO287" s="3264"/>
    </row>
    <row r="288" spans="1:171" ht="12" thickBot="1">
      <c r="A288" s="3324"/>
      <c r="B288" s="3905"/>
      <c r="C288" s="2460" t="s">
        <v>270</v>
      </c>
      <c r="D288" s="2460" t="s">
        <v>96</v>
      </c>
      <c r="E288" s="3894"/>
      <c r="F288" s="3895"/>
      <c r="G288" s="3897"/>
      <c r="H288" s="3886"/>
      <c r="I288" s="3889"/>
      <c r="J288" s="2167" t="s">
        <v>98</v>
      </c>
      <c r="K288" s="3205"/>
      <c r="S288" s="3264"/>
      <c r="AA288" s="3264"/>
      <c r="AI288" s="3264"/>
      <c r="AQ288" s="3264"/>
      <c r="AY288" s="3264"/>
      <c r="BG288" s="3264"/>
      <c r="BO288" s="3264"/>
      <c r="BW288" s="3264"/>
      <c r="CE288" s="3264"/>
      <c r="CM288" s="3264"/>
      <c r="CU288" s="3264"/>
      <c r="DC288" s="3264"/>
      <c r="DK288" s="3264"/>
      <c r="DS288" s="3264"/>
      <c r="EA288" s="3264"/>
      <c r="EI288" s="3264"/>
      <c r="EQ288" s="3264"/>
      <c r="EY288" s="3264"/>
      <c r="FG288" s="3264"/>
      <c r="FO288" s="3264"/>
    </row>
    <row r="289" spans="1:171" ht="12" thickBot="1">
      <c r="A289" s="3325"/>
      <c r="B289" s="3906"/>
      <c r="C289" s="2461" t="s">
        <v>271</v>
      </c>
      <c r="D289" s="2461" t="s">
        <v>250</v>
      </c>
      <c r="E289" s="2461" t="s">
        <v>449</v>
      </c>
      <c r="F289" s="2461" t="s">
        <v>609</v>
      </c>
      <c r="G289" s="3898"/>
      <c r="H289" s="3887"/>
      <c r="I289" s="3890"/>
      <c r="J289" s="3231" t="s">
        <v>107</v>
      </c>
      <c r="K289" s="3205"/>
      <c r="S289" s="3264"/>
      <c r="AA289" s="3264"/>
      <c r="AI289" s="3264"/>
      <c r="AQ289" s="3264"/>
      <c r="AY289" s="3264"/>
      <c r="BG289" s="3264"/>
      <c r="BO289" s="3264"/>
      <c r="BW289" s="3264"/>
      <c r="CE289" s="3264"/>
      <c r="CM289" s="3264"/>
      <c r="CU289" s="3264"/>
      <c r="DC289" s="3264"/>
      <c r="DK289" s="3264"/>
      <c r="DS289" s="3264"/>
      <c r="EA289" s="3264"/>
      <c r="EI289" s="3264"/>
      <c r="EQ289" s="3264"/>
      <c r="EY289" s="3264"/>
      <c r="FG289" s="3264"/>
      <c r="FO289" s="3264"/>
    </row>
    <row r="290" spans="1:171" ht="12" thickTop="1">
      <c r="A290" s="2669" t="s">
        <v>41</v>
      </c>
      <c r="B290" s="2097"/>
      <c r="C290" s="2686"/>
      <c r="D290" s="2687"/>
      <c r="E290" s="2116"/>
      <c r="F290" s="2116"/>
      <c r="G290" s="2181"/>
      <c r="H290" s="2181"/>
      <c r="I290" s="2181"/>
      <c r="J290" s="2327"/>
      <c r="K290" s="3205"/>
      <c r="S290" s="3264"/>
      <c r="AA290" s="3264"/>
      <c r="AI290" s="3264"/>
      <c r="AQ290" s="3264"/>
      <c r="AY290" s="3264"/>
      <c r="BG290" s="3264"/>
      <c r="BO290" s="3264"/>
      <c r="BW290" s="3264"/>
      <c r="CE290" s="3264"/>
      <c r="CM290" s="3264"/>
      <c r="CU290" s="3264"/>
      <c r="DC290" s="3264"/>
      <c r="DK290" s="3264"/>
      <c r="DS290" s="3264"/>
      <c r="EA290" s="3264"/>
      <c r="EI290" s="3264"/>
      <c r="EQ290" s="3264"/>
      <c r="EY290" s="3264"/>
      <c r="FG290" s="3264"/>
      <c r="FO290" s="3264"/>
    </row>
    <row r="291" spans="1:171">
      <c r="A291" s="2669"/>
      <c r="B291" s="2097" t="s">
        <v>565</v>
      </c>
      <c r="C291" s="2464">
        <v>114</v>
      </c>
      <c r="D291" s="2171">
        <v>407.3</v>
      </c>
      <c r="E291" s="2424" t="str">
        <f>'Sch 3B - Other Items'!E15</f>
        <v>DIRECT</v>
      </c>
      <c r="F291" s="2171"/>
      <c r="G291" s="2424">
        <f>'Sch 3B - Other Items'!G15</f>
        <v>134166092</v>
      </c>
      <c r="H291" s="2424">
        <f>'Sch 3B - Other Items'!H15</f>
        <v>101178031.47000001</v>
      </c>
      <c r="I291" s="2424">
        <f>'Sch 3B - Other Items'!I15</f>
        <v>0</v>
      </c>
      <c r="J291" s="2425">
        <f>'Sch 3B - Other Items'!J15</f>
        <v>32988060.300000001</v>
      </c>
      <c r="K291" s="3205">
        <f t="shared" ref="K291:K297" si="811">IF($E291="DIRECT",0,1)</f>
        <v>0</v>
      </c>
      <c r="O291" s="3235">
        <f t="shared" ref="O291:O297" si="812">$G291</f>
        <v>134166092</v>
      </c>
      <c r="P291" s="3236">
        <f t="shared" ref="P291:P297" si="813">VLOOKUP($E291,O$442:R$453,2,FALSE)*O291*($K291)+IF($G291&lt;&gt;0,($H291/$G291)*O291,0)*(1-$K291)</f>
        <v>101178031.47000001</v>
      </c>
      <c r="Q291" s="3236">
        <f t="shared" ref="Q291:Q297" si="814">VLOOKUP($E291,O$442:R$453,3,FALSE)*O291*($K291)+IF($G291&lt;&gt;0,($I291/$G291)*O291,0)*(1-$K291)</f>
        <v>0</v>
      </c>
      <c r="R291" s="3236">
        <f t="shared" ref="R291:R297" si="815">VLOOKUP($E291,O$442:R$453,4,FALSE)*O291*($K291)+(O291-P291-Q291)*(1-$K291)</f>
        <v>32988060.529999986</v>
      </c>
      <c r="S291" s="3264"/>
      <c r="W291" s="3235">
        <f t="shared" ref="W291:W297" si="816">$G291</f>
        <v>134166092</v>
      </c>
      <c r="X291" s="3236">
        <f t="shared" ref="X291:X297" si="817">VLOOKUP($E291,W$442:Z$453,2,FALSE)*W291*($K291)+IF($G291&lt;&gt;0,($H291/$G291)*W291,0)*(1-$K291)</f>
        <v>101178031.47000001</v>
      </c>
      <c r="Y291" s="3236">
        <f t="shared" ref="Y291:Y297" si="818">VLOOKUP($E291,W$442:Z$453,3,FALSE)*W291*($K291)+IF($G291&lt;&gt;0,($I291/$G291)*W291,0)*(1-$K291)</f>
        <v>0</v>
      </c>
      <c r="Z291" s="3236">
        <f t="shared" ref="Z291:Z297" si="819">VLOOKUP($E291,W$442:Z$453,4,FALSE)*W291*($K291)+(W291-X291-Y291)*(1-$K291)</f>
        <v>32988060.529999986</v>
      </c>
      <c r="AA291" s="3264"/>
      <c r="AE291" s="3235">
        <f t="shared" ref="AE291:AE297" si="820">$G291</f>
        <v>134166092</v>
      </c>
      <c r="AF291" s="3236">
        <f t="shared" ref="AF291:AF297" si="821">VLOOKUP($E291,AE$442:AH$453,2,FALSE)*AE291*($K291)+IF($G291&lt;&gt;0,($H291/$G291)*AE291,0)*(1-$K291)</f>
        <v>101178031.47000001</v>
      </c>
      <c r="AG291" s="3236">
        <f t="shared" ref="AG291:AG297" si="822">VLOOKUP($E291,AE$442:AH$453,3,FALSE)*AE291*($K291)+IF($G291&lt;&gt;0,($I291/$G291)*AE291,0)*(1-$K291)</f>
        <v>0</v>
      </c>
      <c r="AH291" s="3236">
        <f t="shared" ref="AH291:AH297" si="823">VLOOKUP($E291,AE$442:AH$453,4,FALSE)*AE291*($K291)+(AE291-AF291-AG291)*(1-$K291)</f>
        <v>32988060.529999986</v>
      </c>
      <c r="AI291" s="3264"/>
      <c r="AM291" s="3235">
        <f t="shared" ref="AM291:AM297" si="824">$G291</f>
        <v>134166092</v>
      </c>
      <c r="AN291" s="3236">
        <f t="shared" ref="AN291:AN297" si="825">VLOOKUP($E291,AM$442:AP$453,2,FALSE)*AM291*($K291)+IF($G291&lt;&gt;0,($H291/$G291)*AM291,0)*(1-$K291)</f>
        <v>101178031.47000001</v>
      </c>
      <c r="AO291" s="3236">
        <f t="shared" ref="AO291:AO297" si="826">VLOOKUP($E291,AM$442:AP$453,3,FALSE)*AM291*($K291)+IF($G291&lt;&gt;0,($I291/$G291)*AM291,0)*(1-$K291)</f>
        <v>0</v>
      </c>
      <c r="AP291" s="3236">
        <f t="shared" ref="AP291:AP297" si="827">VLOOKUP($E291,AM$442:AP$453,4,FALSE)*AM291*($K291)+(AM291-AN291-AO291)*(1-$K291)</f>
        <v>32988060.529999986</v>
      </c>
      <c r="AQ291" s="3264"/>
      <c r="AU291" s="3235">
        <f t="shared" ref="AU291:AU297" si="828">$G291</f>
        <v>134166092</v>
      </c>
      <c r="AV291" s="3236">
        <f t="shared" ref="AV291:AV297" si="829">VLOOKUP($E291,AU$442:AX$453,2,FALSE)*AU291*($K291)+IF($G291&lt;&gt;0,($H291/$G291)*AU291,0)*(1-$K291)</f>
        <v>101178031.47000001</v>
      </c>
      <c r="AW291" s="3236">
        <f t="shared" ref="AW291:AW297" si="830">VLOOKUP($E291,AU$442:AX$453,3,FALSE)*AU291*($K291)+IF($G291&lt;&gt;0,($I291/$G291)*AU291,0)*(1-$K291)</f>
        <v>0</v>
      </c>
      <c r="AX291" s="3236">
        <f t="shared" ref="AX291:AX297" si="831">VLOOKUP($E291,AU$442:AX$453,4,FALSE)*AU291*($K291)+(AU291-AV291-AW291)*(1-$K291)</f>
        <v>32988060.529999986</v>
      </c>
      <c r="AY291" s="3264"/>
      <c r="BC291" s="3235">
        <f t="shared" ref="BC291:BC297" si="832">$G291</f>
        <v>134166092</v>
      </c>
      <c r="BD291" s="3236">
        <f t="shared" ref="BD291:BD297" si="833">VLOOKUP($E291,BC$442:BF$453,2,FALSE)*BC291*($K291)+IF($G291&lt;&gt;0,($H291/$G291)*BC291,0)*(1-$K291)</f>
        <v>101178031.47000001</v>
      </c>
      <c r="BE291" s="3236">
        <f t="shared" ref="BE291:BE297" si="834">VLOOKUP($E291,BC$442:BF$453,3,FALSE)*BC291*($K291)+IF($G291&lt;&gt;0,($I291/$G291)*BC291,0)*(1-$K291)</f>
        <v>0</v>
      </c>
      <c r="BF291" s="3236">
        <f t="shared" ref="BF291:BF297" si="835">VLOOKUP($E291,BC$442:BF$453,4,FALSE)*BC291*($K291)+(BC291-BD291-BE291)*(1-$K291)</f>
        <v>32988060.529999986</v>
      </c>
      <c r="BG291" s="3264"/>
      <c r="BK291" s="3235">
        <f t="shared" ref="BK291:BK297" si="836">$G291</f>
        <v>134166092</v>
      </c>
      <c r="BL291" s="3236">
        <f t="shared" ref="BL291:BL297" si="837">VLOOKUP($E291,BK$442:BN$453,2,FALSE)*BK291*($K291)+IF($G291&lt;&gt;0,($H291/$G291)*BK291,0)*(1-$K291)</f>
        <v>101178031.47000001</v>
      </c>
      <c r="BM291" s="3236">
        <f t="shared" ref="BM291:BM297" si="838">VLOOKUP($E291,BK$442:BN$453,3,FALSE)*BK291*($K291)+IF($G291&lt;&gt;0,($I291/$G291)*BK291,0)*(1-$K291)</f>
        <v>0</v>
      </c>
      <c r="BN291" s="3236">
        <f t="shared" ref="BN291:BN297" si="839">VLOOKUP($E291,BK$442:BN$453,4,FALSE)*BK291*($K291)+(BK291-BL291-BM291)*(1-$K291)</f>
        <v>32988060.529999986</v>
      </c>
      <c r="BO291" s="3264"/>
      <c r="BS291" s="3235">
        <f t="shared" ref="BS291:BS297" si="840">$G291</f>
        <v>134166092</v>
      </c>
      <c r="BT291" s="3236">
        <f t="shared" ref="BT291:BT297" si="841">VLOOKUP($E291,BS$442:BV$453,2,FALSE)*BS291*($K291)+IF($G291&lt;&gt;0,($H291/$G291)*BS291,0)*(1-$K291)</f>
        <v>101178031.47000001</v>
      </c>
      <c r="BU291" s="3236">
        <f t="shared" ref="BU291:BU297" si="842">VLOOKUP($E291,BS$442:BV$453,3,FALSE)*BS291*($K291)+IF($G291&lt;&gt;0,($I291/$G291)*BS291,0)*(1-$K291)</f>
        <v>0</v>
      </c>
      <c r="BV291" s="3236">
        <f t="shared" ref="BV291:BV297" si="843">VLOOKUP($E291,BS$442:BV$453,4,FALSE)*BS291*($K291)+(BS291-BT291-BU291)*(1-$K291)</f>
        <v>32988060.529999986</v>
      </c>
      <c r="BW291" s="3264"/>
      <c r="CA291" s="3235">
        <f t="shared" ref="CA291:CA297" si="844">$G291</f>
        <v>134166092</v>
      </c>
      <c r="CB291" s="3236">
        <f t="shared" ref="CB291:CB297" si="845">VLOOKUP($E291,CA$442:CD$453,2,FALSE)*CA291*($K291)+IF($G291&lt;&gt;0,($H291/$G291)*CA291,0)*(1-$K291)</f>
        <v>101178031.47000001</v>
      </c>
      <c r="CC291" s="3236">
        <f t="shared" ref="CC291:CC297" si="846">VLOOKUP($E291,CA$442:CD$453,3,FALSE)*CA291*($K291)+IF($G291&lt;&gt;0,($I291/$G291)*CA291,0)*(1-$K291)</f>
        <v>0</v>
      </c>
      <c r="CD291" s="3236">
        <f t="shared" ref="CD291:CD297" si="847">VLOOKUP($E291,CA$442:CD$453,4,FALSE)*CA291*($K291)+(CA291-CB291-CC291)*(1-$K291)</f>
        <v>32988060.529999986</v>
      </c>
      <c r="CE291" s="3264"/>
      <c r="CI291" s="3235">
        <f t="shared" ref="CI291:CI297" si="848">$G291</f>
        <v>134166092</v>
      </c>
      <c r="CJ291" s="3236">
        <f t="shared" ref="CJ291:CJ297" si="849">VLOOKUP($E291,CI$442:CL$453,2,FALSE)*CI291*($K291)+IF($G291&lt;&gt;0,($H291/$G291)*CI291,0)*(1-$K291)</f>
        <v>101178031.47000001</v>
      </c>
      <c r="CK291" s="3236">
        <f t="shared" ref="CK291:CK297" si="850">VLOOKUP($E291,CI$442:CL$453,3,FALSE)*CI291*($K291)+IF($G291&lt;&gt;0,($I291/$G291)*CI291,0)*(1-$K291)</f>
        <v>0</v>
      </c>
      <c r="CL291" s="3236">
        <f t="shared" ref="CL291:CL297" si="851">VLOOKUP($E291,CI$442:CL$453,4,FALSE)*CI291*($K291)+(CI291-CJ291-CK291)*(1-$K291)</f>
        <v>32988060.529999986</v>
      </c>
      <c r="CM291" s="3264"/>
      <c r="CQ291" s="3235">
        <f t="shared" ref="CQ291:CQ297" si="852">$G291</f>
        <v>134166092</v>
      </c>
      <c r="CR291" s="3236">
        <f t="shared" ref="CR291:CR297" si="853">VLOOKUP($E291,CQ$442:CT$453,2,FALSE)*CQ291*($K291)+IF($G291&lt;&gt;0,($H291/$G291)*CQ291,0)*(1-$K291)</f>
        <v>101178031.47000001</v>
      </c>
      <c r="CS291" s="3236">
        <f t="shared" ref="CS291:CS297" si="854">VLOOKUP($E291,CQ$442:CT$453,3,FALSE)*CQ291*($K291)+IF($G291&lt;&gt;0,($I291/$G291)*CQ291,0)*(1-$K291)</f>
        <v>0</v>
      </c>
      <c r="CT291" s="3236">
        <f t="shared" ref="CT291:CT297" si="855">VLOOKUP($E291,CQ$442:CT$453,4,FALSE)*CQ291*($K291)+(CQ291-CR291-CS291)*(1-$K291)</f>
        <v>32988060.529999986</v>
      </c>
      <c r="CU291" s="3264"/>
      <c r="CY291" s="3235">
        <f t="shared" ref="CY291:CY297" si="856">$G291</f>
        <v>134166092</v>
      </c>
      <c r="CZ291" s="3236">
        <f t="shared" ref="CZ291:CZ297" si="857">VLOOKUP($E291,CY$442:DB$453,2,FALSE)*CY291*($K291)+IF($G291&lt;&gt;0,($H291/$G291)*CY291,0)*(1-$K291)</f>
        <v>101178031.47000001</v>
      </c>
      <c r="DA291" s="3236">
        <f t="shared" ref="DA291:DA297" si="858">VLOOKUP($E291,CY$442:DB$453,3,FALSE)*CY291*($K291)+IF($G291&lt;&gt;0,($I291/$G291)*CY291,0)*(1-$K291)</f>
        <v>0</v>
      </c>
      <c r="DB291" s="3236">
        <f t="shared" ref="DB291:DB297" si="859">VLOOKUP($E291,CY$442:DB$453,4,FALSE)*CY291*($K291)+(CY291-CZ291-DA291)*(1-$K291)</f>
        <v>32988060.529999986</v>
      </c>
      <c r="DC291" s="3264"/>
      <c r="DG291" s="3235">
        <f t="shared" ref="DG291:DG297" si="860">$G291</f>
        <v>134166092</v>
      </c>
      <c r="DH291" s="3236">
        <f t="shared" ref="DH291:DH297" si="861">VLOOKUP($E291,DG$442:DJ$453,2,FALSE)*DG291*($K291)+IF($G291&lt;&gt;0,($H291/$G291)*DG291,0)*(1-$K291)</f>
        <v>101178031.47000001</v>
      </c>
      <c r="DI291" s="3236">
        <f t="shared" ref="DI291:DI297" si="862">VLOOKUP($E291,DG$442:DJ$453,3,FALSE)*DG291*($K291)+IF($G291&lt;&gt;0,($I291/$G291)*DG291,0)*(1-$K291)</f>
        <v>0</v>
      </c>
      <c r="DJ291" s="3236">
        <f t="shared" ref="DJ291:DJ297" si="863">VLOOKUP($E291,DG$442:DJ$453,4,FALSE)*DG291*($K291)+(DG291-DH291-DI291)*(1-$K291)</f>
        <v>32988060.529999986</v>
      </c>
      <c r="DK291" s="3264"/>
      <c r="DO291" s="3235">
        <f t="shared" ref="DO291:DO297" si="864">$G291</f>
        <v>134166092</v>
      </c>
      <c r="DP291" s="3236">
        <f t="shared" ref="DP291:DP297" si="865">VLOOKUP($E291,DO$442:DR$453,2,FALSE)*DO291*($K291)+IF($G291&lt;&gt;0,($H291/$G291)*DO291,0)*(1-$K291)</f>
        <v>101178031.47000001</v>
      </c>
      <c r="DQ291" s="3236">
        <f t="shared" ref="DQ291:DQ297" si="866">VLOOKUP($E291,DO$442:DR$453,3,FALSE)*DO291*($K291)+IF($G291&lt;&gt;0,($I291/$G291)*DO291,0)*(1-$K291)</f>
        <v>0</v>
      </c>
      <c r="DR291" s="3236">
        <f t="shared" ref="DR291:DR297" si="867">VLOOKUP($E291,DO$442:DR$453,4,FALSE)*DO291*($K291)+(DO291-DP291-DQ291)*(1-$K291)</f>
        <v>32988060.529999986</v>
      </c>
      <c r="DS291" s="3264"/>
      <c r="DW291" s="3235">
        <f t="shared" ref="DW291:DW297" si="868">$G291</f>
        <v>134166092</v>
      </c>
      <c r="DX291" s="3236">
        <f t="shared" ref="DX291:DX297" si="869">VLOOKUP($E291,DW$442:DZ$453,2,FALSE)*DW291*($K291)+IF($G291&lt;&gt;0,($H291/$G291)*DW291,0)*(1-$K291)</f>
        <v>101178031.47000001</v>
      </c>
      <c r="DY291" s="3236">
        <f t="shared" ref="DY291:DY297" si="870">VLOOKUP($E291,DW$442:DZ$453,3,FALSE)*DW291*($K291)+IF($G291&lt;&gt;0,($I291/$G291)*DW291,0)*(1-$K291)</f>
        <v>0</v>
      </c>
      <c r="DZ291" s="3236">
        <f t="shared" ref="DZ291:DZ297" si="871">VLOOKUP($E291,DW$442:DZ$453,4,FALSE)*DW291*($K291)+(DW291-DX291-DY291)*(1-$K291)</f>
        <v>32988060.529999986</v>
      </c>
      <c r="EA291" s="3264"/>
      <c r="EE291" s="3235">
        <f t="shared" ref="EE291:EE297" si="872">$G291</f>
        <v>134166092</v>
      </c>
      <c r="EF291" s="3236">
        <f t="shared" ref="EF291:EF297" si="873">VLOOKUP($E291,EE$442:EH$453,2,FALSE)*EE291*($K291)+IF($G291&lt;&gt;0,($H291/$G291)*EE291,0)*(1-$K291)</f>
        <v>101178031.47000001</v>
      </c>
      <c r="EG291" s="3236">
        <f t="shared" ref="EG291:EG297" si="874">VLOOKUP($E291,EE$442:EH$453,3,FALSE)*EE291*($K291)+IF($G291&lt;&gt;0,($I291/$G291)*EE291,0)*(1-$K291)</f>
        <v>0</v>
      </c>
      <c r="EH291" s="3236">
        <f t="shared" ref="EH291:EH297" si="875">VLOOKUP($E291,EE$442:EH$453,4,FALSE)*EE291*($K291)+(EE291-EF291-EG291)*(1-$K291)</f>
        <v>32988060.529999986</v>
      </c>
      <c r="EI291" s="3264"/>
      <c r="EM291" s="3235">
        <f t="shared" ref="EM291:EM297" si="876">$G291</f>
        <v>134166092</v>
      </c>
      <c r="EN291" s="3236">
        <f t="shared" ref="EN291:EN297" si="877">VLOOKUP($E291,EM$442:EP$453,2,FALSE)*EM291*($K291)+IF($G291&lt;&gt;0,($H291/$G291)*EM291,0)*(1-$K291)</f>
        <v>101178031.47000001</v>
      </c>
      <c r="EO291" s="3236">
        <f t="shared" ref="EO291:EO297" si="878">VLOOKUP($E291,EM$442:EP$453,3,FALSE)*EM291*($K291)+IF($G291&lt;&gt;0,($I291/$G291)*EM291,0)*(1-$K291)</f>
        <v>0</v>
      </c>
      <c r="EP291" s="3236">
        <f t="shared" ref="EP291:EP297" si="879">VLOOKUP($E291,EM$442:EP$453,4,FALSE)*EM291*($K291)+(EM291-EN291-EO291)*(1-$K291)</f>
        <v>32988060.529999986</v>
      </c>
      <c r="EQ291" s="3264"/>
      <c r="EU291" s="3235">
        <f t="shared" ref="EU291:EU297" si="880">$G291</f>
        <v>134166092</v>
      </c>
      <c r="EV291" s="3236">
        <f t="shared" ref="EV291:EV297" si="881">VLOOKUP($E291,EU$442:EX$453,2,FALSE)*EU291*($K291)+IF($G291&lt;&gt;0,($H291/$G291)*EU291,0)*(1-$K291)</f>
        <v>101178031.47000001</v>
      </c>
      <c r="EW291" s="3236">
        <f t="shared" ref="EW291:EW297" si="882">VLOOKUP($E291,EU$442:EX$453,3,FALSE)*EU291*($K291)+IF($G291&lt;&gt;0,($I291/$G291)*EU291,0)*(1-$K291)</f>
        <v>0</v>
      </c>
      <c r="EX291" s="3236">
        <f t="shared" ref="EX291:EX297" si="883">VLOOKUP($E291,EU$442:EX$453,4,FALSE)*EU291*($K291)+(EU291-EV291-EW291)*(1-$K291)</f>
        <v>32988060.529999986</v>
      </c>
      <c r="EY291" s="3264"/>
      <c r="FC291" s="3235">
        <f t="shared" ref="FC291:FC297" si="884">$G291</f>
        <v>134166092</v>
      </c>
      <c r="FD291" s="3236">
        <f t="shared" ref="FD291:FD297" si="885">VLOOKUP($E291,FC$442:FF$453,2,FALSE)*FC291*($K291)+IF($G291&lt;&gt;0,($H291/$G291)*FC291,0)*(1-$K291)</f>
        <v>101178031.47000001</v>
      </c>
      <c r="FE291" s="3236">
        <f t="shared" ref="FE291:FE297" si="886">VLOOKUP($E291,FC$442:FF$453,3,FALSE)*FC291*($K291)+IF($G291&lt;&gt;0,($I291/$G291)*FC291,0)*(1-$K291)</f>
        <v>0</v>
      </c>
      <c r="FF291" s="3236">
        <f t="shared" ref="FF291:FF297" si="887">VLOOKUP($E291,FC$442:FF$453,4,FALSE)*FC291*($K291)+(FC291-FD291-FE291)*(1-$K291)</f>
        <v>32988060.529999986</v>
      </c>
      <c r="FG291" s="3264"/>
      <c r="FK291" s="3235">
        <f t="shared" ref="FK291:FK297" si="888">$G291</f>
        <v>134166092</v>
      </c>
      <c r="FL291" s="3236">
        <f t="shared" ref="FL291:FL297" si="889">VLOOKUP($E291,FK$442:FN$453,2,FALSE)*FK291*($K291)+IF($G291&lt;&gt;0,($H291/$G291)*FK291,0)*(1-$K291)</f>
        <v>101178031.47000001</v>
      </c>
      <c r="FM291" s="3236">
        <f t="shared" ref="FM291:FM297" si="890">VLOOKUP($E291,FK$442:FN$453,3,FALSE)*FK291*($K291)+IF($G291&lt;&gt;0,($I291/$G291)*FK291,0)*(1-$K291)</f>
        <v>0</v>
      </c>
      <c r="FN291" s="3236">
        <f t="shared" ref="FN291:FN297" si="891">VLOOKUP($E291,FK$442:FN$453,4,FALSE)*FK291*($K291)+(FK291-FL291-FM291)*(1-$K291)</f>
        <v>32988060.529999986</v>
      </c>
      <c r="FO291" s="3264"/>
    </row>
    <row r="292" spans="1:171">
      <c r="A292" s="2669"/>
      <c r="B292" s="2693" t="s">
        <v>619</v>
      </c>
      <c r="C292" s="2464">
        <v>114</v>
      </c>
      <c r="D292" s="2171">
        <v>407.4</v>
      </c>
      <c r="E292" s="2424" t="str">
        <f>'Sch 3B - Other Items'!E16</f>
        <v>DIRECT</v>
      </c>
      <c r="F292" s="2171"/>
      <c r="G292" s="2424">
        <f>'Sch 3B - Other Items'!G16</f>
        <v>66572207</v>
      </c>
      <c r="H292" s="2424">
        <f>'Sch 3B - Other Items'!H16</f>
        <v>35561739.260000005</v>
      </c>
      <c r="I292" s="2424">
        <f>'Sch 3B - Other Items'!I16</f>
        <v>0</v>
      </c>
      <c r="J292" s="2425">
        <f>'Sch 3B - Other Items'!J16</f>
        <v>31010467.999999996</v>
      </c>
      <c r="K292" s="3205">
        <f t="shared" si="811"/>
        <v>0</v>
      </c>
      <c r="O292" s="3235">
        <f t="shared" si="812"/>
        <v>66572207</v>
      </c>
      <c r="P292" s="3236">
        <f t="shared" si="813"/>
        <v>35561739.260000005</v>
      </c>
      <c r="Q292" s="3236">
        <f t="shared" si="814"/>
        <v>0</v>
      </c>
      <c r="R292" s="3236">
        <f t="shared" si="815"/>
        <v>31010467.739999995</v>
      </c>
      <c r="S292" s="3264"/>
      <c r="W292" s="3235">
        <f t="shared" si="816"/>
        <v>66572207</v>
      </c>
      <c r="X292" s="3236">
        <f t="shared" si="817"/>
        <v>35561739.260000005</v>
      </c>
      <c r="Y292" s="3236">
        <f t="shared" si="818"/>
        <v>0</v>
      </c>
      <c r="Z292" s="3236">
        <f t="shared" si="819"/>
        <v>31010467.739999995</v>
      </c>
      <c r="AA292" s="3264"/>
      <c r="AE292" s="3235">
        <f t="shared" si="820"/>
        <v>66572207</v>
      </c>
      <c r="AF292" s="3236">
        <f t="shared" si="821"/>
        <v>35561739.260000005</v>
      </c>
      <c r="AG292" s="3236">
        <f t="shared" si="822"/>
        <v>0</v>
      </c>
      <c r="AH292" s="3236">
        <f t="shared" si="823"/>
        <v>31010467.739999995</v>
      </c>
      <c r="AI292" s="3264"/>
      <c r="AM292" s="3235">
        <f t="shared" si="824"/>
        <v>66572207</v>
      </c>
      <c r="AN292" s="3236">
        <f t="shared" si="825"/>
        <v>35561739.260000005</v>
      </c>
      <c r="AO292" s="3236">
        <f t="shared" si="826"/>
        <v>0</v>
      </c>
      <c r="AP292" s="3236">
        <f t="shared" si="827"/>
        <v>31010467.739999995</v>
      </c>
      <c r="AQ292" s="3264"/>
      <c r="AU292" s="3235">
        <f t="shared" si="828"/>
        <v>66572207</v>
      </c>
      <c r="AV292" s="3236">
        <f t="shared" si="829"/>
        <v>35561739.260000005</v>
      </c>
      <c r="AW292" s="3236">
        <f t="shared" si="830"/>
        <v>0</v>
      </c>
      <c r="AX292" s="3236">
        <f t="shared" si="831"/>
        <v>31010467.739999995</v>
      </c>
      <c r="AY292" s="3264"/>
      <c r="BC292" s="3235">
        <f t="shared" si="832"/>
        <v>66572207</v>
      </c>
      <c r="BD292" s="3236">
        <f t="shared" si="833"/>
        <v>35561739.260000005</v>
      </c>
      <c r="BE292" s="3236">
        <f t="shared" si="834"/>
        <v>0</v>
      </c>
      <c r="BF292" s="3236">
        <f t="shared" si="835"/>
        <v>31010467.739999995</v>
      </c>
      <c r="BG292" s="3264"/>
      <c r="BK292" s="3235">
        <f t="shared" si="836"/>
        <v>66572207</v>
      </c>
      <c r="BL292" s="3236">
        <f t="shared" si="837"/>
        <v>35561739.260000005</v>
      </c>
      <c r="BM292" s="3236">
        <f t="shared" si="838"/>
        <v>0</v>
      </c>
      <c r="BN292" s="3236">
        <f t="shared" si="839"/>
        <v>31010467.739999995</v>
      </c>
      <c r="BO292" s="3264"/>
      <c r="BS292" s="3235">
        <f t="shared" si="840"/>
        <v>66572207</v>
      </c>
      <c r="BT292" s="3236">
        <f t="shared" si="841"/>
        <v>35561739.260000005</v>
      </c>
      <c r="BU292" s="3236">
        <f t="shared" si="842"/>
        <v>0</v>
      </c>
      <c r="BV292" s="3236">
        <f t="shared" si="843"/>
        <v>31010467.739999995</v>
      </c>
      <c r="BW292" s="3264"/>
      <c r="CA292" s="3235">
        <f t="shared" si="844"/>
        <v>66572207</v>
      </c>
      <c r="CB292" s="3236">
        <f t="shared" si="845"/>
        <v>35561739.260000005</v>
      </c>
      <c r="CC292" s="3236">
        <f t="shared" si="846"/>
        <v>0</v>
      </c>
      <c r="CD292" s="3236">
        <f t="shared" si="847"/>
        <v>31010467.739999995</v>
      </c>
      <c r="CE292" s="3264"/>
      <c r="CI292" s="3235">
        <f t="shared" si="848"/>
        <v>66572207</v>
      </c>
      <c r="CJ292" s="3236">
        <f t="shared" si="849"/>
        <v>35561739.260000005</v>
      </c>
      <c r="CK292" s="3236">
        <f t="shared" si="850"/>
        <v>0</v>
      </c>
      <c r="CL292" s="3236">
        <f t="shared" si="851"/>
        <v>31010467.739999995</v>
      </c>
      <c r="CM292" s="3264"/>
      <c r="CQ292" s="3235">
        <f t="shared" si="852"/>
        <v>66572207</v>
      </c>
      <c r="CR292" s="3236">
        <f t="shared" si="853"/>
        <v>35561739.260000005</v>
      </c>
      <c r="CS292" s="3236">
        <f t="shared" si="854"/>
        <v>0</v>
      </c>
      <c r="CT292" s="3236">
        <f t="shared" si="855"/>
        <v>31010467.739999995</v>
      </c>
      <c r="CU292" s="3264"/>
      <c r="CY292" s="3235">
        <f t="shared" si="856"/>
        <v>66572207</v>
      </c>
      <c r="CZ292" s="3236">
        <f t="shared" si="857"/>
        <v>35561739.260000005</v>
      </c>
      <c r="DA292" s="3236">
        <f t="shared" si="858"/>
        <v>0</v>
      </c>
      <c r="DB292" s="3236">
        <f t="shared" si="859"/>
        <v>31010467.739999995</v>
      </c>
      <c r="DC292" s="3264"/>
      <c r="DG292" s="3235">
        <f t="shared" si="860"/>
        <v>66572207</v>
      </c>
      <c r="DH292" s="3236">
        <f t="shared" si="861"/>
        <v>35561739.260000005</v>
      </c>
      <c r="DI292" s="3236">
        <f t="shared" si="862"/>
        <v>0</v>
      </c>
      <c r="DJ292" s="3236">
        <f t="shared" si="863"/>
        <v>31010467.739999995</v>
      </c>
      <c r="DK292" s="3264"/>
      <c r="DO292" s="3235">
        <f t="shared" si="864"/>
        <v>66572207</v>
      </c>
      <c r="DP292" s="3236">
        <f t="shared" si="865"/>
        <v>35561739.260000005</v>
      </c>
      <c r="DQ292" s="3236">
        <f t="shared" si="866"/>
        <v>0</v>
      </c>
      <c r="DR292" s="3236">
        <f t="shared" si="867"/>
        <v>31010467.739999995</v>
      </c>
      <c r="DS292" s="3264"/>
      <c r="DW292" s="3235">
        <f t="shared" si="868"/>
        <v>66572207</v>
      </c>
      <c r="DX292" s="3236">
        <f t="shared" si="869"/>
        <v>35561739.260000005</v>
      </c>
      <c r="DY292" s="3236">
        <f t="shared" si="870"/>
        <v>0</v>
      </c>
      <c r="DZ292" s="3236">
        <f t="shared" si="871"/>
        <v>31010467.739999995</v>
      </c>
      <c r="EA292" s="3264"/>
      <c r="EE292" s="3235">
        <f t="shared" si="872"/>
        <v>66572207</v>
      </c>
      <c r="EF292" s="3236">
        <f t="shared" si="873"/>
        <v>35561739.260000005</v>
      </c>
      <c r="EG292" s="3236">
        <f t="shared" si="874"/>
        <v>0</v>
      </c>
      <c r="EH292" s="3236">
        <f t="shared" si="875"/>
        <v>31010467.739999995</v>
      </c>
      <c r="EI292" s="3264"/>
      <c r="EM292" s="3235">
        <f t="shared" si="876"/>
        <v>66572207</v>
      </c>
      <c r="EN292" s="3236">
        <f t="shared" si="877"/>
        <v>35561739.260000005</v>
      </c>
      <c r="EO292" s="3236">
        <f t="shared" si="878"/>
        <v>0</v>
      </c>
      <c r="EP292" s="3236">
        <f t="shared" si="879"/>
        <v>31010467.739999995</v>
      </c>
      <c r="EQ292" s="3264"/>
      <c r="EU292" s="3235">
        <f t="shared" si="880"/>
        <v>66572207</v>
      </c>
      <c r="EV292" s="3236">
        <f t="shared" si="881"/>
        <v>35561739.260000005</v>
      </c>
      <c r="EW292" s="3236">
        <f t="shared" si="882"/>
        <v>0</v>
      </c>
      <c r="EX292" s="3236">
        <f t="shared" si="883"/>
        <v>31010467.739999995</v>
      </c>
      <c r="EY292" s="3264"/>
      <c r="FC292" s="3235">
        <f t="shared" si="884"/>
        <v>66572207</v>
      </c>
      <c r="FD292" s="3236">
        <f t="shared" si="885"/>
        <v>35561739.260000005</v>
      </c>
      <c r="FE292" s="3236">
        <f t="shared" si="886"/>
        <v>0</v>
      </c>
      <c r="FF292" s="3236">
        <f t="shared" si="887"/>
        <v>31010467.739999995</v>
      </c>
      <c r="FG292" s="3264"/>
      <c r="FK292" s="3235">
        <f t="shared" si="888"/>
        <v>66572207</v>
      </c>
      <c r="FL292" s="3236">
        <f t="shared" si="889"/>
        <v>35561739.260000005</v>
      </c>
      <c r="FM292" s="3236">
        <f t="shared" si="890"/>
        <v>0</v>
      </c>
      <c r="FN292" s="3236">
        <f t="shared" si="891"/>
        <v>31010467.739999995</v>
      </c>
      <c r="FO292" s="3264"/>
    </row>
    <row r="293" spans="1:171">
      <c r="A293" s="2442"/>
      <c r="B293" s="2185" t="s">
        <v>388</v>
      </c>
      <c r="C293" s="2464">
        <v>114</v>
      </c>
      <c r="D293" s="2171">
        <v>411.6</v>
      </c>
      <c r="E293" s="2424" t="str">
        <f>'Sch 3B - Other Items'!E17</f>
        <v>DIRECT</v>
      </c>
      <c r="F293" s="2171"/>
      <c r="G293" s="2424">
        <f>'Sch 3B - Other Items'!G17</f>
        <v>611696</v>
      </c>
      <c r="H293" s="2424">
        <f>'Sch 3B - Other Items'!H17</f>
        <v>213537.98767209105</v>
      </c>
      <c r="I293" s="2424">
        <f>'Sch 3B - Other Items'!I17</f>
        <v>0</v>
      </c>
      <c r="J293" s="2425">
        <f>'Sch 3B - Other Items'!J17</f>
        <v>398158.40232790902</v>
      </c>
      <c r="K293" s="3205">
        <f t="shared" si="811"/>
        <v>0</v>
      </c>
      <c r="O293" s="3235">
        <f t="shared" si="812"/>
        <v>611696</v>
      </c>
      <c r="P293" s="3236">
        <f t="shared" si="813"/>
        <v>213537.98767209105</v>
      </c>
      <c r="Q293" s="3236">
        <f t="shared" si="814"/>
        <v>0</v>
      </c>
      <c r="R293" s="3236">
        <f t="shared" si="815"/>
        <v>398158.01232790895</v>
      </c>
      <c r="S293" s="3264"/>
      <c r="W293" s="3235">
        <f t="shared" si="816"/>
        <v>611696</v>
      </c>
      <c r="X293" s="3236">
        <f t="shared" si="817"/>
        <v>213537.98767209105</v>
      </c>
      <c r="Y293" s="3236">
        <f t="shared" si="818"/>
        <v>0</v>
      </c>
      <c r="Z293" s="3236">
        <f t="shared" si="819"/>
        <v>398158.01232790895</v>
      </c>
      <c r="AA293" s="3264"/>
      <c r="AE293" s="3235">
        <f t="shared" si="820"/>
        <v>611696</v>
      </c>
      <c r="AF293" s="3236">
        <f t="shared" si="821"/>
        <v>213537.98767209105</v>
      </c>
      <c r="AG293" s="3236">
        <f t="shared" si="822"/>
        <v>0</v>
      </c>
      <c r="AH293" s="3236">
        <f t="shared" si="823"/>
        <v>398158.01232790895</v>
      </c>
      <c r="AI293" s="3264"/>
      <c r="AM293" s="3235">
        <f t="shared" si="824"/>
        <v>611696</v>
      </c>
      <c r="AN293" s="3236">
        <f t="shared" si="825"/>
        <v>213537.98767209105</v>
      </c>
      <c r="AO293" s="3236">
        <f t="shared" si="826"/>
        <v>0</v>
      </c>
      <c r="AP293" s="3236">
        <f t="shared" si="827"/>
        <v>398158.01232790895</v>
      </c>
      <c r="AQ293" s="3264"/>
      <c r="AU293" s="3235">
        <f t="shared" si="828"/>
        <v>611696</v>
      </c>
      <c r="AV293" s="3236">
        <f t="shared" si="829"/>
        <v>213537.98767209105</v>
      </c>
      <c r="AW293" s="3236">
        <f t="shared" si="830"/>
        <v>0</v>
      </c>
      <c r="AX293" s="3236">
        <f t="shared" si="831"/>
        <v>398158.01232790895</v>
      </c>
      <c r="AY293" s="3264"/>
      <c r="BC293" s="3235">
        <f t="shared" si="832"/>
        <v>611696</v>
      </c>
      <c r="BD293" s="3236">
        <f t="shared" si="833"/>
        <v>213537.98767209105</v>
      </c>
      <c r="BE293" s="3236">
        <f t="shared" si="834"/>
        <v>0</v>
      </c>
      <c r="BF293" s="3236">
        <f t="shared" si="835"/>
        <v>398158.01232790895</v>
      </c>
      <c r="BG293" s="3264"/>
      <c r="BK293" s="3235">
        <f t="shared" si="836"/>
        <v>611696</v>
      </c>
      <c r="BL293" s="3236">
        <f t="shared" si="837"/>
        <v>213537.98767209105</v>
      </c>
      <c r="BM293" s="3236">
        <f t="shared" si="838"/>
        <v>0</v>
      </c>
      <c r="BN293" s="3236">
        <f t="shared" si="839"/>
        <v>398158.01232790895</v>
      </c>
      <c r="BO293" s="3264"/>
      <c r="BS293" s="3235">
        <f t="shared" si="840"/>
        <v>611696</v>
      </c>
      <c r="BT293" s="3236">
        <f t="shared" si="841"/>
        <v>213537.98767209105</v>
      </c>
      <c r="BU293" s="3236">
        <f t="shared" si="842"/>
        <v>0</v>
      </c>
      <c r="BV293" s="3236">
        <f t="shared" si="843"/>
        <v>398158.01232790895</v>
      </c>
      <c r="BW293" s="3264"/>
      <c r="CA293" s="3235">
        <f t="shared" si="844"/>
        <v>611696</v>
      </c>
      <c r="CB293" s="3236">
        <f t="shared" si="845"/>
        <v>213537.98767209105</v>
      </c>
      <c r="CC293" s="3236">
        <f t="shared" si="846"/>
        <v>0</v>
      </c>
      <c r="CD293" s="3236">
        <f t="shared" si="847"/>
        <v>398158.01232790895</v>
      </c>
      <c r="CE293" s="3264"/>
      <c r="CI293" s="3235">
        <f t="shared" si="848"/>
        <v>611696</v>
      </c>
      <c r="CJ293" s="3236">
        <f t="shared" si="849"/>
        <v>213537.98767209105</v>
      </c>
      <c r="CK293" s="3236">
        <f t="shared" si="850"/>
        <v>0</v>
      </c>
      <c r="CL293" s="3236">
        <f t="shared" si="851"/>
        <v>398158.01232790895</v>
      </c>
      <c r="CM293" s="3264"/>
      <c r="CQ293" s="3235">
        <f t="shared" si="852"/>
        <v>611696</v>
      </c>
      <c r="CR293" s="3236">
        <f t="shared" si="853"/>
        <v>213537.98767209105</v>
      </c>
      <c r="CS293" s="3236">
        <f t="shared" si="854"/>
        <v>0</v>
      </c>
      <c r="CT293" s="3236">
        <f t="shared" si="855"/>
        <v>398158.01232790895</v>
      </c>
      <c r="CU293" s="3264"/>
      <c r="CY293" s="3235">
        <f t="shared" si="856"/>
        <v>611696</v>
      </c>
      <c r="CZ293" s="3236">
        <f t="shared" si="857"/>
        <v>213537.98767209105</v>
      </c>
      <c r="DA293" s="3236">
        <f t="shared" si="858"/>
        <v>0</v>
      </c>
      <c r="DB293" s="3236">
        <f t="shared" si="859"/>
        <v>398158.01232790895</v>
      </c>
      <c r="DC293" s="3264"/>
      <c r="DG293" s="3235">
        <f t="shared" si="860"/>
        <v>611696</v>
      </c>
      <c r="DH293" s="3236">
        <f t="shared" si="861"/>
        <v>213537.98767209105</v>
      </c>
      <c r="DI293" s="3236">
        <f t="shared" si="862"/>
        <v>0</v>
      </c>
      <c r="DJ293" s="3236">
        <f t="shared" si="863"/>
        <v>398158.01232790895</v>
      </c>
      <c r="DK293" s="3264"/>
      <c r="DO293" s="3235">
        <f t="shared" si="864"/>
        <v>611696</v>
      </c>
      <c r="DP293" s="3236">
        <f t="shared" si="865"/>
        <v>213537.98767209105</v>
      </c>
      <c r="DQ293" s="3236">
        <f t="shared" si="866"/>
        <v>0</v>
      </c>
      <c r="DR293" s="3236">
        <f t="shared" si="867"/>
        <v>398158.01232790895</v>
      </c>
      <c r="DS293" s="3264"/>
      <c r="DW293" s="3235">
        <f t="shared" si="868"/>
        <v>611696</v>
      </c>
      <c r="DX293" s="3236">
        <f t="shared" si="869"/>
        <v>213537.98767209105</v>
      </c>
      <c r="DY293" s="3236">
        <f t="shared" si="870"/>
        <v>0</v>
      </c>
      <c r="DZ293" s="3236">
        <f t="shared" si="871"/>
        <v>398158.01232790895</v>
      </c>
      <c r="EA293" s="3264"/>
      <c r="EE293" s="3235">
        <f t="shared" si="872"/>
        <v>611696</v>
      </c>
      <c r="EF293" s="3236">
        <f t="shared" si="873"/>
        <v>213537.98767209105</v>
      </c>
      <c r="EG293" s="3236">
        <f t="shared" si="874"/>
        <v>0</v>
      </c>
      <c r="EH293" s="3236">
        <f t="shared" si="875"/>
        <v>398158.01232790895</v>
      </c>
      <c r="EI293" s="3264"/>
      <c r="EM293" s="3235">
        <f t="shared" si="876"/>
        <v>611696</v>
      </c>
      <c r="EN293" s="3236">
        <f t="shared" si="877"/>
        <v>213537.98767209105</v>
      </c>
      <c r="EO293" s="3236">
        <f t="shared" si="878"/>
        <v>0</v>
      </c>
      <c r="EP293" s="3236">
        <f t="shared" si="879"/>
        <v>398158.01232790895</v>
      </c>
      <c r="EQ293" s="3264"/>
      <c r="EU293" s="3235">
        <f t="shared" si="880"/>
        <v>611696</v>
      </c>
      <c r="EV293" s="3236">
        <f t="shared" si="881"/>
        <v>213537.98767209105</v>
      </c>
      <c r="EW293" s="3236">
        <f t="shared" si="882"/>
        <v>0</v>
      </c>
      <c r="EX293" s="3236">
        <f t="shared" si="883"/>
        <v>398158.01232790895</v>
      </c>
      <c r="EY293" s="3264"/>
      <c r="FC293" s="3235">
        <f t="shared" si="884"/>
        <v>611696</v>
      </c>
      <c r="FD293" s="3236">
        <f t="shared" si="885"/>
        <v>213537.98767209105</v>
      </c>
      <c r="FE293" s="3236">
        <f t="shared" si="886"/>
        <v>0</v>
      </c>
      <c r="FF293" s="3236">
        <f t="shared" si="887"/>
        <v>398158.01232790895</v>
      </c>
      <c r="FG293" s="3264"/>
      <c r="FK293" s="3235">
        <f t="shared" si="888"/>
        <v>611696</v>
      </c>
      <c r="FL293" s="3236">
        <f t="shared" si="889"/>
        <v>213537.98767209105</v>
      </c>
      <c r="FM293" s="3236">
        <f t="shared" si="890"/>
        <v>0</v>
      </c>
      <c r="FN293" s="3236">
        <f t="shared" si="891"/>
        <v>398158.01232790895</v>
      </c>
      <c r="FO293" s="3264"/>
    </row>
    <row r="294" spans="1:171">
      <c r="A294" s="2442"/>
      <c r="B294" s="2694" t="s">
        <v>620</v>
      </c>
      <c r="C294" s="2464">
        <v>114</v>
      </c>
      <c r="D294" s="2171" t="s">
        <v>42</v>
      </c>
      <c r="E294" s="2424" t="str">
        <f>'Sch 3B - Other Items'!E18</f>
        <v>DIRECT</v>
      </c>
      <c r="F294" s="2171"/>
      <c r="G294" s="2424">
        <f>'Sch 3B - Other Items'!G18</f>
        <v>5519</v>
      </c>
      <c r="H294" s="2424">
        <f>'Sch 3B - Other Items'!H18</f>
        <v>1926.5659657804031</v>
      </c>
      <c r="I294" s="2424">
        <f>'Sch 3B - Other Items'!I18</f>
        <v>0</v>
      </c>
      <c r="J294" s="2425">
        <f>'Sch 3B - Other Items'!J18</f>
        <v>3592.2340342195976</v>
      </c>
      <c r="K294" s="3205">
        <f t="shared" si="811"/>
        <v>0</v>
      </c>
      <c r="O294" s="3235">
        <f t="shared" si="812"/>
        <v>5519</v>
      </c>
      <c r="P294" s="3236">
        <f t="shared" si="813"/>
        <v>1926.5659657804028</v>
      </c>
      <c r="Q294" s="3236">
        <f t="shared" si="814"/>
        <v>0</v>
      </c>
      <c r="R294" s="3236">
        <f t="shared" si="815"/>
        <v>3592.4340342195974</v>
      </c>
      <c r="S294" s="3264"/>
      <c r="W294" s="3235">
        <f t="shared" si="816"/>
        <v>5519</v>
      </c>
      <c r="X294" s="3236">
        <f t="shared" si="817"/>
        <v>1926.5659657804028</v>
      </c>
      <c r="Y294" s="3236">
        <f t="shared" si="818"/>
        <v>0</v>
      </c>
      <c r="Z294" s="3236">
        <f t="shared" si="819"/>
        <v>3592.4340342195974</v>
      </c>
      <c r="AA294" s="3264"/>
      <c r="AE294" s="3235">
        <f t="shared" si="820"/>
        <v>5519</v>
      </c>
      <c r="AF294" s="3236">
        <f t="shared" si="821"/>
        <v>1926.5659657804028</v>
      </c>
      <c r="AG294" s="3236">
        <f t="shared" si="822"/>
        <v>0</v>
      </c>
      <c r="AH294" s="3236">
        <f t="shared" si="823"/>
        <v>3592.4340342195974</v>
      </c>
      <c r="AI294" s="3264"/>
      <c r="AM294" s="3235">
        <f t="shared" si="824"/>
        <v>5519</v>
      </c>
      <c r="AN294" s="3236">
        <f t="shared" si="825"/>
        <v>1926.5659657804028</v>
      </c>
      <c r="AO294" s="3236">
        <f t="shared" si="826"/>
        <v>0</v>
      </c>
      <c r="AP294" s="3236">
        <f t="shared" si="827"/>
        <v>3592.4340342195974</v>
      </c>
      <c r="AQ294" s="3264"/>
      <c r="AU294" s="3235">
        <f t="shared" si="828"/>
        <v>5519</v>
      </c>
      <c r="AV294" s="3236">
        <f t="shared" si="829"/>
        <v>1926.5659657804028</v>
      </c>
      <c r="AW294" s="3236">
        <f t="shared" si="830"/>
        <v>0</v>
      </c>
      <c r="AX294" s="3236">
        <f t="shared" si="831"/>
        <v>3592.4340342195974</v>
      </c>
      <c r="AY294" s="3264"/>
      <c r="BC294" s="3235">
        <f t="shared" si="832"/>
        <v>5519</v>
      </c>
      <c r="BD294" s="3236">
        <f t="shared" si="833"/>
        <v>1926.5659657804028</v>
      </c>
      <c r="BE294" s="3236">
        <f t="shared" si="834"/>
        <v>0</v>
      </c>
      <c r="BF294" s="3236">
        <f t="shared" si="835"/>
        <v>3592.4340342195974</v>
      </c>
      <c r="BG294" s="3264"/>
      <c r="BK294" s="3235">
        <f t="shared" si="836"/>
        <v>5519</v>
      </c>
      <c r="BL294" s="3236">
        <f t="shared" si="837"/>
        <v>1926.5659657804028</v>
      </c>
      <c r="BM294" s="3236">
        <f t="shared" si="838"/>
        <v>0</v>
      </c>
      <c r="BN294" s="3236">
        <f t="shared" si="839"/>
        <v>3592.4340342195974</v>
      </c>
      <c r="BO294" s="3264"/>
      <c r="BS294" s="3235">
        <f t="shared" si="840"/>
        <v>5519</v>
      </c>
      <c r="BT294" s="3236">
        <f t="shared" si="841"/>
        <v>1926.5659657804028</v>
      </c>
      <c r="BU294" s="3236">
        <f t="shared" si="842"/>
        <v>0</v>
      </c>
      <c r="BV294" s="3236">
        <f t="shared" si="843"/>
        <v>3592.4340342195974</v>
      </c>
      <c r="BW294" s="3264"/>
      <c r="CA294" s="3235">
        <f t="shared" si="844"/>
        <v>5519</v>
      </c>
      <c r="CB294" s="3236">
        <f t="shared" si="845"/>
        <v>1926.5659657804028</v>
      </c>
      <c r="CC294" s="3236">
        <f t="shared" si="846"/>
        <v>0</v>
      </c>
      <c r="CD294" s="3236">
        <f t="shared" si="847"/>
        <v>3592.4340342195974</v>
      </c>
      <c r="CE294" s="3264"/>
      <c r="CI294" s="3235">
        <f t="shared" si="848"/>
        <v>5519</v>
      </c>
      <c r="CJ294" s="3236">
        <f t="shared" si="849"/>
        <v>1926.5659657804028</v>
      </c>
      <c r="CK294" s="3236">
        <f t="shared" si="850"/>
        <v>0</v>
      </c>
      <c r="CL294" s="3236">
        <f t="shared" si="851"/>
        <v>3592.4340342195974</v>
      </c>
      <c r="CM294" s="3264"/>
      <c r="CQ294" s="3235">
        <f t="shared" si="852"/>
        <v>5519</v>
      </c>
      <c r="CR294" s="3236">
        <f t="shared" si="853"/>
        <v>1926.5659657804028</v>
      </c>
      <c r="CS294" s="3236">
        <f t="shared" si="854"/>
        <v>0</v>
      </c>
      <c r="CT294" s="3236">
        <f t="shared" si="855"/>
        <v>3592.4340342195974</v>
      </c>
      <c r="CU294" s="3264"/>
      <c r="CY294" s="3235">
        <f t="shared" si="856"/>
        <v>5519</v>
      </c>
      <c r="CZ294" s="3236">
        <f t="shared" si="857"/>
        <v>1926.5659657804028</v>
      </c>
      <c r="DA294" s="3236">
        <f t="shared" si="858"/>
        <v>0</v>
      </c>
      <c r="DB294" s="3236">
        <f t="shared" si="859"/>
        <v>3592.4340342195974</v>
      </c>
      <c r="DC294" s="3264"/>
      <c r="DG294" s="3235">
        <f t="shared" si="860"/>
        <v>5519</v>
      </c>
      <c r="DH294" s="3236">
        <f t="shared" si="861"/>
        <v>1926.5659657804028</v>
      </c>
      <c r="DI294" s="3236">
        <f t="shared" si="862"/>
        <v>0</v>
      </c>
      <c r="DJ294" s="3236">
        <f t="shared" si="863"/>
        <v>3592.4340342195974</v>
      </c>
      <c r="DK294" s="3264"/>
      <c r="DO294" s="3235">
        <f t="shared" si="864"/>
        <v>5519</v>
      </c>
      <c r="DP294" s="3236">
        <f t="shared" si="865"/>
        <v>1926.5659657804028</v>
      </c>
      <c r="DQ294" s="3236">
        <f t="shared" si="866"/>
        <v>0</v>
      </c>
      <c r="DR294" s="3236">
        <f t="shared" si="867"/>
        <v>3592.4340342195974</v>
      </c>
      <c r="DS294" s="3264"/>
      <c r="DW294" s="3235">
        <f t="shared" si="868"/>
        <v>5519</v>
      </c>
      <c r="DX294" s="3236">
        <f t="shared" si="869"/>
        <v>1926.5659657804028</v>
      </c>
      <c r="DY294" s="3236">
        <f t="shared" si="870"/>
        <v>0</v>
      </c>
      <c r="DZ294" s="3236">
        <f t="shared" si="871"/>
        <v>3592.4340342195974</v>
      </c>
      <c r="EA294" s="3264"/>
      <c r="EE294" s="3235">
        <f t="shared" si="872"/>
        <v>5519</v>
      </c>
      <c r="EF294" s="3236">
        <f t="shared" si="873"/>
        <v>1926.5659657804028</v>
      </c>
      <c r="EG294" s="3236">
        <f t="shared" si="874"/>
        <v>0</v>
      </c>
      <c r="EH294" s="3236">
        <f t="shared" si="875"/>
        <v>3592.4340342195974</v>
      </c>
      <c r="EI294" s="3264"/>
      <c r="EM294" s="3235">
        <f t="shared" si="876"/>
        <v>5519</v>
      </c>
      <c r="EN294" s="3236">
        <f t="shared" si="877"/>
        <v>1926.5659657804028</v>
      </c>
      <c r="EO294" s="3236">
        <f t="shared" si="878"/>
        <v>0</v>
      </c>
      <c r="EP294" s="3236">
        <f t="shared" si="879"/>
        <v>3592.4340342195974</v>
      </c>
      <c r="EQ294" s="3264"/>
      <c r="EU294" s="3235">
        <f t="shared" si="880"/>
        <v>5519</v>
      </c>
      <c r="EV294" s="3236">
        <f t="shared" si="881"/>
        <v>1926.5659657804028</v>
      </c>
      <c r="EW294" s="3236">
        <f t="shared" si="882"/>
        <v>0</v>
      </c>
      <c r="EX294" s="3236">
        <f t="shared" si="883"/>
        <v>3592.4340342195974</v>
      </c>
      <c r="EY294" s="3264"/>
      <c r="FC294" s="3235">
        <f t="shared" si="884"/>
        <v>5519</v>
      </c>
      <c r="FD294" s="3236">
        <f t="shared" si="885"/>
        <v>1926.5659657804028</v>
      </c>
      <c r="FE294" s="3236">
        <f t="shared" si="886"/>
        <v>0</v>
      </c>
      <c r="FF294" s="3236">
        <f t="shared" si="887"/>
        <v>3592.4340342195974</v>
      </c>
      <c r="FG294" s="3264"/>
      <c r="FK294" s="3235">
        <f t="shared" si="888"/>
        <v>5519</v>
      </c>
      <c r="FL294" s="3236">
        <f t="shared" si="889"/>
        <v>1926.5659657804028</v>
      </c>
      <c r="FM294" s="3236">
        <f t="shared" si="890"/>
        <v>0</v>
      </c>
      <c r="FN294" s="3236">
        <f t="shared" si="891"/>
        <v>3592.4340342195974</v>
      </c>
      <c r="FO294" s="3264"/>
    </row>
    <row r="295" spans="1:171">
      <c r="A295" s="2442"/>
      <c r="B295" s="2185" t="s">
        <v>389</v>
      </c>
      <c r="C295" s="2464">
        <v>114</v>
      </c>
      <c r="D295" s="2171">
        <v>411.8</v>
      </c>
      <c r="E295" s="2424" t="str">
        <f>'Sch 3B - Other Items'!E19</f>
        <v>PROD</v>
      </c>
      <c r="F295" s="2171"/>
      <c r="G295" s="2424">
        <f>'Sch 3B - Other Items'!G19</f>
        <v>0</v>
      </c>
      <c r="H295" s="2424">
        <f>'Sch 3B - Other Items'!H19</f>
        <v>0</v>
      </c>
      <c r="I295" s="2424">
        <f>'Sch 3B - Other Items'!I19</f>
        <v>0</v>
      </c>
      <c r="J295" s="2425">
        <f>'Sch 3B - Other Items'!J19</f>
        <v>0</v>
      </c>
      <c r="K295" s="3205">
        <f t="shared" si="811"/>
        <v>1</v>
      </c>
      <c r="O295" s="3235">
        <f t="shared" si="812"/>
        <v>0</v>
      </c>
      <c r="P295" s="3236">
        <f t="shared" si="813"/>
        <v>0</v>
      </c>
      <c r="Q295" s="3236">
        <f t="shared" si="814"/>
        <v>0</v>
      </c>
      <c r="R295" s="3236">
        <f t="shared" si="815"/>
        <v>0</v>
      </c>
      <c r="S295" s="3264"/>
      <c r="W295" s="3235">
        <f t="shared" si="816"/>
        <v>0</v>
      </c>
      <c r="X295" s="3236">
        <f t="shared" si="817"/>
        <v>0</v>
      </c>
      <c r="Y295" s="3236">
        <f t="shared" si="818"/>
        <v>0</v>
      </c>
      <c r="Z295" s="3236">
        <f t="shared" si="819"/>
        <v>0</v>
      </c>
      <c r="AA295" s="3264"/>
      <c r="AE295" s="3235">
        <f t="shared" si="820"/>
        <v>0</v>
      </c>
      <c r="AF295" s="3236">
        <f t="shared" si="821"/>
        <v>0</v>
      </c>
      <c r="AG295" s="3236">
        <f t="shared" si="822"/>
        <v>0</v>
      </c>
      <c r="AH295" s="3236">
        <f t="shared" si="823"/>
        <v>0</v>
      </c>
      <c r="AI295" s="3264"/>
      <c r="AM295" s="3235">
        <f t="shared" si="824"/>
        <v>0</v>
      </c>
      <c r="AN295" s="3236">
        <f t="shared" si="825"/>
        <v>0</v>
      </c>
      <c r="AO295" s="3236">
        <f t="shared" si="826"/>
        <v>0</v>
      </c>
      <c r="AP295" s="3236">
        <f t="shared" si="827"/>
        <v>0</v>
      </c>
      <c r="AQ295" s="3264"/>
      <c r="AU295" s="3235">
        <f t="shared" si="828"/>
        <v>0</v>
      </c>
      <c r="AV295" s="3236">
        <f t="shared" si="829"/>
        <v>0</v>
      </c>
      <c r="AW295" s="3236">
        <f t="shared" si="830"/>
        <v>0</v>
      </c>
      <c r="AX295" s="3236">
        <f t="shared" si="831"/>
        <v>0</v>
      </c>
      <c r="AY295" s="3264"/>
      <c r="BC295" s="3235">
        <f t="shared" si="832"/>
        <v>0</v>
      </c>
      <c r="BD295" s="3236">
        <f t="shared" si="833"/>
        <v>0</v>
      </c>
      <c r="BE295" s="3236">
        <f t="shared" si="834"/>
        <v>0</v>
      </c>
      <c r="BF295" s="3236">
        <f t="shared" si="835"/>
        <v>0</v>
      </c>
      <c r="BG295" s="3264"/>
      <c r="BK295" s="3235">
        <f t="shared" si="836"/>
        <v>0</v>
      </c>
      <c r="BL295" s="3236">
        <f t="shared" si="837"/>
        <v>0</v>
      </c>
      <c r="BM295" s="3236">
        <f t="shared" si="838"/>
        <v>0</v>
      </c>
      <c r="BN295" s="3236">
        <f t="shared" si="839"/>
        <v>0</v>
      </c>
      <c r="BO295" s="3264"/>
      <c r="BS295" s="3235">
        <f t="shared" si="840"/>
        <v>0</v>
      </c>
      <c r="BT295" s="3236">
        <f t="shared" si="841"/>
        <v>0</v>
      </c>
      <c r="BU295" s="3236">
        <f t="shared" si="842"/>
        <v>0</v>
      </c>
      <c r="BV295" s="3236">
        <f t="shared" si="843"/>
        <v>0</v>
      </c>
      <c r="BW295" s="3264"/>
      <c r="CA295" s="3235">
        <f t="shared" si="844"/>
        <v>0</v>
      </c>
      <c r="CB295" s="3236">
        <f t="shared" si="845"/>
        <v>0</v>
      </c>
      <c r="CC295" s="3236">
        <f t="shared" si="846"/>
        <v>0</v>
      </c>
      <c r="CD295" s="3236">
        <f t="shared" si="847"/>
        <v>0</v>
      </c>
      <c r="CE295" s="3264"/>
      <c r="CI295" s="3235">
        <f t="shared" si="848"/>
        <v>0</v>
      </c>
      <c r="CJ295" s="3236">
        <f t="shared" si="849"/>
        <v>0</v>
      </c>
      <c r="CK295" s="3236">
        <f t="shared" si="850"/>
        <v>0</v>
      </c>
      <c r="CL295" s="3236">
        <f t="shared" si="851"/>
        <v>0</v>
      </c>
      <c r="CM295" s="3264"/>
      <c r="CQ295" s="3235">
        <f t="shared" si="852"/>
        <v>0</v>
      </c>
      <c r="CR295" s="3236">
        <f t="shared" si="853"/>
        <v>0</v>
      </c>
      <c r="CS295" s="3236">
        <f t="shared" si="854"/>
        <v>0</v>
      </c>
      <c r="CT295" s="3236">
        <f t="shared" si="855"/>
        <v>0</v>
      </c>
      <c r="CU295" s="3264"/>
      <c r="CY295" s="3235">
        <f t="shared" si="856"/>
        <v>0</v>
      </c>
      <c r="CZ295" s="3236">
        <f t="shared" si="857"/>
        <v>0</v>
      </c>
      <c r="DA295" s="3236">
        <f t="shared" si="858"/>
        <v>0</v>
      </c>
      <c r="DB295" s="3236">
        <f t="shared" si="859"/>
        <v>0</v>
      </c>
      <c r="DC295" s="3264"/>
      <c r="DG295" s="3235">
        <f t="shared" si="860"/>
        <v>0</v>
      </c>
      <c r="DH295" s="3236">
        <f t="shared" si="861"/>
        <v>0</v>
      </c>
      <c r="DI295" s="3236">
        <f t="shared" si="862"/>
        <v>0</v>
      </c>
      <c r="DJ295" s="3236">
        <f t="shared" si="863"/>
        <v>0</v>
      </c>
      <c r="DK295" s="3264"/>
      <c r="DO295" s="3235">
        <f t="shared" si="864"/>
        <v>0</v>
      </c>
      <c r="DP295" s="3236">
        <f t="shared" si="865"/>
        <v>0</v>
      </c>
      <c r="DQ295" s="3236">
        <f t="shared" si="866"/>
        <v>0</v>
      </c>
      <c r="DR295" s="3236">
        <f t="shared" si="867"/>
        <v>0</v>
      </c>
      <c r="DS295" s="3264"/>
      <c r="DW295" s="3235">
        <f t="shared" si="868"/>
        <v>0</v>
      </c>
      <c r="DX295" s="3236">
        <f t="shared" si="869"/>
        <v>0</v>
      </c>
      <c r="DY295" s="3236">
        <f t="shared" si="870"/>
        <v>0</v>
      </c>
      <c r="DZ295" s="3236">
        <f t="shared" si="871"/>
        <v>0</v>
      </c>
      <c r="EA295" s="3264"/>
      <c r="EE295" s="3235">
        <f t="shared" si="872"/>
        <v>0</v>
      </c>
      <c r="EF295" s="3236">
        <f t="shared" si="873"/>
        <v>0</v>
      </c>
      <c r="EG295" s="3236">
        <f t="shared" si="874"/>
        <v>0</v>
      </c>
      <c r="EH295" s="3236">
        <f t="shared" si="875"/>
        <v>0</v>
      </c>
      <c r="EI295" s="3264"/>
      <c r="EM295" s="3235">
        <f t="shared" si="876"/>
        <v>0</v>
      </c>
      <c r="EN295" s="3236">
        <f t="shared" si="877"/>
        <v>0</v>
      </c>
      <c r="EO295" s="3236">
        <f t="shared" si="878"/>
        <v>0</v>
      </c>
      <c r="EP295" s="3236">
        <f t="shared" si="879"/>
        <v>0</v>
      </c>
      <c r="EQ295" s="3264"/>
      <c r="EU295" s="3235">
        <f t="shared" si="880"/>
        <v>0</v>
      </c>
      <c r="EV295" s="3236">
        <f t="shared" si="881"/>
        <v>0</v>
      </c>
      <c r="EW295" s="3236">
        <f t="shared" si="882"/>
        <v>0</v>
      </c>
      <c r="EX295" s="3236">
        <f t="shared" si="883"/>
        <v>0</v>
      </c>
      <c r="EY295" s="3264"/>
      <c r="FC295" s="3235">
        <f t="shared" si="884"/>
        <v>0</v>
      </c>
      <c r="FD295" s="3236">
        <f t="shared" si="885"/>
        <v>0</v>
      </c>
      <c r="FE295" s="3236">
        <f t="shared" si="886"/>
        <v>0</v>
      </c>
      <c r="FF295" s="3236">
        <f t="shared" si="887"/>
        <v>0</v>
      </c>
      <c r="FG295" s="3264"/>
      <c r="FK295" s="3235">
        <f t="shared" si="888"/>
        <v>0</v>
      </c>
      <c r="FL295" s="3236">
        <f t="shared" si="889"/>
        <v>0</v>
      </c>
      <c r="FM295" s="3236">
        <f t="shared" si="890"/>
        <v>0</v>
      </c>
      <c r="FN295" s="3236">
        <f t="shared" si="891"/>
        <v>0</v>
      </c>
      <c r="FO295" s="3264"/>
    </row>
    <row r="296" spans="1:171">
      <c r="A296" s="2442"/>
      <c r="B296" s="2694" t="s">
        <v>621</v>
      </c>
      <c r="C296" s="2464">
        <v>114</v>
      </c>
      <c r="D296" s="2171">
        <v>411.9</v>
      </c>
      <c r="E296" s="2424" t="str">
        <f>'Sch 3B - Other Items'!E20</f>
        <v>PROD</v>
      </c>
      <c r="F296" s="2171"/>
      <c r="G296" s="2424">
        <f>'Sch 3B - Other Items'!G20</f>
        <v>0</v>
      </c>
      <c r="H296" s="2424">
        <f>'Sch 3B - Other Items'!H20</f>
        <v>0</v>
      </c>
      <c r="I296" s="2424">
        <f>'Sch 3B - Other Items'!I20</f>
        <v>0</v>
      </c>
      <c r="J296" s="2425">
        <f>'Sch 3B - Other Items'!J20</f>
        <v>0</v>
      </c>
      <c r="K296" s="3205">
        <f t="shared" si="811"/>
        <v>1</v>
      </c>
      <c r="O296" s="3235">
        <f t="shared" si="812"/>
        <v>0</v>
      </c>
      <c r="P296" s="3236">
        <f t="shared" si="813"/>
        <v>0</v>
      </c>
      <c r="Q296" s="3236">
        <f t="shared" si="814"/>
        <v>0</v>
      </c>
      <c r="R296" s="3236">
        <f t="shared" si="815"/>
        <v>0</v>
      </c>
      <c r="S296" s="3264"/>
      <c r="W296" s="3235">
        <f t="shared" si="816"/>
        <v>0</v>
      </c>
      <c r="X296" s="3236">
        <f t="shared" si="817"/>
        <v>0</v>
      </c>
      <c r="Y296" s="3236">
        <f t="shared" si="818"/>
        <v>0</v>
      </c>
      <c r="Z296" s="3236">
        <f t="shared" si="819"/>
        <v>0</v>
      </c>
      <c r="AA296" s="3264"/>
      <c r="AE296" s="3235">
        <f t="shared" si="820"/>
        <v>0</v>
      </c>
      <c r="AF296" s="3236">
        <f t="shared" si="821"/>
        <v>0</v>
      </c>
      <c r="AG296" s="3236">
        <f t="shared" si="822"/>
        <v>0</v>
      </c>
      <c r="AH296" s="3236">
        <f t="shared" si="823"/>
        <v>0</v>
      </c>
      <c r="AI296" s="3264"/>
      <c r="AM296" s="3235">
        <f t="shared" si="824"/>
        <v>0</v>
      </c>
      <c r="AN296" s="3236">
        <f t="shared" si="825"/>
        <v>0</v>
      </c>
      <c r="AO296" s="3236">
        <f t="shared" si="826"/>
        <v>0</v>
      </c>
      <c r="AP296" s="3236">
        <f t="shared" si="827"/>
        <v>0</v>
      </c>
      <c r="AQ296" s="3264"/>
      <c r="AU296" s="3235">
        <f t="shared" si="828"/>
        <v>0</v>
      </c>
      <c r="AV296" s="3236">
        <f t="shared" si="829"/>
        <v>0</v>
      </c>
      <c r="AW296" s="3236">
        <f t="shared" si="830"/>
        <v>0</v>
      </c>
      <c r="AX296" s="3236">
        <f t="shared" si="831"/>
        <v>0</v>
      </c>
      <c r="AY296" s="3264"/>
      <c r="BC296" s="3235">
        <f t="shared" si="832"/>
        <v>0</v>
      </c>
      <c r="BD296" s="3236">
        <f t="shared" si="833"/>
        <v>0</v>
      </c>
      <c r="BE296" s="3236">
        <f t="shared" si="834"/>
        <v>0</v>
      </c>
      <c r="BF296" s="3236">
        <f t="shared" si="835"/>
        <v>0</v>
      </c>
      <c r="BG296" s="3264"/>
      <c r="BK296" s="3235">
        <f t="shared" si="836"/>
        <v>0</v>
      </c>
      <c r="BL296" s="3236">
        <f t="shared" si="837"/>
        <v>0</v>
      </c>
      <c r="BM296" s="3236">
        <f t="shared" si="838"/>
        <v>0</v>
      </c>
      <c r="BN296" s="3236">
        <f t="shared" si="839"/>
        <v>0</v>
      </c>
      <c r="BO296" s="3264"/>
      <c r="BS296" s="3235">
        <f t="shared" si="840"/>
        <v>0</v>
      </c>
      <c r="BT296" s="3236">
        <f t="shared" si="841"/>
        <v>0</v>
      </c>
      <c r="BU296" s="3236">
        <f t="shared" si="842"/>
        <v>0</v>
      </c>
      <c r="BV296" s="3236">
        <f t="shared" si="843"/>
        <v>0</v>
      </c>
      <c r="BW296" s="3264"/>
      <c r="CA296" s="3235">
        <f t="shared" si="844"/>
        <v>0</v>
      </c>
      <c r="CB296" s="3236">
        <f t="shared" si="845"/>
        <v>0</v>
      </c>
      <c r="CC296" s="3236">
        <f t="shared" si="846"/>
        <v>0</v>
      </c>
      <c r="CD296" s="3236">
        <f t="shared" si="847"/>
        <v>0</v>
      </c>
      <c r="CE296" s="3264"/>
      <c r="CI296" s="3235">
        <f t="shared" si="848"/>
        <v>0</v>
      </c>
      <c r="CJ296" s="3236">
        <f t="shared" si="849"/>
        <v>0</v>
      </c>
      <c r="CK296" s="3236">
        <f t="shared" si="850"/>
        <v>0</v>
      </c>
      <c r="CL296" s="3236">
        <f t="shared" si="851"/>
        <v>0</v>
      </c>
      <c r="CM296" s="3264"/>
      <c r="CQ296" s="3235">
        <f t="shared" si="852"/>
        <v>0</v>
      </c>
      <c r="CR296" s="3236">
        <f t="shared" si="853"/>
        <v>0</v>
      </c>
      <c r="CS296" s="3236">
        <f t="shared" si="854"/>
        <v>0</v>
      </c>
      <c r="CT296" s="3236">
        <f t="shared" si="855"/>
        <v>0</v>
      </c>
      <c r="CU296" s="3264"/>
      <c r="CY296" s="3235">
        <f t="shared" si="856"/>
        <v>0</v>
      </c>
      <c r="CZ296" s="3236">
        <f t="shared" si="857"/>
        <v>0</v>
      </c>
      <c r="DA296" s="3236">
        <f t="shared" si="858"/>
        <v>0</v>
      </c>
      <c r="DB296" s="3236">
        <f t="shared" si="859"/>
        <v>0</v>
      </c>
      <c r="DC296" s="3264"/>
      <c r="DG296" s="3235">
        <f t="shared" si="860"/>
        <v>0</v>
      </c>
      <c r="DH296" s="3236">
        <f t="shared" si="861"/>
        <v>0</v>
      </c>
      <c r="DI296" s="3236">
        <f t="shared" si="862"/>
        <v>0</v>
      </c>
      <c r="DJ296" s="3236">
        <f t="shared" si="863"/>
        <v>0</v>
      </c>
      <c r="DK296" s="3264"/>
      <c r="DO296" s="3235">
        <f t="shared" si="864"/>
        <v>0</v>
      </c>
      <c r="DP296" s="3236">
        <f t="shared" si="865"/>
        <v>0</v>
      </c>
      <c r="DQ296" s="3236">
        <f t="shared" si="866"/>
        <v>0</v>
      </c>
      <c r="DR296" s="3236">
        <f t="shared" si="867"/>
        <v>0</v>
      </c>
      <c r="DS296" s="3264"/>
      <c r="DW296" s="3235">
        <f t="shared" si="868"/>
        <v>0</v>
      </c>
      <c r="DX296" s="3236">
        <f t="shared" si="869"/>
        <v>0</v>
      </c>
      <c r="DY296" s="3236">
        <f t="shared" si="870"/>
        <v>0</v>
      </c>
      <c r="DZ296" s="3236">
        <f t="shared" si="871"/>
        <v>0</v>
      </c>
      <c r="EA296" s="3264"/>
      <c r="EE296" s="3235">
        <f t="shared" si="872"/>
        <v>0</v>
      </c>
      <c r="EF296" s="3236">
        <f t="shared" si="873"/>
        <v>0</v>
      </c>
      <c r="EG296" s="3236">
        <f t="shared" si="874"/>
        <v>0</v>
      </c>
      <c r="EH296" s="3236">
        <f t="shared" si="875"/>
        <v>0</v>
      </c>
      <c r="EI296" s="3264"/>
      <c r="EM296" s="3235">
        <f t="shared" si="876"/>
        <v>0</v>
      </c>
      <c r="EN296" s="3236">
        <f t="shared" si="877"/>
        <v>0</v>
      </c>
      <c r="EO296" s="3236">
        <f t="shared" si="878"/>
        <v>0</v>
      </c>
      <c r="EP296" s="3236">
        <f t="shared" si="879"/>
        <v>0</v>
      </c>
      <c r="EQ296" s="3264"/>
      <c r="EU296" s="3235">
        <f t="shared" si="880"/>
        <v>0</v>
      </c>
      <c r="EV296" s="3236">
        <f t="shared" si="881"/>
        <v>0</v>
      </c>
      <c r="EW296" s="3236">
        <f t="shared" si="882"/>
        <v>0</v>
      </c>
      <c r="EX296" s="3236">
        <f t="shared" si="883"/>
        <v>0</v>
      </c>
      <c r="EY296" s="3264"/>
      <c r="FC296" s="3235">
        <f t="shared" si="884"/>
        <v>0</v>
      </c>
      <c r="FD296" s="3236">
        <f t="shared" si="885"/>
        <v>0</v>
      </c>
      <c r="FE296" s="3236">
        <f t="shared" si="886"/>
        <v>0</v>
      </c>
      <c r="FF296" s="3236">
        <f t="shared" si="887"/>
        <v>0</v>
      </c>
      <c r="FG296" s="3264"/>
      <c r="FK296" s="3235">
        <f t="shared" si="888"/>
        <v>0</v>
      </c>
      <c r="FL296" s="3236">
        <f t="shared" si="889"/>
        <v>0</v>
      </c>
      <c r="FM296" s="3236">
        <f t="shared" si="890"/>
        <v>0</v>
      </c>
      <c r="FN296" s="3236">
        <f t="shared" si="891"/>
        <v>0</v>
      </c>
      <c r="FO296" s="3264"/>
    </row>
    <row r="297" spans="1:171">
      <c r="A297" s="2442"/>
      <c r="B297" s="2185" t="s">
        <v>181</v>
      </c>
      <c r="C297" s="2464">
        <v>114</v>
      </c>
      <c r="D297" s="2171">
        <v>421</v>
      </c>
      <c r="E297" s="2424" t="str">
        <f>'Sch 3B - Other Items'!E21</f>
        <v>DIRECT</v>
      </c>
      <c r="F297" s="2171"/>
      <c r="G297" s="2424">
        <f>'Sch 3B - Other Items'!G21</f>
        <v>-261571031</v>
      </c>
      <c r="H297" s="2424">
        <f>'Sch 3B - Other Items'!H21</f>
        <v>11756.068681033697</v>
      </c>
      <c r="I297" s="2424">
        <f>'Sch 3B - Other Items'!I21</f>
        <v>0</v>
      </c>
      <c r="J297" s="2425">
        <f>'Sch 3B - Other Items'!J21</f>
        <v>-261582787.08259478</v>
      </c>
      <c r="K297" s="3205">
        <f t="shared" si="811"/>
        <v>0</v>
      </c>
      <c r="O297" s="3235">
        <f t="shared" si="812"/>
        <v>-261571031</v>
      </c>
      <c r="P297" s="3236">
        <f t="shared" si="813"/>
        <v>11756.068681033697</v>
      </c>
      <c r="Q297" s="3236">
        <f t="shared" si="814"/>
        <v>0</v>
      </c>
      <c r="R297" s="3236">
        <f t="shared" si="815"/>
        <v>-261582787.06868103</v>
      </c>
      <c r="S297" s="3264"/>
      <c r="W297" s="3235">
        <f t="shared" si="816"/>
        <v>-261571031</v>
      </c>
      <c r="X297" s="3236">
        <f t="shared" si="817"/>
        <v>11756.068681033697</v>
      </c>
      <c r="Y297" s="3236">
        <f t="shared" si="818"/>
        <v>0</v>
      </c>
      <c r="Z297" s="3236">
        <f t="shared" si="819"/>
        <v>-261582787.06868103</v>
      </c>
      <c r="AA297" s="3264"/>
      <c r="AE297" s="3235">
        <f t="shared" si="820"/>
        <v>-261571031</v>
      </c>
      <c r="AF297" s="3236">
        <f t="shared" si="821"/>
        <v>11756.068681033697</v>
      </c>
      <c r="AG297" s="3236">
        <f t="shared" si="822"/>
        <v>0</v>
      </c>
      <c r="AH297" s="3236">
        <f t="shared" si="823"/>
        <v>-261582787.06868103</v>
      </c>
      <c r="AI297" s="3264"/>
      <c r="AM297" s="3235">
        <f t="shared" si="824"/>
        <v>-261571031</v>
      </c>
      <c r="AN297" s="3236">
        <f t="shared" si="825"/>
        <v>11756.068681033697</v>
      </c>
      <c r="AO297" s="3236">
        <f t="shared" si="826"/>
        <v>0</v>
      </c>
      <c r="AP297" s="3236">
        <f t="shared" si="827"/>
        <v>-261582787.06868103</v>
      </c>
      <c r="AQ297" s="3264"/>
      <c r="AU297" s="3235">
        <f t="shared" si="828"/>
        <v>-261571031</v>
      </c>
      <c r="AV297" s="3236">
        <f t="shared" si="829"/>
        <v>11756.068681033697</v>
      </c>
      <c r="AW297" s="3236">
        <f t="shared" si="830"/>
        <v>0</v>
      </c>
      <c r="AX297" s="3236">
        <f t="shared" si="831"/>
        <v>-261582787.06868103</v>
      </c>
      <c r="AY297" s="3264"/>
      <c r="BC297" s="3235">
        <f t="shared" si="832"/>
        <v>-261571031</v>
      </c>
      <c r="BD297" s="3236">
        <f t="shared" si="833"/>
        <v>11756.068681033697</v>
      </c>
      <c r="BE297" s="3236">
        <f t="shared" si="834"/>
        <v>0</v>
      </c>
      <c r="BF297" s="3236">
        <f t="shared" si="835"/>
        <v>-261582787.06868103</v>
      </c>
      <c r="BG297" s="3264"/>
      <c r="BK297" s="3235">
        <f t="shared" si="836"/>
        <v>-261571031</v>
      </c>
      <c r="BL297" s="3236">
        <f t="shared" si="837"/>
        <v>11756.068681033697</v>
      </c>
      <c r="BM297" s="3236">
        <f t="shared" si="838"/>
        <v>0</v>
      </c>
      <c r="BN297" s="3236">
        <f t="shared" si="839"/>
        <v>-261582787.06868103</v>
      </c>
      <c r="BO297" s="3264"/>
      <c r="BS297" s="3235">
        <f t="shared" si="840"/>
        <v>-261571031</v>
      </c>
      <c r="BT297" s="3236">
        <f t="shared" si="841"/>
        <v>11756.068681033697</v>
      </c>
      <c r="BU297" s="3236">
        <f t="shared" si="842"/>
        <v>0</v>
      </c>
      <c r="BV297" s="3236">
        <f t="shared" si="843"/>
        <v>-261582787.06868103</v>
      </c>
      <c r="BW297" s="3264"/>
      <c r="CA297" s="3235">
        <f t="shared" si="844"/>
        <v>-261571031</v>
      </c>
      <c r="CB297" s="3236">
        <f t="shared" si="845"/>
        <v>11756.068681033697</v>
      </c>
      <c r="CC297" s="3236">
        <f t="shared" si="846"/>
        <v>0</v>
      </c>
      <c r="CD297" s="3236">
        <f t="shared" si="847"/>
        <v>-261582787.06868103</v>
      </c>
      <c r="CE297" s="3264"/>
      <c r="CI297" s="3235">
        <f t="shared" si="848"/>
        <v>-261571031</v>
      </c>
      <c r="CJ297" s="3236">
        <f t="shared" si="849"/>
        <v>11756.068681033697</v>
      </c>
      <c r="CK297" s="3236">
        <f t="shared" si="850"/>
        <v>0</v>
      </c>
      <c r="CL297" s="3236">
        <f t="shared" si="851"/>
        <v>-261582787.06868103</v>
      </c>
      <c r="CM297" s="3264"/>
      <c r="CQ297" s="3235">
        <f t="shared" si="852"/>
        <v>-261571031</v>
      </c>
      <c r="CR297" s="3236">
        <f t="shared" si="853"/>
        <v>11756.068681033697</v>
      </c>
      <c r="CS297" s="3236">
        <f t="shared" si="854"/>
        <v>0</v>
      </c>
      <c r="CT297" s="3236">
        <f t="shared" si="855"/>
        <v>-261582787.06868103</v>
      </c>
      <c r="CU297" s="3264"/>
      <c r="CY297" s="3235">
        <f t="shared" si="856"/>
        <v>-261571031</v>
      </c>
      <c r="CZ297" s="3236">
        <f t="shared" si="857"/>
        <v>11756.068681033697</v>
      </c>
      <c r="DA297" s="3236">
        <f t="shared" si="858"/>
        <v>0</v>
      </c>
      <c r="DB297" s="3236">
        <f t="shared" si="859"/>
        <v>-261582787.06868103</v>
      </c>
      <c r="DC297" s="3264"/>
      <c r="DG297" s="3235">
        <f t="shared" si="860"/>
        <v>-261571031</v>
      </c>
      <c r="DH297" s="3236">
        <f t="shared" si="861"/>
        <v>11756.068681033697</v>
      </c>
      <c r="DI297" s="3236">
        <f t="shared" si="862"/>
        <v>0</v>
      </c>
      <c r="DJ297" s="3236">
        <f t="shared" si="863"/>
        <v>-261582787.06868103</v>
      </c>
      <c r="DK297" s="3264"/>
      <c r="DO297" s="3235">
        <f t="shared" si="864"/>
        <v>-261571031</v>
      </c>
      <c r="DP297" s="3236">
        <f t="shared" si="865"/>
        <v>11756.068681033697</v>
      </c>
      <c r="DQ297" s="3236">
        <f t="shared" si="866"/>
        <v>0</v>
      </c>
      <c r="DR297" s="3236">
        <f t="shared" si="867"/>
        <v>-261582787.06868103</v>
      </c>
      <c r="DS297" s="3264"/>
      <c r="DW297" s="3235">
        <f t="shared" si="868"/>
        <v>-261571031</v>
      </c>
      <c r="DX297" s="3236">
        <f t="shared" si="869"/>
        <v>11756.068681033697</v>
      </c>
      <c r="DY297" s="3236">
        <f t="shared" si="870"/>
        <v>0</v>
      </c>
      <c r="DZ297" s="3236">
        <f t="shared" si="871"/>
        <v>-261582787.06868103</v>
      </c>
      <c r="EA297" s="3264"/>
      <c r="EE297" s="3235">
        <f t="shared" si="872"/>
        <v>-261571031</v>
      </c>
      <c r="EF297" s="3236">
        <f t="shared" si="873"/>
        <v>11756.068681033697</v>
      </c>
      <c r="EG297" s="3236">
        <f t="shared" si="874"/>
        <v>0</v>
      </c>
      <c r="EH297" s="3236">
        <f t="shared" si="875"/>
        <v>-261582787.06868103</v>
      </c>
      <c r="EI297" s="3264"/>
      <c r="EM297" s="3235">
        <f t="shared" si="876"/>
        <v>-261571031</v>
      </c>
      <c r="EN297" s="3236">
        <f t="shared" si="877"/>
        <v>11756.068681033697</v>
      </c>
      <c r="EO297" s="3236">
        <f t="shared" si="878"/>
        <v>0</v>
      </c>
      <c r="EP297" s="3236">
        <f t="shared" si="879"/>
        <v>-261582787.06868103</v>
      </c>
      <c r="EQ297" s="3264"/>
      <c r="EU297" s="3235">
        <f t="shared" si="880"/>
        <v>-261571031</v>
      </c>
      <c r="EV297" s="3236">
        <f t="shared" si="881"/>
        <v>11756.068681033697</v>
      </c>
      <c r="EW297" s="3236">
        <f t="shared" si="882"/>
        <v>0</v>
      </c>
      <c r="EX297" s="3236">
        <f t="shared" si="883"/>
        <v>-261582787.06868103</v>
      </c>
      <c r="EY297" s="3264"/>
      <c r="FC297" s="3235">
        <f t="shared" si="884"/>
        <v>-261571031</v>
      </c>
      <c r="FD297" s="3236">
        <f t="shared" si="885"/>
        <v>11756.068681033697</v>
      </c>
      <c r="FE297" s="3236">
        <f t="shared" si="886"/>
        <v>0</v>
      </c>
      <c r="FF297" s="3236">
        <f t="shared" si="887"/>
        <v>-261582787.06868103</v>
      </c>
      <c r="FG297" s="3264"/>
      <c r="FK297" s="3235">
        <f t="shared" si="888"/>
        <v>-261571031</v>
      </c>
      <c r="FL297" s="3236">
        <f t="shared" si="889"/>
        <v>11756.068681033697</v>
      </c>
      <c r="FM297" s="3236">
        <f t="shared" si="890"/>
        <v>0</v>
      </c>
      <c r="FN297" s="3236">
        <f t="shared" si="891"/>
        <v>-261582787.06868103</v>
      </c>
      <c r="FO297" s="3264"/>
    </row>
    <row r="298" spans="1:171">
      <c r="A298" s="2697" t="s">
        <v>49</v>
      </c>
      <c r="B298" s="2103"/>
      <c r="C298" s="3256"/>
      <c r="D298" s="3257"/>
      <c r="E298" s="3257"/>
      <c r="F298" s="3258"/>
      <c r="G298" s="3265">
        <f>G291-G292+G293-G294+G295-G296+G297</f>
        <v>-193370969</v>
      </c>
      <c r="H298" s="3265">
        <f>H291-H292+H293-H294+H295-H296+H297</f>
        <v>65839659.700387351</v>
      </c>
      <c r="I298" s="3265">
        <f>I291-I292+I293-I294+I295-I296+I297</f>
        <v>0</v>
      </c>
      <c r="J298" s="3266">
        <f>J291-J292+J293-J294+J295-J296+J297</f>
        <v>-259210628.61430109</v>
      </c>
      <c r="K298" s="3205"/>
      <c r="O298" s="3306">
        <f>O291-O292+O293-O294+O295-O296+O297</f>
        <v>-193370969</v>
      </c>
      <c r="P298" s="3356">
        <f>P291-P292+P293-P294+P295-P296+P297</f>
        <v>65839659.700387351</v>
      </c>
      <c r="Q298" s="3356">
        <f>Q291-Q292+Q293-Q294+Q295-Q296+Q297</f>
        <v>0</v>
      </c>
      <c r="R298" s="3356">
        <f>R291-R292+R293-R294+R295-R296+R297</f>
        <v>-259210628.70038736</v>
      </c>
      <c r="S298" s="3264"/>
      <c r="W298" s="3306">
        <f>W291-W292+W293-W294+W295-W296+W297</f>
        <v>-193370969</v>
      </c>
      <c r="X298" s="3356">
        <f>X291-X292+X293-X294+X295-X296+X297</f>
        <v>65839659.700387351</v>
      </c>
      <c r="Y298" s="3356">
        <f>Y291-Y292+Y293-Y294+Y295-Y296+Y297</f>
        <v>0</v>
      </c>
      <c r="Z298" s="3356">
        <f>Z291-Z292+Z293-Z294+Z295-Z296+Z297</f>
        <v>-259210628.70038736</v>
      </c>
      <c r="AA298" s="3264"/>
      <c r="AE298" s="3306">
        <f>AE291-AE292+AE293-AE294+AE295-AE296+AE297</f>
        <v>-193370969</v>
      </c>
      <c r="AF298" s="3356">
        <f>AF291-AF292+AF293-AF294+AF295-AF296+AF297</f>
        <v>65839659.700387351</v>
      </c>
      <c r="AG298" s="3356">
        <f>AG291-AG292+AG293-AG294+AG295-AG296+AG297</f>
        <v>0</v>
      </c>
      <c r="AH298" s="3356">
        <f>AH291-AH292+AH293-AH294+AH295-AH296+AH297</f>
        <v>-259210628.70038736</v>
      </c>
      <c r="AI298" s="3264"/>
      <c r="AM298" s="3306">
        <f>AM291-AM292+AM293-AM294+AM295-AM296+AM297</f>
        <v>-193370969</v>
      </c>
      <c r="AN298" s="3356">
        <f>AN291-AN292+AN293-AN294+AN295-AN296+AN297</f>
        <v>65839659.700387351</v>
      </c>
      <c r="AO298" s="3356">
        <f>AO291-AO292+AO293-AO294+AO295-AO296+AO297</f>
        <v>0</v>
      </c>
      <c r="AP298" s="3356">
        <f>AP291-AP292+AP293-AP294+AP295-AP296+AP297</f>
        <v>-259210628.70038736</v>
      </c>
      <c r="AQ298" s="3264"/>
      <c r="AU298" s="3306">
        <f>AU291-AU292+AU293-AU294+AU295-AU296+AU297</f>
        <v>-193370969</v>
      </c>
      <c r="AV298" s="3356">
        <f>AV291-AV292+AV293-AV294+AV295-AV296+AV297</f>
        <v>65839659.700387351</v>
      </c>
      <c r="AW298" s="3356">
        <f>AW291-AW292+AW293-AW294+AW295-AW296+AW297</f>
        <v>0</v>
      </c>
      <c r="AX298" s="3356">
        <f>AX291-AX292+AX293-AX294+AX295-AX296+AX297</f>
        <v>-259210628.70038736</v>
      </c>
      <c r="AY298" s="3264"/>
      <c r="BC298" s="3306">
        <f>BC291-BC292+BC293-BC294+BC295-BC296+BC297</f>
        <v>-193370969</v>
      </c>
      <c r="BD298" s="3356">
        <f>BD291-BD292+BD293-BD294+BD295-BD296+BD297</f>
        <v>65839659.700387351</v>
      </c>
      <c r="BE298" s="3356">
        <f>BE291-BE292+BE293-BE294+BE295-BE296+BE297</f>
        <v>0</v>
      </c>
      <c r="BF298" s="3356">
        <f>BF291-BF292+BF293-BF294+BF295-BF296+BF297</f>
        <v>-259210628.70038736</v>
      </c>
      <c r="BG298" s="3264"/>
      <c r="BK298" s="3306">
        <f>BK291-BK292+BK293-BK294+BK295-BK296+BK297</f>
        <v>-193370969</v>
      </c>
      <c r="BL298" s="3356">
        <f>BL291-BL292+BL293-BL294+BL295-BL296+BL297</f>
        <v>65839659.700387351</v>
      </c>
      <c r="BM298" s="3356">
        <f>BM291-BM292+BM293-BM294+BM295-BM296+BM297</f>
        <v>0</v>
      </c>
      <c r="BN298" s="3356">
        <f>BN291-BN292+BN293-BN294+BN295-BN296+BN297</f>
        <v>-259210628.70038736</v>
      </c>
      <c r="BO298" s="3264"/>
      <c r="BS298" s="3306">
        <f>BS291-BS292+BS293-BS294+BS295-BS296+BS297</f>
        <v>-193370969</v>
      </c>
      <c r="BT298" s="3356">
        <f>BT291-BT292+BT293-BT294+BT295-BT296+BT297</f>
        <v>65839659.700387351</v>
      </c>
      <c r="BU298" s="3356">
        <f>BU291-BU292+BU293-BU294+BU295-BU296+BU297</f>
        <v>0</v>
      </c>
      <c r="BV298" s="3356">
        <f>BV291-BV292+BV293-BV294+BV295-BV296+BV297</f>
        <v>-259210628.70038736</v>
      </c>
      <c r="BW298" s="3264"/>
      <c r="CA298" s="3306">
        <f>CA291-CA292+CA293-CA294+CA295-CA296+CA297</f>
        <v>-193370969</v>
      </c>
      <c r="CB298" s="3356">
        <f>CB291-CB292+CB293-CB294+CB295-CB296+CB297</f>
        <v>65839659.700387351</v>
      </c>
      <c r="CC298" s="3356">
        <f>CC291-CC292+CC293-CC294+CC295-CC296+CC297</f>
        <v>0</v>
      </c>
      <c r="CD298" s="3356">
        <f>CD291-CD292+CD293-CD294+CD295-CD296+CD297</f>
        <v>-259210628.70038736</v>
      </c>
      <c r="CE298" s="3264"/>
      <c r="CI298" s="3306">
        <f>CI291-CI292+CI293-CI294+CI295-CI296+CI297</f>
        <v>-193370969</v>
      </c>
      <c r="CJ298" s="3356">
        <f>CJ291-CJ292+CJ293-CJ294+CJ295-CJ296+CJ297</f>
        <v>65839659.700387351</v>
      </c>
      <c r="CK298" s="3356">
        <f>CK291-CK292+CK293-CK294+CK295-CK296+CK297</f>
        <v>0</v>
      </c>
      <c r="CL298" s="3356">
        <f>CL291-CL292+CL293-CL294+CL295-CL296+CL297</f>
        <v>-259210628.70038736</v>
      </c>
      <c r="CM298" s="3264"/>
      <c r="CQ298" s="3306">
        <f>CQ291-CQ292+CQ293-CQ294+CQ295-CQ296+CQ297</f>
        <v>-193370969</v>
      </c>
      <c r="CR298" s="3356">
        <f>CR291-CR292+CR293-CR294+CR295-CR296+CR297</f>
        <v>65839659.700387351</v>
      </c>
      <c r="CS298" s="3356">
        <f>CS291-CS292+CS293-CS294+CS295-CS296+CS297</f>
        <v>0</v>
      </c>
      <c r="CT298" s="3356">
        <f>CT291-CT292+CT293-CT294+CT295-CT296+CT297</f>
        <v>-259210628.70038736</v>
      </c>
      <c r="CU298" s="3264"/>
      <c r="CY298" s="3306">
        <f>CY291-CY292+CY293-CY294+CY295-CY296+CY297</f>
        <v>-193370969</v>
      </c>
      <c r="CZ298" s="3356">
        <f>CZ291-CZ292+CZ293-CZ294+CZ295-CZ296+CZ297</f>
        <v>65839659.700387351</v>
      </c>
      <c r="DA298" s="3356">
        <f>DA291-DA292+DA293-DA294+DA295-DA296+DA297</f>
        <v>0</v>
      </c>
      <c r="DB298" s="3356">
        <f>DB291-DB292+DB293-DB294+DB295-DB296+DB297</f>
        <v>-259210628.70038736</v>
      </c>
      <c r="DC298" s="3264"/>
      <c r="DG298" s="3306">
        <f>DG291-DG292+DG293-DG294+DG295-DG296+DG297</f>
        <v>-193370969</v>
      </c>
      <c r="DH298" s="3356">
        <f>DH291-DH292+DH293-DH294+DH295-DH296+DH297</f>
        <v>65839659.700387351</v>
      </c>
      <c r="DI298" s="3356">
        <f>DI291-DI292+DI293-DI294+DI295-DI296+DI297</f>
        <v>0</v>
      </c>
      <c r="DJ298" s="3356">
        <f>DJ291-DJ292+DJ293-DJ294+DJ295-DJ296+DJ297</f>
        <v>-259210628.70038736</v>
      </c>
      <c r="DK298" s="3264"/>
      <c r="DO298" s="3306">
        <f>DO291-DO292+DO293-DO294+DO295-DO296+DO297</f>
        <v>-193370969</v>
      </c>
      <c r="DP298" s="3356">
        <f>DP291-DP292+DP293-DP294+DP295-DP296+DP297</f>
        <v>65839659.700387351</v>
      </c>
      <c r="DQ298" s="3356">
        <f>DQ291-DQ292+DQ293-DQ294+DQ295-DQ296+DQ297</f>
        <v>0</v>
      </c>
      <c r="DR298" s="3356">
        <f>DR291-DR292+DR293-DR294+DR295-DR296+DR297</f>
        <v>-259210628.70038736</v>
      </c>
      <c r="DS298" s="3264"/>
      <c r="DW298" s="3306">
        <f>DW291-DW292+DW293-DW294+DW295-DW296+DW297</f>
        <v>-193370969</v>
      </c>
      <c r="DX298" s="3356">
        <f>DX291-DX292+DX293-DX294+DX295-DX296+DX297</f>
        <v>65839659.700387351</v>
      </c>
      <c r="DY298" s="3356">
        <f>DY291-DY292+DY293-DY294+DY295-DY296+DY297</f>
        <v>0</v>
      </c>
      <c r="DZ298" s="3356">
        <f>DZ291-DZ292+DZ293-DZ294+DZ295-DZ296+DZ297</f>
        <v>-259210628.70038736</v>
      </c>
      <c r="EA298" s="3264"/>
      <c r="EE298" s="3306">
        <f>EE291-EE292+EE293-EE294+EE295-EE296+EE297</f>
        <v>-193370969</v>
      </c>
      <c r="EF298" s="3356">
        <f>EF291-EF292+EF293-EF294+EF295-EF296+EF297</f>
        <v>65839659.700387351</v>
      </c>
      <c r="EG298" s="3356">
        <f>EG291-EG292+EG293-EG294+EG295-EG296+EG297</f>
        <v>0</v>
      </c>
      <c r="EH298" s="3356">
        <f>EH291-EH292+EH293-EH294+EH295-EH296+EH297</f>
        <v>-259210628.70038736</v>
      </c>
      <c r="EI298" s="3264"/>
      <c r="EM298" s="3306">
        <f>EM291-EM292+EM293-EM294+EM295-EM296+EM297</f>
        <v>-193370969</v>
      </c>
      <c r="EN298" s="3356">
        <f>EN291-EN292+EN293-EN294+EN295-EN296+EN297</f>
        <v>65839659.700387351</v>
      </c>
      <c r="EO298" s="3356">
        <f>EO291-EO292+EO293-EO294+EO295-EO296+EO297</f>
        <v>0</v>
      </c>
      <c r="EP298" s="3356">
        <f>EP291-EP292+EP293-EP294+EP295-EP296+EP297</f>
        <v>-259210628.70038736</v>
      </c>
      <c r="EQ298" s="3264"/>
      <c r="EU298" s="3306">
        <f>EU291-EU292+EU293-EU294+EU295-EU296+EU297</f>
        <v>-193370969</v>
      </c>
      <c r="EV298" s="3356">
        <f>EV291-EV292+EV293-EV294+EV295-EV296+EV297</f>
        <v>65839659.700387351</v>
      </c>
      <c r="EW298" s="3356">
        <f>EW291-EW292+EW293-EW294+EW295-EW296+EW297</f>
        <v>0</v>
      </c>
      <c r="EX298" s="3356">
        <f>EX291-EX292+EX293-EX294+EX295-EX296+EX297</f>
        <v>-259210628.70038736</v>
      </c>
      <c r="EY298" s="3264"/>
      <c r="FC298" s="3306">
        <f>FC291-FC292+FC293-FC294+FC295-FC296+FC297</f>
        <v>-193370969</v>
      </c>
      <c r="FD298" s="3356">
        <f>FD291-FD292+FD293-FD294+FD295-FD296+FD297</f>
        <v>65839659.700387351</v>
      </c>
      <c r="FE298" s="3356">
        <f>FE291-FE292+FE293-FE294+FE295-FE296+FE297</f>
        <v>0</v>
      </c>
      <c r="FF298" s="3356">
        <f>FF291-FF292+FF293-FF294+FF295-FF296+FF297</f>
        <v>-259210628.70038736</v>
      </c>
      <c r="FG298" s="3264"/>
      <c r="FK298" s="3306">
        <f>FK291-FK292+FK293-FK294+FK295-FK296+FK297</f>
        <v>-193370969</v>
      </c>
      <c r="FL298" s="3356">
        <f>FL291-FL292+FL293-FL294+FL295-FL296+FL297</f>
        <v>65839659.700387351</v>
      </c>
      <c r="FM298" s="3356">
        <f>FM291-FM292+FM293-FM294+FM295-FM296+FM297</f>
        <v>0</v>
      </c>
      <c r="FN298" s="3356">
        <f>FN291-FN292+FN293-FN294+FN295-FN296+FN297</f>
        <v>-259210628.70038736</v>
      </c>
      <c r="FO298" s="3264"/>
    </row>
    <row r="299" spans="1:171">
      <c r="A299" s="3357"/>
      <c r="B299" s="2103"/>
      <c r="C299" s="2686"/>
      <c r="D299" s="2686"/>
      <c r="E299" s="2116"/>
      <c r="F299" s="2116"/>
      <c r="G299" s="2181"/>
      <c r="H299" s="2181"/>
      <c r="I299" s="2181"/>
      <c r="J299" s="2327"/>
      <c r="K299" s="3205"/>
      <c r="S299" s="3264"/>
      <c r="AA299" s="3264"/>
      <c r="AI299" s="3264"/>
      <c r="AQ299" s="3264"/>
      <c r="AY299" s="3264"/>
      <c r="BG299" s="3264"/>
      <c r="BO299" s="3264"/>
      <c r="BW299" s="3264"/>
      <c r="CE299" s="3264"/>
      <c r="CM299" s="3264"/>
      <c r="CU299" s="3264"/>
      <c r="DC299" s="3264"/>
      <c r="DK299" s="3264"/>
      <c r="DS299" s="3264"/>
      <c r="EA299" s="3264"/>
      <c r="EI299" s="3264"/>
      <c r="EQ299" s="3264"/>
      <c r="EY299" s="3264"/>
      <c r="FG299" s="3264"/>
      <c r="FO299" s="3264"/>
    </row>
    <row r="300" spans="1:171">
      <c r="A300" s="2669" t="s">
        <v>622</v>
      </c>
      <c r="B300" s="2103"/>
      <c r="C300" s="2116"/>
      <c r="D300" s="2116"/>
      <c r="E300" s="2116"/>
      <c r="F300" s="2116"/>
      <c r="G300" s="2181"/>
      <c r="H300" s="2181"/>
      <c r="I300" s="2181"/>
      <c r="J300" s="2327"/>
      <c r="K300" s="3205"/>
      <c r="S300" s="3264"/>
      <c r="AA300" s="3264"/>
      <c r="AI300" s="3264"/>
      <c r="AQ300" s="3264"/>
      <c r="AY300" s="3264"/>
      <c r="BG300" s="3264"/>
      <c r="BO300" s="3264"/>
      <c r="BW300" s="3264"/>
      <c r="CE300" s="3264"/>
      <c r="CM300" s="3264"/>
      <c r="CU300" s="3264"/>
      <c r="DC300" s="3264"/>
      <c r="DK300" s="3264"/>
      <c r="DS300" s="3264"/>
      <c r="EA300" s="3264"/>
      <c r="EI300" s="3264"/>
      <c r="EQ300" s="3264"/>
      <c r="EY300" s="3264"/>
      <c r="FG300" s="3264"/>
      <c r="FO300" s="3264"/>
    </row>
    <row r="301" spans="1:171">
      <c r="A301" s="2669"/>
      <c r="B301" s="2185" t="s">
        <v>64</v>
      </c>
      <c r="C301" s="2464">
        <v>310</v>
      </c>
      <c r="D301" s="2171">
        <v>447</v>
      </c>
      <c r="E301" s="2424" t="str">
        <f>'Sch 3B - Other Items'!E25</f>
        <v>PROD</v>
      </c>
      <c r="F301" s="2171"/>
      <c r="G301" s="2424">
        <f>'Sch 3B - Other Items'!G25</f>
        <v>640830574</v>
      </c>
      <c r="H301" s="2424">
        <f>'Sch 3B - Other Items'!H25</f>
        <v>640830574</v>
      </c>
      <c r="I301" s="2424">
        <f>'Sch 3B - Other Items'!I25</f>
        <v>0</v>
      </c>
      <c r="J301" s="2425">
        <f>'Sch 3B - Other Items'!J25</f>
        <v>0</v>
      </c>
      <c r="K301" s="3205">
        <f>IF($E301="DIRECT",0,1)</f>
        <v>1</v>
      </c>
      <c r="O301" s="3329">
        <f>O466</f>
        <v>640830574</v>
      </c>
      <c r="P301" s="3236">
        <f>VLOOKUP($E301,O$442:R$453,2,FALSE)*O301*($K301)+IF($G301&lt;&gt;0,($H301/$G301)*O301,0)*(1-$K301)</f>
        <v>640830574</v>
      </c>
      <c r="Q301" s="3236">
        <f>VLOOKUP($E301,O$442:R$453,3,FALSE)*O301*($K301)+IF($G301&lt;&gt;0,($I301/$G301)*O301,0)*(1-$K301)</f>
        <v>0</v>
      </c>
      <c r="R301" s="3236">
        <f>VLOOKUP($E301,O$442:R$453,4,FALSE)*O301*($K301)+(O301-P301-Q301)*(1-$K301)</f>
        <v>0</v>
      </c>
      <c r="S301" s="3264"/>
      <c r="W301" s="3329">
        <f>W466</f>
        <v>640830574</v>
      </c>
      <c r="X301" s="3236">
        <f>VLOOKUP($E301,W$442:Z$453,2,FALSE)*W301*($K301)+IF($G301&lt;&gt;0,($H301/$G301)*W301,0)*(1-$K301)</f>
        <v>640830574</v>
      </c>
      <c r="Y301" s="3236">
        <f>VLOOKUP($E301,W$442:Z$453,3,FALSE)*W301*($K301)+IF($G301&lt;&gt;0,($I301/$G301)*W301,0)*(1-$K301)</f>
        <v>0</v>
      </c>
      <c r="Z301" s="3236">
        <f>VLOOKUP($E301,W$442:Z$453,4,FALSE)*W301*($K301)+(W301-X301-Y301)*(1-$K301)</f>
        <v>0</v>
      </c>
      <c r="AA301" s="3264"/>
      <c r="AE301" s="3329">
        <f>AE466</f>
        <v>640830574</v>
      </c>
      <c r="AF301" s="3236">
        <f>VLOOKUP($E301,AE$442:AH$453,2,FALSE)*AE301*($K301)+IF($G301&lt;&gt;0,($H301/$G301)*AE301,0)*(1-$K301)</f>
        <v>640830574</v>
      </c>
      <c r="AG301" s="3236">
        <f>VLOOKUP($E301,AE$442:AH$453,3,FALSE)*AE301*($K301)+IF($G301&lt;&gt;0,($I301/$G301)*AE301,0)*(1-$K301)</f>
        <v>0</v>
      </c>
      <c r="AH301" s="3236">
        <f>VLOOKUP($E301,AE$442:AH$453,4,FALSE)*AE301*($K301)+(AE301-AF301-AG301)*(1-$K301)</f>
        <v>0</v>
      </c>
      <c r="AI301" s="3264"/>
      <c r="AM301" s="3329">
        <f>AM466</f>
        <v>640830574</v>
      </c>
      <c r="AN301" s="3236">
        <f>VLOOKUP($E301,AM$442:AP$453,2,FALSE)*AM301*($K301)+IF($G301&lt;&gt;0,($H301/$G301)*AM301,0)*(1-$K301)</f>
        <v>640830574</v>
      </c>
      <c r="AO301" s="3236">
        <f>VLOOKUP($E301,AM$442:AP$453,3,FALSE)*AM301*($K301)+IF($G301&lt;&gt;0,($I301/$G301)*AM301,0)*(1-$K301)</f>
        <v>0</v>
      </c>
      <c r="AP301" s="3236">
        <f>VLOOKUP($E301,AM$442:AP$453,4,FALSE)*AM301*($K301)+(AM301-AN301-AO301)*(1-$K301)</f>
        <v>0</v>
      </c>
      <c r="AQ301" s="3264"/>
      <c r="AU301" s="3329">
        <f>AU466</f>
        <v>640830574</v>
      </c>
      <c r="AV301" s="3236">
        <f>VLOOKUP($E301,AU$442:AX$453,2,FALSE)*AU301*($K301)+IF($G301&lt;&gt;0,($H301/$G301)*AU301,0)*(1-$K301)</f>
        <v>640830574</v>
      </c>
      <c r="AW301" s="3236">
        <f>VLOOKUP($E301,AU$442:AX$453,3,FALSE)*AU301*($K301)+IF($G301&lt;&gt;0,($I301/$G301)*AU301,0)*(1-$K301)</f>
        <v>0</v>
      </c>
      <c r="AX301" s="3236">
        <f>VLOOKUP($E301,AU$442:AX$453,4,FALSE)*AU301*($K301)+(AU301-AV301-AW301)*(1-$K301)</f>
        <v>0</v>
      </c>
      <c r="AY301" s="3264"/>
      <c r="BC301" s="3329">
        <f>BC466</f>
        <v>640830574</v>
      </c>
      <c r="BD301" s="3236">
        <f>VLOOKUP($E301,BC$442:BF$453,2,FALSE)*BC301*($K301)+IF($G301&lt;&gt;0,($H301/$G301)*BC301,0)*(1-$K301)</f>
        <v>640830574</v>
      </c>
      <c r="BE301" s="3236">
        <f>VLOOKUP($E301,BC$442:BF$453,3,FALSE)*BC301*($K301)+IF($G301&lt;&gt;0,($I301/$G301)*BC301,0)*(1-$K301)</f>
        <v>0</v>
      </c>
      <c r="BF301" s="3236">
        <f>VLOOKUP($E301,BC$442:BF$453,4,FALSE)*BC301*($K301)+(BC301-BD301-BE301)*(1-$K301)</f>
        <v>0</v>
      </c>
      <c r="BG301" s="3264"/>
      <c r="BK301" s="3329">
        <f>BK466</f>
        <v>640830574</v>
      </c>
      <c r="BL301" s="3236">
        <f>VLOOKUP($E301,BK$442:BN$453,2,FALSE)*BK301*($K301)+IF($G301&lt;&gt;0,($H301/$G301)*BK301,0)*(1-$K301)</f>
        <v>640830574</v>
      </c>
      <c r="BM301" s="3236">
        <f>VLOOKUP($E301,BK$442:BN$453,3,FALSE)*BK301*($K301)+IF($G301&lt;&gt;0,($I301/$G301)*BK301,0)*(1-$K301)</f>
        <v>0</v>
      </c>
      <c r="BN301" s="3236">
        <f>VLOOKUP($E301,BK$442:BN$453,4,FALSE)*BK301*($K301)+(BK301-BL301-BM301)*(1-$K301)</f>
        <v>0</v>
      </c>
      <c r="BO301" s="3264"/>
      <c r="BS301" s="3329">
        <f>BS466</f>
        <v>640830574</v>
      </c>
      <c r="BT301" s="3236">
        <f>VLOOKUP($E301,BS$442:BV$453,2,FALSE)*BS301*($K301)+IF($G301&lt;&gt;0,($H301/$G301)*BS301,0)*(1-$K301)</f>
        <v>640830574</v>
      </c>
      <c r="BU301" s="3236">
        <f>VLOOKUP($E301,BS$442:BV$453,3,FALSE)*BS301*($K301)+IF($G301&lt;&gt;0,($I301/$G301)*BS301,0)*(1-$K301)</f>
        <v>0</v>
      </c>
      <c r="BV301" s="3236">
        <f>VLOOKUP($E301,BS$442:BV$453,4,FALSE)*BS301*($K301)+(BS301-BT301-BU301)*(1-$K301)</f>
        <v>0</v>
      </c>
      <c r="BW301" s="3264"/>
      <c r="CA301" s="3329">
        <f>CA466</f>
        <v>640830574</v>
      </c>
      <c r="CB301" s="3236">
        <f>VLOOKUP($E301,CA$442:CD$453,2,FALSE)*CA301*($K301)+IF($G301&lt;&gt;0,($H301/$G301)*CA301,0)*(1-$K301)</f>
        <v>640830574</v>
      </c>
      <c r="CC301" s="3236">
        <f>VLOOKUP($E301,CA$442:CD$453,3,FALSE)*CA301*($K301)+IF($G301&lt;&gt;0,($I301/$G301)*CA301,0)*(1-$K301)</f>
        <v>0</v>
      </c>
      <c r="CD301" s="3236">
        <f>VLOOKUP($E301,CA$442:CD$453,4,FALSE)*CA301*($K301)+(CA301-CB301-CC301)*(1-$K301)</f>
        <v>0</v>
      </c>
      <c r="CE301" s="3264"/>
      <c r="CI301" s="3329">
        <f>CI466</f>
        <v>640830574</v>
      </c>
      <c r="CJ301" s="3236">
        <f>VLOOKUP($E301,CI$442:CL$453,2,FALSE)*CI301*($K301)+IF($G301&lt;&gt;0,($H301/$G301)*CI301,0)*(1-$K301)</f>
        <v>640830574</v>
      </c>
      <c r="CK301" s="3236">
        <f>VLOOKUP($E301,CI$442:CL$453,3,FALSE)*CI301*($K301)+IF($G301&lt;&gt;0,($I301/$G301)*CI301,0)*(1-$K301)</f>
        <v>0</v>
      </c>
      <c r="CL301" s="3236">
        <f>VLOOKUP($E301,CI$442:CL$453,4,FALSE)*CI301*($K301)+(CI301-CJ301-CK301)*(1-$K301)</f>
        <v>0</v>
      </c>
      <c r="CM301" s="3264"/>
      <c r="CQ301" s="3329">
        <f>CQ466</f>
        <v>640830574</v>
      </c>
      <c r="CR301" s="3236">
        <f>VLOOKUP($E301,CQ$442:CT$453,2,FALSE)*CQ301*($K301)+IF($G301&lt;&gt;0,($H301/$G301)*CQ301,0)*(1-$K301)</f>
        <v>640830574</v>
      </c>
      <c r="CS301" s="3236">
        <f>VLOOKUP($E301,CQ$442:CT$453,3,FALSE)*CQ301*($K301)+IF($G301&lt;&gt;0,($I301/$G301)*CQ301,0)*(1-$K301)</f>
        <v>0</v>
      </c>
      <c r="CT301" s="3236">
        <f>VLOOKUP($E301,CQ$442:CT$453,4,FALSE)*CQ301*($K301)+(CQ301-CR301-CS301)*(1-$K301)</f>
        <v>0</v>
      </c>
      <c r="CU301" s="3264"/>
      <c r="CY301" s="3329">
        <f>CY466</f>
        <v>640830574</v>
      </c>
      <c r="CZ301" s="3236">
        <f>VLOOKUP($E301,CY$442:DB$453,2,FALSE)*CY301*($K301)+IF($G301&lt;&gt;0,($H301/$G301)*CY301,0)*(1-$K301)</f>
        <v>640830574</v>
      </c>
      <c r="DA301" s="3236">
        <f>VLOOKUP($E301,CY$442:DB$453,3,FALSE)*CY301*($K301)+IF($G301&lt;&gt;0,($I301/$G301)*CY301,0)*(1-$K301)</f>
        <v>0</v>
      </c>
      <c r="DB301" s="3236">
        <f>VLOOKUP($E301,CY$442:DB$453,4,FALSE)*CY301*($K301)+(CY301-CZ301-DA301)*(1-$K301)</f>
        <v>0</v>
      </c>
      <c r="DC301" s="3264"/>
      <c r="DG301" s="3329">
        <f>DG466</f>
        <v>640830574</v>
      </c>
      <c r="DH301" s="3236">
        <f>VLOOKUP($E301,DG$442:DJ$453,2,FALSE)*DG301*($K301)+IF($G301&lt;&gt;0,($H301/$G301)*DG301,0)*(1-$K301)</f>
        <v>640830574</v>
      </c>
      <c r="DI301" s="3236">
        <f>VLOOKUP($E301,DG$442:DJ$453,3,FALSE)*DG301*($K301)+IF($G301&lt;&gt;0,($I301/$G301)*DG301,0)*(1-$K301)</f>
        <v>0</v>
      </c>
      <c r="DJ301" s="3236">
        <f>VLOOKUP($E301,DG$442:DJ$453,4,FALSE)*DG301*($K301)+(DG301-DH301-DI301)*(1-$K301)</f>
        <v>0</v>
      </c>
      <c r="DK301" s="3264"/>
      <c r="DO301" s="3329">
        <f>DO466</f>
        <v>640830574</v>
      </c>
      <c r="DP301" s="3236">
        <f>VLOOKUP($E301,DO$442:DR$453,2,FALSE)*DO301*($K301)+IF($G301&lt;&gt;0,($H301/$G301)*DO301,0)*(1-$K301)</f>
        <v>640830574</v>
      </c>
      <c r="DQ301" s="3236">
        <f>VLOOKUP($E301,DO$442:DR$453,3,FALSE)*DO301*($K301)+IF($G301&lt;&gt;0,($I301/$G301)*DO301,0)*(1-$K301)</f>
        <v>0</v>
      </c>
      <c r="DR301" s="3236">
        <f>VLOOKUP($E301,DO$442:DR$453,4,FALSE)*DO301*($K301)+(DO301-DP301-DQ301)*(1-$K301)</f>
        <v>0</v>
      </c>
      <c r="DS301" s="3264"/>
      <c r="DW301" s="3329">
        <f>DW466</f>
        <v>640830574</v>
      </c>
      <c r="DX301" s="3236">
        <f>VLOOKUP($E301,DW$442:DZ$453,2,FALSE)*DW301*($K301)+IF($G301&lt;&gt;0,($H301/$G301)*DW301,0)*(1-$K301)</f>
        <v>640830574</v>
      </c>
      <c r="DY301" s="3236">
        <f>VLOOKUP($E301,DW$442:DZ$453,3,FALSE)*DW301*($K301)+IF($G301&lt;&gt;0,($I301/$G301)*DW301,0)*(1-$K301)</f>
        <v>0</v>
      </c>
      <c r="DZ301" s="3236">
        <f>VLOOKUP($E301,DW$442:DZ$453,4,FALSE)*DW301*($K301)+(DW301-DX301-DY301)*(1-$K301)</f>
        <v>0</v>
      </c>
      <c r="EA301" s="3264"/>
      <c r="EE301" s="3329">
        <f>EE466</f>
        <v>640830574</v>
      </c>
      <c r="EF301" s="3236">
        <f>VLOOKUP($E301,EE$442:EH$453,2,FALSE)*EE301*($K301)+IF($G301&lt;&gt;0,($H301/$G301)*EE301,0)*(1-$K301)</f>
        <v>640830574</v>
      </c>
      <c r="EG301" s="3236">
        <f>VLOOKUP($E301,EE$442:EH$453,3,FALSE)*EE301*($K301)+IF($G301&lt;&gt;0,($I301/$G301)*EE301,0)*(1-$K301)</f>
        <v>0</v>
      </c>
      <c r="EH301" s="3236">
        <f>VLOOKUP($E301,EE$442:EH$453,4,FALSE)*EE301*($K301)+(EE301-EF301-EG301)*(1-$K301)</f>
        <v>0</v>
      </c>
      <c r="EI301" s="3264"/>
      <c r="EM301" s="3329">
        <f>EM466</f>
        <v>640830574</v>
      </c>
      <c r="EN301" s="3236">
        <f>VLOOKUP($E301,EM$442:EP$453,2,FALSE)*EM301*($K301)+IF($G301&lt;&gt;0,($H301/$G301)*EM301,0)*(1-$K301)</f>
        <v>640830574</v>
      </c>
      <c r="EO301" s="3236">
        <f>VLOOKUP($E301,EM$442:EP$453,3,FALSE)*EM301*($K301)+IF($G301&lt;&gt;0,($I301/$G301)*EM301,0)*(1-$K301)</f>
        <v>0</v>
      </c>
      <c r="EP301" s="3236">
        <f>VLOOKUP($E301,EM$442:EP$453,4,FALSE)*EM301*($K301)+(EM301-EN301-EO301)*(1-$K301)</f>
        <v>0</v>
      </c>
      <c r="EQ301" s="3264"/>
      <c r="EU301" s="3329">
        <f>EU466</f>
        <v>640830574</v>
      </c>
      <c r="EV301" s="3236">
        <f>VLOOKUP($E301,EU$442:EX$453,2,FALSE)*EU301*($K301)+IF($G301&lt;&gt;0,($H301/$G301)*EU301,0)*(1-$K301)</f>
        <v>640830574</v>
      </c>
      <c r="EW301" s="3236">
        <f>VLOOKUP($E301,EU$442:EX$453,3,FALSE)*EU301*($K301)+IF($G301&lt;&gt;0,($I301/$G301)*EU301,0)*(1-$K301)</f>
        <v>0</v>
      </c>
      <c r="EX301" s="3236">
        <f>VLOOKUP($E301,EU$442:EX$453,4,FALSE)*EU301*($K301)+(EU301-EV301-EW301)*(1-$K301)</f>
        <v>0</v>
      </c>
      <c r="EY301" s="3264"/>
      <c r="FC301" s="3329">
        <f>FC466</f>
        <v>640830574</v>
      </c>
      <c r="FD301" s="3236">
        <f>VLOOKUP($E301,FC$442:FF$453,2,FALSE)*FC301*($K301)+IF($G301&lt;&gt;0,($H301/$G301)*FC301,0)*(1-$K301)</f>
        <v>640830574</v>
      </c>
      <c r="FE301" s="3236">
        <f>VLOOKUP($E301,FC$442:FF$453,3,FALSE)*FC301*($K301)+IF($G301&lt;&gt;0,($I301/$G301)*FC301,0)*(1-$K301)</f>
        <v>0</v>
      </c>
      <c r="FF301" s="3236">
        <f>VLOOKUP($E301,FC$442:FF$453,4,FALSE)*FC301*($K301)+(FC301-FD301-FE301)*(1-$K301)</f>
        <v>0</v>
      </c>
      <c r="FG301" s="3264"/>
      <c r="FK301" s="3329">
        <f>FK466</f>
        <v>640830574</v>
      </c>
      <c r="FL301" s="3236">
        <f>VLOOKUP($E301,FK$442:FN$453,2,FALSE)*FK301*($K301)+IF($G301&lt;&gt;0,($H301/$G301)*FK301,0)*(1-$K301)</f>
        <v>640830574</v>
      </c>
      <c r="FM301" s="3236">
        <f>VLOOKUP($E301,FK$442:FN$453,3,FALSE)*FK301*($K301)+IF($G301&lt;&gt;0,($I301/$G301)*FK301,0)*(1-$K301)</f>
        <v>0</v>
      </c>
      <c r="FN301" s="3236">
        <f>VLOOKUP($E301,FK$442:FN$453,4,FALSE)*FK301*($K301)+(FK301-FL301-FM301)*(1-$K301)</f>
        <v>0</v>
      </c>
      <c r="FO301" s="3264"/>
    </row>
    <row r="302" spans="1:171">
      <c r="A302" s="2310" t="s">
        <v>65</v>
      </c>
      <c r="B302" s="2100"/>
      <c r="C302" s="3256"/>
      <c r="D302" s="3257"/>
      <c r="E302" s="3257"/>
      <c r="F302" s="3258"/>
      <c r="G302" s="3265">
        <f>SUM(G301)</f>
        <v>640830574</v>
      </c>
      <c r="H302" s="3265">
        <f>SUM(H301)</f>
        <v>640830574</v>
      </c>
      <c r="I302" s="3265">
        <f>SUM(I301)</f>
        <v>0</v>
      </c>
      <c r="J302" s="3266">
        <f>SUM(J301)</f>
        <v>0</v>
      </c>
      <c r="K302" s="3205"/>
      <c r="O302" s="3306">
        <f>SUM(O301)</f>
        <v>640830574</v>
      </c>
      <c r="P302" s="3356">
        <f>SUM(P301)</f>
        <v>640830574</v>
      </c>
      <c r="Q302" s="3356">
        <f>SUM(Q301)</f>
        <v>0</v>
      </c>
      <c r="R302" s="3356">
        <f>SUM(R301)</f>
        <v>0</v>
      </c>
      <c r="S302" s="3264"/>
      <c r="W302" s="3306">
        <f>SUM(W301)</f>
        <v>640830574</v>
      </c>
      <c r="X302" s="3356">
        <f>SUM(X301)</f>
        <v>640830574</v>
      </c>
      <c r="Y302" s="3356">
        <f>SUM(Y301)</f>
        <v>0</v>
      </c>
      <c r="Z302" s="3356">
        <f>SUM(Z301)</f>
        <v>0</v>
      </c>
      <c r="AA302" s="3264"/>
      <c r="AE302" s="3306">
        <f>SUM(AE301)</f>
        <v>640830574</v>
      </c>
      <c r="AF302" s="3356">
        <f>SUM(AF301)</f>
        <v>640830574</v>
      </c>
      <c r="AG302" s="3356">
        <f>SUM(AG301)</f>
        <v>0</v>
      </c>
      <c r="AH302" s="3356">
        <f>SUM(AH301)</f>
        <v>0</v>
      </c>
      <c r="AI302" s="3264"/>
      <c r="AM302" s="3306">
        <f>SUM(AM301)</f>
        <v>640830574</v>
      </c>
      <c r="AN302" s="3356">
        <f>SUM(AN301)</f>
        <v>640830574</v>
      </c>
      <c r="AO302" s="3356">
        <f>SUM(AO301)</f>
        <v>0</v>
      </c>
      <c r="AP302" s="3356">
        <f>SUM(AP301)</f>
        <v>0</v>
      </c>
      <c r="AQ302" s="3264"/>
      <c r="AU302" s="3306">
        <f>SUM(AU301)</f>
        <v>640830574</v>
      </c>
      <c r="AV302" s="3356">
        <f>SUM(AV301)</f>
        <v>640830574</v>
      </c>
      <c r="AW302" s="3356">
        <f>SUM(AW301)</f>
        <v>0</v>
      </c>
      <c r="AX302" s="3356">
        <f>SUM(AX301)</f>
        <v>0</v>
      </c>
      <c r="AY302" s="3264"/>
      <c r="BC302" s="3306">
        <f>SUM(BC301)</f>
        <v>640830574</v>
      </c>
      <c r="BD302" s="3356">
        <f>SUM(BD301)</f>
        <v>640830574</v>
      </c>
      <c r="BE302" s="3356">
        <f>SUM(BE301)</f>
        <v>0</v>
      </c>
      <c r="BF302" s="3356">
        <f>SUM(BF301)</f>
        <v>0</v>
      </c>
      <c r="BG302" s="3264"/>
      <c r="BK302" s="3306">
        <f>SUM(BK301)</f>
        <v>640830574</v>
      </c>
      <c r="BL302" s="3356">
        <f>SUM(BL301)</f>
        <v>640830574</v>
      </c>
      <c r="BM302" s="3356">
        <f>SUM(BM301)</f>
        <v>0</v>
      </c>
      <c r="BN302" s="3356">
        <f>SUM(BN301)</f>
        <v>0</v>
      </c>
      <c r="BO302" s="3264"/>
      <c r="BS302" s="3306">
        <f>SUM(BS301)</f>
        <v>640830574</v>
      </c>
      <c r="BT302" s="3356">
        <f>SUM(BT301)</f>
        <v>640830574</v>
      </c>
      <c r="BU302" s="3356">
        <f>SUM(BU301)</f>
        <v>0</v>
      </c>
      <c r="BV302" s="3356">
        <f>SUM(BV301)</f>
        <v>0</v>
      </c>
      <c r="BW302" s="3264"/>
      <c r="CA302" s="3306">
        <f>SUM(CA301)</f>
        <v>640830574</v>
      </c>
      <c r="CB302" s="3356">
        <f>SUM(CB301)</f>
        <v>640830574</v>
      </c>
      <c r="CC302" s="3356">
        <f>SUM(CC301)</f>
        <v>0</v>
      </c>
      <c r="CD302" s="3356">
        <f>SUM(CD301)</f>
        <v>0</v>
      </c>
      <c r="CE302" s="3264"/>
      <c r="CI302" s="3306">
        <f>SUM(CI301)</f>
        <v>640830574</v>
      </c>
      <c r="CJ302" s="3356">
        <f>SUM(CJ301)</f>
        <v>640830574</v>
      </c>
      <c r="CK302" s="3356">
        <f>SUM(CK301)</f>
        <v>0</v>
      </c>
      <c r="CL302" s="3356">
        <f>SUM(CL301)</f>
        <v>0</v>
      </c>
      <c r="CM302" s="3264"/>
      <c r="CQ302" s="3306">
        <f>SUM(CQ301)</f>
        <v>640830574</v>
      </c>
      <c r="CR302" s="3356">
        <f>SUM(CR301)</f>
        <v>640830574</v>
      </c>
      <c r="CS302" s="3356">
        <f>SUM(CS301)</f>
        <v>0</v>
      </c>
      <c r="CT302" s="3356">
        <f>SUM(CT301)</f>
        <v>0</v>
      </c>
      <c r="CU302" s="3264"/>
      <c r="CY302" s="3306">
        <f>SUM(CY301)</f>
        <v>640830574</v>
      </c>
      <c r="CZ302" s="3356">
        <f>SUM(CZ301)</f>
        <v>640830574</v>
      </c>
      <c r="DA302" s="3356">
        <f>SUM(DA301)</f>
        <v>0</v>
      </c>
      <c r="DB302" s="3356">
        <f>SUM(DB301)</f>
        <v>0</v>
      </c>
      <c r="DC302" s="3264"/>
      <c r="DG302" s="3306">
        <f>SUM(DG301)</f>
        <v>640830574</v>
      </c>
      <c r="DH302" s="3356">
        <f>SUM(DH301)</f>
        <v>640830574</v>
      </c>
      <c r="DI302" s="3356">
        <f>SUM(DI301)</f>
        <v>0</v>
      </c>
      <c r="DJ302" s="3356">
        <f>SUM(DJ301)</f>
        <v>0</v>
      </c>
      <c r="DK302" s="3264"/>
      <c r="DO302" s="3306">
        <f>SUM(DO301)</f>
        <v>640830574</v>
      </c>
      <c r="DP302" s="3356">
        <f>SUM(DP301)</f>
        <v>640830574</v>
      </c>
      <c r="DQ302" s="3356">
        <f>SUM(DQ301)</f>
        <v>0</v>
      </c>
      <c r="DR302" s="3356">
        <f>SUM(DR301)</f>
        <v>0</v>
      </c>
      <c r="DS302" s="3264"/>
      <c r="DW302" s="3306">
        <f>SUM(DW301)</f>
        <v>640830574</v>
      </c>
      <c r="DX302" s="3356">
        <f>SUM(DX301)</f>
        <v>640830574</v>
      </c>
      <c r="DY302" s="3356">
        <f>SUM(DY301)</f>
        <v>0</v>
      </c>
      <c r="DZ302" s="3356">
        <f>SUM(DZ301)</f>
        <v>0</v>
      </c>
      <c r="EA302" s="3264"/>
      <c r="EE302" s="3306">
        <f>SUM(EE301)</f>
        <v>640830574</v>
      </c>
      <c r="EF302" s="3356">
        <f>SUM(EF301)</f>
        <v>640830574</v>
      </c>
      <c r="EG302" s="3356">
        <f>SUM(EG301)</f>
        <v>0</v>
      </c>
      <c r="EH302" s="3356">
        <f>SUM(EH301)</f>
        <v>0</v>
      </c>
      <c r="EI302" s="3264"/>
      <c r="EM302" s="3306">
        <f>SUM(EM301)</f>
        <v>640830574</v>
      </c>
      <c r="EN302" s="3356">
        <f>SUM(EN301)</f>
        <v>640830574</v>
      </c>
      <c r="EO302" s="3356">
        <f>SUM(EO301)</f>
        <v>0</v>
      </c>
      <c r="EP302" s="3356">
        <f>SUM(EP301)</f>
        <v>0</v>
      </c>
      <c r="EQ302" s="3264"/>
      <c r="EU302" s="3306">
        <f>SUM(EU301)</f>
        <v>640830574</v>
      </c>
      <c r="EV302" s="3356">
        <f>SUM(EV301)</f>
        <v>640830574</v>
      </c>
      <c r="EW302" s="3356">
        <f>SUM(EW301)</f>
        <v>0</v>
      </c>
      <c r="EX302" s="3356">
        <f>SUM(EX301)</f>
        <v>0</v>
      </c>
      <c r="EY302" s="3264"/>
      <c r="FC302" s="3306">
        <f>SUM(FC301)</f>
        <v>640830574</v>
      </c>
      <c r="FD302" s="3356">
        <f>SUM(FD301)</f>
        <v>640830574</v>
      </c>
      <c r="FE302" s="3356">
        <f>SUM(FE301)</f>
        <v>0</v>
      </c>
      <c r="FF302" s="3356">
        <f>SUM(FF301)</f>
        <v>0</v>
      </c>
      <c r="FG302" s="3264"/>
      <c r="FK302" s="3306">
        <f>SUM(FK301)</f>
        <v>640830574</v>
      </c>
      <c r="FL302" s="3356">
        <f>SUM(FL301)</f>
        <v>640830574</v>
      </c>
      <c r="FM302" s="3356">
        <f>SUM(FM301)</f>
        <v>0</v>
      </c>
      <c r="FN302" s="3356">
        <f>SUM(FN301)</f>
        <v>0</v>
      </c>
      <c r="FO302" s="3264"/>
    </row>
    <row r="303" spans="1:171">
      <c r="A303" s="2306"/>
      <c r="B303" s="2100"/>
      <c r="C303" s="2116"/>
      <c r="D303" s="2116"/>
      <c r="E303" s="2116"/>
      <c r="F303" s="2116"/>
      <c r="G303" s="2181"/>
      <c r="H303" s="2181"/>
      <c r="I303" s="2181"/>
      <c r="J303" s="2327"/>
      <c r="K303" s="3205"/>
      <c r="S303" s="3264"/>
      <c r="AA303" s="3264"/>
      <c r="AI303" s="3264"/>
      <c r="AQ303" s="3264"/>
      <c r="AY303" s="3264"/>
      <c r="BG303" s="3264"/>
      <c r="BO303" s="3264"/>
      <c r="BW303" s="3264"/>
      <c r="CE303" s="3264"/>
      <c r="CM303" s="3264"/>
      <c r="CU303" s="3264"/>
      <c r="DC303" s="3264"/>
      <c r="DK303" s="3264"/>
      <c r="DS303" s="3264"/>
      <c r="EA303" s="3264"/>
      <c r="EI303" s="3264"/>
      <c r="EQ303" s="3264"/>
      <c r="EY303" s="3264"/>
      <c r="FG303" s="3264"/>
      <c r="FO303" s="3264"/>
    </row>
    <row r="304" spans="1:171">
      <c r="A304" s="2305" t="s">
        <v>43</v>
      </c>
      <c r="B304" s="2100"/>
      <c r="C304" s="2116"/>
      <c r="D304" s="2116"/>
      <c r="E304" s="2116"/>
      <c r="F304" s="2116"/>
      <c r="G304" s="2181"/>
      <c r="H304" s="2181"/>
      <c r="I304" s="2181"/>
      <c r="J304" s="2327"/>
      <c r="K304" s="3205"/>
      <c r="S304" s="3264"/>
      <c r="AA304" s="3264"/>
      <c r="AI304" s="3264"/>
      <c r="AQ304" s="3264"/>
      <c r="AY304" s="3264"/>
      <c r="BG304" s="3264"/>
      <c r="BO304" s="3264"/>
      <c r="BW304" s="3264"/>
      <c r="CE304" s="3264"/>
      <c r="CM304" s="3264"/>
      <c r="CU304" s="3264"/>
      <c r="DC304" s="3264"/>
      <c r="DK304" s="3264"/>
      <c r="DS304" s="3264"/>
      <c r="EA304" s="3264"/>
      <c r="EI304" s="3264"/>
      <c r="EQ304" s="3264"/>
      <c r="EY304" s="3264"/>
      <c r="FG304" s="3264"/>
      <c r="FO304" s="3264"/>
    </row>
    <row r="305" spans="1:171">
      <c r="A305" s="2442"/>
      <c r="B305" s="2290" t="s">
        <v>325</v>
      </c>
      <c r="C305" s="2464">
        <v>300</v>
      </c>
      <c r="D305" s="2171">
        <v>450</v>
      </c>
      <c r="E305" s="2424" t="str">
        <f>'Sch 3B - Other Items'!E29</f>
        <v>DIST</v>
      </c>
      <c r="F305" s="2171"/>
      <c r="G305" s="2424">
        <f>'Sch 3B - Other Items'!G29</f>
        <v>-758</v>
      </c>
      <c r="H305" s="2424">
        <f>'Sch 3B - Other Items'!H29</f>
        <v>0</v>
      </c>
      <c r="I305" s="2424">
        <f>'Sch 3B - Other Items'!I29</f>
        <v>0</v>
      </c>
      <c r="J305" s="2425">
        <f>'Sch 3B - Other Items'!J29</f>
        <v>-758</v>
      </c>
      <c r="K305" s="3205">
        <f t="shared" ref="K305:K311" si="892">IF($E305="DIRECT",0,1)</f>
        <v>1</v>
      </c>
      <c r="O305" s="3235">
        <f>$G305</f>
        <v>-758</v>
      </c>
      <c r="P305" s="3236">
        <f t="shared" ref="P305:P311" si="893">VLOOKUP($E305,O$442:R$453,2,FALSE)*O305*($K305)+IF($G305&lt;&gt;0,($H305/$G305)*O305,0)*(1-$K305)</f>
        <v>0</v>
      </c>
      <c r="Q305" s="3236">
        <f t="shared" ref="Q305:Q311" si="894">VLOOKUP($E305,O$442:R$453,3,FALSE)*O305*($K305)+IF($G305&lt;&gt;0,($I305/$G305)*O305,0)*(1-$K305)</f>
        <v>0</v>
      </c>
      <c r="R305" s="3236">
        <f t="shared" ref="R305:R311" si="895">VLOOKUP($E305,O$442:R$453,4,FALSE)*O305*($K305)+(O305-P305-Q305)*(1-$K305)</f>
        <v>-758</v>
      </c>
      <c r="S305" s="3264"/>
      <c r="W305" s="3235">
        <f>$G305</f>
        <v>-758</v>
      </c>
      <c r="X305" s="3236">
        <f t="shared" ref="X305:X311" si="896">VLOOKUP($E305,W$442:Z$453,2,FALSE)*W305*($K305)+IF($G305&lt;&gt;0,($H305/$G305)*W305,0)*(1-$K305)</f>
        <v>0</v>
      </c>
      <c r="Y305" s="3236">
        <f t="shared" ref="Y305:Y311" si="897">VLOOKUP($E305,W$442:Z$453,3,FALSE)*W305*($K305)+IF($G305&lt;&gt;0,($I305/$G305)*W305,0)*(1-$K305)</f>
        <v>0</v>
      </c>
      <c r="Z305" s="3236">
        <f t="shared" ref="Z305:Z311" si="898">VLOOKUP($E305,W$442:Z$453,4,FALSE)*W305*($K305)+(W305-X305-Y305)*(1-$K305)</f>
        <v>-758</v>
      </c>
      <c r="AA305" s="3264"/>
      <c r="AE305" s="3235">
        <f>$G305</f>
        <v>-758</v>
      </c>
      <c r="AF305" s="3236">
        <f t="shared" ref="AF305:AF311" si="899">VLOOKUP($E305,AE$442:AH$453,2,FALSE)*AE305*($K305)+IF($G305&lt;&gt;0,($H305/$G305)*AE305,0)*(1-$K305)</f>
        <v>0</v>
      </c>
      <c r="AG305" s="3236">
        <f t="shared" ref="AG305:AG311" si="900">VLOOKUP($E305,AE$442:AH$453,3,FALSE)*AE305*($K305)+IF($G305&lt;&gt;0,($I305/$G305)*AE305,0)*(1-$K305)</f>
        <v>0</v>
      </c>
      <c r="AH305" s="3236">
        <f t="shared" ref="AH305:AH311" si="901">VLOOKUP($E305,AE$442:AH$453,4,FALSE)*AE305*($K305)+(AE305-AF305-AG305)*(1-$K305)</f>
        <v>-758</v>
      </c>
      <c r="AI305" s="3264"/>
      <c r="AM305" s="3235">
        <f>$G305</f>
        <v>-758</v>
      </c>
      <c r="AN305" s="3236">
        <f t="shared" ref="AN305:AN311" si="902">VLOOKUP($E305,AM$442:AP$453,2,FALSE)*AM305*($K305)+IF($G305&lt;&gt;0,($H305/$G305)*AM305,0)*(1-$K305)</f>
        <v>0</v>
      </c>
      <c r="AO305" s="3236">
        <f t="shared" ref="AO305:AO311" si="903">VLOOKUP($E305,AM$442:AP$453,3,FALSE)*AM305*($K305)+IF($G305&lt;&gt;0,($I305/$G305)*AM305,0)*(1-$K305)</f>
        <v>0</v>
      </c>
      <c r="AP305" s="3236">
        <f t="shared" ref="AP305:AP311" si="904">VLOOKUP($E305,AM$442:AP$453,4,FALSE)*AM305*($K305)+(AM305-AN305-AO305)*(1-$K305)</f>
        <v>-758</v>
      </c>
      <c r="AQ305" s="3264"/>
      <c r="AU305" s="3235">
        <f>$G305</f>
        <v>-758</v>
      </c>
      <c r="AV305" s="3236">
        <f t="shared" ref="AV305:AV311" si="905">VLOOKUP($E305,AU$442:AX$453,2,FALSE)*AU305*($K305)+IF($G305&lt;&gt;0,($H305/$G305)*AU305,0)*(1-$K305)</f>
        <v>0</v>
      </c>
      <c r="AW305" s="3236">
        <f t="shared" ref="AW305:AW311" si="906">VLOOKUP($E305,AU$442:AX$453,3,FALSE)*AU305*($K305)+IF($G305&lt;&gt;0,($I305/$G305)*AU305,0)*(1-$K305)</f>
        <v>0</v>
      </c>
      <c r="AX305" s="3236">
        <f t="shared" ref="AX305:AX311" si="907">VLOOKUP($E305,AU$442:AX$453,4,FALSE)*AU305*($K305)+(AU305-AV305-AW305)*(1-$K305)</f>
        <v>-758</v>
      </c>
      <c r="AY305" s="3264"/>
      <c r="BC305" s="3235">
        <f>$G305</f>
        <v>-758</v>
      </c>
      <c r="BD305" s="3236">
        <f t="shared" ref="BD305:BD311" si="908">VLOOKUP($E305,BC$442:BF$453,2,FALSE)*BC305*($K305)+IF($G305&lt;&gt;0,($H305/$G305)*BC305,0)*(1-$K305)</f>
        <v>0</v>
      </c>
      <c r="BE305" s="3236">
        <f t="shared" ref="BE305:BE311" si="909">VLOOKUP($E305,BC$442:BF$453,3,FALSE)*BC305*($K305)+IF($G305&lt;&gt;0,($I305/$G305)*BC305,0)*(1-$K305)</f>
        <v>0</v>
      </c>
      <c r="BF305" s="3236">
        <f t="shared" ref="BF305:BF311" si="910">VLOOKUP($E305,BC$442:BF$453,4,FALSE)*BC305*($K305)+(BC305-BD305-BE305)*(1-$K305)</f>
        <v>-758</v>
      </c>
      <c r="BG305" s="3264"/>
      <c r="BK305" s="3235">
        <f>$G305</f>
        <v>-758</v>
      </c>
      <c r="BL305" s="3236">
        <f t="shared" ref="BL305:BL311" si="911">VLOOKUP($E305,BK$442:BN$453,2,FALSE)*BK305*($K305)+IF($G305&lt;&gt;0,($H305/$G305)*BK305,0)*(1-$K305)</f>
        <v>0</v>
      </c>
      <c r="BM305" s="3236">
        <f t="shared" ref="BM305:BM311" si="912">VLOOKUP($E305,BK$442:BN$453,3,FALSE)*BK305*($K305)+IF($G305&lt;&gt;0,($I305/$G305)*BK305,0)*(1-$K305)</f>
        <v>0</v>
      </c>
      <c r="BN305" s="3236">
        <f t="shared" ref="BN305:BN311" si="913">VLOOKUP($E305,BK$442:BN$453,4,FALSE)*BK305*($K305)+(BK305-BL305-BM305)*(1-$K305)</f>
        <v>-758</v>
      </c>
      <c r="BO305" s="3264"/>
      <c r="BS305" s="3235">
        <f>$G305</f>
        <v>-758</v>
      </c>
      <c r="BT305" s="3236">
        <f t="shared" ref="BT305:BT311" si="914">VLOOKUP($E305,BS$442:BV$453,2,FALSE)*BS305*($K305)+IF($G305&lt;&gt;0,($H305/$G305)*BS305,0)*(1-$K305)</f>
        <v>0</v>
      </c>
      <c r="BU305" s="3236">
        <f t="shared" ref="BU305:BU311" si="915">VLOOKUP($E305,BS$442:BV$453,3,FALSE)*BS305*($K305)+IF($G305&lt;&gt;0,($I305/$G305)*BS305,0)*(1-$K305)</f>
        <v>0</v>
      </c>
      <c r="BV305" s="3236">
        <f t="shared" ref="BV305:BV311" si="916">VLOOKUP($E305,BS$442:BV$453,4,FALSE)*BS305*($K305)+(BS305-BT305-BU305)*(1-$K305)</f>
        <v>-758</v>
      </c>
      <c r="BW305" s="3264"/>
      <c r="CA305" s="3235">
        <f>$G305</f>
        <v>-758</v>
      </c>
      <c r="CB305" s="3236">
        <f t="shared" ref="CB305:CB311" si="917">VLOOKUP($E305,CA$442:CD$453,2,FALSE)*CA305*($K305)+IF($G305&lt;&gt;0,($H305/$G305)*CA305,0)*(1-$K305)</f>
        <v>0</v>
      </c>
      <c r="CC305" s="3236">
        <f t="shared" ref="CC305:CC311" si="918">VLOOKUP($E305,CA$442:CD$453,3,FALSE)*CA305*($K305)+IF($G305&lt;&gt;0,($I305/$G305)*CA305,0)*(1-$K305)</f>
        <v>0</v>
      </c>
      <c r="CD305" s="3236">
        <f t="shared" ref="CD305:CD311" si="919">VLOOKUP($E305,CA$442:CD$453,4,FALSE)*CA305*($K305)+(CA305-CB305-CC305)*(1-$K305)</f>
        <v>-758</v>
      </c>
      <c r="CE305" s="3264"/>
      <c r="CI305" s="3235">
        <f>$G305</f>
        <v>-758</v>
      </c>
      <c r="CJ305" s="3236">
        <f t="shared" ref="CJ305:CJ311" si="920">VLOOKUP($E305,CI$442:CL$453,2,FALSE)*CI305*($K305)+IF($G305&lt;&gt;0,($H305/$G305)*CI305,0)*(1-$K305)</f>
        <v>0</v>
      </c>
      <c r="CK305" s="3236">
        <f t="shared" ref="CK305:CK311" si="921">VLOOKUP($E305,CI$442:CL$453,3,FALSE)*CI305*($K305)+IF($G305&lt;&gt;0,($I305/$G305)*CI305,0)*(1-$K305)</f>
        <v>0</v>
      </c>
      <c r="CL305" s="3236">
        <f t="shared" ref="CL305:CL311" si="922">VLOOKUP($E305,CI$442:CL$453,4,FALSE)*CI305*($K305)+(CI305-CJ305-CK305)*(1-$K305)</f>
        <v>-758</v>
      </c>
      <c r="CM305" s="3264"/>
      <c r="CQ305" s="3235">
        <f>$G305</f>
        <v>-758</v>
      </c>
      <c r="CR305" s="3236">
        <f t="shared" ref="CR305:CR311" si="923">VLOOKUP($E305,CQ$442:CT$453,2,FALSE)*CQ305*($K305)+IF($G305&lt;&gt;0,($H305/$G305)*CQ305,0)*(1-$K305)</f>
        <v>0</v>
      </c>
      <c r="CS305" s="3236">
        <f t="shared" ref="CS305:CS311" si="924">VLOOKUP($E305,CQ$442:CT$453,3,FALSE)*CQ305*($K305)+IF($G305&lt;&gt;0,($I305/$G305)*CQ305,0)*(1-$K305)</f>
        <v>0</v>
      </c>
      <c r="CT305" s="3236">
        <f t="shared" ref="CT305:CT311" si="925">VLOOKUP($E305,CQ$442:CT$453,4,FALSE)*CQ305*($K305)+(CQ305-CR305-CS305)*(1-$K305)</f>
        <v>-758</v>
      </c>
      <c r="CU305" s="3264"/>
      <c r="CY305" s="3235">
        <f>$G305</f>
        <v>-758</v>
      </c>
      <c r="CZ305" s="3236">
        <f t="shared" ref="CZ305:CZ311" si="926">VLOOKUP($E305,CY$442:DB$453,2,FALSE)*CY305*($K305)+IF($G305&lt;&gt;0,($H305/$G305)*CY305,0)*(1-$K305)</f>
        <v>0</v>
      </c>
      <c r="DA305" s="3236">
        <f t="shared" ref="DA305:DA311" si="927">VLOOKUP($E305,CY$442:DB$453,3,FALSE)*CY305*($K305)+IF($G305&lt;&gt;0,($I305/$G305)*CY305,0)*(1-$K305)</f>
        <v>0</v>
      </c>
      <c r="DB305" s="3236">
        <f t="shared" ref="DB305:DB311" si="928">VLOOKUP($E305,CY$442:DB$453,4,FALSE)*CY305*($K305)+(CY305-CZ305-DA305)*(1-$K305)</f>
        <v>-758</v>
      </c>
      <c r="DC305" s="3264"/>
      <c r="DG305" s="3235">
        <f>$G305</f>
        <v>-758</v>
      </c>
      <c r="DH305" s="3236">
        <f t="shared" ref="DH305:DH311" si="929">VLOOKUP($E305,DG$442:DJ$453,2,FALSE)*DG305*($K305)+IF($G305&lt;&gt;0,($H305/$G305)*DG305,0)*(1-$K305)</f>
        <v>0</v>
      </c>
      <c r="DI305" s="3236">
        <f t="shared" ref="DI305:DI311" si="930">VLOOKUP($E305,DG$442:DJ$453,3,FALSE)*DG305*($K305)+IF($G305&lt;&gt;0,($I305/$G305)*DG305,0)*(1-$K305)</f>
        <v>0</v>
      </c>
      <c r="DJ305" s="3236">
        <f t="shared" ref="DJ305:DJ311" si="931">VLOOKUP($E305,DG$442:DJ$453,4,FALSE)*DG305*($K305)+(DG305-DH305-DI305)*(1-$K305)</f>
        <v>-758</v>
      </c>
      <c r="DK305" s="3264"/>
      <c r="DO305" s="3235">
        <f>$G305</f>
        <v>-758</v>
      </c>
      <c r="DP305" s="3236">
        <f t="shared" ref="DP305:DP311" si="932">VLOOKUP($E305,DO$442:DR$453,2,FALSE)*DO305*($K305)+IF($G305&lt;&gt;0,($H305/$G305)*DO305,0)*(1-$K305)</f>
        <v>0</v>
      </c>
      <c r="DQ305" s="3236">
        <f t="shared" ref="DQ305:DQ311" si="933">VLOOKUP($E305,DO$442:DR$453,3,FALSE)*DO305*($K305)+IF($G305&lt;&gt;0,($I305/$G305)*DO305,0)*(1-$K305)</f>
        <v>0</v>
      </c>
      <c r="DR305" s="3236">
        <f t="shared" ref="DR305:DR311" si="934">VLOOKUP($E305,DO$442:DR$453,4,FALSE)*DO305*($K305)+(DO305-DP305-DQ305)*(1-$K305)</f>
        <v>-758</v>
      </c>
      <c r="DS305" s="3264"/>
      <c r="DW305" s="3235">
        <f>$G305</f>
        <v>-758</v>
      </c>
      <c r="DX305" s="3236">
        <f t="shared" ref="DX305:DX311" si="935">VLOOKUP($E305,DW$442:DZ$453,2,FALSE)*DW305*($K305)+IF($G305&lt;&gt;0,($H305/$G305)*DW305,0)*(1-$K305)</f>
        <v>0</v>
      </c>
      <c r="DY305" s="3236">
        <f t="shared" ref="DY305:DY311" si="936">VLOOKUP($E305,DW$442:DZ$453,3,FALSE)*DW305*($K305)+IF($G305&lt;&gt;0,($I305/$G305)*DW305,0)*(1-$K305)</f>
        <v>0</v>
      </c>
      <c r="DZ305" s="3236">
        <f t="shared" ref="DZ305:DZ311" si="937">VLOOKUP($E305,DW$442:DZ$453,4,FALSE)*DW305*($K305)+(DW305-DX305-DY305)*(1-$K305)</f>
        <v>-758</v>
      </c>
      <c r="EA305" s="3264"/>
      <c r="EE305" s="3235">
        <f>$G305</f>
        <v>-758</v>
      </c>
      <c r="EF305" s="3236">
        <f t="shared" ref="EF305:EF311" si="938">VLOOKUP($E305,EE$442:EH$453,2,FALSE)*EE305*($K305)+IF($G305&lt;&gt;0,($H305/$G305)*EE305,0)*(1-$K305)</f>
        <v>0</v>
      </c>
      <c r="EG305" s="3236">
        <f t="shared" ref="EG305:EG311" si="939">VLOOKUP($E305,EE$442:EH$453,3,FALSE)*EE305*($K305)+IF($G305&lt;&gt;0,($I305/$G305)*EE305,0)*(1-$K305)</f>
        <v>0</v>
      </c>
      <c r="EH305" s="3236">
        <f t="shared" ref="EH305:EH311" si="940">VLOOKUP($E305,EE$442:EH$453,4,FALSE)*EE305*($K305)+(EE305-EF305-EG305)*(1-$K305)</f>
        <v>-758</v>
      </c>
      <c r="EI305" s="3264"/>
      <c r="EM305" s="3235">
        <f>$G305</f>
        <v>-758</v>
      </c>
      <c r="EN305" s="3236">
        <f t="shared" ref="EN305:EN311" si="941">VLOOKUP($E305,EM$442:EP$453,2,FALSE)*EM305*($K305)+IF($G305&lt;&gt;0,($H305/$G305)*EM305,0)*(1-$K305)</f>
        <v>0</v>
      </c>
      <c r="EO305" s="3236">
        <f t="shared" ref="EO305:EO311" si="942">VLOOKUP($E305,EM$442:EP$453,3,FALSE)*EM305*($K305)+IF($G305&lt;&gt;0,($I305/$G305)*EM305,0)*(1-$K305)</f>
        <v>0</v>
      </c>
      <c r="EP305" s="3236">
        <f t="shared" ref="EP305:EP311" si="943">VLOOKUP($E305,EM$442:EP$453,4,FALSE)*EM305*($K305)+(EM305-EN305-EO305)*(1-$K305)</f>
        <v>-758</v>
      </c>
      <c r="EQ305" s="3264"/>
      <c r="EU305" s="3235">
        <f>$G305</f>
        <v>-758</v>
      </c>
      <c r="EV305" s="3236">
        <f t="shared" ref="EV305:EV311" si="944">VLOOKUP($E305,EU$442:EX$453,2,FALSE)*EU305*($K305)+IF($G305&lt;&gt;0,($H305/$G305)*EU305,0)*(1-$K305)</f>
        <v>0</v>
      </c>
      <c r="EW305" s="3236">
        <f t="shared" ref="EW305:EW311" si="945">VLOOKUP($E305,EU$442:EX$453,3,FALSE)*EU305*($K305)+IF($G305&lt;&gt;0,($I305/$G305)*EU305,0)*(1-$K305)</f>
        <v>0</v>
      </c>
      <c r="EX305" s="3236">
        <f t="shared" ref="EX305:EX311" si="946">VLOOKUP($E305,EU$442:EX$453,4,FALSE)*EU305*($K305)+(EU305-EV305-EW305)*(1-$K305)</f>
        <v>-758</v>
      </c>
      <c r="EY305" s="3264"/>
      <c r="FC305" s="3235">
        <f>$G305</f>
        <v>-758</v>
      </c>
      <c r="FD305" s="3236">
        <f t="shared" ref="FD305:FD311" si="947">VLOOKUP($E305,FC$442:FF$453,2,FALSE)*FC305*($K305)+IF($G305&lt;&gt;0,($H305/$G305)*FC305,0)*(1-$K305)</f>
        <v>0</v>
      </c>
      <c r="FE305" s="3236">
        <f t="shared" ref="FE305:FE311" si="948">VLOOKUP($E305,FC$442:FF$453,3,FALSE)*FC305*($K305)+IF($G305&lt;&gt;0,($I305/$G305)*FC305,0)*(1-$K305)</f>
        <v>0</v>
      </c>
      <c r="FF305" s="3236">
        <f t="shared" ref="FF305:FF311" si="949">VLOOKUP($E305,FC$442:FF$453,4,FALSE)*FC305*($K305)+(FC305-FD305-FE305)*(1-$K305)</f>
        <v>-758</v>
      </c>
      <c r="FG305" s="3264"/>
      <c r="FK305" s="3235">
        <f>$G305</f>
        <v>-758</v>
      </c>
      <c r="FL305" s="3236">
        <f t="shared" ref="FL305:FL311" si="950">VLOOKUP($E305,FK$442:FN$453,2,FALSE)*FK305*($K305)+IF($G305&lt;&gt;0,($H305/$G305)*FK305,0)*(1-$K305)</f>
        <v>0</v>
      </c>
      <c r="FM305" s="3236">
        <f t="shared" ref="FM305:FM311" si="951">VLOOKUP($E305,FK$442:FN$453,3,FALSE)*FK305*($K305)+IF($G305&lt;&gt;0,($I305/$G305)*FK305,0)*(1-$K305)</f>
        <v>0</v>
      </c>
      <c r="FN305" s="3236">
        <f t="shared" ref="FN305:FN311" si="952">VLOOKUP($E305,FK$442:FN$453,4,FALSE)*FK305*($K305)+(FK305-FL305-FM305)*(1-$K305)</f>
        <v>-758</v>
      </c>
      <c r="FO305" s="3264"/>
    </row>
    <row r="306" spans="1:171">
      <c r="A306" s="2442"/>
      <c r="B306" s="2290" t="s">
        <v>545</v>
      </c>
      <c r="C306" s="2464">
        <v>300</v>
      </c>
      <c r="D306" s="2171" t="s">
        <v>44</v>
      </c>
      <c r="E306" s="2424" t="str">
        <f>'Sch 3B - Other Items'!E30</f>
        <v>DIST</v>
      </c>
      <c r="F306" s="2171"/>
      <c r="G306" s="2424">
        <f>'Sch 3B - Other Items'!G30</f>
        <v>16254690</v>
      </c>
      <c r="H306" s="2424">
        <f>'Sch 3B - Other Items'!H30</f>
        <v>0</v>
      </c>
      <c r="I306" s="2424">
        <f>'Sch 3B - Other Items'!I30</f>
        <v>0</v>
      </c>
      <c r="J306" s="2425">
        <f>'Sch 3B - Other Items'!J30</f>
        <v>16254690</v>
      </c>
      <c r="K306" s="3205">
        <f t="shared" si="892"/>
        <v>1</v>
      </c>
      <c r="O306" s="3235">
        <f>$G306</f>
        <v>16254690</v>
      </c>
      <c r="P306" s="3236">
        <f t="shared" si="893"/>
        <v>0</v>
      </c>
      <c r="Q306" s="3236">
        <f t="shared" si="894"/>
        <v>0</v>
      </c>
      <c r="R306" s="3236">
        <f t="shared" si="895"/>
        <v>16254690</v>
      </c>
      <c r="S306" s="3264"/>
      <c r="W306" s="3235">
        <f>$G306</f>
        <v>16254690</v>
      </c>
      <c r="X306" s="3236">
        <f t="shared" si="896"/>
        <v>0</v>
      </c>
      <c r="Y306" s="3236">
        <f t="shared" si="897"/>
        <v>0</v>
      </c>
      <c r="Z306" s="3236">
        <f t="shared" si="898"/>
        <v>16254690</v>
      </c>
      <c r="AA306" s="3264"/>
      <c r="AE306" s="3235">
        <f>$G306</f>
        <v>16254690</v>
      </c>
      <c r="AF306" s="3236">
        <f t="shared" si="899"/>
        <v>0</v>
      </c>
      <c r="AG306" s="3236">
        <f t="shared" si="900"/>
        <v>0</v>
      </c>
      <c r="AH306" s="3236">
        <f t="shared" si="901"/>
        <v>16254690</v>
      </c>
      <c r="AI306" s="3264"/>
      <c r="AM306" s="3235">
        <f>$G306</f>
        <v>16254690</v>
      </c>
      <c r="AN306" s="3236">
        <f t="shared" si="902"/>
        <v>0</v>
      </c>
      <c r="AO306" s="3236">
        <f t="shared" si="903"/>
        <v>0</v>
      </c>
      <c r="AP306" s="3236">
        <f t="shared" si="904"/>
        <v>16254690</v>
      </c>
      <c r="AQ306" s="3264"/>
      <c r="AU306" s="3235">
        <f>$G306</f>
        <v>16254690</v>
      </c>
      <c r="AV306" s="3236">
        <f t="shared" si="905"/>
        <v>0</v>
      </c>
      <c r="AW306" s="3236">
        <f t="shared" si="906"/>
        <v>0</v>
      </c>
      <c r="AX306" s="3236">
        <f t="shared" si="907"/>
        <v>16254690</v>
      </c>
      <c r="AY306" s="3264"/>
      <c r="BC306" s="3235">
        <f>$G306</f>
        <v>16254690</v>
      </c>
      <c r="BD306" s="3236">
        <f t="shared" si="908"/>
        <v>0</v>
      </c>
      <c r="BE306" s="3236">
        <f t="shared" si="909"/>
        <v>0</v>
      </c>
      <c r="BF306" s="3236">
        <f t="shared" si="910"/>
        <v>16254690</v>
      </c>
      <c r="BG306" s="3264"/>
      <c r="BK306" s="3235">
        <f>$G306</f>
        <v>16254690</v>
      </c>
      <c r="BL306" s="3236">
        <f t="shared" si="911"/>
        <v>0</v>
      </c>
      <c r="BM306" s="3236">
        <f t="shared" si="912"/>
        <v>0</v>
      </c>
      <c r="BN306" s="3236">
        <f t="shared" si="913"/>
        <v>16254690</v>
      </c>
      <c r="BO306" s="3264"/>
      <c r="BS306" s="3235">
        <f>$G306</f>
        <v>16254690</v>
      </c>
      <c r="BT306" s="3236">
        <f t="shared" si="914"/>
        <v>0</v>
      </c>
      <c r="BU306" s="3236">
        <f t="shared" si="915"/>
        <v>0</v>
      </c>
      <c r="BV306" s="3236">
        <f t="shared" si="916"/>
        <v>16254690</v>
      </c>
      <c r="BW306" s="3264"/>
      <c r="CA306" s="3235">
        <f>$G306</f>
        <v>16254690</v>
      </c>
      <c r="CB306" s="3236">
        <f t="shared" si="917"/>
        <v>0</v>
      </c>
      <c r="CC306" s="3236">
        <f t="shared" si="918"/>
        <v>0</v>
      </c>
      <c r="CD306" s="3236">
        <f t="shared" si="919"/>
        <v>16254690</v>
      </c>
      <c r="CE306" s="3264"/>
      <c r="CI306" s="3235">
        <f>$G306</f>
        <v>16254690</v>
      </c>
      <c r="CJ306" s="3236">
        <f t="shared" si="920"/>
        <v>0</v>
      </c>
      <c r="CK306" s="3236">
        <f t="shared" si="921"/>
        <v>0</v>
      </c>
      <c r="CL306" s="3236">
        <f t="shared" si="922"/>
        <v>16254690</v>
      </c>
      <c r="CM306" s="3264"/>
      <c r="CQ306" s="3235">
        <f>$G306</f>
        <v>16254690</v>
      </c>
      <c r="CR306" s="3236">
        <f t="shared" si="923"/>
        <v>0</v>
      </c>
      <c r="CS306" s="3236">
        <f t="shared" si="924"/>
        <v>0</v>
      </c>
      <c r="CT306" s="3236">
        <f t="shared" si="925"/>
        <v>16254690</v>
      </c>
      <c r="CU306" s="3264"/>
      <c r="CY306" s="3235">
        <f>$G306</f>
        <v>16254690</v>
      </c>
      <c r="CZ306" s="3236">
        <f t="shared" si="926"/>
        <v>0</v>
      </c>
      <c r="DA306" s="3236">
        <f t="shared" si="927"/>
        <v>0</v>
      </c>
      <c r="DB306" s="3236">
        <f t="shared" si="928"/>
        <v>16254690</v>
      </c>
      <c r="DC306" s="3264"/>
      <c r="DG306" s="3235">
        <f>$G306</f>
        <v>16254690</v>
      </c>
      <c r="DH306" s="3236">
        <f t="shared" si="929"/>
        <v>0</v>
      </c>
      <c r="DI306" s="3236">
        <f t="shared" si="930"/>
        <v>0</v>
      </c>
      <c r="DJ306" s="3236">
        <f t="shared" si="931"/>
        <v>16254690</v>
      </c>
      <c r="DK306" s="3264"/>
      <c r="DO306" s="3235">
        <f>$G306</f>
        <v>16254690</v>
      </c>
      <c r="DP306" s="3236">
        <f t="shared" si="932"/>
        <v>0</v>
      </c>
      <c r="DQ306" s="3236">
        <f t="shared" si="933"/>
        <v>0</v>
      </c>
      <c r="DR306" s="3236">
        <f t="shared" si="934"/>
        <v>16254690</v>
      </c>
      <c r="DS306" s="3264"/>
      <c r="DW306" s="3235">
        <f>$G306</f>
        <v>16254690</v>
      </c>
      <c r="DX306" s="3236">
        <f t="shared" si="935"/>
        <v>0</v>
      </c>
      <c r="DY306" s="3236">
        <f t="shared" si="936"/>
        <v>0</v>
      </c>
      <c r="DZ306" s="3236">
        <f t="shared" si="937"/>
        <v>16254690</v>
      </c>
      <c r="EA306" s="3264"/>
      <c r="EE306" s="3235">
        <f>$G306</f>
        <v>16254690</v>
      </c>
      <c r="EF306" s="3236">
        <f t="shared" si="938"/>
        <v>0</v>
      </c>
      <c r="EG306" s="3236">
        <f t="shared" si="939"/>
        <v>0</v>
      </c>
      <c r="EH306" s="3236">
        <f t="shared" si="940"/>
        <v>16254690</v>
      </c>
      <c r="EI306" s="3264"/>
      <c r="EM306" s="3235">
        <f>$G306</f>
        <v>16254690</v>
      </c>
      <c r="EN306" s="3236">
        <f t="shared" si="941"/>
        <v>0</v>
      </c>
      <c r="EO306" s="3236">
        <f t="shared" si="942"/>
        <v>0</v>
      </c>
      <c r="EP306" s="3236">
        <f t="shared" si="943"/>
        <v>16254690</v>
      </c>
      <c r="EQ306" s="3264"/>
      <c r="EU306" s="3235">
        <f>$G306</f>
        <v>16254690</v>
      </c>
      <c r="EV306" s="3236">
        <f t="shared" si="944"/>
        <v>0</v>
      </c>
      <c r="EW306" s="3236">
        <f t="shared" si="945"/>
        <v>0</v>
      </c>
      <c r="EX306" s="3236">
        <f t="shared" si="946"/>
        <v>16254690</v>
      </c>
      <c r="EY306" s="3264"/>
      <c r="FC306" s="3235">
        <f>$G306</f>
        <v>16254690</v>
      </c>
      <c r="FD306" s="3236">
        <f t="shared" si="947"/>
        <v>0</v>
      </c>
      <c r="FE306" s="3236">
        <f t="shared" si="948"/>
        <v>0</v>
      </c>
      <c r="FF306" s="3236">
        <f t="shared" si="949"/>
        <v>16254690</v>
      </c>
      <c r="FG306" s="3264"/>
      <c r="FK306" s="3235">
        <f>$G306</f>
        <v>16254690</v>
      </c>
      <c r="FL306" s="3236">
        <f t="shared" si="950"/>
        <v>0</v>
      </c>
      <c r="FM306" s="3236">
        <f t="shared" si="951"/>
        <v>0</v>
      </c>
      <c r="FN306" s="3236">
        <f t="shared" si="952"/>
        <v>16254690</v>
      </c>
      <c r="FO306" s="3264"/>
    </row>
    <row r="307" spans="1:171">
      <c r="A307" s="2442"/>
      <c r="B307" s="2290" t="s">
        <v>544</v>
      </c>
      <c r="C307" s="2464">
        <v>300</v>
      </c>
      <c r="D307" s="2171" t="s">
        <v>45</v>
      </c>
      <c r="E307" s="2424" t="str">
        <f>'Sch 3B - Other Items'!E31</f>
        <v>PROD</v>
      </c>
      <c r="F307" s="2171"/>
      <c r="G307" s="2424">
        <f>'Sch 3B - Other Items'!G31</f>
        <v>0</v>
      </c>
      <c r="H307" s="2424">
        <f>'Sch 3B - Other Items'!H31</f>
        <v>0</v>
      </c>
      <c r="I307" s="2424">
        <f>'Sch 3B - Other Items'!I31</f>
        <v>0</v>
      </c>
      <c r="J307" s="2425">
        <f>'Sch 3B - Other Items'!J31</f>
        <v>0</v>
      </c>
      <c r="K307" s="3205">
        <f t="shared" si="892"/>
        <v>1</v>
      </c>
      <c r="O307" s="3235">
        <f>$G307</f>
        <v>0</v>
      </c>
      <c r="P307" s="3236">
        <f t="shared" si="893"/>
        <v>0</v>
      </c>
      <c r="Q307" s="3236">
        <f t="shared" si="894"/>
        <v>0</v>
      </c>
      <c r="R307" s="3236">
        <f t="shared" si="895"/>
        <v>0</v>
      </c>
      <c r="S307" s="3264"/>
      <c r="W307" s="3235">
        <f>$G307</f>
        <v>0</v>
      </c>
      <c r="X307" s="3236">
        <f t="shared" si="896"/>
        <v>0</v>
      </c>
      <c r="Y307" s="3236">
        <f t="shared" si="897"/>
        <v>0</v>
      </c>
      <c r="Z307" s="3236">
        <f t="shared" si="898"/>
        <v>0</v>
      </c>
      <c r="AA307" s="3264"/>
      <c r="AE307" s="3235">
        <f>$G307</f>
        <v>0</v>
      </c>
      <c r="AF307" s="3236">
        <f t="shared" si="899"/>
        <v>0</v>
      </c>
      <c r="AG307" s="3236">
        <f t="shared" si="900"/>
        <v>0</v>
      </c>
      <c r="AH307" s="3236">
        <f t="shared" si="901"/>
        <v>0</v>
      </c>
      <c r="AI307" s="3264"/>
      <c r="AM307" s="3235">
        <f>$G307</f>
        <v>0</v>
      </c>
      <c r="AN307" s="3236">
        <f t="shared" si="902"/>
        <v>0</v>
      </c>
      <c r="AO307" s="3236">
        <f t="shared" si="903"/>
        <v>0</v>
      </c>
      <c r="AP307" s="3236">
        <f t="shared" si="904"/>
        <v>0</v>
      </c>
      <c r="AQ307" s="3264"/>
      <c r="AU307" s="3235">
        <f>$G307</f>
        <v>0</v>
      </c>
      <c r="AV307" s="3236">
        <f t="shared" si="905"/>
        <v>0</v>
      </c>
      <c r="AW307" s="3236">
        <f t="shared" si="906"/>
        <v>0</v>
      </c>
      <c r="AX307" s="3236">
        <f t="shared" si="907"/>
        <v>0</v>
      </c>
      <c r="AY307" s="3264"/>
      <c r="BC307" s="3235">
        <f>$G307</f>
        <v>0</v>
      </c>
      <c r="BD307" s="3236">
        <f t="shared" si="908"/>
        <v>0</v>
      </c>
      <c r="BE307" s="3236">
        <f t="shared" si="909"/>
        <v>0</v>
      </c>
      <c r="BF307" s="3236">
        <f t="shared" si="910"/>
        <v>0</v>
      </c>
      <c r="BG307" s="3264"/>
      <c r="BK307" s="3235">
        <f>$G307</f>
        <v>0</v>
      </c>
      <c r="BL307" s="3236">
        <f t="shared" si="911"/>
        <v>0</v>
      </c>
      <c r="BM307" s="3236">
        <f t="shared" si="912"/>
        <v>0</v>
      </c>
      <c r="BN307" s="3236">
        <f t="shared" si="913"/>
        <v>0</v>
      </c>
      <c r="BO307" s="3264"/>
      <c r="BS307" s="3235">
        <f>$G307</f>
        <v>0</v>
      </c>
      <c r="BT307" s="3236">
        <f t="shared" si="914"/>
        <v>0</v>
      </c>
      <c r="BU307" s="3236">
        <f t="shared" si="915"/>
        <v>0</v>
      </c>
      <c r="BV307" s="3236">
        <f t="shared" si="916"/>
        <v>0</v>
      </c>
      <c r="BW307" s="3264"/>
      <c r="CA307" s="3235">
        <f>$G307</f>
        <v>0</v>
      </c>
      <c r="CB307" s="3236">
        <f t="shared" si="917"/>
        <v>0</v>
      </c>
      <c r="CC307" s="3236">
        <f t="shared" si="918"/>
        <v>0</v>
      </c>
      <c r="CD307" s="3236">
        <f t="shared" si="919"/>
        <v>0</v>
      </c>
      <c r="CE307" s="3264"/>
      <c r="CI307" s="3235">
        <f>$G307</f>
        <v>0</v>
      </c>
      <c r="CJ307" s="3236">
        <f t="shared" si="920"/>
        <v>0</v>
      </c>
      <c r="CK307" s="3236">
        <f t="shared" si="921"/>
        <v>0</v>
      </c>
      <c r="CL307" s="3236">
        <f t="shared" si="922"/>
        <v>0</v>
      </c>
      <c r="CM307" s="3264"/>
      <c r="CQ307" s="3235">
        <f>$G307</f>
        <v>0</v>
      </c>
      <c r="CR307" s="3236">
        <f t="shared" si="923"/>
        <v>0</v>
      </c>
      <c r="CS307" s="3236">
        <f t="shared" si="924"/>
        <v>0</v>
      </c>
      <c r="CT307" s="3236">
        <f t="shared" si="925"/>
        <v>0</v>
      </c>
      <c r="CU307" s="3264"/>
      <c r="CY307" s="3235">
        <f>$G307</f>
        <v>0</v>
      </c>
      <c r="CZ307" s="3236">
        <f t="shared" si="926"/>
        <v>0</v>
      </c>
      <c r="DA307" s="3236">
        <f t="shared" si="927"/>
        <v>0</v>
      </c>
      <c r="DB307" s="3236">
        <f t="shared" si="928"/>
        <v>0</v>
      </c>
      <c r="DC307" s="3264"/>
      <c r="DG307" s="3235">
        <f>$G307</f>
        <v>0</v>
      </c>
      <c r="DH307" s="3236">
        <f t="shared" si="929"/>
        <v>0</v>
      </c>
      <c r="DI307" s="3236">
        <f t="shared" si="930"/>
        <v>0</v>
      </c>
      <c r="DJ307" s="3236">
        <f t="shared" si="931"/>
        <v>0</v>
      </c>
      <c r="DK307" s="3264"/>
      <c r="DO307" s="3235">
        <f>$G307</f>
        <v>0</v>
      </c>
      <c r="DP307" s="3236">
        <f t="shared" si="932"/>
        <v>0</v>
      </c>
      <c r="DQ307" s="3236">
        <f t="shared" si="933"/>
        <v>0</v>
      </c>
      <c r="DR307" s="3236">
        <f t="shared" si="934"/>
        <v>0</v>
      </c>
      <c r="DS307" s="3264"/>
      <c r="DW307" s="3235">
        <f>$G307</f>
        <v>0</v>
      </c>
      <c r="DX307" s="3236">
        <f t="shared" si="935"/>
        <v>0</v>
      </c>
      <c r="DY307" s="3236">
        <f t="shared" si="936"/>
        <v>0</v>
      </c>
      <c r="DZ307" s="3236">
        <f t="shared" si="937"/>
        <v>0</v>
      </c>
      <c r="EA307" s="3264"/>
      <c r="EE307" s="3235">
        <f>$G307</f>
        <v>0</v>
      </c>
      <c r="EF307" s="3236">
        <f t="shared" si="938"/>
        <v>0</v>
      </c>
      <c r="EG307" s="3236">
        <f t="shared" si="939"/>
        <v>0</v>
      </c>
      <c r="EH307" s="3236">
        <f t="shared" si="940"/>
        <v>0</v>
      </c>
      <c r="EI307" s="3264"/>
      <c r="EM307" s="3235">
        <f>$G307</f>
        <v>0</v>
      </c>
      <c r="EN307" s="3236">
        <f t="shared" si="941"/>
        <v>0</v>
      </c>
      <c r="EO307" s="3236">
        <f t="shared" si="942"/>
        <v>0</v>
      </c>
      <c r="EP307" s="3236">
        <f t="shared" si="943"/>
        <v>0</v>
      </c>
      <c r="EQ307" s="3264"/>
      <c r="EU307" s="3235">
        <f>$G307</f>
        <v>0</v>
      </c>
      <c r="EV307" s="3236">
        <f t="shared" si="944"/>
        <v>0</v>
      </c>
      <c r="EW307" s="3236">
        <f t="shared" si="945"/>
        <v>0</v>
      </c>
      <c r="EX307" s="3236">
        <f t="shared" si="946"/>
        <v>0</v>
      </c>
      <c r="EY307" s="3264"/>
      <c r="FC307" s="3235">
        <f>$G307</f>
        <v>0</v>
      </c>
      <c r="FD307" s="3236">
        <f t="shared" si="947"/>
        <v>0</v>
      </c>
      <c r="FE307" s="3236">
        <f t="shared" si="948"/>
        <v>0</v>
      </c>
      <c r="FF307" s="3236">
        <f t="shared" si="949"/>
        <v>0</v>
      </c>
      <c r="FG307" s="3264"/>
      <c r="FK307" s="3235">
        <f>$G307</f>
        <v>0</v>
      </c>
      <c r="FL307" s="3236">
        <f t="shared" si="950"/>
        <v>0</v>
      </c>
      <c r="FM307" s="3236">
        <f t="shared" si="951"/>
        <v>0</v>
      </c>
      <c r="FN307" s="3236">
        <f t="shared" si="952"/>
        <v>0</v>
      </c>
      <c r="FO307" s="3264"/>
    </row>
    <row r="308" spans="1:171">
      <c r="A308" s="2442"/>
      <c r="B308" s="2290" t="s">
        <v>543</v>
      </c>
      <c r="C308" s="2464">
        <v>300</v>
      </c>
      <c r="D308" s="2171" t="s">
        <v>46</v>
      </c>
      <c r="E308" s="2424" t="str">
        <f>'Sch 3B - Other Items'!E32</f>
        <v>TD</v>
      </c>
      <c r="F308" s="2171"/>
      <c r="G308" s="2424">
        <f>'Sch 3B - Other Items'!G32</f>
        <v>16990858</v>
      </c>
      <c r="H308" s="2424">
        <f>'Sch 3B - Other Items'!H32</f>
        <v>0</v>
      </c>
      <c r="I308" s="2424">
        <f>'Sch 3B - Other Items'!I32</f>
        <v>0</v>
      </c>
      <c r="J308" s="2425">
        <f>'Sch 3B - Other Items'!J32</f>
        <v>16990858</v>
      </c>
      <c r="K308" s="3205">
        <f t="shared" si="892"/>
        <v>1</v>
      </c>
      <c r="O308" s="3235">
        <f>$G308</f>
        <v>16990858</v>
      </c>
      <c r="P308" s="3236">
        <f t="shared" si="893"/>
        <v>0</v>
      </c>
      <c r="Q308" s="3236">
        <f t="shared" si="894"/>
        <v>4652398.6339452248</v>
      </c>
      <c r="R308" s="3236">
        <f t="shared" si="895"/>
        <v>12338459.366054775</v>
      </c>
      <c r="S308" s="3264"/>
      <c r="W308" s="3235">
        <f>$G308</f>
        <v>16990858</v>
      </c>
      <c r="X308" s="3236">
        <f t="shared" si="896"/>
        <v>0</v>
      </c>
      <c r="Y308" s="3236">
        <f t="shared" si="897"/>
        <v>4652398.6339452248</v>
      </c>
      <c r="Z308" s="3236">
        <f t="shared" si="898"/>
        <v>12338459.366054775</v>
      </c>
      <c r="AA308" s="3264"/>
      <c r="AE308" s="3235">
        <f>$G308</f>
        <v>16990858</v>
      </c>
      <c r="AF308" s="3236">
        <f t="shared" si="899"/>
        <v>0</v>
      </c>
      <c r="AG308" s="3236">
        <f t="shared" si="900"/>
        <v>4652398.6339452248</v>
      </c>
      <c r="AH308" s="3236">
        <f t="shared" si="901"/>
        <v>12338459.366054775</v>
      </c>
      <c r="AI308" s="3264"/>
      <c r="AM308" s="3235">
        <f>$G308</f>
        <v>16990858</v>
      </c>
      <c r="AN308" s="3236">
        <f t="shared" si="902"/>
        <v>0</v>
      </c>
      <c r="AO308" s="3236">
        <f t="shared" si="903"/>
        <v>4652398.6339452248</v>
      </c>
      <c r="AP308" s="3236">
        <f t="shared" si="904"/>
        <v>12338459.366054775</v>
      </c>
      <c r="AQ308" s="3264"/>
      <c r="AU308" s="3235">
        <f>$G308</f>
        <v>16990858</v>
      </c>
      <c r="AV308" s="3236">
        <f t="shared" si="905"/>
        <v>0</v>
      </c>
      <c r="AW308" s="3236">
        <f t="shared" si="906"/>
        <v>4652398.6339452248</v>
      </c>
      <c r="AX308" s="3236">
        <f t="shared" si="907"/>
        <v>12338459.366054775</v>
      </c>
      <c r="AY308" s="3264"/>
      <c r="BC308" s="3235">
        <f>$G308</f>
        <v>16990858</v>
      </c>
      <c r="BD308" s="3236">
        <f t="shared" si="908"/>
        <v>0</v>
      </c>
      <c r="BE308" s="3236">
        <f t="shared" si="909"/>
        <v>4652398.6339452248</v>
      </c>
      <c r="BF308" s="3236">
        <f t="shared" si="910"/>
        <v>12338459.366054775</v>
      </c>
      <c r="BG308" s="3264"/>
      <c r="BK308" s="3235">
        <f>$G308</f>
        <v>16990858</v>
      </c>
      <c r="BL308" s="3236">
        <f t="shared" si="911"/>
        <v>0</v>
      </c>
      <c r="BM308" s="3236">
        <f t="shared" si="912"/>
        <v>4652398.6339452248</v>
      </c>
      <c r="BN308" s="3236">
        <f t="shared" si="913"/>
        <v>12338459.366054775</v>
      </c>
      <c r="BO308" s="3264"/>
      <c r="BS308" s="3235">
        <f>$G308</f>
        <v>16990858</v>
      </c>
      <c r="BT308" s="3236">
        <f t="shared" si="914"/>
        <v>0</v>
      </c>
      <c r="BU308" s="3236">
        <f t="shared" si="915"/>
        <v>4652398.6339452248</v>
      </c>
      <c r="BV308" s="3236">
        <f t="shared" si="916"/>
        <v>12338459.366054775</v>
      </c>
      <c r="BW308" s="3264"/>
      <c r="CA308" s="3235">
        <f>$G308</f>
        <v>16990858</v>
      </c>
      <c r="CB308" s="3236">
        <f t="shared" si="917"/>
        <v>0</v>
      </c>
      <c r="CC308" s="3236">
        <f t="shared" si="918"/>
        <v>4652398.6339452248</v>
      </c>
      <c r="CD308" s="3236">
        <f t="shared" si="919"/>
        <v>12338459.366054775</v>
      </c>
      <c r="CE308" s="3264"/>
      <c r="CI308" s="3235">
        <f>$G308</f>
        <v>16990858</v>
      </c>
      <c r="CJ308" s="3236">
        <f t="shared" si="920"/>
        <v>0</v>
      </c>
      <c r="CK308" s="3236">
        <f t="shared" si="921"/>
        <v>4652398.6339452248</v>
      </c>
      <c r="CL308" s="3236">
        <f t="shared" si="922"/>
        <v>12338459.366054775</v>
      </c>
      <c r="CM308" s="3264"/>
      <c r="CQ308" s="3235">
        <f>$G308</f>
        <v>16990858</v>
      </c>
      <c r="CR308" s="3236">
        <f t="shared" si="923"/>
        <v>0</v>
      </c>
      <c r="CS308" s="3236">
        <f t="shared" si="924"/>
        <v>4652398.6339452248</v>
      </c>
      <c r="CT308" s="3236">
        <f t="shared" si="925"/>
        <v>12338459.366054775</v>
      </c>
      <c r="CU308" s="3264"/>
      <c r="CY308" s="3235">
        <f>$G308</f>
        <v>16990858</v>
      </c>
      <c r="CZ308" s="3236">
        <f t="shared" si="926"/>
        <v>0</v>
      </c>
      <c r="DA308" s="3236">
        <f t="shared" si="927"/>
        <v>4652398.6339452248</v>
      </c>
      <c r="DB308" s="3236">
        <f t="shared" si="928"/>
        <v>12338459.366054775</v>
      </c>
      <c r="DC308" s="3264"/>
      <c r="DG308" s="3235">
        <f>$G308</f>
        <v>16990858</v>
      </c>
      <c r="DH308" s="3236">
        <f t="shared" si="929"/>
        <v>0</v>
      </c>
      <c r="DI308" s="3236">
        <f t="shared" si="930"/>
        <v>4652398.6339452248</v>
      </c>
      <c r="DJ308" s="3236">
        <f t="shared" si="931"/>
        <v>12338459.366054775</v>
      </c>
      <c r="DK308" s="3264"/>
      <c r="DO308" s="3235">
        <f>$G308</f>
        <v>16990858</v>
      </c>
      <c r="DP308" s="3236">
        <f t="shared" si="932"/>
        <v>0</v>
      </c>
      <c r="DQ308" s="3236">
        <f t="shared" si="933"/>
        <v>4652398.6339452248</v>
      </c>
      <c r="DR308" s="3236">
        <f t="shared" si="934"/>
        <v>12338459.366054775</v>
      </c>
      <c r="DS308" s="3264"/>
      <c r="DW308" s="3235">
        <f>$G308</f>
        <v>16990858</v>
      </c>
      <c r="DX308" s="3236">
        <f t="shared" si="935"/>
        <v>0</v>
      </c>
      <c r="DY308" s="3236">
        <f t="shared" si="936"/>
        <v>4652398.6339452248</v>
      </c>
      <c r="DZ308" s="3236">
        <f t="shared" si="937"/>
        <v>12338459.366054775</v>
      </c>
      <c r="EA308" s="3264"/>
      <c r="EE308" s="3235">
        <f>$G308</f>
        <v>16990858</v>
      </c>
      <c r="EF308" s="3236">
        <f t="shared" si="938"/>
        <v>0</v>
      </c>
      <c r="EG308" s="3236">
        <f t="shared" si="939"/>
        <v>4652398.6339452248</v>
      </c>
      <c r="EH308" s="3236">
        <f t="shared" si="940"/>
        <v>12338459.366054775</v>
      </c>
      <c r="EI308" s="3264"/>
      <c r="EM308" s="3235">
        <f>$G308</f>
        <v>16990858</v>
      </c>
      <c r="EN308" s="3236">
        <f t="shared" si="941"/>
        <v>0</v>
      </c>
      <c r="EO308" s="3236">
        <f t="shared" si="942"/>
        <v>4652398.6339452248</v>
      </c>
      <c r="EP308" s="3236">
        <f t="shared" si="943"/>
        <v>12338459.366054775</v>
      </c>
      <c r="EQ308" s="3264"/>
      <c r="EU308" s="3235">
        <f>$G308</f>
        <v>16990858</v>
      </c>
      <c r="EV308" s="3236">
        <f t="shared" si="944"/>
        <v>0</v>
      </c>
      <c r="EW308" s="3236">
        <f t="shared" si="945"/>
        <v>4652398.6339452248</v>
      </c>
      <c r="EX308" s="3236">
        <f t="shared" si="946"/>
        <v>12338459.366054775</v>
      </c>
      <c r="EY308" s="3264"/>
      <c r="FC308" s="3235">
        <f>$G308</f>
        <v>16990858</v>
      </c>
      <c r="FD308" s="3236">
        <f t="shared" si="947"/>
        <v>0</v>
      </c>
      <c r="FE308" s="3236">
        <f t="shared" si="948"/>
        <v>4652398.6339452248</v>
      </c>
      <c r="FF308" s="3236">
        <f t="shared" si="949"/>
        <v>12338459.366054775</v>
      </c>
      <c r="FG308" s="3264"/>
      <c r="FK308" s="3235">
        <f>$G308</f>
        <v>16990858</v>
      </c>
      <c r="FL308" s="3236">
        <f t="shared" si="950"/>
        <v>0</v>
      </c>
      <c r="FM308" s="3236">
        <f t="shared" si="951"/>
        <v>4652398.6339452248</v>
      </c>
      <c r="FN308" s="3236">
        <f t="shared" si="952"/>
        <v>12338459.366054775</v>
      </c>
      <c r="FO308" s="3264"/>
    </row>
    <row r="309" spans="1:171">
      <c r="A309" s="2442"/>
      <c r="B309" s="2290" t="s">
        <v>327</v>
      </c>
      <c r="C309" s="2464">
        <v>300</v>
      </c>
      <c r="D309" s="2171">
        <v>455</v>
      </c>
      <c r="E309" s="2424" t="str">
        <f>'Sch 3B - Other Items'!E33</f>
        <v>DIST</v>
      </c>
      <c r="F309" s="2171"/>
      <c r="G309" s="2424">
        <f>'Sch 3B - Other Items'!G33</f>
        <v>0</v>
      </c>
      <c r="H309" s="2424">
        <f>'Sch 3B - Other Items'!H33</f>
        <v>0</v>
      </c>
      <c r="I309" s="2424">
        <f>'Sch 3B - Other Items'!I33</f>
        <v>0</v>
      </c>
      <c r="J309" s="2425">
        <f>'Sch 3B - Other Items'!J33</f>
        <v>0</v>
      </c>
      <c r="K309" s="3205">
        <f t="shared" si="892"/>
        <v>1</v>
      </c>
      <c r="O309" s="3235">
        <f>$G309</f>
        <v>0</v>
      </c>
      <c r="P309" s="3236">
        <f t="shared" si="893"/>
        <v>0</v>
      </c>
      <c r="Q309" s="3236">
        <f t="shared" si="894"/>
        <v>0</v>
      </c>
      <c r="R309" s="3236">
        <f t="shared" si="895"/>
        <v>0</v>
      </c>
      <c r="S309" s="3264"/>
      <c r="W309" s="3235">
        <f>$G309</f>
        <v>0</v>
      </c>
      <c r="X309" s="3236">
        <f t="shared" si="896"/>
        <v>0</v>
      </c>
      <c r="Y309" s="3236">
        <f t="shared" si="897"/>
        <v>0</v>
      </c>
      <c r="Z309" s="3236">
        <f t="shared" si="898"/>
        <v>0</v>
      </c>
      <c r="AA309" s="3264"/>
      <c r="AE309" s="3235">
        <f>$G309</f>
        <v>0</v>
      </c>
      <c r="AF309" s="3236">
        <f t="shared" si="899"/>
        <v>0</v>
      </c>
      <c r="AG309" s="3236">
        <f t="shared" si="900"/>
        <v>0</v>
      </c>
      <c r="AH309" s="3236">
        <f t="shared" si="901"/>
        <v>0</v>
      </c>
      <c r="AI309" s="3264"/>
      <c r="AM309" s="3235">
        <f>$G309</f>
        <v>0</v>
      </c>
      <c r="AN309" s="3236">
        <f t="shared" si="902"/>
        <v>0</v>
      </c>
      <c r="AO309" s="3236">
        <f t="shared" si="903"/>
        <v>0</v>
      </c>
      <c r="AP309" s="3236">
        <f t="shared" si="904"/>
        <v>0</v>
      </c>
      <c r="AQ309" s="3264"/>
      <c r="AU309" s="3235">
        <f>$G309</f>
        <v>0</v>
      </c>
      <c r="AV309" s="3236">
        <f t="shared" si="905"/>
        <v>0</v>
      </c>
      <c r="AW309" s="3236">
        <f t="shared" si="906"/>
        <v>0</v>
      </c>
      <c r="AX309" s="3236">
        <f t="shared" si="907"/>
        <v>0</v>
      </c>
      <c r="AY309" s="3264"/>
      <c r="BC309" s="3235">
        <f>$G309</f>
        <v>0</v>
      </c>
      <c r="BD309" s="3236">
        <f t="shared" si="908"/>
        <v>0</v>
      </c>
      <c r="BE309" s="3236">
        <f t="shared" si="909"/>
        <v>0</v>
      </c>
      <c r="BF309" s="3236">
        <f t="shared" si="910"/>
        <v>0</v>
      </c>
      <c r="BG309" s="3264"/>
      <c r="BK309" s="3235">
        <f>$G309</f>
        <v>0</v>
      </c>
      <c r="BL309" s="3236">
        <f t="shared" si="911"/>
        <v>0</v>
      </c>
      <c r="BM309" s="3236">
        <f t="shared" si="912"/>
        <v>0</v>
      </c>
      <c r="BN309" s="3236">
        <f t="shared" si="913"/>
        <v>0</v>
      </c>
      <c r="BO309" s="3264"/>
      <c r="BS309" s="3235">
        <f>$G309</f>
        <v>0</v>
      </c>
      <c r="BT309" s="3236">
        <f t="shared" si="914"/>
        <v>0</v>
      </c>
      <c r="BU309" s="3236">
        <f t="shared" si="915"/>
        <v>0</v>
      </c>
      <c r="BV309" s="3236">
        <f t="shared" si="916"/>
        <v>0</v>
      </c>
      <c r="BW309" s="3264"/>
      <c r="CA309" s="3235">
        <f>$G309</f>
        <v>0</v>
      </c>
      <c r="CB309" s="3236">
        <f t="shared" si="917"/>
        <v>0</v>
      </c>
      <c r="CC309" s="3236">
        <f t="shared" si="918"/>
        <v>0</v>
      </c>
      <c r="CD309" s="3236">
        <f t="shared" si="919"/>
        <v>0</v>
      </c>
      <c r="CE309" s="3264"/>
      <c r="CI309" s="3235">
        <f>$G309</f>
        <v>0</v>
      </c>
      <c r="CJ309" s="3236">
        <f t="shared" si="920"/>
        <v>0</v>
      </c>
      <c r="CK309" s="3236">
        <f t="shared" si="921"/>
        <v>0</v>
      </c>
      <c r="CL309" s="3236">
        <f t="shared" si="922"/>
        <v>0</v>
      </c>
      <c r="CM309" s="3264"/>
      <c r="CQ309" s="3235">
        <f>$G309</f>
        <v>0</v>
      </c>
      <c r="CR309" s="3236">
        <f t="shared" si="923"/>
        <v>0</v>
      </c>
      <c r="CS309" s="3236">
        <f t="shared" si="924"/>
        <v>0</v>
      </c>
      <c r="CT309" s="3236">
        <f t="shared" si="925"/>
        <v>0</v>
      </c>
      <c r="CU309" s="3264"/>
      <c r="CY309" s="3235">
        <f>$G309</f>
        <v>0</v>
      </c>
      <c r="CZ309" s="3236">
        <f t="shared" si="926"/>
        <v>0</v>
      </c>
      <c r="DA309" s="3236">
        <f t="shared" si="927"/>
        <v>0</v>
      </c>
      <c r="DB309" s="3236">
        <f t="shared" si="928"/>
        <v>0</v>
      </c>
      <c r="DC309" s="3264"/>
      <c r="DG309" s="3235">
        <f>$G309</f>
        <v>0</v>
      </c>
      <c r="DH309" s="3236">
        <f t="shared" si="929"/>
        <v>0</v>
      </c>
      <c r="DI309" s="3236">
        <f t="shared" si="930"/>
        <v>0</v>
      </c>
      <c r="DJ309" s="3236">
        <f t="shared" si="931"/>
        <v>0</v>
      </c>
      <c r="DK309" s="3264"/>
      <c r="DO309" s="3235">
        <f>$G309</f>
        <v>0</v>
      </c>
      <c r="DP309" s="3236">
        <f t="shared" si="932"/>
        <v>0</v>
      </c>
      <c r="DQ309" s="3236">
        <f t="shared" si="933"/>
        <v>0</v>
      </c>
      <c r="DR309" s="3236">
        <f t="shared" si="934"/>
        <v>0</v>
      </c>
      <c r="DS309" s="3264"/>
      <c r="DW309" s="3235">
        <f>$G309</f>
        <v>0</v>
      </c>
      <c r="DX309" s="3236">
        <f t="shared" si="935"/>
        <v>0</v>
      </c>
      <c r="DY309" s="3236">
        <f t="shared" si="936"/>
        <v>0</v>
      </c>
      <c r="DZ309" s="3236">
        <f t="shared" si="937"/>
        <v>0</v>
      </c>
      <c r="EA309" s="3264"/>
      <c r="EE309" s="3235">
        <f>$G309</f>
        <v>0</v>
      </c>
      <c r="EF309" s="3236">
        <f t="shared" si="938"/>
        <v>0</v>
      </c>
      <c r="EG309" s="3236">
        <f t="shared" si="939"/>
        <v>0</v>
      </c>
      <c r="EH309" s="3236">
        <f t="shared" si="940"/>
        <v>0</v>
      </c>
      <c r="EI309" s="3264"/>
      <c r="EM309" s="3235">
        <f>$G309</f>
        <v>0</v>
      </c>
      <c r="EN309" s="3236">
        <f t="shared" si="941"/>
        <v>0</v>
      </c>
      <c r="EO309" s="3236">
        <f t="shared" si="942"/>
        <v>0</v>
      </c>
      <c r="EP309" s="3236">
        <f t="shared" si="943"/>
        <v>0</v>
      </c>
      <c r="EQ309" s="3264"/>
      <c r="EU309" s="3235">
        <f>$G309</f>
        <v>0</v>
      </c>
      <c r="EV309" s="3236">
        <f t="shared" si="944"/>
        <v>0</v>
      </c>
      <c r="EW309" s="3236">
        <f t="shared" si="945"/>
        <v>0</v>
      </c>
      <c r="EX309" s="3236">
        <f t="shared" si="946"/>
        <v>0</v>
      </c>
      <c r="EY309" s="3264"/>
      <c r="FC309" s="3235">
        <f>$G309</f>
        <v>0</v>
      </c>
      <c r="FD309" s="3236">
        <f t="shared" si="947"/>
        <v>0</v>
      </c>
      <c r="FE309" s="3236">
        <f t="shared" si="948"/>
        <v>0</v>
      </c>
      <c r="FF309" s="3236">
        <f t="shared" si="949"/>
        <v>0</v>
      </c>
      <c r="FG309" s="3264"/>
      <c r="FK309" s="3235">
        <f>$G309</f>
        <v>0</v>
      </c>
      <c r="FL309" s="3236">
        <f t="shared" si="950"/>
        <v>0</v>
      </c>
      <c r="FM309" s="3236">
        <f t="shared" si="951"/>
        <v>0</v>
      </c>
      <c r="FN309" s="3236">
        <f t="shared" si="952"/>
        <v>0</v>
      </c>
      <c r="FO309" s="3264"/>
    </row>
    <row r="310" spans="1:171">
      <c r="A310" s="3254">
        <v>920</v>
      </c>
      <c r="B310" s="2290" t="s">
        <v>326</v>
      </c>
      <c r="C310" s="2464">
        <v>300</v>
      </c>
      <c r="D310" s="2171" t="s">
        <v>47</v>
      </c>
      <c r="E310" s="2424" t="str">
        <f>'Sch 3B - Other Items'!E34</f>
        <v>DIRECT</v>
      </c>
      <c r="F310" s="2171"/>
      <c r="G310" s="2424">
        <f>'Sch 3B - Other Items'!G34</f>
        <v>33809167</v>
      </c>
      <c r="H310" s="2424">
        <f>'Sch 3B - Other Items'!H34</f>
        <v>46941385.813219115</v>
      </c>
      <c r="I310" s="2424">
        <f>'Sch 3B - Other Items'!I34</f>
        <v>0</v>
      </c>
      <c r="J310" s="2425">
        <f>'Sch 3B - Other Items'!J34</f>
        <v>-13132218.503405668</v>
      </c>
      <c r="K310" s="3205">
        <f t="shared" si="892"/>
        <v>0</v>
      </c>
      <c r="N310" s="3284">
        <f>VLOOKUP($A310,'New Resources - Individual'!$A$4:$Y$133,N$2,FALSE)*N$1</f>
        <v>0</v>
      </c>
      <c r="O310" s="3235">
        <f>$G310+N310</f>
        <v>33809167</v>
      </c>
      <c r="P310" s="3236">
        <f t="shared" si="893"/>
        <v>46941385.813219115</v>
      </c>
      <c r="Q310" s="3236">
        <f t="shared" si="894"/>
        <v>0</v>
      </c>
      <c r="R310" s="3236">
        <f t="shared" si="895"/>
        <v>-13132218.813219115</v>
      </c>
      <c r="S310" s="3264"/>
      <c r="V310" s="3284">
        <f>VLOOKUP($A310,'New Resources - Individual'!$A$4:$Y$133,V$2,FALSE)*V$1</f>
        <v>0</v>
      </c>
      <c r="W310" s="3235">
        <f>$G310+V310</f>
        <v>33809167</v>
      </c>
      <c r="X310" s="3236">
        <f t="shared" si="896"/>
        <v>46941385.813219115</v>
      </c>
      <c r="Y310" s="3236">
        <f t="shared" si="897"/>
        <v>0</v>
      </c>
      <c r="Z310" s="3236">
        <f t="shared" si="898"/>
        <v>-13132218.813219115</v>
      </c>
      <c r="AA310" s="3264"/>
      <c r="AD310" s="3284">
        <f>VLOOKUP($A310,'New Resources - Individual'!$A$4:$Y$133,AD$2,FALSE)*AD$1</f>
        <v>0</v>
      </c>
      <c r="AE310" s="3235">
        <f>$G310+AD310</f>
        <v>33809167</v>
      </c>
      <c r="AF310" s="3236">
        <f t="shared" si="899"/>
        <v>46941385.813219115</v>
      </c>
      <c r="AG310" s="3236">
        <f t="shared" si="900"/>
        <v>0</v>
      </c>
      <c r="AH310" s="3236">
        <f t="shared" si="901"/>
        <v>-13132218.813219115</v>
      </c>
      <c r="AI310" s="3264"/>
      <c r="AL310" s="3284">
        <f>VLOOKUP($A310,'New Resources - Individual'!$A$4:$Y$133,AL$2,FALSE)*AL$1</f>
        <v>0</v>
      </c>
      <c r="AM310" s="3235">
        <f>$G310+AL310</f>
        <v>33809167</v>
      </c>
      <c r="AN310" s="3236">
        <f t="shared" si="902"/>
        <v>46941385.813219115</v>
      </c>
      <c r="AO310" s="3236">
        <f t="shared" si="903"/>
        <v>0</v>
      </c>
      <c r="AP310" s="3236">
        <f t="shared" si="904"/>
        <v>-13132218.813219115</v>
      </c>
      <c r="AQ310" s="3264"/>
      <c r="AT310" s="3284">
        <f>VLOOKUP($A310,'New Resources - Individual'!$A$4:$Y$133,AT$2,FALSE)*AT$1</f>
        <v>0</v>
      </c>
      <c r="AU310" s="3235">
        <f>$G310+AT310</f>
        <v>33809167</v>
      </c>
      <c r="AV310" s="3236">
        <f t="shared" si="905"/>
        <v>46941385.813219115</v>
      </c>
      <c r="AW310" s="3236">
        <f t="shared" si="906"/>
        <v>0</v>
      </c>
      <c r="AX310" s="3236">
        <f t="shared" si="907"/>
        <v>-13132218.813219115</v>
      </c>
      <c r="AY310" s="3264"/>
      <c r="BB310" s="3284">
        <f>VLOOKUP($A310,'New Resources - Individual'!$A$4:$Y$133,BB$2,FALSE)*BB$1</f>
        <v>0</v>
      </c>
      <c r="BC310" s="3235">
        <f>$G310+BB310</f>
        <v>33809167</v>
      </c>
      <c r="BD310" s="3236">
        <f t="shared" si="908"/>
        <v>46941385.813219115</v>
      </c>
      <c r="BE310" s="3236">
        <f t="shared" si="909"/>
        <v>0</v>
      </c>
      <c r="BF310" s="3236">
        <f t="shared" si="910"/>
        <v>-13132218.813219115</v>
      </c>
      <c r="BG310" s="3264"/>
      <c r="BJ310" s="3284">
        <f>VLOOKUP($A310,'New Resources - Individual'!$A$4:$Y$133,BJ$2,FALSE)*BJ$1</f>
        <v>0</v>
      </c>
      <c r="BK310" s="3235">
        <f>$G310+BJ310</f>
        <v>33809167</v>
      </c>
      <c r="BL310" s="3236">
        <f t="shared" si="911"/>
        <v>46941385.813219115</v>
      </c>
      <c r="BM310" s="3236">
        <f t="shared" si="912"/>
        <v>0</v>
      </c>
      <c r="BN310" s="3236">
        <f t="shared" si="913"/>
        <v>-13132218.813219115</v>
      </c>
      <c r="BO310" s="3264"/>
      <c r="BR310" s="3284">
        <f>VLOOKUP($A310,'New Resources - Individual'!$A$4:$Y$133,BR$2,FALSE)*BR$1</f>
        <v>0</v>
      </c>
      <c r="BS310" s="3235">
        <f>$G310+BR310</f>
        <v>33809167</v>
      </c>
      <c r="BT310" s="3236">
        <f t="shared" si="914"/>
        <v>46941385.813219115</v>
      </c>
      <c r="BU310" s="3236">
        <f t="shared" si="915"/>
        <v>0</v>
      </c>
      <c r="BV310" s="3236">
        <f t="shared" si="916"/>
        <v>-13132218.813219115</v>
      </c>
      <c r="BW310" s="3264"/>
      <c r="BZ310" s="3284">
        <f>VLOOKUP($A310,'New Resources - Individual'!$A$4:$Y$133,BZ$2,FALSE)*BZ$1</f>
        <v>0</v>
      </c>
      <c r="CA310" s="3235">
        <f>$G310+BZ310</f>
        <v>33809167</v>
      </c>
      <c r="CB310" s="3236">
        <f t="shared" si="917"/>
        <v>46941385.813219115</v>
      </c>
      <c r="CC310" s="3236">
        <f t="shared" si="918"/>
        <v>0</v>
      </c>
      <c r="CD310" s="3236">
        <f t="shared" si="919"/>
        <v>-13132218.813219115</v>
      </c>
      <c r="CE310" s="3264"/>
      <c r="CH310" s="3284">
        <f>VLOOKUP($A310,'New Resources - Individual'!$A$4:$Y$133,CH$2,FALSE)*CH$1</f>
        <v>0</v>
      </c>
      <c r="CI310" s="3235">
        <f>$G310+CH310</f>
        <v>33809167</v>
      </c>
      <c r="CJ310" s="3236">
        <f t="shared" si="920"/>
        <v>46941385.813219115</v>
      </c>
      <c r="CK310" s="3236">
        <f t="shared" si="921"/>
        <v>0</v>
      </c>
      <c r="CL310" s="3236">
        <f t="shared" si="922"/>
        <v>-13132218.813219115</v>
      </c>
      <c r="CM310" s="3264"/>
      <c r="CP310" s="3284">
        <f>VLOOKUP($A310,'New Resources - Individual'!$A$4:$Y$133,CP$2,FALSE)*CP$1</f>
        <v>0</v>
      </c>
      <c r="CQ310" s="3235">
        <f>$G310+CP310</f>
        <v>33809167</v>
      </c>
      <c r="CR310" s="3236">
        <f t="shared" si="923"/>
        <v>46941385.813219115</v>
      </c>
      <c r="CS310" s="3236">
        <f t="shared" si="924"/>
        <v>0</v>
      </c>
      <c r="CT310" s="3236">
        <f t="shared" si="925"/>
        <v>-13132218.813219115</v>
      </c>
      <c r="CU310" s="3264"/>
      <c r="CX310" s="3284">
        <f>VLOOKUP($A310,'New Resources - Individual'!$A$4:$Y$133,CX$2,FALSE)*CX$1</f>
        <v>0</v>
      </c>
      <c r="CY310" s="3235">
        <f>$G310+CX310</f>
        <v>33809167</v>
      </c>
      <c r="CZ310" s="3236">
        <f t="shared" si="926"/>
        <v>46941385.813219115</v>
      </c>
      <c r="DA310" s="3236">
        <f t="shared" si="927"/>
        <v>0</v>
      </c>
      <c r="DB310" s="3236">
        <f t="shared" si="928"/>
        <v>-13132218.813219115</v>
      </c>
      <c r="DC310" s="3264"/>
      <c r="DF310" s="3284">
        <f>VLOOKUP($A310,'New Resources - Individual'!$A$4:$Y$133,DF$2,FALSE)*DF$1</f>
        <v>0</v>
      </c>
      <c r="DG310" s="3235">
        <f>$G310+DF310</f>
        <v>33809167</v>
      </c>
      <c r="DH310" s="3236">
        <f t="shared" si="929"/>
        <v>46941385.813219115</v>
      </c>
      <c r="DI310" s="3236">
        <f t="shared" si="930"/>
        <v>0</v>
      </c>
      <c r="DJ310" s="3236">
        <f t="shared" si="931"/>
        <v>-13132218.813219115</v>
      </c>
      <c r="DK310" s="3264"/>
      <c r="DN310" s="3284">
        <f>VLOOKUP($A310,'New Resources - Individual'!$A$4:$Y$133,DN$2,FALSE)*DN$1</f>
        <v>0</v>
      </c>
      <c r="DO310" s="3235">
        <f>$G310+DN310</f>
        <v>33809167</v>
      </c>
      <c r="DP310" s="3236">
        <f t="shared" si="932"/>
        <v>46941385.813219115</v>
      </c>
      <c r="DQ310" s="3236">
        <f t="shared" si="933"/>
        <v>0</v>
      </c>
      <c r="DR310" s="3236">
        <f t="shared" si="934"/>
        <v>-13132218.813219115</v>
      </c>
      <c r="DS310" s="3264"/>
      <c r="DV310" s="3284">
        <f>VLOOKUP($A310,'New Resources - Individual'!$A$4:$Y$133,DV$2,FALSE)*DV$1</f>
        <v>0</v>
      </c>
      <c r="DW310" s="3235">
        <f>$G310+DV310</f>
        <v>33809167</v>
      </c>
      <c r="DX310" s="3236">
        <f t="shared" si="935"/>
        <v>46941385.813219115</v>
      </c>
      <c r="DY310" s="3236">
        <f t="shared" si="936"/>
        <v>0</v>
      </c>
      <c r="DZ310" s="3236">
        <f t="shared" si="937"/>
        <v>-13132218.813219115</v>
      </c>
      <c r="EA310" s="3264"/>
      <c r="ED310" s="3284">
        <f>VLOOKUP($A310,'New Resources - Individual'!$A$4:$Y$133,ED$2,FALSE)*ED$1</f>
        <v>0</v>
      </c>
      <c r="EE310" s="3235">
        <f>$G310+ED310</f>
        <v>33809167</v>
      </c>
      <c r="EF310" s="3236">
        <f t="shared" si="938"/>
        <v>46941385.813219115</v>
      </c>
      <c r="EG310" s="3236">
        <f t="shared" si="939"/>
        <v>0</v>
      </c>
      <c r="EH310" s="3236">
        <f t="shared" si="940"/>
        <v>-13132218.813219115</v>
      </c>
      <c r="EI310" s="3264"/>
      <c r="EL310" s="3284">
        <f>VLOOKUP($A310,'New Resources - Individual'!$A$4:$Y$133,EL$2,FALSE)*EL$1</f>
        <v>0</v>
      </c>
      <c r="EM310" s="3235">
        <f>$G310+EL310</f>
        <v>33809167</v>
      </c>
      <c r="EN310" s="3236">
        <f t="shared" si="941"/>
        <v>46941385.813219115</v>
      </c>
      <c r="EO310" s="3236">
        <f t="shared" si="942"/>
        <v>0</v>
      </c>
      <c r="EP310" s="3236">
        <f t="shared" si="943"/>
        <v>-13132218.813219115</v>
      </c>
      <c r="EQ310" s="3264"/>
      <c r="ET310" s="3284">
        <f>VLOOKUP($A310,'New Resources - Individual'!$A$4:$Y$133,ET$2,FALSE)*ET$1</f>
        <v>0</v>
      </c>
      <c r="EU310" s="3235">
        <f>$G310+ET310</f>
        <v>33809167</v>
      </c>
      <c r="EV310" s="3236">
        <f t="shared" si="944"/>
        <v>46941385.813219115</v>
      </c>
      <c r="EW310" s="3236">
        <f t="shared" si="945"/>
        <v>0</v>
      </c>
      <c r="EX310" s="3236">
        <f t="shared" si="946"/>
        <v>-13132218.813219115</v>
      </c>
      <c r="EY310" s="3264"/>
      <c r="FB310" s="3284">
        <f>VLOOKUP($A310,'New Resources - Individual'!$A$4:$Y$133,FB$2,FALSE)*FB$1</f>
        <v>0</v>
      </c>
      <c r="FC310" s="3235">
        <f>$G310+FB310</f>
        <v>33809167</v>
      </c>
      <c r="FD310" s="3236">
        <f t="shared" si="947"/>
        <v>46941385.813219115</v>
      </c>
      <c r="FE310" s="3236">
        <f t="shared" si="948"/>
        <v>0</v>
      </c>
      <c r="FF310" s="3236">
        <f t="shared" si="949"/>
        <v>-13132218.813219115</v>
      </c>
      <c r="FG310" s="3264"/>
      <c r="FJ310" s="3284">
        <f>VLOOKUP($A310,'New Resources - Individual'!$A$4:$Y$133,FJ$2,FALSE)*FJ$1</f>
        <v>0</v>
      </c>
      <c r="FK310" s="3235">
        <f>$G310+FJ310</f>
        <v>33809167</v>
      </c>
      <c r="FL310" s="3236">
        <f t="shared" si="950"/>
        <v>46941385.813219115</v>
      </c>
      <c r="FM310" s="3236">
        <f t="shared" si="951"/>
        <v>0</v>
      </c>
      <c r="FN310" s="3236">
        <f t="shared" si="952"/>
        <v>-13132218.813219115</v>
      </c>
      <c r="FO310" s="3264"/>
    </row>
    <row r="311" spans="1:171">
      <c r="A311" s="3254">
        <v>930</v>
      </c>
      <c r="B311" s="2290" t="s">
        <v>502</v>
      </c>
      <c r="C311" s="2464">
        <v>330</v>
      </c>
      <c r="D311" s="2464">
        <v>456.1</v>
      </c>
      <c r="E311" s="2424" t="str">
        <f>'Sch 3B - Other Items'!E35</f>
        <v>TRANS</v>
      </c>
      <c r="F311" s="2171"/>
      <c r="G311" s="2424">
        <f>'Sch 3B - Other Items'!G35</f>
        <v>34371414</v>
      </c>
      <c r="H311" s="2424">
        <f>'Sch 3B - Other Items'!H35</f>
        <v>0</v>
      </c>
      <c r="I311" s="2424">
        <f>'Sch 3B - Other Items'!I35</f>
        <v>0</v>
      </c>
      <c r="J311" s="2425">
        <f>'Sch 3B - Other Items'!J35</f>
        <v>34371414</v>
      </c>
      <c r="K311" s="3205">
        <f t="shared" si="892"/>
        <v>1</v>
      </c>
      <c r="N311" s="3284">
        <f>VLOOKUP($A311,'New Resources - Individual'!$A$4:$Y$133,N$2,FALSE)*N$1</f>
        <v>0</v>
      </c>
      <c r="O311" s="3235">
        <f>$G311+N311</f>
        <v>34371414</v>
      </c>
      <c r="P311" s="3236">
        <f t="shared" si="893"/>
        <v>0</v>
      </c>
      <c r="Q311" s="3236">
        <f t="shared" si="894"/>
        <v>34371414</v>
      </c>
      <c r="R311" s="3236">
        <f t="shared" si="895"/>
        <v>0</v>
      </c>
      <c r="S311" s="3264"/>
      <c r="V311" s="3284">
        <f>VLOOKUP($A311,'New Resources - Individual'!$A$4:$Y$133,V$2,FALSE)*V$1</f>
        <v>0</v>
      </c>
      <c r="W311" s="3235">
        <f>$G311+V311</f>
        <v>34371414</v>
      </c>
      <c r="X311" s="3236">
        <f t="shared" si="896"/>
        <v>0</v>
      </c>
      <c r="Y311" s="3236">
        <f t="shared" si="897"/>
        <v>34371414</v>
      </c>
      <c r="Z311" s="3236">
        <f t="shared" si="898"/>
        <v>0</v>
      </c>
      <c r="AA311" s="3264"/>
      <c r="AD311" s="3284">
        <f>VLOOKUP($A311,'New Resources - Individual'!$A$4:$Y$133,AD$2,FALSE)*AD$1</f>
        <v>0</v>
      </c>
      <c r="AE311" s="3235">
        <f>$G311+AD311</f>
        <v>34371414</v>
      </c>
      <c r="AF311" s="3236">
        <f t="shared" si="899"/>
        <v>0</v>
      </c>
      <c r="AG311" s="3236">
        <f t="shared" si="900"/>
        <v>34371414</v>
      </c>
      <c r="AH311" s="3236">
        <f t="shared" si="901"/>
        <v>0</v>
      </c>
      <c r="AI311" s="3264"/>
      <c r="AL311" s="3284">
        <f>VLOOKUP($A311,'New Resources - Individual'!$A$4:$Y$133,AL$2,FALSE)*AL$1</f>
        <v>0</v>
      </c>
      <c r="AM311" s="3235">
        <f>$G311+AL311</f>
        <v>34371414</v>
      </c>
      <c r="AN311" s="3236">
        <f t="shared" si="902"/>
        <v>0</v>
      </c>
      <c r="AO311" s="3236">
        <f t="shared" si="903"/>
        <v>34371414</v>
      </c>
      <c r="AP311" s="3236">
        <f t="shared" si="904"/>
        <v>0</v>
      </c>
      <c r="AQ311" s="3264"/>
      <c r="AT311" s="3284">
        <f>VLOOKUP($A311,'New Resources - Individual'!$A$4:$Y$133,AT$2,FALSE)*AT$1</f>
        <v>0</v>
      </c>
      <c r="AU311" s="3235">
        <f>$G311+AT311</f>
        <v>34371414</v>
      </c>
      <c r="AV311" s="3236">
        <f t="shared" si="905"/>
        <v>0</v>
      </c>
      <c r="AW311" s="3236">
        <f t="shared" si="906"/>
        <v>34371414</v>
      </c>
      <c r="AX311" s="3236">
        <f t="shared" si="907"/>
        <v>0</v>
      </c>
      <c r="AY311" s="3264"/>
      <c r="BB311" s="3284">
        <f>VLOOKUP($A311,'New Resources - Individual'!$A$4:$Y$133,BB$2,FALSE)*BB$1</f>
        <v>0</v>
      </c>
      <c r="BC311" s="3235">
        <f>$G311+BB311</f>
        <v>34371414</v>
      </c>
      <c r="BD311" s="3236">
        <f t="shared" si="908"/>
        <v>0</v>
      </c>
      <c r="BE311" s="3236">
        <f t="shared" si="909"/>
        <v>34371414</v>
      </c>
      <c r="BF311" s="3236">
        <f t="shared" si="910"/>
        <v>0</v>
      </c>
      <c r="BG311" s="3264"/>
      <c r="BJ311" s="3284">
        <f>VLOOKUP($A311,'New Resources - Individual'!$A$4:$Y$133,BJ$2,FALSE)*BJ$1</f>
        <v>0</v>
      </c>
      <c r="BK311" s="3235">
        <f>$G311+BJ311</f>
        <v>34371414</v>
      </c>
      <c r="BL311" s="3236">
        <f t="shared" si="911"/>
        <v>0</v>
      </c>
      <c r="BM311" s="3236">
        <f t="shared" si="912"/>
        <v>34371414</v>
      </c>
      <c r="BN311" s="3236">
        <f t="shared" si="913"/>
        <v>0</v>
      </c>
      <c r="BO311" s="3264"/>
      <c r="BR311" s="3284">
        <f>VLOOKUP($A311,'New Resources - Individual'!$A$4:$Y$133,BR$2,FALSE)*BR$1</f>
        <v>0</v>
      </c>
      <c r="BS311" s="3235">
        <f>$G311+BR311</f>
        <v>34371414</v>
      </c>
      <c r="BT311" s="3236">
        <f t="shared" si="914"/>
        <v>0</v>
      </c>
      <c r="BU311" s="3236">
        <f t="shared" si="915"/>
        <v>34371414</v>
      </c>
      <c r="BV311" s="3236">
        <f t="shared" si="916"/>
        <v>0</v>
      </c>
      <c r="BW311" s="3264"/>
      <c r="BZ311" s="3284">
        <f>VLOOKUP($A311,'New Resources - Individual'!$A$4:$Y$133,BZ$2,FALSE)*BZ$1</f>
        <v>0</v>
      </c>
      <c r="CA311" s="3235">
        <f>$G311+BZ311</f>
        <v>34371414</v>
      </c>
      <c r="CB311" s="3236">
        <f t="shared" si="917"/>
        <v>0</v>
      </c>
      <c r="CC311" s="3236">
        <f t="shared" si="918"/>
        <v>34371414</v>
      </c>
      <c r="CD311" s="3236">
        <f t="shared" si="919"/>
        <v>0</v>
      </c>
      <c r="CE311" s="3264"/>
      <c r="CH311" s="3284">
        <f>VLOOKUP($A311,'New Resources - Individual'!$A$4:$Y$133,CH$2,FALSE)*CH$1</f>
        <v>0</v>
      </c>
      <c r="CI311" s="3235">
        <f>$G311+CH311</f>
        <v>34371414</v>
      </c>
      <c r="CJ311" s="3236">
        <f t="shared" si="920"/>
        <v>0</v>
      </c>
      <c r="CK311" s="3236">
        <f t="shared" si="921"/>
        <v>34371414</v>
      </c>
      <c r="CL311" s="3236">
        <f t="shared" si="922"/>
        <v>0</v>
      </c>
      <c r="CM311" s="3264"/>
      <c r="CP311" s="3284">
        <f>VLOOKUP($A311,'New Resources - Individual'!$A$4:$Y$133,CP$2,FALSE)*CP$1</f>
        <v>0</v>
      </c>
      <c r="CQ311" s="3235">
        <f>$G311+CP311</f>
        <v>34371414</v>
      </c>
      <c r="CR311" s="3236">
        <f t="shared" si="923"/>
        <v>0</v>
      </c>
      <c r="CS311" s="3236">
        <f t="shared" si="924"/>
        <v>34371414</v>
      </c>
      <c r="CT311" s="3236">
        <f t="shared" si="925"/>
        <v>0</v>
      </c>
      <c r="CU311" s="3264"/>
      <c r="CX311" s="3284">
        <f>VLOOKUP($A311,'New Resources - Individual'!$A$4:$Y$133,CX$2,FALSE)*CX$1</f>
        <v>0</v>
      </c>
      <c r="CY311" s="3235">
        <f>$G311+CX311</f>
        <v>34371414</v>
      </c>
      <c r="CZ311" s="3236">
        <f t="shared" si="926"/>
        <v>0</v>
      </c>
      <c r="DA311" s="3236">
        <f t="shared" si="927"/>
        <v>34371414</v>
      </c>
      <c r="DB311" s="3236">
        <f t="shared" si="928"/>
        <v>0</v>
      </c>
      <c r="DC311" s="3264"/>
      <c r="DF311" s="3284">
        <f>VLOOKUP($A311,'New Resources - Individual'!$A$4:$Y$133,DF$2,FALSE)*DF$1</f>
        <v>0</v>
      </c>
      <c r="DG311" s="3235">
        <f>$G311+DF311</f>
        <v>34371414</v>
      </c>
      <c r="DH311" s="3236">
        <f t="shared" si="929"/>
        <v>0</v>
      </c>
      <c r="DI311" s="3236">
        <f t="shared" si="930"/>
        <v>34371414</v>
      </c>
      <c r="DJ311" s="3236">
        <f t="shared" si="931"/>
        <v>0</v>
      </c>
      <c r="DK311" s="3264"/>
      <c r="DN311" s="3284">
        <f>VLOOKUP($A311,'New Resources - Individual'!$A$4:$Y$133,DN$2,FALSE)*DN$1</f>
        <v>0</v>
      </c>
      <c r="DO311" s="3235">
        <f>$G311+DN311</f>
        <v>34371414</v>
      </c>
      <c r="DP311" s="3236">
        <f t="shared" si="932"/>
        <v>0</v>
      </c>
      <c r="DQ311" s="3236">
        <f t="shared" si="933"/>
        <v>34371414</v>
      </c>
      <c r="DR311" s="3236">
        <f t="shared" si="934"/>
        <v>0</v>
      </c>
      <c r="DS311" s="3264"/>
      <c r="DV311" s="3284">
        <f>VLOOKUP($A311,'New Resources - Individual'!$A$4:$Y$133,DV$2,FALSE)*DV$1</f>
        <v>0</v>
      </c>
      <c r="DW311" s="3235">
        <f>$G311+DV311</f>
        <v>34371414</v>
      </c>
      <c r="DX311" s="3236">
        <f t="shared" si="935"/>
        <v>0</v>
      </c>
      <c r="DY311" s="3236">
        <f t="shared" si="936"/>
        <v>34371414</v>
      </c>
      <c r="DZ311" s="3236">
        <f t="shared" si="937"/>
        <v>0</v>
      </c>
      <c r="EA311" s="3264"/>
      <c r="ED311" s="3284">
        <f>VLOOKUP($A311,'New Resources - Individual'!$A$4:$Y$133,ED$2,FALSE)*ED$1</f>
        <v>0</v>
      </c>
      <c r="EE311" s="3235">
        <f>$G311+ED311</f>
        <v>34371414</v>
      </c>
      <c r="EF311" s="3236">
        <f t="shared" si="938"/>
        <v>0</v>
      </c>
      <c r="EG311" s="3236">
        <f t="shared" si="939"/>
        <v>34371414</v>
      </c>
      <c r="EH311" s="3236">
        <f t="shared" si="940"/>
        <v>0</v>
      </c>
      <c r="EI311" s="3264"/>
      <c r="EL311" s="3284">
        <f>VLOOKUP($A311,'New Resources - Individual'!$A$4:$Y$133,EL$2,FALSE)*EL$1</f>
        <v>0</v>
      </c>
      <c r="EM311" s="3235">
        <f>$G311+EL311</f>
        <v>34371414</v>
      </c>
      <c r="EN311" s="3236">
        <f t="shared" si="941"/>
        <v>0</v>
      </c>
      <c r="EO311" s="3236">
        <f t="shared" si="942"/>
        <v>34371414</v>
      </c>
      <c r="EP311" s="3236">
        <f t="shared" si="943"/>
        <v>0</v>
      </c>
      <c r="EQ311" s="3264"/>
      <c r="ET311" s="3284">
        <f>VLOOKUP($A311,'New Resources - Individual'!$A$4:$Y$133,ET$2,FALSE)*ET$1</f>
        <v>0</v>
      </c>
      <c r="EU311" s="3235">
        <f>$G311+ET311</f>
        <v>34371414</v>
      </c>
      <c r="EV311" s="3236">
        <f t="shared" si="944"/>
        <v>0</v>
      </c>
      <c r="EW311" s="3236">
        <f t="shared" si="945"/>
        <v>34371414</v>
      </c>
      <c r="EX311" s="3236">
        <f t="shared" si="946"/>
        <v>0</v>
      </c>
      <c r="EY311" s="3264"/>
      <c r="FB311" s="3284">
        <f>VLOOKUP($A311,'New Resources - Individual'!$A$4:$Y$133,FB$2,FALSE)*FB$1</f>
        <v>0</v>
      </c>
      <c r="FC311" s="3235">
        <f>$G311+FB311</f>
        <v>34371414</v>
      </c>
      <c r="FD311" s="3236">
        <f t="shared" si="947"/>
        <v>0</v>
      </c>
      <c r="FE311" s="3236">
        <f t="shared" si="948"/>
        <v>34371414</v>
      </c>
      <c r="FF311" s="3236">
        <f t="shared" si="949"/>
        <v>0</v>
      </c>
      <c r="FG311" s="3264"/>
      <c r="FJ311" s="3284">
        <f>VLOOKUP($A311,'New Resources - Individual'!$A$4:$Y$133,FJ$2,FALSE)*FJ$1</f>
        <v>0</v>
      </c>
      <c r="FK311" s="3235">
        <f>$G311+FJ311</f>
        <v>34371414</v>
      </c>
      <c r="FL311" s="3236">
        <f t="shared" si="950"/>
        <v>0</v>
      </c>
      <c r="FM311" s="3236">
        <f t="shared" si="951"/>
        <v>34371414</v>
      </c>
      <c r="FN311" s="3236">
        <f t="shared" si="952"/>
        <v>0</v>
      </c>
      <c r="FO311" s="3264"/>
    </row>
    <row r="312" spans="1:171">
      <c r="A312" s="2669"/>
      <c r="B312" s="2290"/>
      <c r="C312" s="2116"/>
      <c r="D312" s="2098"/>
      <c r="E312" s="2116"/>
      <c r="F312" s="2116"/>
      <c r="G312" s="2181"/>
      <c r="H312" s="2181"/>
      <c r="I312" s="2181"/>
      <c r="J312" s="2327"/>
      <c r="K312" s="3205"/>
      <c r="S312" s="3264"/>
      <c r="AA312" s="3264"/>
      <c r="AI312" s="3264"/>
      <c r="AQ312" s="3264"/>
      <c r="AY312" s="3264"/>
      <c r="BG312" s="3264"/>
      <c r="BO312" s="3264"/>
      <c r="BW312" s="3264"/>
      <c r="CE312" s="3264"/>
      <c r="CM312" s="3264"/>
      <c r="CU312" s="3264"/>
      <c r="DC312" s="3264"/>
      <c r="DK312" s="3264"/>
      <c r="DS312" s="3264"/>
      <c r="EA312" s="3264"/>
      <c r="EI312" s="3264"/>
      <c r="EQ312" s="3264"/>
      <c r="EY312" s="3264"/>
      <c r="FG312" s="3264"/>
      <c r="FO312" s="3264"/>
    </row>
    <row r="313" spans="1:171">
      <c r="A313" s="2310" t="s">
        <v>48</v>
      </c>
      <c r="B313" s="2100"/>
      <c r="C313" s="3256"/>
      <c r="D313" s="3257"/>
      <c r="E313" s="3257"/>
      <c r="F313" s="3258"/>
      <c r="G313" s="3265">
        <f>SUM(G305:G311)</f>
        <v>101425371</v>
      </c>
      <c r="H313" s="3265">
        <f>SUM(H305:H311)</f>
        <v>46941385.813219115</v>
      </c>
      <c r="I313" s="3265">
        <f>SUM(I305:I311)</f>
        <v>0</v>
      </c>
      <c r="J313" s="3266">
        <f>SUM(J305:J311)</f>
        <v>54483985.496594332</v>
      </c>
      <c r="K313" s="3205"/>
      <c r="O313" s="3306">
        <f>SUM(O305:O311)</f>
        <v>101425371</v>
      </c>
      <c r="P313" s="3306">
        <f>SUM(P305:P311)</f>
        <v>46941385.813219115</v>
      </c>
      <c r="Q313" s="3306">
        <f>SUM(Q305:Q311)</f>
        <v>39023812.633945227</v>
      </c>
      <c r="R313" s="3306">
        <f>SUM(R305:R311)</f>
        <v>15460172.552835658</v>
      </c>
      <c r="S313" s="3264"/>
      <c r="W313" s="3306">
        <f>SUM(W305:W311)</f>
        <v>101425371</v>
      </c>
      <c r="X313" s="3306">
        <f>SUM(X305:X311)</f>
        <v>46941385.813219115</v>
      </c>
      <c r="Y313" s="3306">
        <f>SUM(Y305:Y311)</f>
        <v>39023812.633945227</v>
      </c>
      <c r="Z313" s="3306">
        <f>SUM(Z305:Z311)</f>
        <v>15460172.552835658</v>
      </c>
      <c r="AA313" s="3264"/>
      <c r="AE313" s="3306">
        <f>SUM(AE305:AE311)</f>
        <v>101425371</v>
      </c>
      <c r="AF313" s="3306">
        <f>SUM(AF305:AF311)</f>
        <v>46941385.813219115</v>
      </c>
      <c r="AG313" s="3306">
        <f>SUM(AG305:AG311)</f>
        <v>39023812.633945227</v>
      </c>
      <c r="AH313" s="3306">
        <f>SUM(AH305:AH311)</f>
        <v>15460172.552835658</v>
      </c>
      <c r="AI313" s="3264"/>
      <c r="AM313" s="3306">
        <f>SUM(AM305:AM311)</f>
        <v>101425371</v>
      </c>
      <c r="AN313" s="3306">
        <f>SUM(AN305:AN311)</f>
        <v>46941385.813219115</v>
      </c>
      <c r="AO313" s="3306">
        <f>SUM(AO305:AO311)</f>
        <v>39023812.633945227</v>
      </c>
      <c r="AP313" s="3306">
        <f>SUM(AP305:AP311)</f>
        <v>15460172.552835658</v>
      </c>
      <c r="AQ313" s="3264"/>
      <c r="AU313" s="3306">
        <f>SUM(AU305:AU311)</f>
        <v>101425371</v>
      </c>
      <c r="AV313" s="3306">
        <f>SUM(AV305:AV311)</f>
        <v>46941385.813219115</v>
      </c>
      <c r="AW313" s="3306">
        <f>SUM(AW305:AW311)</f>
        <v>39023812.633945227</v>
      </c>
      <c r="AX313" s="3306">
        <f>SUM(AX305:AX311)</f>
        <v>15460172.552835658</v>
      </c>
      <c r="AY313" s="3264"/>
      <c r="BC313" s="3306">
        <f>SUM(BC305:BC311)</f>
        <v>101425371</v>
      </c>
      <c r="BD313" s="3306">
        <f>SUM(BD305:BD311)</f>
        <v>46941385.813219115</v>
      </c>
      <c r="BE313" s="3306">
        <f>SUM(BE305:BE311)</f>
        <v>39023812.633945227</v>
      </c>
      <c r="BF313" s="3306">
        <f>SUM(BF305:BF311)</f>
        <v>15460172.552835658</v>
      </c>
      <c r="BG313" s="3264"/>
      <c r="BK313" s="3306">
        <f>SUM(BK305:BK311)</f>
        <v>101425371</v>
      </c>
      <c r="BL313" s="3306">
        <f>SUM(BL305:BL311)</f>
        <v>46941385.813219115</v>
      </c>
      <c r="BM313" s="3306">
        <f>SUM(BM305:BM311)</f>
        <v>39023812.633945227</v>
      </c>
      <c r="BN313" s="3306">
        <f>SUM(BN305:BN311)</f>
        <v>15460172.552835658</v>
      </c>
      <c r="BO313" s="3264"/>
      <c r="BS313" s="3306">
        <f>SUM(BS305:BS311)</f>
        <v>101425371</v>
      </c>
      <c r="BT313" s="3306">
        <f>SUM(BT305:BT311)</f>
        <v>46941385.813219115</v>
      </c>
      <c r="BU313" s="3306">
        <f>SUM(BU305:BU311)</f>
        <v>39023812.633945227</v>
      </c>
      <c r="BV313" s="3306">
        <f>SUM(BV305:BV311)</f>
        <v>15460172.552835658</v>
      </c>
      <c r="BW313" s="3264"/>
      <c r="CA313" s="3306">
        <f>SUM(CA305:CA311)</f>
        <v>101425371</v>
      </c>
      <c r="CB313" s="3306">
        <f>SUM(CB305:CB311)</f>
        <v>46941385.813219115</v>
      </c>
      <c r="CC313" s="3306">
        <f>SUM(CC305:CC311)</f>
        <v>39023812.633945227</v>
      </c>
      <c r="CD313" s="3306">
        <f>SUM(CD305:CD311)</f>
        <v>15460172.552835658</v>
      </c>
      <c r="CE313" s="3264"/>
      <c r="CI313" s="3306">
        <f>SUM(CI305:CI311)</f>
        <v>101425371</v>
      </c>
      <c r="CJ313" s="3306">
        <f>SUM(CJ305:CJ311)</f>
        <v>46941385.813219115</v>
      </c>
      <c r="CK313" s="3306">
        <f>SUM(CK305:CK311)</f>
        <v>39023812.633945227</v>
      </c>
      <c r="CL313" s="3306">
        <f>SUM(CL305:CL311)</f>
        <v>15460172.552835658</v>
      </c>
      <c r="CM313" s="3264"/>
      <c r="CQ313" s="3306">
        <f>SUM(CQ305:CQ311)</f>
        <v>101425371</v>
      </c>
      <c r="CR313" s="3306">
        <f>SUM(CR305:CR311)</f>
        <v>46941385.813219115</v>
      </c>
      <c r="CS313" s="3306">
        <f>SUM(CS305:CS311)</f>
        <v>39023812.633945227</v>
      </c>
      <c r="CT313" s="3306">
        <f>SUM(CT305:CT311)</f>
        <v>15460172.552835658</v>
      </c>
      <c r="CU313" s="3264"/>
      <c r="CY313" s="3306">
        <f>SUM(CY305:CY311)</f>
        <v>101425371</v>
      </c>
      <c r="CZ313" s="3306">
        <f>SUM(CZ305:CZ311)</f>
        <v>46941385.813219115</v>
      </c>
      <c r="DA313" s="3306">
        <f>SUM(DA305:DA311)</f>
        <v>39023812.633945227</v>
      </c>
      <c r="DB313" s="3306">
        <f>SUM(DB305:DB311)</f>
        <v>15460172.552835658</v>
      </c>
      <c r="DC313" s="3264"/>
      <c r="DG313" s="3306">
        <f>SUM(DG305:DG311)</f>
        <v>101425371</v>
      </c>
      <c r="DH313" s="3306">
        <f>SUM(DH305:DH311)</f>
        <v>46941385.813219115</v>
      </c>
      <c r="DI313" s="3306">
        <f>SUM(DI305:DI311)</f>
        <v>39023812.633945227</v>
      </c>
      <c r="DJ313" s="3306">
        <f>SUM(DJ305:DJ311)</f>
        <v>15460172.552835658</v>
      </c>
      <c r="DK313" s="3264"/>
      <c r="DO313" s="3306">
        <f>SUM(DO305:DO311)</f>
        <v>101425371</v>
      </c>
      <c r="DP313" s="3306">
        <f>SUM(DP305:DP311)</f>
        <v>46941385.813219115</v>
      </c>
      <c r="DQ313" s="3306">
        <f>SUM(DQ305:DQ311)</f>
        <v>39023812.633945227</v>
      </c>
      <c r="DR313" s="3306">
        <f>SUM(DR305:DR311)</f>
        <v>15460172.552835658</v>
      </c>
      <c r="DS313" s="3264"/>
      <c r="DW313" s="3306">
        <f>SUM(DW305:DW311)</f>
        <v>101425371</v>
      </c>
      <c r="DX313" s="3306">
        <f>SUM(DX305:DX311)</f>
        <v>46941385.813219115</v>
      </c>
      <c r="DY313" s="3306">
        <f>SUM(DY305:DY311)</f>
        <v>39023812.633945227</v>
      </c>
      <c r="DZ313" s="3306">
        <f>SUM(DZ305:DZ311)</f>
        <v>15460172.552835658</v>
      </c>
      <c r="EA313" s="3264"/>
      <c r="EE313" s="3306">
        <f>SUM(EE305:EE311)</f>
        <v>101425371</v>
      </c>
      <c r="EF313" s="3306">
        <f>SUM(EF305:EF311)</f>
        <v>46941385.813219115</v>
      </c>
      <c r="EG313" s="3306">
        <f>SUM(EG305:EG311)</f>
        <v>39023812.633945227</v>
      </c>
      <c r="EH313" s="3306">
        <f>SUM(EH305:EH311)</f>
        <v>15460172.552835658</v>
      </c>
      <c r="EI313" s="3264"/>
      <c r="EM313" s="3306">
        <f>SUM(EM305:EM311)</f>
        <v>101425371</v>
      </c>
      <c r="EN313" s="3306">
        <f>SUM(EN305:EN311)</f>
        <v>46941385.813219115</v>
      </c>
      <c r="EO313" s="3306">
        <f>SUM(EO305:EO311)</f>
        <v>39023812.633945227</v>
      </c>
      <c r="EP313" s="3306">
        <f>SUM(EP305:EP311)</f>
        <v>15460172.552835658</v>
      </c>
      <c r="EQ313" s="3264"/>
      <c r="EU313" s="3306">
        <f>SUM(EU305:EU311)</f>
        <v>101425371</v>
      </c>
      <c r="EV313" s="3306">
        <f>SUM(EV305:EV311)</f>
        <v>46941385.813219115</v>
      </c>
      <c r="EW313" s="3306">
        <f>SUM(EW305:EW311)</f>
        <v>39023812.633945227</v>
      </c>
      <c r="EX313" s="3306">
        <f>SUM(EX305:EX311)</f>
        <v>15460172.552835658</v>
      </c>
      <c r="EY313" s="3264"/>
      <c r="FC313" s="3306">
        <f>SUM(FC305:FC311)</f>
        <v>101425371</v>
      </c>
      <c r="FD313" s="3306">
        <f>SUM(FD305:FD311)</f>
        <v>46941385.813219115</v>
      </c>
      <c r="FE313" s="3306">
        <f>SUM(FE305:FE311)</f>
        <v>39023812.633945227</v>
      </c>
      <c r="FF313" s="3306">
        <f>SUM(FF305:FF311)</f>
        <v>15460172.552835658</v>
      </c>
      <c r="FG313" s="3264"/>
      <c r="FK313" s="3306">
        <f>SUM(FK305:FK311)</f>
        <v>101425371</v>
      </c>
      <c r="FL313" s="3306">
        <f>SUM(FL305:FL311)</f>
        <v>46941385.813219115</v>
      </c>
      <c r="FM313" s="3306">
        <f>SUM(FM305:FM311)</f>
        <v>39023812.633945227</v>
      </c>
      <c r="FN313" s="3306">
        <f>SUM(FN305:FN311)</f>
        <v>15460172.552835658</v>
      </c>
      <c r="FO313" s="3264"/>
    </row>
    <row r="314" spans="1:171">
      <c r="A314" s="2310"/>
      <c r="B314" s="2100"/>
      <c r="C314" s="2116"/>
      <c r="D314" s="2116"/>
      <c r="E314" s="2116"/>
      <c r="F314" s="2116"/>
      <c r="G314" s="3358"/>
      <c r="H314" s="3358"/>
      <c r="I314" s="3358"/>
      <c r="J314" s="3359"/>
      <c r="K314" s="3205"/>
      <c r="O314" s="2747"/>
      <c r="P314" s="2747"/>
      <c r="Q314" s="2747"/>
      <c r="R314" s="2747"/>
      <c r="S314" s="3264"/>
      <c r="W314" s="2747"/>
      <c r="X314" s="2747"/>
      <c r="Y314" s="2747"/>
      <c r="Z314" s="2747"/>
      <c r="AA314" s="3264"/>
      <c r="AE314" s="2747"/>
      <c r="AF314" s="2747"/>
      <c r="AG314" s="2747"/>
      <c r="AH314" s="2747"/>
      <c r="AI314" s="3264"/>
      <c r="AM314" s="2747"/>
      <c r="AN314" s="2747"/>
      <c r="AO314" s="2747"/>
      <c r="AP314" s="2747"/>
      <c r="AQ314" s="3264"/>
      <c r="AU314" s="2747"/>
      <c r="AV314" s="2747"/>
      <c r="AW314" s="2747"/>
      <c r="AX314" s="2747"/>
      <c r="AY314" s="3264"/>
      <c r="BC314" s="2747"/>
      <c r="BD314" s="2747"/>
      <c r="BE314" s="2747"/>
      <c r="BF314" s="2747"/>
      <c r="BG314" s="3264"/>
      <c r="BK314" s="2747"/>
      <c r="BL314" s="2747"/>
      <c r="BM314" s="2747"/>
      <c r="BN314" s="2747"/>
      <c r="BO314" s="3264"/>
      <c r="BS314" s="2747"/>
      <c r="BT314" s="2747"/>
      <c r="BU314" s="2747"/>
      <c r="BV314" s="2747"/>
      <c r="BW314" s="3264"/>
      <c r="CA314" s="2747"/>
      <c r="CB314" s="2747"/>
      <c r="CC314" s="2747"/>
      <c r="CD314" s="2747"/>
      <c r="CE314" s="3264"/>
      <c r="CI314" s="2747"/>
      <c r="CJ314" s="2747"/>
      <c r="CK314" s="2747"/>
      <c r="CL314" s="2747"/>
      <c r="CM314" s="3264"/>
      <c r="CQ314" s="2747"/>
      <c r="CR314" s="2747"/>
      <c r="CS314" s="2747"/>
      <c r="CT314" s="2747"/>
      <c r="CU314" s="3264"/>
      <c r="CY314" s="2747"/>
      <c r="CZ314" s="2747"/>
      <c r="DA314" s="2747"/>
      <c r="DB314" s="2747"/>
      <c r="DC314" s="3264"/>
      <c r="DG314" s="2747"/>
      <c r="DH314" s="2747"/>
      <c r="DI314" s="2747"/>
      <c r="DJ314" s="2747"/>
      <c r="DK314" s="3264"/>
      <c r="DO314" s="2747"/>
      <c r="DP314" s="2747"/>
      <c r="DQ314" s="2747"/>
      <c r="DR314" s="2747"/>
      <c r="DS314" s="3264"/>
      <c r="DW314" s="2747"/>
      <c r="DX314" s="2747"/>
      <c r="DY314" s="2747"/>
      <c r="DZ314" s="2747"/>
      <c r="EA314" s="3264"/>
      <c r="EE314" s="2747"/>
      <c r="EF314" s="2747"/>
      <c r="EG314" s="2747"/>
      <c r="EH314" s="2747"/>
      <c r="EI314" s="3264"/>
      <c r="EM314" s="2747"/>
      <c r="EN314" s="2747"/>
      <c r="EO314" s="2747"/>
      <c r="EP314" s="2747"/>
      <c r="EQ314" s="3264"/>
      <c r="EU314" s="2747"/>
      <c r="EV314" s="2747"/>
      <c r="EW314" s="2747"/>
      <c r="EX314" s="2747"/>
      <c r="EY314" s="3264"/>
      <c r="FC314" s="2747"/>
      <c r="FD314" s="2747"/>
      <c r="FE314" s="2747"/>
      <c r="FF314" s="2747"/>
      <c r="FG314" s="3264"/>
      <c r="FK314" s="2747"/>
      <c r="FL314" s="2747"/>
      <c r="FM314" s="2747"/>
      <c r="FN314" s="2747"/>
      <c r="FO314" s="3264"/>
    </row>
    <row r="315" spans="1:171">
      <c r="A315" s="2310" t="s">
        <v>49</v>
      </c>
      <c r="B315" s="2100"/>
      <c r="C315" s="3256"/>
      <c r="D315" s="3257"/>
      <c r="E315" s="3257"/>
      <c r="F315" s="3258"/>
      <c r="G315" s="3265">
        <f>+G313+G302+G298</f>
        <v>548884976</v>
      </c>
      <c r="H315" s="3265">
        <f>+H313+H302+H298</f>
        <v>753611619.51360643</v>
      </c>
      <c r="I315" s="3265">
        <f>+I313+I302+I298</f>
        <v>0</v>
      </c>
      <c r="J315" s="3266">
        <f>+J313+J302+J298</f>
        <v>-204726643.11770675</v>
      </c>
      <c r="K315" s="3205"/>
      <c r="O315" s="3306">
        <f>+O313+O302+O298</f>
        <v>548884976</v>
      </c>
      <c r="P315" s="3306">
        <f>+P313+P302+P298</f>
        <v>753611619.51360643</v>
      </c>
      <c r="Q315" s="3306">
        <f>+Q313+Q302+Q298</f>
        <v>39023812.633945227</v>
      </c>
      <c r="R315" s="3306">
        <f>+R313+R302+R298</f>
        <v>-243750456.14755172</v>
      </c>
      <c r="S315" s="3264"/>
      <c r="W315" s="3306">
        <f>+W313+W302+W298</f>
        <v>548884976</v>
      </c>
      <c r="X315" s="3306">
        <f>+X313+X302+X298</f>
        <v>753611619.51360643</v>
      </c>
      <c r="Y315" s="3306">
        <f>+Y313+Y302+Y298</f>
        <v>39023812.633945227</v>
      </c>
      <c r="Z315" s="3306">
        <f>+Z313+Z302+Z298</f>
        <v>-243750456.14755172</v>
      </c>
      <c r="AA315" s="3264"/>
      <c r="AE315" s="3306">
        <f>+AE313+AE302+AE298</f>
        <v>548884976</v>
      </c>
      <c r="AF315" s="3306">
        <f>+AF313+AF302+AF298</f>
        <v>753611619.51360643</v>
      </c>
      <c r="AG315" s="3306">
        <f>+AG313+AG302+AG298</f>
        <v>39023812.633945227</v>
      </c>
      <c r="AH315" s="3306">
        <f>+AH313+AH302+AH298</f>
        <v>-243750456.14755172</v>
      </c>
      <c r="AI315" s="3264"/>
      <c r="AM315" s="3306">
        <f>+AM313+AM302+AM298</f>
        <v>548884976</v>
      </c>
      <c r="AN315" s="3306">
        <f>+AN313+AN302+AN298</f>
        <v>753611619.51360643</v>
      </c>
      <c r="AO315" s="3306">
        <f>+AO313+AO302+AO298</f>
        <v>39023812.633945227</v>
      </c>
      <c r="AP315" s="3306">
        <f>+AP313+AP302+AP298</f>
        <v>-243750456.14755172</v>
      </c>
      <c r="AQ315" s="3264"/>
      <c r="AU315" s="3306">
        <f>+AU313+AU302+AU298</f>
        <v>548884976</v>
      </c>
      <c r="AV315" s="3306">
        <f>+AV313+AV302+AV298</f>
        <v>753611619.51360643</v>
      </c>
      <c r="AW315" s="3306">
        <f>+AW313+AW302+AW298</f>
        <v>39023812.633945227</v>
      </c>
      <c r="AX315" s="3306">
        <f>+AX313+AX302+AX298</f>
        <v>-243750456.14755172</v>
      </c>
      <c r="AY315" s="3264"/>
      <c r="BC315" s="3306">
        <f>+BC313+BC302+BC298</f>
        <v>548884976</v>
      </c>
      <c r="BD315" s="3306">
        <f>+BD313+BD302+BD298</f>
        <v>753611619.51360643</v>
      </c>
      <c r="BE315" s="3306">
        <f>+BE313+BE302+BE298</f>
        <v>39023812.633945227</v>
      </c>
      <c r="BF315" s="3306">
        <f>+BF313+BF302+BF298</f>
        <v>-243750456.14755172</v>
      </c>
      <c r="BG315" s="3264"/>
      <c r="BK315" s="3306">
        <f>+BK313+BK302+BK298</f>
        <v>548884976</v>
      </c>
      <c r="BL315" s="3306">
        <f>+BL313+BL302+BL298</f>
        <v>753611619.51360643</v>
      </c>
      <c r="BM315" s="3306">
        <f>+BM313+BM302+BM298</f>
        <v>39023812.633945227</v>
      </c>
      <c r="BN315" s="3306">
        <f>+BN313+BN302+BN298</f>
        <v>-243750456.14755172</v>
      </c>
      <c r="BO315" s="3264"/>
      <c r="BS315" s="3306">
        <f>+BS313+BS302+BS298</f>
        <v>548884976</v>
      </c>
      <c r="BT315" s="3306">
        <f>+BT313+BT302+BT298</f>
        <v>753611619.51360643</v>
      </c>
      <c r="BU315" s="3306">
        <f>+BU313+BU302+BU298</f>
        <v>39023812.633945227</v>
      </c>
      <c r="BV315" s="3306">
        <f>+BV313+BV302+BV298</f>
        <v>-243750456.14755172</v>
      </c>
      <c r="BW315" s="3264"/>
      <c r="CA315" s="3306">
        <f>+CA313+CA302+CA298</f>
        <v>548884976</v>
      </c>
      <c r="CB315" s="3306">
        <f>+CB313+CB302+CB298</f>
        <v>753611619.51360643</v>
      </c>
      <c r="CC315" s="3306">
        <f>+CC313+CC302+CC298</f>
        <v>39023812.633945227</v>
      </c>
      <c r="CD315" s="3306">
        <f>+CD313+CD302+CD298</f>
        <v>-243750456.14755172</v>
      </c>
      <c r="CE315" s="3264"/>
      <c r="CI315" s="3306">
        <f>+CI313+CI302+CI298</f>
        <v>548884976</v>
      </c>
      <c r="CJ315" s="3306">
        <f>+CJ313+CJ302+CJ298</f>
        <v>753611619.51360643</v>
      </c>
      <c r="CK315" s="3306">
        <f>+CK313+CK302+CK298</f>
        <v>39023812.633945227</v>
      </c>
      <c r="CL315" s="3306">
        <f>+CL313+CL302+CL298</f>
        <v>-243750456.14755172</v>
      </c>
      <c r="CM315" s="3264"/>
      <c r="CQ315" s="3306">
        <f>+CQ313+CQ302+CQ298</f>
        <v>548884976</v>
      </c>
      <c r="CR315" s="3306">
        <f>+CR313+CR302+CR298</f>
        <v>753611619.51360643</v>
      </c>
      <c r="CS315" s="3306">
        <f>+CS313+CS302+CS298</f>
        <v>39023812.633945227</v>
      </c>
      <c r="CT315" s="3306">
        <f>+CT313+CT302+CT298</f>
        <v>-243750456.14755172</v>
      </c>
      <c r="CU315" s="3264"/>
      <c r="CY315" s="3306">
        <f>+CY313+CY302+CY298</f>
        <v>548884976</v>
      </c>
      <c r="CZ315" s="3306">
        <f>+CZ313+CZ302+CZ298</f>
        <v>753611619.51360643</v>
      </c>
      <c r="DA315" s="3306">
        <f>+DA313+DA302+DA298</f>
        <v>39023812.633945227</v>
      </c>
      <c r="DB315" s="3306">
        <f>+DB313+DB302+DB298</f>
        <v>-243750456.14755172</v>
      </c>
      <c r="DC315" s="3264"/>
      <c r="DG315" s="3306">
        <f>+DG313+DG302+DG298</f>
        <v>548884976</v>
      </c>
      <c r="DH315" s="3306">
        <f>+DH313+DH302+DH298</f>
        <v>753611619.51360643</v>
      </c>
      <c r="DI315" s="3306">
        <f>+DI313+DI302+DI298</f>
        <v>39023812.633945227</v>
      </c>
      <c r="DJ315" s="3306">
        <f>+DJ313+DJ302+DJ298</f>
        <v>-243750456.14755172</v>
      </c>
      <c r="DK315" s="3264"/>
      <c r="DO315" s="3306">
        <f>+DO313+DO302+DO298</f>
        <v>548884976</v>
      </c>
      <c r="DP315" s="3306">
        <f>+DP313+DP302+DP298</f>
        <v>753611619.51360643</v>
      </c>
      <c r="DQ315" s="3306">
        <f>+DQ313+DQ302+DQ298</f>
        <v>39023812.633945227</v>
      </c>
      <c r="DR315" s="3306">
        <f>+DR313+DR302+DR298</f>
        <v>-243750456.14755172</v>
      </c>
      <c r="DS315" s="3264"/>
      <c r="DW315" s="3306">
        <f>+DW313+DW302+DW298</f>
        <v>548884976</v>
      </c>
      <c r="DX315" s="3306">
        <f>+DX313+DX302+DX298</f>
        <v>753611619.51360643</v>
      </c>
      <c r="DY315" s="3306">
        <f>+DY313+DY302+DY298</f>
        <v>39023812.633945227</v>
      </c>
      <c r="DZ315" s="3306">
        <f>+DZ313+DZ302+DZ298</f>
        <v>-243750456.14755172</v>
      </c>
      <c r="EA315" s="3264"/>
      <c r="EE315" s="3306">
        <f>+EE313+EE302+EE298</f>
        <v>548884976</v>
      </c>
      <c r="EF315" s="3306">
        <f>+EF313+EF302+EF298</f>
        <v>753611619.51360643</v>
      </c>
      <c r="EG315" s="3306">
        <f>+EG313+EG302+EG298</f>
        <v>39023812.633945227</v>
      </c>
      <c r="EH315" s="3306">
        <f>+EH313+EH302+EH298</f>
        <v>-243750456.14755172</v>
      </c>
      <c r="EI315" s="3264"/>
      <c r="EM315" s="3306">
        <f>+EM313+EM302+EM298</f>
        <v>548884976</v>
      </c>
      <c r="EN315" s="3306">
        <f>+EN313+EN302+EN298</f>
        <v>753611619.51360643</v>
      </c>
      <c r="EO315" s="3306">
        <f>+EO313+EO302+EO298</f>
        <v>39023812.633945227</v>
      </c>
      <c r="EP315" s="3306">
        <f>+EP313+EP302+EP298</f>
        <v>-243750456.14755172</v>
      </c>
      <c r="EQ315" s="3264"/>
      <c r="EU315" s="3306">
        <f>+EU313+EU302+EU298</f>
        <v>548884976</v>
      </c>
      <c r="EV315" s="3306">
        <f>+EV313+EV302+EV298</f>
        <v>753611619.51360643</v>
      </c>
      <c r="EW315" s="3306">
        <f>+EW313+EW302+EW298</f>
        <v>39023812.633945227</v>
      </c>
      <c r="EX315" s="3306">
        <f>+EX313+EX302+EX298</f>
        <v>-243750456.14755172</v>
      </c>
      <c r="EY315" s="3264"/>
      <c r="FC315" s="3306">
        <f>+FC313+FC302+FC298</f>
        <v>548884976</v>
      </c>
      <c r="FD315" s="3306">
        <f>+FD313+FD302+FD298</f>
        <v>753611619.51360643</v>
      </c>
      <c r="FE315" s="3306">
        <f>+FE313+FE302+FE298</f>
        <v>39023812.633945227</v>
      </c>
      <c r="FF315" s="3306">
        <f>+FF313+FF302+FF298</f>
        <v>-243750456.14755172</v>
      </c>
      <c r="FG315" s="3264"/>
      <c r="FK315" s="3306">
        <f>+FK313+FK302+FK298</f>
        <v>548884976</v>
      </c>
      <c r="FL315" s="3306">
        <f>+FL313+FL302+FL298</f>
        <v>753611619.51360643</v>
      </c>
      <c r="FM315" s="3306">
        <f>+FM313+FM302+FM298</f>
        <v>39023812.633945227</v>
      </c>
      <c r="FN315" s="3306">
        <f>+FN313+FN302+FN298</f>
        <v>-243750456.14755172</v>
      </c>
      <c r="FO315" s="3264"/>
    </row>
    <row r="316" spans="1:171">
      <c r="A316" s="2713" t="s">
        <v>67</v>
      </c>
      <c r="B316" s="2100"/>
      <c r="C316" s="2290"/>
      <c r="D316" s="2290"/>
      <c r="E316" s="2290"/>
      <c r="F316" s="2290"/>
      <c r="G316" s="2290"/>
      <c r="H316" s="2290"/>
      <c r="I316" s="2290"/>
      <c r="J316" s="3360"/>
      <c r="K316" s="3205"/>
      <c r="S316" s="3264"/>
      <c r="AA316" s="3264"/>
      <c r="AI316" s="3264"/>
      <c r="AQ316" s="3264"/>
      <c r="AY316" s="3264"/>
      <c r="BG316" s="3264"/>
      <c r="BO316" s="3264"/>
      <c r="BW316" s="3264"/>
      <c r="CE316" s="3264"/>
      <c r="CM316" s="3264"/>
      <c r="CU316" s="3264"/>
      <c r="DC316" s="3264"/>
      <c r="DK316" s="3264"/>
      <c r="DS316" s="3264"/>
      <c r="EA316" s="3264"/>
      <c r="EI316" s="3264"/>
      <c r="EQ316" s="3264"/>
      <c r="EY316" s="3264"/>
      <c r="FG316" s="3264"/>
      <c r="FO316" s="3264"/>
    </row>
    <row r="317" spans="1:171" ht="12" thickBot="1">
      <c r="A317" s="2715"/>
      <c r="B317" s="2716"/>
      <c r="C317" s="2716"/>
      <c r="D317" s="2716"/>
      <c r="E317" s="2716"/>
      <c r="F317" s="2716"/>
      <c r="G317" s="2716"/>
      <c r="H317" s="2716"/>
      <c r="I317" s="2716"/>
      <c r="J317" s="2318"/>
      <c r="K317" s="3205"/>
      <c r="S317" s="3264"/>
      <c r="AA317" s="3264"/>
      <c r="AI317" s="3264"/>
      <c r="AQ317" s="3264"/>
      <c r="AY317" s="3264"/>
      <c r="BG317" s="3264"/>
      <c r="BO317" s="3264"/>
      <c r="BW317" s="3264"/>
      <c r="CE317" s="3264"/>
      <c r="CM317" s="3264"/>
      <c r="CU317" s="3264"/>
      <c r="DC317" s="3264"/>
      <c r="DK317" s="3264"/>
      <c r="DS317" s="3264"/>
      <c r="EA317" s="3264"/>
      <c r="EI317" s="3264"/>
      <c r="EQ317" s="3264"/>
      <c r="EY317" s="3264"/>
      <c r="FG317" s="3264"/>
      <c r="FO317" s="3264"/>
    </row>
    <row r="318" spans="1:171" ht="12.75" thickTop="1" thickBot="1">
      <c r="A318" s="3361" t="s">
        <v>66</v>
      </c>
      <c r="B318" s="3362"/>
      <c r="C318" s="3362"/>
      <c r="D318" s="3362"/>
      <c r="E318" s="3362"/>
      <c r="F318" s="3363"/>
      <c r="G318" s="3363"/>
      <c r="H318" s="3363"/>
      <c r="I318" s="3362"/>
      <c r="J318" s="3362"/>
      <c r="K318" s="3205"/>
      <c r="S318" s="3264"/>
      <c r="AA318" s="3264"/>
      <c r="AI318" s="3264"/>
      <c r="AQ318" s="3264"/>
      <c r="AY318" s="3264"/>
      <c r="BG318" s="3264"/>
      <c r="BO318" s="3264"/>
      <c r="BW318" s="3264"/>
      <c r="CE318" s="3264"/>
      <c r="CM318" s="3264"/>
      <c r="CU318" s="3264"/>
      <c r="DC318" s="3264"/>
      <c r="DK318" s="3264"/>
      <c r="DS318" s="3264"/>
      <c r="EA318" s="3264"/>
      <c r="EI318" s="3264"/>
      <c r="EQ318" s="3264"/>
      <c r="EY318" s="3264"/>
      <c r="FG318" s="3264"/>
      <c r="FO318" s="3264"/>
    </row>
    <row r="319" spans="1:171">
      <c r="A319" s="3364"/>
      <c r="B319" s="3365"/>
      <c r="C319" s="3366"/>
      <c r="D319" s="3366"/>
      <c r="E319" s="3366"/>
      <c r="F319" s="3366"/>
      <c r="G319" s="3365"/>
      <c r="H319" s="3365"/>
      <c r="I319" s="3365"/>
      <c r="J319" s="3367"/>
      <c r="K319" s="3205"/>
      <c r="S319" s="3264"/>
      <c r="AA319" s="3264"/>
      <c r="AI319" s="3264"/>
      <c r="AQ319" s="3264"/>
      <c r="AY319" s="3264"/>
      <c r="BG319" s="3264"/>
      <c r="BO319" s="3264"/>
      <c r="BW319" s="3264"/>
      <c r="CE319" s="3264"/>
      <c r="CM319" s="3264"/>
      <c r="CU319" s="3264"/>
      <c r="DC319" s="3264"/>
      <c r="DK319" s="3264"/>
      <c r="DS319" s="3264"/>
      <c r="EA319" s="3264"/>
      <c r="EI319" s="3264"/>
      <c r="EQ319" s="3264"/>
      <c r="EY319" s="3264"/>
      <c r="FG319" s="3264"/>
      <c r="FO319" s="3264"/>
    </row>
    <row r="320" spans="1:171" ht="12" thickBot="1">
      <c r="A320" s="3368"/>
      <c r="B320" s="3347"/>
      <c r="G320" s="3369" t="s">
        <v>97</v>
      </c>
      <c r="H320" s="3369" t="s">
        <v>97</v>
      </c>
      <c r="I320" s="3369" t="s">
        <v>97</v>
      </c>
      <c r="J320" s="3370" t="s">
        <v>97</v>
      </c>
      <c r="K320" s="3205"/>
      <c r="S320" s="3264"/>
      <c r="AA320" s="3264"/>
      <c r="AI320" s="3264"/>
      <c r="AQ320" s="3264"/>
      <c r="AY320" s="3264"/>
      <c r="BG320" s="3264"/>
      <c r="BO320" s="3264"/>
      <c r="BW320" s="3264"/>
      <c r="CE320" s="3264"/>
      <c r="CM320" s="3264"/>
      <c r="CU320" s="3264"/>
      <c r="DC320" s="3264"/>
      <c r="DK320" s="3264"/>
      <c r="DS320" s="3264"/>
      <c r="EA320" s="3264"/>
      <c r="EI320" s="3264"/>
      <c r="EQ320" s="3264"/>
      <c r="EY320" s="3264"/>
      <c r="FG320" s="3264"/>
      <c r="FO320" s="3264"/>
    </row>
    <row r="321" spans="1:171" ht="12" thickBot="1">
      <c r="A321" s="3371"/>
      <c r="G321" s="2726" t="s">
        <v>104</v>
      </c>
      <c r="H321" s="2726" t="s">
        <v>105</v>
      </c>
      <c r="I321" s="2726" t="s">
        <v>106</v>
      </c>
      <c r="J321" s="2726" t="s">
        <v>511</v>
      </c>
      <c r="K321" s="3205"/>
      <c r="O321" s="2726" t="s">
        <v>104</v>
      </c>
      <c r="P321" s="2726" t="s">
        <v>105</v>
      </c>
      <c r="Q321" s="2726" t="s">
        <v>106</v>
      </c>
      <c r="R321" s="2726" t="s">
        <v>511</v>
      </c>
      <c r="S321" s="3205"/>
      <c r="W321" s="2726" t="s">
        <v>104</v>
      </c>
      <c r="X321" s="2726" t="s">
        <v>105</v>
      </c>
      <c r="Y321" s="2726" t="s">
        <v>106</v>
      </c>
      <c r="Z321" s="2726" t="s">
        <v>511</v>
      </c>
      <c r="AA321" s="3205"/>
      <c r="AE321" s="2726" t="s">
        <v>104</v>
      </c>
      <c r="AF321" s="2726" t="s">
        <v>105</v>
      </c>
      <c r="AG321" s="2726" t="s">
        <v>106</v>
      </c>
      <c r="AH321" s="2726" t="s">
        <v>511</v>
      </c>
      <c r="AI321" s="3205"/>
      <c r="AM321" s="2726" t="s">
        <v>104</v>
      </c>
      <c r="AN321" s="2726" t="s">
        <v>105</v>
      </c>
      <c r="AO321" s="2726" t="s">
        <v>106</v>
      </c>
      <c r="AP321" s="2726" t="s">
        <v>511</v>
      </c>
      <c r="AQ321" s="3205"/>
      <c r="AU321" s="2726" t="s">
        <v>104</v>
      </c>
      <c r="AV321" s="2726" t="s">
        <v>105</v>
      </c>
      <c r="AW321" s="2726" t="s">
        <v>106</v>
      </c>
      <c r="AX321" s="2726" t="s">
        <v>511</v>
      </c>
      <c r="AY321" s="3205"/>
      <c r="BC321" s="2726" t="s">
        <v>104</v>
      </c>
      <c r="BD321" s="2726" t="s">
        <v>105</v>
      </c>
      <c r="BE321" s="2726" t="s">
        <v>106</v>
      </c>
      <c r="BF321" s="2726" t="s">
        <v>511</v>
      </c>
      <c r="BG321" s="3205"/>
      <c r="BK321" s="2726" t="s">
        <v>104</v>
      </c>
      <c r="BL321" s="2726" t="s">
        <v>105</v>
      </c>
      <c r="BM321" s="2726" t="s">
        <v>106</v>
      </c>
      <c r="BN321" s="2726" t="s">
        <v>511</v>
      </c>
      <c r="BO321" s="3205"/>
      <c r="BS321" s="2726" t="s">
        <v>104</v>
      </c>
      <c r="BT321" s="2726" t="s">
        <v>105</v>
      </c>
      <c r="BU321" s="2726" t="s">
        <v>106</v>
      </c>
      <c r="BV321" s="2726" t="s">
        <v>511</v>
      </c>
      <c r="BW321" s="3205"/>
      <c r="CA321" s="2726" t="s">
        <v>104</v>
      </c>
      <c r="CB321" s="2726" t="s">
        <v>105</v>
      </c>
      <c r="CC321" s="2726" t="s">
        <v>106</v>
      </c>
      <c r="CD321" s="2726" t="s">
        <v>511</v>
      </c>
      <c r="CE321" s="3205"/>
      <c r="CI321" s="2726" t="s">
        <v>104</v>
      </c>
      <c r="CJ321" s="2726" t="s">
        <v>105</v>
      </c>
      <c r="CK321" s="2726" t="s">
        <v>106</v>
      </c>
      <c r="CL321" s="2726" t="s">
        <v>511</v>
      </c>
      <c r="CM321" s="3205"/>
      <c r="CQ321" s="2726" t="s">
        <v>104</v>
      </c>
      <c r="CR321" s="2726" t="s">
        <v>105</v>
      </c>
      <c r="CS321" s="2726" t="s">
        <v>106</v>
      </c>
      <c r="CT321" s="2726" t="s">
        <v>511</v>
      </c>
      <c r="CU321" s="3205"/>
      <c r="CY321" s="2726" t="s">
        <v>104</v>
      </c>
      <c r="CZ321" s="2726" t="s">
        <v>105</v>
      </c>
      <c r="DA321" s="2726" t="s">
        <v>106</v>
      </c>
      <c r="DB321" s="2726" t="s">
        <v>511</v>
      </c>
      <c r="DC321" s="3205"/>
      <c r="DG321" s="2726" t="s">
        <v>104</v>
      </c>
      <c r="DH321" s="2726" t="s">
        <v>105</v>
      </c>
      <c r="DI321" s="2726" t="s">
        <v>106</v>
      </c>
      <c r="DJ321" s="2726" t="s">
        <v>511</v>
      </c>
      <c r="DK321" s="3205"/>
      <c r="DO321" s="2726" t="s">
        <v>104</v>
      </c>
      <c r="DP321" s="2726" t="s">
        <v>105</v>
      </c>
      <c r="DQ321" s="2726" t="s">
        <v>106</v>
      </c>
      <c r="DR321" s="2726" t="s">
        <v>511</v>
      </c>
      <c r="DS321" s="3205"/>
      <c r="DW321" s="2726" t="s">
        <v>104</v>
      </c>
      <c r="DX321" s="2726" t="s">
        <v>105</v>
      </c>
      <c r="DY321" s="2726" t="s">
        <v>106</v>
      </c>
      <c r="DZ321" s="2726" t="s">
        <v>511</v>
      </c>
      <c r="EA321" s="3205"/>
      <c r="EE321" s="2726" t="s">
        <v>104</v>
      </c>
      <c r="EF321" s="2726" t="s">
        <v>105</v>
      </c>
      <c r="EG321" s="2726" t="s">
        <v>106</v>
      </c>
      <c r="EH321" s="2726" t="s">
        <v>511</v>
      </c>
      <c r="EI321" s="3205"/>
      <c r="EM321" s="2726" t="s">
        <v>104</v>
      </c>
      <c r="EN321" s="2726" t="s">
        <v>105</v>
      </c>
      <c r="EO321" s="2726" t="s">
        <v>106</v>
      </c>
      <c r="EP321" s="2726" t="s">
        <v>511</v>
      </c>
      <c r="EQ321" s="3205"/>
      <c r="EU321" s="2726" t="s">
        <v>104</v>
      </c>
      <c r="EV321" s="2726" t="s">
        <v>105</v>
      </c>
      <c r="EW321" s="2726" t="s">
        <v>106</v>
      </c>
      <c r="EX321" s="2726" t="s">
        <v>511</v>
      </c>
      <c r="EY321" s="3205"/>
      <c r="FC321" s="2726" t="s">
        <v>104</v>
      </c>
      <c r="FD321" s="2726" t="s">
        <v>105</v>
      </c>
      <c r="FE321" s="2726" t="s">
        <v>106</v>
      </c>
      <c r="FF321" s="2726" t="s">
        <v>511</v>
      </c>
      <c r="FG321" s="3205"/>
      <c r="FK321" s="2726" t="s">
        <v>104</v>
      </c>
      <c r="FL321" s="2726" t="s">
        <v>105</v>
      </c>
      <c r="FM321" s="2726" t="s">
        <v>106</v>
      </c>
      <c r="FN321" s="2726" t="s">
        <v>511</v>
      </c>
      <c r="FO321" s="3205"/>
    </row>
    <row r="322" spans="1:171">
      <c r="A322" s="3372" t="s">
        <v>50</v>
      </c>
      <c r="B322" s="2686"/>
      <c r="G322" s="3265">
        <f>G260</f>
        <v>2931166699.0700002</v>
      </c>
      <c r="H322" s="3265">
        <f>H260</f>
        <v>2250420319.9548378</v>
      </c>
      <c r="I322" s="3265">
        <f>I260</f>
        <v>0</v>
      </c>
      <c r="J322" s="3265">
        <f>J260</f>
        <v>680746379.22390342</v>
      </c>
      <c r="K322" s="3205"/>
      <c r="O322" s="3265">
        <f>O260</f>
        <v>2931166699.0700002</v>
      </c>
      <c r="P322" s="3265">
        <f>P260</f>
        <v>2250420319.9548378</v>
      </c>
      <c r="Q322" s="3265">
        <f>Q260</f>
        <v>76289071.233353645</v>
      </c>
      <c r="R322" s="3265">
        <f>R260</f>
        <v>604457307.8818084</v>
      </c>
      <c r="S322" s="3205"/>
      <c r="W322" s="3265">
        <f>W260</f>
        <v>2931166699.0700002</v>
      </c>
      <c r="X322" s="3265">
        <f>X260</f>
        <v>2250420319.9548378</v>
      </c>
      <c r="Y322" s="3265">
        <f>Y260</f>
        <v>76289071.233353645</v>
      </c>
      <c r="Z322" s="3265">
        <f>Z260</f>
        <v>604457307.8818084</v>
      </c>
      <c r="AA322" s="3205"/>
      <c r="AE322" s="3265">
        <f>AE260</f>
        <v>2931166699.0700002</v>
      </c>
      <c r="AF322" s="3265">
        <f>AF260</f>
        <v>2250420319.9548378</v>
      </c>
      <c r="AG322" s="3265">
        <f>AG260</f>
        <v>76289071.233353645</v>
      </c>
      <c r="AH322" s="3265">
        <f>AH260</f>
        <v>604457307.8818084</v>
      </c>
      <c r="AI322" s="3205"/>
      <c r="AM322" s="3265">
        <f>AM260</f>
        <v>2931166699.0700002</v>
      </c>
      <c r="AN322" s="3265">
        <f>AN260</f>
        <v>2250420319.9548378</v>
      </c>
      <c r="AO322" s="3265">
        <f>AO260</f>
        <v>76289071.233353645</v>
      </c>
      <c r="AP322" s="3265">
        <f>AP260</f>
        <v>604457307.8818084</v>
      </c>
      <c r="AQ322" s="3205"/>
      <c r="AU322" s="3265">
        <f>AU260</f>
        <v>2931166699.0700002</v>
      </c>
      <c r="AV322" s="3265">
        <f>AV260</f>
        <v>2250420319.9548378</v>
      </c>
      <c r="AW322" s="3265">
        <f>AW260</f>
        <v>76289071.233353645</v>
      </c>
      <c r="AX322" s="3265">
        <f>AX260</f>
        <v>604457307.8818084</v>
      </c>
      <c r="AY322" s="3205"/>
      <c r="BC322" s="3265">
        <f>BC260</f>
        <v>2931166699.0700002</v>
      </c>
      <c r="BD322" s="3265">
        <f>BD260</f>
        <v>2250420319.9548378</v>
      </c>
      <c r="BE322" s="3265">
        <f>BE260</f>
        <v>76289071.233353645</v>
      </c>
      <c r="BF322" s="3265">
        <f>BF260</f>
        <v>604457307.8818084</v>
      </c>
      <c r="BG322" s="3205"/>
      <c r="BK322" s="3265">
        <f>BK260</f>
        <v>2931166699.0700002</v>
      </c>
      <c r="BL322" s="3265">
        <f>BL260</f>
        <v>2250420319.9548378</v>
      </c>
      <c r="BM322" s="3265">
        <f>BM260</f>
        <v>76289071.233353645</v>
      </c>
      <c r="BN322" s="3265">
        <f>BN260</f>
        <v>604457307.8818084</v>
      </c>
      <c r="BO322" s="3205"/>
      <c r="BS322" s="3265">
        <f>BS260</f>
        <v>2931166699.0700002</v>
      </c>
      <c r="BT322" s="3265">
        <f>BT260</f>
        <v>2250420319.9548378</v>
      </c>
      <c r="BU322" s="3265">
        <f>BU260</f>
        <v>76289071.233353645</v>
      </c>
      <c r="BV322" s="3265">
        <f>BV260</f>
        <v>604457307.8818084</v>
      </c>
      <c r="BW322" s="3205"/>
      <c r="CA322" s="3265">
        <f>CA260</f>
        <v>2931166699.0700002</v>
      </c>
      <c r="CB322" s="3265">
        <f>CB260</f>
        <v>2250420319.9548378</v>
      </c>
      <c r="CC322" s="3265">
        <f>CC260</f>
        <v>76289071.233353645</v>
      </c>
      <c r="CD322" s="3265">
        <f>CD260</f>
        <v>604457307.8818084</v>
      </c>
      <c r="CE322" s="3205"/>
      <c r="CI322" s="3265">
        <f>CI260</f>
        <v>2931166699.0700002</v>
      </c>
      <c r="CJ322" s="3265">
        <f>CJ260</f>
        <v>2250420319.9548378</v>
      </c>
      <c r="CK322" s="3265">
        <f>CK260</f>
        <v>76289071.233353645</v>
      </c>
      <c r="CL322" s="3265">
        <f>CL260</f>
        <v>604457307.8818084</v>
      </c>
      <c r="CM322" s="3205"/>
      <c r="CQ322" s="3265">
        <f>CQ260</f>
        <v>2931166699.0700002</v>
      </c>
      <c r="CR322" s="3265">
        <f>CR260</f>
        <v>2250420319.9548378</v>
      </c>
      <c r="CS322" s="3265">
        <f>CS260</f>
        <v>76289071.233353645</v>
      </c>
      <c r="CT322" s="3265">
        <f>CT260</f>
        <v>604457307.8818084</v>
      </c>
      <c r="CU322" s="3205"/>
      <c r="CY322" s="3265">
        <f>CY260</f>
        <v>2931166699.0700002</v>
      </c>
      <c r="CZ322" s="3265">
        <f>CZ260</f>
        <v>2250420319.9548378</v>
      </c>
      <c r="DA322" s="3265">
        <f>DA260</f>
        <v>76289071.233353645</v>
      </c>
      <c r="DB322" s="3265">
        <f>DB260</f>
        <v>604457307.8818084</v>
      </c>
      <c r="DC322" s="3205"/>
      <c r="DG322" s="3265">
        <f>DG260</f>
        <v>2931166699.0700002</v>
      </c>
      <c r="DH322" s="3265">
        <f>DH260</f>
        <v>2250420319.9548378</v>
      </c>
      <c r="DI322" s="3265">
        <f>DI260</f>
        <v>76289071.233353645</v>
      </c>
      <c r="DJ322" s="3265">
        <f>DJ260</f>
        <v>604457307.8818084</v>
      </c>
      <c r="DK322" s="3205"/>
      <c r="DO322" s="3265">
        <f>DO260</f>
        <v>2931166699.0700002</v>
      </c>
      <c r="DP322" s="3265">
        <f>DP260</f>
        <v>2250420319.9548378</v>
      </c>
      <c r="DQ322" s="3265">
        <f>DQ260</f>
        <v>76289071.233353645</v>
      </c>
      <c r="DR322" s="3265">
        <f>DR260</f>
        <v>604457307.8818084</v>
      </c>
      <c r="DS322" s="3205"/>
      <c r="DW322" s="3265">
        <f>DW260</f>
        <v>2931166699.0700002</v>
      </c>
      <c r="DX322" s="3265">
        <f>DX260</f>
        <v>2250420319.9548378</v>
      </c>
      <c r="DY322" s="3265">
        <f>DY260</f>
        <v>76289071.233353645</v>
      </c>
      <c r="DZ322" s="3265">
        <f>DZ260</f>
        <v>604457307.8818084</v>
      </c>
      <c r="EA322" s="3205"/>
      <c r="EE322" s="3265">
        <f>EE260</f>
        <v>2931166699.0700002</v>
      </c>
      <c r="EF322" s="3265">
        <f>EF260</f>
        <v>2250420319.9548378</v>
      </c>
      <c r="EG322" s="3265">
        <f>EG260</f>
        <v>76289071.233353645</v>
      </c>
      <c r="EH322" s="3265">
        <f>EH260</f>
        <v>604457307.8818084</v>
      </c>
      <c r="EI322" s="3205"/>
      <c r="EM322" s="3265">
        <f>EM260</f>
        <v>2931166699.0700002</v>
      </c>
      <c r="EN322" s="3265">
        <f>EN260</f>
        <v>2250420319.9548378</v>
      </c>
      <c r="EO322" s="3265">
        <f>EO260</f>
        <v>76289071.233353645</v>
      </c>
      <c r="EP322" s="3265">
        <f>EP260</f>
        <v>604457307.8818084</v>
      </c>
      <c r="EQ322" s="3205"/>
      <c r="EU322" s="3265">
        <f>EU260</f>
        <v>2931166699.0700002</v>
      </c>
      <c r="EV322" s="3265">
        <f>EV260</f>
        <v>2250420319.9548378</v>
      </c>
      <c r="EW322" s="3265">
        <f>EW260</f>
        <v>76289071.233353645</v>
      </c>
      <c r="EX322" s="3265">
        <f>EX260</f>
        <v>604457307.8818084</v>
      </c>
      <c r="EY322" s="3205"/>
      <c r="FC322" s="3265">
        <f>FC260</f>
        <v>2931166699.0700002</v>
      </c>
      <c r="FD322" s="3265">
        <f>FD260</f>
        <v>2250420319.9548378</v>
      </c>
      <c r="FE322" s="3265">
        <f>FE260</f>
        <v>76289071.233353645</v>
      </c>
      <c r="FF322" s="3265">
        <f>FF260</f>
        <v>604457307.8818084</v>
      </c>
      <c r="FG322" s="3205"/>
      <c r="FK322" s="3265">
        <f>FK260</f>
        <v>2931166699.0700002</v>
      </c>
      <c r="FL322" s="3265">
        <f>FL260</f>
        <v>2250420319.9548378</v>
      </c>
      <c r="FM322" s="3265">
        <f>FM260</f>
        <v>76289071.233353645</v>
      </c>
      <c r="FN322" s="3265">
        <f>FN260</f>
        <v>604457307.8818084</v>
      </c>
      <c r="FO322" s="3205"/>
    </row>
    <row r="323" spans="1:171">
      <c r="A323" s="3373" t="s">
        <v>68</v>
      </c>
      <c r="B323" s="2686"/>
      <c r="G323" s="2181"/>
      <c r="H323" s="2181"/>
      <c r="I323" s="2181"/>
      <c r="J323" s="3374"/>
      <c r="K323" s="3205"/>
      <c r="O323" s="2181"/>
      <c r="P323" s="2181"/>
      <c r="Q323" s="2181"/>
      <c r="R323" s="3374"/>
      <c r="S323" s="3205"/>
      <c r="W323" s="2181"/>
      <c r="X323" s="2181"/>
      <c r="Y323" s="2181"/>
      <c r="Z323" s="3374"/>
      <c r="AA323" s="3205"/>
      <c r="AE323" s="2181"/>
      <c r="AF323" s="2181"/>
      <c r="AG323" s="2181"/>
      <c r="AH323" s="3374"/>
      <c r="AI323" s="3205"/>
      <c r="AM323" s="2181"/>
      <c r="AN323" s="2181"/>
      <c r="AO323" s="2181"/>
      <c r="AP323" s="3374"/>
      <c r="AQ323" s="3205"/>
      <c r="AU323" s="2181"/>
      <c r="AV323" s="2181"/>
      <c r="AW323" s="2181"/>
      <c r="AX323" s="3374"/>
      <c r="AY323" s="3205"/>
      <c r="BC323" s="2181"/>
      <c r="BD323" s="2181"/>
      <c r="BE323" s="2181"/>
      <c r="BF323" s="3374"/>
      <c r="BG323" s="3205"/>
      <c r="BK323" s="2181"/>
      <c r="BL323" s="2181"/>
      <c r="BM323" s="2181"/>
      <c r="BN323" s="3374"/>
      <c r="BO323" s="3205"/>
      <c r="BS323" s="2181"/>
      <c r="BT323" s="2181"/>
      <c r="BU323" s="2181"/>
      <c r="BV323" s="3374"/>
      <c r="BW323" s="3205"/>
      <c r="CA323" s="2181"/>
      <c r="CB323" s="2181"/>
      <c r="CC323" s="2181"/>
      <c r="CD323" s="3374"/>
      <c r="CE323" s="3205"/>
      <c r="CI323" s="2181"/>
      <c r="CJ323" s="2181"/>
      <c r="CK323" s="2181"/>
      <c r="CL323" s="3374"/>
      <c r="CM323" s="3205"/>
      <c r="CQ323" s="2181"/>
      <c r="CR323" s="2181"/>
      <c r="CS323" s="2181"/>
      <c r="CT323" s="3374"/>
      <c r="CU323" s="3205"/>
      <c r="CY323" s="2181"/>
      <c r="CZ323" s="2181"/>
      <c r="DA323" s="2181"/>
      <c r="DB323" s="3374"/>
      <c r="DC323" s="3205"/>
      <c r="DG323" s="2181"/>
      <c r="DH323" s="2181"/>
      <c r="DI323" s="2181"/>
      <c r="DJ323" s="3374"/>
      <c r="DK323" s="3205"/>
      <c r="DO323" s="2181"/>
      <c r="DP323" s="2181"/>
      <c r="DQ323" s="2181"/>
      <c r="DR323" s="3374"/>
      <c r="DS323" s="3205"/>
      <c r="DW323" s="2181"/>
      <c r="DX323" s="2181"/>
      <c r="DY323" s="2181"/>
      <c r="DZ323" s="3374"/>
      <c r="EA323" s="3205"/>
      <c r="EE323" s="2181"/>
      <c r="EF323" s="2181"/>
      <c r="EG323" s="2181"/>
      <c r="EH323" s="3374"/>
      <c r="EI323" s="3205"/>
      <c r="EM323" s="2181"/>
      <c r="EN323" s="2181"/>
      <c r="EO323" s="2181"/>
      <c r="EP323" s="3374"/>
      <c r="EQ323" s="3205"/>
      <c r="EU323" s="2181"/>
      <c r="EV323" s="2181"/>
      <c r="EW323" s="2181"/>
      <c r="EX323" s="3374"/>
      <c r="EY323" s="3205"/>
      <c r="FC323" s="2181"/>
      <c r="FD323" s="2181"/>
      <c r="FE323" s="2181"/>
      <c r="FF323" s="3374"/>
      <c r="FG323" s="3205"/>
      <c r="FK323" s="2181"/>
      <c r="FL323" s="2181"/>
      <c r="FM323" s="2181"/>
      <c r="FN323" s="3374"/>
      <c r="FO323" s="3205"/>
    </row>
    <row r="324" spans="1:171">
      <c r="A324" s="3373"/>
      <c r="B324" s="2686"/>
      <c r="G324" s="2181"/>
      <c r="H324" s="2181"/>
      <c r="I324" s="2181"/>
      <c r="J324" s="3374"/>
      <c r="K324" s="3205"/>
      <c r="O324" s="2181"/>
      <c r="P324" s="2181"/>
      <c r="Q324" s="2181"/>
      <c r="R324" s="3374"/>
      <c r="S324" s="3205"/>
      <c r="W324" s="2181"/>
      <c r="X324" s="2181"/>
      <c r="Y324" s="2181"/>
      <c r="Z324" s="3374"/>
      <c r="AA324" s="3205"/>
      <c r="AE324" s="2181"/>
      <c r="AF324" s="2181"/>
      <c r="AG324" s="2181"/>
      <c r="AH324" s="3374"/>
      <c r="AI324" s="3205"/>
      <c r="AM324" s="2181"/>
      <c r="AN324" s="2181"/>
      <c r="AO324" s="2181"/>
      <c r="AP324" s="3374"/>
      <c r="AQ324" s="3205"/>
      <c r="AU324" s="2181"/>
      <c r="AV324" s="2181"/>
      <c r="AW324" s="2181"/>
      <c r="AX324" s="3374"/>
      <c r="AY324" s="3205"/>
      <c r="BC324" s="2181"/>
      <c r="BD324" s="2181"/>
      <c r="BE324" s="2181"/>
      <c r="BF324" s="3374"/>
      <c r="BG324" s="3205"/>
      <c r="BK324" s="2181"/>
      <c r="BL324" s="2181"/>
      <c r="BM324" s="2181"/>
      <c r="BN324" s="3374"/>
      <c r="BO324" s="3205"/>
      <c r="BS324" s="2181"/>
      <c r="BT324" s="2181"/>
      <c r="BU324" s="2181"/>
      <c r="BV324" s="3374"/>
      <c r="BW324" s="3205"/>
      <c r="CA324" s="2181"/>
      <c r="CB324" s="2181"/>
      <c r="CC324" s="2181"/>
      <c r="CD324" s="3374"/>
      <c r="CE324" s="3205"/>
      <c r="CI324" s="2181"/>
      <c r="CJ324" s="2181"/>
      <c r="CK324" s="2181"/>
      <c r="CL324" s="3374"/>
      <c r="CM324" s="3205"/>
      <c r="CQ324" s="2181"/>
      <c r="CR324" s="2181"/>
      <c r="CS324" s="2181"/>
      <c r="CT324" s="3374"/>
      <c r="CU324" s="3205"/>
      <c r="CY324" s="2181"/>
      <c r="CZ324" s="2181"/>
      <c r="DA324" s="2181"/>
      <c r="DB324" s="3374"/>
      <c r="DC324" s="3205"/>
      <c r="DG324" s="2181"/>
      <c r="DH324" s="2181"/>
      <c r="DI324" s="2181"/>
      <c r="DJ324" s="3374"/>
      <c r="DK324" s="3205"/>
      <c r="DO324" s="2181"/>
      <c r="DP324" s="2181"/>
      <c r="DQ324" s="2181"/>
      <c r="DR324" s="3374"/>
      <c r="DS324" s="3205"/>
      <c r="DW324" s="2181"/>
      <c r="DX324" s="2181"/>
      <c r="DY324" s="2181"/>
      <c r="DZ324" s="3374"/>
      <c r="EA324" s="3205"/>
      <c r="EE324" s="2181"/>
      <c r="EF324" s="2181"/>
      <c r="EG324" s="2181"/>
      <c r="EH324" s="3374"/>
      <c r="EI324" s="3205"/>
      <c r="EM324" s="2181"/>
      <c r="EN324" s="2181"/>
      <c r="EO324" s="2181"/>
      <c r="EP324" s="3374"/>
      <c r="EQ324" s="3205"/>
      <c r="EU324" s="2181"/>
      <c r="EV324" s="2181"/>
      <c r="EW324" s="2181"/>
      <c r="EX324" s="3374"/>
      <c r="EY324" s="3205"/>
      <c r="FC324" s="2181"/>
      <c r="FD324" s="2181"/>
      <c r="FE324" s="2181"/>
      <c r="FF324" s="3374"/>
      <c r="FG324" s="3205"/>
      <c r="FK324" s="2181"/>
      <c r="FL324" s="2181"/>
      <c r="FM324" s="2181"/>
      <c r="FN324" s="3374"/>
      <c r="FO324" s="3205"/>
    </row>
    <row r="325" spans="1:171">
      <c r="A325" s="3372" t="s">
        <v>141</v>
      </c>
      <c r="B325" s="2686"/>
      <c r="G325" s="3265">
        <f>G167</f>
        <v>637120080.35280752</v>
      </c>
      <c r="H325" s="3265">
        <f>H167</f>
        <v>185807079.37114048</v>
      </c>
      <c r="I325" s="3265">
        <f>I167</f>
        <v>0</v>
      </c>
      <c r="J325" s="3265">
        <f>J167</f>
        <v>451313000.84413463</v>
      </c>
      <c r="K325" s="3205"/>
      <c r="O325" s="3265">
        <f>O167</f>
        <v>637120080.35280752</v>
      </c>
      <c r="P325" s="3265">
        <f>P167</f>
        <v>185807079.37114048</v>
      </c>
      <c r="Q325" s="3265">
        <f>Q167</f>
        <v>116982400.87034366</v>
      </c>
      <c r="R325" s="3265">
        <f>R167</f>
        <v>334330600.1113233</v>
      </c>
      <c r="S325" s="3205"/>
      <c r="W325" s="3265">
        <f>W167</f>
        <v>637120080.35280752</v>
      </c>
      <c r="X325" s="3265">
        <f>X167</f>
        <v>185807079.37114048</v>
      </c>
      <c r="Y325" s="3265">
        <f>Y167</f>
        <v>116982400.87034366</v>
      </c>
      <c r="Z325" s="3265">
        <f>Z167</f>
        <v>334330600.1113233</v>
      </c>
      <c r="AA325" s="3205"/>
      <c r="AE325" s="3265">
        <f>AE167</f>
        <v>637120080.35280752</v>
      </c>
      <c r="AF325" s="3265">
        <f>AF167</f>
        <v>185807079.37114048</v>
      </c>
      <c r="AG325" s="3265">
        <f>AG167</f>
        <v>116982400.87034366</v>
      </c>
      <c r="AH325" s="3265">
        <f>AH167</f>
        <v>334330600.1113233</v>
      </c>
      <c r="AI325" s="3205"/>
      <c r="AM325" s="3265">
        <f>AM167</f>
        <v>637120080.35280752</v>
      </c>
      <c r="AN325" s="3265">
        <f>AN167</f>
        <v>185807079.37114048</v>
      </c>
      <c r="AO325" s="3265">
        <f>AO167</f>
        <v>116982400.87034366</v>
      </c>
      <c r="AP325" s="3265">
        <f>AP167</f>
        <v>334330600.1113233</v>
      </c>
      <c r="AQ325" s="3205"/>
      <c r="AU325" s="3265">
        <f>AU167</f>
        <v>637120080.35280752</v>
      </c>
      <c r="AV325" s="3265">
        <f>AV167</f>
        <v>185807079.37114048</v>
      </c>
      <c r="AW325" s="3265">
        <f>AW167</f>
        <v>116982400.87034366</v>
      </c>
      <c r="AX325" s="3265">
        <f>AX167</f>
        <v>334330600.1113233</v>
      </c>
      <c r="AY325" s="3205"/>
      <c r="BC325" s="3265">
        <f>BC167</f>
        <v>637120080.35280752</v>
      </c>
      <c r="BD325" s="3265">
        <f>BD167</f>
        <v>185807079.37114048</v>
      </c>
      <c r="BE325" s="3265">
        <f>BE167</f>
        <v>116982400.87034366</v>
      </c>
      <c r="BF325" s="3265">
        <f>BF167</f>
        <v>334330600.1113233</v>
      </c>
      <c r="BG325" s="3205"/>
      <c r="BK325" s="3265">
        <f>BK167</f>
        <v>637120080.35280752</v>
      </c>
      <c r="BL325" s="3265">
        <f>BL167</f>
        <v>185807079.37114048</v>
      </c>
      <c r="BM325" s="3265">
        <f>BM167</f>
        <v>116982400.87034366</v>
      </c>
      <c r="BN325" s="3265">
        <f>BN167</f>
        <v>334330600.1113233</v>
      </c>
      <c r="BO325" s="3205"/>
      <c r="BS325" s="3265">
        <f>BS167</f>
        <v>637120080.35280752</v>
      </c>
      <c r="BT325" s="3265">
        <f>BT167</f>
        <v>185807079.37114048</v>
      </c>
      <c r="BU325" s="3265">
        <f>BU167</f>
        <v>116982400.87034366</v>
      </c>
      <c r="BV325" s="3265">
        <f>BV167</f>
        <v>334330600.1113233</v>
      </c>
      <c r="BW325" s="3205"/>
      <c r="CA325" s="3265">
        <f>CA167</f>
        <v>637120080.35280752</v>
      </c>
      <c r="CB325" s="3265">
        <f>CB167</f>
        <v>185807079.37114048</v>
      </c>
      <c r="CC325" s="3265">
        <f>CC167</f>
        <v>116982400.87034366</v>
      </c>
      <c r="CD325" s="3265">
        <f>CD167</f>
        <v>334330600.1113233</v>
      </c>
      <c r="CE325" s="3205"/>
      <c r="CI325" s="3265">
        <f>CI167</f>
        <v>637120080.35280752</v>
      </c>
      <c r="CJ325" s="3265">
        <f>CJ167</f>
        <v>185807079.37114048</v>
      </c>
      <c r="CK325" s="3265">
        <f>CK167</f>
        <v>116982400.87034366</v>
      </c>
      <c r="CL325" s="3265">
        <f>CL167</f>
        <v>334330600.1113233</v>
      </c>
      <c r="CM325" s="3205"/>
      <c r="CQ325" s="3265">
        <f>CQ167</f>
        <v>637120080.35280752</v>
      </c>
      <c r="CR325" s="3265">
        <f>CR167</f>
        <v>185807079.37114048</v>
      </c>
      <c r="CS325" s="3265">
        <f>CS167</f>
        <v>116982400.87034366</v>
      </c>
      <c r="CT325" s="3265">
        <f>CT167</f>
        <v>334330600.1113233</v>
      </c>
      <c r="CU325" s="3205"/>
      <c r="CY325" s="3265">
        <f>CY167</f>
        <v>637120080.35280752</v>
      </c>
      <c r="CZ325" s="3265">
        <f>CZ167</f>
        <v>185807079.37114048</v>
      </c>
      <c r="DA325" s="3265">
        <f>DA167</f>
        <v>116982400.87034366</v>
      </c>
      <c r="DB325" s="3265">
        <f>DB167</f>
        <v>334330600.1113233</v>
      </c>
      <c r="DC325" s="3205"/>
      <c r="DG325" s="3265">
        <f>DG167</f>
        <v>637120080.35280752</v>
      </c>
      <c r="DH325" s="3265">
        <f>DH167</f>
        <v>185807079.37114048</v>
      </c>
      <c r="DI325" s="3265">
        <f>DI167</f>
        <v>116982400.87034366</v>
      </c>
      <c r="DJ325" s="3265">
        <f>DJ167</f>
        <v>334330600.1113233</v>
      </c>
      <c r="DK325" s="3205"/>
      <c r="DO325" s="3265">
        <f>DO167</f>
        <v>637120080.35280752</v>
      </c>
      <c r="DP325" s="3265">
        <f>DP167</f>
        <v>185807079.37114048</v>
      </c>
      <c r="DQ325" s="3265">
        <f>DQ167</f>
        <v>116982400.87034366</v>
      </c>
      <c r="DR325" s="3265">
        <f>DR167</f>
        <v>334330600.1113233</v>
      </c>
      <c r="DS325" s="3205"/>
      <c r="DW325" s="3265">
        <f>DW167</f>
        <v>637120080.35280752</v>
      </c>
      <c r="DX325" s="3265">
        <f>DX167</f>
        <v>185807079.37114048</v>
      </c>
      <c r="DY325" s="3265">
        <f>DY167</f>
        <v>116982400.87034366</v>
      </c>
      <c r="DZ325" s="3265">
        <f>DZ167</f>
        <v>334330600.1113233</v>
      </c>
      <c r="EA325" s="3205"/>
      <c r="EE325" s="3265">
        <f>EE167</f>
        <v>637120080.35280752</v>
      </c>
      <c r="EF325" s="3265">
        <f>EF167</f>
        <v>185807079.37114048</v>
      </c>
      <c r="EG325" s="3265">
        <f>EG167</f>
        <v>116982400.87034366</v>
      </c>
      <c r="EH325" s="3265">
        <f>EH167</f>
        <v>334330600.1113233</v>
      </c>
      <c r="EI325" s="3205"/>
      <c r="EM325" s="3265">
        <f>EM167</f>
        <v>637120080.35280752</v>
      </c>
      <c r="EN325" s="3265">
        <f>EN167</f>
        <v>185807079.37114048</v>
      </c>
      <c r="EO325" s="3265">
        <f>EO167</f>
        <v>116982400.87034366</v>
      </c>
      <c r="EP325" s="3265">
        <f>EP167</f>
        <v>334330600.1113233</v>
      </c>
      <c r="EQ325" s="3205"/>
      <c r="EU325" s="3265">
        <f>EU167</f>
        <v>637120080.35280752</v>
      </c>
      <c r="EV325" s="3265">
        <f>EV167</f>
        <v>185807079.37114048</v>
      </c>
      <c r="EW325" s="3265">
        <f>EW167</f>
        <v>116982400.87034366</v>
      </c>
      <c r="EX325" s="3265">
        <f>EX167</f>
        <v>334330600.1113233</v>
      </c>
      <c r="EY325" s="3205"/>
      <c r="FC325" s="3265">
        <f>FC167</f>
        <v>637120080.35280752</v>
      </c>
      <c r="FD325" s="3265">
        <f>FD167</f>
        <v>185807079.37114048</v>
      </c>
      <c r="FE325" s="3265">
        <f>FE167</f>
        <v>116982400.87034366</v>
      </c>
      <c r="FF325" s="3265">
        <f>FF167</f>
        <v>334330600.1113233</v>
      </c>
      <c r="FG325" s="3205"/>
      <c r="FK325" s="3265">
        <f>FK167</f>
        <v>637120080.35280752</v>
      </c>
      <c r="FL325" s="3265">
        <f>FL167</f>
        <v>185807079.37114048</v>
      </c>
      <c r="FM325" s="3265">
        <f>FM167</f>
        <v>116982400.87034366</v>
      </c>
      <c r="FN325" s="3265">
        <f>FN167</f>
        <v>334330600.1113233</v>
      </c>
      <c r="FO325" s="3205"/>
    </row>
    <row r="326" spans="1:171">
      <c r="A326" s="3373" t="s">
        <v>252</v>
      </c>
      <c r="B326" s="2686"/>
      <c r="G326" s="2181"/>
      <c r="H326" s="2181"/>
      <c r="I326" s="2181"/>
      <c r="J326" s="3374"/>
      <c r="K326" s="3205"/>
      <c r="O326" s="2181"/>
      <c r="P326" s="2181"/>
      <c r="Q326" s="2181"/>
      <c r="R326" s="3374"/>
      <c r="S326" s="3205"/>
      <c r="W326" s="2181"/>
      <c r="X326" s="2181"/>
      <c r="Y326" s="2181"/>
      <c r="Z326" s="3374"/>
      <c r="AA326" s="3205"/>
      <c r="AE326" s="2181"/>
      <c r="AF326" s="2181"/>
      <c r="AG326" s="2181"/>
      <c r="AH326" s="3374"/>
      <c r="AI326" s="3205"/>
      <c r="AM326" s="2181"/>
      <c r="AN326" s="2181"/>
      <c r="AO326" s="2181"/>
      <c r="AP326" s="3374"/>
      <c r="AQ326" s="3205"/>
      <c r="AU326" s="2181"/>
      <c r="AV326" s="2181"/>
      <c r="AW326" s="2181"/>
      <c r="AX326" s="3374"/>
      <c r="AY326" s="3205"/>
      <c r="BC326" s="2181"/>
      <c r="BD326" s="2181"/>
      <c r="BE326" s="2181"/>
      <c r="BF326" s="3374"/>
      <c r="BG326" s="3205"/>
      <c r="BK326" s="2181"/>
      <c r="BL326" s="2181"/>
      <c r="BM326" s="2181"/>
      <c r="BN326" s="3374"/>
      <c r="BO326" s="3205"/>
      <c r="BS326" s="2181"/>
      <c r="BT326" s="2181"/>
      <c r="BU326" s="2181"/>
      <c r="BV326" s="3374"/>
      <c r="BW326" s="3205"/>
      <c r="CA326" s="2181"/>
      <c r="CB326" s="2181"/>
      <c r="CC326" s="2181"/>
      <c r="CD326" s="3374"/>
      <c r="CE326" s="3205"/>
      <c r="CI326" s="2181"/>
      <c r="CJ326" s="2181"/>
      <c r="CK326" s="2181"/>
      <c r="CL326" s="3374"/>
      <c r="CM326" s="3205"/>
      <c r="CQ326" s="2181"/>
      <c r="CR326" s="2181"/>
      <c r="CS326" s="2181"/>
      <c r="CT326" s="3374"/>
      <c r="CU326" s="3205"/>
      <c r="CY326" s="2181"/>
      <c r="CZ326" s="2181"/>
      <c r="DA326" s="2181"/>
      <c r="DB326" s="3374"/>
      <c r="DC326" s="3205"/>
      <c r="DG326" s="2181"/>
      <c r="DH326" s="2181"/>
      <c r="DI326" s="2181"/>
      <c r="DJ326" s="3374"/>
      <c r="DK326" s="3205"/>
      <c r="DO326" s="2181"/>
      <c r="DP326" s="2181"/>
      <c r="DQ326" s="2181"/>
      <c r="DR326" s="3374"/>
      <c r="DS326" s="3205"/>
      <c r="DW326" s="2181"/>
      <c r="DX326" s="2181"/>
      <c r="DY326" s="2181"/>
      <c r="DZ326" s="3374"/>
      <c r="EA326" s="3205"/>
      <c r="EE326" s="2181"/>
      <c r="EF326" s="2181"/>
      <c r="EG326" s="2181"/>
      <c r="EH326" s="3374"/>
      <c r="EI326" s="3205"/>
      <c r="EM326" s="2181"/>
      <c r="EN326" s="2181"/>
      <c r="EO326" s="2181"/>
      <c r="EP326" s="3374"/>
      <c r="EQ326" s="3205"/>
      <c r="EU326" s="2181"/>
      <c r="EV326" s="2181"/>
      <c r="EW326" s="2181"/>
      <c r="EX326" s="3374"/>
      <c r="EY326" s="3205"/>
      <c r="FC326" s="2181"/>
      <c r="FD326" s="2181"/>
      <c r="FE326" s="2181"/>
      <c r="FF326" s="3374"/>
      <c r="FG326" s="3205"/>
      <c r="FK326" s="2181"/>
      <c r="FL326" s="2181"/>
      <c r="FM326" s="2181"/>
      <c r="FN326" s="3374"/>
      <c r="FO326" s="3205"/>
    </row>
    <row r="327" spans="1:171">
      <c r="A327" s="3373"/>
      <c r="B327" s="2686"/>
      <c r="G327" s="2181"/>
      <c r="H327" s="2181"/>
      <c r="I327" s="2181"/>
      <c r="J327" s="3374"/>
      <c r="K327" s="3205"/>
      <c r="O327" s="2181"/>
      <c r="P327" s="2181"/>
      <c r="Q327" s="2181"/>
      <c r="R327" s="3374"/>
      <c r="S327" s="3205"/>
      <c r="W327" s="2181"/>
      <c r="X327" s="2181"/>
      <c r="Y327" s="2181"/>
      <c r="Z327" s="3374"/>
      <c r="AA327" s="3205"/>
      <c r="AE327" s="2181"/>
      <c r="AF327" s="2181"/>
      <c r="AG327" s="2181"/>
      <c r="AH327" s="3374"/>
      <c r="AI327" s="3205"/>
      <c r="AM327" s="2181"/>
      <c r="AN327" s="2181"/>
      <c r="AO327" s="2181"/>
      <c r="AP327" s="3374"/>
      <c r="AQ327" s="3205"/>
      <c r="AU327" s="2181"/>
      <c r="AV327" s="2181"/>
      <c r="AW327" s="2181"/>
      <c r="AX327" s="3374"/>
      <c r="AY327" s="3205"/>
      <c r="BC327" s="2181"/>
      <c r="BD327" s="2181"/>
      <c r="BE327" s="2181"/>
      <c r="BF327" s="3374"/>
      <c r="BG327" s="3205"/>
      <c r="BK327" s="2181"/>
      <c r="BL327" s="2181"/>
      <c r="BM327" s="2181"/>
      <c r="BN327" s="3374"/>
      <c r="BO327" s="3205"/>
      <c r="BS327" s="2181"/>
      <c r="BT327" s="2181"/>
      <c r="BU327" s="2181"/>
      <c r="BV327" s="3374"/>
      <c r="BW327" s="3205"/>
      <c r="CA327" s="2181"/>
      <c r="CB327" s="2181"/>
      <c r="CC327" s="2181"/>
      <c r="CD327" s="3374"/>
      <c r="CE327" s="3205"/>
      <c r="CI327" s="2181"/>
      <c r="CJ327" s="2181"/>
      <c r="CK327" s="2181"/>
      <c r="CL327" s="3374"/>
      <c r="CM327" s="3205"/>
      <c r="CQ327" s="2181"/>
      <c r="CR327" s="2181"/>
      <c r="CS327" s="2181"/>
      <c r="CT327" s="3374"/>
      <c r="CU327" s="3205"/>
      <c r="CY327" s="2181"/>
      <c r="CZ327" s="2181"/>
      <c r="DA327" s="2181"/>
      <c r="DB327" s="3374"/>
      <c r="DC327" s="3205"/>
      <c r="DG327" s="2181"/>
      <c r="DH327" s="2181"/>
      <c r="DI327" s="2181"/>
      <c r="DJ327" s="3374"/>
      <c r="DK327" s="3205"/>
      <c r="DO327" s="2181"/>
      <c r="DP327" s="2181"/>
      <c r="DQ327" s="2181"/>
      <c r="DR327" s="3374"/>
      <c r="DS327" s="3205"/>
      <c r="DW327" s="2181"/>
      <c r="DX327" s="2181"/>
      <c r="DY327" s="2181"/>
      <c r="DZ327" s="3374"/>
      <c r="EA327" s="3205"/>
      <c r="EE327" s="2181"/>
      <c r="EF327" s="2181"/>
      <c r="EG327" s="2181"/>
      <c r="EH327" s="3374"/>
      <c r="EI327" s="3205"/>
      <c r="EM327" s="2181"/>
      <c r="EN327" s="2181"/>
      <c r="EO327" s="2181"/>
      <c r="EP327" s="3374"/>
      <c r="EQ327" s="3205"/>
      <c r="EU327" s="2181"/>
      <c r="EV327" s="2181"/>
      <c r="EW327" s="2181"/>
      <c r="EX327" s="3374"/>
      <c r="EY327" s="3205"/>
      <c r="FC327" s="2181"/>
      <c r="FD327" s="2181"/>
      <c r="FE327" s="2181"/>
      <c r="FF327" s="3374"/>
      <c r="FG327" s="3205"/>
      <c r="FK327" s="2181"/>
      <c r="FL327" s="2181"/>
      <c r="FM327" s="2181"/>
      <c r="FN327" s="3374"/>
      <c r="FO327" s="3205"/>
    </row>
    <row r="328" spans="1:171">
      <c r="A328" s="3372" t="s">
        <v>39</v>
      </c>
      <c r="B328" s="2686"/>
      <c r="G328" s="3265">
        <f>G283</f>
        <v>448280187</v>
      </c>
      <c r="H328" s="3265">
        <f>H283</f>
        <v>20202897.194350448</v>
      </c>
      <c r="I328" s="3265">
        <f>I283</f>
        <v>0</v>
      </c>
      <c r="J328" s="3265">
        <f>J283</f>
        <v>428077289.79663622</v>
      </c>
      <c r="K328" s="3205"/>
      <c r="O328" s="3265">
        <f>O283</f>
        <v>448280187</v>
      </c>
      <c r="P328" s="3265">
        <f>P283</f>
        <v>20202897.194350448</v>
      </c>
      <c r="Q328" s="3265">
        <f>Q283</f>
        <v>8862833.1685796566</v>
      </c>
      <c r="R328" s="3265">
        <f>R283</f>
        <v>419214456.63706994</v>
      </c>
      <c r="S328" s="3205"/>
      <c r="W328" s="3265">
        <f>W283</f>
        <v>448280187</v>
      </c>
      <c r="X328" s="3265">
        <f>X283</f>
        <v>20202897.194350448</v>
      </c>
      <c r="Y328" s="3265">
        <f>Y283</f>
        <v>8862833.1685796566</v>
      </c>
      <c r="Z328" s="3265">
        <f>Z283</f>
        <v>419214456.63706994</v>
      </c>
      <c r="AA328" s="3205"/>
      <c r="AE328" s="3265">
        <f>AE283</f>
        <v>448280187</v>
      </c>
      <c r="AF328" s="3265">
        <f>AF283</f>
        <v>20202897.194350448</v>
      </c>
      <c r="AG328" s="3265">
        <f>AG283</f>
        <v>8862833.1685796566</v>
      </c>
      <c r="AH328" s="3265">
        <f>AH283</f>
        <v>419214456.63706994</v>
      </c>
      <c r="AI328" s="3205"/>
      <c r="AM328" s="3265">
        <f>AM283</f>
        <v>448280187</v>
      </c>
      <c r="AN328" s="3265">
        <f>AN283</f>
        <v>20202897.194350448</v>
      </c>
      <c r="AO328" s="3265">
        <f>AO283</f>
        <v>8862833.1685796566</v>
      </c>
      <c r="AP328" s="3265">
        <f>AP283</f>
        <v>419214456.63706994</v>
      </c>
      <c r="AQ328" s="3205"/>
      <c r="AU328" s="3265">
        <f>AU283</f>
        <v>448280187</v>
      </c>
      <c r="AV328" s="3265">
        <f>AV283</f>
        <v>20202897.194350448</v>
      </c>
      <c r="AW328" s="3265">
        <f>AW283</f>
        <v>8862833.1685796566</v>
      </c>
      <c r="AX328" s="3265">
        <f>AX283</f>
        <v>419214456.63706994</v>
      </c>
      <c r="AY328" s="3205"/>
      <c r="BC328" s="3265">
        <f>BC283</f>
        <v>448280187</v>
      </c>
      <c r="BD328" s="3265">
        <f>BD283</f>
        <v>20202897.194350448</v>
      </c>
      <c r="BE328" s="3265">
        <f>BE283</f>
        <v>8862833.1685796566</v>
      </c>
      <c r="BF328" s="3265">
        <f>BF283</f>
        <v>419214456.63706994</v>
      </c>
      <c r="BG328" s="3205"/>
      <c r="BK328" s="3265">
        <f>BK283</f>
        <v>448280187</v>
      </c>
      <c r="BL328" s="3265">
        <f>BL283</f>
        <v>20202897.194350448</v>
      </c>
      <c r="BM328" s="3265">
        <f>BM283</f>
        <v>8862833.1685796566</v>
      </c>
      <c r="BN328" s="3265">
        <f>BN283</f>
        <v>419214456.63706994</v>
      </c>
      <c r="BO328" s="3205"/>
      <c r="BS328" s="3265">
        <f>BS283</f>
        <v>448280187</v>
      </c>
      <c r="BT328" s="3265">
        <f>BT283</f>
        <v>20202897.194350448</v>
      </c>
      <c r="BU328" s="3265">
        <f>BU283</f>
        <v>8862833.1685796566</v>
      </c>
      <c r="BV328" s="3265">
        <f>BV283</f>
        <v>419214456.63706994</v>
      </c>
      <c r="BW328" s="3205"/>
      <c r="CA328" s="3265">
        <f>CA283</f>
        <v>448280187</v>
      </c>
      <c r="CB328" s="3265">
        <f>CB283</f>
        <v>20202897.194350448</v>
      </c>
      <c r="CC328" s="3265">
        <f>CC283</f>
        <v>8862833.1685796566</v>
      </c>
      <c r="CD328" s="3265">
        <f>CD283</f>
        <v>419214456.63706994</v>
      </c>
      <c r="CE328" s="3205"/>
      <c r="CI328" s="3265">
        <f>CI283</f>
        <v>448280187</v>
      </c>
      <c r="CJ328" s="3265">
        <f>CJ283</f>
        <v>20202897.194350448</v>
      </c>
      <c r="CK328" s="3265">
        <f>CK283</f>
        <v>8862833.1685796566</v>
      </c>
      <c r="CL328" s="3265">
        <f>CL283</f>
        <v>419214456.63706994</v>
      </c>
      <c r="CM328" s="3205"/>
      <c r="CQ328" s="3265">
        <f>CQ283</f>
        <v>448280187</v>
      </c>
      <c r="CR328" s="3265">
        <f>CR283</f>
        <v>20202897.194350448</v>
      </c>
      <c r="CS328" s="3265">
        <f>CS283</f>
        <v>8862833.1685796566</v>
      </c>
      <c r="CT328" s="3265">
        <f>CT283</f>
        <v>419214456.63706994</v>
      </c>
      <c r="CU328" s="3205"/>
      <c r="CY328" s="3265">
        <f>CY283</f>
        <v>448280187</v>
      </c>
      <c r="CZ328" s="3265">
        <f>CZ283</f>
        <v>20202897.194350448</v>
      </c>
      <c r="DA328" s="3265">
        <f>DA283</f>
        <v>8862833.1685796566</v>
      </c>
      <c r="DB328" s="3265">
        <f>DB283</f>
        <v>419214456.63706994</v>
      </c>
      <c r="DC328" s="3205"/>
      <c r="DG328" s="3265">
        <f>DG283</f>
        <v>448280187</v>
      </c>
      <c r="DH328" s="3265">
        <f>DH283</f>
        <v>20202897.194350448</v>
      </c>
      <c r="DI328" s="3265">
        <f>DI283</f>
        <v>8862833.1685796566</v>
      </c>
      <c r="DJ328" s="3265">
        <f>DJ283</f>
        <v>419214456.63706994</v>
      </c>
      <c r="DK328" s="3205"/>
      <c r="DO328" s="3265">
        <f>DO283</f>
        <v>448280187</v>
      </c>
      <c r="DP328" s="3265">
        <f>DP283</f>
        <v>20202897.194350448</v>
      </c>
      <c r="DQ328" s="3265">
        <f>DQ283</f>
        <v>8862833.1685796566</v>
      </c>
      <c r="DR328" s="3265">
        <f>DR283</f>
        <v>419214456.63706994</v>
      </c>
      <c r="DS328" s="3205"/>
      <c r="DW328" s="3265">
        <f>DW283</f>
        <v>448280187</v>
      </c>
      <c r="DX328" s="3265">
        <f>DX283</f>
        <v>20202897.194350448</v>
      </c>
      <c r="DY328" s="3265">
        <f>DY283</f>
        <v>8862833.1685796566</v>
      </c>
      <c r="DZ328" s="3265">
        <f>DZ283</f>
        <v>419214456.63706994</v>
      </c>
      <c r="EA328" s="3205"/>
      <c r="EE328" s="3265">
        <f>EE283</f>
        <v>448280187</v>
      </c>
      <c r="EF328" s="3265">
        <f>EF283</f>
        <v>20202897.194350448</v>
      </c>
      <c r="EG328" s="3265">
        <f>EG283</f>
        <v>8862833.1685796566</v>
      </c>
      <c r="EH328" s="3265">
        <f>EH283</f>
        <v>419214456.63706994</v>
      </c>
      <c r="EI328" s="3205"/>
      <c r="EM328" s="3265">
        <f>EM283</f>
        <v>448280187</v>
      </c>
      <c r="EN328" s="3265">
        <f>EN283</f>
        <v>20202897.194350448</v>
      </c>
      <c r="EO328" s="3265">
        <f>EO283</f>
        <v>8862833.1685796566</v>
      </c>
      <c r="EP328" s="3265">
        <f>EP283</f>
        <v>419214456.63706994</v>
      </c>
      <c r="EQ328" s="3205"/>
      <c r="EU328" s="3265">
        <f>EU283</f>
        <v>448280187</v>
      </c>
      <c r="EV328" s="3265">
        <f>EV283</f>
        <v>20202897.194350448</v>
      </c>
      <c r="EW328" s="3265">
        <f>EW283</f>
        <v>8862833.1685796566</v>
      </c>
      <c r="EX328" s="3265">
        <f>EX283</f>
        <v>419214456.63706994</v>
      </c>
      <c r="EY328" s="3205"/>
      <c r="FC328" s="3265">
        <f>FC283</f>
        <v>448280187</v>
      </c>
      <c r="FD328" s="3265">
        <f>FD283</f>
        <v>20202897.194350448</v>
      </c>
      <c r="FE328" s="3265">
        <f>FE283</f>
        <v>8862833.1685796566</v>
      </c>
      <c r="FF328" s="3265">
        <f>FF283</f>
        <v>419214456.63706994</v>
      </c>
      <c r="FG328" s="3205"/>
      <c r="FK328" s="3265">
        <f>FK283</f>
        <v>448280187</v>
      </c>
      <c r="FL328" s="3265">
        <f>FL283</f>
        <v>20202897.194350448</v>
      </c>
      <c r="FM328" s="3265">
        <f>FM283</f>
        <v>8862833.1685796566</v>
      </c>
      <c r="FN328" s="3265">
        <f>FN283</f>
        <v>419214456.63706994</v>
      </c>
      <c r="FO328" s="3205"/>
    </row>
    <row r="329" spans="1:171">
      <c r="A329" s="3373" t="s">
        <v>161</v>
      </c>
      <c r="B329" s="2686"/>
      <c r="G329" s="2181"/>
      <c r="H329" s="2181"/>
      <c r="I329" s="2181"/>
      <c r="J329" s="3374"/>
      <c r="K329" s="3205"/>
      <c r="O329" s="2181"/>
      <c r="P329" s="2181"/>
      <c r="Q329" s="2181"/>
      <c r="R329" s="3374"/>
      <c r="S329" s="3205"/>
      <c r="W329" s="2181"/>
      <c r="X329" s="2181"/>
      <c r="Y329" s="2181"/>
      <c r="Z329" s="3374"/>
      <c r="AA329" s="3205"/>
      <c r="AE329" s="2181"/>
      <c r="AF329" s="2181"/>
      <c r="AG329" s="2181"/>
      <c r="AH329" s="3374"/>
      <c r="AI329" s="3205"/>
      <c r="AM329" s="2181"/>
      <c r="AN329" s="2181"/>
      <c r="AO329" s="2181"/>
      <c r="AP329" s="3374"/>
      <c r="AQ329" s="3205"/>
      <c r="AU329" s="2181"/>
      <c r="AV329" s="2181"/>
      <c r="AW329" s="2181"/>
      <c r="AX329" s="3374"/>
      <c r="AY329" s="3205"/>
      <c r="BC329" s="2181"/>
      <c r="BD329" s="2181"/>
      <c r="BE329" s="2181"/>
      <c r="BF329" s="3374"/>
      <c r="BG329" s="3205"/>
      <c r="BK329" s="2181"/>
      <c r="BL329" s="2181"/>
      <c r="BM329" s="2181"/>
      <c r="BN329" s="3374"/>
      <c r="BO329" s="3205"/>
      <c r="BS329" s="2181"/>
      <c r="BT329" s="2181"/>
      <c r="BU329" s="2181"/>
      <c r="BV329" s="3374"/>
      <c r="BW329" s="3205"/>
      <c r="CA329" s="2181"/>
      <c r="CB329" s="2181"/>
      <c r="CC329" s="2181"/>
      <c r="CD329" s="3374"/>
      <c r="CE329" s="3205"/>
      <c r="CI329" s="2181"/>
      <c r="CJ329" s="2181"/>
      <c r="CK329" s="2181"/>
      <c r="CL329" s="3374"/>
      <c r="CM329" s="3205"/>
      <c r="CQ329" s="2181"/>
      <c r="CR329" s="2181"/>
      <c r="CS329" s="2181"/>
      <c r="CT329" s="3374"/>
      <c r="CU329" s="3205"/>
      <c r="CY329" s="2181"/>
      <c r="CZ329" s="2181"/>
      <c r="DA329" s="2181"/>
      <c r="DB329" s="3374"/>
      <c r="DC329" s="3205"/>
      <c r="DG329" s="2181"/>
      <c r="DH329" s="2181"/>
      <c r="DI329" s="2181"/>
      <c r="DJ329" s="3374"/>
      <c r="DK329" s="3205"/>
      <c r="DO329" s="2181"/>
      <c r="DP329" s="2181"/>
      <c r="DQ329" s="2181"/>
      <c r="DR329" s="3374"/>
      <c r="DS329" s="3205"/>
      <c r="DW329" s="2181"/>
      <c r="DX329" s="2181"/>
      <c r="DY329" s="2181"/>
      <c r="DZ329" s="3374"/>
      <c r="EA329" s="3205"/>
      <c r="EE329" s="2181"/>
      <c r="EF329" s="2181"/>
      <c r="EG329" s="2181"/>
      <c r="EH329" s="3374"/>
      <c r="EI329" s="3205"/>
      <c r="EM329" s="2181"/>
      <c r="EN329" s="2181"/>
      <c r="EO329" s="2181"/>
      <c r="EP329" s="3374"/>
      <c r="EQ329" s="3205"/>
      <c r="EU329" s="2181"/>
      <c r="EV329" s="2181"/>
      <c r="EW329" s="2181"/>
      <c r="EX329" s="3374"/>
      <c r="EY329" s="3205"/>
      <c r="FC329" s="2181"/>
      <c r="FD329" s="2181"/>
      <c r="FE329" s="2181"/>
      <c r="FF329" s="3374"/>
      <c r="FG329" s="3205"/>
      <c r="FK329" s="2181"/>
      <c r="FL329" s="2181"/>
      <c r="FM329" s="2181"/>
      <c r="FN329" s="3374"/>
      <c r="FO329" s="3205"/>
    </row>
    <row r="330" spans="1:171">
      <c r="A330" s="3373"/>
      <c r="B330" s="2686"/>
      <c r="G330" s="2181"/>
      <c r="H330" s="2181"/>
      <c r="I330" s="2181"/>
      <c r="J330" s="3374"/>
      <c r="K330" s="3205"/>
      <c r="O330" s="2181"/>
      <c r="P330" s="2181"/>
      <c r="Q330" s="2181"/>
      <c r="R330" s="3374"/>
      <c r="S330" s="3205"/>
      <c r="W330" s="2181"/>
      <c r="X330" s="2181"/>
      <c r="Y330" s="2181"/>
      <c r="Z330" s="3374"/>
      <c r="AA330" s="3205"/>
      <c r="AE330" s="2181"/>
      <c r="AF330" s="2181"/>
      <c r="AG330" s="2181"/>
      <c r="AH330" s="3374"/>
      <c r="AI330" s="3205"/>
      <c r="AM330" s="2181"/>
      <c r="AN330" s="2181"/>
      <c r="AO330" s="2181"/>
      <c r="AP330" s="3374"/>
      <c r="AQ330" s="3205"/>
      <c r="AU330" s="2181"/>
      <c r="AV330" s="2181"/>
      <c r="AW330" s="2181"/>
      <c r="AX330" s="3374"/>
      <c r="AY330" s="3205"/>
      <c r="BC330" s="2181"/>
      <c r="BD330" s="2181"/>
      <c r="BE330" s="2181"/>
      <c r="BF330" s="3374"/>
      <c r="BG330" s="3205"/>
      <c r="BK330" s="2181"/>
      <c r="BL330" s="2181"/>
      <c r="BM330" s="2181"/>
      <c r="BN330" s="3374"/>
      <c r="BO330" s="3205"/>
      <c r="BS330" s="2181"/>
      <c r="BT330" s="2181"/>
      <c r="BU330" s="2181"/>
      <c r="BV330" s="3374"/>
      <c r="BW330" s="3205"/>
      <c r="CA330" s="2181"/>
      <c r="CB330" s="2181"/>
      <c r="CC330" s="2181"/>
      <c r="CD330" s="3374"/>
      <c r="CE330" s="3205"/>
      <c r="CI330" s="2181"/>
      <c r="CJ330" s="2181"/>
      <c r="CK330" s="2181"/>
      <c r="CL330" s="3374"/>
      <c r="CM330" s="3205"/>
      <c r="CQ330" s="2181"/>
      <c r="CR330" s="2181"/>
      <c r="CS330" s="2181"/>
      <c r="CT330" s="3374"/>
      <c r="CU330" s="3205"/>
      <c r="CY330" s="2181"/>
      <c r="CZ330" s="2181"/>
      <c r="DA330" s="2181"/>
      <c r="DB330" s="3374"/>
      <c r="DC330" s="3205"/>
      <c r="DG330" s="2181"/>
      <c r="DH330" s="2181"/>
      <c r="DI330" s="2181"/>
      <c r="DJ330" s="3374"/>
      <c r="DK330" s="3205"/>
      <c r="DO330" s="2181"/>
      <c r="DP330" s="2181"/>
      <c r="DQ330" s="2181"/>
      <c r="DR330" s="3374"/>
      <c r="DS330" s="3205"/>
      <c r="DW330" s="2181"/>
      <c r="DX330" s="2181"/>
      <c r="DY330" s="2181"/>
      <c r="DZ330" s="3374"/>
      <c r="EA330" s="3205"/>
      <c r="EE330" s="2181"/>
      <c r="EF330" s="2181"/>
      <c r="EG330" s="2181"/>
      <c r="EH330" s="3374"/>
      <c r="EI330" s="3205"/>
      <c r="EM330" s="2181"/>
      <c r="EN330" s="2181"/>
      <c r="EO330" s="2181"/>
      <c r="EP330" s="3374"/>
      <c r="EQ330" s="3205"/>
      <c r="EU330" s="2181"/>
      <c r="EV330" s="2181"/>
      <c r="EW330" s="2181"/>
      <c r="EX330" s="3374"/>
      <c r="EY330" s="3205"/>
      <c r="FC330" s="2181"/>
      <c r="FD330" s="2181"/>
      <c r="FE330" s="2181"/>
      <c r="FF330" s="3374"/>
      <c r="FG330" s="3205"/>
      <c r="FK330" s="2181"/>
      <c r="FL330" s="2181"/>
      <c r="FM330" s="2181"/>
      <c r="FN330" s="3374"/>
      <c r="FO330" s="3205"/>
    </row>
    <row r="331" spans="1:171">
      <c r="A331" s="3372" t="s">
        <v>49</v>
      </c>
      <c r="B331" s="2686"/>
      <c r="G331" s="3265">
        <f>G315</f>
        <v>548884976</v>
      </c>
      <c r="H331" s="3265">
        <f>H315</f>
        <v>753611619.51360643</v>
      </c>
      <c r="I331" s="3265">
        <f>I315</f>
        <v>0</v>
      </c>
      <c r="J331" s="3265">
        <f>J315</f>
        <v>-204726643.11770675</v>
      </c>
      <c r="K331" s="3205"/>
      <c r="O331" s="3265">
        <f>O315</f>
        <v>548884976</v>
      </c>
      <c r="P331" s="3265">
        <f>P315</f>
        <v>753611619.51360643</v>
      </c>
      <c r="Q331" s="3265">
        <f>Q315</f>
        <v>39023812.633945227</v>
      </c>
      <c r="R331" s="3265">
        <f>R315</f>
        <v>-243750456.14755172</v>
      </c>
      <c r="S331" s="3205"/>
      <c r="W331" s="3265">
        <f>W315</f>
        <v>548884976</v>
      </c>
      <c r="X331" s="3265">
        <f>X315</f>
        <v>753611619.51360643</v>
      </c>
      <c r="Y331" s="3265">
        <f>Y315</f>
        <v>39023812.633945227</v>
      </c>
      <c r="Z331" s="3265">
        <f>Z315</f>
        <v>-243750456.14755172</v>
      </c>
      <c r="AA331" s="3205"/>
      <c r="AE331" s="3265">
        <f>AE315</f>
        <v>548884976</v>
      </c>
      <c r="AF331" s="3265">
        <f>AF315</f>
        <v>753611619.51360643</v>
      </c>
      <c r="AG331" s="3265">
        <f>AG315</f>
        <v>39023812.633945227</v>
      </c>
      <c r="AH331" s="3265">
        <f>AH315</f>
        <v>-243750456.14755172</v>
      </c>
      <c r="AI331" s="3205"/>
      <c r="AM331" s="3265">
        <f>AM315</f>
        <v>548884976</v>
      </c>
      <c r="AN331" s="3265">
        <f>AN315</f>
        <v>753611619.51360643</v>
      </c>
      <c r="AO331" s="3265">
        <f>AO315</f>
        <v>39023812.633945227</v>
      </c>
      <c r="AP331" s="3265">
        <f>AP315</f>
        <v>-243750456.14755172</v>
      </c>
      <c r="AQ331" s="3205"/>
      <c r="AU331" s="3265">
        <f>AU315</f>
        <v>548884976</v>
      </c>
      <c r="AV331" s="3265">
        <f>AV315</f>
        <v>753611619.51360643</v>
      </c>
      <c r="AW331" s="3265">
        <f>AW315</f>
        <v>39023812.633945227</v>
      </c>
      <c r="AX331" s="3265">
        <f>AX315</f>
        <v>-243750456.14755172</v>
      </c>
      <c r="AY331" s="3205"/>
      <c r="BC331" s="3265">
        <f>BC315</f>
        <v>548884976</v>
      </c>
      <c r="BD331" s="3265">
        <f>BD315</f>
        <v>753611619.51360643</v>
      </c>
      <c r="BE331" s="3265">
        <f>BE315</f>
        <v>39023812.633945227</v>
      </c>
      <c r="BF331" s="3265">
        <f>BF315</f>
        <v>-243750456.14755172</v>
      </c>
      <c r="BG331" s="3205"/>
      <c r="BK331" s="3265">
        <f>BK315</f>
        <v>548884976</v>
      </c>
      <c r="BL331" s="3265">
        <f>BL315</f>
        <v>753611619.51360643</v>
      </c>
      <c r="BM331" s="3265">
        <f>BM315</f>
        <v>39023812.633945227</v>
      </c>
      <c r="BN331" s="3265">
        <f>BN315</f>
        <v>-243750456.14755172</v>
      </c>
      <c r="BO331" s="3205"/>
      <c r="BS331" s="3265">
        <f>BS315</f>
        <v>548884976</v>
      </c>
      <c r="BT331" s="3265">
        <f>BT315</f>
        <v>753611619.51360643</v>
      </c>
      <c r="BU331" s="3265">
        <f>BU315</f>
        <v>39023812.633945227</v>
      </c>
      <c r="BV331" s="3265">
        <f>BV315</f>
        <v>-243750456.14755172</v>
      </c>
      <c r="BW331" s="3205"/>
      <c r="CA331" s="3265">
        <f>CA315</f>
        <v>548884976</v>
      </c>
      <c r="CB331" s="3265">
        <f>CB315</f>
        <v>753611619.51360643</v>
      </c>
      <c r="CC331" s="3265">
        <f>CC315</f>
        <v>39023812.633945227</v>
      </c>
      <c r="CD331" s="3265">
        <f>CD315</f>
        <v>-243750456.14755172</v>
      </c>
      <c r="CE331" s="3205"/>
      <c r="CI331" s="3265">
        <f>CI315</f>
        <v>548884976</v>
      </c>
      <c r="CJ331" s="3265">
        <f>CJ315</f>
        <v>753611619.51360643</v>
      </c>
      <c r="CK331" s="3265">
        <f>CK315</f>
        <v>39023812.633945227</v>
      </c>
      <c r="CL331" s="3265">
        <f>CL315</f>
        <v>-243750456.14755172</v>
      </c>
      <c r="CM331" s="3205"/>
      <c r="CQ331" s="3265">
        <f>CQ315</f>
        <v>548884976</v>
      </c>
      <c r="CR331" s="3265">
        <f>CR315</f>
        <v>753611619.51360643</v>
      </c>
      <c r="CS331" s="3265">
        <f>CS315</f>
        <v>39023812.633945227</v>
      </c>
      <c r="CT331" s="3265">
        <f>CT315</f>
        <v>-243750456.14755172</v>
      </c>
      <c r="CU331" s="3205"/>
      <c r="CY331" s="3265">
        <f>CY315</f>
        <v>548884976</v>
      </c>
      <c r="CZ331" s="3265">
        <f>CZ315</f>
        <v>753611619.51360643</v>
      </c>
      <c r="DA331" s="3265">
        <f>DA315</f>
        <v>39023812.633945227</v>
      </c>
      <c r="DB331" s="3265">
        <f>DB315</f>
        <v>-243750456.14755172</v>
      </c>
      <c r="DC331" s="3205"/>
      <c r="DG331" s="3265">
        <f>DG315</f>
        <v>548884976</v>
      </c>
      <c r="DH331" s="3265">
        <f>DH315</f>
        <v>753611619.51360643</v>
      </c>
      <c r="DI331" s="3265">
        <f>DI315</f>
        <v>39023812.633945227</v>
      </c>
      <c r="DJ331" s="3265">
        <f>DJ315</f>
        <v>-243750456.14755172</v>
      </c>
      <c r="DK331" s="3205"/>
      <c r="DO331" s="3265">
        <f>DO315</f>
        <v>548884976</v>
      </c>
      <c r="DP331" s="3265">
        <f>DP315</f>
        <v>753611619.51360643</v>
      </c>
      <c r="DQ331" s="3265">
        <f>DQ315</f>
        <v>39023812.633945227</v>
      </c>
      <c r="DR331" s="3265">
        <f>DR315</f>
        <v>-243750456.14755172</v>
      </c>
      <c r="DS331" s="3205"/>
      <c r="DW331" s="3265">
        <f>DW315</f>
        <v>548884976</v>
      </c>
      <c r="DX331" s="3265">
        <f>DX315</f>
        <v>753611619.51360643</v>
      </c>
      <c r="DY331" s="3265">
        <f>DY315</f>
        <v>39023812.633945227</v>
      </c>
      <c r="DZ331" s="3265">
        <f>DZ315</f>
        <v>-243750456.14755172</v>
      </c>
      <c r="EA331" s="3205"/>
      <c r="EE331" s="3265">
        <f>EE315</f>
        <v>548884976</v>
      </c>
      <c r="EF331" s="3265">
        <f>EF315</f>
        <v>753611619.51360643</v>
      </c>
      <c r="EG331" s="3265">
        <f>EG315</f>
        <v>39023812.633945227</v>
      </c>
      <c r="EH331" s="3265">
        <f>EH315</f>
        <v>-243750456.14755172</v>
      </c>
      <c r="EI331" s="3205"/>
      <c r="EM331" s="3265">
        <f>EM315</f>
        <v>548884976</v>
      </c>
      <c r="EN331" s="3265">
        <f>EN315</f>
        <v>753611619.51360643</v>
      </c>
      <c r="EO331" s="3265">
        <f>EO315</f>
        <v>39023812.633945227</v>
      </c>
      <c r="EP331" s="3265">
        <f>EP315</f>
        <v>-243750456.14755172</v>
      </c>
      <c r="EQ331" s="3205"/>
      <c r="EU331" s="3265">
        <f>EU315</f>
        <v>548884976</v>
      </c>
      <c r="EV331" s="3265">
        <f>EV315</f>
        <v>753611619.51360643</v>
      </c>
      <c r="EW331" s="3265">
        <f>EW315</f>
        <v>39023812.633945227</v>
      </c>
      <c r="EX331" s="3265">
        <f>EX315</f>
        <v>-243750456.14755172</v>
      </c>
      <c r="EY331" s="3205"/>
      <c r="FC331" s="3265">
        <f>FC315</f>
        <v>548884976</v>
      </c>
      <c r="FD331" s="3265">
        <f>FD315</f>
        <v>753611619.51360643</v>
      </c>
      <c r="FE331" s="3265">
        <f>FE315</f>
        <v>39023812.633945227</v>
      </c>
      <c r="FF331" s="3265">
        <f>FF315</f>
        <v>-243750456.14755172</v>
      </c>
      <c r="FG331" s="3205"/>
      <c r="FK331" s="3265">
        <f>FK315</f>
        <v>548884976</v>
      </c>
      <c r="FL331" s="3265">
        <f>FL315</f>
        <v>753611619.51360643</v>
      </c>
      <c r="FM331" s="3265">
        <f>FM315</f>
        <v>39023812.633945227</v>
      </c>
      <c r="FN331" s="3265">
        <f>FN315</f>
        <v>-243750456.14755172</v>
      </c>
      <c r="FO331" s="3205"/>
    </row>
    <row r="332" spans="1:171">
      <c r="A332" s="3373" t="s">
        <v>503</v>
      </c>
      <c r="B332" s="2686"/>
      <c r="G332" s="2181"/>
      <c r="H332" s="2181"/>
      <c r="I332" s="2181"/>
      <c r="J332" s="3374"/>
      <c r="K332" s="3205"/>
      <c r="O332" s="2181"/>
      <c r="P332" s="2181"/>
      <c r="Q332" s="2181"/>
      <c r="R332" s="3374"/>
      <c r="S332" s="3205"/>
      <c r="W332" s="2181"/>
      <c r="X332" s="2181"/>
      <c r="Y332" s="2181"/>
      <c r="Z332" s="3374"/>
      <c r="AA332" s="3205"/>
      <c r="AE332" s="2181"/>
      <c r="AF332" s="2181"/>
      <c r="AG332" s="2181"/>
      <c r="AH332" s="3374"/>
      <c r="AI332" s="3205"/>
      <c r="AM332" s="2181"/>
      <c r="AN332" s="2181"/>
      <c r="AO332" s="2181"/>
      <c r="AP332" s="3374"/>
      <c r="AQ332" s="3205"/>
      <c r="AU332" s="2181"/>
      <c r="AV332" s="2181"/>
      <c r="AW332" s="2181"/>
      <c r="AX332" s="3374"/>
      <c r="AY332" s="3205"/>
      <c r="BC332" s="2181"/>
      <c r="BD332" s="2181"/>
      <c r="BE332" s="2181"/>
      <c r="BF332" s="3374"/>
      <c r="BG332" s="3205"/>
      <c r="BK332" s="2181"/>
      <c r="BL332" s="2181"/>
      <c r="BM332" s="2181"/>
      <c r="BN332" s="3374"/>
      <c r="BO332" s="3205"/>
      <c r="BS332" s="2181"/>
      <c r="BT332" s="2181"/>
      <c r="BU332" s="2181"/>
      <c r="BV332" s="3374"/>
      <c r="BW332" s="3205"/>
      <c r="CA332" s="2181"/>
      <c r="CB332" s="2181"/>
      <c r="CC332" s="2181"/>
      <c r="CD332" s="3374"/>
      <c r="CE332" s="3205"/>
      <c r="CI332" s="2181"/>
      <c r="CJ332" s="2181"/>
      <c r="CK332" s="2181"/>
      <c r="CL332" s="3374"/>
      <c r="CM332" s="3205"/>
      <c r="CQ332" s="2181"/>
      <c r="CR332" s="2181"/>
      <c r="CS332" s="2181"/>
      <c r="CT332" s="3374"/>
      <c r="CU332" s="3205"/>
      <c r="CY332" s="2181"/>
      <c r="CZ332" s="2181"/>
      <c r="DA332" s="2181"/>
      <c r="DB332" s="3374"/>
      <c r="DC332" s="3205"/>
      <c r="DG332" s="2181"/>
      <c r="DH332" s="2181"/>
      <c r="DI332" s="2181"/>
      <c r="DJ332" s="3374"/>
      <c r="DK332" s="3205"/>
      <c r="DO332" s="2181"/>
      <c r="DP332" s="2181"/>
      <c r="DQ332" s="2181"/>
      <c r="DR332" s="3374"/>
      <c r="DS332" s="3205"/>
      <c r="DW332" s="2181"/>
      <c r="DX332" s="2181"/>
      <c r="DY332" s="2181"/>
      <c r="DZ332" s="3374"/>
      <c r="EA332" s="3205"/>
      <c r="EE332" s="2181"/>
      <c r="EF332" s="2181"/>
      <c r="EG332" s="2181"/>
      <c r="EH332" s="3374"/>
      <c r="EI332" s="3205"/>
      <c r="EM332" s="2181"/>
      <c r="EN332" s="2181"/>
      <c r="EO332" s="2181"/>
      <c r="EP332" s="3374"/>
      <c r="EQ332" s="3205"/>
      <c r="EU332" s="2181"/>
      <c r="EV332" s="2181"/>
      <c r="EW332" s="2181"/>
      <c r="EX332" s="3374"/>
      <c r="EY332" s="3205"/>
      <c r="FC332" s="2181"/>
      <c r="FD332" s="2181"/>
      <c r="FE332" s="2181"/>
      <c r="FF332" s="3374"/>
      <c r="FG332" s="3205"/>
      <c r="FK332" s="2181"/>
      <c r="FL332" s="2181"/>
      <c r="FM332" s="2181"/>
      <c r="FN332" s="3374"/>
      <c r="FO332" s="3205"/>
    </row>
    <row r="333" spans="1:171">
      <c r="A333" s="3373"/>
      <c r="B333" s="2686"/>
      <c r="G333" s="2181"/>
      <c r="H333" s="2181"/>
      <c r="I333" s="2181"/>
      <c r="J333" s="3374"/>
      <c r="K333" s="3205"/>
      <c r="O333" s="2181"/>
      <c r="P333" s="2181"/>
      <c r="Q333" s="2181"/>
      <c r="R333" s="3374"/>
      <c r="S333" s="3205"/>
      <c r="W333" s="2181"/>
      <c r="X333" s="2181"/>
      <c r="Y333" s="2181"/>
      <c r="Z333" s="3374"/>
      <c r="AA333" s="3205"/>
      <c r="AE333" s="2181"/>
      <c r="AF333" s="2181"/>
      <c r="AG333" s="2181"/>
      <c r="AH333" s="3374"/>
      <c r="AI333" s="3205"/>
      <c r="AM333" s="2181"/>
      <c r="AN333" s="2181"/>
      <c r="AO333" s="2181"/>
      <c r="AP333" s="3374"/>
      <c r="AQ333" s="3205"/>
      <c r="AU333" s="2181"/>
      <c r="AV333" s="2181"/>
      <c r="AW333" s="2181"/>
      <c r="AX333" s="3374"/>
      <c r="AY333" s="3205"/>
      <c r="BC333" s="2181"/>
      <c r="BD333" s="2181"/>
      <c r="BE333" s="2181"/>
      <c r="BF333" s="3374"/>
      <c r="BG333" s="3205"/>
      <c r="BK333" s="2181"/>
      <c r="BL333" s="2181"/>
      <c r="BM333" s="2181"/>
      <c r="BN333" s="3374"/>
      <c r="BO333" s="3205"/>
      <c r="BS333" s="2181"/>
      <c r="BT333" s="2181"/>
      <c r="BU333" s="2181"/>
      <c r="BV333" s="3374"/>
      <c r="BW333" s="3205"/>
      <c r="CA333" s="2181"/>
      <c r="CB333" s="2181"/>
      <c r="CC333" s="2181"/>
      <c r="CD333" s="3374"/>
      <c r="CE333" s="3205"/>
      <c r="CI333" s="2181"/>
      <c r="CJ333" s="2181"/>
      <c r="CK333" s="2181"/>
      <c r="CL333" s="3374"/>
      <c r="CM333" s="3205"/>
      <c r="CQ333" s="2181"/>
      <c r="CR333" s="2181"/>
      <c r="CS333" s="2181"/>
      <c r="CT333" s="3374"/>
      <c r="CU333" s="3205"/>
      <c r="CY333" s="2181"/>
      <c r="CZ333" s="2181"/>
      <c r="DA333" s="2181"/>
      <c r="DB333" s="3374"/>
      <c r="DC333" s="3205"/>
      <c r="DG333" s="2181"/>
      <c r="DH333" s="2181"/>
      <c r="DI333" s="2181"/>
      <c r="DJ333" s="3374"/>
      <c r="DK333" s="3205"/>
      <c r="DO333" s="2181"/>
      <c r="DP333" s="2181"/>
      <c r="DQ333" s="2181"/>
      <c r="DR333" s="3374"/>
      <c r="DS333" s="3205"/>
      <c r="DW333" s="2181"/>
      <c r="DX333" s="2181"/>
      <c r="DY333" s="2181"/>
      <c r="DZ333" s="3374"/>
      <c r="EA333" s="3205"/>
      <c r="EE333" s="2181"/>
      <c r="EF333" s="2181"/>
      <c r="EG333" s="2181"/>
      <c r="EH333" s="3374"/>
      <c r="EI333" s="3205"/>
      <c r="EM333" s="2181"/>
      <c r="EN333" s="2181"/>
      <c r="EO333" s="2181"/>
      <c r="EP333" s="3374"/>
      <c r="EQ333" s="3205"/>
      <c r="EU333" s="2181"/>
      <c r="EV333" s="2181"/>
      <c r="EW333" s="2181"/>
      <c r="EX333" s="3374"/>
      <c r="EY333" s="3205"/>
      <c r="FC333" s="2181"/>
      <c r="FD333" s="2181"/>
      <c r="FE333" s="2181"/>
      <c r="FF333" s="3374"/>
      <c r="FG333" s="3205"/>
      <c r="FK333" s="2181"/>
      <c r="FL333" s="2181"/>
      <c r="FM333" s="2181"/>
      <c r="FN333" s="3374"/>
      <c r="FO333" s="3205"/>
    </row>
    <row r="334" spans="1:171">
      <c r="A334" s="3372" t="s">
        <v>51</v>
      </c>
      <c r="B334" s="2686"/>
      <c r="G334" s="3265">
        <f>G322+G325+G328-G331</f>
        <v>3467681990.4228077</v>
      </c>
      <c r="H334" s="3265">
        <f>H322+H325+H328-H331</f>
        <v>1702818677.006722</v>
      </c>
      <c r="I334" s="3265">
        <f>I322+I325+I328-I331</f>
        <v>0</v>
      </c>
      <c r="J334" s="3265">
        <f>J322+J325+J328-J331</f>
        <v>1764863312.9823809</v>
      </c>
      <c r="K334" s="3205"/>
      <c r="O334" s="3265">
        <f>O322+O325+O328-O331</f>
        <v>3467681990.4228077</v>
      </c>
      <c r="P334" s="3265">
        <f>P322+P325+P328-P331</f>
        <v>1702818677.006722</v>
      </c>
      <c r="Q334" s="3265">
        <f>Q322+Q325+Q328-Q331</f>
        <v>163110492.63833174</v>
      </c>
      <c r="R334" s="3265">
        <f>R322+R325+R328-R331</f>
        <v>1601752820.7777534</v>
      </c>
      <c r="S334" s="3205"/>
      <c r="W334" s="3265">
        <f>W322+W325+W328-W331</f>
        <v>3467681990.4228077</v>
      </c>
      <c r="X334" s="3265">
        <f>X322+X325+X328-X331</f>
        <v>1702818677.006722</v>
      </c>
      <c r="Y334" s="3265">
        <f>Y322+Y325+Y328-Y331</f>
        <v>163110492.63833174</v>
      </c>
      <c r="Z334" s="3265">
        <f>Z322+Z325+Z328-Z331</f>
        <v>1601752820.7777534</v>
      </c>
      <c r="AA334" s="3205"/>
      <c r="AE334" s="3265">
        <f>AE322+AE325+AE328-AE331</f>
        <v>3467681990.4228077</v>
      </c>
      <c r="AF334" s="3265">
        <f>AF322+AF325+AF328-AF331</f>
        <v>1702818677.006722</v>
      </c>
      <c r="AG334" s="3265">
        <f>AG322+AG325+AG328-AG331</f>
        <v>163110492.63833174</v>
      </c>
      <c r="AH334" s="3265">
        <f>AH322+AH325+AH328-AH331</f>
        <v>1601752820.7777534</v>
      </c>
      <c r="AI334" s="3205"/>
      <c r="AM334" s="3265">
        <f>AM322+AM325+AM328-AM331</f>
        <v>3467681990.4228077</v>
      </c>
      <c r="AN334" s="3265">
        <f>AN322+AN325+AN328-AN331</f>
        <v>1702818677.006722</v>
      </c>
      <c r="AO334" s="3265">
        <f>AO322+AO325+AO328-AO331</f>
        <v>163110492.63833174</v>
      </c>
      <c r="AP334" s="3265">
        <f>AP322+AP325+AP328-AP331</f>
        <v>1601752820.7777534</v>
      </c>
      <c r="AQ334" s="3205"/>
      <c r="AU334" s="3265">
        <f>AU322+AU325+AU328-AU331</f>
        <v>3467681990.4228077</v>
      </c>
      <c r="AV334" s="3265">
        <f>AV322+AV325+AV328-AV331</f>
        <v>1702818677.006722</v>
      </c>
      <c r="AW334" s="3265">
        <f>AW322+AW325+AW328-AW331</f>
        <v>163110492.63833174</v>
      </c>
      <c r="AX334" s="3265">
        <f>AX322+AX325+AX328-AX331</f>
        <v>1601752820.7777534</v>
      </c>
      <c r="AY334" s="3205"/>
      <c r="BC334" s="3265">
        <f>BC322+BC325+BC328-BC331</f>
        <v>3467681990.4228077</v>
      </c>
      <c r="BD334" s="3265">
        <f>BD322+BD325+BD328-BD331</f>
        <v>1702818677.006722</v>
      </c>
      <c r="BE334" s="3265">
        <f>BE322+BE325+BE328-BE331</f>
        <v>163110492.63833174</v>
      </c>
      <c r="BF334" s="3265">
        <f>BF322+BF325+BF328-BF331</f>
        <v>1601752820.7777534</v>
      </c>
      <c r="BG334" s="3205"/>
      <c r="BK334" s="3265">
        <f>BK322+BK325+BK328-BK331</f>
        <v>3467681990.4228077</v>
      </c>
      <c r="BL334" s="3265">
        <f>BL322+BL325+BL328-BL331</f>
        <v>1702818677.006722</v>
      </c>
      <c r="BM334" s="3265">
        <f>BM322+BM325+BM328-BM331</f>
        <v>163110492.63833174</v>
      </c>
      <c r="BN334" s="3265">
        <f>BN322+BN325+BN328-BN331</f>
        <v>1601752820.7777534</v>
      </c>
      <c r="BO334" s="3205"/>
      <c r="BS334" s="3265">
        <f>BS322+BS325+BS328-BS331</f>
        <v>3467681990.4228077</v>
      </c>
      <c r="BT334" s="3265">
        <f>BT322+BT325+BT328-BT331</f>
        <v>1702818677.006722</v>
      </c>
      <c r="BU334" s="3265">
        <f>BU322+BU325+BU328-BU331</f>
        <v>163110492.63833174</v>
      </c>
      <c r="BV334" s="3265">
        <f>BV322+BV325+BV328-BV331</f>
        <v>1601752820.7777534</v>
      </c>
      <c r="BW334" s="3205"/>
      <c r="CA334" s="3265">
        <f>CA322+CA325+CA328-CA331</f>
        <v>3467681990.4228077</v>
      </c>
      <c r="CB334" s="3265">
        <f>CB322+CB325+CB328-CB331</f>
        <v>1702818677.006722</v>
      </c>
      <c r="CC334" s="3265">
        <f>CC322+CC325+CC328-CC331</f>
        <v>163110492.63833174</v>
      </c>
      <c r="CD334" s="3265">
        <f>CD322+CD325+CD328-CD331</f>
        <v>1601752820.7777534</v>
      </c>
      <c r="CE334" s="3205"/>
      <c r="CI334" s="3265">
        <f>CI322+CI325+CI328-CI331</f>
        <v>3467681990.4228077</v>
      </c>
      <c r="CJ334" s="3265">
        <f>CJ322+CJ325+CJ328-CJ331</f>
        <v>1702818677.006722</v>
      </c>
      <c r="CK334" s="3265">
        <f>CK322+CK325+CK328-CK331</f>
        <v>163110492.63833174</v>
      </c>
      <c r="CL334" s="3265">
        <f>CL322+CL325+CL328-CL331</f>
        <v>1601752820.7777534</v>
      </c>
      <c r="CM334" s="3205"/>
      <c r="CQ334" s="3265">
        <f>CQ322+CQ325+CQ328-CQ331</f>
        <v>3467681990.4228077</v>
      </c>
      <c r="CR334" s="3265">
        <f>CR322+CR325+CR328-CR331</f>
        <v>1702818677.006722</v>
      </c>
      <c r="CS334" s="3265">
        <f>CS322+CS325+CS328-CS331</f>
        <v>163110492.63833174</v>
      </c>
      <c r="CT334" s="3265">
        <f>CT322+CT325+CT328-CT331</f>
        <v>1601752820.7777534</v>
      </c>
      <c r="CU334" s="3205"/>
      <c r="CY334" s="3265">
        <f>CY322+CY325+CY328-CY331</f>
        <v>3467681990.4228077</v>
      </c>
      <c r="CZ334" s="3265">
        <f>CZ322+CZ325+CZ328-CZ331</f>
        <v>1702818677.006722</v>
      </c>
      <c r="DA334" s="3265">
        <f>DA322+DA325+DA328-DA331</f>
        <v>163110492.63833174</v>
      </c>
      <c r="DB334" s="3265">
        <f>DB322+DB325+DB328-DB331</f>
        <v>1601752820.7777534</v>
      </c>
      <c r="DC334" s="3205"/>
      <c r="DG334" s="3265">
        <f>DG322+DG325+DG328-DG331</f>
        <v>3467681990.4228077</v>
      </c>
      <c r="DH334" s="3265">
        <f>DH322+DH325+DH328-DH331</f>
        <v>1702818677.006722</v>
      </c>
      <c r="DI334" s="3265">
        <f>DI322+DI325+DI328-DI331</f>
        <v>163110492.63833174</v>
      </c>
      <c r="DJ334" s="3265">
        <f>DJ322+DJ325+DJ328-DJ331</f>
        <v>1601752820.7777534</v>
      </c>
      <c r="DK334" s="3205"/>
      <c r="DO334" s="3265">
        <f>DO322+DO325+DO328-DO331</f>
        <v>3467681990.4228077</v>
      </c>
      <c r="DP334" s="3265">
        <f>DP322+DP325+DP328-DP331</f>
        <v>1702818677.006722</v>
      </c>
      <c r="DQ334" s="3265">
        <f>DQ322+DQ325+DQ328-DQ331</f>
        <v>163110492.63833174</v>
      </c>
      <c r="DR334" s="3265">
        <f>DR322+DR325+DR328-DR331</f>
        <v>1601752820.7777534</v>
      </c>
      <c r="DS334" s="3205"/>
      <c r="DW334" s="3265">
        <f>DW322+DW325+DW328-DW331</f>
        <v>3467681990.4228077</v>
      </c>
      <c r="DX334" s="3265">
        <f>DX322+DX325+DX328-DX331</f>
        <v>1702818677.006722</v>
      </c>
      <c r="DY334" s="3265">
        <f>DY322+DY325+DY328-DY331</f>
        <v>163110492.63833174</v>
      </c>
      <c r="DZ334" s="3265">
        <f>DZ322+DZ325+DZ328-DZ331</f>
        <v>1601752820.7777534</v>
      </c>
      <c r="EA334" s="3205"/>
      <c r="EE334" s="3265">
        <f>EE322+EE325+EE328-EE331</f>
        <v>3467681990.4228077</v>
      </c>
      <c r="EF334" s="3265">
        <f>EF322+EF325+EF328-EF331</f>
        <v>1702818677.006722</v>
      </c>
      <c r="EG334" s="3265">
        <f>EG322+EG325+EG328-EG331</f>
        <v>163110492.63833174</v>
      </c>
      <c r="EH334" s="3265">
        <f>EH322+EH325+EH328-EH331</f>
        <v>1601752820.7777534</v>
      </c>
      <c r="EI334" s="3205"/>
      <c r="EM334" s="3265">
        <f>EM322+EM325+EM328-EM331</f>
        <v>3467681990.4228077</v>
      </c>
      <c r="EN334" s="3265">
        <f>EN322+EN325+EN328-EN331</f>
        <v>1702818677.006722</v>
      </c>
      <c r="EO334" s="3265">
        <f>EO322+EO325+EO328-EO331</f>
        <v>163110492.63833174</v>
      </c>
      <c r="EP334" s="3265">
        <f>EP322+EP325+EP328-EP331</f>
        <v>1601752820.7777534</v>
      </c>
      <c r="EQ334" s="3205"/>
      <c r="EU334" s="3265">
        <f>EU322+EU325+EU328-EU331</f>
        <v>3467681990.4228077</v>
      </c>
      <c r="EV334" s="3265">
        <f>EV322+EV325+EV328-EV331</f>
        <v>1702818677.006722</v>
      </c>
      <c r="EW334" s="3265">
        <f>EW322+EW325+EW328-EW331</f>
        <v>163110492.63833174</v>
      </c>
      <c r="EX334" s="3265">
        <f>EX322+EX325+EX328-EX331</f>
        <v>1601752820.7777534</v>
      </c>
      <c r="EY334" s="3205"/>
      <c r="FC334" s="3265">
        <f>FC322+FC325+FC328-FC331</f>
        <v>3467681990.4228077</v>
      </c>
      <c r="FD334" s="3265">
        <f>FD322+FD325+FD328-FD331</f>
        <v>1702818677.006722</v>
      </c>
      <c r="FE334" s="3265">
        <f>FE322+FE325+FE328-FE331</f>
        <v>163110492.63833174</v>
      </c>
      <c r="FF334" s="3265">
        <f>FF322+FF325+FF328-FF331</f>
        <v>1601752820.7777534</v>
      </c>
      <c r="FG334" s="3205"/>
      <c r="FK334" s="3265">
        <f>FK322+FK325+FK328-FK331</f>
        <v>3467681990.4228077</v>
      </c>
      <c r="FL334" s="3265">
        <f>FL322+FL325+FL328-FL331</f>
        <v>1702818677.006722</v>
      </c>
      <c r="FM334" s="3265">
        <f>FM322+FM325+FM328-FM331</f>
        <v>163110492.63833174</v>
      </c>
      <c r="FN334" s="3265">
        <f>FN322+FN325+FN328-FN331</f>
        <v>1601752820.7777534</v>
      </c>
      <c r="FO334" s="3205"/>
    </row>
    <row r="335" spans="1:171">
      <c r="A335" s="3373" t="s">
        <v>249</v>
      </c>
      <c r="B335" s="2100"/>
      <c r="G335" s="3375"/>
      <c r="H335" s="2686"/>
      <c r="I335" s="2686"/>
      <c r="J335" s="3376"/>
      <c r="K335" s="3205"/>
      <c r="S335" s="3264"/>
      <c r="AA335" s="3264"/>
      <c r="AI335" s="3264"/>
      <c r="AQ335" s="3264"/>
      <c r="AY335" s="3264"/>
      <c r="BG335" s="3264"/>
      <c r="BO335" s="3264"/>
      <c r="BW335" s="3264"/>
      <c r="CE335" s="3264"/>
      <c r="CM335" s="3264"/>
      <c r="CU335" s="3264"/>
      <c r="DC335" s="3264"/>
      <c r="DK335" s="3264"/>
      <c r="DS335" s="3264"/>
      <c r="EA335" s="3264"/>
      <c r="EI335" s="3264"/>
      <c r="EQ335" s="3264"/>
      <c r="EY335" s="3264"/>
      <c r="FG335" s="3264"/>
      <c r="FO335" s="3264"/>
    </row>
    <row r="336" spans="1:171">
      <c r="A336" s="3371"/>
      <c r="J336" s="3377"/>
      <c r="K336" s="3205"/>
      <c r="S336" s="3264"/>
      <c r="AA336" s="3264"/>
      <c r="AI336" s="3264"/>
      <c r="AQ336" s="3264"/>
      <c r="AY336" s="3264"/>
      <c r="BG336" s="3264"/>
      <c r="BO336" s="3264"/>
      <c r="BW336" s="3264"/>
      <c r="CE336" s="3264"/>
      <c r="CM336" s="3264"/>
      <c r="CU336" s="3264"/>
      <c r="DC336" s="3264"/>
      <c r="DK336" s="3264"/>
      <c r="DS336" s="3264"/>
      <c r="EA336" s="3264"/>
      <c r="EI336" s="3264"/>
      <c r="EQ336" s="3264"/>
      <c r="EY336" s="3264"/>
      <c r="FG336" s="3264"/>
      <c r="FO336" s="3264"/>
    </row>
    <row r="337" spans="1:171" ht="12" thickBot="1">
      <c r="A337" s="3378"/>
      <c r="B337" s="3379"/>
      <c r="C337" s="3379"/>
      <c r="D337" s="3379"/>
      <c r="E337" s="3379"/>
      <c r="F337" s="3379"/>
      <c r="G337" s="3379"/>
      <c r="H337" s="3379"/>
      <c r="I337" s="3379"/>
      <c r="J337" s="3380"/>
      <c r="K337" s="3205"/>
      <c r="S337" s="3264"/>
      <c r="AA337" s="3264"/>
      <c r="AI337" s="3264"/>
      <c r="AQ337" s="3264"/>
      <c r="AY337" s="3264"/>
      <c r="BG337" s="3264"/>
      <c r="BO337" s="3264"/>
      <c r="BW337" s="3264"/>
      <c r="CE337" s="3264"/>
      <c r="CM337" s="3264"/>
      <c r="CU337" s="3264"/>
      <c r="DC337" s="3264"/>
      <c r="DK337" s="3264"/>
      <c r="DS337" s="3264"/>
      <c r="EA337" s="3264"/>
      <c r="EI337" s="3264"/>
      <c r="EQ337" s="3264"/>
      <c r="EY337" s="3264"/>
      <c r="FG337" s="3264"/>
      <c r="FO337" s="3264"/>
    </row>
    <row r="338" spans="1:171" ht="12" thickBot="1">
      <c r="A338" s="3381" t="s">
        <v>504</v>
      </c>
      <c r="B338" s="3382"/>
      <c r="C338" s="2686"/>
      <c r="D338" s="2686"/>
      <c r="E338" s="2686"/>
      <c r="F338" s="2686"/>
      <c r="G338" s="2686"/>
      <c r="H338" s="2686"/>
      <c r="I338" s="2686"/>
      <c r="J338" s="2686"/>
      <c r="K338" s="3205"/>
      <c r="S338" s="3264"/>
      <c r="AA338" s="3264"/>
      <c r="AI338" s="3264"/>
      <c r="AQ338" s="3264"/>
      <c r="AY338" s="3264"/>
      <c r="BG338" s="3264"/>
      <c r="BO338" s="3264"/>
      <c r="BW338" s="3264"/>
      <c r="CE338" s="3264"/>
      <c r="CM338" s="3264"/>
      <c r="CU338" s="3264"/>
      <c r="DC338" s="3264"/>
      <c r="DK338" s="3264"/>
      <c r="DS338" s="3264"/>
      <c r="EA338" s="3264"/>
      <c r="EI338" s="3264"/>
      <c r="EQ338" s="3264"/>
      <c r="EY338" s="3264"/>
      <c r="FG338" s="3264"/>
      <c r="FO338" s="3264"/>
    </row>
    <row r="339" spans="1:171" ht="12" thickTop="1">
      <c r="A339" s="2306" t="s">
        <v>317</v>
      </c>
      <c r="B339" s="2686"/>
      <c r="G339" s="2686"/>
      <c r="H339" s="3383">
        <f>H334</f>
        <v>1702818677.006722</v>
      </c>
      <c r="I339" s="2686"/>
      <c r="J339" s="2686"/>
      <c r="K339" s="3205"/>
      <c r="P339" s="3383">
        <f>P334</f>
        <v>1702818677.006722</v>
      </c>
      <c r="S339" s="3264"/>
      <c r="X339" s="3383">
        <f>X334</f>
        <v>1702818677.006722</v>
      </c>
      <c r="AA339" s="3264"/>
      <c r="AF339" s="3383">
        <f>AF334</f>
        <v>1702818677.006722</v>
      </c>
      <c r="AI339" s="3264"/>
      <c r="AN339" s="3383">
        <f>AN334</f>
        <v>1702818677.006722</v>
      </c>
      <c r="AQ339" s="3264"/>
      <c r="AV339" s="3383">
        <f>AV334</f>
        <v>1702818677.006722</v>
      </c>
      <c r="AY339" s="3264"/>
      <c r="BD339" s="3383">
        <f>BD334</f>
        <v>1702818677.006722</v>
      </c>
      <c r="BG339" s="3264"/>
      <c r="BL339" s="3383">
        <f>BL334</f>
        <v>1702818677.006722</v>
      </c>
      <c r="BO339" s="3264"/>
      <c r="BT339" s="3383">
        <f>BT334</f>
        <v>1702818677.006722</v>
      </c>
      <c r="BW339" s="3264"/>
      <c r="CB339" s="3383">
        <f>CB334</f>
        <v>1702818677.006722</v>
      </c>
      <c r="CE339" s="3264"/>
      <c r="CJ339" s="3383">
        <f>CJ334</f>
        <v>1702818677.006722</v>
      </c>
      <c r="CM339" s="3264"/>
      <c r="CR339" s="3383">
        <f>CR334</f>
        <v>1702818677.006722</v>
      </c>
      <c r="CU339" s="3264"/>
      <c r="CZ339" s="3383">
        <f>CZ334</f>
        <v>1702818677.006722</v>
      </c>
      <c r="DC339" s="3264"/>
      <c r="DH339" s="3383">
        <f>DH334</f>
        <v>1702818677.006722</v>
      </c>
      <c r="DK339" s="3264"/>
      <c r="DP339" s="3383">
        <f>DP334</f>
        <v>1702818677.006722</v>
      </c>
      <c r="DS339" s="3264"/>
      <c r="DX339" s="3383">
        <f>DX334</f>
        <v>1702818677.006722</v>
      </c>
      <c r="EA339" s="3264"/>
      <c r="EF339" s="3383">
        <f>EF334</f>
        <v>1702818677.006722</v>
      </c>
      <c r="EI339" s="3264"/>
      <c r="EN339" s="3383">
        <f>EN334</f>
        <v>1702818677.006722</v>
      </c>
      <c r="EQ339" s="3264"/>
      <c r="EV339" s="3383">
        <f>EV334</f>
        <v>1702818677.006722</v>
      </c>
      <c r="EY339" s="3264"/>
      <c r="FD339" s="3383">
        <f>FD334</f>
        <v>1702818677.006722</v>
      </c>
      <c r="FG339" s="3264"/>
      <c r="FL339" s="3383">
        <f>FL334</f>
        <v>1702818677.006722</v>
      </c>
      <c r="FO339" s="3264"/>
    </row>
    <row r="340" spans="1:171">
      <c r="A340" s="2306" t="s">
        <v>106</v>
      </c>
      <c r="B340" s="2686"/>
      <c r="G340" s="2686"/>
      <c r="H340" s="3384">
        <f>+I334</f>
        <v>0</v>
      </c>
      <c r="I340" s="2686"/>
      <c r="J340" s="2686"/>
      <c r="K340" s="3205"/>
      <c r="P340" s="3384">
        <f>Q334</f>
        <v>163110492.63833174</v>
      </c>
      <c r="S340" s="3264"/>
      <c r="X340" s="3384">
        <f>Y334</f>
        <v>163110492.63833174</v>
      </c>
      <c r="AA340" s="3264"/>
      <c r="AF340" s="3384">
        <f>AG334</f>
        <v>163110492.63833174</v>
      </c>
      <c r="AI340" s="3264"/>
      <c r="AN340" s="3384">
        <f>AO334</f>
        <v>163110492.63833174</v>
      </c>
      <c r="AQ340" s="3264"/>
      <c r="AV340" s="3384">
        <f>AW334</f>
        <v>163110492.63833174</v>
      </c>
      <c r="AY340" s="3264"/>
      <c r="BD340" s="3384">
        <f>BE334</f>
        <v>163110492.63833174</v>
      </c>
      <c r="BG340" s="3264"/>
      <c r="BL340" s="3384">
        <f>BM334</f>
        <v>163110492.63833174</v>
      </c>
      <c r="BO340" s="3264"/>
      <c r="BT340" s="3384">
        <f>BU334</f>
        <v>163110492.63833174</v>
      </c>
      <c r="BW340" s="3264"/>
      <c r="CB340" s="3384">
        <f>CC334</f>
        <v>163110492.63833174</v>
      </c>
      <c r="CE340" s="3264"/>
      <c r="CJ340" s="3384">
        <f>CK334</f>
        <v>163110492.63833174</v>
      </c>
      <c r="CM340" s="3264"/>
      <c r="CR340" s="3384">
        <f>CS334</f>
        <v>163110492.63833174</v>
      </c>
      <c r="CU340" s="3264"/>
      <c r="CZ340" s="3384">
        <f>DA334</f>
        <v>163110492.63833174</v>
      </c>
      <c r="DC340" s="3264"/>
      <c r="DH340" s="3384">
        <f>DI334</f>
        <v>163110492.63833174</v>
      </c>
      <c r="DK340" s="3264"/>
      <c r="DP340" s="3384">
        <f>DQ334</f>
        <v>163110492.63833174</v>
      </c>
      <c r="DS340" s="3264"/>
      <c r="DX340" s="3384">
        <f>DY334</f>
        <v>163110492.63833174</v>
      </c>
      <c r="EA340" s="3264"/>
      <c r="EF340" s="3384">
        <f>EG334</f>
        <v>163110492.63833174</v>
      </c>
      <c r="EI340" s="3264"/>
      <c r="EN340" s="3384">
        <f>EO334</f>
        <v>163110492.63833174</v>
      </c>
      <c r="EQ340" s="3264"/>
      <c r="EV340" s="3384">
        <f>EW334</f>
        <v>163110492.63833174</v>
      </c>
      <c r="EY340" s="3264"/>
      <c r="FD340" s="3384">
        <f>FE334</f>
        <v>163110492.63833174</v>
      </c>
      <c r="FG340" s="3264"/>
      <c r="FL340" s="3384">
        <f>FM334</f>
        <v>163110492.63833174</v>
      </c>
      <c r="FO340" s="3264"/>
    </row>
    <row r="341" spans="1:171">
      <c r="A341" s="2306" t="s">
        <v>508</v>
      </c>
      <c r="B341" s="2686"/>
      <c r="G341" s="2686"/>
      <c r="H341" s="2424">
        <f>'Sch 4 - Average System Cost'!$D$34+'Sch 4 - Average System Cost'!$D$35</f>
        <v>0</v>
      </c>
      <c r="I341" s="2686"/>
      <c r="J341" s="2686"/>
      <c r="K341" s="3205"/>
      <c r="P341" s="2424">
        <f>$H$341</f>
        <v>0</v>
      </c>
      <c r="S341" s="3264"/>
      <c r="X341" s="2424">
        <f>$H$341</f>
        <v>0</v>
      </c>
      <c r="AA341" s="3264"/>
      <c r="AF341" s="2424">
        <f>$H$341</f>
        <v>0</v>
      </c>
      <c r="AI341" s="3264"/>
      <c r="AN341" s="2424">
        <f>$H$341</f>
        <v>0</v>
      </c>
      <c r="AQ341" s="3264"/>
      <c r="AV341" s="2424">
        <f>$H$341</f>
        <v>0</v>
      </c>
      <c r="AY341" s="3264"/>
      <c r="BD341" s="2424">
        <f>$H$341</f>
        <v>0</v>
      </c>
      <c r="BG341" s="3264"/>
      <c r="BL341" s="2424">
        <f>$H$341</f>
        <v>0</v>
      </c>
      <c r="BO341" s="3264"/>
      <c r="BT341" s="2424">
        <f>$H$341</f>
        <v>0</v>
      </c>
      <c r="BW341" s="3264"/>
      <c r="CB341" s="2424">
        <f>$H$341</f>
        <v>0</v>
      </c>
      <c r="CE341" s="3264"/>
      <c r="CJ341" s="2424">
        <f>$H$341</f>
        <v>0</v>
      </c>
      <c r="CM341" s="3264"/>
      <c r="CR341" s="2424">
        <f>$H$341</f>
        <v>0</v>
      </c>
      <c r="CU341" s="3264"/>
      <c r="CZ341" s="2424">
        <f>$H$341</f>
        <v>0</v>
      </c>
      <c r="DC341" s="3264"/>
      <c r="DH341" s="2424">
        <f>$H$341</f>
        <v>0</v>
      </c>
      <c r="DK341" s="3264"/>
      <c r="DP341" s="2424">
        <f>$H$341</f>
        <v>0</v>
      </c>
      <c r="DS341" s="3264"/>
      <c r="DX341" s="2424">
        <f>$H$341</f>
        <v>0</v>
      </c>
      <c r="EA341" s="3264"/>
      <c r="EF341" s="2424">
        <f>$H$341</f>
        <v>0</v>
      </c>
      <c r="EI341" s="3264"/>
      <c r="EN341" s="2424">
        <f>$H$341</f>
        <v>0</v>
      </c>
      <c r="EQ341" s="3264"/>
      <c r="EV341" s="2424">
        <f>$H$341</f>
        <v>0</v>
      </c>
      <c r="EY341" s="3264"/>
      <c r="FD341" s="2424">
        <f>$H$341</f>
        <v>0</v>
      </c>
      <c r="FG341" s="3264"/>
      <c r="FL341" s="2424">
        <f>$H$341</f>
        <v>0</v>
      </c>
      <c r="FO341" s="3264"/>
    </row>
    <row r="342" spans="1:171">
      <c r="A342" s="2305" t="s">
        <v>505</v>
      </c>
      <c r="B342" s="2686"/>
      <c r="G342" s="2686"/>
      <c r="H342" s="3385">
        <f>H339+H340-H341</f>
        <v>1702818677.006722</v>
      </c>
      <c r="I342" s="2686"/>
      <c r="J342" s="2686"/>
      <c r="K342" s="3205"/>
      <c r="P342" s="3265">
        <f>P339+P340-P341</f>
        <v>1865929169.6450536</v>
      </c>
      <c r="S342" s="3264"/>
      <c r="X342" s="3265">
        <f>X339+X340-X341</f>
        <v>1865929169.6450536</v>
      </c>
      <c r="AA342" s="3264"/>
      <c r="AF342" s="3265">
        <f>AF339+AF340-AF341</f>
        <v>1865929169.6450536</v>
      </c>
      <c r="AI342" s="3264"/>
      <c r="AN342" s="3265">
        <f>AN339+AN340-AN341</f>
        <v>1865929169.6450536</v>
      </c>
      <c r="AQ342" s="3264"/>
      <c r="AV342" s="3265">
        <f>AV339+AV340-AV341</f>
        <v>1865929169.6450536</v>
      </c>
      <c r="AY342" s="3264"/>
      <c r="BD342" s="3265">
        <f>BD339+BD340-BD341</f>
        <v>1865929169.6450536</v>
      </c>
      <c r="BG342" s="3264"/>
      <c r="BL342" s="3265">
        <f>BL339+BL340-BL341</f>
        <v>1865929169.6450536</v>
      </c>
      <c r="BO342" s="3264"/>
      <c r="BT342" s="3265">
        <f>BT339+BT340-BT341</f>
        <v>1865929169.6450536</v>
      </c>
      <c r="BW342" s="3264"/>
      <c r="CB342" s="3265">
        <f>CB339+CB340-CB341</f>
        <v>1865929169.6450536</v>
      </c>
      <c r="CE342" s="3264"/>
      <c r="CJ342" s="3265">
        <f>CJ339+CJ340-CJ341</f>
        <v>1865929169.6450536</v>
      </c>
      <c r="CM342" s="3264"/>
      <c r="CR342" s="3265">
        <f>CR339+CR340-CR341</f>
        <v>1865929169.6450536</v>
      </c>
      <c r="CU342" s="3264"/>
      <c r="CZ342" s="3265">
        <f>CZ339+CZ340-CZ341</f>
        <v>1865929169.6450536</v>
      </c>
      <c r="DC342" s="3264"/>
      <c r="DH342" s="3265">
        <f>DH339+DH340-DH341</f>
        <v>1865929169.6450536</v>
      </c>
      <c r="DK342" s="3264"/>
      <c r="DP342" s="3265">
        <f>DP339+DP340-DP341</f>
        <v>1865929169.6450536</v>
      </c>
      <c r="DS342" s="3264"/>
      <c r="DX342" s="3265">
        <f>DX339+DX340-DX341</f>
        <v>1865929169.6450536</v>
      </c>
      <c r="EA342" s="3264"/>
      <c r="EF342" s="3265">
        <f>EF339+EF340-EF341</f>
        <v>1865929169.6450536</v>
      </c>
      <c r="EI342" s="3264"/>
      <c r="EN342" s="3265">
        <f>EN339+EN340-EN341</f>
        <v>1865929169.6450536</v>
      </c>
      <c r="EQ342" s="3264"/>
      <c r="EV342" s="3265">
        <f>EV339+EV340-EV341</f>
        <v>1865929169.6450536</v>
      </c>
      <c r="EY342" s="3264"/>
      <c r="FD342" s="3265">
        <f>FD339+FD340-FD341</f>
        <v>1865929169.6450536</v>
      </c>
      <c r="FG342" s="3264"/>
      <c r="FL342" s="3265">
        <f>FL339+FL340-FL341</f>
        <v>1865929169.6450536</v>
      </c>
      <c r="FO342" s="3264"/>
    </row>
    <row r="343" spans="1:171" ht="12" thickBot="1">
      <c r="A343" s="3386"/>
      <c r="B343" s="2686"/>
      <c r="G343" s="2686"/>
      <c r="H343" s="2746"/>
      <c r="I343" s="2686"/>
      <c r="J343" s="2686"/>
      <c r="K343" s="3205"/>
      <c r="S343" s="3264"/>
      <c r="AA343" s="3264"/>
      <c r="AI343" s="3264"/>
      <c r="AQ343" s="3264"/>
      <c r="AY343" s="3264"/>
      <c r="BG343" s="3264"/>
      <c r="BO343" s="3264"/>
      <c r="BW343" s="3264"/>
      <c r="CE343" s="3264"/>
      <c r="CM343" s="3264"/>
      <c r="CU343" s="3264"/>
      <c r="DC343" s="3264"/>
      <c r="DK343" s="3264"/>
      <c r="DS343" s="3264"/>
      <c r="EA343" s="3264"/>
      <c r="EI343" s="3264"/>
      <c r="EQ343" s="3264"/>
      <c r="EY343" s="3264"/>
      <c r="FG343" s="3264"/>
      <c r="FO343" s="3264"/>
    </row>
    <row r="344" spans="1:171" ht="12.75" thickTop="1" thickBot="1">
      <c r="A344" s="3387" t="s">
        <v>506</v>
      </c>
      <c r="B344" s="3388"/>
      <c r="G344" s="2686"/>
      <c r="H344" s="2746"/>
      <c r="I344" s="2686"/>
      <c r="J344" s="2686"/>
      <c r="K344" s="3205"/>
      <c r="S344" s="3264"/>
      <c r="AA344" s="3264"/>
      <c r="AI344" s="3264"/>
      <c r="AQ344" s="3264"/>
      <c r="AY344" s="3264"/>
      <c r="BG344" s="3264"/>
      <c r="BO344" s="3264"/>
      <c r="BW344" s="3264"/>
      <c r="CE344" s="3264"/>
      <c r="CM344" s="3264"/>
      <c r="CU344" s="3264"/>
      <c r="DC344" s="3264"/>
      <c r="DK344" s="3264"/>
      <c r="DS344" s="3264"/>
      <c r="EA344" s="3264"/>
      <c r="EI344" s="3264"/>
      <c r="EQ344" s="3264"/>
      <c r="EY344" s="3264"/>
      <c r="FG344" s="3264"/>
      <c r="FO344" s="3264"/>
    </row>
    <row r="345" spans="1:171" ht="12" thickTop="1">
      <c r="A345" s="2306" t="s">
        <v>318</v>
      </c>
      <c r="B345" s="2686"/>
      <c r="G345" s="2686"/>
      <c r="H345" s="3389">
        <f>'Sch 4 - Average System Cost'!$D$39</f>
        <v>21165762</v>
      </c>
      <c r="I345" s="2686"/>
      <c r="J345" s="2686"/>
      <c r="K345" s="3205"/>
      <c r="P345" s="3389">
        <f>$H$345</f>
        <v>21165762</v>
      </c>
      <c r="Q345" s="2686"/>
      <c r="R345" s="2686"/>
      <c r="S345" s="3205"/>
      <c r="X345" s="3389">
        <f>$H$345</f>
        <v>21165762</v>
      </c>
      <c r="Y345" s="2686"/>
      <c r="Z345" s="2686"/>
      <c r="AA345" s="3205"/>
      <c r="AF345" s="3389">
        <f>$H$345</f>
        <v>21165762</v>
      </c>
      <c r="AG345" s="2686"/>
      <c r="AH345" s="2686"/>
      <c r="AI345" s="3205"/>
      <c r="AN345" s="3389">
        <f>$H$345</f>
        <v>21165762</v>
      </c>
      <c r="AO345" s="2686"/>
      <c r="AP345" s="2686"/>
      <c r="AQ345" s="3205"/>
      <c r="AV345" s="3389">
        <f>$H$345</f>
        <v>21165762</v>
      </c>
      <c r="AW345" s="2686"/>
      <c r="AX345" s="2686"/>
      <c r="AY345" s="3205"/>
      <c r="BD345" s="3389">
        <f>$H$345</f>
        <v>21165762</v>
      </c>
      <c r="BE345" s="2686"/>
      <c r="BF345" s="2686"/>
      <c r="BG345" s="3205"/>
      <c r="BL345" s="3389">
        <f>$H$345</f>
        <v>21165762</v>
      </c>
      <c r="BM345" s="2686"/>
      <c r="BN345" s="2686"/>
      <c r="BO345" s="3205"/>
      <c r="BT345" s="3389">
        <f>$H$345</f>
        <v>21165762</v>
      </c>
      <c r="BU345" s="2686"/>
      <c r="BV345" s="2686"/>
      <c r="BW345" s="3205"/>
      <c r="CB345" s="3389">
        <f>$H$345</f>
        <v>21165762</v>
      </c>
      <c r="CC345" s="2686"/>
      <c r="CD345" s="2686"/>
      <c r="CE345" s="3205"/>
      <c r="CJ345" s="3389">
        <f>$H$345</f>
        <v>21165762</v>
      </c>
      <c r="CK345" s="2686"/>
      <c r="CL345" s="2686"/>
      <c r="CM345" s="3205"/>
      <c r="CR345" s="3389">
        <f>$H$345</f>
        <v>21165762</v>
      </c>
      <c r="CS345" s="2686"/>
      <c r="CT345" s="2686"/>
      <c r="CU345" s="3205"/>
      <c r="CZ345" s="3389">
        <f>$H$345</f>
        <v>21165762</v>
      </c>
      <c r="DA345" s="2686"/>
      <c r="DB345" s="2686"/>
      <c r="DC345" s="3205"/>
      <c r="DH345" s="3389">
        <f>$H$345</f>
        <v>21165762</v>
      </c>
      <c r="DI345" s="2686"/>
      <c r="DJ345" s="2686"/>
      <c r="DK345" s="3205"/>
      <c r="DP345" s="3389">
        <f>$H$345</f>
        <v>21165762</v>
      </c>
      <c r="DQ345" s="2686"/>
      <c r="DR345" s="2686"/>
      <c r="DS345" s="3205"/>
      <c r="DX345" s="3389">
        <f>$H$345</f>
        <v>21165762</v>
      </c>
      <c r="DY345" s="2686"/>
      <c r="DZ345" s="2686"/>
      <c r="EA345" s="3205"/>
      <c r="EF345" s="3389">
        <f>$H$345</f>
        <v>21165762</v>
      </c>
      <c r="EG345" s="2686"/>
      <c r="EH345" s="2686"/>
      <c r="EI345" s="3205"/>
      <c r="EN345" s="3389">
        <f>$H$345</f>
        <v>21165762</v>
      </c>
      <c r="EO345" s="2686"/>
      <c r="EP345" s="2686"/>
      <c r="EQ345" s="3205"/>
      <c r="EV345" s="3389">
        <f>$H$345</f>
        <v>21165762</v>
      </c>
      <c r="EW345" s="2686"/>
      <c r="EX345" s="2686"/>
      <c r="EY345" s="3205"/>
      <c r="FD345" s="3389">
        <f>$H$345</f>
        <v>21165762</v>
      </c>
      <c r="FE345" s="2686"/>
      <c r="FF345" s="2686"/>
      <c r="FG345" s="3205"/>
      <c r="FL345" s="3389">
        <f>$H$345</f>
        <v>21165762</v>
      </c>
      <c r="FM345" s="2686"/>
      <c r="FN345" s="2686"/>
      <c r="FO345" s="3205"/>
    </row>
    <row r="346" spans="1:171">
      <c r="A346" s="2306" t="s">
        <v>319</v>
      </c>
      <c r="B346" s="2686"/>
      <c r="G346" s="2686"/>
      <c r="H346" s="3389">
        <f>'Sch 4 - Average System Cost'!$D$40+'Sch 4 - Average System Cost'!$D$43</f>
        <v>0</v>
      </c>
      <c r="I346" s="3390" t="s">
        <v>623</v>
      </c>
      <c r="J346" s="3389">
        <v>0</v>
      </c>
      <c r="K346" s="3205"/>
      <c r="P346" s="3389">
        <f>$H$346</f>
        <v>0</v>
      </c>
      <c r="Q346" s="3390" t="s">
        <v>623</v>
      </c>
      <c r="R346" s="3389">
        <v>0</v>
      </c>
      <c r="S346" s="3205"/>
      <c r="X346" s="3389">
        <f>$H$346</f>
        <v>0</v>
      </c>
      <c r="Y346" s="3390" t="s">
        <v>623</v>
      </c>
      <c r="Z346" s="3389">
        <v>0</v>
      </c>
      <c r="AA346" s="3205"/>
      <c r="AF346" s="3389">
        <f>$H$346</f>
        <v>0</v>
      </c>
      <c r="AG346" s="3390" t="s">
        <v>623</v>
      </c>
      <c r="AH346" s="3389">
        <v>0</v>
      </c>
      <c r="AI346" s="3205"/>
      <c r="AN346" s="3389">
        <f>$H$346</f>
        <v>0</v>
      </c>
      <c r="AO346" s="3390" t="s">
        <v>623</v>
      </c>
      <c r="AP346" s="3389">
        <v>0</v>
      </c>
      <c r="AQ346" s="3205"/>
      <c r="AV346" s="3389">
        <f>$H$346</f>
        <v>0</v>
      </c>
      <c r="AW346" s="3390" t="s">
        <v>623</v>
      </c>
      <c r="AX346" s="3389">
        <v>0</v>
      </c>
      <c r="AY346" s="3205"/>
      <c r="BD346" s="3389">
        <f>$H$346</f>
        <v>0</v>
      </c>
      <c r="BE346" s="3390" t="s">
        <v>623</v>
      </c>
      <c r="BF346" s="3389">
        <v>0</v>
      </c>
      <c r="BG346" s="3205"/>
      <c r="BL346" s="3389">
        <f>$H$346</f>
        <v>0</v>
      </c>
      <c r="BM346" s="3390" t="s">
        <v>623</v>
      </c>
      <c r="BN346" s="3389">
        <v>0</v>
      </c>
      <c r="BO346" s="3205"/>
      <c r="BT346" s="3389">
        <f>$H$346</f>
        <v>0</v>
      </c>
      <c r="BU346" s="3390" t="s">
        <v>623</v>
      </c>
      <c r="BV346" s="3389">
        <v>0</v>
      </c>
      <c r="BW346" s="3205"/>
      <c r="CB346" s="3389">
        <f>$H$346</f>
        <v>0</v>
      </c>
      <c r="CC346" s="3390" t="s">
        <v>623</v>
      </c>
      <c r="CD346" s="3389">
        <v>0</v>
      </c>
      <c r="CE346" s="3205"/>
      <c r="CJ346" s="3389">
        <f>$H$346</f>
        <v>0</v>
      </c>
      <c r="CK346" s="3390" t="s">
        <v>623</v>
      </c>
      <c r="CL346" s="3389">
        <v>0</v>
      </c>
      <c r="CM346" s="3205"/>
      <c r="CR346" s="3389">
        <f>$H$346</f>
        <v>0</v>
      </c>
      <c r="CS346" s="3390" t="s">
        <v>623</v>
      </c>
      <c r="CT346" s="3389">
        <v>0</v>
      </c>
      <c r="CU346" s="3205"/>
      <c r="CZ346" s="3389">
        <f>$H$346</f>
        <v>0</v>
      </c>
      <c r="DA346" s="3390" t="s">
        <v>623</v>
      </c>
      <c r="DB346" s="3389">
        <v>0</v>
      </c>
      <c r="DC346" s="3205"/>
      <c r="DH346" s="3389">
        <f>$H$346</f>
        <v>0</v>
      </c>
      <c r="DI346" s="3390" t="s">
        <v>623</v>
      </c>
      <c r="DJ346" s="3389">
        <v>0</v>
      </c>
      <c r="DK346" s="3205"/>
      <c r="DP346" s="3389">
        <f>$H$346</f>
        <v>0</v>
      </c>
      <c r="DQ346" s="3390" t="s">
        <v>623</v>
      </c>
      <c r="DR346" s="3389">
        <v>0</v>
      </c>
      <c r="DS346" s="3205"/>
      <c r="DX346" s="3389">
        <f>$H$346</f>
        <v>0</v>
      </c>
      <c r="DY346" s="3390" t="s">
        <v>623</v>
      </c>
      <c r="DZ346" s="3389">
        <v>0</v>
      </c>
      <c r="EA346" s="3205"/>
      <c r="EF346" s="3389">
        <f>$H$346</f>
        <v>0</v>
      </c>
      <c r="EG346" s="3390" t="s">
        <v>623</v>
      </c>
      <c r="EH346" s="3389">
        <v>0</v>
      </c>
      <c r="EI346" s="3205"/>
      <c r="EN346" s="3389">
        <f>$H$346</f>
        <v>0</v>
      </c>
      <c r="EO346" s="3390" t="s">
        <v>623</v>
      </c>
      <c r="EP346" s="3389">
        <v>0</v>
      </c>
      <c r="EQ346" s="3205"/>
      <c r="EV346" s="3389">
        <f>$H$346</f>
        <v>0</v>
      </c>
      <c r="EW346" s="3390" t="s">
        <v>623</v>
      </c>
      <c r="EX346" s="3389">
        <v>0</v>
      </c>
      <c r="EY346" s="3205"/>
      <c r="FD346" s="3389">
        <f>$H$346</f>
        <v>0</v>
      </c>
      <c r="FE346" s="3390" t="s">
        <v>623</v>
      </c>
      <c r="FF346" s="3389">
        <v>0</v>
      </c>
      <c r="FG346" s="3205"/>
      <c r="FL346" s="3389">
        <f>$H$346</f>
        <v>0</v>
      </c>
      <c r="FM346" s="3390" t="s">
        <v>623</v>
      </c>
      <c r="FN346" s="3389">
        <v>0</v>
      </c>
      <c r="FO346" s="3205"/>
    </row>
    <row r="347" spans="1:171">
      <c r="A347" s="2306" t="s">
        <v>509</v>
      </c>
      <c r="B347" s="2686"/>
      <c r="F347" s="507"/>
      <c r="G347" s="2686"/>
      <c r="H347" s="3391">
        <f>H345-H346</f>
        <v>21165762</v>
      </c>
      <c r="I347" s="2686"/>
      <c r="J347" s="2686"/>
      <c r="K347" s="3205"/>
      <c r="P347" s="3391">
        <f>P345-P346</f>
        <v>21165762</v>
      </c>
      <c r="Q347" s="2686"/>
      <c r="R347" s="2686"/>
      <c r="S347" s="3205"/>
      <c r="X347" s="3391">
        <f>X345-X346</f>
        <v>21165762</v>
      </c>
      <c r="Y347" s="2686"/>
      <c r="Z347" s="2686"/>
      <c r="AA347" s="3205"/>
      <c r="AF347" s="3391">
        <f>AF345-AF346</f>
        <v>21165762</v>
      </c>
      <c r="AG347" s="2686"/>
      <c r="AH347" s="2686"/>
      <c r="AI347" s="3205"/>
      <c r="AN347" s="3391">
        <f>AN345-AN346</f>
        <v>21165762</v>
      </c>
      <c r="AO347" s="2686"/>
      <c r="AP347" s="2686"/>
      <c r="AQ347" s="3205"/>
      <c r="AV347" s="3391">
        <f>AV345-AV346</f>
        <v>21165762</v>
      </c>
      <c r="AW347" s="2686"/>
      <c r="AX347" s="2686"/>
      <c r="AY347" s="3205"/>
      <c r="BD347" s="3391">
        <f>BD345-BD346</f>
        <v>21165762</v>
      </c>
      <c r="BE347" s="2686"/>
      <c r="BF347" s="2686"/>
      <c r="BG347" s="3205"/>
      <c r="BL347" s="3391">
        <f>BL345-BL346</f>
        <v>21165762</v>
      </c>
      <c r="BM347" s="2686"/>
      <c r="BN347" s="2686"/>
      <c r="BO347" s="3205"/>
      <c r="BT347" s="3391">
        <f>BT345-BT346</f>
        <v>21165762</v>
      </c>
      <c r="BU347" s="2686"/>
      <c r="BV347" s="2686"/>
      <c r="BW347" s="3205"/>
      <c r="CB347" s="3391">
        <f>CB345-CB346</f>
        <v>21165762</v>
      </c>
      <c r="CC347" s="2686"/>
      <c r="CD347" s="2686"/>
      <c r="CE347" s="3205"/>
      <c r="CJ347" s="3391">
        <f>CJ345-CJ346</f>
        <v>21165762</v>
      </c>
      <c r="CK347" s="2686"/>
      <c r="CL347" s="2686"/>
      <c r="CM347" s="3205"/>
      <c r="CR347" s="3391">
        <f>CR345-CR346</f>
        <v>21165762</v>
      </c>
      <c r="CS347" s="2686"/>
      <c r="CT347" s="2686"/>
      <c r="CU347" s="3205"/>
      <c r="CZ347" s="3391">
        <f>CZ345-CZ346</f>
        <v>21165762</v>
      </c>
      <c r="DA347" s="2686"/>
      <c r="DB347" s="2686"/>
      <c r="DC347" s="3205"/>
      <c r="DH347" s="3391">
        <f>DH345-DH346</f>
        <v>21165762</v>
      </c>
      <c r="DI347" s="2686"/>
      <c r="DJ347" s="2686"/>
      <c r="DK347" s="3205"/>
      <c r="DP347" s="3391">
        <f>DP345-DP346</f>
        <v>21165762</v>
      </c>
      <c r="DQ347" s="2686"/>
      <c r="DR347" s="2686"/>
      <c r="DS347" s="3205"/>
      <c r="DX347" s="3391">
        <f>DX345-DX346</f>
        <v>21165762</v>
      </c>
      <c r="DY347" s="2686"/>
      <c r="DZ347" s="2686"/>
      <c r="EA347" s="3205"/>
      <c r="EF347" s="3391">
        <f>EF345-EF346</f>
        <v>21165762</v>
      </c>
      <c r="EG347" s="2686"/>
      <c r="EH347" s="2686"/>
      <c r="EI347" s="3205"/>
      <c r="EN347" s="3391">
        <f>EN345-EN346</f>
        <v>21165762</v>
      </c>
      <c r="EO347" s="2686"/>
      <c r="EP347" s="2686"/>
      <c r="EQ347" s="3205"/>
      <c r="EV347" s="3391">
        <f>EV345-EV346</f>
        <v>21165762</v>
      </c>
      <c r="EW347" s="2686"/>
      <c r="EX347" s="2686"/>
      <c r="EY347" s="3205"/>
      <c r="FD347" s="3391">
        <f>FD345-FD346</f>
        <v>21165762</v>
      </c>
      <c r="FE347" s="2686"/>
      <c r="FF347" s="2686"/>
      <c r="FG347" s="3205"/>
      <c r="FL347" s="3391">
        <f>FL345-FL346</f>
        <v>21165762</v>
      </c>
      <c r="FM347" s="2686"/>
      <c r="FN347" s="2686"/>
      <c r="FO347" s="3205"/>
    </row>
    <row r="348" spans="1:171">
      <c r="A348" s="2306" t="s">
        <v>624</v>
      </c>
      <c r="B348" s="2686"/>
      <c r="G348" s="2686"/>
      <c r="H348" s="3389">
        <f>'Sch 4 - Average System Cost'!$D$42</f>
        <v>982091.35679999995</v>
      </c>
      <c r="I348" s="2686"/>
      <c r="J348" s="2686"/>
      <c r="K348" s="3205"/>
      <c r="P348" s="3392">
        <f>$H$348</f>
        <v>982091.35679999995</v>
      </c>
      <c r="Q348" s="2686"/>
      <c r="R348" s="2686"/>
      <c r="S348" s="3205"/>
      <c r="X348" s="3392">
        <f>$H$348</f>
        <v>982091.35679999995</v>
      </c>
      <c r="Y348" s="2686"/>
      <c r="Z348" s="2686"/>
      <c r="AA348" s="3205"/>
      <c r="AF348" s="3392">
        <f>$H$348</f>
        <v>982091.35679999995</v>
      </c>
      <c r="AG348" s="2686"/>
      <c r="AH348" s="2686"/>
      <c r="AI348" s="3205"/>
      <c r="AN348" s="3392">
        <f>$H$348</f>
        <v>982091.35679999995</v>
      </c>
      <c r="AO348" s="2686"/>
      <c r="AP348" s="2686"/>
      <c r="AQ348" s="3205"/>
      <c r="AV348" s="3392">
        <f>$H$348</f>
        <v>982091.35679999995</v>
      </c>
      <c r="AW348" s="2686"/>
      <c r="AX348" s="2686"/>
      <c r="AY348" s="3205"/>
      <c r="BD348" s="3392">
        <f>$H$348</f>
        <v>982091.35679999995</v>
      </c>
      <c r="BE348" s="2686"/>
      <c r="BF348" s="2686"/>
      <c r="BG348" s="3205"/>
      <c r="BL348" s="3392">
        <f>$H$348</f>
        <v>982091.35679999995</v>
      </c>
      <c r="BM348" s="2686"/>
      <c r="BN348" s="2686"/>
      <c r="BO348" s="3205"/>
      <c r="BT348" s="3392">
        <f>$H$348</f>
        <v>982091.35679999995</v>
      </c>
      <c r="BU348" s="2686"/>
      <c r="BV348" s="2686"/>
      <c r="BW348" s="3205"/>
      <c r="CB348" s="3392">
        <f>$H$348</f>
        <v>982091.35679999995</v>
      </c>
      <c r="CC348" s="2686"/>
      <c r="CD348" s="2686"/>
      <c r="CE348" s="3205"/>
      <c r="CJ348" s="3392">
        <f>$H$348</f>
        <v>982091.35679999995</v>
      </c>
      <c r="CK348" s="2686"/>
      <c r="CL348" s="2686"/>
      <c r="CM348" s="3205"/>
      <c r="CR348" s="3392">
        <f>$H$348</f>
        <v>982091.35679999995</v>
      </c>
      <c r="CS348" s="2686"/>
      <c r="CT348" s="2686"/>
      <c r="CU348" s="3205"/>
      <c r="CZ348" s="3392">
        <f>$H$348</f>
        <v>982091.35679999995</v>
      </c>
      <c r="DA348" s="2686"/>
      <c r="DB348" s="2686"/>
      <c r="DC348" s="3205"/>
      <c r="DH348" s="3392">
        <f>$H$348</f>
        <v>982091.35679999995</v>
      </c>
      <c r="DI348" s="2686"/>
      <c r="DJ348" s="2686"/>
      <c r="DK348" s="3205"/>
      <c r="DP348" s="3392">
        <f>$H$348</f>
        <v>982091.35679999995</v>
      </c>
      <c r="DQ348" s="2686"/>
      <c r="DR348" s="2686"/>
      <c r="DS348" s="3205"/>
      <c r="DX348" s="3392">
        <f>$H$348</f>
        <v>982091.35679999995</v>
      </c>
      <c r="DY348" s="2686"/>
      <c r="DZ348" s="2686"/>
      <c r="EA348" s="3205"/>
      <c r="EF348" s="3392">
        <f>$H$348</f>
        <v>982091.35679999995</v>
      </c>
      <c r="EG348" s="2686"/>
      <c r="EH348" s="2686"/>
      <c r="EI348" s="3205"/>
      <c r="EN348" s="3392">
        <f>$H$348</f>
        <v>982091.35679999995</v>
      </c>
      <c r="EO348" s="2686"/>
      <c r="EP348" s="2686"/>
      <c r="EQ348" s="3205"/>
      <c r="EV348" s="3392">
        <f>$H$348</f>
        <v>982091.35679999995</v>
      </c>
      <c r="EW348" s="2686"/>
      <c r="EX348" s="2686"/>
      <c r="EY348" s="3205"/>
      <c r="FD348" s="3392">
        <f>$H$348</f>
        <v>982091.35679999995</v>
      </c>
      <c r="FE348" s="2686"/>
      <c r="FF348" s="2686"/>
      <c r="FG348" s="3205"/>
      <c r="FL348" s="3392">
        <f>$H$348</f>
        <v>982091.35679999995</v>
      </c>
      <c r="FM348" s="2686"/>
      <c r="FN348" s="2686"/>
      <c r="FO348" s="3205"/>
    </row>
    <row r="349" spans="1:171">
      <c r="A349" s="2305" t="s">
        <v>507</v>
      </c>
      <c r="B349" s="2686"/>
      <c r="G349" s="2686"/>
      <c r="H349" s="3393">
        <f>H347+H348</f>
        <v>22147853.356800001</v>
      </c>
      <c r="I349" s="2686"/>
      <c r="J349" s="2686"/>
      <c r="K349" s="3205"/>
      <c r="P349" s="3393">
        <f>P347+P348</f>
        <v>22147853.356800001</v>
      </c>
      <c r="Q349" s="2686"/>
      <c r="R349" s="2686"/>
      <c r="S349" s="3205"/>
      <c r="X349" s="3393">
        <f>X347+X348</f>
        <v>22147853.356800001</v>
      </c>
      <c r="Y349" s="2686"/>
      <c r="Z349" s="2686"/>
      <c r="AA349" s="3205"/>
      <c r="AF349" s="3393">
        <f>AF347+AF348</f>
        <v>22147853.356800001</v>
      </c>
      <c r="AG349" s="2686"/>
      <c r="AH349" s="2686"/>
      <c r="AI349" s="3205"/>
      <c r="AN349" s="3393">
        <f>AN347+AN348</f>
        <v>22147853.356800001</v>
      </c>
      <c r="AO349" s="2686"/>
      <c r="AP349" s="2686"/>
      <c r="AQ349" s="3205"/>
      <c r="AV349" s="3393">
        <f>AV347+AV348</f>
        <v>22147853.356800001</v>
      </c>
      <c r="AW349" s="2686"/>
      <c r="AX349" s="2686"/>
      <c r="AY349" s="3205"/>
      <c r="BD349" s="3393">
        <f>BD347+BD348</f>
        <v>22147853.356800001</v>
      </c>
      <c r="BE349" s="2686"/>
      <c r="BF349" s="2686"/>
      <c r="BG349" s="3205"/>
      <c r="BL349" s="3393">
        <f>BL347+BL348</f>
        <v>22147853.356800001</v>
      </c>
      <c r="BM349" s="2686"/>
      <c r="BN349" s="2686"/>
      <c r="BO349" s="3205"/>
      <c r="BT349" s="3393">
        <f>BT347+BT348</f>
        <v>22147853.356800001</v>
      </c>
      <c r="BU349" s="2686"/>
      <c r="BV349" s="2686"/>
      <c r="BW349" s="3205"/>
      <c r="CB349" s="3393">
        <f>CB347+CB348</f>
        <v>22147853.356800001</v>
      </c>
      <c r="CC349" s="2686"/>
      <c r="CD349" s="2686"/>
      <c r="CE349" s="3205"/>
      <c r="CJ349" s="3393">
        <f>CJ347+CJ348</f>
        <v>22147853.356800001</v>
      </c>
      <c r="CK349" s="2686"/>
      <c r="CL349" s="2686"/>
      <c r="CM349" s="3205"/>
      <c r="CR349" s="3393">
        <f>CR347+CR348</f>
        <v>22147853.356800001</v>
      </c>
      <c r="CS349" s="2686"/>
      <c r="CT349" s="2686"/>
      <c r="CU349" s="3205"/>
      <c r="CZ349" s="3393">
        <f>CZ347+CZ348</f>
        <v>22147853.356800001</v>
      </c>
      <c r="DA349" s="2686"/>
      <c r="DB349" s="2686"/>
      <c r="DC349" s="3205"/>
      <c r="DH349" s="3393">
        <f>DH347+DH348</f>
        <v>22147853.356800001</v>
      </c>
      <c r="DI349" s="2686"/>
      <c r="DJ349" s="2686"/>
      <c r="DK349" s="3205"/>
      <c r="DP349" s="3393">
        <f>DP347+DP348</f>
        <v>22147853.356800001</v>
      </c>
      <c r="DQ349" s="2686"/>
      <c r="DR349" s="2686"/>
      <c r="DS349" s="3205"/>
      <c r="DX349" s="3393">
        <f>DX347+DX348</f>
        <v>22147853.356800001</v>
      </c>
      <c r="DY349" s="2686"/>
      <c r="DZ349" s="2686"/>
      <c r="EA349" s="3205"/>
      <c r="EF349" s="3393">
        <f>EF347+EF348</f>
        <v>22147853.356800001</v>
      </c>
      <c r="EG349" s="2686"/>
      <c r="EH349" s="2686"/>
      <c r="EI349" s="3205"/>
      <c r="EN349" s="3393">
        <f>EN347+EN348</f>
        <v>22147853.356800001</v>
      </c>
      <c r="EO349" s="2686"/>
      <c r="EP349" s="2686"/>
      <c r="EQ349" s="3205"/>
      <c r="EV349" s="3393">
        <f>EV347+EV348</f>
        <v>22147853.356800001</v>
      </c>
      <c r="EW349" s="2686"/>
      <c r="EX349" s="2686"/>
      <c r="EY349" s="3205"/>
      <c r="FD349" s="3393">
        <f>FD347+FD348</f>
        <v>22147853.356800001</v>
      </c>
      <c r="FE349" s="2686"/>
      <c r="FF349" s="2686"/>
      <c r="FG349" s="3205"/>
      <c r="FL349" s="3393">
        <f>FL347+FL348</f>
        <v>22147853.356800001</v>
      </c>
      <c r="FM349" s="2686"/>
      <c r="FN349" s="2686"/>
      <c r="FO349" s="3205"/>
    </row>
    <row r="350" spans="1:171" ht="12" thickBot="1">
      <c r="A350" s="2306"/>
      <c r="B350" s="2686"/>
      <c r="G350" s="2686"/>
      <c r="H350" s="2119"/>
      <c r="I350" s="2686"/>
      <c r="J350" s="2686"/>
      <c r="K350" s="3205"/>
      <c r="P350" s="2119"/>
      <c r="Q350" s="2686"/>
      <c r="R350" s="2686"/>
      <c r="S350" s="3205"/>
      <c r="X350" s="2119"/>
      <c r="Y350" s="2686"/>
      <c r="Z350" s="2686"/>
      <c r="AA350" s="3205"/>
      <c r="AF350" s="2119"/>
      <c r="AG350" s="2686"/>
      <c r="AH350" s="2686"/>
      <c r="AI350" s="3205"/>
      <c r="AN350" s="2119"/>
      <c r="AO350" s="2686"/>
      <c r="AP350" s="2686"/>
      <c r="AQ350" s="3205"/>
      <c r="AV350" s="2119"/>
      <c r="AW350" s="2686"/>
      <c r="AX350" s="2686"/>
      <c r="AY350" s="3205"/>
      <c r="BD350" s="2119"/>
      <c r="BE350" s="2686"/>
      <c r="BF350" s="2686"/>
      <c r="BG350" s="3205"/>
      <c r="BL350" s="2119"/>
      <c r="BM350" s="2686"/>
      <c r="BN350" s="2686"/>
      <c r="BO350" s="3205"/>
      <c r="BT350" s="2119"/>
      <c r="BU350" s="2686"/>
      <c r="BV350" s="2686"/>
      <c r="BW350" s="3205"/>
      <c r="CB350" s="2119"/>
      <c r="CC350" s="2686"/>
      <c r="CD350" s="2686"/>
      <c r="CE350" s="3205"/>
      <c r="CJ350" s="2119"/>
      <c r="CK350" s="2686"/>
      <c r="CL350" s="2686"/>
      <c r="CM350" s="3205"/>
      <c r="CR350" s="2119"/>
      <c r="CS350" s="2686"/>
      <c r="CT350" s="2686"/>
      <c r="CU350" s="3205"/>
      <c r="CZ350" s="2119"/>
      <c r="DA350" s="2686"/>
      <c r="DB350" s="2686"/>
      <c r="DC350" s="3205"/>
      <c r="DH350" s="2119"/>
      <c r="DI350" s="2686"/>
      <c r="DJ350" s="2686"/>
      <c r="DK350" s="3205"/>
      <c r="DP350" s="2119"/>
      <c r="DQ350" s="2686"/>
      <c r="DR350" s="2686"/>
      <c r="DS350" s="3205"/>
      <c r="DX350" s="2119"/>
      <c r="DY350" s="2686"/>
      <c r="DZ350" s="2686"/>
      <c r="EA350" s="3205"/>
      <c r="EF350" s="2119"/>
      <c r="EG350" s="2686"/>
      <c r="EH350" s="2686"/>
      <c r="EI350" s="3205"/>
      <c r="EN350" s="2119"/>
      <c r="EO350" s="2686"/>
      <c r="EP350" s="2686"/>
      <c r="EQ350" s="3205"/>
      <c r="EV350" s="2119"/>
      <c r="EW350" s="2686"/>
      <c r="EX350" s="2686"/>
      <c r="EY350" s="3205"/>
      <c r="FD350" s="2119"/>
      <c r="FE350" s="2686"/>
      <c r="FF350" s="2686"/>
      <c r="FG350" s="3205"/>
      <c r="FL350" s="2119"/>
      <c r="FM350" s="2686"/>
      <c r="FN350" s="2686"/>
      <c r="FO350" s="3205"/>
    </row>
    <row r="351" spans="1:171" ht="12.75" thickTop="1" thickBot="1">
      <c r="A351" s="3387" t="s">
        <v>320</v>
      </c>
      <c r="B351" s="3388"/>
      <c r="G351" s="2686"/>
      <c r="H351" s="3394">
        <f>H342/H349</f>
        <v>76.884140849881049</v>
      </c>
      <c r="I351" s="2686"/>
      <c r="J351" s="2686"/>
      <c r="K351" s="3205"/>
      <c r="L351" s="3395" t="s">
        <v>320</v>
      </c>
      <c r="P351" s="3396">
        <f>P342/P349</f>
        <v>84.248759443414045</v>
      </c>
      <c r="Q351" s="2686"/>
      <c r="R351" s="2686"/>
      <c r="S351" s="3205"/>
      <c r="T351" s="3395" t="s">
        <v>320</v>
      </c>
      <c r="X351" s="3396">
        <f>X342/X349</f>
        <v>84.248759443414045</v>
      </c>
      <c r="Y351" s="2686"/>
      <c r="Z351" s="2686"/>
      <c r="AA351" s="3205"/>
      <c r="AB351" s="3395" t="s">
        <v>320</v>
      </c>
      <c r="AF351" s="3396">
        <f>AF342/AF349</f>
        <v>84.248759443414045</v>
      </c>
      <c r="AG351" s="2686"/>
      <c r="AH351" s="2686"/>
      <c r="AI351" s="3205"/>
      <c r="AJ351" s="3395" t="s">
        <v>320</v>
      </c>
      <c r="AN351" s="3396">
        <f>AN342/AN349</f>
        <v>84.248759443414045</v>
      </c>
      <c r="AO351" s="2686"/>
      <c r="AP351" s="2686"/>
      <c r="AQ351" s="3205"/>
      <c r="AR351" s="3395" t="s">
        <v>320</v>
      </c>
      <c r="AV351" s="3396">
        <f>AV342/AV349</f>
        <v>84.248759443414045</v>
      </c>
      <c r="AW351" s="2686"/>
      <c r="AX351" s="2686"/>
      <c r="AY351" s="3205"/>
      <c r="AZ351" s="3395" t="s">
        <v>320</v>
      </c>
      <c r="BD351" s="3396">
        <f>BD342/BD349</f>
        <v>84.248759443414045</v>
      </c>
      <c r="BE351" s="2686"/>
      <c r="BF351" s="2686"/>
      <c r="BG351" s="3205"/>
      <c r="BH351" s="3395" t="s">
        <v>320</v>
      </c>
      <c r="BL351" s="3396">
        <f>BL342/BL349</f>
        <v>84.248759443414045</v>
      </c>
      <c r="BM351" s="2686"/>
      <c r="BN351" s="2686"/>
      <c r="BO351" s="3205"/>
      <c r="BP351" s="3395" t="s">
        <v>320</v>
      </c>
      <c r="BT351" s="3396">
        <f>BT342/BT349</f>
        <v>84.248759443414045</v>
      </c>
      <c r="BU351" s="2686"/>
      <c r="BV351" s="2686"/>
      <c r="BW351" s="3205"/>
      <c r="BX351" s="3395" t="s">
        <v>320</v>
      </c>
      <c r="CB351" s="3396">
        <f>CB342/CB349</f>
        <v>84.248759443414045</v>
      </c>
      <c r="CC351" s="2686"/>
      <c r="CD351" s="2686"/>
      <c r="CE351" s="3205"/>
      <c r="CF351" s="3395" t="s">
        <v>320</v>
      </c>
      <c r="CJ351" s="3396">
        <f>CJ342/CJ349</f>
        <v>84.248759443414045</v>
      </c>
      <c r="CK351" s="2686"/>
      <c r="CL351" s="2686"/>
      <c r="CM351" s="3205"/>
      <c r="CN351" s="3395" t="s">
        <v>320</v>
      </c>
      <c r="CO351" s="2771"/>
      <c r="CR351" s="3396">
        <f>CR342/CR349</f>
        <v>84.248759443414045</v>
      </c>
      <c r="CS351" s="2686"/>
      <c r="CT351" s="2686"/>
      <c r="CU351" s="3205"/>
      <c r="CV351" s="3395" t="s">
        <v>320</v>
      </c>
      <c r="CZ351" s="3396">
        <f>CZ342/CZ349</f>
        <v>84.248759443414045</v>
      </c>
      <c r="DA351" s="2686"/>
      <c r="DB351" s="2686"/>
      <c r="DC351" s="3205"/>
      <c r="DD351" s="3395" t="s">
        <v>320</v>
      </c>
      <c r="DH351" s="3396">
        <f>DH342/DH349</f>
        <v>84.248759443414045</v>
      </c>
      <c r="DI351" s="2686"/>
      <c r="DJ351" s="2686"/>
      <c r="DK351" s="3205"/>
      <c r="DL351" s="3395" t="s">
        <v>320</v>
      </c>
      <c r="DP351" s="3396">
        <f>DP342/DP349</f>
        <v>84.248759443414045</v>
      </c>
      <c r="DQ351" s="2686"/>
      <c r="DR351" s="2686"/>
      <c r="DS351" s="3205"/>
      <c r="DT351" s="3395" t="s">
        <v>320</v>
      </c>
      <c r="DX351" s="3396">
        <f>DX342/DX349</f>
        <v>84.248759443414045</v>
      </c>
      <c r="DY351" s="2686"/>
      <c r="DZ351" s="2686"/>
      <c r="EA351" s="3205"/>
      <c r="EB351" s="3395" t="s">
        <v>320</v>
      </c>
      <c r="EF351" s="3396">
        <f>EF342/EF349</f>
        <v>84.248759443414045</v>
      </c>
      <c r="EG351" s="2686"/>
      <c r="EH351" s="2686"/>
      <c r="EI351" s="3205"/>
      <c r="EJ351" s="3395" t="s">
        <v>320</v>
      </c>
      <c r="EN351" s="3396">
        <f>EN342/EN349</f>
        <v>84.248759443414045</v>
      </c>
      <c r="EO351" s="2686"/>
      <c r="EP351" s="2686"/>
      <c r="EQ351" s="3205"/>
      <c r="ER351" s="3395" t="s">
        <v>320</v>
      </c>
      <c r="EV351" s="3396">
        <f>EV342/EV349</f>
        <v>84.248759443414045</v>
      </c>
      <c r="EW351" s="2686"/>
      <c r="EX351" s="2686"/>
      <c r="EY351" s="3205"/>
      <c r="EZ351" s="3395" t="s">
        <v>320</v>
      </c>
      <c r="FD351" s="3396">
        <f>FD342/FD349</f>
        <v>84.248759443414045</v>
      </c>
      <c r="FE351" s="2686"/>
      <c r="FF351" s="2686"/>
      <c r="FG351" s="3205"/>
      <c r="FH351" s="3395" t="s">
        <v>320</v>
      </c>
      <c r="FL351" s="3396">
        <f>FL342/FL349</f>
        <v>84.248759443414045</v>
      </c>
      <c r="FM351" s="2686"/>
      <c r="FN351" s="2686"/>
      <c r="FO351" s="3205"/>
    </row>
    <row r="352" spans="1:171" ht="12.75" thickTop="1" thickBot="1">
      <c r="K352" s="3205"/>
      <c r="L352" s="3395" t="s">
        <v>673</v>
      </c>
      <c r="P352" s="3397">
        <f>(P351-$H351)/$H$351</f>
        <v>9.5788526894157122E-2</v>
      </c>
      <c r="S352" s="3205"/>
      <c r="T352" s="3395" t="s">
        <v>673</v>
      </c>
      <c r="X352" s="3397">
        <f>(X351-$H351)/$H$351</f>
        <v>9.5788526894157122E-2</v>
      </c>
      <c r="AA352" s="3205"/>
      <c r="AB352" s="3395" t="s">
        <v>673</v>
      </c>
      <c r="AF352" s="3397">
        <f>(AF351-$H351)/$H$351</f>
        <v>9.5788526894157122E-2</v>
      </c>
      <c r="AI352" s="3205"/>
      <c r="AJ352" s="3395" t="s">
        <v>673</v>
      </c>
      <c r="AN352" s="3397">
        <f>(AN351-$H351)/$H$351</f>
        <v>9.5788526894157122E-2</v>
      </c>
      <c r="AQ352" s="3205"/>
      <c r="AR352" s="3395" t="s">
        <v>673</v>
      </c>
      <c r="AV352" s="3397">
        <f>(AV351-$H351)/$H$351</f>
        <v>9.5788526894157122E-2</v>
      </c>
      <c r="AY352" s="3205"/>
      <c r="AZ352" s="3395" t="s">
        <v>673</v>
      </c>
      <c r="BD352" s="3397">
        <f>(BD351-$H351)/$H$351</f>
        <v>9.5788526894157122E-2</v>
      </c>
      <c r="BG352" s="3205"/>
      <c r="BH352" s="3395" t="s">
        <v>673</v>
      </c>
      <c r="BL352" s="3397">
        <f>(BL351-$H351)/$H$351</f>
        <v>9.5788526894157122E-2</v>
      </c>
      <c r="BO352" s="3205"/>
      <c r="BP352" s="3395" t="s">
        <v>673</v>
      </c>
      <c r="BT352" s="3397">
        <f>(BT351-$H351)/$H$351</f>
        <v>9.5788526894157122E-2</v>
      </c>
      <c r="BW352" s="3205"/>
      <c r="BX352" s="3395" t="s">
        <v>673</v>
      </c>
      <c r="CB352" s="3397">
        <f>(CB351-$H351)/$H$351</f>
        <v>9.5788526894157122E-2</v>
      </c>
      <c r="CE352" s="3205"/>
      <c r="CF352" s="3395" t="s">
        <v>673</v>
      </c>
      <c r="CJ352" s="3397">
        <f>(CJ351-$H351)/$H$351</f>
        <v>9.5788526894157122E-2</v>
      </c>
      <c r="CM352" s="3205"/>
      <c r="CN352" s="3395" t="s">
        <v>673</v>
      </c>
      <c r="CO352" s="2771"/>
      <c r="CR352" s="3397">
        <f>(CR351-$H351)/$H$351</f>
        <v>9.5788526894157122E-2</v>
      </c>
      <c r="CU352" s="3205"/>
      <c r="CV352" s="3395" t="s">
        <v>673</v>
      </c>
      <c r="CZ352" s="3397">
        <f>(CZ351-$H351)/$H$351</f>
        <v>9.5788526894157122E-2</v>
      </c>
      <c r="DC352" s="3205"/>
      <c r="DD352" s="3395" t="s">
        <v>673</v>
      </c>
      <c r="DH352" s="3397">
        <f>(DH351-$H351)/$H$351</f>
        <v>9.5788526894157122E-2</v>
      </c>
      <c r="DK352" s="3205"/>
      <c r="DL352" s="3395" t="s">
        <v>673</v>
      </c>
      <c r="DP352" s="3397">
        <f>(DP351-$H351)/$H$351</f>
        <v>9.5788526894157122E-2</v>
      </c>
      <c r="DS352" s="3205"/>
      <c r="DT352" s="3395" t="s">
        <v>673</v>
      </c>
      <c r="DX352" s="3397">
        <f>(DX351-$H351)/$H$351</f>
        <v>9.5788526894157122E-2</v>
      </c>
      <c r="EA352" s="3205"/>
      <c r="EB352" s="3395" t="s">
        <v>673</v>
      </c>
      <c r="EF352" s="3397">
        <f>(EF351-$H351)/$H$351</f>
        <v>9.5788526894157122E-2</v>
      </c>
      <c r="EI352" s="3205"/>
      <c r="EJ352" s="3395" t="s">
        <v>673</v>
      </c>
      <c r="EN352" s="3397">
        <f>(EN351-$H351)/$H$351</f>
        <v>9.5788526894157122E-2</v>
      </c>
      <c r="EQ352" s="3205"/>
      <c r="ER352" s="3395" t="s">
        <v>673</v>
      </c>
      <c r="EV352" s="3397">
        <f>(EV351-$H351)/$H$351</f>
        <v>9.5788526894157122E-2</v>
      </c>
      <c r="EY352" s="3205"/>
      <c r="EZ352" s="3395" t="s">
        <v>673</v>
      </c>
      <c r="FD352" s="3397">
        <f>(FD351-$H351)/$H$351</f>
        <v>9.5788526894157122E-2</v>
      </c>
      <c r="FG352" s="3205"/>
      <c r="FH352" s="3395" t="s">
        <v>673</v>
      </c>
      <c r="FL352" s="3397">
        <f>(FL351-$H351)/$H$351</f>
        <v>9.5788526894157122E-2</v>
      </c>
      <c r="FO352" s="3205"/>
    </row>
    <row r="353" spans="11:171" ht="12" thickTop="1">
      <c r="K353" s="3205"/>
      <c r="S353" s="3205"/>
      <c r="AA353" s="3205"/>
      <c r="AI353" s="3205"/>
      <c r="AQ353" s="3205"/>
      <c r="AY353" s="3205"/>
      <c r="BG353" s="3205"/>
      <c r="BO353" s="3205"/>
      <c r="BW353" s="3205"/>
      <c r="CE353" s="3205"/>
      <c r="CM353" s="3205"/>
      <c r="CU353" s="3205"/>
      <c r="DC353" s="3205"/>
      <c r="DK353" s="3205"/>
      <c r="DS353" s="3205"/>
      <c r="EA353" s="3205"/>
      <c r="EI353" s="3205"/>
      <c r="EQ353" s="3205"/>
      <c r="EY353" s="3205"/>
      <c r="FG353" s="3205"/>
      <c r="FO353" s="3205"/>
    </row>
    <row r="354" spans="11:171">
      <c r="K354" s="3205"/>
      <c r="P354" s="507" t="str">
        <f>IF(P352&gt;=0.025,"Material",IF(P352&gt;0.005,"Group","Not Material"))</f>
        <v>Material</v>
      </c>
      <c r="S354" s="3205"/>
      <c r="X354" s="507" t="str">
        <f>IF(X352&gt;=0.025,"Material",IF(X352&gt;0.005,"Group","Not Material"))</f>
        <v>Material</v>
      </c>
      <c r="AA354" s="3205"/>
      <c r="AF354" s="507" t="str">
        <f>IF(AF352&gt;=0.025,"Material",IF(AF352&gt;0.005,"Group","Not Material"))</f>
        <v>Material</v>
      </c>
      <c r="AI354" s="3205"/>
      <c r="AN354" s="507" t="str">
        <f>IF(AN352&gt;=0.025,"Material",IF(AN352&gt;0.005,"Group","Not Material"))</f>
        <v>Material</v>
      </c>
      <c r="AQ354" s="3205"/>
      <c r="AV354" s="507" t="str">
        <f>IF(AV352&gt;=0.025,"Material",IF(AV352&gt;0.005,"Group","Not Material"))</f>
        <v>Material</v>
      </c>
      <c r="AY354" s="3205"/>
      <c r="BD354" s="507" t="str">
        <f>IF(BD352&gt;=0.025,"Material",IF(BD352&gt;0.005,"Group","Not Material"))</f>
        <v>Material</v>
      </c>
      <c r="BG354" s="3205"/>
      <c r="BL354" s="507" t="str">
        <f>IF(BL352&gt;=0.025,"Material",IF(BL352&gt;0.005,"Group","Not Material"))</f>
        <v>Material</v>
      </c>
      <c r="BO354" s="3205"/>
      <c r="BT354" s="507" t="str">
        <f>IF(BT352&gt;=0.025,"Material",IF(BT352&gt;0.005,"Group","Not Material"))</f>
        <v>Material</v>
      </c>
      <c r="BW354" s="3205"/>
      <c r="CB354" s="507" t="str">
        <f>IF(CB352&gt;=0.025,"Material",IF(CB352&gt;0.005,"Group","Not Material"))</f>
        <v>Material</v>
      </c>
      <c r="CE354" s="3205"/>
      <c r="CJ354" s="507" t="str">
        <f>IF(CJ352&gt;=0.025,"Material",IF(CJ352&gt;0.005,"Group","Not Material"))</f>
        <v>Material</v>
      </c>
      <c r="CM354" s="3205"/>
      <c r="CR354" s="507" t="str">
        <f>IF(CR352&gt;=0.025,"Material",IF(CR352&gt;0.005,"Group","Not Material"))</f>
        <v>Material</v>
      </c>
      <c r="CU354" s="3205"/>
      <c r="CZ354" s="507" t="str">
        <f>IF(CZ352&gt;=0.025,"Material",IF(CZ352&gt;0.005,"Group","Not Material"))</f>
        <v>Material</v>
      </c>
      <c r="DC354" s="3205"/>
      <c r="DH354" s="507" t="str">
        <f>IF(DH352&gt;=0.025,"Material",IF(DH352&gt;0.005,"Group","Not Material"))</f>
        <v>Material</v>
      </c>
      <c r="DK354" s="3205"/>
      <c r="DP354" s="507" t="str">
        <f>IF(DP352&gt;=0.025,"Material",IF(DP352&gt;0.005,"Group","Not Material"))</f>
        <v>Material</v>
      </c>
      <c r="DS354" s="3205"/>
      <c r="DX354" s="507" t="str">
        <f>IF(DX352&gt;=0.025,"Material",IF(DX352&gt;0.005,"Group","Not Material"))</f>
        <v>Material</v>
      </c>
      <c r="EA354" s="3205"/>
      <c r="EF354" s="507" t="str">
        <f>IF(EF352&gt;=0.025,"Material",IF(EF352&gt;0.005,"Group","Not Material"))</f>
        <v>Material</v>
      </c>
      <c r="EI354" s="3205"/>
      <c r="EN354" s="507" t="str">
        <f>IF(EN352&gt;=0.025,"Material",IF(EN352&gt;0.005,"Group","Not Material"))</f>
        <v>Material</v>
      </c>
      <c r="EQ354" s="3205"/>
      <c r="EV354" s="507" t="str">
        <f>IF(EV352&gt;=0.025,"Material",IF(EV352&gt;0.005,"Group","Not Material"))</f>
        <v>Material</v>
      </c>
      <c r="EY354" s="3205"/>
      <c r="FD354" s="507" t="str">
        <f>IF(FD352&gt;=0.025,"Material",IF(FD352&gt;0.005,"Group","Not Material"))</f>
        <v>Material</v>
      </c>
      <c r="FG354" s="3205"/>
      <c r="FL354" s="507" t="str">
        <f>IF(FL352&gt;=0.025,"Material",IF(FL352&gt;0.005,"Group","Not Material"))</f>
        <v>Material</v>
      </c>
      <c r="FO354" s="3205"/>
    </row>
    <row r="355" spans="11:171">
      <c r="K355" s="3205"/>
      <c r="S355" s="3205"/>
      <c r="AA355" s="3205"/>
      <c r="AI355" s="3205"/>
      <c r="AQ355" s="3205"/>
      <c r="AY355" s="3205"/>
      <c r="BG355" s="3205"/>
      <c r="BO355" s="3205"/>
      <c r="BW355" s="3205"/>
      <c r="CE355" s="3205"/>
      <c r="CM355" s="3205"/>
      <c r="CU355" s="3205"/>
      <c r="DC355" s="3205"/>
      <c r="DK355" s="3205"/>
      <c r="DS355" s="3205"/>
      <c r="EA355" s="3205"/>
      <c r="EI355" s="3205"/>
      <c r="EQ355" s="3205"/>
      <c r="EY355" s="3205"/>
      <c r="FG355" s="3205"/>
      <c r="FO355" s="3205"/>
    </row>
    <row r="356" spans="11:171">
      <c r="K356" s="3205"/>
      <c r="S356" s="3205"/>
      <c r="AA356" s="3205"/>
      <c r="AI356" s="3205"/>
      <c r="AQ356" s="3205"/>
      <c r="AY356" s="3205"/>
      <c r="BG356" s="3205"/>
      <c r="BO356" s="3205"/>
      <c r="BW356" s="3205"/>
      <c r="CE356" s="3205"/>
      <c r="CM356" s="3205"/>
      <c r="CU356" s="3205"/>
      <c r="DC356" s="3205"/>
      <c r="DK356" s="3205"/>
      <c r="DS356" s="3205"/>
      <c r="EA356" s="3205"/>
      <c r="EI356" s="3205"/>
      <c r="EQ356" s="3205"/>
      <c r="EY356" s="3205"/>
      <c r="FG356" s="3205"/>
      <c r="FO356" s="3205"/>
    </row>
    <row r="357" spans="11:171">
      <c r="K357" s="3205"/>
      <c r="S357" s="3205"/>
      <c r="AA357" s="3205"/>
      <c r="AI357" s="3205"/>
      <c r="AQ357" s="3205"/>
      <c r="AY357" s="3205"/>
      <c r="BG357" s="3205"/>
      <c r="BO357" s="3205"/>
      <c r="BW357" s="3205"/>
      <c r="CE357" s="3205"/>
      <c r="CM357" s="3205"/>
      <c r="CU357" s="3205"/>
      <c r="DC357" s="3205"/>
      <c r="DK357" s="3205"/>
      <c r="DS357" s="3205"/>
      <c r="EA357" s="3205"/>
      <c r="EI357" s="3205"/>
      <c r="EQ357" s="3205"/>
      <c r="EY357" s="3205"/>
      <c r="FG357" s="3205"/>
      <c r="FO357" s="3205"/>
    </row>
    <row r="358" spans="11:171">
      <c r="K358" s="3205"/>
      <c r="S358" s="3205"/>
      <c r="AA358" s="3205"/>
      <c r="AI358" s="3205"/>
      <c r="AQ358" s="3205"/>
      <c r="AY358" s="3205"/>
      <c r="BG358" s="3205"/>
      <c r="BO358" s="3205"/>
      <c r="BW358" s="3205"/>
      <c r="CE358" s="3205"/>
      <c r="CM358" s="3205"/>
      <c r="CU358" s="3205"/>
      <c r="DC358" s="3205"/>
      <c r="DK358" s="3205"/>
      <c r="DS358" s="3205"/>
      <c r="EA358" s="3205"/>
      <c r="EI358" s="3205"/>
      <c r="EQ358" s="3205"/>
      <c r="EY358" s="3205"/>
      <c r="FG358" s="3205"/>
      <c r="FO358" s="3205"/>
    </row>
    <row r="359" spans="11:171">
      <c r="K359" s="3205"/>
      <c r="S359" s="3205"/>
      <c r="AA359" s="3205"/>
      <c r="AI359" s="3205"/>
      <c r="AQ359" s="3205"/>
      <c r="AY359" s="3205"/>
      <c r="BG359" s="3205"/>
      <c r="BO359" s="3205"/>
      <c r="BW359" s="3205"/>
      <c r="CE359" s="3205"/>
      <c r="CM359" s="3205"/>
      <c r="CU359" s="3205"/>
      <c r="DC359" s="3205"/>
      <c r="DK359" s="3205"/>
      <c r="DS359" s="3205"/>
      <c r="EA359" s="3205"/>
      <c r="EI359" s="3205"/>
      <c r="EQ359" s="3205"/>
      <c r="EY359" s="3205"/>
      <c r="FG359" s="3205"/>
      <c r="FO359" s="3205"/>
    </row>
    <row r="360" spans="11:171">
      <c r="K360" s="3205"/>
      <c r="S360" s="3205"/>
      <c r="AA360" s="3205"/>
      <c r="AI360" s="3205"/>
      <c r="AQ360" s="3205"/>
      <c r="AY360" s="3205"/>
      <c r="BG360" s="3205"/>
      <c r="BO360" s="3205"/>
      <c r="BW360" s="3205"/>
      <c r="CE360" s="3205"/>
      <c r="CM360" s="3205"/>
      <c r="CU360" s="3205"/>
      <c r="DC360" s="3205"/>
      <c r="DK360" s="3205"/>
      <c r="DS360" s="3205"/>
      <c r="EA360" s="3205"/>
      <c r="EI360" s="3205"/>
      <c r="EQ360" s="3205"/>
      <c r="EY360" s="3205"/>
      <c r="FG360" s="3205"/>
      <c r="FO360" s="3205"/>
    </row>
    <row r="361" spans="11:171">
      <c r="K361" s="3205"/>
      <c r="S361" s="3205"/>
      <c r="AA361" s="3205"/>
      <c r="AI361" s="3205"/>
      <c r="AQ361" s="3205"/>
      <c r="AY361" s="3205"/>
      <c r="BG361" s="3205"/>
      <c r="BO361" s="3205"/>
      <c r="BW361" s="3205"/>
      <c r="CE361" s="3205"/>
      <c r="CM361" s="3205"/>
      <c r="CU361" s="3205"/>
      <c r="DC361" s="3205"/>
      <c r="DK361" s="3205"/>
      <c r="DS361" s="3205"/>
      <c r="EA361" s="3205"/>
      <c r="EI361" s="3205"/>
      <c r="EQ361" s="3205"/>
      <c r="EY361" s="3205"/>
      <c r="FG361" s="3205"/>
      <c r="FO361" s="3205"/>
    </row>
    <row r="362" spans="11:171">
      <c r="K362" s="3205"/>
      <c r="S362" s="3205"/>
      <c r="AA362" s="3205"/>
      <c r="AI362" s="3205"/>
      <c r="AQ362" s="3205"/>
      <c r="AY362" s="3205"/>
      <c r="BG362" s="3205"/>
      <c r="BO362" s="3205"/>
      <c r="BW362" s="3205"/>
      <c r="CE362" s="3205"/>
      <c r="CM362" s="3205"/>
      <c r="CU362" s="3205"/>
      <c r="DC362" s="3205"/>
      <c r="DK362" s="3205"/>
      <c r="DS362" s="3205"/>
      <c r="EA362" s="3205"/>
      <c r="EI362" s="3205"/>
      <c r="EQ362" s="3205"/>
      <c r="EY362" s="3205"/>
      <c r="FG362" s="3205"/>
      <c r="FO362" s="3205"/>
    </row>
    <row r="363" spans="11:171">
      <c r="K363" s="3205"/>
      <c r="S363" s="3205"/>
      <c r="AA363" s="3205"/>
      <c r="AI363" s="3205"/>
      <c r="AQ363" s="3205"/>
      <c r="AY363" s="3205"/>
      <c r="BG363" s="3205"/>
      <c r="BO363" s="3205"/>
      <c r="BW363" s="3205"/>
      <c r="CE363" s="3205"/>
      <c r="CM363" s="3205"/>
      <c r="CU363" s="3205"/>
      <c r="DC363" s="3205"/>
      <c r="DK363" s="3205"/>
      <c r="DS363" s="3205"/>
      <c r="EA363" s="3205"/>
      <c r="EI363" s="3205"/>
      <c r="EQ363" s="3205"/>
      <c r="EY363" s="3205"/>
      <c r="FG363" s="3205"/>
      <c r="FO363" s="3205"/>
    </row>
    <row r="364" spans="11:171">
      <c r="K364" s="3205"/>
      <c r="S364" s="3205"/>
      <c r="AA364" s="3205"/>
      <c r="AI364" s="3205"/>
      <c r="AQ364" s="3205"/>
      <c r="AY364" s="3205"/>
      <c r="BG364" s="3205"/>
      <c r="BO364" s="3205"/>
      <c r="BW364" s="3205"/>
      <c r="CE364" s="3205"/>
      <c r="CM364" s="3205"/>
      <c r="CU364" s="3205"/>
      <c r="DC364" s="3205"/>
      <c r="DK364" s="3205"/>
      <c r="DS364" s="3205"/>
      <c r="EA364" s="3205"/>
      <c r="EI364" s="3205"/>
      <c r="EQ364" s="3205"/>
      <c r="EY364" s="3205"/>
      <c r="FG364" s="3205"/>
      <c r="FO364" s="3205"/>
    </row>
    <row r="365" spans="11:171">
      <c r="K365" s="3205"/>
      <c r="S365" s="3205"/>
      <c r="AA365" s="3205"/>
      <c r="AI365" s="3205"/>
      <c r="AQ365" s="3205"/>
      <c r="AY365" s="3205"/>
      <c r="BG365" s="3205"/>
      <c r="BO365" s="3205"/>
      <c r="BW365" s="3205"/>
      <c r="CE365" s="3205"/>
      <c r="CM365" s="3205"/>
      <c r="CU365" s="3205"/>
      <c r="DC365" s="3205"/>
      <c r="DK365" s="3205"/>
      <c r="DS365" s="3205"/>
      <c r="EA365" s="3205"/>
      <c r="EI365" s="3205"/>
      <c r="EQ365" s="3205"/>
      <c r="EY365" s="3205"/>
      <c r="FG365" s="3205"/>
      <c r="FO365" s="3205"/>
    </row>
    <row r="366" spans="11:171">
      <c r="K366" s="3205"/>
      <c r="S366" s="3205"/>
      <c r="AA366" s="3205"/>
      <c r="AI366" s="3205"/>
      <c r="AQ366" s="3205"/>
      <c r="AY366" s="3205"/>
      <c r="BG366" s="3205"/>
      <c r="BO366" s="3205"/>
      <c r="BW366" s="3205"/>
      <c r="CE366" s="3205"/>
      <c r="CM366" s="3205"/>
      <c r="CU366" s="3205"/>
      <c r="DC366" s="3205"/>
      <c r="DK366" s="3205"/>
      <c r="DS366" s="3205"/>
      <c r="EA366" s="3205"/>
      <c r="EI366" s="3205"/>
      <c r="EQ366" s="3205"/>
      <c r="EY366" s="3205"/>
      <c r="FG366" s="3205"/>
      <c r="FO366" s="3205"/>
    </row>
    <row r="367" spans="11:171">
      <c r="K367" s="3205"/>
      <c r="S367" s="3205"/>
      <c r="AA367" s="3205"/>
      <c r="AI367" s="3205"/>
      <c r="AQ367" s="3205"/>
      <c r="AY367" s="3205"/>
      <c r="BG367" s="3205"/>
      <c r="BO367" s="3205"/>
      <c r="BW367" s="3205"/>
      <c r="CE367" s="3205"/>
      <c r="CM367" s="3205"/>
      <c r="CU367" s="3205"/>
      <c r="DC367" s="3205"/>
      <c r="DK367" s="3205"/>
      <c r="DS367" s="3205"/>
      <c r="EA367" s="3205"/>
      <c r="EI367" s="3205"/>
      <c r="EQ367" s="3205"/>
      <c r="EY367" s="3205"/>
      <c r="FG367" s="3205"/>
      <c r="FO367" s="3205"/>
    </row>
    <row r="368" spans="11:171">
      <c r="K368" s="3205"/>
      <c r="S368" s="3205"/>
      <c r="AA368" s="3205"/>
      <c r="AI368" s="3205"/>
      <c r="AQ368" s="3205"/>
      <c r="AY368" s="3205"/>
      <c r="BG368" s="3205"/>
      <c r="BO368" s="3205"/>
      <c r="BW368" s="3205"/>
      <c r="CE368" s="3205"/>
      <c r="CM368" s="3205"/>
      <c r="CU368" s="3205"/>
      <c r="DC368" s="3205"/>
      <c r="DK368" s="3205"/>
      <c r="DS368" s="3205"/>
      <c r="EA368" s="3205"/>
      <c r="EI368" s="3205"/>
      <c r="EQ368" s="3205"/>
      <c r="EY368" s="3205"/>
      <c r="FG368" s="3205"/>
      <c r="FO368" s="3205"/>
    </row>
    <row r="369" spans="2:171">
      <c r="D369" s="3136"/>
      <c r="E369" s="3090" t="s">
        <v>520</v>
      </c>
      <c r="G369" s="3091" t="s">
        <v>104</v>
      </c>
      <c r="H369" s="3091" t="s">
        <v>105</v>
      </c>
      <c r="I369" s="3091" t="s">
        <v>106</v>
      </c>
      <c r="J369" s="3092" t="s">
        <v>511</v>
      </c>
      <c r="K369" s="3205"/>
      <c r="O369" s="3091" t="s">
        <v>104</v>
      </c>
      <c r="P369" s="3091" t="s">
        <v>105</v>
      </c>
      <c r="Q369" s="3091" t="s">
        <v>106</v>
      </c>
      <c r="R369" s="3092" t="s">
        <v>511</v>
      </c>
      <c r="S369" s="3205"/>
      <c r="W369" s="3091" t="s">
        <v>104</v>
      </c>
      <c r="X369" s="3091" t="s">
        <v>105</v>
      </c>
      <c r="Y369" s="3091" t="s">
        <v>106</v>
      </c>
      <c r="Z369" s="3092" t="s">
        <v>511</v>
      </c>
      <c r="AA369" s="3205"/>
      <c r="AE369" s="3091" t="s">
        <v>104</v>
      </c>
      <c r="AF369" s="3091" t="s">
        <v>105</v>
      </c>
      <c r="AG369" s="3091" t="s">
        <v>106</v>
      </c>
      <c r="AH369" s="3092" t="s">
        <v>511</v>
      </c>
      <c r="AI369" s="3205"/>
      <c r="AM369" s="3091" t="s">
        <v>104</v>
      </c>
      <c r="AN369" s="3091" t="s">
        <v>105</v>
      </c>
      <c r="AO369" s="3091" t="s">
        <v>106</v>
      </c>
      <c r="AP369" s="3092" t="s">
        <v>511</v>
      </c>
      <c r="AQ369" s="3205"/>
      <c r="AU369" s="3091" t="s">
        <v>104</v>
      </c>
      <c r="AV369" s="3091" t="s">
        <v>105</v>
      </c>
      <c r="AW369" s="3091" t="s">
        <v>106</v>
      </c>
      <c r="AX369" s="3092" t="s">
        <v>511</v>
      </c>
      <c r="AY369" s="3205"/>
      <c r="BC369" s="3091" t="s">
        <v>104</v>
      </c>
      <c r="BD369" s="3091" t="s">
        <v>105</v>
      </c>
      <c r="BE369" s="3091" t="s">
        <v>106</v>
      </c>
      <c r="BF369" s="3092" t="s">
        <v>511</v>
      </c>
      <c r="BG369" s="3205"/>
      <c r="BK369" s="3091" t="s">
        <v>104</v>
      </c>
      <c r="BL369" s="3091" t="s">
        <v>105</v>
      </c>
      <c r="BM369" s="3091" t="s">
        <v>106</v>
      </c>
      <c r="BN369" s="3092" t="s">
        <v>511</v>
      </c>
      <c r="BO369" s="3205"/>
      <c r="BS369" s="3091" t="s">
        <v>104</v>
      </c>
      <c r="BT369" s="3091" t="s">
        <v>105</v>
      </c>
      <c r="BU369" s="3091" t="s">
        <v>106</v>
      </c>
      <c r="BV369" s="3092" t="s">
        <v>511</v>
      </c>
      <c r="BW369" s="3205"/>
      <c r="CA369" s="3091" t="s">
        <v>104</v>
      </c>
      <c r="CB369" s="3091" t="s">
        <v>105</v>
      </c>
      <c r="CC369" s="3091" t="s">
        <v>106</v>
      </c>
      <c r="CD369" s="3092" t="s">
        <v>511</v>
      </c>
      <c r="CE369" s="3205"/>
      <c r="CI369" s="3091" t="s">
        <v>104</v>
      </c>
      <c r="CJ369" s="3091" t="s">
        <v>105</v>
      </c>
      <c r="CK369" s="3091" t="s">
        <v>106</v>
      </c>
      <c r="CL369" s="3092" t="s">
        <v>511</v>
      </c>
      <c r="CM369" s="3205"/>
      <c r="CQ369" s="3091" t="s">
        <v>104</v>
      </c>
      <c r="CR369" s="3091" t="s">
        <v>105</v>
      </c>
      <c r="CS369" s="3091" t="s">
        <v>106</v>
      </c>
      <c r="CT369" s="3092" t="s">
        <v>511</v>
      </c>
      <c r="CU369" s="3205"/>
      <c r="CY369" s="3091" t="s">
        <v>104</v>
      </c>
      <c r="CZ369" s="3091" t="s">
        <v>105</v>
      </c>
      <c r="DA369" s="3091" t="s">
        <v>106</v>
      </c>
      <c r="DB369" s="3092" t="s">
        <v>511</v>
      </c>
      <c r="DC369" s="3205"/>
      <c r="DG369" s="3091" t="s">
        <v>104</v>
      </c>
      <c r="DH369" s="3091" t="s">
        <v>105</v>
      </c>
      <c r="DI369" s="3091" t="s">
        <v>106</v>
      </c>
      <c r="DJ369" s="3092" t="s">
        <v>511</v>
      </c>
      <c r="DK369" s="3205"/>
      <c r="DO369" s="3091" t="s">
        <v>104</v>
      </c>
      <c r="DP369" s="3091" t="s">
        <v>105</v>
      </c>
      <c r="DQ369" s="3091" t="s">
        <v>106</v>
      </c>
      <c r="DR369" s="3092" t="s">
        <v>511</v>
      </c>
      <c r="DS369" s="3205"/>
      <c r="DW369" s="3091" t="s">
        <v>104</v>
      </c>
      <c r="DX369" s="3091" t="s">
        <v>105</v>
      </c>
      <c r="DY369" s="3091" t="s">
        <v>106</v>
      </c>
      <c r="DZ369" s="3092" t="s">
        <v>511</v>
      </c>
      <c r="EA369" s="3205"/>
      <c r="EE369" s="3091" t="s">
        <v>104</v>
      </c>
      <c r="EF369" s="3091" t="s">
        <v>105</v>
      </c>
      <c r="EG369" s="3091" t="s">
        <v>106</v>
      </c>
      <c r="EH369" s="3092" t="s">
        <v>511</v>
      </c>
      <c r="EI369" s="3205"/>
      <c r="EM369" s="3091" t="s">
        <v>104</v>
      </c>
      <c r="EN369" s="3091" t="s">
        <v>105</v>
      </c>
      <c r="EO369" s="3091" t="s">
        <v>106</v>
      </c>
      <c r="EP369" s="3092" t="s">
        <v>511</v>
      </c>
      <c r="EQ369" s="3205"/>
      <c r="EU369" s="3091" t="s">
        <v>104</v>
      </c>
      <c r="EV369" s="3091" t="s">
        <v>105</v>
      </c>
      <c r="EW369" s="3091" t="s">
        <v>106</v>
      </c>
      <c r="EX369" s="3092" t="s">
        <v>511</v>
      </c>
      <c r="EY369" s="3205"/>
      <c r="FC369" s="3091" t="s">
        <v>104</v>
      </c>
      <c r="FD369" s="3091" t="s">
        <v>105</v>
      </c>
      <c r="FE369" s="3091" t="s">
        <v>106</v>
      </c>
      <c r="FF369" s="3092" t="s">
        <v>511</v>
      </c>
      <c r="FG369" s="3205"/>
      <c r="FK369" s="3091" t="s">
        <v>104</v>
      </c>
      <c r="FL369" s="3091" t="s">
        <v>105</v>
      </c>
      <c r="FM369" s="3091" t="s">
        <v>106</v>
      </c>
      <c r="FN369" s="3092" t="s">
        <v>511</v>
      </c>
      <c r="FO369" s="3205"/>
    </row>
    <row r="370" spans="2:171">
      <c r="B370" s="3398" t="s">
        <v>516</v>
      </c>
      <c r="C370" s="3086" t="s">
        <v>105</v>
      </c>
      <c r="D370" s="3086"/>
      <c r="E370" s="3234" t="str">
        <f>Ratios!C13</f>
        <v>PROD</v>
      </c>
      <c r="G370" s="2424">
        <f>Ratios!D13</f>
        <v>32635584</v>
      </c>
      <c r="H370" s="2424">
        <f>Ratios!E13</f>
        <v>32635584</v>
      </c>
      <c r="I370" s="2424">
        <f>Ratios!F13</f>
        <v>0</v>
      </c>
      <c r="J370" s="2424">
        <f>Ratios!G13</f>
        <v>0</v>
      </c>
      <c r="K370" s="3205">
        <f t="shared" ref="K370:K376" si="953">IF($E370="DIRECT",0,1)</f>
        <v>1</v>
      </c>
      <c r="O370" s="2424">
        <f t="shared" ref="O370:O376" si="954">$G370</f>
        <v>32635584</v>
      </c>
      <c r="P370" s="2424">
        <f t="shared" ref="P370:P375" si="955">$H370</f>
        <v>32635584</v>
      </c>
      <c r="Q370" s="2424">
        <f t="shared" ref="Q370:Q375" si="956">$I370</f>
        <v>0</v>
      </c>
      <c r="R370" s="2424">
        <f t="shared" ref="R370:R375" si="957">$J370</f>
        <v>0</v>
      </c>
      <c r="S370" s="3205"/>
      <c r="W370" s="2424">
        <f t="shared" ref="W370:W376" si="958">$G370</f>
        <v>32635584</v>
      </c>
      <c r="X370" s="2424">
        <f t="shared" ref="X370:X375" si="959">$H370</f>
        <v>32635584</v>
      </c>
      <c r="Y370" s="2424">
        <f t="shared" ref="Y370:Y375" si="960">$I370</f>
        <v>0</v>
      </c>
      <c r="Z370" s="2424">
        <f t="shared" ref="Z370:Z375" si="961">$J370</f>
        <v>0</v>
      </c>
      <c r="AA370" s="3205"/>
      <c r="AE370" s="2424">
        <f t="shared" ref="AE370:AE376" si="962">$G370</f>
        <v>32635584</v>
      </c>
      <c r="AF370" s="2424">
        <f t="shared" ref="AF370:AF375" si="963">$H370</f>
        <v>32635584</v>
      </c>
      <c r="AG370" s="2424">
        <f t="shared" ref="AG370:AG375" si="964">$I370</f>
        <v>0</v>
      </c>
      <c r="AH370" s="2424">
        <f t="shared" ref="AH370:AH375" si="965">$J370</f>
        <v>0</v>
      </c>
      <c r="AI370" s="3205"/>
      <c r="AM370" s="2424">
        <f t="shared" ref="AM370:AM376" si="966">$G370</f>
        <v>32635584</v>
      </c>
      <c r="AN370" s="2424">
        <f t="shared" ref="AN370:AN375" si="967">$H370</f>
        <v>32635584</v>
      </c>
      <c r="AO370" s="2424">
        <f t="shared" ref="AO370:AO375" si="968">$I370</f>
        <v>0</v>
      </c>
      <c r="AP370" s="2424">
        <f t="shared" ref="AP370:AP375" si="969">$J370</f>
        <v>0</v>
      </c>
      <c r="AQ370" s="3205"/>
      <c r="AU370" s="2424">
        <f t="shared" ref="AU370:AU376" si="970">$G370</f>
        <v>32635584</v>
      </c>
      <c r="AV370" s="2424">
        <f t="shared" ref="AV370:AV375" si="971">$H370</f>
        <v>32635584</v>
      </c>
      <c r="AW370" s="2424">
        <f t="shared" ref="AW370:AW375" si="972">$I370</f>
        <v>0</v>
      </c>
      <c r="AX370" s="2424">
        <f t="shared" ref="AX370:AX375" si="973">$J370</f>
        <v>0</v>
      </c>
      <c r="AY370" s="3205"/>
      <c r="BC370" s="2424">
        <f t="shared" ref="BC370:BC376" si="974">$G370</f>
        <v>32635584</v>
      </c>
      <c r="BD370" s="2424">
        <f t="shared" ref="BD370:BD375" si="975">$H370</f>
        <v>32635584</v>
      </c>
      <c r="BE370" s="2424">
        <f t="shared" ref="BE370:BE375" si="976">$I370</f>
        <v>0</v>
      </c>
      <c r="BF370" s="2424">
        <f t="shared" ref="BF370:BF375" si="977">$J370</f>
        <v>0</v>
      </c>
      <c r="BG370" s="3205"/>
      <c r="BK370" s="2424">
        <f t="shared" ref="BK370:BK376" si="978">$G370</f>
        <v>32635584</v>
      </c>
      <c r="BL370" s="2424">
        <f t="shared" ref="BL370:BL375" si="979">$H370</f>
        <v>32635584</v>
      </c>
      <c r="BM370" s="2424">
        <f t="shared" ref="BM370:BM375" si="980">$I370</f>
        <v>0</v>
      </c>
      <c r="BN370" s="2424">
        <f t="shared" ref="BN370:BN375" si="981">$J370</f>
        <v>0</v>
      </c>
      <c r="BO370" s="3205"/>
      <c r="BS370" s="2424">
        <f t="shared" ref="BS370:BS376" si="982">$G370</f>
        <v>32635584</v>
      </c>
      <c r="BT370" s="2424">
        <f t="shared" ref="BT370:BT375" si="983">$H370</f>
        <v>32635584</v>
      </c>
      <c r="BU370" s="2424">
        <f t="shared" ref="BU370:BU375" si="984">$I370</f>
        <v>0</v>
      </c>
      <c r="BV370" s="2424">
        <f t="shared" ref="BV370:BV375" si="985">$J370</f>
        <v>0</v>
      </c>
      <c r="BW370" s="3205"/>
      <c r="CA370" s="2424">
        <f t="shared" ref="CA370:CA376" si="986">$G370</f>
        <v>32635584</v>
      </c>
      <c r="CB370" s="2424">
        <f t="shared" ref="CB370:CB375" si="987">$H370</f>
        <v>32635584</v>
      </c>
      <c r="CC370" s="2424">
        <f t="shared" ref="CC370:CC375" si="988">$I370</f>
        <v>0</v>
      </c>
      <c r="CD370" s="2424">
        <f t="shared" ref="CD370:CD375" si="989">$J370</f>
        <v>0</v>
      </c>
      <c r="CE370" s="3205"/>
      <c r="CI370" s="2424">
        <f t="shared" ref="CI370:CI376" si="990">$G370</f>
        <v>32635584</v>
      </c>
      <c r="CJ370" s="2424">
        <f t="shared" ref="CJ370:CJ375" si="991">$H370</f>
        <v>32635584</v>
      </c>
      <c r="CK370" s="2424">
        <f t="shared" ref="CK370:CK375" si="992">$I370</f>
        <v>0</v>
      </c>
      <c r="CL370" s="2424">
        <f t="shared" ref="CL370:CL375" si="993">$J370</f>
        <v>0</v>
      </c>
      <c r="CM370" s="3205"/>
      <c r="CQ370" s="2424">
        <f t="shared" ref="CQ370:CQ376" si="994">$G370</f>
        <v>32635584</v>
      </c>
      <c r="CR370" s="2424">
        <f t="shared" ref="CR370:CR375" si="995">$H370</f>
        <v>32635584</v>
      </c>
      <c r="CS370" s="2424">
        <f t="shared" ref="CS370:CS375" si="996">$I370</f>
        <v>0</v>
      </c>
      <c r="CT370" s="2424">
        <f t="shared" ref="CT370:CT375" si="997">$J370</f>
        <v>0</v>
      </c>
      <c r="CU370" s="3205"/>
      <c r="CY370" s="2424">
        <f t="shared" ref="CY370:CY376" si="998">$G370</f>
        <v>32635584</v>
      </c>
      <c r="CZ370" s="2424">
        <f t="shared" ref="CZ370:CZ375" si="999">$H370</f>
        <v>32635584</v>
      </c>
      <c r="DA370" s="2424">
        <f t="shared" ref="DA370:DA375" si="1000">$I370</f>
        <v>0</v>
      </c>
      <c r="DB370" s="2424">
        <f t="shared" ref="DB370:DB375" si="1001">$J370</f>
        <v>0</v>
      </c>
      <c r="DC370" s="3205"/>
      <c r="DG370" s="2424">
        <f t="shared" ref="DG370:DG376" si="1002">$G370</f>
        <v>32635584</v>
      </c>
      <c r="DH370" s="2424">
        <f t="shared" ref="DH370:DH375" si="1003">$H370</f>
        <v>32635584</v>
      </c>
      <c r="DI370" s="2424">
        <f t="shared" ref="DI370:DI375" si="1004">$I370</f>
        <v>0</v>
      </c>
      <c r="DJ370" s="2424">
        <f t="shared" ref="DJ370:DJ375" si="1005">$J370</f>
        <v>0</v>
      </c>
      <c r="DK370" s="3205"/>
      <c r="DO370" s="2424">
        <f t="shared" ref="DO370:DO376" si="1006">$G370</f>
        <v>32635584</v>
      </c>
      <c r="DP370" s="2424">
        <f t="shared" ref="DP370:DP375" si="1007">$H370</f>
        <v>32635584</v>
      </c>
      <c r="DQ370" s="2424">
        <f t="shared" ref="DQ370:DQ375" si="1008">$I370</f>
        <v>0</v>
      </c>
      <c r="DR370" s="2424">
        <f t="shared" ref="DR370:DR375" si="1009">$J370</f>
        <v>0</v>
      </c>
      <c r="DS370" s="3205"/>
      <c r="DW370" s="2424">
        <f t="shared" ref="DW370:DW376" si="1010">$G370</f>
        <v>32635584</v>
      </c>
      <c r="DX370" s="2424">
        <f t="shared" ref="DX370:DX375" si="1011">$H370</f>
        <v>32635584</v>
      </c>
      <c r="DY370" s="2424">
        <f t="shared" ref="DY370:DY375" si="1012">$I370</f>
        <v>0</v>
      </c>
      <c r="DZ370" s="2424">
        <f t="shared" ref="DZ370:DZ375" si="1013">$J370</f>
        <v>0</v>
      </c>
      <c r="EA370" s="3205"/>
      <c r="EE370" s="2424">
        <f t="shared" ref="EE370:EE376" si="1014">$G370</f>
        <v>32635584</v>
      </c>
      <c r="EF370" s="2424">
        <f t="shared" ref="EF370:EF375" si="1015">$H370</f>
        <v>32635584</v>
      </c>
      <c r="EG370" s="2424">
        <f t="shared" ref="EG370:EG375" si="1016">$I370</f>
        <v>0</v>
      </c>
      <c r="EH370" s="2424">
        <f t="shared" ref="EH370:EH375" si="1017">$J370</f>
        <v>0</v>
      </c>
      <c r="EI370" s="3205"/>
      <c r="EM370" s="2424">
        <f t="shared" ref="EM370:EM376" si="1018">$G370</f>
        <v>32635584</v>
      </c>
      <c r="EN370" s="2424">
        <f t="shared" ref="EN370:EN375" si="1019">$H370</f>
        <v>32635584</v>
      </c>
      <c r="EO370" s="2424">
        <f t="shared" ref="EO370:EO375" si="1020">$I370</f>
        <v>0</v>
      </c>
      <c r="EP370" s="2424">
        <f t="shared" ref="EP370:EP375" si="1021">$J370</f>
        <v>0</v>
      </c>
      <c r="EQ370" s="3205"/>
      <c r="EU370" s="2424">
        <f t="shared" ref="EU370:EU376" si="1022">$G370</f>
        <v>32635584</v>
      </c>
      <c r="EV370" s="2424">
        <f t="shared" ref="EV370:EV375" si="1023">$H370</f>
        <v>32635584</v>
      </c>
      <c r="EW370" s="2424">
        <f t="shared" ref="EW370:EW375" si="1024">$I370</f>
        <v>0</v>
      </c>
      <c r="EX370" s="2424">
        <f t="shared" ref="EX370:EX375" si="1025">$J370</f>
        <v>0</v>
      </c>
      <c r="EY370" s="3205"/>
      <c r="FC370" s="2424">
        <f t="shared" ref="FC370:FC376" si="1026">$G370</f>
        <v>32635584</v>
      </c>
      <c r="FD370" s="2424">
        <f t="shared" ref="FD370:FD375" si="1027">$H370</f>
        <v>32635584</v>
      </c>
      <c r="FE370" s="2424">
        <f t="shared" ref="FE370:FE375" si="1028">$I370</f>
        <v>0</v>
      </c>
      <c r="FF370" s="2424">
        <f t="shared" ref="FF370:FF375" si="1029">$J370</f>
        <v>0</v>
      </c>
      <c r="FG370" s="3205"/>
      <c r="FK370" s="2424">
        <f t="shared" ref="FK370:FK376" si="1030">$G370</f>
        <v>32635584</v>
      </c>
      <c r="FL370" s="2424">
        <f t="shared" ref="FL370:FL375" si="1031">$H370</f>
        <v>32635584</v>
      </c>
      <c r="FM370" s="2424">
        <f t="shared" ref="FM370:FM375" si="1032">$I370</f>
        <v>0</v>
      </c>
      <c r="FN370" s="2424">
        <f t="shared" ref="FN370:FN375" si="1033">$J370</f>
        <v>0</v>
      </c>
      <c r="FO370" s="3205"/>
    </row>
    <row r="371" spans="2:171">
      <c r="B371" s="3136"/>
      <c r="C371" s="3086" t="s">
        <v>106</v>
      </c>
      <c r="D371" s="3086"/>
      <c r="E371" s="3234" t="str">
        <f>Ratios!C14</f>
        <v>TRANS</v>
      </c>
      <c r="G371" s="2424">
        <f>Ratios!D14</f>
        <v>10498560</v>
      </c>
      <c r="H371" s="2424">
        <f>Ratios!E14</f>
        <v>0</v>
      </c>
      <c r="I371" s="2424">
        <f>Ratios!F14</f>
        <v>0</v>
      </c>
      <c r="J371" s="2424">
        <f>Ratios!G14</f>
        <v>10498560</v>
      </c>
      <c r="K371" s="3205">
        <f t="shared" si="953"/>
        <v>1</v>
      </c>
      <c r="O371" s="2424">
        <f t="shared" si="954"/>
        <v>10498560</v>
      </c>
      <c r="P371" s="2424">
        <f t="shared" si="955"/>
        <v>0</v>
      </c>
      <c r="Q371" s="2424">
        <f t="shared" si="956"/>
        <v>0</v>
      </c>
      <c r="R371" s="2424">
        <f t="shared" si="957"/>
        <v>10498560</v>
      </c>
      <c r="S371" s="3205"/>
      <c r="W371" s="2424">
        <f t="shared" si="958"/>
        <v>10498560</v>
      </c>
      <c r="X371" s="2424">
        <f t="shared" si="959"/>
        <v>0</v>
      </c>
      <c r="Y371" s="2424">
        <f t="shared" si="960"/>
        <v>0</v>
      </c>
      <c r="Z371" s="2424">
        <f t="shared" si="961"/>
        <v>10498560</v>
      </c>
      <c r="AA371" s="3205"/>
      <c r="AE371" s="2424">
        <f t="shared" si="962"/>
        <v>10498560</v>
      </c>
      <c r="AF371" s="2424">
        <f t="shared" si="963"/>
        <v>0</v>
      </c>
      <c r="AG371" s="2424">
        <f t="shared" si="964"/>
        <v>0</v>
      </c>
      <c r="AH371" s="2424">
        <f t="shared" si="965"/>
        <v>10498560</v>
      </c>
      <c r="AI371" s="3205"/>
      <c r="AM371" s="2424">
        <f t="shared" si="966"/>
        <v>10498560</v>
      </c>
      <c r="AN371" s="2424">
        <f t="shared" si="967"/>
        <v>0</v>
      </c>
      <c r="AO371" s="2424">
        <f t="shared" si="968"/>
        <v>0</v>
      </c>
      <c r="AP371" s="2424">
        <f t="shared" si="969"/>
        <v>10498560</v>
      </c>
      <c r="AQ371" s="3205"/>
      <c r="AU371" s="2424">
        <f t="shared" si="970"/>
        <v>10498560</v>
      </c>
      <c r="AV371" s="2424">
        <f t="shared" si="971"/>
        <v>0</v>
      </c>
      <c r="AW371" s="2424">
        <f t="shared" si="972"/>
        <v>0</v>
      </c>
      <c r="AX371" s="2424">
        <f t="shared" si="973"/>
        <v>10498560</v>
      </c>
      <c r="AY371" s="3205"/>
      <c r="BC371" s="2424">
        <f t="shared" si="974"/>
        <v>10498560</v>
      </c>
      <c r="BD371" s="2424">
        <f t="shared" si="975"/>
        <v>0</v>
      </c>
      <c r="BE371" s="2424">
        <f t="shared" si="976"/>
        <v>0</v>
      </c>
      <c r="BF371" s="2424">
        <f t="shared" si="977"/>
        <v>10498560</v>
      </c>
      <c r="BG371" s="3205"/>
      <c r="BK371" s="2424">
        <f t="shared" si="978"/>
        <v>10498560</v>
      </c>
      <c r="BL371" s="2424">
        <f t="shared" si="979"/>
        <v>0</v>
      </c>
      <c r="BM371" s="2424">
        <f t="shared" si="980"/>
        <v>0</v>
      </c>
      <c r="BN371" s="2424">
        <f t="shared" si="981"/>
        <v>10498560</v>
      </c>
      <c r="BO371" s="3205"/>
      <c r="BS371" s="2424">
        <f t="shared" si="982"/>
        <v>10498560</v>
      </c>
      <c r="BT371" s="2424">
        <f t="shared" si="983"/>
        <v>0</v>
      </c>
      <c r="BU371" s="2424">
        <f t="shared" si="984"/>
        <v>0</v>
      </c>
      <c r="BV371" s="2424">
        <f t="shared" si="985"/>
        <v>10498560</v>
      </c>
      <c r="BW371" s="3205"/>
      <c r="CA371" s="2424">
        <f t="shared" si="986"/>
        <v>10498560</v>
      </c>
      <c r="CB371" s="2424">
        <f t="shared" si="987"/>
        <v>0</v>
      </c>
      <c r="CC371" s="2424">
        <f t="shared" si="988"/>
        <v>0</v>
      </c>
      <c r="CD371" s="2424">
        <f t="shared" si="989"/>
        <v>10498560</v>
      </c>
      <c r="CE371" s="3205"/>
      <c r="CI371" s="2424">
        <f t="shared" si="990"/>
        <v>10498560</v>
      </c>
      <c r="CJ371" s="2424">
        <f t="shared" si="991"/>
        <v>0</v>
      </c>
      <c r="CK371" s="2424">
        <f t="shared" si="992"/>
        <v>0</v>
      </c>
      <c r="CL371" s="2424">
        <f t="shared" si="993"/>
        <v>10498560</v>
      </c>
      <c r="CM371" s="3205"/>
      <c r="CQ371" s="2424">
        <f t="shared" si="994"/>
        <v>10498560</v>
      </c>
      <c r="CR371" s="2424">
        <f t="shared" si="995"/>
        <v>0</v>
      </c>
      <c r="CS371" s="2424">
        <f t="shared" si="996"/>
        <v>0</v>
      </c>
      <c r="CT371" s="2424">
        <f t="shared" si="997"/>
        <v>10498560</v>
      </c>
      <c r="CU371" s="3205"/>
      <c r="CY371" s="2424">
        <f t="shared" si="998"/>
        <v>10498560</v>
      </c>
      <c r="CZ371" s="2424">
        <f t="shared" si="999"/>
        <v>0</v>
      </c>
      <c r="DA371" s="2424">
        <f t="shared" si="1000"/>
        <v>0</v>
      </c>
      <c r="DB371" s="2424">
        <f t="shared" si="1001"/>
        <v>10498560</v>
      </c>
      <c r="DC371" s="3205"/>
      <c r="DG371" s="2424">
        <f t="shared" si="1002"/>
        <v>10498560</v>
      </c>
      <c r="DH371" s="2424">
        <f t="shared" si="1003"/>
        <v>0</v>
      </c>
      <c r="DI371" s="2424">
        <f t="shared" si="1004"/>
        <v>0</v>
      </c>
      <c r="DJ371" s="2424">
        <f t="shared" si="1005"/>
        <v>10498560</v>
      </c>
      <c r="DK371" s="3205"/>
      <c r="DO371" s="2424">
        <f t="shared" si="1006"/>
        <v>10498560</v>
      </c>
      <c r="DP371" s="2424">
        <f t="shared" si="1007"/>
        <v>0</v>
      </c>
      <c r="DQ371" s="2424">
        <f t="shared" si="1008"/>
        <v>0</v>
      </c>
      <c r="DR371" s="2424">
        <f t="shared" si="1009"/>
        <v>10498560</v>
      </c>
      <c r="DS371" s="3205"/>
      <c r="DW371" s="2424">
        <f t="shared" si="1010"/>
        <v>10498560</v>
      </c>
      <c r="DX371" s="2424">
        <f t="shared" si="1011"/>
        <v>0</v>
      </c>
      <c r="DY371" s="2424">
        <f t="shared" si="1012"/>
        <v>0</v>
      </c>
      <c r="DZ371" s="2424">
        <f t="shared" si="1013"/>
        <v>10498560</v>
      </c>
      <c r="EA371" s="3205"/>
      <c r="EE371" s="2424">
        <f t="shared" si="1014"/>
        <v>10498560</v>
      </c>
      <c r="EF371" s="2424">
        <f t="shared" si="1015"/>
        <v>0</v>
      </c>
      <c r="EG371" s="2424">
        <f t="shared" si="1016"/>
        <v>0</v>
      </c>
      <c r="EH371" s="2424">
        <f t="shared" si="1017"/>
        <v>10498560</v>
      </c>
      <c r="EI371" s="3205"/>
      <c r="EM371" s="2424">
        <f t="shared" si="1018"/>
        <v>10498560</v>
      </c>
      <c r="EN371" s="2424">
        <f t="shared" si="1019"/>
        <v>0</v>
      </c>
      <c r="EO371" s="2424">
        <f t="shared" si="1020"/>
        <v>0</v>
      </c>
      <c r="EP371" s="2424">
        <f t="shared" si="1021"/>
        <v>10498560</v>
      </c>
      <c r="EQ371" s="3205"/>
      <c r="EU371" s="2424">
        <f t="shared" si="1022"/>
        <v>10498560</v>
      </c>
      <c r="EV371" s="2424">
        <f t="shared" si="1023"/>
        <v>0</v>
      </c>
      <c r="EW371" s="2424">
        <f t="shared" si="1024"/>
        <v>0</v>
      </c>
      <c r="EX371" s="2424">
        <f t="shared" si="1025"/>
        <v>10498560</v>
      </c>
      <c r="EY371" s="3205"/>
      <c r="FC371" s="2424">
        <f t="shared" si="1026"/>
        <v>10498560</v>
      </c>
      <c r="FD371" s="2424">
        <f t="shared" si="1027"/>
        <v>0</v>
      </c>
      <c r="FE371" s="2424">
        <f t="shared" si="1028"/>
        <v>0</v>
      </c>
      <c r="FF371" s="2424">
        <f t="shared" si="1029"/>
        <v>10498560</v>
      </c>
      <c r="FG371" s="3205"/>
      <c r="FK371" s="2424">
        <f t="shared" si="1030"/>
        <v>10498560</v>
      </c>
      <c r="FL371" s="2424">
        <f t="shared" si="1031"/>
        <v>0</v>
      </c>
      <c r="FM371" s="2424">
        <f t="shared" si="1032"/>
        <v>0</v>
      </c>
      <c r="FN371" s="2424">
        <f t="shared" si="1033"/>
        <v>10498560</v>
      </c>
      <c r="FO371" s="3205"/>
    </row>
    <row r="372" spans="2:171">
      <c r="B372" s="3136"/>
      <c r="C372" s="3086" t="s">
        <v>511</v>
      </c>
      <c r="D372" s="3086"/>
      <c r="E372" s="3234" t="str">
        <f>Ratios!C15</f>
        <v>DIST</v>
      </c>
      <c r="G372" s="2424">
        <f>Ratios!D15</f>
        <v>40805168</v>
      </c>
      <c r="H372" s="2424">
        <f>Ratios!E15</f>
        <v>0</v>
      </c>
      <c r="I372" s="2424">
        <f>Ratios!F15</f>
        <v>0</v>
      </c>
      <c r="J372" s="2424">
        <f>Ratios!G15</f>
        <v>40805168</v>
      </c>
      <c r="K372" s="3205">
        <f t="shared" si="953"/>
        <v>1</v>
      </c>
      <c r="O372" s="2424">
        <f t="shared" si="954"/>
        <v>40805168</v>
      </c>
      <c r="P372" s="2424">
        <f t="shared" si="955"/>
        <v>0</v>
      </c>
      <c r="Q372" s="2424">
        <f t="shared" si="956"/>
        <v>0</v>
      </c>
      <c r="R372" s="2424">
        <f t="shared" si="957"/>
        <v>40805168</v>
      </c>
      <c r="S372" s="3205"/>
      <c r="W372" s="2424">
        <f t="shared" si="958"/>
        <v>40805168</v>
      </c>
      <c r="X372" s="2424">
        <f t="shared" si="959"/>
        <v>0</v>
      </c>
      <c r="Y372" s="2424">
        <f t="shared" si="960"/>
        <v>0</v>
      </c>
      <c r="Z372" s="2424">
        <f t="shared" si="961"/>
        <v>40805168</v>
      </c>
      <c r="AA372" s="3205"/>
      <c r="AE372" s="2424">
        <f t="shared" si="962"/>
        <v>40805168</v>
      </c>
      <c r="AF372" s="2424">
        <f t="shared" si="963"/>
        <v>0</v>
      </c>
      <c r="AG372" s="2424">
        <f t="shared" si="964"/>
        <v>0</v>
      </c>
      <c r="AH372" s="2424">
        <f t="shared" si="965"/>
        <v>40805168</v>
      </c>
      <c r="AI372" s="3205"/>
      <c r="AM372" s="2424">
        <f t="shared" si="966"/>
        <v>40805168</v>
      </c>
      <c r="AN372" s="2424">
        <f t="shared" si="967"/>
        <v>0</v>
      </c>
      <c r="AO372" s="2424">
        <f t="shared" si="968"/>
        <v>0</v>
      </c>
      <c r="AP372" s="2424">
        <f t="shared" si="969"/>
        <v>40805168</v>
      </c>
      <c r="AQ372" s="3205"/>
      <c r="AU372" s="2424">
        <f t="shared" si="970"/>
        <v>40805168</v>
      </c>
      <c r="AV372" s="2424">
        <f t="shared" si="971"/>
        <v>0</v>
      </c>
      <c r="AW372" s="2424">
        <f t="shared" si="972"/>
        <v>0</v>
      </c>
      <c r="AX372" s="2424">
        <f t="shared" si="973"/>
        <v>40805168</v>
      </c>
      <c r="AY372" s="3205"/>
      <c r="BC372" s="2424">
        <f t="shared" si="974"/>
        <v>40805168</v>
      </c>
      <c r="BD372" s="2424">
        <f t="shared" si="975"/>
        <v>0</v>
      </c>
      <c r="BE372" s="2424">
        <f t="shared" si="976"/>
        <v>0</v>
      </c>
      <c r="BF372" s="2424">
        <f t="shared" si="977"/>
        <v>40805168</v>
      </c>
      <c r="BG372" s="3205"/>
      <c r="BK372" s="2424">
        <f t="shared" si="978"/>
        <v>40805168</v>
      </c>
      <c r="BL372" s="2424">
        <f t="shared" si="979"/>
        <v>0</v>
      </c>
      <c r="BM372" s="2424">
        <f t="shared" si="980"/>
        <v>0</v>
      </c>
      <c r="BN372" s="2424">
        <f t="shared" si="981"/>
        <v>40805168</v>
      </c>
      <c r="BO372" s="3205"/>
      <c r="BS372" s="2424">
        <f t="shared" si="982"/>
        <v>40805168</v>
      </c>
      <c r="BT372" s="2424">
        <f t="shared" si="983"/>
        <v>0</v>
      </c>
      <c r="BU372" s="2424">
        <f t="shared" si="984"/>
        <v>0</v>
      </c>
      <c r="BV372" s="2424">
        <f t="shared" si="985"/>
        <v>40805168</v>
      </c>
      <c r="BW372" s="3205"/>
      <c r="CA372" s="2424">
        <f t="shared" si="986"/>
        <v>40805168</v>
      </c>
      <c r="CB372" s="2424">
        <f t="shared" si="987"/>
        <v>0</v>
      </c>
      <c r="CC372" s="2424">
        <f t="shared" si="988"/>
        <v>0</v>
      </c>
      <c r="CD372" s="2424">
        <f t="shared" si="989"/>
        <v>40805168</v>
      </c>
      <c r="CE372" s="3205"/>
      <c r="CI372" s="2424">
        <f t="shared" si="990"/>
        <v>40805168</v>
      </c>
      <c r="CJ372" s="2424">
        <f t="shared" si="991"/>
        <v>0</v>
      </c>
      <c r="CK372" s="2424">
        <f t="shared" si="992"/>
        <v>0</v>
      </c>
      <c r="CL372" s="2424">
        <f t="shared" si="993"/>
        <v>40805168</v>
      </c>
      <c r="CM372" s="3205"/>
      <c r="CQ372" s="2424">
        <f t="shared" si="994"/>
        <v>40805168</v>
      </c>
      <c r="CR372" s="2424">
        <f t="shared" si="995"/>
        <v>0</v>
      </c>
      <c r="CS372" s="2424">
        <f t="shared" si="996"/>
        <v>0</v>
      </c>
      <c r="CT372" s="2424">
        <f t="shared" si="997"/>
        <v>40805168</v>
      </c>
      <c r="CU372" s="3205"/>
      <c r="CY372" s="2424">
        <f t="shared" si="998"/>
        <v>40805168</v>
      </c>
      <c r="CZ372" s="2424">
        <f t="shared" si="999"/>
        <v>0</v>
      </c>
      <c r="DA372" s="2424">
        <f t="shared" si="1000"/>
        <v>0</v>
      </c>
      <c r="DB372" s="2424">
        <f t="shared" si="1001"/>
        <v>40805168</v>
      </c>
      <c r="DC372" s="3205"/>
      <c r="DG372" s="2424">
        <f t="shared" si="1002"/>
        <v>40805168</v>
      </c>
      <c r="DH372" s="2424">
        <f t="shared" si="1003"/>
        <v>0</v>
      </c>
      <c r="DI372" s="2424">
        <f t="shared" si="1004"/>
        <v>0</v>
      </c>
      <c r="DJ372" s="2424">
        <f t="shared" si="1005"/>
        <v>40805168</v>
      </c>
      <c r="DK372" s="3205"/>
      <c r="DO372" s="2424">
        <f t="shared" si="1006"/>
        <v>40805168</v>
      </c>
      <c r="DP372" s="2424">
        <f t="shared" si="1007"/>
        <v>0</v>
      </c>
      <c r="DQ372" s="2424">
        <f t="shared" si="1008"/>
        <v>0</v>
      </c>
      <c r="DR372" s="2424">
        <f t="shared" si="1009"/>
        <v>40805168</v>
      </c>
      <c r="DS372" s="3205"/>
      <c r="DW372" s="2424">
        <f t="shared" si="1010"/>
        <v>40805168</v>
      </c>
      <c r="DX372" s="2424">
        <f t="shared" si="1011"/>
        <v>0</v>
      </c>
      <c r="DY372" s="2424">
        <f t="shared" si="1012"/>
        <v>0</v>
      </c>
      <c r="DZ372" s="2424">
        <f t="shared" si="1013"/>
        <v>40805168</v>
      </c>
      <c r="EA372" s="3205"/>
      <c r="EE372" s="2424">
        <f t="shared" si="1014"/>
        <v>40805168</v>
      </c>
      <c r="EF372" s="2424">
        <f t="shared" si="1015"/>
        <v>0</v>
      </c>
      <c r="EG372" s="2424">
        <f t="shared" si="1016"/>
        <v>0</v>
      </c>
      <c r="EH372" s="2424">
        <f t="shared" si="1017"/>
        <v>40805168</v>
      </c>
      <c r="EI372" s="3205"/>
      <c r="EM372" s="2424">
        <f t="shared" si="1018"/>
        <v>40805168</v>
      </c>
      <c r="EN372" s="2424">
        <f t="shared" si="1019"/>
        <v>0</v>
      </c>
      <c r="EO372" s="2424">
        <f t="shared" si="1020"/>
        <v>0</v>
      </c>
      <c r="EP372" s="2424">
        <f t="shared" si="1021"/>
        <v>40805168</v>
      </c>
      <c r="EQ372" s="3205"/>
      <c r="EU372" s="2424">
        <f t="shared" si="1022"/>
        <v>40805168</v>
      </c>
      <c r="EV372" s="2424">
        <f t="shared" si="1023"/>
        <v>0</v>
      </c>
      <c r="EW372" s="2424">
        <f t="shared" si="1024"/>
        <v>0</v>
      </c>
      <c r="EX372" s="2424">
        <f t="shared" si="1025"/>
        <v>40805168</v>
      </c>
      <c r="EY372" s="3205"/>
      <c r="FC372" s="2424">
        <f t="shared" si="1026"/>
        <v>40805168</v>
      </c>
      <c r="FD372" s="2424">
        <f t="shared" si="1027"/>
        <v>0</v>
      </c>
      <c r="FE372" s="2424">
        <f t="shared" si="1028"/>
        <v>0</v>
      </c>
      <c r="FF372" s="2424">
        <f t="shared" si="1029"/>
        <v>40805168</v>
      </c>
      <c r="FG372" s="3205"/>
      <c r="FK372" s="2424">
        <f t="shared" si="1030"/>
        <v>40805168</v>
      </c>
      <c r="FL372" s="2424">
        <f t="shared" si="1031"/>
        <v>0</v>
      </c>
      <c r="FM372" s="2424">
        <f t="shared" si="1032"/>
        <v>0</v>
      </c>
      <c r="FN372" s="2424">
        <f t="shared" si="1033"/>
        <v>40805168</v>
      </c>
      <c r="FO372" s="3205"/>
    </row>
    <row r="373" spans="2:171">
      <c r="B373" s="3136"/>
      <c r="C373" s="3086" t="s">
        <v>512</v>
      </c>
      <c r="D373" s="3086"/>
      <c r="E373" s="3234" t="str">
        <f>Ratios!C16</f>
        <v>DIST</v>
      </c>
      <c r="G373" s="2424">
        <f>Ratios!D16</f>
        <v>10042836</v>
      </c>
      <c r="H373" s="2424">
        <f>Ratios!E16</f>
        <v>0</v>
      </c>
      <c r="I373" s="2424">
        <f>Ratios!F16</f>
        <v>0</v>
      </c>
      <c r="J373" s="2424">
        <f>Ratios!G16</f>
        <v>10042836</v>
      </c>
      <c r="K373" s="3205">
        <f t="shared" si="953"/>
        <v>1</v>
      </c>
      <c r="O373" s="2424">
        <f t="shared" si="954"/>
        <v>10042836</v>
      </c>
      <c r="P373" s="2424">
        <f t="shared" si="955"/>
        <v>0</v>
      </c>
      <c r="Q373" s="2424">
        <f t="shared" si="956"/>
        <v>0</v>
      </c>
      <c r="R373" s="2424">
        <f t="shared" si="957"/>
        <v>10042836</v>
      </c>
      <c r="S373" s="3205"/>
      <c r="W373" s="2424">
        <f t="shared" si="958"/>
        <v>10042836</v>
      </c>
      <c r="X373" s="2424">
        <f t="shared" si="959"/>
        <v>0</v>
      </c>
      <c r="Y373" s="2424">
        <f t="shared" si="960"/>
        <v>0</v>
      </c>
      <c r="Z373" s="2424">
        <f t="shared" si="961"/>
        <v>10042836</v>
      </c>
      <c r="AA373" s="3205"/>
      <c r="AE373" s="2424">
        <f t="shared" si="962"/>
        <v>10042836</v>
      </c>
      <c r="AF373" s="2424">
        <f t="shared" si="963"/>
        <v>0</v>
      </c>
      <c r="AG373" s="2424">
        <f t="shared" si="964"/>
        <v>0</v>
      </c>
      <c r="AH373" s="2424">
        <f t="shared" si="965"/>
        <v>10042836</v>
      </c>
      <c r="AI373" s="3205"/>
      <c r="AM373" s="2424">
        <f t="shared" si="966"/>
        <v>10042836</v>
      </c>
      <c r="AN373" s="2424">
        <f t="shared" si="967"/>
        <v>0</v>
      </c>
      <c r="AO373" s="2424">
        <f t="shared" si="968"/>
        <v>0</v>
      </c>
      <c r="AP373" s="2424">
        <f t="shared" si="969"/>
        <v>10042836</v>
      </c>
      <c r="AQ373" s="3205"/>
      <c r="AU373" s="2424">
        <f t="shared" si="970"/>
        <v>10042836</v>
      </c>
      <c r="AV373" s="2424">
        <f t="shared" si="971"/>
        <v>0</v>
      </c>
      <c r="AW373" s="2424">
        <f t="shared" si="972"/>
        <v>0</v>
      </c>
      <c r="AX373" s="2424">
        <f t="shared" si="973"/>
        <v>10042836</v>
      </c>
      <c r="AY373" s="3205"/>
      <c r="BC373" s="2424">
        <f t="shared" si="974"/>
        <v>10042836</v>
      </c>
      <c r="BD373" s="2424">
        <f t="shared" si="975"/>
        <v>0</v>
      </c>
      <c r="BE373" s="2424">
        <f t="shared" si="976"/>
        <v>0</v>
      </c>
      <c r="BF373" s="2424">
        <f t="shared" si="977"/>
        <v>10042836</v>
      </c>
      <c r="BG373" s="3205"/>
      <c r="BK373" s="2424">
        <f t="shared" si="978"/>
        <v>10042836</v>
      </c>
      <c r="BL373" s="2424">
        <f t="shared" si="979"/>
        <v>0</v>
      </c>
      <c r="BM373" s="2424">
        <f t="shared" si="980"/>
        <v>0</v>
      </c>
      <c r="BN373" s="2424">
        <f t="shared" si="981"/>
        <v>10042836</v>
      </c>
      <c r="BO373" s="3205"/>
      <c r="BS373" s="2424">
        <f t="shared" si="982"/>
        <v>10042836</v>
      </c>
      <c r="BT373" s="2424">
        <f t="shared" si="983"/>
        <v>0</v>
      </c>
      <c r="BU373" s="2424">
        <f t="shared" si="984"/>
        <v>0</v>
      </c>
      <c r="BV373" s="2424">
        <f t="shared" si="985"/>
        <v>10042836</v>
      </c>
      <c r="BW373" s="3205"/>
      <c r="CA373" s="2424">
        <f t="shared" si="986"/>
        <v>10042836</v>
      </c>
      <c r="CB373" s="2424">
        <f t="shared" si="987"/>
        <v>0</v>
      </c>
      <c r="CC373" s="2424">
        <f t="shared" si="988"/>
        <v>0</v>
      </c>
      <c r="CD373" s="2424">
        <f t="shared" si="989"/>
        <v>10042836</v>
      </c>
      <c r="CE373" s="3205"/>
      <c r="CI373" s="2424">
        <f t="shared" si="990"/>
        <v>10042836</v>
      </c>
      <c r="CJ373" s="2424">
        <f t="shared" si="991"/>
        <v>0</v>
      </c>
      <c r="CK373" s="2424">
        <f t="shared" si="992"/>
        <v>0</v>
      </c>
      <c r="CL373" s="2424">
        <f t="shared" si="993"/>
        <v>10042836</v>
      </c>
      <c r="CM373" s="3205"/>
      <c r="CQ373" s="2424">
        <f t="shared" si="994"/>
        <v>10042836</v>
      </c>
      <c r="CR373" s="2424">
        <f t="shared" si="995"/>
        <v>0</v>
      </c>
      <c r="CS373" s="2424">
        <f t="shared" si="996"/>
        <v>0</v>
      </c>
      <c r="CT373" s="2424">
        <f t="shared" si="997"/>
        <v>10042836</v>
      </c>
      <c r="CU373" s="3205"/>
      <c r="CY373" s="2424">
        <f t="shared" si="998"/>
        <v>10042836</v>
      </c>
      <c r="CZ373" s="2424">
        <f t="shared" si="999"/>
        <v>0</v>
      </c>
      <c r="DA373" s="2424">
        <f t="shared" si="1000"/>
        <v>0</v>
      </c>
      <c r="DB373" s="2424">
        <f t="shared" si="1001"/>
        <v>10042836</v>
      </c>
      <c r="DC373" s="3205"/>
      <c r="DG373" s="2424">
        <f t="shared" si="1002"/>
        <v>10042836</v>
      </c>
      <c r="DH373" s="2424">
        <f t="shared" si="1003"/>
        <v>0</v>
      </c>
      <c r="DI373" s="2424">
        <f t="shared" si="1004"/>
        <v>0</v>
      </c>
      <c r="DJ373" s="2424">
        <f t="shared" si="1005"/>
        <v>10042836</v>
      </c>
      <c r="DK373" s="3205"/>
      <c r="DO373" s="2424">
        <f t="shared" si="1006"/>
        <v>10042836</v>
      </c>
      <c r="DP373" s="2424">
        <f t="shared" si="1007"/>
        <v>0</v>
      </c>
      <c r="DQ373" s="2424">
        <f t="shared" si="1008"/>
        <v>0</v>
      </c>
      <c r="DR373" s="2424">
        <f t="shared" si="1009"/>
        <v>10042836</v>
      </c>
      <c r="DS373" s="3205"/>
      <c r="DW373" s="2424">
        <f t="shared" si="1010"/>
        <v>10042836</v>
      </c>
      <c r="DX373" s="2424">
        <f t="shared" si="1011"/>
        <v>0</v>
      </c>
      <c r="DY373" s="2424">
        <f t="shared" si="1012"/>
        <v>0</v>
      </c>
      <c r="DZ373" s="2424">
        <f t="shared" si="1013"/>
        <v>10042836</v>
      </c>
      <c r="EA373" s="3205"/>
      <c r="EE373" s="2424">
        <f t="shared" si="1014"/>
        <v>10042836</v>
      </c>
      <c r="EF373" s="2424">
        <f t="shared" si="1015"/>
        <v>0</v>
      </c>
      <c r="EG373" s="2424">
        <f t="shared" si="1016"/>
        <v>0</v>
      </c>
      <c r="EH373" s="2424">
        <f t="shared" si="1017"/>
        <v>10042836</v>
      </c>
      <c r="EI373" s="3205"/>
      <c r="EM373" s="2424">
        <f t="shared" si="1018"/>
        <v>10042836</v>
      </c>
      <c r="EN373" s="2424">
        <f t="shared" si="1019"/>
        <v>0</v>
      </c>
      <c r="EO373" s="2424">
        <f t="shared" si="1020"/>
        <v>0</v>
      </c>
      <c r="EP373" s="2424">
        <f t="shared" si="1021"/>
        <v>10042836</v>
      </c>
      <c r="EQ373" s="3205"/>
      <c r="EU373" s="2424">
        <f t="shared" si="1022"/>
        <v>10042836</v>
      </c>
      <c r="EV373" s="2424">
        <f t="shared" si="1023"/>
        <v>0</v>
      </c>
      <c r="EW373" s="2424">
        <f t="shared" si="1024"/>
        <v>0</v>
      </c>
      <c r="EX373" s="2424">
        <f t="shared" si="1025"/>
        <v>10042836</v>
      </c>
      <c r="EY373" s="3205"/>
      <c r="FC373" s="2424">
        <f t="shared" si="1026"/>
        <v>10042836</v>
      </c>
      <c r="FD373" s="2424">
        <f t="shared" si="1027"/>
        <v>0</v>
      </c>
      <c r="FE373" s="2424">
        <f t="shared" si="1028"/>
        <v>0</v>
      </c>
      <c r="FF373" s="2424">
        <f t="shared" si="1029"/>
        <v>10042836</v>
      </c>
      <c r="FG373" s="3205"/>
      <c r="FK373" s="2424">
        <f t="shared" si="1030"/>
        <v>10042836</v>
      </c>
      <c r="FL373" s="2424">
        <f t="shared" si="1031"/>
        <v>0</v>
      </c>
      <c r="FM373" s="2424">
        <f t="shared" si="1032"/>
        <v>0</v>
      </c>
      <c r="FN373" s="2424">
        <f t="shared" si="1033"/>
        <v>10042836</v>
      </c>
      <c r="FO373" s="3205"/>
    </row>
    <row r="374" spans="2:171">
      <c r="B374" s="3136"/>
      <c r="C374" s="3399" t="s">
        <v>513</v>
      </c>
      <c r="D374" s="3399"/>
      <c r="E374" s="3234" t="str">
        <f>Ratios!C17</f>
        <v>DIST</v>
      </c>
      <c r="G374" s="2424">
        <f>Ratios!D17</f>
        <v>2377648</v>
      </c>
      <c r="H374" s="2424">
        <f>Ratios!E17</f>
        <v>0</v>
      </c>
      <c r="I374" s="2424">
        <f>Ratios!F17</f>
        <v>0</v>
      </c>
      <c r="J374" s="2424">
        <f>Ratios!G17</f>
        <v>2377648</v>
      </c>
      <c r="K374" s="3205">
        <f t="shared" si="953"/>
        <v>1</v>
      </c>
      <c r="O374" s="2424">
        <f t="shared" si="954"/>
        <v>2377648</v>
      </c>
      <c r="P374" s="2424">
        <f t="shared" si="955"/>
        <v>0</v>
      </c>
      <c r="Q374" s="2424">
        <f t="shared" si="956"/>
        <v>0</v>
      </c>
      <c r="R374" s="2424">
        <f t="shared" si="957"/>
        <v>2377648</v>
      </c>
      <c r="S374" s="3205"/>
      <c r="W374" s="2424">
        <f t="shared" si="958"/>
        <v>2377648</v>
      </c>
      <c r="X374" s="2424">
        <f t="shared" si="959"/>
        <v>0</v>
      </c>
      <c r="Y374" s="2424">
        <f t="shared" si="960"/>
        <v>0</v>
      </c>
      <c r="Z374" s="2424">
        <f t="shared" si="961"/>
        <v>2377648</v>
      </c>
      <c r="AA374" s="3205"/>
      <c r="AE374" s="2424">
        <f t="shared" si="962"/>
        <v>2377648</v>
      </c>
      <c r="AF374" s="2424">
        <f t="shared" si="963"/>
        <v>0</v>
      </c>
      <c r="AG374" s="2424">
        <f t="shared" si="964"/>
        <v>0</v>
      </c>
      <c r="AH374" s="2424">
        <f t="shared" si="965"/>
        <v>2377648</v>
      </c>
      <c r="AI374" s="3205"/>
      <c r="AM374" s="2424">
        <f t="shared" si="966"/>
        <v>2377648</v>
      </c>
      <c r="AN374" s="2424">
        <f t="shared" si="967"/>
        <v>0</v>
      </c>
      <c r="AO374" s="2424">
        <f t="shared" si="968"/>
        <v>0</v>
      </c>
      <c r="AP374" s="2424">
        <f t="shared" si="969"/>
        <v>2377648</v>
      </c>
      <c r="AQ374" s="3205"/>
      <c r="AU374" s="2424">
        <f t="shared" si="970"/>
        <v>2377648</v>
      </c>
      <c r="AV374" s="2424">
        <f t="shared" si="971"/>
        <v>0</v>
      </c>
      <c r="AW374" s="2424">
        <f t="shared" si="972"/>
        <v>0</v>
      </c>
      <c r="AX374" s="2424">
        <f t="shared" si="973"/>
        <v>2377648</v>
      </c>
      <c r="AY374" s="3205"/>
      <c r="BC374" s="2424">
        <f t="shared" si="974"/>
        <v>2377648</v>
      </c>
      <c r="BD374" s="2424">
        <f t="shared" si="975"/>
        <v>0</v>
      </c>
      <c r="BE374" s="2424">
        <f t="shared" si="976"/>
        <v>0</v>
      </c>
      <c r="BF374" s="2424">
        <f t="shared" si="977"/>
        <v>2377648</v>
      </c>
      <c r="BG374" s="3205"/>
      <c r="BK374" s="2424">
        <f t="shared" si="978"/>
        <v>2377648</v>
      </c>
      <c r="BL374" s="2424">
        <f t="shared" si="979"/>
        <v>0</v>
      </c>
      <c r="BM374" s="2424">
        <f t="shared" si="980"/>
        <v>0</v>
      </c>
      <c r="BN374" s="2424">
        <f t="shared" si="981"/>
        <v>2377648</v>
      </c>
      <c r="BO374" s="3205"/>
      <c r="BS374" s="2424">
        <f t="shared" si="982"/>
        <v>2377648</v>
      </c>
      <c r="BT374" s="2424">
        <f t="shared" si="983"/>
        <v>0</v>
      </c>
      <c r="BU374" s="2424">
        <f t="shared" si="984"/>
        <v>0</v>
      </c>
      <c r="BV374" s="2424">
        <f t="shared" si="985"/>
        <v>2377648</v>
      </c>
      <c r="BW374" s="3205"/>
      <c r="CA374" s="2424">
        <f t="shared" si="986"/>
        <v>2377648</v>
      </c>
      <c r="CB374" s="2424">
        <f t="shared" si="987"/>
        <v>0</v>
      </c>
      <c r="CC374" s="2424">
        <f t="shared" si="988"/>
        <v>0</v>
      </c>
      <c r="CD374" s="2424">
        <f t="shared" si="989"/>
        <v>2377648</v>
      </c>
      <c r="CE374" s="3205"/>
      <c r="CI374" s="2424">
        <f t="shared" si="990"/>
        <v>2377648</v>
      </c>
      <c r="CJ374" s="2424">
        <f t="shared" si="991"/>
        <v>0</v>
      </c>
      <c r="CK374" s="2424">
        <f t="shared" si="992"/>
        <v>0</v>
      </c>
      <c r="CL374" s="2424">
        <f t="shared" si="993"/>
        <v>2377648</v>
      </c>
      <c r="CM374" s="3205"/>
      <c r="CQ374" s="2424">
        <f t="shared" si="994"/>
        <v>2377648</v>
      </c>
      <c r="CR374" s="2424">
        <f t="shared" si="995"/>
        <v>0</v>
      </c>
      <c r="CS374" s="2424">
        <f t="shared" si="996"/>
        <v>0</v>
      </c>
      <c r="CT374" s="2424">
        <f t="shared" si="997"/>
        <v>2377648</v>
      </c>
      <c r="CU374" s="3205"/>
      <c r="CY374" s="2424">
        <f t="shared" si="998"/>
        <v>2377648</v>
      </c>
      <c r="CZ374" s="2424">
        <f t="shared" si="999"/>
        <v>0</v>
      </c>
      <c r="DA374" s="2424">
        <f t="shared" si="1000"/>
        <v>0</v>
      </c>
      <c r="DB374" s="2424">
        <f t="shared" si="1001"/>
        <v>2377648</v>
      </c>
      <c r="DC374" s="3205"/>
      <c r="DG374" s="2424">
        <f t="shared" si="1002"/>
        <v>2377648</v>
      </c>
      <c r="DH374" s="2424">
        <f t="shared" si="1003"/>
        <v>0</v>
      </c>
      <c r="DI374" s="2424">
        <f t="shared" si="1004"/>
        <v>0</v>
      </c>
      <c r="DJ374" s="2424">
        <f t="shared" si="1005"/>
        <v>2377648</v>
      </c>
      <c r="DK374" s="3205"/>
      <c r="DO374" s="2424">
        <f t="shared" si="1006"/>
        <v>2377648</v>
      </c>
      <c r="DP374" s="2424">
        <f t="shared" si="1007"/>
        <v>0</v>
      </c>
      <c r="DQ374" s="2424">
        <f t="shared" si="1008"/>
        <v>0</v>
      </c>
      <c r="DR374" s="2424">
        <f t="shared" si="1009"/>
        <v>2377648</v>
      </c>
      <c r="DS374" s="3205"/>
      <c r="DW374" s="2424">
        <f t="shared" si="1010"/>
        <v>2377648</v>
      </c>
      <c r="DX374" s="2424">
        <f t="shared" si="1011"/>
        <v>0</v>
      </c>
      <c r="DY374" s="2424">
        <f t="shared" si="1012"/>
        <v>0</v>
      </c>
      <c r="DZ374" s="2424">
        <f t="shared" si="1013"/>
        <v>2377648</v>
      </c>
      <c r="EA374" s="3205"/>
      <c r="EE374" s="2424">
        <f t="shared" si="1014"/>
        <v>2377648</v>
      </c>
      <c r="EF374" s="2424">
        <f t="shared" si="1015"/>
        <v>0</v>
      </c>
      <c r="EG374" s="2424">
        <f t="shared" si="1016"/>
        <v>0</v>
      </c>
      <c r="EH374" s="2424">
        <f t="shared" si="1017"/>
        <v>2377648</v>
      </c>
      <c r="EI374" s="3205"/>
      <c r="EM374" s="2424">
        <f t="shared" si="1018"/>
        <v>2377648</v>
      </c>
      <c r="EN374" s="2424">
        <f t="shared" si="1019"/>
        <v>0</v>
      </c>
      <c r="EO374" s="2424">
        <f t="shared" si="1020"/>
        <v>0</v>
      </c>
      <c r="EP374" s="2424">
        <f t="shared" si="1021"/>
        <v>2377648</v>
      </c>
      <c r="EQ374" s="3205"/>
      <c r="EU374" s="2424">
        <f t="shared" si="1022"/>
        <v>2377648</v>
      </c>
      <c r="EV374" s="2424">
        <f t="shared" si="1023"/>
        <v>0</v>
      </c>
      <c r="EW374" s="2424">
        <f t="shared" si="1024"/>
        <v>0</v>
      </c>
      <c r="EX374" s="2424">
        <f t="shared" si="1025"/>
        <v>2377648</v>
      </c>
      <c r="EY374" s="3205"/>
      <c r="FC374" s="2424">
        <f t="shared" si="1026"/>
        <v>2377648</v>
      </c>
      <c r="FD374" s="2424">
        <f t="shared" si="1027"/>
        <v>0</v>
      </c>
      <c r="FE374" s="2424">
        <f t="shared" si="1028"/>
        <v>0</v>
      </c>
      <c r="FF374" s="2424">
        <f t="shared" si="1029"/>
        <v>2377648</v>
      </c>
      <c r="FG374" s="3205"/>
      <c r="FK374" s="2424">
        <f t="shared" si="1030"/>
        <v>2377648</v>
      </c>
      <c r="FL374" s="2424">
        <f t="shared" si="1031"/>
        <v>0</v>
      </c>
      <c r="FM374" s="2424">
        <f t="shared" si="1032"/>
        <v>0</v>
      </c>
      <c r="FN374" s="2424">
        <f t="shared" si="1033"/>
        <v>2377648</v>
      </c>
      <c r="FO374" s="3205"/>
    </row>
    <row r="375" spans="2:171">
      <c r="B375" s="3136"/>
      <c r="C375" s="3086" t="s">
        <v>514</v>
      </c>
      <c r="D375" s="3086"/>
      <c r="E375" s="3234" t="str">
        <f>Ratios!C18</f>
        <v>DIST</v>
      </c>
      <c r="G375" s="2424">
        <f>Ratios!D18</f>
        <v>834733</v>
      </c>
      <c r="H375" s="2424">
        <f>Ratios!E18</f>
        <v>0</v>
      </c>
      <c r="I375" s="2424">
        <f>Ratios!F18</f>
        <v>0</v>
      </c>
      <c r="J375" s="2424">
        <f>Ratios!G18</f>
        <v>834733</v>
      </c>
      <c r="K375" s="3205">
        <f t="shared" si="953"/>
        <v>1</v>
      </c>
      <c r="O375" s="2424">
        <f t="shared" si="954"/>
        <v>834733</v>
      </c>
      <c r="P375" s="2424">
        <f t="shared" si="955"/>
        <v>0</v>
      </c>
      <c r="Q375" s="2424">
        <f t="shared" si="956"/>
        <v>0</v>
      </c>
      <c r="R375" s="2424">
        <f t="shared" si="957"/>
        <v>834733</v>
      </c>
      <c r="S375" s="3205"/>
      <c r="W375" s="2424">
        <f t="shared" si="958"/>
        <v>834733</v>
      </c>
      <c r="X375" s="2424">
        <f t="shared" si="959"/>
        <v>0</v>
      </c>
      <c r="Y375" s="2424">
        <f t="shared" si="960"/>
        <v>0</v>
      </c>
      <c r="Z375" s="2424">
        <f t="shared" si="961"/>
        <v>834733</v>
      </c>
      <c r="AA375" s="3205"/>
      <c r="AE375" s="2424">
        <f t="shared" si="962"/>
        <v>834733</v>
      </c>
      <c r="AF375" s="2424">
        <f t="shared" si="963"/>
        <v>0</v>
      </c>
      <c r="AG375" s="2424">
        <f t="shared" si="964"/>
        <v>0</v>
      </c>
      <c r="AH375" s="2424">
        <f t="shared" si="965"/>
        <v>834733</v>
      </c>
      <c r="AI375" s="3205"/>
      <c r="AM375" s="2424">
        <f t="shared" si="966"/>
        <v>834733</v>
      </c>
      <c r="AN375" s="2424">
        <f t="shared" si="967"/>
        <v>0</v>
      </c>
      <c r="AO375" s="2424">
        <f t="shared" si="968"/>
        <v>0</v>
      </c>
      <c r="AP375" s="2424">
        <f t="shared" si="969"/>
        <v>834733</v>
      </c>
      <c r="AQ375" s="3205"/>
      <c r="AU375" s="2424">
        <f t="shared" si="970"/>
        <v>834733</v>
      </c>
      <c r="AV375" s="2424">
        <f t="shared" si="971"/>
        <v>0</v>
      </c>
      <c r="AW375" s="2424">
        <f t="shared" si="972"/>
        <v>0</v>
      </c>
      <c r="AX375" s="2424">
        <f t="shared" si="973"/>
        <v>834733</v>
      </c>
      <c r="AY375" s="3205"/>
      <c r="BC375" s="2424">
        <f t="shared" si="974"/>
        <v>834733</v>
      </c>
      <c r="BD375" s="2424">
        <f t="shared" si="975"/>
        <v>0</v>
      </c>
      <c r="BE375" s="2424">
        <f t="shared" si="976"/>
        <v>0</v>
      </c>
      <c r="BF375" s="2424">
        <f t="shared" si="977"/>
        <v>834733</v>
      </c>
      <c r="BG375" s="3205"/>
      <c r="BK375" s="2424">
        <f t="shared" si="978"/>
        <v>834733</v>
      </c>
      <c r="BL375" s="2424">
        <f t="shared" si="979"/>
        <v>0</v>
      </c>
      <c r="BM375" s="2424">
        <f t="shared" si="980"/>
        <v>0</v>
      </c>
      <c r="BN375" s="2424">
        <f t="shared" si="981"/>
        <v>834733</v>
      </c>
      <c r="BO375" s="3205"/>
      <c r="BS375" s="2424">
        <f t="shared" si="982"/>
        <v>834733</v>
      </c>
      <c r="BT375" s="2424">
        <f t="shared" si="983"/>
        <v>0</v>
      </c>
      <c r="BU375" s="2424">
        <f t="shared" si="984"/>
        <v>0</v>
      </c>
      <c r="BV375" s="2424">
        <f t="shared" si="985"/>
        <v>834733</v>
      </c>
      <c r="BW375" s="3205"/>
      <c r="CA375" s="2424">
        <f t="shared" si="986"/>
        <v>834733</v>
      </c>
      <c r="CB375" s="2424">
        <f t="shared" si="987"/>
        <v>0</v>
      </c>
      <c r="CC375" s="2424">
        <f t="shared" si="988"/>
        <v>0</v>
      </c>
      <c r="CD375" s="2424">
        <f t="shared" si="989"/>
        <v>834733</v>
      </c>
      <c r="CE375" s="3205"/>
      <c r="CI375" s="2424">
        <f t="shared" si="990"/>
        <v>834733</v>
      </c>
      <c r="CJ375" s="2424">
        <f t="shared" si="991"/>
        <v>0</v>
      </c>
      <c r="CK375" s="2424">
        <f t="shared" si="992"/>
        <v>0</v>
      </c>
      <c r="CL375" s="2424">
        <f t="shared" si="993"/>
        <v>834733</v>
      </c>
      <c r="CM375" s="3205"/>
      <c r="CQ375" s="2424">
        <f t="shared" si="994"/>
        <v>834733</v>
      </c>
      <c r="CR375" s="2424">
        <f t="shared" si="995"/>
        <v>0</v>
      </c>
      <c r="CS375" s="2424">
        <f t="shared" si="996"/>
        <v>0</v>
      </c>
      <c r="CT375" s="2424">
        <f t="shared" si="997"/>
        <v>834733</v>
      </c>
      <c r="CU375" s="3205"/>
      <c r="CY375" s="2424">
        <f t="shared" si="998"/>
        <v>834733</v>
      </c>
      <c r="CZ375" s="2424">
        <f t="shared" si="999"/>
        <v>0</v>
      </c>
      <c r="DA375" s="2424">
        <f t="shared" si="1000"/>
        <v>0</v>
      </c>
      <c r="DB375" s="2424">
        <f t="shared" si="1001"/>
        <v>834733</v>
      </c>
      <c r="DC375" s="3205"/>
      <c r="DG375" s="2424">
        <f t="shared" si="1002"/>
        <v>834733</v>
      </c>
      <c r="DH375" s="2424">
        <f t="shared" si="1003"/>
        <v>0</v>
      </c>
      <c r="DI375" s="2424">
        <f t="shared" si="1004"/>
        <v>0</v>
      </c>
      <c r="DJ375" s="2424">
        <f t="shared" si="1005"/>
        <v>834733</v>
      </c>
      <c r="DK375" s="3205"/>
      <c r="DO375" s="2424">
        <f t="shared" si="1006"/>
        <v>834733</v>
      </c>
      <c r="DP375" s="2424">
        <f t="shared" si="1007"/>
        <v>0</v>
      </c>
      <c r="DQ375" s="2424">
        <f t="shared" si="1008"/>
        <v>0</v>
      </c>
      <c r="DR375" s="2424">
        <f t="shared" si="1009"/>
        <v>834733</v>
      </c>
      <c r="DS375" s="3205"/>
      <c r="DW375" s="2424">
        <f t="shared" si="1010"/>
        <v>834733</v>
      </c>
      <c r="DX375" s="2424">
        <f t="shared" si="1011"/>
        <v>0</v>
      </c>
      <c r="DY375" s="2424">
        <f t="shared" si="1012"/>
        <v>0</v>
      </c>
      <c r="DZ375" s="2424">
        <f t="shared" si="1013"/>
        <v>834733</v>
      </c>
      <c r="EA375" s="3205"/>
      <c r="EE375" s="2424">
        <f t="shared" si="1014"/>
        <v>834733</v>
      </c>
      <c r="EF375" s="2424">
        <f t="shared" si="1015"/>
        <v>0</v>
      </c>
      <c r="EG375" s="2424">
        <f t="shared" si="1016"/>
        <v>0</v>
      </c>
      <c r="EH375" s="2424">
        <f t="shared" si="1017"/>
        <v>834733</v>
      </c>
      <c r="EI375" s="3205"/>
      <c r="EM375" s="2424">
        <f t="shared" si="1018"/>
        <v>834733</v>
      </c>
      <c r="EN375" s="2424">
        <f t="shared" si="1019"/>
        <v>0</v>
      </c>
      <c r="EO375" s="2424">
        <f t="shared" si="1020"/>
        <v>0</v>
      </c>
      <c r="EP375" s="2424">
        <f t="shared" si="1021"/>
        <v>834733</v>
      </c>
      <c r="EQ375" s="3205"/>
      <c r="EU375" s="2424">
        <f t="shared" si="1022"/>
        <v>834733</v>
      </c>
      <c r="EV375" s="2424">
        <f t="shared" si="1023"/>
        <v>0</v>
      </c>
      <c r="EW375" s="2424">
        <f t="shared" si="1024"/>
        <v>0</v>
      </c>
      <c r="EX375" s="2424">
        <f t="shared" si="1025"/>
        <v>834733</v>
      </c>
      <c r="EY375" s="3205"/>
      <c r="FC375" s="2424">
        <f t="shared" si="1026"/>
        <v>834733</v>
      </c>
      <c r="FD375" s="2424">
        <f t="shared" si="1027"/>
        <v>0</v>
      </c>
      <c r="FE375" s="2424">
        <f t="shared" si="1028"/>
        <v>0</v>
      </c>
      <c r="FF375" s="2424">
        <f t="shared" si="1029"/>
        <v>834733</v>
      </c>
      <c r="FG375" s="3205"/>
      <c r="FK375" s="2424">
        <f t="shared" si="1030"/>
        <v>834733</v>
      </c>
      <c r="FL375" s="2424">
        <f t="shared" si="1031"/>
        <v>0</v>
      </c>
      <c r="FM375" s="2424">
        <f t="shared" si="1032"/>
        <v>0</v>
      </c>
      <c r="FN375" s="2424">
        <f t="shared" si="1033"/>
        <v>834733</v>
      </c>
      <c r="FO375" s="3205"/>
    </row>
    <row r="376" spans="2:171">
      <c r="B376" s="3136"/>
      <c r="C376" s="3086" t="s">
        <v>517</v>
      </c>
      <c r="D376" s="3086"/>
      <c r="E376" s="3234" t="str">
        <f>Ratios!C19</f>
        <v>PTD</v>
      </c>
      <c r="G376" s="2424">
        <f>Ratios!D19</f>
        <v>42547415</v>
      </c>
      <c r="H376" s="2424">
        <f>Ratios!E19</f>
        <v>14852939.347491231</v>
      </c>
      <c r="I376" s="2424">
        <f>Ratios!F19</f>
        <v>0</v>
      </c>
      <c r="J376" s="2424">
        <f>Ratios!G19</f>
        <v>27694475.652508773</v>
      </c>
      <c r="K376" s="3205">
        <f t="shared" si="953"/>
        <v>1</v>
      </c>
      <c r="O376" s="2424">
        <f t="shared" si="954"/>
        <v>42547415</v>
      </c>
      <c r="P376" s="2424">
        <f>VLOOKUP($E376,O$442:R$453,2,FALSE)*O376*($K376)+IF($G376&lt;&gt;0,($H376/$G376)*O376,0)*(1-$K376)</f>
        <v>14852939.347491231</v>
      </c>
      <c r="Q376" s="2424">
        <f>VLOOKUP($E376,O$442:R$453,3,FALSE)*O376*($K376)+IF($G376&lt;&gt;0,($I376/$G376)*O376,0)*(1-$K376)</f>
        <v>7583239.2156747524</v>
      </c>
      <c r="R376" s="2424">
        <f>VLOOKUP($E376,O$442:R$453,4,FALSE)*O376*($K376)+(O376-P376-Q376)*(1-$K376)</f>
        <v>20111236.436834019</v>
      </c>
      <c r="S376" s="3205"/>
      <c r="W376" s="2424">
        <f t="shared" si="958"/>
        <v>42547415</v>
      </c>
      <c r="X376" s="2424">
        <f>VLOOKUP($E376,W$442:Z$453,2,FALSE)*W376*($K376)+IF($G376&lt;&gt;0,($H376/$G376)*W376,0)*(1-$K376)</f>
        <v>14852939.347491231</v>
      </c>
      <c r="Y376" s="2424">
        <f>VLOOKUP($E376,W$442:Z$453,3,FALSE)*W376*($K376)+IF($G376&lt;&gt;0,($I376/$G376)*W376,0)*(1-$K376)</f>
        <v>7583239.2156747524</v>
      </c>
      <c r="Z376" s="2424">
        <f>VLOOKUP($E376,W$442:Z$453,4,FALSE)*W376*($K376)+(W376-X376-Y376)*(1-$K376)</f>
        <v>20111236.436834019</v>
      </c>
      <c r="AA376" s="3205"/>
      <c r="AE376" s="2424">
        <f t="shared" si="962"/>
        <v>42547415</v>
      </c>
      <c r="AF376" s="2424">
        <f>VLOOKUP($E376,AE$442:AH$453,2,FALSE)*AE376*($K376)+IF($G376&lt;&gt;0,($H376/$G376)*AE376,0)*(1-$K376)</f>
        <v>14852939.347491231</v>
      </c>
      <c r="AG376" s="2424">
        <f>VLOOKUP($E376,AE$442:AH$453,3,FALSE)*AE376*($K376)+IF($G376&lt;&gt;0,($I376/$G376)*AE376,0)*(1-$K376)</f>
        <v>7583239.2156747524</v>
      </c>
      <c r="AH376" s="2424">
        <f>VLOOKUP($E376,AE$442:AH$453,4,FALSE)*AE376*($K376)+(AE376-AF376-AG376)*(1-$K376)</f>
        <v>20111236.436834019</v>
      </c>
      <c r="AI376" s="3205"/>
      <c r="AM376" s="2424">
        <f t="shared" si="966"/>
        <v>42547415</v>
      </c>
      <c r="AN376" s="2424">
        <f>VLOOKUP($E376,AM$442:AP$453,2,FALSE)*AM376*($K376)+IF($G376&lt;&gt;0,($H376/$G376)*AM376,0)*(1-$K376)</f>
        <v>14852939.347491231</v>
      </c>
      <c r="AO376" s="2424">
        <f>VLOOKUP($E376,AM$442:AP$453,3,FALSE)*AM376*($K376)+IF($G376&lt;&gt;0,($I376/$G376)*AM376,0)*(1-$K376)</f>
        <v>7583239.2156747524</v>
      </c>
      <c r="AP376" s="2424">
        <f>VLOOKUP($E376,AM$442:AP$453,4,FALSE)*AM376*($K376)+(AM376-AN376-AO376)*(1-$K376)</f>
        <v>20111236.436834019</v>
      </c>
      <c r="AQ376" s="3205"/>
      <c r="AU376" s="2424">
        <f t="shared" si="970"/>
        <v>42547415</v>
      </c>
      <c r="AV376" s="2424">
        <f>VLOOKUP($E376,AU$442:AX$453,2,FALSE)*AU376*($K376)+IF($G376&lt;&gt;0,($H376/$G376)*AU376,0)*(1-$K376)</f>
        <v>14852939.347491231</v>
      </c>
      <c r="AW376" s="2424">
        <f>VLOOKUP($E376,AU$442:AX$453,3,FALSE)*AU376*($K376)+IF($G376&lt;&gt;0,($I376/$G376)*AU376,0)*(1-$K376)</f>
        <v>7583239.2156747524</v>
      </c>
      <c r="AX376" s="2424">
        <f>VLOOKUP($E376,AU$442:AX$453,4,FALSE)*AU376*($K376)+(AU376-AV376-AW376)*(1-$K376)</f>
        <v>20111236.436834019</v>
      </c>
      <c r="AY376" s="3205"/>
      <c r="BC376" s="2424">
        <f t="shared" si="974"/>
        <v>42547415</v>
      </c>
      <c r="BD376" s="2424">
        <f>VLOOKUP($E376,BC$442:BF$453,2,FALSE)*BC376*($K376)+IF($G376&lt;&gt;0,($H376/$G376)*BC376,0)*(1-$K376)</f>
        <v>14852939.347491231</v>
      </c>
      <c r="BE376" s="2424">
        <f>VLOOKUP($E376,BC$442:BF$453,3,FALSE)*BC376*($K376)+IF($G376&lt;&gt;0,($I376/$G376)*BC376,0)*(1-$K376)</f>
        <v>7583239.2156747524</v>
      </c>
      <c r="BF376" s="2424">
        <f>VLOOKUP($E376,BC$442:BF$453,4,FALSE)*BC376*($K376)+(BC376-BD376-BE376)*(1-$K376)</f>
        <v>20111236.436834019</v>
      </c>
      <c r="BG376" s="3205"/>
      <c r="BK376" s="2424">
        <f t="shared" si="978"/>
        <v>42547415</v>
      </c>
      <c r="BL376" s="2424">
        <f>VLOOKUP($E376,BK$442:BN$453,2,FALSE)*BK376*($K376)+IF($G376&lt;&gt;0,($H376/$G376)*BK376,0)*(1-$K376)</f>
        <v>14852939.347491231</v>
      </c>
      <c r="BM376" s="2424">
        <f>VLOOKUP($E376,BK$442:BN$453,3,FALSE)*BK376*($K376)+IF($G376&lt;&gt;0,($I376/$G376)*BK376,0)*(1-$K376)</f>
        <v>7583239.2156747524</v>
      </c>
      <c r="BN376" s="2424">
        <f>VLOOKUP($E376,BK$442:BN$453,4,FALSE)*BK376*($K376)+(BK376-BL376-BM376)*(1-$K376)</f>
        <v>20111236.436834019</v>
      </c>
      <c r="BO376" s="3205"/>
      <c r="BS376" s="2424">
        <f t="shared" si="982"/>
        <v>42547415</v>
      </c>
      <c r="BT376" s="2424">
        <f>VLOOKUP($E376,BS$442:BV$453,2,FALSE)*BS376*($K376)+IF($G376&lt;&gt;0,($H376/$G376)*BS376,0)*(1-$K376)</f>
        <v>14852939.347491231</v>
      </c>
      <c r="BU376" s="2424">
        <f>VLOOKUP($E376,BS$442:BV$453,3,FALSE)*BS376*($K376)+IF($G376&lt;&gt;0,($I376/$G376)*BS376,0)*(1-$K376)</f>
        <v>7583239.2156747524</v>
      </c>
      <c r="BV376" s="2424">
        <f>VLOOKUP($E376,BS$442:BV$453,4,FALSE)*BS376*($K376)+(BS376-BT376-BU376)*(1-$K376)</f>
        <v>20111236.436834019</v>
      </c>
      <c r="BW376" s="3205"/>
      <c r="CA376" s="2424">
        <f t="shared" si="986"/>
        <v>42547415</v>
      </c>
      <c r="CB376" s="2424">
        <f>VLOOKUP($E376,CA$442:CD$453,2,FALSE)*CA376*($K376)+IF($G376&lt;&gt;0,($H376/$G376)*CA376,0)*(1-$K376)</f>
        <v>14852939.347491231</v>
      </c>
      <c r="CC376" s="2424">
        <f>VLOOKUP($E376,CA$442:CD$453,3,FALSE)*CA376*($K376)+IF($G376&lt;&gt;0,($I376/$G376)*CA376,0)*(1-$K376)</f>
        <v>7583239.2156747524</v>
      </c>
      <c r="CD376" s="2424">
        <f>VLOOKUP($E376,CA$442:CD$453,4,FALSE)*CA376*($K376)+(CA376-CB376-CC376)*(1-$K376)</f>
        <v>20111236.436834019</v>
      </c>
      <c r="CE376" s="3205"/>
      <c r="CI376" s="2424">
        <f t="shared" si="990"/>
        <v>42547415</v>
      </c>
      <c r="CJ376" s="2424">
        <f>VLOOKUP($E376,CI$442:CL$453,2,FALSE)*CI376*($K376)+IF($G376&lt;&gt;0,($H376/$G376)*CI376,0)*(1-$K376)</f>
        <v>14852939.347491231</v>
      </c>
      <c r="CK376" s="2424">
        <f>VLOOKUP($E376,CI$442:CL$453,3,FALSE)*CI376*($K376)+IF($G376&lt;&gt;0,($I376/$G376)*CI376,0)*(1-$K376)</f>
        <v>7583239.2156747524</v>
      </c>
      <c r="CL376" s="2424">
        <f>VLOOKUP($E376,CI$442:CL$453,4,FALSE)*CI376*($K376)+(CI376-CJ376-CK376)*(1-$K376)</f>
        <v>20111236.436834019</v>
      </c>
      <c r="CM376" s="3205"/>
      <c r="CQ376" s="2424">
        <f t="shared" si="994"/>
        <v>42547415</v>
      </c>
      <c r="CR376" s="2424">
        <f>VLOOKUP($E376,CQ$442:CT$453,2,FALSE)*CQ376*($K376)+IF($G376&lt;&gt;0,($H376/$G376)*CQ376,0)*(1-$K376)</f>
        <v>14852939.347491231</v>
      </c>
      <c r="CS376" s="2424">
        <f>VLOOKUP($E376,CQ$442:CT$453,3,FALSE)*CQ376*($K376)+IF($G376&lt;&gt;0,($I376/$G376)*CQ376,0)*(1-$K376)</f>
        <v>7583239.2156747524</v>
      </c>
      <c r="CT376" s="2424">
        <f>VLOOKUP($E376,CQ$442:CT$453,4,FALSE)*CQ376*($K376)+(CQ376-CR376-CS376)*(1-$K376)</f>
        <v>20111236.436834019</v>
      </c>
      <c r="CU376" s="3205"/>
      <c r="CY376" s="2424">
        <f t="shared" si="998"/>
        <v>42547415</v>
      </c>
      <c r="CZ376" s="2424">
        <f>VLOOKUP($E376,CY$442:DB$453,2,FALSE)*CY376*($K376)+IF($G376&lt;&gt;0,($H376/$G376)*CY376,0)*(1-$K376)</f>
        <v>14852939.347491231</v>
      </c>
      <c r="DA376" s="2424">
        <f>VLOOKUP($E376,CY$442:DB$453,3,FALSE)*CY376*($K376)+IF($G376&lt;&gt;0,($I376/$G376)*CY376,0)*(1-$K376)</f>
        <v>7583239.2156747524</v>
      </c>
      <c r="DB376" s="2424">
        <f>VLOOKUP($E376,CY$442:DB$453,4,FALSE)*CY376*($K376)+(CY376-CZ376-DA376)*(1-$K376)</f>
        <v>20111236.436834019</v>
      </c>
      <c r="DC376" s="3205"/>
      <c r="DG376" s="2424">
        <f t="shared" si="1002"/>
        <v>42547415</v>
      </c>
      <c r="DH376" s="2424">
        <f>VLOOKUP($E376,DG$442:DJ$453,2,FALSE)*DG376*($K376)+IF($G376&lt;&gt;0,($H376/$G376)*DG376,0)*(1-$K376)</f>
        <v>14852939.347491231</v>
      </c>
      <c r="DI376" s="2424">
        <f>VLOOKUP($E376,DG$442:DJ$453,3,FALSE)*DG376*($K376)+IF($G376&lt;&gt;0,($I376/$G376)*DG376,0)*(1-$K376)</f>
        <v>7583239.2156747524</v>
      </c>
      <c r="DJ376" s="2424">
        <f>VLOOKUP($E376,DG$442:DJ$453,4,FALSE)*DG376*($K376)+(DG376-DH376-DI376)*(1-$K376)</f>
        <v>20111236.436834019</v>
      </c>
      <c r="DK376" s="3205"/>
      <c r="DO376" s="2424">
        <f t="shared" si="1006"/>
        <v>42547415</v>
      </c>
      <c r="DP376" s="2424">
        <f>VLOOKUP($E376,DO$442:DR$453,2,FALSE)*DO376*($K376)+IF($G376&lt;&gt;0,($H376/$G376)*DO376,0)*(1-$K376)</f>
        <v>14852939.347491231</v>
      </c>
      <c r="DQ376" s="2424">
        <f>VLOOKUP($E376,DO$442:DR$453,3,FALSE)*DO376*($K376)+IF($G376&lt;&gt;0,($I376/$G376)*DO376,0)*(1-$K376)</f>
        <v>7583239.2156747524</v>
      </c>
      <c r="DR376" s="2424">
        <f>VLOOKUP($E376,DO$442:DR$453,4,FALSE)*DO376*($K376)+(DO376-DP376-DQ376)*(1-$K376)</f>
        <v>20111236.436834019</v>
      </c>
      <c r="DS376" s="3205"/>
      <c r="DW376" s="2424">
        <f t="shared" si="1010"/>
        <v>42547415</v>
      </c>
      <c r="DX376" s="2424">
        <f>VLOOKUP($E376,DW$442:DZ$453,2,FALSE)*DW376*($K376)+IF($G376&lt;&gt;0,($H376/$G376)*DW376,0)*(1-$K376)</f>
        <v>14852939.347491231</v>
      </c>
      <c r="DY376" s="2424">
        <f>VLOOKUP($E376,DW$442:DZ$453,3,FALSE)*DW376*($K376)+IF($G376&lt;&gt;0,($I376/$G376)*DW376,0)*(1-$K376)</f>
        <v>7583239.2156747524</v>
      </c>
      <c r="DZ376" s="2424">
        <f>VLOOKUP($E376,DW$442:DZ$453,4,FALSE)*DW376*($K376)+(DW376-DX376-DY376)*(1-$K376)</f>
        <v>20111236.436834019</v>
      </c>
      <c r="EA376" s="3205"/>
      <c r="EE376" s="2424">
        <f t="shared" si="1014"/>
        <v>42547415</v>
      </c>
      <c r="EF376" s="2424">
        <f>VLOOKUP($E376,EE$442:EH$453,2,FALSE)*EE376*($K376)+IF($G376&lt;&gt;0,($H376/$G376)*EE376,0)*(1-$K376)</f>
        <v>14852939.347491231</v>
      </c>
      <c r="EG376" s="2424">
        <f>VLOOKUP($E376,EE$442:EH$453,3,FALSE)*EE376*($K376)+IF($G376&lt;&gt;0,($I376/$G376)*EE376,0)*(1-$K376)</f>
        <v>7583239.2156747524</v>
      </c>
      <c r="EH376" s="2424">
        <f>VLOOKUP($E376,EE$442:EH$453,4,FALSE)*EE376*($K376)+(EE376-EF376-EG376)*(1-$K376)</f>
        <v>20111236.436834019</v>
      </c>
      <c r="EI376" s="3205"/>
      <c r="EM376" s="2424">
        <f t="shared" si="1018"/>
        <v>42547415</v>
      </c>
      <c r="EN376" s="2424">
        <f>VLOOKUP($E376,EM$442:EP$453,2,FALSE)*EM376*($K376)+IF($G376&lt;&gt;0,($H376/$G376)*EM376,0)*(1-$K376)</f>
        <v>14852939.347491231</v>
      </c>
      <c r="EO376" s="2424">
        <f>VLOOKUP($E376,EM$442:EP$453,3,FALSE)*EM376*($K376)+IF($G376&lt;&gt;0,($I376/$G376)*EM376,0)*(1-$K376)</f>
        <v>7583239.2156747524</v>
      </c>
      <c r="EP376" s="2424">
        <f>VLOOKUP($E376,EM$442:EP$453,4,FALSE)*EM376*($K376)+(EM376-EN376-EO376)*(1-$K376)</f>
        <v>20111236.436834019</v>
      </c>
      <c r="EQ376" s="3205"/>
      <c r="EU376" s="2424">
        <f t="shared" si="1022"/>
        <v>42547415</v>
      </c>
      <c r="EV376" s="2424">
        <f>VLOOKUP($E376,EU$442:EX$453,2,FALSE)*EU376*($K376)+IF($G376&lt;&gt;0,($H376/$G376)*EU376,0)*(1-$K376)</f>
        <v>14852939.347491231</v>
      </c>
      <c r="EW376" s="2424">
        <f>VLOOKUP($E376,EU$442:EX$453,3,FALSE)*EU376*($K376)+IF($G376&lt;&gt;0,($I376/$G376)*EU376,0)*(1-$K376)</f>
        <v>7583239.2156747524</v>
      </c>
      <c r="EX376" s="2424">
        <f>VLOOKUP($E376,EU$442:EX$453,4,FALSE)*EU376*($K376)+(EU376-EV376-EW376)*(1-$K376)</f>
        <v>20111236.436834019</v>
      </c>
      <c r="EY376" s="3205"/>
      <c r="FC376" s="2424">
        <f t="shared" si="1026"/>
        <v>42547415</v>
      </c>
      <c r="FD376" s="2424">
        <f>VLOOKUP($E376,FC$442:FF$453,2,FALSE)*FC376*($K376)+IF($G376&lt;&gt;0,($H376/$G376)*FC376,0)*(1-$K376)</f>
        <v>14852939.347491231</v>
      </c>
      <c r="FE376" s="2424">
        <f>VLOOKUP($E376,FC$442:FF$453,3,FALSE)*FC376*($K376)+IF($G376&lt;&gt;0,($I376/$G376)*FC376,0)*(1-$K376)</f>
        <v>7583239.2156747524</v>
      </c>
      <c r="FF376" s="2424">
        <f>VLOOKUP($E376,FC$442:FF$453,4,FALSE)*FC376*($K376)+(FC376-FD376-FE376)*(1-$K376)</f>
        <v>20111236.436834019</v>
      </c>
      <c r="FG376" s="3205"/>
      <c r="FK376" s="2424">
        <f t="shared" si="1030"/>
        <v>42547415</v>
      </c>
      <c r="FL376" s="2424">
        <f>VLOOKUP($E376,FK$442:FN$453,2,FALSE)*FK376*($K376)+IF($G376&lt;&gt;0,($H376/$G376)*FK376,0)*(1-$K376)</f>
        <v>14852939.347491231</v>
      </c>
      <c r="FM376" s="2424">
        <f>VLOOKUP($E376,FK$442:FN$453,3,FALSE)*FK376*($K376)+IF($G376&lt;&gt;0,($I376/$G376)*FK376,0)*(1-$K376)</f>
        <v>7583239.2156747524</v>
      </c>
      <c r="FN376" s="2424">
        <f>VLOOKUP($E376,FK$442:FN$453,4,FALSE)*FK376*($K376)+(FK376-FL376-FM376)*(1-$K376)</f>
        <v>20111236.436834019</v>
      </c>
      <c r="FO376" s="3205"/>
    </row>
    <row r="377" spans="2:171">
      <c r="K377" s="3205"/>
      <c r="S377" s="3205"/>
      <c r="AA377" s="3205"/>
      <c r="AI377" s="3205"/>
      <c r="AQ377" s="3205"/>
      <c r="AY377" s="3205"/>
      <c r="BG377" s="3205"/>
      <c r="BO377" s="3205"/>
      <c r="BW377" s="3205"/>
      <c r="CE377" s="3205"/>
      <c r="CM377" s="3205"/>
      <c r="CU377" s="3205"/>
      <c r="DC377" s="3205"/>
      <c r="DK377" s="3205"/>
      <c r="DS377" s="3205"/>
      <c r="EA377" s="3205"/>
      <c r="EI377" s="3205"/>
      <c r="EQ377" s="3205"/>
      <c r="EY377" s="3205"/>
      <c r="FG377" s="3205"/>
      <c r="FO377" s="3205"/>
    </row>
    <row r="378" spans="2:171">
      <c r="C378" s="3086" t="s">
        <v>522</v>
      </c>
      <c r="G378" s="3244">
        <f>SUM(G370:G377)</f>
        <v>139741944</v>
      </c>
      <c r="H378" s="3244">
        <f>SUM(H370:H377)</f>
        <v>47488523.347491235</v>
      </c>
      <c r="I378" s="3244">
        <f>SUM(I370:I377)</f>
        <v>0</v>
      </c>
      <c r="J378" s="3244">
        <f>SUM(J370:J377)</f>
        <v>92253420.652508765</v>
      </c>
      <c r="K378" s="3205"/>
      <c r="O378" s="3244">
        <f>SUM(O370:O377)</f>
        <v>139741944</v>
      </c>
      <c r="P378" s="3244">
        <f>SUM(P370:P377)</f>
        <v>47488523.347491235</v>
      </c>
      <c r="Q378" s="3244">
        <f>SUM(Q370:Q377)</f>
        <v>7583239.2156747524</v>
      </c>
      <c r="R378" s="3244">
        <f>SUM(R370:R377)</f>
        <v>84670181.436834022</v>
      </c>
      <c r="S378" s="3205"/>
      <c r="W378" s="3244">
        <f>SUM(W370:W377)</f>
        <v>139741944</v>
      </c>
      <c r="X378" s="3244">
        <f>SUM(X370:X377)</f>
        <v>47488523.347491235</v>
      </c>
      <c r="Y378" s="3244">
        <f>SUM(Y370:Y377)</f>
        <v>7583239.2156747524</v>
      </c>
      <c r="Z378" s="3244">
        <f>SUM(Z370:Z377)</f>
        <v>84670181.436834022</v>
      </c>
      <c r="AA378" s="3205"/>
      <c r="AE378" s="3244">
        <f>SUM(AE370:AE377)</f>
        <v>139741944</v>
      </c>
      <c r="AF378" s="3244">
        <f>SUM(AF370:AF377)</f>
        <v>47488523.347491235</v>
      </c>
      <c r="AG378" s="3244">
        <f>SUM(AG370:AG377)</f>
        <v>7583239.2156747524</v>
      </c>
      <c r="AH378" s="3244">
        <f>SUM(AH370:AH377)</f>
        <v>84670181.436834022</v>
      </c>
      <c r="AI378" s="3205"/>
      <c r="AM378" s="3244">
        <f>SUM(AM370:AM377)</f>
        <v>139741944</v>
      </c>
      <c r="AN378" s="3244">
        <f>SUM(AN370:AN377)</f>
        <v>47488523.347491235</v>
      </c>
      <c r="AO378" s="3244">
        <f>SUM(AO370:AO377)</f>
        <v>7583239.2156747524</v>
      </c>
      <c r="AP378" s="3244">
        <f>SUM(AP370:AP377)</f>
        <v>84670181.436834022</v>
      </c>
      <c r="AQ378" s="3205"/>
      <c r="AU378" s="3244">
        <f>SUM(AU370:AU377)</f>
        <v>139741944</v>
      </c>
      <c r="AV378" s="3244">
        <f>SUM(AV370:AV377)</f>
        <v>47488523.347491235</v>
      </c>
      <c r="AW378" s="3244">
        <f>SUM(AW370:AW377)</f>
        <v>7583239.2156747524</v>
      </c>
      <c r="AX378" s="3244">
        <f>SUM(AX370:AX377)</f>
        <v>84670181.436834022</v>
      </c>
      <c r="AY378" s="3205"/>
      <c r="BC378" s="3244">
        <f>SUM(BC370:BC377)</f>
        <v>139741944</v>
      </c>
      <c r="BD378" s="3244">
        <f>SUM(BD370:BD377)</f>
        <v>47488523.347491235</v>
      </c>
      <c r="BE378" s="3244">
        <f>SUM(BE370:BE377)</f>
        <v>7583239.2156747524</v>
      </c>
      <c r="BF378" s="3244">
        <f>SUM(BF370:BF377)</f>
        <v>84670181.436834022</v>
      </c>
      <c r="BG378" s="3205"/>
      <c r="BK378" s="3244">
        <f>SUM(BK370:BK377)</f>
        <v>139741944</v>
      </c>
      <c r="BL378" s="3244">
        <f>SUM(BL370:BL377)</f>
        <v>47488523.347491235</v>
      </c>
      <c r="BM378" s="3244">
        <f>SUM(BM370:BM377)</f>
        <v>7583239.2156747524</v>
      </c>
      <c r="BN378" s="3244">
        <f>SUM(BN370:BN377)</f>
        <v>84670181.436834022</v>
      </c>
      <c r="BO378" s="3205"/>
      <c r="BS378" s="3244">
        <f>SUM(BS370:BS377)</f>
        <v>139741944</v>
      </c>
      <c r="BT378" s="3244">
        <f>SUM(BT370:BT377)</f>
        <v>47488523.347491235</v>
      </c>
      <c r="BU378" s="3244">
        <f>SUM(BU370:BU377)</f>
        <v>7583239.2156747524</v>
      </c>
      <c r="BV378" s="3244">
        <f>SUM(BV370:BV377)</f>
        <v>84670181.436834022</v>
      </c>
      <c r="BW378" s="3205"/>
      <c r="CA378" s="3244">
        <f>SUM(CA370:CA377)</f>
        <v>139741944</v>
      </c>
      <c r="CB378" s="3244">
        <f>SUM(CB370:CB377)</f>
        <v>47488523.347491235</v>
      </c>
      <c r="CC378" s="3244">
        <f>SUM(CC370:CC377)</f>
        <v>7583239.2156747524</v>
      </c>
      <c r="CD378" s="3244">
        <f>SUM(CD370:CD377)</f>
        <v>84670181.436834022</v>
      </c>
      <c r="CE378" s="3205"/>
      <c r="CI378" s="3244">
        <f>SUM(CI370:CI377)</f>
        <v>139741944</v>
      </c>
      <c r="CJ378" s="3244">
        <f>SUM(CJ370:CJ377)</f>
        <v>47488523.347491235</v>
      </c>
      <c r="CK378" s="3244">
        <f>SUM(CK370:CK377)</f>
        <v>7583239.2156747524</v>
      </c>
      <c r="CL378" s="3244">
        <f>SUM(CL370:CL377)</f>
        <v>84670181.436834022</v>
      </c>
      <c r="CM378" s="3205"/>
      <c r="CQ378" s="3244">
        <f>SUM(CQ370:CQ377)</f>
        <v>139741944</v>
      </c>
      <c r="CR378" s="3244">
        <f>SUM(CR370:CR377)</f>
        <v>47488523.347491235</v>
      </c>
      <c r="CS378" s="3244">
        <f>SUM(CS370:CS377)</f>
        <v>7583239.2156747524</v>
      </c>
      <c r="CT378" s="3244">
        <f>SUM(CT370:CT377)</f>
        <v>84670181.436834022</v>
      </c>
      <c r="CU378" s="3205"/>
      <c r="CY378" s="3244">
        <f>SUM(CY370:CY377)</f>
        <v>139741944</v>
      </c>
      <c r="CZ378" s="3244">
        <f>SUM(CZ370:CZ377)</f>
        <v>47488523.347491235</v>
      </c>
      <c r="DA378" s="3244">
        <f>SUM(DA370:DA377)</f>
        <v>7583239.2156747524</v>
      </c>
      <c r="DB378" s="3244">
        <f>SUM(DB370:DB377)</f>
        <v>84670181.436834022</v>
      </c>
      <c r="DC378" s="3205"/>
      <c r="DG378" s="3244">
        <f>SUM(DG370:DG377)</f>
        <v>139741944</v>
      </c>
      <c r="DH378" s="3244">
        <f>SUM(DH370:DH377)</f>
        <v>47488523.347491235</v>
      </c>
      <c r="DI378" s="3244">
        <f>SUM(DI370:DI377)</f>
        <v>7583239.2156747524</v>
      </c>
      <c r="DJ378" s="3244">
        <f>SUM(DJ370:DJ377)</f>
        <v>84670181.436834022</v>
      </c>
      <c r="DK378" s="3205"/>
      <c r="DO378" s="3244">
        <f>SUM(DO370:DO377)</f>
        <v>139741944</v>
      </c>
      <c r="DP378" s="3244">
        <f>SUM(DP370:DP377)</f>
        <v>47488523.347491235</v>
      </c>
      <c r="DQ378" s="3244">
        <f>SUM(DQ370:DQ377)</f>
        <v>7583239.2156747524</v>
      </c>
      <c r="DR378" s="3244">
        <f>SUM(DR370:DR377)</f>
        <v>84670181.436834022</v>
      </c>
      <c r="DS378" s="3205"/>
      <c r="DW378" s="3244">
        <f>SUM(DW370:DW377)</f>
        <v>139741944</v>
      </c>
      <c r="DX378" s="3244">
        <f>SUM(DX370:DX377)</f>
        <v>47488523.347491235</v>
      </c>
      <c r="DY378" s="3244">
        <f>SUM(DY370:DY377)</f>
        <v>7583239.2156747524</v>
      </c>
      <c r="DZ378" s="3244">
        <f>SUM(DZ370:DZ377)</f>
        <v>84670181.436834022</v>
      </c>
      <c r="EA378" s="3205"/>
      <c r="EE378" s="3244">
        <f>SUM(EE370:EE377)</f>
        <v>139741944</v>
      </c>
      <c r="EF378" s="3244">
        <f>SUM(EF370:EF377)</f>
        <v>47488523.347491235</v>
      </c>
      <c r="EG378" s="3244">
        <f>SUM(EG370:EG377)</f>
        <v>7583239.2156747524</v>
      </c>
      <c r="EH378" s="3244">
        <f>SUM(EH370:EH377)</f>
        <v>84670181.436834022</v>
      </c>
      <c r="EI378" s="3205"/>
      <c r="EM378" s="3244">
        <f>SUM(EM370:EM377)</f>
        <v>139741944</v>
      </c>
      <c r="EN378" s="3244">
        <f>SUM(EN370:EN377)</f>
        <v>47488523.347491235</v>
      </c>
      <c r="EO378" s="3244">
        <f>SUM(EO370:EO377)</f>
        <v>7583239.2156747524</v>
      </c>
      <c r="EP378" s="3244">
        <f>SUM(EP370:EP377)</f>
        <v>84670181.436834022</v>
      </c>
      <c r="EQ378" s="3205"/>
      <c r="EU378" s="3244">
        <f>SUM(EU370:EU377)</f>
        <v>139741944</v>
      </c>
      <c r="EV378" s="3244">
        <f>SUM(EV370:EV377)</f>
        <v>47488523.347491235</v>
      </c>
      <c r="EW378" s="3244">
        <f>SUM(EW370:EW377)</f>
        <v>7583239.2156747524</v>
      </c>
      <c r="EX378" s="3244">
        <f>SUM(EX370:EX377)</f>
        <v>84670181.436834022</v>
      </c>
      <c r="EY378" s="3205"/>
      <c r="FC378" s="3244">
        <f>SUM(FC370:FC377)</f>
        <v>139741944</v>
      </c>
      <c r="FD378" s="3244">
        <f>SUM(FD370:FD377)</f>
        <v>47488523.347491235</v>
      </c>
      <c r="FE378" s="3244">
        <f>SUM(FE370:FE377)</f>
        <v>7583239.2156747524</v>
      </c>
      <c r="FF378" s="3244">
        <f>SUM(FF370:FF377)</f>
        <v>84670181.436834022</v>
      </c>
      <c r="FG378" s="3205"/>
      <c r="FK378" s="3244">
        <f>SUM(FK370:FK377)</f>
        <v>139741944</v>
      </c>
      <c r="FL378" s="3244">
        <f>SUM(FL370:FL377)</f>
        <v>47488523.347491235</v>
      </c>
      <c r="FM378" s="3244">
        <f>SUM(FM370:FM377)</f>
        <v>7583239.2156747524</v>
      </c>
      <c r="FN378" s="3244">
        <f>SUM(FN370:FN377)</f>
        <v>84670181.436834022</v>
      </c>
      <c r="FO378" s="3205"/>
    </row>
    <row r="379" spans="2:171">
      <c r="D379" s="3400" t="s">
        <v>629</v>
      </c>
      <c r="E379" s="3401"/>
      <c r="G379" s="3402">
        <f>SUM(H379:J379)</f>
        <v>1</v>
      </c>
      <c r="H379" s="3402">
        <f>H378/$G378</f>
        <v>0.33983013251548322</v>
      </c>
      <c r="I379" s="3402">
        <f>I378/$G378</f>
        <v>0</v>
      </c>
      <c r="J379" s="3402">
        <f>J378/$G378</f>
        <v>0.66016986748451678</v>
      </c>
      <c r="K379" s="3205"/>
      <c r="L379" s="3403" t="s">
        <v>629</v>
      </c>
      <c r="O379" s="3404">
        <f>SUM(P379:R379)</f>
        <v>1</v>
      </c>
      <c r="P379" s="3404">
        <f>P378/$G378</f>
        <v>0.33983013251548322</v>
      </c>
      <c r="Q379" s="3404">
        <f>Q378/$G378</f>
        <v>5.4266020627813452E-2</v>
      </c>
      <c r="R379" s="3404">
        <f>R378/$G378</f>
        <v>0.6059038468567034</v>
      </c>
      <c r="S379" s="3205"/>
      <c r="T379" s="3403" t="s">
        <v>629</v>
      </c>
      <c r="W379" s="3404">
        <f>SUM(X379:Z379)</f>
        <v>1</v>
      </c>
      <c r="X379" s="3404">
        <f>X378/$G378</f>
        <v>0.33983013251548322</v>
      </c>
      <c r="Y379" s="3404">
        <f>Y378/$G378</f>
        <v>5.4266020627813452E-2</v>
      </c>
      <c r="Z379" s="3404">
        <f>Z378/$G378</f>
        <v>0.6059038468567034</v>
      </c>
      <c r="AA379" s="3205"/>
      <c r="AB379" s="3403" t="s">
        <v>629</v>
      </c>
      <c r="AE379" s="3404">
        <f>SUM(AF379:AH379)</f>
        <v>1</v>
      </c>
      <c r="AF379" s="3404">
        <f>AF378/$G378</f>
        <v>0.33983013251548322</v>
      </c>
      <c r="AG379" s="3404">
        <f>AG378/$G378</f>
        <v>5.4266020627813452E-2</v>
      </c>
      <c r="AH379" s="3404">
        <f>AH378/$G378</f>
        <v>0.6059038468567034</v>
      </c>
      <c r="AI379" s="3205"/>
      <c r="AJ379" s="3403" t="s">
        <v>629</v>
      </c>
      <c r="AM379" s="3404">
        <f>SUM(AN379:AP379)</f>
        <v>1</v>
      </c>
      <c r="AN379" s="3404">
        <f>AN378/$G378</f>
        <v>0.33983013251548322</v>
      </c>
      <c r="AO379" s="3404">
        <f>AO378/$G378</f>
        <v>5.4266020627813452E-2</v>
      </c>
      <c r="AP379" s="3404">
        <f>AP378/$G378</f>
        <v>0.6059038468567034</v>
      </c>
      <c r="AQ379" s="3205"/>
      <c r="AR379" s="3403" t="s">
        <v>629</v>
      </c>
      <c r="AU379" s="3404">
        <f>SUM(AV379:AX379)</f>
        <v>1</v>
      </c>
      <c r="AV379" s="3404">
        <f>AV378/$G378</f>
        <v>0.33983013251548322</v>
      </c>
      <c r="AW379" s="3404">
        <f>AW378/$G378</f>
        <v>5.4266020627813452E-2</v>
      </c>
      <c r="AX379" s="3404">
        <f>AX378/$G378</f>
        <v>0.6059038468567034</v>
      </c>
      <c r="AY379" s="3205"/>
      <c r="AZ379" s="3403" t="s">
        <v>629</v>
      </c>
      <c r="BC379" s="3404">
        <f>SUM(BD379:BF379)</f>
        <v>1</v>
      </c>
      <c r="BD379" s="3404">
        <f>BD378/$G378</f>
        <v>0.33983013251548322</v>
      </c>
      <c r="BE379" s="3404">
        <f>BE378/$G378</f>
        <v>5.4266020627813452E-2</v>
      </c>
      <c r="BF379" s="3404">
        <f>BF378/$G378</f>
        <v>0.6059038468567034</v>
      </c>
      <c r="BG379" s="3205"/>
      <c r="BH379" s="3403" t="s">
        <v>629</v>
      </c>
      <c r="BK379" s="3404">
        <f>SUM(BL379:BN379)</f>
        <v>1</v>
      </c>
      <c r="BL379" s="3404">
        <f>BL378/$G378</f>
        <v>0.33983013251548322</v>
      </c>
      <c r="BM379" s="3404">
        <f>BM378/$G378</f>
        <v>5.4266020627813452E-2</v>
      </c>
      <c r="BN379" s="3404">
        <f>BN378/$G378</f>
        <v>0.6059038468567034</v>
      </c>
      <c r="BO379" s="3205"/>
      <c r="BP379" s="3403" t="s">
        <v>629</v>
      </c>
      <c r="BS379" s="3404">
        <f>SUM(BT379:BV379)</f>
        <v>1</v>
      </c>
      <c r="BT379" s="3404">
        <f>BT378/$G378</f>
        <v>0.33983013251548322</v>
      </c>
      <c r="BU379" s="3404">
        <f>BU378/$G378</f>
        <v>5.4266020627813452E-2</v>
      </c>
      <c r="BV379" s="3404">
        <f>BV378/$G378</f>
        <v>0.6059038468567034</v>
      </c>
      <c r="BW379" s="3205"/>
      <c r="BX379" s="3403" t="s">
        <v>629</v>
      </c>
      <c r="CA379" s="3404">
        <f>SUM(CB379:CD379)</f>
        <v>1</v>
      </c>
      <c r="CB379" s="3404">
        <f>CB378/$G378</f>
        <v>0.33983013251548322</v>
      </c>
      <c r="CC379" s="3404">
        <f>CC378/$G378</f>
        <v>5.4266020627813452E-2</v>
      </c>
      <c r="CD379" s="3404">
        <f>CD378/$G378</f>
        <v>0.6059038468567034</v>
      </c>
      <c r="CE379" s="3205"/>
      <c r="CF379" s="3403" t="s">
        <v>629</v>
      </c>
      <c r="CI379" s="3404">
        <f>SUM(CJ379:CL379)</f>
        <v>1</v>
      </c>
      <c r="CJ379" s="3404">
        <f>CJ378/$G378</f>
        <v>0.33983013251548322</v>
      </c>
      <c r="CK379" s="3404">
        <f>CK378/$G378</f>
        <v>5.4266020627813452E-2</v>
      </c>
      <c r="CL379" s="3404">
        <f>CL378/$G378</f>
        <v>0.6059038468567034</v>
      </c>
      <c r="CM379" s="3205"/>
      <c r="CN379" s="3403" t="s">
        <v>629</v>
      </c>
      <c r="CQ379" s="3404">
        <f>SUM(CR379:CT379)</f>
        <v>1</v>
      </c>
      <c r="CR379" s="3404">
        <f>CR378/$G378</f>
        <v>0.33983013251548322</v>
      </c>
      <c r="CS379" s="3404">
        <f>CS378/$G378</f>
        <v>5.4266020627813452E-2</v>
      </c>
      <c r="CT379" s="3404">
        <f>CT378/$G378</f>
        <v>0.6059038468567034</v>
      </c>
      <c r="CU379" s="3205"/>
      <c r="CV379" s="3403" t="s">
        <v>629</v>
      </c>
      <c r="CY379" s="3404">
        <f>SUM(CZ379:DB379)</f>
        <v>1</v>
      </c>
      <c r="CZ379" s="3404">
        <f>CZ378/$G378</f>
        <v>0.33983013251548322</v>
      </c>
      <c r="DA379" s="3404">
        <f>DA378/$G378</f>
        <v>5.4266020627813452E-2</v>
      </c>
      <c r="DB379" s="3404">
        <f>DB378/$G378</f>
        <v>0.6059038468567034</v>
      </c>
      <c r="DC379" s="3205"/>
      <c r="DD379" s="3403" t="s">
        <v>629</v>
      </c>
      <c r="DG379" s="3404">
        <f>SUM(DH379:DJ379)</f>
        <v>1</v>
      </c>
      <c r="DH379" s="3404">
        <f>DH378/$G378</f>
        <v>0.33983013251548322</v>
      </c>
      <c r="DI379" s="3404">
        <f>DI378/$G378</f>
        <v>5.4266020627813452E-2</v>
      </c>
      <c r="DJ379" s="3404">
        <f>DJ378/$G378</f>
        <v>0.6059038468567034</v>
      </c>
      <c r="DK379" s="3205"/>
      <c r="DL379" s="3403" t="s">
        <v>629</v>
      </c>
      <c r="DO379" s="3404">
        <f>SUM(DP379:DR379)</f>
        <v>1</v>
      </c>
      <c r="DP379" s="3404">
        <f>DP378/$G378</f>
        <v>0.33983013251548322</v>
      </c>
      <c r="DQ379" s="3404">
        <f>DQ378/$G378</f>
        <v>5.4266020627813452E-2</v>
      </c>
      <c r="DR379" s="3404">
        <f>DR378/$G378</f>
        <v>0.6059038468567034</v>
      </c>
      <c r="DS379" s="3205"/>
      <c r="DT379" s="3403" t="s">
        <v>629</v>
      </c>
      <c r="DW379" s="3404">
        <f>SUM(DX379:DZ379)</f>
        <v>1</v>
      </c>
      <c r="DX379" s="3404">
        <f>DX378/$G378</f>
        <v>0.33983013251548322</v>
      </c>
      <c r="DY379" s="3404">
        <f>DY378/$G378</f>
        <v>5.4266020627813452E-2</v>
      </c>
      <c r="DZ379" s="3404">
        <f>DZ378/$G378</f>
        <v>0.6059038468567034</v>
      </c>
      <c r="EA379" s="3205"/>
      <c r="EB379" s="3403" t="s">
        <v>629</v>
      </c>
      <c r="EE379" s="3404">
        <f>SUM(EF379:EH379)</f>
        <v>1</v>
      </c>
      <c r="EF379" s="3404">
        <f>EF378/$G378</f>
        <v>0.33983013251548322</v>
      </c>
      <c r="EG379" s="3404">
        <f>EG378/$G378</f>
        <v>5.4266020627813452E-2</v>
      </c>
      <c r="EH379" s="3404">
        <f>EH378/$G378</f>
        <v>0.6059038468567034</v>
      </c>
      <c r="EI379" s="3205"/>
      <c r="EJ379" s="3403" t="s">
        <v>629</v>
      </c>
      <c r="EM379" s="3404">
        <f>SUM(EN379:EP379)</f>
        <v>1</v>
      </c>
      <c r="EN379" s="3404">
        <f>EN378/$G378</f>
        <v>0.33983013251548322</v>
      </c>
      <c r="EO379" s="3404">
        <f>EO378/$G378</f>
        <v>5.4266020627813452E-2</v>
      </c>
      <c r="EP379" s="3404">
        <f>EP378/$G378</f>
        <v>0.6059038468567034</v>
      </c>
      <c r="EQ379" s="3205"/>
      <c r="ER379" s="3403" t="s">
        <v>629</v>
      </c>
      <c r="EU379" s="3404">
        <f>SUM(EV379:EX379)</f>
        <v>1</v>
      </c>
      <c r="EV379" s="3404">
        <f>EV378/$G378</f>
        <v>0.33983013251548322</v>
      </c>
      <c r="EW379" s="3404">
        <f>EW378/$G378</f>
        <v>5.4266020627813452E-2</v>
      </c>
      <c r="EX379" s="3404">
        <f>EX378/$G378</f>
        <v>0.6059038468567034</v>
      </c>
      <c r="EY379" s="3205"/>
      <c r="EZ379" s="3403" t="s">
        <v>629</v>
      </c>
      <c r="FC379" s="3404">
        <f>SUM(FD379:FF379)</f>
        <v>1</v>
      </c>
      <c r="FD379" s="3404">
        <f>FD378/$G378</f>
        <v>0.33983013251548322</v>
      </c>
      <c r="FE379" s="3404">
        <f>FE378/$G378</f>
        <v>5.4266020627813452E-2</v>
      </c>
      <c r="FF379" s="3404">
        <f>FF378/$G378</f>
        <v>0.6059038468567034</v>
      </c>
      <c r="FG379" s="3205"/>
      <c r="FH379" s="3403" t="s">
        <v>629</v>
      </c>
      <c r="FK379" s="3404">
        <f>SUM(FL379:FN379)</f>
        <v>1</v>
      </c>
      <c r="FL379" s="3404">
        <f>FL378/$G378</f>
        <v>0.33983013251548322</v>
      </c>
      <c r="FM379" s="3404">
        <f>FM378/$G378</f>
        <v>5.4266020627813452E-2</v>
      </c>
      <c r="FN379" s="3404">
        <f>FN378/$G378</f>
        <v>0.6059038468567034</v>
      </c>
      <c r="FO379" s="3205"/>
    </row>
    <row r="380" spans="2:171">
      <c r="K380" s="3205"/>
      <c r="S380" s="3205"/>
      <c r="AA380" s="3205"/>
      <c r="AI380" s="3205"/>
      <c r="AQ380" s="3205"/>
      <c r="AY380" s="3205"/>
      <c r="BG380" s="3205"/>
      <c r="BO380" s="3205"/>
      <c r="BW380" s="3205"/>
      <c r="CE380" s="3205"/>
      <c r="CM380" s="3205"/>
      <c r="CU380" s="3205"/>
      <c r="DC380" s="3205"/>
      <c r="DK380" s="3205"/>
      <c r="DS380" s="3205"/>
      <c r="EA380" s="3205"/>
      <c r="EI380" s="3205"/>
      <c r="EQ380" s="3205"/>
      <c r="EY380" s="3205"/>
      <c r="FG380" s="3205"/>
      <c r="FO380" s="3205"/>
    </row>
    <row r="381" spans="2:171">
      <c r="E381" s="3090" t="s">
        <v>520</v>
      </c>
      <c r="G381" s="3091" t="s">
        <v>104</v>
      </c>
      <c r="H381" s="3091" t="s">
        <v>105</v>
      </c>
      <c r="I381" s="3091" t="s">
        <v>106</v>
      </c>
      <c r="J381" s="3092" t="s">
        <v>511</v>
      </c>
      <c r="K381" s="3205"/>
      <c r="O381" s="3091" t="s">
        <v>104</v>
      </c>
      <c r="P381" s="3091" t="s">
        <v>105</v>
      </c>
      <c r="Q381" s="3091" t="s">
        <v>106</v>
      </c>
      <c r="R381" s="3092" t="s">
        <v>511</v>
      </c>
      <c r="S381" s="3205"/>
      <c r="W381" s="3091" t="s">
        <v>104</v>
      </c>
      <c r="X381" s="3091" t="s">
        <v>105</v>
      </c>
      <c r="Y381" s="3091" t="s">
        <v>106</v>
      </c>
      <c r="Z381" s="3092" t="s">
        <v>511</v>
      </c>
      <c r="AA381" s="3205"/>
      <c r="AE381" s="3091" t="s">
        <v>104</v>
      </c>
      <c r="AF381" s="3091" t="s">
        <v>105</v>
      </c>
      <c r="AG381" s="3091" t="s">
        <v>106</v>
      </c>
      <c r="AH381" s="3092" t="s">
        <v>511</v>
      </c>
      <c r="AI381" s="3205"/>
      <c r="AM381" s="3091" t="s">
        <v>104</v>
      </c>
      <c r="AN381" s="3091" t="s">
        <v>105</v>
      </c>
      <c r="AO381" s="3091" t="s">
        <v>106</v>
      </c>
      <c r="AP381" s="3092" t="s">
        <v>511</v>
      </c>
      <c r="AQ381" s="3205"/>
      <c r="AU381" s="3091" t="s">
        <v>104</v>
      </c>
      <c r="AV381" s="3091" t="s">
        <v>105</v>
      </c>
      <c r="AW381" s="3091" t="s">
        <v>106</v>
      </c>
      <c r="AX381" s="3092" t="s">
        <v>511</v>
      </c>
      <c r="AY381" s="3205"/>
      <c r="BC381" s="3091" t="s">
        <v>104</v>
      </c>
      <c r="BD381" s="3091" t="s">
        <v>105</v>
      </c>
      <c r="BE381" s="3091" t="s">
        <v>106</v>
      </c>
      <c r="BF381" s="3092" t="s">
        <v>511</v>
      </c>
      <c r="BG381" s="3205"/>
      <c r="BK381" s="3091" t="s">
        <v>104</v>
      </c>
      <c r="BL381" s="3091" t="s">
        <v>105</v>
      </c>
      <c r="BM381" s="3091" t="s">
        <v>106</v>
      </c>
      <c r="BN381" s="3092" t="s">
        <v>511</v>
      </c>
      <c r="BO381" s="3205"/>
      <c r="BS381" s="3091" t="s">
        <v>104</v>
      </c>
      <c r="BT381" s="3091" t="s">
        <v>105</v>
      </c>
      <c r="BU381" s="3091" t="s">
        <v>106</v>
      </c>
      <c r="BV381" s="3092" t="s">
        <v>511</v>
      </c>
      <c r="BW381" s="3205"/>
      <c r="CA381" s="3091" t="s">
        <v>104</v>
      </c>
      <c r="CB381" s="3091" t="s">
        <v>105</v>
      </c>
      <c r="CC381" s="3091" t="s">
        <v>106</v>
      </c>
      <c r="CD381" s="3092" t="s">
        <v>511</v>
      </c>
      <c r="CE381" s="3205"/>
      <c r="CI381" s="3091" t="s">
        <v>104</v>
      </c>
      <c r="CJ381" s="3091" t="s">
        <v>105</v>
      </c>
      <c r="CK381" s="3091" t="s">
        <v>106</v>
      </c>
      <c r="CL381" s="3092" t="s">
        <v>511</v>
      </c>
      <c r="CM381" s="3205"/>
      <c r="CQ381" s="3091" t="s">
        <v>104</v>
      </c>
      <c r="CR381" s="3091" t="s">
        <v>105</v>
      </c>
      <c r="CS381" s="3091" t="s">
        <v>106</v>
      </c>
      <c r="CT381" s="3092" t="s">
        <v>511</v>
      </c>
      <c r="CU381" s="3205"/>
      <c r="CY381" s="3091" t="s">
        <v>104</v>
      </c>
      <c r="CZ381" s="3091" t="s">
        <v>105</v>
      </c>
      <c r="DA381" s="3091" t="s">
        <v>106</v>
      </c>
      <c r="DB381" s="3092" t="s">
        <v>511</v>
      </c>
      <c r="DC381" s="3205"/>
      <c r="DG381" s="3091" t="s">
        <v>104</v>
      </c>
      <c r="DH381" s="3091" t="s">
        <v>105</v>
      </c>
      <c r="DI381" s="3091" t="s">
        <v>106</v>
      </c>
      <c r="DJ381" s="3092" t="s">
        <v>511</v>
      </c>
      <c r="DK381" s="3205"/>
      <c r="DO381" s="3091" t="s">
        <v>104</v>
      </c>
      <c r="DP381" s="3091" t="s">
        <v>105</v>
      </c>
      <c r="DQ381" s="3091" t="s">
        <v>106</v>
      </c>
      <c r="DR381" s="3092" t="s">
        <v>511</v>
      </c>
      <c r="DS381" s="3205"/>
      <c r="DW381" s="3091" t="s">
        <v>104</v>
      </c>
      <c r="DX381" s="3091" t="s">
        <v>105</v>
      </c>
      <c r="DY381" s="3091" t="s">
        <v>106</v>
      </c>
      <c r="DZ381" s="3092" t="s">
        <v>511</v>
      </c>
      <c r="EA381" s="3205"/>
      <c r="EE381" s="3091" t="s">
        <v>104</v>
      </c>
      <c r="EF381" s="3091" t="s">
        <v>105</v>
      </c>
      <c r="EG381" s="3091" t="s">
        <v>106</v>
      </c>
      <c r="EH381" s="3092" t="s">
        <v>511</v>
      </c>
      <c r="EI381" s="3205"/>
      <c r="EM381" s="3091" t="s">
        <v>104</v>
      </c>
      <c r="EN381" s="3091" t="s">
        <v>105</v>
      </c>
      <c r="EO381" s="3091" t="s">
        <v>106</v>
      </c>
      <c r="EP381" s="3092" t="s">
        <v>511</v>
      </c>
      <c r="EQ381" s="3205"/>
      <c r="EU381" s="3091" t="s">
        <v>104</v>
      </c>
      <c r="EV381" s="3091" t="s">
        <v>105</v>
      </c>
      <c r="EW381" s="3091" t="s">
        <v>106</v>
      </c>
      <c r="EX381" s="3092" t="s">
        <v>511</v>
      </c>
      <c r="EY381" s="3205"/>
      <c r="FC381" s="3091" t="s">
        <v>104</v>
      </c>
      <c r="FD381" s="3091" t="s">
        <v>105</v>
      </c>
      <c r="FE381" s="3091" t="s">
        <v>106</v>
      </c>
      <c r="FF381" s="3092" t="s">
        <v>511</v>
      </c>
      <c r="FG381" s="3205"/>
      <c r="FK381" s="3091" t="s">
        <v>104</v>
      </c>
      <c r="FL381" s="3091" t="s">
        <v>105</v>
      </c>
      <c r="FM381" s="3091" t="s">
        <v>106</v>
      </c>
      <c r="FN381" s="3092" t="s">
        <v>511</v>
      </c>
      <c r="FO381" s="3205"/>
    </row>
    <row r="382" spans="2:171">
      <c r="B382" s="3086"/>
      <c r="C382" s="3086" t="s">
        <v>125</v>
      </c>
      <c r="D382" s="3405"/>
      <c r="E382" s="3234" t="str">
        <f t="shared" ref="E382:E393" si="1034">E37</f>
        <v>PTD</v>
      </c>
      <c r="G382" s="2424">
        <f t="shared" ref="G382:J393" si="1035">G37</f>
        <v>5100521</v>
      </c>
      <c r="H382" s="2424">
        <f t="shared" si="1035"/>
        <v>1780548.3377452032</v>
      </c>
      <c r="I382" s="2424">
        <f t="shared" si="1035"/>
        <v>0</v>
      </c>
      <c r="J382" s="2424">
        <f t="shared" si="1035"/>
        <v>3319972.6622547973</v>
      </c>
      <c r="K382" s="3264">
        <f t="shared" ref="K382:K393" si="1036">IF($E382="DIRECT",0,1)</f>
        <v>1</v>
      </c>
      <c r="L382" s="3405"/>
      <c r="N382" s="3406"/>
      <c r="O382" s="2424">
        <f t="shared" ref="O382:R382" si="1037">O37</f>
        <v>5100521</v>
      </c>
      <c r="P382" s="2424">
        <f t="shared" si="1037"/>
        <v>1780548.3377452032</v>
      </c>
      <c r="Q382" s="2424">
        <f t="shared" si="1037"/>
        <v>909067.46902420756</v>
      </c>
      <c r="R382" s="2424">
        <f t="shared" si="1037"/>
        <v>2410905.1932305894</v>
      </c>
      <c r="S382" s="3264"/>
      <c r="T382" s="3405"/>
      <c r="V382" s="3406"/>
      <c r="W382" s="2424">
        <f t="shared" ref="W382:Z382" si="1038">W37</f>
        <v>5100521</v>
      </c>
      <c r="X382" s="2424">
        <f t="shared" si="1038"/>
        <v>1780548.3377452032</v>
      </c>
      <c r="Y382" s="2424">
        <f t="shared" si="1038"/>
        <v>909067.46902420756</v>
      </c>
      <c r="Z382" s="2424">
        <f t="shared" si="1038"/>
        <v>2410905.1932305894</v>
      </c>
      <c r="AA382" s="3264"/>
      <c r="AB382" s="3405"/>
      <c r="AD382" s="3406"/>
      <c r="AE382" s="2424">
        <f t="shared" ref="AE382:AH382" si="1039">AE37</f>
        <v>5100521</v>
      </c>
      <c r="AF382" s="2424">
        <f t="shared" si="1039"/>
        <v>1780548.3377452032</v>
      </c>
      <c r="AG382" s="2424">
        <f t="shared" si="1039"/>
        <v>909067.46902420756</v>
      </c>
      <c r="AH382" s="2424">
        <f t="shared" si="1039"/>
        <v>2410905.1932305894</v>
      </c>
      <c r="AI382" s="3264"/>
      <c r="AJ382" s="3405"/>
      <c r="AL382" s="3406"/>
      <c r="AM382" s="2424">
        <f t="shared" ref="AM382:AP382" si="1040">AM37</f>
        <v>5100521</v>
      </c>
      <c r="AN382" s="2424">
        <f t="shared" si="1040"/>
        <v>1780548.3377452032</v>
      </c>
      <c r="AO382" s="2424">
        <f t="shared" si="1040"/>
        <v>909067.46902420756</v>
      </c>
      <c r="AP382" s="2424">
        <f t="shared" si="1040"/>
        <v>2410905.1932305894</v>
      </c>
      <c r="AQ382" s="3264"/>
      <c r="AR382" s="3405"/>
      <c r="AT382" s="3406"/>
      <c r="AU382" s="2424">
        <f t="shared" ref="AU382:AX382" si="1041">AU37</f>
        <v>5100521</v>
      </c>
      <c r="AV382" s="2424">
        <f t="shared" si="1041"/>
        <v>1780548.3377452032</v>
      </c>
      <c r="AW382" s="2424">
        <f t="shared" si="1041"/>
        <v>909067.46902420756</v>
      </c>
      <c r="AX382" s="2424">
        <f t="shared" si="1041"/>
        <v>2410905.1932305894</v>
      </c>
      <c r="AY382" s="3264"/>
      <c r="AZ382" s="3405"/>
      <c r="BB382" s="3406"/>
      <c r="BC382" s="2424">
        <f t="shared" ref="BC382:BF382" si="1042">BC37</f>
        <v>5100521</v>
      </c>
      <c r="BD382" s="2424">
        <f t="shared" si="1042"/>
        <v>1780548.3377452032</v>
      </c>
      <c r="BE382" s="2424">
        <f t="shared" si="1042"/>
        <v>909067.46902420756</v>
      </c>
      <c r="BF382" s="2424">
        <f t="shared" si="1042"/>
        <v>2410905.1932305894</v>
      </c>
      <c r="BG382" s="3264"/>
      <c r="BH382" s="3405"/>
      <c r="BJ382" s="3406"/>
      <c r="BK382" s="2424">
        <f t="shared" ref="BK382:BN382" si="1043">BK37</f>
        <v>5100521</v>
      </c>
      <c r="BL382" s="2424">
        <f t="shared" si="1043"/>
        <v>1780548.3377452032</v>
      </c>
      <c r="BM382" s="2424">
        <f t="shared" si="1043"/>
        <v>909067.46902420756</v>
      </c>
      <c r="BN382" s="2424">
        <f t="shared" si="1043"/>
        <v>2410905.1932305894</v>
      </c>
      <c r="BO382" s="3264"/>
      <c r="BP382" s="3405"/>
      <c r="BR382" s="3406"/>
      <c r="BS382" s="2424">
        <f t="shared" ref="BS382:BV382" si="1044">BS37</f>
        <v>5100521</v>
      </c>
      <c r="BT382" s="2424">
        <f t="shared" si="1044"/>
        <v>1780548.3377452032</v>
      </c>
      <c r="BU382" s="2424">
        <f t="shared" si="1044"/>
        <v>909067.46902420756</v>
      </c>
      <c r="BV382" s="2424">
        <f t="shared" si="1044"/>
        <v>2410905.1932305894</v>
      </c>
      <c r="BW382" s="3264"/>
      <c r="BX382" s="3405"/>
      <c r="BZ382" s="3406"/>
      <c r="CA382" s="2424">
        <f t="shared" ref="CA382:CD382" si="1045">CA37</f>
        <v>5100521</v>
      </c>
      <c r="CB382" s="2424">
        <f t="shared" si="1045"/>
        <v>1780548.3377452032</v>
      </c>
      <c r="CC382" s="2424">
        <f t="shared" si="1045"/>
        <v>909067.46902420756</v>
      </c>
      <c r="CD382" s="2424">
        <f t="shared" si="1045"/>
        <v>2410905.1932305894</v>
      </c>
      <c r="CE382" s="3264"/>
      <c r="CF382" s="3405"/>
      <c r="CH382" s="3406"/>
      <c r="CI382" s="2424">
        <f t="shared" ref="CI382:CL382" si="1046">CI37</f>
        <v>5100521</v>
      </c>
      <c r="CJ382" s="2424">
        <f t="shared" si="1046"/>
        <v>1780548.3377452032</v>
      </c>
      <c r="CK382" s="2424">
        <f t="shared" si="1046"/>
        <v>909067.46902420756</v>
      </c>
      <c r="CL382" s="2424">
        <f t="shared" si="1046"/>
        <v>2410905.1932305894</v>
      </c>
      <c r="CM382" s="3264"/>
      <c r="CN382" s="3405"/>
      <c r="CP382" s="3406"/>
      <c r="CQ382" s="2424">
        <f t="shared" ref="CQ382:CT382" si="1047">CQ37</f>
        <v>5100521</v>
      </c>
      <c r="CR382" s="2424">
        <f t="shared" si="1047"/>
        <v>1780548.3377452032</v>
      </c>
      <c r="CS382" s="2424">
        <f t="shared" si="1047"/>
        <v>909067.46902420756</v>
      </c>
      <c r="CT382" s="2424">
        <f t="shared" si="1047"/>
        <v>2410905.1932305894</v>
      </c>
      <c r="CU382" s="3264"/>
      <c r="CV382" s="3405"/>
      <c r="CX382" s="3406"/>
      <c r="CY382" s="2424">
        <f t="shared" ref="CY382:DB382" si="1048">CY37</f>
        <v>5100521</v>
      </c>
      <c r="CZ382" s="2424">
        <f t="shared" si="1048"/>
        <v>1780548.3377452032</v>
      </c>
      <c r="DA382" s="2424">
        <f t="shared" si="1048"/>
        <v>909067.46902420756</v>
      </c>
      <c r="DB382" s="2424">
        <f t="shared" si="1048"/>
        <v>2410905.1932305894</v>
      </c>
      <c r="DC382" s="3264"/>
      <c r="DD382" s="3405"/>
      <c r="DF382" s="3406"/>
      <c r="DG382" s="2424">
        <f t="shared" ref="DG382:DJ382" si="1049">DG37</f>
        <v>5100521</v>
      </c>
      <c r="DH382" s="2424">
        <f t="shared" si="1049"/>
        <v>1780548.3377452032</v>
      </c>
      <c r="DI382" s="2424">
        <f t="shared" si="1049"/>
        <v>909067.46902420756</v>
      </c>
      <c r="DJ382" s="2424">
        <f t="shared" si="1049"/>
        <v>2410905.1932305894</v>
      </c>
      <c r="DK382" s="3264"/>
      <c r="DL382" s="3405"/>
      <c r="DN382" s="3406"/>
      <c r="DO382" s="2424">
        <f t="shared" ref="DO382:DR382" si="1050">DO37</f>
        <v>5100521</v>
      </c>
      <c r="DP382" s="2424">
        <f t="shared" si="1050"/>
        <v>1780548.3377452032</v>
      </c>
      <c r="DQ382" s="2424">
        <f t="shared" si="1050"/>
        <v>909067.46902420756</v>
      </c>
      <c r="DR382" s="2424">
        <f t="shared" si="1050"/>
        <v>2410905.1932305894</v>
      </c>
      <c r="DS382" s="3264"/>
      <c r="DT382" s="3405"/>
      <c r="DV382" s="3406"/>
      <c r="DW382" s="2424">
        <f t="shared" ref="DW382:DZ382" si="1051">DW37</f>
        <v>5100521</v>
      </c>
      <c r="DX382" s="2424">
        <f t="shared" si="1051"/>
        <v>1780548.3377452032</v>
      </c>
      <c r="DY382" s="2424">
        <f t="shared" si="1051"/>
        <v>909067.46902420756</v>
      </c>
      <c r="DZ382" s="2424">
        <f t="shared" si="1051"/>
        <v>2410905.1932305894</v>
      </c>
      <c r="EA382" s="3264"/>
      <c r="EB382" s="3405"/>
      <c r="ED382" s="3406"/>
      <c r="EE382" s="2424">
        <f t="shared" ref="EE382:EH382" si="1052">EE37</f>
        <v>5100521</v>
      </c>
      <c r="EF382" s="2424">
        <f t="shared" si="1052"/>
        <v>1780548.3377452032</v>
      </c>
      <c r="EG382" s="2424">
        <f t="shared" si="1052"/>
        <v>909067.46902420756</v>
      </c>
      <c r="EH382" s="2424">
        <f t="shared" si="1052"/>
        <v>2410905.1932305894</v>
      </c>
      <c r="EI382" s="3264"/>
      <c r="EJ382" s="3405"/>
      <c r="EL382" s="3406"/>
      <c r="EM382" s="2424">
        <f t="shared" ref="EM382:EP382" si="1053">EM37</f>
        <v>5100521</v>
      </c>
      <c r="EN382" s="2424">
        <f t="shared" si="1053"/>
        <v>1780548.3377452032</v>
      </c>
      <c r="EO382" s="2424">
        <f t="shared" si="1053"/>
        <v>909067.46902420756</v>
      </c>
      <c r="EP382" s="2424">
        <f t="shared" si="1053"/>
        <v>2410905.1932305894</v>
      </c>
      <c r="EQ382" s="3264"/>
      <c r="ER382" s="3405"/>
      <c r="ET382" s="3406"/>
      <c r="EU382" s="2424">
        <f t="shared" ref="EU382:EX382" si="1054">EU37</f>
        <v>5100521</v>
      </c>
      <c r="EV382" s="2424">
        <f t="shared" si="1054"/>
        <v>1780548.3377452032</v>
      </c>
      <c r="EW382" s="2424">
        <f t="shared" si="1054"/>
        <v>909067.46902420756</v>
      </c>
      <c r="EX382" s="2424">
        <f t="shared" si="1054"/>
        <v>2410905.1932305894</v>
      </c>
      <c r="EY382" s="3264"/>
      <c r="EZ382" s="3405"/>
      <c r="FB382" s="3406"/>
      <c r="FC382" s="2424">
        <f t="shared" ref="FC382:FF382" si="1055">FC37</f>
        <v>5100521</v>
      </c>
      <c r="FD382" s="2424">
        <f t="shared" si="1055"/>
        <v>1780548.3377452032</v>
      </c>
      <c r="FE382" s="2424">
        <f t="shared" si="1055"/>
        <v>909067.46902420756</v>
      </c>
      <c r="FF382" s="2424">
        <f t="shared" si="1055"/>
        <v>2410905.1932305894</v>
      </c>
      <c r="FG382" s="3264"/>
      <c r="FH382" s="3405"/>
      <c r="FJ382" s="3406"/>
      <c r="FK382" s="2424">
        <f t="shared" ref="FK382:FN382" si="1056">FK37</f>
        <v>5100521</v>
      </c>
      <c r="FL382" s="2424">
        <f t="shared" si="1056"/>
        <v>1780548.3377452032</v>
      </c>
      <c r="FM382" s="2424">
        <f t="shared" si="1056"/>
        <v>909067.46902420756</v>
      </c>
      <c r="FN382" s="2424">
        <f t="shared" si="1056"/>
        <v>2410905.1932305894</v>
      </c>
      <c r="FO382" s="3264"/>
    </row>
    <row r="383" spans="2:171">
      <c r="B383" s="3086"/>
      <c r="C383" s="3086" t="s">
        <v>126</v>
      </c>
      <c r="D383" s="3405"/>
      <c r="E383" s="3234" t="str">
        <f t="shared" si="1034"/>
        <v>PTD</v>
      </c>
      <c r="G383" s="2424">
        <f t="shared" si="1035"/>
        <v>126721170</v>
      </c>
      <c r="H383" s="2424">
        <f t="shared" si="1035"/>
        <v>44237278.623228356</v>
      </c>
      <c r="I383" s="2424">
        <f t="shared" si="1035"/>
        <v>0</v>
      </c>
      <c r="J383" s="2424">
        <f t="shared" si="1035"/>
        <v>82483891.376771659</v>
      </c>
      <c r="K383" s="3264">
        <f t="shared" si="1036"/>
        <v>1</v>
      </c>
      <c r="L383" s="3405"/>
      <c r="N383" s="3406"/>
      <c r="O383" s="2424">
        <f t="shared" ref="O383:R383" si="1057">O38</f>
        <v>126721170</v>
      </c>
      <c r="P383" s="2424">
        <f t="shared" si="1057"/>
        <v>44237278.623228356</v>
      </c>
      <c r="Q383" s="2424">
        <f t="shared" si="1057"/>
        <v>22585554.158817567</v>
      </c>
      <c r="R383" s="2424">
        <f t="shared" si="1057"/>
        <v>59898337.217954084</v>
      </c>
      <c r="S383" s="3264"/>
      <c r="T383" s="3405"/>
      <c r="V383" s="3406"/>
      <c r="W383" s="2424">
        <f t="shared" ref="W383:Z383" si="1058">W38</f>
        <v>126721170</v>
      </c>
      <c r="X383" s="2424">
        <f t="shared" si="1058"/>
        <v>44237278.623228356</v>
      </c>
      <c r="Y383" s="2424">
        <f t="shared" si="1058"/>
        <v>22585554.158817567</v>
      </c>
      <c r="Z383" s="2424">
        <f t="shared" si="1058"/>
        <v>59898337.217954084</v>
      </c>
      <c r="AA383" s="3264"/>
      <c r="AB383" s="3405"/>
      <c r="AD383" s="3406"/>
      <c r="AE383" s="2424">
        <f t="shared" ref="AE383:AH383" si="1059">AE38</f>
        <v>126721170</v>
      </c>
      <c r="AF383" s="2424">
        <f t="shared" si="1059"/>
        <v>44237278.623228356</v>
      </c>
      <c r="AG383" s="2424">
        <f t="shared" si="1059"/>
        <v>22585554.158817567</v>
      </c>
      <c r="AH383" s="2424">
        <f t="shared" si="1059"/>
        <v>59898337.217954084</v>
      </c>
      <c r="AI383" s="3264"/>
      <c r="AJ383" s="3405"/>
      <c r="AL383" s="3406"/>
      <c r="AM383" s="2424">
        <f t="shared" ref="AM383:AP383" si="1060">AM38</f>
        <v>126721170</v>
      </c>
      <c r="AN383" s="2424">
        <f t="shared" si="1060"/>
        <v>44237278.623228356</v>
      </c>
      <c r="AO383" s="2424">
        <f t="shared" si="1060"/>
        <v>22585554.158817567</v>
      </c>
      <c r="AP383" s="2424">
        <f t="shared" si="1060"/>
        <v>59898337.217954084</v>
      </c>
      <c r="AQ383" s="3264"/>
      <c r="AR383" s="3405"/>
      <c r="AT383" s="3406"/>
      <c r="AU383" s="2424">
        <f t="shared" ref="AU383:AX383" si="1061">AU38</f>
        <v>126721170</v>
      </c>
      <c r="AV383" s="2424">
        <f t="shared" si="1061"/>
        <v>44237278.623228356</v>
      </c>
      <c r="AW383" s="2424">
        <f t="shared" si="1061"/>
        <v>22585554.158817567</v>
      </c>
      <c r="AX383" s="2424">
        <f t="shared" si="1061"/>
        <v>59898337.217954084</v>
      </c>
      <c r="AY383" s="3264"/>
      <c r="AZ383" s="3405"/>
      <c r="BB383" s="3406"/>
      <c r="BC383" s="2424">
        <f t="shared" ref="BC383:BF383" si="1062">BC38</f>
        <v>126721170</v>
      </c>
      <c r="BD383" s="2424">
        <f t="shared" si="1062"/>
        <v>44237278.623228356</v>
      </c>
      <c r="BE383" s="2424">
        <f t="shared" si="1062"/>
        <v>22585554.158817567</v>
      </c>
      <c r="BF383" s="2424">
        <f t="shared" si="1062"/>
        <v>59898337.217954084</v>
      </c>
      <c r="BG383" s="3264"/>
      <c r="BH383" s="3405"/>
      <c r="BJ383" s="3406"/>
      <c r="BK383" s="2424">
        <f t="shared" ref="BK383:BN383" si="1063">BK38</f>
        <v>126721170</v>
      </c>
      <c r="BL383" s="2424">
        <f t="shared" si="1063"/>
        <v>44237278.623228356</v>
      </c>
      <c r="BM383" s="2424">
        <f t="shared" si="1063"/>
        <v>22585554.158817567</v>
      </c>
      <c r="BN383" s="2424">
        <f t="shared" si="1063"/>
        <v>59898337.217954084</v>
      </c>
      <c r="BO383" s="3264"/>
      <c r="BP383" s="3405"/>
      <c r="BR383" s="3406"/>
      <c r="BS383" s="2424">
        <f t="shared" ref="BS383:BV383" si="1064">BS38</f>
        <v>126721170</v>
      </c>
      <c r="BT383" s="2424">
        <f t="shared" si="1064"/>
        <v>44237278.623228356</v>
      </c>
      <c r="BU383" s="2424">
        <f t="shared" si="1064"/>
        <v>22585554.158817567</v>
      </c>
      <c r="BV383" s="2424">
        <f t="shared" si="1064"/>
        <v>59898337.217954084</v>
      </c>
      <c r="BW383" s="3264"/>
      <c r="BX383" s="3405"/>
      <c r="BZ383" s="3406"/>
      <c r="CA383" s="2424">
        <f t="shared" ref="CA383:CD383" si="1065">CA38</f>
        <v>126721170</v>
      </c>
      <c r="CB383" s="2424">
        <f t="shared" si="1065"/>
        <v>44237278.623228356</v>
      </c>
      <c r="CC383" s="2424">
        <f t="shared" si="1065"/>
        <v>22585554.158817567</v>
      </c>
      <c r="CD383" s="2424">
        <f t="shared" si="1065"/>
        <v>59898337.217954084</v>
      </c>
      <c r="CE383" s="3264"/>
      <c r="CF383" s="3405"/>
      <c r="CH383" s="3406"/>
      <c r="CI383" s="2424">
        <f t="shared" ref="CI383:CL383" si="1066">CI38</f>
        <v>126721170</v>
      </c>
      <c r="CJ383" s="2424">
        <f t="shared" si="1066"/>
        <v>44237278.623228356</v>
      </c>
      <c r="CK383" s="2424">
        <f t="shared" si="1066"/>
        <v>22585554.158817567</v>
      </c>
      <c r="CL383" s="2424">
        <f t="shared" si="1066"/>
        <v>59898337.217954084</v>
      </c>
      <c r="CM383" s="3264"/>
      <c r="CN383" s="3405"/>
      <c r="CP383" s="3406"/>
      <c r="CQ383" s="2424">
        <f t="shared" ref="CQ383:CT383" si="1067">CQ38</f>
        <v>126721170</v>
      </c>
      <c r="CR383" s="2424">
        <f t="shared" si="1067"/>
        <v>44237278.623228356</v>
      </c>
      <c r="CS383" s="2424">
        <f t="shared" si="1067"/>
        <v>22585554.158817567</v>
      </c>
      <c r="CT383" s="2424">
        <f t="shared" si="1067"/>
        <v>59898337.217954084</v>
      </c>
      <c r="CU383" s="3264"/>
      <c r="CV383" s="3405"/>
      <c r="CX383" s="3406"/>
      <c r="CY383" s="2424">
        <f t="shared" ref="CY383:DB383" si="1068">CY38</f>
        <v>126721170</v>
      </c>
      <c r="CZ383" s="2424">
        <f t="shared" si="1068"/>
        <v>44237278.623228356</v>
      </c>
      <c r="DA383" s="2424">
        <f t="shared" si="1068"/>
        <v>22585554.158817567</v>
      </c>
      <c r="DB383" s="2424">
        <f t="shared" si="1068"/>
        <v>59898337.217954084</v>
      </c>
      <c r="DC383" s="3264"/>
      <c r="DD383" s="3405"/>
      <c r="DF383" s="3406"/>
      <c r="DG383" s="2424">
        <f t="shared" ref="DG383:DJ383" si="1069">DG38</f>
        <v>126721170</v>
      </c>
      <c r="DH383" s="2424">
        <f t="shared" si="1069"/>
        <v>44237278.623228356</v>
      </c>
      <c r="DI383" s="2424">
        <f t="shared" si="1069"/>
        <v>22585554.158817567</v>
      </c>
      <c r="DJ383" s="2424">
        <f t="shared" si="1069"/>
        <v>59898337.217954084</v>
      </c>
      <c r="DK383" s="3264"/>
      <c r="DL383" s="3405"/>
      <c r="DN383" s="3406"/>
      <c r="DO383" s="2424">
        <f t="shared" ref="DO383:DR383" si="1070">DO38</f>
        <v>126721170</v>
      </c>
      <c r="DP383" s="2424">
        <f t="shared" si="1070"/>
        <v>44237278.623228356</v>
      </c>
      <c r="DQ383" s="2424">
        <f t="shared" si="1070"/>
        <v>22585554.158817567</v>
      </c>
      <c r="DR383" s="2424">
        <f t="shared" si="1070"/>
        <v>59898337.217954084</v>
      </c>
      <c r="DS383" s="3264"/>
      <c r="DT383" s="3405"/>
      <c r="DV383" s="3406"/>
      <c r="DW383" s="2424">
        <f t="shared" ref="DW383:DZ383" si="1071">DW38</f>
        <v>126721170</v>
      </c>
      <c r="DX383" s="2424">
        <f t="shared" si="1071"/>
        <v>44237278.623228356</v>
      </c>
      <c r="DY383" s="2424">
        <f t="shared" si="1071"/>
        <v>22585554.158817567</v>
      </c>
      <c r="DZ383" s="2424">
        <f t="shared" si="1071"/>
        <v>59898337.217954084</v>
      </c>
      <c r="EA383" s="3264"/>
      <c r="EB383" s="3405"/>
      <c r="ED383" s="3406"/>
      <c r="EE383" s="2424">
        <f t="shared" ref="EE383:EH383" si="1072">EE38</f>
        <v>126721170</v>
      </c>
      <c r="EF383" s="2424">
        <f t="shared" si="1072"/>
        <v>44237278.623228356</v>
      </c>
      <c r="EG383" s="2424">
        <f t="shared" si="1072"/>
        <v>22585554.158817567</v>
      </c>
      <c r="EH383" s="2424">
        <f t="shared" si="1072"/>
        <v>59898337.217954084</v>
      </c>
      <c r="EI383" s="3264"/>
      <c r="EJ383" s="3405"/>
      <c r="EL383" s="3406"/>
      <c r="EM383" s="2424">
        <f t="shared" ref="EM383:EP383" si="1073">EM38</f>
        <v>126721170</v>
      </c>
      <c r="EN383" s="2424">
        <f t="shared" si="1073"/>
        <v>44237278.623228356</v>
      </c>
      <c r="EO383" s="2424">
        <f t="shared" si="1073"/>
        <v>22585554.158817567</v>
      </c>
      <c r="EP383" s="2424">
        <f t="shared" si="1073"/>
        <v>59898337.217954084</v>
      </c>
      <c r="EQ383" s="3264"/>
      <c r="ER383" s="3405"/>
      <c r="ET383" s="3406"/>
      <c r="EU383" s="2424">
        <f t="shared" ref="EU383:EX383" si="1074">EU38</f>
        <v>126721170</v>
      </c>
      <c r="EV383" s="2424">
        <f t="shared" si="1074"/>
        <v>44237278.623228356</v>
      </c>
      <c r="EW383" s="2424">
        <f t="shared" si="1074"/>
        <v>22585554.158817567</v>
      </c>
      <c r="EX383" s="2424">
        <f t="shared" si="1074"/>
        <v>59898337.217954084</v>
      </c>
      <c r="EY383" s="3264"/>
      <c r="EZ383" s="3405"/>
      <c r="FB383" s="3406"/>
      <c r="FC383" s="2424">
        <f t="shared" ref="FC383:FF383" si="1075">FC38</f>
        <v>126721170</v>
      </c>
      <c r="FD383" s="2424">
        <f t="shared" si="1075"/>
        <v>44237278.623228356</v>
      </c>
      <c r="FE383" s="2424">
        <f t="shared" si="1075"/>
        <v>22585554.158817567</v>
      </c>
      <c r="FF383" s="2424">
        <f t="shared" si="1075"/>
        <v>59898337.217954084</v>
      </c>
      <c r="FG383" s="3264"/>
      <c r="FH383" s="3405"/>
      <c r="FJ383" s="3406"/>
      <c r="FK383" s="2424">
        <f t="shared" ref="FK383:FN383" si="1076">FK38</f>
        <v>126721170</v>
      </c>
      <c r="FL383" s="2424">
        <f t="shared" si="1076"/>
        <v>44237278.623228356</v>
      </c>
      <c r="FM383" s="2424">
        <f t="shared" si="1076"/>
        <v>22585554.158817567</v>
      </c>
      <c r="FN383" s="2424">
        <f t="shared" si="1076"/>
        <v>59898337.217954084</v>
      </c>
      <c r="FO383" s="3264"/>
    </row>
    <row r="384" spans="2:171">
      <c r="B384" s="3086"/>
      <c r="C384" s="3086" t="s">
        <v>127</v>
      </c>
      <c r="D384" s="3405"/>
      <c r="E384" s="3234" t="str">
        <f t="shared" si="1034"/>
        <v>LABOR</v>
      </c>
      <c r="G384" s="2424">
        <f t="shared" si="1035"/>
        <v>31597697</v>
      </c>
      <c r="H384" s="2424">
        <f t="shared" si="1035"/>
        <v>10737849.558694087</v>
      </c>
      <c r="I384" s="2424">
        <f t="shared" si="1035"/>
        <v>0</v>
      </c>
      <c r="J384" s="2424">
        <f t="shared" si="1035"/>
        <v>20859847.441305913</v>
      </c>
      <c r="K384" s="3264">
        <f t="shared" si="1036"/>
        <v>1</v>
      </c>
      <c r="L384" s="3405"/>
      <c r="N384" s="3406"/>
      <c r="O384" s="2424">
        <f t="shared" ref="O384:R384" si="1077">O39</f>
        <v>31597697</v>
      </c>
      <c r="P384" s="2424">
        <f t="shared" si="1077"/>
        <v>10737849.558694087</v>
      </c>
      <c r="Q384" s="2424">
        <f t="shared" si="1077"/>
        <v>1714681.2771933991</v>
      </c>
      <c r="R384" s="2424">
        <f t="shared" si="1077"/>
        <v>19145166.164112516</v>
      </c>
      <c r="S384" s="3264"/>
      <c r="T384" s="3405"/>
      <c r="V384" s="3406"/>
      <c r="W384" s="2424">
        <f t="shared" ref="W384:Z384" si="1078">W39</f>
        <v>31597697</v>
      </c>
      <c r="X384" s="2424">
        <f t="shared" si="1078"/>
        <v>10737849.558694087</v>
      </c>
      <c r="Y384" s="2424">
        <f t="shared" si="1078"/>
        <v>1714681.2771933991</v>
      </c>
      <c r="Z384" s="2424">
        <f t="shared" si="1078"/>
        <v>19145166.164112516</v>
      </c>
      <c r="AA384" s="3264"/>
      <c r="AB384" s="3405"/>
      <c r="AD384" s="3406"/>
      <c r="AE384" s="2424">
        <f t="shared" ref="AE384:AH384" si="1079">AE39</f>
        <v>31597697</v>
      </c>
      <c r="AF384" s="2424">
        <f t="shared" si="1079"/>
        <v>10737849.558694087</v>
      </c>
      <c r="AG384" s="2424">
        <f t="shared" si="1079"/>
        <v>1714681.2771933991</v>
      </c>
      <c r="AH384" s="2424">
        <f t="shared" si="1079"/>
        <v>19145166.164112516</v>
      </c>
      <c r="AI384" s="3264"/>
      <c r="AJ384" s="3405"/>
      <c r="AL384" s="3406"/>
      <c r="AM384" s="2424">
        <f t="shared" ref="AM384:AP384" si="1080">AM39</f>
        <v>31597697</v>
      </c>
      <c r="AN384" s="2424">
        <f t="shared" si="1080"/>
        <v>10737849.558694087</v>
      </c>
      <c r="AO384" s="2424">
        <f t="shared" si="1080"/>
        <v>1714681.2771933991</v>
      </c>
      <c r="AP384" s="2424">
        <f t="shared" si="1080"/>
        <v>19145166.164112516</v>
      </c>
      <c r="AQ384" s="3264"/>
      <c r="AR384" s="3405"/>
      <c r="AT384" s="3406"/>
      <c r="AU384" s="2424">
        <f t="shared" ref="AU384:AX384" si="1081">AU39</f>
        <v>31597697</v>
      </c>
      <c r="AV384" s="2424">
        <f t="shared" si="1081"/>
        <v>10737849.558694087</v>
      </c>
      <c r="AW384" s="2424">
        <f t="shared" si="1081"/>
        <v>1714681.2771933991</v>
      </c>
      <c r="AX384" s="2424">
        <f t="shared" si="1081"/>
        <v>19145166.164112516</v>
      </c>
      <c r="AY384" s="3264"/>
      <c r="AZ384" s="3405"/>
      <c r="BB384" s="3406"/>
      <c r="BC384" s="2424">
        <f t="shared" ref="BC384:BF384" si="1082">BC39</f>
        <v>31597697</v>
      </c>
      <c r="BD384" s="2424">
        <f t="shared" si="1082"/>
        <v>10737849.558694087</v>
      </c>
      <c r="BE384" s="2424">
        <f t="shared" si="1082"/>
        <v>1714681.2771933991</v>
      </c>
      <c r="BF384" s="2424">
        <f t="shared" si="1082"/>
        <v>19145166.164112516</v>
      </c>
      <c r="BG384" s="3264"/>
      <c r="BH384" s="3405"/>
      <c r="BJ384" s="3406"/>
      <c r="BK384" s="2424">
        <f t="shared" ref="BK384:BN384" si="1083">BK39</f>
        <v>31597697</v>
      </c>
      <c r="BL384" s="2424">
        <f t="shared" si="1083"/>
        <v>10737849.558694087</v>
      </c>
      <c r="BM384" s="2424">
        <f t="shared" si="1083"/>
        <v>1714681.2771933991</v>
      </c>
      <c r="BN384" s="2424">
        <f t="shared" si="1083"/>
        <v>19145166.164112516</v>
      </c>
      <c r="BO384" s="3264"/>
      <c r="BP384" s="3405"/>
      <c r="BR384" s="3406"/>
      <c r="BS384" s="2424">
        <f t="shared" ref="BS384:BV384" si="1084">BS39</f>
        <v>31597697</v>
      </c>
      <c r="BT384" s="2424">
        <f t="shared" si="1084"/>
        <v>10737849.558694087</v>
      </c>
      <c r="BU384" s="2424">
        <f t="shared" si="1084"/>
        <v>1714681.2771933991</v>
      </c>
      <c r="BV384" s="2424">
        <f t="shared" si="1084"/>
        <v>19145166.164112516</v>
      </c>
      <c r="BW384" s="3264"/>
      <c r="BX384" s="3405"/>
      <c r="BZ384" s="3406"/>
      <c r="CA384" s="2424">
        <f t="shared" ref="CA384:CD384" si="1085">CA39</f>
        <v>31597697</v>
      </c>
      <c r="CB384" s="2424">
        <f t="shared" si="1085"/>
        <v>10737849.558694087</v>
      </c>
      <c r="CC384" s="2424">
        <f t="shared" si="1085"/>
        <v>1714681.2771933991</v>
      </c>
      <c r="CD384" s="2424">
        <f t="shared" si="1085"/>
        <v>19145166.164112516</v>
      </c>
      <c r="CE384" s="3264"/>
      <c r="CF384" s="3405"/>
      <c r="CH384" s="3406"/>
      <c r="CI384" s="2424">
        <f t="shared" ref="CI384:CL384" si="1086">CI39</f>
        <v>31597697</v>
      </c>
      <c r="CJ384" s="2424">
        <f t="shared" si="1086"/>
        <v>10737849.558694087</v>
      </c>
      <c r="CK384" s="2424">
        <f t="shared" si="1086"/>
        <v>1714681.2771933991</v>
      </c>
      <c r="CL384" s="2424">
        <f t="shared" si="1086"/>
        <v>19145166.164112516</v>
      </c>
      <c r="CM384" s="3264"/>
      <c r="CN384" s="3405"/>
      <c r="CP384" s="3406"/>
      <c r="CQ384" s="2424">
        <f t="shared" ref="CQ384:CT384" si="1087">CQ39</f>
        <v>31597697</v>
      </c>
      <c r="CR384" s="2424">
        <f t="shared" si="1087"/>
        <v>10737849.558694087</v>
      </c>
      <c r="CS384" s="2424">
        <f t="shared" si="1087"/>
        <v>1714681.2771933991</v>
      </c>
      <c r="CT384" s="2424">
        <f t="shared" si="1087"/>
        <v>19145166.164112516</v>
      </c>
      <c r="CU384" s="3264"/>
      <c r="CV384" s="3405"/>
      <c r="CX384" s="3406"/>
      <c r="CY384" s="2424">
        <f t="shared" ref="CY384:DB384" si="1088">CY39</f>
        <v>31597697</v>
      </c>
      <c r="CZ384" s="2424">
        <f t="shared" si="1088"/>
        <v>10737849.558694087</v>
      </c>
      <c r="DA384" s="2424">
        <f t="shared" si="1088"/>
        <v>1714681.2771933991</v>
      </c>
      <c r="DB384" s="2424">
        <f t="shared" si="1088"/>
        <v>19145166.164112516</v>
      </c>
      <c r="DC384" s="3264"/>
      <c r="DD384" s="3405"/>
      <c r="DF384" s="3406"/>
      <c r="DG384" s="2424">
        <f t="shared" ref="DG384:DJ384" si="1089">DG39</f>
        <v>31597697</v>
      </c>
      <c r="DH384" s="2424">
        <f t="shared" si="1089"/>
        <v>10737849.558694087</v>
      </c>
      <c r="DI384" s="2424">
        <f t="shared" si="1089"/>
        <v>1714681.2771933991</v>
      </c>
      <c r="DJ384" s="2424">
        <f t="shared" si="1089"/>
        <v>19145166.164112516</v>
      </c>
      <c r="DK384" s="3264"/>
      <c r="DL384" s="3405"/>
      <c r="DN384" s="3406"/>
      <c r="DO384" s="2424">
        <f t="shared" ref="DO384:DR384" si="1090">DO39</f>
        <v>31597697</v>
      </c>
      <c r="DP384" s="2424">
        <f t="shared" si="1090"/>
        <v>10737849.558694087</v>
      </c>
      <c r="DQ384" s="2424">
        <f t="shared" si="1090"/>
        <v>1714681.2771933991</v>
      </c>
      <c r="DR384" s="2424">
        <f t="shared" si="1090"/>
        <v>19145166.164112516</v>
      </c>
      <c r="DS384" s="3264"/>
      <c r="DT384" s="3405"/>
      <c r="DV384" s="3406"/>
      <c r="DW384" s="2424">
        <f t="shared" ref="DW384:DZ384" si="1091">DW39</f>
        <v>31597697</v>
      </c>
      <c r="DX384" s="2424">
        <f t="shared" si="1091"/>
        <v>10737849.558694087</v>
      </c>
      <c r="DY384" s="2424">
        <f t="shared" si="1091"/>
        <v>1714681.2771933991</v>
      </c>
      <c r="DZ384" s="2424">
        <f t="shared" si="1091"/>
        <v>19145166.164112516</v>
      </c>
      <c r="EA384" s="3264"/>
      <c r="EB384" s="3405"/>
      <c r="ED384" s="3406"/>
      <c r="EE384" s="2424">
        <f t="shared" ref="EE384:EH384" si="1092">EE39</f>
        <v>31597697</v>
      </c>
      <c r="EF384" s="2424">
        <f t="shared" si="1092"/>
        <v>10737849.558694087</v>
      </c>
      <c r="EG384" s="2424">
        <f t="shared" si="1092"/>
        <v>1714681.2771933991</v>
      </c>
      <c r="EH384" s="2424">
        <f t="shared" si="1092"/>
        <v>19145166.164112516</v>
      </c>
      <c r="EI384" s="3264"/>
      <c r="EJ384" s="3405"/>
      <c r="EL384" s="3406"/>
      <c r="EM384" s="2424">
        <f t="shared" ref="EM384:EP384" si="1093">EM39</f>
        <v>31597697</v>
      </c>
      <c r="EN384" s="2424">
        <f t="shared" si="1093"/>
        <v>10737849.558694087</v>
      </c>
      <c r="EO384" s="2424">
        <f t="shared" si="1093"/>
        <v>1714681.2771933991</v>
      </c>
      <c r="EP384" s="2424">
        <f t="shared" si="1093"/>
        <v>19145166.164112516</v>
      </c>
      <c r="EQ384" s="3264"/>
      <c r="ER384" s="3405"/>
      <c r="ET384" s="3406"/>
      <c r="EU384" s="2424">
        <f t="shared" ref="EU384:EX384" si="1094">EU39</f>
        <v>31597697</v>
      </c>
      <c r="EV384" s="2424">
        <f t="shared" si="1094"/>
        <v>10737849.558694087</v>
      </c>
      <c r="EW384" s="2424">
        <f t="shared" si="1094"/>
        <v>1714681.2771933991</v>
      </c>
      <c r="EX384" s="2424">
        <f t="shared" si="1094"/>
        <v>19145166.164112516</v>
      </c>
      <c r="EY384" s="3264"/>
      <c r="EZ384" s="3405"/>
      <c r="FB384" s="3406"/>
      <c r="FC384" s="2424">
        <f t="shared" ref="FC384:FF384" si="1095">FC39</f>
        <v>31597697</v>
      </c>
      <c r="FD384" s="2424">
        <f t="shared" si="1095"/>
        <v>10737849.558694087</v>
      </c>
      <c r="FE384" s="2424">
        <f t="shared" si="1095"/>
        <v>1714681.2771933991</v>
      </c>
      <c r="FF384" s="2424">
        <f t="shared" si="1095"/>
        <v>19145166.164112516</v>
      </c>
      <c r="FG384" s="3264"/>
      <c r="FH384" s="3405"/>
      <c r="FJ384" s="3406"/>
      <c r="FK384" s="2424">
        <f t="shared" ref="FK384:FN384" si="1096">FK39</f>
        <v>31597697</v>
      </c>
      <c r="FL384" s="2424">
        <f t="shared" si="1096"/>
        <v>10737849.558694087</v>
      </c>
      <c r="FM384" s="2424">
        <f t="shared" si="1096"/>
        <v>1714681.2771933991</v>
      </c>
      <c r="FN384" s="2424">
        <f t="shared" si="1096"/>
        <v>19145166.164112516</v>
      </c>
      <c r="FO384" s="3264"/>
    </row>
    <row r="385" spans="2:171">
      <c r="B385" s="3086"/>
      <c r="C385" s="3086" t="s">
        <v>128</v>
      </c>
      <c r="D385" s="3405"/>
      <c r="E385" s="3234" t="str">
        <f t="shared" si="1034"/>
        <v>TD</v>
      </c>
      <c r="G385" s="2424">
        <f t="shared" si="1035"/>
        <v>3994065</v>
      </c>
      <c r="H385" s="2424">
        <f t="shared" si="1035"/>
        <v>0</v>
      </c>
      <c r="I385" s="2424">
        <f t="shared" si="1035"/>
        <v>0</v>
      </c>
      <c r="J385" s="2424">
        <f t="shared" si="1035"/>
        <v>3994065</v>
      </c>
      <c r="K385" s="3264">
        <f t="shared" si="1036"/>
        <v>1</v>
      </c>
      <c r="L385" s="3405"/>
      <c r="N385" s="3406"/>
      <c r="O385" s="2424">
        <f t="shared" ref="O385:R385" si="1097">O40</f>
        <v>3994065.0000000005</v>
      </c>
      <c r="P385" s="2424">
        <f t="shared" si="1097"/>
        <v>0</v>
      </c>
      <c r="Q385" s="2424">
        <f t="shared" si="1097"/>
        <v>1093645.9212294305</v>
      </c>
      <c r="R385" s="2424">
        <f t="shared" si="1097"/>
        <v>2900419.07877057</v>
      </c>
      <c r="S385" s="3264"/>
      <c r="T385" s="3405"/>
      <c r="V385" s="3406"/>
      <c r="W385" s="2424">
        <f t="shared" ref="W385:Z385" si="1098">W40</f>
        <v>3994065.0000000005</v>
      </c>
      <c r="X385" s="2424">
        <f t="shared" si="1098"/>
        <v>0</v>
      </c>
      <c r="Y385" s="2424">
        <f t="shared" si="1098"/>
        <v>1093645.9212294305</v>
      </c>
      <c r="Z385" s="2424">
        <f t="shared" si="1098"/>
        <v>2900419.07877057</v>
      </c>
      <c r="AA385" s="3264"/>
      <c r="AB385" s="3405"/>
      <c r="AD385" s="3406"/>
      <c r="AE385" s="2424">
        <f t="shared" ref="AE385:AH385" si="1099">AE40</f>
        <v>3994065.0000000005</v>
      </c>
      <c r="AF385" s="2424">
        <f t="shared" si="1099"/>
        <v>0</v>
      </c>
      <c r="AG385" s="2424">
        <f t="shared" si="1099"/>
        <v>1093645.9212294305</v>
      </c>
      <c r="AH385" s="2424">
        <f t="shared" si="1099"/>
        <v>2900419.07877057</v>
      </c>
      <c r="AI385" s="3264"/>
      <c r="AJ385" s="3405"/>
      <c r="AL385" s="3406"/>
      <c r="AM385" s="2424">
        <f t="shared" ref="AM385:AP385" si="1100">AM40</f>
        <v>3994065.0000000005</v>
      </c>
      <c r="AN385" s="2424">
        <f t="shared" si="1100"/>
        <v>0</v>
      </c>
      <c r="AO385" s="2424">
        <f t="shared" si="1100"/>
        <v>1093645.9212294305</v>
      </c>
      <c r="AP385" s="2424">
        <f t="shared" si="1100"/>
        <v>2900419.07877057</v>
      </c>
      <c r="AQ385" s="3264"/>
      <c r="AR385" s="3405"/>
      <c r="AT385" s="3406"/>
      <c r="AU385" s="2424">
        <f t="shared" ref="AU385:AX385" si="1101">AU40</f>
        <v>3994065.0000000005</v>
      </c>
      <c r="AV385" s="2424">
        <f t="shared" si="1101"/>
        <v>0</v>
      </c>
      <c r="AW385" s="2424">
        <f t="shared" si="1101"/>
        <v>1093645.9212294305</v>
      </c>
      <c r="AX385" s="2424">
        <f t="shared" si="1101"/>
        <v>2900419.07877057</v>
      </c>
      <c r="AY385" s="3264"/>
      <c r="AZ385" s="3405"/>
      <c r="BB385" s="3406"/>
      <c r="BC385" s="2424">
        <f t="shared" ref="BC385:BF385" si="1102">BC40</f>
        <v>3994065.0000000005</v>
      </c>
      <c r="BD385" s="2424">
        <f t="shared" si="1102"/>
        <v>0</v>
      </c>
      <c r="BE385" s="2424">
        <f t="shared" si="1102"/>
        <v>1093645.9212294305</v>
      </c>
      <c r="BF385" s="2424">
        <f t="shared" si="1102"/>
        <v>2900419.07877057</v>
      </c>
      <c r="BG385" s="3264"/>
      <c r="BH385" s="3405"/>
      <c r="BJ385" s="3406"/>
      <c r="BK385" s="2424">
        <f t="shared" ref="BK385:BN385" si="1103">BK40</f>
        <v>3994065.0000000005</v>
      </c>
      <c r="BL385" s="2424">
        <f t="shared" si="1103"/>
        <v>0</v>
      </c>
      <c r="BM385" s="2424">
        <f t="shared" si="1103"/>
        <v>1093645.9212294305</v>
      </c>
      <c r="BN385" s="2424">
        <f t="shared" si="1103"/>
        <v>2900419.07877057</v>
      </c>
      <c r="BO385" s="3264"/>
      <c r="BP385" s="3405"/>
      <c r="BR385" s="3406"/>
      <c r="BS385" s="2424">
        <f t="shared" ref="BS385:BV385" si="1104">BS40</f>
        <v>3994065.0000000005</v>
      </c>
      <c r="BT385" s="2424">
        <f t="shared" si="1104"/>
        <v>0</v>
      </c>
      <c r="BU385" s="2424">
        <f t="shared" si="1104"/>
        <v>1093645.9212294305</v>
      </c>
      <c r="BV385" s="2424">
        <f t="shared" si="1104"/>
        <v>2900419.07877057</v>
      </c>
      <c r="BW385" s="3264"/>
      <c r="BX385" s="3405"/>
      <c r="BZ385" s="3406"/>
      <c r="CA385" s="2424">
        <f t="shared" ref="CA385:CD385" si="1105">CA40</f>
        <v>3994065.0000000005</v>
      </c>
      <c r="CB385" s="2424">
        <f t="shared" si="1105"/>
        <v>0</v>
      </c>
      <c r="CC385" s="2424">
        <f t="shared" si="1105"/>
        <v>1093645.9212294305</v>
      </c>
      <c r="CD385" s="2424">
        <f t="shared" si="1105"/>
        <v>2900419.07877057</v>
      </c>
      <c r="CE385" s="3264"/>
      <c r="CF385" s="3405"/>
      <c r="CH385" s="3406"/>
      <c r="CI385" s="2424">
        <f t="shared" ref="CI385:CL385" si="1106">CI40</f>
        <v>3994065.0000000005</v>
      </c>
      <c r="CJ385" s="2424">
        <f t="shared" si="1106"/>
        <v>0</v>
      </c>
      <c r="CK385" s="2424">
        <f t="shared" si="1106"/>
        <v>1093645.9212294305</v>
      </c>
      <c r="CL385" s="2424">
        <f t="shared" si="1106"/>
        <v>2900419.07877057</v>
      </c>
      <c r="CM385" s="3264"/>
      <c r="CN385" s="3405"/>
      <c r="CP385" s="3406"/>
      <c r="CQ385" s="2424">
        <f t="shared" ref="CQ385:CT385" si="1107">CQ40</f>
        <v>3994065.0000000005</v>
      </c>
      <c r="CR385" s="2424">
        <f t="shared" si="1107"/>
        <v>0</v>
      </c>
      <c r="CS385" s="2424">
        <f t="shared" si="1107"/>
        <v>1093645.9212294305</v>
      </c>
      <c r="CT385" s="2424">
        <f t="shared" si="1107"/>
        <v>2900419.07877057</v>
      </c>
      <c r="CU385" s="3264"/>
      <c r="CV385" s="3405"/>
      <c r="CX385" s="3406"/>
      <c r="CY385" s="2424">
        <f t="shared" ref="CY385:DB385" si="1108">CY40</f>
        <v>3994065.0000000005</v>
      </c>
      <c r="CZ385" s="2424">
        <f t="shared" si="1108"/>
        <v>0</v>
      </c>
      <c r="DA385" s="2424">
        <f t="shared" si="1108"/>
        <v>1093645.9212294305</v>
      </c>
      <c r="DB385" s="2424">
        <f t="shared" si="1108"/>
        <v>2900419.07877057</v>
      </c>
      <c r="DC385" s="3264"/>
      <c r="DD385" s="3405"/>
      <c r="DF385" s="3406"/>
      <c r="DG385" s="2424">
        <f t="shared" ref="DG385:DJ385" si="1109">DG40</f>
        <v>3994065.0000000005</v>
      </c>
      <c r="DH385" s="2424">
        <f t="shared" si="1109"/>
        <v>0</v>
      </c>
      <c r="DI385" s="2424">
        <f t="shared" si="1109"/>
        <v>1093645.9212294305</v>
      </c>
      <c r="DJ385" s="2424">
        <f t="shared" si="1109"/>
        <v>2900419.07877057</v>
      </c>
      <c r="DK385" s="3264"/>
      <c r="DL385" s="3405"/>
      <c r="DN385" s="3406"/>
      <c r="DO385" s="2424">
        <f t="shared" ref="DO385:DR385" si="1110">DO40</f>
        <v>3994065.0000000005</v>
      </c>
      <c r="DP385" s="2424">
        <f t="shared" si="1110"/>
        <v>0</v>
      </c>
      <c r="DQ385" s="2424">
        <f t="shared" si="1110"/>
        <v>1093645.9212294305</v>
      </c>
      <c r="DR385" s="2424">
        <f t="shared" si="1110"/>
        <v>2900419.07877057</v>
      </c>
      <c r="DS385" s="3264"/>
      <c r="DT385" s="3405"/>
      <c r="DV385" s="3406"/>
      <c r="DW385" s="2424">
        <f t="shared" ref="DW385:DZ385" si="1111">DW40</f>
        <v>3994065.0000000005</v>
      </c>
      <c r="DX385" s="2424">
        <f t="shared" si="1111"/>
        <v>0</v>
      </c>
      <c r="DY385" s="2424">
        <f t="shared" si="1111"/>
        <v>1093645.9212294305</v>
      </c>
      <c r="DZ385" s="2424">
        <f t="shared" si="1111"/>
        <v>2900419.07877057</v>
      </c>
      <c r="EA385" s="3264"/>
      <c r="EB385" s="3405"/>
      <c r="ED385" s="3406"/>
      <c r="EE385" s="2424">
        <f t="shared" ref="EE385:EH385" si="1112">EE40</f>
        <v>3994065.0000000005</v>
      </c>
      <c r="EF385" s="2424">
        <f t="shared" si="1112"/>
        <v>0</v>
      </c>
      <c r="EG385" s="2424">
        <f t="shared" si="1112"/>
        <v>1093645.9212294305</v>
      </c>
      <c r="EH385" s="2424">
        <f t="shared" si="1112"/>
        <v>2900419.07877057</v>
      </c>
      <c r="EI385" s="3264"/>
      <c r="EJ385" s="3405"/>
      <c r="EL385" s="3406"/>
      <c r="EM385" s="2424">
        <f t="shared" ref="EM385:EP385" si="1113">EM40</f>
        <v>3994065.0000000005</v>
      </c>
      <c r="EN385" s="2424">
        <f t="shared" si="1113"/>
        <v>0</v>
      </c>
      <c r="EO385" s="2424">
        <f t="shared" si="1113"/>
        <v>1093645.9212294305</v>
      </c>
      <c r="EP385" s="2424">
        <f t="shared" si="1113"/>
        <v>2900419.07877057</v>
      </c>
      <c r="EQ385" s="3264"/>
      <c r="ER385" s="3405"/>
      <c r="ET385" s="3406"/>
      <c r="EU385" s="2424">
        <f t="shared" ref="EU385:EX385" si="1114">EU40</f>
        <v>3994065.0000000005</v>
      </c>
      <c r="EV385" s="2424">
        <f t="shared" si="1114"/>
        <v>0</v>
      </c>
      <c r="EW385" s="2424">
        <f t="shared" si="1114"/>
        <v>1093645.9212294305</v>
      </c>
      <c r="EX385" s="2424">
        <f t="shared" si="1114"/>
        <v>2900419.07877057</v>
      </c>
      <c r="EY385" s="3264"/>
      <c r="EZ385" s="3405"/>
      <c r="FB385" s="3406"/>
      <c r="FC385" s="2424">
        <f t="shared" ref="FC385:FF385" si="1115">FC40</f>
        <v>3994065.0000000005</v>
      </c>
      <c r="FD385" s="2424">
        <f t="shared" si="1115"/>
        <v>0</v>
      </c>
      <c r="FE385" s="2424">
        <f t="shared" si="1115"/>
        <v>1093645.9212294305</v>
      </c>
      <c r="FF385" s="2424">
        <f t="shared" si="1115"/>
        <v>2900419.07877057</v>
      </c>
      <c r="FG385" s="3264"/>
      <c r="FH385" s="3405"/>
      <c r="FJ385" s="3406"/>
      <c r="FK385" s="2424">
        <f t="shared" ref="FK385:FN385" si="1116">FK40</f>
        <v>3994065.0000000005</v>
      </c>
      <c r="FL385" s="2424">
        <f t="shared" si="1116"/>
        <v>0</v>
      </c>
      <c r="FM385" s="2424">
        <f t="shared" si="1116"/>
        <v>1093645.9212294305</v>
      </c>
      <c r="FN385" s="2424">
        <f t="shared" si="1116"/>
        <v>2900419.07877057</v>
      </c>
      <c r="FO385" s="3264"/>
    </row>
    <row r="386" spans="2:171">
      <c r="B386" s="3086"/>
      <c r="C386" s="3086" t="s">
        <v>129</v>
      </c>
      <c r="D386" s="3405"/>
      <c r="E386" s="3234" t="str">
        <f t="shared" si="1034"/>
        <v>PTD</v>
      </c>
      <c r="G386" s="2424">
        <f t="shared" si="1035"/>
        <v>1969191</v>
      </c>
      <c r="H386" s="2424">
        <f t="shared" si="1035"/>
        <v>687427.76703650749</v>
      </c>
      <c r="I386" s="2424">
        <f t="shared" si="1035"/>
        <v>0</v>
      </c>
      <c r="J386" s="2424">
        <f t="shared" si="1035"/>
        <v>1281763.2329634926</v>
      </c>
      <c r="K386" s="3264">
        <f t="shared" si="1036"/>
        <v>1</v>
      </c>
      <c r="L386" s="3405"/>
      <c r="N386" s="3406"/>
      <c r="O386" s="2424">
        <f t="shared" ref="O386:R386" si="1117">O41</f>
        <v>1969191.0000000002</v>
      </c>
      <c r="P386" s="2424">
        <f t="shared" si="1117"/>
        <v>687427.7670365076</v>
      </c>
      <c r="Q386" s="2424">
        <f t="shared" si="1117"/>
        <v>350969.53397412703</v>
      </c>
      <c r="R386" s="2424">
        <f t="shared" si="1117"/>
        <v>930793.6989893656</v>
      </c>
      <c r="S386" s="3264"/>
      <c r="T386" s="3405"/>
      <c r="V386" s="3406"/>
      <c r="W386" s="2424">
        <f t="shared" ref="W386:Z386" si="1118">W41</f>
        <v>1969191.0000000002</v>
      </c>
      <c r="X386" s="2424">
        <f t="shared" si="1118"/>
        <v>687427.7670365076</v>
      </c>
      <c r="Y386" s="2424">
        <f t="shared" si="1118"/>
        <v>350969.53397412703</v>
      </c>
      <c r="Z386" s="2424">
        <f t="shared" si="1118"/>
        <v>930793.6989893656</v>
      </c>
      <c r="AA386" s="3264"/>
      <c r="AB386" s="3405"/>
      <c r="AD386" s="3406"/>
      <c r="AE386" s="2424">
        <f t="shared" ref="AE386:AH386" si="1119">AE41</f>
        <v>1969191.0000000002</v>
      </c>
      <c r="AF386" s="2424">
        <f t="shared" si="1119"/>
        <v>687427.7670365076</v>
      </c>
      <c r="AG386" s="2424">
        <f t="shared" si="1119"/>
        <v>350969.53397412703</v>
      </c>
      <c r="AH386" s="2424">
        <f t="shared" si="1119"/>
        <v>930793.6989893656</v>
      </c>
      <c r="AI386" s="3264"/>
      <c r="AJ386" s="3405"/>
      <c r="AL386" s="3406"/>
      <c r="AM386" s="2424">
        <f t="shared" ref="AM386:AP386" si="1120">AM41</f>
        <v>1969191.0000000002</v>
      </c>
      <c r="AN386" s="2424">
        <f t="shared" si="1120"/>
        <v>687427.7670365076</v>
      </c>
      <c r="AO386" s="2424">
        <f t="shared" si="1120"/>
        <v>350969.53397412703</v>
      </c>
      <c r="AP386" s="2424">
        <f t="shared" si="1120"/>
        <v>930793.6989893656</v>
      </c>
      <c r="AQ386" s="3264"/>
      <c r="AR386" s="3405"/>
      <c r="AT386" s="3406"/>
      <c r="AU386" s="2424">
        <f t="shared" ref="AU386:AX386" si="1121">AU41</f>
        <v>1969191.0000000002</v>
      </c>
      <c r="AV386" s="2424">
        <f t="shared" si="1121"/>
        <v>687427.7670365076</v>
      </c>
      <c r="AW386" s="2424">
        <f t="shared" si="1121"/>
        <v>350969.53397412703</v>
      </c>
      <c r="AX386" s="2424">
        <f t="shared" si="1121"/>
        <v>930793.6989893656</v>
      </c>
      <c r="AY386" s="3264"/>
      <c r="AZ386" s="3405"/>
      <c r="BB386" s="3406"/>
      <c r="BC386" s="2424">
        <f t="shared" ref="BC386:BF386" si="1122">BC41</f>
        <v>1969191.0000000002</v>
      </c>
      <c r="BD386" s="2424">
        <f t="shared" si="1122"/>
        <v>687427.7670365076</v>
      </c>
      <c r="BE386" s="2424">
        <f t="shared" si="1122"/>
        <v>350969.53397412703</v>
      </c>
      <c r="BF386" s="2424">
        <f t="shared" si="1122"/>
        <v>930793.6989893656</v>
      </c>
      <c r="BG386" s="3264"/>
      <c r="BH386" s="3405"/>
      <c r="BJ386" s="3406"/>
      <c r="BK386" s="2424">
        <f t="shared" ref="BK386:BN386" si="1123">BK41</f>
        <v>1969191.0000000002</v>
      </c>
      <c r="BL386" s="2424">
        <f t="shared" si="1123"/>
        <v>687427.7670365076</v>
      </c>
      <c r="BM386" s="2424">
        <f t="shared" si="1123"/>
        <v>350969.53397412703</v>
      </c>
      <c r="BN386" s="2424">
        <f t="shared" si="1123"/>
        <v>930793.6989893656</v>
      </c>
      <c r="BO386" s="3264"/>
      <c r="BP386" s="3405"/>
      <c r="BR386" s="3406"/>
      <c r="BS386" s="2424">
        <f t="shared" ref="BS386:BV386" si="1124">BS41</f>
        <v>1969191.0000000002</v>
      </c>
      <c r="BT386" s="2424">
        <f t="shared" si="1124"/>
        <v>687427.7670365076</v>
      </c>
      <c r="BU386" s="2424">
        <f t="shared" si="1124"/>
        <v>350969.53397412703</v>
      </c>
      <c r="BV386" s="2424">
        <f t="shared" si="1124"/>
        <v>930793.6989893656</v>
      </c>
      <c r="BW386" s="3264"/>
      <c r="BX386" s="3405"/>
      <c r="BZ386" s="3406"/>
      <c r="CA386" s="2424">
        <f t="shared" ref="CA386:CD386" si="1125">CA41</f>
        <v>1969191.0000000002</v>
      </c>
      <c r="CB386" s="2424">
        <f t="shared" si="1125"/>
        <v>687427.7670365076</v>
      </c>
      <c r="CC386" s="2424">
        <f t="shared" si="1125"/>
        <v>350969.53397412703</v>
      </c>
      <c r="CD386" s="2424">
        <f t="shared" si="1125"/>
        <v>930793.6989893656</v>
      </c>
      <c r="CE386" s="3264"/>
      <c r="CF386" s="3405"/>
      <c r="CH386" s="3406"/>
      <c r="CI386" s="2424">
        <f t="shared" ref="CI386:CL386" si="1126">CI41</f>
        <v>1969191.0000000002</v>
      </c>
      <c r="CJ386" s="2424">
        <f t="shared" si="1126"/>
        <v>687427.7670365076</v>
      </c>
      <c r="CK386" s="2424">
        <f t="shared" si="1126"/>
        <v>350969.53397412703</v>
      </c>
      <c r="CL386" s="2424">
        <f t="shared" si="1126"/>
        <v>930793.6989893656</v>
      </c>
      <c r="CM386" s="3264"/>
      <c r="CN386" s="3405"/>
      <c r="CP386" s="3406"/>
      <c r="CQ386" s="2424">
        <f t="shared" ref="CQ386:CT386" si="1127">CQ41</f>
        <v>1969191.0000000002</v>
      </c>
      <c r="CR386" s="2424">
        <f t="shared" si="1127"/>
        <v>687427.7670365076</v>
      </c>
      <c r="CS386" s="2424">
        <f t="shared" si="1127"/>
        <v>350969.53397412703</v>
      </c>
      <c r="CT386" s="2424">
        <f t="shared" si="1127"/>
        <v>930793.6989893656</v>
      </c>
      <c r="CU386" s="3264"/>
      <c r="CV386" s="3405"/>
      <c r="CX386" s="3406"/>
      <c r="CY386" s="2424">
        <f t="shared" ref="CY386:DB386" si="1128">CY41</f>
        <v>1969191.0000000002</v>
      </c>
      <c r="CZ386" s="2424">
        <f t="shared" si="1128"/>
        <v>687427.7670365076</v>
      </c>
      <c r="DA386" s="2424">
        <f t="shared" si="1128"/>
        <v>350969.53397412703</v>
      </c>
      <c r="DB386" s="2424">
        <f t="shared" si="1128"/>
        <v>930793.6989893656</v>
      </c>
      <c r="DC386" s="3264"/>
      <c r="DD386" s="3405"/>
      <c r="DF386" s="3406"/>
      <c r="DG386" s="2424">
        <f t="shared" ref="DG386:DJ386" si="1129">DG41</f>
        <v>1969191.0000000002</v>
      </c>
      <c r="DH386" s="2424">
        <f t="shared" si="1129"/>
        <v>687427.7670365076</v>
      </c>
      <c r="DI386" s="2424">
        <f t="shared" si="1129"/>
        <v>350969.53397412703</v>
      </c>
      <c r="DJ386" s="2424">
        <f t="shared" si="1129"/>
        <v>930793.6989893656</v>
      </c>
      <c r="DK386" s="3264"/>
      <c r="DL386" s="3405"/>
      <c r="DN386" s="3406"/>
      <c r="DO386" s="2424">
        <f t="shared" ref="DO386:DR386" si="1130">DO41</f>
        <v>1969191.0000000002</v>
      </c>
      <c r="DP386" s="2424">
        <f t="shared" si="1130"/>
        <v>687427.7670365076</v>
      </c>
      <c r="DQ386" s="2424">
        <f t="shared" si="1130"/>
        <v>350969.53397412703</v>
      </c>
      <c r="DR386" s="2424">
        <f t="shared" si="1130"/>
        <v>930793.6989893656</v>
      </c>
      <c r="DS386" s="3264"/>
      <c r="DT386" s="3405"/>
      <c r="DV386" s="3406"/>
      <c r="DW386" s="2424">
        <f t="shared" ref="DW386:DZ386" si="1131">DW41</f>
        <v>1969191.0000000002</v>
      </c>
      <c r="DX386" s="2424">
        <f t="shared" si="1131"/>
        <v>687427.7670365076</v>
      </c>
      <c r="DY386" s="2424">
        <f t="shared" si="1131"/>
        <v>350969.53397412703</v>
      </c>
      <c r="DZ386" s="2424">
        <f t="shared" si="1131"/>
        <v>930793.6989893656</v>
      </c>
      <c r="EA386" s="3264"/>
      <c r="EB386" s="3405"/>
      <c r="ED386" s="3406"/>
      <c r="EE386" s="2424">
        <f t="shared" ref="EE386:EH386" si="1132">EE41</f>
        <v>1969191.0000000002</v>
      </c>
      <c r="EF386" s="2424">
        <f t="shared" si="1132"/>
        <v>687427.7670365076</v>
      </c>
      <c r="EG386" s="2424">
        <f t="shared" si="1132"/>
        <v>350969.53397412703</v>
      </c>
      <c r="EH386" s="2424">
        <f t="shared" si="1132"/>
        <v>930793.6989893656</v>
      </c>
      <c r="EI386" s="3264"/>
      <c r="EJ386" s="3405"/>
      <c r="EL386" s="3406"/>
      <c r="EM386" s="2424">
        <f t="shared" ref="EM386:EP386" si="1133">EM41</f>
        <v>1969191.0000000002</v>
      </c>
      <c r="EN386" s="2424">
        <f t="shared" si="1133"/>
        <v>687427.7670365076</v>
      </c>
      <c r="EO386" s="2424">
        <f t="shared" si="1133"/>
        <v>350969.53397412703</v>
      </c>
      <c r="EP386" s="2424">
        <f t="shared" si="1133"/>
        <v>930793.6989893656</v>
      </c>
      <c r="EQ386" s="3264"/>
      <c r="ER386" s="3405"/>
      <c r="ET386" s="3406"/>
      <c r="EU386" s="2424">
        <f t="shared" ref="EU386:EX386" si="1134">EU41</f>
        <v>1969191.0000000002</v>
      </c>
      <c r="EV386" s="2424">
        <f t="shared" si="1134"/>
        <v>687427.7670365076</v>
      </c>
      <c r="EW386" s="2424">
        <f t="shared" si="1134"/>
        <v>350969.53397412703</v>
      </c>
      <c r="EX386" s="2424">
        <f t="shared" si="1134"/>
        <v>930793.6989893656</v>
      </c>
      <c r="EY386" s="3264"/>
      <c r="EZ386" s="3405"/>
      <c r="FB386" s="3406"/>
      <c r="FC386" s="2424">
        <f t="shared" ref="FC386:FF386" si="1135">FC41</f>
        <v>1969191.0000000002</v>
      </c>
      <c r="FD386" s="2424">
        <f t="shared" si="1135"/>
        <v>687427.7670365076</v>
      </c>
      <c r="FE386" s="2424">
        <f t="shared" si="1135"/>
        <v>350969.53397412703</v>
      </c>
      <c r="FF386" s="2424">
        <f t="shared" si="1135"/>
        <v>930793.6989893656</v>
      </c>
      <c r="FG386" s="3264"/>
      <c r="FH386" s="3405"/>
      <c r="FJ386" s="3406"/>
      <c r="FK386" s="2424">
        <f t="shared" ref="FK386:FN386" si="1136">FK41</f>
        <v>1969191.0000000002</v>
      </c>
      <c r="FL386" s="2424">
        <f t="shared" si="1136"/>
        <v>687427.7670365076</v>
      </c>
      <c r="FM386" s="2424">
        <f t="shared" si="1136"/>
        <v>350969.53397412703</v>
      </c>
      <c r="FN386" s="2424">
        <f t="shared" si="1136"/>
        <v>930793.6989893656</v>
      </c>
      <c r="FO386" s="3264"/>
    </row>
    <row r="387" spans="2:171">
      <c r="B387" s="3086"/>
      <c r="C387" s="3086" t="s">
        <v>130</v>
      </c>
      <c r="D387" s="3405"/>
      <c r="E387" s="3234" t="str">
        <f t="shared" si="1034"/>
        <v>PTD</v>
      </c>
      <c r="G387" s="2424">
        <f t="shared" si="1035"/>
        <v>32372182</v>
      </c>
      <c r="H387" s="2424">
        <f t="shared" si="1035"/>
        <v>11300852.373568345</v>
      </c>
      <c r="I387" s="2424">
        <f t="shared" si="1035"/>
        <v>0</v>
      </c>
      <c r="J387" s="2424">
        <f t="shared" si="1035"/>
        <v>21071329.626431659</v>
      </c>
      <c r="K387" s="3264">
        <f t="shared" si="1036"/>
        <v>1</v>
      </c>
      <c r="L387" s="3405"/>
      <c r="N387" s="3406"/>
      <c r="O387" s="2424">
        <f t="shared" ref="O387:R387" si="1137">O42</f>
        <v>32372182</v>
      </c>
      <c r="P387" s="2424">
        <f t="shared" si="1137"/>
        <v>11300852.373568345</v>
      </c>
      <c r="Q387" s="2424">
        <f t="shared" si="1137"/>
        <v>5769704.2238490945</v>
      </c>
      <c r="R387" s="2424">
        <f t="shared" si="1137"/>
        <v>15301625.402582562</v>
      </c>
      <c r="S387" s="3264"/>
      <c r="T387" s="3405"/>
      <c r="V387" s="3406"/>
      <c r="W387" s="2424">
        <f t="shared" ref="W387:Z387" si="1138">W42</f>
        <v>32372182</v>
      </c>
      <c r="X387" s="2424">
        <f t="shared" si="1138"/>
        <v>11300852.373568345</v>
      </c>
      <c r="Y387" s="2424">
        <f t="shared" si="1138"/>
        <v>5769704.2238490945</v>
      </c>
      <c r="Z387" s="2424">
        <f t="shared" si="1138"/>
        <v>15301625.402582562</v>
      </c>
      <c r="AA387" s="3264"/>
      <c r="AB387" s="3405"/>
      <c r="AD387" s="3406"/>
      <c r="AE387" s="2424">
        <f t="shared" ref="AE387:AH387" si="1139">AE42</f>
        <v>32372182</v>
      </c>
      <c r="AF387" s="2424">
        <f t="shared" si="1139"/>
        <v>11300852.373568345</v>
      </c>
      <c r="AG387" s="2424">
        <f t="shared" si="1139"/>
        <v>5769704.2238490945</v>
      </c>
      <c r="AH387" s="2424">
        <f t="shared" si="1139"/>
        <v>15301625.402582562</v>
      </c>
      <c r="AI387" s="3264"/>
      <c r="AJ387" s="3405"/>
      <c r="AL387" s="3406"/>
      <c r="AM387" s="2424">
        <f t="shared" ref="AM387:AP387" si="1140">AM42</f>
        <v>32372182</v>
      </c>
      <c r="AN387" s="2424">
        <f t="shared" si="1140"/>
        <v>11300852.373568345</v>
      </c>
      <c r="AO387" s="2424">
        <f t="shared" si="1140"/>
        <v>5769704.2238490945</v>
      </c>
      <c r="AP387" s="2424">
        <f t="shared" si="1140"/>
        <v>15301625.402582562</v>
      </c>
      <c r="AQ387" s="3264"/>
      <c r="AR387" s="3405"/>
      <c r="AT387" s="3406"/>
      <c r="AU387" s="2424">
        <f t="shared" ref="AU387:AX387" si="1141">AU42</f>
        <v>32372182</v>
      </c>
      <c r="AV387" s="2424">
        <f t="shared" si="1141"/>
        <v>11300852.373568345</v>
      </c>
      <c r="AW387" s="2424">
        <f t="shared" si="1141"/>
        <v>5769704.2238490945</v>
      </c>
      <c r="AX387" s="2424">
        <f t="shared" si="1141"/>
        <v>15301625.402582562</v>
      </c>
      <c r="AY387" s="3264"/>
      <c r="AZ387" s="3405"/>
      <c r="BB387" s="3406"/>
      <c r="BC387" s="2424">
        <f t="shared" ref="BC387:BF387" si="1142">BC42</f>
        <v>32372182</v>
      </c>
      <c r="BD387" s="2424">
        <f t="shared" si="1142"/>
        <v>11300852.373568345</v>
      </c>
      <c r="BE387" s="2424">
        <f t="shared" si="1142"/>
        <v>5769704.2238490945</v>
      </c>
      <c r="BF387" s="2424">
        <f t="shared" si="1142"/>
        <v>15301625.402582562</v>
      </c>
      <c r="BG387" s="3264"/>
      <c r="BH387" s="3405"/>
      <c r="BJ387" s="3406"/>
      <c r="BK387" s="2424">
        <f t="shared" ref="BK387:BN387" si="1143">BK42</f>
        <v>32372182</v>
      </c>
      <c r="BL387" s="2424">
        <f t="shared" si="1143"/>
        <v>11300852.373568345</v>
      </c>
      <c r="BM387" s="2424">
        <f t="shared" si="1143"/>
        <v>5769704.2238490945</v>
      </c>
      <c r="BN387" s="2424">
        <f t="shared" si="1143"/>
        <v>15301625.402582562</v>
      </c>
      <c r="BO387" s="3264"/>
      <c r="BP387" s="3405"/>
      <c r="BR387" s="3406"/>
      <c r="BS387" s="2424">
        <f t="shared" ref="BS387:BV387" si="1144">BS42</f>
        <v>32372182</v>
      </c>
      <c r="BT387" s="2424">
        <f t="shared" si="1144"/>
        <v>11300852.373568345</v>
      </c>
      <c r="BU387" s="2424">
        <f t="shared" si="1144"/>
        <v>5769704.2238490945</v>
      </c>
      <c r="BV387" s="2424">
        <f t="shared" si="1144"/>
        <v>15301625.402582562</v>
      </c>
      <c r="BW387" s="3264"/>
      <c r="BX387" s="3405"/>
      <c r="BZ387" s="3406"/>
      <c r="CA387" s="2424">
        <f t="shared" ref="CA387:CD387" si="1145">CA42</f>
        <v>32372182</v>
      </c>
      <c r="CB387" s="2424">
        <f t="shared" si="1145"/>
        <v>11300852.373568345</v>
      </c>
      <c r="CC387" s="2424">
        <f t="shared" si="1145"/>
        <v>5769704.2238490945</v>
      </c>
      <c r="CD387" s="2424">
        <f t="shared" si="1145"/>
        <v>15301625.402582562</v>
      </c>
      <c r="CE387" s="3264"/>
      <c r="CF387" s="3405"/>
      <c r="CH387" s="3406"/>
      <c r="CI387" s="2424">
        <f t="shared" ref="CI387:CL387" si="1146">CI42</f>
        <v>32372182</v>
      </c>
      <c r="CJ387" s="2424">
        <f t="shared" si="1146"/>
        <v>11300852.373568345</v>
      </c>
      <c r="CK387" s="2424">
        <f t="shared" si="1146"/>
        <v>5769704.2238490945</v>
      </c>
      <c r="CL387" s="2424">
        <f t="shared" si="1146"/>
        <v>15301625.402582562</v>
      </c>
      <c r="CM387" s="3264"/>
      <c r="CN387" s="3405"/>
      <c r="CP387" s="3406"/>
      <c r="CQ387" s="2424">
        <f t="shared" ref="CQ387:CT387" si="1147">CQ42</f>
        <v>32372182</v>
      </c>
      <c r="CR387" s="2424">
        <f t="shared" si="1147"/>
        <v>11300852.373568345</v>
      </c>
      <c r="CS387" s="2424">
        <f t="shared" si="1147"/>
        <v>5769704.2238490945</v>
      </c>
      <c r="CT387" s="2424">
        <f t="shared" si="1147"/>
        <v>15301625.402582562</v>
      </c>
      <c r="CU387" s="3264"/>
      <c r="CV387" s="3405"/>
      <c r="CX387" s="3406"/>
      <c r="CY387" s="2424">
        <f t="shared" ref="CY387:DB387" si="1148">CY42</f>
        <v>32372182</v>
      </c>
      <c r="CZ387" s="2424">
        <f t="shared" si="1148"/>
        <v>11300852.373568345</v>
      </c>
      <c r="DA387" s="2424">
        <f t="shared" si="1148"/>
        <v>5769704.2238490945</v>
      </c>
      <c r="DB387" s="2424">
        <f t="shared" si="1148"/>
        <v>15301625.402582562</v>
      </c>
      <c r="DC387" s="3264"/>
      <c r="DD387" s="3405"/>
      <c r="DF387" s="3406"/>
      <c r="DG387" s="2424">
        <f t="shared" ref="DG387:DJ387" si="1149">DG42</f>
        <v>32372182</v>
      </c>
      <c r="DH387" s="2424">
        <f t="shared" si="1149"/>
        <v>11300852.373568345</v>
      </c>
      <c r="DI387" s="2424">
        <f t="shared" si="1149"/>
        <v>5769704.2238490945</v>
      </c>
      <c r="DJ387" s="2424">
        <f t="shared" si="1149"/>
        <v>15301625.402582562</v>
      </c>
      <c r="DK387" s="3264"/>
      <c r="DL387" s="3405"/>
      <c r="DN387" s="3406"/>
      <c r="DO387" s="2424">
        <f t="shared" ref="DO387:DR387" si="1150">DO42</f>
        <v>32372182</v>
      </c>
      <c r="DP387" s="2424">
        <f t="shared" si="1150"/>
        <v>11300852.373568345</v>
      </c>
      <c r="DQ387" s="2424">
        <f t="shared" si="1150"/>
        <v>5769704.2238490945</v>
      </c>
      <c r="DR387" s="2424">
        <f t="shared" si="1150"/>
        <v>15301625.402582562</v>
      </c>
      <c r="DS387" s="3264"/>
      <c r="DT387" s="3405"/>
      <c r="DV387" s="3406"/>
      <c r="DW387" s="2424">
        <f t="shared" ref="DW387:DZ387" si="1151">DW42</f>
        <v>32372182</v>
      </c>
      <c r="DX387" s="2424">
        <f t="shared" si="1151"/>
        <v>11300852.373568345</v>
      </c>
      <c r="DY387" s="2424">
        <f t="shared" si="1151"/>
        <v>5769704.2238490945</v>
      </c>
      <c r="DZ387" s="2424">
        <f t="shared" si="1151"/>
        <v>15301625.402582562</v>
      </c>
      <c r="EA387" s="3264"/>
      <c r="EB387" s="3405"/>
      <c r="ED387" s="3406"/>
      <c r="EE387" s="2424">
        <f t="shared" ref="EE387:EH387" si="1152">EE42</f>
        <v>32372182</v>
      </c>
      <c r="EF387" s="2424">
        <f t="shared" si="1152"/>
        <v>11300852.373568345</v>
      </c>
      <c r="EG387" s="2424">
        <f t="shared" si="1152"/>
        <v>5769704.2238490945</v>
      </c>
      <c r="EH387" s="2424">
        <f t="shared" si="1152"/>
        <v>15301625.402582562</v>
      </c>
      <c r="EI387" s="3264"/>
      <c r="EJ387" s="3405"/>
      <c r="EL387" s="3406"/>
      <c r="EM387" s="2424">
        <f t="shared" ref="EM387:EP387" si="1153">EM42</f>
        <v>32372182</v>
      </c>
      <c r="EN387" s="2424">
        <f t="shared" si="1153"/>
        <v>11300852.373568345</v>
      </c>
      <c r="EO387" s="2424">
        <f t="shared" si="1153"/>
        <v>5769704.2238490945</v>
      </c>
      <c r="EP387" s="2424">
        <f t="shared" si="1153"/>
        <v>15301625.402582562</v>
      </c>
      <c r="EQ387" s="3264"/>
      <c r="ER387" s="3405"/>
      <c r="ET387" s="3406"/>
      <c r="EU387" s="2424">
        <f t="shared" ref="EU387:EX387" si="1154">EU42</f>
        <v>32372182</v>
      </c>
      <c r="EV387" s="2424">
        <f t="shared" si="1154"/>
        <v>11300852.373568345</v>
      </c>
      <c r="EW387" s="2424">
        <f t="shared" si="1154"/>
        <v>5769704.2238490945</v>
      </c>
      <c r="EX387" s="2424">
        <f t="shared" si="1154"/>
        <v>15301625.402582562</v>
      </c>
      <c r="EY387" s="3264"/>
      <c r="EZ387" s="3405"/>
      <c r="FB387" s="3406"/>
      <c r="FC387" s="2424">
        <f t="shared" ref="FC387:FF387" si="1155">FC42</f>
        <v>32372182</v>
      </c>
      <c r="FD387" s="2424">
        <f t="shared" si="1155"/>
        <v>11300852.373568345</v>
      </c>
      <c r="FE387" s="2424">
        <f t="shared" si="1155"/>
        <v>5769704.2238490945</v>
      </c>
      <c r="FF387" s="2424">
        <f t="shared" si="1155"/>
        <v>15301625.402582562</v>
      </c>
      <c r="FG387" s="3264"/>
      <c r="FH387" s="3405"/>
      <c r="FJ387" s="3406"/>
      <c r="FK387" s="2424">
        <f t="shared" ref="FK387:FN387" si="1156">FK42</f>
        <v>32372182</v>
      </c>
      <c r="FL387" s="2424">
        <f t="shared" si="1156"/>
        <v>11300852.373568345</v>
      </c>
      <c r="FM387" s="2424">
        <f t="shared" si="1156"/>
        <v>5769704.2238490945</v>
      </c>
      <c r="FN387" s="2424">
        <f t="shared" si="1156"/>
        <v>15301625.402582562</v>
      </c>
      <c r="FO387" s="3264"/>
    </row>
    <row r="388" spans="2:171">
      <c r="B388" s="3086"/>
      <c r="C388" s="3086" t="s">
        <v>131</v>
      </c>
      <c r="D388" s="3405"/>
      <c r="E388" s="3234" t="str">
        <f t="shared" si="1034"/>
        <v>PTD</v>
      </c>
      <c r="G388" s="2424">
        <f t="shared" si="1035"/>
        <v>5973622</v>
      </c>
      <c r="H388" s="2424">
        <f t="shared" si="1035"/>
        <v>2085340.4431465287</v>
      </c>
      <c r="I388" s="2424">
        <f t="shared" si="1035"/>
        <v>0</v>
      </c>
      <c r="J388" s="2424">
        <f t="shared" si="1035"/>
        <v>3888281.5568534718</v>
      </c>
      <c r="K388" s="3264">
        <f t="shared" si="1036"/>
        <v>1</v>
      </c>
      <c r="L388" s="3405"/>
      <c r="N388" s="3406"/>
      <c r="O388" s="2424">
        <f t="shared" ref="O388:R388" si="1157">O43</f>
        <v>5973622</v>
      </c>
      <c r="P388" s="2424">
        <f t="shared" si="1157"/>
        <v>2085340.4431465287</v>
      </c>
      <c r="Q388" s="2424">
        <f t="shared" si="1157"/>
        <v>1064680.5360564783</v>
      </c>
      <c r="R388" s="2424">
        <f t="shared" si="1157"/>
        <v>2823601.0207969933</v>
      </c>
      <c r="S388" s="3264"/>
      <c r="T388" s="3405"/>
      <c r="V388" s="3406"/>
      <c r="W388" s="2424">
        <f t="shared" ref="W388:Z388" si="1158">W43</f>
        <v>5973622</v>
      </c>
      <c r="X388" s="2424">
        <f t="shared" si="1158"/>
        <v>2085340.4431465287</v>
      </c>
      <c r="Y388" s="2424">
        <f t="shared" si="1158"/>
        <v>1064680.5360564783</v>
      </c>
      <c r="Z388" s="2424">
        <f t="shared" si="1158"/>
        <v>2823601.0207969933</v>
      </c>
      <c r="AA388" s="3264"/>
      <c r="AB388" s="3405"/>
      <c r="AD388" s="3406"/>
      <c r="AE388" s="2424">
        <f t="shared" ref="AE388:AH388" si="1159">AE43</f>
        <v>5973622</v>
      </c>
      <c r="AF388" s="2424">
        <f t="shared" si="1159"/>
        <v>2085340.4431465287</v>
      </c>
      <c r="AG388" s="2424">
        <f t="shared" si="1159"/>
        <v>1064680.5360564783</v>
      </c>
      <c r="AH388" s="2424">
        <f t="shared" si="1159"/>
        <v>2823601.0207969933</v>
      </c>
      <c r="AI388" s="3264"/>
      <c r="AJ388" s="3405"/>
      <c r="AL388" s="3406"/>
      <c r="AM388" s="2424">
        <f t="shared" ref="AM388:AP388" si="1160">AM43</f>
        <v>5973622</v>
      </c>
      <c r="AN388" s="2424">
        <f t="shared" si="1160"/>
        <v>2085340.4431465287</v>
      </c>
      <c r="AO388" s="2424">
        <f t="shared" si="1160"/>
        <v>1064680.5360564783</v>
      </c>
      <c r="AP388" s="2424">
        <f t="shared" si="1160"/>
        <v>2823601.0207969933</v>
      </c>
      <c r="AQ388" s="3264"/>
      <c r="AR388" s="3405"/>
      <c r="AT388" s="3406"/>
      <c r="AU388" s="2424">
        <f t="shared" ref="AU388:AX388" si="1161">AU43</f>
        <v>5973622</v>
      </c>
      <c r="AV388" s="2424">
        <f t="shared" si="1161"/>
        <v>2085340.4431465287</v>
      </c>
      <c r="AW388" s="2424">
        <f t="shared" si="1161"/>
        <v>1064680.5360564783</v>
      </c>
      <c r="AX388" s="2424">
        <f t="shared" si="1161"/>
        <v>2823601.0207969933</v>
      </c>
      <c r="AY388" s="3264"/>
      <c r="AZ388" s="3405"/>
      <c r="BB388" s="3406"/>
      <c r="BC388" s="2424">
        <f t="shared" ref="BC388:BF388" si="1162">BC43</f>
        <v>5973622</v>
      </c>
      <c r="BD388" s="2424">
        <f t="shared" si="1162"/>
        <v>2085340.4431465287</v>
      </c>
      <c r="BE388" s="2424">
        <f t="shared" si="1162"/>
        <v>1064680.5360564783</v>
      </c>
      <c r="BF388" s="2424">
        <f t="shared" si="1162"/>
        <v>2823601.0207969933</v>
      </c>
      <c r="BG388" s="3264"/>
      <c r="BH388" s="3405"/>
      <c r="BJ388" s="3406"/>
      <c r="BK388" s="2424">
        <f t="shared" ref="BK388:BN388" si="1163">BK43</f>
        <v>5973622</v>
      </c>
      <c r="BL388" s="2424">
        <f t="shared" si="1163"/>
        <v>2085340.4431465287</v>
      </c>
      <c r="BM388" s="2424">
        <f t="shared" si="1163"/>
        <v>1064680.5360564783</v>
      </c>
      <c r="BN388" s="2424">
        <f t="shared" si="1163"/>
        <v>2823601.0207969933</v>
      </c>
      <c r="BO388" s="3264"/>
      <c r="BP388" s="3405"/>
      <c r="BR388" s="3406"/>
      <c r="BS388" s="2424">
        <f t="shared" ref="BS388:BV388" si="1164">BS43</f>
        <v>5973622</v>
      </c>
      <c r="BT388" s="2424">
        <f t="shared" si="1164"/>
        <v>2085340.4431465287</v>
      </c>
      <c r="BU388" s="2424">
        <f t="shared" si="1164"/>
        <v>1064680.5360564783</v>
      </c>
      <c r="BV388" s="2424">
        <f t="shared" si="1164"/>
        <v>2823601.0207969933</v>
      </c>
      <c r="BW388" s="3264"/>
      <c r="BX388" s="3405"/>
      <c r="BZ388" s="3406"/>
      <c r="CA388" s="2424">
        <f t="shared" ref="CA388:CD388" si="1165">CA43</f>
        <v>5973622</v>
      </c>
      <c r="CB388" s="2424">
        <f t="shared" si="1165"/>
        <v>2085340.4431465287</v>
      </c>
      <c r="CC388" s="2424">
        <f t="shared" si="1165"/>
        <v>1064680.5360564783</v>
      </c>
      <c r="CD388" s="2424">
        <f t="shared" si="1165"/>
        <v>2823601.0207969933</v>
      </c>
      <c r="CE388" s="3264"/>
      <c r="CF388" s="3405"/>
      <c r="CH388" s="3406"/>
      <c r="CI388" s="2424">
        <f t="shared" ref="CI388:CL388" si="1166">CI43</f>
        <v>5973622</v>
      </c>
      <c r="CJ388" s="2424">
        <f t="shared" si="1166"/>
        <v>2085340.4431465287</v>
      </c>
      <c r="CK388" s="2424">
        <f t="shared" si="1166"/>
        <v>1064680.5360564783</v>
      </c>
      <c r="CL388" s="2424">
        <f t="shared" si="1166"/>
        <v>2823601.0207969933</v>
      </c>
      <c r="CM388" s="3264"/>
      <c r="CN388" s="3405"/>
      <c r="CP388" s="3406"/>
      <c r="CQ388" s="2424">
        <f t="shared" ref="CQ388:CT388" si="1167">CQ43</f>
        <v>5973622</v>
      </c>
      <c r="CR388" s="2424">
        <f t="shared" si="1167"/>
        <v>2085340.4431465287</v>
      </c>
      <c r="CS388" s="2424">
        <f t="shared" si="1167"/>
        <v>1064680.5360564783</v>
      </c>
      <c r="CT388" s="2424">
        <f t="shared" si="1167"/>
        <v>2823601.0207969933</v>
      </c>
      <c r="CU388" s="3264"/>
      <c r="CV388" s="3405"/>
      <c r="CX388" s="3406"/>
      <c r="CY388" s="2424">
        <f t="shared" ref="CY388:DB388" si="1168">CY43</f>
        <v>5973622</v>
      </c>
      <c r="CZ388" s="2424">
        <f t="shared" si="1168"/>
        <v>2085340.4431465287</v>
      </c>
      <c r="DA388" s="2424">
        <f t="shared" si="1168"/>
        <v>1064680.5360564783</v>
      </c>
      <c r="DB388" s="2424">
        <f t="shared" si="1168"/>
        <v>2823601.0207969933</v>
      </c>
      <c r="DC388" s="3264"/>
      <c r="DD388" s="3405"/>
      <c r="DF388" s="3406"/>
      <c r="DG388" s="2424">
        <f t="shared" ref="DG388:DJ388" si="1169">DG43</f>
        <v>5973622</v>
      </c>
      <c r="DH388" s="2424">
        <f t="shared" si="1169"/>
        <v>2085340.4431465287</v>
      </c>
      <c r="DI388" s="2424">
        <f t="shared" si="1169"/>
        <v>1064680.5360564783</v>
      </c>
      <c r="DJ388" s="2424">
        <f t="shared" si="1169"/>
        <v>2823601.0207969933</v>
      </c>
      <c r="DK388" s="3264"/>
      <c r="DL388" s="3405"/>
      <c r="DN388" s="3406"/>
      <c r="DO388" s="2424">
        <f t="shared" ref="DO388:DR388" si="1170">DO43</f>
        <v>5973622</v>
      </c>
      <c r="DP388" s="2424">
        <f t="shared" si="1170"/>
        <v>2085340.4431465287</v>
      </c>
      <c r="DQ388" s="2424">
        <f t="shared" si="1170"/>
        <v>1064680.5360564783</v>
      </c>
      <c r="DR388" s="2424">
        <f t="shared" si="1170"/>
        <v>2823601.0207969933</v>
      </c>
      <c r="DS388" s="3264"/>
      <c r="DT388" s="3405"/>
      <c r="DV388" s="3406"/>
      <c r="DW388" s="2424">
        <f t="shared" ref="DW388:DZ388" si="1171">DW43</f>
        <v>5973622</v>
      </c>
      <c r="DX388" s="2424">
        <f t="shared" si="1171"/>
        <v>2085340.4431465287</v>
      </c>
      <c r="DY388" s="2424">
        <f t="shared" si="1171"/>
        <v>1064680.5360564783</v>
      </c>
      <c r="DZ388" s="2424">
        <f t="shared" si="1171"/>
        <v>2823601.0207969933</v>
      </c>
      <c r="EA388" s="3264"/>
      <c r="EB388" s="3405"/>
      <c r="ED388" s="3406"/>
      <c r="EE388" s="2424">
        <f t="shared" ref="EE388:EH388" si="1172">EE43</f>
        <v>5973622</v>
      </c>
      <c r="EF388" s="2424">
        <f t="shared" si="1172"/>
        <v>2085340.4431465287</v>
      </c>
      <c r="EG388" s="2424">
        <f t="shared" si="1172"/>
        <v>1064680.5360564783</v>
      </c>
      <c r="EH388" s="2424">
        <f t="shared" si="1172"/>
        <v>2823601.0207969933</v>
      </c>
      <c r="EI388" s="3264"/>
      <c r="EJ388" s="3405"/>
      <c r="EL388" s="3406"/>
      <c r="EM388" s="2424">
        <f t="shared" ref="EM388:EP388" si="1173">EM43</f>
        <v>5973622</v>
      </c>
      <c r="EN388" s="2424">
        <f t="shared" si="1173"/>
        <v>2085340.4431465287</v>
      </c>
      <c r="EO388" s="2424">
        <f t="shared" si="1173"/>
        <v>1064680.5360564783</v>
      </c>
      <c r="EP388" s="2424">
        <f t="shared" si="1173"/>
        <v>2823601.0207969933</v>
      </c>
      <c r="EQ388" s="3264"/>
      <c r="ER388" s="3405"/>
      <c r="ET388" s="3406"/>
      <c r="EU388" s="2424">
        <f t="shared" ref="EU388:EX388" si="1174">EU43</f>
        <v>5973622</v>
      </c>
      <c r="EV388" s="2424">
        <f t="shared" si="1174"/>
        <v>2085340.4431465287</v>
      </c>
      <c r="EW388" s="2424">
        <f t="shared" si="1174"/>
        <v>1064680.5360564783</v>
      </c>
      <c r="EX388" s="2424">
        <f t="shared" si="1174"/>
        <v>2823601.0207969933</v>
      </c>
      <c r="EY388" s="3264"/>
      <c r="EZ388" s="3405"/>
      <c r="FB388" s="3406"/>
      <c r="FC388" s="2424">
        <f t="shared" ref="FC388:FF388" si="1175">FC43</f>
        <v>5973622</v>
      </c>
      <c r="FD388" s="2424">
        <f t="shared" si="1175"/>
        <v>2085340.4431465287</v>
      </c>
      <c r="FE388" s="2424">
        <f t="shared" si="1175"/>
        <v>1064680.5360564783</v>
      </c>
      <c r="FF388" s="2424">
        <f t="shared" si="1175"/>
        <v>2823601.0207969933</v>
      </c>
      <c r="FG388" s="3264"/>
      <c r="FH388" s="3405"/>
      <c r="FJ388" s="3406"/>
      <c r="FK388" s="2424">
        <f t="shared" ref="FK388:FN388" si="1176">FK43</f>
        <v>5973622</v>
      </c>
      <c r="FL388" s="2424">
        <f t="shared" si="1176"/>
        <v>2085340.4431465287</v>
      </c>
      <c r="FM388" s="2424">
        <f t="shared" si="1176"/>
        <v>1064680.5360564783</v>
      </c>
      <c r="FN388" s="2424">
        <f t="shared" si="1176"/>
        <v>2823601.0207969933</v>
      </c>
      <c r="FO388" s="3264"/>
    </row>
    <row r="389" spans="2:171">
      <c r="B389" s="3086"/>
      <c r="C389" s="3086" t="s">
        <v>132</v>
      </c>
      <c r="D389" s="3405"/>
      <c r="E389" s="3234" t="str">
        <f t="shared" si="1034"/>
        <v>TD</v>
      </c>
      <c r="G389" s="2424">
        <f t="shared" si="1035"/>
        <v>2715513</v>
      </c>
      <c r="H389" s="2424">
        <f t="shared" si="1035"/>
        <v>0</v>
      </c>
      <c r="I389" s="2424">
        <f t="shared" si="1035"/>
        <v>0</v>
      </c>
      <c r="J389" s="2424">
        <f t="shared" si="1035"/>
        <v>2715513</v>
      </c>
      <c r="K389" s="3264">
        <f t="shared" si="1036"/>
        <v>1</v>
      </c>
      <c r="L389" s="3405"/>
      <c r="N389" s="3406"/>
      <c r="O389" s="2424">
        <f t="shared" ref="O389:R389" si="1177">O44</f>
        <v>2715513</v>
      </c>
      <c r="P389" s="2424">
        <f t="shared" si="1177"/>
        <v>0</v>
      </c>
      <c r="Q389" s="2424">
        <f t="shared" si="1177"/>
        <v>743555.67986387154</v>
      </c>
      <c r="R389" s="2424">
        <f t="shared" si="1177"/>
        <v>1971957.3201361285</v>
      </c>
      <c r="S389" s="3264"/>
      <c r="T389" s="3405"/>
      <c r="V389" s="3406"/>
      <c r="W389" s="2424">
        <f t="shared" ref="W389:Z389" si="1178">W44</f>
        <v>2715513</v>
      </c>
      <c r="X389" s="2424">
        <f t="shared" si="1178"/>
        <v>0</v>
      </c>
      <c r="Y389" s="2424">
        <f t="shared" si="1178"/>
        <v>743555.67986387154</v>
      </c>
      <c r="Z389" s="2424">
        <f t="shared" si="1178"/>
        <v>1971957.3201361285</v>
      </c>
      <c r="AA389" s="3264"/>
      <c r="AB389" s="3405"/>
      <c r="AD389" s="3406"/>
      <c r="AE389" s="2424">
        <f t="shared" ref="AE389:AH389" si="1179">AE44</f>
        <v>2715513</v>
      </c>
      <c r="AF389" s="2424">
        <f t="shared" si="1179"/>
        <v>0</v>
      </c>
      <c r="AG389" s="2424">
        <f t="shared" si="1179"/>
        <v>743555.67986387154</v>
      </c>
      <c r="AH389" s="2424">
        <f t="shared" si="1179"/>
        <v>1971957.3201361285</v>
      </c>
      <c r="AI389" s="3264"/>
      <c r="AJ389" s="3405"/>
      <c r="AL389" s="3406"/>
      <c r="AM389" s="2424">
        <f t="shared" ref="AM389:AP389" si="1180">AM44</f>
        <v>2715513</v>
      </c>
      <c r="AN389" s="2424">
        <f t="shared" si="1180"/>
        <v>0</v>
      </c>
      <c r="AO389" s="2424">
        <f t="shared" si="1180"/>
        <v>743555.67986387154</v>
      </c>
      <c r="AP389" s="2424">
        <f t="shared" si="1180"/>
        <v>1971957.3201361285</v>
      </c>
      <c r="AQ389" s="3264"/>
      <c r="AR389" s="3405"/>
      <c r="AT389" s="3406"/>
      <c r="AU389" s="2424">
        <f t="shared" ref="AU389:AX389" si="1181">AU44</f>
        <v>2715513</v>
      </c>
      <c r="AV389" s="2424">
        <f t="shared" si="1181"/>
        <v>0</v>
      </c>
      <c r="AW389" s="2424">
        <f t="shared" si="1181"/>
        <v>743555.67986387154</v>
      </c>
      <c r="AX389" s="2424">
        <f t="shared" si="1181"/>
        <v>1971957.3201361285</v>
      </c>
      <c r="AY389" s="3264"/>
      <c r="AZ389" s="3405"/>
      <c r="BB389" s="3406"/>
      <c r="BC389" s="2424">
        <f t="shared" ref="BC389:BF389" si="1182">BC44</f>
        <v>2715513</v>
      </c>
      <c r="BD389" s="2424">
        <f t="shared" si="1182"/>
        <v>0</v>
      </c>
      <c r="BE389" s="2424">
        <f t="shared" si="1182"/>
        <v>743555.67986387154</v>
      </c>
      <c r="BF389" s="2424">
        <f t="shared" si="1182"/>
        <v>1971957.3201361285</v>
      </c>
      <c r="BG389" s="3264"/>
      <c r="BH389" s="3405"/>
      <c r="BJ389" s="3406"/>
      <c r="BK389" s="2424">
        <f t="shared" ref="BK389:BN389" si="1183">BK44</f>
        <v>2715513</v>
      </c>
      <c r="BL389" s="2424">
        <f t="shared" si="1183"/>
        <v>0</v>
      </c>
      <c r="BM389" s="2424">
        <f t="shared" si="1183"/>
        <v>743555.67986387154</v>
      </c>
      <c r="BN389" s="2424">
        <f t="shared" si="1183"/>
        <v>1971957.3201361285</v>
      </c>
      <c r="BO389" s="3264"/>
      <c r="BP389" s="3405"/>
      <c r="BR389" s="3406"/>
      <c r="BS389" s="2424">
        <f t="shared" ref="BS389:BV389" si="1184">BS44</f>
        <v>2715513</v>
      </c>
      <c r="BT389" s="2424">
        <f t="shared" si="1184"/>
        <v>0</v>
      </c>
      <c r="BU389" s="2424">
        <f t="shared" si="1184"/>
        <v>743555.67986387154</v>
      </c>
      <c r="BV389" s="2424">
        <f t="shared" si="1184"/>
        <v>1971957.3201361285</v>
      </c>
      <c r="BW389" s="3264"/>
      <c r="BX389" s="3405"/>
      <c r="BZ389" s="3406"/>
      <c r="CA389" s="2424">
        <f t="shared" ref="CA389:CD389" si="1185">CA44</f>
        <v>2715513</v>
      </c>
      <c r="CB389" s="2424">
        <f t="shared" si="1185"/>
        <v>0</v>
      </c>
      <c r="CC389" s="2424">
        <f t="shared" si="1185"/>
        <v>743555.67986387154</v>
      </c>
      <c r="CD389" s="2424">
        <f t="shared" si="1185"/>
        <v>1971957.3201361285</v>
      </c>
      <c r="CE389" s="3264"/>
      <c r="CF389" s="3405"/>
      <c r="CH389" s="3406"/>
      <c r="CI389" s="2424">
        <f t="shared" ref="CI389:CL389" si="1186">CI44</f>
        <v>2715513</v>
      </c>
      <c r="CJ389" s="2424">
        <f t="shared" si="1186"/>
        <v>0</v>
      </c>
      <c r="CK389" s="2424">
        <f t="shared" si="1186"/>
        <v>743555.67986387154</v>
      </c>
      <c r="CL389" s="2424">
        <f t="shared" si="1186"/>
        <v>1971957.3201361285</v>
      </c>
      <c r="CM389" s="3264"/>
      <c r="CN389" s="3405"/>
      <c r="CP389" s="3406"/>
      <c r="CQ389" s="2424">
        <f t="shared" ref="CQ389:CT389" si="1187">CQ44</f>
        <v>2715513</v>
      </c>
      <c r="CR389" s="2424">
        <f t="shared" si="1187"/>
        <v>0</v>
      </c>
      <c r="CS389" s="2424">
        <f t="shared" si="1187"/>
        <v>743555.67986387154</v>
      </c>
      <c r="CT389" s="2424">
        <f t="shared" si="1187"/>
        <v>1971957.3201361285</v>
      </c>
      <c r="CU389" s="3264"/>
      <c r="CV389" s="3405"/>
      <c r="CX389" s="3406"/>
      <c r="CY389" s="2424">
        <f t="shared" ref="CY389:DB389" si="1188">CY44</f>
        <v>2715513</v>
      </c>
      <c r="CZ389" s="2424">
        <f t="shared" si="1188"/>
        <v>0</v>
      </c>
      <c r="DA389" s="2424">
        <f t="shared" si="1188"/>
        <v>743555.67986387154</v>
      </c>
      <c r="DB389" s="2424">
        <f t="shared" si="1188"/>
        <v>1971957.3201361285</v>
      </c>
      <c r="DC389" s="3264"/>
      <c r="DD389" s="3405"/>
      <c r="DF389" s="3406"/>
      <c r="DG389" s="2424">
        <f t="shared" ref="DG389:DJ389" si="1189">DG44</f>
        <v>2715513</v>
      </c>
      <c r="DH389" s="2424">
        <f t="shared" si="1189"/>
        <v>0</v>
      </c>
      <c r="DI389" s="2424">
        <f t="shared" si="1189"/>
        <v>743555.67986387154</v>
      </c>
      <c r="DJ389" s="2424">
        <f t="shared" si="1189"/>
        <v>1971957.3201361285</v>
      </c>
      <c r="DK389" s="3264"/>
      <c r="DL389" s="3405"/>
      <c r="DN389" s="3406"/>
      <c r="DO389" s="2424">
        <f t="shared" ref="DO389:DR389" si="1190">DO44</f>
        <v>2715513</v>
      </c>
      <c r="DP389" s="2424">
        <f t="shared" si="1190"/>
        <v>0</v>
      </c>
      <c r="DQ389" s="2424">
        <f t="shared" si="1190"/>
        <v>743555.67986387154</v>
      </c>
      <c r="DR389" s="2424">
        <f t="shared" si="1190"/>
        <v>1971957.3201361285</v>
      </c>
      <c r="DS389" s="3264"/>
      <c r="DT389" s="3405"/>
      <c r="DV389" s="3406"/>
      <c r="DW389" s="2424">
        <f t="shared" ref="DW389:DZ389" si="1191">DW44</f>
        <v>2715513</v>
      </c>
      <c r="DX389" s="2424">
        <f t="shared" si="1191"/>
        <v>0</v>
      </c>
      <c r="DY389" s="2424">
        <f t="shared" si="1191"/>
        <v>743555.67986387154</v>
      </c>
      <c r="DZ389" s="2424">
        <f t="shared" si="1191"/>
        <v>1971957.3201361285</v>
      </c>
      <c r="EA389" s="3264"/>
      <c r="EB389" s="3405"/>
      <c r="ED389" s="3406"/>
      <c r="EE389" s="2424">
        <f t="shared" ref="EE389:EH389" si="1192">EE44</f>
        <v>2715513</v>
      </c>
      <c r="EF389" s="2424">
        <f t="shared" si="1192"/>
        <v>0</v>
      </c>
      <c r="EG389" s="2424">
        <f t="shared" si="1192"/>
        <v>743555.67986387154</v>
      </c>
      <c r="EH389" s="2424">
        <f t="shared" si="1192"/>
        <v>1971957.3201361285</v>
      </c>
      <c r="EI389" s="3264"/>
      <c r="EJ389" s="3405"/>
      <c r="EL389" s="3406"/>
      <c r="EM389" s="2424">
        <f t="shared" ref="EM389:EP389" si="1193">EM44</f>
        <v>2715513</v>
      </c>
      <c r="EN389" s="2424">
        <f t="shared" si="1193"/>
        <v>0</v>
      </c>
      <c r="EO389" s="2424">
        <f t="shared" si="1193"/>
        <v>743555.67986387154</v>
      </c>
      <c r="EP389" s="2424">
        <f t="shared" si="1193"/>
        <v>1971957.3201361285</v>
      </c>
      <c r="EQ389" s="3264"/>
      <c r="ER389" s="3405"/>
      <c r="ET389" s="3406"/>
      <c r="EU389" s="2424">
        <f t="shared" ref="EU389:EX389" si="1194">EU44</f>
        <v>2715513</v>
      </c>
      <c r="EV389" s="2424">
        <f t="shared" si="1194"/>
        <v>0</v>
      </c>
      <c r="EW389" s="2424">
        <f t="shared" si="1194"/>
        <v>743555.67986387154</v>
      </c>
      <c r="EX389" s="2424">
        <f t="shared" si="1194"/>
        <v>1971957.3201361285</v>
      </c>
      <c r="EY389" s="3264"/>
      <c r="EZ389" s="3405"/>
      <c r="FB389" s="3406"/>
      <c r="FC389" s="2424">
        <f t="shared" ref="FC389:FF389" si="1195">FC44</f>
        <v>2715513</v>
      </c>
      <c r="FD389" s="2424">
        <f t="shared" si="1195"/>
        <v>0</v>
      </c>
      <c r="FE389" s="2424">
        <f t="shared" si="1195"/>
        <v>743555.67986387154</v>
      </c>
      <c r="FF389" s="2424">
        <f t="shared" si="1195"/>
        <v>1971957.3201361285</v>
      </c>
      <c r="FG389" s="3264"/>
      <c r="FH389" s="3405"/>
      <c r="FJ389" s="3406"/>
      <c r="FK389" s="2424">
        <f t="shared" ref="FK389:FN389" si="1196">FK44</f>
        <v>2715513</v>
      </c>
      <c r="FL389" s="2424">
        <f t="shared" si="1196"/>
        <v>0</v>
      </c>
      <c r="FM389" s="2424">
        <f t="shared" si="1196"/>
        <v>743555.67986387154</v>
      </c>
      <c r="FN389" s="2424">
        <f t="shared" si="1196"/>
        <v>1971957.3201361285</v>
      </c>
      <c r="FO389" s="3264"/>
    </row>
    <row r="390" spans="2:171">
      <c r="B390" s="3086"/>
      <c r="C390" s="3086" t="s">
        <v>133</v>
      </c>
      <c r="D390" s="3405"/>
      <c r="E390" s="3234" t="str">
        <f t="shared" si="1034"/>
        <v>PTD</v>
      </c>
      <c r="G390" s="2424">
        <f t="shared" si="1035"/>
        <v>105832047</v>
      </c>
      <c r="H390" s="2424">
        <f t="shared" si="1035"/>
        <v>36945064.11521925</v>
      </c>
      <c r="I390" s="2424">
        <f t="shared" si="1035"/>
        <v>0</v>
      </c>
      <c r="J390" s="2424">
        <f t="shared" si="1035"/>
        <v>68886982.88478075</v>
      </c>
      <c r="K390" s="3264">
        <f t="shared" si="1036"/>
        <v>1</v>
      </c>
      <c r="L390" s="3405"/>
      <c r="N390" s="3406"/>
      <c r="O390" s="2424">
        <f t="shared" ref="O390:R390" si="1197">O45</f>
        <v>105832047</v>
      </c>
      <c r="P390" s="2424">
        <f t="shared" si="1197"/>
        <v>36945064.11521925</v>
      </c>
      <c r="Q390" s="2424">
        <f t="shared" si="1197"/>
        <v>18862479.167900883</v>
      </c>
      <c r="R390" s="2424">
        <f t="shared" si="1197"/>
        <v>50024503.716879867</v>
      </c>
      <c r="S390" s="3264"/>
      <c r="T390" s="3405"/>
      <c r="V390" s="3406"/>
      <c r="W390" s="2424">
        <f t="shared" ref="W390:Z390" si="1198">W45</f>
        <v>105832047</v>
      </c>
      <c r="X390" s="2424">
        <f t="shared" si="1198"/>
        <v>36945064.11521925</v>
      </c>
      <c r="Y390" s="2424">
        <f t="shared" si="1198"/>
        <v>18862479.167900883</v>
      </c>
      <c r="Z390" s="2424">
        <f t="shared" si="1198"/>
        <v>50024503.716879867</v>
      </c>
      <c r="AA390" s="3264"/>
      <c r="AB390" s="3405"/>
      <c r="AD390" s="3406"/>
      <c r="AE390" s="2424">
        <f t="shared" ref="AE390:AH390" si="1199">AE45</f>
        <v>105832047</v>
      </c>
      <c r="AF390" s="2424">
        <f t="shared" si="1199"/>
        <v>36945064.11521925</v>
      </c>
      <c r="AG390" s="2424">
        <f t="shared" si="1199"/>
        <v>18862479.167900883</v>
      </c>
      <c r="AH390" s="2424">
        <f t="shared" si="1199"/>
        <v>50024503.716879867</v>
      </c>
      <c r="AI390" s="3264"/>
      <c r="AJ390" s="3405"/>
      <c r="AL390" s="3406"/>
      <c r="AM390" s="2424">
        <f t="shared" ref="AM390:AP390" si="1200">AM45</f>
        <v>105832047</v>
      </c>
      <c r="AN390" s="2424">
        <f t="shared" si="1200"/>
        <v>36945064.11521925</v>
      </c>
      <c r="AO390" s="2424">
        <f t="shared" si="1200"/>
        <v>18862479.167900883</v>
      </c>
      <c r="AP390" s="2424">
        <f t="shared" si="1200"/>
        <v>50024503.716879867</v>
      </c>
      <c r="AQ390" s="3264"/>
      <c r="AR390" s="3405"/>
      <c r="AT390" s="3406"/>
      <c r="AU390" s="2424">
        <f t="shared" ref="AU390:AX390" si="1201">AU45</f>
        <v>105832047</v>
      </c>
      <c r="AV390" s="2424">
        <f t="shared" si="1201"/>
        <v>36945064.11521925</v>
      </c>
      <c r="AW390" s="2424">
        <f t="shared" si="1201"/>
        <v>18862479.167900883</v>
      </c>
      <c r="AX390" s="2424">
        <f t="shared" si="1201"/>
        <v>50024503.716879867</v>
      </c>
      <c r="AY390" s="3264"/>
      <c r="AZ390" s="3405"/>
      <c r="BB390" s="3406"/>
      <c r="BC390" s="2424">
        <f t="shared" ref="BC390:BF390" si="1202">BC45</f>
        <v>105832047</v>
      </c>
      <c r="BD390" s="2424">
        <f t="shared" si="1202"/>
        <v>36945064.11521925</v>
      </c>
      <c r="BE390" s="2424">
        <f t="shared" si="1202"/>
        <v>18862479.167900883</v>
      </c>
      <c r="BF390" s="2424">
        <f t="shared" si="1202"/>
        <v>50024503.716879867</v>
      </c>
      <c r="BG390" s="3264"/>
      <c r="BH390" s="3405"/>
      <c r="BJ390" s="3406"/>
      <c r="BK390" s="2424">
        <f t="shared" ref="BK390:BN390" si="1203">BK45</f>
        <v>105832047</v>
      </c>
      <c r="BL390" s="2424">
        <f t="shared" si="1203"/>
        <v>36945064.11521925</v>
      </c>
      <c r="BM390" s="2424">
        <f t="shared" si="1203"/>
        <v>18862479.167900883</v>
      </c>
      <c r="BN390" s="2424">
        <f t="shared" si="1203"/>
        <v>50024503.716879867</v>
      </c>
      <c r="BO390" s="3264"/>
      <c r="BP390" s="3405"/>
      <c r="BR390" s="3406"/>
      <c r="BS390" s="2424">
        <f t="shared" ref="BS390:BV390" si="1204">BS45</f>
        <v>105832047</v>
      </c>
      <c r="BT390" s="2424">
        <f t="shared" si="1204"/>
        <v>36945064.11521925</v>
      </c>
      <c r="BU390" s="2424">
        <f t="shared" si="1204"/>
        <v>18862479.167900883</v>
      </c>
      <c r="BV390" s="2424">
        <f t="shared" si="1204"/>
        <v>50024503.716879867</v>
      </c>
      <c r="BW390" s="3264"/>
      <c r="BX390" s="3405"/>
      <c r="BZ390" s="3406"/>
      <c r="CA390" s="2424">
        <f t="shared" ref="CA390:CD390" si="1205">CA45</f>
        <v>105832047</v>
      </c>
      <c r="CB390" s="2424">
        <f t="shared" si="1205"/>
        <v>36945064.11521925</v>
      </c>
      <c r="CC390" s="2424">
        <f t="shared" si="1205"/>
        <v>18862479.167900883</v>
      </c>
      <c r="CD390" s="2424">
        <f t="shared" si="1205"/>
        <v>50024503.716879867</v>
      </c>
      <c r="CE390" s="3264"/>
      <c r="CF390" s="3405"/>
      <c r="CH390" s="3406"/>
      <c r="CI390" s="2424">
        <f t="shared" ref="CI390:CL390" si="1206">CI45</f>
        <v>105832047</v>
      </c>
      <c r="CJ390" s="2424">
        <f t="shared" si="1206"/>
        <v>36945064.11521925</v>
      </c>
      <c r="CK390" s="2424">
        <f t="shared" si="1206"/>
        <v>18862479.167900883</v>
      </c>
      <c r="CL390" s="2424">
        <f t="shared" si="1206"/>
        <v>50024503.716879867</v>
      </c>
      <c r="CM390" s="3264"/>
      <c r="CN390" s="3405"/>
      <c r="CP390" s="3406"/>
      <c r="CQ390" s="2424">
        <f t="shared" ref="CQ390:CT390" si="1207">CQ45</f>
        <v>105832047</v>
      </c>
      <c r="CR390" s="2424">
        <f t="shared" si="1207"/>
        <v>36945064.11521925</v>
      </c>
      <c r="CS390" s="2424">
        <f t="shared" si="1207"/>
        <v>18862479.167900883</v>
      </c>
      <c r="CT390" s="2424">
        <f t="shared" si="1207"/>
        <v>50024503.716879867</v>
      </c>
      <c r="CU390" s="3264"/>
      <c r="CV390" s="3405"/>
      <c r="CX390" s="3406"/>
      <c r="CY390" s="2424">
        <f t="shared" ref="CY390:DB390" si="1208">CY45</f>
        <v>105832047</v>
      </c>
      <c r="CZ390" s="2424">
        <f t="shared" si="1208"/>
        <v>36945064.11521925</v>
      </c>
      <c r="DA390" s="2424">
        <f t="shared" si="1208"/>
        <v>18862479.167900883</v>
      </c>
      <c r="DB390" s="2424">
        <f t="shared" si="1208"/>
        <v>50024503.716879867</v>
      </c>
      <c r="DC390" s="3264"/>
      <c r="DD390" s="3405"/>
      <c r="DF390" s="3406"/>
      <c r="DG390" s="2424">
        <f t="shared" ref="DG390:DJ390" si="1209">DG45</f>
        <v>105832047</v>
      </c>
      <c r="DH390" s="2424">
        <f t="shared" si="1209"/>
        <v>36945064.11521925</v>
      </c>
      <c r="DI390" s="2424">
        <f t="shared" si="1209"/>
        <v>18862479.167900883</v>
      </c>
      <c r="DJ390" s="2424">
        <f t="shared" si="1209"/>
        <v>50024503.716879867</v>
      </c>
      <c r="DK390" s="3264"/>
      <c r="DL390" s="3405"/>
      <c r="DN390" s="3406"/>
      <c r="DO390" s="2424">
        <f t="shared" ref="DO390:DR390" si="1210">DO45</f>
        <v>105832047</v>
      </c>
      <c r="DP390" s="2424">
        <f t="shared" si="1210"/>
        <v>36945064.11521925</v>
      </c>
      <c r="DQ390" s="2424">
        <f t="shared" si="1210"/>
        <v>18862479.167900883</v>
      </c>
      <c r="DR390" s="2424">
        <f t="shared" si="1210"/>
        <v>50024503.716879867</v>
      </c>
      <c r="DS390" s="3264"/>
      <c r="DT390" s="3405"/>
      <c r="DV390" s="3406"/>
      <c r="DW390" s="2424">
        <f t="shared" ref="DW390:DZ390" si="1211">DW45</f>
        <v>105832047</v>
      </c>
      <c r="DX390" s="2424">
        <f t="shared" si="1211"/>
        <v>36945064.11521925</v>
      </c>
      <c r="DY390" s="2424">
        <f t="shared" si="1211"/>
        <v>18862479.167900883</v>
      </c>
      <c r="DZ390" s="2424">
        <f t="shared" si="1211"/>
        <v>50024503.716879867</v>
      </c>
      <c r="EA390" s="3264"/>
      <c r="EB390" s="3405"/>
      <c r="ED390" s="3406"/>
      <c r="EE390" s="2424">
        <f t="shared" ref="EE390:EH390" si="1212">EE45</f>
        <v>105832047</v>
      </c>
      <c r="EF390" s="2424">
        <f t="shared" si="1212"/>
        <v>36945064.11521925</v>
      </c>
      <c r="EG390" s="2424">
        <f t="shared" si="1212"/>
        <v>18862479.167900883</v>
      </c>
      <c r="EH390" s="2424">
        <f t="shared" si="1212"/>
        <v>50024503.716879867</v>
      </c>
      <c r="EI390" s="3264"/>
      <c r="EJ390" s="3405"/>
      <c r="EL390" s="3406"/>
      <c r="EM390" s="2424">
        <f t="shared" ref="EM390:EP390" si="1213">EM45</f>
        <v>105832047</v>
      </c>
      <c r="EN390" s="2424">
        <f t="shared" si="1213"/>
        <v>36945064.11521925</v>
      </c>
      <c r="EO390" s="2424">
        <f t="shared" si="1213"/>
        <v>18862479.167900883</v>
      </c>
      <c r="EP390" s="2424">
        <f t="shared" si="1213"/>
        <v>50024503.716879867</v>
      </c>
      <c r="EQ390" s="3264"/>
      <c r="ER390" s="3405"/>
      <c r="ET390" s="3406"/>
      <c r="EU390" s="2424">
        <f t="shared" ref="EU390:EX390" si="1214">EU45</f>
        <v>105832047</v>
      </c>
      <c r="EV390" s="2424">
        <f t="shared" si="1214"/>
        <v>36945064.11521925</v>
      </c>
      <c r="EW390" s="2424">
        <f t="shared" si="1214"/>
        <v>18862479.167900883</v>
      </c>
      <c r="EX390" s="2424">
        <f t="shared" si="1214"/>
        <v>50024503.716879867</v>
      </c>
      <c r="EY390" s="3264"/>
      <c r="EZ390" s="3405"/>
      <c r="FB390" s="3406"/>
      <c r="FC390" s="2424">
        <f t="shared" ref="FC390:FF390" si="1215">FC45</f>
        <v>105832047</v>
      </c>
      <c r="FD390" s="2424">
        <f t="shared" si="1215"/>
        <v>36945064.11521925</v>
      </c>
      <c r="FE390" s="2424">
        <f t="shared" si="1215"/>
        <v>18862479.167900883</v>
      </c>
      <c r="FF390" s="2424">
        <f t="shared" si="1215"/>
        <v>50024503.716879867</v>
      </c>
      <c r="FG390" s="3264"/>
      <c r="FH390" s="3405"/>
      <c r="FJ390" s="3406"/>
      <c r="FK390" s="2424">
        <f t="shared" ref="FK390:FN390" si="1216">FK45</f>
        <v>105832047</v>
      </c>
      <c r="FL390" s="2424">
        <f t="shared" si="1216"/>
        <v>36945064.11521925</v>
      </c>
      <c r="FM390" s="2424">
        <f t="shared" si="1216"/>
        <v>18862479.167900883</v>
      </c>
      <c r="FN390" s="2424">
        <f t="shared" si="1216"/>
        <v>50024503.716879867</v>
      </c>
      <c r="FO390" s="3264"/>
    </row>
    <row r="391" spans="2:171">
      <c r="B391" s="3086"/>
      <c r="C391" s="3086" t="s">
        <v>134</v>
      </c>
      <c r="D391" s="3405"/>
      <c r="E391" s="3234" t="str">
        <f t="shared" si="1034"/>
        <v>PTD</v>
      </c>
      <c r="G391" s="2424">
        <f t="shared" si="1035"/>
        <v>381575</v>
      </c>
      <c r="H391" s="2424">
        <f t="shared" si="1035"/>
        <v>133204.57497873763</v>
      </c>
      <c r="I391" s="2424">
        <f t="shared" si="1035"/>
        <v>0</v>
      </c>
      <c r="J391" s="2424">
        <f t="shared" si="1035"/>
        <v>248370.42502126237</v>
      </c>
      <c r="K391" s="3264">
        <f t="shared" si="1036"/>
        <v>1</v>
      </c>
      <c r="L391" s="3405"/>
      <c r="N391" s="3406"/>
      <c r="O391" s="2424">
        <f t="shared" ref="O391:R391" si="1217">O46</f>
        <v>381575</v>
      </c>
      <c r="P391" s="2424">
        <f t="shared" si="1217"/>
        <v>133204.57497873763</v>
      </c>
      <c r="Q391" s="2424">
        <f t="shared" si="1217"/>
        <v>68008.232785025684</v>
      </c>
      <c r="R391" s="2424">
        <f t="shared" si="1217"/>
        <v>180362.19223623667</v>
      </c>
      <c r="S391" s="3264"/>
      <c r="T391" s="3405"/>
      <c r="V391" s="3406"/>
      <c r="W391" s="2424">
        <f t="shared" ref="W391:Z391" si="1218">W46</f>
        <v>381575</v>
      </c>
      <c r="X391" s="2424">
        <f t="shared" si="1218"/>
        <v>133204.57497873763</v>
      </c>
      <c r="Y391" s="2424">
        <f t="shared" si="1218"/>
        <v>68008.232785025684</v>
      </c>
      <c r="Z391" s="2424">
        <f t="shared" si="1218"/>
        <v>180362.19223623667</v>
      </c>
      <c r="AA391" s="3264"/>
      <c r="AB391" s="3405"/>
      <c r="AD391" s="3406"/>
      <c r="AE391" s="2424">
        <f t="shared" ref="AE391:AH391" si="1219">AE46</f>
        <v>381575</v>
      </c>
      <c r="AF391" s="2424">
        <f t="shared" si="1219"/>
        <v>133204.57497873763</v>
      </c>
      <c r="AG391" s="2424">
        <f t="shared" si="1219"/>
        <v>68008.232785025684</v>
      </c>
      <c r="AH391" s="2424">
        <f t="shared" si="1219"/>
        <v>180362.19223623667</v>
      </c>
      <c r="AI391" s="3264"/>
      <c r="AJ391" s="3405"/>
      <c r="AL391" s="3406"/>
      <c r="AM391" s="2424">
        <f t="shared" ref="AM391:AP391" si="1220">AM46</f>
        <v>381575</v>
      </c>
      <c r="AN391" s="2424">
        <f t="shared" si="1220"/>
        <v>133204.57497873763</v>
      </c>
      <c r="AO391" s="2424">
        <f t="shared" si="1220"/>
        <v>68008.232785025684</v>
      </c>
      <c r="AP391" s="2424">
        <f t="shared" si="1220"/>
        <v>180362.19223623667</v>
      </c>
      <c r="AQ391" s="3264"/>
      <c r="AR391" s="3405"/>
      <c r="AT391" s="3406"/>
      <c r="AU391" s="2424">
        <f t="shared" ref="AU391:AX391" si="1221">AU46</f>
        <v>381575</v>
      </c>
      <c r="AV391" s="2424">
        <f t="shared" si="1221"/>
        <v>133204.57497873763</v>
      </c>
      <c r="AW391" s="2424">
        <f t="shared" si="1221"/>
        <v>68008.232785025684</v>
      </c>
      <c r="AX391" s="2424">
        <f t="shared" si="1221"/>
        <v>180362.19223623667</v>
      </c>
      <c r="AY391" s="3264"/>
      <c r="AZ391" s="3405"/>
      <c r="BB391" s="3406"/>
      <c r="BC391" s="2424">
        <f t="shared" ref="BC391:BF391" si="1222">BC46</f>
        <v>381575</v>
      </c>
      <c r="BD391" s="2424">
        <f t="shared" si="1222"/>
        <v>133204.57497873763</v>
      </c>
      <c r="BE391" s="2424">
        <f t="shared" si="1222"/>
        <v>68008.232785025684</v>
      </c>
      <c r="BF391" s="2424">
        <f t="shared" si="1222"/>
        <v>180362.19223623667</v>
      </c>
      <c r="BG391" s="3264"/>
      <c r="BH391" s="3405"/>
      <c r="BJ391" s="3406"/>
      <c r="BK391" s="2424">
        <f t="shared" ref="BK391:BN391" si="1223">BK46</f>
        <v>381575</v>
      </c>
      <c r="BL391" s="2424">
        <f t="shared" si="1223"/>
        <v>133204.57497873763</v>
      </c>
      <c r="BM391" s="2424">
        <f t="shared" si="1223"/>
        <v>68008.232785025684</v>
      </c>
      <c r="BN391" s="2424">
        <f t="shared" si="1223"/>
        <v>180362.19223623667</v>
      </c>
      <c r="BO391" s="3264"/>
      <c r="BP391" s="3405"/>
      <c r="BR391" s="3406"/>
      <c r="BS391" s="2424">
        <f t="shared" ref="BS391:BV391" si="1224">BS46</f>
        <v>381575</v>
      </c>
      <c r="BT391" s="2424">
        <f t="shared" si="1224"/>
        <v>133204.57497873763</v>
      </c>
      <c r="BU391" s="2424">
        <f t="shared" si="1224"/>
        <v>68008.232785025684</v>
      </c>
      <c r="BV391" s="2424">
        <f t="shared" si="1224"/>
        <v>180362.19223623667</v>
      </c>
      <c r="BW391" s="3264"/>
      <c r="BX391" s="3405"/>
      <c r="BZ391" s="3406"/>
      <c r="CA391" s="2424">
        <f t="shared" ref="CA391:CD391" si="1225">CA46</f>
        <v>381575</v>
      </c>
      <c r="CB391" s="2424">
        <f t="shared" si="1225"/>
        <v>133204.57497873763</v>
      </c>
      <c r="CC391" s="2424">
        <f t="shared" si="1225"/>
        <v>68008.232785025684</v>
      </c>
      <c r="CD391" s="2424">
        <f t="shared" si="1225"/>
        <v>180362.19223623667</v>
      </c>
      <c r="CE391" s="3264"/>
      <c r="CF391" s="3405"/>
      <c r="CH391" s="3406"/>
      <c r="CI391" s="2424">
        <f t="shared" ref="CI391:CL391" si="1226">CI46</f>
        <v>381575</v>
      </c>
      <c r="CJ391" s="2424">
        <f t="shared" si="1226"/>
        <v>133204.57497873763</v>
      </c>
      <c r="CK391" s="2424">
        <f t="shared" si="1226"/>
        <v>68008.232785025684</v>
      </c>
      <c r="CL391" s="2424">
        <f t="shared" si="1226"/>
        <v>180362.19223623667</v>
      </c>
      <c r="CM391" s="3264"/>
      <c r="CN391" s="3405"/>
      <c r="CP391" s="3406"/>
      <c r="CQ391" s="2424">
        <f t="shared" ref="CQ391:CT391" si="1227">CQ46</f>
        <v>381575</v>
      </c>
      <c r="CR391" s="2424">
        <f t="shared" si="1227"/>
        <v>133204.57497873763</v>
      </c>
      <c r="CS391" s="2424">
        <f t="shared" si="1227"/>
        <v>68008.232785025684</v>
      </c>
      <c r="CT391" s="2424">
        <f t="shared" si="1227"/>
        <v>180362.19223623667</v>
      </c>
      <c r="CU391" s="3264"/>
      <c r="CV391" s="3405"/>
      <c r="CX391" s="3406"/>
      <c r="CY391" s="2424">
        <f t="shared" ref="CY391:DB391" si="1228">CY46</f>
        <v>381575</v>
      </c>
      <c r="CZ391" s="2424">
        <f t="shared" si="1228"/>
        <v>133204.57497873763</v>
      </c>
      <c r="DA391" s="2424">
        <f t="shared" si="1228"/>
        <v>68008.232785025684</v>
      </c>
      <c r="DB391" s="2424">
        <f t="shared" si="1228"/>
        <v>180362.19223623667</v>
      </c>
      <c r="DC391" s="3264"/>
      <c r="DD391" s="3405"/>
      <c r="DF391" s="3406"/>
      <c r="DG391" s="2424">
        <f t="shared" ref="DG391:DJ391" si="1229">DG46</f>
        <v>381575</v>
      </c>
      <c r="DH391" s="2424">
        <f t="shared" si="1229"/>
        <v>133204.57497873763</v>
      </c>
      <c r="DI391" s="2424">
        <f t="shared" si="1229"/>
        <v>68008.232785025684</v>
      </c>
      <c r="DJ391" s="2424">
        <f t="shared" si="1229"/>
        <v>180362.19223623667</v>
      </c>
      <c r="DK391" s="3264"/>
      <c r="DL391" s="3405"/>
      <c r="DN391" s="3406"/>
      <c r="DO391" s="2424">
        <f t="shared" ref="DO391:DR391" si="1230">DO46</f>
        <v>381575</v>
      </c>
      <c r="DP391" s="2424">
        <f t="shared" si="1230"/>
        <v>133204.57497873763</v>
      </c>
      <c r="DQ391" s="2424">
        <f t="shared" si="1230"/>
        <v>68008.232785025684</v>
      </c>
      <c r="DR391" s="2424">
        <f t="shared" si="1230"/>
        <v>180362.19223623667</v>
      </c>
      <c r="DS391" s="3264"/>
      <c r="DT391" s="3405"/>
      <c r="DV391" s="3406"/>
      <c r="DW391" s="2424">
        <f t="shared" ref="DW391:DZ391" si="1231">DW46</f>
        <v>381575</v>
      </c>
      <c r="DX391" s="2424">
        <f t="shared" si="1231"/>
        <v>133204.57497873763</v>
      </c>
      <c r="DY391" s="2424">
        <f t="shared" si="1231"/>
        <v>68008.232785025684</v>
      </c>
      <c r="DZ391" s="2424">
        <f t="shared" si="1231"/>
        <v>180362.19223623667</v>
      </c>
      <c r="EA391" s="3264"/>
      <c r="EB391" s="3405"/>
      <c r="ED391" s="3406"/>
      <c r="EE391" s="2424">
        <f t="shared" ref="EE391:EH391" si="1232">EE46</f>
        <v>381575</v>
      </c>
      <c r="EF391" s="2424">
        <f t="shared" si="1232"/>
        <v>133204.57497873763</v>
      </c>
      <c r="EG391" s="2424">
        <f t="shared" si="1232"/>
        <v>68008.232785025684</v>
      </c>
      <c r="EH391" s="2424">
        <f t="shared" si="1232"/>
        <v>180362.19223623667</v>
      </c>
      <c r="EI391" s="3264"/>
      <c r="EJ391" s="3405"/>
      <c r="EL391" s="3406"/>
      <c r="EM391" s="2424">
        <f t="shared" ref="EM391:EP391" si="1233">EM46</f>
        <v>381575</v>
      </c>
      <c r="EN391" s="2424">
        <f t="shared" si="1233"/>
        <v>133204.57497873763</v>
      </c>
      <c r="EO391" s="2424">
        <f t="shared" si="1233"/>
        <v>68008.232785025684</v>
      </c>
      <c r="EP391" s="2424">
        <f t="shared" si="1233"/>
        <v>180362.19223623667</v>
      </c>
      <c r="EQ391" s="3264"/>
      <c r="ER391" s="3405"/>
      <c r="ET391" s="3406"/>
      <c r="EU391" s="2424">
        <f t="shared" ref="EU391:EX391" si="1234">EU46</f>
        <v>381575</v>
      </c>
      <c r="EV391" s="2424">
        <f t="shared" si="1234"/>
        <v>133204.57497873763</v>
      </c>
      <c r="EW391" s="2424">
        <f t="shared" si="1234"/>
        <v>68008.232785025684</v>
      </c>
      <c r="EX391" s="2424">
        <f t="shared" si="1234"/>
        <v>180362.19223623667</v>
      </c>
      <c r="EY391" s="3264"/>
      <c r="EZ391" s="3405"/>
      <c r="FB391" s="3406"/>
      <c r="FC391" s="2424">
        <f t="shared" ref="FC391:FF391" si="1235">FC46</f>
        <v>381575</v>
      </c>
      <c r="FD391" s="2424">
        <f t="shared" si="1235"/>
        <v>133204.57497873763</v>
      </c>
      <c r="FE391" s="2424">
        <f t="shared" si="1235"/>
        <v>68008.232785025684</v>
      </c>
      <c r="FF391" s="2424">
        <f t="shared" si="1235"/>
        <v>180362.19223623667</v>
      </c>
      <c r="FG391" s="3264"/>
      <c r="FH391" s="3405"/>
      <c r="FJ391" s="3406"/>
      <c r="FK391" s="2424">
        <f t="shared" ref="FK391:FN391" si="1236">FK46</f>
        <v>381575</v>
      </c>
      <c r="FL391" s="2424">
        <f t="shared" si="1236"/>
        <v>133204.57497873763</v>
      </c>
      <c r="FM391" s="2424">
        <f t="shared" si="1236"/>
        <v>68008.232785025684</v>
      </c>
      <c r="FN391" s="2424">
        <f t="shared" si="1236"/>
        <v>180362.19223623667</v>
      </c>
      <c r="FO391" s="3264"/>
    </row>
    <row r="392" spans="2:171">
      <c r="B392" s="3086"/>
      <c r="C392" s="3086" t="s">
        <v>254</v>
      </c>
      <c r="D392" s="3405"/>
      <c r="E392" s="3234" t="str">
        <f t="shared" si="1034"/>
        <v>DIRECT</v>
      </c>
      <c r="G392" s="2424">
        <f t="shared" si="1035"/>
        <v>0</v>
      </c>
      <c r="H392" s="2424">
        <f t="shared" si="1035"/>
        <v>0</v>
      </c>
      <c r="I392" s="2424">
        <f t="shared" si="1035"/>
        <v>0</v>
      </c>
      <c r="J392" s="2424">
        <f t="shared" si="1035"/>
        <v>0</v>
      </c>
      <c r="K392" s="3264">
        <f t="shared" si="1036"/>
        <v>0</v>
      </c>
      <c r="L392" s="3405"/>
      <c r="N392" s="3406"/>
      <c r="O392" s="2424">
        <f t="shared" ref="O392:R392" si="1237">O47</f>
        <v>0</v>
      </c>
      <c r="P392" s="2424">
        <f t="shared" si="1237"/>
        <v>0</v>
      </c>
      <c r="Q392" s="2424">
        <f t="shared" si="1237"/>
        <v>0</v>
      </c>
      <c r="R392" s="2424">
        <f t="shared" si="1237"/>
        <v>0</v>
      </c>
      <c r="S392" s="3264"/>
      <c r="T392" s="3405"/>
      <c r="V392" s="3406"/>
      <c r="W392" s="2424">
        <f t="shared" ref="W392:Z392" si="1238">W47</f>
        <v>0</v>
      </c>
      <c r="X392" s="2424">
        <f t="shared" si="1238"/>
        <v>0</v>
      </c>
      <c r="Y392" s="2424">
        <f t="shared" si="1238"/>
        <v>0</v>
      </c>
      <c r="Z392" s="2424">
        <f t="shared" si="1238"/>
        <v>0</v>
      </c>
      <c r="AA392" s="3264"/>
      <c r="AB392" s="3405"/>
      <c r="AD392" s="3406"/>
      <c r="AE392" s="2424">
        <f t="shared" ref="AE392:AH392" si="1239">AE47</f>
        <v>0</v>
      </c>
      <c r="AF392" s="2424">
        <f t="shared" si="1239"/>
        <v>0</v>
      </c>
      <c r="AG392" s="2424">
        <f t="shared" si="1239"/>
        <v>0</v>
      </c>
      <c r="AH392" s="2424">
        <f t="shared" si="1239"/>
        <v>0</v>
      </c>
      <c r="AI392" s="3264"/>
      <c r="AJ392" s="3405"/>
      <c r="AL392" s="3406"/>
      <c r="AM392" s="2424">
        <f t="shared" ref="AM392:AP392" si="1240">AM47</f>
        <v>0</v>
      </c>
      <c r="AN392" s="2424">
        <f t="shared" si="1240"/>
        <v>0</v>
      </c>
      <c r="AO392" s="2424">
        <f t="shared" si="1240"/>
        <v>0</v>
      </c>
      <c r="AP392" s="2424">
        <f t="shared" si="1240"/>
        <v>0</v>
      </c>
      <c r="AQ392" s="3264"/>
      <c r="AR392" s="3405"/>
      <c r="AT392" s="3406"/>
      <c r="AU392" s="2424">
        <f t="shared" ref="AU392:AX392" si="1241">AU47</f>
        <v>0</v>
      </c>
      <c r="AV392" s="2424">
        <f t="shared" si="1241"/>
        <v>0</v>
      </c>
      <c r="AW392" s="2424">
        <f t="shared" si="1241"/>
        <v>0</v>
      </c>
      <c r="AX392" s="2424">
        <f t="shared" si="1241"/>
        <v>0</v>
      </c>
      <c r="AY392" s="3264"/>
      <c r="AZ392" s="3405"/>
      <c r="BB392" s="3406"/>
      <c r="BC392" s="2424">
        <f t="shared" ref="BC392:BF392" si="1242">BC47</f>
        <v>0</v>
      </c>
      <c r="BD392" s="2424">
        <f t="shared" si="1242"/>
        <v>0</v>
      </c>
      <c r="BE392" s="2424">
        <f t="shared" si="1242"/>
        <v>0</v>
      </c>
      <c r="BF392" s="2424">
        <f t="shared" si="1242"/>
        <v>0</v>
      </c>
      <c r="BG392" s="3264"/>
      <c r="BH392" s="3405"/>
      <c r="BJ392" s="3406"/>
      <c r="BK392" s="2424">
        <f t="shared" ref="BK392:BN392" si="1243">BK47</f>
        <v>0</v>
      </c>
      <c r="BL392" s="2424">
        <f t="shared" si="1243"/>
        <v>0</v>
      </c>
      <c r="BM392" s="2424">
        <f t="shared" si="1243"/>
        <v>0</v>
      </c>
      <c r="BN392" s="2424">
        <f t="shared" si="1243"/>
        <v>0</v>
      </c>
      <c r="BO392" s="3264"/>
      <c r="BP392" s="3405"/>
      <c r="BR392" s="3406"/>
      <c r="BS392" s="2424">
        <f t="shared" ref="BS392:BV392" si="1244">BS47</f>
        <v>0</v>
      </c>
      <c r="BT392" s="2424">
        <f t="shared" si="1244"/>
        <v>0</v>
      </c>
      <c r="BU392" s="2424">
        <f t="shared" si="1244"/>
        <v>0</v>
      </c>
      <c r="BV392" s="2424">
        <f t="shared" si="1244"/>
        <v>0</v>
      </c>
      <c r="BW392" s="3264"/>
      <c r="BX392" s="3405"/>
      <c r="BZ392" s="3406"/>
      <c r="CA392" s="2424">
        <f t="shared" ref="CA392:CD392" si="1245">CA47</f>
        <v>0</v>
      </c>
      <c r="CB392" s="2424">
        <f t="shared" si="1245"/>
        <v>0</v>
      </c>
      <c r="CC392" s="2424">
        <f t="shared" si="1245"/>
        <v>0</v>
      </c>
      <c r="CD392" s="2424">
        <f t="shared" si="1245"/>
        <v>0</v>
      </c>
      <c r="CE392" s="3264"/>
      <c r="CF392" s="3405"/>
      <c r="CH392" s="3406"/>
      <c r="CI392" s="2424">
        <f t="shared" ref="CI392:CL392" si="1246">CI47</f>
        <v>0</v>
      </c>
      <c r="CJ392" s="2424">
        <f t="shared" si="1246"/>
        <v>0</v>
      </c>
      <c r="CK392" s="2424">
        <f t="shared" si="1246"/>
        <v>0</v>
      </c>
      <c r="CL392" s="2424">
        <f t="shared" si="1246"/>
        <v>0</v>
      </c>
      <c r="CM392" s="3264"/>
      <c r="CN392" s="3405"/>
      <c r="CP392" s="3406"/>
      <c r="CQ392" s="2424">
        <f t="shared" ref="CQ392:CT392" si="1247">CQ47</f>
        <v>0</v>
      </c>
      <c r="CR392" s="2424">
        <f t="shared" si="1247"/>
        <v>0</v>
      </c>
      <c r="CS392" s="2424">
        <f t="shared" si="1247"/>
        <v>0</v>
      </c>
      <c r="CT392" s="2424">
        <f t="shared" si="1247"/>
        <v>0</v>
      </c>
      <c r="CU392" s="3264"/>
      <c r="CV392" s="3405"/>
      <c r="CX392" s="3406"/>
      <c r="CY392" s="2424">
        <f t="shared" ref="CY392:DB392" si="1248">CY47</f>
        <v>0</v>
      </c>
      <c r="CZ392" s="2424">
        <f t="shared" si="1248"/>
        <v>0</v>
      </c>
      <c r="DA392" s="2424">
        <f t="shared" si="1248"/>
        <v>0</v>
      </c>
      <c r="DB392" s="2424">
        <f t="shared" si="1248"/>
        <v>0</v>
      </c>
      <c r="DC392" s="3264"/>
      <c r="DD392" s="3405"/>
      <c r="DF392" s="3406"/>
      <c r="DG392" s="2424">
        <f t="shared" ref="DG392:DJ392" si="1249">DG47</f>
        <v>0</v>
      </c>
      <c r="DH392" s="2424">
        <f t="shared" si="1249"/>
        <v>0</v>
      </c>
      <c r="DI392" s="2424">
        <f t="shared" si="1249"/>
        <v>0</v>
      </c>
      <c r="DJ392" s="2424">
        <f t="shared" si="1249"/>
        <v>0</v>
      </c>
      <c r="DK392" s="3264"/>
      <c r="DL392" s="3405"/>
      <c r="DN392" s="3406"/>
      <c r="DO392" s="2424">
        <f t="shared" ref="DO392:DR392" si="1250">DO47</f>
        <v>0</v>
      </c>
      <c r="DP392" s="2424">
        <f t="shared" si="1250"/>
        <v>0</v>
      </c>
      <c r="DQ392" s="2424">
        <f t="shared" si="1250"/>
        <v>0</v>
      </c>
      <c r="DR392" s="2424">
        <f t="shared" si="1250"/>
        <v>0</v>
      </c>
      <c r="DS392" s="3264"/>
      <c r="DT392" s="3405"/>
      <c r="DV392" s="3406"/>
      <c r="DW392" s="2424">
        <f t="shared" ref="DW392:DZ392" si="1251">DW47</f>
        <v>0</v>
      </c>
      <c r="DX392" s="2424">
        <f t="shared" si="1251"/>
        <v>0</v>
      </c>
      <c r="DY392" s="2424">
        <f t="shared" si="1251"/>
        <v>0</v>
      </c>
      <c r="DZ392" s="2424">
        <f t="shared" si="1251"/>
        <v>0</v>
      </c>
      <c r="EA392" s="3264"/>
      <c r="EB392" s="3405"/>
      <c r="ED392" s="3406"/>
      <c r="EE392" s="2424">
        <f t="shared" ref="EE392:EH392" si="1252">EE47</f>
        <v>0</v>
      </c>
      <c r="EF392" s="2424">
        <f t="shared" si="1252"/>
        <v>0</v>
      </c>
      <c r="EG392" s="2424">
        <f t="shared" si="1252"/>
        <v>0</v>
      </c>
      <c r="EH392" s="2424">
        <f t="shared" si="1252"/>
        <v>0</v>
      </c>
      <c r="EI392" s="3264"/>
      <c r="EJ392" s="3405"/>
      <c r="EL392" s="3406"/>
      <c r="EM392" s="2424">
        <f t="shared" ref="EM392:EP392" si="1253">EM47</f>
        <v>0</v>
      </c>
      <c r="EN392" s="2424">
        <f t="shared" si="1253"/>
        <v>0</v>
      </c>
      <c r="EO392" s="2424">
        <f t="shared" si="1253"/>
        <v>0</v>
      </c>
      <c r="EP392" s="2424">
        <f t="shared" si="1253"/>
        <v>0</v>
      </c>
      <c r="EQ392" s="3264"/>
      <c r="ER392" s="3405"/>
      <c r="ET392" s="3406"/>
      <c r="EU392" s="2424">
        <f t="shared" ref="EU392:EX392" si="1254">EU47</f>
        <v>0</v>
      </c>
      <c r="EV392" s="2424">
        <f t="shared" si="1254"/>
        <v>0</v>
      </c>
      <c r="EW392" s="2424">
        <f t="shared" si="1254"/>
        <v>0</v>
      </c>
      <c r="EX392" s="2424">
        <f t="shared" si="1254"/>
        <v>0</v>
      </c>
      <c r="EY392" s="3264"/>
      <c r="EZ392" s="3405"/>
      <c r="FB392" s="3406"/>
      <c r="FC392" s="2424">
        <f t="shared" ref="FC392:FF392" si="1255">FC47</f>
        <v>0</v>
      </c>
      <c r="FD392" s="2424">
        <f t="shared" si="1255"/>
        <v>0</v>
      </c>
      <c r="FE392" s="2424">
        <f t="shared" si="1255"/>
        <v>0</v>
      </c>
      <c r="FF392" s="2424">
        <f t="shared" si="1255"/>
        <v>0</v>
      </c>
      <c r="FG392" s="3264"/>
      <c r="FH392" s="3405"/>
      <c r="FJ392" s="3406"/>
      <c r="FK392" s="2424">
        <f t="shared" ref="FK392:FN392" si="1256">FK47</f>
        <v>0</v>
      </c>
      <c r="FL392" s="2424">
        <f t="shared" si="1256"/>
        <v>0</v>
      </c>
      <c r="FM392" s="2424">
        <f t="shared" si="1256"/>
        <v>0</v>
      </c>
      <c r="FN392" s="2424">
        <f t="shared" si="1256"/>
        <v>0</v>
      </c>
      <c r="FO392" s="3264"/>
    </row>
    <row r="393" spans="2:171">
      <c r="B393" s="3086"/>
      <c r="C393" s="3086" t="s">
        <v>441</v>
      </c>
      <c r="D393" s="3405"/>
      <c r="E393" s="3234" t="str">
        <f t="shared" si="1034"/>
        <v>PTD</v>
      </c>
      <c r="G393" s="2424">
        <f t="shared" si="1035"/>
        <v>0</v>
      </c>
      <c r="H393" s="2424">
        <f t="shared" si="1035"/>
        <v>0</v>
      </c>
      <c r="I393" s="2424">
        <f t="shared" si="1035"/>
        <v>0</v>
      </c>
      <c r="J393" s="2424">
        <f t="shared" si="1035"/>
        <v>0</v>
      </c>
      <c r="K393" s="3264">
        <f t="shared" si="1036"/>
        <v>1</v>
      </c>
      <c r="L393" s="3405"/>
      <c r="N393" s="3406"/>
      <c r="O393" s="2424">
        <f t="shared" ref="O393:R393" si="1257">O48</f>
        <v>0</v>
      </c>
      <c r="P393" s="2424">
        <f t="shared" si="1257"/>
        <v>0</v>
      </c>
      <c r="Q393" s="2424">
        <f t="shared" si="1257"/>
        <v>0</v>
      </c>
      <c r="R393" s="2424">
        <f t="shared" si="1257"/>
        <v>0</v>
      </c>
      <c r="S393" s="3264"/>
      <c r="T393" s="3405"/>
      <c r="V393" s="3406"/>
      <c r="W393" s="2424">
        <f t="shared" ref="W393:Z393" si="1258">W48</f>
        <v>0</v>
      </c>
      <c r="X393" s="2424">
        <f t="shared" si="1258"/>
        <v>0</v>
      </c>
      <c r="Y393" s="2424">
        <f t="shared" si="1258"/>
        <v>0</v>
      </c>
      <c r="Z393" s="2424">
        <f t="shared" si="1258"/>
        <v>0</v>
      </c>
      <c r="AA393" s="3264"/>
      <c r="AB393" s="3405"/>
      <c r="AD393" s="3406"/>
      <c r="AE393" s="2424">
        <f t="shared" ref="AE393:AH393" si="1259">AE48</f>
        <v>0</v>
      </c>
      <c r="AF393" s="2424">
        <f t="shared" si="1259"/>
        <v>0</v>
      </c>
      <c r="AG393" s="2424">
        <f t="shared" si="1259"/>
        <v>0</v>
      </c>
      <c r="AH393" s="2424">
        <f t="shared" si="1259"/>
        <v>0</v>
      </c>
      <c r="AI393" s="3264"/>
      <c r="AJ393" s="3405"/>
      <c r="AL393" s="3406"/>
      <c r="AM393" s="2424">
        <f t="shared" ref="AM393:AP393" si="1260">AM48</f>
        <v>0</v>
      </c>
      <c r="AN393" s="2424">
        <f t="shared" si="1260"/>
        <v>0</v>
      </c>
      <c r="AO393" s="2424">
        <f t="shared" si="1260"/>
        <v>0</v>
      </c>
      <c r="AP393" s="2424">
        <f t="shared" si="1260"/>
        <v>0</v>
      </c>
      <c r="AQ393" s="3264"/>
      <c r="AR393" s="3405"/>
      <c r="AT393" s="3406"/>
      <c r="AU393" s="2424">
        <f t="shared" ref="AU393:AX393" si="1261">AU48</f>
        <v>0</v>
      </c>
      <c r="AV393" s="2424">
        <f t="shared" si="1261"/>
        <v>0</v>
      </c>
      <c r="AW393" s="2424">
        <f t="shared" si="1261"/>
        <v>0</v>
      </c>
      <c r="AX393" s="2424">
        <f t="shared" si="1261"/>
        <v>0</v>
      </c>
      <c r="AY393" s="3264"/>
      <c r="AZ393" s="3405"/>
      <c r="BB393" s="3406"/>
      <c r="BC393" s="2424">
        <f t="shared" ref="BC393:BF393" si="1262">BC48</f>
        <v>0</v>
      </c>
      <c r="BD393" s="2424">
        <f t="shared" si="1262"/>
        <v>0</v>
      </c>
      <c r="BE393" s="2424">
        <f t="shared" si="1262"/>
        <v>0</v>
      </c>
      <c r="BF393" s="2424">
        <f t="shared" si="1262"/>
        <v>0</v>
      </c>
      <c r="BG393" s="3264"/>
      <c r="BH393" s="3405"/>
      <c r="BJ393" s="3406"/>
      <c r="BK393" s="2424">
        <f t="shared" ref="BK393:BN393" si="1263">BK48</f>
        <v>0</v>
      </c>
      <c r="BL393" s="2424">
        <f t="shared" si="1263"/>
        <v>0</v>
      </c>
      <c r="BM393" s="2424">
        <f t="shared" si="1263"/>
        <v>0</v>
      </c>
      <c r="BN393" s="2424">
        <f t="shared" si="1263"/>
        <v>0</v>
      </c>
      <c r="BO393" s="3264"/>
      <c r="BP393" s="3405"/>
      <c r="BR393" s="3406"/>
      <c r="BS393" s="2424">
        <f t="shared" ref="BS393:BV393" si="1264">BS48</f>
        <v>0</v>
      </c>
      <c r="BT393" s="2424">
        <f t="shared" si="1264"/>
        <v>0</v>
      </c>
      <c r="BU393" s="2424">
        <f t="shared" si="1264"/>
        <v>0</v>
      </c>
      <c r="BV393" s="2424">
        <f t="shared" si="1264"/>
        <v>0</v>
      </c>
      <c r="BW393" s="3264"/>
      <c r="BX393" s="3405"/>
      <c r="BZ393" s="3406"/>
      <c r="CA393" s="2424">
        <f t="shared" ref="CA393:CD393" si="1265">CA48</f>
        <v>0</v>
      </c>
      <c r="CB393" s="2424">
        <f t="shared" si="1265"/>
        <v>0</v>
      </c>
      <c r="CC393" s="2424">
        <f t="shared" si="1265"/>
        <v>0</v>
      </c>
      <c r="CD393" s="2424">
        <f t="shared" si="1265"/>
        <v>0</v>
      </c>
      <c r="CE393" s="3264"/>
      <c r="CF393" s="3405"/>
      <c r="CH393" s="3406"/>
      <c r="CI393" s="2424">
        <f t="shared" ref="CI393:CL393" si="1266">CI48</f>
        <v>0</v>
      </c>
      <c r="CJ393" s="2424">
        <f t="shared" si="1266"/>
        <v>0</v>
      </c>
      <c r="CK393" s="2424">
        <f t="shared" si="1266"/>
        <v>0</v>
      </c>
      <c r="CL393" s="2424">
        <f t="shared" si="1266"/>
        <v>0</v>
      </c>
      <c r="CM393" s="3264"/>
      <c r="CN393" s="3405"/>
      <c r="CP393" s="3406"/>
      <c r="CQ393" s="2424">
        <f t="shared" ref="CQ393:CT393" si="1267">CQ48</f>
        <v>0</v>
      </c>
      <c r="CR393" s="2424">
        <f t="shared" si="1267"/>
        <v>0</v>
      </c>
      <c r="CS393" s="2424">
        <f t="shared" si="1267"/>
        <v>0</v>
      </c>
      <c r="CT393" s="2424">
        <f t="shared" si="1267"/>
        <v>0</v>
      </c>
      <c r="CU393" s="3264"/>
      <c r="CV393" s="3405"/>
      <c r="CX393" s="3406"/>
      <c r="CY393" s="2424">
        <f t="shared" ref="CY393:DB393" si="1268">CY48</f>
        <v>0</v>
      </c>
      <c r="CZ393" s="2424">
        <f t="shared" si="1268"/>
        <v>0</v>
      </c>
      <c r="DA393" s="2424">
        <f t="shared" si="1268"/>
        <v>0</v>
      </c>
      <c r="DB393" s="2424">
        <f t="shared" si="1268"/>
        <v>0</v>
      </c>
      <c r="DC393" s="3264"/>
      <c r="DD393" s="3405"/>
      <c r="DF393" s="3406"/>
      <c r="DG393" s="2424">
        <f t="shared" ref="DG393:DJ393" si="1269">DG48</f>
        <v>0</v>
      </c>
      <c r="DH393" s="2424">
        <f t="shared" si="1269"/>
        <v>0</v>
      </c>
      <c r="DI393" s="2424">
        <f t="shared" si="1269"/>
        <v>0</v>
      </c>
      <c r="DJ393" s="2424">
        <f t="shared" si="1269"/>
        <v>0</v>
      </c>
      <c r="DK393" s="3264"/>
      <c r="DL393" s="3405"/>
      <c r="DN393" s="3406"/>
      <c r="DO393" s="2424">
        <f t="shared" ref="DO393:DR393" si="1270">DO48</f>
        <v>0</v>
      </c>
      <c r="DP393" s="2424">
        <f t="shared" si="1270"/>
        <v>0</v>
      </c>
      <c r="DQ393" s="2424">
        <f t="shared" si="1270"/>
        <v>0</v>
      </c>
      <c r="DR393" s="2424">
        <f t="shared" si="1270"/>
        <v>0</v>
      </c>
      <c r="DS393" s="3264"/>
      <c r="DT393" s="3405"/>
      <c r="DV393" s="3406"/>
      <c r="DW393" s="2424">
        <f t="shared" ref="DW393:DZ393" si="1271">DW48</f>
        <v>0</v>
      </c>
      <c r="DX393" s="2424">
        <f t="shared" si="1271"/>
        <v>0</v>
      </c>
      <c r="DY393" s="2424">
        <f t="shared" si="1271"/>
        <v>0</v>
      </c>
      <c r="DZ393" s="2424">
        <f t="shared" si="1271"/>
        <v>0</v>
      </c>
      <c r="EA393" s="3264"/>
      <c r="EB393" s="3405"/>
      <c r="ED393" s="3406"/>
      <c r="EE393" s="2424">
        <f t="shared" ref="EE393:EH393" si="1272">EE48</f>
        <v>0</v>
      </c>
      <c r="EF393" s="2424">
        <f t="shared" si="1272"/>
        <v>0</v>
      </c>
      <c r="EG393" s="2424">
        <f t="shared" si="1272"/>
        <v>0</v>
      </c>
      <c r="EH393" s="2424">
        <f t="shared" si="1272"/>
        <v>0</v>
      </c>
      <c r="EI393" s="3264"/>
      <c r="EJ393" s="3405"/>
      <c r="EL393" s="3406"/>
      <c r="EM393" s="2424">
        <f t="shared" ref="EM393:EP393" si="1273">EM48</f>
        <v>0</v>
      </c>
      <c r="EN393" s="2424">
        <f t="shared" si="1273"/>
        <v>0</v>
      </c>
      <c r="EO393" s="2424">
        <f t="shared" si="1273"/>
        <v>0</v>
      </c>
      <c r="EP393" s="2424">
        <f t="shared" si="1273"/>
        <v>0</v>
      </c>
      <c r="EQ393" s="3264"/>
      <c r="ER393" s="3405"/>
      <c r="ET393" s="3406"/>
      <c r="EU393" s="2424">
        <f t="shared" ref="EU393:EX393" si="1274">EU48</f>
        <v>0</v>
      </c>
      <c r="EV393" s="2424">
        <f t="shared" si="1274"/>
        <v>0</v>
      </c>
      <c r="EW393" s="2424">
        <f t="shared" si="1274"/>
        <v>0</v>
      </c>
      <c r="EX393" s="2424">
        <f t="shared" si="1274"/>
        <v>0</v>
      </c>
      <c r="EY393" s="3264"/>
      <c r="EZ393" s="3405"/>
      <c r="FB393" s="3406"/>
      <c r="FC393" s="2424">
        <f t="shared" ref="FC393:FF393" si="1275">FC48</f>
        <v>0</v>
      </c>
      <c r="FD393" s="2424">
        <f t="shared" si="1275"/>
        <v>0</v>
      </c>
      <c r="FE393" s="2424">
        <f t="shared" si="1275"/>
        <v>0</v>
      </c>
      <c r="FF393" s="2424">
        <f t="shared" si="1275"/>
        <v>0</v>
      </c>
      <c r="FG393" s="3264"/>
      <c r="FH393" s="3405"/>
      <c r="FJ393" s="3406"/>
      <c r="FK393" s="2424">
        <f t="shared" ref="FK393:FN393" si="1276">FK48</f>
        <v>0</v>
      </c>
      <c r="FL393" s="2424">
        <f t="shared" si="1276"/>
        <v>0</v>
      </c>
      <c r="FM393" s="2424">
        <f t="shared" si="1276"/>
        <v>0</v>
      </c>
      <c r="FN393" s="2424">
        <f t="shared" si="1276"/>
        <v>0</v>
      </c>
      <c r="FO393" s="3264"/>
    </row>
    <row r="394" spans="2:171">
      <c r="B394" s="3086"/>
      <c r="C394" s="3086" t="s">
        <v>522</v>
      </c>
      <c r="D394" s="3405"/>
      <c r="E394" s="3406"/>
      <c r="F394" s="3406"/>
      <c r="G394" s="3244">
        <f>SUM(G382:G393)</f>
        <v>316657583</v>
      </c>
      <c r="H394" s="3244">
        <f>SUM(H382:H393)</f>
        <v>107907565.79361701</v>
      </c>
      <c r="I394" s="3244">
        <f>SUM(I382:I393)</f>
        <v>0</v>
      </c>
      <c r="J394" s="3244">
        <f>SUM(J382:J393)</f>
        <v>208750017.20638302</v>
      </c>
      <c r="K394" s="3264"/>
      <c r="L394" s="3405"/>
      <c r="M394" s="3406"/>
      <c r="N394" s="3406"/>
      <c r="O394" s="3244">
        <f>SUM(O382:O393)</f>
        <v>316657583</v>
      </c>
      <c r="P394" s="3244">
        <f>SUM(P382:P393)</f>
        <v>107907565.79361701</v>
      </c>
      <c r="Q394" s="3244">
        <f>SUM(Q382:Q393)</f>
        <v>53162346.200694084</v>
      </c>
      <c r="R394" s="3244">
        <f>SUM(R382:R393)</f>
        <v>155587671.00568891</v>
      </c>
      <c r="S394" s="3264"/>
      <c r="T394" s="3405"/>
      <c r="U394" s="3406"/>
      <c r="V394" s="3406"/>
      <c r="W394" s="3244">
        <f>SUM(W382:W393)</f>
        <v>316657583</v>
      </c>
      <c r="X394" s="3244">
        <f>SUM(X382:X393)</f>
        <v>107907565.79361701</v>
      </c>
      <c r="Y394" s="3244">
        <f>SUM(Y382:Y393)</f>
        <v>53162346.200694084</v>
      </c>
      <c r="Z394" s="3244">
        <f>SUM(Z382:Z393)</f>
        <v>155587671.00568891</v>
      </c>
      <c r="AA394" s="3264"/>
      <c r="AB394" s="3405"/>
      <c r="AC394" s="3406"/>
      <c r="AD394" s="3406"/>
      <c r="AE394" s="3244">
        <f>SUM(AE382:AE393)</f>
        <v>316657583</v>
      </c>
      <c r="AF394" s="3244">
        <f>SUM(AF382:AF393)</f>
        <v>107907565.79361701</v>
      </c>
      <c r="AG394" s="3244">
        <f>SUM(AG382:AG393)</f>
        <v>53162346.200694084</v>
      </c>
      <c r="AH394" s="3244">
        <f>SUM(AH382:AH393)</f>
        <v>155587671.00568891</v>
      </c>
      <c r="AI394" s="3264"/>
      <c r="AJ394" s="3405"/>
      <c r="AK394" s="3406"/>
      <c r="AL394" s="3406"/>
      <c r="AM394" s="3244">
        <f>SUM(AM382:AM393)</f>
        <v>316657583</v>
      </c>
      <c r="AN394" s="3244">
        <f>SUM(AN382:AN393)</f>
        <v>107907565.79361701</v>
      </c>
      <c r="AO394" s="3244">
        <f>SUM(AO382:AO393)</f>
        <v>53162346.200694084</v>
      </c>
      <c r="AP394" s="3244">
        <f>SUM(AP382:AP393)</f>
        <v>155587671.00568891</v>
      </c>
      <c r="AQ394" s="3264"/>
      <c r="AR394" s="3405"/>
      <c r="AS394" s="3406"/>
      <c r="AT394" s="3406"/>
      <c r="AU394" s="3244">
        <f>SUM(AU382:AU393)</f>
        <v>316657583</v>
      </c>
      <c r="AV394" s="3244">
        <f>SUM(AV382:AV393)</f>
        <v>107907565.79361701</v>
      </c>
      <c r="AW394" s="3244">
        <f>SUM(AW382:AW393)</f>
        <v>53162346.200694084</v>
      </c>
      <c r="AX394" s="3244">
        <f>SUM(AX382:AX393)</f>
        <v>155587671.00568891</v>
      </c>
      <c r="AY394" s="3264"/>
      <c r="AZ394" s="3405"/>
      <c r="BA394" s="3406"/>
      <c r="BB394" s="3406"/>
      <c r="BC394" s="3244">
        <f>SUM(BC382:BC393)</f>
        <v>316657583</v>
      </c>
      <c r="BD394" s="3244">
        <f>SUM(BD382:BD393)</f>
        <v>107907565.79361701</v>
      </c>
      <c r="BE394" s="3244">
        <f>SUM(BE382:BE393)</f>
        <v>53162346.200694084</v>
      </c>
      <c r="BF394" s="3244">
        <f>SUM(BF382:BF393)</f>
        <v>155587671.00568891</v>
      </c>
      <c r="BG394" s="3264"/>
      <c r="BH394" s="3405"/>
      <c r="BI394" s="3406"/>
      <c r="BJ394" s="3406"/>
      <c r="BK394" s="3244">
        <f>SUM(BK382:BK393)</f>
        <v>316657583</v>
      </c>
      <c r="BL394" s="3244">
        <f>SUM(BL382:BL393)</f>
        <v>107907565.79361701</v>
      </c>
      <c r="BM394" s="3244">
        <f>SUM(BM382:BM393)</f>
        <v>53162346.200694084</v>
      </c>
      <c r="BN394" s="3244">
        <f>SUM(BN382:BN393)</f>
        <v>155587671.00568891</v>
      </c>
      <c r="BO394" s="3264"/>
      <c r="BP394" s="3405"/>
      <c r="BQ394" s="3406"/>
      <c r="BR394" s="3406"/>
      <c r="BS394" s="3244">
        <f>SUM(BS382:BS393)</f>
        <v>316657583</v>
      </c>
      <c r="BT394" s="3244">
        <f>SUM(BT382:BT393)</f>
        <v>107907565.79361701</v>
      </c>
      <c r="BU394" s="3244">
        <f>SUM(BU382:BU393)</f>
        <v>53162346.200694084</v>
      </c>
      <c r="BV394" s="3244">
        <f>SUM(BV382:BV393)</f>
        <v>155587671.00568891</v>
      </c>
      <c r="BW394" s="3264"/>
      <c r="BX394" s="3405"/>
      <c r="BY394" s="3406"/>
      <c r="BZ394" s="3406"/>
      <c r="CA394" s="3244">
        <f>SUM(CA382:CA393)</f>
        <v>316657583</v>
      </c>
      <c r="CB394" s="3244">
        <f>SUM(CB382:CB393)</f>
        <v>107907565.79361701</v>
      </c>
      <c r="CC394" s="3244">
        <f>SUM(CC382:CC393)</f>
        <v>53162346.200694084</v>
      </c>
      <c r="CD394" s="3244">
        <f>SUM(CD382:CD393)</f>
        <v>155587671.00568891</v>
      </c>
      <c r="CE394" s="3264"/>
      <c r="CF394" s="3405"/>
      <c r="CG394" s="3406"/>
      <c r="CH394" s="3406"/>
      <c r="CI394" s="3244">
        <f>SUM(CI382:CI393)</f>
        <v>316657583</v>
      </c>
      <c r="CJ394" s="3244">
        <f>SUM(CJ382:CJ393)</f>
        <v>107907565.79361701</v>
      </c>
      <c r="CK394" s="3244">
        <f>SUM(CK382:CK393)</f>
        <v>53162346.200694084</v>
      </c>
      <c r="CL394" s="3244">
        <f>SUM(CL382:CL393)</f>
        <v>155587671.00568891</v>
      </c>
      <c r="CM394" s="3264"/>
      <c r="CN394" s="3405"/>
      <c r="CO394" s="3406"/>
      <c r="CP394" s="3406"/>
      <c r="CQ394" s="3244">
        <f>SUM(CQ382:CQ393)</f>
        <v>316657583</v>
      </c>
      <c r="CR394" s="3244">
        <f>SUM(CR382:CR393)</f>
        <v>107907565.79361701</v>
      </c>
      <c r="CS394" s="3244">
        <f>SUM(CS382:CS393)</f>
        <v>53162346.200694084</v>
      </c>
      <c r="CT394" s="3244">
        <f>SUM(CT382:CT393)</f>
        <v>155587671.00568891</v>
      </c>
      <c r="CU394" s="3264"/>
      <c r="CV394" s="3405"/>
      <c r="CW394" s="3406"/>
      <c r="CX394" s="3406"/>
      <c r="CY394" s="3244">
        <f>SUM(CY382:CY393)</f>
        <v>316657583</v>
      </c>
      <c r="CZ394" s="3244">
        <f>SUM(CZ382:CZ393)</f>
        <v>107907565.79361701</v>
      </c>
      <c r="DA394" s="3244">
        <f>SUM(DA382:DA393)</f>
        <v>53162346.200694084</v>
      </c>
      <c r="DB394" s="3244">
        <f>SUM(DB382:DB393)</f>
        <v>155587671.00568891</v>
      </c>
      <c r="DC394" s="3264"/>
      <c r="DD394" s="3405"/>
      <c r="DE394" s="3406"/>
      <c r="DF394" s="3406"/>
      <c r="DG394" s="3244">
        <f>SUM(DG382:DG393)</f>
        <v>316657583</v>
      </c>
      <c r="DH394" s="3244">
        <f>SUM(DH382:DH393)</f>
        <v>107907565.79361701</v>
      </c>
      <c r="DI394" s="3244">
        <f>SUM(DI382:DI393)</f>
        <v>53162346.200694084</v>
      </c>
      <c r="DJ394" s="3244">
        <f>SUM(DJ382:DJ393)</f>
        <v>155587671.00568891</v>
      </c>
      <c r="DK394" s="3264"/>
      <c r="DL394" s="3405"/>
      <c r="DM394" s="3406"/>
      <c r="DN394" s="3406"/>
      <c r="DO394" s="3244">
        <f>SUM(DO382:DO393)</f>
        <v>316657583</v>
      </c>
      <c r="DP394" s="3244">
        <f>SUM(DP382:DP393)</f>
        <v>107907565.79361701</v>
      </c>
      <c r="DQ394" s="3244">
        <f>SUM(DQ382:DQ393)</f>
        <v>53162346.200694084</v>
      </c>
      <c r="DR394" s="3244">
        <f>SUM(DR382:DR393)</f>
        <v>155587671.00568891</v>
      </c>
      <c r="DS394" s="3264"/>
      <c r="DT394" s="3405"/>
      <c r="DU394" s="3406"/>
      <c r="DV394" s="3406"/>
      <c r="DW394" s="3244">
        <f>SUM(DW382:DW393)</f>
        <v>316657583</v>
      </c>
      <c r="DX394" s="3244">
        <f>SUM(DX382:DX393)</f>
        <v>107907565.79361701</v>
      </c>
      <c r="DY394" s="3244">
        <f>SUM(DY382:DY393)</f>
        <v>53162346.200694084</v>
      </c>
      <c r="DZ394" s="3244">
        <f>SUM(DZ382:DZ393)</f>
        <v>155587671.00568891</v>
      </c>
      <c r="EA394" s="3264"/>
      <c r="EB394" s="3405"/>
      <c r="EC394" s="3406"/>
      <c r="ED394" s="3406"/>
      <c r="EE394" s="3244">
        <f>SUM(EE382:EE393)</f>
        <v>316657583</v>
      </c>
      <c r="EF394" s="3244">
        <f>SUM(EF382:EF393)</f>
        <v>107907565.79361701</v>
      </c>
      <c r="EG394" s="3244">
        <f>SUM(EG382:EG393)</f>
        <v>53162346.200694084</v>
      </c>
      <c r="EH394" s="3244">
        <f>SUM(EH382:EH393)</f>
        <v>155587671.00568891</v>
      </c>
      <c r="EI394" s="3264"/>
      <c r="EJ394" s="3405"/>
      <c r="EK394" s="3406"/>
      <c r="EL394" s="3406"/>
      <c r="EM394" s="3244">
        <f>SUM(EM382:EM393)</f>
        <v>316657583</v>
      </c>
      <c r="EN394" s="3244">
        <f>SUM(EN382:EN393)</f>
        <v>107907565.79361701</v>
      </c>
      <c r="EO394" s="3244">
        <f>SUM(EO382:EO393)</f>
        <v>53162346.200694084</v>
      </c>
      <c r="EP394" s="3244">
        <f>SUM(EP382:EP393)</f>
        <v>155587671.00568891</v>
      </c>
      <c r="EQ394" s="3264"/>
      <c r="ER394" s="3405"/>
      <c r="ES394" s="3406"/>
      <c r="ET394" s="3406"/>
      <c r="EU394" s="3244">
        <f>SUM(EU382:EU393)</f>
        <v>316657583</v>
      </c>
      <c r="EV394" s="3244">
        <f>SUM(EV382:EV393)</f>
        <v>107907565.79361701</v>
      </c>
      <c r="EW394" s="3244">
        <f>SUM(EW382:EW393)</f>
        <v>53162346.200694084</v>
      </c>
      <c r="EX394" s="3244">
        <f>SUM(EX382:EX393)</f>
        <v>155587671.00568891</v>
      </c>
      <c r="EY394" s="3264"/>
      <c r="EZ394" s="3405"/>
      <c r="FA394" s="3406"/>
      <c r="FB394" s="3406"/>
      <c r="FC394" s="3244">
        <f>SUM(FC382:FC393)</f>
        <v>316657583</v>
      </c>
      <c r="FD394" s="3244">
        <f>SUM(FD382:FD393)</f>
        <v>107907565.79361701</v>
      </c>
      <c r="FE394" s="3244">
        <f>SUM(FE382:FE393)</f>
        <v>53162346.200694084</v>
      </c>
      <c r="FF394" s="3244">
        <f>SUM(FF382:FF393)</f>
        <v>155587671.00568891</v>
      </c>
      <c r="FG394" s="3264"/>
      <c r="FH394" s="3405"/>
      <c r="FI394" s="3406"/>
      <c r="FJ394" s="3406"/>
      <c r="FK394" s="3244">
        <f>SUM(FK382:FK393)</f>
        <v>316657583</v>
      </c>
      <c r="FL394" s="3244">
        <f>SUM(FL382:FL393)</f>
        <v>107907565.79361701</v>
      </c>
      <c r="FM394" s="3244">
        <f>SUM(FM382:FM393)</f>
        <v>53162346.200694084</v>
      </c>
      <c r="FN394" s="3244">
        <f>SUM(FN382:FN393)</f>
        <v>155587671.00568891</v>
      </c>
      <c r="FO394" s="3264"/>
    </row>
    <row r="395" spans="2:171">
      <c r="B395" s="3114"/>
      <c r="C395" s="3114" t="s">
        <v>523</v>
      </c>
      <c r="D395" s="3407" t="s">
        <v>630</v>
      </c>
      <c r="E395" s="3408"/>
      <c r="F395" s="3408"/>
      <c r="G395" s="3402">
        <f>H395+I395+J395</f>
        <v>1</v>
      </c>
      <c r="H395" s="3402">
        <f>H394/G394</f>
        <v>0.34077050917683854</v>
      </c>
      <c r="I395" s="3402">
        <f>I394/G394</f>
        <v>0</v>
      </c>
      <c r="J395" s="3402">
        <f>J394/G394</f>
        <v>0.65922949082316151</v>
      </c>
      <c r="K395" s="3409"/>
      <c r="L395" s="3403" t="s">
        <v>630</v>
      </c>
      <c r="M395" s="3408"/>
      <c r="N395" s="3408"/>
      <c r="O395" s="3402">
        <f>P395+Q395+R395</f>
        <v>1</v>
      </c>
      <c r="P395" s="3402">
        <f>P394/O394</f>
        <v>0.34077050917683854</v>
      </c>
      <c r="Q395" s="3402">
        <f>Q394/O394</f>
        <v>0.16788590911683327</v>
      </c>
      <c r="R395" s="3402">
        <f>R394/O394</f>
        <v>0.49134358170632819</v>
      </c>
      <c r="S395" s="3409"/>
      <c r="T395" s="3403" t="s">
        <v>630</v>
      </c>
      <c r="U395" s="3408"/>
      <c r="V395" s="3408"/>
      <c r="W395" s="3402">
        <f>X395+Y395+Z395</f>
        <v>1</v>
      </c>
      <c r="X395" s="3402">
        <f>X394/W394</f>
        <v>0.34077050917683854</v>
      </c>
      <c r="Y395" s="3402">
        <f>Y394/W394</f>
        <v>0.16788590911683327</v>
      </c>
      <c r="Z395" s="3402">
        <f>Z394/W394</f>
        <v>0.49134358170632819</v>
      </c>
      <c r="AA395" s="3409"/>
      <c r="AB395" s="3403" t="s">
        <v>630</v>
      </c>
      <c r="AC395" s="3408"/>
      <c r="AD395" s="3408"/>
      <c r="AE395" s="3402">
        <f>AF395+AG395+AH395</f>
        <v>1</v>
      </c>
      <c r="AF395" s="3402">
        <f>AF394/AE394</f>
        <v>0.34077050917683854</v>
      </c>
      <c r="AG395" s="3402">
        <f>AG394/AE394</f>
        <v>0.16788590911683327</v>
      </c>
      <c r="AH395" s="3402">
        <f>AH394/AE394</f>
        <v>0.49134358170632819</v>
      </c>
      <c r="AI395" s="3409"/>
      <c r="AJ395" s="3403" t="s">
        <v>630</v>
      </c>
      <c r="AK395" s="3408"/>
      <c r="AL395" s="3408"/>
      <c r="AM395" s="3402">
        <f>AN395+AO395+AP395</f>
        <v>1</v>
      </c>
      <c r="AN395" s="3402">
        <f>AN394/AM394</f>
        <v>0.34077050917683854</v>
      </c>
      <c r="AO395" s="3402">
        <f>AO394/AM394</f>
        <v>0.16788590911683327</v>
      </c>
      <c r="AP395" s="3402">
        <f>AP394/AM394</f>
        <v>0.49134358170632819</v>
      </c>
      <c r="AQ395" s="3409"/>
      <c r="AR395" s="3403" t="s">
        <v>630</v>
      </c>
      <c r="AS395" s="3408"/>
      <c r="AT395" s="3408"/>
      <c r="AU395" s="3402">
        <f>AV395+AW395+AX395</f>
        <v>1</v>
      </c>
      <c r="AV395" s="3402">
        <f>AV394/AU394</f>
        <v>0.34077050917683854</v>
      </c>
      <c r="AW395" s="3402">
        <f>AW394/AU394</f>
        <v>0.16788590911683327</v>
      </c>
      <c r="AX395" s="3402">
        <f>AX394/AU394</f>
        <v>0.49134358170632819</v>
      </c>
      <c r="AY395" s="3409"/>
      <c r="AZ395" s="3403" t="s">
        <v>630</v>
      </c>
      <c r="BA395" s="3408"/>
      <c r="BB395" s="3408"/>
      <c r="BC395" s="3402">
        <f>BD395+BE395+BF395</f>
        <v>1</v>
      </c>
      <c r="BD395" s="3402">
        <f>BD394/BC394</f>
        <v>0.34077050917683854</v>
      </c>
      <c r="BE395" s="3402">
        <f>BE394/BC394</f>
        <v>0.16788590911683327</v>
      </c>
      <c r="BF395" s="3402">
        <f>BF394/BC394</f>
        <v>0.49134358170632819</v>
      </c>
      <c r="BG395" s="3409"/>
      <c r="BH395" s="3403" t="s">
        <v>630</v>
      </c>
      <c r="BI395" s="3408"/>
      <c r="BJ395" s="3408"/>
      <c r="BK395" s="3402">
        <f>BL395+BM395+BN395</f>
        <v>1</v>
      </c>
      <c r="BL395" s="3402">
        <f>BL394/BK394</f>
        <v>0.34077050917683854</v>
      </c>
      <c r="BM395" s="3402">
        <f>BM394/BK394</f>
        <v>0.16788590911683327</v>
      </c>
      <c r="BN395" s="3402">
        <f>BN394/BK394</f>
        <v>0.49134358170632819</v>
      </c>
      <c r="BO395" s="3409"/>
      <c r="BP395" s="3403" t="s">
        <v>630</v>
      </c>
      <c r="BQ395" s="3408"/>
      <c r="BR395" s="3408"/>
      <c r="BS395" s="3402">
        <f>BT395+BU395+BV395</f>
        <v>1</v>
      </c>
      <c r="BT395" s="3402">
        <f>BT394/BS394</f>
        <v>0.34077050917683854</v>
      </c>
      <c r="BU395" s="3402">
        <f>BU394/BS394</f>
        <v>0.16788590911683327</v>
      </c>
      <c r="BV395" s="3402">
        <f>BV394/BS394</f>
        <v>0.49134358170632819</v>
      </c>
      <c r="BW395" s="3409"/>
      <c r="BX395" s="3403" t="s">
        <v>630</v>
      </c>
      <c r="BY395" s="3408"/>
      <c r="BZ395" s="3408"/>
      <c r="CA395" s="3402">
        <f>CB395+CC395+CD395</f>
        <v>1</v>
      </c>
      <c r="CB395" s="3402">
        <f>CB394/CA394</f>
        <v>0.34077050917683854</v>
      </c>
      <c r="CC395" s="3402">
        <f>CC394/CA394</f>
        <v>0.16788590911683327</v>
      </c>
      <c r="CD395" s="3402">
        <f>CD394/CA394</f>
        <v>0.49134358170632819</v>
      </c>
      <c r="CE395" s="3409"/>
      <c r="CF395" s="3403" t="s">
        <v>630</v>
      </c>
      <c r="CG395" s="3408"/>
      <c r="CH395" s="3408"/>
      <c r="CI395" s="3402">
        <f>CJ395+CK395+CL395</f>
        <v>1</v>
      </c>
      <c r="CJ395" s="3402">
        <f>CJ394/CI394</f>
        <v>0.34077050917683854</v>
      </c>
      <c r="CK395" s="3402">
        <f>CK394/CI394</f>
        <v>0.16788590911683327</v>
      </c>
      <c r="CL395" s="3402">
        <f>CL394/CI394</f>
        <v>0.49134358170632819</v>
      </c>
      <c r="CM395" s="3409"/>
      <c r="CN395" s="3403" t="s">
        <v>630</v>
      </c>
      <c r="CO395" s="3408"/>
      <c r="CP395" s="3408"/>
      <c r="CQ395" s="3402">
        <f>CR395+CS395+CT395</f>
        <v>1</v>
      </c>
      <c r="CR395" s="3402">
        <f>CR394/CQ394</f>
        <v>0.34077050917683854</v>
      </c>
      <c r="CS395" s="3402">
        <f>CS394/CQ394</f>
        <v>0.16788590911683327</v>
      </c>
      <c r="CT395" s="3402">
        <f>CT394/CQ394</f>
        <v>0.49134358170632819</v>
      </c>
      <c r="CU395" s="3409"/>
      <c r="CV395" s="3403" t="s">
        <v>630</v>
      </c>
      <c r="CW395" s="3408"/>
      <c r="CX395" s="3408"/>
      <c r="CY395" s="3402">
        <f>CZ395+DA395+DB395</f>
        <v>1</v>
      </c>
      <c r="CZ395" s="3402">
        <f>CZ394/CY394</f>
        <v>0.34077050917683854</v>
      </c>
      <c r="DA395" s="3402">
        <f>DA394/CY394</f>
        <v>0.16788590911683327</v>
      </c>
      <c r="DB395" s="3402">
        <f>DB394/CY394</f>
        <v>0.49134358170632819</v>
      </c>
      <c r="DC395" s="3409"/>
      <c r="DD395" s="3403" t="s">
        <v>630</v>
      </c>
      <c r="DE395" s="3408"/>
      <c r="DF395" s="3408"/>
      <c r="DG395" s="3402">
        <f>DH395+DI395+DJ395</f>
        <v>1</v>
      </c>
      <c r="DH395" s="3402">
        <f>DH394/DG394</f>
        <v>0.34077050917683854</v>
      </c>
      <c r="DI395" s="3402">
        <f>DI394/DG394</f>
        <v>0.16788590911683327</v>
      </c>
      <c r="DJ395" s="3402">
        <f>DJ394/DG394</f>
        <v>0.49134358170632819</v>
      </c>
      <c r="DK395" s="3409"/>
      <c r="DL395" s="3403" t="s">
        <v>630</v>
      </c>
      <c r="DM395" s="3408"/>
      <c r="DN395" s="3408"/>
      <c r="DO395" s="3402">
        <f>DP395+DQ395+DR395</f>
        <v>1</v>
      </c>
      <c r="DP395" s="3402">
        <f>DP394/DO394</f>
        <v>0.34077050917683854</v>
      </c>
      <c r="DQ395" s="3402">
        <f>DQ394/DO394</f>
        <v>0.16788590911683327</v>
      </c>
      <c r="DR395" s="3402">
        <f>DR394/DO394</f>
        <v>0.49134358170632819</v>
      </c>
      <c r="DS395" s="3409"/>
      <c r="DT395" s="3403" t="s">
        <v>630</v>
      </c>
      <c r="DU395" s="3408"/>
      <c r="DV395" s="3408"/>
      <c r="DW395" s="3402">
        <f>DX395+DY395+DZ395</f>
        <v>1</v>
      </c>
      <c r="DX395" s="3402">
        <f>DX394/DW394</f>
        <v>0.34077050917683854</v>
      </c>
      <c r="DY395" s="3402">
        <f>DY394/DW394</f>
        <v>0.16788590911683327</v>
      </c>
      <c r="DZ395" s="3402">
        <f>DZ394/DW394</f>
        <v>0.49134358170632819</v>
      </c>
      <c r="EA395" s="3409"/>
      <c r="EB395" s="3403" t="s">
        <v>630</v>
      </c>
      <c r="EC395" s="3408"/>
      <c r="ED395" s="3408"/>
      <c r="EE395" s="3402">
        <f>EF395+EG395+EH395</f>
        <v>1</v>
      </c>
      <c r="EF395" s="3402">
        <f>EF394/EE394</f>
        <v>0.34077050917683854</v>
      </c>
      <c r="EG395" s="3402">
        <f>EG394/EE394</f>
        <v>0.16788590911683327</v>
      </c>
      <c r="EH395" s="3402">
        <f>EH394/EE394</f>
        <v>0.49134358170632819</v>
      </c>
      <c r="EI395" s="3409"/>
      <c r="EJ395" s="3403" t="s">
        <v>630</v>
      </c>
      <c r="EK395" s="3408"/>
      <c r="EL395" s="3408"/>
      <c r="EM395" s="3402">
        <f>EN395+EO395+EP395</f>
        <v>1</v>
      </c>
      <c r="EN395" s="3402">
        <f>EN394/EM394</f>
        <v>0.34077050917683854</v>
      </c>
      <c r="EO395" s="3402">
        <f>EO394/EM394</f>
        <v>0.16788590911683327</v>
      </c>
      <c r="EP395" s="3402">
        <f>EP394/EM394</f>
        <v>0.49134358170632819</v>
      </c>
      <c r="EQ395" s="3409"/>
      <c r="ER395" s="3403" t="s">
        <v>630</v>
      </c>
      <c r="ES395" s="3408"/>
      <c r="ET395" s="3408"/>
      <c r="EU395" s="3402">
        <f>EV395+EW395+EX395</f>
        <v>1</v>
      </c>
      <c r="EV395" s="3402">
        <f>EV394/EU394</f>
        <v>0.34077050917683854</v>
      </c>
      <c r="EW395" s="3402">
        <f>EW394/EU394</f>
        <v>0.16788590911683327</v>
      </c>
      <c r="EX395" s="3402">
        <f>EX394/EU394</f>
        <v>0.49134358170632819</v>
      </c>
      <c r="EY395" s="3409"/>
      <c r="EZ395" s="3403" t="s">
        <v>630</v>
      </c>
      <c r="FA395" s="3408"/>
      <c r="FB395" s="3408"/>
      <c r="FC395" s="3402">
        <f>FD395+FE395+FF395</f>
        <v>1</v>
      </c>
      <c r="FD395" s="3402">
        <f>FD394/FC394</f>
        <v>0.34077050917683854</v>
      </c>
      <c r="FE395" s="3402">
        <f>FE394/FC394</f>
        <v>0.16788590911683327</v>
      </c>
      <c r="FF395" s="3402">
        <f>FF394/FC394</f>
        <v>0.49134358170632819</v>
      </c>
      <c r="FG395" s="3409"/>
      <c r="FH395" s="3403" t="s">
        <v>630</v>
      </c>
      <c r="FI395" s="3408"/>
      <c r="FJ395" s="3408"/>
      <c r="FK395" s="3402">
        <f>FL395+FM395+FN395</f>
        <v>1</v>
      </c>
      <c r="FL395" s="3402">
        <f>FL394/FK394</f>
        <v>0.34077050917683854</v>
      </c>
      <c r="FM395" s="3402">
        <f>FM394/FK394</f>
        <v>0.16788590911683327</v>
      </c>
      <c r="FN395" s="3402">
        <f>FN394/FK394</f>
        <v>0.49134358170632819</v>
      </c>
      <c r="FO395" s="3409"/>
    </row>
    <row r="396" spans="2:171">
      <c r="K396" s="3264"/>
      <c r="S396" s="3409"/>
      <c r="AA396" s="3409"/>
      <c r="AI396" s="3409"/>
      <c r="AQ396" s="3409"/>
      <c r="AY396" s="3409"/>
      <c r="BG396" s="3409"/>
      <c r="BO396" s="3409"/>
      <c r="BW396" s="3409"/>
      <c r="CE396" s="3409"/>
      <c r="CM396" s="3409"/>
      <c r="CU396" s="3409"/>
      <c r="DC396" s="3409"/>
      <c r="DK396" s="3409"/>
      <c r="DS396" s="3409"/>
      <c r="EA396" s="3409"/>
      <c r="EI396" s="3409"/>
      <c r="EQ396" s="3409"/>
      <c r="EY396" s="3409"/>
      <c r="FG396" s="3409"/>
      <c r="FO396" s="3409"/>
    </row>
    <row r="397" spans="2:171">
      <c r="E397" s="3090" t="s">
        <v>520</v>
      </c>
      <c r="G397" s="3091" t="s">
        <v>104</v>
      </c>
      <c r="H397" s="3091" t="s">
        <v>105</v>
      </c>
      <c r="I397" s="3091" t="s">
        <v>106</v>
      </c>
      <c r="J397" s="3092" t="s">
        <v>511</v>
      </c>
      <c r="K397" s="3264"/>
      <c r="O397" s="3091" t="s">
        <v>104</v>
      </c>
      <c r="P397" s="3091" t="s">
        <v>105</v>
      </c>
      <c r="Q397" s="3091" t="s">
        <v>106</v>
      </c>
      <c r="R397" s="3092" t="s">
        <v>511</v>
      </c>
      <c r="S397" s="3409"/>
      <c r="W397" s="3091" t="s">
        <v>104</v>
      </c>
      <c r="X397" s="3091" t="s">
        <v>105</v>
      </c>
      <c r="Y397" s="3091" t="s">
        <v>106</v>
      </c>
      <c r="Z397" s="3092" t="s">
        <v>511</v>
      </c>
      <c r="AA397" s="3409"/>
      <c r="AE397" s="3091" t="s">
        <v>104</v>
      </c>
      <c r="AF397" s="3091" t="s">
        <v>105</v>
      </c>
      <c r="AG397" s="3091" t="s">
        <v>106</v>
      </c>
      <c r="AH397" s="3092" t="s">
        <v>511</v>
      </c>
      <c r="AI397" s="3409"/>
      <c r="AM397" s="3091" t="s">
        <v>104</v>
      </c>
      <c r="AN397" s="3091" t="s">
        <v>105</v>
      </c>
      <c r="AO397" s="3091" t="s">
        <v>106</v>
      </c>
      <c r="AP397" s="3092" t="s">
        <v>511</v>
      </c>
      <c r="AQ397" s="3409"/>
      <c r="AU397" s="3091" t="s">
        <v>104</v>
      </c>
      <c r="AV397" s="3091" t="s">
        <v>105</v>
      </c>
      <c r="AW397" s="3091" t="s">
        <v>106</v>
      </c>
      <c r="AX397" s="3092" t="s">
        <v>511</v>
      </c>
      <c r="AY397" s="3409"/>
      <c r="BC397" s="3091" t="s">
        <v>104</v>
      </c>
      <c r="BD397" s="3091" t="s">
        <v>105</v>
      </c>
      <c r="BE397" s="3091" t="s">
        <v>106</v>
      </c>
      <c r="BF397" s="3092" t="s">
        <v>511</v>
      </c>
      <c r="BG397" s="3409"/>
      <c r="BK397" s="3091" t="s">
        <v>104</v>
      </c>
      <c r="BL397" s="3091" t="s">
        <v>105</v>
      </c>
      <c r="BM397" s="3091" t="s">
        <v>106</v>
      </c>
      <c r="BN397" s="3092" t="s">
        <v>511</v>
      </c>
      <c r="BO397" s="3409"/>
      <c r="BS397" s="3091" t="s">
        <v>104</v>
      </c>
      <c r="BT397" s="3091" t="s">
        <v>105</v>
      </c>
      <c r="BU397" s="3091" t="s">
        <v>106</v>
      </c>
      <c r="BV397" s="3092" t="s">
        <v>511</v>
      </c>
      <c r="BW397" s="3409"/>
      <c r="CA397" s="3091" t="s">
        <v>104</v>
      </c>
      <c r="CB397" s="3091" t="s">
        <v>105</v>
      </c>
      <c r="CC397" s="3091" t="s">
        <v>106</v>
      </c>
      <c r="CD397" s="3092" t="s">
        <v>511</v>
      </c>
      <c r="CE397" s="3409"/>
      <c r="CI397" s="3091" t="s">
        <v>104</v>
      </c>
      <c r="CJ397" s="3091" t="s">
        <v>105</v>
      </c>
      <c r="CK397" s="3091" t="s">
        <v>106</v>
      </c>
      <c r="CL397" s="3092" t="s">
        <v>511</v>
      </c>
      <c r="CM397" s="3409"/>
      <c r="CQ397" s="3091" t="s">
        <v>104</v>
      </c>
      <c r="CR397" s="3091" t="s">
        <v>105</v>
      </c>
      <c r="CS397" s="3091" t="s">
        <v>106</v>
      </c>
      <c r="CT397" s="3092" t="s">
        <v>511</v>
      </c>
      <c r="CU397" s="3409"/>
      <c r="CY397" s="3091" t="s">
        <v>104</v>
      </c>
      <c r="CZ397" s="3091" t="s">
        <v>105</v>
      </c>
      <c r="DA397" s="3091" t="s">
        <v>106</v>
      </c>
      <c r="DB397" s="3092" t="s">
        <v>511</v>
      </c>
      <c r="DC397" s="3409"/>
      <c r="DG397" s="3091" t="s">
        <v>104</v>
      </c>
      <c r="DH397" s="3091" t="s">
        <v>105</v>
      </c>
      <c r="DI397" s="3091" t="s">
        <v>106</v>
      </c>
      <c r="DJ397" s="3092" t="s">
        <v>511</v>
      </c>
      <c r="DK397" s="3409"/>
      <c r="DO397" s="3091" t="s">
        <v>104</v>
      </c>
      <c r="DP397" s="3091" t="s">
        <v>105</v>
      </c>
      <c r="DQ397" s="3091" t="s">
        <v>106</v>
      </c>
      <c r="DR397" s="3092" t="s">
        <v>511</v>
      </c>
      <c r="DS397" s="3409"/>
      <c r="DW397" s="3091" t="s">
        <v>104</v>
      </c>
      <c r="DX397" s="3091" t="s">
        <v>105</v>
      </c>
      <c r="DY397" s="3091" t="s">
        <v>106</v>
      </c>
      <c r="DZ397" s="3092" t="s">
        <v>511</v>
      </c>
      <c r="EA397" s="3409"/>
      <c r="EE397" s="3091" t="s">
        <v>104</v>
      </c>
      <c r="EF397" s="3091" t="s">
        <v>105</v>
      </c>
      <c r="EG397" s="3091" t="s">
        <v>106</v>
      </c>
      <c r="EH397" s="3092" t="s">
        <v>511</v>
      </c>
      <c r="EI397" s="3409"/>
      <c r="EM397" s="3091" t="s">
        <v>104</v>
      </c>
      <c r="EN397" s="3091" t="s">
        <v>105</v>
      </c>
      <c r="EO397" s="3091" t="s">
        <v>106</v>
      </c>
      <c r="EP397" s="3092" t="s">
        <v>511</v>
      </c>
      <c r="EQ397" s="3409"/>
      <c r="EU397" s="3091" t="s">
        <v>104</v>
      </c>
      <c r="EV397" s="3091" t="s">
        <v>105</v>
      </c>
      <c r="EW397" s="3091" t="s">
        <v>106</v>
      </c>
      <c r="EX397" s="3092" t="s">
        <v>511</v>
      </c>
      <c r="EY397" s="3409"/>
      <c r="FC397" s="3091" t="s">
        <v>104</v>
      </c>
      <c r="FD397" s="3091" t="s">
        <v>105</v>
      </c>
      <c r="FE397" s="3091" t="s">
        <v>106</v>
      </c>
      <c r="FF397" s="3092" t="s">
        <v>511</v>
      </c>
      <c r="FG397" s="3409"/>
      <c r="FK397" s="3091" t="s">
        <v>104</v>
      </c>
      <c r="FL397" s="3091" t="s">
        <v>105</v>
      </c>
      <c r="FM397" s="3091" t="s">
        <v>106</v>
      </c>
      <c r="FN397" s="3092" t="s">
        <v>511</v>
      </c>
      <c r="FO397" s="3409"/>
    </row>
    <row r="398" spans="2:171">
      <c r="B398" s="3086"/>
      <c r="C398" s="3086" t="s">
        <v>111</v>
      </c>
      <c r="D398" s="3405"/>
      <c r="E398" s="3234" t="s">
        <v>392</v>
      </c>
      <c r="G398" s="2424">
        <f t="shared" ref="G398:G401" si="1277">G22</f>
        <v>1034308926</v>
      </c>
      <c r="H398" s="2424">
        <f t="shared" ref="H398:J398" si="1278">H22</f>
        <v>1034308926</v>
      </c>
      <c r="I398" s="2424">
        <f t="shared" si="1278"/>
        <v>0</v>
      </c>
      <c r="J398" s="2424">
        <f t="shared" si="1278"/>
        <v>0</v>
      </c>
      <c r="K398" s="3264"/>
      <c r="L398" s="3405"/>
      <c r="M398" s="3406"/>
      <c r="N398" s="3406"/>
      <c r="O398" s="2424">
        <f t="shared" ref="O398:R398" si="1279">O22</f>
        <v>1034308926</v>
      </c>
      <c r="P398" s="2424">
        <f t="shared" si="1279"/>
        <v>1034308926</v>
      </c>
      <c r="Q398" s="2424">
        <f t="shared" si="1279"/>
        <v>0</v>
      </c>
      <c r="R398" s="2424">
        <f t="shared" si="1279"/>
        <v>0</v>
      </c>
      <c r="S398" s="3409"/>
      <c r="T398" s="3405"/>
      <c r="U398" s="3406"/>
      <c r="V398" s="3406"/>
      <c r="W398" s="2424">
        <f t="shared" ref="W398:Z398" si="1280">W22</f>
        <v>1034308926</v>
      </c>
      <c r="X398" s="2424">
        <f t="shared" si="1280"/>
        <v>1034308926</v>
      </c>
      <c r="Y398" s="2424">
        <f t="shared" si="1280"/>
        <v>0</v>
      </c>
      <c r="Z398" s="2424">
        <f t="shared" si="1280"/>
        <v>0</v>
      </c>
      <c r="AA398" s="3409"/>
      <c r="AB398" s="3405"/>
      <c r="AC398" s="3406"/>
      <c r="AD398" s="3406"/>
      <c r="AE398" s="2424">
        <f t="shared" ref="AE398:AH398" si="1281">AE22</f>
        <v>1034308926</v>
      </c>
      <c r="AF398" s="2424">
        <f t="shared" si="1281"/>
        <v>1034308926</v>
      </c>
      <c r="AG398" s="2424">
        <f t="shared" si="1281"/>
        <v>0</v>
      </c>
      <c r="AH398" s="2424">
        <f t="shared" si="1281"/>
        <v>0</v>
      </c>
      <c r="AI398" s="3409"/>
      <c r="AJ398" s="3405"/>
      <c r="AK398" s="3406"/>
      <c r="AL398" s="3406"/>
      <c r="AM398" s="2424">
        <f t="shared" ref="AM398:AP398" si="1282">AM22</f>
        <v>1034308926</v>
      </c>
      <c r="AN398" s="2424">
        <f t="shared" si="1282"/>
        <v>1034308926</v>
      </c>
      <c r="AO398" s="2424">
        <f t="shared" si="1282"/>
        <v>0</v>
      </c>
      <c r="AP398" s="2424">
        <f t="shared" si="1282"/>
        <v>0</v>
      </c>
      <c r="AQ398" s="3409"/>
      <c r="AR398" s="3405"/>
      <c r="AS398" s="3406"/>
      <c r="AT398" s="3406"/>
      <c r="AU398" s="2424">
        <f t="shared" ref="AU398:AX398" si="1283">AU22</f>
        <v>1034308926</v>
      </c>
      <c r="AV398" s="2424">
        <f t="shared" si="1283"/>
        <v>1034308926</v>
      </c>
      <c r="AW398" s="2424">
        <f t="shared" si="1283"/>
        <v>0</v>
      </c>
      <c r="AX398" s="2424">
        <f t="shared" si="1283"/>
        <v>0</v>
      </c>
      <c r="AY398" s="3409"/>
      <c r="AZ398" s="3405"/>
      <c r="BA398" s="3406"/>
      <c r="BB398" s="3406"/>
      <c r="BC398" s="2424">
        <f t="shared" ref="BC398:BF398" si="1284">BC22</f>
        <v>1034308926</v>
      </c>
      <c r="BD398" s="2424">
        <f t="shared" si="1284"/>
        <v>1034308926</v>
      </c>
      <c r="BE398" s="2424">
        <f t="shared" si="1284"/>
        <v>0</v>
      </c>
      <c r="BF398" s="2424">
        <f t="shared" si="1284"/>
        <v>0</v>
      </c>
      <c r="BG398" s="3409"/>
      <c r="BH398" s="3405"/>
      <c r="BI398" s="3406"/>
      <c r="BJ398" s="3406"/>
      <c r="BK398" s="2424">
        <f t="shared" ref="BK398:BN398" si="1285">BK22</f>
        <v>1034308926</v>
      </c>
      <c r="BL398" s="2424">
        <f t="shared" si="1285"/>
        <v>1034308926</v>
      </c>
      <c r="BM398" s="2424">
        <f t="shared" si="1285"/>
        <v>0</v>
      </c>
      <c r="BN398" s="2424">
        <f t="shared" si="1285"/>
        <v>0</v>
      </c>
      <c r="BO398" s="3409"/>
      <c r="BP398" s="3405"/>
      <c r="BQ398" s="3406"/>
      <c r="BR398" s="3406"/>
      <c r="BS398" s="2424">
        <f t="shared" ref="BS398:BV398" si="1286">BS22</f>
        <v>1034308926</v>
      </c>
      <c r="BT398" s="2424">
        <f t="shared" si="1286"/>
        <v>1034308926</v>
      </c>
      <c r="BU398" s="2424">
        <f t="shared" si="1286"/>
        <v>0</v>
      </c>
      <c r="BV398" s="2424">
        <f t="shared" si="1286"/>
        <v>0</v>
      </c>
      <c r="BW398" s="3409"/>
      <c r="BX398" s="3405"/>
      <c r="BY398" s="3406"/>
      <c r="BZ398" s="3406"/>
      <c r="CA398" s="2424">
        <f t="shared" ref="CA398:CD398" si="1287">CA22</f>
        <v>1034308926</v>
      </c>
      <c r="CB398" s="2424">
        <f t="shared" si="1287"/>
        <v>1034308926</v>
      </c>
      <c r="CC398" s="2424">
        <f t="shared" si="1287"/>
        <v>0</v>
      </c>
      <c r="CD398" s="2424">
        <f t="shared" si="1287"/>
        <v>0</v>
      </c>
      <c r="CE398" s="3409"/>
      <c r="CF398" s="3405"/>
      <c r="CG398" s="3406"/>
      <c r="CH398" s="3406"/>
      <c r="CI398" s="2424">
        <f t="shared" ref="CI398:CL398" si="1288">CI22</f>
        <v>1034308926</v>
      </c>
      <c r="CJ398" s="2424">
        <f t="shared" si="1288"/>
        <v>1034308926</v>
      </c>
      <c r="CK398" s="2424">
        <f t="shared" si="1288"/>
        <v>0</v>
      </c>
      <c r="CL398" s="2424">
        <f t="shared" si="1288"/>
        <v>0</v>
      </c>
      <c r="CM398" s="3409"/>
      <c r="CN398" s="3405"/>
      <c r="CO398" s="3406"/>
      <c r="CP398" s="3406"/>
      <c r="CQ398" s="2424">
        <f t="shared" ref="CQ398:CT398" si="1289">CQ22</f>
        <v>1034308926</v>
      </c>
      <c r="CR398" s="2424">
        <f t="shared" si="1289"/>
        <v>1034308926</v>
      </c>
      <c r="CS398" s="2424">
        <f t="shared" si="1289"/>
        <v>0</v>
      </c>
      <c r="CT398" s="2424">
        <f t="shared" si="1289"/>
        <v>0</v>
      </c>
      <c r="CU398" s="3409"/>
      <c r="CV398" s="3405"/>
      <c r="CW398" s="3406"/>
      <c r="CX398" s="3406"/>
      <c r="CY398" s="2424">
        <f t="shared" ref="CY398:DB398" si="1290">CY22</f>
        <v>1034308926</v>
      </c>
      <c r="CZ398" s="2424">
        <f t="shared" si="1290"/>
        <v>1034308926</v>
      </c>
      <c r="DA398" s="2424">
        <f t="shared" si="1290"/>
        <v>0</v>
      </c>
      <c r="DB398" s="2424">
        <f t="shared" si="1290"/>
        <v>0</v>
      </c>
      <c r="DC398" s="3409"/>
      <c r="DD398" s="3405"/>
      <c r="DE398" s="3406"/>
      <c r="DF398" s="3406"/>
      <c r="DG398" s="2424">
        <f t="shared" ref="DG398:DJ398" si="1291">DG22</f>
        <v>1034308926</v>
      </c>
      <c r="DH398" s="2424">
        <f t="shared" si="1291"/>
        <v>1034308926</v>
      </c>
      <c r="DI398" s="2424">
        <f t="shared" si="1291"/>
        <v>0</v>
      </c>
      <c r="DJ398" s="2424">
        <f t="shared" si="1291"/>
        <v>0</v>
      </c>
      <c r="DK398" s="3409"/>
      <c r="DL398" s="3405"/>
      <c r="DM398" s="3406"/>
      <c r="DN398" s="3406"/>
      <c r="DO398" s="2424">
        <f t="shared" ref="DO398:DR398" si="1292">DO22</f>
        <v>1034308926</v>
      </c>
      <c r="DP398" s="2424">
        <f t="shared" si="1292"/>
        <v>1034308926</v>
      </c>
      <c r="DQ398" s="2424">
        <f t="shared" si="1292"/>
        <v>0</v>
      </c>
      <c r="DR398" s="2424">
        <f t="shared" si="1292"/>
        <v>0</v>
      </c>
      <c r="DS398" s="3409"/>
      <c r="DT398" s="3405"/>
      <c r="DU398" s="3406"/>
      <c r="DV398" s="3406"/>
      <c r="DW398" s="2424">
        <f t="shared" ref="DW398:DZ398" si="1293">DW22</f>
        <v>1034308926</v>
      </c>
      <c r="DX398" s="2424">
        <f t="shared" si="1293"/>
        <v>1034308926</v>
      </c>
      <c r="DY398" s="2424">
        <f t="shared" si="1293"/>
        <v>0</v>
      </c>
      <c r="DZ398" s="2424">
        <f t="shared" si="1293"/>
        <v>0</v>
      </c>
      <c r="EA398" s="3409"/>
      <c r="EB398" s="3405"/>
      <c r="EC398" s="3406"/>
      <c r="ED398" s="3406"/>
      <c r="EE398" s="2424">
        <f t="shared" ref="EE398:EH398" si="1294">EE22</f>
        <v>1034308926</v>
      </c>
      <c r="EF398" s="2424">
        <f t="shared" si="1294"/>
        <v>1034308926</v>
      </c>
      <c r="EG398" s="2424">
        <f t="shared" si="1294"/>
        <v>0</v>
      </c>
      <c r="EH398" s="2424">
        <f t="shared" si="1294"/>
        <v>0</v>
      </c>
      <c r="EI398" s="3409"/>
      <c r="EJ398" s="3405"/>
      <c r="EK398" s="3406"/>
      <c r="EL398" s="3406"/>
      <c r="EM398" s="2424">
        <f t="shared" ref="EM398:EP398" si="1295">EM22</f>
        <v>1034308926</v>
      </c>
      <c r="EN398" s="2424">
        <f t="shared" si="1295"/>
        <v>1034308926</v>
      </c>
      <c r="EO398" s="2424">
        <f t="shared" si="1295"/>
        <v>0</v>
      </c>
      <c r="EP398" s="2424">
        <f t="shared" si="1295"/>
        <v>0</v>
      </c>
      <c r="EQ398" s="3409"/>
      <c r="ER398" s="3405"/>
      <c r="ES398" s="3406"/>
      <c r="ET398" s="3406"/>
      <c r="EU398" s="2424">
        <f t="shared" ref="EU398:EX398" si="1296">EU22</f>
        <v>1034308926</v>
      </c>
      <c r="EV398" s="2424">
        <f t="shared" si="1296"/>
        <v>1034308926</v>
      </c>
      <c r="EW398" s="2424">
        <f t="shared" si="1296"/>
        <v>0</v>
      </c>
      <c r="EX398" s="2424">
        <f t="shared" si="1296"/>
        <v>0</v>
      </c>
      <c r="EY398" s="3409"/>
      <c r="EZ398" s="3405"/>
      <c r="FA398" s="3406"/>
      <c r="FB398" s="3406"/>
      <c r="FC398" s="2424">
        <f t="shared" ref="FC398:FF398" si="1297">FC22</f>
        <v>1034308926</v>
      </c>
      <c r="FD398" s="2424">
        <f t="shared" si="1297"/>
        <v>1034308926</v>
      </c>
      <c r="FE398" s="2424">
        <f t="shared" si="1297"/>
        <v>0</v>
      </c>
      <c r="FF398" s="2424">
        <f t="shared" si="1297"/>
        <v>0</v>
      </c>
      <c r="FG398" s="3409"/>
      <c r="FH398" s="3405"/>
      <c r="FI398" s="3406"/>
      <c r="FJ398" s="3406"/>
      <c r="FK398" s="2424">
        <f t="shared" ref="FK398:FN398" si="1298">FK22</f>
        <v>1034308926</v>
      </c>
      <c r="FL398" s="2424">
        <f t="shared" si="1298"/>
        <v>1034308926</v>
      </c>
      <c r="FM398" s="2424">
        <f t="shared" si="1298"/>
        <v>0</v>
      </c>
      <c r="FN398" s="2424">
        <f t="shared" si="1298"/>
        <v>0</v>
      </c>
      <c r="FO398" s="3409"/>
    </row>
    <row r="399" spans="2:171">
      <c r="B399" s="3086"/>
      <c r="C399" s="3086" t="s">
        <v>113</v>
      </c>
      <c r="D399" s="3405"/>
      <c r="E399" s="3234" t="s">
        <v>392</v>
      </c>
      <c r="G399" s="2424">
        <f t="shared" si="1277"/>
        <v>0</v>
      </c>
      <c r="H399" s="2424">
        <f t="shared" ref="H399:J399" si="1299">H23</f>
        <v>0</v>
      </c>
      <c r="I399" s="2424">
        <f t="shared" si="1299"/>
        <v>0</v>
      </c>
      <c r="J399" s="2424">
        <f t="shared" si="1299"/>
        <v>0</v>
      </c>
      <c r="K399" s="3264"/>
      <c r="L399" s="3405"/>
      <c r="M399" s="3406"/>
      <c r="N399" s="3406"/>
      <c r="O399" s="2424">
        <f t="shared" ref="O399:R399" si="1300">O23</f>
        <v>0</v>
      </c>
      <c r="P399" s="2424">
        <f t="shared" si="1300"/>
        <v>0</v>
      </c>
      <c r="Q399" s="2424">
        <f t="shared" si="1300"/>
        <v>0</v>
      </c>
      <c r="R399" s="2424">
        <f t="shared" si="1300"/>
        <v>0</v>
      </c>
      <c r="S399" s="3264"/>
      <c r="T399" s="3405"/>
      <c r="U399" s="3406"/>
      <c r="V399" s="3406"/>
      <c r="W399" s="2424">
        <f t="shared" ref="W399:Z399" si="1301">W23</f>
        <v>0</v>
      </c>
      <c r="X399" s="2424">
        <f t="shared" si="1301"/>
        <v>0</v>
      </c>
      <c r="Y399" s="2424">
        <f t="shared" si="1301"/>
        <v>0</v>
      </c>
      <c r="Z399" s="2424">
        <f t="shared" si="1301"/>
        <v>0</v>
      </c>
      <c r="AA399" s="3264"/>
      <c r="AB399" s="3405"/>
      <c r="AC399" s="3406"/>
      <c r="AD399" s="3406"/>
      <c r="AE399" s="2424">
        <f t="shared" ref="AE399:AH399" si="1302">AE23</f>
        <v>0</v>
      </c>
      <c r="AF399" s="2424">
        <f t="shared" si="1302"/>
        <v>0</v>
      </c>
      <c r="AG399" s="2424">
        <f t="shared" si="1302"/>
        <v>0</v>
      </c>
      <c r="AH399" s="2424">
        <f t="shared" si="1302"/>
        <v>0</v>
      </c>
      <c r="AI399" s="3264"/>
      <c r="AJ399" s="3405"/>
      <c r="AK399" s="3406"/>
      <c r="AL399" s="3406"/>
      <c r="AM399" s="2424">
        <f t="shared" ref="AM399:AP399" si="1303">AM23</f>
        <v>0</v>
      </c>
      <c r="AN399" s="2424">
        <f t="shared" si="1303"/>
        <v>0</v>
      </c>
      <c r="AO399" s="2424">
        <f t="shared" si="1303"/>
        <v>0</v>
      </c>
      <c r="AP399" s="2424">
        <f t="shared" si="1303"/>
        <v>0</v>
      </c>
      <c r="AQ399" s="3264"/>
      <c r="AR399" s="3405"/>
      <c r="AS399" s="3406"/>
      <c r="AT399" s="3406"/>
      <c r="AU399" s="2424">
        <f t="shared" ref="AU399:AX399" si="1304">AU23</f>
        <v>0</v>
      </c>
      <c r="AV399" s="2424">
        <f t="shared" si="1304"/>
        <v>0</v>
      </c>
      <c r="AW399" s="2424">
        <f t="shared" si="1304"/>
        <v>0</v>
      </c>
      <c r="AX399" s="2424">
        <f t="shared" si="1304"/>
        <v>0</v>
      </c>
      <c r="AY399" s="3264"/>
      <c r="AZ399" s="3405"/>
      <c r="BA399" s="3406"/>
      <c r="BB399" s="3406"/>
      <c r="BC399" s="2424">
        <f t="shared" ref="BC399:BF399" si="1305">BC23</f>
        <v>0</v>
      </c>
      <c r="BD399" s="2424">
        <f t="shared" si="1305"/>
        <v>0</v>
      </c>
      <c r="BE399" s="2424">
        <f t="shared" si="1305"/>
        <v>0</v>
      </c>
      <c r="BF399" s="2424">
        <f t="shared" si="1305"/>
        <v>0</v>
      </c>
      <c r="BG399" s="3264"/>
      <c r="BH399" s="3405"/>
      <c r="BI399" s="3406"/>
      <c r="BJ399" s="3406"/>
      <c r="BK399" s="2424">
        <f t="shared" ref="BK399:BN399" si="1306">BK23</f>
        <v>0</v>
      </c>
      <c r="BL399" s="2424">
        <f t="shared" si="1306"/>
        <v>0</v>
      </c>
      <c r="BM399" s="2424">
        <f t="shared" si="1306"/>
        <v>0</v>
      </c>
      <c r="BN399" s="2424">
        <f t="shared" si="1306"/>
        <v>0</v>
      </c>
      <c r="BO399" s="3264"/>
      <c r="BP399" s="3405"/>
      <c r="BQ399" s="3406"/>
      <c r="BR399" s="3406"/>
      <c r="BS399" s="2424">
        <f t="shared" ref="BS399:BV399" si="1307">BS23</f>
        <v>0</v>
      </c>
      <c r="BT399" s="2424">
        <f t="shared" si="1307"/>
        <v>0</v>
      </c>
      <c r="BU399" s="2424">
        <f t="shared" si="1307"/>
        <v>0</v>
      </c>
      <c r="BV399" s="2424">
        <f t="shared" si="1307"/>
        <v>0</v>
      </c>
      <c r="BW399" s="3264"/>
      <c r="BX399" s="3405"/>
      <c r="BY399" s="3406"/>
      <c r="BZ399" s="3406"/>
      <c r="CA399" s="2424">
        <f t="shared" ref="CA399:CD399" si="1308">CA23</f>
        <v>0</v>
      </c>
      <c r="CB399" s="2424">
        <f t="shared" si="1308"/>
        <v>0</v>
      </c>
      <c r="CC399" s="2424">
        <f t="shared" si="1308"/>
        <v>0</v>
      </c>
      <c r="CD399" s="2424">
        <f t="shared" si="1308"/>
        <v>0</v>
      </c>
      <c r="CE399" s="3264"/>
      <c r="CF399" s="3405"/>
      <c r="CG399" s="3406"/>
      <c r="CH399" s="3406"/>
      <c r="CI399" s="2424">
        <f t="shared" ref="CI399:CL399" si="1309">CI23</f>
        <v>0</v>
      </c>
      <c r="CJ399" s="2424">
        <f t="shared" si="1309"/>
        <v>0</v>
      </c>
      <c r="CK399" s="2424">
        <f t="shared" si="1309"/>
        <v>0</v>
      </c>
      <c r="CL399" s="2424">
        <f t="shared" si="1309"/>
        <v>0</v>
      </c>
      <c r="CM399" s="3264"/>
      <c r="CN399" s="3405"/>
      <c r="CO399" s="3406"/>
      <c r="CP399" s="3406"/>
      <c r="CQ399" s="2424">
        <f t="shared" ref="CQ399:CT399" si="1310">CQ23</f>
        <v>0</v>
      </c>
      <c r="CR399" s="2424">
        <f t="shared" si="1310"/>
        <v>0</v>
      </c>
      <c r="CS399" s="2424">
        <f t="shared" si="1310"/>
        <v>0</v>
      </c>
      <c r="CT399" s="2424">
        <f t="shared" si="1310"/>
        <v>0</v>
      </c>
      <c r="CU399" s="3264"/>
      <c r="CV399" s="3405"/>
      <c r="CW399" s="3406"/>
      <c r="CX399" s="3406"/>
      <c r="CY399" s="2424">
        <f t="shared" ref="CY399:DB399" si="1311">CY23</f>
        <v>0</v>
      </c>
      <c r="CZ399" s="2424">
        <f t="shared" si="1311"/>
        <v>0</v>
      </c>
      <c r="DA399" s="2424">
        <f t="shared" si="1311"/>
        <v>0</v>
      </c>
      <c r="DB399" s="2424">
        <f t="shared" si="1311"/>
        <v>0</v>
      </c>
      <c r="DC399" s="3264"/>
      <c r="DD399" s="3405"/>
      <c r="DE399" s="3406"/>
      <c r="DF399" s="3406"/>
      <c r="DG399" s="2424">
        <f t="shared" ref="DG399:DJ399" si="1312">DG23</f>
        <v>0</v>
      </c>
      <c r="DH399" s="2424">
        <f t="shared" si="1312"/>
        <v>0</v>
      </c>
      <c r="DI399" s="2424">
        <f t="shared" si="1312"/>
        <v>0</v>
      </c>
      <c r="DJ399" s="2424">
        <f t="shared" si="1312"/>
        <v>0</v>
      </c>
      <c r="DK399" s="3264"/>
      <c r="DL399" s="3405"/>
      <c r="DM399" s="3406"/>
      <c r="DN399" s="3406"/>
      <c r="DO399" s="2424">
        <f t="shared" ref="DO399:DR399" si="1313">DO23</f>
        <v>0</v>
      </c>
      <c r="DP399" s="2424">
        <f t="shared" si="1313"/>
        <v>0</v>
      </c>
      <c r="DQ399" s="2424">
        <f t="shared" si="1313"/>
        <v>0</v>
      </c>
      <c r="DR399" s="2424">
        <f t="shared" si="1313"/>
        <v>0</v>
      </c>
      <c r="DS399" s="3264"/>
      <c r="DT399" s="3405"/>
      <c r="DU399" s="3406"/>
      <c r="DV399" s="3406"/>
      <c r="DW399" s="2424">
        <f t="shared" ref="DW399:DZ399" si="1314">DW23</f>
        <v>0</v>
      </c>
      <c r="DX399" s="2424">
        <f t="shared" si="1314"/>
        <v>0</v>
      </c>
      <c r="DY399" s="2424">
        <f t="shared" si="1314"/>
        <v>0</v>
      </c>
      <c r="DZ399" s="2424">
        <f t="shared" si="1314"/>
        <v>0</v>
      </c>
      <c r="EA399" s="3264"/>
      <c r="EB399" s="3405"/>
      <c r="EC399" s="3406"/>
      <c r="ED399" s="3406"/>
      <c r="EE399" s="2424">
        <f t="shared" ref="EE399:EH399" si="1315">EE23</f>
        <v>0</v>
      </c>
      <c r="EF399" s="2424">
        <f t="shared" si="1315"/>
        <v>0</v>
      </c>
      <c r="EG399" s="2424">
        <f t="shared" si="1315"/>
        <v>0</v>
      </c>
      <c r="EH399" s="2424">
        <f t="shared" si="1315"/>
        <v>0</v>
      </c>
      <c r="EI399" s="3264"/>
      <c r="EJ399" s="3405"/>
      <c r="EK399" s="3406"/>
      <c r="EL399" s="3406"/>
      <c r="EM399" s="2424">
        <f t="shared" ref="EM399:EP399" si="1316">EM23</f>
        <v>0</v>
      </c>
      <c r="EN399" s="2424">
        <f t="shared" si="1316"/>
        <v>0</v>
      </c>
      <c r="EO399" s="2424">
        <f t="shared" si="1316"/>
        <v>0</v>
      </c>
      <c r="EP399" s="2424">
        <f t="shared" si="1316"/>
        <v>0</v>
      </c>
      <c r="EQ399" s="3264"/>
      <c r="ER399" s="3405"/>
      <c r="ES399" s="3406"/>
      <c r="ET399" s="3406"/>
      <c r="EU399" s="2424">
        <f t="shared" ref="EU399:EX399" si="1317">EU23</f>
        <v>0</v>
      </c>
      <c r="EV399" s="2424">
        <f t="shared" si="1317"/>
        <v>0</v>
      </c>
      <c r="EW399" s="2424">
        <f t="shared" si="1317"/>
        <v>0</v>
      </c>
      <c r="EX399" s="2424">
        <f t="shared" si="1317"/>
        <v>0</v>
      </c>
      <c r="EY399" s="3264"/>
      <c r="EZ399" s="3405"/>
      <c r="FA399" s="3406"/>
      <c r="FB399" s="3406"/>
      <c r="FC399" s="2424">
        <f t="shared" ref="FC399:FF399" si="1318">FC23</f>
        <v>0</v>
      </c>
      <c r="FD399" s="2424">
        <f t="shared" si="1318"/>
        <v>0</v>
      </c>
      <c r="FE399" s="2424">
        <f t="shared" si="1318"/>
        <v>0</v>
      </c>
      <c r="FF399" s="2424">
        <f t="shared" si="1318"/>
        <v>0</v>
      </c>
      <c r="FG399" s="3264"/>
      <c r="FH399" s="3405"/>
      <c r="FI399" s="3406"/>
      <c r="FJ399" s="3406"/>
      <c r="FK399" s="2424">
        <f t="shared" ref="FK399:FN399" si="1319">FK23</f>
        <v>0</v>
      </c>
      <c r="FL399" s="2424">
        <f t="shared" si="1319"/>
        <v>0</v>
      </c>
      <c r="FM399" s="2424">
        <f t="shared" si="1319"/>
        <v>0</v>
      </c>
      <c r="FN399" s="2424">
        <f t="shared" si="1319"/>
        <v>0</v>
      </c>
      <c r="FO399" s="3264"/>
    </row>
    <row r="400" spans="2:171">
      <c r="B400" s="3086"/>
      <c r="C400" s="3086" t="s">
        <v>115</v>
      </c>
      <c r="D400" s="3405"/>
      <c r="E400" s="3234" t="s">
        <v>392</v>
      </c>
      <c r="G400" s="2424">
        <f t="shared" si="1277"/>
        <v>788941762</v>
      </c>
      <c r="H400" s="2424">
        <f t="shared" ref="H400:J400" si="1320">H24</f>
        <v>788941762</v>
      </c>
      <c r="I400" s="2424">
        <f t="shared" si="1320"/>
        <v>0</v>
      </c>
      <c r="J400" s="2424">
        <f t="shared" si="1320"/>
        <v>0</v>
      </c>
      <c r="K400" s="3264"/>
      <c r="L400" s="3405"/>
      <c r="M400" s="3406"/>
      <c r="N400" s="3406"/>
      <c r="O400" s="2424">
        <f t="shared" ref="O400:R400" si="1321">O24</f>
        <v>788941762</v>
      </c>
      <c r="P400" s="2424">
        <f t="shared" si="1321"/>
        <v>788941762</v>
      </c>
      <c r="Q400" s="2424">
        <f t="shared" si="1321"/>
        <v>0</v>
      </c>
      <c r="R400" s="2424">
        <f t="shared" si="1321"/>
        <v>0</v>
      </c>
      <c r="S400" s="3264"/>
      <c r="T400" s="3405"/>
      <c r="U400" s="3406"/>
      <c r="V400" s="3406"/>
      <c r="W400" s="2424">
        <f t="shared" ref="W400:Z400" si="1322">W24</f>
        <v>788941762</v>
      </c>
      <c r="X400" s="2424">
        <f t="shared" si="1322"/>
        <v>788941762</v>
      </c>
      <c r="Y400" s="2424">
        <f t="shared" si="1322"/>
        <v>0</v>
      </c>
      <c r="Z400" s="2424">
        <f t="shared" si="1322"/>
        <v>0</v>
      </c>
      <c r="AA400" s="3264"/>
      <c r="AB400" s="3405"/>
      <c r="AC400" s="3406"/>
      <c r="AD400" s="3406"/>
      <c r="AE400" s="2424">
        <f t="shared" ref="AE400:AH400" si="1323">AE24</f>
        <v>788941762</v>
      </c>
      <c r="AF400" s="2424">
        <f t="shared" si="1323"/>
        <v>788941762</v>
      </c>
      <c r="AG400" s="2424">
        <f t="shared" si="1323"/>
        <v>0</v>
      </c>
      <c r="AH400" s="2424">
        <f t="shared" si="1323"/>
        <v>0</v>
      </c>
      <c r="AI400" s="3264"/>
      <c r="AJ400" s="3405"/>
      <c r="AK400" s="3406"/>
      <c r="AL400" s="3406"/>
      <c r="AM400" s="2424">
        <f t="shared" ref="AM400:AP400" si="1324">AM24</f>
        <v>788941762</v>
      </c>
      <c r="AN400" s="2424">
        <f t="shared" si="1324"/>
        <v>788941762</v>
      </c>
      <c r="AO400" s="2424">
        <f t="shared" si="1324"/>
        <v>0</v>
      </c>
      <c r="AP400" s="2424">
        <f t="shared" si="1324"/>
        <v>0</v>
      </c>
      <c r="AQ400" s="3264"/>
      <c r="AR400" s="3405"/>
      <c r="AS400" s="3406"/>
      <c r="AT400" s="3406"/>
      <c r="AU400" s="2424">
        <f t="shared" ref="AU400:AX400" si="1325">AU24</f>
        <v>788941762</v>
      </c>
      <c r="AV400" s="2424">
        <f t="shared" si="1325"/>
        <v>788941762</v>
      </c>
      <c r="AW400" s="2424">
        <f t="shared" si="1325"/>
        <v>0</v>
      </c>
      <c r="AX400" s="2424">
        <f t="shared" si="1325"/>
        <v>0</v>
      </c>
      <c r="AY400" s="3264"/>
      <c r="AZ400" s="3405"/>
      <c r="BA400" s="3406"/>
      <c r="BB400" s="3406"/>
      <c r="BC400" s="2424">
        <f t="shared" ref="BC400:BF400" si="1326">BC24</f>
        <v>788941762</v>
      </c>
      <c r="BD400" s="2424">
        <f t="shared" si="1326"/>
        <v>788941762</v>
      </c>
      <c r="BE400" s="2424">
        <f t="shared" si="1326"/>
        <v>0</v>
      </c>
      <c r="BF400" s="2424">
        <f t="shared" si="1326"/>
        <v>0</v>
      </c>
      <c r="BG400" s="3264"/>
      <c r="BH400" s="3405"/>
      <c r="BI400" s="3406"/>
      <c r="BJ400" s="3406"/>
      <c r="BK400" s="2424">
        <f t="shared" ref="BK400:BN400" si="1327">BK24</f>
        <v>788941762</v>
      </c>
      <c r="BL400" s="2424">
        <f t="shared" si="1327"/>
        <v>788941762</v>
      </c>
      <c r="BM400" s="2424">
        <f t="shared" si="1327"/>
        <v>0</v>
      </c>
      <c r="BN400" s="2424">
        <f t="shared" si="1327"/>
        <v>0</v>
      </c>
      <c r="BO400" s="3264"/>
      <c r="BP400" s="3405"/>
      <c r="BQ400" s="3406"/>
      <c r="BR400" s="3406"/>
      <c r="BS400" s="2424">
        <f t="shared" ref="BS400:BV400" si="1328">BS24</f>
        <v>788941762</v>
      </c>
      <c r="BT400" s="2424">
        <f t="shared" si="1328"/>
        <v>788941762</v>
      </c>
      <c r="BU400" s="2424">
        <f t="shared" si="1328"/>
        <v>0</v>
      </c>
      <c r="BV400" s="2424">
        <f t="shared" si="1328"/>
        <v>0</v>
      </c>
      <c r="BW400" s="3264"/>
      <c r="BX400" s="3405"/>
      <c r="BY400" s="3406"/>
      <c r="BZ400" s="3406"/>
      <c r="CA400" s="2424">
        <f t="shared" ref="CA400:CD400" si="1329">CA24</f>
        <v>788941762</v>
      </c>
      <c r="CB400" s="2424">
        <f t="shared" si="1329"/>
        <v>788941762</v>
      </c>
      <c r="CC400" s="2424">
        <f t="shared" si="1329"/>
        <v>0</v>
      </c>
      <c r="CD400" s="2424">
        <f t="shared" si="1329"/>
        <v>0</v>
      </c>
      <c r="CE400" s="3264"/>
      <c r="CF400" s="3405"/>
      <c r="CG400" s="3406"/>
      <c r="CH400" s="3406"/>
      <c r="CI400" s="2424">
        <f t="shared" ref="CI400:CL400" si="1330">CI24</f>
        <v>788941762</v>
      </c>
      <c r="CJ400" s="2424">
        <f t="shared" si="1330"/>
        <v>788941762</v>
      </c>
      <c r="CK400" s="2424">
        <f t="shared" si="1330"/>
        <v>0</v>
      </c>
      <c r="CL400" s="2424">
        <f t="shared" si="1330"/>
        <v>0</v>
      </c>
      <c r="CM400" s="3264"/>
      <c r="CN400" s="3405"/>
      <c r="CO400" s="3406"/>
      <c r="CP400" s="3406"/>
      <c r="CQ400" s="2424">
        <f t="shared" ref="CQ400:CT400" si="1331">CQ24</f>
        <v>788941762</v>
      </c>
      <c r="CR400" s="2424">
        <f t="shared" si="1331"/>
        <v>788941762</v>
      </c>
      <c r="CS400" s="2424">
        <f t="shared" si="1331"/>
        <v>0</v>
      </c>
      <c r="CT400" s="2424">
        <f t="shared" si="1331"/>
        <v>0</v>
      </c>
      <c r="CU400" s="3264"/>
      <c r="CV400" s="3405"/>
      <c r="CW400" s="3406"/>
      <c r="CX400" s="3406"/>
      <c r="CY400" s="2424">
        <f t="shared" ref="CY400:DB400" si="1332">CY24</f>
        <v>788941762</v>
      </c>
      <c r="CZ400" s="2424">
        <f t="shared" si="1332"/>
        <v>788941762</v>
      </c>
      <c r="DA400" s="2424">
        <f t="shared" si="1332"/>
        <v>0</v>
      </c>
      <c r="DB400" s="2424">
        <f t="shared" si="1332"/>
        <v>0</v>
      </c>
      <c r="DC400" s="3264"/>
      <c r="DD400" s="3405"/>
      <c r="DE400" s="3406"/>
      <c r="DF400" s="3406"/>
      <c r="DG400" s="2424">
        <f t="shared" ref="DG400:DJ400" si="1333">DG24</f>
        <v>788941762</v>
      </c>
      <c r="DH400" s="2424">
        <f t="shared" si="1333"/>
        <v>788941762</v>
      </c>
      <c r="DI400" s="2424">
        <f t="shared" si="1333"/>
        <v>0</v>
      </c>
      <c r="DJ400" s="2424">
        <f t="shared" si="1333"/>
        <v>0</v>
      </c>
      <c r="DK400" s="3264"/>
      <c r="DL400" s="3405"/>
      <c r="DM400" s="3406"/>
      <c r="DN400" s="3406"/>
      <c r="DO400" s="2424">
        <f t="shared" ref="DO400:DR400" si="1334">DO24</f>
        <v>788941762</v>
      </c>
      <c r="DP400" s="2424">
        <f t="shared" si="1334"/>
        <v>788941762</v>
      </c>
      <c r="DQ400" s="2424">
        <f t="shared" si="1334"/>
        <v>0</v>
      </c>
      <c r="DR400" s="2424">
        <f t="shared" si="1334"/>
        <v>0</v>
      </c>
      <c r="DS400" s="3264"/>
      <c r="DT400" s="3405"/>
      <c r="DU400" s="3406"/>
      <c r="DV400" s="3406"/>
      <c r="DW400" s="2424">
        <f t="shared" ref="DW400:DZ400" si="1335">DW24</f>
        <v>788941762</v>
      </c>
      <c r="DX400" s="2424">
        <f t="shared" si="1335"/>
        <v>788941762</v>
      </c>
      <c r="DY400" s="2424">
        <f t="shared" si="1335"/>
        <v>0</v>
      </c>
      <c r="DZ400" s="2424">
        <f t="shared" si="1335"/>
        <v>0</v>
      </c>
      <c r="EA400" s="3264"/>
      <c r="EB400" s="3405"/>
      <c r="EC400" s="3406"/>
      <c r="ED400" s="3406"/>
      <c r="EE400" s="2424">
        <f t="shared" ref="EE400:EH400" si="1336">EE24</f>
        <v>788941762</v>
      </c>
      <c r="EF400" s="2424">
        <f t="shared" si="1336"/>
        <v>788941762</v>
      </c>
      <c r="EG400" s="2424">
        <f t="shared" si="1336"/>
        <v>0</v>
      </c>
      <c r="EH400" s="2424">
        <f t="shared" si="1336"/>
        <v>0</v>
      </c>
      <c r="EI400" s="3264"/>
      <c r="EJ400" s="3405"/>
      <c r="EK400" s="3406"/>
      <c r="EL400" s="3406"/>
      <c r="EM400" s="2424">
        <f t="shared" ref="EM400:EP400" si="1337">EM24</f>
        <v>788941762</v>
      </c>
      <c r="EN400" s="2424">
        <f t="shared" si="1337"/>
        <v>788941762</v>
      </c>
      <c r="EO400" s="2424">
        <f t="shared" si="1337"/>
        <v>0</v>
      </c>
      <c r="EP400" s="2424">
        <f t="shared" si="1337"/>
        <v>0</v>
      </c>
      <c r="EQ400" s="3264"/>
      <c r="ER400" s="3405"/>
      <c r="ES400" s="3406"/>
      <c r="ET400" s="3406"/>
      <c r="EU400" s="2424">
        <f t="shared" ref="EU400:EX400" si="1338">EU24</f>
        <v>788941762</v>
      </c>
      <c r="EV400" s="2424">
        <f t="shared" si="1338"/>
        <v>788941762</v>
      </c>
      <c r="EW400" s="2424">
        <f t="shared" si="1338"/>
        <v>0</v>
      </c>
      <c r="EX400" s="2424">
        <f t="shared" si="1338"/>
        <v>0</v>
      </c>
      <c r="EY400" s="3264"/>
      <c r="EZ400" s="3405"/>
      <c r="FA400" s="3406"/>
      <c r="FB400" s="3406"/>
      <c r="FC400" s="2424">
        <f t="shared" ref="FC400:FF400" si="1339">FC24</f>
        <v>788941762</v>
      </c>
      <c r="FD400" s="2424">
        <f t="shared" si="1339"/>
        <v>788941762</v>
      </c>
      <c r="FE400" s="2424">
        <f t="shared" si="1339"/>
        <v>0</v>
      </c>
      <c r="FF400" s="2424">
        <f t="shared" si="1339"/>
        <v>0</v>
      </c>
      <c r="FG400" s="3264"/>
      <c r="FH400" s="3405"/>
      <c r="FI400" s="3406"/>
      <c r="FJ400" s="3406"/>
      <c r="FK400" s="2424">
        <f t="shared" ref="FK400:FN400" si="1340">FK24</f>
        <v>788941762</v>
      </c>
      <c r="FL400" s="2424">
        <f t="shared" si="1340"/>
        <v>788941762</v>
      </c>
      <c r="FM400" s="2424">
        <f t="shared" si="1340"/>
        <v>0</v>
      </c>
      <c r="FN400" s="2424">
        <f t="shared" si="1340"/>
        <v>0</v>
      </c>
      <c r="FO400" s="3264"/>
    </row>
    <row r="401" spans="2:171">
      <c r="B401" s="3086"/>
      <c r="C401" s="3086" t="s">
        <v>117</v>
      </c>
      <c r="D401" s="3405"/>
      <c r="E401" s="3234" t="s">
        <v>392</v>
      </c>
      <c r="G401" s="2424">
        <f t="shared" si="1277"/>
        <v>2079134143</v>
      </c>
      <c r="H401" s="2424">
        <f t="shared" ref="H401:J401" si="1341">H25</f>
        <v>2079134143</v>
      </c>
      <c r="I401" s="2424">
        <f t="shared" si="1341"/>
        <v>0</v>
      </c>
      <c r="J401" s="2424">
        <f t="shared" si="1341"/>
        <v>0</v>
      </c>
      <c r="K401" s="3264"/>
      <c r="L401" s="3405"/>
      <c r="M401" s="3406"/>
      <c r="N401" s="3406"/>
      <c r="O401" s="2424">
        <f t="shared" ref="O401:R401" si="1342">O25</f>
        <v>2079134143</v>
      </c>
      <c r="P401" s="2424">
        <f t="shared" si="1342"/>
        <v>2079134143</v>
      </c>
      <c r="Q401" s="2424">
        <f t="shared" si="1342"/>
        <v>0</v>
      </c>
      <c r="R401" s="2424">
        <f t="shared" si="1342"/>
        <v>0</v>
      </c>
      <c r="S401" s="3264"/>
      <c r="T401" s="3405"/>
      <c r="U401" s="3406"/>
      <c r="V401" s="3406"/>
      <c r="W401" s="2424">
        <f t="shared" ref="W401:Z401" si="1343">W25</f>
        <v>2079134143</v>
      </c>
      <c r="X401" s="2424">
        <f t="shared" si="1343"/>
        <v>2079134143</v>
      </c>
      <c r="Y401" s="2424">
        <f t="shared" si="1343"/>
        <v>0</v>
      </c>
      <c r="Z401" s="2424">
        <f t="shared" si="1343"/>
        <v>0</v>
      </c>
      <c r="AA401" s="3264"/>
      <c r="AB401" s="3405"/>
      <c r="AC401" s="3406"/>
      <c r="AD401" s="3406"/>
      <c r="AE401" s="2424">
        <f t="shared" ref="AE401:AH401" si="1344">AE25</f>
        <v>2079134143</v>
      </c>
      <c r="AF401" s="2424">
        <f t="shared" si="1344"/>
        <v>2079134143</v>
      </c>
      <c r="AG401" s="2424">
        <f t="shared" si="1344"/>
        <v>0</v>
      </c>
      <c r="AH401" s="2424">
        <f t="shared" si="1344"/>
        <v>0</v>
      </c>
      <c r="AI401" s="3264"/>
      <c r="AJ401" s="3405"/>
      <c r="AK401" s="3406"/>
      <c r="AL401" s="3406"/>
      <c r="AM401" s="2424">
        <f t="shared" ref="AM401:AP401" si="1345">AM25</f>
        <v>2079134143</v>
      </c>
      <c r="AN401" s="2424">
        <f t="shared" si="1345"/>
        <v>2079134143</v>
      </c>
      <c r="AO401" s="2424">
        <f t="shared" si="1345"/>
        <v>0</v>
      </c>
      <c r="AP401" s="2424">
        <f t="shared" si="1345"/>
        <v>0</v>
      </c>
      <c r="AQ401" s="3264"/>
      <c r="AR401" s="3405"/>
      <c r="AS401" s="3406"/>
      <c r="AT401" s="3406"/>
      <c r="AU401" s="2424">
        <f t="shared" ref="AU401:AX401" si="1346">AU25</f>
        <v>2079134143</v>
      </c>
      <c r="AV401" s="2424">
        <f t="shared" si="1346"/>
        <v>2079134143</v>
      </c>
      <c r="AW401" s="2424">
        <f t="shared" si="1346"/>
        <v>0</v>
      </c>
      <c r="AX401" s="2424">
        <f t="shared" si="1346"/>
        <v>0</v>
      </c>
      <c r="AY401" s="3264"/>
      <c r="AZ401" s="3405"/>
      <c r="BA401" s="3406"/>
      <c r="BB401" s="3406"/>
      <c r="BC401" s="2424">
        <f t="shared" ref="BC401:BF401" si="1347">BC25</f>
        <v>2079134143</v>
      </c>
      <c r="BD401" s="2424">
        <f t="shared" si="1347"/>
        <v>2079134143</v>
      </c>
      <c r="BE401" s="2424">
        <f t="shared" si="1347"/>
        <v>0</v>
      </c>
      <c r="BF401" s="2424">
        <f t="shared" si="1347"/>
        <v>0</v>
      </c>
      <c r="BG401" s="3264"/>
      <c r="BH401" s="3405"/>
      <c r="BI401" s="3406"/>
      <c r="BJ401" s="3406"/>
      <c r="BK401" s="2424">
        <f t="shared" ref="BK401:BN401" si="1348">BK25</f>
        <v>2079134143</v>
      </c>
      <c r="BL401" s="2424">
        <f t="shared" si="1348"/>
        <v>2079134143</v>
      </c>
      <c r="BM401" s="2424">
        <f t="shared" si="1348"/>
        <v>0</v>
      </c>
      <c r="BN401" s="2424">
        <f t="shared" si="1348"/>
        <v>0</v>
      </c>
      <c r="BO401" s="3264"/>
      <c r="BP401" s="3405"/>
      <c r="BQ401" s="3406"/>
      <c r="BR401" s="3406"/>
      <c r="BS401" s="2424">
        <f t="shared" ref="BS401:BV401" si="1349">BS25</f>
        <v>2079134143</v>
      </c>
      <c r="BT401" s="2424">
        <f t="shared" si="1349"/>
        <v>2079134143</v>
      </c>
      <c r="BU401" s="2424">
        <f t="shared" si="1349"/>
        <v>0</v>
      </c>
      <c r="BV401" s="2424">
        <f t="shared" si="1349"/>
        <v>0</v>
      </c>
      <c r="BW401" s="3264"/>
      <c r="BX401" s="3405"/>
      <c r="BY401" s="3406"/>
      <c r="BZ401" s="3406"/>
      <c r="CA401" s="2424">
        <f t="shared" ref="CA401:CD401" si="1350">CA25</f>
        <v>2079134143</v>
      </c>
      <c r="CB401" s="2424">
        <f t="shared" si="1350"/>
        <v>2079134143</v>
      </c>
      <c r="CC401" s="2424">
        <f t="shared" si="1350"/>
        <v>0</v>
      </c>
      <c r="CD401" s="2424">
        <f t="shared" si="1350"/>
        <v>0</v>
      </c>
      <c r="CE401" s="3264"/>
      <c r="CF401" s="3405"/>
      <c r="CG401" s="3406"/>
      <c r="CH401" s="3406"/>
      <c r="CI401" s="2424">
        <f t="shared" ref="CI401:CL401" si="1351">CI25</f>
        <v>2079134143</v>
      </c>
      <c r="CJ401" s="2424">
        <f t="shared" si="1351"/>
        <v>2079134143</v>
      </c>
      <c r="CK401" s="2424">
        <f t="shared" si="1351"/>
        <v>0</v>
      </c>
      <c r="CL401" s="2424">
        <f t="shared" si="1351"/>
        <v>0</v>
      </c>
      <c r="CM401" s="3264"/>
      <c r="CN401" s="3405"/>
      <c r="CO401" s="3406"/>
      <c r="CP401" s="3406"/>
      <c r="CQ401" s="2424">
        <f t="shared" ref="CQ401:CT401" si="1352">CQ25</f>
        <v>2079134143</v>
      </c>
      <c r="CR401" s="2424">
        <f t="shared" si="1352"/>
        <v>2079134143</v>
      </c>
      <c r="CS401" s="2424">
        <f t="shared" si="1352"/>
        <v>0</v>
      </c>
      <c r="CT401" s="2424">
        <f t="shared" si="1352"/>
        <v>0</v>
      </c>
      <c r="CU401" s="3264"/>
      <c r="CV401" s="3405"/>
      <c r="CW401" s="3406"/>
      <c r="CX401" s="3406"/>
      <c r="CY401" s="2424">
        <f t="shared" ref="CY401:DB401" si="1353">CY25</f>
        <v>2079134143</v>
      </c>
      <c r="CZ401" s="2424">
        <f t="shared" si="1353"/>
        <v>2079134143</v>
      </c>
      <c r="DA401" s="2424">
        <f t="shared" si="1353"/>
        <v>0</v>
      </c>
      <c r="DB401" s="2424">
        <f t="shared" si="1353"/>
        <v>0</v>
      </c>
      <c r="DC401" s="3264"/>
      <c r="DD401" s="3405"/>
      <c r="DE401" s="3406"/>
      <c r="DF401" s="3406"/>
      <c r="DG401" s="2424">
        <f t="shared" ref="DG401:DJ401" si="1354">DG25</f>
        <v>2079134143</v>
      </c>
      <c r="DH401" s="2424">
        <f t="shared" si="1354"/>
        <v>2079134143</v>
      </c>
      <c r="DI401" s="2424">
        <f t="shared" si="1354"/>
        <v>0</v>
      </c>
      <c r="DJ401" s="2424">
        <f t="shared" si="1354"/>
        <v>0</v>
      </c>
      <c r="DK401" s="3264"/>
      <c r="DL401" s="3405"/>
      <c r="DM401" s="3406"/>
      <c r="DN401" s="3406"/>
      <c r="DO401" s="2424">
        <f t="shared" ref="DO401:DR401" si="1355">DO25</f>
        <v>2079134143</v>
      </c>
      <c r="DP401" s="2424">
        <f t="shared" si="1355"/>
        <v>2079134143</v>
      </c>
      <c r="DQ401" s="2424">
        <f t="shared" si="1355"/>
        <v>0</v>
      </c>
      <c r="DR401" s="2424">
        <f t="shared" si="1355"/>
        <v>0</v>
      </c>
      <c r="DS401" s="3264"/>
      <c r="DT401" s="3405"/>
      <c r="DU401" s="3406"/>
      <c r="DV401" s="3406"/>
      <c r="DW401" s="2424">
        <f t="shared" ref="DW401:DZ401" si="1356">DW25</f>
        <v>2079134143</v>
      </c>
      <c r="DX401" s="2424">
        <f t="shared" si="1356"/>
        <v>2079134143</v>
      </c>
      <c r="DY401" s="2424">
        <f t="shared" si="1356"/>
        <v>0</v>
      </c>
      <c r="DZ401" s="2424">
        <f t="shared" si="1356"/>
        <v>0</v>
      </c>
      <c r="EA401" s="3264"/>
      <c r="EB401" s="3405"/>
      <c r="EC401" s="3406"/>
      <c r="ED401" s="3406"/>
      <c r="EE401" s="2424">
        <f t="shared" ref="EE401:EH401" si="1357">EE25</f>
        <v>2079134143</v>
      </c>
      <c r="EF401" s="2424">
        <f t="shared" si="1357"/>
        <v>2079134143</v>
      </c>
      <c r="EG401" s="2424">
        <f t="shared" si="1357"/>
        <v>0</v>
      </c>
      <c r="EH401" s="2424">
        <f t="shared" si="1357"/>
        <v>0</v>
      </c>
      <c r="EI401" s="3264"/>
      <c r="EJ401" s="3405"/>
      <c r="EK401" s="3406"/>
      <c r="EL401" s="3406"/>
      <c r="EM401" s="2424">
        <f t="shared" ref="EM401:EP401" si="1358">EM25</f>
        <v>2079134143</v>
      </c>
      <c r="EN401" s="2424">
        <f t="shared" si="1358"/>
        <v>2079134143</v>
      </c>
      <c r="EO401" s="2424">
        <f t="shared" si="1358"/>
        <v>0</v>
      </c>
      <c r="EP401" s="2424">
        <f t="shared" si="1358"/>
        <v>0</v>
      </c>
      <c r="EQ401" s="3264"/>
      <c r="ER401" s="3405"/>
      <c r="ES401" s="3406"/>
      <c r="ET401" s="3406"/>
      <c r="EU401" s="2424">
        <f t="shared" ref="EU401:EX401" si="1359">EU25</f>
        <v>2079134143</v>
      </c>
      <c r="EV401" s="2424">
        <f t="shared" si="1359"/>
        <v>2079134143</v>
      </c>
      <c r="EW401" s="2424">
        <f t="shared" si="1359"/>
        <v>0</v>
      </c>
      <c r="EX401" s="2424">
        <f t="shared" si="1359"/>
        <v>0</v>
      </c>
      <c r="EY401" s="3264"/>
      <c r="EZ401" s="3405"/>
      <c r="FA401" s="3406"/>
      <c r="FB401" s="3406"/>
      <c r="FC401" s="2424">
        <f t="shared" ref="FC401:FF401" si="1360">FC25</f>
        <v>2079134143</v>
      </c>
      <c r="FD401" s="2424">
        <f t="shared" si="1360"/>
        <v>2079134143</v>
      </c>
      <c r="FE401" s="2424">
        <f t="shared" si="1360"/>
        <v>0</v>
      </c>
      <c r="FF401" s="2424">
        <f t="shared" si="1360"/>
        <v>0</v>
      </c>
      <c r="FG401" s="3264"/>
      <c r="FH401" s="3405"/>
      <c r="FI401" s="3406"/>
      <c r="FJ401" s="3406"/>
      <c r="FK401" s="2424">
        <f t="shared" ref="FK401:FN401" si="1361">FK25</f>
        <v>2079134143</v>
      </c>
      <c r="FL401" s="2424">
        <f t="shared" si="1361"/>
        <v>2079134143</v>
      </c>
      <c r="FM401" s="2424">
        <f t="shared" si="1361"/>
        <v>0</v>
      </c>
      <c r="FN401" s="2424">
        <f t="shared" si="1361"/>
        <v>0</v>
      </c>
      <c r="FO401" s="3264"/>
    </row>
    <row r="402" spans="2:171">
      <c r="B402" s="3086"/>
      <c r="C402" s="3086" t="s">
        <v>119</v>
      </c>
      <c r="D402" s="3405"/>
      <c r="E402" s="3234"/>
      <c r="G402" s="2424">
        <f>SUM(G398:G401)</f>
        <v>3902384831</v>
      </c>
      <c r="H402" s="2424">
        <f t="shared" ref="H402:J402" si="1362">SUM(H398:H401)</f>
        <v>3902384831</v>
      </c>
      <c r="I402" s="2424">
        <f t="shared" si="1362"/>
        <v>0</v>
      </c>
      <c r="J402" s="2424">
        <f t="shared" si="1362"/>
        <v>0</v>
      </c>
      <c r="K402" s="3264"/>
      <c r="L402" s="3405"/>
      <c r="M402" s="3406"/>
      <c r="N402" s="3406"/>
      <c r="O402" s="2424">
        <f>SUM(O398:O401)</f>
        <v>3902384831</v>
      </c>
      <c r="P402" s="2424">
        <f t="shared" ref="P402" si="1363">SUM(P398:P401)</f>
        <v>3902384831</v>
      </c>
      <c r="Q402" s="2424">
        <f t="shared" ref="Q402" si="1364">SUM(Q398:Q401)</f>
        <v>0</v>
      </c>
      <c r="R402" s="2424">
        <f t="shared" ref="R402" si="1365">SUM(R398:R401)</f>
        <v>0</v>
      </c>
      <c r="S402" s="3264"/>
      <c r="T402" s="3405"/>
      <c r="U402" s="3406"/>
      <c r="V402" s="3406"/>
      <c r="W402" s="2424">
        <f>SUM(W398:W401)</f>
        <v>3902384831</v>
      </c>
      <c r="X402" s="2424">
        <f t="shared" ref="X402:Z402" si="1366">SUM(X398:X401)</f>
        <v>3902384831</v>
      </c>
      <c r="Y402" s="2424">
        <f t="shared" si="1366"/>
        <v>0</v>
      </c>
      <c r="Z402" s="2424">
        <f t="shared" si="1366"/>
        <v>0</v>
      </c>
      <c r="AA402" s="3264"/>
      <c r="AB402" s="3405"/>
      <c r="AC402" s="3406"/>
      <c r="AD402" s="3406"/>
      <c r="AE402" s="2424">
        <f>SUM(AE398:AE401)</f>
        <v>3902384831</v>
      </c>
      <c r="AF402" s="2424">
        <f t="shared" ref="AF402:AH402" si="1367">SUM(AF398:AF401)</f>
        <v>3902384831</v>
      </c>
      <c r="AG402" s="2424">
        <f t="shared" si="1367"/>
        <v>0</v>
      </c>
      <c r="AH402" s="2424">
        <f t="shared" si="1367"/>
        <v>0</v>
      </c>
      <c r="AI402" s="3264"/>
      <c r="AJ402" s="3405"/>
      <c r="AK402" s="3406"/>
      <c r="AL402" s="3406"/>
      <c r="AM402" s="2424">
        <f>SUM(AM398:AM401)</f>
        <v>3902384831</v>
      </c>
      <c r="AN402" s="2424">
        <f t="shared" ref="AN402:AP402" si="1368">SUM(AN398:AN401)</f>
        <v>3902384831</v>
      </c>
      <c r="AO402" s="2424">
        <f t="shared" si="1368"/>
        <v>0</v>
      </c>
      <c r="AP402" s="2424">
        <f t="shared" si="1368"/>
        <v>0</v>
      </c>
      <c r="AQ402" s="3264"/>
      <c r="AR402" s="3405"/>
      <c r="AS402" s="3406"/>
      <c r="AT402" s="3406"/>
      <c r="AU402" s="2424">
        <f>SUM(AU398:AU401)</f>
        <v>3902384831</v>
      </c>
      <c r="AV402" s="2424">
        <f t="shared" ref="AV402:AX402" si="1369">SUM(AV398:AV401)</f>
        <v>3902384831</v>
      </c>
      <c r="AW402" s="2424">
        <f t="shared" si="1369"/>
        <v>0</v>
      </c>
      <c r="AX402" s="2424">
        <f t="shared" si="1369"/>
        <v>0</v>
      </c>
      <c r="AY402" s="3264"/>
      <c r="AZ402" s="3405"/>
      <c r="BA402" s="3406"/>
      <c r="BB402" s="3406"/>
      <c r="BC402" s="2424">
        <f>SUM(BC398:BC401)</f>
        <v>3902384831</v>
      </c>
      <c r="BD402" s="2424">
        <f t="shared" ref="BD402:BF402" si="1370">SUM(BD398:BD401)</f>
        <v>3902384831</v>
      </c>
      <c r="BE402" s="2424">
        <f t="shared" si="1370"/>
        <v>0</v>
      </c>
      <c r="BF402" s="2424">
        <f t="shared" si="1370"/>
        <v>0</v>
      </c>
      <c r="BG402" s="3264"/>
      <c r="BH402" s="3405"/>
      <c r="BI402" s="3406"/>
      <c r="BJ402" s="3406"/>
      <c r="BK402" s="2424">
        <f>SUM(BK398:BK401)</f>
        <v>3902384831</v>
      </c>
      <c r="BL402" s="2424">
        <f t="shared" ref="BL402:BN402" si="1371">SUM(BL398:BL401)</f>
        <v>3902384831</v>
      </c>
      <c r="BM402" s="2424">
        <f t="shared" si="1371"/>
        <v>0</v>
      </c>
      <c r="BN402" s="2424">
        <f t="shared" si="1371"/>
        <v>0</v>
      </c>
      <c r="BO402" s="3264"/>
      <c r="BP402" s="3405"/>
      <c r="BQ402" s="3406"/>
      <c r="BR402" s="3406"/>
      <c r="BS402" s="2424">
        <f>SUM(BS398:BS401)</f>
        <v>3902384831</v>
      </c>
      <c r="BT402" s="2424">
        <f t="shared" ref="BT402:BV402" si="1372">SUM(BT398:BT401)</f>
        <v>3902384831</v>
      </c>
      <c r="BU402" s="2424">
        <f t="shared" si="1372"/>
        <v>0</v>
      </c>
      <c r="BV402" s="2424">
        <f t="shared" si="1372"/>
        <v>0</v>
      </c>
      <c r="BW402" s="3264"/>
      <c r="BX402" s="3405"/>
      <c r="BY402" s="3406"/>
      <c r="BZ402" s="3406"/>
      <c r="CA402" s="2424">
        <f>SUM(CA398:CA401)</f>
        <v>3902384831</v>
      </c>
      <c r="CB402" s="2424">
        <f t="shared" ref="CB402:CD402" si="1373">SUM(CB398:CB401)</f>
        <v>3902384831</v>
      </c>
      <c r="CC402" s="2424">
        <f t="shared" si="1373"/>
        <v>0</v>
      </c>
      <c r="CD402" s="2424">
        <f t="shared" si="1373"/>
        <v>0</v>
      </c>
      <c r="CE402" s="3264"/>
      <c r="CF402" s="3405"/>
      <c r="CG402" s="3406"/>
      <c r="CH402" s="3406"/>
      <c r="CI402" s="2424">
        <f>SUM(CI398:CI401)</f>
        <v>3902384831</v>
      </c>
      <c r="CJ402" s="2424">
        <f t="shared" ref="CJ402:CL402" si="1374">SUM(CJ398:CJ401)</f>
        <v>3902384831</v>
      </c>
      <c r="CK402" s="2424">
        <f t="shared" si="1374"/>
        <v>0</v>
      </c>
      <c r="CL402" s="2424">
        <f t="shared" si="1374"/>
        <v>0</v>
      </c>
      <c r="CM402" s="3264"/>
      <c r="CN402" s="3405"/>
      <c r="CO402" s="3406"/>
      <c r="CP402" s="3406"/>
      <c r="CQ402" s="2424">
        <f>SUM(CQ398:CQ401)</f>
        <v>3902384831</v>
      </c>
      <c r="CR402" s="2424">
        <f t="shared" ref="CR402:CT402" si="1375">SUM(CR398:CR401)</f>
        <v>3902384831</v>
      </c>
      <c r="CS402" s="2424">
        <f t="shared" si="1375"/>
        <v>0</v>
      </c>
      <c r="CT402" s="2424">
        <f t="shared" si="1375"/>
        <v>0</v>
      </c>
      <c r="CU402" s="3264"/>
      <c r="CV402" s="3405"/>
      <c r="CW402" s="3406"/>
      <c r="CX402" s="3406"/>
      <c r="CY402" s="2424">
        <f>SUM(CY398:CY401)</f>
        <v>3902384831</v>
      </c>
      <c r="CZ402" s="2424">
        <f t="shared" ref="CZ402:DB402" si="1376">SUM(CZ398:CZ401)</f>
        <v>3902384831</v>
      </c>
      <c r="DA402" s="2424">
        <f t="shared" si="1376"/>
        <v>0</v>
      </c>
      <c r="DB402" s="2424">
        <f t="shared" si="1376"/>
        <v>0</v>
      </c>
      <c r="DC402" s="3264"/>
      <c r="DD402" s="3405"/>
      <c r="DE402" s="3406"/>
      <c r="DF402" s="3406"/>
      <c r="DG402" s="2424">
        <f>SUM(DG398:DG401)</f>
        <v>3902384831</v>
      </c>
      <c r="DH402" s="2424">
        <f t="shared" ref="DH402:DJ402" si="1377">SUM(DH398:DH401)</f>
        <v>3902384831</v>
      </c>
      <c r="DI402" s="2424">
        <f t="shared" si="1377"/>
        <v>0</v>
      </c>
      <c r="DJ402" s="2424">
        <f t="shared" si="1377"/>
        <v>0</v>
      </c>
      <c r="DK402" s="3264"/>
      <c r="DL402" s="3405"/>
      <c r="DM402" s="3406"/>
      <c r="DN402" s="3406"/>
      <c r="DO402" s="2424">
        <f>SUM(DO398:DO401)</f>
        <v>3902384831</v>
      </c>
      <c r="DP402" s="2424">
        <f t="shared" ref="DP402:DR402" si="1378">SUM(DP398:DP401)</f>
        <v>3902384831</v>
      </c>
      <c r="DQ402" s="2424">
        <f t="shared" si="1378"/>
        <v>0</v>
      </c>
      <c r="DR402" s="2424">
        <f t="shared" si="1378"/>
        <v>0</v>
      </c>
      <c r="DS402" s="3264"/>
      <c r="DT402" s="3405"/>
      <c r="DU402" s="3406"/>
      <c r="DV402" s="3406"/>
      <c r="DW402" s="2424">
        <f>SUM(DW398:DW401)</f>
        <v>3902384831</v>
      </c>
      <c r="DX402" s="2424">
        <f t="shared" ref="DX402:DZ402" si="1379">SUM(DX398:DX401)</f>
        <v>3902384831</v>
      </c>
      <c r="DY402" s="2424">
        <f t="shared" si="1379"/>
        <v>0</v>
      </c>
      <c r="DZ402" s="2424">
        <f t="shared" si="1379"/>
        <v>0</v>
      </c>
      <c r="EA402" s="3264"/>
      <c r="EB402" s="3405"/>
      <c r="EC402" s="3406"/>
      <c r="ED402" s="3406"/>
      <c r="EE402" s="2424">
        <f>SUM(EE398:EE401)</f>
        <v>3902384831</v>
      </c>
      <c r="EF402" s="2424">
        <f t="shared" ref="EF402:EH402" si="1380">SUM(EF398:EF401)</f>
        <v>3902384831</v>
      </c>
      <c r="EG402" s="2424">
        <f t="shared" si="1380"/>
        <v>0</v>
      </c>
      <c r="EH402" s="2424">
        <f t="shared" si="1380"/>
        <v>0</v>
      </c>
      <c r="EI402" s="3264"/>
      <c r="EJ402" s="3405"/>
      <c r="EK402" s="3406"/>
      <c r="EL402" s="3406"/>
      <c r="EM402" s="2424">
        <f>SUM(EM398:EM401)</f>
        <v>3902384831</v>
      </c>
      <c r="EN402" s="2424">
        <f t="shared" ref="EN402:EP402" si="1381">SUM(EN398:EN401)</f>
        <v>3902384831</v>
      </c>
      <c r="EO402" s="2424">
        <f t="shared" si="1381"/>
        <v>0</v>
      </c>
      <c r="EP402" s="2424">
        <f t="shared" si="1381"/>
        <v>0</v>
      </c>
      <c r="EQ402" s="3264"/>
      <c r="ER402" s="3405"/>
      <c r="ES402" s="3406"/>
      <c r="ET402" s="3406"/>
      <c r="EU402" s="2424">
        <f>SUM(EU398:EU401)</f>
        <v>3902384831</v>
      </c>
      <c r="EV402" s="2424">
        <f t="shared" ref="EV402:EX402" si="1382">SUM(EV398:EV401)</f>
        <v>3902384831</v>
      </c>
      <c r="EW402" s="2424">
        <f t="shared" si="1382"/>
        <v>0</v>
      </c>
      <c r="EX402" s="2424">
        <f t="shared" si="1382"/>
        <v>0</v>
      </c>
      <c r="EY402" s="3264"/>
      <c r="EZ402" s="3405"/>
      <c r="FA402" s="3406"/>
      <c r="FB402" s="3406"/>
      <c r="FC402" s="2424">
        <f>SUM(FC398:FC401)</f>
        <v>3902384831</v>
      </c>
      <c r="FD402" s="2424">
        <f t="shared" ref="FD402:FF402" si="1383">SUM(FD398:FD401)</f>
        <v>3902384831</v>
      </c>
      <c r="FE402" s="2424">
        <f t="shared" si="1383"/>
        <v>0</v>
      </c>
      <c r="FF402" s="2424">
        <f t="shared" si="1383"/>
        <v>0</v>
      </c>
      <c r="FG402" s="3264"/>
      <c r="FH402" s="3405"/>
      <c r="FI402" s="3406"/>
      <c r="FJ402" s="3406"/>
      <c r="FK402" s="2424">
        <f>SUM(FK398:FK401)</f>
        <v>3902384831</v>
      </c>
      <c r="FL402" s="2424">
        <f t="shared" ref="FL402:FN402" si="1384">SUM(FL398:FL401)</f>
        <v>3902384831</v>
      </c>
      <c r="FM402" s="2424">
        <f t="shared" si="1384"/>
        <v>0</v>
      </c>
      <c r="FN402" s="2424">
        <f t="shared" si="1384"/>
        <v>0</v>
      </c>
      <c r="FO402" s="3264"/>
    </row>
    <row r="403" spans="2:171">
      <c r="B403" s="3086"/>
      <c r="C403" s="3086" t="s">
        <v>525</v>
      </c>
      <c r="D403" s="3405"/>
      <c r="E403" s="3234" t="s">
        <v>391</v>
      </c>
      <c r="G403" s="2424">
        <f>G30</f>
        <v>1992381238</v>
      </c>
      <c r="H403" s="2424">
        <f t="shared" ref="H403:J403" si="1385">H30</f>
        <v>0</v>
      </c>
      <c r="I403" s="2424">
        <f t="shared" si="1385"/>
        <v>0</v>
      </c>
      <c r="J403" s="2424">
        <f t="shared" si="1385"/>
        <v>1992381238</v>
      </c>
      <c r="K403" s="3264"/>
      <c r="L403" s="3405"/>
      <c r="M403" s="3406"/>
      <c r="N403" s="3406"/>
      <c r="O403" s="2424">
        <f>O30</f>
        <v>1992381238</v>
      </c>
      <c r="P403" s="2424">
        <f t="shared" ref="P403:R403" si="1386">P30</f>
        <v>0</v>
      </c>
      <c r="Q403" s="2424">
        <f t="shared" si="1386"/>
        <v>1992381238</v>
      </c>
      <c r="R403" s="2424">
        <f t="shared" si="1386"/>
        <v>0</v>
      </c>
      <c r="S403" s="3264"/>
      <c r="T403" s="3405"/>
      <c r="U403" s="3406"/>
      <c r="V403" s="3406"/>
      <c r="W403" s="2424">
        <f>W30</f>
        <v>1992381238</v>
      </c>
      <c r="X403" s="2424">
        <f t="shared" ref="X403:Z403" si="1387">X30</f>
        <v>0</v>
      </c>
      <c r="Y403" s="2424">
        <f t="shared" si="1387"/>
        <v>1992381238</v>
      </c>
      <c r="Z403" s="2424">
        <f t="shared" si="1387"/>
        <v>0</v>
      </c>
      <c r="AA403" s="3264"/>
      <c r="AB403" s="3405"/>
      <c r="AC403" s="3406"/>
      <c r="AD403" s="3406"/>
      <c r="AE403" s="2424">
        <f>AE30</f>
        <v>1992381238</v>
      </c>
      <c r="AF403" s="2424">
        <f t="shared" ref="AF403:AH403" si="1388">AF30</f>
        <v>0</v>
      </c>
      <c r="AG403" s="2424">
        <f t="shared" si="1388"/>
        <v>1992381238</v>
      </c>
      <c r="AH403" s="2424">
        <f t="shared" si="1388"/>
        <v>0</v>
      </c>
      <c r="AI403" s="3264"/>
      <c r="AJ403" s="3405"/>
      <c r="AK403" s="3406"/>
      <c r="AL403" s="3406"/>
      <c r="AM403" s="2424">
        <f>AM30</f>
        <v>1992381238</v>
      </c>
      <c r="AN403" s="2424">
        <f t="shared" ref="AN403:AP403" si="1389">AN30</f>
        <v>0</v>
      </c>
      <c r="AO403" s="2424">
        <f t="shared" si="1389"/>
        <v>1992381238</v>
      </c>
      <c r="AP403" s="2424">
        <f t="shared" si="1389"/>
        <v>0</v>
      </c>
      <c r="AQ403" s="3264"/>
      <c r="AR403" s="3405"/>
      <c r="AS403" s="3406"/>
      <c r="AT403" s="3406"/>
      <c r="AU403" s="2424">
        <f>AU30</f>
        <v>1992381238</v>
      </c>
      <c r="AV403" s="2424">
        <f t="shared" ref="AV403:AX403" si="1390">AV30</f>
        <v>0</v>
      </c>
      <c r="AW403" s="2424">
        <f t="shared" si="1390"/>
        <v>1992381238</v>
      </c>
      <c r="AX403" s="2424">
        <f t="shared" si="1390"/>
        <v>0</v>
      </c>
      <c r="AY403" s="3264"/>
      <c r="AZ403" s="3405"/>
      <c r="BA403" s="3406"/>
      <c r="BB403" s="3406"/>
      <c r="BC403" s="2424">
        <f>BC30</f>
        <v>1992381238</v>
      </c>
      <c r="BD403" s="2424">
        <f t="shared" ref="BD403:BF403" si="1391">BD30</f>
        <v>0</v>
      </c>
      <c r="BE403" s="2424">
        <f t="shared" si="1391"/>
        <v>1992381238</v>
      </c>
      <c r="BF403" s="2424">
        <f t="shared" si="1391"/>
        <v>0</v>
      </c>
      <c r="BG403" s="3264"/>
      <c r="BH403" s="3405"/>
      <c r="BI403" s="3406"/>
      <c r="BJ403" s="3406"/>
      <c r="BK403" s="2424">
        <f>BK30</f>
        <v>1992381238</v>
      </c>
      <c r="BL403" s="2424">
        <f t="shared" ref="BL403:BN403" si="1392">BL30</f>
        <v>0</v>
      </c>
      <c r="BM403" s="2424">
        <f t="shared" si="1392"/>
        <v>1992381238</v>
      </c>
      <c r="BN403" s="2424">
        <f t="shared" si="1392"/>
        <v>0</v>
      </c>
      <c r="BO403" s="3264"/>
      <c r="BP403" s="3405"/>
      <c r="BQ403" s="3406"/>
      <c r="BR403" s="3406"/>
      <c r="BS403" s="2424">
        <f>BS30</f>
        <v>1992381238</v>
      </c>
      <c r="BT403" s="2424">
        <f t="shared" ref="BT403:BV403" si="1393">BT30</f>
        <v>0</v>
      </c>
      <c r="BU403" s="2424">
        <f t="shared" si="1393"/>
        <v>1992381238</v>
      </c>
      <c r="BV403" s="2424">
        <f t="shared" si="1393"/>
        <v>0</v>
      </c>
      <c r="BW403" s="3264"/>
      <c r="BX403" s="3405"/>
      <c r="BY403" s="3406"/>
      <c r="BZ403" s="3406"/>
      <c r="CA403" s="2424">
        <f>CA30</f>
        <v>1992381238</v>
      </c>
      <c r="CB403" s="2424">
        <f t="shared" ref="CB403:CD403" si="1394">CB30</f>
        <v>0</v>
      </c>
      <c r="CC403" s="2424">
        <f t="shared" si="1394"/>
        <v>1992381238</v>
      </c>
      <c r="CD403" s="2424">
        <f t="shared" si="1394"/>
        <v>0</v>
      </c>
      <c r="CE403" s="3264"/>
      <c r="CF403" s="3405"/>
      <c r="CG403" s="3406"/>
      <c r="CH403" s="3406"/>
      <c r="CI403" s="2424">
        <f>CI30</f>
        <v>1992381238</v>
      </c>
      <c r="CJ403" s="2424">
        <f t="shared" ref="CJ403:CL403" si="1395">CJ30</f>
        <v>0</v>
      </c>
      <c r="CK403" s="2424">
        <f t="shared" si="1395"/>
        <v>1992381238</v>
      </c>
      <c r="CL403" s="2424">
        <f t="shared" si="1395"/>
        <v>0</v>
      </c>
      <c r="CM403" s="3264"/>
      <c r="CN403" s="3405"/>
      <c r="CO403" s="3406"/>
      <c r="CP403" s="3406"/>
      <c r="CQ403" s="2424">
        <f>CQ30</f>
        <v>1992381238</v>
      </c>
      <c r="CR403" s="2424">
        <f t="shared" ref="CR403:CT403" si="1396">CR30</f>
        <v>0</v>
      </c>
      <c r="CS403" s="2424">
        <f t="shared" si="1396"/>
        <v>1992381238</v>
      </c>
      <c r="CT403" s="2424">
        <f t="shared" si="1396"/>
        <v>0</v>
      </c>
      <c r="CU403" s="3264"/>
      <c r="CV403" s="3405"/>
      <c r="CW403" s="3406"/>
      <c r="CX403" s="3406"/>
      <c r="CY403" s="2424">
        <f>CY30</f>
        <v>1992381238</v>
      </c>
      <c r="CZ403" s="2424">
        <f t="shared" ref="CZ403:DB403" si="1397">CZ30</f>
        <v>0</v>
      </c>
      <c r="DA403" s="2424">
        <f t="shared" si="1397"/>
        <v>1992381238</v>
      </c>
      <c r="DB403" s="2424">
        <f t="shared" si="1397"/>
        <v>0</v>
      </c>
      <c r="DC403" s="3264"/>
      <c r="DD403" s="3405"/>
      <c r="DE403" s="3406"/>
      <c r="DF403" s="3406"/>
      <c r="DG403" s="2424">
        <f>DG30</f>
        <v>1992381238</v>
      </c>
      <c r="DH403" s="2424">
        <f t="shared" ref="DH403:DJ403" si="1398">DH30</f>
        <v>0</v>
      </c>
      <c r="DI403" s="2424">
        <f t="shared" si="1398"/>
        <v>1992381238</v>
      </c>
      <c r="DJ403" s="2424">
        <f t="shared" si="1398"/>
        <v>0</v>
      </c>
      <c r="DK403" s="3264"/>
      <c r="DL403" s="3405"/>
      <c r="DM403" s="3406"/>
      <c r="DN403" s="3406"/>
      <c r="DO403" s="2424">
        <f>DO30</f>
        <v>1992381238</v>
      </c>
      <c r="DP403" s="2424">
        <f t="shared" ref="DP403:DR403" si="1399">DP30</f>
        <v>0</v>
      </c>
      <c r="DQ403" s="2424">
        <f t="shared" si="1399"/>
        <v>1992381238</v>
      </c>
      <c r="DR403" s="2424">
        <f t="shared" si="1399"/>
        <v>0</v>
      </c>
      <c r="DS403" s="3264"/>
      <c r="DT403" s="3405"/>
      <c r="DU403" s="3406"/>
      <c r="DV403" s="3406"/>
      <c r="DW403" s="2424">
        <f>DW30</f>
        <v>1992381238</v>
      </c>
      <c r="DX403" s="2424">
        <f t="shared" ref="DX403:DZ403" si="1400">DX30</f>
        <v>0</v>
      </c>
      <c r="DY403" s="2424">
        <f t="shared" si="1400"/>
        <v>1992381238</v>
      </c>
      <c r="DZ403" s="2424">
        <f t="shared" si="1400"/>
        <v>0</v>
      </c>
      <c r="EA403" s="3264"/>
      <c r="EB403" s="3405"/>
      <c r="EC403" s="3406"/>
      <c r="ED403" s="3406"/>
      <c r="EE403" s="2424">
        <f>EE30</f>
        <v>1992381238</v>
      </c>
      <c r="EF403" s="2424">
        <f t="shared" ref="EF403:EH403" si="1401">EF30</f>
        <v>0</v>
      </c>
      <c r="EG403" s="2424">
        <f t="shared" si="1401"/>
        <v>1992381238</v>
      </c>
      <c r="EH403" s="2424">
        <f t="shared" si="1401"/>
        <v>0</v>
      </c>
      <c r="EI403" s="3264"/>
      <c r="EJ403" s="3405"/>
      <c r="EK403" s="3406"/>
      <c r="EL403" s="3406"/>
      <c r="EM403" s="2424">
        <f>EM30</f>
        <v>1992381238</v>
      </c>
      <c r="EN403" s="2424">
        <f t="shared" ref="EN403:EP403" si="1402">EN30</f>
        <v>0</v>
      </c>
      <c r="EO403" s="2424">
        <f t="shared" si="1402"/>
        <v>1992381238</v>
      </c>
      <c r="EP403" s="2424">
        <f t="shared" si="1402"/>
        <v>0</v>
      </c>
      <c r="EQ403" s="3264"/>
      <c r="ER403" s="3405"/>
      <c r="ES403" s="3406"/>
      <c r="ET403" s="3406"/>
      <c r="EU403" s="2424">
        <f>EU30</f>
        <v>1992381238</v>
      </c>
      <c r="EV403" s="2424">
        <f t="shared" ref="EV403:EX403" si="1403">EV30</f>
        <v>0</v>
      </c>
      <c r="EW403" s="2424">
        <f t="shared" si="1403"/>
        <v>1992381238</v>
      </c>
      <c r="EX403" s="2424">
        <f t="shared" si="1403"/>
        <v>0</v>
      </c>
      <c r="EY403" s="3264"/>
      <c r="EZ403" s="3405"/>
      <c r="FA403" s="3406"/>
      <c r="FB403" s="3406"/>
      <c r="FC403" s="2424">
        <f>FC30</f>
        <v>1992381238</v>
      </c>
      <c r="FD403" s="2424">
        <f t="shared" ref="FD403:FF403" si="1404">FD30</f>
        <v>0</v>
      </c>
      <c r="FE403" s="2424">
        <f t="shared" si="1404"/>
        <v>1992381238</v>
      </c>
      <c r="FF403" s="2424">
        <f t="shared" si="1404"/>
        <v>0</v>
      </c>
      <c r="FG403" s="3264"/>
      <c r="FH403" s="3405"/>
      <c r="FI403" s="3406"/>
      <c r="FJ403" s="3406"/>
      <c r="FK403" s="2424">
        <f>FK30</f>
        <v>1992381238</v>
      </c>
      <c r="FL403" s="2424">
        <f t="shared" ref="FL403:FN403" si="1405">FL30</f>
        <v>0</v>
      </c>
      <c r="FM403" s="2424">
        <f t="shared" si="1405"/>
        <v>1992381238</v>
      </c>
      <c r="FN403" s="2424">
        <f t="shared" si="1405"/>
        <v>0</v>
      </c>
      <c r="FO403" s="3264"/>
    </row>
    <row r="404" spans="2:171">
      <c r="B404" s="3086"/>
      <c r="C404" s="3086" t="s">
        <v>122</v>
      </c>
      <c r="D404" s="3405"/>
      <c r="E404" s="3234" t="s">
        <v>390</v>
      </c>
      <c r="G404" s="2424">
        <f>G33</f>
        <v>5283922742</v>
      </c>
      <c r="H404" s="2424">
        <f t="shared" ref="H404:J404" si="1406">H33</f>
        <v>0</v>
      </c>
      <c r="I404" s="2424">
        <f t="shared" si="1406"/>
        <v>0</v>
      </c>
      <c r="J404" s="2424">
        <f t="shared" si="1406"/>
        <v>5283922742</v>
      </c>
      <c r="K404" s="3264"/>
      <c r="L404" s="3405"/>
      <c r="M404" s="3406"/>
      <c r="N404" s="3406"/>
      <c r="O404" s="2424">
        <f>O33</f>
        <v>5283922742</v>
      </c>
      <c r="P404" s="2424">
        <f t="shared" ref="P404:R404" si="1407">P33</f>
        <v>0</v>
      </c>
      <c r="Q404" s="2424">
        <f t="shared" si="1407"/>
        <v>0</v>
      </c>
      <c r="R404" s="2424">
        <f t="shared" si="1407"/>
        <v>5283922742</v>
      </c>
      <c r="S404" s="3264"/>
      <c r="T404" s="3405"/>
      <c r="U404" s="3406"/>
      <c r="V404" s="3406"/>
      <c r="W404" s="2424">
        <f>W33</f>
        <v>5283922742</v>
      </c>
      <c r="X404" s="2424">
        <f t="shared" ref="X404:Z404" si="1408">X33</f>
        <v>0</v>
      </c>
      <c r="Y404" s="2424">
        <f t="shared" si="1408"/>
        <v>0</v>
      </c>
      <c r="Z404" s="2424">
        <f t="shared" si="1408"/>
        <v>5283922742</v>
      </c>
      <c r="AA404" s="3264"/>
      <c r="AB404" s="3405"/>
      <c r="AC404" s="3406"/>
      <c r="AD404" s="3406"/>
      <c r="AE404" s="2424">
        <f>AE33</f>
        <v>5283922742</v>
      </c>
      <c r="AF404" s="2424">
        <f t="shared" ref="AF404:AH404" si="1409">AF33</f>
        <v>0</v>
      </c>
      <c r="AG404" s="2424">
        <f t="shared" si="1409"/>
        <v>0</v>
      </c>
      <c r="AH404" s="2424">
        <f t="shared" si="1409"/>
        <v>5283922742</v>
      </c>
      <c r="AI404" s="3264"/>
      <c r="AJ404" s="3405"/>
      <c r="AK404" s="3406"/>
      <c r="AL404" s="3406"/>
      <c r="AM404" s="2424">
        <f>AM33</f>
        <v>5283922742</v>
      </c>
      <c r="AN404" s="2424">
        <f t="shared" ref="AN404:AP404" si="1410">AN33</f>
        <v>0</v>
      </c>
      <c r="AO404" s="2424">
        <f t="shared" si="1410"/>
        <v>0</v>
      </c>
      <c r="AP404" s="2424">
        <f t="shared" si="1410"/>
        <v>5283922742</v>
      </c>
      <c r="AQ404" s="3264"/>
      <c r="AR404" s="3405"/>
      <c r="AS404" s="3406"/>
      <c r="AT404" s="3406"/>
      <c r="AU404" s="2424">
        <f>AU33</f>
        <v>5283922742</v>
      </c>
      <c r="AV404" s="2424">
        <f t="shared" ref="AV404:AX404" si="1411">AV33</f>
        <v>0</v>
      </c>
      <c r="AW404" s="2424">
        <f t="shared" si="1411"/>
        <v>0</v>
      </c>
      <c r="AX404" s="2424">
        <f t="shared" si="1411"/>
        <v>5283922742</v>
      </c>
      <c r="AY404" s="3264"/>
      <c r="AZ404" s="3405"/>
      <c r="BA404" s="3406"/>
      <c r="BB404" s="3406"/>
      <c r="BC404" s="2424">
        <f>BC33</f>
        <v>5283922742</v>
      </c>
      <c r="BD404" s="2424">
        <f t="shared" ref="BD404:BF404" si="1412">BD33</f>
        <v>0</v>
      </c>
      <c r="BE404" s="2424">
        <f t="shared" si="1412"/>
        <v>0</v>
      </c>
      <c r="BF404" s="2424">
        <f t="shared" si="1412"/>
        <v>5283922742</v>
      </c>
      <c r="BG404" s="3264"/>
      <c r="BH404" s="3405"/>
      <c r="BI404" s="3406"/>
      <c r="BJ404" s="3406"/>
      <c r="BK404" s="2424">
        <f>BK33</f>
        <v>5283922742</v>
      </c>
      <c r="BL404" s="2424">
        <f t="shared" ref="BL404:BN404" si="1413">BL33</f>
        <v>0</v>
      </c>
      <c r="BM404" s="2424">
        <f t="shared" si="1413"/>
        <v>0</v>
      </c>
      <c r="BN404" s="2424">
        <f t="shared" si="1413"/>
        <v>5283922742</v>
      </c>
      <c r="BO404" s="3264"/>
      <c r="BP404" s="3405"/>
      <c r="BQ404" s="3406"/>
      <c r="BR404" s="3406"/>
      <c r="BS404" s="2424">
        <f>BS33</f>
        <v>5283922742</v>
      </c>
      <c r="BT404" s="2424">
        <f t="shared" ref="BT404:BV404" si="1414">BT33</f>
        <v>0</v>
      </c>
      <c r="BU404" s="2424">
        <f t="shared" si="1414"/>
        <v>0</v>
      </c>
      <c r="BV404" s="2424">
        <f t="shared" si="1414"/>
        <v>5283922742</v>
      </c>
      <c r="BW404" s="3264"/>
      <c r="BX404" s="3405"/>
      <c r="BY404" s="3406"/>
      <c r="BZ404" s="3406"/>
      <c r="CA404" s="2424">
        <f>CA33</f>
        <v>5283922742</v>
      </c>
      <c r="CB404" s="2424">
        <f t="shared" ref="CB404:CD404" si="1415">CB33</f>
        <v>0</v>
      </c>
      <c r="CC404" s="2424">
        <f t="shared" si="1415"/>
        <v>0</v>
      </c>
      <c r="CD404" s="2424">
        <f t="shared" si="1415"/>
        <v>5283922742</v>
      </c>
      <c r="CE404" s="3264"/>
      <c r="CF404" s="3405"/>
      <c r="CG404" s="3406"/>
      <c r="CH404" s="3406"/>
      <c r="CI404" s="2424">
        <f>CI33</f>
        <v>5283922742</v>
      </c>
      <c r="CJ404" s="2424">
        <f t="shared" ref="CJ404:CL404" si="1416">CJ33</f>
        <v>0</v>
      </c>
      <c r="CK404" s="2424">
        <f t="shared" si="1416"/>
        <v>0</v>
      </c>
      <c r="CL404" s="2424">
        <f t="shared" si="1416"/>
        <v>5283922742</v>
      </c>
      <c r="CM404" s="3264"/>
      <c r="CN404" s="3405"/>
      <c r="CO404" s="3406"/>
      <c r="CP404" s="3406"/>
      <c r="CQ404" s="2424">
        <f>CQ33</f>
        <v>5283922742</v>
      </c>
      <c r="CR404" s="2424">
        <f t="shared" ref="CR404:CT404" si="1417">CR33</f>
        <v>0</v>
      </c>
      <c r="CS404" s="2424">
        <f t="shared" si="1417"/>
        <v>0</v>
      </c>
      <c r="CT404" s="2424">
        <f t="shared" si="1417"/>
        <v>5283922742</v>
      </c>
      <c r="CU404" s="3264"/>
      <c r="CV404" s="3405"/>
      <c r="CW404" s="3406"/>
      <c r="CX404" s="3406"/>
      <c r="CY404" s="2424">
        <f>CY33</f>
        <v>5283922742</v>
      </c>
      <c r="CZ404" s="2424">
        <f t="shared" ref="CZ404:DB404" si="1418">CZ33</f>
        <v>0</v>
      </c>
      <c r="DA404" s="2424">
        <f t="shared" si="1418"/>
        <v>0</v>
      </c>
      <c r="DB404" s="2424">
        <f t="shared" si="1418"/>
        <v>5283922742</v>
      </c>
      <c r="DC404" s="3264"/>
      <c r="DD404" s="3405"/>
      <c r="DE404" s="3406"/>
      <c r="DF404" s="3406"/>
      <c r="DG404" s="2424">
        <f>DG33</f>
        <v>5283922742</v>
      </c>
      <c r="DH404" s="2424">
        <f t="shared" ref="DH404:DJ404" si="1419">DH33</f>
        <v>0</v>
      </c>
      <c r="DI404" s="2424">
        <f t="shared" si="1419"/>
        <v>0</v>
      </c>
      <c r="DJ404" s="2424">
        <f t="shared" si="1419"/>
        <v>5283922742</v>
      </c>
      <c r="DK404" s="3264"/>
      <c r="DL404" s="3405"/>
      <c r="DM404" s="3406"/>
      <c r="DN404" s="3406"/>
      <c r="DO404" s="2424">
        <f>DO33</f>
        <v>5283922742</v>
      </c>
      <c r="DP404" s="2424">
        <f t="shared" ref="DP404:DR404" si="1420">DP33</f>
        <v>0</v>
      </c>
      <c r="DQ404" s="2424">
        <f t="shared" si="1420"/>
        <v>0</v>
      </c>
      <c r="DR404" s="2424">
        <f t="shared" si="1420"/>
        <v>5283922742</v>
      </c>
      <c r="DS404" s="3264"/>
      <c r="DT404" s="3405"/>
      <c r="DU404" s="3406"/>
      <c r="DV404" s="3406"/>
      <c r="DW404" s="2424">
        <f>DW33</f>
        <v>5283922742</v>
      </c>
      <c r="DX404" s="2424">
        <f t="shared" ref="DX404:DZ404" si="1421">DX33</f>
        <v>0</v>
      </c>
      <c r="DY404" s="2424">
        <f t="shared" si="1421"/>
        <v>0</v>
      </c>
      <c r="DZ404" s="2424">
        <f t="shared" si="1421"/>
        <v>5283922742</v>
      </c>
      <c r="EA404" s="3264"/>
      <c r="EB404" s="3405"/>
      <c r="EC404" s="3406"/>
      <c r="ED404" s="3406"/>
      <c r="EE404" s="2424">
        <f>EE33</f>
        <v>5283922742</v>
      </c>
      <c r="EF404" s="2424">
        <f t="shared" ref="EF404:EH404" si="1422">EF33</f>
        <v>0</v>
      </c>
      <c r="EG404" s="2424">
        <f t="shared" si="1422"/>
        <v>0</v>
      </c>
      <c r="EH404" s="2424">
        <f t="shared" si="1422"/>
        <v>5283922742</v>
      </c>
      <c r="EI404" s="3264"/>
      <c r="EJ404" s="3405"/>
      <c r="EK404" s="3406"/>
      <c r="EL404" s="3406"/>
      <c r="EM404" s="2424">
        <f>EM33</f>
        <v>5283922742</v>
      </c>
      <c r="EN404" s="2424">
        <f t="shared" ref="EN404:EP404" si="1423">EN33</f>
        <v>0</v>
      </c>
      <c r="EO404" s="2424">
        <f t="shared" si="1423"/>
        <v>0</v>
      </c>
      <c r="EP404" s="2424">
        <f t="shared" si="1423"/>
        <v>5283922742</v>
      </c>
      <c r="EQ404" s="3264"/>
      <c r="ER404" s="3405"/>
      <c r="ES404" s="3406"/>
      <c r="ET404" s="3406"/>
      <c r="EU404" s="2424">
        <f>EU33</f>
        <v>5283922742</v>
      </c>
      <c r="EV404" s="2424">
        <f t="shared" ref="EV404:EX404" si="1424">EV33</f>
        <v>0</v>
      </c>
      <c r="EW404" s="2424">
        <f t="shared" si="1424"/>
        <v>0</v>
      </c>
      <c r="EX404" s="2424">
        <f t="shared" si="1424"/>
        <v>5283922742</v>
      </c>
      <c r="EY404" s="3264"/>
      <c r="EZ404" s="3405"/>
      <c r="FA404" s="3406"/>
      <c r="FB404" s="3406"/>
      <c r="FC404" s="2424">
        <f>FC33</f>
        <v>5283922742</v>
      </c>
      <c r="FD404" s="2424">
        <f t="shared" ref="FD404:FF404" si="1425">FD33</f>
        <v>0</v>
      </c>
      <c r="FE404" s="2424">
        <f t="shared" si="1425"/>
        <v>0</v>
      </c>
      <c r="FF404" s="2424">
        <f t="shared" si="1425"/>
        <v>5283922742</v>
      </c>
      <c r="FG404" s="3264"/>
      <c r="FH404" s="3405"/>
      <c r="FI404" s="3406"/>
      <c r="FJ404" s="3406"/>
      <c r="FK404" s="2424">
        <f>FK33</f>
        <v>5283922742</v>
      </c>
      <c r="FL404" s="2424">
        <f t="shared" ref="FL404:FN404" si="1426">FL33</f>
        <v>0</v>
      </c>
      <c r="FM404" s="2424">
        <f t="shared" si="1426"/>
        <v>0</v>
      </c>
      <c r="FN404" s="2424">
        <f t="shared" si="1426"/>
        <v>5283922742</v>
      </c>
      <c r="FO404" s="3264"/>
    </row>
    <row r="405" spans="2:171">
      <c r="B405" s="3086"/>
      <c r="C405" s="3086" t="s">
        <v>522</v>
      </c>
      <c r="D405" s="3405"/>
      <c r="E405" s="3095"/>
      <c r="F405" s="3406"/>
      <c r="G405" s="3244">
        <f>G402+G403+G404</f>
        <v>11178688811</v>
      </c>
      <c r="H405" s="3244">
        <f>H402+H403+H404</f>
        <v>3902384831</v>
      </c>
      <c r="I405" s="3244">
        <f>I402+I403+I404</f>
        <v>0</v>
      </c>
      <c r="J405" s="3244">
        <f>J402+J403+J404</f>
        <v>7276303980</v>
      </c>
      <c r="K405" s="3264"/>
      <c r="L405" s="3405"/>
      <c r="M405" s="3406"/>
      <c r="N405" s="3406"/>
      <c r="O405" s="3244">
        <f>O402+O403+O404</f>
        <v>11178688811</v>
      </c>
      <c r="P405" s="3244">
        <f>P402+P403+P404</f>
        <v>3902384831</v>
      </c>
      <c r="Q405" s="3244">
        <f>Q402+Q403+Q404</f>
        <v>1992381238</v>
      </c>
      <c r="R405" s="3244">
        <f>R402+R403+R404</f>
        <v>5283922742</v>
      </c>
      <c r="S405" s="3264"/>
      <c r="T405" s="3405"/>
      <c r="U405" s="3406"/>
      <c r="V405" s="3406"/>
      <c r="W405" s="3244">
        <f>W402+W403+W404</f>
        <v>11178688811</v>
      </c>
      <c r="X405" s="3244">
        <f>X402+X403+X404</f>
        <v>3902384831</v>
      </c>
      <c r="Y405" s="3244">
        <f>Y402+Y403+Y404</f>
        <v>1992381238</v>
      </c>
      <c r="Z405" s="3244">
        <f>Z402+Z403+Z404</f>
        <v>5283922742</v>
      </c>
      <c r="AA405" s="3264"/>
      <c r="AB405" s="3405"/>
      <c r="AC405" s="3406"/>
      <c r="AD405" s="3406"/>
      <c r="AE405" s="3244">
        <f>AE402+AE403+AE404</f>
        <v>11178688811</v>
      </c>
      <c r="AF405" s="3244">
        <f>AF402+AF403+AF404</f>
        <v>3902384831</v>
      </c>
      <c r="AG405" s="3244">
        <f>AG402+AG403+AG404</f>
        <v>1992381238</v>
      </c>
      <c r="AH405" s="3244">
        <f>AH402+AH403+AH404</f>
        <v>5283922742</v>
      </c>
      <c r="AI405" s="3264"/>
      <c r="AJ405" s="3405"/>
      <c r="AK405" s="3406"/>
      <c r="AL405" s="3406"/>
      <c r="AM405" s="3244">
        <f>AM402+AM403+AM404</f>
        <v>11178688811</v>
      </c>
      <c r="AN405" s="3244">
        <f>AN402+AN403+AN404</f>
        <v>3902384831</v>
      </c>
      <c r="AO405" s="3244">
        <f>AO402+AO403+AO404</f>
        <v>1992381238</v>
      </c>
      <c r="AP405" s="3244">
        <f>AP402+AP403+AP404</f>
        <v>5283922742</v>
      </c>
      <c r="AQ405" s="3264"/>
      <c r="AR405" s="3405"/>
      <c r="AS405" s="3406"/>
      <c r="AT405" s="3406"/>
      <c r="AU405" s="3244">
        <f>AU402+AU403+AU404</f>
        <v>11178688811</v>
      </c>
      <c r="AV405" s="3244">
        <f>AV402+AV403+AV404</f>
        <v>3902384831</v>
      </c>
      <c r="AW405" s="3244">
        <f>AW402+AW403+AW404</f>
        <v>1992381238</v>
      </c>
      <c r="AX405" s="3244">
        <f>AX402+AX403+AX404</f>
        <v>5283922742</v>
      </c>
      <c r="AY405" s="3264"/>
      <c r="AZ405" s="3405"/>
      <c r="BA405" s="3406"/>
      <c r="BB405" s="3406"/>
      <c r="BC405" s="3244">
        <f>BC402+BC403+BC404</f>
        <v>11178688811</v>
      </c>
      <c r="BD405" s="3244">
        <f>BD402+BD403+BD404</f>
        <v>3902384831</v>
      </c>
      <c r="BE405" s="3244">
        <f>BE402+BE403+BE404</f>
        <v>1992381238</v>
      </c>
      <c r="BF405" s="3244">
        <f>BF402+BF403+BF404</f>
        <v>5283922742</v>
      </c>
      <c r="BG405" s="3264"/>
      <c r="BH405" s="3405"/>
      <c r="BI405" s="3406"/>
      <c r="BJ405" s="3406"/>
      <c r="BK405" s="3244">
        <f>BK402+BK403+BK404</f>
        <v>11178688811</v>
      </c>
      <c r="BL405" s="3244">
        <f>BL402+BL403+BL404</f>
        <v>3902384831</v>
      </c>
      <c r="BM405" s="3244">
        <f>BM402+BM403+BM404</f>
        <v>1992381238</v>
      </c>
      <c r="BN405" s="3244">
        <f>BN402+BN403+BN404</f>
        <v>5283922742</v>
      </c>
      <c r="BO405" s="3264"/>
      <c r="BP405" s="3405"/>
      <c r="BQ405" s="3406"/>
      <c r="BR405" s="3406"/>
      <c r="BS405" s="3244">
        <f>BS402+BS403+BS404</f>
        <v>11178688811</v>
      </c>
      <c r="BT405" s="3244">
        <f>BT402+BT403+BT404</f>
        <v>3902384831</v>
      </c>
      <c r="BU405" s="3244">
        <f>BU402+BU403+BU404</f>
        <v>1992381238</v>
      </c>
      <c r="BV405" s="3244">
        <f>BV402+BV403+BV404</f>
        <v>5283922742</v>
      </c>
      <c r="BW405" s="3264"/>
      <c r="BX405" s="3405"/>
      <c r="BY405" s="3406"/>
      <c r="BZ405" s="3406"/>
      <c r="CA405" s="3244">
        <f>CA402+CA403+CA404</f>
        <v>11178688811</v>
      </c>
      <c r="CB405" s="3244">
        <f>CB402+CB403+CB404</f>
        <v>3902384831</v>
      </c>
      <c r="CC405" s="3244">
        <f>CC402+CC403+CC404</f>
        <v>1992381238</v>
      </c>
      <c r="CD405" s="3244">
        <f>CD402+CD403+CD404</f>
        <v>5283922742</v>
      </c>
      <c r="CE405" s="3264"/>
      <c r="CF405" s="3405"/>
      <c r="CG405" s="3406"/>
      <c r="CH405" s="3406"/>
      <c r="CI405" s="3244">
        <f>CI402+CI403+CI404</f>
        <v>11178688811</v>
      </c>
      <c r="CJ405" s="3244">
        <f>CJ402+CJ403+CJ404</f>
        <v>3902384831</v>
      </c>
      <c r="CK405" s="3244">
        <f>CK402+CK403+CK404</f>
        <v>1992381238</v>
      </c>
      <c r="CL405" s="3244">
        <f>CL402+CL403+CL404</f>
        <v>5283922742</v>
      </c>
      <c r="CM405" s="3264"/>
      <c r="CN405" s="3405"/>
      <c r="CO405" s="3406"/>
      <c r="CP405" s="3406"/>
      <c r="CQ405" s="3244">
        <f>CQ402+CQ403+CQ404</f>
        <v>11178688811</v>
      </c>
      <c r="CR405" s="3244">
        <f>CR402+CR403+CR404</f>
        <v>3902384831</v>
      </c>
      <c r="CS405" s="3244">
        <f>CS402+CS403+CS404</f>
        <v>1992381238</v>
      </c>
      <c r="CT405" s="3244">
        <f>CT402+CT403+CT404</f>
        <v>5283922742</v>
      </c>
      <c r="CU405" s="3264"/>
      <c r="CV405" s="3405"/>
      <c r="CW405" s="3406"/>
      <c r="CX405" s="3406"/>
      <c r="CY405" s="3244">
        <f>CY402+CY403+CY404</f>
        <v>11178688811</v>
      </c>
      <c r="CZ405" s="3244">
        <f>CZ402+CZ403+CZ404</f>
        <v>3902384831</v>
      </c>
      <c r="DA405" s="3244">
        <f>DA402+DA403+DA404</f>
        <v>1992381238</v>
      </c>
      <c r="DB405" s="3244">
        <f>DB402+DB403+DB404</f>
        <v>5283922742</v>
      </c>
      <c r="DC405" s="3264"/>
      <c r="DD405" s="3405"/>
      <c r="DE405" s="3406"/>
      <c r="DF405" s="3406"/>
      <c r="DG405" s="3244">
        <f>DG402+DG403+DG404</f>
        <v>11178688811</v>
      </c>
      <c r="DH405" s="3244">
        <f>DH402+DH403+DH404</f>
        <v>3902384831</v>
      </c>
      <c r="DI405" s="3244">
        <f>DI402+DI403+DI404</f>
        <v>1992381238</v>
      </c>
      <c r="DJ405" s="3244">
        <f>DJ402+DJ403+DJ404</f>
        <v>5283922742</v>
      </c>
      <c r="DK405" s="3264"/>
      <c r="DL405" s="3405"/>
      <c r="DM405" s="3406"/>
      <c r="DN405" s="3406"/>
      <c r="DO405" s="3244">
        <f>DO402+DO403+DO404</f>
        <v>11178688811</v>
      </c>
      <c r="DP405" s="3244">
        <f>DP402+DP403+DP404</f>
        <v>3902384831</v>
      </c>
      <c r="DQ405" s="3244">
        <f>DQ402+DQ403+DQ404</f>
        <v>1992381238</v>
      </c>
      <c r="DR405" s="3244">
        <f>DR402+DR403+DR404</f>
        <v>5283922742</v>
      </c>
      <c r="DS405" s="3264"/>
      <c r="DT405" s="3405"/>
      <c r="DU405" s="3406"/>
      <c r="DV405" s="3406"/>
      <c r="DW405" s="3244">
        <f>DW402+DW403+DW404</f>
        <v>11178688811</v>
      </c>
      <c r="DX405" s="3244">
        <f>DX402+DX403+DX404</f>
        <v>3902384831</v>
      </c>
      <c r="DY405" s="3244">
        <f>DY402+DY403+DY404</f>
        <v>1992381238</v>
      </c>
      <c r="DZ405" s="3244">
        <f>DZ402+DZ403+DZ404</f>
        <v>5283922742</v>
      </c>
      <c r="EA405" s="3264"/>
      <c r="EB405" s="3405"/>
      <c r="EC405" s="3406"/>
      <c r="ED405" s="3406"/>
      <c r="EE405" s="3244">
        <f>EE402+EE403+EE404</f>
        <v>11178688811</v>
      </c>
      <c r="EF405" s="3244">
        <f>EF402+EF403+EF404</f>
        <v>3902384831</v>
      </c>
      <c r="EG405" s="3244">
        <f>EG402+EG403+EG404</f>
        <v>1992381238</v>
      </c>
      <c r="EH405" s="3244">
        <f>EH402+EH403+EH404</f>
        <v>5283922742</v>
      </c>
      <c r="EI405" s="3264"/>
      <c r="EJ405" s="3405"/>
      <c r="EK405" s="3406"/>
      <c r="EL405" s="3406"/>
      <c r="EM405" s="3244">
        <f>EM402+EM403+EM404</f>
        <v>11178688811</v>
      </c>
      <c r="EN405" s="3244">
        <f>EN402+EN403+EN404</f>
        <v>3902384831</v>
      </c>
      <c r="EO405" s="3244">
        <f>EO402+EO403+EO404</f>
        <v>1992381238</v>
      </c>
      <c r="EP405" s="3244">
        <f>EP402+EP403+EP404</f>
        <v>5283922742</v>
      </c>
      <c r="EQ405" s="3264"/>
      <c r="ER405" s="3405"/>
      <c r="ES405" s="3406"/>
      <c r="ET405" s="3406"/>
      <c r="EU405" s="3244">
        <f>EU402+EU403+EU404</f>
        <v>11178688811</v>
      </c>
      <c r="EV405" s="3244">
        <f>EV402+EV403+EV404</f>
        <v>3902384831</v>
      </c>
      <c r="EW405" s="3244">
        <f>EW402+EW403+EW404</f>
        <v>1992381238</v>
      </c>
      <c r="EX405" s="3244">
        <f>EX402+EX403+EX404</f>
        <v>5283922742</v>
      </c>
      <c r="EY405" s="3264"/>
      <c r="EZ405" s="3405"/>
      <c r="FA405" s="3406"/>
      <c r="FB405" s="3406"/>
      <c r="FC405" s="3244">
        <f>FC402+FC403+FC404</f>
        <v>11178688811</v>
      </c>
      <c r="FD405" s="3244">
        <f>FD402+FD403+FD404</f>
        <v>3902384831</v>
      </c>
      <c r="FE405" s="3244">
        <f>FE402+FE403+FE404</f>
        <v>1992381238</v>
      </c>
      <c r="FF405" s="3244">
        <f>FF402+FF403+FF404</f>
        <v>5283922742</v>
      </c>
      <c r="FG405" s="3264"/>
      <c r="FH405" s="3405"/>
      <c r="FI405" s="3406"/>
      <c r="FJ405" s="3406"/>
      <c r="FK405" s="3244">
        <f>FK402+FK403+FK404</f>
        <v>11178688811</v>
      </c>
      <c r="FL405" s="3244">
        <f>FL402+FL403+FL404</f>
        <v>3902384831</v>
      </c>
      <c r="FM405" s="3244">
        <f>FM402+FM403+FM404</f>
        <v>1992381238</v>
      </c>
      <c r="FN405" s="3244">
        <f>FN402+FN403+FN404</f>
        <v>5283922742</v>
      </c>
      <c r="FO405" s="3264"/>
    </row>
    <row r="406" spans="2:171">
      <c r="B406" s="3114"/>
      <c r="C406" s="3114" t="s">
        <v>337</v>
      </c>
      <c r="D406" s="3407" t="s">
        <v>625</v>
      </c>
      <c r="E406" s="3125"/>
      <c r="F406" s="3410"/>
      <c r="G406" s="3402">
        <f>H406+I406+J406</f>
        <v>1</v>
      </c>
      <c r="H406" s="3402">
        <f>IF($G405=0,0,H405/G405)</f>
        <v>0.34909146295941201</v>
      </c>
      <c r="I406" s="3402">
        <f>IF($G405=0,0,I405/G405)</f>
        <v>0</v>
      </c>
      <c r="J406" s="3402">
        <f>IF($G405=0,0,J405/G405)</f>
        <v>0.65090853704058804</v>
      </c>
      <c r="K406" s="3411"/>
      <c r="L406" s="3403" t="s">
        <v>625</v>
      </c>
      <c r="M406" s="3412"/>
      <c r="N406" s="3410"/>
      <c r="O406" s="3402">
        <f>P406+Q406+R406</f>
        <v>1</v>
      </c>
      <c r="P406" s="3402">
        <f>IF($G405=0,0,P405/O405)</f>
        <v>0.34909146295941201</v>
      </c>
      <c r="Q406" s="3402">
        <f>IF($G405=0,0,Q405/O405)</f>
        <v>0.17823031588816271</v>
      </c>
      <c r="R406" s="3402">
        <f>IF($G405=0,0,R405/O405)</f>
        <v>0.4726782211524253</v>
      </c>
      <c r="S406" s="3411"/>
      <c r="T406" s="3403" t="s">
        <v>625</v>
      </c>
      <c r="U406" s="3412"/>
      <c r="V406" s="3410"/>
      <c r="W406" s="3402">
        <f>X406+Y406+Z406</f>
        <v>1</v>
      </c>
      <c r="X406" s="3402">
        <f>IF($G405=0,0,X405/W405)</f>
        <v>0.34909146295941201</v>
      </c>
      <c r="Y406" s="3402">
        <f>IF($G405=0,0,Y405/W405)</f>
        <v>0.17823031588816271</v>
      </c>
      <c r="Z406" s="3402">
        <f>IF($G405=0,0,Z405/W405)</f>
        <v>0.4726782211524253</v>
      </c>
      <c r="AA406" s="3411"/>
      <c r="AB406" s="3403" t="s">
        <v>625</v>
      </c>
      <c r="AC406" s="3412"/>
      <c r="AD406" s="3410"/>
      <c r="AE406" s="3402">
        <f>AF406+AG406+AH406</f>
        <v>1</v>
      </c>
      <c r="AF406" s="3402">
        <f>IF($G405=0,0,AF405/AE405)</f>
        <v>0.34909146295941201</v>
      </c>
      <c r="AG406" s="3402">
        <f>IF($G405=0,0,AG405/AE405)</f>
        <v>0.17823031588816271</v>
      </c>
      <c r="AH406" s="3402">
        <f>IF($G405=0,0,AH405/AE405)</f>
        <v>0.4726782211524253</v>
      </c>
      <c r="AI406" s="3411"/>
      <c r="AJ406" s="3403" t="s">
        <v>625</v>
      </c>
      <c r="AK406" s="3412"/>
      <c r="AL406" s="3410"/>
      <c r="AM406" s="3402">
        <f>AN406+AO406+AP406</f>
        <v>1</v>
      </c>
      <c r="AN406" s="3402">
        <f>IF($G405=0,0,AN405/AM405)</f>
        <v>0.34909146295941201</v>
      </c>
      <c r="AO406" s="3402">
        <f>IF($G405=0,0,AO405/AM405)</f>
        <v>0.17823031588816271</v>
      </c>
      <c r="AP406" s="3402">
        <f>IF($G405=0,0,AP405/AM405)</f>
        <v>0.4726782211524253</v>
      </c>
      <c r="AQ406" s="3411"/>
      <c r="AR406" s="3403" t="s">
        <v>625</v>
      </c>
      <c r="AS406" s="3412"/>
      <c r="AT406" s="3410"/>
      <c r="AU406" s="3402">
        <f>AV406+AW406+AX406</f>
        <v>1</v>
      </c>
      <c r="AV406" s="3402">
        <f>IF($G405=0,0,AV405/AU405)</f>
        <v>0.34909146295941201</v>
      </c>
      <c r="AW406" s="3402">
        <f>IF($G405=0,0,AW405/AU405)</f>
        <v>0.17823031588816271</v>
      </c>
      <c r="AX406" s="3402">
        <f>IF($G405=0,0,AX405/AU405)</f>
        <v>0.4726782211524253</v>
      </c>
      <c r="AY406" s="3411"/>
      <c r="AZ406" s="3403" t="s">
        <v>625</v>
      </c>
      <c r="BA406" s="3412"/>
      <c r="BB406" s="3410"/>
      <c r="BC406" s="3402">
        <f>BD406+BE406+BF406</f>
        <v>1</v>
      </c>
      <c r="BD406" s="3402">
        <f>IF($G405=0,0,BD405/BC405)</f>
        <v>0.34909146295941201</v>
      </c>
      <c r="BE406" s="3402">
        <f>IF($G405=0,0,BE405/BC405)</f>
        <v>0.17823031588816271</v>
      </c>
      <c r="BF406" s="3402">
        <f>IF($G405=0,0,BF405/BC405)</f>
        <v>0.4726782211524253</v>
      </c>
      <c r="BG406" s="3411"/>
      <c r="BH406" s="3403" t="s">
        <v>625</v>
      </c>
      <c r="BI406" s="3412"/>
      <c r="BJ406" s="3410"/>
      <c r="BK406" s="3402">
        <f>BL406+BM406+BN406</f>
        <v>1</v>
      </c>
      <c r="BL406" s="3402">
        <f>IF($G405=0,0,BL405/BK405)</f>
        <v>0.34909146295941201</v>
      </c>
      <c r="BM406" s="3402">
        <f>IF($G405=0,0,BM405/BK405)</f>
        <v>0.17823031588816271</v>
      </c>
      <c r="BN406" s="3402">
        <f>IF($G405=0,0,BN405/BK405)</f>
        <v>0.4726782211524253</v>
      </c>
      <c r="BO406" s="3411"/>
      <c r="BP406" s="3403" t="s">
        <v>625</v>
      </c>
      <c r="BQ406" s="3412"/>
      <c r="BR406" s="3410"/>
      <c r="BS406" s="3402">
        <f>BT406+BU406+BV406</f>
        <v>1</v>
      </c>
      <c r="BT406" s="3402">
        <f>IF($G405=0,0,BT405/BS405)</f>
        <v>0.34909146295941201</v>
      </c>
      <c r="BU406" s="3402">
        <f>IF($G405=0,0,BU405/BS405)</f>
        <v>0.17823031588816271</v>
      </c>
      <c r="BV406" s="3402">
        <f>IF($G405=0,0,BV405/BS405)</f>
        <v>0.4726782211524253</v>
      </c>
      <c r="BW406" s="3411"/>
      <c r="BX406" s="3403" t="s">
        <v>625</v>
      </c>
      <c r="BY406" s="3412"/>
      <c r="BZ406" s="3410"/>
      <c r="CA406" s="3402">
        <f>CB406+CC406+CD406</f>
        <v>1</v>
      </c>
      <c r="CB406" s="3402">
        <f>IF($G405=0,0,CB405/CA405)</f>
        <v>0.34909146295941201</v>
      </c>
      <c r="CC406" s="3402">
        <f>IF($G405=0,0,CC405/CA405)</f>
        <v>0.17823031588816271</v>
      </c>
      <c r="CD406" s="3402">
        <f>IF($G405=0,0,CD405/CA405)</f>
        <v>0.4726782211524253</v>
      </c>
      <c r="CE406" s="3411"/>
      <c r="CF406" s="3403" t="s">
        <v>625</v>
      </c>
      <c r="CG406" s="3412"/>
      <c r="CH406" s="3410"/>
      <c r="CI406" s="3402">
        <f>CJ406+CK406+CL406</f>
        <v>1</v>
      </c>
      <c r="CJ406" s="3402">
        <f>IF($G405=0,0,CJ405/CI405)</f>
        <v>0.34909146295941201</v>
      </c>
      <c r="CK406" s="3402">
        <f>IF($G405=0,0,CK405/CI405)</f>
        <v>0.17823031588816271</v>
      </c>
      <c r="CL406" s="3402">
        <f>IF($G405=0,0,CL405/CI405)</f>
        <v>0.4726782211524253</v>
      </c>
      <c r="CM406" s="3411"/>
      <c r="CN406" s="3403" t="s">
        <v>625</v>
      </c>
      <c r="CO406" s="3412"/>
      <c r="CP406" s="3410"/>
      <c r="CQ406" s="3402">
        <f>CR406+CS406+CT406</f>
        <v>1</v>
      </c>
      <c r="CR406" s="3402">
        <f>IF($G405=0,0,CR405/CQ405)</f>
        <v>0.34909146295941201</v>
      </c>
      <c r="CS406" s="3402">
        <f>IF($G405=0,0,CS405/CQ405)</f>
        <v>0.17823031588816271</v>
      </c>
      <c r="CT406" s="3402">
        <f>IF($G405=0,0,CT405/CQ405)</f>
        <v>0.4726782211524253</v>
      </c>
      <c r="CU406" s="3411"/>
      <c r="CV406" s="3403" t="s">
        <v>625</v>
      </c>
      <c r="CW406" s="3412"/>
      <c r="CX406" s="3410"/>
      <c r="CY406" s="3402">
        <f>CZ406+DA406+DB406</f>
        <v>1</v>
      </c>
      <c r="CZ406" s="3402">
        <f>IF($G405=0,0,CZ405/CY405)</f>
        <v>0.34909146295941201</v>
      </c>
      <c r="DA406" s="3402">
        <f>IF($G405=0,0,DA405/CY405)</f>
        <v>0.17823031588816271</v>
      </c>
      <c r="DB406" s="3402">
        <f>IF($G405=0,0,DB405/CY405)</f>
        <v>0.4726782211524253</v>
      </c>
      <c r="DC406" s="3411"/>
      <c r="DD406" s="3403" t="s">
        <v>625</v>
      </c>
      <c r="DE406" s="3412"/>
      <c r="DF406" s="3410"/>
      <c r="DG406" s="3402">
        <f>DH406+DI406+DJ406</f>
        <v>1</v>
      </c>
      <c r="DH406" s="3402">
        <f>IF($G405=0,0,DH405/DG405)</f>
        <v>0.34909146295941201</v>
      </c>
      <c r="DI406" s="3402">
        <f>IF($G405=0,0,DI405/DG405)</f>
        <v>0.17823031588816271</v>
      </c>
      <c r="DJ406" s="3402">
        <f>IF($G405=0,0,DJ405/DG405)</f>
        <v>0.4726782211524253</v>
      </c>
      <c r="DK406" s="3411"/>
      <c r="DL406" s="3403" t="s">
        <v>625</v>
      </c>
      <c r="DM406" s="3412"/>
      <c r="DN406" s="3410"/>
      <c r="DO406" s="3402">
        <f>DP406+DQ406+DR406</f>
        <v>1</v>
      </c>
      <c r="DP406" s="3402">
        <f>IF($G405=0,0,DP405/DO405)</f>
        <v>0.34909146295941201</v>
      </c>
      <c r="DQ406" s="3402">
        <f>IF($G405=0,0,DQ405/DO405)</f>
        <v>0.17823031588816271</v>
      </c>
      <c r="DR406" s="3402">
        <f>IF($G405=0,0,DR405/DO405)</f>
        <v>0.4726782211524253</v>
      </c>
      <c r="DS406" s="3411"/>
      <c r="DT406" s="3403" t="s">
        <v>625</v>
      </c>
      <c r="DU406" s="3412"/>
      <c r="DV406" s="3410"/>
      <c r="DW406" s="3402">
        <f>DX406+DY406+DZ406</f>
        <v>1</v>
      </c>
      <c r="DX406" s="3402">
        <f>IF($G405=0,0,DX405/DW405)</f>
        <v>0.34909146295941201</v>
      </c>
      <c r="DY406" s="3402">
        <f>IF($G405=0,0,DY405/DW405)</f>
        <v>0.17823031588816271</v>
      </c>
      <c r="DZ406" s="3402">
        <f>IF($G405=0,0,DZ405/DW405)</f>
        <v>0.4726782211524253</v>
      </c>
      <c r="EA406" s="3411"/>
      <c r="EB406" s="3403" t="s">
        <v>625</v>
      </c>
      <c r="EC406" s="3412"/>
      <c r="ED406" s="3410"/>
      <c r="EE406" s="3402">
        <f>EF406+EG406+EH406</f>
        <v>1</v>
      </c>
      <c r="EF406" s="3402">
        <f>IF($G405=0,0,EF405/EE405)</f>
        <v>0.34909146295941201</v>
      </c>
      <c r="EG406" s="3402">
        <f>IF($G405=0,0,EG405/EE405)</f>
        <v>0.17823031588816271</v>
      </c>
      <c r="EH406" s="3402">
        <f>IF($G405=0,0,EH405/EE405)</f>
        <v>0.4726782211524253</v>
      </c>
      <c r="EI406" s="3411"/>
      <c r="EJ406" s="3403" t="s">
        <v>625</v>
      </c>
      <c r="EK406" s="3412"/>
      <c r="EL406" s="3410"/>
      <c r="EM406" s="3402">
        <f>EN406+EO406+EP406</f>
        <v>1</v>
      </c>
      <c r="EN406" s="3402">
        <f>IF($G405=0,0,EN405/EM405)</f>
        <v>0.34909146295941201</v>
      </c>
      <c r="EO406" s="3402">
        <f>IF($G405=0,0,EO405/EM405)</f>
        <v>0.17823031588816271</v>
      </c>
      <c r="EP406" s="3402">
        <f>IF($G405=0,0,EP405/EM405)</f>
        <v>0.4726782211524253</v>
      </c>
      <c r="EQ406" s="3411"/>
      <c r="ER406" s="3403" t="s">
        <v>625</v>
      </c>
      <c r="ES406" s="3412"/>
      <c r="ET406" s="3410"/>
      <c r="EU406" s="3402">
        <f>EV406+EW406+EX406</f>
        <v>1</v>
      </c>
      <c r="EV406" s="3402">
        <f>IF($G405=0,0,EV405/EU405)</f>
        <v>0.34909146295941201</v>
      </c>
      <c r="EW406" s="3402">
        <f>IF($G405=0,0,EW405/EU405)</f>
        <v>0.17823031588816271</v>
      </c>
      <c r="EX406" s="3402">
        <f>IF($G405=0,0,EX405/EU405)</f>
        <v>0.4726782211524253</v>
      </c>
      <c r="EY406" s="3411"/>
      <c r="EZ406" s="3403" t="s">
        <v>625</v>
      </c>
      <c r="FA406" s="3412"/>
      <c r="FB406" s="3410"/>
      <c r="FC406" s="3402">
        <f>FD406+FE406+FF406</f>
        <v>1</v>
      </c>
      <c r="FD406" s="3402">
        <f>IF($G405=0,0,FD405/FC405)</f>
        <v>0.34909146295941201</v>
      </c>
      <c r="FE406" s="3402">
        <f>IF($G405=0,0,FE405/FC405)</f>
        <v>0.17823031588816271</v>
      </c>
      <c r="FF406" s="3402">
        <f>IF($G405=0,0,FF405/FC405)</f>
        <v>0.4726782211524253</v>
      </c>
      <c r="FG406" s="3411"/>
      <c r="FH406" s="3403" t="s">
        <v>625</v>
      </c>
      <c r="FI406" s="3412"/>
      <c r="FJ406" s="3410"/>
      <c r="FK406" s="3402">
        <f>FL406+FM406+FN406</f>
        <v>1</v>
      </c>
      <c r="FL406" s="3402">
        <f>IF($G405=0,0,FL405/FK405)</f>
        <v>0.34909146295941201</v>
      </c>
      <c r="FM406" s="3402">
        <f>IF($G405=0,0,FM405/FK405)</f>
        <v>0.17823031588816271</v>
      </c>
      <c r="FN406" s="3402">
        <f>IF($G405=0,0,FN405/FK405)</f>
        <v>0.4726782211524253</v>
      </c>
      <c r="FO406" s="3411"/>
    </row>
    <row r="407" spans="2:171">
      <c r="K407" s="3264"/>
      <c r="S407" s="3411"/>
      <c r="AA407" s="3411"/>
      <c r="AI407" s="3411"/>
      <c r="AQ407" s="3411"/>
      <c r="AY407" s="3411"/>
      <c r="BG407" s="3411"/>
      <c r="BO407" s="3411"/>
      <c r="BW407" s="3411"/>
      <c r="CE407" s="3411"/>
      <c r="CM407" s="3411"/>
      <c r="CU407" s="3411"/>
      <c r="DC407" s="3411"/>
      <c r="DK407" s="3411"/>
      <c r="DS407" s="3411"/>
      <c r="EA407" s="3411"/>
      <c r="EI407" s="3411"/>
      <c r="EQ407" s="3411"/>
      <c r="EY407" s="3411"/>
      <c r="FG407" s="3411"/>
      <c r="FO407" s="3411"/>
    </row>
    <row r="408" spans="2:171">
      <c r="E408" s="3090" t="s">
        <v>520</v>
      </c>
      <c r="G408" s="3091" t="s">
        <v>104</v>
      </c>
      <c r="H408" s="3091" t="s">
        <v>105</v>
      </c>
      <c r="I408" s="3091" t="s">
        <v>106</v>
      </c>
      <c r="J408" s="3092" t="s">
        <v>511</v>
      </c>
      <c r="K408" s="3264"/>
      <c r="O408" s="3091" t="s">
        <v>104</v>
      </c>
      <c r="P408" s="3091" t="s">
        <v>105</v>
      </c>
      <c r="Q408" s="3091" t="s">
        <v>106</v>
      </c>
      <c r="R408" s="3092" t="s">
        <v>511</v>
      </c>
      <c r="S408" s="3411"/>
      <c r="W408" s="3091" t="s">
        <v>104</v>
      </c>
      <c r="X408" s="3091" t="s">
        <v>105</v>
      </c>
      <c r="Y408" s="3091" t="s">
        <v>106</v>
      </c>
      <c r="Z408" s="3092" t="s">
        <v>511</v>
      </c>
      <c r="AA408" s="3411"/>
      <c r="AE408" s="3091" t="s">
        <v>104</v>
      </c>
      <c r="AF408" s="3091" t="s">
        <v>105</v>
      </c>
      <c r="AG408" s="3091" t="s">
        <v>106</v>
      </c>
      <c r="AH408" s="3092" t="s">
        <v>511</v>
      </c>
      <c r="AI408" s="3411"/>
      <c r="AM408" s="3091" t="s">
        <v>104</v>
      </c>
      <c r="AN408" s="3091" t="s">
        <v>105</v>
      </c>
      <c r="AO408" s="3091" t="s">
        <v>106</v>
      </c>
      <c r="AP408" s="3092" t="s">
        <v>511</v>
      </c>
      <c r="AQ408" s="3411"/>
      <c r="AU408" s="3091" t="s">
        <v>104</v>
      </c>
      <c r="AV408" s="3091" t="s">
        <v>105</v>
      </c>
      <c r="AW408" s="3091" t="s">
        <v>106</v>
      </c>
      <c r="AX408" s="3092" t="s">
        <v>511</v>
      </c>
      <c r="AY408" s="3411"/>
      <c r="BC408" s="3091" t="s">
        <v>104</v>
      </c>
      <c r="BD408" s="3091" t="s">
        <v>105</v>
      </c>
      <c r="BE408" s="3091" t="s">
        <v>106</v>
      </c>
      <c r="BF408" s="3092" t="s">
        <v>511</v>
      </c>
      <c r="BG408" s="3411"/>
      <c r="BK408" s="3091" t="s">
        <v>104</v>
      </c>
      <c r="BL408" s="3091" t="s">
        <v>105</v>
      </c>
      <c r="BM408" s="3091" t="s">
        <v>106</v>
      </c>
      <c r="BN408" s="3092" t="s">
        <v>511</v>
      </c>
      <c r="BO408" s="3411"/>
      <c r="BS408" s="3091" t="s">
        <v>104</v>
      </c>
      <c r="BT408" s="3091" t="s">
        <v>105</v>
      </c>
      <c r="BU408" s="3091" t="s">
        <v>106</v>
      </c>
      <c r="BV408" s="3092" t="s">
        <v>511</v>
      </c>
      <c r="BW408" s="3411"/>
      <c r="CA408" s="3091" t="s">
        <v>104</v>
      </c>
      <c r="CB408" s="3091" t="s">
        <v>105</v>
      </c>
      <c r="CC408" s="3091" t="s">
        <v>106</v>
      </c>
      <c r="CD408" s="3092" t="s">
        <v>511</v>
      </c>
      <c r="CE408" s="3411"/>
      <c r="CI408" s="3091" t="s">
        <v>104</v>
      </c>
      <c r="CJ408" s="3091" t="s">
        <v>105</v>
      </c>
      <c r="CK408" s="3091" t="s">
        <v>106</v>
      </c>
      <c r="CL408" s="3092" t="s">
        <v>511</v>
      </c>
      <c r="CM408" s="3411"/>
      <c r="CQ408" s="3091" t="s">
        <v>104</v>
      </c>
      <c r="CR408" s="3091" t="s">
        <v>105</v>
      </c>
      <c r="CS408" s="3091" t="s">
        <v>106</v>
      </c>
      <c r="CT408" s="3092" t="s">
        <v>511</v>
      </c>
      <c r="CU408" s="3411"/>
      <c r="CY408" s="3091" t="s">
        <v>104</v>
      </c>
      <c r="CZ408" s="3091" t="s">
        <v>105</v>
      </c>
      <c r="DA408" s="3091" t="s">
        <v>106</v>
      </c>
      <c r="DB408" s="3092" t="s">
        <v>511</v>
      </c>
      <c r="DC408" s="3411"/>
      <c r="DG408" s="3091" t="s">
        <v>104</v>
      </c>
      <c r="DH408" s="3091" t="s">
        <v>105</v>
      </c>
      <c r="DI408" s="3091" t="s">
        <v>106</v>
      </c>
      <c r="DJ408" s="3092" t="s">
        <v>511</v>
      </c>
      <c r="DK408" s="3411"/>
      <c r="DO408" s="3091" t="s">
        <v>104</v>
      </c>
      <c r="DP408" s="3091" t="s">
        <v>105</v>
      </c>
      <c r="DQ408" s="3091" t="s">
        <v>106</v>
      </c>
      <c r="DR408" s="3092" t="s">
        <v>511</v>
      </c>
      <c r="DS408" s="3411"/>
      <c r="DW408" s="3091" t="s">
        <v>104</v>
      </c>
      <c r="DX408" s="3091" t="s">
        <v>105</v>
      </c>
      <c r="DY408" s="3091" t="s">
        <v>106</v>
      </c>
      <c r="DZ408" s="3092" t="s">
        <v>511</v>
      </c>
      <c r="EA408" s="3411"/>
      <c r="EE408" s="3091" t="s">
        <v>104</v>
      </c>
      <c r="EF408" s="3091" t="s">
        <v>105</v>
      </c>
      <c r="EG408" s="3091" t="s">
        <v>106</v>
      </c>
      <c r="EH408" s="3092" t="s">
        <v>511</v>
      </c>
      <c r="EI408" s="3411"/>
      <c r="EM408" s="3091" t="s">
        <v>104</v>
      </c>
      <c r="EN408" s="3091" t="s">
        <v>105</v>
      </c>
      <c r="EO408" s="3091" t="s">
        <v>106</v>
      </c>
      <c r="EP408" s="3092" t="s">
        <v>511</v>
      </c>
      <c r="EQ408" s="3411"/>
      <c r="EU408" s="3091" t="s">
        <v>104</v>
      </c>
      <c r="EV408" s="3091" t="s">
        <v>105</v>
      </c>
      <c r="EW408" s="3091" t="s">
        <v>106</v>
      </c>
      <c r="EX408" s="3092" t="s">
        <v>511</v>
      </c>
      <c r="EY408" s="3411"/>
      <c r="FC408" s="3091" t="s">
        <v>104</v>
      </c>
      <c r="FD408" s="3091" t="s">
        <v>105</v>
      </c>
      <c r="FE408" s="3091" t="s">
        <v>106</v>
      </c>
      <c r="FF408" s="3092" t="s">
        <v>511</v>
      </c>
      <c r="FG408" s="3411"/>
      <c r="FK408" s="3091" t="s">
        <v>104</v>
      </c>
      <c r="FL408" s="3091" t="s">
        <v>105</v>
      </c>
      <c r="FM408" s="3091" t="s">
        <v>106</v>
      </c>
      <c r="FN408" s="3092" t="s">
        <v>511</v>
      </c>
      <c r="FO408" s="3411"/>
    </row>
    <row r="409" spans="2:171">
      <c r="B409" s="3086"/>
      <c r="C409" s="3086" t="s">
        <v>526</v>
      </c>
      <c r="D409" s="3405"/>
      <c r="E409" s="3234"/>
      <c r="G409" s="2424">
        <f>G405</f>
        <v>11178688811</v>
      </c>
      <c r="H409" s="2424">
        <f t="shared" ref="H409:J409" si="1427">H405</f>
        <v>3902384831</v>
      </c>
      <c r="I409" s="2424">
        <f t="shared" si="1427"/>
        <v>0</v>
      </c>
      <c r="J409" s="2424">
        <f t="shared" si="1427"/>
        <v>7276303980</v>
      </c>
      <c r="K409" s="3411"/>
      <c r="L409" s="3405"/>
      <c r="M409" s="3406"/>
      <c r="N409" s="3406"/>
      <c r="O409" s="2424">
        <f>O405</f>
        <v>11178688811</v>
      </c>
      <c r="P409" s="2424">
        <f t="shared" ref="P409:R409" si="1428">P405</f>
        <v>3902384831</v>
      </c>
      <c r="Q409" s="2424">
        <f t="shared" si="1428"/>
        <v>1992381238</v>
      </c>
      <c r="R409" s="2424">
        <f t="shared" si="1428"/>
        <v>5283922742</v>
      </c>
      <c r="S409" s="3411"/>
      <c r="T409" s="3405"/>
      <c r="U409" s="3406"/>
      <c r="V409" s="3406"/>
      <c r="W409" s="2424">
        <f>W405</f>
        <v>11178688811</v>
      </c>
      <c r="X409" s="2424">
        <f t="shared" ref="X409:Z409" si="1429">X405</f>
        <v>3902384831</v>
      </c>
      <c r="Y409" s="2424">
        <f t="shared" si="1429"/>
        <v>1992381238</v>
      </c>
      <c r="Z409" s="2424">
        <f t="shared" si="1429"/>
        <v>5283922742</v>
      </c>
      <c r="AA409" s="3411"/>
      <c r="AB409" s="3405"/>
      <c r="AC409" s="3406"/>
      <c r="AD409" s="3406"/>
      <c r="AE409" s="2424">
        <f>AE405</f>
        <v>11178688811</v>
      </c>
      <c r="AF409" s="2424">
        <f t="shared" ref="AF409:AH409" si="1430">AF405</f>
        <v>3902384831</v>
      </c>
      <c r="AG409" s="2424">
        <f t="shared" si="1430"/>
        <v>1992381238</v>
      </c>
      <c r="AH409" s="2424">
        <f t="shared" si="1430"/>
        <v>5283922742</v>
      </c>
      <c r="AI409" s="3411"/>
      <c r="AJ409" s="3405"/>
      <c r="AK409" s="3406"/>
      <c r="AL409" s="3406"/>
      <c r="AM409" s="2424">
        <f>AM405</f>
        <v>11178688811</v>
      </c>
      <c r="AN409" s="2424">
        <f t="shared" ref="AN409:AP409" si="1431">AN405</f>
        <v>3902384831</v>
      </c>
      <c r="AO409" s="2424">
        <f t="shared" si="1431"/>
        <v>1992381238</v>
      </c>
      <c r="AP409" s="2424">
        <f t="shared" si="1431"/>
        <v>5283922742</v>
      </c>
      <c r="AQ409" s="3411"/>
      <c r="AR409" s="3405"/>
      <c r="AS409" s="3406"/>
      <c r="AT409" s="3406"/>
      <c r="AU409" s="2424">
        <f>AU405</f>
        <v>11178688811</v>
      </c>
      <c r="AV409" s="2424">
        <f t="shared" ref="AV409:AX409" si="1432">AV405</f>
        <v>3902384831</v>
      </c>
      <c r="AW409" s="2424">
        <f t="shared" si="1432"/>
        <v>1992381238</v>
      </c>
      <c r="AX409" s="2424">
        <f t="shared" si="1432"/>
        <v>5283922742</v>
      </c>
      <c r="AY409" s="3411"/>
      <c r="AZ409" s="3405"/>
      <c r="BA409" s="3406"/>
      <c r="BB409" s="3406"/>
      <c r="BC409" s="2424">
        <f>BC405</f>
        <v>11178688811</v>
      </c>
      <c r="BD409" s="2424">
        <f t="shared" ref="BD409:BF409" si="1433">BD405</f>
        <v>3902384831</v>
      </c>
      <c r="BE409" s="2424">
        <f t="shared" si="1433"/>
        <v>1992381238</v>
      </c>
      <c r="BF409" s="2424">
        <f t="shared" si="1433"/>
        <v>5283922742</v>
      </c>
      <c r="BG409" s="3411"/>
      <c r="BH409" s="3405"/>
      <c r="BI409" s="3406"/>
      <c r="BJ409" s="3406"/>
      <c r="BK409" s="2424">
        <f>BK405</f>
        <v>11178688811</v>
      </c>
      <c r="BL409" s="2424">
        <f t="shared" ref="BL409:BN409" si="1434">BL405</f>
        <v>3902384831</v>
      </c>
      <c r="BM409" s="2424">
        <f t="shared" si="1434"/>
        <v>1992381238</v>
      </c>
      <c r="BN409" s="2424">
        <f t="shared" si="1434"/>
        <v>5283922742</v>
      </c>
      <c r="BO409" s="3411"/>
      <c r="BP409" s="3405"/>
      <c r="BQ409" s="3406"/>
      <c r="BR409" s="3406"/>
      <c r="BS409" s="2424">
        <f>BS405</f>
        <v>11178688811</v>
      </c>
      <c r="BT409" s="2424">
        <f t="shared" ref="BT409:BV409" si="1435">BT405</f>
        <v>3902384831</v>
      </c>
      <c r="BU409" s="2424">
        <f t="shared" si="1435"/>
        <v>1992381238</v>
      </c>
      <c r="BV409" s="2424">
        <f t="shared" si="1435"/>
        <v>5283922742</v>
      </c>
      <c r="BW409" s="3411"/>
      <c r="BX409" s="3405"/>
      <c r="BY409" s="3406"/>
      <c r="BZ409" s="3406"/>
      <c r="CA409" s="2424">
        <f>CA405</f>
        <v>11178688811</v>
      </c>
      <c r="CB409" s="2424">
        <f t="shared" ref="CB409:CD409" si="1436">CB405</f>
        <v>3902384831</v>
      </c>
      <c r="CC409" s="2424">
        <f t="shared" si="1436"/>
        <v>1992381238</v>
      </c>
      <c r="CD409" s="2424">
        <f t="shared" si="1436"/>
        <v>5283922742</v>
      </c>
      <c r="CE409" s="3411"/>
      <c r="CF409" s="3405"/>
      <c r="CG409" s="3406"/>
      <c r="CH409" s="3406"/>
      <c r="CI409" s="2424">
        <f>CI405</f>
        <v>11178688811</v>
      </c>
      <c r="CJ409" s="2424">
        <f t="shared" ref="CJ409:CL409" si="1437">CJ405</f>
        <v>3902384831</v>
      </c>
      <c r="CK409" s="2424">
        <f t="shared" si="1437"/>
        <v>1992381238</v>
      </c>
      <c r="CL409" s="2424">
        <f t="shared" si="1437"/>
        <v>5283922742</v>
      </c>
      <c r="CM409" s="3411"/>
      <c r="CN409" s="3405"/>
      <c r="CO409" s="3406"/>
      <c r="CP409" s="3406"/>
      <c r="CQ409" s="2424">
        <f>CQ405</f>
        <v>11178688811</v>
      </c>
      <c r="CR409" s="2424">
        <f t="shared" ref="CR409:CT409" si="1438">CR405</f>
        <v>3902384831</v>
      </c>
      <c r="CS409" s="2424">
        <f t="shared" si="1438"/>
        <v>1992381238</v>
      </c>
      <c r="CT409" s="2424">
        <f t="shared" si="1438"/>
        <v>5283922742</v>
      </c>
      <c r="CU409" s="3411"/>
      <c r="CV409" s="3405"/>
      <c r="CW409" s="3406"/>
      <c r="CX409" s="3406"/>
      <c r="CY409" s="2424">
        <f>CY405</f>
        <v>11178688811</v>
      </c>
      <c r="CZ409" s="2424">
        <f t="shared" ref="CZ409:DB409" si="1439">CZ405</f>
        <v>3902384831</v>
      </c>
      <c r="DA409" s="2424">
        <f t="shared" si="1439"/>
        <v>1992381238</v>
      </c>
      <c r="DB409" s="2424">
        <f t="shared" si="1439"/>
        <v>5283922742</v>
      </c>
      <c r="DC409" s="3411"/>
      <c r="DD409" s="3405"/>
      <c r="DE409" s="3406"/>
      <c r="DF409" s="3406"/>
      <c r="DG409" s="2424">
        <f>DG405</f>
        <v>11178688811</v>
      </c>
      <c r="DH409" s="2424">
        <f t="shared" ref="DH409:DJ409" si="1440">DH405</f>
        <v>3902384831</v>
      </c>
      <c r="DI409" s="2424">
        <f t="shared" si="1440"/>
        <v>1992381238</v>
      </c>
      <c r="DJ409" s="2424">
        <f t="shared" si="1440"/>
        <v>5283922742</v>
      </c>
      <c r="DK409" s="3411"/>
      <c r="DL409" s="3405"/>
      <c r="DM409" s="3406"/>
      <c r="DN409" s="3406"/>
      <c r="DO409" s="2424">
        <f>DO405</f>
        <v>11178688811</v>
      </c>
      <c r="DP409" s="2424">
        <f t="shared" ref="DP409:DR409" si="1441">DP405</f>
        <v>3902384831</v>
      </c>
      <c r="DQ409" s="2424">
        <f t="shared" si="1441"/>
        <v>1992381238</v>
      </c>
      <c r="DR409" s="2424">
        <f t="shared" si="1441"/>
        <v>5283922742</v>
      </c>
      <c r="DS409" s="3411"/>
      <c r="DT409" s="3405"/>
      <c r="DU409" s="3406"/>
      <c r="DV409" s="3406"/>
      <c r="DW409" s="2424">
        <f>DW405</f>
        <v>11178688811</v>
      </c>
      <c r="DX409" s="2424">
        <f t="shared" ref="DX409:DZ409" si="1442">DX405</f>
        <v>3902384831</v>
      </c>
      <c r="DY409" s="2424">
        <f t="shared" si="1442"/>
        <v>1992381238</v>
      </c>
      <c r="DZ409" s="2424">
        <f t="shared" si="1442"/>
        <v>5283922742</v>
      </c>
      <c r="EA409" s="3411"/>
      <c r="EB409" s="3405"/>
      <c r="EC409" s="3406"/>
      <c r="ED409" s="3406"/>
      <c r="EE409" s="2424">
        <f>EE405</f>
        <v>11178688811</v>
      </c>
      <c r="EF409" s="2424">
        <f t="shared" ref="EF409:EH409" si="1443">EF405</f>
        <v>3902384831</v>
      </c>
      <c r="EG409" s="2424">
        <f t="shared" si="1443"/>
        <v>1992381238</v>
      </c>
      <c r="EH409" s="2424">
        <f t="shared" si="1443"/>
        <v>5283922742</v>
      </c>
      <c r="EI409" s="3411"/>
      <c r="EJ409" s="3405"/>
      <c r="EK409" s="3406"/>
      <c r="EL409" s="3406"/>
      <c r="EM409" s="2424">
        <f>EM405</f>
        <v>11178688811</v>
      </c>
      <c r="EN409" s="2424">
        <f t="shared" ref="EN409:EP409" si="1444">EN405</f>
        <v>3902384831</v>
      </c>
      <c r="EO409" s="2424">
        <f t="shared" si="1444"/>
        <v>1992381238</v>
      </c>
      <c r="EP409" s="2424">
        <f t="shared" si="1444"/>
        <v>5283922742</v>
      </c>
      <c r="EQ409" s="3411"/>
      <c r="ER409" s="3405"/>
      <c r="ES409" s="3406"/>
      <c r="ET409" s="3406"/>
      <c r="EU409" s="2424">
        <f>EU405</f>
        <v>11178688811</v>
      </c>
      <c r="EV409" s="2424">
        <f t="shared" ref="EV409:EX409" si="1445">EV405</f>
        <v>3902384831</v>
      </c>
      <c r="EW409" s="2424">
        <f t="shared" si="1445"/>
        <v>1992381238</v>
      </c>
      <c r="EX409" s="2424">
        <f t="shared" si="1445"/>
        <v>5283922742</v>
      </c>
      <c r="EY409" s="3411"/>
      <c r="EZ409" s="3405"/>
      <c r="FA409" s="3406"/>
      <c r="FB409" s="3406"/>
      <c r="FC409" s="2424">
        <f>FC405</f>
        <v>11178688811</v>
      </c>
      <c r="FD409" s="2424">
        <f t="shared" ref="FD409:FF409" si="1446">FD405</f>
        <v>3902384831</v>
      </c>
      <c r="FE409" s="2424">
        <f t="shared" si="1446"/>
        <v>1992381238</v>
      </c>
      <c r="FF409" s="2424">
        <f t="shared" si="1446"/>
        <v>5283922742</v>
      </c>
      <c r="FG409" s="3411"/>
      <c r="FH409" s="3405"/>
      <c r="FI409" s="3406"/>
      <c r="FJ409" s="3406"/>
      <c r="FK409" s="2424">
        <f>FK405</f>
        <v>11178688811</v>
      </c>
      <c r="FL409" s="2424">
        <f t="shared" ref="FL409:FN409" si="1447">FL405</f>
        <v>3902384831</v>
      </c>
      <c r="FM409" s="2424">
        <f t="shared" si="1447"/>
        <v>1992381238</v>
      </c>
      <c r="FN409" s="2424">
        <f t="shared" si="1447"/>
        <v>5283922742</v>
      </c>
      <c r="FO409" s="3411"/>
    </row>
    <row r="410" spans="2:171">
      <c r="B410" s="3086"/>
      <c r="C410" s="3086" t="s">
        <v>527</v>
      </c>
      <c r="D410" s="3405"/>
      <c r="E410" s="3234" t="str">
        <f>E16</f>
        <v>DIST</v>
      </c>
      <c r="G410" s="2424">
        <f t="shared" ref="G410:G412" si="1448">G16</f>
        <v>114202</v>
      </c>
      <c r="H410" s="2424">
        <f t="shared" ref="H410:J410" si="1449">H16</f>
        <v>0</v>
      </c>
      <c r="I410" s="2424">
        <f t="shared" si="1449"/>
        <v>0</v>
      </c>
      <c r="J410" s="2424">
        <f t="shared" si="1449"/>
        <v>114202</v>
      </c>
      <c r="K410" s="3264"/>
      <c r="L410" s="3405"/>
      <c r="M410" s="3406"/>
      <c r="N410" s="3406"/>
      <c r="O410" s="2424">
        <f t="shared" ref="O410:R410" si="1450">O16</f>
        <v>114202</v>
      </c>
      <c r="P410" s="2424">
        <f t="shared" si="1450"/>
        <v>0</v>
      </c>
      <c r="Q410" s="2424">
        <f t="shared" si="1450"/>
        <v>0</v>
      </c>
      <c r="R410" s="2424">
        <f t="shared" si="1450"/>
        <v>114202</v>
      </c>
      <c r="S410" s="3264"/>
      <c r="T410" s="3405"/>
      <c r="U410" s="3406"/>
      <c r="V410" s="3406"/>
      <c r="W410" s="2424">
        <f t="shared" ref="W410:Z410" si="1451">W16</f>
        <v>114202</v>
      </c>
      <c r="X410" s="2424">
        <f t="shared" si="1451"/>
        <v>0</v>
      </c>
      <c r="Y410" s="2424">
        <f t="shared" si="1451"/>
        <v>0</v>
      </c>
      <c r="Z410" s="2424">
        <f t="shared" si="1451"/>
        <v>114202</v>
      </c>
      <c r="AA410" s="3264"/>
      <c r="AB410" s="3405"/>
      <c r="AC410" s="3406"/>
      <c r="AD410" s="3406"/>
      <c r="AE410" s="2424">
        <f t="shared" ref="AE410:AH410" si="1452">AE16</f>
        <v>114202</v>
      </c>
      <c r="AF410" s="2424">
        <f t="shared" si="1452"/>
        <v>0</v>
      </c>
      <c r="AG410" s="2424">
        <f t="shared" si="1452"/>
        <v>0</v>
      </c>
      <c r="AH410" s="2424">
        <f t="shared" si="1452"/>
        <v>114202</v>
      </c>
      <c r="AI410" s="3264"/>
      <c r="AJ410" s="3405"/>
      <c r="AK410" s="3406"/>
      <c r="AL410" s="3406"/>
      <c r="AM410" s="2424">
        <f t="shared" ref="AM410:AP410" si="1453">AM16</f>
        <v>114202</v>
      </c>
      <c r="AN410" s="2424">
        <f t="shared" si="1453"/>
        <v>0</v>
      </c>
      <c r="AO410" s="2424">
        <f t="shared" si="1453"/>
        <v>0</v>
      </c>
      <c r="AP410" s="2424">
        <f t="shared" si="1453"/>
        <v>114202</v>
      </c>
      <c r="AQ410" s="3264"/>
      <c r="AR410" s="3405"/>
      <c r="AS410" s="3406"/>
      <c r="AT410" s="3406"/>
      <c r="AU410" s="2424">
        <f t="shared" ref="AU410:AX410" si="1454">AU16</f>
        <v>114202</v>
      </c>
      <c r="AV410" s="2424">
        <f t="shared" si="1454"/>
        <v>0</v>
      </c>
      <c r="AW410" s="2424">
        <f t="shared" si="1454"/>
        <v>0</v>
      </c>
      <c r="AX410" s="2424">
        <f t="shared" si="1454"/>
        <v>114202</v>
      </c>
      <c r="AY410" s="3264"/>
      <c r="AZ410" s="3405"/>
      <c r="BA410" s="3406"/>
      <c r="BB410" s="3406"/>
      <c r="BC410" s="2424">
        <f t="shared" ref="BC410:BF410" si="1455">BC16</f>
        <v>114202</v>
      </c>
      <c r="BD410" s="2424">
        <f t="shared" si="1455"/>
        <v>0</v>
      </c>
      <c r="BE410" s="2424">
        <f t="shared" si="1455"/>
        <v>0</v>
      </c>
      <c r="BF410" s="2424">
        <f t="shared" si="1455"/>
        <v>114202</v>
      </c>
      <c r="BG410" s="3264"/>
      <c r="BH410" s="3405"/>
      <c r="BI410" s="3406"/>
      <c r="BJ410" s="3406"/>
      <c r="BK410" s="2424">
        <f t="shared" ref="BK410:BN410" si="1456">BK16</f>
        <v>114202</v>
      </c>
      <c r="BL410" s="2424">
        <f t="shared" si="1456"/>
        <v>0</v>
      </c>
      <c r="BM410" s="2424">
        <f t="shared" si="1456"/>
        <v>0</v>
      </c>
      <c r="BN410" s="2424">
        <f t="shared" si="1456"/>
        <v>114202</v>
      </c>
      <c r="BO410" s="3264"/>
      <c r="BP410" s="3405"/>
      <c r="BQ410" s="3406"/>
      <c r="BR410" s="3406"/>
      <c r="BS410" s="2424">
        <f t="shared" ref="BS410:BV410" si="1457">BS16</f>
        <v>114202</v>
      </c>
      <c r="BT410" s="2424">
        <f t="shared" si="1457"/>
        <v>0</v>
      </c>
      <c r="BU410" s="2424">
        <f t="shared" si="1457"/>
        <v>0</v>
      </c>
      <c r="BV410" s="2424">
        <f t="shared" si="1457"/>
        <v>114202</v>
      </c>
      <c r="BW410" s="3264"/>
      <c r="BX410" s="3405"/>
      <c r="BY410" s="3406"/>
      <c r="BZ410" s="3406"/>
      <c r="CA410" s="2424">
        <f t="shared" ref="CA410:CD410" si="1458">CA16</f>
        <v>114202</v>
      </c>
      <c r="CB410" s="2424">
        <f t="shared" si="1458"/>
        <v>0</v>
      </c>
      <c r="CC410" s="2424">
        <f t="shared" si="1458"/>
        <v>0</v>
      </c>
      <c r="CD410" s="2424">
        <f t="shared" si="1458"/>
        <v>114202</v>
      </c>
      <c r="CE410" s="3264"/>
      <c r="CF410" s="3405"/>
      <c r="CG410" s="3406"/>
      <c r="CH410" s="3406"/>
      <c r="CI410" s="2424">
        <f t="shared" ref="CI410:CL410" si="1459">CI16</f>
        <v>114202</v>
      </c>
      <c r="CJ410" s="2424">
        <f t="shared" si="1459"/>
        <v>0</v>
      </c>
      <c r="CK410" s="2424">
        <f t="shared" si="1459"/>
        <v>0</v>
      </c>
      <c r="CL410" s="2424">
        <f t="shared" si="1459"/>
        <v>114202</v>
      </c>
      <c r="CM410" s="3264"/>
      <c r="CN410" s="3405"/>
      <c r="CO410" s="3406"/>
      <c r="CP410" s="3406"/>
      <c r="CQ410" s="2424">
        <f t="shared" ref="CQ410:CT410" si="1460">CQ16</f>
        <v>114202</v>
      </c>
      <c r="CR410" s="2424">
        <f t="shared" si="1460"/>
        <v>0</v>
      </c>
      <c r="CS410" s="2424">
        <f t="shared" si="1460"/>
        <v>0</v>
      </c>
      <c r="CT410" s="2424">
        <f t="shared" si="1460"/>
        <v>114202</v>
      </c>
      <c r="CU410" s="3264"/>
      <c r="CV410" s="3405"/>
      <c r="CW410" s="3406"/>
      <c r="CX410" s="3406"/>
      <c r="CY410" s="2424">
        <f t="shared" ref="CY410:DB410" si="1461">CY16</f>
        <v>114202</v>
      </c>
      <c r="CZ410" s="2424">
        <f t="shared" si="1461"/>
        <v>0</v>
      </c>
      <c r="DA410" s="2424">
        <f t="shared" si="1461"/>
        <v>0</v>
      </c>
      <c r="DB410" s="2424">
        <f t="shared" si="1461"/>
        <v>114202</v>
      </c>
      <c r="DC410" s="3264"/>
      <c r="DD410" s="3405"/>
      <c r="DE410" s="3406"/>
      <c r="DF410" s="3406"/>
      <c r="DG410" s="2424">
        <f t="shared" ref="DG410:DJ410" si="1462">DG16</f>
        <v>114202</v>
      </c>
      <c r="DH410" s="2424">
        <f t="shared" si="1462"/>
        <v>0</v>
      </c>
      <c r="DI410" s="2424">
        <f t="shared" si="1462"/>
        <v>0</v>
      </c>
      <c r="DJ410" s="2424">
        <f t="shared" si="1462"/>
        <v>114202</v>
      </c>
      <c r="DK410" s="3264"/>
      <c r="DL410" s="3405"/>
      <c r="DM410" s="3406"/>
      <c r="DN410" s="3406"/>
      <c r="DO410" s="2424">
        <f t="shared" ref="DO410:DR410" si="1463">DO16</f>
        <v>114202</v>
      </c>
      <c r="DP410" s="2424">
        <f t="shared" si="1463"/>
        <v>0</v>
      </c>
      <c r="DQ410" s="2424">
        <f t="shared" si="1463"/>
        <v>0</v>
      </c>
      <c r="DR410" s="2424">
        <f t="shared" si="1463"/>
        <v>114202</v>
      </c>
      <c r="DS410" s="3264"/>
      <c r="DT410" s="3405"/>
      <c r="DU410" s="3406"/>
      <c r="DV410" s="3406"/>
      <c r="DW410" s="2424">
        <f t="shared" ref="DW410:DZ410" si="1464">DW16</f>
        <v>114202</v>
      </c>
      <c r="DX410" s="2424">
        <f t="shared" si="1464"/>
        <v>0</v>
      </c>
      <c r="DY410" s="2424">
        <f t="shared" si="1464"/>
        <v>0</v>
      </c>
      <c r="DZ410" s="2424">
        <f t="shared" si="1464"/>
        <v>114202</v>
      </c>
      <c r="EA410" s="3264"/>
      <c r="EB410" s="3405"/>
      <c r="EC410" s="3406"/>
      <c r="ED410" s="3406"/>
      <c r="EE410" s="2424">
        <f t="shared" ref="EE410:EH410" si="1465">EE16</f>
        <v>114202</v>
      </c>
      <c r="EF410" s="2424">
        <f t="shared" si="1465"/>
        <v>0</v>
      </c>
      <c r="EG410" s="2424">
        <f t="shared" si="1465"/>
        <v>0</v>
      </c>
      <c r="EH410" s="2424">
        <f t="shared" si="1465"/>
        <v>114202</v>
      </c>
      <c r="EI410" s="3264"/>
      <c r="EJ410" s="3405"/>
      <c r="EK410" s="3406"/>
      <c r="EL410" s="3406"/>
      <c r="EM410" s="2424">
        <f t="shared" ref="EM410:EP410" si="1466">EM16</f>
        <v>114202</v>
      </c>
      <c r="EN410" s="2424">
        <f t="shared" si="1466"/>
        <v>0</v>
      </c>
      <c r="EO410" s="2424">
        <f t="shared" si="1466"/>
        <v>0</v>
      </c>
      <c r="EP410" s="2424">
        <f t="shared" si="1466"/>
        <v>114202</v>
      </c>
      <c r="EQ410" s="3264"/>
      <c r="ER410" s="3405"/>
      <c r="ES410" s="3406"/>
      <c r="ET410" s="3406"/>
      <c r="EU410" s="2424">
        <f t="shared" ref="EU410:EX410" si="1467">EU16</f>
        <v>114202</v>
      </c>
      <c r="EV410" s="2424">
        <f t="shared" si="1467"/>
        <v>0</v>
      </c>
      <c r="EW410" s="2424">
        <f t="shared" si="1467"/>
        <v>0</v>
      </c>
      <c r="EX410" s="2424">
        <f t="shared" si="1467"/>
        <v>114202</v>
      </c>
      <c r="EY410" s="3264"/>
      <c r="EZ410" s="3405"/>
      <c r="FA410" s="3406"/>
      <c r="FB410" s="3406"/>
      <c r="FC410" s="2424">
        <f t="shared" ref="FC410:FF410" si="1468">FC16</f>
        <v>114202</v>
      </c>
      <c r="FD410" s="2424">
        <f t="shared" si="1468"/>
        <v>0</v>
      </c>
      <c r="FE410" s="2424">
        <f t="shared" si="1468"/>
        <v>0</v>
      </c>
      <c r="FF410" s="2424">
        <f t="shared" si="1468"/>
        <v>114202</v>
      </c>
      <c r="FG410" s="3264"/>
      <c r="FH410" s="3405"/>
      <c r="FI410" s="3406"/>
      <c r="FJ410" s="3406"/>
      <c r="FK410" s="2424">
        <f t="shared" ref="FK410:FN410" si="1469">FK16</f>
        <v>114202</v>
      </c>
      <c r="FL410" s="2424">
        <f t="shared" si="1469"/>
        <v>0</v>
      </c>
      <c r="FM410" s="2424">
        <f t="shared" si="1469"/>
        <v>0</v>
      </c>
      <c r="FN410" s="2424">
        <f t="shared" si="1469"/>
        <v>114202</v>
      </c>
      <c r="FO410" s="3264"/>
    </row>
    <row r="411" spans="2:171">
      <c r="B411" s="3086"/>
      <c r="C411" s="3086" t="s">
        <v>528</v>
      </c>
      <c r="D411" s="3405"/>
      <c r="E411" s="3234" t="str">
        <f t="shared" ref="E411:E412" si="1470">E17</f>
        <v>DIRECT</v>
      </c>
      <c r="G411" s="2424">
        <f t="shared" si="1448"/>
        <v>80196650</v>
      </c>
      <c r="H411" s="2424">
        <f t="shared" ref="H411:J411" si="1471">H17</f>
        <v>55817303.479669861</v>
      </c>
      <c r="I411" s="2424">
        <f t="shared" si="1471"/>
        <v>0</v>
      </c>
      <c r="J411" s="2424">
        <f t="shared" si="1471"/>
        <v>24379345.720330127</v>
      </c>
      <c r="K411" s="3264"/>
      <c r="L411" s="3405"/>
      <c r="M411" s="3406"/>
      <c r="N411" s="3406"/>
      <c r="O411" s="2424">
        <f t="shared" ref="O411:R411" si="1472">O17</f>
        <v>80196650</v>
      </c>
      <c r="P411" s="2424">
        <f t="shared" si="1472"/>
        <v>55817303.479669861</v>
      </c>
      <c r="Q411" s="2424">
        <f t="shared" si="1472"/>
        <v>0</v>
      </c>
      <c r="R411" s="2424">
        <f t="shared" si="1472"/>
        <v>24379346.520330139</v>
      </c>
      <c r="S411" s="3264"/>
      <c r="T411" s="3405"/>
      <c r="U411" s="3406"/>
      <c r="V411" s="3406"/>
      <c r="W411" s="2424">
        <f t="shared" ref="W411:Z411" si="1473">W17</f>
        <v>80196650</v>
      </c>
      <c r="X411" s="2424">
        <f t="shared" si="1473"/>
        <v>55817303.479669861</v>
      </c>
      <c r="Y411" s="2424">
        <f t="shared" si="1473"/>
        <v>0</v>
      </c>
      <c r="Z411" s="2424">
        <f t="shared" si="1473"/>
        <v>24379346.520330139</v>
      </c>
      <c r="AA411" s="3264"/>
      <c r="AB411" s="3405"/>
      <c r="AC411" s="3406"/>
      <c r="AD411" s="3406"/>
      <c r="AE411" s="2424">
        <f t="shared" ref="AE411:AH411" si="1474">AE17</f>
        <v>80196650</v>
      </c>
      <c r="AF411" s="2424">
        <f t="shared" si="1474"/>
        <v>55817303.479669861</v>
      </c>
      <c r="AG411" s="2424">
        <f t="shared" si="1474"/>
        <v>0</v>
      </c>
      <c r="AH411" s="2424">
        <f t="shared" si="1474"/>
        <v>24379346.520330139</v>
      </c>
      <c r="AI411" s="3264"/>
      <c r="AJ411" s="3405"/>
      <c r="AK411" s="3406"/>
      <c r="AL411" s="3406"/>
      <c r="AM411" s="2424">
        <f t="shared" ref="AM411:AP411" si="1475">AM17</f>
        <v>80196650</v>
      </c>
      <c r="AN411" s="2424">
        <f t="shared" si="1475"/>
        <v>55817303.479669861</v>
      </c>
      <c r="AO411" s="2424">
        <f t="shared" si="1475"/>
        <v>0</v>
      </c>
      <c r="AP411" s="2424">
        <f t="shared" si="1475"/>
        <v>24379346.520330139</v>
      </c>
      <c r="AQ411" s="3264"/>
      <c r="AR411" s="3405"/>
      <c r="AS411" s="3406"/>
      <c r="AT411" s="3406"/>
      <c r="AU411" s="2424">
        <f t="shared" ref="AU411:AX411" si="1476">AU17</f>
        <v>80196650</v>
      </c>
      <c r="AV411" s="2424">
        <f t="shared" si="1476"/>
        <v>55817303.479669861</v>
      </c>
      <c r="AW411" s="2424">
        <f t="shared" si="1476"/>
        <v>0</v>
      </c>
      <c r="AX411" s="2424">
        <f t="shared" si="1476"/>
        <v>24379346.520330139</v>
      </c>
      <c r="AY411" s="3264"/>
      <c r="AZ411" s="3405"/>
      <c r="BA411" s="3406"/>
      <c r="BB411" s="3406"/>
      <c r="BC411" s="2424">
        <f t="shared" ref="BC411:BF411" si="1477">BC17</f>
        <v>80196650</v>
      </c>
      <c r="BD411" s="2424">
        <f t="shared" si="1477"/>
        <v>55817303.479669861</v>
      </c>
      <c r="BE411" s="2424">
        <f t="shared" si="1477"/>
        <v>0</v>
      </c>
      <c r="BF411" s="2424">
        <f t="shared" si="1477"/>
        <v>24379346.520330139</v>
      </c>
      <c r="BG411" s="3264"/>
      <c r="BH411" s="3405"/>
      <c r="BI411" s="3406"/>
      <c r="BJ411" s="3406"/>
      <c r="BK411" s="2424">
        <f t="shared" ref="BK411:BN411" si="1478">BK17</f>
        <v>80196650</v>
      </c>
      <c r="BL411" s="2424">
        <f t="shared" si="1478"/>
        <v>55817303.479669861</v>
      </c>
      <c r="BM411" s="2424">
        <f t="shared" si="1478"/>
        <v>0</v>
      </c>
      <c r="BN411" s="2424">
        <f t="shared" si="1478"/>
        <v>24379346.520330139</v>
      </c>
      <c r="BO411" s="3264"/>
      <c r="BP411" s="3405"/>
      <c r="BQ411" s="3406"/>
      <c r="BR411" s="3406"/>
      <c r="BS411" s="2424">
        <f t="shared" ref="BS411:BV411" si="1479">BS17</f>
        <v>80196650</v>
      </c>
      <c r="BT411" s="2424">
        <f t="shared" si="1479"/>
        <v>55817303.479669861</v>
      </c>
      <c r="BU411" s="2424">
        <f t="shared" si="1479"/>
        <v>0</v>
      </c>
      <c r="BV411" s="2424">
        <f t="shared" si="1479"/>
        <v>24379346.520330139</v>
      </c>
      <c r="BW411" s="3264"/>
      <c r="BX411" s="3405"/>
      <c r="BY411" s="3406"/>
      <c r="BZ411" s="3406"/>
      <c r="CA411" s="2424">
        <f t="shared" ref="CA411:CD411" si="1480">CA17</f>
        <v>80196650</v>
      </c>
      <c r="CB411" s="2424">
        <f t="shared" si="1480"/>
        <v>55817303.479669861</v>
      </c>
      <c r="CC411" s="2424">
        <f t="shared" si="1480"/>
        <v>0</v>
      </c>
      <c r="CD411" s="2424">
        <f t="shared" si="1480"/>
        <v>24379346.520330139</v>
      </c>
      <c r="CE411" s="3264"/>
      <c r="CF411" s="3405"/>
      <c r="CG411" s="3406"/>
      <c r="CH411" s="3406"/>
      <c r="CI411" s="2424">
        <f t="shared" ref="CI411:CL411" si="1481">CI17</f>
        <v>80196650</v>
      </c>
      <c r="CJ411" s="2424">
        <f t="shared" si="1481"/>
        <v>55817303.479669861</v>
      </c>
      <c r="CK411" s="2424">
        <f t="shared" si="1481"/>
        <v>0</v>
      </c>
      <c r="CL411" s="2424">
        <f t="shared" si="1481"/>
        <v>24379346.520330139</v>
      </c>
      <c r="CM411" s="3264"/>
      <c r="CN411" s="3405"/>
      <c r="CO411" s="3406"/>
      <c r="CP411" s="3406"/>
      <c r="CQ411" s="2424">
        <f t="shared" ref="CQ411:CT411" si="1482">CQ17</f>
        <v>80196650</v>
      </c>
      <c r="CR411" s="2424">
        <f t="shared" si="1482"/>
        <v>55817303.479669861</v>
      </c>
      <c r="CS411" s="2424">
        <f t="shared" si="1482"/>
        <v>0</v>
      </c>
      <c r="CT411" s="2424">
        <f t="shared" si="1482"/>
        <v>24379346.520330139</v>
      </c>
      <c r="CU411" s="3264"/>
      <c r="CV411" s="3405"/>
      <c r="CW411" s="3406"/>
      <c r="CX411" s="3406"/>
      <c r="CY411" s="2424">
        <f t="shared" ref="CY411:DB411" si="1483">CY17</f>
        <v>80196650</v>
      </c>
      <c r="CZ411" s="2424">
        <f t="shared" si="1483"/>
        <v>55817303.479669861</v>
      </c>
      <c r="DA411" s="2424">
        <f t="shared" si="1483"/>
        <v>0</v>
      </c>
      <c r="DB411" s="2424">
        <f t="shared" si="1483"/>
        <v>24379346.520330139</v>
      </c>
      <c r="DC411" s="3264"/>
      <c r="DD411" s="3405"/>
      <c r="DE411" s="3406"/>
      <c r="DF411" s="3406"/>
      <c r="DG411" s="2424">
        <f t="shared" ref="DG411:DJ411" si="1484">DG17</f>
        <v>80196650</v>
      </c>
      <c r="DH411" s="2424">
        <f t="shared" si="1484"/>
        <v>55817303.479669861</v>
      </c>
      <c r="DI411" s="2424">
        <f t="shared" si="1484"/>
        <v>0</v>
      </c>
      <c r="DJ411" s="2424">
        <f t="shared" si="1484"/>
        <v>24379346.520330139</v>
      </c>
      <c r="DK411" s="3264"/>
      <c r="DL411" s="3405"/>
      <c r="DM411" s="3406"/>
      <c r="DN411" s="3406"/>
      <c r="DO411" s="2424">
        <f t="shared" ref="DO411:DR411" si="1485">DO17</f>
        <v>80196650</v>
      </c>
      <c r="DP411" s="2424">
        <f t="shared" si="1485"/>
        <v>55817303.479669861</v>
      </c>
      <c r="DQ411" s="2424">
        <f t="shared" si="1485"/>
        <v>0</v>
      </c>
      <c r="DR411" s="2424">
        <f t="shared" si="1485"/>
        <v>24379346.520330139</v>
      </c>
      <c r="DS411" s="3264"/>
      <c r="DT411" s="3405"/>
      <c r="DU411" s="3406"/>
      <c r="DV411" s="3406"/>
      <c r="DW411" s="2424">
        <f t="shared" ref="DW411:DZ411" si="1486">DW17</f>
        <v>80196650</v>
      </c>
      <c r="DX411" s="2424">
        <f t="shared" si="1486"/>
        <v>55817303.479669861</v>
      </c>
      <c r="DY411" s="2424">
        <f t="shared" si="1486"/>
        <v>0</v>
      </c>
      <c r="DZ411" s="2424">
        <f t="shared" si="1486"/>
        <v>24379346.520330139</v>
      </c>
      <c r="EA411" s="3264"/>
      <c r="EB411" s="3405"/>
      <c r="EC411" s="3406"/>
      <c r="ED411" s="3406"/>
      <c r="EE411" s="2424">
        <f t="shared" ref="EE411:EH411" si="1487">EE17</f>
        <v>80196650</v>
      </c>
      <c r="EF411" s="2424">
        <f t="shared" si="1487"/>
        <v>55817303.479669861</v>
      </c>
      <c r="EG411" s="2424">
        <f t="shared" si="1487"/>
        <v>0</v>
      </c>
      <c r="EH411" s="2424">
        <f t="shared" si="1487"/>
        <v>24379346.520330139</v>
      </c>
      <c r="EI411" s="3264"/>
      <c r="EJ411" s="3405"/>
      <c r="EK411" s="3406"/>
      <c r="EL411" s="3406"/>
      <c r="EM411" s="2424">
        <f t="shared" ref="EM411:EP411" si="1488">EM17</f>
        <v>80196650</v>
      </c>
      <c r="EN411" s="2424">
        <f t="shared" si="1488"/>
        <v>55817303.479669861</v>
      </c>
      <c r="EO411" s="2424">
        <f t="shared" si="1488"/>
        <v>0</v>
      </c>
      <c r="EP411" s="2424">
        <f t="shared" si="1488"/>
        <v>24379346.520330139</v>
      </c>
      <c r="EQ411" s="3264"/>
      <c r="ER411" s="3405"/>
      <c r="ES411" s="3406"/>
      <c r="ET411" s="3406"/>
      <c r="EU411" s="2424">
        <f t="shared" ref="EU411:EX411" si="1489">EU17</f>
        <v>80196650</v>
      </c>
      <c r="EV411" s="2424">
        <f t="shared" si="1489"/>
        <v>55817303.479669861</v>
      </c>
      <c r="EW411" s="2424">
        <f t="shared" si="1489"/>
        <v>0</v>
      </c>
      <c r="EX411" s="2424">
        <f t="shared" si="1489"/>
        <v>24379346.520330139</v>
      </c>
      <c r="EY411" s="3264"/>
      <c r="EZ411" s="3405"/>
      <c r="FA411" s="3406"/>
      <c r="FB411" s="3406"/>
      <c r="FC411" s="2424">
        <f t="shared" ref="FC411:FF411" si="1490">FC17</f>
        <v>80196650</v>
      </c>
      <c r="FD411" s="2424">
        <f t="shared" si="1490"/>
        <v>55817303.479669861</v>
      </c>
      <c r="FE411" s="2424">
        <f t="shared" si="1490"/>
        <v>0</v>
      </c>
      <c r="FF411" s="2424">
        <f t="shared" si="1490"/>
        <v>24379346.520330139</v>
      </c>
      <c r="FG411" s="3264"/>
      <c r="FH411" s="3405"/>
      <c r="FI411" s="3406"/>
      <c r="FJ411" s="3406"/>
      <c r="FK411" s="2424">
        <f t="shared" ref="FK411:FN411" si="1491">FK17</f>
        <v>80196650</v>
      </c>
      <c r="FL411" s="2424">
        <f t="shared" si="1491"/>
        <v>55817303.479669861</v>
      </c>
      <c r="FM411" s="2424">
        <f t="shared" si="1491"/>
        <v>0</v>
      </c>
      <c r="FN411" s="2424">
        <f t="shared" si="1491"/>
        <v>24379346.520330139</v>
      </c>
      <c r="FO411" s="3264"/>
    </row>
    <row r="412" spans="2:171">
      <c r="B412" s="3086"/>
      <c r="C412" s="3086" t="s">
        <v>542</v>
      </c>
      <c r="D412" s="3405"/>
      <c r="E412" s="3234" t="str">
        <f t="shared" si="1470"/>
        <v>DIRECT</v>
      </c>
      <c r="G412" s="2424">
        <f t="shared" si="1448"/>
        <v>75530269</v>
      </c>
      <c r="H412" s="2424">
        <f t="shared" ref="H412:J412" si="1492">H18</f>
        <v>10321488.568474432</v>
      </c>
      <c r="I412" s="2424">
        <f t="shared" si="1492"/>
        <v>0</v>
      </c>
      <c r="J412" s="2424">
        <f t="shared" si="1492"/>
        <v>65208779.001525573</v>
      </c>
      <c r="K412" s="3264"/>
      <c r="L412" s="3405"/>
      <c r="M412" s="3406"/>
      <c r="N412" s="3406"/>
      <c r="O412" s="2424">
        <f t="shared" ref="O412:R412" si="1493">O18</f>
        <v>75530269</v>
      </c>
      <c r="P412" s="2424">
        <f t="shared" si="1493"/>
        <v>10321488.568474432</v>
      </c>
      <c r="Q412" s="2424">
        <f t="shared" si="1493"/>
        <v>0</v>
      </c>
      <c r="R412" s="2424">
        <f t="shared" si="1493"/>
        <v>65208780.431525566</v>
      </c>
      <c r="S412" s="3264"/>
      <c r="T412" s="3405"/>
      <c r="U412" s="3406"/>
      <c r="V412" s="3406"/>
      <c r="W412" s="2424">
        <f t="shared" ref="W412:Z412" si="1494">W18</f>
        <v>75530269</v>
      </c>
      <c r="X412" s="2424">
        <f t="shared" si="1494"/>
        <v>10321488.568474432</v>
      </c>
      <c r="Y412" s="2424">
        <f t="shared" si="1494"/>
        <v>0</v>
      </c>
      <c r="Z412" s="2424">
        <f t="shared" si="1494"/>
        <v>65208780.431525566</v>
      </c>
      <c r="AA412" s="3264"/>
      <c r="AB412" s="3405"/>
      <c r="AC412" s="3406"/>
      <c r="AD412" s="3406"/>
      <c r="AE412" s="2424">
        <f t="shared" ref="AE412:AH412" si="1495">AE18</f>
        <v>75530269</v>
      </c>
      <c r="AF412" s="2424">
        <f t="shared" si="1495"/>
        <v>10321488.568474432</v>
      </c>
      <c r="AG412" s="2424">
        <f t="shared" si="1495"/>
        <v>0</v>
      </c>
      <c r="AH412" s="2424">
        <f t="shared" si="1495"/>
        <v>65208780.431525566</v>
      </c>
      <c r="AI412" s="3264"/>
      <c r="AJ412" s="3405"/>
      <c r="AK412" s="3406"/>
      <c r="AL412" s="3406"/>
      <c r="AM412" s="2424">
        <f t="shared" ref="AM412:AP412" si="1496">AM18</f>
        <v>75530269</v>
      </c>
      <c r="AN412" s="2424">
        <f t="shared" si="1496"/>
        <v>10321488.568474432</v>
      </c>
      <c r="AO412" s="2424">
        <f t="shared" si="1496"/>
        <v>0</v>
      </c>
      <c r="AP412" s="2424">
        <f t="shared" si="1496"/>
        <v>65208780.431525566</v>
      </c>
      <c r="AQ412" s="3264"/>
      <c r="AR412" s="3405"/>
      <c r="AS412" s="3406"/>
      <c r="AT412" s="3406"/>
      <c r="AU412" s="2424">
        <f t="shared" ref="AU412:AX412" si="1497">AU18</f>
        <v>75530269</v>
      </c>
      <c r="AV412" s="2424">
        <f t="shared" si="1497"/>
        <v>10321488.568474432</v>
      </c>
      <c r="AW412" s="2424">
        <f t="shared" si="1497"/>
        <v>0</v>
      </c>
      <c r="AX412" s="2424">
        <f t="shared" si="1497"/>
        <v>65208780.431525566</v>
      </c>
      <c r="AY412" s="3264"/>
      <c r="AZ412" s="3405"/>
      <c r="BA412" s="3406"/>
      <c r="BB412" s="3406"/>
      <c r="BC412" s="2424">
        <f t="shared" ref="BC412:BF412" si="1498">BC18</f>
        <v>75530269</v>
      </c>
      <c r="BD412" s="2424">
        <f t="shared" si="1498"/>
        <v>10321488.568474432</v>
      </c>
      <c r="BE412" s="2424">
        <f t="shared" si="1498"/>
        <v>0</v>
      </c>
      <c r="BF412" s="2424">
        <f t="shared" si="1498"/>
        <v>65208780.431525566</v>
      </c>
      <c r="BG412" s="3264"/>
      <c r="BH412" s="3405"/>
      <c r="BI412" s="3406"/>
      <c r="BJ412" s="3406"/>
      <c r="BK412" s="2424">
        <f t="shared" ref="BK412:BN412" si="1499">BK18</f>
        <v>75530269</v>
      </c>
      <c r="BL412" s="2424">
        <f t="shared" si="1499"/>
        <v>10321488.568474432</v>
      </c>
      <c r="BM412" s="2424">
        <f t="shared" si="1499"/>
        <v>0</v>
      </c>
      <c r="BN412" s="2424">
        <f t="shared" si="1499"/>
        <v>65208780.431525566</v>
      </c>
      <c r="BO412" s="3264"/>
      <c r="BP412" s="3405"/>
      <c r="BQ412" s="3406"/>
      <c r="BR412" s="3406"/>
      <c r="BS412" s="2424">
        <f t="shared" ref="BS412:BV412" si="1500">BS18</f>
        <v>75530269</v>
      </c>
      <c r="BT412" s="2424">
        <f t="shared" si="1500"/>
        <v>10321488.568474432</v>
      </c>
      <c r="BU412" s="2424">
        <f t="shared" si="1500"/>
        <v>0</v>
      </c>
      <c r="BV412" s="2424">
        <f t="shared" si="1500"/>
        <v>65208780.431525566</v>
      </c>
      <c r="BW412" s="3264"/>
      <c r="BX412" s="3405"/>
      <c r="BY412" s="3406"/>
      <c r="BZ412" s="3406"/>
      <c r="CA412" s="2424">
        <f t="shared" ref="CA412:CD412" si="1501">CA18</f>
        <v>75530269</v>
      </c>
      <c r="CB412" s="2424">
        <f t="shared" si="1501"/>
        <v>10321488.568474432</v>
      </c>
      <c r="CC412" s="2424">
        <f t="shared" si="1501"/>
        <v>0</v>
      </c>
      <c r="CD412" s="2424">
        <f t="shared" si="1501"/>
        <v>65208780.431525566</v>
      </c>
      <c r="CE412" s="3264"/>
      <c r="CF412" s="3405"/>
      <c r="CG412" s="3406"/>
      <c r="CH412" s="3406"/>
      <c r="CI412" s="2424">
        <f t="shared" ref="CI412:CL412" si="1502">CI18</f>
        <v>75530269</v>
      </c>
      <c r="CJ412" s="2424">
        <f t="shared" si="1502"/>
        <v>10321488.568474432</v>
      </c>
      <c r="CK412" s="2424">
        <f t="shared" si="1502"/>
        <v>0</v>
      </c>
      <c r="CL412" s="2424">
        <f t="shared" si="1502"/>
        <v>65208780.431525566</v>
      </c>
      <c r="CM412" s="3264"/>
      <c r="CN412" s="3405"/>
      <c r="CO412" s="3406"/>
      <c r="CP412" s="3406"/>
      <c r="CQ412" s="2424">
        <f t="shared" ref="CQ412:CT412" si="1503">CQ18</f>
        <v>75530269</v>
      </c>
      <c r="CR412" s="2424">
        <f t="shared" si="1503"/>
        <v>10321488.568474432</v>
      </c>
      <c r="CS412" s="2424">
        <f t="shared" si="1503"/>
        <v>0</v>
      </c>
      <c r="CT412" s="2424">
        <f t="shared" si="1503"/>
        <v>65208780.431525566</v>
      </c>
      <c r="CU412" s="3264"/>
      <c r="CV412" s="3405"/>
      <c r="CW412" s="3406"/>
      <c r="CX412" s="3406"/>
      <c r="CY412" s="2424">
        <f t="shared" ref="CY412:DB412" si="1504">CY18</f>
        <v>75530269</v>
      </c>
      <c r="CZ412" s="2424">
        <f t="shared" si="1504"/>
        <v>10321488.568474432</v>
      </c>
      <c r="DA412" s="2424">
        <f t="shared" si="1504"/>
        <v>0</v>
      </c>
      <c r="DB412" s="2424">
        <f t="shared" si="1504"/>
        <v>65208780.431525566</v>
      </c>
      <c r="DC412" s="3264"/>
      <c r="DD412" s="3405"/>
      <c r="DE412" s="3406"/>
      <c r="DF412" s="3406"/>
      <c r="DG412" s="2424">
        <f t="shared" ref="DG412:DJ412" si="1505">DG18</f>
        <v>75530269</v>
      </c>
      <c r="DH412" s="2424">
        <f t="shared" si="1505"/>
        <v>10321488.568474432</v>
      </c>
      <c r="DI412" s="2424">
        <f t="shared" si="1505"/>
        <v>0</v>
      </c>
      <c r="DJ412" s="2424">
        <f t="shared" si="1505"/>
        <v>65208780.431525566</v>
      </c>
      <c r="DK412" s="3264"/>
      <c r="DL412" s="3405"/>
      <c r="DM412" s="3406"/>
      <c r="DN412" s="3406"/>
      <c r="DO412" s="2424">
        <f t="shared" ref="DO412:DR412" si="1506">DO18</f>
        <v>75530269</v>
      </c>
      <c r="DP412" s="2424">
        <f t="shared" si="1506"/>
        <v>10321488.568474432</v>
      </c>
      <c r="DQ412" s="2424">
        <f t="shared" si="1506"/>
        <v>0</v>
      </c>
      <c r="DR412" s="2424">
        <f t="shared" si="1506"/>
        <v>65208780.431525566</v>
      </c>
      <c r="DS412" s="3264"/>
      <c r="DT412" s="3405"/>
      <c r="DU412" s="3406"/>
      <c r="DV412" s="3406"/>
      <c r="DW412" s="2424">
        <f t="shared" ref="DW412:DZ412" si="1507">DW18</f>
        <v>75530269</v>
      </c>
      <c r="DX412" s="2424">
        <f t="shared" si="1507"/>
        <v>10321488.568474432</v>
      </c>
      <c r="DY412" s="2424">
        <f t="shared" si="1507"/>
        <v>0</v>
      </c>
      <c r="DZ412" s="2424">
        <f t="shared" si="1507"/>
        <v>65208780.431525566</v>
      </c>
      <c r="EA412" s="3264"/>
      <c r="EB412" s="3405"/>
      <c r="EC412" s="3406"/>
      <c r="ED412" s="3406"/>
      <c r="EE412" s="2424">
        <f t="shared" ref="EE412:EH412" si="1508">EE18</f>
        <v>75530269</v>
      </c>
      <c r="EF412" s="2424">
        <f t="shared" si="1508"/>
        <v>10321488.568474432</v>
      </c>
      <c r="EG412" s="2424">
        <f t="shared" si="1508"/>
        <v>0</v>
      </c>
      <c r="EH412" s="2424">
        <f t="shared" si="1508"/>
        <v>65208780.431525566</v>
      </c>
      <c r="EI412" s="3264"/>
      <c r="EJ412" s="3405"/>
      <c r="EK412" s="3406"/>
      <c r="EL412" s="3406"/>
      <c r="EM412" s="2424">
        <f t="shared" ref="EM412:EP412" si="1509">EM18</f>
        <v>75530269</v>
      </c>
      <c r="EN412" s="2424">
        <f t="shared" si="1509"/>
        <v>10321488.568474432</v>
      </c>
      <c r="EO412" s="2424">
        <f t="shared" si="1509"/>
        <v>0</v>
      </c>
      <c r="EP412" s="2424">
        <f t="shared" si="1509"/>
        <v>65208780.431525566</v>
      </c>
      <c r="EQ412" s="3264"/>
      <c r="ER412" s="3405"/>
      <c r="ES412" s="3406"/>
      <c r="ET412" s="3406"/>
      <c r="EU412" s="2424">
        <f t="shared" ref="EU412:EX412" si="1510">EU18</f>
        <v>75530269</v>
      </c>
      <c r="EV412" s="2424">
        <f t="shared" si="1510"/>
        <v>10321488.568474432</v>
      </c>
      <c r="EW412" s="2424">
        <f t="shared" si="1510"/>
        <v>0</v>
      </c>
      <c r="EX412" s="2424">
        <f t="shared" si="1510"/>
        <v>65208780.431525566</v>
      </c>
      <c r="EY412" s="3264"/>
      <c r="EZ412" s="3405"/>
      <c r="FA412" s="3406"/>
      <c r="FB412" s="3406"/>
      <c r="FC412" s="2424">
        <f t="shared" ref="FC412:FF412" si="1511">FC18</f>
        <v>75530269</v>
      </c>
      <c r="FD412" s="2424">
        <f t="shared" si="1511"/>
        <v>10321488.568474432</v>
      </c>
      <c r="FE412" s="2424">
        <f t="shared" si="1511"/>
        <v>0</v>
      </c>
      <c r="FF412" s="2424">
        <f t="shared" si="1511"/>
        <v>65208780.431525566</v>
      </c>
      <c r="FG412" s="3264"/>
      <c r="FH412" s="3405"/>
      <c r="FI412" s="3406"/>
      <c r="FJ412" s="3406"/>
      <c r="FK412" s="2424">
        <f t="shared" ref="FK412:FN412" si="1512">FK18</f>
        <v>75530269</v>
      </c>
      <c r="FL412" s="2424">
        <f t="shared" si="1512"/>
        <v>10321488.568474432</v>
      </c>
      <c r="FM412" s="2424">
        <f t="shared" si="1512"/>
        <v>0</v>
      </c>
      <c r="FN412" s="2424">
        <f t="shared" si="1512"/>
        <v>65208780.431525566</v>
      </c>
      <c r="FO412" s="3264"/>
    </row>
    <row r="413" spans="2:171">
      <c r="B413" s="3086"/>
      <c r="C413" s="3086" t="s">
        <v>339</v>
      </c>
      <c r="D413" s="3405"/>
      <c r="E413" s="3234"/>
      <c r="G413" s="2424">
        <f>G50</f>
        <v>316657583</v>
      </c>
      <c r="H413" s="2424">
        <f t="shared" ref="H413:J413" si="1513">H50</f>
        <v>107907565.79361701</v>
      </c>
      <c r="I413" s="2424">
        <f t="shared" si="1513"/>
        <v>0</v>
      </c>
      <c r="J413" s="2424">
        <f t="shared" si="1513"/>
        <v>208750017.20638302</v>
      </c>
      <c r="K413" s="3264"/>
      <c r="L413" s="3405"/>
      <c r="M413" s="3406"/>
      <c r="N413" s="3406"/>
      <c r="O413" s="2424">
        <f>O50</f>
        <v>316657583</v>
      </c>
      <c r="P413" s="2424">
        <f t="shared" ref="P413:R413" si="1514">P50</f>
        <v>107907565.79361701</v>
      </c>
      <c r="Q413" s="2424">
        <f t="shared" si="1514"/>
        <v>53162346.200694084</v>
      </c>
      <c r="R413" s="2424">
        <f t="shared" si="1514"/>
        <v>155587671.00568891</v>
      </c>
      <c r="S413" s="3264"/>
      <c r="T413" s="3405"/>
      <c r="U413" s="3406"/>
      <c r="V413" s="3406"/>
      <c r="W413" s="2424">
        <f>W50</f>
        <v>316657583</v>
      </c>
      <c r="X413" s="2424">
        <f t="shared" ref="X413:Z413" si="1515">X50</f>
        <v>107907565.79361701</v>
      </c>
      <c r="Y413" s="2424">
        <f t="shared" si="1515"/>
        <v>53162346.200694084</v>
      </c>
      <c r="Z413" s="2424">
        <f t="shared" si="1515"/>
        <v>155587671.00568891</v>
      </c>
      <c r="AA413" s="3264"/>
      <c r="AB413" s="3405"/>
      <c r="AC413" s="3406"/>
      <c r="AD413" s="3406"/>
      <c r="AE413" s="2424">
        <f>AE50</f>
        <v>316657583</v>
      </c>
      <c r="AF413" s="2424">
        <f t="shared" ref="AF413:AH413" si="1516">AF50</f>
        <v>107907565.79361701</v>
      </c>
      <c r="AG413" s="2424">
        <f t="shared" si="1516"/>
        <v>53162346.200694084</v>
      </c>
      <c r="AH413" s="2424">
        <f t="shared" si="1516"/>
        <v>155587671.00568891</v>
      </c>
      <c r="AI413" s="3264"/>
      <c r="AJ413" s="3405"/>
      <c r="AK413" s="3406"/>
      <c r="AL413" s="3406"/>
      <c r="AM413" s="2424">
        <f>AM50</f>
        <v>316657583</v>
      </c>
      <c r="AN413" s="2424">
        <f t="shared" ref="AN413:AP413" si="1517">AN50</f>
        <v>107907565.79361701</v>
      </c>
      <c r="AO413" s="2424">
        <f t="shared" si="1517"/>
        <v>53162346.200694084</v>
      </c>
      <c r="AP413" s="2424">
        <f t="shared" si="1517"/>
        <v>155587671.00568891</v>
      </c>
      <c r="AQ413" s="3264"/>
      <c r="AR413" s="3405"/>
      <c r="AS413" s="3406"/>
      <c r="AT413" s="3406"/>
      <c r="AU413" s="2424">
        <f>AU50</f>
        <v>316657583</v>
      </c>
      <c r="AV413" s="2424">
        <f t="shared" ref="AV413:AX413" si="1518">AV50</f>
        <v>107907565.79361701</v>
      </c>
      <c r="AW413" s="2424">
        <f t="shared" si="1518"/>
        <v>53162346.200694084</v>
      </c>
      <c r="AX413" s="2424">
        <f t="shared" si="1518"/>
        <v>155587671.00568891</v>
      </c>
      <c r="AY413" s="3264"/>
      <c r="AZ413" s="3405"/>
      <c r="BA413" s="3406"/>
      <c r="BB413" s="3406"/>
      <c r="BC413" s="2424">
        <f>BC50</f>
        <v>316657583</v>
      </c>
      <c r="BD413" s="2424">
        <f t="shared" ref="BD413:BF413" si="1519">BD50</f>
        <v>107907565.79361701</v>
      </c>
      <c r="BE413" s="2424">
        <f t="shared" si="1519"/>
        <v>53162346.200694084</v>
      </c>
      <c r="BF413" s="2424">
        <f t="shared" si="1519"/>
        <v>155587671.00568891</v>
      </c>
      <c r="BG413" s="3264"/>
      <c r="BH413" s="3405"/>
      <c r="BI413" s="3406"/>
      <c r="BJ413" s="3406"/>
      <c r="BK413" s="2424">
        <f>BK50</f>
        <v>316657583</v>
      </c>
      <c r="BL413" s="2424">
        <f t="shared" ref="BL413:BN413" si="1520">BL50</f>
        <v>107907565.79361701</v>
      </c>
      <c r="BM413" s="2424">
        <f t="shared" si="1520"/>
        <v>53162346.200694084</v>
      </c>
      <c r="BN413" s="2424">
        <f t="shared" si="1520"/>
        <v>155587671.00568891</v>
      </c>
      <c r="BO413" s="3264"/>
      <c r="BP413" s="3405"/>
      <c r="BQ413" s="3406"/>
      <c r="BR413" s="3406"/>
      <c r="BS413" s="2424">
        <f>BS50</f>
        <v>316657583</v>
      </c>
      <c r="BT413" s="2424">
        <f t="shared" ref="BT413:BV413" si="1521">BT50</f>
        <v>107907565.79361701</v>
      </c>
      <c r="BU413" s="2424">
        <f t="shared" si="1521"/>
        <v>53162346.200694084</v>
      </c>
      <c r="BV413" s="2424">
        <f t="shared" si="1521"/>
        <v>155587671.00568891</v>
      </c>
      <c r="BW413" s="3264"/>
      <c r="BX413" s="3405"/>
      <c r="BY413" s="3406"/>
      <c r="BZ413" s="3406"/>
      <c r="CA413" s="2424">
        <f>CA50</f>
        <v>316657583</v>
      </c>
      <c r="CB413" s="2424">
        <f t="shared" ref="CB413:CD413" si="1522">CB50</f>
        <v>107907565.79361701</v>
      </c>
      <c r="CC413" s="2424">
        <f t="shared" si="1522"/>
        <v>53162346.200694084</v>
      </c>
      <c r="CD413" s="2424">
        <f t="shared" si="1522"/>
        <v>155587671.00568891</v>
      </c>
      <c r="CE413" s="3264"/>
      <c r="CF413" s="3405"/>
      <c r="CG413" s="3406"/>
      <c r="CH413" s="3406"/>
      <c r="CI413" s="2424">
        <f>CI50</f>
        <v>316657583</v>
      </c>
      <c r="CJ413" s="2424">
        <f t="shared" ref="CJ413:CL413" si="1523">CJ50</f>
        <v>107907565.79361701</v>
      </c>
      <c r="CK413" s="2424">
        <f t="shared" si="1523"/>
        <v>53162346.200694084</v>
      </c>
      <c r="CL413" s="2424">
        <f t="shared" si="1523"/>
        <v>155587671.00568891</v>
      </c>
      <c r="CM413" s="3264"/>
      <c r="CN413" s="3405"/>
      <c r="CO413" s="3406"/>
      <c r="CP413" s="3406"/>
      <c r="CQ413" s="2424">
        <f>CQ50</f>
        <v>316657583</v>
      </c>
      <c r="CR413" s="2424">
        <f t="shared" ref="CR413:CT413" si="1524">CR50</f>
        <v>107907565.79361701</v>
      </c>
      <c r="CS413" s="2424">
        <f t="shared" si="1524"/>
        <v>53162346.200694084</v>
      </c>
      <c r="CT413" s="2424">
        <f t="shared" si="1524"/>
        <v>155587671.00568891</v>
      </c>
      <c r="CU413" s="3264"/>
      <c r="CV413" s="3405"/>
      <c r="CW413" s="3406"/>
      <c r="CX413" s="3406"/>
      <c r="CY413" s="2424">
        <f>CY50</f>
        <v>316657583</v>
      </c>
      <c r="CZ413" s="2424">
        <f t="shared" ref="CZ413:DB413" si="1525">CZ50</f>
        <v>107907565.79361701</v>
      </c>
      <c r="DA413" s="2424">
        <f t="shared" si="1525"/>
        <v>53162346.200694084</v>
      </c>
      <c r="DB413" s="2424">
        <f t="shared" si="1525"/>
        <v>155587671.00568891</v>
      </c>
      <c r="DC413" s="3264"/>
      <c r="DD413" s="3405"/>
      <c r="DE413" s="3406"/>
      <c r="DF413" s="3406"/>
      <c r="DG413" s="2424">
        <f>DG50</f>
        <v>316657583</v>
      </c>
      <c r="DH413" s="2424">
        <f t="shared" ref="DH413:DJ413" si="1526">DH50</f>
        <v>107907565.79361701</v>
      </c>
      <c r="DI413" s="2424">
        <f t="shared" si="1526"/>
        <v>53162346.200694084</v>
      </c>
      <c r="DJ413" s="2424">
        <f t="shared" si="1526"/>
        <v>155587671.00568891</v>
      </c>
      <c r="DK413" s="3264"/>
      <c r="DL413" s="3405"/>
      <c r="DM413" s="3406"/>
      <c r="DN413" s="3406"/>
      <c r="DO413" s="2424">
        <f>DO50</f>
        <v>316657583</v>
      </c>
      <c r="DP413" s="2424">
        <f t="shared" ref="DP413:DR413" si="1527">DP50</f>
        <v>107907565.79361701</v>
      </c>
      <c r="DQ413" s="2424">
        <f t="shared" si="1527"/>
        <v>53162346.200694084</v>
      </c>
      <c r="DR413" s="2424">
        <f t="shared" si="1527"/>
        <v>155587671.00568891</v>
      </c>
      <c r="DS413" s="3264"/>
      <c r="DT413" s="3405"/>
      <c r="DU413" s="3406"/>
      <c r="DV413" s="3406"/>
      <c r="DW413" s="2424">
        <f>DW50</f>
        <v>316657583</v>
      </c>
      <c r="DX413" s="2424">
        <f t="shared" ref="DX413:DZ413" si="1528">DX50</f>
        <v>107907565.79361701</v>
      </c>
      <c r="DY413" s="2424">
        <f t="shared" si="1528"/>
        <v>53162346.200694084</v>
      </c>
      <c r="DZ413" s="2424">
        <f t="shared" si="1528"/>
        <v>155587671.00568891</v>
      </c>
      <c r="EA413" s="3264"/>
      <c r="EB413" s="3405"/>
      <c r="EC413" s="3406"/>
      <c r="ED413" s="3406"/>
      <c r="EE413" s="2424">
        <f>EE50</f>
        <v>316657583</v>
      </c>
      <c r="EF413" s="2424">
        <f t="shared" ref="EF413:EH413" si="1529">EF50</f>
        <v>107907565.79361701</v>
      </c>
      <c r="EG413" s="2424">
        <f t="shared" si="1529"/>
        <v>53162346.200694084</v>
      </c>
      <c r="EH413" s="2424">
        <f t="shared" si="1529"/>
        <v>155587671.00568891</v>
      </c>
      <c r="EI413" s="3264"/>
      <c r="EJ413" s="3405"/>
      <c r="EK413" s="3406"/>
      <c r="EL413" s="3406"/>
      <c r="EM413" s="2424">
        <f>EM50</f>
        <v>316657583</v>
      </c>
      <c r="EN413" s="2424">
        <f t="shared" ref="EN413:EP413" si="1530">EN50</f>
        <v>107907565.79361701</v>
      </c>
      <c r="EO413" s="2424">
        <f t="shared" si="1530"/>
        <v>53162346.200694084</v>
      </c>
      <c r="EP413" s="2424">
        <f t="shared" si="1530"/>
        <v>155587671.00568891</v>
      </c>
      <c r="EQ413" s="3264"/>
      <c r="ER413" s="3405"/>
      <c r="ES413" s="3406"/>
      <c r="ET413" s="3406"/>
      <c r="EU413" s="2424">
        <f>EU50</f>
        <v>316657583</v>
      </c>
      <c r="EV413" s="2424">
        <f t="shared" ref="EV413:EX413" si="1531">EV50</f>
        <v>107907565.79361701</v>
      </c>
      <c r="EW413" s="2424">
        <f t="shared" si="1531"/>
        <v>53162346.200694084</v>
      </c>
      <c r="EX413" s="2424">
        <f t="shared" si="1531"/>
        <v>155587671.00568891</v>
      </c>
      <c r="EY413" s="3264"/>
      <c r="EZ413" s="3405"/>
      <c r="FA413" s="3406"/>
      <c r="FB413" s="3406"/>
      <c r="FC413" s="2424">
        <f>FC50</f>
        <v>316657583</v>
      </c>
      <c r="FD413" s="2424">
        <f t="shared" ref="FD413:FF413" si="1532">FD50</f>
        <v>107907565.79361701</v>
      </c>
      <c r="FE413" s="2424">
        <f t="shared" si="1532"/>
        <v>53162346.200694084</v>
      </c>
      <c r="FF413" s="2424">
        <f t="shared" si="1532"/>
        <v>155587671.00568891</v>
      </c>
      <c r="FG413" s="3264"/>
      <c r="FH413" s="3405"/>
      <c r="FI413" s="3406"/>
      <c r="FJ413" s="3406"/>
      <c r="FK413" s="2424">
        <f>FK50</f>
        <v>316657583</v>
      </c>
      <c r="FL413" s="2424">
        <f t="shared" ref="FL413:FN413" si="1533">FL50</f>
        <v>107907565.79361701</v>
      </c>
      <c r="FM413" s="2424">
        <f t="shared" si="1533"/>
        <v>53162346.200694084</v>
      </c>
      <c r="FN413" s="2424">
        <f t="shared" si="1533"/>
        <v>155587671.00568891</v>
      </c>
      <c r="FO413" s="3264"/>
    </row>
    <row r="414" spans="2:171">
      <c r="B414" s="3086"/>
      <c r="C414" s="3086" t="s">
        <v>522</v>
      </c>
      <c r="D414" s="3405"/>
      <c r="E414" s="3095"/>
      <c r="F414" s="3406"/>
      <c r="G414" s="3244">
        <f>SUM(G409:G413)</f>
        <v>11651187515</v>
      </c>
      <c r="H414" s="3244">
        <f>SUM(H409:H413)</f>
        <v>4076431188.8417616</v>
      </c>
      <c r="I414" s="3244">
        <f>SUM(I409:I413)</f>
        <v>0</v>
      </c>
      <c r="J414" s="3244">
        <f>SUM(J409:J413)</f>
        <v>7574756323.9282389</v>
      </c>
      <c r="K414" s="3264"/>
      <c r="L414" s="3405"/>
      <c r="M414" s="3406"/>
      <c r="N414" s="3406"/>
      <c r="O414" s="3244">
        <f>SUM(O409:O413)</f>
        <v>11651187515</v>
      </c>
      <c r="P414" s="3244">
        <f>SUM(P409:P413)</f>
        <v>4076431188.8417616</v>
      </c>
      <c r="Q414" s="3244">
        <f>SUM(Q409:Q413)</f>
        <v>2045543584.2006941</v>
      </c>
      <c r="R414" s="3244">
        <f>SUM(R409:R413)</f>
        <v>5529212741.9575443</v>
      </c>
      <c r="S414" s="3264"/>
      <c r="T414" s="3405"/>
      <c r="U414" s="3406"/>
      <c r="V414" s="3406"/>
      <c r="W414" s="3244">
        <f>SUM(W409:W413)</f>
        <v>11651187515</v>
      </c>
      <c r="X414" s="3244">
        <f>SUM(X409:X413)</f>
        <v>4076431188.8417616</v>
      </c>
      <c r="Y414" s="3244">
        <f>SUM(Y409:Y413)</f>
        <v>2045543584.2006941</v>
      </c>
      <c r="Z414" s="3244">
        <f>SUM(Z409:Z413)</f>
        <v>5529212741.9575443</v>
      </c>
      <c r="AA414" s="3264"/>
      <c r="AB414" s="3405"/>
      <c r="AC414" s="3406"/>
      <c r="AD414" s="3406"/>
      <c r="AE414" s="3244">
        <f>SUM(AE409:AE413)</f>
        <v>11651187515</v>
      </c>
      <c r="AF414" s="3244">
        <f>SUM(AF409:AF413)</f>
        <v>4076431188.8417616</v>
      </c>
      <c r="AG414" s="3244">
        <f>SUM(AG409:AG413)</f>
        <v>2045543584.2006941</v>
      </c>
      <c r="AH414" s="3244">
        <f>SUM(AH409:AH413)</f>
        <v>5529212741.9575443</v>
      </c>
      <c r="AI414" s="3264"/>
      <c r="AJ414" s="3405"/>
      <c r="AK414" s="3406"/>
      <c r="AL414" s="3406"/>
      <c r="AM414" s="3244">
        <f>SUM(AM409:AM413)</f>
        <v>11651187515</v>
      </c>
      <c r="AN414" s="3244">
        <f>SUM(AN409:AN413)</f>
        <v>4076431188.8417616</v>
      </c>
      <c r="AO414" s="3244">
        <f>SUM(AO409:AO413)</f>
        <v>2045543584.2006941</v>
      </c>
      <c r="AP414" s="3244">
        <f>SUM(AP409:AP413)</f>
        <v>5529212741.9575443</v>
      </c>
      <c r="AQ414" s="3264"/>
      <c r="AR414" s="3405"/>
      <c r="AS414" s="3406"/>
      <c r="AT414" s="3406"/>
      <c r="AU414" s="3244">
        <f>SUM(AU409:AU413)</f>
        <v>11651187515</v>
      </c>
      <c r="AV414" s="3244">
        <f>SUM(AV409:AV413)</f>
        <v>4076431188.8417616</v>
      </c>
      <c r="AW414" s="3244">
        <f>SUM(AW409:AW413)</f>
        <v>2045543584.2006941</v>
      </c>
      <c r="AX414" s="3244">
        <f>SUM(AX409:AX413)</f>
        <v>5529212741.9575443</v>
      </c>
      <c r="AY414" s="3264"/>
      <c r="AZ414" s="3405"/>
      <c r="BA414" s="3406"/>
      <c r="BB414" s="3406"/>
      <c r="BC414" s="3244">
        <f>SUM(BC409:BC413)</f>
        <v>11651187515</v>
      </c>
      <c r="BD414" s="3244">
        <f>SUM(BD409:BD413)</f>
        <v>4076431188.8417616</v>
      </c>
      <c r="BE414" s="3244">
        <f>SUM(BE409:BE413)</f>
        <v>2045543584.2006941</v>
      </c>
      <c r="BF414" s="3244">
        <f>SUM(BF409:BF413)</f>
        <v>5529212741.9575443</v>
      </c>
      <c r="BG414" s="3264"/>
      <c r="BH414" s="3405"/>
      <c r="BI414" s="3406"/>
      <c r="BJ414" s="3406"/>
      <c r="BK414" s="3244">
        <f>SUM(BK409:BK413)</f>
        <v>11651187515</v>
      </c>
      <c r="BL414" s="3244">
        <f>SUM(BL409:BL413)</f>
        <v>4076431188.8417616</v>
      </c>
      <c r="BM414" s="3244">
        <f>SUM(BM409:BM413)</f>
        <v>2045543584.2006941</v>
      </c>
      <c r="BN414" s="3244">
        <f>SUM(BN409:BN413)</f>
        <v>5529212741.9575443</v>
      </c>
      <c r="BO414" s="3264"/>
      <c r="BP414" s="3405"/>
      <c r="BQ414" s="3406"/>
      <c r="BR414" s="3406"/>
      <c r="BS414" s="3244">
        <f>SUM(BS409:BS413)</f>
        <v>11651187515</v>
      </c>
      <c r="BT414" s="3244">
        <f>SUM(BT409:BT413)</f>
        <v>4076431188.8417616</v>
      </c>
      <c r="BU414" s="3244">
        <f>SUM(BU409:BU413)</f>
        <v>2045543584.2006941</v>
      </c>
      <c r="BV414" s="3244">
        <f>SUM(BV409:BV413)</f>
        <v>5529212741.9575443</v>
      </c>
      <c r="BW414" s="3264"/>
      <c r="BX414" s="3405"/>
      <c r="BY414" s="3406"/>
      <c r="BZ414" s="3406"/>
      <c r="CA414" s="3244">
        <f>SUM(CA409:CA413)</f>
        <v>11651187515</v>
      </c>
      <c r="CB414" s="3244">
        <f>SUM(CB409:CB413)</f>
        <v>4076431188.8417616</v>
      </c>
      <c r="CC414" s="3244">
        <f>SUM(CC409:CC413)</f>
        <v>2045543584.2006941</v>
      </c>
      <c r="CD414" s="3244">
        <f>SUM(CD409:CD413)</f>
        <v>5529212741.9575443</v>
      </c>
      <c r="CE414" s="3264"/>
      <c r="CF414" s="3405"/>
      <c r="CG414" s="3406"/>
      <c r="CH414" s="3406"/>
      <c r="CI414" s="3244">
        <f>SUM(CI409:CI413)</f>
        <v>11651187515</v>
      </c>
      <c r="CJ414" s="3244">
        <f>SUM(CJ409:CJ413)</f>
        <v>4076431188.8417616</v>
      </c>
      <c r="CK414" s="3244">
        <f>SUM(CK409:CK413)</f>
        <v>2045543584.2006941</v>
      </c>
      <c r="CL414" s="3244">
        <f>SUM(CL409:CL413)</f>
        <v>5529212741.9575443</v>
      </c>
      <c r="CM414" s="3264"/>
      <c r="CN414" s="3405"/>
      <c r="CO414" s="3406"/>
      <c r="CP414" s="3406"/>
      <c r="CQ414" s="3244">
        <f>SUM(CQ409:CQ413)</f>
        <v>11651187515</v>
      </c>
      <c r="CR414" s="3244">
        <f>SUM(CR409:CR413)</f>
        <v>4076431188.8417616</v>
      </c>
      <c r="CS414" s="3244">
        <f>SUM(CS409:CS413)</f>
        <v>2045543584.2006941</v>
      </c>
      <c r="CT414" s="3244">
        <f>SUM(CT409:CT413)</f>
        <v>5529212741.9575443</v>
      </c>
      <c r="CU414" s="3264"/>
      <c r="CV414" s="3405"/>
      <c r="CW414" s="3406"/>
      <c r="CX414" s="3406"/>
      <c r="CY414" s="3244">
        <f>SUM(CY409:CY413)</f>
        <v>11651187515</v>
      </c>
      <c r="CZ414" s="3244">
        <f>SUM(CZ409:CZ413)</f>
        <v>4076431188.8417616</v>
      </c>
      <c r="DA414" s="3244">
        <f>SUM(DA409:DA413)</f>
        <v>2045543584.2006941</v>
      </c>
      <c r="DB414" s="3244">
        <f>SUM(DB409:DB413)</f>
        <v>5529212741.9575443</v>
      </c>
      <c r="DC414" s="3264"/>
      <c r="DD414" s="3405"/>
      <c r="DE414" s="3406"/>
      <c r="DF414" s="3406"/>
      <c r="DG414" s="3244">
        <f>SUM(DG409:DG413)</f>
        <v>11651187515</v>
      </c>
      <c r="DH414" s="3244">
        <f>SUM(DH409:DH413)</f>
        <v>4076431188.8417616</v>
      </c>
      <c r="DI414" s="3244">
        <f>SUM(DI409:DI413)</f>
        <v>2045543584.2006941</v>
      </c>
      <c r="DJ414" s="3244">
        <f>SUM(DJ409:DJ413)</f>
        <v>5529212741.9575443</v>
      </c>
      <c r="DK414" s="3264"/>
      <c r="DL414" s="3405"/>
      <c r="DM414" s="3406"/>
      <c r="DN414" s="3406"/>
      <c r="DO414" s="3244">
        <f>SUM(DO409:DO413)</f>
        <v>11651187515</v>
      </c>
      <c r="DP414" s="3244">
        <f>SUM(DP409:DP413)</f>
        <v>4076431188.8417616</v>
      </c>
      <c r="DQ414" s="3244">
        <f>SUM(DQ409:DQ413)</f>
        <v>2045543584.2006941</v>
      </c>
      <c r="DR414" s="3244">
        <f>SUM(DR409:DR413)</f>
        <v>5529212741.9575443</v>
      </c>
      <c r="DS414" s="3264"/>
      <c r="DT414" s="3405"/>
      <c r="DU414" s="3406"/>
      <c r="DV414" s="3406"/>
      <c r="DW414" s="3244">
        <f>SUM(DW409:DW413)</f>
        <v>11651187515</v>
      </c>
      <c r="DX414" s="3244">
        <f>SUM(DX409:DX413)</f>
        <v>4076431188.8417616</v>
      </c>
      <c r="DY414" s="3244">
        <f>SUM(DY409:DY413)</f>
        <v>2045543584.2006941</v>
      </c>
      <c r="DZ414" s="3244">
        <f>SUM(DZ409:DZ413)</f>
        <v>5529212741.9575443</v>
      </c>
      <c r="EA414" s="3264"/>
      <c r="EB414" s="3405"/>
      <c r="EC414" s="3406"/>
      <c r="ED414" s="3406"/>
      <c r="EE414" s="3244">
        <f>SUM(EE409:EE413)</f>
        <v>11651187515</v>
      </c>
      <c r="EF414" s="3244">
        <f>SUM(EF409:EF413)</f>
        <v>4076431188.8417616</v>
      </c>
      <c r="EG414" s="3244">
        <f>SUM(EG409:EG413)</f>
        <v>2045543584.2006941</v>
      </c>
      <c r="EH414" s="3244">
        <f>SUM(EH409:EH413)</f>
        <v>5529212741.9575443</v>
      </c>
      <c r="EI414" s="3264"/>
      <c r="EJ414" s="3405"/>
      <c r="EK414" s="3406"/>
      <c r="EL414" s="3406"/>
      <c r="EM414" s="3244">
        <f>SUM(EM409:EM413)</f>
        <v>11651187515</v>
      </c>
      <c r="EN414" s="3244">
        <f>SUM(EN409:EN413)</f>
        <v>4076431188.8417616</v>
      </c>
      <c r="EO414" s="3244">
        <f>SUM(EO409:EO413)</f>
        <v>2045543584.2006941</v>
      </c>
      <c r="EP414" s="3244">
        <f>SUM(EP409:EP413)</f>
        <v>5529212741.9575443</v>
      </c>
      <c r="EQ414" s="3264"/>
      <c r="ER414" s="3405"/>
      <c r="ES414" s="3406"/>
      <c r="ET414" s="3406"/>
      <c r="EU414" s="3244">
        <f>SUM(EU409:EU413)</f>
        <v>11651187515</v>
      </c>
      <c r="EV414" s="3244">
        <f>SUM(EV409:EV413)</f>
        <v>4076431188.8417616</v>
      </c>
      <c r="EW414" s="3244">
        <f>SUM(EW409:EW413)</f>
        <v>2045543584.2006941</v>
      </c>
      <c r="EX414" s="3244">
        <f>SUM(EX409:EX413)</f>
        <v>5529212741.9575443</v>
      </c>
      <c r="EY414" s="3264"/>
      <c r="EZ414" s="3405"/>
      <c r="FA414" s="3406"/>
      <c r="FB414" s="3406"/>
      <c r="FC414" s="3244">
        <f>SUM(FC409:FC413)</f>
        <v>11651187515</v>
      </c>
      <c r="FD414" s="3244">
        <f>SUM(FD409:FD413)</f>
        <v>4076431188.8417616</v>
      </c>
      <c r="FE414" s="3244">
        <f>SUM(FE409:FE413)</f>
        <v>2045543584.2006941</v>
      </c>
      <c r="FF414" s="3244">
        <f>SUM(FF409:FF413)</f>
        <v>5529212741.9575443</v>
      </c>
      <c r="FG414" s="3264"/>
      <c r="FH414" s="3405"/>
      <c r="FI414" s="3406"/>
      <c r="FJ414" s="3406"/>
      <c r="FK414" s="3244">
        <f>SUM(FK409:FK413)</f>
        <v>11651187515</v>
      </c>
      <c r="FL414" s="3244">
        <f>SUM(FL409:FL413)</f>
        <v>4076431188.8417616</v>
      </c>
      <c r="FM414" s="3244">
        <f>SUM(FM409:FM413)</f>
        <v>2045543584.2006941</v>
      </c>
      <c r="FN414" s="3244">
        <f>SUM(FN409:FN413)</f>
        <v>5529212741.9575443</v>
      </c>
      <c r="FO414" s="3264"/>
    </row>
    <row r="415" spans="2:171">
      <c r="B415" s="3114"/>
      <c r="C415" s="3114" t="s">
        <v>340</v>
      </c>
      <c r="D415" s="3407" t="s">
        <v>626</v>
      </c>
      <c r="E415" s="3125"/>
      <c r="F415" s="3412"/>
      <c r="G415" s="3402">
        <f>H415+I415+J415</f>
        <v>0.99999999980860321</v>
      </c>
      <c r="H415" s="3402">
        <f>IF($G414=0,0,H414/G414)</f>
        <v>0.34987259312354835</v>
      </c>
      <c r="I415" s="3402">
        <f>IF($G414=0,0,I414/G414)</f>
        <v>0</v>
      </c>
      <c r="J415" s="3402">
        <f>IF($G414=0,0,J414/G414)</f>
        <v>0.65012740668505486</v>
      </c>
      <c r="K415" s="3411"/>
      <c r="L415" s="3403" t="s">
        <v>626</v>
      </c>
      <c r="M415" s="3412"/>
      <c r="N415" s="3412"/>
      <c r="O415" s="3402">
        <f>P415+Q415+R415</f>
        <v>1</v>
      </c>
      <c r="P415" s="3402">
        <f>IF($G414=0,0,P414/O414)</f>
        <v>0.34987259312354835</v>
      </c>
      <c r="Q415" s="3402">
        <f>IF($G414=0,0,Q414/O414)</f>
        <v>0.17556524444973659</v>
      </c>
      <c r="R415" s="3402">
        <f>IF($G414=0,0,R414/O414)</f>
        <v>0.47456216242671506</v>
      </c>
      <c r="S415" s="3411"/>
      <c r="T415" s="3403" t="s">
        <v>626</v>
      </c>
      <c r="U415" s="3412"/>
      <c r="V415" s="3412"/>
      <c r="W415" s="3402">
        <f>X415+Y415+Z415</f>
        <v>1</v>
      </c>
      <c r="X415" s="3402">
        <f>IF($G414=0,0,X414/W414)</f>
        <v>0.34987259312354835</v>
      </c>
      <c r="Y415" s="3402">
        <f>IF($G414=0,0,Y414/W414)</f>
        <v>0.17556524444973659</v>
      </c>
      <c r="Z415" s="3402">
        <f>IF($G414=0,0,Z414/W414)</f>
        <v>0.47456216242671506</v>
      </c>
      <c r="AA415" s="3411"/>
      <c r="AB415" s="3403" t="s">
        <v>626</v>
      </c>
      <c r="AC415" s="3412"/>
      <c r="AD415" s="3412"/>
      <c r="AE415" s="3402">
        <f>AF415+AG415+AH415</f>
        <v>1</v>
      </c>
      <c r="AF415" s="3402">
        <f>IF($G414=0,0,AF414/AE414)</f>
        <v>0.34987259312354835</v>
      </c>
      <c r="AG415" s="3402">
        <f>IF($G414=0,0,AG414/AE414)</f>
        <v>0.17556524444973659</v>
      </c>
      <c r="AH415" s="3402">
        <f>IF($G414=0,0,AH414/AE414)</f>
        <v>0.47456216242671506</v>
      </c>
      <c r="AI415" s="3411"/>
      <c r="AJ415" s="3403" t="s">
        <v>626</v>
      </c>
      <c r="AK415" s="3412"/>
      <c r="AL415" s="3412"/>
      <c r="AM415" s="3402">
        <f>AN415+AO415+AP415</f>
        <v>1</v>
      </c>
      <c r="AN415" s="3402">
        <f>IF($G414=0,0,AN414/AM414)</f>
        <v>0.34987259312354835</v>
      </c>
      <c r="AO415" s="3402">
        <f>IF($G414=0,0,AO414/AM414)</f>
        <v>0.17556524444973659</v>
      </c>
      <c r="AP415" s="3402">
        <f>IF($G414=0,0,AP414/AM414)</f>
        <v>0.47456216242671506</v>
      </c>
      <c r="AQ415" s="3411"/>
      <c r="AR415" s="3403" t="s">
        <v>626</v>
      </c>
      <c r="AS415" s="3412"/>
      <c r="AT415" s="3412"/>
      <c r="AU415" s="3402">
        <f>AV415+AW415+AX415</f>
        <v>1</v>
      </c>
      <c r="AV415" s="3402">
        <f>IF($G414=0,0,AV414/AU414)</f>
        <v>0.34987259312354835</v>
      </c>
      <c r="AW415" s="3402">
        <f>IF($G414=0,0,AW414/AU414)</f>
        <v>0.17556524444973659</v>
      </c>
      <c r="AX415" s="3402">
        <f>IF($G414=0,0,AX414/AU414)</f>
        <v>0.47456216242671506</v>
      </c>
      <c r="AY415" s="3411"/>
      <c r="AZ415" s="3403" t="s">
        <v>626</v>
      </c>
      <c r="BA415" s="3412"/>
      <c r="BB415" s="3412"/>
      <c r="BC415" s="3402">
        <f>BD415+BE415+BF415</f>
        <v>1</v>
      </c>
      <c r="BD415" s="3402">
        <f>IF($G414=0,0,BD414/BC414)</f>
        <v>0.34987259312354835</v>
      </c>
      <c r="BE415" s="3402">
        <f>IF($G414=0,0,BE414/BC414)</f>
        <v>0.17556524444973659</v>
      </c>
      <c r="BF415" s="3402">
        <f>IF($G414=0,0,BF414/BC414)</f>
        <v>0.47456216242671506</v>
      </c>
      <c r="BG415" s="3411"/>
      <c r="BH415" s="3403" t="s">
        <v>626</v>
      </c>
      <c r="BI415" s="3412"/>
      <c r="BJ415" s="3412"/>
      <c r="BK415" s="3402">
        <f>BL415+BM415+BN415</f>
        <v>1</v>
      </c>
      <c r="BL415" s="3402">
        <f>IF($G414=0,0,BL414/BK414)</f>
        <v>0.34987259312354835</v>
      </c>
      <c r="BM415" s="3402">
        <f>IF($G414=0,0,BM414/BK414)</f>
        <v>0.17556524444973659</v>
      </c>
      <c r="BN415" s="3402">
        <f>IF($G414=0,0,BN414/BK414)</f>
        <v>0.47456216242671506</v>
      </c>
      <c r="BO415" s="3411"/>
      <c r="BP415" s="3403" t="s">
        <v>626</v>
      </c>
      <c r="BQ415" s="3412"/>
      <c r="BR415" s="3412"/>
      <c r="BS415" s="3402">
        <f>BT415+BU415+BV415</f>
        <v>1</v>
      </c>
      <c r="BT415" s="3402">
        <f>IF($G414=0,0,BT414/BS414)</f>
        <v>0.34987259312354835</v>
      </c>
      <c r="BU415" s="3402">
        <f>IF($G414=0,0,BU414/BS414)</f>
        <v>0.17556524444973659</v>
      </c>
      <c r="BV415" s="3402">
        <f>IF($G414=0,0,BV414/BS414)</f>
        <v>0.47456216242671506</v>
      </c>
      <c r="BW415" s="3411"/>
      <c r="BX415" s="3403" t="s">
        <v>626</v>
      </c>
      <c r="BY415" s="3412"/>
      <c r="BZ415" s="3412"/>
      <c r="CA415" s="3402">
        <f>CB415+CC415+CD415</f>
        <v>1</v>
      </c>
      <c r="CB415" s="3402">
        <f>IF($G414=0,0,CB414/CA414)</f>
        <v>0.34987259312354835</v>
      </c>
      <c r="CC415" s="3402">
        <f>IF($G414=0,0,CC414/CA414)</f>
        <v>0.17556524444973659</v>
      </c>
      <c r="CD415" s="3402">
        <f>IF($G414=0,0,CD414/CA414)</f>
        <v>0.47456216242671506</v>
      </c>
      <c r="CE415" s="3411"/>
      <c r="CF415" s="3403" t="s">
        <v>626</v>
      </c>
      <c r="CG415" s="3412"/>
      <c r="CH415" s="3412"/>
      <c r="CI415" s="3402">
        <f>CJ415+CK415+CL415</f>
        <v>1</v>
      </c>
      <c r="CJ415" s="3402">
        <f>IF($G414=0,0,CJ414/CI414)</f>
        <v>0.34987259312354835</v>
      </c>
      <c r="CK415" s="3402">
        <f>IF($G414=0,0,CK414/CI414)</f>
        <v>0.17556524444973659</v>
      </c>
      <c r="CL415" s="3402">
        <f>IF($G414=0,0,CL414/CI414)</f>
        <v>0.47456216242671506</v>
      </c>
      <c r="CM415" s="3411"/>
      <c r="CN415" s="3403" t="s">
        <v>626</v>
      </c>
      <c r="CO415" s="3412"/>
      <c r="CP415" s="3412"/>
      <c r="CQ415" s="3402">
        <f>CR415+CS415+CT415</f>
        <v>1</v>
      </c>
      <c r="CR415" s="3402">
        <f>IF($G414=0,0,CR414/CQ414)</f>
        <v>0.34987259312354835</v>
      </c>
      <c r="CS415" s="3402">
        <f>IF($G414=0,0,CS414/CQ414)</f>
        <v>0.17556524444973659</v>
      </c>
      <c r="CT415" s="3402">
        <f>IF($G414=0,0,CT414/CQ414)</f>
        <v>0.47456216242671506</v>
      </c>
      <c r="CU415" s="3411"/>
      <c r="CV415" s="3403" t="s">
        <v>626</v>
      </c>
      <c r="CW415" s="3412"/>
      <c r="CX415" s="3412"/>
      <c r="CY415" s="3402">
        <f>CZ415+DA415+DB415</f>
        <v>1</v>
      </c>
      <c r="CZ415" s="3402">
        <f>IF($G414=0,0,CZ414/CY414)</f>
        <v>0.34987259312354835</v>
      </c>
      <c r="DA415" s="3402">
        <f>IF($G414=0,0,DA414/CY414)</f>
        <v>0.17556524444973659</v>
      </c>
      <c r="DB415" s="3402">
        <f>IF($G414=0,0,DB414/CY414)</f>
        <v>0.47456216242671506</v>
      </c>
      <c r="DC415" s="3411"/>
      <c r="DD415" s="3403" t="s">
        <v>626</v>
      </c>
      <c r="DE415" s="3412"/>
      <c r="DF415" s="3412"/>
      <c r="DG415" s="3402">
        <f>DH415+DI415+DJ415</f>
        <v>1</v>
      </c>
      <c r="DH415" s="3402">
        <f>IF($G414=0,0,DH414/DG414)</f>
        <v>0.34987259312354835</v>
      </c>
      <c r="DI415" s="3402">
        <f>IF($G414=0,0,DI414/DG414)</f>
        <v>0.17556524444973659</v>
      </c>
      <c r="DJ415" s="3402">
        <f>IF($G414=0,0,DJ414/DG414)</f>
        <v>0.47456216242671506</v>
      </c>
      <c r="DK415" s="3411"/>
      <c r="DL415" s="3403" t="s">
        <v>626</v>
      </c>
      <c r="DM415" s="3412"/>
      <c r="DN415" s="3412"/>
      <c r="DO415" s="3402">
        <f>DP415+DQ415+DR415</f>
        <v>1</v>
      </c>
      <c r="DP415" s="3402">
        <f>IF($G414=0,0,DP414/DO414)</f>
        <v>0.34987259312354835</v>
      </c>
      <c r="DQ415" s="3402">
        <f>IF($G414=0,0,DQ414/DO414)</f>
        <v>0.17556524444973659</v>
      </c>
      <c r="DR415" s="3402">
        <f>IF($G414=0,0,DR414/DO414)</f>
        <v>0.47456216242671506</v>
      </c>
      <c r="DS415" s="3411"/>
      <c r="DT415" s="3403" t="s">
        <v>626</v>
      </c>
      <c r="DU415" s="3412"/>
      <c r="DV415" s="3412"/>
      <c r="DW415" s="3402">
        <f>DX415+DY415+DZ415</f>
        <v>1</v>
      </c>
      <c r="DX415" s="3402">
        <f>IF($G414=0,0,DX414/DW414)</f>
        <v>0.34987259312354835</v>
      </c>
      <c r="DY415" s="3402">
        <f>IF($G414=0,0,DY414/DW414)</f>
        <v>0.17556524444973659</v>
      </c>
      <c r="DZ415" s="3402">
        <f>IF($G414=0,0,DZ414/DW414)</f>
        <v>0.47456216242671506</v>
      </c>
      <c r="EA415" s="3411"/>
      <c r="EB415" s="3403" t="s">
        <v>626</v>
      </c>
      <c r="EC415" s="3412"/>
      <c r="ED415" s="3412"/>
      <c r="EE415" s="3402">
        <f>EF415+EG415+EH415</f>
        <v>1</v>
      </c>
      <c r="EF415" s="3402">
        <f>IF($G414=0,0,EF414/EE414)</f>
        <v>0.34987259312354835</v>
      </c>
      <c r="EG415" s="3402">
        <f>IF($G414=0,0,EG414/EE414)</f>
        <v>0.17556524444973659</v>
      </c>
      <c r="EH415" s="3402">
        <f>IF($G414=0,0,EH414/EE414)</f>
        <v>0.47456216242671506</v>
      </c>
      <c r="EI415" s="3411"/>
      <c r="EJ415" s="3403" t="s">
        <v>626</v>
      </c>
      <c r="EK415" s="3412"/>
      <c r="EL415" s="3412"/>
      <c r="EM415" s="3402">
        <f>EN415+EO415+EP415</f>
        <v>1</v>
      </c>
      <c r="EN415" s="3402">
        <f>IF($G414=0,0,EN414/EM414)</f>
        <v>0.34987259312354835</v>
      </c>
      <c r="EO415" s="3402">
        <f>IF($G414=0,0,EO414/EM414)</f>
        <v>0.17556524444973659</v>
      </c>
      <c r="EP415" s="3402">
        <f>IF($G414=0,0,EP414/EM414)</f>
        <v>0.47456216242671506</v>
      </c>
      <c r="EQ415" s="3411"/>
      <c r="ER415" s="3403" t="s">
        <v>626</v>
      </c>
      <c r="ES415" s="3412"/>
      <c r="ET415" s="3412"/>
      <c r="EU415" s="3402">
        <f>EV415+EW415+EX415</f>
        <v>1</v>
      </c>
      <c r="EV415" s="3402">
        <f>IF($G414=0,0,EV414/EU414)</f>
        <v>0.34987259312354835</v>
      </c>
      <c r="EW415" s="3402">
        <f>IF($G414=0,0,EW414/EU414)</f>
        <v>0.17556524444973659</v>
      </c>
      <c r="EX415" s="3402">
        <f>IF($G414=0,0,EX414/EU414)</f>
        <v>0.47456216242671506</v>
      </c>
      <c r="EY415" s="3411"/>
      <c r="EZ415" s="3403" t="s">
        <v>626</v>
      </c>
      <c r="FA415" s="3412"/>
      <c r="FB415" s="3412"/>
      <c r="FC415" s="3402">
        <f>FD415+FE415+FF415</f>
        <v>1</v>
      </c>
      <c r="FD415" s="3402">
        <f>IF($G414=0,0,FD414/FC414)</f>
        <v>0.34987259312354835</v>
      </c>
      <c r="FE415" s="3402">
        <f>IF($G414=0,0,FE414/FC414)</f>
        <v>0.17556524444973659</v>
      </c>
      <c r="FF415" s="3402">
        <f>IF($G414=0,0,FF414/FC414)</f>
        <v>0.47456216242671506</v>
      </c>
      <c r="FG415" s="3411"/>
      <c r="FH415" s="3403" t="s">
        <v>626</v>
      </c>
      <c r="FI415" s="3412"/>
      <c r="FJ415" s="3412"/>
      <c r="FK415" s="3402">
        <f>FL415+FM415+FN415</f>
        <v>1</v>
      </c>
      <c r="FL415" s="3402">
        <f>IF($G414=0,0,FL414/FK414)</f>
        <v>0.34987259312354835</v>
      </c>
      <c r="FM415" s="3402">
        <f>IF($G414=0,0,FM414/FK414)</f>
        <v>0.17556524444973659</v>
      </c>
      <c r="FN415" s="3402">
        <f>IF($G414=0,0,FN414/FK414)</f>
        <v>0.47456216242671506</v>
      </c>
      <c r="FO415" s="3411"/>
    </row>
    <row r="416" spans="2:171">
      <c r="K416" s="3264"/>
      <c r="S416" s="3264"/>
      <c r="AA416" s="3264"/>
      <c r="AI416" s="3264"/>
      <c r="AQ416" s="3264"/>
      <c r="AY416" s="3264"/>
      <c r="BG416" s="3264"/>
      <c r="BO416" s="3264"/>
      <c r="BW416" s="3264"/>
      <c r="CE416" s="3264"/>
      <c r="CM416" s="3264"/>
      <c r="CU416" s="3264"/>
      <c r="DC416" s="3264"/>
      <c r="DK416" s="3264"/>
      <c r="DS416" s="3264"/>
      <c r="EA416" s="3264"/>
      <c r="EI416" s="3264"/>
      <c r="EQ416" s="3264"/>
      <c r="EY416" s="3264"/>
      <c r="FG416" s="3264"/>
      <c r="FO416" s="3264"/>
    </row>
    <row r="417" spans="2:171">
      <c r="E417" s="3090" t="s">
        <v>520</v>
      </c>
      <c r="G417" s="3091" t="s">
        <v>104</v>
      </c>
      <c r="H417" s="3091" t="s">
        <v>105</v>
      </c>
      <c r="I417" s="3091" t="s">
        <v>106</v>
      </c>
      <c r="J417" s="3092" t="s">
        <v>511</v>
      </c>
      <c r="K417" s="3411"/>
      <c r="O417" s="3091" t="s">
        <v>104</v>
      </c>
      <c r="P417" s="3091" t="s">
        <v>105</v>
      </c>
      <c r="Q417" s="3091" t="s">
        <v>106</v>
      </c>
      <c r="R417" s="3092" t="s">
        <v>511</v>
      </c>
      <c r="S417" s="3411"/>
      <c r="W417" s="3091" t="s">
        <v>104</v>
      </c>
      <c r="X417" s="3091" t="s">
        <v>105</v>
      </c>
      <c r="Y417" s="3091" t="s">
        <v>106</v>
      </c>
      <c r="Z417" s="3092" t="s">
        <v>511</v>
      </c>
      <c r="AA417" s="3411"/>
      <c r="AE417" s="3091" t="s">
        <v>104</v>
      </c>
      <c r="AF417" s="3091" t="s">
        <v>105</v>
      </c>
      <c r="AG417" s="3091" t="s">
        <v>106</v>
      </c>
      <c r="AH417" s="3092" t="s">
        <v>511</v>
      </c>
      <c r="AI417" s="3411"/>
      <c r="AM417" s="3091" t="s">
        <v>104</v>
      </c>
      <c r="AN417" s="3091" t="s">
        <v>105</v>
      </c>
      <c r="AO417" s="3091" t="s">
        <v>106</v>
      </c>
      <c r="AP417" s="3092" t="s">
        <v>511</v>
      </c>
      <c r="AQ417" s="3411"/>
      <c r="AU417" s="3091" t="s">
        <v>104</v>
      </c>
      <c r="AV417" s="3091" t="s">
        <v>105</v>
      </c>
      <c r="AW417" s="3091" t="s">
        <v>106</v>
      </c>
      <c r="AX417" s="3092" t="s">
        <v>511</v>
      </c>
      <c r="AY417" s="3411"/>
      <c r="BC417" s="3091" t="s">
        <v>104</v>
      </c>
      <c r="BD417" s="3091" t="s">
        <v>105</v>
      </c>
      <c r="BE417" s="3091" t="s">
        <v>106</v>
      </c>
      <c r="BF417" s="3092" t="s">
        <v>511</v>
      </c>
      <c r="BG417" s="3411"/>
      <c r="BK417" s="3091" t="s">
        <v>104</v>
      </c>
      <c r="BL417" s="3091" t="s">
        <v>105</v>
      </c>
      <c r="BM417" s="3091" t="s">
        <v>106</v>
      </c>
      <c r="BN417" s="3092" t="s">
        <v>511</v>
      </c>
      <c r="BO417" s="3411"/>
      <c r="BS417" s="3091" t="s">
        <v>104</v>
      </c>
      <c r="BT417" s="3091" t="s">
        <v>105</v>
      </c>
      <c r="BU417" s="3091" t="s">
        <v>106</v>
      </c>
      <c r="BV417" s="3092" t="s">
        <v>511</v>
      </c>
      <c r="BW417" s="3411"/>
      <c r="CA417" s="3091" t="s">
        <v>104</v>
      </c>
      <c r="CB417" s="3091" t="s">
        <v>105</v>
      </c>
      <c r="CC417" s="3091" t="s">
        <v>106</v>
      </c>
      <c r="CD417" s="3092" t="s">
        <v>511</v>
      </c>
      <c r="CE417" s="3411"/>
      <c r="CI417" s="3091" t="s">
        <v>104</v>
      </c>
      <c r="CJ417" s="3091" t="s">
        <v>105</v>
      </c>
      <c r="CK417" s="3091" t="s">
        <v>106</v>
      </c>
      <c r="CL417" s="3092" t="s">
        <v>511</v>
      </c>
      <c r="CM417" s="3411"/>
      <c r="CQ417" s="3091" t="s">
        <v>104</v>
      </c>
      <c r="CR417" s="3091" t="s">
        <v>105</v>
      </c>
      <c r="CS417" s="3091" t="s">
        <v>106</v>
      </c>
      <c r="CT417" s="3092" t="s">
        <v>511</v>
      </c>
      <c r="CU417" s="3411"/>
      <c r="CY417" s="3091" t="s">
        <v>104</v>
      </c>
      <c r="CZ417" s="3091" t="s">
        <v>105</v>
      </c>
      <c r="DA417" s="3091" t="s">
        <v>106</v>
      </c>
      <c r="DB417" s="3092" t="s">
        <v>511</v>
      </c>
      <c r="DC417" s="3411"/>
      <c r="DG417" s="3091" t="s">
        <v>104</v>
      </c>
      <c r="DH417" s="3091" t="s">
        <v>105</v>
      </c>
      <c r="DI417" s="3091" t="s">
        <v>106</v>
      </c>
      <c r="DJ417" s="3092" t="s">
        <v>511</v>
      </c>
      <c r="DK417" s="3411"/>
      <c r="DO417" s="3091" t="s">
        <v>104</v>
      </c>
      <c r="DP417" s="3091" t="s">
        <v>105</v>
      </c>
      <c r="DQ417" s="3091" t="s">
        <v>106</v>
      </c>
      <c r="DR417" s="3092" t="s">
        <v>511</v>
      </c>
      <c r="DS417" s="3411"/>
      <c r="DW417" s="3091" t="s">
        <v>104</v>
      </c>
      <c r="DX417" s="3091" t="s">
        <v>105</v>
      </c>
      <c r="DY417" s="3091" t="s">
        <v>106</v>
      </c>
      <c r="DZ417" s="3092" t="s">
        <v>511</v>
      </c>
      <c r="EA417" s="3411"/>
      <c r="EE417" s="3091" t="s">
        <v>104</v>
      </c>
      <c r="EF417" s="3091" t="s">
        <v>105</v>
      </c>
      <c r="EG417" s="3091" t="s">
        <v>106</v>
      </c>
      <c r="EH417" s="3092" t="s">
        <v>511</v>
      </c>
      <c r="EI417" s="3411"/>
      <c r="EM417" s="3091" t="s">
        <v>104</v>
      </c>
      <c r="EN417" s="3091" t="s">
        <v>105</v>
      </c>
      <c r="EO417" s="3091" t="s">
        <v>106</v>
      </c>
      <c r="EP417" s="3092" t="s">
        <v>511</v>
      </c>
      <c r="EQ417" s="3411"/>
      <c r="EU417" s="3091" t="s">
        <v>104</v>
      </c>
      <c r="EV417" s="3091" t="s">
        <v>105</v>
      </c>
      <c r="EW417" s="3091" t="s">
        <v>106</v>
      </c>
      <c r="EX417" s="3092" t="s">
        <v>511</v>
      </c>
      <c r="EY417" s="3411"/>
      <c r="FC417" s="3091" t="s">
        <v>104</v>
      </c>
      <c r="FD417" s="3091" t="s">
        <v>105</v>
      </c>
      <c r="FE417" s="3091" t="s">
        <v>106</v>
      </c>
      <c r="FF417" s="3092" t="s">
        <v>511</v>
      </c>
      <c r="FG417" s="3411"/>
      <c r="FK417" s="3091" t="s">
        <v>104</v>
      </c>
      <c r="FL417" s="3091" t="s">
        <v>105</v>
      </c>
      <c r="FM417" s="3091" t="s">
        <v>106</v>
      </c>
      <c r="FN417" s="3092" t="s">
        <v>511</v>
      </c>
      <c r="FO417" s="3411"/>
    </row>
    <row r="418" spans="2:171">
      <c r="B418" s="3086"/>
      <c r="C418" s="3086" t="s">
        <v>121</v>
      </c>
      <c r="D418" s="3405"/>
      <c r="E418" s="3234" t="s">
        <v>391</v>
      </c>
      <c r="G418" s="2424">
        <f>G30</f>
        <v>1992381238</v>
      </c>
      <c r="H418" s="2424">
        <f t="shared" ref="H418:J418" si="1534">H30</f>
        <v>0</v>
      </c>
      <c r="I418" s="2424">
        <f t="shared" si="1534"/>
        <v>0</v>
      </c>
      <c r="J418" s="2424">
        <f t="shared" si="1534"/>
        <v>1992381238</v>
      </c>
      <c r="K418" s="3264"/>
      <c r="L418" s="3405"/>
      <c r="M418" s="3406"/>
      <c r="N418" s="3406"/>
      <c r="O418" s="2424">
        <f>O30</f>
        <v>1992381238</v>
      </c>
      <c r="P418" s="2424">
        <f t="shared" ref="P418:R418" si="1535">P30</f>
        <v>0</v>
      </c>
      <c r="Q418" s="2424">
        <f t="shared" si="1535"/>
        <v>1992381238</v>
      </c>
      <c r="R418" s="2424">
        <f t="shared" si="1535"/>
        <v>0</v>
      </c>
      <c r="S418" s="3264"/>
      <c r="T418" s="3405"/>
      <c r="U418" s="3406"/>
      <c r="V418" s="3406"/>
      <c r="W418" s="2424">
        <f>W30</f>
        <v>1992381238</v>
      </c>
      <c r="X418" s="2424">
        <f t="shared" ref="X418:Z418" si="1536">X30</f>
        <v>0</v>
      </c>
      <c r="Y418" s="2424">
        <f t="shared" si="1536"/>
        <v>1992381238</v>
      </c>
      <c r="Z418" s="2424">
        <f t="shared" si="1536"/>
        <v>0</v>
      </c>
      <c r="AA418" s="3264"/>
      <c r="AB418" s="3405"/>
      <c r="AC418" s="3406"/>
      <c r="AD418" s="3406"/>
      <c r="AE418" s="2424">
        <f>AE30</f>
        <v>1992381238</v>
      </c>
      <c r="AF418" s="2424">
        <f t="shared" ref="AF418:AH418" si="1537">AF30</f>
        <v>0</v>
      </c>
      <c r="AG418" s="2424">
        <f t="shared" si="1537"/>
        <v>1992381238</v>
      </c>
      <c r="AH418" s="2424">
        <f t="shared" si="1537"/>
        <v>0</v>
      </c>
      <c r="AI418" s="3264"/>
      <c r="AJ418" s="3405"/>
      <c r="AK418" s="3406"/>
      <c r="AL418" s="3406"/>
      <c r="AM418" s="2424">
        <f>AM30</f>
        <v>1992381238</v>
      </c>
      <c r="AN418" s="2424">
        <f t="shared" ref="AN418:AP418" si="1538">AN30</f>
        <v>0</v>
      </c>
      <c r="AO418" s="2424">
        <f t="shared" si="1538"/>
        <v>1992381238</v>
      </c>
      <c r="AP418" s="2424">
        <f t="shared" si="1538"/>
        <v>0</v>
      </c>
      <c r="AQ418" s="3264"/>
      <c r="AR418" s="3405"/>
      <c r="AS418" s="3406"/>
      <c r="AT418" s="3406"/>
      <c r="AU418" s="2424">
        <f>AU30</f>
        <v>1992381238</v>
      </c>
      <c r="AV418" s="2424">
        <f t="shared" ref="AV418:AX418" si="1539">AV30</f>
        <v>0</v>
      </c>
      <c r="AW418" s="2424">
        <f t="shared" si="1539"/>
        <v>1992381238</v>
      </c>
      <c r="AX418" s="2424">
        <f t="shared" si="1539"/>
        <v>0</v>
      </c>
      <c r="AY418" s="3264"/>
      <c r="AZ418" s="3405"/>
      <c r="BA418" s="3406"/>
      <c r="BB418" s="3406"/>
      <c r="BC418" s="2424">
        <f>BC30</f>
        <v>1992381238</v>
      </c>
      <c r="BD418" s="2424">
        <f t="shared" ref="BD418:BF418" si="1540">BD30</f>
        <v>0</v>
      </c>
      <c r="BE418" s="2424">
        <f t="shared" si="1540"/>
        <v>1992381238</v>
      </c>
      <c r="BF418" s="2424">
        <f t="shared" si="1540"/>
        <v>0</v>
      </c>
      <c r="BG418" s="3264"/>
      <c r="BH418" s="3405"/>
      <c r="BI418" s="3406"/>
      <c r="BJ418" s="3406"/>
      <c r="BK418" s="2424">
        <f>BK30</f>
        <v>1992381238</v>
      </c>
      <c r="BL418" s="2424">
        <f t="shared" ref="BL418:BN418" si="1541">BL30</f>
        <v>0</v>
      </c>
      <c r="BM418" s="2424">
        <f t="shared" si="1541"/>
        <v>1992381238</v>
      </c>
      <c r="BN418" s="2424">
        <f t="shared" si="1541"/>
        <v>0</v>
      </c>
      <c r="BO418" s="3264"/>
      <c r="BP418" s="3405"/>
      <c r="BQ418" s="3406"/>
      <c r="BR418" s="3406"/>
      <c r="BS418" s="2424">
        <f>BS30</f>
        <v>1992381238</v>
      </c>
      <c r="BT418" s="2424">
        <f t="shared" ref="BT418:BV418" si="1542">BT30</f>
        <v>0</v>
      </c>
      <c r="BU418" s="2424">
        <f t="shared" si="1542"/>
        <v>1992381238</v>
      </c>
      <c r="BV418" s="2424">
        <f t="shared" si="1542"/>
        <v>0</v>
      </c>
      <c r="BW418" s="3264"/>
      <c r="BX418" s="3405"/>
      <c r="BY418" s="3406"/>
      <c r="BZ418" s="3406"/>
      <c r="CA418" s="2424">
        <f>CA30</f>
        <v>1992381238</v>
      </c>
      <c r="CB418" s="2424">
        <f t="shared" ref="CB418:CD418" si="1543">CB30</f>
        <v>0</v>
      </c>
      <c r="CC418" s="2424">
        <f t="shared" si="1543"/>
        <v>1992381238</v>
      </c>
      <c r="CD418" s="2424">
        <f t="shared" si="1543"/>
        <v>0</v>
      </c>
      <c r="CE418" s="3264"/>
      <c r="CF418" s="3405"/>
      <c r="CG418" s="3406"/>
      <c r="CH418" s="3406"/>
      <c r="CI418" s="2424">
        <f>CI30</f>
        <v>1992381238</v>
      </c>
      <c r="CJ418" s="2424">
        <f t="shared" ref="CJ418:CL418" si="1544">CJ30</f>
        <v>0</v>
      </c>
      <c r="CK418" s="2424">
        <f t="shared" si="1544"/>
        <v>1992381238</v>
      </c>
      <c r="CL418" s="2424">
        <f t="shared" si="1544"/>
        <v>0</v>
      </c>
      <c r="CM418" s="3264"/>
      <c r="CN418" s="3405"/>
      <c r="CO418" s="3406"/>
      <c r="CP418" s="3406"/>
      <c r="CQ418" s="2424">
        <f>CQ30</f>
        <v>1992381238</v>
      </c>
      <c r="CR418" s="2424">
        <f t="shared" ref="CR418:CT418" si="1545">CR30</f>
        <v>0</v>
      </c>
      <c r="CS418" s="2424">
        <f t="shared" si="1545"/>
        <v>1992381238</v>
      </c>
      <c r="CT418" s="2424">
        <f t="shared" si="1545"/>
        <v>0</v>
      </c>
      <c r="CU418" s="3264"/>
      <c r="CV418" s="3405"/>
      <c r="CW418" s="3406"/>
      <c r="CX418" s="3406"/>
      <c r="CY418" s="2424">
        <f>CY30</f>
        <v>1992381238</v>
      </c>
      <c r="CZ418" s="2424">
        <f t="shared" ref="CZ418:DB418" si="1546">CZ30</f>
        <v>0</v>
      </c>
      <c r="DA418" s="2424">
        <f t="shared" si="1546"/>
        <v>1992381238</v>
      </c>
      <c r="DB418" s="2424">
        <f t="shared" si="1546"/>
        <v>0</v>
      </c>
      <c r="DC418" s="3264"/>
      <c r="DD418" s="3405"/>
      <c r="DE418" s="3406"/>
      <c r="DF418" s="3406"/>
      <c r="DG418" s="2424">
        <f>DG30</f>
        <v>1992381238</v>
      </c>
      <c r="DH418" s="2424">
        <f t="shared" ref="DH418:DJ418" si="1547">DH30</f>
        <v>0</v>
      </c>
      <c r="DI418" s="2424">
        <f t="shared" si="1547"/>
        <v>1992381238</v>
      </c>
      <c r="DJ418" s="2424">
        <f t="shared" si="1547"/>
        <v>0</v>
      </c>
      <c r="DK418" s="3264"/>
      <c r="DL418" s="3405"/>
      <c r="DM418" s="3406"/>
      <c r="DN418" s="3406"/>
      <c r="DO418" s="2424">
        <f>DO30</f>
        <v>1992381238</v>
      </c>
      <c r="DP418" s="2424">
        <f t="shared" ref="DP418:DR418" si="1548">DP30</f>
        <v>0</v>
      </c>
      <c r="DQ418" s="2424">
        <f t="shared" si="1548"/>
        <v>1992381238</v>
      </c>
      <c r="DR418" s="2424">
        <f t="shared" si="1548"/>
        <v>0</v>
      </c>
      <c r="DS418" s="3264"/>
      <c r="DT418" s="3405"/>
      <c r="DU418" s="3406"/>
      <c r="DV418" s="3406"/>
      <c r="DW418" s="2424">
        <f>DW30</f>
        <v>1992381238</v>
      </c>
      <c r="DX418" s="2424">
        <f t="shared" ref="DX418:DZ418" si="1549">DX30</f>
        <v>0</v>
      </c>
      <c r="DY418" s="2424">
        <f t="shared" si="1549"/>
        <v>1992381238</v>
      </c>
      <c r="DZ418" s="2424">
        <f t="shared" si="1549"/>
        <v>0</v>
      </c>
      <c r="EA418" s="3264"/>
      <c r="EB418" s="3405"/>
      <c r="EC418" s="3406"/>
      <c r="ED418" s="3406"/>
      <c r="EE418" s="2424">
        <f>EE30</f>
        <v>1992381238</v>
      </c>
      <c r="EF418" s="2424">
        <f t="shared" ref="EF418:EH418" si="1550">EF30</f>
        <v>0</v>
      </c>
      <c r="EG418" s="2424">
        <f t="shared" si="1550"/>
        <v>1992381238</v>
      </c>
      <c r="EH418" s="2424">
        <f t="shared" si="1550"/>
        <v>0</v>
      </c>
      <c r="EI418" s="3264"/>
      <c r="EJ418" s="3405"/>
      <c r="EK418" s="3406"/>
      <c r="EL418" s="3406"/>
      <c r="EM418" s="2424">
        <f>EM30</f>
        <v>1992381238</v>
      </c>
      <c r="EN418" s="2424">
        <f t="shared" ref="EN418:EP418" si="1551">EN30</f>
        <v>0</v>
      </c>
      <c r="EO418" s="2424">
        <f t="shared" si="1551"/>
        <v>1992381238</v>
      </c>
      <c r="EP418" s="2424">
        <f t="shared" si="1551"/>
        <v>0</v>
      </c>
      <c r="EQ418" s="3264"/>
      <c r="ER418" s="3405"/>
      <c r="ES418" s="3406"/>
      <c r="ET418" s="3406"/>
      <c r="EU418" s="2424">
        <f>EU30</f>
        <v>1992381238</v>
      </c>
      <c r="EV418" s="2424">
        <f t="shared" ref="EV418:EX418" si="1552">EV30</f>
        <v>0</v>
      </c>
      <c r="EW418" s="2424">
        <f t="shared" si="1552"/>
        <v>1992381238</v>
      </c>
      <c r="EX418" s="2424">
        <f t="shared" si="1552"/>
        <v>0</v>
      </c>
      <c r="EY418" s="3264"/>
      <c r="EZ418" s="3405"/>
      <c r="FA418" s="3406"/>
      <c r="FB418" s="3406"/>
      <c r="FC418" s="2424">
        <f>FC30</f>
        <v>1992381238</v>
      </c>
      <c r="FD418" s="2424">
        <f t="shared" ref="FD418:FF418" si="1553">FD30</f>
        <v>0</v>
      </c>
      <c r="FE418" s="2424">
        <f t="shared" si="1553"/>
        <v>1992381238</v>
      </c>
      <c r="FF418" s="2424">
        <f t="shared" si="1553"/>
        <v>0</v>
      </c>
      <c r="FG418" s="3264"/>
      <c r="FH418" s="3405"/>
      <c r="FI418" s="3406"/>
      <c r="FJ418" s="3406"/>
      <c r="FK418" s="2424">
        <f>FK30</f>
        <v>1992381238</v>
      </c>
      <c r="FL418" s="2424">
        <f t="shared" ref="FL418:FN418" si="1554">FL30</f>
        <v>0</v>
      </c>
      <c r="FM418" s="2424">
        <f t="shared" si="1554"/>
        <v>1992381238</v>
      </c>
      <c r="FN418" s="2424">
        <f t="shared" si="1554"/>
        <v>0</v>
      </c>
      <c r="FO418" s="3264"/>
    </row>
    <row r="419" spans="2:171">
      <c r="B419" s="3086"/>
      <c r="C419" s="3086" t="s">
        <v>122</v>
      </c>
      <c r="D419" s="3405"/>
      <c r="E419" s="3234" t="s">
        <v>390</v>
      </c>
      <c r="G419" s="2424">
        <f>G33</f>
        <v>5283922742</v>
      </c>
      <c r="H419" s="2424">
        <f t="shared" ref="H419:J419" si="1555">H33</f>
        <v>0</v>
      </c>
      <c r="I419" s="2424">
        <f t="shared" si="1555"/>
        <v>0</v>
      </c>
      <c r="J419" s="2424">
        <f t="shared" si="1555"/>
        <v>5283922742</v>
      </c>
      <c r="K419" s="3411"/>
      <c r="L419" s="3405"/>
      <c r="M419" s="3406"/>
      <c r="N419" s="3406"/>
      <c r="O419" s="2424">
        <f>O33</f>
        <v>5283922742</v>
      </c>
      <c r="P419" s="2424">
        <f t="shared" ref="P419:R419" si="1556">P33</f>
        <v>0</v>
      </c>
      <c r="Q419" s="2424">
        <f t="shared" si="1556"/>
        <v>0</v>
      </c>
      <c r="R419" s="2424">
        <f t="shared" si="1556"/>
        <v>5283922742</v>
      </c>
      <c r="S419" s="3411"/>
      <c r="T419" s="3405"/>
      <c r="U419" s="3406"/>
      <c r="V419" s="3406"/>
      <c r="W419" s="2424">
        <f>W33</f>
        <v>5283922742</v>
      </c>
      <c r="X419" s="2424">
        <f t="shared" ref="X419:Z419" si="1557">X33</f>
        <v>0</v>
      </c>
      <c r="Y419" s="2424">
        <f t="shared" si="1557"/>
        <v>0</v>
      </c>
      <c r="Z419" s="2424">
        <f t="shared" si="1557"/>
        <v>5283922742</v>
      </c>
      <c r="AA419" s="3411"/>
      <c r="AB419" s="3405"/>
      <c r="AC419" s="3406"/>
      <c r="AD419" s="3406"/>
      <c r="AE419" s="2424">
        <f>AE33</f>
        <v>5283922742</v>
      </c>
      <c r="AF419" s="2424">
        <f t="shared" ref="AF419:AH419" si="1558">AF33</f>
        <v>0</v>
      </c>
      <c r="AG419" s="2424">
        <f t="shared" si="1558"/>
        <v>0</v>
      </c>
      <c r="AH419" s="2424">
        <f t="shared" si="1558"/>
        <v>5283922742</v>
      </c>
      <c r="AI419" s="3411"/>
      <c r="AJ419" s="3405"/>
      <c r="AK419" s="3406"/>
      <c r="AL419" s="3406"/>
      <c r="AM419" s="2424">
        <f>AM33</f>
        <v>5283922742</v>
      </c>
      <c r="AN419" s="2424">
        <f t="shared" ref="AN419:AP419" si="1559">AN33</f>
        <v>0</v>
      </c>
      <c r="AO419" s="2424">
        <f t="shared" si="1559"/>
        <v>0</v>
      </c>
      <c r="AP419" s="2424">
        <f t="shared" si="1559"/>
        <v>5283922742</v>
      </c>
      <c r="AQ419" s="3411"/>
      <c r="AR419" s="3405"/>
      <c r="AS419" s="3406"/>
      <c r="AT419" s="3406"/>
      <c r="AU419" s="2424">
        <f>AU33</f>
        <v>5283922742</v>
      </c>
      <c r="AV419" s="2424">
        <f t="shared" ref="AV419:AX419" si="1560">AV33</f>
        <v>0</v>
      </c>
      <c r="AW419" s="2424">
        <f t="shared" si="1560"/>
        <v>0</v>
      </c>
      <c r="AX419" s="2424">
        <f t="shared" si="1560"/>
        <v>5283922742</v>
      </c>
      <c r="AY419" s="3411"/>
      <c r="AZ419" s="3405"/>
      <c r="BA419" s="3406"/>
      <c r="BB419" s="3406"/>
      <c r="BC419" s="2424">
        <f>BC33</f>
        <v>5283922742</v>
      </c>
      <c r="BD419" s="2424">
        <f t="shared" ref="BD419:BF419" si="1561">BD33</f>
        <v>0</v>
      </c>
      <c r="BE419" s="2424">
        <f t="shared" si="1561"/>
        <v>0</v>
      </c>
      <c r="BF419" s="2424">
        <f t="shared" si="1561"/>
        <v>5283922742</v>
      </c>
      <c r="BG419" s="3411"/>
      <c r="BH419" s="3405"/>
      <c r="BI419" s="3406"/>
      <c r="BJ419" s="3406"/>
      <c r="BK419" s="2424">
        <f>BK33</f>
        <v>5283922742</v>
      </c>
      <c r="BL419" s="2424">
        <f t="shared" ref="BL419:BN419" si="1562">BL33</f>
        <v>0</v>
      </c>
      <c r="BM419" s="2424">
        <f t="shared" si="1562"/>
        <v>0</v>
      </c>
      <c r="BN419" s="2424">
        <f t="shared" si="1562"/>
        <v>5283922742</v>
      </c>
      <c r="BO419" s="3411"/>
      <c r="BP419" s="3405"/>
      <c r="BQ419" s="3406"/>
      <c r="BR419" s="3406"/>
      <c r="BS419" s="2424">
        <f>BS33</f>
        <v>5283922742</v>
      </c>
      <c r="BT419" s="2424">
        <f t="shared" ref="BT419:BV419" si="1563">BT33</f>
        <v>0</v>
      </c>
      <c r="BU419" s="2424">
        <f t="shared" si="1563"/>
        <v>0</v>
      </c>
      <c r="BV419" s="2424">
        <f t="shared" si="1563"/>
        <v>5283922742</v>
      </c>
      <c r="BW419" s="3411"/>
      <c r="BX419" s="3405"/>
      <c r="BY419" s="3406"/>
      <c r="BZ419" s="3406"/>
      <c r="CA419" s="2424">
        <f>CA33</f>
        <v>5283922742</v>
      </c>
      <c r="CB419" s="2424">
        <f t="shared" ref="CB419:CD419" si="1564">CB33</f>
        <v>0</v>
      </c>
      <c r="CC419" s="2424">
        <f t="shared" si="1564"/>
        <v>0</v>
      </c>
      <c r="CD419" s="2424">
        <f t="shared" si="1564"/>
        <v>5283922742</v>
      </c>
      <c r="CE419" s="3411"/>
      <c r="CF419" s="3405"/>
      <c r="CG419" s="3406"/>
      <c r="CH419" s="3406"/>
      <c r="CI419" s="2424">
        <f>CI33</f>
        <v>5283922742</v>
      </c>
      <c r="CJ419" s="2424">
        <f t="shared" ref="CJ419:CL419" si="1565">CJ33</f>
        <v>0</v>
      </c>
      <c r="CK419" s="2424">
        <f t="shared" si="1565"/>
        <v>0</v>
      </c>
      <c r="CL419" s="2424">
        <f t="shared" si="1565"/>
        <v>5283922742</v>
      </c>
      <c r="CM419" s="3411"/>
      <c r="CN419" s="3405"/>
      <c r="CO419" s="3406"/>
      <c r="CP419" s="3406"/>
      <c r="CQ419" s="2424">
        <f>CQ33</f>
        <v>5283922742</v>
      </c>
      <c r="CR419" s="2424">
        <f t="shared" ref="CR419:CT419" si="1566">CR33</f>
        <v>0</v>
      </c>
      <c r="CS419" s="2424">
        <f t="shared" si="1566"/>
        <v>0</v>
      </c>
      <c r="CT419" s="2424">
        <f t="shared" si="1566"/>
        <v>5283922742</v>
      </c>
      <c r="CU419" s="3411"/>
      <c r="CV419" s="3405"/>
      <c r="CW419" s="3406"/>
      <c r="CX419" s="3406"/>
      <c r="CY419" s="2424">
        <f>CY33</f>
        <v>5283922742</v>
      </c>
      <c r="CZ419" s="2424">
        <f t="shared" ref="CZ419:DB419" si="1567">CZ33</f>
        <v>0</v>
      </c>
      <c r="DA419" s="2424">
        <f t="shared" si="1567"/>
        <v>0</v>
      </c>
      <c r="DB419" s="2424">
        <f t="shared" si="1567"/>
        <v>5283922742</v>
      </c>
      <c r="DC419" s="3411"/>
      <c r="DD419" s="3405"/>
      <c r="DE419" s="3406"/>
      <c r="DF419" s="3406"/>
      <c r="DG419" s="2424">
        <f>DG33</f>
        <v>5283922742</v>
      </c>
      <c r="DH419" s="2424">
        <f t="shared" ref="DH419:DJ419" si="1568">DH33</f>
        <v>0</v>
      </c>
      <c r="DI419" s="2424">
        <f t="shared" si="1568"/>
        <v>0</v>
      </c>
      <c r="DJ419" s="2424">
        <f t="shared" si="1568"/>
        <v>5283922742</v>
      </c>
      <c r="DK419" s="3411"/>
      <c r="DL419" s="3405"/>
      <c r="DM419" s="3406"/>
      <c r="DN419" s="3406"/>
      <c r="DO419" s="2424">
        <f>DO33</f>
        <v>5283922742</v>
      </c>
      <c r="DP419" s="2424">
        <f t="shared" ref="DP419:DR419" si="1569">DP33</f>
        <v>0</v>
      </c>
      <c r="DQ419" s="2424">
        <f t="shared" si="1569"/>
        <v>0</v>
      </c>
      <c r="DR419" s="2424">
        <f t="shared" si="1569"/>
        <v>5283922742</v>
      </c>
      <c r="DS419" s="3411"/>
      <c r="DT419" s="3405"/>
      <c r="DU419" s="3406"/>
      <c r="DV419" s="3406"/>
      <c r="DW419" s="2424">
        <f>DW33</f>
        <v>5283922742</v>
      </c>
      <c r="DX419" s="2424">
        <f t="shared" ref="DX419:DZ419" si="1570">DX33</f>
        <v>0</v>
      </c>
      <c r="DY419" s="2424">
        <f t="shared" si="1570"/>
        <v>0</v>
      </c>
      <c r="DZ419" s="2424">
        <f t="shared" si="1570"/>
        <v>5283922742</v>
      </c>
      <c r="EA419" s="3411"/>
      <c r="EB419" s="3405"/>
      <c r="EC419" s="3406"/>
      <c r="ED419" s="3406"/>
      <c r="EE419" s="2424">
        <f>EE33</f>
        <v>5283922742</v>
      </c>
      <c r="EF419" s="2424">
        <f t="shared" ref="EF419:EH419" si="1571">EF33</f>
        <v>0</v>
      </c>
      <c r="EG419" s="2424">
        <f t="shared" si="1571"/>
        <v>0</v>
      </c>
      <c r="EH419" s="2424">
        <f t="shared" si="1571"/>
        <v>5283922742</v>
      </c>
      <c r="EI419" s="3411"/>
      <c r="EJ419" s="3405"/>
      <c r="EK419" s="3406"/>
      <c r="EL419" s="3406"/>
      <c r="EM419" s="2424">
        <f>EM33</f>
        <v>5283922742</v>
      </c>
      <c r="EN419" s="2424">
        <f t="shared" ref="EN419:EP419" si="1572">EN33</f>
        <v>0</v>
      </c>
      <c r="EO419" s="2424">
        <f t="shared" si="1572"/>
        <v>0</v>
      </c>
      <c r="EP419" s="2424">
        <f t="shared" si="1572"/>
        <v>5283922742</v>
      </c>
      <c r="EQ419" s="3411"/>
      <c r="ER419" s="3405"/>
      <c r="ES419" s="3406"/>
      <c r="ET419" s="3406"/>
      <c r="EU419" s="2424">
        <f>EU33</f>
        <v>5283922742</v>
      </c>
      <c r="EV419" s="2424">
        <f t="shared" ref="EV419:EX419" si="1573">EV33</f>
        <v>0</v>
      </c>
      <c r="EW419" s="2424">
        <f t="shared" si="1573"/>
        <v>0</v>
      </c>
      <c r="EX419" s="2424">
        <f t="shared" si="1573"/>
        <v>5283922742</v>
      </c>
      <c r="EY419" s="3411"/>
      <c r="EZ419" s="3405"/>
      <c r="FA419" s="3406"/>
      <c r="FB419" s="3406"/>
      <c r="FC419" s="2424">
        <f>FC33</f>
        <v>5283922742</v>
      </c>
      <c r="FD419" s="2424">
        <f t="shared" ref="FD419:FF419" si="1574">FD33</f>
        <v>0</v>
      </c>
      <c r="FE419" s="2424">
        <f t="shared" si="1574"/>
        <v>0</v>
      </c>
      <c r="FF419" s="2424">
        <f t="shared" si="1574"/>
        <v>5283922742</v>
      </c>
      <c r="FG419" s="3411"/>
      <c r="FH419" s="3405"/>
      <c r="FI419" s="3406"/>
      <c r="FJ419" s="3406"/>
      <c r="FK419" s="2424">
        <f>FK33</f>
        <v>5283922742</v>
      </c>
      <c r="FL419" s="2424">
        <f t="shared" ref="FL419:FN419" si="1575">FL33</f>
        <v>0</v>
      </c>
      <c r="FM419" s="2424">
        <f t="shared" si="1575"/>
        <v>0</v>
      </c>
      <c r="FN419" s="2424">
        <f t="shared" si="1575"/>
        <v>5283922742</v>
      </c>
      <c r="FO419" s="3411"/>
    </row>
    <row r="420" spans="2:171">
      <c r="B420" s="3086"/>
      <c r="C420" s="3086" t="s">
        <v>522</v>
      </c>
      <c r="D420" s="3405"/>
      <c r="E420" s="3095"/>
      <c r="F420" s="3406"/>
      <c r="G420" s="3244">
        <f>SUM(G418:G419)</f>
        <v>7276303980</v>
      </c>
      <c r="H420" s="3244">
        <f>SUM(H418:H419)</f>
        <v>0</v>
      </c>
      <c r="I420" s="3244">
        <f>SUM(I418:I419)</f>
        <v>0</v>
      </c>
      <c r="J420" s="3244">
        <f>SUM(J418:J419)</f>
        <v>7276303980</v>
      </c>
      <c r="K420" s="3264"/>
      <c r="L420" s="3405"/>
      <c r="M420" s="3406"/>
      <c r="N420" s="3406"/>
      <c r="O420" s="3244">
        <f>SUM(O418:O419)</f>
        <v>7276303980</v>
      </c>
      <c r="P420" s="3244">
        <f>SUM(P418:P419)</f>
        <v>0</v>
      </c>
      <c r="Q420" s="3244">
        <f>SUM(Q418:Q419)</f>
        <v>1992381238</v>
      </c>
      <c r="R420" s="3244">
        <f>SUM(R418:R419)</f>
        <v>5283922742</v>
      </c>
      <c r="S420" s="3264"/>
      <c r="T420" s="3405"/>
      <c r="U420" s="3406"/>
      <c r="V420" s="3406"/>
      <c r="W420" s="3244">
        <f>SUM(W418:W419)</f>
        <v>7276303980</v>
      </c>
      <c r="X420" s="3244">
        <f>SUM(X418:X419)</f>
        <v>0</v>
      </c>
      <c r="Y420" s="3244">
        <f>SUM(Y418:Y419)</f>
        <v>1992381238</v>
      </c>
      <c r="Z420" s="3244">
        <f>SUM(Z418:Z419)</f>
        <v>5283922742</v>
      </c>
      <c r="AA420" s="3264"/>
      <c r="AB420" s="3405"/>
      <c r="AC420" s="3406"/>
      <c r="AD420" s="3406"/>
      <c r="AE420" s="3244">
        <f>SUM(AE418:AE419)</f>
        <v>7276303980</v>
      </c>
      <c r="AF420" s="3244">
        <f>SUM(AF418:AF419)</f>
        <v>0</v>
      </c>
      <c r="AG420" s="3244">
        <f>SUM(AG418:AG419)</f>
        <v>1992381238</v>
      </c>
      <c r="AH420" s="3244">
        <f>SUM(AH418:AH419)</f>
        <v>5283922742</v>
      </c>
      <c r="AI420" s="3264"/>
      <c r="AJ420" s="3405"/>
      <c r="AK420" s="3406"/>
      <c r="AL420" s="3406"/>
      <c r="AM420" s="3244">
        <f>SUM(AM418:AM419)</f>
        <v>7276303980</v>
      </c>
      <c r="AN420" s="3244">
        <f>SUM(AN418:AN419)</f>
        <v>0</v>
      </c>
      <c r="AO420" s="3244">
        <f>SUM(AO418:AO419)</f>
        <v>1992381238</v>
      </c>
      <c r="AP420" s="3244">
        <f>SUM(AP418:AP419)</f>
        <v>5283922742</v>
      </c>
      <c r="AQ420" s="3264"/>
      <c r="AR420" s="3405"/>
      <c r="AS420" s="3406"/>
      <c r="AT420" s="3406"/>
      <c r="AU420" s="3244">
        <f>SUM(AU418:AU419)</f>
        <v>7276303980</v>
      </c>
      <c r="AV420" s="3244">
        <f>SUM(AV418:AV419)</f>
        <v>0</v>
      </c>
      <c r="AW420" s="3244">
        <f>SUM(AW418:AW419)</f>
        <v>1992381238</v>
      </c>
      <c r="AX420" s="3244">
        <f>SUM(AX418:AX419)</f>
        <v>5283922742</v>
      </c>
      <c r="AY420" s="3264"/>
      <c r="AZ420" s="3405"/>
      <c r="BA420" s="3406"/>
      <c r="BB420" s="3406"/>
      <c r="BC420" s="3244">
        <f>SUM(BC418:BC419)</f>
        <v>7276303980</v>
      </c>
      <c r="BD420" s="3244">
        <f>SUM(BD418:BD419)</f>
        <v>0</v>
      </c>
      <c r="BE420" s="3244">
        <f>SUM(BE418:BE419)</f>
        <v>1992381238</v>
      </c>
      <c r="BF420" s="3244">
        <f>SUM(BF418:BF419)</f>
        <v>5283922742</v>
      </c>
      <c r="BG420" s="3264"/>
      <c r="BH420" s="3405"/>
      <c r="BI420" s="3406"/>
      <c r="BJ420" s="3406"/>
      <c r="BK420" s="3244">
        <f>SUM(BK418:BK419)</f>
        <v>7276303980</v>
      </c>
      <c r="BL420" s="3244">
        <f>SUM(BL418:BL419)</f>
        <v>0</v>
      </c>
      <c r="BM420" s="3244">
        <f>SUM(BM418:BM419)</f>
        <v>1992381238</v>
      </c>
      <c r="BN420" s="3244">
        <f>SUM(BN418:BN419)</f>
        <v>5283922742</v>
      </c>
      <c r="BO420" s="3264"/>
      <c r="BP420" s="3405"/>
      <c r="BQ420" s="3406"/>
      <c r="BR420" s="3406"/>
      <c r="BS420" s="3244">
        <f>SUM(BS418:BS419)</f>
        <v>7276303980</v>
      </c>
      <c r="BT420" s="3244">
        <f>SUM(BT418:BT419)</f>
        <v>0</v>
      </c>
      <c r="BU420" s="3244">
        <f>SUM(BU418:BU419)</f>
        <v>1992381238</v>
      </c>
      <c r="BV420" s="3244">
        <f>SUM(BV418:BV419)</f>
        <v>5283922742</v>
      </c>
      <c r="BW420" s="3264"/>
      <c r="BX420" s="3405"/>
      <c r="BY420" s="3406"/>
      <c r="BZ420" s="3406"/>
      <c r="CA420" s="3244">
        <f>SUM(CA418:CA419)</f>
        <v>7276303980</v>
      </c>
      <c r="CB420" s="3244">
        <f>SUM(CB418:CB419)</f>
        <v>0</v>
      </c>
      <c r="CC420" s="3244">
        <f>SUM(CC418:CC419)</f>
        <v>1992381238</v>
      </c>
      <c r="CD420" s="3244">
        <f>SUM(CD418:CD419)</f>
        <v>5283922742</v>
      </c>
      <c r="CE420" s="3264"/>
      <c r="CF420" s="3405"/>
      <c r="CG420" s="3406"/>
      <c r="CH420" s="3406"/>
      <c r="CI420" s="3244">
        <f>SUM(CI418:CI419)</f>
        <v>7276303980</v>
      </c>
      <c r="CJ420" s="3244">
        <f>SUM(CJ418:CJ419)</f>
        <v>0</v>
      </c>
      <c r="CK420" s="3244">
        <f>SUM(CK418:CK419)</f>
        <v>1992381238</v>
      </c>
      <c r="CL420" s="3244">
        <f>SUM(CL418:CL419)</f>
        <v>5283922742</v>
      </c>
      <c r="CM420" s="3264"/>
      <c r="CN420" s="3405"/>
      <c r="CO420" s="3406"/>
      <c r="CP420" s="3406"/>
      <c r="CQ420" s="3244">
        <f>SUM(CQ418:CQ419)</f>
        <v>7276303980</v>
      </c>
      <c r="CR420" s="3244">
        <f>SUM(CR418:CR419)</f>
        <v>0</v>
      </c>
      <c r="CS420" s="3244">
        <f>SUM(CS418:CS419)</f>
        <v>1992381238</v>
      </c>
      <c r="CT420" s="3244">
        <f>SUM(CT418:CT419)</f>
        <v>5283922742</v>
      </c>
      <c r="CU420" s="3264"/>
      <c r="CV420" s="3405"/>
      <c r="CW420" s="3406"/>
      <c r="CX420" s="3406"/>
      <c r="CY420" s="3244">
        <f>SUM(CY418:CY419)</f>
        <v>7276303980</v>
      </c>
      <c r="CZ420" s="3244">
        <f>SUM(CZ418:CZ419)</f>
        <v>0</v>
      </c>
      <c r="DA420" s="3244">
        <f>SUM(DA418:DA419)</f>
        <v>1992381238</v>
      </c>
      <c r="DB420" s="3244">
        <f>SUM(DB418:DB419)</f>
        <v>5283922742</v>
      </c>
      <c r="DC420" s="3264"/>
      <c r="DD420" s="3405"/>
      <c r="DE420" s="3406"/>
      <c r="DF420" s="3406"/>
      <c r="DG420" s="3244">
        <f>SUM(DG418:DG419)</f>
        <v>7276303980</v>
      </c>
      <c r="DH420" s="3244">
        <f>SUM(DH418:DH419)</f>
        <v>0</v>
      </c>
      <c r="DI420" s="3244">
        <f>SUM(DI418:DI419)</f>
        <v>1992381238</v>
      </c>
      <c r="DJ420" s="3244">
        <f>SUM(DJ418:DJ419)</f>
        <v>5283922742</v>
      </c>
      <c r="DK420" s="3264"/>
      <c r="DL420" s="3405"/>
      <c r="DM420" s="3406"/>
      <c r="DN420" s="3406"/>
      <c r="DO420" s="3244">
        <f>SUM(DO418:DO419)</f>
        <v>7276303980</v>
      </c>
      <c r="DP420" s="3244">
        <f>SUM(DP418:DP419)</f>
        <v>0</v>
      </c>
      <c r="DQ420" s="3244">
        <f>SUM(DQ418:DQ419)</f>
        <v>1992381238</v>
      </c>
      <c r="DR420" s="3244">
        <f>SUM(DR418:DR419)</f>
        <v>5283922742</v>
      </c>
      <c r="DS420" s="3264"/>
      <c r="DT420" s="3405"/>
      <c r="DU420" s="3406"/>
      <c r="DV420" s="3406"/>
      <c r="DW420" s="3244">
        <f>SUM(DW418:DW419)</f>
        <v>7276303980</v>
      </c>
      <c r="DX420" s="3244">
        <f>SUM(DX418:DX419)</f>
        <v>0</v>
      </c>
      <c r="DY420" s="3244">
        <f>SUM(DY418:DY419)</f>
        <v>1992381238</v>
      </c>
      <c r="DZ420" s="3244">
        <f>SUM(DZ418:DZ419)</f>
        <v>5283922742</v>
      </c>
      <c r="EA420" s="3264"/>
      <c r="EB420" s="3405"/>
      <c r="EC420" s="3406"/>
      <c r="ED420" s="3406"/>
      <c r="EE420" s="3244">
        <f>SUM(EE418:EE419)</f>
        <v>7276303980</v>
      </c>
      <c r="EF420" s="3244">
        <f>SUM(EF418:EF419)</f>
        <v>0</v>
      </c>
      <c r="EG420" s="3244">
        <f>SUM(EG418:EG419)</f>
        <v>1992381238</v>
      </c>
      <c r="EH420" s="3244">
        <f>SUM(EH418:EH419)</f>
        <v>5283922742</v>
      </c>
      <c r="EI420" s="3264"/>
      <c r="EJ420" s="3405"/>
      <c r="EK420" s="3406"/>
      <c r="EL420" s="3406"/>
      <c r="EM420" s="3244">
        <f>SUM(EM418:EM419)</f>
        <v>7276303980</v>
      </c>
      <c r="EN420" s="3244">
        <f>SUM(EN418:EN419)</f>
        <v>0</v>
      </c>
      <c r="EO420" s="3244">
        <f>SUM(EO418:EO419)</f>
        <v>1992381238</v>
      </c>
      <c r="EP420" s="3244">
        <f>SUM(EP418:EP419)</f>
        <v>5283922742</v>
      </c>
      <c r="EQ420" s="3264"/>
      <c r="ER420" s="3405"/>
      <c r="ES420" s="3406"/>
      <c r="ET420" s="3406"/>
      <c r="EU420" s="3244">
        <f>SUM(EU418:EU419)</f>
        <v>7276303980</v>
      </c>
      <c r="EV420" s="3244">
        <f>SUM(EV418:EV419)</f>
        <v>0</v>
      </c>
      <c r="EW420" s="3244">
        <f>SUM(EW418:EW419)</f>
        <v>1992381238</v>
      </c>
      <c r="EX420" s="3244">
        <f>SUM(EX418:EX419)</f>
        <v>5283922742</v>
      </c>
      <c r="EY420" s="3264"/>
      <c r="EZ420" s="3405"/>
      <c r="FA420" s="3406"/>
      <c r="FB420" s="3406"/>
      <c r="FC420" s="3244">
        <f>SUM(FC418:FC419)</f>
        <v>7276303980</v>
      </c>
      <c r="FD420" s="3244">
        <f>SUM(FD418:FD419)</f>
        <v>0</v>
      </c>
      <c r="FE420" s="3244">
        <f>SUM(FE418:FE419)</f>
        <v>1992381238</v>
      </c>
      <c r="FF420" s="3244">
        <f>SUM(FF418:FF419)</f>
        <v>5283922742</v>
      </c>
      <c r="FG420" s="3264"/>
      <c r="FH420" s="3405"/>
      <c r="FI420" s="3406"/>
      <c r="FJ420" s="3406"/>
      <c r="FK420" s="3244">
        <f>SUM(FK418:FK419)</f>
        <v>7276303980</v>
      </c>
      <c r="FL420" s="3244">
        <f>SUM(FL418:FL419)</f>
        <v>0</v>
      </c>
      <c r="FM420" s="3244">
        <f>SUM(FM418:FM419)</f>
        <v>1992381238</v>
      </c>
      <c r="FN420" s="3244">
        <f>SUM(FN418:FN419)</f>
        <v>5283922742</v>
      </c>
      <c r="FO420" s="3264"/>
    </row>
    <row r="421" spans="2:171">
      <c r="B421" s="3114"/>
      <c r="C421" s="3114" t="s">
        <v>342</v>
      </c>
      <c r="D421" s="3407" t="s">
        <v>627</v>
      </c>
      <c r="E421" s="3139"/>
      <c r="F421" s="3412"/>
      <c r="G421" s="3402">
        <f>H421+I421+J421</f>
        <v>1</v>
      </c>
      <c r="H421" s="3402">
        <f>IF($G420=0,0,H420/G420)</f>
        <v>0</v>
      </c>
      <c r="I421" s="3402">
        <f>IF($G420=0,0,I420/G420)</f>
        <v>0</v>
      </c>
      <c r="J421" s="3402">
        <f>IF($G420=0,0,J420/G420)</f>
        <v>1</v>
      </c>
      <c r="K421" s="3411"/>
      <c r="L421" s="3403" t="s">
        <v>627</v>
      </c>
      <c r="M421" s="3412"/>
      <c r="N421" s="3412"/>
      <c r="O421" s="3402">
        <f>P421+Q421+R421</f>
        <v>1</v>
      </c>
      <c r="P421" s="3402">
        <f>IF($G420=0,0,P420/O420)</f>
        <v>0</v>
      </c>
      <c r="Q421" s="3402">
        <f>IF($G420=0,0,Q420/O420)</f>
        <v>0.2738177574049071</v>
      </c>
      <c r="R421" s="3402">
        <f>IF($G420=0,0,R420/O420)</f>
        <v>0.7261822425950929</v>
      </c>
      <c r="S421" s="3411"/>
      <c r="T421" s="3403" t="s">
        <v>627</v>
      </c>
      <c r="U421" s="3412"/>
      <c r="V421" s="3412"/>
      <c r="W421" s="3402">
        <f>X421+Y421+Z421</f>
        <v>1</v>
      </c>
      <c r="X421" s="3402">
        <f>IF($G420=0,0,X420/W420)</f>
        <v>0</v>
      </c>
      <c r="Y421" s="3402">
        <f>IF($G420=0,0,Y420/W420)</f>
        <v>0.2738177574049071</v>
      </c>
      <c r="Z421" s="3402">
        <f>IF($G420=0,0,Z420/W420)</f>
        <v>0.7261822425950929</v>
      </c>
      <c r="AA421" s="3411"/>
      <c r="AB421" s="3403" t="s">
        <v>627</v>
      </c>
      <c r="AC421" s="3412"/>
      <c r="AD421" s="3412"/>
      <c r="AE421" s="3402">
        <f>AF421+AG421+AH421</f>
        <v>1</v>
      </c>
      <c r="AF421" s="3402">
        <f>IF($G420=0,0,AF420/AE420)</f>
        <v>0</v>
      </c>
      <c r="AG421" s="3402">
        <f>IF($G420=0,0,AG420/AE420)</f>
        <v>0.2738177574049071</v>
      </c>
      <c r="AH421" s="3402">
        <f>IF($G420=0,0,AH420/AE420)</f>
        <v>0.7261822425950929</v>
      </c>
      <c r="AI421" s="3411"/>
      <c r="AJ421" s="3403" t="s">
        <v>627</v>
      </c>
      <c r="AK421" s="3412"/>
      <c r="AL421" s="3412"/>
      <c r="AM421" s="3402">
        <f>AN421+AO421+AP421</f>
        <v>1</v>
      </c>
      <c r="AN421" s="3402">
        <f>IF($G420=0,0,AN420/AM420)</f>
        <v>0</v>
      </c>
      <c r="AO421" s="3402">
        <f>IF($G420=0,0,AO420/AM420)</f>
        <v>0.2738177574049071</v>
      </c>
      <c r="AP421" s="3402">
        <f>IF($G420=0,0,AP420/AM420)</f>
        <v>0.7261822425950929</v>
      </c>
      <c r="AQ421" s="3411"/>
      <c r="AR421" s="3403" t="s">
        <v>627</v>
      </c>
      <c r="AS421" s="3412"/>
      <c r="AT421" s="3412"/>
      <c r="AU421" s="3402">
        <f>AV421+AW421+AX421</f>
        <v>1</v>
      </c>
      <c r="AV421" s="3402">
        <f>IF($G420=0,0,AV420/AU420)</f>
        <v>0</v>
      </c>
      <c r="AW421" s="3402">
        <f>IF($G420=0,0,AW420/AU420)</f>
        <v>0.2738177574049071</v>
      </c>
      <c r="AX421" s="3402">
        <f>IF($G420=0,0,AX420/AU420)</f>
        <v>0.7261822425950929</v>
      </c>
      <c r="AY421" s="3411"/>
      <c r="AZ421" s="3403" t="s">
        <v>627</v>
      </c>
      <c r="BA421" s="3412"/>
      <c r="BB421" s="3412"/>
      <c r="BC421" s="3402">
        <f>BD421+BE421+BF421</f>
        <v>1</v>
      </c>
      <c r="BD421" s="3402">
        <f>IF($G420=0,0,BD420/BC420)</f>
        <v>0</v>
      </c>
      <c r="BE421" s="3402">
        <f>IF($G420=0,0,BE420/BC420)</f>
        <v>0.2738177574049071</v>
      </c>
      <c r="BF421" s="3402">
        <f>IF($G420=0,0,BF420/BC420)</f>
        <v>0.7261822425950929</v>
      </c>
      <c r="BG421" s="3411"/>
      <c r="BH421" s="3403" t="s">
        <v>627</v>
      </c>
      <c r="BI421" s="3412"/>
      <c r="BJ421" s="3412"/>
      <c r="BK421" s="3402">
        <f>BL421+BM421+BN421</f>
        <v>1</v>
      </c>
      <c r="BL421" s="3402">
        <f>IF($G420=0,0,BL420/BK420)</f>
        <v>0</v>
      </c>
      <c r="BM421" s="3402">
        <f>IF($G420=0,0,BM420/BK420)</f>
        <v>0.2738177574049071</v>
      </c>
      <c r="BN421" s="3402">
        <f>IF($G420=0,0,BN420/BK420)</f>
        <v>0.7261822425950929</v>
      </c>
      <c r="BO421" s="3411"/>
      <c r="BP421" s="3403" t="s">
        <v>627</v>
      </c>
      <c r="BQ421" s="3412"/>
      <c r="BR421" s="3412"/>
      <c r="BS421" s="3402">
        <f>BT421+BU421+BV421</f>
        <v>1</v>
      </c>
      <c r="BT421" s="3402">
        <f>IF($G420=0,0,BT420/BS420)</f>
        <v>0</v>
      </c>
      <c r="BU421" s="3402">
        <f>IF($G420=0,0,BU420/BS420)</f>
        <v>0.2738177574049071</v>
      </c>
      <c r="BV421" s="3402">
        <f>IF($G420=0,0,BV420/BS420)</f>
        <v>0.7261822425950929</v>
      </c>
      <c r="BW421" s="3411"/>
      <c r="BX421" s="3403" t="s">
        <v>627</v>
      </c>
      <c r="BY421" s="3412"/>
      <c r="BZ421" s="3412"/>
      <c r="CA421" s="3402">
        <f>CB421+CC421+CD421</f>
        <v>1</v>
      </c>
      <c r="CB421" s="3402">
        <f>IF($G420=0,0,CB420/CA420)</f>
        <v>0</v>
      </c>
      <c r="CC421" s="3402">
        <f>IF($G420=0,0,CC420/CA420)</f>
        <v>0.2738177574049071</v>
      </c>
      <c r="CD421" s="3402">
        <f>IF($G420=0,0,CD420/CA420)</f>
        <v>0.7261822425950929</v>
      </c>
      <c r="CE421" s="3411"/>
      <c r="CF421" s="3403" t="s">
        <v>627</v>
      </c>
      <c r="CG421" s="3412"/>
      <c r="CH421" s="3412"/>
      <c r="CI421" s="3402">
        <f>CJ421+CK421+CL421</f>
        <v>1</v>
      </c>
      <c r="CJ421" s="3402">
        <f>IF($G420=0,0,CJ420/CI420)</f>
        <v>0</v>
      </c>
      <c r="CK421" s="3402">
        <f>IF($G420=0,0,CK420/CI420)</f>
        <v>0.2738177574049071</v>
      </c>
      <c r="CL421" s="3402">
        <f>IF($G420=0,0,CL420/CI420)</f>
        <v>0.7261822425950929</v>
      </c>
      <c r="CM421" s="3411"/>
      <c r="CN421" s="3403" t="s">
        <v>627</v>
      </c>
      <c r="CO421" s="3412"/>
      <c r="CP421" s="3412"/>
      <c r="CQ421" s="3402">
        <f>CR421+CS421+CT421</f>
        <v>1</v>
      </c>
      <c r="CR421" s="3402">
        <f>IF($G420=0,0,CR420/CQ420)</f>
        <v>0</v>
      </c>
      <c r="CS421" s="3402">
        <f>IF($G420=0,0,CS420/CQ420)</f>
        <v>0.2738177574049071</v>
      </c>
      <c r="CT421" s="3402">
        <f>IF($G420=0,0,CT420/CQ420)</f>
        <v>0.7261822425950929</v>
      </c>
      <c r="CU421" s="3411"/>
      <c r="CV421" s="3403" t="s">
        <v>627</v>
      </c>
      <c r="CW421" s="3412"/>
      <c r="CX421" s="3412"/>
      <c r="CY421" s="3402">
        <f>CZ421+DA421+DB421</f>
        <v>1</v>
      </c>
      <c r="CZ421" s="3402">
        <f>IF($G420=0,0,CZ420/CY420)</f>
        <v>0</v>
      </c>
      <c r="DA421" s="3402">
        <f>IF($G420=0,0,DA420/CY420)</f>
        <v>0.2738177574049071</v>
      </c>
      <c r="DB421" s="3402">
        <f>IF($G420=0,0,DB420/CY420)</f>
        <v>0.7261822425950929</v>
      </c>
      <c r="DC421" s="3411"/>
      <c r="DD421" s="3403" t="s">
        <v>627</v>
      </c>
      <c r="DE421" s="3412"/>
      <c r="DF421" s="3412"/>
      <c r="DG421" s="3402">
        <f>DH421+DI421+DJ421</f>
        <v>1</v>
      </c>
      <c r="DH421" s="3402">
        <f>IF($G420=0,0,DH420/DG420)</f>
        <v>0</v>
      </c>
      <c r="DI421" s="3402">
        <f>IF($G420=0,0,DI420/DG420)</f>
        <v>0.2738177574049071</v>
      </c>
      <c r="DJ421" s="3402">
        <f>IF($G420=0,0,DJ420/DG420)</f>
        <v>0.7261822425950929</v>
      </c>
      <c r="DK421" s="3411"/>
      <c r="DL421" s="3403" t="s">
        <v>627</v>
      </c>
      <c r="DM421" s="3412"/>
      <c r="DN421" s="3412"/>
      <c r="DO421" s="3402">
        <f>DP421+DQ421+DR421</f>
        <v>1</v>
      </c>
      <c r="DP421" s="3402">
        <f>IF($G420=0,0,DP420/DO420)</f>
        <v>0</v>
      </c>
      <c r="DQ421" s="3402">
        <f>IF($G420=0,0,DQ420/DO420)</f>
        <v>0.2738177574049071</v>
      </c>
      <c r="DR421" s="3402">
        <f>IF($G420=0,0,DR420/DO420)</f>
        <v>0.7261822425950929</v>
      </c>
      <c r="DS421" s="3411"/>
      <c r="DT421" s="3403" t="s">
        <v>627</v>
      </c>
      <c r="DU421" s="3412"/>
      <c r="DV421" s="3412"/>
      <c r="DW421" s="3402">
        <f>DX421+DY421+DZ421</f>
        <v>1</v>
      </c>
      <c r="DX421" s="3402">
        <f>IF($G420=0,0,DX420/DW420)</f>
        <v>0</v>
      </c>
      <c r="DY421" s="3402">
        <f>IF($G420=0,0,DY420/DW420)</f>
        <v>0.2738177574049071</v>
      </c>
      <c r="DZ421" s="3402">
        <f>IF($G420=0,0,DZ420/DW420)</f>
        <v>0.7261822425950929</v>
      </c>
      <c r="EA421" s="3411"/>
      <c r="EB421" s="3403" t="s">
        <v>627</v>
      </c>
      <c r="EC421" s="3412"/>
      <c r="ED421" s="3412"/>
      <c r="EE421" s="3402">
        <f>EF421+EG421+EH421</f>
        <v>1</v>
      </c>
      <c r="EF421" s="3402">
        <f>IF($G420=0,0,EF420/EE420)</f>
        <v>0</v>
      </c>
      <c r="EG421" s="3402">
        <f>IF($G420=0,0,EG420/EE420)</f>
        <v>0.2738177574049071</v>
      </c>
      <c r="EH421" s="3402">
        <f>IF($G420=0,0,EH420/EE420)</f>
        <v>0.7261822425950929</v>
      </c>
      <c r="EI421" s="3411"/>
      <c r="EJ421" s="3403" t="s">
        <v>627</v>
      </c>
      <c r="EK421" s="3412"/>
      <c r="EL421" s="3412"/>
      <c r="EM421" s="3402">
        <f>EN421+EO421+EP421</f>
        <v>1</v>
      </c>
      <c r="EN421" s="3402">
        <f>IF($G420=0,0,EN420/EM420)</f>
        <v>0</v>
      </c>
      <c r="EO421" s="3402">
        <f>IF($G420=0,0,EO420/EM420)</f>
        <v>0.2738177574049071</v>
      </c>
      <c r="EP421" s="3402">
        <f>IF($G420=0,0,EP420/EM420)</f>
        <v>0.7261822425950929</v>
      </c>
      <c r="EQ421" s="3411"/>
      <c r="ER421" s="3403" t="s">
        <v>627</v>
      </c>
      <c r="ES421" s="3412"/>
      <c r="ET421" s="3412"/>
      <c r="EU421" s="3402">
        <f>EV421+EW421+EX421</f>
        <v>1</v>
      </c>
      <c r="EV421" s="3402">
        <f>IF($G420=0,0,EV420/EU420)</f>
        <v>0</v>
      </c>
      <c r="EW421" s="3402">
        <f>IF($G420=0,0,EW420/EU420)</f>
        <v>0.2738177574049071</v>
      </c>
      <c r="EX421" s="3402">
        <f>IF($G420=0,0,EX420/EU420)</f>
        <v>0.7261822425950929</v>
      </c>
      <c r="EY421" s="3411"/>
      <c r="EZ421" s="3403" t="s">
        <v>627</v>
      </c>
      <c r="FA421" s="3412"/>
      <c r="FB421" s="3412"/>
      <c r="FC421" s="3402">
        <f>FD421+FE421+FF421</f>
        <v>1</v>
      </c>
      <c r="FD421" s="3402">
        <f>IF($G420=0,0,FD420/FC420)</f>
        <v>0</v>
      </c>
      <c r="FE421" s="3402">
        <f>IF($G420=0,0,FE420/FC420)</f>
        <v>0.2738177574049071</v>
      </c>
      <c r="FF421" s="3402">
        <f>IF($G420=0,0,FF420/FC420)</f>
        <v>0.7261822425950929</v>
      </c>
      <c r="FG421" s="3411"/>
      <c r="FH421" s="3403" t="s">
        <v>627</v>
      </c>
      <c r="FI421" s="3412"/>
      <c r="FJ421" s="3412"/>
      <c r="FK421" s="3402">
        <f>FL421+FM421+FN421</f>
        <v>1</v>
      </c>
      <c r="FL421" s="3402">
        <f>IF($G420=0,0,FL420/FK420)</f>
        <v>0</v>
      </c>
      <c r="FM421" s="3402">
        <f>IF($G420=0,0,FM420/FK420)</f>
        <v>0.2738177574049071</v>
      </c>
      <c r="FN421" s="3402">
        <f>IF($G420=0,0,FN420/FK420)</f>
        <v>0.7261822425950929</v>
      </c>
      <c r="FO421" s="3411"/>
    </row>
    <row r="422" spans="2:171">
      <c r="K422" s="3264"/>
      <c r="S422" s="3264"/>
      <c r="AA422" s="3264"/>
      <c r="AI422" s="3264"/>
      <c r="AQ422" s="3264"/>
      <c r="AY422" s="3264"/>
      <c r="BG422" s="3264"/>
      <c r="BO422" s="3264"/>
      <c r="BW422" s="3264"/>
      <c r="CE422" s="3264"/>
      <c r="CM422" s="3264"/>
      <c r="CU422" s="3264"/>
      <c r="DC422" s="3264"/>
      <c r="DK422" s="3264"/>
      <c r="DS422" s="3264"/>
      <c r="EA422" s="3264"/>
      <c r="EI422" s="3264"/>
      <c r="EQ422" s="3264"/>
      <c r="EY422" s="3264"/>
      <c r="FG422" s="3264"/>
      <c r="FO422" s="3264"/>
    </row>
    <row r="423" spans="2:171">
      <c r="E423" s="3090" t="s">
        <v>520</v>
      </c>
      <c r="G423" s="3091" t="s">
        <v>104</v>
      </c>
      <c r="H423" s="3091" t="s">
        <v>105</v>
      </c>
      <c r="I423" s="3091" t="s">
        <v>106</v>
      </c>
      <c r="J423" s="3092" t="s">
        <v>511</v>
      </c>
      <c r="K423" s="3411"/>
      <c r="O423" s="3091" t="s">
        <v>104</v>
      </c>
      <c r="P423" s="3091" t="s">
        <v>105</v>
      </c>
      <c r="Q423" s="3091" t="s">
        <v>106</v>
      </c>
      <c r="R423" s="3092" t="s">
        <v>511</v>
      </c>
      <c r="S423" s="3411"/>
      <c r="W423" s="3091" t="s">
        <v>104</v>
      </c>
      <c r="X423" s="3091" t="s">
        <v>105</v>
      </c>
      <c r="Y423" s="3091" t="s">
        <v>106</v>
      </c>
      <c r="Z423" s="3092" t="s">
        <v>511</v>
      </c>
      <c r="AA423" s="3411"/>
      <c r="AE423" s="3091" t="s">
        <v>104</v>
      </c>
      <c r="AF423" s="3091" t="s">
        <v>105</v>
      </c>
      <c r="AG423" s="3091" t="s">
        <v>106</v>
      </c>
      <c r="AH423" s="3092" t="s">
        <v>511</v>
      </c>
      <c r="AI423" s="3411"/>
      <c r="AM423" s="3091" t="s">
        <v>104</v>
      </c>
      <c r="AN423" s="3091" t="s">
        <v>105</v>
      </c>
      <c r="AO423" s="3091" t="s">
        <v>106</v>
      </c>
      <c r="AP423" s="3092" t="s">
        <v>511</v>
      </c>
      <c r="AQ423" s="3411"/>
      <c r="AU423" s="3091" t="s">
        <v>104</v>
      </c>
      <c r="AV423" s="3091" t="s">
        <v>105</v>
      </c>
      <c r="AW423" s="3091" t="s">
        <v>106</v>
      </c>
      <c r="AX423" s="3092" t="s">
        <v>511</v>
      </c>
      <c r="AY423" s="3411"/>
      <c r="BC423" s="3091" t="s">
        <v>104</v>
      </c>
      <c r="BD423" s="3091" t="s">
        <v>105</v>
      </c>
      <c r="BE423" s="3091" t="s">
        <v>106</v>
      </c>
      <c r="BF423" s="3092" t="s">
        <v>511</v>
      </c>
      <c r="BG423" s="3411"/>
      <c r="BK423" s="3091" t="s">
        <v>104</v>
      </c>
      <c r="BL423" s="3091" t="s">
        <v>105</v>
      </c>
      <c r="BM423" s="3091" t="s">
        <v>106</v>
      </c>
      <c r="BN423" s="3092" t="s">
        <v>511</v>
      </c>
      <c r="BO423" s="3411"/>
      <c r="BS423" s="3091" t="s">
        <v>104</v>
      </c>
      <c r="BT423" s="3091" t="s">
        <v>105</v>
      </c>
      <c r="BU423" s="3091" t="s">
        <v>106</v>
      </c>
      <c r="BV423" s="3092" t="s">
        <v>511</v>
      </c>
      <c r="BW423" s="3411"/>
      <c r="CA423" s="3091" t="s">
        <v>104</v>
      </c>
      <c r="CB423" s="3091" t="s">
        <v>105</v>
      </c>
      <c r="CC423" s="3091" t="s">
        <v>106</v>
      </c>
      <c r="CD423" s="3092" t="s">
        <v>511</v>
      </c>
      <c r="CE423" s="3411"/>
      <c r="CI423" s="3091" t="s">
        <v>104</v>
      </c>
      <c r="CJ423" s="3091" t="s">
        <v>105</v>
      </c>
      <c r="CK423" s="3091" t="s">
        <v>106</v>
      </c>
      <c r="CL423" s="3092" t="s">
        <v>511</v>
      </c>
      <c r="CM423" s="3411"/>
      <c r="CQ423" s="3091" t="s">
        <v>104</v>
      </c>
      <c r="CR423" s="3091" t="s">
        <v>105</v>
      </c>
      <c r="CS423" s="3091" t="s">
        <v>106</v>
      </c>
      <c r="CT423" s="3092" t="s">
        <v>511</v>
      </c>
      <c r="CU423" s="3411"/>
      <c r="CY423" s="3091" t="s">
        <v>104</v>
      </c>
      <c r="CZ423" s="3091" t="s">
        <v>105</v>
      </c>
      <c r="DA423" s="3091" t="s">
        <v>106</v>
      </c>
      <c r="DB423" s="3092" t="s">
        <v>511</v>
      </c>
      <c r="DC423" s="3411"/>
      <c r="DG423" s="3091" t="s">
        <v>104</v>
      </c>
      <c r="DH423" s="3091" t="s">
        <v>105</v>
      </c>
      <c r="DI423" s="3091" t="s">
        <v>106</v>
      </c>
      <c r="DJ423" s="3092" t="s">
        <v>511</v>
      </c>
      <c r="DK423" s="3411"/>
      <c r="DO423" s="3091" t="s">
        <v>104</v>
      </c>
      <c r="DP423" s="3091" t="s">
        <v>105</v>
      </c>
      <c r="DQ423" s="3091" t="s">
        <v>106</v>
      </c>
      <c r="DR423" s="3092" t="s">
        <v>511</v>
      </c>
      <c r="DS423" s="3411"/>
      <c r="DW423" s="3091" t="s">
        <v>104</v>
      </c>
      <c r="DX423" s="3091" t="s">
        <v>105</v>
      </c>
      <c r="DY423" s="3091" t="s">
        <v>106</v>
      </c>
      <c r="DZ423" s="3092" t="s">
        <v>511</v>
      </c>
      <c r="EA423" s="3411"/>
      <c r="EE423" s="3091" t="s">
        <v>104</v>
      </c>
      <c r="EF423" s="3091" t="s">
        <v>105</v>
      </c>
      <c r="EG423" s="3091" t="s">
        <v>106</v>
      </c>
      <c r="EH423" s="3092" t="s">
        <v>511</v>
      </c>
      <c r="EI423" s="3411"/>
      <c r="EM423" s="3091" t="s">
        <v>104</v>
      </c>
      <c r="EN423" s="3091" t="s">
        <v>105</v>
      </c>
      <c r="EO423" s="3091" t="s">
        <v>106</v>
      </c>
      <c r="EP423" s="3092" t="s">
        <v>511</v>
      </c>
      <c r="EQ423" s="3411"/>
      <c r="EU423" s="3091" t="s">
        <v>104</v>
      </c>
      <c r="EV423" s="3091" t="s">
        <v>105</v>
      </c>
      <c r="EW423" s="3091" t="s">
        <v>106</v>
      </c>
      <c r="EX423" s="3092" t="s">
        <v>511</v>
      </c>
      <c r="EY423" s="3411"/>
      <c r="FC423" s="3091" t="s">
        <v>104</v>
      </c>
      <c r="FD423" s="3091" t="s">
        <v>105</v>
      </c>
      <c r="FE423" s="3091" t="s">
        <v>106</v>
      </c>
      <c r="FF423" s="3092" t="s">
        <v>511</v>
      </c>
      <c r="FG423" s="3411"/>
      <c r="FK423" s="3091" t="s">
        <v>104</v>
      </c>
      <c r="FL423" s="3091" t="s">
        <v>105</v>
      </c>
      <c r="FM423" s="3091" t="s">
        <v>106</v>
      </c>
      <c r="FN423" s="3092" t="s">
        <v>511</v>
      </c>
      <c r="FO423" s="3411"/>
    </row>
    <row r="424" spans="2:171">
      <c r="C424" s="3086" t="s">
        <v>121</v>
      </c>
      <c r="D424" s="3405"/>
      <c r="E424" s="3234" t="s">
        <v>391</v>
      </c>
      <c r="G424" s="2424">
        <f>G403</f>
        <v>1992381238</v>
      </c>
      <c r="H424" s="2424">
        <f t="shared" ref="H424:J424" si="1576">H403</f>
        <v>0</v>
      </c>
      <c r="I424" s="2424">
        <f t="shared" si="1576"/>
        <v>0</v>
      </c>
      <c r="J424" s="2424">
        <f t="shared" si="1576"/>
        <v>1992381238</v>
      </c>
      <c r="K424" s="3205">
        <f t="shared" ref="K424:K429" si="1577">IF($E424="DIRECT",0,1)</f>
        <v>1</v>
      </c>
      <c r="L424" s="3405"/>
      <c r="N424" s="3406"/>
      <c r="O424" s="2424">
        <f>O403</f>
        <v>1992381238</v>
      </c>
      <c r="P424" s="2424">
        <f t="shared" ref="P424:R424" si="1578">P403</f>
        <v>0</v>
      </c>
      <c r="Q424" s="2424">
        <f t="shared" si="1578"/>
        <v>1992381238</v>
      </c>
      <c r="R424" s="2424">
        <f t="shared" si="1578"/>
        <v>0</v>
      </c>
      <c r="S424" s="3264"/>
      <c r="T424" s="3405"/>
      <c r="V424" s="3406"/>
      <c r="W424" s="2424">
        <f>W403</f>
        <v>1992381238</v>
      </c>
      <c r="X424" s="2424">
        <f t="shared" ref="X424:Z424" si="1579">X403</f>
        <v>0</v>
      </c>
      <c r="Y424" s="2424">
        <f t="shared" si="1579"/>
        <v>1992381238</v>
      </c>
      <c r="Z424" s="2424">
        <f t="shared" si="1579"/>
        <v>0</v>
      </c>
      <c r="AA424" s="3264"/>
      <c r="AB424" s="3405"/>
      <c r="AD424" s="3406"/>
      <c r="AE424" s="2424">
        <f>AE403</f>
        <v>1992381238</v>
      </c>
      <c r="AF424" s="2424">
        <f t="shared" ref="AF424:AH424" si="1580">AF403</f>
        <v>0</v>
      </c>
      <c r="AG424" s="2424">
        <f t="shared" si="1580"/>
        <v>1992381238</v>
      </c>
      <c r="AH424" s="2424">
        <f t="shared" si="1580"/>
        <v>0</v>
      </c>
      <c r="AI424" s="3264"/>
      <c r="AJ424" s="3405"/>
      <c r="AL424" s="3406"/>
      <c r="AM424" s="2424">
        <f>AM403</f>
        <v>1992381238</v>
      </c>
      <c r="AN424" s="2424">
        <f t="shared" ref="AN424:AP424" si="1581">AN403</f>
        <v>0</v>
      </c>
      <c r="AO424" s="2424">
        <f t="shared" si="1581"/>
        <v>1992381238</v>
      </c>
      <c r="AP424" s="2424">
        <f t="shared" si="1581"/>
        <v>0</v>
      </c>
      <c r="AQ424" s="3264"/>
      <c r="AR424" s="3405"/>
      <c r="AT424" s="3406"/>
      <c r="AU424" s="2424">
        <f>AU403</f>
        <v>1992381238</v>
      </c>
      <c r="AV424" s="2424">
        <f t="shared" ref="AV424:AX424" si="1582">AV403</f>
        <v>0</v>
      </c>
      <c r="AW424" s="2424">
        <f t="shared" si="1582"/>
        <v>1992381238</v>
      </c>
      <c r="AX424" s="2424">
        <f t="shared" si="1582"/>
        <v>0</v>
      </c>
      <c r="AY424" s="3264"/>
      <c r="AZ424" s="3405"/>
      <c r="BB424" s="3406"/>
      <c r="BC424" s="2424">
        <f>BC403</f>
        <v>1992381238</v>
      </c>
      <c r="BD424" s="2424">
        <f t="shared" ref="BD424:BF424" si="1583">BD403</f>
        <v>0</v>
      </c>
      <c r="BE424" s="2424">
        <f t="shared" si="1583"/>
        <v>1992381238</v>
      </c>
      <c r="BF424" s="2424">
        <f t="shared" si="1583"/>
        <v>0</v>
      </c>
      <c r="BG424" s="3264"/>
      <c r="BH424" s="3405"/>
      <c r="BJ424" s="3406"/>
      <c r="BK424" s="2424">
        <f>BK403</f>
        <v>1992381238</v>
      </c>
      <c r="BL424" s="2424">
        <f t="shared" ref="BL424:BN424" si="1584">BL403</f>
        <v>0</v>
      </c>
      <c r="BM424" s="2424">
        <f t="shared" si="1584"/>
        <v>1992381238</v>
      </c>
      <c r="BN424" s="2424">
        <f t="shared" si="1584"/>
        <v>0</v>
      </c>
      <c r="BO424" s="3264"/>
      <c r="BP424" s="3405"/>
      <c r="BR424" s="3406"/>
      <c r="BS424" s="2424">
        <f>BS403</f>
        <v>1992381238</v>
      </c>
      <c r="BT424" s="2424">
        <f t="shared" ref="BT424:BV424" si="1585">BT403</f>
        <v>0</v>
      </c>
      <c r="BU424" s="2424">
        <f t="shared" si="1585"/>
        <v>1992381238</v>
      </c>
      <c r="BV424" s="2424">
        <f t="shared" si="1585"/>
        <v>0</v>
      </c>
      <c r="BW424" s="3264"/>
      <c r="BX424" s="3405"/>
      <c r="BZ424" s="3406"/>
      <c r="CA424" s="2424">
        <f>CA403</f>
        <v>1992381238</v>
      </c>
      <c r="CB424" s="2424">
        <f t="shared" ref="CB424:CD424" si="1586">CB403</f>
        <v>0</v>
      </c>
      <c r="CC424" s="2424">
        <f t="shared" si="1586"/>
        <v>1992381238</v>
      </c>
      <c r="CD424" s="2424">
        <f t="shared" si="1586"/>
        <v>0</v>
      </c>
      <c r="CE424" s="3264"/>
      <c r="CF424" s="3405"/>
      <c r="CH424" s="3406"/>
      <c r="CI424" s="2424">
        <f>CI403</f>
        <v>1992381238</v>
      </c>
      <c r="CJ424" s="2424">
        <f t="shared" ref="CJ424:CL424" si="1587">CJ403</f>
        <v>0</v>
      </c>
      <c r="CK424" s="2424">
        <f t="shared" si="1587"/>
        <v>1992381238</v>
      </c>
      <c r="CL424" s="2424">
        <f t="shared" si="1587"/>
        <v>0</v>
      </c>
      <c r="CM424" s="3264"/>
      <c r="CN424" s="3405"/>
      <c r="CP424" s="3406"/>
      <c r="CQ424" s="2424">
        <f>CQ403</f>
        <v>1992381238</v>
      </c>
      <c r="CR424" s="2424">
        <f t="shared" ref="CR424:CT424" si="1588">CR403</f>
        <v>0</v>
      </c>
      <c r="CS424" s="2424">
        <f t="shared" si="1588"/>
        <v>1992381238</v>
      </c>
      <c r="CT424" s="2424">
        <f t="shared" si="1588"/>
        <v>0</v>
      </c>
      <c r="CU424" s="3264"/>
      <c r="CV424" s="3405"/>
      <c r="CX424" s="3406"/>
      <c r="CY424" s="2424">
        <f>CY403</f>
        <v>1992381238</v>
      </c>
      <c r="CZ424" s="2424">
        <f t="shared" ref="CZ424:DB424" si="1589">CZ403</f>
        <v>0</v>
      </c>
      <c r="DA424" s="2424">
        <f t="shared" si="1589"/>
        <v>1992381238</v>
      </c>
      <c r="DB424" s="2424">
        <f t="shared" si="1589"/>
        <v>0</v>
      </c>
      <c r="DC424" s="3264"/>
      <c r="DD424" s="3405"/>
      <c r="DF424" s="3406"/>
      <c r="DG424" s="2424">
        <f>DG403</f>
        <v>1992381238</v>
      </c>
      <c r="DH424" s="2424">
        <f t="shared" ref="DH424:DJ424" si="1590">DH403</f>
        <v>0</v>
      </c>
      <c r="DI424" s="2424">
        <f t="shared" si="1590"/>
        <v>1992381238</v>
      </c>
      <c r="DJ424" s="2424">
        <f t="shared" si="1590"/>
        <v>0</v>
      </c>
      <c r="DK424" s="3264"/>
      <c r="DL424" s="3405"/>
      <c r="DN424" s="3406"/>
      <c r="DO424" s="2424">
        <f>DO403</f>
        <v>1992381238</v>
      </c>
      <c r="DP424" s="2424">
        <f t="shared" ref="DP424:DR424" si="1591">DP403</f>
        <v>0</v>
      </c>
      <c r="DQ424" s="2424">
        <f t="shared" si="1591"/>
        <v>1992381238</v>
      </c>
      <c r="DR424" s="2424">
        <f t="shared" si="1591"/>
        <v>0</v>
      </c>
      <c r="DS424" s="3264"/>
      <c r="DT424" s="3405"/>
      <c r="DV424" s="3406"/>
      <c r="DW424" s="2424">
        <f>DW403</f>
        <v>1992381238</v>
      </c>
      <c r="DX424" s="2424">
        <f t="shared" ref="DX424:DZ424" si="1592">DX403</f>
        <v>0</v>
      </c>
      <c r="DY424" s="2424">
        <f t="shared" si="1592"/>
        <v>1992381238</v>
      </c>
      <c r="DZ424" s="2424">
        <f t="shared" si="1592"/>
        <v>0</v>
      </c>
      <c r="EA424" s="3264"/>
      <c r="EB424" s="3405"/>
      <c r="ED424" s="3406"/>
      <c r="EE424" s="2424">
        <f>EE403</f>
        <v>1992381238</v>
      </c>
      <c r="EF424" s="2424">
        <f t="shared" ref="EF424:EH424" si="1593">EF403</f>
        <v>0</v>
      </c>
      <c r="EG424" s="2424">
        <f t="shared" si="1593"/>
        <v>1992381238</v>
      </c>
      <c r="EH424" s="2424">
        <f t="shared" si="1593"/>
        <v>0</v>
      </c>
      <c r="EI424" s="3264"/>
      <c r="EJ424" s="3405"/>
      <c r="EL424" s="3406"/>
      <c r="EM424" s="2424">
        <f>EM403</f>
        <v>1992381238</v>
      </c>
      <c r="EN424" s="2424">
        <f t="shared" ref="EN424:EP424" si="1594">EN403</f>
        <v>0</v>
      </c>
      <c r="EO424" s="2424">
        <f t="shared" si="1594"/>
        <v>1992381238</v>
      </c>
      <c r="EP424" s="2424">
        <f t="shared" si="1594"/>
        <v>0</v>
      </c>
      <c r="EQ424" s="3264"/>
      <c r="ER424" s="3405"/>
      <c r="ET424" s="3406"/>
      <c r="EU424" s="2424">
        <f>EU403</f>
        <v>1992381238</v>
      </c>
      <c r="EV424" s="2424">
        <f t="shared" ref="EV424:EX424" si="1595">EV403</f>
        <v>0</v>
      </c>
      <c r="EW424" s="2424">
        <f t="shared" si="1595"/>
        <v>1992381238</v>
      </c>
      <c r="EX424" s="2424">
        <f t="shared" si="1595"/>
        <v>0</v>
      </c>
      <c r="EY424" s="3264"/>
      <c r="EZ424" s="3405"/>
      <c r="FB424" s="3406"/>
      <c r="FC424" s="2424">
        <f>FC403</f>
        <v>1992381238</v>
      </c>
      <c r="FD424" s="2424">
        <f t="shared" ref="FD424:FF424" si="1596">FD403</f>
        <v>0</v>
      </c>
      <c r="FE424" s="2424">
        <f t="shared" si="1596"/>
        <v>1992381238</v>
      </c>
      <c r="FF424" s="2424">
        <f t="shared" si="1596"/>
        <v>0</v>
      </c>
      <c r="FG424" s="3264"/>
      <c r="FH424" s="3405"/>
      <c r="FJ424" s="3406"/>
      <c r="FK424" s="2424">
        <f>FK403</f>
        <v>1992381238</v>
      </c>
      <c r="FL424" s="2424">
        <f t="shared" ref="FL424:FN424" si="1597">FL403</f>
        <v>0</v>
      </c>
      <c r="FM424" s="2424">
        <f t="shared" si="1597"/>
        <v>1992381238</v>
      </c>
      <c r="FN424" s="2424">
        <f t="shared" si="1597"/>
        <v>0</v>
      </c>
      <c r="FO424" s="3264"/>
    </row>
    <row r="425" spans="2:171">
      <c r="C425" s="3086" t="s">
        <v>122</v>
      </c>
      <c r="D425" s="3405"/>
      <c r="E425" s="3234" t="s">
        <v>390</v>
      </c>
      <c r="G425" s="2424">
        <f>G404</f>
        <v>5283922742</v>
      </c>
      <c r="H425" s="2424">
        <f t="shared" ref="H425:J425" si="1598">H404</f>
        <v>0</v>
      </c>
      <c r="I425" s="2424">
        <f t="shared" si="1598"/>
        <v>0</v>
      </c>
      <c r="J425" s="2424">
        <f t="shared" si="1598"/>
        <v>5283922742</v>
      </c>
      <c r="K425" s="3205">
        <f t="shared" si="1577"/>
        <v>1</v>
      </c>
      <c r="L425" s="3405"/>
      <c r="N425" s="3406"/>
      <c r="O425" s="2424">
        <f>O404</f>
        <v>5283922742</v>
      </c>
      <c r="P425" s="2424">
        <f t="shared" ref="P425:R425" si="1599">P404</f>
        <v>0</v>
      </c>
      <c r="Q425" s="2424">
        <f t="shared" si="1599"/>
        <v>0</v>
      </c>
      <c r="R425" s="2424">
        <f t="shared" si="1599"/>
        <v>5283922742</v>
      </c>
      <c r="S425" s="3264"/>
      <c r="T425" s="3405"/>
      <c r="V425" s="3406"/>
      <c r="W425" s="2424">
        <f>W404</f>
        <v>5283922742</v>
      </c>
      <c r="X425" s="2424">
        <f t="shared" ref="X425:Z425" si="1600">X404</f>
        <v>0</v>
      </c>
      <c r="Y425" s="2424">
        <f t="shared" si="1600"/>
        <v>0</v>
      </c>
      <c r="Z425" s="2424">
        <f t="shared" si="1600"/>
        <v>5283922742</v>
      </c>
      <c r="AA425" s="3264"/>
      <c r="AB425" s="3405"/>
      <c r="AD425" s="3406"/>
      <c r="AE425" s="2424">
        <f>AE404</f>
        <v>5283922742</v>
      </c>
      <c r="AF425" s="2424">
        <f t="shared" ref="AF425:AH425" si="1601">AF404</f>
        <v>0</v>
      </c>
      <c r="AG425" s="2424">
        <f t="shared" si="1601"/>
        <v>0</v>
      </c>
      <c r="AH425" s="2424">
        <f t="shared" si="1601"/>
        <v>5283922742</v>
      </c>
      <c r="AI425" s="3264"/>
      <c r="AJ425" s="3405"/>
      <c r="AL425" s="3406"/>
      <c r="AM425" s="2424">
        <f>AM404</f>
        <v>5283922742</v>
      </c>
      <c r="AN425" s="2424">
        <f t="shared" ref="AN425:AP425" si="1602">AN404</f>
        <v>0</v>
      </c>
      <c r="AO425" s="2424">
        <f t="shared" si="1602"/>
        <v>0</v>
      </c>
      <c r="AP425" s="2424">
        <f t="shared" si="1602"/>
        <v>5283922742</v>
      </c>
      <c r="AQ425" s="3264"/>
      <c r="AR425" s="3405"/>
      <c r="AT425" s="3406"/>
      <c r="AU425" s="2424">
        <f>AU404</f>
        <v>5283922742</v>
      </c>
      <c r="AV425" s="2424">
        <f t="shared" ref="AV425:AX425" si="1603">AV404</f>
        <v>0</v>
      </c>
      <c r="AW425" s="2424">
        <f t="shared" si="1603"/>
        <v>0</v>
      </c>
      <c r="AX425" s="2424">
        <f t="shared" si="1603"/>
        <v>5283922742</v>
      </c>
      <c r="AY425" s="3264"/>
      <c r="AZ425" s="3405"/>
      <c r="BB425" s="3406"/>
      <c r="BC425" s="2424">
        <f>BC404</f>
        <v>5283922742</v>
      </c>
      <c r="BD425" s="2424">
        <f t="shared" ref="BD425:BF425" si="1604">BD404</f>
        <v>0</v>
      </c>
      <c r="BE425" s="2424">
        <f t="shared" si="1604"/>
        <v>0</v>
      </c>
      <c r="BF425" s="2424">
        <f t="shared" si="1604"/>
        <v>5283922742</v>
      </c>
      <c r="BG425" s="3264"/>
      <c r="BH425" s="3405"/>
      <c r="BJ425" s="3406"/>
      <c r="BK425" s="2424">
        <f>BK404</f>
        <v>5283922742</v>
      </c>
      <c r="BL425" s="2424">
        <f t="shared" ref="BL425:BN425" si="1605">BL404</f>
        <v>0</v>
      </c>
      <c r="BM425" s="2424">
        <f t="shared" si="1605"/>
        <v>0</v>
      </c>
      <c r="BN425" s="2424">
        <f t="shared" si="1605"/>
        <v>5283922742</v>
      </c>
      <c r="BO425" s="3264"/>
      <c r="BP425" s="3405"/>
      <c r="BR425" s="3406"/>
      <c r="BS425" s="2424">
        <f>BS404</f>
        <v>5283922742</v>
      </c>
      <c r="BT425" s="2424">
        <f t="shared" ref="BT425:BV425" si="1606">BT404</f>
        <v>0</v>
      </c>
      <c r="BU425" s="2424">
        <f t="shared" si="1606"/>
        <v>0</v>
      </c>
      <c r="BV425" s="2424">
        <f t="shared" si="1606"/>
        <v>5283922742</v>
      </c>
      <c r="BW425" s="3264"/>
      <c r="BX425" s="3405"/>
      <c r="BZ425" s="3406"/>
      <c r="CA425" s="2424">
        <f>CA404</f>
        <v>5283922742</v>
      </c>
      <c r="CB425" s="2424">
        <f t="shared" ref="CB425:CD425" si="1607">CB404</f>
        <v>0</v>
      </c>
      <c r="CC425" s="2424">
        <f t="shared" si="1607"/>
        <v>0</v>
      </c>
      <c r="CD425" s="2424">
        <f t="shared" si="1607"/>
        <v>5283922742</v>
      </c>
      <c r="CE425" s="3264"/>
      <c r="CF425" s="3405"/>
      <c r="CH425" s="3406"/>
      <c r="CI425" s="2424">
        <f>CI404</f>
        <v>5283922742</v>
      </c>
      <c r="CJ425" s="2424">
        <f t="shared" ref="CJ425:CL425" si="1608">CJ404</f>
        <v>0</v>
      </c>
      <c r="CK425" s="2424">
        <f t="shared" si="1608"/>
        <v>0</v>
      </c>
      <c r="CL425" s="2424">
        <f t="shared" si="1608"/>
        <v>5283922742</v>
      </c>
      <c r="CM425" s="3264"/>
      <c r="CN425" s="3405"/>
      <c r="CP425" s="3406"/>
      <c r="CQ425" s="2424">
        <f>CQ404</f>
        <v>5283922742</v>
      </c>
      <c r="CR425" s="2424">
        <f t="shared" ref="CR425:CT425" si="1609">CR404</f>
        <v>0</v>
      </c>
      <c r="CS425" s="2424">
        <f t="shared" si="1609"/>
        <v>0</v>
      </c>
      <c r="CT425" s="2424">
        <f t="shared" si="1609"/>
        <v>5283922742</v>
      </c>
      <c r="CU425" s="3264"/>
      <c r="CV425" s="3405"/>
      <c r="CX425" s="3406"/>
      <c r="CY425" s="2424">
        <f>CY404</f>
        <v>5283922742</v>
      </c>
      <c r="CZ425" s="2424">
        <f t="shared" ref="CZ425:DB425" si="1610">CZ404</f>
        <v>0</v>
      </c>
      <c r="DA425" s="2424">
        <f t="shared" si="1610"/>
        <v>0</v>
      </c>
      <c r="DB425" s="2424">
        <f t="shared" si="1610"/>
        <v>5283922742</v>
      </c>
      <c r="DC425" s="3264"/>
      <c r="DD425" s="3405"/>
      <c r="DF425" s="3406"/>
      <c r="DG425" s="2424">
        <f>DG404</f>
        <v>5283922742</v>
      </c>
      <c r="DH425" s="2424">
        <f t="shared" ref="DH425:DJ425" si="1611">DH404</f>
        <v>0</v>
      </c>
      <c r="DI425" s="2424">
        <f t="shared" si="1611"/>
        <v>0</v>
      </c>
      <c r="DJ425" s="2424">
        <f t="shared" si="1611"/>
        <v>5283922742</v>
      </c>
      <c r="DK425" s="3264"/>
      <c r="DL425" s="3405"/>
      <c r="DN425" s="3406"/>
      <c r="DO425" s="2424">
        <f>DO404</f>
        <v>5283922742</v>
      </c>
      <c r="DP425" s="2424">
        <f t="shared" ref="DP425:DR425" si="1612">DP404</f>
        <v>0</v>
      </c>
      <c r="DQ425" s="2424">
        <f t="shared" si="1612"/>
        <v>0</v>
      </c>
      <c r="DR425" s="2424">
        <f t="shared" si="1612"/>
        <v>5283922742</v>
      </c>
      <c r="DS425" s="3264"/>
      <c r="DT425" s="3405"/>
      <c r="DV425" s="3406"/>
      <c r="DW425" s="2424">
        <f>DW404</f>
        <v>5283922742</v>
      </c>
      <c r="DX425" s="2424">
        <f t="shared" ref="DX425:DZ425" si="1613">DX404</f>
        <v>0</v>
      </c>
      <c r="DY425" s="2424">
        <f t="shared" si="1613"/>
        <v>0</v>
      </c>
      <c r="DZ425" s="2424">
        <f t="shared" si="1613"/>
        <v>5283922742</v>
      </c>
      <c r="EA425" s="3264"/>
      <c r="EB425" s="3405"/>
      <c r="ED425" s="3406"/>
      <c r="EE425" s="2424">
        <f>EE404</f>
        <v>5283922742</v>
      </c>
      <c r="EF425" s="2424">
        <f t="shared" ref="EF425:EH425" si="1614">EF404</f>
        <v>0</v>
      </c>
      <c r="EG425" s="2424">
        <f t="shared" si="1614"/>
        <v>0</v>
      </c>
      <c r="EH425" s="2424">
        <f t="shared" si="1614"/>
        <v>5283922742</v>
      </c>
      <c r="EI425" s="3264"/>
      <c r="EJ425" s="3405"/>
      <c r="EL425" s="3406"/>
      <c r="EM425" s="2424">
        <f>EM404</f>
        <v>5283922742</v>
      </c>
      <c r="EN425" s="2424">
        <f t="shared" ref="EN425:EP425" si="1615">EN404</f>
        <v>0</v>
      </c>
      <c r="EO425" s="2424">
        <f t="shared" si="1615"/>
        <v>0</v>
      </c>
      <c r="EP425" s="2424">
        <f t="shared" si="1615"/>
        <v>5283922742</v>
      </c>
      <c r="EQ425" s="3264"/>
      <c r="ER425" s="3405"/>
      <c r="ET425" s="3406"/>
      <c r="EU425" s="2424">
        <f>EU404</f>
        <v>5283922742</v>
      </c>
      <c r="EV425" s="2424">
        <f t="shared" ref="EV425:EX425" si="1616">EV404</f>
        <v>0</v>
      </c>
      <c r="EW425" s="2424">
        <f t="shared" si="1616"/>
        <v>0</v>
      </c>
      <c r="EX425" s="2424">
        <f t="shared" si="1616"/>
        <v>5283922742</v>
      </c>
      <c r="EY425" s="3264"/>
      <c r="EZ425" s="3405"/>
      <c r="FB425" s="3406"/>
      <c r="FC425" s="2424">
        <f>FC404</f>
        <v>5283922742</v>
      </c>
      <c r="FD425" s="2424">
        <f t="shared" ref="FD425:FF425" si="1617">FD404</f>
        <v>0</v>
      </c>
      <c r="FE425" s="2424">
        <f t="shared" si="1617"/>
        <v>0</v>
      </c>
      <c r="FF425" s="2424">
        <f t="shared" si="1617"/>
        <v>5283922742</v>
      </c>
      <c r="FG425" s="3264"/>
      <c r="FH425" s="3405"/>
      <c r="FJ425" s="3406"/>
      <c r="FK425" s="2424">
        <f>FK404</f>
        <v>5283922742</v>
      </c>
      <c r="FL425" s="2424">
        <f t="shared" ref="FL425:FN425" si="1618">FL404</f>
        <v>0</v>
      </c>
      <c r="FM425" s="2424">
        <f t="shared" si="1618"/>
        <v>0</v>
      </c>
      <c r="FN425" s="2424">
        <f t="shared" si="1618"/>
        <v>5283922742</v>
      </c>
      <c r="FO425" s="3264"/>
    </row>
    <row r="426" spans="2:171">
      <c r="C426" s="3086" t="s">
        <v>527</v>
      </c>
      <c r="D426" s="3405"/>
      <c r="E426" s="3234" t="str">
        <f>E16</f>
        <v>DIST</v>
      </c>
      <c r="G426" s="2424">
        <f>I410+J410</f>
        <v>114202</v>
      </c>
      <c r="H426" s="2424">
        <v>0</v>
      </c>
      <c r="I426" s="2424">
        <f>I410</f>
        <v>0</v>
      </c>
      <c r="J426" s="2424">
        <f>J410</f>
        <v>114202</v>
      </c>
      <c r="K426" s="3205">
        <f t="shared" si="1577"/>
        <v>1</v>
      </c>
      <c r="L426" s="3405"/>
      <c r="N426" s="3406"/>
      <c r="O426" s="2424">
        <f>Q410+R410</f>
        <v>114202</v>
      </c>
      <c r="P426" s="2424">
        <v>0</v>
      </c>
      <c r="Q426" s="2424">
        <f>Q410</f>
        <v>0</v>
      </c>
      <c r="R426" s="2424">
        <f>R410</f>
        <v>114202</v>
      </c>
      <c r="S426" s="3264"/>
      <c r="T426" s="3405"/>
      <c r="V426" s="3406"/>
      <c r="W426" s="2424">
        <f>Y410+Z410</f>
        <v>114202</v>
      </c>
      <c r="X426" s="2424">
        <v>0</v>
      </c>
      <c r="Y426" s="2424">
        <f>Y410</f>
        <v>0</v>
      </c>
      <c r="Z426" s="2424">
        <f>Z410</f>
        <v>114202</v>
      </c>
      <c r="AA426" s="3264"/>
      <c r="AB426" s="3405"/>
      <c r="AD426" s="3406"/>
      <c r="AE426" s="2424">
        <f>AG410+AH410</f>
        <v>114202</v>
      </c>
      <c r="AF426" s="2424">
        <v>0</v>
      </c>
      <c r="AG426" s="2424">
        <f>AG410</f>
        <v>0</v>
      </c>
      <c r="AH426" s="2424">
        <f>AH410</f>
        <v>114202</v>
      </c>
      <c r="AI426" s="3264"/>
      <c r="AJ426" s="3405"/>
      <c r="AL426" s="3406"/>
      <c r="AM426" s="2424">
        <f>AO410+AP410</f>
        <v>114202</v>
      </c>
      <c r="AN426" s="2424">
        <v>0</v>
      </c>
      <c r="AO426" s="2424">
        <f>AO410</f>
        <v>0</v>
      </c>
      <c r="AP426" s="2424">
        <f>AP410</f>
        <v>114202</v>
      </c>
      <c r="AQ426" s="3264"/>
      <c r="AR426" s="3405"/>
      <c r="AT426" s="3406"/>
      <c r="AU426" s="2424">
        <f>AW410+AX410</f>
        <v>114202</v>
      </c>
      <c r="AV426" s="2424">
        <v>0</v>
      </c>
      <c r="AW426" s="2424">
        <f>AW410</f>
        <v>0</v>
      </c>
      <c r="AX426" s="2424">
        <f>AX410</f>
        <v>114202</v>
      </c>
      <c r="AY426" s="3264"/>
      <c r="AZ426" s="3405"/>
      <c r="BB426" s="3406"/>
      <c r="BC426" s="2424">
        <f>BE410+BF410</f>
        <v>114202</v>
      </c>
      <c r="BD426" s="2424">
        <v>0</v>
      </c>
      <c r="BE426" s="2424">
        <f>BE410</f>
        <v>0</v>
      </c>
      <c r="BF426" s="2424">
        <f>BF410</f>
        <v>114202</v>
      </c>
      <c r="BG426" s="3264"/>
      <c r="BH426" s="3405"/>
      <c r="BJ426" s="3406"/>
      <c r="BK426" s="2424">
        <f>BM410+BN410</f>
        <v>114202</v>
      </c>
      <c r="BL426" s="2424">
        <v>0</v>
      </c>
      <c r="BM426" s="2424">
        <f>BM410</f>
        <v>0</v>
      </c>
      <c r="BN426" s="2424">
        <f>BN410</f>
        <v>114202</v>
      </c>
      <c r="BO426" s="3264"/>
      <c r="BP426" s="3405"/>
      <c r="BR426" s="3406"/>
      <c r="BS426" s="2424">
        <f>BU410+BV410</f>
        <v>114202</v>
      </c>
      <c r="BT426" s="2424">
        <v>0</v>
      </c>
      <c r="BU426" s="2424">
        <f>BU410</f>
        <v>0</v>
      </c>
      <c r="BV426" s="2424">
        <f>BV410</f>
        <v>114202</v>
      </c>
      <c r="BW426" s="3264"/>
      <c r="BX426" s="3405"/>
      <c r="BZ426" s="3406"/>
      <c r="CA426" s="2424">
        <f>CC410+CD410</f>
        <v>114202</v>
      </c>
      <c r="CB426" s="2424">
        <v>0</v>
      </c>
      <c r="CC426" s="2424">
        <f>CC410</f>
        <v>0</v>
      </c>
      <c r="CD426" s="2424">
        <f>CD410</f>
        <v>114202</v>
      </c>
      <c r="CE426" s="3264"/>
      <c r="CF426" s="3405"/>
      <c r="CH426" s="3406"/>
      <c r="CI426" s="2424">
        <f>CK410+CL410</f>
        <v>114202</v>
      </c>
      <c r="CJ426" s="2424">
        <v>0</v>
      </c>
      <c r="CK426" s="2424">
        <f>CK410</f>
        <v>0</v>
      </c>
      <c r="CL426" s="2424">
        <f>CL410</f>
        <v>114202</v>
      </c>
      <c r="CM426" s="3264"/>
      <c r="CN426" s="3405"/>
      <c r="CP426" s="3406"/>
      <c r="CQ426" s="2424">
        <f>CS410+CT410</f>
        <v>114202</v>
      </c>
      <c r="CR426" s="2424">
        <v>0</v>
      </c>
      <c r="CS426" s="2424">
        <f>CS410</f>
        <v>0</v>
      </c>
      <c r="CT426" s="2424">
        <f>CT410</f>
        <v>114202</v>
      </c>
      <c r="CU426" s="3264"/>
      <c r="CV426" s="3405"/>
      <c r="CX426" s="3406"/>
      <c r="CY426" s="2424">
        <f>DA410+DB410</f>
        <v>114202</v>
      </c>
      <c r="CZ426" s="2424">
        <v>0</v>
      </c>
      <c r="DA426" s="2424">
        <f>DA410</f>
        <v>0</v>
      </c>
      <c r="DB426" s="2424">
        <f>DB410</f>
        <v>114202</v>
      </c>
      <c r="DC426" s="3264"/>
      <c r="DD426" s="3405"/>
      <c r="DF426" s="3406"/>
      <c r="DG426" s="2424">
        <f>DI410+DJ410</f>
        <v>114202</v>
      </c>
      <c r="DH426" s="2424">
        <v>0</v>
      </c>
      <c r="DI426" s="2424">
        <f>DI410</f>
        <v>0</v>
      </c>
      <c r="DJ426" s="2424">
        <f>DJ410</f>
        <v>114202</v>
      </c>
      <c r="DK426" s="3264"/>
      <c r="DL426" s="3405"/>
      <c r="DN426" s="3406"/>
      <c r="DO426" s="2424">
        <f>DQ410+DR410</f>
        <v>114202</v>
      </c>
      <c r="DP426" s="2424">
        <v>0</v>
      </c>
      <c r="DQ426" s="2424">
        <f>DQ410</f>
        <v>0</v>
      </c>
      <c r="DR426" s="2424">
        <f>DR410</f>
        <v>114202</v>
      </c>
      <c r="DS426" s="3264"/>
      <c r="DT426" s="3405"/>
      <c r="DV426" s="3406"/>
      <c r="DW426" s="2424">
        <f>DY410+DZ410</f>
        <v>114202</v>
      </c>
      <c r="DX426" s="2424">
        <v>0</v>
      </c>
      <c r="DY426" s="2424">
        <f>DY410</f>
        <v>0</v>
      </c>
      <c r="DZ426" s="2424">
        <f>DZ410</f>
        <v>114202</v>
      </c>
      <c r="EA426" s="3264"/>
      <c r="EB426" s="3405"/>
      <c r="ED426" s="3406"/>
      <c r="EE426" s="2424">
        <f>EG410+EH410</f>
        <v>114202</v>
      </c>
      <c r="EF426" s="2424">
        <v>0</v>
      </c>
      <c r="EG426" s="2424">
        <f>EG410</f>
        <v>0</v>
      </c>
      <c r="EH426" s="2424">
        <f>EH410</f>
        <v>114202</v>
      </c>
      <c r="EI426" s="3264"/>
      <c r="EJ426" s="3405"/>
      <c r="EL426" s="3406"/>
      <c r="EM426" s="2424">
        <f>EO410+EP410</f>
        <v>114202</v>
      </c>
      <c r="EN426" s="2424">
        <v>0</v>
      </c>
      <c r="EO426" s="2424">
        <f>EO410</f>
        <v>0</v>
      </c>
      <c r="EP426" s="2424">
        <f>EP410</f>
        <v>114202</v>
      </c>
      <c r="EQ426" s="3264"/>
      <c r="ER426" s="3405"/>
      <c r="ET426" s="3406"/>
      <c r="EU426" s="2424">
        <f>EW410+EX410</f>
        <v>114202</v>
      </c>
      <c r="EV426" s="2424">
        <v>0</v>
      </c>
      <c r="EW426" s="2424">
        <f>EW410</f>
        <v>0</v>
      </c>
      <c r="EX426" s="2424">
        <f>EX410</f>
        <v>114202</v>
      </c>
      <c r="EY426" s="3264"/>
      <c r="EZ426" s="3405"/>
      <c r="FB426" s="3406"/>
      <c r="FC426" s="2424">
        <f>FE410+FF410</f>
        <v>114202</v>
      </c>
      <c r="FD426" s="2424">
        <v>0</v>
      </c>
      <c r="FE426" s="2424">
        <f>FE410</f>
        <v>0</v>
      </c>
      <c r="FF426" s="2424">
        <f>FF410</f>
        <v>114202</v>
      </c>
      <c r="FG426" s="3264"/>
      <c r="FH426" s="3405"/>
      <c r="FJ426" s="3406"/>
      <c r="FK426" s="2424">
        <f>FM410+FN410</f>
        <v>114202</v>
      </c>
      <c r="FL426" s="2424">
        <v>0</v>
      </c>
      <c r="FM426" s="2424">
        <f>FM410</f>
        <v>0</v>
      </c>
      <c r="FN426" s="2424">
        <f>FN410</f>
        <v>114202</v>
      </c>
      <c r="FO426" s="3264"/>
    </row>
    <row r="427" spans="2:171">
      <c r="C427" s="3086" t="s">
        <v>528</v>
      </c>
      <c r="D427" s="3405"/>
      <c r="E427" s="3234" t="str">
        <f t="shared" ref="E427:E428" si="1619">E17</f>
        <v>DIRECT</v>
      </c>
      <c r="G427" s="2424">
        <f t="shared" ref="G427:G428" si="1620">I411+J411</f>
        <v>24379345.720330127</v>
      </c>
      <c r="H427" s="2424">
        <v>0</v>
      </c>
      <c r="I427" s="2424">
        <f t="shared" ref="I427:J427" si="1621">I411</f>
        <v>0</v>
      </c>
      <c r="J427" s="2424">
        <f t="shared" si="1621"/>
        <v>24379345.720330127</v>
      </c>
      <c r="K427" s="3205">
        <f t="shared" si="1577"/>
        <v>0</v>
      </c>
      <c r="L427" s="3405"/>
      <c r="N427" s="3406"/>
      <c r="O427" s="2424">
        <f t="shared" ref="O427:O428" si="1622">Q411+R411</f>
        <v>24379346.520330139</v>
      </c>
      <c r="P427" s="2424">
        <v>0</v>
      </c>
      <c r="Q427" s="2424">
        <f t="shared" ref="Q427:R427" si="1623">Q411</f>
        <v>0</v>
      </c>
      <c r="R427" s="2424">
        <f t="shared" si="1623"/>
        <v>24379346.520330139</v>
      </c>
      <c r="S427" s="3264"/>
      <c r="T427" s="3405"/>
      <c r="V427" s="3406"/>
      <c r="W427" s="2424">
        <f t="shared" ref="W427:W428" si="1624">Y411+Z411</f>
        <v>24379346.520330139</v>
      </c>
      <c r="X427" s="2424">
        <v>0</v>
      </c>
      <c r="Y427" s="2424">
        <f t="shared" ref="Y427:Z427" si="1625">Y411</f>
        <v>0</v>
      </c>
      <c r="Z427" s="2424">
        <f t="shared" si="1625"/>
        <v>24379346.520330139</v>
      </c>
      <c r="AA427" s="3264"/>
      <c r="AB427" s="3405"/>
      <c r="AD427" s="3406"/>
      <c r="AE427" s="2424">
        <f t="shared" ref="AE427:AE428" si="1626">AG411+AH411</f>
        <v>24379346.520330139</v>
      </c>
      <c r="AF427" s="2424">
        <v>0</v>
      </c>
      <c r="AG427" s="2424">
        <f t="shared" ref="AG427:AH427" si="1627">AG411</f>
        <v>0</v>
      </c>
      <c r="AH427" s="2424">
        <f t="shared" si="1627"/>
        <v>24379346.520330139</v>
      </c>
      <c r="AI427" s="3264"/>
      <c r="AJ427" s="3405"/>
      <c r="AL427" s="3406"/>
      <c r="AM427" s="2424">
        <f t="shared" ref="AM427:AM428" si="1628">AO411+AP411</f>
        <v>24379346.520330139</v>
      </c>
      <c r="AN427" s="2424">
        <v>0</v>
      </c>
      <c r="AO427" s="2424">
        <f t="shared" ref="AO427:AP427" si="1629">AO411</f>
        <v>0</v>
      </c>
      <c r="AP427" s="2424">
        <f t="shared" si="1629"/>
        <v>24379346.520330139</v>
      </c>
      <c r="AQ427" s="3264"/>
      <c r="AR427" s="3405"/>
      <c r="AT427" s="3406"/>
      <c r="AU427" s="2424">
        <f t="shared" ref="AU427:AU428" si="1630">AW411+AX411</f>
        <v>24379346.520330139</v>
      </c>
      <c r="AV427" s="2424">
        <v>0</v>
      </c>
      <c r="AW427" s="2424">
        <f t="shared" ref="AW427:AX427" si="1631">AW411</f>
        <v>0</v>
      </c>
      <c r="AX427" s="2424">
        <f t="shared" si="1631"/>
        <v>24379346.520330139</v>
      </c>
      <c r="AY427" s="3264"/>
      <c r="AZ427" s="3405"/>
      <c r="BB427" s="3406"/>
      <c r="BC427" s="2424">
        <f t="shared" ref="BC427:BC428" si="1632">BE411+BF411</f>
        <v>24379346.520330139</v>
      </c>
      <c r="BD427" s="2424">
        <v>0</v>
      </c>
      <c r="BE427" s="2424">
        <f t="shared" ref="BE427:BF427" si="1633">BE411</f>
        <v>0</v>
      </c>
      <c r="BF427" s="2424">
        <f t="shared" si="1633"/>
        <v>24379346.520330139</v>
      </c>
      <c r="BG427" s="3264"/>
      <c r="BH427" s="3405"/>
      <c r="BJ427" s="3406"/>
      <c r="BK427" s="2424">
        <f t="shared" ref="BK427:BK428" si="1634">BM411+BN411</f>
        <v>24379346.520330139</v>
      </c>
      <c r="BL427" s="2424">
        <v>0</v>
      </c>
      <c r="BM427" s="2424">
        <f t="shared" ref="BM427:BN427" si="1635">BM411</f>
        <v>0</v>
      </c>
      <c r="BN427" s="2424">
        <f t="shared" si="1635"/>
        <v>24379346.520330139</v>
      </c>
      <c r="BO427" s="3264"/>
      <c r="BP427" s="3405"/>
      <c r="BR427" s="3406"/>
      <c r="BS427" s="2424">
        <f t="shared" ref="BS427:BS428" si="1636">BU411+BV411</f>
        <v>24379346.520330139</v>
      </c>
      <c r="BT427" s="2424">
        <v>0</v>
      </c>
      <c r="BU427" s="2424">
        <f t="shared" ref="BU427:BV427" si="1637">BU411</f>
        <v>0</v>
      </c>
      <c r="BV427" s="2424">
        <f t="shared" si="1637"/>
        <v>24379346.520330139</v>
      </c>
      <c r="BW427" s="3264"/>
      <c r="BX427" s="3405"/>
      <c r="BZ427" s="3406"/>
      <c r="CA427" s="2424">
        <f t="shared" ref="CA427:CA428" si="1638">CC411+CD411</f>
        <v>24379346.520330139</v>
      </c>
      <c r="CB427" s="2424">
        <v>0</v>
      </c>
      <c r="CC427" s="2424">
        <f t="shared" ref="CC427:CD427" si="1639">CC411</f>
        <v>0</v>
      </c>
      <c r="CD427" s="2424">
        <f t="shared" si="1639"/>
        <v>24379346.520330139</v>
      </c>
      <c r="CE427" s="3264"/>
      <c r="CF427" s="3405"/>
      <c r="CH427" s="3406"/>
      <c r="CI427" s="2424">
        <f t="shared" ref="CI427:CI428" si="1640">CK411+CL411</f>
        <v>24379346.520330139</v>
      </c>
      <c r="CJ427" s="2424">
        <v>0</v>
      </c>
      <c r="CK427" s="2424">
        <f t="shared" ref="CK427:CL427" si="1641">CK411</f>
        <v>0</v>
      </c>
      <c r="CL427" s="2424">
        <f t="shared" si="1641"/>
        <v>24379346.520330139</v>
      </c>
      <c r="CM427" s="3264"/>
      <c r="CN427" s="3405"/>
      <c r="CP427" s="3406"/>
      <c r="CQ427" s="2424">
        <f t="shared" ref="CQ427:CQ428" si="1642">CS411+CT411</f>
        <v>24379346.520330139</v>
      </c>
      <c r="CR427" s="2424">
        <v>0</v>
      </c>
      <c r="CS427" s="2424">
        <f t="shared" ref="CS427:CT427" si="1643">CS411</f>
        <v>0</v>
      </c>
      <c r="CT427" s="2424">
        <f t="shared" si="1643"/>
        <v>24379346.520330139</v>
      </c>
      <c r="CU427" s="3264"/>
      <c r="CV427" s="3405"/>
      <c r="CX427" s="3406"/>
      <c r="CY427" s="2424">
        <f t="shared" ref="CY427:CY428" si="1644">DA411+DB411</f>
        <v>24379346.520330139</v>
      </c>
      <c r="CZ427" s="2424">
        <v>0</v>
      </c>
      <c r="DA427" s="2424">
        <f t="shared" ref="DA427:DB427" si="1645">DA411</f>
        <v>0</v>
      </c>
      <c r="DB427" s="2424">
        <f t="shared" si="1645"/>
        <v>24379346.520330139</v>
      </c>
      <c r="DC427" s="3264"/>
      <c r="DD427" s="3405"/>
      <c r="DF427" s="3406"/>
      <c r="DG427" s="2424">
        <f t="shared" ref="DG427:DG428" si="1646">DI411+DJ411</f>
        <v>24379346.520330139</v>
      </c>
      <c r="DH427" s="2424">
        <v>0</v>
      </c>
      <c r="DI427" s="2424">
        <f t="shared" ref="DI427:DJ427" si="1647">DI411</f>
        <v>0</v>
      </c>
      <c r="DJ427" s="2424">
        <f t="shared" si="1647"/>
        <v>24379346.520330139</v>
      </c>
      <c r="DK427" s="3264"/>
      <c r="DL427" s="3405"/>
      <c r="DN427" s="3406"/>
      <c r="DO427" s="2424">
        <f t="shared" ref="DO427:DO428" si="1648">DQ411+DR411</f>
        <v>24379346.520330139</v>
      </c>
      <c r="DP427" s="2424">
        <v>0</v>
      </c>
      <c r="DQ427" s="2424">
        <f t="shared" ref="DQ427:DR427" si="1649">DQ411</f>
        <v>0</v>
      </c>
      <c r="DR427" s="2424">
        <f t="shared" si="1649"/>
        <v>24379346.520330139</v>
      </c>
      <c r="DS427" s="3264"/>
      <c r="DT427" s="3405"/>
      <c r="DV427" s="3406"/>
      <c r="DW427" s="2424">
        <f t="shared" ref="DW427:DW428" si="1650">DY411+DZ411</f>
        <v>24379346.520330139</v>
      </c>
      <c r="DX427" s="2424">
        <v>0</v>
      </c>
      <c r="DY427" s="2424">
        <f t="shared" ref="DY427:DZ427" si="1651">DY411</f>
        <v>0</v>
      </c>
      <c r="DZ427" s="2424">
        <f t="shared" si="1651"/>
        <v>24379346.520330139</v>
      </c>
      <c r="EA427" s="3264"/>
      <c r="EB427" s="3405"/>
      <c r="ED427" s="3406"/>
      <c r="EE427" s="2424">
        <f t="shared" ref="EE427:EE428" si="1652">EG411+EH411</f>
        <v>24379346.520330139</v>
      </c>
      <c r="EF427" s="2424">
        <v>0</v>
      </c>
      <c r="EG427" s="2424">
        <f t="shared" ref="EG427:EH427" si="1653">EG411</f>
        <v>0</v>
      </c>
      <c r="EH427" s="2424">
        <f t="shared" si="1653"/>
        <v>24379346.520330139</v>
      </c>
      <c r="EI427" s="3264"/>
      <c r="EJ427" s="3405"/>
      <c r="EL427" s="3406"/>
      <c r="EM427" s="2424">
        <f t="shared" ref="EM427:EM428" si="1654">EO411+EP411</f>
        <v>24379346.520330139</v>
      </c>
      <c r="EN427" s="2424">
        <v>0</v>
      </c>
      <c r="EO427" s="2424">
        <f t="shared" ref="EO427:EP427" si="1655">EO411</f>
        <v>0</v>
      </c>
      <c r="EP427" s="2424">
        <f t="shared" si="1655"/>
        <v>24379346.520330139</v>
      </c>
      <c r="EQ427" s="3264"/>
      <c r="ER427" s="3405"/>
      <c r="ET427" s="3406"/>
      <c r="EU427" s="2424">
        <f t="shared" ref="EU427:EU428" si="1656">EW411+EX411</f>
        <v>24379346.520330139</v>
      </c>
      <c r="EV427" s="2424">
        <v>0</v>
      </c>
      <c r="EW427" s="2424">
        <f t="shared" ref="EW427:EX427" si="1657">EW411</f>
        <v>0</v>
      </c>
      <c r="EX427" s="2424">
        <f t="shared" si="1657"/>
        <v>24379346.520330139</v>
      </c>
      <c r="EY427" s="3264"/>
      <c r="EZ427" s="3405"/>
      <c r="FB427" s="3406"/>
      <c r="FC427" s="2424">
        <f t="shared" ref="FC427:FC428" si="1658">FE411+FF411</f>
        <v>24379346.520330139</v>
      </c>
      <c r="FD427" s="2424">
        <v>0</v>
      </c>
      <c r="FE427" s="2424">
        <f t="shared" ref="FE427:FF427" si="1659">FE411</f>
        <v>0</v>
      </c>
      <c r="FF427" s="2424">
        <f t="shared" si="1659"/>
        <v>24379346.520330139</v>
      </c>
      <c r="FG427" s="3264"/>
      <c r="FH427" s="3405"/>
      <c r="FJ427" s="3406"/>
      <c r="FK427" s="2424">
        <f t="shared" ref="FK427:FK428" si="1660">FM411+FN411</f>
        <v>24379346.520330139</v>
      </c>
      <c r="FL427" s="2424">
        <v>0</v>
      </c>
      <c r="FM427" s="2424">
        <f t="shared" ref="FM427:FN427" si="1661">FM411</f>
        <v>0</v>
      </c>
      <c r="FN427" s="2424">
        <f t="shared" si="1661"/>
        <v>24379346.520330139</v>
      </c>
      <c r="FO427" s="3264"/>
    </row>
    <row r="428" spans="2:171">
      <c r="C428" s="3086" t="s">
        <v>542</v>
      </c>
      <c r="D428" s="3405"/>
      <c r="E428" s="3234" t="str">
        <f t="shared" si="1619"/>
        <v>DIRECT</v>
      </c>
      <c r="G428" s="2424">
        <f t="shared" si="1620"/>
        <v>65208779.001525573</v>
      </c>
      <c r="H428" s="2424">
        <v>0</v>
      </c>
      <c r="I428" s="2424">
        <f t="shared" ref="I428:J428" si="1662">I412</f>
        <v>0</v>
      </c>
      <c r="J428" s="2424">
        <f t="shared" si="1662"/>
        <v>65208779.001525573</v>
      </c>
      <c r="K428" s="3205">
        <f t="shared" si="1577"/>
        <v>0</v>
      </c>
      <c r="L428" s="3405"/>
      <c r="N428" s="3406"/>
      <c r="O428" s="2424">
        <f t="shared" si="1622"/>
        <v>65208780.431525566</v>
      </c>
      <c r="P428" s="2424">
        <v>0</v>
      </c>
      <c r="Q428" s="2424">
        <f t="shared" ref="Q428:R428" si="1663">Q412</f>
        <v>0</v>
      </c>
      <c r="R428" s="2424">
        <f t="shared" si="1663"/>
        <v>65208780.431525566</v>
      </c>
      <c r="S428" s="3264"/>
      <c r="T428" s="3405"/>
      <c r="V428" s="3406"/>
      <c r="W428" s="2424">
        <f t="shared" si="1624"/>
        <v>65208780.431525566</v>
      </c>
      <c r="X428" s="2424">
        <v>0</v>
      </c>
      <c r="Y428" s="2424">
        <f t="shared" ref="Y428:Z428" si="1664">Y412</f>
        <v>0</v>
      </c>
      <c r="Z428" s="2424">
        <f t="shared" si="1664"/>
        <v>65208780.431525566</v>
      </c>
      <c r="AA428" s="3264"/>
      <c r="AB428" s="3405"/>
      <c r="AD428" s="3406"/>
      <c r="AE428" s="2424">
        <f t="shared" si="1626"/>
        <v>65208780.431525566</v>
      </c>
      <c r="AF428" s="2424">
        <v>0</v>
      </c>
      <c r="AG428" s="2424">
        <f t="shared" ref="AG428:AH428" si="1665">AG412</f>
        <v>0</v>
      </c>
      <c r="AH428" s="2424">
        <f t="shared" si="1665"/>
        <v>65208780.431525566</v>
      </c>
      <c r="AI428" s="3264"/>
      <c r="AJ428" s="3405"/>
      <c r="AL428" s="3406"/>
      <c r="AM428" s="2424">
        <f t="shared" si="1628"/>
        <v>65208780.431525566</v>
      </c>
      <c r="AN428" s="2424">
        <v>0</v>
      </c>
      <c r="AO428" s="2424">
        <f t="shared" ref="AO428:AP428" si="1666">AO412</f>
        <v>0</v>
      </c>
      <c r="AP428" s="2424">
        <f t="shared" si="1666"/>
        <v>65208780.431525566</v>
      </c>
      <c r="AQ428" s="3264"/>
      <c r="AR428" s="3405"/>
      <c r="AT428" s="3406"/>
      <c r="AU428" s="2424">
        <f t="shared" si="1630"/>
        <v>65208780.431525566</v>
      </c>
      <c r="AV428" s="2424">
        <v>0</v>
      </c>
      <c r="AW428" s="2424">
        <f t="shared" ref="AW428:AX428" si="1667">AW412</f>
        <v>0</v>
      </c>
      <c r="AX428" s="2424">
        <f t="shared" si="1667"/>
        <v>65208780.431525566</v>
      </c>
      <c r="AY428" s="3264"/>
      <c r="AZ428" s="3405"/>
      <c r="BB428" s="3406"/>
      <c r="BC428" s="2424">
        <f t="shared" si="1632"/>
        <v>65208780.431525566</v>
      </c>
      <c r="BD428" s="2424">
        <v>0</v>
      </c>
      <c r="BE428" s="2424">
        <f t="shared" ref="BE428:BF428" si="1668">BE412</f>
        <v>0</v>
      </c>
      <c r="BF428" s="2424">
        <f t="shared" si="1668"/>
        <v>65208780.431525566</v>
      </c>
      <c r="BG428" s="3264"/>
      <c r="BH428" s="3405"/>
      <c r="BJ428" s="3406"/>
      <c r="BK428" s="2424">
        <f t="shared" si="1634"/>
        <v>65208780.431525566</v>
      </c>
      <c r="BL428" s="2424">
        <v>0</v>
      </c>
      <c r="BM428" s="2424">
        <f t="shared" ref="BM428:BN428" si="1669">BM412</f>
        <v>0</v>
      </c>
      <c r="BN428" s="2424">
        <f t="shared" si="1669"/>
        <v>65208780.431525566</v>
      </c>
      <c r="BO428" s="3264"/>
      <c r="BP428" s="3405"/>
      <c r="BR428" s="3406"/>
      <c r="BS428" s="2424">
        <f t="shared" si="1636"/>
        <v>65208780.431525566</v>
      </c>
      <c r="BT428" s="2424">
        <v>0</v>
      </c>
      <c r="BU428" s="2424">
        <f t="shared" ref="BU428:BV428" si="1670">BU412</f>
        <v>0</v>
      </c>
      <c r="BV428" s="2424">
        <f t="shared" si="1670"/>
        <v>65208780.431525566</v>
      </c>
      <c r="BW428" s="3264"/>
      <c r="BX428" s="3405"/>
      <c r="BZ428" s="3406"/>
      <c r="CA428" s="2424">
        <f t="shared" si="1638"/>
        <v>65208780.431525566</v>
      </c>
      <c r="CB428" s="2424">
        <v>0</v>
      </c>
      <c r="CC428" s="2424">
        <f t="shared" ref="CC428:CD428" si="1671">CC412</f>
        <v>0</v>
      </c>
      <c r="CD428" s="2424">
        <f t="shared" si="1671"/>
        <v>65208780.431525566</v>
      </c>
      <c r="CE428" s="3264"/>
      <c r="CF428" s="3405"/>
      <c r="CH428" s="3406"/>
      <c r="CI428" s="2424">
        <f t="shared" si="1640"/>
        <v>65208780.431525566</v>
      </c>
      <c r="CJ428" s="2424">
        <v>0</v>
      </c>
      <c r="CK428" s="2424">
        <f t="shared" ref="CK428:CL428" si="1672">CK412</f>
        <v>0</v>
      </c>
      <c r="CL428" s="2424">
        <f t="shared" si="1672"/>
        <v>65208780.431525566</v>
      </c>
      <c r="CM428" s="3264"/>
      <c r="CN428" s="3405"/>
      <c r="CP428" s="3406"/>
      <c r="CQ428" s="2424">
        <f t="shared" si="1642"/>
        <v>65208780.431525566</v>
      </c>
      <c r="CR428" s="2424">
        <v>0</v>
      </c>
      <c r="CS428" s="2424">
        <f t="shared" ref="CS428:CT428" si="1673">CS412</f>
        <v>0</v>
      </c>
      <c r="CT428" s="2424">
        <f t="shared" si="1673"/>
        <v>65208780.431525566</v>
      </c>
      <c r="CU428" s="3264"/>
      <c r="CV428" s="3405"/>
      <c r="CX428" s="3406"/>
      <c r="CY428" s="2424">
        <f t="shared" si="1644"/>
        <v>65208780.431525566</v>
      </c>
      <c r="CZ428" s="2424">
        <v>0</v>
      </c>
      <c r="DA428" s="2424">
        <f t="shared" ref="DA428:DB428" si="1674">DA412</f>
        <v>0</v>
      </c>
      <c r="DB428" s="2424">
        <f t="shared" si="1674"/>
        <v>65208780.431525566</v>
      </c>
      <c r="DC428" s="3264"/>
      <c r="DD428" s="3405"/>
      <c r="DF428" s="3406"/>
      <c r="DG428" s="2424">
        <f t="shared" si="1646"/>
        <v>65208780.431525566</v>
      </c>
      <c r="DH428" s="2424">
        <v>0</v>
      </c>
      <c r="DI428" s="2424">
        <f t="shared" ref="DI428:DJ428" si="1675">DI412</f>
        <v>0</v>
      </c>
      <c r="DJ428" s="2424">
        <f t="shared" si="1675"/>
        <v>65208780.431525566</v>
      </c>
      <c r="DK428" s="3264"/>
      <c r="DL428" s="3405"/>
      <c r="DN428" s="3406"/>
      <c r="DO428" s="2424">
        <f t="shared" si="1648"/>
        <v>65208780.431525566</v>
      </c>
      <c r="DP428" s="2424">
        <v>0</v>
      </c>
      <c r="DQ428" s="2424">
        <f t="shared" ref="DQ428:DR428" si="1676">DQ412</f>
        <v>0</v>
      </c>
      <c r="DR428" s="2424">
        <f t="shared" si="1676"/>
        <v>65208780.431525566</v>
      </c>
      <c r="DS428" s="3264"/>
      <c r="DT428" s="3405"/>
      <c r="DV428" s="3406"/>
      <c r="DW428" s="2424">
        <f t="shared" si="1650"/>
        <v>65208780.431525566</v>
      </c>
      <c r="DX428" s="2424">
        <v>0</v>
      </c>
      <c r="DY428" s="2424">
        <f t="shared" ref="DY428:DZ428" si="1677">DY412</f>
        <v>0</v>
      </c>
      <c r="DZ428" s="2424">
        <f t="shared" si="1677"/>
        <v>65208780.431525566</v>
      </c>
      <c r="EA428" s="3264"/>
      <c r="EB428" s="3405"/>
      <c r="ED428" s="3406"/>
      <c r="EE428" s="2424">
        <f t="shared" si="1652"/>
        <v>65208780.431525566</v>
      </c>
      <c r="EF428" s="2424">
        <v>0</v>
      </c>
      <c r="EG428" s="2424">
        <f t="shared" ref="EG428:EH428" si="1678">EG412</f>
        <v>0</v>
      </c>
      <c r="EH428" s="2424">
        <f t="shared" si="1678"/>
        <v>65208780.431525566</v>
      </c>
      <c r="EI428" s="3264"/>
      <c r="EJ428" s="3405"/>
      <c r="EL428" s="3406"/>
      <c r="EM428" s="2424">
        <f t="shared" si="1654"/>
        <v>65208780.431525566</v>
      </c>
      <c r="EN428" s="2424">
        <v>0</v>
      </c>
      <c r="EO428" s="2424">
        <f t="shared" ref="EO428:EP428" si="1679">EO412</f>
        <v>0</v>
      </c>
      <c r="EP428" s="2424">
        <f t="shared" si="1679"/>
        <v>65208780.431525566</v>
      </c>
      <c r="EQ428" s="3264"/>
      <c r="ER428" s="3405"/>
      <c r="ET428" s="3406"/>
      <c r="EU428" s="2424">
        <f t="shared" si="1656"/>
        <v>65208780.431525566</v>
      </c>
      <c r="EV428" s="2424">
        <v>0</v>
      </c>
      <c r="EW428" s="2424">
        <f t="shared" ref="EW428:EX428" si="1680">EW412</f>
        <v>0</v>
      </c>
      <c r="EX428" s="2424">
        <f t="shared" si="1680"/>
        <v>65208780.431525566</v>
      </c>
      <c r="EY428" s="3264"/>
      <c r="EZ428" s="3405"/>
      <c r="FB428" s="3406"/>
      <c r="FC428" s="2424">
        <f t="shared" si="1658"/>
        <v>65208780.431525566</v>
      </c>
      <c r="FD428" s="2424">
        <v>0</v>
      </c>
      <c r="FE428" s="2424">
        <f t="shared" ref="FE428:FF428" si="1681">FE412</f>
        <v>0</v>
      </c>
      <c r="FF428" s="2424">
        <f t="shared" si="1681"/>
        <v>65208780.431525566</v>
      </c>
      <c r="FG428" s="3264"/>
      <c r="FH428" s="3405"/>
      <c r="FJ428" s="3406"/>
      <c r="FK428" s="2424">
        <f t="shared" si="1660"/>
        <v>65208780.431525566</v>
      </c>
      <c r="FL428" s="2424">
        <v>0</v>
      </c>
      <c r="FM428" s="2424">
        <f t="shared" ref="FM428:FN428" si="1682">FM412</f>
        <v>0</v>
      </c>
      <c r="FN428" s="2424">
        <f t="shared" si="1682"/>
        <v>65208780.431525566</v>
      </c>
      <c r="FO428" s="3264"/>
    </row>
    <row r="429" spans="2:171">
      <c r="C429" s="3086" t="s">
        <v>796</v>
      </c>
      <c r="D429" s="3405"/>
      <c r="E429" s="3234" t="s">
        <v>109</v>
      </c>
      <c r="G429" s="2424">
        <f>I394+J394</f>
        <v>208750017.20638302</v>
      </c>
      <c r="H429" s="2424">
        <v>0</v>
      </c>
      <c r="I429" s="2424">
        <f>I394</f>
        <v>0</v>
      </c>
      <c r="J429" s="2424">
        <f>J394</f>
        <v>208750017.20638302</v>
      </c>
      <c r="K429" s="3205">
        <f t="shared" si="1577"/>
        <v>1</v>
      </c>
      <c r="L429" s="3405"/>
      <c r="N429" s="3406"/>
      <c r="O429" s="2424">
        <f>Q394+R394</f>
        <v>208750017.20638299</v>
      </c>
      <c r="P429" s="2424">
        <v>0</v>
      </c>
      <c r="Q429" s="2424">
        <f>Q394</f>
        <v>53162346.200694084</v>
      </c>
      <c r="R429" s="2424">
        <f>R394</f>
        <v>155587671.00568891</v>
      </c>
      <c r="S429" s="3264"/>
      <c r="T429" s="3405"/>
      <c r="V429" s="3406"/>
      <c r="W429" s="2424">
        <f>Y394+Z394</f>
        <v>208750017.20638299</v>
      </c>
      <c r="X429" s="2424">
        <v>0</v>
      </c>
      <c r="Y429" s="2424">
        <f>Y394</f>
        <v>53162346.200694084</v>
      </c>
      <c r="Z429" s="2424">
        <f>Z394</f>
        <v>155587671.00568891</v>
      </c>
      <c r="AA429" s="3264"/>
      <c r="AB429" s="3405"/>
      <c r="AD429" s="3406"/>
      <c r="AE429" s="2424">
        <f>AG394+AH394</f>
        <v>208750017.20638299</v>
      </c>
      <c r="AF429" s="2424">
        <v>0</v>
      </c>
      <c r="AG429" s="2424">
        <f>AG394</f>
        <v>53162346.200694084</v>
      </c>
      <c r="AH429" s="2424">
        <f>AH394</f>
        <v>155587671.00568891</v>
      </c>
      <c r="AI429" s="3264"/>
      <c r="AJ429" s="3405"/>
      <c r="AL429" s="3406"/>
      <c r="AM429" s="2424">
        <f>AO394+AP394</f>
        <v>208750017.20638299</v>
      </c>
      <c r="AN429" s="2424">
        <v>0</v>
      </c>
      <c r="AO429" s="2424">
        <f>AO394</f>
        <v>53162346.200694084</v>
      </c>
      <c r="AP429" s="2424">
        <f>AP394</f>
        <v>155587671.00568891</v>
      </c>
      <c r="AQ429" s="3264"/>
      <c r="AR429" s="3405"/>
      <c r="AT429" s="3406"/>
      <c r="AU429" s="2424">
        <f>AW394+AX394</f>
        <v>208750017.20638299</v>
      </c>
      <c r="AV429" s="2424">
        <v>0</v>
      </c>
      <c r="AW429" s="2424">
        <f>AW394</f>
        <v>53162346.200694084</v>
      </c>
      <c r="AX429" s="2424">
        <f>AX394</f>
        <v>155587671.00568891</v>
      </c>
      <c r="AY429" s="3264"/>
      <c r="AZ429" s="3405"/>
      <c r="BB429" s="3406"/>
      <c r="BC429" s="2424">
        <f>BE394+BF394</f>
        <v>208750017.20638299</v>
      </c>
      <c r="BD429" s="2424">
        <v>0</v>
      </c>
      <c r="BE429" s="2424">
        <f>BE394</f>
        <v>53162346.200694084</v>
      </c>
      <c r="BF429" s="2424">
        <f>BF394</f>
        <v>155587671.00568891</v>
      </c>
      <c r="BG429" s="3264"/>
      <c r="BH429" s="3405"/>
      <c r="BJ429" s="3406"/>
      <c r="BK429" s="2424">
        <f>BM394+BN394</f>
        <v>208750017.20638299</v>
      </c>
      <c r="BL429" s="2424">
        <v>0</v>
      </c>
      <c r="BM429" s="2424">
        <f>BM394</f>
        <v>53162346.200694084</v>
      </c>
      <c r="BN429" s="2424">
        <f>BN394</f>
        <v>155587671.00568891</v>
      </c>
      <c r="BO429" s="3264"/>
      <c r="BP429" s="3405"/>
      <c r="BR429" s="3406"/>
      <c r="BS429" s="2424">
        <f>BU394+BV394</f>
        <v>208750017.20638299</v>
      </c>
      <c r="BT429" s="2424">
        <v>0</v>
      </c>
      <c r="BU429" s="2424">
        <f>BU394</f>
        <v>53162346.200694084</v>
      </c>
      <c r="BV429" s="2424">
        <f>BV394</f>
        <v>155587671.00568891</v>
      </c>
      <c r="BW429" s="3264"/>
      <c r="BX429" s="3405"/>
      <c r="BZ429" s="3406"/>
      <c r="CA429" s="2424">
        <f>CC394+CD394</f>
        <v>208750017.20638299</v>
      </c>
      <c r="CB429" s="2424">
        <v>0</v>
      </c>
      <c r="CC429" s="2424">
        <f>CC394</f>
        <v>53162346.200694084</v>
      </c>
      <c r="CD429" s="2424">
        <f>CD394</f>
        <v>155587671.00568891</v>
      </c>
      <c r="CE429" s="3264"/>
      <c r="CF429" s="3405"/>
      <c r="CH429" s="3406"/>
      <c r="CI429" s="2424">
        <f>CK394+CL394</f>
        <v>208750017.20638299</v>
      </c>
      <c r="CJ429" s="2424">
        <v>0</v>
      </c>
      <c r="CK429" s="2424">
        <f>CK394</f>
        <v>53162346.200694084</v>
      </c>
      <c r="CL429" s="2424">
        <f>CL394</f>
        <v>155587671.00568891</v>
      </c>
      <c r="CM429" s="3264"/>
      <c r="CN429" s="3405"/>
      <c r="CP429" s="3406"/>
      <c r="CQ429" s="2424">
        <f>CS394+CT394</f>
        <v>208750017.20638299</v>
      </c>
      <c r="CR429" s="2424">
        <v>0</v>
      </c>
      <c r="CS429" s="2424">
        <f>CS394</f>
        <v>53162346.200694084</v>
      </c>
      <c r="CT429" s="2424">
        <f>CT394</f>
        <v>155587671.00568891</v>
      </c>
      <c r="CU429" s="3264"/>
      <c r="CV429" s="3405"/>
      <c r="CX429" s="3406"/>
      <c r="CY429" s="2424">
        <f>DA394+DB394</f>
        <v>208750017.20638299</v>
      </c>
      <c r="CZ429" s="2424">
        <v>0</v>
      </c>
      <c r="DA429" s="2424">
        <f>DA394</f>
        <v>53162346.200694084</v>
      </c>
      <c r="DB429" s="2424">
        <f>DB394</f>
        <v>155587671.00568891</v>
      </c>
      <c r="DC429" s="3264"/>
      <c r="DD429" s="3405"/>
      <c r="DF429" s="3406"/>
      <c r="DG429" s="2424">
        <f>DI394+DJ394</f>
        <v>208750017.20638299</v>
      </c>
      <c r="DH429" s="2424">
        <v>0</v>
      </c>
      <c r="DI429" s="2424">
        <f>DI394</f>
        <v>53162346.200694084</v>
      </c>
      <c r="DJ429" s="2424">
        <f>DJ394</f>
        <v>155587671.00568891</v>
      </c>
      <c r="DK429" s="3264"/>
      <c r="DL429" s="3405"/>
      <c r="DN429" s="3406"/>
      <c r="DO429" s="2424">
        <f>DQ394+DR394</f>
        <v>208750017.20638299</v>
      </c>
      <c r="DP429" s="2424">
        <v>0</v>
      </c>
      <c r="DQ429" s="2424">
        <f>DQ394</f>
        <v>53162346.200694084</v>
      </c>
      <c r="DR429" s="2424">
        <f>DR394</f>
        <v>155587671.00568891</v>
      </c>
      <c r="DS429" s="3264"/>
      <c r="DT429" s="3405"/>
      <c r="DV429" s="3406"/>
      <c r="DW429" s="2424">
        <f>DY394+DZ394</f>
        <v>208750017.20638299</v>
      </c>
      <c r="DX429" s="2424">
        <v>0</v>
      </c>
      <c r="DY429" s="2424">
        <f>DY394</f>
        <v>53162346.200694084</v>
      </c>
      <c r="DZ429" s="2424">
        <f>DZ394</f>
        <v>155587671.00568891</v>
      </c>
      <c r="EA429" s="3264"/>
      <c r="EB429" s="3405"/>
      <c r="ED429" s="3406"/>
      <c r="EE429" s="2424">
        <f>EG394+EH394</f>
        <v>208750017.20638299</v>
      </c>
      <c r="EF429" s="2424">
        <v>0</v>
      </c>
      <c r="EG429" s="2424">
        <f>EG394</f>
        <v>53162346.200694084</v>
      </c>
      <c r="EH429" s="2424">
        <f>EH394</f>
        <v>155587671.00568891</v>
      </c>
      <c r="EI429" s="3264"/>
      <c r="EJ429" s="3405"/>
      <c r="EL429" s="3406"/>
      <c r="EM429" s="2424">
        <f>EO394+EP394</f>
        <v>208750017.20638299</v>
      </c>
      <c r="EN429" s="2424">
        <v>0</v>
      </c>
      <c r="EO429" s="2424">
        <f>EO394</f>
        <v>53162346.200694084</v>
      </c>
      <c r="EP429" s="2424">
        <f>EP394</f>
        <v>155587671.00568891</v>
      </c>
      <c r="EQ429" s="3264"/>
      <c r="ER429" s="3405"/>
      <c r="ET429" s="3406"/>
      <c r="EU429" s="2424">
        <f>EW394+EX394</f>
        <v>208750017.20638299</v>
      </c>
      <c r="EV429" s="2424">
        <v>0</v>
      </c>
      <c r="EW429" s="2424">
        <f>EW394</f>
        <v>53162346.200694084</v>
      </c>
      <c r="EX429" s="2424">
        <f>EX394</f>
        <v>155587671.00568891</v>
      </c>
      <c r="EY429" s="3264"/>
      <c r="EZ429" s="3405"/>
      <c r="FB429" s="3406"/>
      <c r="FC429" s="2424">
        <f>FE394+FF394</f>
        <v>208750017.20638299</v>
      </c>
      <c r="FD429" s="2424">
        <v>0</v>
      </c>
      <c r="FE429" s="2424">
        <f>FE394</f>
        <v>53162346.200694084</v>
      </c>
      <c r="FF429" s="2424">
        <f>FF394</f>
        <v>155587671.00568891</v>
      </c>
      <c r="FG429" s="3264"/>
      <c r="FH429" s="3405"/>
      <c r="FJ429" s="3406"/>
      <c r="FK429" s="2424">
        <f>FM394+FN394</f>
        <v>208750017.20638299</v>
      </c>
      <c r="FL429" s="2424">
        <v>0</v>
      </c>
      <c r="FM429" s="2424">
        <f>FM394</f>
        <v>53162346.200694084</v>
      </c>
      <c r="FN429" s="2424">
        <f>FN394</f>
        <v>155587671.00568891</v>
      </c>
      <c r="FO429" s="3264"/>
    </row>
    <row r="430" spans="2:171">
      <c r="C430" s="3086" t="s">
        <v>522</v>
      </c>
      <c r="D430" s="3405"/>
      <c r="E430" s="3413"/>
      <c r="F430" s="3406"/>
      <c r="G430" s="3244">
        <f>SUM(G424:G429)</f>
        <v>7574756323.9282389</v>
      </c>
      <c r="H430" s="3244">
        <f>SUM(H424:H429)</f>
        <v>0</v>
      </c>
      <c r="I430" s="3244">
        <f>SUM(I424:I429)</f>
        <v>0</v>
      </c>
      <c r="J430" s="3244">
        <f>SUM(J424:J429)</f>
        <v>7574756323.9282389</v>
      </c>
      <c r="K430" s="3205"/>
      <c r="L430" s="3405"/>
      <c r="N430" s="3406"/>
      <c r="O430" s="3244">
        <f>SUM(O424:O429)</f>
        <v>7574756326.1582384</v>
      </c>
      <c r="P430" s="3244">
        <f>SUM(P424:P429)</f>
        <v>0</v>
      </c>
      <c r="Q430" s="3244">
        <f>SUM(Q424:Q429)</f>
        <v>2045543584.2006941</v>
      </c>
      <c r="R430" s="3244">
        <f>SUM(R424:R429)</f>
        <v>5529212741.9575443</v>
      </c>
      <c r="S430" s="3264"/>
      <c r="T430" s="3405"/>
      <c r="V430" s="3406"/>
      <c r="W430" s="3244">
        <f>SUM(W424:W429)</f>
        <v>7574756326.1582384</v>
      </c>
      <c r="X430" s="3244">
        <f>SUM(X424:X429)</f>
        <v>0</v>
      </c>
      <c r="Y430" s="3244">
        <f>SUM(Y424:Y429)</f>
        <v>2045543584.2006941</v>
      </c>
      <c r="Z430" s="3244">
        <f>SUM(Z424:Z429)</f>
        <v>5529212741.9575443</v>
      </c>
      <c r="AA430" s="3264"/>
      <c r="AB430" s="3405"/>
      <c r="AD430" s="3406"/>
      <c r="AE430" s="3244">
        <f>SUM(AE424:AE429)</f>
        <v>7574756326.1582384</v>
      </c>
      <c r="AF430" s="3244">
        <f>SUM(AF424:AF429)</f>
        <v>0</v>
      </c>
      <c r="AG430" s="3244">
        <f>SUM(AG424:AG429)</f>
        <v>2045543584.2006941</v>
      </c>
      <c r="AH430" s="3244">
        <f>SUM(AH424:AH429)</f>
        <v>5529212741.9575443</v>
      </c>
      <c r="AI430" s="3264"/>
      <c r="AJ430" s="3405"/>
      <c r="AL430" s="3406"/>
      <c r="AM430" s="3244">
        <f>SUM(AM424:AM429)</f>
        <v>7574756326.1582384</v>
      </c>
      <c r="AN430" s="3244">
        <f>SUM(AN424:AN429)</f>
        <v>0</v>
      </c>
      <c r="AO430" s="3244">
        <f>SUM(AO424:AO429)</f>
        <v>2045543584.2006941</v>
      </c>
      <c r="AP430" s="3244">
        <f>SUM(AP424:AP429)</f>
        <v>5529212741.9575443</v>
      </c>
      <c r="AQ430" s="3264"/>
      <c r="AR430" s="3405"/>
      <c r="AT430" s="3406"/>
      <c r="AU430" s="3244">
        <f>SUM(AU424:AU429)</f>
        <v>7574756326.1582384</v>
      </c>
      <c r="AV430" s="3244">
        <f>SUM(AV424:AV429)</f>
        <v>0</v>
      </c>
      <c r="AW430" s="3244">
        <f>SUM(AW424:AW429)</f>
        <v>2045543584.2006941</v>
      </c>
      <c r="AX430" s="3244">
        <f>SUM(AX424:AX429)</f>
        <v>5529212741.9575443</v>
      </c>
      <c r="AY430" s="3264"/>
      <c r="AZ430" s="3405"/>
      <c r="BB430" s="3406"/>
      <c r="BC430" s="3244">
        <f>SUM(BC424:BC429)</f>
        <v>7574756326.1582384</v>
      </c>
      <c r="BD430" s="3244">
        <f>SUM(BD424:BD429)</f>
        <v>0</v>
      </c>
      <c r="BE430" s="3244">
        <f>SUM(BE424:BE429)</f>
        <v>2045543584.2006941</v>
      </c>
      <c r="BF430" s="3244">
        <f>SUM(BF424:BF429)</f>
        <v>5529212741.9575443</v>
      </c>
      <c r="BG430" s="3264"/>
      <c r="BH430" s="3405"/>
      <c r="BJ430" s="3406"/>
      <c r="BK430" s="3244">
        <f>SUM(BK424:BK429)</f>
        <v>7574756326.1582384</v>
      </c>
      <c r="BL430" s="3244">
        <f>SUM(BL424:BL429)</f>
        <v>0</v>
      </c>
      <c r="BM430" s="3244">
        <f>SUM(BM424:BM429)</f>
        <v>2045543584.2006941</v>
      </c>
      <c r="BN430" s="3244">
        <f>SUM(BN424:BN429)</f>
        <v>5529212741.9575443</v>
      </c>
      <c r="BO430" s="3264"/>
      <c r="BP430" s="3405"/>
      <c r="BR430" s="3406"/>
      <c r="BS430" s="3244">
        <f>SUM(BS424:BS429)</f>
        <v>7574756326.1582384</v>
      </c>
      <c r="BT430" s="3244">
        <f>SUM(BT424:BT429)</f>
        <v>0</v>
      </c>
      <c r="BU430" s="3244">
        <f>SUM(BU424:BU429)</f>
        <v>2045543584.2006941</v>
      </c>
      <c r="BV430" s="3244">
        <f>SUM(BV424:BV429)</f>
        <v>5529212741.9575443</v>
      </c>
      <c r="BW430" s="3264"/>
      <c r="BX430" s="3405"/>
      <c r="BZ430" s="3406"/>
      <c r="CA430" s="3244">
        <f>SUM(CA424:CA429)</f>
        <v>7574756326.1582384</v>
      </c>
      <c r="CB430" s="3244">
        <f>SUM(CB424:CB429)</f>
        <v>0</v>
      </c>
      <c r="CC430" s="3244">
        <f>SUM(CC424:CC429)</f>
        <v>2045543584.2006941</v>
      </c>
      <c r="CD430" s="3244">
        <f>SUM(CD424:CD429)</f>
        <v>5529212741.9575443</v>
      </c>
      <c r="CE430" s="3264"/>
      <c r="CF430" s="3405"/>
      <c r="CH430" s="3406"/>
      <c r="CI430" s="3244">
        <f>SUM(CI424:CI429)</f>
        <v>7574756326.1582384</v>
      </c>
      <c r="CJ430" s="3244">
        <f>SUM(CJ424:CJ429)</f>
        <v>0</v>
      </c>
      <c r="CK430" s="3244">
        <f>SUM(CK424:CK429)</f>
        <v>2045543584.2006941</v>
      </c>
      <c r="CL430" s="3244">
        <f>SUM(CL424:CL429)</f>
        <v>5529212741.9575443</v>
      </c>
      <c r="CM430" s="3264"/>
      <c r="CN430" s="3405"/>
      <c r="CP430" s="3406"/>
      <c r="CQ430" s="3244">
        <f>SUM(CQ424:CQ429)</f>
        <v>7574756326.1582384</v>
      </c>
      <c r="CR430" s="3244">
        <f>SUM(CR424:CR429)</f>
        <v>0</v>
      </c>
      <c r="CS430" s="3244">
        <f>SUM(CS424:CS429)</f>
        <v>2045543584.2006941</v>
      </c>
      <c r="CT430" s="3244">
        <f>SUM(CT424:CT429)</f>
        <v>5529212741.9575443</v>
      </c>
      <c r="CU430" s="3264"/>
      <c r="CV430" s="3405"/>
      <c r="CX430" s="3406"/>
      <c r="CY430" s="3244">
        <f>SUM(CY424:CY429)</f>
        <v>7574756326.1582384</v>
      </c>
      <c r="CZ430" s="3244">
        <f>SUM(CZ424:CZ429)</f>
        <v>0</v>
      </c>
      <c r="DA430" s="3244">
        <f>SUM(DA424:DA429)</f>
        <v>2045543584.2006941</v>
      </c>
      <c r="DB430" s="3244">
        <f>SUM(DB424:DB429)</f>
        <v>5529212741.9575443</v>
      </c>
      <c r="DC430" s="3264"/>
      <c r="DD430" s="3405"/>
      <c r="DF430" s="3406"/>
      <c r="DG430" s="3244">
        <f>SUM(DG424:DG429)</f>
        <v>7574756326.1582384</v>
      </c>
      <c r="DH430" s="3244">
        <f>SUM(DH424:DH429)</f>
        <v>0</v>
      </c>
      <c r="DI430" s="3244">
        <f>SUM(DI424:DI429)</f>
        <v>2045543584.2006941</v>
      </c>
      <c r="DJ430" s="3244">
        <f>SUM(DJ424:DJ429)</f>
        <v>5529212741.9575443</v>
      </c>
      <c r="DK430" s="3264"/>
      <c r="DL430" s="3405"/>
      <c r="DN430" s="3406"/>
      <c r="DO430" s="3244">
        <f>SUM(DO424:DO429)</f>
        <v>7574756326.1582384</v>
      </c>
      <c r="DP430" s="3244">
        <f>SUM(DP424:DP429)</f>
        <v>0</v>
      </c>
      <c r="DQ430" s="3244">
        <f>SUM(DQ424:DQ429)</f>
        <v>2045543584.2006941</v>
      </c>
      <c r="DR430" s="3244">
        <f>SUM(DR424:DR429)</f>
        <v>5529212741.9575443</v>
      </c>
      <c r="DS430" s="3264"/>
      <c r="DT430" s="3405"/>
      <c r="DV430" s="3406"/>
      <c r="DW430" s="3244">
        <f>SUM(DW424:DW429)</f>
        <v>7574756326.1582384</v>
      </c>
      <c r="DX430" s="3244">
        <f>SUM(DX424:DX429)</f>
        <v>0</v>
      </c>
      <c r="DY430" s="3244">
        <f>SUM(DY424:DY429)</f>
        <v>2045543584.2006941</v>
      </c>
      <c r="DZ430" s="3244">
        <f>SUM(DZ424:DZ429)</f>
        <v>5529212741.9575443</v>
      </c>
      <c r="EA430" s="3264"/>
      <c r="EB430" s="3405"/>
      <c r="ED430" s="3406"/>
      <c r="EE430" s="3244">
        <f>SUM(EE424:EE429)</f>
        <v>7574756326.1582384</v>
      </c>
      <c r="EF430" s="3244">
        <f>SUM(EF424:EF429)</f>
        <v>0</v>
      </c>
      <c r="EG430" s="3244">
        <f>SUM(EG424:EG429)</f>
        <v>2045543584.2006941</v>
      </c>
      <c r="EH430" s="3244">
        <f>SUM(EH424:EH429)</f>
        <v>5529212741.9575443</v>
      </c>
      <c r="EI430" s="3264"/>
      <c r="EJ430" s="3405"/>
      <c r="EL430" s="3406"/>
      <c r="EM430" s="3244">
        <f>SUM(EM424:EM429)</f>
        <v>7574756326.1582384</v>
      </c>
      <c r="EN430" s="3244">
        <f>SUM(EN424:EN429)</f>
        <v>0</v>
      </c>
      <c r="EO430" s="3244">
        <f>SUM(EO424:EO429)</f>
        <v>2045543584.2006941</v>
      </c>
      <c r="EP430" s="3244">
        <f>SUM(EP424:EP429)</f>
        <v>5529212741.9575443</v>
      </c>
      <c r="EQ430" s="3264"/>
      <c r="ER430" s="3405"/>
      <c r="ET430" s="3406"/>
      <c r="EU430" s="3244">
        <f>SUM(EU424:EU429)</f>
        <v>7574756326.1582384</v>
      </c>
      <c r="EV430" s="3244">
        <f>SUM(EV424:EV429)</f>
        <v>0</v>
      </c>
      <c r="EW430" s="3244">
        <f>SUM(EW424:EW429)</f>
        <v>2045543584.2006941</v>
      </c>
      <c r="EX430" s="3244">
        <f>SUM(EX424:EX429)</f>
        <v>5529212741.9575443</v>
      </c>
      <c r="EY430" s="3264"/>
      <c r="EZ430" s="3405"/>
      <c r="FB430" s="3406"/>
      <c r="FC430" s="3244">
        <f>SUM(FC424:FC429)</f>
        <v>7574756326.1582384</v>
      </c>
      <c r="FD430" s="3244">
        <f>SUM(FD424:FD429)</f>
        <v>0</v>
      </c>
      <c r="FE430" s="3244">
        <f>SUM(FE424:FE429)</f>
        <v>2045543584.2006941</v>
      </c>
      <c r="FF430" s="3244">
        <f>SUM(FF424:FF429)</f>
        <v>5529212741.9575443</v>
      </c>
      <c r="FG430" s="3264"/>
      <c r="FH430" s="3405"/>
      <c r="FJ430" s="3406"/>
      <c r="FK430" s="3244">
        <f>SUM(FK424:FK429)</f>
        <v>7574756326.1582384</v>
      </c>
      <c r="FL430" s="3244">
        <f>SUM(FL424:FL429)</f>
        <v>0</v>
      </c>
      <c r="FM430" s="3244">
        <f>SUM(FM424:FM429)</f>
        <v>2045543584.2006941</v>
      </c>
      <c r="FN430" s="3244">
        <f>SUM(FN424:FN429)</f>
        <v>5529212741.9575443</v>
      </c>
      <c r="FO430" s="3264"/>
    </row>
    <row r="431" spans="2:171">
      <c r="C431" s="3114" t="s">
        <v>797</v>
      </c>
      <c r="D431" s="3407" t="s">
        <v>628</v>
      </c>
      <c r="E431" s="3412"/>
      <c r="F431" s="3412"/>
      <c r="G431" s="3402">
        <f>H431+I431+J431</f>
        <v>1</v>
      </c>
      <c r="H431" s="3402">
        <f>H430/G430</f>
        <v>0</v>
      </c>
      <c r="I431" s="3402">
        <f>I430/G430</f>
        <v>0</v>
      </c>
      <c r="J431" s="3402">
        <f>J430/G430</f>
        <v>1</v>
      </c>
      <c r="K431" s="3411"/>
      <c r="L431" s="3403" t="s">
        <v>628</v>
      </c>
      <c r="M431" s="3412"/>
      <c r="N431" s="3412"/>
      <c r="O431" s="3402">
        <f>P431+Q431+R431</f>
        <v>1</v>
      </c>
      <c r="P431" s="3402">
        <f>P430/O430</f>
        <v>0</v>
      </c>
      <c r="Q431" s="3402">
        <f>Q430/O430</f>
        <v>0.27004744392063529</v>
      </c>
      <c r="R431" s="3402">
        <f>R430/O430</f>
        <v>0.72995255607936471</v>
      </c>
      <c r="S431" s="3411"/>
      <c r="T431" s="3403" t="s">
        <v>628</v>
      </c>
      <c r="U431" s="3412"/>
      <c r="V431" s="3412"/>
      <c r="W431" s="3402">
        <f>X431+Y431+Z431</f>
        <v>1</v>
      </c>
      <c r="X431" s="3402">
        <f>X430/W430</f>
        <v>0</v>
      </c>
      <c r="Y431" s="3402">
        <f>Y430/W430</f>
        <v>0.27004744392063529</v>
      </c>
      <c r="Z431" s="3402">
        <f>Z430/W430</f>
        <v>0.72995255607936471</v>
      </c>
      <c r="AA431" s="3411"/>
      <c r="AB431" s="3403" t="s">
        <v>628</v>
      </c>
      <c r="AC431" s="3412"/>
      <c r="AD431" s="3412"/>
      <c r="AE431" s="3402">
        <f>AF431+AG431+AH431</f>
        <v>1</v>
      </c>
      <c r="AF431" s="3402">
        <f>AF430/AE430</f>
        <v>0</v>
      </c>
      <c r="AG431" s="3402">
        <f>AG430/AE430</f>
        <v>0.27004744392063529</v>
      </c>
      <c r="AH431" s="3402">
        <f>AH430/AE430</f>
        <v>0.72995255607936471</v>
      </c>
      <c r="AI431" s="3411"/>
      <c r="AJ431" s="3403" t="s">
        <v>628</v>
      </c>
      <c r="AK431" s="3412"/>
      <c r="AL431" s="3412"/>
      <c r="AM431" s="3402">
        <f>AN431+AO431+AP431</f>
        <v>1</v>
      </c>
      <c r="AN431" s="3402">
        <f>AN430/AM430</f>
        <v>0</v>
      </c>
      <c r="AO431" s="3402">
        <f>AO430/AM430</f>
        <v>0.27004744392063529</v>
      </c>
      <c r="AP431" s="3402">
        <f>AP430/AM430</f>
        <v>0.72995255607936471</v>
      </c>
      <c r="AQ431" s="3411"/>
      <c r="AR431" s="3403" t="s">
        <v>628</v>
      </c>
      <c r="AS431" s="3412"/>
      <c r="AT431" s="3412"/>
      <c r="AU431" s="3402">
        <f>AV431+AW431+AX431</f>
        <v>1</v>
      </c>
      <c r="AV431" s="3402">
        <f>AV430/AU430</f>
        <v>0</v>
      </c>
      <c r="AW431" s="3402">
        <f>AW430/AU430</f>
        <v>0.27004744392063529</v>
      </c>
      <c r="AX431" s="3402">
        <f>AX430/AU430</f>
        <v>0.72995255607936471</v>
      </c>
      <c r="AY431" s="3411"/>
      <c r="AZ431" s="3403" t="s">
        <v>628</v>
      </c>
      <c r="BA431" s="3412"/>
      <c r="BB431" s="3412"/>
      <c r="BC431" s="3402">
        <f>BD431+BE431+BF431</f>
        <v>1</v>
      </c>
      <c r="BD431" s="3402">
        <f>BD430/BC430</f>
        <v>0</v>
      </c>
      <c r="BE431" s="3402">
        <f>BE430/BC430</f>
        <v>0.27004744392063529</v>
      </c>
      <c r="BF431" s="3402">
        <f>BF430/BC430</f>
        <v>0.72995255607936471</v>
      </c>
      <c r="BG431" s="3411"/>
      <c r="BH431" s="3403" t="s">
        <v>628</v>
      </c>
      <c r="BI431" s="3412"/>
      <c r="BJ431" s="3412"/>
      <c r="BK431" s="3402">
        <f>BL431+BM431+BN431</f>
        <v>1</v>
      </c>
      <c r="BL431" s="3402">
        <f>BL430/BK430</f>
        <v>0</v>
      </c>
      <c r="BM431" s="3402">
        <f>BM430/BK430</f>
        <v>0.27004744392063529</v>
      </c>
      <c r="BN431" s="3402">
        <f>BN430/BK430</f>
        <v>0.72995255607936471</v>
      </c>
      <c r="BO431" s="3411"/>
      <c r="BP431" s="3403" t="s">
        <v>628</v>
      </c>
      <c r="BQ431" s="3412"/>
      <c r="BR431" s="3412"/>
      <c r="BS431" s="3402">
        <f>BT431+BU431+BV431</f>
        <v>1</v>
      </c>
      <c r="BT431" s="3402">
        <f>BT430/BS430</f>
        <v>0</v>
      </c>
      <c r="BU431" s="3402">
        <f>BU430/BS430</f>
        <v>0.27004744392063529</v>
      </c>
      <c r="BV431" s="3402">
        <f>BV430/BS430</f>
        <v>0.72995255607936471</v>
      </c>
      <c r="BW431" s="3411"/>
      <c r="BX431" s="3403" t="s">
        <v>628</v>
      </c>
      <c r="BY431" s="3412"/>
      <c r="BZ431" s="3412"/>
      <c r="CA431" s="3402">
        <f>CB431+CC431+CD431</f>
        <v>1</v>
      </c>
      <c r="CB431" s="3402">
        <f>CB430/CA430</f>
        <v>0</v>
      </c>
      <c r="CC431" s="3402">
        <f>CC430/CA430</f>
        <v>0.27004744392063529</v>
      </c>
      <c r="CD431" s="3402">
        <f>CD430/CA430</f>
        <v>0.72995255607936471</v>
      </c>
      <c r="CE431" s="3411"/>
      <c r="CF431" s="3403" t="s">
        <v>628</v>
      </c>
      <c r="CG431" s="3412"/>
      <c r="CH431" s="3412"/>
      <c r="CI431" s="3402">
        <f>CJ431+CK431+CL431</f>
        <v>1</v>
      </c>
      <c r="CJ431" s="3402">
        <f>CJ430/CI430</f>
        <v>0</v>
      </c>
      <c r="CK431" s="3402">
        <f>CK430/CI430</f>
        <v>0.27004744392063529</v>
      </c>
      <c r="CL431" s="3402">
        <f>CL430/CI430</f>
        <v>0.72995255607936471</v>
      </c>
      <c r="CM431" s="3411"/>
      <c r="CN431" s="3403" t="s">
        <v>628</v>
      </c>
      <c r="CO431" s="3412"/>
      <c r="CP431" s="3412"/>
      <c r="CQ431" s="3402">
        <f>CR431+CS431+CT431</f>
        <v>1</v>
      </c>
      <c r="CR431" s="3402">
        <f>CR430/CQ430</f>
        <v>0</v>
      </c>
      <c r="CS431" s="3402">
        <f>CS430/CQ430</f>
        <v>0.27004744392063529</v>
      </c>
      <c r="CT431" s="3402">
        <f>CT430/CQ430</f>
        <v>0.72995255607936471</v>
      </c>
      <c r="CU431" s="3411"/>
      <c r="CV431" s="3403" t="s">
        <v>628</v>
      </c>
      <c r="CW431" s="3412"/>
      <c r="CX431" s="3412"/>
      <c r="CY431" s="3402">
        <f>CZ431+DA431+DB431</f>
        <v>1</v>
      </c>
      <c r="CZ431" s="3402">
        <f>CZ430/CY430</f>
        <v>0</v>
      </c>
      <c r="DA431" s="3402">
        <f>DA430/CY430</f>
        <v>0.27004744392063529</v>
      </c>
      <c r="DB431" s="3402">
        <f>DB430/CY430</f>
        <v>0.72995255607936471</v>
      </c>
      <c r="DC431" s="3411"/>
      <c r="DD431" s="3403" t="s">
        <v>628</v>
      </c>
      <c r="DE431" s="3412"/>
      <c r="DF431" s="3412"/>
      <c r="DG431" s="3402">
        <f>DH431+DI431+DJ431</f>
        <v>1</v>
      </c>
      <c r="DH431" s="3402">
        <f>DH430/DG430</f>
        <v>0</v>
      </c>
      <c r="DI431" s="3402">
        <f>DI430/DG430</f>
        <v>0.27004744392063529</v>
      </c>
      <c r="DJ431" s="3402">
        <f>DJ430/DG430</f>
        <v>0.72995255607936471</v>
      </c>
      <c r="DK431" s="3411"/>
      <c r="DL431" s="3403" t="s">
        <v>628</v>
      </c>
      <c r="DM431" s="3412"/>
      <c r="DN431" s="3412"/>
      <c r="DO431" s="3402">
        <f>DP431+DQ431+DR431</f>
        <v>1</v>
      </c>
      <c r="DP431" s="3402">
        <f>DP430/DO430</f>
        <v>0</v>
      </c>
      <c r="DQ431" s="3402">
        <f>DQ430/DO430</f>
        <v>0.27004744392063529</v>
      </c>
      <c r="DR431" s="3402">
        <f>DR430/DO430</f>
        <v>0.72995255607936471</v>
      </c>
      <c r="DS431" s="3411"/>
      <c r="DT431" s="3403" t="s">
        <v>628</v>
      </c>
      <c r="DU431" s="3412"/>
      <c r="DV431" s="3412"/>
      <c r="DW431" s="3402">
        <f>DX431+DY431+DZ431</f>
        <v>1</v>
      </c>
      <c r="DX431" s="3402">
        <f>DX430/DW430</f>
        <v>0</v>
      </c>
      <c r="DY431" s="3402">
        <f>DY430/DW430</f>
        <v>0.27004744392063529</v>
      </c>
      <c r="DZ431" s="3402">
        <f>DZ430/DW430</f>
        <v>0.72995255607936471</v>
      </c>
      <c r="EA431" s="3411"/>
      <c r="EB431" s="3403" t="s">
        <v>628</v>
      </c>
      <c r="EC431" s="3412"/>
      <c r="ED431" s="3412"/>
      <c r="EE431" s="3402">
        <f>EF431+EG431+EH431</f>
        <v>1</v>
      </c>
      <c r="EF431" s="3402">
        <f>EF430/EE430</f>
        <v>0</v>
      </c>
      <c r="EG431" s="3402">
        <f>EG430/EE430</f>
        <v>0.27004744392063529</v>
      </c>
      <c r="EH431" s="3402">
        <f>EH430/EE430</f>
        <v>0.72995255607936471</v>
      </c>
      <c r="EI431" s="3411"/>
      <c r="EJ431" s="3403" t="s">
        <v>628</v>
      </c>
      <c r="EK431" s="3412"/>
      <c r="EL431" s="3412"/>
      <c r="EM431" s="3402">
        <f>EN431+EO431+EP431</f>
        <v>1</v>
      </c>
      <c r="EN431" s="3402">
        <f>EN430/EM430</f>
        <v>0</v>
      </c>
      <c r="EO431" s="3402">
        <f>EO430/EM430</f>
        <v>0.27004744392063529</v>
      </c>
      <c r="EP431" s="3402">
        <f>EP430/EM430</f>
        <v>0.72995255607936471</v>
      </c>
      <c r="EQ431" s="3411"/>
      <c r="ER431" s="3403" t="s">
        <v>628</v>
      </c>
      <c r="ES431" s="3412"/>
      <c r="ET431" s="3412"/>
      <c r="EU431" s="3402">
        <f>EV431+EW431+EX431</f>
        <v>1</v>
      </c>
      <c r="EV431" s="3402">
        <f>EV430/EU430</f>
        <v>0</v>
      </c>
      <c r="EW431" s="3402">
        <f>EW430/EU430</f>
        <v>0.27004744392063529</v>
      </c>
      <c r="EX431" s="3402">
        <f>EX430/EU430</f>
        <v>0.72995255607936471</v>
      </c>
      <c r="EY431" s="3411"/>
      <c r="EZ431" s="3403" t="s">
        <v>628</v>
      </c>
      <c r="FA431" s="3412"/>
      <c r="FB431" s="3412"/>
      <c r="FC431" s="3402">
        <f>FD431+FE431+FF431</f>
        <v>1</v>
      </c>
      <c r="FD431" s="3402">
        <f>FD430/FC430</f>
        <v>0</v>
      </c>
      <c r="FE431" s="3402">
        <f>FE430/FC430</f>
        <v>0.27004744392063529</v>
      </c>
      <c r="FF431" s="3402">
        <f>FF430/FC430</f>
        <v>0.72995255607936471</v>
      </c>
      <c r="FG431" s="3411"/>
      <c r="FH431" s="3403" t="s">
        <v>628</v>
      </c>
      <c r="FI431" s="3412"/>
      <c r="FJ431" s="3412"/>
      <c r="FK431" s="3402">
        <f>FL431+FM431+FN431</f>
        <v>1</v>
      </c>
      <c r="FL431" s="3402">
        <f>FL430/FK430</f>
        <v>0</v>
      </c>
      <c r="FM431" s="3402">
        <f>FM430/FK430</f>
        <v>0.27004744392063529</v>
      </c>
      <c r="FN431" s="3402">
        <f>FN430/FK430</f>
        <v>0.72995255607936471</v>
      </c>
      <c r="FO431" s="3411"/>
    </row>
    <row r="432" spans="2:171">
      <c r="K432" s="3264"/>
      <c r="S432" s="3264"/>
      <c r="AA432" s="3264"/>
      <c r="AI432" s="3264"/>
      <c r="AQ432" s="3264"/>
      <c r="AY432" s="3264"/>
      <c r="BG432" s="3264"/>
      <c r="BO432" s="3264"/>
      <c r="BW432" s="3264"/>
      <c r="CE432" s="3264"/>
      <c r="CM432" s="3264"/>
      <c r="CU432" s="3264"/>
      <c r="DC432" s="3264"/>
      <c r="DK432" s="3264"/>
      <c r="DS432" s="3264"/>
      <c r="EA432" s="3264"/>
      <c r="EI432" s="3264"/>
      <c r="EQ432" s="3264"/>
      <c r="EY432" s="3264"/>
      <c r="FG432" s="3264"/>
      <c r="FO432" s="3264"/>
    </row>
    <row r="433" spans="2:171">
      <c r="E433" s="3090" t="s">
        <v>520</v>
      </c>
      <c r="G433" s="3091" t="s">
        <v>104</v>
      </c>
      <c r="H433" s="3091" t="s">
        <v>105</v>
      </c>
      <c r="I433" s="3091" t="s">
        <v>106</v>
      </c>
      <c r="J433" s="3092" t="s">
        <v>511</v>
      </c>
      <c r="K433" s="3264"/>
      <c r="O433" s="3091" t="s">
        <v>104</v>
      </c>
      <c r="P433" s="3091" t="s">
        <v>105</v>
      </c>
      <c r="Q433" s="3091" t="s">
        <v>106</v>
      </c>
      <c r="R433" s="3092" t="s">
        <v>511</v>
      </c>
      <c r="S433" s="3264"/>
      <c r="W433" s="3091" t="s">
        <v>104</v>
      </c>
      <c r="X433" s="3091" t="s">
        <v>105</v>
      </c>
      <c r="Y433" s="3091" t="s">
        <v>106</v>
      </c>
      <c r="Z433" s="3092" t="s">
        <v>511</v>
      </c>
      <c r="AA433" s="3264"/>
      <c r="AE433" s="3091" t="s">
        <v>104</v>
      </c>
      <c r="AF433" s="3091" t="s">
        <v>105</v>
      </c>
      <c r="AG433" s="3091" t="s">
        <v>106</v>
      </c>
      <c r="AH433" s="3092" t="s">
        <v>511</v>
      </c>
      <c r="AI433" s="3264"/>
      <c r="AM433" s="3091" t="s">
        <v>104</v>
      </c>
      <c r="AN433" s="3091" t="s">
        <v>105</v>
      </c>
      <c r="AO433" s="3091" t="s">
        <v>106</v>
      </c>
      <c r="AP433" s="3092" t="s">
        <v>511</v>
      </c>
      <c r="AQ433" s="3264"/>
      <c r="AU433" s="3091" t="s">
        <v>104</v>
      </c>
      <c r="AV433" s="3091" t="s">
        <v>105</v>
      </c>
      <c r="AW433" s="3091" t="s">
        <v>106</v>
      </c>
      <c r="AX433" s="3092" t="s">
        <v>511</v>
      </c>
      <c r="AY433" s="3264"/>
      <c r="BC433" s="3091" t="s">
        <v>104</v>
      </c>
      <c r="BD433" s="3091" t="s">
        <v>105</v>
      </c>
      <c r="BE433" s="3091" t="s">
        <v>106</v>
      </c>
      <c r="BF433" s="3092" t="s">
        <v>511</v>
      </c>
      <c r="BG433" s="3264"/>
      <c r="BK433" s="3091" t="s">
        <v>104</v>
      </c>
      <c r="BL433" s="3091" t="s">
        <v>105</v>
      </c>
      <c r="BM433" s="3091" t="s">
        <v>106</v>
      </c>
      <c r="BN433" s="3092" t="s">
        <v>511</v>
      </c>
      <c r="BO433" s="3264"/>
      <c r="BS433" s="3091" t="s">
        <v>104</v>
      </c>
      <c r="BT433" s="3091" t="s">
        <v>105</v>
      </c>
      <c r="BU433" s="3091" t="s">
        <v>106</v>
      </c>
      <c r="BV433" s="3092" t="s">
        <v>511</v>
      </c>
      <c r="BW433" s="3264"/>
      <c r="CA433" s="3091" t="s">
        <v>104</v>
      </c>
      <c r="CB433" s="3091" t="s">
        <v>105</v>
      </c>
      <c r="CC433" s="3091" t="s">
        <v>106</v>
      </c>
      <c r="CD433" s="3092" t="s">
        <v>511</v>
      </c>
      <c r="CE433" s="3264"/>
      <c r="CI433" s="3091" t="s">
        <v>104</v>
      </c>
      <c r="CJ433" s="3091" t="s">
        <v>105</v>
      </c>
      <c r="CK433" s="3091" t="s">
        <v>106</v>
      </c>
      <c r="CL433" s="3092" t="s">
        <v>511</v>
      </c>
      <c r="CM433" s="3264"/>
      <c r="CQ433" s="3091" t="s">
        <v>104</v>
      </c>
      <c r="CR433" s="3091" t="s">
        <v>105</v>
      </c>
      <c r="CS433" s="3091" t="s">
        <v>106</v>
      </c>
      <c r="CT433" s="3092" t="s">
        <v>511</v>
      </c>
      <c r="CU433" s="3264"/>
      <c r="CY433" s="3091" t="s">
        <v>104</v>
      </c>
      <c r="CZ433" s="3091" t="s">
        <v>105</v>
      </c>
      <c r="DA433" s="3091" t="s">
        <v>106</v>
      </c>
      <c r="DB433" s="3092" t="s">
        <v>511</v>
      </c>
      <c r="DC433" s="3264"/>
      <c r="DG433" s="3091" t="s">
        <v>104</v>
      </c>
      <c r="DH433" s="3091" t="s">
        <v>105</v>
      </c>
      <c r="DI433" s="3091" t="s">
        <v>106</v>
      </c>
      <c r="DJ433" s="3092" t="s">
        <v>511</v>
      </c>
      <c r="DK433" s="3264"/>
      <c r="DO433" s="3091" t="s">
        <v>104</v>
      </c>
      <c r="DP433" s="3091" t="s">
        <v>105</v>
      </c>
      <c r="DQ433" s="3091" t="s">
        <v>106</v>
      </c>
      <c r="DR433" s="3092" t="s">
        <v>511</v>
      </c>
      <c r="DS433" s="3264"/>
      <c r="DW433" s="3091" t="s">
        <v>104</v>
      </c>
      <c r="DX433" s="3091" t="s">
        <v>105</v>
      </c>
      <c r="DY433" s="3091" t="s">
        <v>106</v>
      </c>
      <c r="DZ433" s="3092" t="s">
        <v>511</v>
      </c>
      <c r="EA433" s="3264"/>
      <c r="EE433" s="3091" t="s">
        <v>104</v>
      </c>
      <c r="EF433" s="3091" t="s">
        <v>105</v>
      </c>
      <c r="EG433" s="3091" t="s">
        <v>106</v>
      </c>
      <c r="EH433" s="3092" t="s">
        <v>511</v>
      </c>
      <c r="EI433" s="3264"/>
      <c r="EM433" s="3091" t="s">
        <v>104</v>
      </c>
      <c r="EN433" s="3091" t="s">
        <v>105</v>
      </c>
      <c r="EO433" s="3091" t="s">
        <v>106</v>
      </c>
      <c r="EP433" s="3092" t="s">
        <v>511</v>
      </c>
      <c r="EQ433" s="3264"/>
      <c r="EU433" s="3091" t="s">
        <v>104</v>
      </c>
      <c r="EV433" s="3091" t="s">
        <v>105</v>
      </c>
      <c r="EW433" s="3091" t="s">
        <v>106</v>
      </c>
      <c r="EX433" s="3092" t="s">
        <v>511</v>
      </c>
      <c r="EY433" s="3264"/>
      <c r="FC433" s="3091" t="s">
        <v>104</v>
      </c>
      <c r="FD433" s="3091" t="s">
        <v>105</v>
      </c>
      <c r="FE433" s="3091" t="s">
        <v>106</v>
      </c>
      <c r="FF433" s="3092" t="s">
        <v>511</v>
      </c>
      <c r="FG433" s="3264"/>
      <c r="FK433" s="3091" t="s">
        <v>104</v>
      </c>
      <c r="FL433" s="3091" t="s">
        <v>105</v>
      </c>
      <c r="FM433" s="3091" t="s">
        <v>106</v>
      </c>
      <c r="FN433" s="3092" t="s">
        <v>511</v>
      </c>
      <c r="FO433" s="3264"/>
    </row>
    <row r="434" spans="2:171">
      <c r="B434" s="3086"/>
      <c r="C434" s="3086" t="s">
        <v>126</v>
      </c>
      <c r="D434" s="3405"/>
      <c r="E434" s="3234" t="str">
        <f>E38</f>
        <v>PTD</v>
      </c>
      <c r="G434" s="2424">
        <f>G38</f>
        <v>126721170</v>
      </c>
      <c r="H434" s="2424">
        <f t="shared" ref="H434:J434" si="1683">H38</f>
        <v>44237278.623228356</v>
      </c>
      <c r="I434" s="2424">
        <f t="shared" si="1683"/>
        <v>0</v>
      </c>
      <c r="J434" s="2424">
        <f t="shared" si="1683"/>
        <v>82483891.376771659</v>
      </c>
      <c r="K434" s="3411"/>
      <c r="L434" s="3405"/>
      <c r="M434" s="3406"/>
      <c r="N434" s="3406"/>
      <c r="O434" s="2424">
        <f>O38</f>
        <v>126721170</v>
      </c>
      <c r="P434" s="2424">
        <f t="shared" ref="P434:R434" si="1684">P38</f>
        <v>44237278.623228356</v>
      </c>
      <c r="Q434" s="2424">
        <f t="shared" si="1684"/>
        <v>22585554.158817567</v>
      </c>
      <c r="R434" s="2424">
        <f t="shared" si="1684"/>
        <v>59898337.217954084</v>
      </c>
      <c r="S434" s="3411"/>
      <c r="T434" s="3405"/>
      <c r="U434" s="3406"/>
      <c r="V434" s="3406"/>
      <c r="W434" s="2424">
        <f>W38</f>
        <v>126721170</v>
      </c>
      <c r="X434" s="2424">
        <f t="shared" ref="X434:Z434" si="1685">X38</f>
        <v>44237278.623228356</v>
      </c>
      <c r="Y434" s="2424">
        <f t="shared" si="1685"/>
        <v>22585554.158817567</v>
      </c>
      <c r="Z434" s="2424">
        <f t="shared" si="1685"/>
        <v>59898337.217954084</v>
      </c>
      <c r="AA434" s="3411"/>
      <c r="AB434" s="3405"/>
      <c r="AC434" s="3406"/>
      <c r="AD434" s="3406"/>
      <c r="AE434" s="2424">
        <f>AE38</f>
        <v>126721170</v>
      </c>
      <c r="AF434" s="2424">
        <f t="shared" ref="AF434:AH434" si="1686">AF38</f>
        <v>44237278.623228356</v>
      </c>
      <c r="AG434" s="2424">
        <f t="shared" si="1686"/>
        <v>22585554.158817567</v>
      </c>
      <c r="AH434" s="2424">
        <f t="shared" si="1686"/>
        <v>59898337.217954084</v>
      </c>
      <c r="AI434" s="3411"/>
      <c r="AJ434" s="3405"/>
      <c r="AK434" s="3406"/>
      <c r="AL434" s="3406"/>
      <c r="AM434" s="2424">
        <f>AM38</f>
        <v>126721170</v>
      </c>
      <c r="AN434" s="2424">
        <f t="shared" ref="AN434:AP434" si="1687">AN38</f>
        <v>44237278.623228356</v>
      </c>
      <c r="AO434" s="2424">
        <f t="shared" si="1687"/>
        <v>22585554.158817567</v>
      </c>
      <c r="AP434" s="2424">
        <f t="shared" si="1687"/>
        <v>59898337.217954084</v>
      </c>
      <c r="AQ434" s="3411"/>
      <c r="AR434" s="3405"/>
      <c r="AS434" s="3406"/>
      <c r="AT434" s="3406"/>
      <c r="AU434" s="2424">
        <f>AU38</f>
        <v>126721170</v>
      </c>
      <c r="AV434" s="2424">
        <f t="shared" ref="AV434:AX434" si="1688">AV38</f>
        <v>44237278.623228356</v>
      </c>
      <c r="AW434" s="2424">
        <f t="shared" si="1688"/>
        <v>22585554.158817567</v>
      </c>
      <c r="AX434" s="2424">
        <f t="shared" si="1688"/>
        <v>59898337.217954084</v>
      </c>
      <c r="AY434" s="3411"/>
      <c r="AZ434" s="3405"/>
      <c r="BA434" s="3406"/>
      <c r="BB434" s="3406"/>
      <c r="BC434" s="2424">
        <f>BC38</f>
        <v>126721170</v>
      </c>
      <c r="BD434" s="2424">
        <f t="shared" ref="BD434:BF434" si="1689">BD38</f>
        <v>44237278.623228356</v>
      </c>
      <c r="BE434" s="2424">
        <f t="shared" si="1689"/>
        <v>22585554.158817567</v>
      </c>
      <c r="BF434" s="2424">
        <f t="shared" si="1689"/>
        <v>59898337.217954084</v>
      </c>
      <c r="BG434" s="3411"/>
      <c r="BH434" s="3405"/>
      <c r="BI434" s="3406"/>
      <c r="BJ434" s="3406"/>
      <c r="BK434" s="2424">
        <f>BK38</f>
        <v>126721170</v>
      </c>
      <c r="BL434" s="2424">
        <f t="shared" ref="BL434:BN434" si="1690">BL38</f>
        <v>44237278.623228356</v>
      </c>
      <c r="BM434" s="2424">
        <f t="shared" si="1690"/>
        <v>22585554.158817567</v>
      </c>
      <c r="BN434" s="2424">
        <f t="shared" si="1690"/>
        <v>59898337.217954084</v>
      </c>
      <c r="BO434" s="3411"/>
      <c r="BP434" s="3405"/>
      <c r="BQ434" s="3406"/>
      <c r="BR434" s="3406"/>
      <c r="BS434" s="2424">
        <f>BS38</f>
        <v>126721170</v>
      </c>
      <c r="BT434" s="2424">
        <f t="shared" ref="BT434:BV434" si="1691">BT38</f>
        <v>44237278.623228356</v>
      </c>
      <c r="BU434" s="2424">
        <f t="shared" si="1691"/>
        <v>22585554.158817567</v>
      </c>
      <c r="BV434" s="2424">
        <f t="shared" si="1691"/>
        <v>59898337.217954084</v>
      </c>
      <c r="BW434" s="3411"/>
      <c r="BX434" s="3405"/>
      <c r="BY434" s="3406"/>
      <c r="BZ434" s="3406"/>
      <c r="CA434" s="2424">
        <f>CA38</f>
        <v>126721170</v>
      </c>
      <c r="CB434" s="2424">
        <f t="shared" ref="CB434:CD434" si="1692">CB38</f>
        <v>44237278.623228356</v>
      </c>
      <c r="CC434" s="2424">
        <f t="shared" si="1692"/>
        <v>22585554.158817567</v>
      </c>
      <c r="CD434" s="2424">
        <f t="shared" si="1692"/>
        <v>59898337.217954084</v>
      </c>
      <c r="CE434" s="3411"/>
      <c r="CF434" s="3405"/>
      <c r="CG434" s="3406"/>
      <c r="CH434" s="3406"/>
      <c r="CI434" s="2424">
        <f>CI38</f>
        <v>126721170</v>
      </c>
      <c r="CJ434" s="2424">
        <f t="shared" ref="CJ434:CL434" si="1693">CJ38</f>
        <v>44237278.623228356</v>
      </c>
      <c r="CK434" s="2424">
        <f t="shared" si="1693"/>
        <v>22585554.158817567</v>
      </c>
      <c r="CL434" s="2424">
        <f t="shared" si="1693"/>
        <v>59898337.217954084</v>
      </c>
      <c r="CM434" s="3411"/>
      <c r="CN434" s="3405"/>
      <c r="CO434" s="3406"/>
      <c r="CP434" s="3406"/>
      <c r="CQ434" s="2424">
        <f>CQ38</f>
        <v>126721170</v>
      </c>
      <c r="CR434" s="2424">
        <f t="shared" ref="CR434:CT434" si="1694">CR38</f>
        <v>44237278.623228356</v>
      </c>
      <c r="CS434" s="2424">
        <f t="shared" si="1694"/>
        <v>22585554.158817567</v>
      </c>
      <c r="CT434" s="2424">
        <f t="shared" si="1694"/>
        <v>59898337.217954084</v>
      </c>
      <c r="CU434" s="3411"/>
      <c r="CV434" s="3405"/>
      <c r="CW434" s="3406"/>
      <c r="CX434" s="3406"/>
      <c r="CY434" s="2424">
        <f>CY38</f>
        <v>126721170</v>
      </c>
      <c r="CZ434" s="2424">
        <f t="shared" ref="CZ434:DB434" si="1695">CZ38</f>
        <v>44237278.623228356</v>
      </c>
      <c r="DA434" s="2424">
        <f t="shared" si="1695"/>
        <v>22585554.158817567</v>
      </c>
      <c r="DB434" s="2424">
        <f t="shared" si="1695"/>
        <v>59898337.217954084</v>
      </c>
      <c r="DC434" s="3411"/>
      <c r="DD434" s="3405"/>
      <c r="DE434" s="3406"/>
      <c r="DF434" s="3406"/>
      <c r="DG434" s="2424">
        <f>DG38</f>
        <v>126721170</v>
      </c>
      <c r="DH434" s="2424">
        <f t="shared" ref="DH434:DJ434" si="1696">DH38</f>
        <v>44237278.623228356</v>
      </c>
      <c r="DI434" s="2424">
        <f t="shared" si="1696"/>
        <v>22585554.158817567</v>
      </c>
      <c r="DJ434" s="2424">
        <f t="shared" si="1696"/>
        <v>59898337.217954084</v>
      </c>
      <c r="DK434" s="3411"/>
      <c r="DL434" s="3405"/>
      <c r="DM434" s="3406"/>
      <c r="DN434" s="3406"/>
      <c r="DO434" s="2424">
        <f>DO38</f>
        <v>126721170</v>
      </c>
      <c r="DP434" s="2424">
        <f t="shared" ref="DP434:DR434" si="1697">DP38</f>
        <v>44237278.623228356</v>
      </c>
      <c r="DQ434" s="2424">
        <f t="shared" si="1697"/>
        <v>22585554.158817567</v>
      </c>
      <c r="DR434" s="2424">
        <f t="shared" si="1697"/>
        <v>59898337.217954084</v>
      </c>
      <c r="DS434" s="3411"/>
      <c r="DT434" s="3405"/>
      <c r="DU434" s="3406"/>
      <c r="DV434" s="3406"/>
      <c r="DW434" s="2424">
        <f>DW38</f>
        <v>126721170</v>
      </c>
      <c r="DX434" s="2424">
        <f t="shared" ref="DX434:DZ434" si="1698">DX38</f>
        <v>44237278.623228356</v>
      </c>
      <c r="DY434" s="2424">
        <f t="shared" si="1698"/>
        <v>22585554.158817567</v>
      </c>
      <c r="DZ434" s="2424">
        <f t="shared" si="1698"/>
        <v>59898337.217954084</v>
      </c>
      <c r="EA434" s="3411"/>
      <c r="EB434" s="3405"/>
      <c r="EC434" s="3406"/>
      <c r="ED434" s="3406"/>
      <c r="EE434" s="2424">
        <f>EE38</f>
        <v>126721170</v>
      </c>
      <c r="EF434" s="2424">
        <f t="shared" ref="EF434:EH434" si="1699">EF38</f>
        <v>44237278.623228356</v>
      </c>
      <c r="EG434" s="2424">
        <f t="shared" si="1699"/>
        <v>22585554.158817567</v>
      </c>
      <c r="EH434" s="2424">
        <f t="shared" si="1699"/>
        <v>59898337.217954084</v>
      </c>
      <c r="EI434" s="3411"/>
      <c r="EJ434" s="3405"/>
      <c r="EK434" s="3406"/>
      <c r="EL434" s="3406"/>
      <c r="EM434" s="2424">
        <f>EM38</f>
        <v>126721170</v>
      </c>
      <c r="EN434" s="2424">
        <f t="shared" ref="EN434:EP434" si="1700">EN38</f>
        <v>44237278.623228356</v>
      </c>
      <c r="EO434" s="2424">
        <f t="shared" si="1700"/>
        <v>22585554.158817567</v>
      </c>
      <c r="EP434" s="2424">
        <f t="shared" si="1700"/>
        <v>59898337.217954084</v>
      </c>
      <c r="EQ434" s="3411"/>
      <c r="ER434" s="3405"/>
      <c r="ES434" s="3406"/>
      <c r="ET434" s="3406"/>
      <c r="EU434" s="2424">
        <f>EU38</f>
        <v>126721170</v>
      </c>
      <c r="EV434" s="2424">
        <f t="shared" ref="EV434:EX434" si="1701">EV38</f>
        <v>44237278.623228356</v>
      </c>
      <c r="EW434" s="2424">
        <f t="shared" si="1701"/>
        <v>22585554.158817567</v>
      </c>
      <c r="EX434" s="2424">
        <f t="shared" si="1701"/>
        <v>59898337.217954084</v>
      </c>
      <c r="EY434" s="3411"/>
      <c r="EZ434" s="3405"/>
      <c r="FA434" s="3406"/>
      <c r="FB434" s="3406"/>
      <c r="FC434" s="2424">
        <f>FC38</f>
        <v>126721170</v>
      </c>
      <c r="FD434" s="2424">
        <f t="shared" ref="FD434:FF434" si="1702">FD38</f>
        <v>44237278.623228356</v>
      </c>
      <c r="FE434" s="2424">
        <f t="shared" si="1702"/>
        <v>22585554.158817567</v>
      </c>
      <c r="FF434" s="2424">
        <f t="shared" si="1702"/>
        <v>59898337.217954084</v>
      </c>
      <c r="FG434" s="3411"/>
      <c r="FH434" s="3405"/>
      <c r="FI434" s="3406"/>
      <c r="FJ434" s="3406"/>
      <c r="FK434" s="2424">
        <f>FK38</f>
        <v>126721170</v>
      </c>
      <c r="FL434" s="2424">
        <f t="shared" ref="FL434:FN434" si="1703">FL38</f>
        <v>44237278.623228356</v>
      </c>
      <c r="FM434" s="2424">
        <f t="shared" si="1703"/>
        <v>22585554.158817567</v>
      </c>
      <c r="FN434" s="2424">
        <f t="shared" si="1703"/>
        <v>59898337.217954084</v>
      </c>
      <c r="FO434" s="3411"/>
    </row>
    <row r="435" spans="2:171">
      <c r="B435" s="3086"/>
      <c r="C435" s="3086" t="s">
        <v>127</v>
      </c>
      <c r="D435" s="3405"/>
      <c r="E435" s="3234" t="str">
        <f>E39</f>
        <v>LABOR</v>
      </c>
      <c r="G435" s="2424">
        <f>G39</f>
        <v>31597697</v>
      </c>
      <c r="H435" s="2424">
        <f t="shared" ref="H435:J435" si="1704">H39</f>
        <v>10737849.558694087</v>
      </c>
      <c r="I435" s="2424">
        <f t="shared" si="1704"/>
        <v>0</v>
      </c>
      <c r="J435" s="2424">
        <f t="shared" si="1704"/>
        <v>20859847.441305913</v>
      </c>
      <c r="K435" s="3264"/>
      <c r="L435" s="3405"/>
      <c r="M435" s="3406"/>
      <c r="N435" s="3406"/>
      <c r="O435" s="2424">
        <f>O39</f>
        <v>31597697</v>
      </c>
      <c r="P435" s="2424">
        <f t="shared" ref="P435:R435" si="1705">P39</f>
        <v>10737849.558694087</v>
      </c>
      <c r="Q435" s="2424">
        <f t="shared" si="1705"/>
        <v>1714681.2771933991</v>
      </c>
      <c r="R435" s="2424">
        <f t="shared" si="1705"/>
        <v>19145166.164112516</v>
      </c>
      <c r="S435" s="3264"/>
      <c r="T435" s="3405"/>
      <c r="U435" s="3406"/>
      <c r="V435" s="3406"/>
      <c r="W435" s="2424">
        <f>W39</f>
        <v>31597697</v>
      </c>
      <c r="X435" s="2424">
        <f t="shared" ref="X435:Z435" si="1706">X39</f>
        <v>10737849.558694087</v>
      </c>
      <c r="Y435" s="2424">
        <f t="shared" si="1706"/>
        <v>1714681.2771933991</v>
      </c>
      <c r="Z435" s="2424">
        <f t="shared" si="1706"/>
        <v>19145166.164112516</v>
      </c>
      <c r="AA435" s="3264"/>
      <c r="AB435" s="3405"/>
      <c r="AC435" s="3406"/>
      <c r="AD435" s="3406"/>
      <c r="AE435" s="2424">
        <f>AE39</f>
        <v>31597697</v>
      </c>
      <c r="AF435" s="2424">
        <f t="shared" ref="AF435:AH435" si="1707">AF39</f>
        <v>10737849.558694087</v>
      </c>
      <c r="AG435" s="2424">
        <f t="shared" si="1707"/>
        <v>1714681.2771933991</v>
      </c>
      <c r="AH435" s="2424">
        <f t="shared" si="1707"/>
        <v>19145166.164112516</v>
      </c>
      <c r="AI435" s="3264"/>
      <c r="AJ435" s="3405"/>
      <c r="AK435" s="3406"/>
      <c r="AL435" s="3406"/>
      <c r="AM435" s="2424">
        <f>AM39</f>
        <v>31597697</v>
      </c>
      <c r="AN435" s="2424">
        <f t="shared" ref="AN435:AP435" si="1708">AN39</f>
        <v>10737849.558694087</v>
      </c>
      <c r="AO435" s="2424">
        <f t="shared" si="1708"/>
        <v>1714681.2771933991</v>
      </c>
      <c r="AP435" s="2424">
        <f t="shared" si="1708"/>
        <v>19145166.164112516</v>
      </c>
      <c r="AQ435" s="3264"/>
      <c r="AR435" s="3405"/>
      <c r="AS435" s="3406"/>
      <c r="AT435" s="3406"/>
      <c r="AU435" s="2424">
        <f>AU39</f>
        <v>31597697</v>
      </c>
      <c r="AV435" s="2424">
        <f t="shared" ref="AV435:AX435" si="1709">AV39</f>
        <v>10737849.558694087</v>
      </c>
      <c r="AW435" s="2424">
        <f t="shared" si="1709"/>
        <v>1714681.2771933991</v>
      </c>
      <c r="AX435" s="2424">
        <f t="shared" si="1709"/>
        <v>19145166.164112516</v>
      </c>
      <c r="AY435" s="3264"/>
      <c r="AZ435" s="3405"/>
      <c r="BA435" s="3406"/>
      <c r="BB435" s="3406"/>
      <c r="BC435" s="2424">
        <f>BC39</f>
        <v>31597697</v>
      </c>
      <c r="BD435" s="2424">
        <f t="shared" ref="BD435:BF435" si="1710">BD39</f>
        <v>10737849.558694087</v>
      </c>
      <c r="BE435" s="2424">
        <f t="shared" si="1710"/>
        <v>1714681.2771933991</v>
      </c>
      <c r="BF435" s="2424">
        <f t="shared" si="1710"/>
        <v>19145166.164112516</v>
      </c>
      <c r="BG435" s="3264"/>
      <c r="BH435" s="3405"/>
      <c r="BI435" s="3406"/>
      <c r="BJ435" s="3406"/>
      <c r="BK435" s="2424">
        <f>BK39</f>
        <v>31597697</v>
      </c>
      <c r="BL435" s="2424">
        <f t="shared" ref="BL435:BN435" si="1711">BL39</f>
        <v>10737849.558694087</v>
      </c>
      <c r="BM435" s="2424">
        <f t="shared" si="1711"/>
        <v>1714681.2771933991</v>
      </c>
      <c r="BN435" s="2424">
        <f t="shared" si="1711"/>
        <v>19145166.164112516</v>
      </c>
      <c r="BO435" s="3264"/>
      <c r="BP435" s="3405"/>
      <c r="BQ435" s="3406"/>
      <c r="BR435" s="3406"/>
      <c r="BS435" s="2424">
        <f>BS39</f>
        <v>31597697</v>
      </c>
      <c r="BT435" s="2424">
        <f t="shared" ref="BT435:BV435" si="1712">BT39</f>
        <v>10737849.558694087</v>
      </c>
      <c r="BU435" s="2424">
        <f t="shared" si="1712"/>
        <v>1714681.2771933991</v>
      </c>
      <c r="BV435" s="2424">
        <f t="shared" si="1712"/>
        <v>19145166.164112516</v>
      </c>
      <c r="BW435" s="3264"/>
      <c r="BX435" s="3405"/>
      <c r="BY435" s="3406"/>
      <c r="BZ435" s="3406"/>
      <c r="CA435" s="2424">
        <f>CA39</f>
        <v>31597697</v>
      </c>
      <c r="CB435" s="2424">
        <f t="shared" ref="CB435:CD435" si="1713">CB39</f>
        <v>10737849.558694087</v>
      </c>
      <c r="CC435" s="2424">
        <f t="shared" si="1713"/>
        <v>1714681.2771933991</v>
      </c>
      <c r="CD435" s="2424">
        <f t="shared" si="1713"/>
        <v>19145166.164112516</v>
      </c>
      <c r="CE435" s="3264"/>
      <c r="CF435" s="3405"/>
      <c r="CG435" s="3406"/>
      <c r="CH435" s="3406"/>
      <c r="CI435" s="2424">
        <f>CI39</f>
        <v>31597697</v>
      </c>
      <c r="CJ435" s="2424">
        <f t="shared" ref="CJ435:CL435" si="1714">CJ39</f>
        <v>10737849.558694087</v>
      </c>
      <c r="CK435" s="2424">
        <f t="shared" si="1714"/>
        <v>1714681.2771933991</v>
      </c>
      <c r="CL435" s="2424">
        <f t="shared" si="1714"/>
        <v>19145166.164112516</v>
      </c>
      <c r="CM435" s="3264"/>
      <c r="CN435" s="3405"/>
      <c r="CO435" s="3406"/>
      <c r="CP435" s="3406"/>
      <c r="CQ435" s="2424">
        <f>CQ39</f>
        <v>31597697</v>
      </c>
      <c r="CR435" s="2424">
        <f t="shared" ref="CR435:CT435" si="1715">CR39</f>
        <v>10737849.558694087</v>
      </c>
      <c r="CS435" s="2424">
        <f t="shared" si="1715"/>
        <v>1714681.2771933991</v>
      </c>
      <c r="CT435" s="2424">
        <f t="shared" si="1715"/>
        <v>19145166.164112516</v>
      </c>
      <c r="CU435" s="3264"/>
      <c r="CV435" s="3405"/>
      <c r="CW435" s="3406"/>
      <c r="CX435" s="3406"/>
      <c r="CY435" s="2424">
        <f>CY39</f>
        <v>31597697</v>
      </c>
      <c r="CZ435" s="2424">
        <f t="shared" ref="CZ435:DB435" si="1716">CZ39</f>
        <v>10737849.558694087</v>
      </c>
      <c r="DA435" s="2424">
        <f t="shared" si="1716"/>
        <v>1714681.2771933991</v>
      </c>
      <c r="DB435" s="2424">
        <f t="shared" si="1716"/>
        <v>19145166.164112516</v>
      </c>
      <c r="DC435" s="3264"/>
      <c r="DD435" s="3405"/>
      <c r="DE435" s="3406"/>
      <c r="DF435" s="3406"/>
      <c r="DG435" s="2424">
        <f>DG39</f>
        <v>31597697</v>
      </c>
      <c r="DH435" s="2424">
        <f t="shared" ref="DH435:DJ435" si="1717">DH39</f>
        <v>10737849.558694087</v>
      </c>
      <c r="DI435" s="2424">
        <f t="shared" si="1717"/>
        <v>1714681.2771933991</v>
      </c>
      <c r="DJ435" s="2424">
        <f t="shared" si="1717"/>
        <v>19145166.164112516</v>
      </c>
      <c r="DK435" s="3264"/>
      <c r="DL435" s="3405"/>
      <c r="DM435" s="3406"/>
      <c r="DN435" s="3406"/>
      <c r="DO435" s="2424">
        <f>DO39</f>
        <v>31597697</v>
      </c>
      <c r="DP435" s="2424">
        <f t="shared" ref="DP435:DR435" si="1718">DP39</f>
        <v>10737849.558694087</v>
      </c>
      <c r="DQ435" s="2424">
        <f t="shared" si="1718"/>
        <v>1714681.2771933991</v>
      </c>
      <c r="DR435" s="2424">
        <f t="shared" si="1718"/>
        <v>19145166.164112516</v>
      </c>
      <c r="DS435" s="3264"/>
      <c r="DT435" s="3405"/>
      <c r="DU435" s="3406"/>
      <c r="DV435" s="3406"/>
      <c r="DW435" s="2424">
        <f>DW39</f>
        <v>31597697</v>
      </c>
      <c r="DX435" s="2424">
        <f t="shared" ref="DX435:DZ435" si="1719">DX39</f>
        <v>10737849.558694087</v>
      </c>
      <c r="DY435" s="2424">
        <f t="shared" si="1719"/>
        <v>1714681.2771933991</v>
      </c>
      <c r="DZ435" s="2424">
        <f t="shared" si="1719"/>
        <v>19145166.164112516</v>
      </c>
      <c r="EA435" s="3264"/>
      <c r="EB435" s="3405"/>
      <c r="EC435" s="3406"/>
      <c r="ED435" s="3406"/>
      <c r="EE435" s="2424">
        <f>EE39</f>
        <v>31597697</v>
      </c>
      <c r="EF435" s="2424">
        <f t="shared" ref="EF435:EH435" si="1720">EF39</f>
        <v>10737849.558694087</v>
      </c>
      <c r="EG435" s="2424">
        <f t="shared" si="1720"/>
        <v>1714681.2771933991</v>
      </c>
      <c r="EH435" s="2424">
        <f t="shared" si="1720"/>
        <v>19145166.164112516</v>
      </c>
      <c r="EI435" s="3264"/>
      <c r="EJ435" s="3405"/>
      <c r="EK435" s="3406"/>
      <c r="EL435" s="3406"/>
      <c r="EM435" s="2424">
        <f>EM39</f>
        <v>31597697</v>
      </c>
      <c r="EN435" s="2424">
        <f t="shared" ref="EN435:EP435" si="1721">EN39</f>
        <v>10737849.558694087</v>
      </c>
      <c r="EO435" s="2424">
        <f t="shared" si="1721"/>
        <v>1714681.2771933991</v>
      </c>
      <c r="EP435" s="2424">
        <f t="shared" si="1721"/>
        <v>19145166.164112516</v>
      </c>
      <c r="EQ435" s="3264"/>
      <c r="ER435" s="3405"/>
      <c r="ES435" s="3406"/>
      <c r="ET435" s="3406"/>
      <c r="EU435" s="2424">
        <f>EU39</f>
        <v>31597697</v>
      </c>
      <c r="EV435" s="2424">
        <f t="shared" ref="EV435:EX435" si="1722">EV39</f>
        <v>10737849.558694087</v>
      </c>
      <c r="EW435" s="2424">
        <f t="shared" si="1722"/>
        <v>1714681.2771933991</v>
      </c>
      <c r="EX435" s="2424">
        <f t="shared" si="1722"/>
        <v>19145166.164112516</v>
      </c>
      <c r="EY435" s="3264"/>
      <c r="EZ435" s="3405"/>
      <c r="FA435" s="3406"/>
      <c r="FB435" s="3406"/>
      <c r="FC435" s="2424">
        <f>FC39</f>
        <v>31597697</v>
      </c>
      <c r="FD435" s="2424">
        <f t="shared" ref="FD435:FF435" si="1723">FD39</f>
        <v>10737849.558694087</v>
      </c>
      <c r="FE435" s="2424">
        <f t="shared" si="1723"/>
        <v>1714681.2771933991</v>
      </c>
      <c r="FF435" s="2424">
        <f t="shared" si="1723"/>
        <v>19145166.164112516</v>
      </c>
      <c r="FG435" s="3264"/>
      <c r="FH435" s="3405"/>
      <c r="FI435" s="3406"/>
      <c r="FJ435" s="3406"/>
      <c r="FK435" s="2424">
        <f>FK39</f>
        <v>31597697</v>
      </c>
      <c r="FL435" s="2424">
        <f t="shared" ref="FL435:FN435" si="1724">FL39</f>
        <v>10737849.558694087</v>
      </c>
      <c r="FM435" s="2424">
        <f t="shared" si="1724"/>
        <v>1714681.2771933991</v>
      </c>
      <c r="FN435" s="2424">
        <f t="shared" si="1724"/>
        <v>19145166.164112516</v>
      </c>
      <c r="FO435" s="3264"/>
    </row>
    <row r="436" spans="2:171">
      <c r="B436" s="3086"/>
      <c r="C436" s="3086" t="s">
        <v>133</v>
      </c>
      <c r="D436" s="3405"/>
      <c r="E436" s="3234" t="str">
        <f>E45</f>
        <v>PTD</v>
      </c>
      <c r="G436" s="2424">
        <f>G45</f>
        <v>105832047</v>
      </c>
      <c r="H436" s="2424">
        <f t="shared" ref="H436:J436" si="1725">H45</f>
        <v>36945064.11521925</v>
      </c>
      <c r="I436" s="2424">
        <f t="shared" si="1725"/>
        <v>0</v>
      </c>
      <c r="J436" s="2424">
        <f t="shared" si="1725"/>
        <v>68886982.88478075</v>
      </c>
      <c r="K436" s="3264"/>
      <c r="L436" s="3405"/>
      <c r="M436" s="3406"/>
      <c r="N436" s="3406"/>
      <c r="O436" s="2424">
        <f>O45</f>
        <v>105832047</v>
      </c>
      <c r="P436" s="2424">
        <f t="shared" ref="P436:R436" si="1726">P45</f>
        <v>36945064.11521925</v>
      </c>
      <c r="Q436" s="2424">
        <f t="shared" si="1726"/>
        <v>18862479.167900883</v>
      </c>
      <c r="R436" s="2424">
        <f t="shared" si="1726"/>
        <v>50024503.716879867</v>
      </c>
      <c r="S436" s="3264"/>
      <c r="T436" s="3405"/>
      <c r="U436" s="3406"/>
      <c r="V436" s="3406"/>
      <c r="W436" s="2424">
        <f>W45</f>
        <v>105832047</v>
      </c>
      <c r="X436" s="2424">
        <f t="shared" ref="X436:Z436" si="1727">X45</f>
        <v>36945064.11521925</v>
      </c>
      <c r="Y436" s="2424">
        <f t="shared" si="1727"/>
        <v>18862479.167900883</v>
      </c>
      <c r="Z436" s="2424">
        <f t="shared" si="1727"/>
        <v>50024503.716879867</v>
      </c>
      <c r="AA436" s="3264"/>
      <c r="AB436" s="3405"/>
      <c r="AC436" s="3406"/>
      <c r="AD436" s="3406"/>
      <c r="AE436" s="2424">
        <f>AE45</f>
        <v>105832047</v>
      </c>
      <c r="AF436" s="2424">
        <f t="shared" ref="AF436:AH436" si="1728">AF45</f>
        <v>36945064.11521925</v>
      </c>
      <c r="AG436" s="2424">
        <f t="shared" si="1728"/>
        <v>18862479.167900883</v>
      </c>
      <c r="AH436" s="2424">
        <f t="shared" si="1728"/>
        <v>50024503.716879867</v>
      </c>
      <c r="AI436" s="3264"/>
      <c r="AJ436" s="3405"/>
      <c r="AK436" s="3406"/>
      <c r="AL436" s="3406"/>
      <c r="AM436" s="2424">
        <f>AM45</f>
        <v>105832047</v>
      </c>
      <c r="AN436" s="2424">
        <f t="shared" ref="AN436:AP436" si="1729">AN45</f>
        <v>36945064.11521925</v>
      </c>
      <c r="AO436" s="2424">
        <f t="shared" si="1729"/>
        <v>18862479.167900883</v>
      </c>
      <c r="AP436" s="2424">
        <f t="shared" si="1729"/>
        <v>50024503.716879867</v>
      </c>
      <c r="AQ436" s="3264"/>
      <c r="AR436" s="3405"/>
      <c r="AS436" s="3406"/>
      <c r="AT436" s="3406"/>
      <c r="AU436" s="2424">
        <f>AU45</f>
        <v>105832047</v>
      </c>
      <c r="AV436" s="2424">
        <f t="shared" ref="AV436:AX436" si="1730">AV45</f>
        <v>36945064.11521925</v>
      </c>
      <c r="AW436" s="2424">
        <f t="shared" si="1730"/>
        <v>18862479.167900883</v>
      </c>
      <c r="AX436" s="2424">
        <f t="shared" si="1730"/>
        <v>50024503.716879867</v>
      </c>
      <c r="AY436" s="3264"/>
      <c r="AZ436" s="3405"/>
      <c r="BA436" s="3406"/>
      <c r="BB436" s="3406"/>
      <c r="BC436" s="2424">
        <f>BC45</f>
        <v>105832047</v>
      </c>
      <c r="BD436" s="2424">
        <f t="shared" ref="BD436:BF436" si="1731">BD45</f>
        <v>36945064.11521925</v>
      </c>
      <c r="BE436" s="2424">
        <f t="shared" si="1731"/>
        <v>18862479.167900883</v>
      </c>
      <c r="BF436" s="2424">
        <f t="shared" si="1731"/>
        <v>50024503.716879867</v>
      </c>
      <c r="BG436" s="3264"/>
      <c r="BH436" s="3405"/>
      <c r="BI436" s="3406"/>
      <c r="BJ436" s="3406"/>
      <c r="BK436" s="2424">
        <f>BK45</f>
        <v>105832047</v>
      </c>
      <c r="BL436" s="2424">
        <f t="shared" ref="BL436:BN436" si="1732">BL45</f>
        <v>36945064.11521925</v>
      </c>
      <c r="BM436" s="2424">
        <f t="shared" si="1732"/>
        <v>18862479.167900883</v>
      </c>
      <c r="BN436" s="2424">
        <f t="shared" si="1732"/>
        <v>50024503.716879867</v>
      </c>
      <c r="BO436" s="3264"/>
      <c r="BP436" s="3405"/>
      <c r="BQ436" s="3406"/>
      <c r="BR436" s="3406"/>
      <c r="BS436" s="2424">
        <f>BS45</f>
        <v>105832047</v>
      </c>
      <c r="BT436" s="2424">
        <f t="shared" ref="BT436:BV436" si="1733">BT45</f>
        <v>36945064.11521925</v>
      </c>
      <c r="BU436" s="2424">
        <f t="shared" si="1733"/>
        <v>18862479.167900883</v>
      </c>
      <c r="BV436" s="2424">
        <f t="shared" si="1733"/>
        <v>50024503.716879867</v>
      </c>
      <c r="BW436" s="3264"/>
      <c r="BX436" s="3405"/>
      <c r="BY436" s="3406"/>
      <c r="BZ436" s="3406"/>
      <c r="CA436" s="2424">
        <f>CA45</f>
        <v>105832047</v>
      </c>
      <c r="CB436" s="2424">
        <f t="shared" ref="CB436:CD436" si="1734">CB45</f>
        <v>36945064.11521925</v>
      </c>
      <c r="CC436" s="2424">
        <f t="shared" si="1734"/>
        <v>18862479.167900883</v>
      </c>
      <c r="CD436" s="2424">
        <f t="shared" si="1734"/>
        <v>50024503.716879867</v>
      </c>
      <c r="CE436" s="3264"/>
      <c r="CF436" s="3405"/>
      <c r="CG436" s="3406"/>
      <c r="CH436" s="3406"/>
      <c r="CI436" s="2424">
        <f>CI45</f>
        <v>105832047</v>
      </c>
      <c r="CJ436" s="2424">
        <f t="shared" ref="CJ436:CL436" si="1735">CJ45</f>
        <v>36945064.11521925</v>
      </c>
      <c r="CK436" s="2424">
        <f t="shared" si="1735"/>
        <v>18862479.167900883</v>
      </c>
      <c r="CL436" s="2424">
        <f t="shared" si="1735"/>
        <v>50024503.716879867</v>
      </c>
      <c r="CM436" s="3264"/>
      <c r="CN436" s="3405"/>
      <c r="CO436" s="3406"/>
      <c r="CP436" s="3406"/>
      <c r="CQ436" s="2424">
        <f>CQ45</f>
        <v>105832047</v>
      </c>
      <c r="CR436" s="2424">
        <f t="shared" ref="CR436:CT436" si="1736">CR45</f>
        <v>36945064.11521925</v>
      </c>
      <c r="CS436" s="2424">
        <f t="shared" si="1736"/>
        <v>18862479.167900883</v>
      </c>
      <c r="CT436" s="2424">
        <f t="shared" si="1736"/>
        <v>50024503.716879867</v>
      </c>
      <c r="CU436" s="3264"/>
      <c r="CV436" s="3405"/>
      <c r="CW436" s="3406"/>
      <c r="CX436" s="3406"/>
      <c r="CY436" s="2424">
        <f>CY45</f>
        <v>105832047</v>
      </c>
      <c r="CZ436" s="2424">
        <f t="shared" ref="CZ436:DB436" si="1737">CZ45</f>
        <v>36945064.11521925</v>
      </c>
      <c r="DA436" s="2424">
        <f t="shared" si="1737"/>
        <v>18862479.167900883</v>
      </c>
      <c r="DB436" s="2424">
        <f t="shared" si="1737"/>
        <v>50024503.716879867</v>
      </c>
      <c r="DC436" s="3264"/>
      <c r="DD436" s="3405"/>
      <c r="DE436" s="3406"/>
      <c r="DF436" s="3406"/>
      <c r="DG436" s="2424">
        <f>DG45</f>
        <v>105832047</v>
      </c>
      <c r="DH436" s="2424">
        <f t="shared" ref="DH436:DJ436" si="1738">DH45</f>
        <v>36945064.11521925</v>
      </c>
      <c r="DI436" s="2424">
        <f t="shared" si="1738"/>
        <v>18862479.167900883</v>
      </c>
      <c r="DJ436" s="2424">
        <f t="shared" si="1738"/>
        <v>50024503.716879867</v>
      </c>
      <c r="DK436" s="3264"/>
      <c r="DL436" s="3405"/>
      <c r="DM436" s="3406"/>
      <c r="DN436" s="3406"/>
      <c r="DO436" s="2424">
        <f>DO45</f>
        <v>105832047</v>
      </c>
      <c r="DP436" s="2424">
        <f t="shared" ref="DP436:DR436" si="1739">DP45</f>
        <v>36945064.11521925</v>
      </c>
      <c r="DQ436" s="2424">
        <f t="shared" si="1739"/>
        <v>18862479.167900883</v>
      </c>
      <c r="DR436" s="2424">
        <f t="shared" si="1739"/>
        <v>50024503.716879867</v>
      </c>
      <c r="DS436" s="3264"/>
      <c r="DT436" s="3405"/>
      <c r="DU436" s="3406"/>
      <c r="DV436" s="3406"/>
      <c r="DW436" s="2424">
        <f>DW45</f>
        <v>105832047</v>
      </c>
      <c r="DX436" s="2424">
        <f t="shared" ref="DX436:DZ436" si="1740">DX45</f>
        <v>36945064.11521925</v>
      </c>
      <c r="DY436" s="2424">
        <f t="shared" si="1740"/>
        <v>18862479.167900883</v>
      </c>
      <c r="DZ436" s="2424">
        <f t="shared" si="1740"/>
        <v>50024503.716879867</v>
      </c>
      <c r="EA436" s="3264"/>
      <c r="EB436" s="3405"/>
      <c r="EC436" s="3406"/>
      <c r="ED436" s="3406"/>
      <c r="EE436" s="2424">
        <f>EE45</f>
        <v>105832047</v>
      </c>
      <c r="EF436" s="2424">
        <f t="shared" ref="EF436:EH436" si="1741">EF45</f>
        <v>36945064.11521925</v>
      </c>
      <c r="EG436" s="2424">
        <f t="shared" si="1741"/>
        <v>18862479.167900883</v>
      </c>
      <c r="EH436" s="2424">
        <f t="shared" si="1741"/>
        <v>50024503.716879867</v>
      </c>
      <c r="EI436" s="3264"/>
      <c r="EJ436" s="3405"/>
      <c r="EK436" s="3406"/>
      <c r="EL436" s="3406"/>
      <c r="EM436" s="2424">
        <f>EM45</f>
        <v>105832047</v>
      </c>
      <c r="EN436" s="2424">
        <f t="shared" ref="EN436:EP436" si="1742">EN45</f>
        <v>36945064.11521925</v>
      </c>
      <c r="EO436" s="2424">
        <f t="shared" si="1742"/>
        <v>18862479.167900883</v>
      </c>
      <c r="EP436" s="2424">
        <f t="shared" si="1742"/>
        <v>50024503.716879867</v>
      </c>
      <c r="EQ436" s="3264"/>
      <c r="ER436" s="3405"/>
      <c r="ES436" s="3406"/>
      <c r="ET436" s="3406"/>
      <c r="EU436" s="2424">
        <f>EU45</f>
        <v>105832047</v>
      </c>
      <c r="EV436" s="2424">
        <f t="shared" ref="EV436:EX436" si="1743">EV45</f>
        <v>36945064.11521925</v>
      </c>
      <c r="EW436" s="2424">
        <f t="shared" si="1743"/>
        <v>18862479.167900883</v>
      </c>
      <c r="EX436" s="2424">
        <f t="shared" si="1743"/>
        <v>50024503.716879867</v>
      </c>
      <c r="EY436" s="3264"/>
      <c r="EZ436" s="3405"/>
      <c r="FA436" s="3406"/>
      <c r="FB436" s="3406"/>
      <c r="FC436" s="2424">
        <f>FC45</f>
        <v>105832047</v>
      </c>
      <c r="FD436" s="2424">
        <f t="shared" ref="FD436:FF436" si="1744">FD45</f>
        <v>36945064.11521925</v>
      </c>
      <c r="FE436" s="2424">
        <f t="shared" si="1744"/>
        <v>18862479.167900883</v>
      </c>
      <c r="FF436" s="2424">
        <f t="shared" si="1744"/>
        <v>50024503.716879867</v>
      </c>
      <c r="FG436" s="3264"/>
      <c r="FH436" s="3405"/>
      <c r="FI436" s="3406"/>
      <c r="FJ436" s="3406"/>
      <c r="FK436" s="2424">
        <f>FK45</f>
        <v>105832047</v>
      </c>
      <c r="FL436" s="2424">
        <f t="shared" ref="FL436:FN436" si="1745">FL45</f>
        <v>36945064.11521925</v>
      </c>
      <c r="FM436" s="2424">
        <f t="shared" si="1745"/>
        <v>18862479.167900883</v>
      </c>
      <c r="FN436" s="2424">
        <f t="shared" si="1745"/>
        <v>50024503.716879867</v>
      </c>
      <c r="FO436" s="3264"/>
    </row>
    <row r="437" spans="2:171">
      <c r="B437" s="3086"/>
      <c r="C437" s="3086" t="s">
        <v>134</v>
      </c>
      <c r="D437" s="3405"/>
      <c r="E437" s="3234" t="str">
        <f>E46</f>
        <v>PTD</v>
      </c>
      <c r="G437" s="2424">
        <f>G46</f>
        <v>381575</v>
      </c>
      <c r="H437" s="2424">
        <f t="shared" ref="H437:J437" si="1746">H46</f>
        <v>133204.57497873763</v>
      </c>
      <c r="I437" s="2424">
        <f>I46</f>
        <v>0</v>
      </c>
      <c r="J437" s="2424">
        <f t="shared" si="1746"/>
        <v>248370.42502126237</v>
      </c>
      <c r="K437" s="3411"/>
      <c r="L437" s="3405"/>
      <c r="M437" s="3406"/>
      <c r="N437" s="3406"/>
      <c r="O437" s="2424">
        <f>O46</f>
        <v>381575</v>
      </c>
      <c r="P437" s="2424">
        <f t="shared" ref="P437:R437" si="1747">P46</f>
        <v>133204.57497873763</v>
      </c>
      <c r="Q437" s="2424">
        <f t="shared" si="1747"/>
        <v>68008.232785025684</v>
      </c>
      <c r="R437" s="2424">
        <f t="shared" si="1747"/>
        <v>180362.19223623667</v>
      </c>
      <c r="S437" s="3411"/>
      <c r="T437" s="3405"/>
      <c r="U437" s="3406"/>
      <c r="V437" s="3406"/>
      <c r="W437" s="2424">
        <f>W46</f>
        <v>381575</v>
      </c>
      <c r="X437" s="2424">
        <f t="shared" ref="X437:Z437" si="1748">X46</f>
        <v>133204.57497873763</v>
      </c>
      <c r="Y437" s="2424">
        <f t="shared" si="1748"/>
        <v>68008.232785025684</v>
      </c>
      <c r="Z437" s="2424">
        <f t="shared" si="1748"/>
        <v>180362.19223623667</v>
      </c>
      <c r="AA437" s="3411"/>
      <c r="AB437" s="3405"/>
      <c r="AC437" s="3406"/>
      <c r="AD437" s="3406"/>
      <c r="AE437" s="2424">
        <f>AE46</f>
        <v>381575</v>
      </c>
      <c r="AF437" s="2424">
        <f t="shared" ref="AF437:AH437" si="1749">AF46</f>
        <v>133204.57497873763</v>
      </c>
      <c r="AG437" s="2424">
        <f t="shared" si="1749"/>
        <v>68008.232785025684</v>
      </c>
      <c r="AH437" s="2424">
        <f t="shared" si="1749"/>
        <v>180362.19223623667</v>
      </c>
      <c r="AI437" s="3411"/>
      <c r="AJ437" s="3405"/>
      <c r="AK437" s="3406"/>
      <c r="AL437" s="3406"/>
      <c r="AM437" s="2424">
        <f>AM46</f>
        <v>381575</v>
      </c>
      <c r="AN437" s="2424">
        <f t="shared" ref="AN437:AP437" si="1750">AN46</f>
        <v>133204.57497873763</v>
      </c>
      <c r="AO437" s="2424">
        <f t="shared" si="1750"/>
        <v>68008.232785025684</v>
      </c>
      <c r="AP437" s="2424">
        <f t="shared" si="1750"/>
        <v>180362.19223623667</v>
      </c>
      <c r="AQ437" s="3411"/>
      <c r="AR437" s="3405"/>
      <c r="AS437" s="3406"/>
      <c r="AT437" s="3406"/>
      <c r="AU437" s="2424">
        <f>AU46</f>
        <v>381575</v>
      </c>
      <c r="AV437" s="2424">
        <f t="shared" ref="AV437:AX437" si="1751">AV46</f>
        <v>133204.57497873763</v>
      </c>
      <c r="AW437" s="2424">
        <f t="shared" si="1751"/>
        <v>68008.232785025684</v>
      </c>
      <c r="AX437" s="2424">
        <f t="shared" si="1751"/>
        <v>180362.19223623667</v>
      </c>
      <c r="AY437" s="3411"/>
      <c r="AZ437" s="3405"/>
      <c r="BA437" s="3406"/>
      <c r="BB437" s="3406"/>
      <c r="BC437" s="2424">
        <f>BC46</f>
        <v>381575</v>
      </c>
      <c r="BD437" s="2424">
        <f t="shared" ref="BD437:BF437" si="1752">BD46</f>
        <v>133204.57497873763</v>
      </c>
      <c r="BE437" s="2424">
        <f t="shared" si="1752"/>
        <v>68008.232785025684</v>
      </c>
      <c r="BF437" s="2424">
        <f t="shared" si="1752"/>
        <v>180362.19223623667</v>
      </c>
      <c r="BG437" s="3411"/>
      <c r="BH437" s="3405"/>
      <c r="BI437" s="3406"/>
      <c r="BJ437" s="3406"/>
      <c r="BK437" s="2424">
        <f>BK46</f>
        <v>381575</v>
      </c>
      <c r="BL437" s="2424">
        <f t="shared" ref="BL437:BN437" si="1753">BL46</f>
        <v>133204.57497873763</v>
      </c>
      <c r="BM437" s="2424">
        <f t="shared" si="1753"/>
        <v>68008.232785025684</v>
      </c>
      <c r="BN437" s="2424">
        <f t="shared" si="1753"/>
        <v>180362.19223623667</v>
      </c>
      <c r="BO437" s="3411"/>
      <c r="BP437" s="3405"/>
      <c r="BQ437" s="3406"/>
      <c r="BR437" s="3406"/>
      <c r="BS437" s="2424">
        <f>BS46</f>
        <v>381575</v>
      </c>
      <c r="BT437" s="2424">
        <f t="shared" ref="BT437:BV437" si="1754">BT46</f>
        <v>133204.57497873763</v>
      </c>
      <c r="BU437" s="2424">
        <f t="shared" si="1754"/>
        <v>68008.232785025684</v>
      </c>
      <c r="BV437" s="2424">
        <f t="shared" si="1754"/>
        <v>180362.19223623667</v>
      </c>
      <c r="BW437" s="3411"/>
      <c r="BX437" s="3405"/>
      <c r="BY437" s="3406"/>
      <c r="BZ437" s="3406"/>
      <c r="CA437" s="2424">
        <f>CA46</f>
        <v>381575</v>
      </c>
      <c r="CB437" s="2424">
        <f t="shared" ref="CB437:CD437" si="1755">CB46</f>
        <v>133204.57497873763</v>
      </c>
      <c r="CC437" s="2424">
        <f t="shared" si="1755"/>
        <v>68008.232785025684</v>
      </c>
      <c r="CD437" s="2424">
        <f t="shared" si="1755"/>
        <v>180362.19223623667</v>
      </c>
      <c r="CE437" s="3411"/>
      <c r="CF437" s="3405"/>
      <c r="CG437" s="3406"/>
      <c r="CH437" s="3406"/>
      <c r="CI437" s="2424">
        <f>CI46</f>
        <v>381575</v>
      </c>
      <c r="CJ437" s="2424">
        <f t="shared" ref="CJ437:CL437" si="1756">CJ46</f>
        <v>133204.57497873763</v>
      </c>
      <c r="CK437" s="2424">
        <f t="shared" si="1756"/>
        <v>68008.232785025684</v>
      </c>
      <c r="CL437" s="2424">
        <f t="shared" si="1756"/>
        <v>180362.19223623667</v>
      </c>
      <c r="CM437" s="3411"/>
      <c r="CN437" s="3405"/>
      <c r="CO437" s="3406"/>
      <c r="CP437" s="3406"/>
      <c r="CQ437" s="2424">
        <f>CQ46</f>
        <v>381575</v>
      </c>
      <c r="CR437" s="2424">
        <f t="shared" ref="CR437:CT437" si="1757">CR46</f>
        <v>133204.57497873763</v>
      </c>
      <c r="CS437" s="2424">
        <f t="shared" si="1757"/>
        <v>68008.232785025684</v>
      </c>
      <c r="CT437" s="2424">
        <f t="shared" si="1757"/>
        <v>180362.19223623667</v>
      </c>
      <c r="CU437" s="3411"/>
      <c r="CV437" s="3405"/>
      <c r="CW437" s="3406"/>
      <c r="CX437" s="3406"/>
      <c r="CY437" s="2424">
        <f>CY46</f>
        <v>381575</v>
      </c>
      <c r="CZ437" s="2424">
        <f t="shared" ref="CZ437:DB437" si="1758">CZ46</f>
        <v>133204.57497873763</v>
      </c>
      <c r="DA437" s="2424">
        <f t="shared" si="1758"/>
        <v>68008.232785025684</v>
      </c>
      <c r="DB437" s="2424">
        <f t="shared" si="1758"/>
        <v>180362.19223623667</v>
      </c>
      <c r="DC437" s="3411"/>
      <c r="DD437" s="3405"/>
      <c r="DE437" s="3406"/>
      <c r="DF437" s="3406"/>
      <c r="DG437" s="2424">
        <f>DG46</f>
        <v>381575</v>
      </c>
      <c r="DH437" s="2424">
        <f t="shared" ref="DH437:DJ437" si="1759">DH46</f>
        <v>133204.57497873763</v>
      </c>
      <c r="DI437" s="2424">
        <f t="shared" si="1759"/>
        <v>68008.232785025684</v>
      </c>
      <c r="DJ437" s="2424">
        <f t="shared" si="1759"/>
        <v>180362.19223623667</v>
      </c>
      <c r="DK437" s="3411"/>
      <c r="DL437" s="3405"/>
      <c r="DM437" s="3406"/>
      <c r="DN437" s="3406"/>
      <c r="DO437" s="2424">
        <f>DO46</f>
        <v>381575</v>
      </c>
      <c r="DP437" s="2424">
        <f t="shared" ref="DP437:DR437" si="1760">DP46</f>
        <v>133204.57497873763</v>
      </c>
      <c r="DQ437" s="2424">
        <f t="shared" si="1760"/>
        <v>68008.232785025684</v>
      </c>
      <c r="DR437" s="2424">
        <f t="shared" si="1760"/>
        <v>180362.19223623667</v>
      </c>
      <c r="DS437" s="3411"/>
      <c r="DT437" s="3405"/>
      <c r="DU437" s="3406"/>
      <c r="DV437" s="3406"/>
      <c r="DW437" s="2424">
        <f>DW46</f>
        <v>381575</v>
      </c>
      <c r="DX437" s="2424">
        <f t="shared" ref="DX437:DZ437" si="1761">DX46</f>
        <v>133204.57497873763</v>
      </c>
      <c r="DY437" s="2424">
        <f t="shared" si="1761"/>
        <v>68008.232785025684</v>
      </c>
      <c r="DZ437" s="2424">
        <f t="shared" si="1761"/>
        <v>180362.19223623667</v>
      </c>
      <c r="EA437" s="3411"/>
      <c r="EB437" s="3405"/>
      <c r="EC437" s="3406"/>
      <c r="ED437" s="3406"/>
      <c r="EE437" s="2424">
        <f>EE46</f>
        <v>381575</v>
      </c>
      <c r="EF437" s="2424">
        <f t="shared" ref="EF437:EH437" si="1762">EF46</f>
        <v>133204.57497873763</v>
      </c>
      <c r="EG437" s="2424">
        <f t="shared" si="1762"/>
        <v>68008.232785025684</v>
      </c>
      <c r="EH437" s="2424">
        <f t="shared" si="1762"/>
        <v>180362.19223623667</v>
      </c>
      <c r="EI437" s="3411"/>
      <c r="EJ437" s="3405"/>
      <c r="EK437" s="3406"/>
      <c r="EL437" s="3406"/>
      <c r="EM437" s="2424">
        <f>EM46</f>
        <v>381575</v>
      </c>
      <c r="EN437" s="2424">
        <f t="shared" ref="EN437:EP437" si="1763">EN46</f>
        <v>133204.57497873763</v>
      </c>
      <c r="EO437" s="2424">
        <f t="shared" si="1763"/>
        <v>68008.232785025684</v>
      </c>
      <c r="EP437" s="2424">
        <f t="shared" si="1763"/>
        <v>180362.19223623667</v>
      </c>
      <c r="EQ437" s="3411"/>
      <c r="ER437" s="3405"/>
      <c r="ES437" s="3406"/>
      <c r="ET437" s="3406"/>
      <c r="EU437" s="2424">
        <f>EU46</f>
        <v>381575</v>
      </c>
      <c r="EV437" s="2424">
        <f t="shared" ref="EV437:EX437" si="1764">EV46</f>
        <v>133204.57497873763</v>
      </c>
      <c r="EW437" s="2424">
        <f t="shared" si="1764"/>
        <v>68008.232785025684</v>
      </c>
      <c r="EX437" s="2424">
        <f t="shared" si="1764"/>
        <v>180362.19223623667</v>
      </c>
      <c r="EY437" s="3411"/>
      <c r="EZ437" s="3405"/>
      <c r="FA437" s="3406"/>
      <c r="FB437" s="3406"/>
      <c r="FC437" s="2424">
        <f>FC46</f>
        <v>381575</v>
      </c>
      <c r="FD437" s="2424">
        <f t="shared" ref="FD437:FF437" si="1765">FD46</f>
        <v>133204.57497873763</v>
      </c>
      <c r="FE437" s="2424">
        <f t="shared" si="1765"/>
        <v>68008.232785025684</v>
      </c>
      <c r="FF437" s="2424">
        <f t="shared" si="1765"/>
        <v>180362.19223623667</v>
      </c>
      <c r="FG437" s="3411"/>
      <c r="FH437" s="3405"/>
      <c r="FI437" s="3406"/>
      <c r="FJ437" s="3406"/>
      <c r="FK437" s="2424">
        <f>FK46</f>
        <v>381575</v>
      </c>
      <c r="FL437" s="2424">
        <f t="shared" ref="FL437:FN437" si="1766">FL46</f>
        <v>133204.57497873763</v>
      </c>
      <c r="FM437" s="2424">
        <f t="shared" si="1766"/>
        <v>68008.232785025684</v>
      </c>
      <c r="FN437" s="2424">
        <f t="shared" si="1766"/>
        <v>180362.19223623667</v>
      </c>
      <c r="FO437" s="3411"/>
    </row>
    <row r="438" spans="2:171">
      <c r="B438" s="3086"/>
      <c r="C438" s="3086" t="s">
        <v>522</v>
      </c>
      <c r="D438" s="3405"/>
      <c r="E438" s="3095"/>
      <c r="F438" s="3406"/>
      <c r="G438" s="3244">
        <f>SUM(G434:G437)</f>
        <v>264532489</v>
      </c>
      <c r="H438" s="3244">
        <f>SUM(H434:H437)</f>
        <v>92053396.87212044</v>
      </c>
      <c r="I438" s="3244">
        <f>SUM(I434:I437)</f>
        <v>0</v>
      </c>
      <c r="J438" s="3244">
        <f>SUM(J434:J437)</f>
        <v>172479092.12787959</v>
      </c>
      <c r="K438" s="3264"/>
      <c r="L438" s="3405"/>
      <c r="M438" s="3406"/>
      <c r="N438" s="3406"/>
      <c r="O438" s="3244">
        <f>SUM(O434:O437)</f>
        <v>264532489</v>
      </c>
      <c r="P438" s="3244">
        <f>SUM(P434:P437)</f>
        <v>92053396.87212044</v>
      </c>
      <c r="Q438" s="3244">
        <f>SUM(Q434:Q437)</f>
        <v>43230722.836696871</v>
      </c>
      <c r="R438" s="3244">
        <f>SUM(R434:R437)</f>
        <v>129248369.29118271</v>
      </c>
      <c r="S438" s="3264"/>
      <c r="T438" s="3405"/>
      <c r="U438" s="3406"/>
      <c r="V438" s="3406"/>
      <c r="W438" s="3244">
        <f>SUM(W434:W437)</f>
        <v>264532489</v>
      </c>
      <c r="X438" s="3244">
        <f>SUM(X434:X437)</f>
        <v>92053396.87212044</v>
      </c>
      <c r="Y438" s="3244">
        <f>SUM(Y434:Y437)</f>
        <v>43230722.836696871</v>
      </c>
      <c r="Z438" s="3244">
        <f>SUM(Z434:Z437)</f>
        <v>129248369.29118271</v>
      </c>
      <c r="AA438" s="3264"/>
      <c r="AB438" s="3405"/>
      <c r="AC438" s="3406"/>
      <c r="AD438" s="3406"/>
      <c r="AE438" s="3244">
        <f>SUM(AE434:AE437)</f>
        <v>264532489</v>
      </c>
      <c r="AF438" s="3244">
        <f>SUM(AF434:AF437)</f>
        <v>92053396.87212044</v>
      </c>
      <c r="AG438" s="3244">
        <f>SUM(AG434:AG437)</f>
        <v>43230722.836696871</v>
      </c>
      <c r="AH438" s="3244">
        <f>SUM(AH434:AH437)</f>
        <v>129248369.29118271</v>
      </c>
      <c r="AI438" s="3264"/>
      <c r="AJ438" s="3405"/>
      <c r="AK438" s="3406"/>
      <c r="AL438" s="3406"/>
      <c r="AM438" s="3244">
        <f>SUM(AM434:AM437)</f>
        <v>264532489</v>
      </c>
      <c r="AN438" s="3244">
        <f>SUM(AN434:AN437)</f>
        <v>92053396.87212044</v>
      </c>
      <c r="AO438" s="3244">
        <f>SUM(AO434:AO437)</f>
        <v>43230722.836696871</v>
      </c>
      <c r="AP438" s="3244">
        <f>SUM(AP434:AP437)</f>
        <v>129248369.29118271</v>
      </c>
      <c r="AQ438" s="3264"/>
      <c r="AR438" s="3405"/>
      <c r="AS438" s="3406"/>
      <c r="AT438" s="3406"/>
      <c r="AU438" s="3244">
        <f>SUM(AU434:AU437)</f>
        <v>264532489</v>
      </c>
      <c r="AV438" s="3244">
        <f>SUM(AV434:AV437)</f>
        <v>92053396.87212044</v>
      </c>
      <c r="AW438" s="3244">
        <f>SUM(AW434:AW437)</f>
        <v>43230722.836696871</v>
      </c>
      <c r="AX438" s="3244">
        <f>SUM(AX434:AX437)</f>
        <v>129248369.29118271</v>
      </c>
      <c r="AY438" s="3264"/>
      <c r="AZ438" s="3405"/>
      <c r="BA438" s="3406"/>
      <c r="BB438" s="3406"/>
      <c r="BC438" s="3244">
        <f>SUM(BC434:BC437)</f>
        <v>264532489</v>
      </c>
      <c r="BD438" s="3244">
        <f>SUM(BD434:BD437)</f>
        <v>92053396.87212044</v>
      </c>
      <c r="BE438" s="3244">
        <f>SUM(BE434:BE437)</f>
        <v>43230722.836696871</v>
      </c>
      <c r="BF438" s="3244">
        <f>SUM(BF434:BF437)</f>
        <v>129248369.29118271</v>
      </c>
      <c r="BG438" s="3264"/>
      <c r="BH438" s="3405"/>
      <c r="BI438" s="3406"/>
      <c r="BJ438" s="3406"/>
      <c r="BK438" s="3244">
        <f>SUM(BK434:BK437)</f>
        <v>264532489</v>
      </c>
      <c r="BL438" s="3244">
        <f>SUM(BL434:BL437)</f>
        <v>92053396.87212044</v>
      </c>
      <c r="BM438" s="3244">
        <f>SUM(BM434:BM437)</f>
        <v>43230722.836696871</v>
      </c>
      <c r="BN438" s="3244">
        <f>SUM(BN434:BN437)</f>
        <v>129248369.29118271</v>
      </c>
      <c r="BO438" s="3264"/>
      <c r="BP438" s="3405"/>
      <c r="BQ438" s="3406"/>
      <c r="BR438" s="3406"/>
      <c r="BS438" s="3244">
        <f>SUM(BS434:BS437)</f>
        <v>264532489</v>
      </c>
      <c r="BT438" s="3244">
        <f>SUM(BT434:BT437)</f>
        <v>92053396.87212044</v>
      </c>
      <c r="BU438" s="3244">
        <f>SUM(BU434:BU437)</f>
        <v>43230722.836696871</v>
      </c>
      <c r="BV438" s="3244">
        <f>SUM(BV434:BV437)</f>
        <v>129248369.29118271</v>
      </c>
      <c r="BW438" s="3264"/>
      <c r="BX438" s="3405"/>
      <c r="BY438" s="3406"/>
      <c r="BZ438" s="3406"/>
      <c r="CA438" s="3244">
        <f>SUM(CA434:CA437)</f>
        <v>264532489</v>
      </c>
      <c r="CB438" s="3244">
        <f>SUM(CB434:CB437)</f>
        <v>92053396.87212044</v>
      </c>
      <c r="CC438" s="3244">
        <f>SUM(CC434:CC437)</f>
        <v>43230722.836696871</v>
      </c>
      <c r="CD438" s="3244">
        <f>SUM(CD434:CD437)</f>
        <v>129248369.29118271</v>
      </c>
      <c r="CE438" s="3264"/>
      <c r="CF438" s="3405"/>
      <c r="CG438" s="3406"/>
      <c r="CH438" s="3406"/>
      <c r="CI438" s="3244">
        <f>SUM(CI434:CI437)</f>
        <v>264532489</v>
      </c>
      <c r="CJ438" s="3244">
        <f>SUM(CJ434:CJ437)</f>
        <v>92053396.87212044</v>
      </c>
      <c r="CK438" s="3244">
        <f>SUM(CK434:CK437)</f>
        <v>43230722.836696871</v>
      </c>
      <c r="CL438" s="3244">
        <f>SUM(CL434:CL437)</f>
        <v>129248369.29118271</v>
      </c>
      <c r="CM438" s="3264"/>
      <c r="CN438" s="3405"/>
      <c r="CO438" s="3406"/>
      <c r="CP438" s="3406"/>
      <c r="CQ438" s="3244">
        <f>SUM(CQ434:CQ437)</f>
        <v>264532489</v>
      </c>
      <c r="CR438" s="3244">
        <f>SUM(CR434:CR437)</f>
        <v>92053396.87212044</v>
      </c>
      <c r="CS438" s="3244">
        <f>SUM(CS434:CS437)</f>
        <v>43230722.836696871</v>
      </c>
      <c r="CT438" s="3244">
        <f>SUM(CT434:CT437)</f>
        <v>129248369.29118271</v>
      </c>
      <c r="CU438" s="3264"/>
      <c r="CV438" s="3405"/>
      <c r="CW438" s="3406"/>
      <c r="CX438" s="3406"/>
      <c r="CY438" s="3244">
        <f>SUM(CY434:CY437)</f>
        <v>264532489</v>
      </c>
      <c r="CZ438" s="3244">
        <f>SUM(CZ434:CZ437)</f>
        <v>92053396.87212044</v>
      </c>
      <c r="DA438" s="3244">
        <f>SUM(DA434:DA437)</f>
        <v>43230722.836696871</v>
      </c>
      <c r="DB438" s="3244">
        <f>SUM(DB434:DB437)</f>
        <v>129248369.29118271</v>
      </c>
      <c r="DC438" s="3264"/>
      <c r="DD438" s="3405"/>
      <c r="DE438" s="3406"/>
      <c r="DF438" s="3406"/>
      <c r="DG438" s="3244">
        <f>SUM(DG434:DG437)</f>
        <v>264532489</v>
      </c>
      <c r="DH438" s="3244">
        <f>SUM(DH434:DH437)</f>
        <v>92053396.87212044</v>
      </c>
      <c r="DI438" s="3244">
        <f>SUM(DI434:DI437)</f>
        <v>43230722.836696871</v>
      </c>
      <c r="DJ438" s="3244">
        <f>SUM(DJ434:DJ437)</f>
        <v>129248369.29118271</v>
      </c>
      <c r="DK438" s="3264"/>
      <c r="DL438" s="3405"/>
      <c r="DM438" s="3406"/>
      <c r="DN438" s="3406"/>
      <c r="DO438" s="3244">
        <f>SUM(DO434:DO437)</f>
        <v>264532489</v>
      </c>
      <c r="DP438" s="3244">
        <f>SUM(DP434:DP437)</f>
        <v>92053396.87212044</v>
      </c>
      <c r="DQ438" s="3244">
        <f>SUM(DQ434:DQ437)</f>
        <v>43230722.836696871</v>
      </c>
      <c r="DR438" s="3244">
        <f>SUM(DR434:DR437)</f>
        <v>129248369.29118271</v>
      </c>
      <c r="DS438" s="3264"/>
      <c r="DT438" s="3405"/>
      <c r="DU438" s="3406"/>
      <c r="DV438" s="3406"/>
      <c r="DW438" s="3244">
        <f>SUM(DW434:DW437)</f>
        <v>264532489</v>
      </c>
      <c r="DX438" s="3244">
        <f>SUM(DX434:DX437)</f>
        <v>92053396.87212044</v>
      </c>
      <c r="DY438" s="3244">
        <f>SUM(DY434:DY437)</f>
        <v>43230722.836696871</v>
      </c>
      <c r="DZ438" s="3244">
        <f>SUM(DZ434:DZ437)</f>
        <v>129248369.29118271</v>
      </c>
      <c r="EA438" s="3264"/>
      <c r="EB438" s="3405"/>
      <c r="EC438" s="3406"/>
      <c r="ED438" s="3406"/>
      <c r="EE438" s="3244">
        <f>SUM(EE434:EE437)</f>
        <v>264532489</v>
      </c>
      <c r="EF438" s="3244">
        <f>SUM(EF434:EF437)</f>
        <v>92053396.87212044</v>
      </c>
      <c r="EG438" s="3244">
        <f>SUM(EG434:EG437)</f>
        <v>43230722.836696871</v>
      </c>
      <c r="EH438" s="3244">
        <f>SUM(EH434:EH437)</f>
        <v>129248369.29118271</v>
      </c>
      <c r="EI438" s="3264"/>
      <c r="EJ438" s="3405"/>
      <c r="EK438" s="3406"/>
      <c r="EL438" s="3406"/>
      <c r="EM438" s="3244">
        <f>SUM(EM434:EM437)</f>
        <v>264532489</v>
      </c>
      <c r="EN438" s="3244">
        <f>SUM(EN434:EN437)</f>
        <v>92053396.87212044</v>
      </c>
      <c r="EO438" s="3244">
        <f>SUM(EO434:EO437)</f>
        <v>43230722.836696871</v>
      </c>
      <c r="EP438" s="3244">
        <f>SUM(EP434:EP437)</f>
        <v>129248369.29118271</v>
      </c>
      <c r="EQ438" s="3264"/>
      <c r="ER438" s="3405"/>
      <c r="ES438" s="3406"/>
      <c r="ET438" s="3406"/>
      <c r="EU438" s="3244">
        <f>SUM(EU434:EU437)</f>
        <v>264532489</v>
      </c>
      <c r="EV438" s="3244">
        <f>SUM(EV434:EV437)</f>
        <v>92053396.87212044</v>
      </c>
      <c r="EW438" s="3244">
        <f>SUM(EW434:EW437)</f>
        <v>43230722.836696871</v>
      </c>
      <c r="EX438" s="3244">
        <f>SUM(EX434:EX437)</f>
        <v>129248369.29118271</v>
      </c>
      <c r="EY438" s="3264"/>
      <c r="EZ438" s="3405"/>
      <c r="FA438" s="3406"/>
      <c r="FB438" s="3406"/>
      <c r="FC438" s="3244">
        <f>SUM(FC434:FC437)</f>
        <v>264532489</v>
      </c>
      <c r="FD438" s="3244">
        <f>SUM(FD434:FD437)</f>
        <v>92053396.87212044</v>
      </c>
      <c r="FE438" s="3244">
        <f>SUM(FE434:FE437)</f>
        <v>43230722.836696871</v>
      </c>
      <c r="FF438" s="3244">
        <f>SUM(FF434:FF437)</f>
        <v>129248369.29118271</v>
      </c>
      <c r="FG438" s="3264"/>
      <c r="FH438" s="3405"/>
      <c r="FI438" s="3406"/>
      <c r="FJ438" s="3406"/>
      <c r="FK438" s="3244">
        <f>SUM(FK434:FK437)</f>
        <v>264532489</v>
      </c>
      <c r="FL438" s="3244">
        <f>SUM(FL434:FL437)</f>
        <v>92053396.87212044</v>
      </c>
      <c r="FM438" s="3244">
        <f>SUM(FM434:FM437)</f>
        <v>43230722.836696871</v>
      </c>
      <c r="FN438" s="3244">
        <f>SUM(FN434:FN437)</f>
        <v>129248369.29118271</v>
      </c>
      <c r="FO438" s="3264"/>
    </row>
    <row r="439" spans="2:171">
      <c r="B439" s="3114"/>
      <c r="C439" s="3114" t="s">
        <v>344</v>
      </c>
      <c r="D439" s="3407" t="s">
        <v>631</v>
      </c>
      <c r="E439" s="3125"/>
      <c r="F439" s="3412"/>
      <c r="G439" s="3402">
        <f>SUM(H439:J439)</f>
        <v>1</v>
      </c>
      <c r="H439" s="3402">
        <f>H438/G438</f>
        <v>0.34798522185348824</v>
      </c>
      <c r="I439" s="3402">
        <f>I438/G438</f>
        <v>0</v>
      </c>
      <c r="J439" s="3402">
        <f>J438/G438</f>
        <v>0.65201477814651188</v>
      </c>
      <c r="K439" s="3264"/>
      <c r="L439" s="3403" t="s">
        <v>631</v>
      </c>
      <c r="M439" s="3412"/>
      <c r="N439" s="3412"/>
      <c r="O439" s="3402">
        <f>SUM(P439:R439)</f>
        <v>1</v>
      </c>
      <c r="P439" s="3402">
        <f>P438/O438</f>
        <v>0.34798522185348824</v>
      </c>
      <c r="Q439" s="3402">
        <f>Q438/O438</f>
        <v>0.16342311297988379</v>
      </c>
      <c r="R439" s="3402">
        <f>R438/O438</f>
        <v>0.48859166516662805</v>
      </c>
      <c r="S439" s="3264"/>
      <c r="T439" s="3403" t="s">
        <v>631</v>
      </c>
      <c r="U439" s="3412"/>
      <c r="V439" s="3412"/>
      <c r="W439" s="3402">
        <f>SUM(X439:Z439)</f>
        <v>1</v>
      </c>
      <c r="X439" s="3402">
        <f>X438/W438</f>
        <v>0.34798522185348824</v>
      </c>
      <c r="Y439" s="3402">
        <f>Y438/W438</f>
        <v>0.16342311297988379</v>
      </c>
      <c r="Z439" s="3402">
        <f>Z438/W438</f>
        <v>0.48859166516662805</v>
      </c>
      <c r="AA439" s="3264"/>
      <c r="AB439" s="3403" t="s">
        <v>631</v>
      </c>
      <c r="AC439" s="3412"/>
      <c r="AD439" s="3412"/>
      <c r="AE439" s="3402">
        <f>SUM(AF439:AH439)</f>
        <v>1</v>
      </c>
      <c r="AF439" s="3402">
        <f>AF438/AE438</f>
        <v>0.34798522185348824</v>
      </c>
      <c r="AG439" s="3402">
        <f>AG438/AE438</f>
        <v>0.16342311297988379</v>
      </c>
      <c r="AH439" s="3402">
        <f>AH438/AE438</f>
        <v>0.48859166516662805</v>
      </c>
      <c r="AI439" s="3264"/>
      <c r="AJ439" s="3403" t="s">
        <v>631</v>
      </c>
      <c r="AK439" s="3412"/>
      <c r="AL439" s="3412"/>
      <c r="AM439" s="3402">
        <f>SUM(AN439:AP439)</f>
        <v>1</v>
      </c>
      <c r="AN439" s="3402">
        <f>AN438/AM438</f>
        <v>0.34798522185348824</v>
      </c>
      <c r="AO439" s="3402">
        <f>AO438/AM438</f>
        <v>0.16342311297988379</v>
      </c>
      <c r="AP439" s="3402">
        <f>AP438/AM438</f>
        <v>0.48859166516662805</v>
      </c>
      <c r="AQ439" s="3264"/>
      <c r="AR439" s="3403" t="s">
        <v>631</v>
      </c>
      <c r="AS439" s="3412"/>
      <c r="AT439" s="3412"/>
      <c r="AU439" s="3402">
        <f>SUM(AV439:AX439)</f>
        <v>1</v>
      </c>
      <c r="AV439" s="3402">
        <f>AV438/AU438</f>
        <v>0.34798522185348824</v>
      </c>
      <c r="AW439" s="3402">
        <f>AW438/AU438</f>
        <v>0.16342311297988379</v>
      </c>
      <c r="AX439" s="3402">
        <f>AX438/AU438</f>
        <v>0.48859166516662805</v>
      </c>
      <c r="AY439" s="3264"/>
      <c r="AZ439" s="3403" t="s">
        <v>631</v>
      </c>
      <c r="BA439" s="3412"/>
      <c r="BB439" s="3412"/>
      <c r="BC439" s="3402">
        <f>SUM(BD439:BF439)</f>
        <v>1</v>
      </c>
      <c r="BD439" s="3402">
        <f>BD438/BC438</f>
        <v>0.34798522185348824</v>
      </c>
      <c r="BE439" s="3402">
        <f>BE438/BC438</f>
        <v>0.16342311297988379</v>
      </c>
      <c r="BF439" s="3402">
        <f>BF438/BC438</f>
        <v>0.48859166516662805</v>
      </c>
      <c r="BG439" s="3264"/>
      <c r="BH439" s="3403" t="s">
        <v>631</v>
      </c>
      <c r="BI439" s="3412"/>
      <c r="BJ439" s="3412"/>
      <c r="BK439" s="3402">
        <f>SUM(BL439:BN439)</f>
        <v>1</v>
      </c>
      <c r="BL439" s="3402">
        <f>BL438/BK438</f>
        <v>0.34798522185348824</v>
      </c>
      <c r="BM439" s="3402">
        <f>BM438/BK438</f>
        <v>0.16342311297988379</v>
      </c>
      <c r="BN439" s="3402">
        <f>BN438/BK438</f>
        <v>0.48859166516662805</v>
      </c>
      <c r="BO439" s="3264"/>
      <c r="BP439" s="3403" t="s">
        <v>631</v>
      </c>
      <c r="BQ439" s="3412"/>
      <c r="BR439" s="3412"/>
      <c r="BS439" s="3402">
        <f>SUM(BT439:BV439)</f>
        <v>1</v>
      </c>
      <c r="BT439" s="3402">
        <f>BT438/BS438</f>
        <v>0.34798522185348824</v>
      </c>
      <c r="BU439" s="3402">
        <f>BU438/BS438</f>
        <v>0.16342311297988379</v>
      </c>
      <c r="BV439" s="3402">
        <f>BV438/BS438</f>
        <v>0.48859166516662805</v>
      </c>
      <c r="BW439" s="3264"/>
      <c r="BX439" s="3403" t="s">
        <v>631</v>
      </c>
      <c r="BY439" s="3412"/>
      <c r="BZ439" s="3412"/>
      <c r="CA439" s="3402">
        <f>SUM(CB439:CD439)</f>
        <v>1</v>
      </c>
      <c r="CB439" s="3402">
        <f>CB438/CA438</f>
        <v>0.34798522185348824</v>
      </c>
      <c r="CC439" s="3402">
        <f>CC438/CA438</f>
        <v>0.16342311297988379</v>
      </c>
      <c r="CD439" s="3402">
        <f>CD438/CA438</f>
        <v>0.48859166516662805</v>
      </c>
      <c r="CE439" s="3264"/>
      <c r="CF439" s="3403" t="s">
        <v>631</v>
      </c>
      <c r="CG439" s="3412"/>
      <c r="CH439" s="3412"/>
      <c r="CI439" s="3402">
        <f>SUM(CJ439:CL439)</f>
        <v>1</v>
      </c>
      <c r="CJ439" s="3402">
        <f>CJ438/CI438</f>
        <v>0.34798522185348824</v>
      </c>
      <c r="CK439" s="3402">
        <f>CK438/CI438</f>
        <v>0.16342311297988379</v>
      </c>
      <c r="CL439" s="3402">
        <f>CL438/CI438</f>
        <v>0.48859166516662805</v>
      </c>
      <c r="CM439" s="3264"/>
      <c r="CN439" s="3403" t="s">
        <v>631</v>
      </c>
      <c r="CO439" s="3412"/>
      <c r="CP439" s="3412"/>
      <c r="CQ439" s="3402">
        <f>SUM(CR439:CT439)</f>
        <v>1</v>
      </c>
      <c r="CR439" s="3402">
        <f>CR438/CQ438</f>
        <v>0.34798522185348824</v>
      </c>
      <c r="CS439" s="3402">
        <f>CS438/CQ438</f>
        <v>0.16342311297988379</v>
      </c>
      <c r="CT439" s="3402">
        <f>CT438/CQ438</f>
        <v>0.48859166516662805</v>
      </c>
      <c r="CU439" s="3264"/>
      <c r="CV439" s="3403" t="s">
        <v>631</v>
      </c>
      <c r="CW439" s="3412"/>
      <c r="CX439" s="3412"/>
      <c r="CY439" s="3402">
        <f>SUM(CZ439:DB439)</f>
        <v>1</v>
      </c>
      <c r="CZ439" s="3402">
        <f>CZ438/CY438</f>
        <v>0.34798522185348824</v>
      </c>
      <c r="DA439" s="3402">
        <f>DA438/CY438</f>
        <v>0.16342311297988379</v>
      </c>
      <c r="DB439" s="3402">
        <f>DB438/CY438</f>
        <v>0.48859166516662805</v>
      </c>
      <c r="DC439" s="3264"/>
      <c r="DD439" s="3403" t="s">
        <v>631</v>
      </c>
      <c r="DE439" s="3412"/>
      <c r="DF439" s="3412"/>
      <c r="DG439" s="3402">
        <f>SUM(DH439:DJ439)</f>
        <v>1</v>
      </c>
      <c r="DH439" s="3402">
        <f>DH438/DG438</f>
        <v>0.34798522185348824</v>
      </c>
      <c r="DI439" s="3402">
        <f>DI438/DG438</f>
        <v>0.16342311297988379</v>
      </c>
      <c r="DJ439" s="3402">
        <f>DJ438/DG438</f>
        <v>0.48859166516662805</v>
      </c>
      <c r="DK439" s="3264"/>
      <c r="DL439" s="3403" t="s">
        <v>631</v>
      </c>
      <c r="DM439" s="3412"/>
      <c r="DN439" s="3412"/>
      <c r="DO439" s="3402">
        <f>SUM(DP439:DR439)</f>
        <v>1</v>
      </c>
      <c r="DP439" s="3402">
        <f>DP438/DO438</f>
        <v>0.34798522185348824</v>
      </c>
      <c r="DQ439" s="3402">
        <f>DQ438/DO438</f>
        <v>0.16342311297988379</v>
      </c>
      <c r="DR439" s="3402">
        <f>DR438/DO438</f>
        <v>0.48859166516662805</v>
      </c>
      <c r="DS439" s="3264"/>
      <c r="DT439" s="3403" t="s">
        <v>631</v>
      </c>
      <c r="DU439" s="3412"/>
      <c r="DV439" s="3412"/>
      <c r="DW439" s="3402">
        <f>SUM(DX439:DZ439)</f>
        <v>1</v>
      </c>
      <c r="DX439" s="3402">
        <f>DX438/DW438</f>
        <v>0.34798522185348824</v>
      </c>
      <c r="DY439" s="3402">
        <f>DY438/DW438</f>
        <v>0.16342311297988379</v>
      </c>
      <c r="DZ439" s="3402">
        <f>DZ438/DW438</f>
        <v>0.48859166516662805</v>
      </c>
      <c r="EA439" s="3264"/>
      <c r="EB439" s="3403" t="s">
        <v>631</v>
      </c>
      <c r="EC439" s="3412"/>
      <c r="ED439" s="3412"/>
      <c r="EE439" s="3402">
        <f>SUM(EF439:EH439)</f>
        <v>1</v>
      </c>
      <c r="EF439" s="3402">
        <f>EF438/EE438</f>
        <v>0.34798522185348824</v>
      </c>
      <c r="EG439" s="3402">
        <f>EG438/EE438</f>
        <v>0.16342311297988379</v>
      </c>
      <c r="EH439" s="3402">
        <f>EH438/EE438</f>
        <v>0.48859166516662805</v>
      </c>
      <c r="EI439" s="3264"/>
      <c r="EJ439" s="3403" t="s">
        <v>631</v>
      </c>
      <c r="EK439" s="3412"/>
      <c r="EL439" s="3412"/>
      <c r="EM439" s="3402">
        <f>SUM(EN439:EP439)</f>
        <v>1</v>
      </c>
      <c r="EN439" s="3402">
        <f>EN438/EM438</f>
        <v>0.34798522185348824</v>
      </c>
      <c r="EO439" s="3402">
        <f>EO438/EM438</f>
        <v>0.16342311297988379</v>
      </c>
      <c r="EP439" s="3402">
        <f>EP438/EM438</f>
        <v>0.48859166516662805</v>
      </c>
      <c r="EQ439" s="3264"/>
      <c r="ER439" s="3403" t="s">
        <v>631</v>
      </c>
      <c r="ES439" s="3412"/>
      <c r="ET439" s="3412"/>
      <c r="EU439" s="3402">
        <f>SUM(EV439:EX439)</f>
        <v>1</v>
      </c>
      <c r="EV439" s="3402">
        <f>EV438/EU438</f>
        <v>0.34798522185348824</v>
      </c>
      <c r="EW439" s="3402">
        <f>EW438/EU438</f>
        <v>0.16342311297988379</v>
      </c>
      <c r="EX439" s="3402">
        <f>EX438/EU438</f>
        <v>0.48859166516662805</v>
      </c>
      <c r="EY439" s="3264"/>
      <c r="EZ439" s="3403" t="s">
        <v>631</v>
      </c>
      <c r="FA439" s="3412"/>
      <c r="FB439" s="3412"/>
      <c r="FC439" s="3402">
        <f>SUM(FD439:FF439)</f>
        <v>1</v>
      </c>
      <c r="FD439" s="3402">
        <f>FD438/FC438</f>
        <v>0.34798522185348824</v>
      </c>
      <c r="FE439" s="3402">
        <f>FE438/FC438</f>
        <v>0.16342311297988379</v>
      </c>
      <c r="FF439" s="3402">
        <f>FF438/FC438</f>
        <v>0.48859166516662805</v>
      </c>
      <c r="FG439" s="3264"/>
      <c r="FH439" s="3403" t="s">
        <v>631</v>
      </c>
      <c r="FI439" s="3412"/>
      <c r="FJ439" s="3412"/>
      <c r="FK439" s="3402">
        <f>SUM(FL439:FN439)</f>
        <v>1</v>
      </c>
      <c r="FL439" s="3402">
        <f>FL438/FK438</f>
        <v>0.34798522185348824</v>
      </c>
      <c r="FM439" s="3402">
        <f>FM438/FK438</f>
        <v>0.16342311297988379</v>
      </c>
      <c r="FN439" s="3402">
        <f>FN438/FK438</f>
        <v>0.48859166516662805</v>
      </c>
      <c r="FO439" s="3264"/>
    </row>
    <row r="440" spans="2:171" ht="12" thickBot="1">
      <c r="K440" s="3411"/>
      <c r="S440" s="3264"/>
      <c r="AA440" s="3264"/>
      <c r="AI440" s="3264"/>
      <c r="AQ440" s="3264"/>
      <c r="AY440" s="3264"/>
      <c r="BG440" s="3264"/>
      <c r="BO440" s="3264"/>
      <c r="BW440" s="3264"/>
      <c r="CE440" s="3264"/>
      <c r="CM440" s="3264"/>
      <c r="CU440" s="3264"/>
      <c r="DC440" s="3264"/>
      <c r="DK440" s="3264"/>
      <c r="DS440" s="3264"/>
      <c r="EA440" s="3264"/>
      <c r="EI440" s="3264"/>
      <c r="EQ440" s="3264"/>
      <c r="EY440" s="3264"/>
      <c r="FG440" s="3264"/>
      <c r="FO440" s="3264"/>
    </row>
    <row r="441" spans="2:171" ht="12.75" thickTop="1" thickBot="1">
      <c r="D441" s="3405"/>
      <c r="E441" s="2747"/>
      <c r="F441" s="2747"/>
      <c r="G441" s="3414"/>
      <c r="H441" s="3415"/>
      <c r="I441" s="3415"/>
      <c r="J441" s="3416"/>
      <c r="K441" s="3264"/>
      <c r="O441" s="3414"/>
      <c r="P441" s="3415"/>
      <c r="Q441" s="3415"/>
      <c r="R441" s="3416"/>
      <c r="S441" s="3264"/>
      <c r="W441" s="3414"/>
      <c r="X441" s="3415"/>
      <c r="Y441" s="3415"/>
      <c r="Z441" s="3416"/>
      <c r="AA441" s="3264"/>
      <c r="AE441" s="3414"/>
      <c r="AF441" s="3415"/>
      <c r="AG441" s="3415"/>
      <c r="AH441" s="3416"/>
      <c r="AI441" s="3264"/>
      <c r="AM441" s="3414"/>
      <c r="AN441" s="3415"/>
      <c r="AO441" s="3415"/>
      <c r="AP441" s="3416"/>
      <c r="AQ441" s="3264"/>
      <c r="AU441" s="3414"/>
      <c r="AV441" s="3415"/>
      <c r="AW441" s="3415"/>
      <c r="AX441" s="3416"/>
      <c r="AY441" s="3264"/>
      <c r="BC441" s="3414"/>
      <c r="BD441" s="3415"/>
      <c r="BE441" s="3415"/>
      <c r="BF441" s="3416"/>
      <c r="BG441" s="3264"/>
      <c r="BK441" s="3414"/>
      <c r="BL441" s="3415"/>
      <c r="BM441" s="3415"/>
      <c r="BN441" s="3416"/>
      <c r="BO441" s="3264"/>
      <c r="BS441" s="3414"/>
      <c r="BT441" s="3415"/>
      <c r="BU441" s="3415"/>
      <c r="BV441" s="3416"/>
      <c r="BW441" s="3264"/>
      <c r="CA441" s="3414"/>
      <c r="CB441" s="3415"/>
      <c r="CC441" s="3415"/>
      <c r="CD441" s="3416"/>
      <c r="CE441" s="3264"/>
      <c r="CI441" s="3414"/>
      <c r="CJ441" s="3415"/>
      <c r="CK441" s="3415"/>
      <c r="CL441" s="3416"/>
      <c r="CM441" s="3264"/>
      <c r="CQ441" s="3414"/>
      <c r="CR441" s="3415"/>
      <c r="CS441" s="3415"/>
      <c r="CT441" s="3416"/>
      <c r="CU441" s="3264"/>
      <c r="CY441" s="3414"/>
      <c r="CZ441" s="3415"/>
      <c r="DA441" s="3415"/>
      <c r="DB441" s="3416"/>
      <c r="DC441" s="3264"/>
      <c r="DG441" s="3414"/>
      <c r="DH441" s="3415"/>
      <c r="DI441" s="3415"/>
      <c r="DJ441" s="3416"/>
      <c r="DK441" s="3264"/>
      <c r="DO441" s="3414"/>
      <c r="DP441" s="3415"/>
      <c r="DQ441" s="3415"/>
      <c r="DR441" s="3416"/>
      <c r="DS441" s="3264"/>
      <c r="DW441" s="3414"/>
      <c r="DX441" s="3415"/>
      <c r="DY441" s="3415"/>
      <c r="DZ441" s="3416"/>
      <c r="EA441" s="3264"/>
      <c r="EE441" s="3414"/>
      <c r="EF441" s="3415"/>
      <c r="EG441" s="3415"/>
      <c r="EH441" s="3416"/>
      <c r="EI441" s="3264"/>
      <c r="EM441" s="3414"/>
      <c r="EN441" s="3415"/>
      <c r="EO441" s="3415"/>
      <c r="EP441" s="3416"/>
      <c r="EQ441" s="3264"/>
      <c r="EU441" s="3414"/>
      <c r="EV441" s="3415"/>
      <c r="EW441" s="3415"/>
      <c r="EX441" s="3416"/>
      <c r="EY441" s="3264"/>
      <c r="FC441" s="3414"/>
      <c r="FD441" s="3415"/>
      <c r="FE441" s="3415"/>
      <c r="FF441" s="3416"/>
      <c r="FG441" s="3264"/>
      <c r="FK441" s="3414"/>
      <c r="FL441" s="3415"/>
      <c r="FM441" s="3415"/>
      <c r="FN441" s="3416"/>
      <c r="FO441" s="3264"/>
    </row>
    <row r="442" spans="2:171">
      <c r="D442" s="3417"/>
      <c r="E442" s="3418"/>
      <c r="F442" s="2747"/>
      <c r="G442" s="3419"/>
      <c r="H442" s="3420"/>
      <c r="I442" s="3420"/>
      <c r="J442" s="3421"/>
      <c r="K442" s="3264"/>
      <c r="O442" s="3419"/>
      <c r="P442" s="3420"/>
      <c r="Q442" s="3420"/>
      <c r="R442" s="3421"/>
      <c r="S442" s="3264"/>
      <c r="W442" s="3419"/>
      <c r="X442" s="3420"/>
      <c r="Y442" s="3420"/>
      <c r="Z442" s="3421"/>
      <c r="AA442" s="3264"/>
      <c r="AE442" s="3419"/>
      <c r="AF442" s="3420"/>
      <c r="AG442" s="3420"/>
      <c r="AH442" s="3421"/>
      <c r="AI442" s="3264"/>
      <c r="AM442" s="3419"/>
      <c r="AN442" s="3420"/>
      <c r="AO442" s="3420"/>
      <c r="AP442" s="3421"/>
      <c r="AQ442" s="3264"/>
      <c r="AU442" s="3419"/>
      <c r="AV442" s="3420"/>
      <c r="AW442" s="3420"/>
      <c r="AX442" s="3421"/>
      <c r="AY442" s="3264"/>
      <c r="BC442" s="3419"/>
      <c r="BD442" s="3420"/>
      <c r="BE442" s="3420"/>
      <c r="BF442" s="3421"/>
      <c r="BG442" s="3264"/>
      <c r="BK442" s="3419"/>
      <c r="BL442" s="3420"/>
      <c r="BM442" s="3420"/>
      <c r="BN442" s="3421"/>
      <c r="BO442" s="3264"/>
      <c r="BS442" s="3419"/>
      <c r="BT442" s="3420"/>
      <c r="BU442" s="3420"/>
      <c r="BV442" s="3421"/>
      <c r="BW442" s="3264"/>
      <c r="CA442" s="3419"/>
      <c r="CB442" s="3420"/>
      <c r="CC442" s="3420"/>
      <c r="CD442" s="3421"/>
      <c r="CE442" s="3264"/>
      <c r="CI442" s="3419"/>
      <c r="CJ442" s="3420"/>
      <c r="CK442" s="3420"/>
      <c r="CL442" s="3421"/>
      <c r="CM442" s="3264"/>
      <c r="CQ442" s="3419"/>
      <c r="CR442" s="3420"/>
      <c r="CS442" s="3420"/>
      <c r="CT442" s="3421"/>
      <c r="CU442" s="3264"/>
      <c r="CY442" s="3419"/>
      <c r="CZ442" s="3420"/>
      <c r="DA442" s="3420"/>
      <c r="DB442" s="3421"/>
      <c r="DC442" s="3264"/>
      <c r="DG442" s="3419"/>
      <c r="DH442" s="3420"/>
      <c r="DI442" s="3420"/>
      <c r="DJ442" s="3421"/>
      <c r="DK442" s="3264"/>
      <c r="DO442" s="3419"/>
      <c r="DP442" s="3420"/>
      <c r="DQ442" s="3420"/>
      <c r="DR442" s="3421"/>
      <c r="DS442" s="3264"/>
      <c r="DW442" s="3419"/>
      <c r="DX442" s="3420"/>
      <c r="DY442" s="3420"/>
      <c r="DZ442" s="3421"/>
      <c r="EA442" s="3264"/>
      <c r="EE442" s="3419"/>
      <c r="EF442" s="3420"/>
      <c r="EG442" s="3420"/>
      <c r="EH442" s="3421"/>
      <c r="EI442" s="3264"/>
      <c r="EM442" s="3419"/>
      <c r="EN442" s="3420"/>
      <c r="EO442" s="3420"/>
      <c r="EP442" s="3421"/>
      <c r="EQ442" s="3264"/>
      <c r="EU442" s="3419"/>
      <c r="EV442" s="3420"/>
      <c r="EW442" s="3420"/>
      <c r="EX442" s="3421"/>
      <c r="EY442" s="3264"/>
      <c r="FC442" s="3419"/>
      <c r="FD442" s="3420"/>
      <c r="FE442" s="3420"/>
      <c r="FF442" s="3421"/>
      <c r="FG442" s="3264"/>
      <c r="FK442" s="3419"/>
      <c r="FL442" s="3420"/>
      <c r="FM442" s="3420"/>
      <c r="FN442" s="3421"/>
      <c r="FO442" s="3264"/>
    </row>
    <row r="443" spans="2:171">
      <c r="D443" s="3417"/>
      <c r="E443" s="3418"/>
      <c r="F443" s="2747"/>
      <c r="G443" s="3419" t="s">
        <v>390</v>
      </c>
      <c r="H443" s="3422">
        <v>0</v>
      </c>
      <c r="I443" s="3422">
        <v>0</v>
      </c>
      <c r="J443" s="3423">
        <v>1</v>
      </c>
      <c r="K443" s="3411"/>
      <c r="O443" s="3419" t="s">
        <v>390</v>
      </c>
      <c r="P443" s="3422">
        <v>0</v>
      </c>
      <c r="Q443" s="3422">
        <v>0</v>
      </c>
      <c r="R443" s="3423">
        <v>1</v>
      </c>
      <c r="S443" s="3411"/>
      <c r="W443" s="3419" t="s">
        <v>390</v>
      </c>
      <c r="X443" s="3422">
        <v>0</v>
      </c>
      <c r="Y443" s="3422">
        <v>0</v>
      </c>
      <c r="Z443" s="3423">
        <v>1</v>
      </c>
      <c r="AA443" s="3411"/>
      <c r="AE443" s="3419" t="s">
        <v>390</v>
      </c>
      <c r="AF443" s="3422">
        <v>0</v>
      </c>
      <c r="AG443" s="3422">
        <v>0</v>
      </c>
      <c r="AH443" s="3423">
        <v>1</v>
      </c>
      <c r="AI443" s="3411"/>
      <c r="AM443" s="3419" t="s">
        <v>390</v>
      </c>
      <c r="AN443" s="3422">
        <v>0</v>
      </c>
      <c r="AO443" s="3422">
        <v>0</v>
      </c>
      <c r="AP443" s="3423">
        <v>1</v>
      </c>
      <c r="AQ443" s="3411"/>
      <c r="AU443" s="3419" t="s">
        <v>390</v>
      </c>
      <c r="AV443" s="3422">
        <v>0</v>
      </c>
      <c r="AW443" s="3422">
        <v>0</v>
      </c>
      <c r="AX443" s="3423">
        <v>1</v>
      </c>
      <c r="AY443" s="3411"/>
      <c r="BC443" s="3419" t="s">
        <v>390</v>
      </c>
      <c r="BD443" s="3422">
        <v>0</v>
      </c>
      <c r="BE443" s="3422">
        <v>0</v>
      </c>
      <c r="BF443" s="3423">
        <v>1</v>
      </c>
      <c r="BG443" s="3411"/>
      <c r="BK443" s="3419" t="s">
        <v>390</v>
      </c>
      <c r="BL443" s="3422">
        <v>0</v>
      </c>
      <c r="BM443" s="3422">
        <v>0</v>
      </c>
      <c r="BN443" s="3423">
        <v>1</v>
      </c>
      <c r="BO443" s="3411"/>
      <c r="BS443" s="3419" t="s">
        <v>390</v>
      </c>
      <c r="BT443" s="3422">
        <v>0</v>
      </c>
      <c r="BU443" s="3422">
        <v>0</v>
      </c>
      <c r="BV443" s="3423">
        <v>1</v>
      </c>
      <c r="BW443" s="3411"/>
      <c r="CA443" s="3419" t="s">
        <v>390</v>
      </c>
      <c r="CB443" s="3422">
        <v>0</v>
      </c>
      <c r="CC443" s="3422">
        <v>0</v>
      </c>
      <c r="CD443" s="3423">
        <v>1</v>
      </c>
      <c r="CE443" s="3411"/>
      <c r="CI443" s="3419" t="s">
        <v>390</v>
      </c>
      <c r="CJ443" s="3422">
        <v>0</v>
      </c>
      <c r="CK443" s="3422">
        <v>0</v>
      </c>
      <c r="CL443" s="3423">
        <v>1</v>
      </c>
      <c r="CM443" s="3411"/>
      <c r="CQ443" s="3419" t="s">
        <v>390</v>
      </c>
      <c r="CR443" s="3422">
        <v>0</v>
      </c>
      <c r="CS443" s="3422">
        <v>0</v>
      </c>
      <c r="CT443" s="3423">
        <v>1</v>
      </c>
      <c r="CU443" s="3411"/>
      <c r="CY443" s="3419" t="s">
        <v>390</v>
      </c>
      <c r="CZ443" s="3422">
        <v>0</v>
      </c>
      <c r="DA443" s="3422">
        <v>0</v>
      </c>
      <c r="DB443" s="3423">
        <v>1</v>
      </c>
      <c r="DC443" s="3411"/>
      <c r="DG443" s="3419" t="s">
        <v>390</v>
      </c>
      <c r="DH443" s="3422">
        <v>0</v>
      </c>
      <c r="DI443" s="3422">
        <v>0</v>
      </c>
      <c r="DJ443" s="3423">
        <v>1</v>
      </c>
      <c r="DK443" s="3411"/>
      <c r="DO443" s="3419" t="s">
        <v>390</v>
      </c>
      <c r="DP443" s="3422">
        <v>0</v>
      </c>
      <c r="DQ443" s="3422">
        <v>0</v>
      </c>
      <c r="DR443" s="3423">
        <v>1</v>
      </c>
      <c r="DS443" s="3411"/>
      <c r="DW443" s="3419" t="s">
        <v>390</v>
      </c>
      <c r="DX443" s="3422">
        <v>0</v>
      </c>
      <c r="DY443" s="3422">
        <v>0</v>
      </c>
      <c r="DZ443" s="3423">
        <v>1</v>
      </c>
      <c r="EA443" s="3411"/>
      <c r="EE443" s="3419" t="s">
        <v>390</v>
      </c>
      <c r="EF443" s="3422">
        <v>0</v>
      </c>
      <c r="EG443" s="3422">
        <v>0</v>
      </c>
      <c r="EH443" s="3423">
        <v>1</v>
      </c>
      <c r="EI443" s="3411"/>
      <c r="EM443" s="3419" t="s">
        <v>390</v>
      </c>
      <c r="EN443" s="3422">
        <v>0</v>
      </c>
      <c r="EO443" s="3422">
        <v>0</v>
      </c>
      <c r="EP443" s="3423">
        <v>1</v>
      </c>
      <c r="EQ443" s="3411"/>
      <c r="EU443" s="3419" t="s">
        <v>390</v>
      </c>
      <c r="EV443" s="3422">
        <v>0</v>
      </c>
      <c r="EW443" s="3422">
        <v>0</v>
      </c>
      <c r="EX443" s="3423">
        <v>1</v>
      </c>
      <c r="EY443" s="3411"/>
      <c r="FC443" s="3419" t="s">
        <v>390</v>
      </c>
      <c r="FD443" s="3422">
        <v>0</v>
      </c>
      <c r="FE443" s="3422">
        <v>0</v>
      </c>
      <c r="FF443" s="3423">
        <v>1</v>
      </c>
      <c r="FG443" s="3411"/>
      <c r="FK443" s="3419" t="s">
        <v>390</v>
      </c>
      <c r="FL443" s="3422">
        <v>0</v>
      </c>
      <c r="FM443" s="3422">
        <v>0</v>
      </c>
      <c r="FN443" s="3423">
        <v>1</v>
      </c>
      <c r="FO443" s="3411"/>
    </row>
    <row r="444" spans="2:171">
      <c r="D444" s="3417"/>
      <c r="E444" s="3418"/>
      <c r="F444" s="2747"/>
      <c r="G444" s="3419" t="s">
        <v>392</v>
      </c>
      <c r="H444" s="3422">
        <v>1</v>
      </c>
      <c r="I444" s="3422">
        <v>0</v>
      </c>
      <c r="J444" s="3423">
        <v>0</v>
      </c>
      <c r="K444" s="3264"/>
      <c r="O444" s="3419" t="s">
        <v>392</v>
      </c>
      <c r="P444" s="3422">
        <v>1</v>
      </c>
      <c r="Q444" s="3422">
        <v>0</v>
      </c>
      <c r="R444" s="3423">
        <v>0</v>
      </c>
      <c r="S444" s="3264"/>
      <c r="W444" s="3419" t="s">
        <v>392</v>
      </c>
      <c r="X444" s="3422">
        <v>1</v>
      </c>
      <c r="Y444" s="3422">
        <v>0</v>
      </c>
      <c r="Z444" s="3423">
        <v>0</v>
      </c>
      <c r="AA444" s="3264"/>
      <c r="AE444" s="3419" t="s">
        <v>392</v>
      </c>
      <c r="AF444" s="3422">
        <v>1</v>
      </c>
      <c r="AG444" s="3422">
        <v>0</v>
      </c>
      <c r="AH444" s="3423">
        <v>0</v>
      </c>
      <c r="AI444" s="3264"/>
      <c r="AM444" s="3419" t="s">
        <v>392</v>
      </c>
      <c r="AN444" s="3422">
        <v>1</v>
      </c>
      <c r="AO444" s="3422">
        <v>0</v>
      </c>
      <c r="AP444" s="3423">
        <v>0</v>
      </c>
      <c r="AQ444" s="3264"/>
      <c r="AU444" s="3419" t="s">
        <v>392</v>
      </c>
      <c r="AV444" s="3422">
        <v>1</v>
      </c>
      <c r="AW444" s="3422">
        <v>0</v>
      </c>
      <c r="AX444" s="3423">
        <v>0</v>
      </c>
      <c r="AY444" s="3264"/>
      <c r="BC444" s="3419" t="s">
        <v>392</v>
      </c>
      <c r="BD444" s="3422">
        <v>1</v>
      </c>
      <c r="BE444" s="3422">
        <v>0</v>
      </c>
      <c r="BF444" s="3423">
        <v>0</v>
      </c>
      <c r="BG444" s="3264"/>
      <c r="BK444" s="3419" t="s">
        <v>392</v>
      </c>
      <c r="BL444" s="3422">
        <v>1</v>
      </c>
      <c r="BM444" s="3422">
        <v>0</v>
      </c>
      <c r="BN444" s="3423">
        <v>0</v>
      </c>
      <c r="BO444" s="3264"/>
      <c r="BS444" s="3419" t="s">
        <v>392</v>
      </c>
      <c r="BT444" s="3422">
        <v>1</v>
      </c>
      <c r="BU444" s="3422">
        <v>0</v>
      </c>
      <c r="BV444" s="3423">
        <v>0</v>
      </c>
      <c r="BW444" s="3264"/>
      <c r="CA444" s="3419" t="s">
        <v>392</v>
      </c>
      <c r="CB444" s="3422">
        <v>1</v>
      </c>
      <c r="CC444" s="3422">
        <v>0</v>
      </c>
      <c r="CD444" s="3423">
        <v>0</v>
      </c>
      <c r="CE444" s="3264"/>
      <c r="CI444" s="3419" t="s">
        <v>392</v>
      </c>
      <c r="CJ444" s="3422">
        <v>1</v>
      </c>
      <c r="CK444" s="3422">
        <v>0</v>
      </c>
      <c r="CL444" s="3423">
        <v>0</v>
      </c>
      <c r="CM444" s="3264"/>
      <c r="CQ444" s="3419" t="s">
        <v>392</v>
      </c>
      <c r="CR444" s="3422">
        <v>1</v>
      </c>
      <c r="CS444" s="3422">
        <v>0</v>
      </c>
      <c r="CT444" s="3423">
        <v>0</v>
      </c>
      <c r="CU444" s="3264"/>
      <c r="CY444" s="3419" t="s">
        <v>392</v>
      </c>
      <c r="CZ444" s="3422">
        <v>1</v>
      </c>
      <c r="DA444" s="3422">
        <v>0</v>
      </c>
      <c r="DB444" s="3423">
        <v>0</v>
      </c>
      <c r="DC444" s="3264"/>
      <c r="DG444" s="3419" t="s">
        <v>392</v>
      </c>
      <c r="DH444" s="3422">
        <v>1</v>
      </c>
      <c r="DI444" s="3422">
        <v>0</v>
      </c>
      <c r="DJ444" s="3423">
        <v>0</v>
      </c>
      <c r="DK444" s="3264"/>
      <c r="DO444" s="3419" t="s">
        <v>392</v>
      </c>
      <c r="DP444" s="3422">
        <v>1</v>
      </c>
      <c r="DQ444" s="3422">
        <v>0</v>
      </c>
      <c r="DR444" s="3423">
        <v>0</v>
      </c>
      <c r="DS444" s="3264"/>
      <c r="DW444" s="3419" t="s">
        <v>392</v>
      </c>
      <c r="DX444" s="3422">
        <v>1</v>
      </c>
      <c r="DY444" s="3422">
        <v>0</v>
      </c>
      <c r="DZ444" s="3423">
        <v>0</v>
      </c>
      <c r="EA444" s="3264"/>
      <c r="EE444" s="3419" t="s">
        <v>392</v>
      </c>
      <c r="EF444" s="3422">
        <v>1</v>
      </c>
      <c r="EG444" s="3422">
        <v>0</v>
      </c>
      <c r="EH444" s="3423">
        <v>0</v>
      </c>
      <c r="EI444" s="3264"/>
      <c r="EM444" s="3419" t="s">
        <v>392</v>
      </c>
      <c r="EN444" s="3422">
        <v>1</v>
      </c>
      <c r="EO444" s="3422">
        <v>0</v>
      </c>
      <c r="EP444" s="3423">
        <v>0</v>
      </c>
      <c r="EQ444" s="3264"/>
      <c r="EU444" s="3419" t="s">
        <v>392</v>
      </c>
      <c r="EV444" s="3422">
        <v>1</v>
      </c>
      <c r="EW444" s="3422">
        <v>0</v>
      </c>
      <c r="EX444" s="3423">
        <v>0</v>
      </c>
      <c r="EY444" s="3264"/>
      <c r="FC444" s="3419" t="s">
        <v>392</v>
      </c>
      <c r="FD444" s="3422">
        <v>1</v>
      </c>
      <c r="FE444" s="3422">
        <v>0</v>
      </c>
      <c r="FF444" s="3423">
        <v>0</v>
      </c>
      <c r="FG444" s="3264"/>
      <c r="FK444" s="3419" t="s">
        <v>392</v>
      </c>
      <c r="FL444" s="3422">
        <v>1</v>
      </c>
      <c r="FM444" s="3422">
        <v>0</v>
      </c>
      <c r="FN444" s="3423">
        <v>0</v>
      </c>
      <c r="FO444" s="3264"/>
    </row>
    <row r="445" spans="2:171">
      <c r="D445" s="3417"/>
      <c r="E445" s="3418"/>
      <c r="F445" s="2747"/>
      <c r="G445" s="3419" t="s">
        <v>391</v>
      </c>
      <c r="H445" s="3422">
        <v>0</v>
      </c>
      <c r="I445" s="3422">
        <v>1</v>
      </c>
      <c r="J445" s="3423">
        <v>0</v>
      </c>
      <c r="K445" s="3264"/>
      <c r="O445" s="3419" t="s">
        <v>391</v>
      </c>
      <c r="P445" s="3422">
        <v>0</v>
      </c>
      <c r="Q445" s="3422">
        <v>1</v>
      </c>
      <c r="R445" s="3423">
        <v>0</v>
      </c>
      <c r="S445" s="3264"/>
      <c r="W445" s="3419" t="s">
        <v>391</v>
      </c>
      <c r="X445" s="3422">
        <v>0</v>
      </c>
      <c r="Y445" s="3422">
        <v>1</v>
      </c>
      <c r="Z445" s="3423">
        <v>0</v>
      </c>
      <c r="AA445" s="3264"/>
      <c r="AE445" s="3419" t="s">
        <v>391</v>
      </c>
      <c r="AF445" s="3422">
        <v>0</v>
      </c>
      <c r="AG445" s="3422">
        <v>1</v>
      </c>
      <c r="AH445" s="3423">
        <v>0</v>
      </c>
      <c r="AI445" s="3264"/>
      <c r="AM445" s="3419" t="s">
        <v>391</v>
      </c>
      <c r="AN445" s="3422">
        <v>0</v>
      </c>
      <c r="AO445" s="3422">
        <v>1</v>
      </c>
      <c r="AP445" s="3423">
        <v>0</v>
      </c>
      <c r="AQ445" s="3264"/>
      <c r="AU445" s="3419" t="s">
        <v>391</v>
      </c>
      <c r="AV445" s="3422">
        <v>0</v>
      </c>
      <c r="AW445" s="3422">
        <v>1</v>
      </c>
      <c r="AX445" s="3423">
        <v>0</v>
      </c>
      <c r="AY445" s="3264"/>
      <c r="BC445" s="3419" t="s">
        <v>391</v>
      </c>
      <c r="BD445" s="3422">
        <v>0</v>
      </c>
      <c r="BE445" s="3422">
        <v>1</v>
      </c>
      <c r="BF445" s="3423">
        <v>0</v>
      </c>
      <c r="BG445" s="3264"/>
      <c r="BK445" s="3419" t="s">
        <v>391</v>
      </c>
      <c r="BL445" s="3422">
        <v>0</v>
      </c>
      <c r="BM445" s="3422">
        <v>1</v>
      </c>
      <c r="BN445" s="3423">
        <v>0</v>
      </c>
      <c r="BO445" s="3264"/>
      <c r="BS445" s="3419" t="s">
        <v>391</v>
      </c>
      <c r="BT445" s="3422">
        <v>0</v>
      </c>
      <c r="BU445" s="3422">
        <v>1</v>
      </c>
      <c r="BV445" s="3423">
        <v>0</v>
      </c>
      <c r="BW445" s="3264"/>
      <c r="CA445" s="3419" t="s">
        <v>391</v>
      </c>
      <c r="CB445" s="3422">
        <v>0</v>
      </c>
      <c r="CC445" s="3422">
        <v>1</v>
      </c>
      <c r="CD445" s="3423">
        <v>0</v>
      </c>
      <c r="CE445" s="3264"/>
      <c r="CI445" s="3419" t="s">
        <v>391</v>
      </c>
      <c r="CJ445" s="3422">
        <v>0</v>
      </c>
      <c r="CK445" s="3422">
        <v>1</v>
      </c>
      <c r="CL445" s="3423">
        <v>0</v>
      </c>
      <c r="CM445" s="3264"/>
      <c r="CQ445" s="3419" t="s">
        <v>391</v>
      </c>
      <c r="CR445" s="3422">
        <v>0</v>
      </c>
      <c r="CS445" s="3422">
        <v>1</v>
      </c>
      <c r="CT445" s="3423">
        <v>0</v>
      </c>
      <c r="CU445" s="3264"/>
      <c r="CY445" s="3419" t="s">
        <v>391</v>
      </c>
      <c r="CZ445" s="3422">
        <v>0</v>
      </c>
      <c r="DA445" s="3422">
        <v>1</v>
      </c>
      <c r="DB445" s="3423">
        <v>0</v>
      </c>
      <c r="DC445" s="3264"/>
      <c r="DG445" s="3419" t="s">
        <v>391</v>
      </c>
      <c r="DH445" s="3422">
        <v>0</v>
      </c>
      <c r="DI445" s="3422">
        <v>1</v>
      </c>
      <c r="DJ445" s="3423">
        <v>0</v>
      </c>
      <c r="DK445" s="3264"/>
      <c r="DO445" s="3419" t="s">
        <v>391</v>
      </c>
      <c r="DP445" s="3422">
        <v>0</v>
      </c>
      <c r="DQ445" s="3422">
        <v>1</v>
      </c>
      <c r="DR445" s="3423">
        <v>0</v>
      </c>
      <c r="DS445" s="3264"/>
      <c r="DW445" s="3419" t="s">
        <v>391</v>
      </c>
      <c r="DX445" s="3422">
        <v>0</v>
      </c>
      <c r="DY445" s="3422">
        <v>1</v>
      </c>
      <c r="DZ445" s="3423">
        <v>0</v>
      </c>
      <c r="EA445" s="3264"/>
      <c r="EE445" s="3419" t="s">
        <v>391</v>
      </c>
      <c r="EF445" s="3422">
        <v>0</v>
      </c>
      <c r="EG445" s="3422">
        <v>1</v>
      </c>
      <c r="EH445" s="3423">
        <v>0</v>
      </c>
      <c r="EI445" s="3264"/>
      <c r="EM445" s="3419" t="s">
        <v>391</v>
      </c>
      <c r="EN445" s="3422">
        <v>0</v>
      </c>
      <c r="EO445" s="3422">
        <v>1</v>
      </c>
      <c r="EP445" s="3423">
        <v>0</v>
      </c>
      <c r="EQ445" s="3264"/>
      <c r="EU445" s="3419" t="s">
        <v>391</v>
      </c>
      <c r="EV445" s="3422">
        <v>0</v>
      </c>
      <c r="EW445" s="3422">
        <v>1</v>
      </c>
      <c r="EX445" s="3423">
        <v>0</v>
      </c>
      <c r="EY445" s="3264"/>
      <c r="FC445" s="3419" t="s">
        <v>391</v>
      </c>
      <c r="FD445" s="3422">
        <v>0</v>
      </c>
      <c r="FE445" s="3422">
        <v>1</v>
      </c>
      <c r="FF445" s="3423">
        <v>0</v>
      </c>
      <c r="FG445" s="3264"/>
      <c r="FK445" s="3419" t="s">
        <v>391</v>
      </c>
      <c r="FL445" s="3422">
        <v>0</v>
      </c>
      <c r="FM445" s="3422">
        <v>1</v>
      </c>
      <c r="FN445" s="3423">
        <v>0</v>
      </c>
      <c r="FO445" s="3264"/>
    </row>
    <row r="446" spans="2:171">
      <c r="D446" s="3417"/>
      <c r="E446" s="3418"/>
      <c r="F446" s="2747"/>
      <c r="G446" s="3419" t="s">
        <v>90</v>
      </c>
      <c r="H446" s="3422">
        <v>0</v>
      </c>
      <c r="I446" s="3422">
        <v>0</v>
      </c>
      <c r="J446" s="3423">
        <v>0</v>
      </c>
      <c r="K446" s="3411"/>
      <c r="O446" s="3419" t="s">
        <v>90</v>
      </c>
      <c r="P446" s="3422">
        <v>0</v>
      </c>
      <c r="Q446" s="3422">
        <v>0</v>
      </c>
      <c r="R446" s="3423">
        <v>0</v>
      </c>
      <c r="S446" s="3411"/>
      <c r="W446" s="3419" t="s">
        <v>90</v>
      </c>
      <c r="X446" s="3422">
        <v>0</v>
      </c>
      <c r="Y446" s="3422">
        <v>0</v>
      </c>
      <c r="Z446" s="3423">
        <v>0</v>
      </c>
      <c r="AA446" s="3411"/>
      <c r="AE446" s="3419" t="s">
        <v>90</v>
      </c>
      <c r="AF446" s="3422">
        <v>0</v>
      </c>
      <c r="AG446" s="3422">
        <v>0</v>
      </c>
      <c r="AH446" s="3423">
        <v>0</v>
      </c>
      <c r="AI446" s="3411"/>
      <c r="AM446" s="3419" t="s">
        <v>90</v>
      </c>
      <c r="AN446" s="3422">
        <v>0</v>
      </c>
      <c r="AO446" s="3422">
        <v>0</v>
      </c>
      <c r="AP446" s="3423">
        <v>0</v>
      </c>
      <c r="AQ446" s="3411"/>
      <c r="AU446" s="3419" t="s">
        <v>90</v>
      </c>
      <c r="AV446" s="3422">
        <v>0</v>
      </c>
      <c r="AW446" s="3422">
        <v>0</v>
      </c>
      <c r="AX446" s="3423">
        <v>0</v>
      </c>
      <c r="AY446" s="3411"/>
      <c r="BC446" s="3419" t="s">
        <v>90</v>
      </c>
      <c r="BD446" s="3422">
        <v>0</v>
      </c>
      <c r="BE446" s="3422">
        <v>0</v>
      </c>
      <c r="BF446" s="3423">
        <v>0</v>
      </c>
      <c r="BG446" s="3411"/>
      <c r="BK446" s="3419" t="s">
        <v>90</v>
      </c>
      <c r="BL446" s="3422">
        <v>0</v>
      </c>
      <c r="BM446" s="3422">
        <v>0</v>
      </c>
      <c r="BN446" s="3423">
        <v>0</v>
      </c>
      <c r="BO446" s="3411"/>
      <c r="BS446" s="3419" t="s">
        <v>90</v>
      </c>
      <c r="BT446" s="3422">
        <v>0</v>
      </c>
      <c r="BU446" s="3422">
        <v>0</v>
      </c>
      <c r="BV446" s="3423">
        <v>0</v>
      </c>
      <c r="BW446" s="3411"/>
      <c r="CA446" s="3419" t="s">
        <v>90</v>
      </c>
      <c r="CB446" s="3422">
        <v>0</v>
      </c>
      <c r="CC446" s="3422">
        <v>0</v>
      </c>
      <c r="CD446" s="3423">
        <v>0</v>
      </c>
      <c r="CE446" s="3411"/>
      <c r="CI446" s="3419" t="s">
        <v>90</v>
      </c>
      <c r="CJ446" s="3422">
        <v>0</v>
      </c>
      <c r="CK446" s="3422">
        <v>0</v>
      </c>
      <c r="CL446" s="3423">
        <v>0</v>
      </c>
      <c r="CM446" s="3411"/>
      <c r="CQ446" s="3419" t="s">
        <v>90</v>
      </c>
      <c r="CR446" s="3422">
        <v>0</v>
      </c>
      <c r="CS446" s="3422">
        <v>0</v>
      </c>
      <c r="CT446" s="3423">
        <v>0</v>
      </c>
      <c r="CU446" s="3411"/>
      <c r="CY446" s="3419" t="s">
        <v>90</v>
      </c>
      <c r="CZ446" s="3422">
        <v>0</v>
      </c>
      <c r="DA446" s="3422">
        <v>0</v>
      </c>
      <c r="DB446" s="3423">
        <v>0</v>
      </c>
      <c r="DC446" s="3411"/>
      <c r="DG446" s="3419" t="s">
        <v>90</v>
      </c>
      <c r="DH446" s="3422">
        <v>0</v>
      </c>
      <c r="DI446" s="3422">
        <v>0</v>
      </c>
      <c r="DJ446" s="3423">
        <v>0</v>
      </c>
      <c r="DK446" s="3411"/>
      <c r="DO446" s="3419" t="s">
        <v>90</v>
      </c>
      <c r="DP446" s="3422">
        <v>0</v>
      </c>
      <c r="DQ446" s="3422">
        <v>0</v>
      </c>
      <c r="DR446" s="3423">
        <v>0</v>
      </c>
      <c r="DS446" s="3411"/>
      <c r="DW446" s="3419" t="s">
        <v>90</v>
      </c>
      <c r="DX446" s="3422">
        <v>0</v>
      </c>
      <c r="DY446" s="3422">
        <v>0</v>
      </c>
      <c r="DZ446" s="3423">
        <v>0</v>
      </c>
      <c r="EA446" s="3411"/>
      <c r="EE446" s="3419" t="s">
        <v>90</v>
      </c>
      <c r="EF446" s="3422">
        <v>0</v>
      </c>
      <c r="EG446" s="3422">
        <v>0</v>
      </c>
      <c r="EH446" s="3423">
        <v>0</v>
      </c>
      <c r="EI446" s="3411"/>
      <c r="EM446" s="3419" t="s">
        <v>90</v>
      </c>
      <c r="EN446" s="3422">
        <v>0</v>
      </c>
      <c r="EO446" s="3422">
        <v>0</v>
      </c>
      <c r="EP446" s="3423">
        <v>0</v>
      </c>
      <c r="EQ446" s="3411"/>
      <c r="EU446" s="3419" t="s">
        <v>90</v>
      </c>
      <c r="EV446" s="3422">
        <v>0</v>
      </c>
      <c r="EW446" s="3422">
        <v>0</v>
      </c>
      <c r="EX446" s="3423">
        <v>0</v>
      </c>
      <c r="EY446" s="3411"/>
      <c r="FC446" s="3419" t="s">
        <v>90</v>
      </c>
      <c r="FD446" s="3422">
        <v>0</v>
      </c>
      <c r="FE446" s="3422">
        <v>0</v>
      </c>
      <c r="FF446" s="3423">
        <v>0</v>
      </c>
      <c r="FG446" s="3411"/>
      <c r="FK446" s="3419" t="s">
        <v>90</v>
      </c>
      <c r="FL446" s="3422">
        <v>0</v>
      </c>
      <c r="FM446" s="3422">
        <v>0</v>
      </c>
      <c r="FN446" s="3423">
        <v>0</v>
      </c>
      <c r="FO446" s="3411"/>
    </row>
    <row r="447" spans="2:171">
      <c r="D447" s="3417"/>
      <c r="E447" s="3418"/>
      <c r="F447" s="2747"/>
      <c r="G447" s="3419" t="s">
        <v>91</v>
      </c>
      <c r="H447" s="3422">
        <f>H395</f>
        <v>0.34077050917683854</v>
      </c>
      <c r="I447" s="3422">
        <f>I395</f>
        <v>0</v>
      </c>
      <c r="J447" s="3423">
        <f>J395</f>
        <v>0.65922949082316151</v>
      </c>
      <c r="K447" s="3264"/>
      <c r="O447" s="3419" t="s">
        <v>91</v>
      </c>
      <c r="P447" s="3422">
        <f>P395</f>
        <v>0.34077050917683854</v>
      </c>
      <c r="Q447" s="3422">
        <f>Q395</f>
        <v>0.16788590911683327</v>
      </c>
      <c r="R447" s="3423">
        <f>R395</f>
        <v>0.49134358170632819</v>
      </c>
      <c r="S447" s="3264"/>
      <c r="W447" s="3419" t="s">
        <v>91</v>
      </c>
      <c r="X447" s="3422">
        <f>X395</f>
        <v>0.34077050917683854</v>
      </c>
      <c r="Y447" s="3422">
        <f>Y395</f>
        <v>0.16788590911683327</v>
      </c>
      <c r="Z447" s="3423">
        <f>Z395</f>
        <v>0.49134358170632819</v>
      </c>
      <c r="AA447" s="3264"/>
      <c r="AE447" s="3419" t="s">
        <v>91</v>
      </c>
      <c r="AF447" s="3422">
        <f>AF395</f>
        <v>0.34077050917683854</v>
      </c>
      <c r="AG447" s="3422">
        <f>AG395</f>
        <v>0.16788590911683327</v>
      </c>
      <c r="AH447" s="3423">
        <f>AH395</f>
        <v>0.49134358170632819</v>
      </c>
      <c r="AI447" s="3264"/>
      <c r="AM447" s="3419" t="s">
        <v>91</v>
      </c>
      <c r="AN447" s="3422">
        <f>AN395</f>
        <v>0.34077050917683854</v>
      </c>
      <c r="AO447" s="3422">
        <f>AO395</f>
        <v>0.16788590911683327</v>
      </c>
      <c r="AP447" s="3423">
        <f>AP395</f>
        <v>0.49134358170632819</v>
      </c>
      <c r="AQ447" s="3264"/>
      <c r="AU447" s="3419" t="s">
        <v>91</v>
      </c>
      <c r="AV447" s="3422">
        <f>AV395</f>
        <v>0.34077050917683854</v>
      </c>
      <c r="AW447" s="3422">
        <f>AW395</f>
        <v>0.16788590911683327</v>
      </c>
      <c r="AX447" s="3423">
        <f>AX395</f>
        <v>0.49134358170632819</v>
      </c>
      <c r="AY447" s="3264"/>
      <c r="BC447" s="3419" t="s">
        <v>91</v>
      </c>
      <c r="BD447" s="3422">
        <f>BD395</f>
        <v>0.34077050917683854</v>
      </c>
      <c r="BE447" s="3422">
        <f>BE395</f>
        <v>0.16788590911683327</v>
      </c>
      <c r="BF447" s="3423">
        <f>BF395</f>
        <v>0.49134358170632819</v>
      </c>
      <c r="BG447" s="3264"/>
      <c r="BK447" s="3419" t="s">
        <v>91</v>
      </c>
      <c r="BL447" s="3422">
        <f>BL395</f>
        <v>0.34077050917683854</v>
      </c>
      <c r="BM447" s="3422">
        <f>BM395</f>
        <v>0.16788590911683327</v>
      </c>
      <c r="BN447" s="3423">
        <f>BN395</f>
        <v>0.49134358170632819</v>
      </c>
      <c r="BO447" s="3264"/>
      <c r="BS447" s="3419" t="s">
        <v>91</v>
      </c>
      <c r="BT447" s="3422">
        <f>BT395</f>
        <v>0.34077050917683854</v>
      </c>
      <c r="BU447" s="3422">
        <f>BU395</f>
        <v>0.16788590911683327</v>
      </c>
      <c r="BV447" s="3423">
        <f>BV395</f>
        <v>0.49134358170632819</v>
      </c>
      <c r="BW447" s="3264"/>
      <c r="CA447" s="3419" t="s">
        <v>91</v>
      </c>
      <c r="CB447" s="3422">
        <f>CB395</f>
        <v>0.34077050917683854</v>
      </c>
      <c r="CC447" s="3422">
        <f>CC395</f>
        <v>0.16788590911683327</v>
      </c>
      <c r="CD447" s="3423">
        <f>CD395</f>
        <v>0.49134358170632819</v>
      </c>
      <c r="CE447" s="3264"/>
      <c r="CI447" s="3419" t="s">
        <v>91</v>
      </c>
      <c r="CJ447" s="3422">
        <f>CJ395</f>
        <v>0.34077050917683854</v>
      </c>
      <c r="CK447" s="3422">
        <f>CK395</f>
        <v>0.16788590911683327</v>
      </c>
      <c r="CL447" s="3423">
        <f>CL395</f>
        <v>0.49134358170632819</v>
      </c>
      <c r="CM447" s="3264"/>
      <c r="CQ447" s="3419" t="s">
        <v>91</v>
      </c>
      <c r="CR447" s="3422">
        <f>CR395</f>
        <v>0.34077050917683854</v>
      </c>
      <c r="CS447" s="3422">
        <f>CS395</f>
        <v>0.16788590911683327</v>
      </c>
      <c r="CT447" s="3423">
        <f>CT395</f>
        <v>0.49134358170632819</v>
      </c>
      <c r="CU447" s="3264"/>
      <c r="CY447" s="3419" t="s">
        <v>91</v>
      </c>
      <c r="CZ447" s="3422">
        <f>CZ395</f>
        <v>0.34077050917683854</v>
      </c>
      <c r="DA447" s="3422">
        <f>DA395</f>
        <v>0.16788590911683327</v>
      </c>
      <c r="DB447" s="3423">
        <f>DB395</f>
        <v>0.49134358170632819</v>
      </c>
      <c r="DC447" s="3264"/>
      <c r="DG447" s="3419" t="s">
        <v>91</v>
      </c>
      <c r="DH447" s="3422">
        <f>DH395</f>
        <v>0.34077050917683854</v>
      </c>
      <c r="DI447" s="3422">
        <f>DI395</f>
        <v>0.16788590911683327</v>
      </c>
      <c r="DJ447" s="3423">
        <f>DJ395</f>
        <v>0.49134358170632819</v>
      </c>
      <c r="DK447" s="3264"/>
      <c r="DO447" s="3419" t="s">
        <v>91</v>
      </c>
      <c r="DP447" s="3422">
        <f>DP395</f>
        <v>0.34077050917683854</v>
      </c>
      <c r="DQ447" s="3422">
        <f>DQ395</f>
        <v>0.16788590911683327</v>
      </c>
      <c r="DR447" s="3423">
        <f>DR395</f>
        <v>0.49134358170632819</v>
      </c>
      <c r="DS447" s="3264"/>
      <c r="DW447" s="3419" t="s">
        <v>91</v>
      </c>
      <c r="DX447" s="3422">
        <f>DX395</f>
        <v>0.34077050917683854</v>
      </c>
      <c r="DY447" s="3422">
        <f>DY395</f>
        <v>0.16788590911683327</v>
      </c>
      <c r="DZ447" s="3423">
        <f>DZ395</f>
        <v>0.49134358170632819</v>
      </c>
      <c r="EA447" s="3264"/>
      <c r="EE447" s="3419" t="s">
        <v>91</v>
      </c>
      <c r="EF447" s="3422">
        <f>EF395</f>
        <v>0.34077050917683854</v>
      </c>
      <c r="EG447" s="3422">
        <f>EG395</f>
        <v>0.16788590911683327</v>
      </c>
      <c r="EH447" s="3423">
        <f>EH395</f>
        <v>0.49134358170632819</v>
      </c>
      <c r="EI447" s="3264"/>
      <c r="EM447" s="3419" t="s">
        <v>91</v>
      </c>
      <c r="EN447" s="3422">
        <f>EN395</f>
        <v>0.34077050917683854</v>
      </c>
      <c r="EO447" s="3422">
        <f>EO395</f>
        <v>0.16788590911683327</v>
      </c>
      <c r="EP447" s="3423">
        <f>EP395</f>
        <v>0.49134358170632819</v>
      </c>
      <c r="EQ447" s="3264"/>
      <c r="EU447" s="3419" t="s">
        <v>91</v>
      </c>
      <c r="EV447" s="3422">
        <f>EV395</f>
        <v>0.34077050917683854</v>
      </c>
      <c r="EW447" s="3422">
        <f>EW395</f>
        <v>0.16788590911683327</v>
      </c>
      <c r="EX447" s="3423">
        <f>EX395</f>
        <v>0.49134358170632819</v>
      </c>
      <c r="EY447" s="3264"/>
      <c r="FC447" s="3419" t="s">
        <v>91</v>
      </c>
      <c r="FD447" s="3422">
        <f>FD395</f>
        <v>0.34077050917683854</v>
      </c>
      <c r="FE447" s="3422">
        <f>FE395</f>
        <v>0.16788590911683327</v>
      </c>
      <c r="FF447" s="3423">
        <f>FF395</f>
        <v>0.49134358170632819</v>
      </c>
      <c r="FG447" s="3264"/>
      <c r="FK447" s="3419" t="s">
        <v>91</v>
      </c>
      <c r="FL447" s="3422">
        <f>FL395</f>
        <v>0.34077050917683854</v>
      </c>
      <c r="FM447" s="3422">
        <f>FM395</f>
        <v>0.16788590911683327</v>
      </c>
      <c r="FN447" s="3423">
        <f>FN395</f>
        <v>0.49134358170632819</v>
      </c>
      <c r="FO447" s="3264"/>
    </row>
    <row r="448" spans="2:171">
      <c r="D448" s="3417"/>
      <c r="E448" s="3418"/>
      <c r="F448" s="2747"/>
      <c r="G448" s="3419" t="s">
        <v>93</v>
      </c>
      <c r="H448" s="3422">
        <f>H439</f>
        <v>0.34798522185348824</v>
      </c>
      <c r="I448" s="3422">
        <f>I439</f>
        <v>0</v>
      </c>
      <c r="J448" s="3423">
        <f>J439</f>
        <v>0.65201477814651188</v>
      </c>
      <c r="K448" s="3264"/>
      <c r="O448" s="3419" t="s">
        <v>93</v>
      </c>
      <c r="P448" s="3422">
        <f>P439</f>
        <v>0.34798522185348824</v>
      </c>
      <c r="Q448" s="3422">
        <f>Q439</f>
        <v>0.16342311297988379</v>
      </c>
      <c r="R448" s="3423">
        <f>R439</f>
        <v>0.48859166516662805</v>
      </c>
      <c r="S448" s="3264"/>
      <c r="W448" s="3419" t="s">
        <v>93</v>
      </c>
      <c r="X448" s="3422">
        <f>X439</f>
        <v>0.34798522185348824</v>
      </c>
      <c r="Y448" s="3422">
        <f>Y439</f>
        <v>0.16342311297988379</v>
      </c>
      <c r="Z448" s="3423">
        <f>Z439</f>
        <v>0.48859166516662805</v>
      </c>
      <c r="AA448" s="3264"/>
      <c r="AE448" s="3419" t="s">
        <v>93</v>
      </c>
      <c r="AF448" s="3422">
        <f>AF439</f>
        <v>0.34798522185348824</v>
      </c>
      <c r="AG448" s="3422">
        <f>AG439</f>
        <v>0.16342311297988379</v>
      </c>
      <c r="AH448" s="3423">
        <f>AH439</f>
        <v>0.48859166516662805</v>
      </c>
      <c r="AI448" s="3264"/>
      <c r="AM448" s="3419" t="s">
        <v>93</v>
      </c>
      <c r="AN448" s="3422">
        <f>AN439</f>
        <v>0.34798522185348824</v>
      </c>
      <c r="AO448" s="3422">
        <f>AO439</f>
        <v>0.16342311297988379</v>
      </c>
      <c r="AP448" s="3423">
        <f>AP439</f>
        <v>0.48859166516662805</v>
      </c>
      <c r="AQ448" s="3264"/>
      <c r="AU448" s="3419" t="s">
        <v>93</v>
      </c>
      <c r="AV448" s="3422">
        <f>AV439</f>
        <v>0.34798522185348824</v>
      </c>
      <c r="AW448" s="3422">
        <f>AW439</f>
        <v>0.16342311297988379</v>
      </c>
      <c r="AX448" s="3423">
        <f>AX439</f>
        <v>0.48859166516662805</v>
      </c>
      <c r="AY448" s="3264"/>
      <c r="BC448" s="3419" t="s">
        <v>93</v>
      </c>
      <c r="BD448" s="3422">
        <f>BD439</f>
        <v>0.34798522185348824</v>
      </c>
      <c r="BE448" s="3422">
        <f>BE439</f>
        <v>0.16342311297988379</v>
      </c>
      <c r="BF448" s="3423">
        <f>BF439</f>
        <v>0.48859166516662805</v>
      </c>
      <c r="BG448" s="3264"/>
      <c r="BK448" s="3419" t="s">
        <v>93</v>
      </c>
      <c r="BL448" s="3422">
        <f>BL439</f>
        <v>0.34798522185348824</v>
      </c>
      <c r="BM448" s="3422">
        <f>BM439</f>
        <v>0.16342311297988379</v>
      </c>
      <c r="BN448" s="3423">
        <f>BN439</f>
        <v>0.48859166516662805</v>
      </c>
      <c r="BO448" s="3264"/>
      <c r="BS448" s="3419" t="s">
        <v>93</v>
      </c>
      <c r="BT448" s="3422">
        <f>BT439</f>
        <v>0.34798522185348824</v>
      </c>
      <c r="BU448" s="3422">
        <f>BU439</f>
        <v>0.16342311297988379</v>
      </c>
      <c r="BV448" s="3423">
        <f>BV439</f>
        <v>0.48859166516662805</v>
      </c>
      <c r="BW448" s="3264"/>
      <c r="CA448" s="3419" t="s">
        <v>93</v>
      </c>
      <c r="CB448" s="3422">
        <f>CB439</f>
        <v>0.34798522185348824</v>
      </c>
      <c r="CC448" s="3422">
        <f>CC439</f>
        <v>0.16342311297988379</v>
      </c>
      <c r="CD448" s="3423">
        <f>CD439</f>
        <v>0.48859166516662805</v>
      </c>
      <c r="CE448" s="3264"/>
      <c r="CI448" s="3419" t="s">
        <v>93</v>
      </c>
      <c r="CJ448" s="3422">
        <f>CJ439</f>
        <v>0.34798522185348824</v>
      </c>
      <c r="CK448" s="3422">
        <f>CK439</f>
        <v>0.16342311297988379</v>
      </c>
      <c r="CL448" s="3423">
        <f>CL439</f>
        <v>0.48859166516662805</v>
      </c>
      <c r="CM448" s="3264"/>
      <c r="CQ448" s="3419" t="s">
        <v>93</v>
      </c>
      <c r="CR448" s="3422">
        <f>CR439</f>
        <v>0.34798522185348824</v>
      </c>
      <c r="CS448" s="3422">
        <f>CS439</f>
        <v>0.16342311297988379</v>
      </c>
      <c r="CT448" s="3423">
        <f>CT439</f>
        <v>0.48859166516662805</v>
      </c>
      <c r="CU448" s="3264"/>
      <c r="CY448" s="3419" t="s">
        <v>93</v>
      </c>
      <c r="CZ448" s="3422">
        <f>CZ439</f>
        <v>0.34798522185348824</v>
      </c>
      <c r="DA448" s="3422">
        <f>DA439</f>
        <v>0.16342311297988379</v>
      </c>
      <c r="DB448" s="3423">
        <f>DB439</f>
        <v>0.48859166516662805</v>
      </c>
      <c r="DC448" s="3264"/>
      <c r="DG448" s="3419" t="s">
        <v>93</v>
      </c>
      <c r="DH448" s="3422">
        <f>DH439</f>
        <v>0.34798522185348824</v>
      </c>
      <c r="DI448" s="3422">
        <f>DI439</f>
        <v>0.16342311297988379</v>
      </c>
      <c r="DJ448" s="3423">
        <f>DJ439</f>
        <v>0.48859166516662805</v>
      </c>
      <c r="DK448" s="3264"/>
      <c r="DO448" s="3419" t="s">
        <v>93</v>
      </c>
      <c r="DP448" s="3422">
        <f>DP439</f>
        <v>0.34798522185348824</v>
      </c>
      <c r="DQ448" s="3422">
        <f>DQ439</f>
        <v>0.16342311297988379</v>
      </c>
      <c r="DR448" s="3423">
        <f>DR439</f>
        <v>0.48859166516662805</v>
      </c>
      <c r="DS448" s="3264"/>
      <c r="DW448" s="3419" t="s">
        <v>93</v>
      </c>
      <c r="DX448" s="3422">
        <f>DX439</f>
        <v>0.34798522185348824</v>
      </c>
      <c r="DY448" s="3422">
        <f>DY439</f>
        <v>0.16342311297988379</v>
      </c>
      <c r="DZ448" s="3423">
        <f>DZ439</f>
        <v>0.48859166516662805</v>
      </c>
      <c r="EA448" s="3264"/>
      <c r="EE448" s="3419" t="s">
        <v>93</v>
      </c>
      <c r="EF448" s="3422">
        <f>EF439</f>
        <v>0.34798522185348824</v>
      </c>
      <c r="EG448" s="3422">
        <f>EG439</f>
        <v>0.16342311297988379</v>
      </c>
      <c r="EH448" s="3423">
        <f>EH439</f>
        <v>0.48859166516662805</v>
      </c>
      <c r="EI448" s="3264"/>
      <c r="EM448" s="3419" t="s">
        <v>93</v>
      </c>
      <c r="EN448" s="3422">
        <f>EN439</f>
        <v>0.34798522185348824</v>
      </c>
      <c r="EO448" s="3422">
        <f>EO439</f>
        <v>0.16342311297988379</v>
      </c>
      <c r="EP448" s="3423">
        <f>EP439</f>
        <v>0.48859166516662805</v>
      </c>
      <c r="EQ448" s="3264"/>
      <c r="EU448" s="3419" t="s">
        <v>93</v>
      </c>
      <c r="EV448" s="3422">
        <f>EV439</f>
        <v>0.34798522185348824</v>
      </c>
      <c r="EW448" s="3422">
        <f>EW439</f>
        <v>0.16342311297988379</v>
      </c>
      <c r="EX448" s="3423">
        <f>EX439</f>
        <v>0.48859166516662805</v>
      </c>
      <c r="EY448" s="3264"/>
      <c r="FC448" s="3419" t="s">
        <v>93</v>
      </c>
      <c r="FD448" s="3422">
        <f>FD439</f>
        <v>0.34798522185348824</v>
      </c>
      <c r="FE448" s="3422">
        <f>FE439</f>
        <v>0.16342311297988379</v>
      </c>
      <c r="FF448" s="3423">
        <f>FF439</f>
        <v>0.48859166516662805</v>
      </c>
      <c r="FG448" s="3264"/>
      <c r="FK448" s="3419" t="s">
        <v>93</v>
      </c>
      <c r="FL448" s="3422">
        <f>FL439</f>
        <v>0.34798522185348824</v>
      </c>
      <c r="FM448" s="3422">
        <f>FM439</f>
        <v>0.16342311297988379</v>
      </c>
      <c r="FN448" s="3423">
        <f>FN439</f>
        <v>0.48859166516662805</v>
      </c>
      <c r="FO448" s="3264"/>
    </row>
    <row r="449" spans="1:171">
      <c r="D449" s="3417"/>
      <c r="E449" s="3418"/>
      <c r="F449" s="2747"/>
      <c r="G449" s="3419" t="s">
        <v>95</v>
      </c>
      <c r="H449" s="3422">
        <f>H379</f>
        <v>0.33983013251548322</v>
      </c>
      <c r="I449" s="3422">
        <f>I379</f>
        <v>0</v>
      </c>
      <c r="J449" s="3423">
        <f>J379</f>
        <v>0.66016986748451678</v>
      </c>
      <c r="K449" s="3411"/>
      <c r="O449" s="3419" t="s">
        <v>95</v>
      </c>
      <c r="P449" s="3422">
        <f>P379</f>
        <v>0.33983013251548322</v>
      </c>
      <c r="Q449" s="3422">
        <f>Q379</f>
        <v>5.4266020627813452E-2</v>
      </c>
      <c r="R449" s="3423">
        <f>R379</f>
        <v>0.6059038468567034</v>
      </c>
      <c r="S449" s="3411"/>
      <c r="W449" s="3419" t="s">
        <v>95</v>
      </c>
      <c r="X449" s="3422">
        <f>X379</f>
        <v>0.33983013251548322</v>
      </c>
      <c r="Y449" s="3422">
        <f>Y379</f>
        <v>5.4266020627813452E-2</v>
      </c>
      <c r="Z449" s="3423">
        <f>Z379</f>
        <v>0.6059038468567034</v>
      </c>
      <c r="AA449" s="3411"/>
      <c r="AE449" s="3419" t="s">
        <v>95</v>
      </c>
      <c r="AF449" s="3422">
        <f>AF379</f>
        <v>0.33983013251548322</v>
      </c>
      <c r="AG449" s="3422">
        <f>AG379</f>
        <v>5.4266020627813452E-2</v>
      </c>
      <c r="AH449" s="3423">
        <f>AH379</f>
        <v>0.6059038468567034</v>
      </c>
      <c r="AI449" s="3411"/>
      <c r="AM449" s="3419" t="s">
        <v>95</v>
      </c>
      <c r="AN449" s="3422">
        <f>AN379</f>
        <v>0.33983013251548322</v>
      </c>
      <c r="AO449" s="3422">
        <f>AO379</f>
        <v>5.4266020627813452E-2</v>
      </c>
      <c r="AP449" s="3423">
        <f>AP379</f>
        <v>0.6059038468567034</v>
      </c>
      <c r="AQ449" s="3411"/>
      <c r="AU449" s="3419" t="s">
        <v>95</v>
      </c>
      <c r="AV449" s="3422">
        <f>AV379</f>
        <v>0.33983013251548322</v>
      </c>
      <c r="AW449" s="3422">
        <f>AW379</f>
        <v>5.4266020627813452E-2</v>
      </c>
      <c r="AX449" s="3423">
        <f>AX379</f>
        <v>0.6059038468567034</v>
      </c>
      <c r="AY449" s="3411"/>
      <c r="BC449" s="3419" t="s">
        <v>95</v>
      </c>
      <c r="BD449" s="3422">
        <f>BD379</f>
        <v>0.33983013251548322</v>
      </c>
      <c r="BE449" s="3422">
        <f>BE379</f>
        <v>5.4266020627813452E-2</v>
      </c>
      <c r="BF449" s="3423">
        <f>BF379</f>
        <v>0.6059038468567034</v>
      </c>
      <c r="BG449" s="3411"/>
      <c r="BK449" s="3419" t="s">
        <v>95</v>
      </c>
      <c r="BL449" s="3422">
        <f>BL379</f>
        <v>0.33983013251548322</v>
      </c>
      <c r="BM449" s="3422">
        <f>BM379</f>
        <v>5.4266020627813452E-2</v>
      </c>
      <c r="BN449" s="3423">
        <f>BN379</f>
        <v>0.6059038468567034</v>
      </c>
      <c r="BO449" s="3411"/>
      <c r="BS449" s="3419" t="s">
        <v>95</v>
      </c>
      <c r="BT449" s="3422">
        <f>BT379</f>
        <v>0.33983013251548322</v>
      </c>
      <c r="BU449" s="3422">
        <f>BU379</f>
        <v>5.4266020627813452E-2</v>
      </c>
      <c r="BV449" s="3423">
        <f>BV379</f>
        <v>0.6059038468567034</v>
      </c>
      <c r="BW449" s="3411"/>
      <c r="CA449" s="3419" t="s">
        <v>95</v>
      </c>
      <c r="CB449" s="3422">
        <f>CB379</f>
        <v>0.33983013251548322</v>
      </c>
      <c r="CC449" s="3422">
        <f>CC379</f>
        <v>5.4266020627813452E-2</v>
      </c>
      <c r="CD449" s="3423">
        <f>CD379</f>
        <v>0.6059038468567034</v>
      </c>
      <c r="CE449" s="3411"/>
      <c r="CI449" s="3419" t="s">
        <v>95</v>
      </c>
      <c r="CJ449" s="3422">
        <f>CJ379</f>
        <v>0.33983013251548322</v>
      </c>
      <c r="CK449" s="3422">
        <f>CK379</f>
        <v>5.4266020627813452E-2</v>
      </c>
      <c r="CL449" s="3423">
        <f>CL379</f>
        <v>0.6059038468567034</v>
      </c>
      <c r="CM449" s="3411"/>
      <c r="CQ449" s="3419" t="s">
        <v>95</v>
      </c>
      <c r="CR449" s="3422">
        <f>CR379</f>
        <v>0.33983013251548322</v>
      </c>
      <c r="CS449" s="3422">
        <f>CS379</f>
        <v>5.4266020627813452E-2</v>
      </c>
      <c r="CT449" s="3423">
        <f>CT379</f>
        <v>0.6059038468567034</v>
      </c>
      <c r="CU449" s="3411"/>
      <c r="CY449" s="3419" t="s">
        <v>95</v>
      </c>
      <c r="CZ449" s="3422">
        <f>CZ379</f>
        <v>0.33983013251548322</v>
      </c>
      <c r="DA449" s="3422">
        <f>DA379</f>
        <v>5.4266020627813452E-2</v>
      </c>
      <c r="DB449" s="3423">
        <f>DB379</f>
        <v>0.6059038468567034</v>
      </c>
      <c r="DC449" s="3411"/>
      <c r="DG449" s="3419" t="s">
        <v>95</v>
      </c>
      <c r="DH449" s="3422">
        <f>DH379</f>
        <v>0.33983013251548322</v>
      </c>
      <c r="DI449" s="3422">
        <f>DI379</f>
        <v>5.4266020627813452E-2</v>
      </c>
      <c r="DJ449" s="3423">
        <f>DJ379</f>
        <v>0.6059038468567034</v>
      </c>
      <c r="DK449" s="3411"/>
      <c r="DO449" s="3419" t="s">
        <v>95</v>
      </c>
      <c r="DP449" s="3422">
        <f>DP379</f>
        <v>0.33983013251548322</v>
      </c>
      <c r="DQ449" s="3422">
        <f>DQ379</f>
        <v>5.4266020627813452E-2</v>
      </c>
      <c r="DR449" s="3423">
        <f>DR379</f>
        <v>0.6059038468567034</v>
      </c>
      <c r="DS449" s="3411"/>
      <c r="DW449" s="3419" t="s">
        <v>95</v>
      </c>
      <c r="DX449" s="3422">
        <f>DX379</f>
        <v>0.33983013251548322</v>
      </c>
      <c r="DY449" s="3422">
        <f>DY379</f>
        <v>5.4266020627813452E-2</v>
      </c>
      <c r="DZ449" s="3423">
        <f>DZ379</f>
        <v>0.6059038468567034</v>
      </c>
      <c r="EA449" s="3411"/>
      <c r="EE449" s="3419" t="s">
        <v>95</v>
      </c>
      <c r="EF449" s="3422">
        <f>EF379</f>
        <v>0.33983013251548322</v>
      </c>
      <c r="EG449" s="3422">
        <f>EG379</f>
        <v>5.4266020627813452E-2</v>
      </c>
      <c r="EH449" s="3423">
        <f>EH379</f>
        <v>0.6059038468567034</v>
      </c>
      <c r="EI449" s="3411"/>
      <c r="EM449" s="3419" t="s">
        <v>95</v>
      </c>
      <c r="EN449" s="3422">
        <f>EN379</f>
        <v>0.33983013251548322</v>
      </c>
      <c r="EO449" s="3422">
        <f>EO379</f>
        <v>5.4266020627813452E-2</v>
      </c>
      <c r="EP449" s="3423">
        <f>EP379</f>
        <v>0.6059038468567034</v>
      </c>
      <c r="EQ449" s="3411"/>
      <c r="EU449" s="3419" t="s">
        <v>95</v>
      </c>
      <c r="EV449" s="3422">
        <f>EV379</f>
        <v>0.33983013251548322</v>
      </c>
      <c r="EW449" s="3422">
        <f>EW379</f>
        <v>5.4266020627813452E-2</v>
      </c>
      <c r="EX449" s="3423">
        <f>EX379</f>
        <v>0.6059038468567034</v>
      </c>
      <c r="EY449" s="3411"/>
      <c r="FC449" s="3419" t="s">
        <v>95</v>
      </c>
      <c r="FD449" s="3422">
        <f>FD379</f>
        <v>0.33983013251548322</v>
      </c>
      <c r="FE449" s="3422">
        <f>FE379</f>
        <v>5.4266020627813452E-2</v>
      </c>
      <c r="FF449" s="3423">
        <f>FF379</f>
        <v>0.6059038468567034</v>
      </c>
      <c r="FG449" s="3411"/>
      <c r="FK449" s="3419" t="s">
        <v>95</v>
      </c>
      <c r="FL449" s="3422">
        <f>FL379</f>
        <v>0.33983013251548322</v>
      </c>
      <c r="FM449" s="3422">
        <f>FM379</f>
        <v>5.4266020627813452E-2</v>
      </c>
      <c r="FN449" s="3423">
        <f>FN379</f>
        <v>0.6059038468567034</v>
      </c>
      <c r="FO449" s="3411"/>
    </row>
    <row r="450" spans="1:171">
      <c r="D450" s="3417"/>
      <c r="E450" s="3418"/>
      <c r="F450" s="2747"/>
      <c r="G450" s="3419" t="s">
        <v>99</v>
      </c>
      <c r="H450" s="3422">
        <f>H406</f>
        <v>0.34909146295941201</v>
      </c>
      <c r="I450" s="3422">
        <f>I406</f>
        <v>0</v>
      </c>
      <c r="J450" s="3423">
        <f>J406</f>
        <v>0.65090853704058804</v>
      </c>
      <c r="K450" s="3264"/>
      <c r="O450" s="3419" t="s">
        <v>99</v>
      </c>
      <c r="P450" s="3422">
        <f>P406</f>
        <v>0.34909146295941201</v>
      </c>
      <c r="Q450" s="3422">
        <f>Q406</f>
        <v>0.17823031588816271</v>
      </c>
      <c r="R450" s="3423">
        <f>R406</f>
        <v>0.4726782211524253</v>
      </c>
      <c r="S450" s="3264"/>
      <c r="W450" s="3419" t="s">
        <v>99</v>
      </c>
      <c r="X450" s="3422">
        <f>X406</f>
        <v>0.34909146295941201</v>
      </c>
      <c r="Y450" s="3422">
        <f>Y406</f>
        <v>0.17823031588816271</v>
      </c>
      <c r="Z450" s="3423">
        <f>Z406</f>
        <v>0.4726782211524253</v>
      </c>
      <c r="AA450" s="3264"/>
      <c r="AE450" s="3419" t="s">
        <v>99</v>
      </c>
      <c r="AF450" s="3422">
        <f>AF406</f>
        <v>0.34909146295941201</v>
      </c>
      <c r="AG450" s="3422">
        <f>AG406</f>
        <v>0.17823031588816271</v>
      </c>
      <c r="AH450" s="3423">
        <f>AH406</f>
        <v>0.4726782211524253</v>
      </c>
      <c r="AI450" s="3264"/>
      <c r="AM450" s="3419" t="s">
        <v>99</v>
      </c>
      <c r="AN450" s="3422">
        <f>AN406</f>
        <v>0.34909146295941201</v>
      </c>
      <c r="AO450" s="3422">
        <f>AO406</f>
        <v>0.17823031588816271</v>
      </c>
      <c r="AP450" s="3423">
        <f>AP406</f>
        <v>0.4726782211524253</v>
      </c>
      <c r="AQ450" s="3264"/>
      <c r="AU450" s="3419" t="s">
        <v>99</v>
      </c>
      <c r="AV450" s="3422">
        <f>AV406</f>
        <v>0.34909146295941201</v>
      </c>
      <c r="AW450" s="3422">
        <f>AW406</f>
        <v>0.17823031588816271</v>
      </c>
      <c r="AX450" s="3423">
        <f>AX406</f>
        <v>0.4726782211524253</v>
      </c>
      <c r="AY450" s="3264"/>
      <c r="BC450" s="3419" t="s">
        <v>99</v>
      </c>
      <c r="BD450" s="3422">
        <f>BD406</f>
        <v>0.34909146295941201</v>
      </c>
      <c r="BE450" s="3422">
        <f>BE406</f>
        <v>0.17823031588816271</v>
      </c>
      <c r="BF450" s="3423">
        <f>BF406</f>
        <v>0.4726782211524253</v>
      </c>
      <c r="BG450" s="3264"/>
      <c r="BK450" s="3419" t="s">
        <v>99</v>
      </c>
      <c r="BL450" s="3422">
        <f>BL406</f>
        <v>0.34909146295941201</v>
      </c>
      <c r="BM450" s="3422">
        <f>BM406</f>
        <v>0.17823031588816271</v>
      </c>
      <c r="BN450" s="3423">
        <f>BN406</f>
        <v>0.4726782211524253</v>
      </c>
      <c r="BO450" s="3264"/>
      <c r="BS450" s="3419" t="s">
        <v>99</v>
      </c>
      <c r="BT450" s="3422">
        <f>BT406</f>
        <v>0.34909146295941201</v>
      </c>
      <c r="BU450" s="3422">
        <f>BU406</f>
        <v>0.17823031588816271</v>
      </c>
      <c r="BV450" s="3423">
        <f>BV406</f>
        <v>0.4726782211524253</v>
      </c>
      <c r="BW450" s="3264"/>
      <c r="CA450" s="3419" t="s">
        <v>99</v>
      </c>
      <c r="CB450" s="3422">
        <f>CB406</f>
        <v>0.34909146295941201</v>
      </c>
      <c r="CC450" s="3422">
        <f>CC406</f>
        <v>0.17823031588816271</v>
      </c>
      <c r="CD450" s="3423">
        <f>CD406</f>
        <v>0.4726782211524253</v>
      </c>
      <c r="CE450" s="3264"/>
      <c r="CI450" s="3419" t="s">
        <v>99</v>
      </c>
      <c r="CJ450" s="3422">
        <f>CJ406</f>
        <v>0.34909146295941201</v>
      </c>
      <c r="CK450" s="3422">
        <f>CK406</f>
        <v>0.17823031588816271</v>
      </c>
      <c r="CL450" s="3423">
        <f>CL406</f>
        <v>0.4726782211524253</v>
      </c>
      <c r="CM450" s="3264"/>
      <c r="CQ450" s="3419" t="s">
        <v>99</v>
      </c>
      <c r="CR450" s="3422">
        <f>CR406</f>
        <v>0.34909146295941201</v>
      </c>
      <c r="CS450" s="3422">
        <f>CS406</f>
        <v>0.17823031588816271</v>
      </c>
      <c r="CT450" s="3423">
        <f>CT406</f>
        <v>0.4726782211524253</v>
      </c>
      <c r="CU450" s="3264"/>
      <c r="CY450" s="3419" t="s">
        <v>99</v>
      </c>
      <c r="CZ450" s="3422">
        <f>CZ406</f>
        <v>0.34909146295941201</v>
      </c>
      <c r="DA450" s="3422">
        <f>DA406</f>
        <v>0.17823031588816271</v>
      </c>
      <c r="DB450" s="3423">
        <f>DB406</f>
        <v>0.4726782211524253</v>
      </c>
      <c r="DC450" s="3264"/>
      <c r="DG450" s="3419" t="s">
        <v>99</v>
      </c>
      <c r="DH450" s="3422">
        <f>DH406</f>
        <v>0.34909146295941201</v>
      </c>
      <c r="DI450" s="3422">
        <f>DI406</f>
        <v>0.17823031588816271</v>
      </c>
      <c r="DJ450" s="3423">
        <f>DJ406</f>
        <v>0.4726782211524253</v>
      </c>
      <c r="DK450" s="3264"/>
      <c r="DO450" s="3419" t="s">
        <v>99</v>
      </c>
      <c r="DP450" s="3422">
        <f>DP406</f>
        <v>0.34909146295941201</v>
      </c>
      <c r="DQ450" s="3422">
        <f>DQ406</f>
        <v>0.17823031588816271</v>
      </c>
      <c r="DR450" s="3423">
        <f>DR406</f>
        <v>0.4726782211524253</v>
      </c>
      <c r="DS450" s="3264"/>
      <c r="DW450" s="3419" t="s">
        <v>99</v>
      </c>
      <c r="DX450" s="3422">
        <f>DX406</f>
        <v>0.34909146295941201</v>
      </c>
      <c r="DY450" s="3422">
        <f>DY406</f>
        <v>0.17823031588816271</v>
      </c>
      <c r="DZ450" s="3423">
        <f>DZ406</f>
        <v>0.4726782211524253</v>
      </c>
      <c r="EA450" s="3264"/>
      <c r="EE450" s="3419" t="s">
        <v>99</v>
      </c>
      <c r="EF450" s="3422">
        <f>EF406</f>
        <v>0.34909146295941201</v>
      </c>
      <c r="EG450" s="3422">
        <f>EG406</f>
        <v>0.17823031588816271</v>
      </c>
      <c r="EH450" s="3423">
        <f>EH406</f>
        <v>0.4726782211524253</v>
      </c>
      <c r="EI450" s="3264"/>
      <c r="EM450" s="3419" t="s">
        <v>99</v>
      </c>
      <c r="EN450" s="3422">
        <f>EN406</f>
        <v>0.34909146295941201</v>
      </c>
      <c r="EO450" s="3422">
        <f>EO406</f>
        <v>0.17823031588816271</v>
      </c>
      <c r="EP450" s="3423">
        <f>EP406</f>
        <v>0.4726782211524253</v>
      </c>
      <c r="EQ450" s="3264"/>
      <c r="EU450" s="3419" t="s">
        <v>99</v>
      </c>
      <c r="EV450" s="3422">
        <f>EV406</f>
        <v>0.34909146295941201</v>
      </c>
      <c r="EW450" s="3422">
        <f>EW406</f>
        <v>0.17823031588816271</v>
      </c>
      <c r="EX450" s="3423">
        <f>EX406</f>
        <v>0.4726782211524253</v>
      </c>
      <c r="EY450" s="3264"/>
      <c r="FC450" s="3419" t="s">
        <v>99</v>
      </c>
      <c r="FD450" s="3422">
        <f>FD406</f>
        <v>0.34909146295941201</v>
      </c>
      <c r="FE450" s="3422">
        <f>FE406</f>
        <v>0.17823031588816271</v>
      </c>
      <c r="FF450" s="3423">
        <f>FF406</f>
        <v>0.4726782211524253</v>
      </c>
      <c r="FG450" s="3264"/>
      <c r="FK450" s="3419" t="s">
        <v>99</v>
      </c>
      <c r="FL450" s="3422">
        <f>FL406</f>
        <v>0.34909146295941201</v>
      </c>
      <c r="FM450" s="3422">
        <f>FM406</f>
        <v>0.17823031588816271</v>
      </c>
      <c r="FN450" s="3423">
        <f>FN406</f>
        <v>0.4726782211524253</v>
      </c>
      <c r="FO450" s="3264"/>
    </row>
    <row r="451" spans="1:171">
      <c r="D451" s="3417"/>
      <c r="E451" s="3418"/>
      <c r="F451" s="2747"/>
      <c r="G451" s="3419" t="s">
        <v>108</v>
      </c>
      <c r="H451" s="3422">
        <f>H415</f>
        <v>0.34987259312354835</v>
      </c>
      <c r="I451" s="3422">
        <f>I415</f>
        <v>0</v>
      </c>
      <c r="J451" s="3423">
        <f>J415</f>
        <v>0.65012740668505486</v>
      </c>
      <c r="K451" s="3264"/>
      <c r="O451" s="3419" t="s">
        <v>108</v>
      </c>
      <c r="P451" s="3422">
        <f>P415</f>
        <v>0.34987259312354835</v>
      </c>
      <c r="Q451" s="3422">
        <f>Q415</f>
        <v>0.17556524444973659</v>
      </c>
      <c r="R451" s="3423">
        <f>R415</f>
        <v>0.47456216242671506</v>
      </c>
      <c r="S451" s="3264"/>
      <c r="W451" s="3419" t="s">
        <v>108</v>
      </c>
      <c r="X451" s="3422">
        <f>X415</f>
        <v>0.34987259312354835</v>
      </c>
      <c r="Y451" s="3422">
        <f>Y415</f>
        <v>0.17556524444973659</v>
      </c>
      <c r="Z451" s="3423">
        <f>Z415</f>
        <v>0.47456216242671506</v>
      </c>
      <c r="AA451" s="3264"/>
      <c r="AE451" s="3419" t="s">
        <v>108</v>
      </c>
      <c r="AF451" s="3422">
        <f>AF415</f>
        <v>0.34987259312354835</v>
      </c>
      <c r="AG451" s="3422">
        <f>AG415</f>
        <v>0.17556524444973659</v>
      </c>
      <c r="AH451" s="3423">
        <f>AH415</f>
        <v>0.47456216242671506</v>
      </c>
      <c r="AI451" s="3264"/>
      <c r="AM451" s="3419" t="s">
        <v>108</v>
      </c>
      <c r="AN451" s="3422">
        <f>AN415</f>
        <v>0.34987259312354835</v>
      </c>
      <c r="AO451" s="3422">
        <f>AO415</f>
        <v>0.17556524444973659</v>
      </c>
      <c r="AP451" s="3423">
        <f>AP415</f>
        <v>0.47456216242671506</v>
      </c>
      <c r="AQ451" s="3264"/>
      <c r="AU451" s="3419" t="s">
        <v>108</v>
      </c>
      <c r="AV451" s="3422">
        <f>AV415</f>
        <v>0.34987259312354835</v>
      </c>
      <c r="AW451" s="3422">
        <f>AW415</f>
        <v>0.17556524444973659</v>
      </c>
      <c r="AX451" s="3423">
        <f>AX415</f>
        <v>0.47456216242671506</v>
      </c>
      <c r="AY451" s="3264"/>
      <c r="BC451" s="3419" t="s">
        <v>108</v>
      </c>
      <c r="BD451" s="3422">
        <f>BD415</f>
        <v>0.34987259312354835</v>
      </c>
      <c r="BE451" s="3422">
        <f>BE415</f>
        <v>0.17556524444973659</v>
      </c>
      <c r="BF451" s="3423">
        <f>BF415</f>
        <v>0.47456216242671506</v>
      </c>
      <c r="BG451" s="3264"/>
      <c r="BK451" s="3419" t="s">
        <v>108</v>
      </c>
      <c r="BL451" s="3422">
        <f>BL415</f>
        <v>0.34987259312354835</v>
      </c>
      <c r="BM451" s="3422">
        <f>BM415</f>
        <v>0.17556524444973659</v>
      </c>
      <c r="BN451" s="3423">
        <f>BN415</f>
        <v>0.47456216242671506</v>
      </c>
      <c r="BO451" s="3264"/>
      <c r="BS451" s="3419" t="s">
        <v>108</v>
      </c>
      <c r="BT451" s="3422">
        <f>BT415</f>
        <v>0.34987259312354835</v>
      </c>
      <c r="BU451" s="3422">
        <f>BU415</f>
        <v>0.17556524444973659</v>
      </c>
      <c r="BV451" s="3423">
        <f>BV415</f>
        <v>0.47456216242671506</v>
      </c>
      <c r="BW451" s="3264"/>
      <c r="CA451" s="3419" t="s">
        <v>108</v>
      </c>
      <c r="CB451" s="3422">
        <f>CB415</f>
        <v>0.34987259312354835</v>
      </c>
      <c r="CC451" s="3422">
        <f>CC415</f>
        <v>0.17556524444973659</v>
      </c>
      <c r="CD451" s="3423">
        <f>CD415</f>
        <v>0.47456216242671506</v>
      </c>
      <c r="CE451" s="3264"/>
      <c r="CI451" s="3419" t="s">
        <v>108</v>
      </c>
      <c r="CJ451" s="3422">
        <f>CJ415</f>
        <v>0.34987259312354835</v>
      </c>
      <c r="CK451" s="3422">
        <f>CK415</f>
        <v>0.17556524444973659</v>
      </c>
      <c r="CL451" s="3423">
        <f>CL415</f>
        <v>0.47456216242671506</v>
      </c>
      <c r="CM451" s="3264"/>
      <c r="CQ451" s="3419" t="s">
        <v>108</v>
      </c>
      <c r="CR451" s="3422">
        <f>CR415</f>
        <v>0.34987259312354835</v>
      </c>
      <c r="CS451" s="3422">
        <f>CS415</f>
        <v>0.17556524444973659</v>
      </c>
      <c r="CT451" s="3423">
        <f>CT415</f>
        <v>0.47456216242671506</v>
      </c>
      <c r="CU451" s="3264"/>
      <c r="CY451" s="3419" t="s">
        <v>108</v>
      </c>
      <c r="CZ451" s="3422">
        <f>CZ415</f>
        <v>0.34987259312354835</v>
      </c>
      <c r="DA451" s="3422">
        <f>DA415</f>
        <v>0.17556524444973659</v>
      </c>
      <c r="DB451" s="3423">
        <f>DB415</f>
        <v>0.47456216242671506</v>
      </c>
      <c r="DC451" s="3264"/>
      <c r="DG451" s="3419" t="s">
        <v>108</v>
      </c>
      <c r="DH451" s="3422">
        <f>DH415</f>
        <v>0.34987259312354835</v>
      </c>
      <c r="DI451" s="3422">
        <f>DI415</f>
        <v>0.17556524444973659</v>
      </c>
      <c r="DJ451" s="3423">
        <f>DJ415</f>
        <v>0.47456216242671506</v>
      </c>
      <c r="DK451" s="3264"/>
      <c r="DO451" s="3419" t="s">
        <v>108</v>
      </c>
      <c r="DP451" s="3422">
        <f>DP415</f>
        <v>0.34987259312354835</v>
      </c>
      <c r="DQ451" s="3422">
        <f>DQ415</f>
        <v>0.17556524444973659</v>
      </c>
      <c r="DR451" s="3423">
        <f>DR415</f>
        <v>0.47456216242671506</v>
      </c>
      <c r="DS451" s="3264"/>
      <c r="DW451" s="3419" t="s">
        <v>108</v>
      </c>
      <c r="DX451" s="3422">
        <f>DX415</f>
        <v>0.34987259312354835</v>
      </c>
      <c r="DY451" s="3422">
        <f>DY415</f>
        <v>0.17556524444973659</v>
      </c>
      <c r="DZ451" s="3423">
        <f>DZ415</f>
        <v>0.47456216242671506</v>
      </c>
      <c r="EA451" s="3264"/>
      <c r="EE451" s="3419" t="s">
        <v>108</v>
      </c>
      <c r="EF451" s="3422">
        <f>EF415</f>
        <v>0.34987259312354835</v>
      </c>
      <c r="EG451" s="3422">
        <f>EG415</f>
        <v>0.17556524444973659</v>
      </c>
      <c r="EH451" s="3423">
        <f>EH415</f>
        <v>0.47456216242671506</v>
      </c>
      <c r="EI451" s="3264"/>
      <c r="EM451" s="3419" t="s">
        <v>108</v>
      </c>
      <c r="EN451" s="3422">
        <f>EN415</f>
        <v>0.34987259312354835</v>
      </c>
      <c r="EO451" s="3422">
        <f>EO415</f>
        <v>0.17556524444973659</v>
      </c>
      <c r="EP451" s="3423">
        <f>EP415</f>
        <v>0.47456216242671506</v>
      </c>
      <c r="EQ451" s="3264"/>
      <c r="EU451" s="3419" t="s">
        <v>108</v>
      </c>
      <c r="EV451" s="3422">
        <f>EV415</f>
        <v>0.34987259312354835</v>
      </c>
      <c r="EW451" s="3422">
        <f>EW415</f>
        <v>0.17556524444973659</v>
      </c>
      <c r="EX451" s="3423">
        <f>EX415</f>
        <v>0.47456216242671506</v>
      </c>
      <c r="EY451" s="3264"/>
      <c r="FC451" s="3419" t="s">
        <v>108</v>
      </c>
      <c r="FD451" s="3422">
        <f>FD415</f>
        <v>0.34987259312354835</v>
      </c>
      <c r="FE451" s="3422">
        <f>FE415</f>
        <v>0.17556524444973659</v>
      </c>
      <c r="FF451" s="3423">
        <f>FF415</f>
        <v>0.47456216242671506</v>
      </c>
      <c r="FG451" s="3264"/>
      <c r="FK451" s="3419" t="s">
        <v>108</v>
      </c>
      <c r="FL451" s="3422">
        <f>FL415</f>
        <v>0.34987259312354835</v>
      </c>
      <c r="FM451" s="3422">
        <f>FM415</f>
        <v>0.17556524444973659</v>
      </c>
      <c r="FN451" s="3423">
        <f>FN415</f>
        <v>0.47456216242671506</v>
      </c>
      <c r="FO451" s="3264"/>
    </row>
    <row r="452" spans="1:171">
      <c r="D452" s="3417"/>
      <c r="E452" s="3418"/>
      <c r="F452" s="2747"/>
      <c r="G452" s="3424" t="s">
        <v>109</v>
      </c>
      <c r="H452" s="3422">
        <f>H421</f>
        <v>0</v>
      </c>
      <c r="I452" s="3422">
        <f>I421</f>
        <v>0</v>
      </c>
      <c r="J452" s="3423">
        <f>J421</f>
        <v>1</v>
      </c>
      <c r="K452" s="3411"/>
      <c r="O452" s="3424" t="s">
        <v>109</v>
      </c>
      <c r="P452" s="3422">
        <f>P421</f>
        <v>0</v>
      </c>
      <c r="Q452" s="3422">
        <f>Q421</f>
        <v>0.2738177574049071</v>
      </c>
      <c r="R452" s="3423">
        <f>R421</f>
        <v>0.7261822425950929</v>
      </c>
      <c r="S452" s="3411"/>
      <c r="W452" s="3424" t="s">
        <v>109</v>
      </c>
      <c r="X452" s="3422">
        <f>X421</f>
        <v>0</v>
      </c>
      <c r="Y452" s="3422">
        <f>Y421</f>
        <v>0.2738177574049071</v>
      </c>
      <c r="Z452" s="3423">
        <f>Z421</f>
        <v>0.7261822425950929</v>
      </c>
      <c r="AA452" s="3411"/>
      <c r="AE452" s="3424" t="s">
        <v>109</v>
      </c>
      <c r="AF452" s="3422">
        <f>AF421</f>
        <v>0</v>
      </c>
      <c r="AG452" s="3422">
        <f>AG421</f>
        <v>0.2738177574049071</v>
      </c>
      <c r="AH452" s="3423">
        <f>AH421</f>
        <v>0.7261822425950929</v>
      </c>
      <c r="AI452" s="3411"/>
      <c r="AM452" s="3424" t="s">
        <v>109</v>
      </c>
      <c r="AN452" s="3422">
        <f>AN421</f>
        <v>0</v>
      </c>
      <c r="AO452" s="3422">
        <f>AO421</f>
        <v>0.2738177574049071</v>
      </c>
      <c r="AP452" s="3423">
        <f>AP421</f>
        <v>0.7261822425950929</v>
      </c>
      <c r="AQ452" s="3411"/>
      <c r="AU452" s="3424" t="s">
        <v>109</v>
      </c>
      <c r="AV452" s="3422">
        <f>AV421</f>
        <v>0</v>
      </c>
      <c r="AW452" s="3422">
        <f>AW421</f>
        <v>0.2738177574049071</v>
      </c>
      <c r="AX452" s="3423">
        <f>AX421</f>
        <v>0.7261822425950929</v>
      </c>
      <c r="AY452" s="3411"/>
      <c r="BC452" s="3424" t="s">
        <v>109</v>
      </c>
      <c r="BD452" s="3422">
        <f>BD421</f>
        <v>0</v>
      </c>
      <c r="BE452" s="3422">
        <f>BE421</f>
        <v>0.2738177574049071</v>
      </c>
      <c r="BF452" s="3423">
        <f>BF421</f>
        <v>0.7261822425950929</v>
      </c>
      <c r="BG452" s="3411"/>
      <c r="BK452" s="3424" t="s">
        <v>109</v>
      </c>
      <c r="BL452" s="3422">
        <f>BL421</f>
        <v>0</v>
      </c>
      <c r="BM452" s="3422">
        <f>BM421</f>
        <v>0.2738177574049071</v>
      </c>
      <c r="BN452" s="3423">
        <f>BN421</f>
        <v>0.7261822425950929</v>
      </c>
      <c r="BO452" s="3411"/>
      <c r="BS452" s="3424" t="s">
        <v>109</v>
      </c>
      <c r="BT452" s="3422">
        <f>BT421</f>
        <v>0</v>
      </c>
      <c r="BU452" s="3422">
        <f>BU421</f>
        <v>0.2738177574049071</v>
      </c>
      <c r="BV452" s="3423">
        <f>BV421</f>
        <v>0.7261822425950929</v>
      </c>
      <c r="BW452" s="3411"/>
      <c r="CA452" s="3424" t="s">
        <v>109</v>
      </c>
      <c r="CB452" s="3422">
        <f>CB421</f>
        <v>0</v>
      </c>
      <c r="CC452" s="3422">
        <f>CC421</f>
        <v>0.2738177574049071</v>
      </c>
      <c r="CD452" s="3423">
        <f>CD421</f>
        <v>0.7261822425950929</v>
      </c>
      <c r="CE452" s="3411"/>
      <c r="CI452" s="3424" t="s">
        <v>109</v>
      </c>
      <c r="CJ452" s="3422">
        <f>CJ421</f>
        <v>0</v>
      </c>
      <c r="CK452" s="3422">
        <f>CK421</f>
        <v>0.2738177574049071</v>
      </c>
      <c r="CL452" s="3423">
        <f>CL421</f>
        <v>0.7261822425950929</v>
      </c>
      <c r="CM452" s="3411"/>
      <c r="CQ452" s="3424" t="s">
        <v>109</v>
      </c>
      <c r="CR452" s="3422">
        <f>CR421</f>
        <v>0</v>
      </c>
      <c r="CS452" s="3422">
        <f>CS421</f>
        <v>0.2738177574049071</v>
      </c>
      <c r="CT452" s="3423">
        <f>CT421</f>
        <v>0.7261822425950929</v>
      </c>
      <c r="CU452" s="3411"/>
      <c r="CY452" s="3424" t="s">
        <v>109</v>
      </c>
      <c r="CZ452" s="3422">
        <f>CZ421</f>
        <v>0</v>
      </c>
      <c r="DA452" s="3422">
        <f>DA421</f>
        <v>0.2738177574049071</v>
      </c>
      <c r="DB452" s="3423">
        <f>DB421</f>
        <v>0.7261822425950929</v>
      </c>
      <c r="DC452" s="3411"/>
      <c r="DG452" s="3424" t="s">
        <v>109</v>
      </c>
      <c r="DH452" s="3422">
        <f>DH421</f>
        <v>0</v>
      </c>
      <c r="DI452" s="3422">
        <f>DI421</f>
        <v>0.2738177574049071</v>
      </c>
      <c r="DJ452" s="3423">
        <f>DJ421</f>
        <v>0.7261822425950929</v>
      </c>
      <c r="DK452" s="3411"/>
      <c r="DO452" s="3424" t="s">
        <v>109</v>
      </c>
      <c r="DP452" s="3422">
        <f>DP421</f>
        <v>0</v>
      </c>
      <c r="DQ452" s="3422">
        <f>DQ421</f>
        <v>0.2738177574049071</v>
      </c>
      <c r="DR452" s="3423">
        <f>DR421</f>
        <v>0.7261822425950929</v>
      </c>
      <c r="DS452" s="3411"/>
      <c r="DW452" s="3424" t="s">
        <v>109</v>
      </c>
      <c r="DX452" s="3422">
        <f>DX421</f>
        <v>0</v>
      </c>
      <c r="DY452" s="3422">
        <f>DY421</f>
        <v>0.2738177574049071</v>
      </c>
      <c r="DZ452" s="3423">
        <f>DZ421</f>
        <v>0.7261822425950929</v>
      </c>
      <c r="EA452" s="3411"/>
      <c r="EE452" s="3424" t="s">
        <v>109</v>
      </c>
      <c r="EF452" s="3422">
        <f>EF421</f>
        <v>0</v>
      </c>
      <c r="EG452" s="3422">
        <f>EG421</f>
        <v>0.2738177574049071</v>
      </c>
      <c r="EH452" s="3423">
        <f>EH421</f>
        <v>0.7261822425950929</v>
      </c>
      <c r="EI452" s="3411"/>
      <c r="EM452" s="3424" t="s">
        <v>109</v>
      </c>
      <c r="EN452" s="3422">
        <f>EN421</f>
        <v>0</v>
      </c>
      <c r="EO452" s="3422">
        <f>EO421</f>
        <v>0.2738177574049071</v>
      </c>
      <c r="EP452" s="3423">
        <f>EP421</f>
        <v>0.7261822425950929</v>
      </c>
      <c r="EQ452" s="3411"/>
      <c r="EU452" s="3424" t="s">
        <v>109</v>
      </c>
      <c r="EV452" s="3422">
        <f>EV421</f>
        <v>0</v>
      </c>
      <c r="EW452" s="3422">
        <f>EW421</f>
        <v>0.2738177574049071</v>
      </c>
      <c r="EX452" s="3423">
        <f>EX421</f>
        <v>0.7261822425950929</v>
      </c>
      <c r="EY452" s="3411"/>
      <c r="FC452" s="3424" t="s">
        <v>109</v>
      </c>
      <c r="FD452" s="3422">
        <f>FD421</f>
        <v>0</v>
      </c>
      <c r="FE452" s="3422">
        <f>FE421</f>
        <v>0.2738177574049071</v>
      </c>
      <c r="FF452" s="3423">
        <f>FF421</f>
        <v>0.7261822425950929</v>
      </c>
      <c r="FG452" s="3411"/>
      <c r="FK452" s="3424" t="s">
        <v>109</v>
      </c>
      <c r="FL452" s="3422">
        <f>FL421</f>
        <v>0</v>
      </c>
      <c r="FM452" s="3422">
        <f>FM421</f>
        <v>0.2738177574049071</v>
      </c>
      <c r="FN452" s="3423">
        <f>FN421</f>
        <v>0.7261822425950929</v>
      </c>
      <c r="FO452" s="3411"/>
    </row>
    <row r="453" spans="1:171" ht="12" thickBot="1">
      <c r="E453" s="2747"/>
      <c r="F453" s="2747"/>
      <c r="G453" s="3131"/>
      <c r="H453" s="3425"/>
      <c r="I453" s="3425"/>
      <c r="J453" s="3426"/>
      <c r="K453" s="3264"/>
      <c r="O453" s="3131"/>
      <c r="P453" s="3425"/>
      <c r="Q453" s="3425"/>
      <c r="R453" s="3426"/>
      <c r="S453" s="3264"/>
      <c r="W453" s="3131"/>
      <c r="X453" s="3425"/>
      <c r="Y453" s="3425"/>
      <c r="Z453" s="3426"/>
      <c r="AA453" s="3264"/>
      <c r="AE453" s="3131"/>
      <c r="AF453" s="3425"/>
      <c r="AG453" s="3425"/>
      <c r="AH453" s="3426"/>
      <c r="AI453" s="3264"/>
      <c r="AM453" s="3131"/>
      <c r="AN453" s="3425"/>
      <c r="AO453" s="3425"/>
      <c r="AP453" s="3426"/>
      <c r="AQ453" s="3264"/>
      <c r="AU453" s="3131"/>
      <c r="AV453" s="3425"/>
      <c r="AW453" s="3425"/>
      <c r="AX453" s="3426"/>
      <c r="AY453" s="3264"/>
      <c r="BC453" s="3131"/>
      <c r="BD453" s="3425"/>
      <c r="BE453" s="3425"/>
      <c r="BF453" s="3426"/>
      <c r="BG453" s="3264"/>
      <c r="BK453" s="3131"/>
      <c r="BL453" s="3425"/>
      <c r="BM453" s="3425"/>
      <c r="BN453" s="3426"/>
      <c r="BO453" s="3264"/>
      <c r="BS453" s="3131"/>
      <c r="BT453" s="3425"/>
      <c r="BU453" s="3425"/>
      <c r="BV453" s="3426"/>
      <c r="BW453" s="3264"/>
      <c r="CA453" s="3131"/>
      <c r="CB453" s="3425"/>
      <c r="CC453" s="3425"/>
      <c r="CD453" s="3426"/>
      <c r="CE453" s="3264"/>
      <c r="CI453" s="3131"/>
      <c r="CJ453" s="3425"/>
      <c r="CK453" s="3425"/>
      <c r="CL453" s="3426"/>
      <c r="CM453" s="3264"/>
      <c r="CQ453" s="3131"/>
      <c r="CR453" s="3425"/>
      <c r="CS453" s="3425"/>
      <c r="CT453" s="3426"/>
      <c r="CU453" s="3264"/>
      <c r="CY453" s="3131"/>
      <c r="CZ453" s="3425"/>
      <c r="DA453" s="3425"/>
      <c r="DB453" s="3426"/>
      <c r="DC453" s="3264"/>
      <c r="DG453" s="3131"/>
      <c r="DH453" s="3425"/>
      <c r="DI453" s="3425"/>
      <c r="DJ453" s="3426"/>
      <c r="DK453" s="3264"/>
      <c r="DO453" s="3131"/>
      <c r="DP453" s="3425"/>
      <c r="DQ453" s="3425"/>
      <c r="DR453" s="3426"/>
      <c r="DS453" s="3264"/>
      <c r="DW453" s="3131"/>
      <c r="DX453" s="3425"/>
      <c r="DY453" s="3425"/>
      <c r="DZ453" s="3426"/>
      <c r="EA453" s="3264"/>
      <c r="EE453" s="3131"/>
      <c r="EF453" s="3425"/>
      <c r="EG453" s="3425"/>
      <c r="EH453" s="3426"/>
      <c r="EI453" s="3264"/>
      <c r="EM453" s="3131"/>
      <c r="EN453" s="3425"/>
      <c r="EO453" s="3425"/>
      <c r="EP453" s="3426"/>
      <c r="EQ453" s="3264"/>
      <c r="EU453" s="3131"/>
      <c r="EV453" s="3425"/>
      <c r="EW453" s="3425"/>
      <c r="EX453" s="3426"/>
      <c r="EY453" s="3264"/>
      <c r="FC453" s="3131"/>
      <c r="FD453" s="3425"/>
      <c r="FE453" s="3425"/>
      <c r="FF453" s="3426"/>
      <c r="FG453" s="3264"/>
      <c r="FK453" s="3131"/>
      <c r="FL453" s="3425"/>
      <c r="FM453" s="3425"/>
      <c r="FN453" s="3426"/>
      <c r="FO453" s="3264"/>
    </row>
    <row r="454" spans="1:171" ht="12" thickTop="1">
      <c r="K454" s="3264"/>
      <c r="S454" s="3264"/>
      <c r="AA454" s="3264"/>
      <c r="AI454" s="3264"/>
      <c r="AQ454" s="3264"/>
      <c r="AY454" s="3264"/>
      <c r="BG454" s="3264"/>
      <c r="BO454" s="3264"/>
      <c r="BW454" s="3264"/>
      <c r="CE454" s="3264"/>
      <c r="CM454" s="3264"/>
      <c r="CU454" s="3264"/>
      <c r="DC454" s="3264"/>
      <c r="DK454" s="3264"/>
      <c r="DS454" s="3264"/>
      <c r="EA454" s="3264"/>
      <c r="EI454" s="3264"/>
      <c r="EQ454" s="3264"/>
      <c r="EY454" s="3264"/>
      <c r="FG454" s="3264"/>
      <c r="FO454" s="3264"/>
    </row>
    <row r="455" spans="1:171">
      <c r="K455" s="3411"/>
      <c r="S455" s="3264"/>
      <c r="AA455" s="3264"/>
      <c r="AI455" s="3264"/>
      <c r="AQ455" s="3264"/>
      <c r="AY455" s="3264"/>
      <c r="BG455" s="3264"/>
      <c r="BO455" s="3264"/>
      <c r="BW455" s="3264"/>
      <c r="CE455" s="3264"/>
      <c r="CM455" s="3264"/>
      <c r="CU455" s="3264"/>
      <c r="DC455" s="3264"/>
      <c r="DK455" s="3264"/>
      <c r="DS455" s="3264"/>
      <c r="EA455" s="3264"/>
      <c r="EI455" s="3264"/>
      <c r="EQ455" s="3264"/>
      <c r="EY455" s="3264"/>
      <c r="FG455" s="3264"/>
      <c r="FO455" s="3264"/>
    </row>
    <row r="456" spans="1:171">
      <c r="K456" s="3264"/>
      <c r="S456" s="3264"/>
      <c r="AA456" s="3264"/>
      <c r="AI456" s="3264"/>
      <c r="AQ456" s="3264"/>
      <c r="AY456" s="3264"/>
      <c r="BG456" s="3264"/>
      <c r="BO456" s="3264"/>
      <c r="BW456" s="3264"/>
      <c r="CE456" s="3264"/>
      <c r="CM456" s="3264"/>
      <c r="CU456" s="3264"/>
      <c r="DC456" s="3264"/>
      <c r="DK456" s="3264"/>
      <c r="DS456" s="3264"/>
      <c r="EA456" s="3264"/>
      <c r="EI456" s="3264"/>
      <c r="EQ456" s="3264"/>
      <c r="EY456" s="3264"/>
      <c r="FG456" s="3264"/>
      <c r="FO456" s="3264"/>
    </row>
    <row r="457" spans="1:171">
      <c r="K457" s="3264"/>
      <c r="S457" s="3264"/>
      <c r="AA457" s="3264"/>
      <c r="AI457" s="3264"/>
      <c r="AQ457" s="3264"/>
      <c r="AY457" s="3264"/>
      <c r="BG457" s="3264"/>
      <c r="BO457" s="3264"/>
      <c r="BW457" s="3264"/>
      <c r="CE457" s="3264"/>
      <c r="CM457" s="3264"/>
      <c r="CU457" s="3264"/>
      <c r="DC457" s="3264"/>
      <c r="DK457" s="3264"/>
      <c r="DS457" s="3264"/>
      <c r="EA457" s="3264"/>
      <c r="EI457" s="3264"/>
      <c r="EQ457" s="3264"/>
      <c r="EY457" s="3264"/>
      <c r="FG457" s="3264"/>
      <c r="FO457" s="3264"/>
    </row>
    <row r="458" spans="1:171">
      <c r="K458" s="3264"/>
      <c r="S458" s="3264"/>
      <c r="AA458" s="3264"/>
      <c r="AI458" s="3264"/>
      <c r="AQ458" s="3264"/>
      <c r="AY458" s="3264"/>
      <c r="BG458" s="3264"/>
      <c r="BO458" s="3264"/>
      <c r="BW458" s="3264"/>
      <c r="CE458" s="3264"/>
      <c r="CM458" s="3264"/>
      <c r="CU458" s="3264"/>
      <c r="DC458" s="3264"/>
      <c r="DK458" s="3264"/>
      <c r="DS458" s="3264"/>
      <c r="EA458" s="3264"/>
      <c r="EI458" s="3264"/>
      <c r="EQ458" s="3264"/>
      <c r="EY458" s="3264"/>
      <c r="FG458" s="3264"/>
      <c r="FO458" s="3264"/>
    </row>
    <row r="459" spans="1:171">
      <c r="K459" s="3264"/>
      <c r="S459" s="3264"/>
      <c r="AA459" s="3264"/>
      <c r="AI459" s="3264"/>
      <c r="AQ459" s="3264"/>
      <c r="AY459" s="3264"/>
      <c r="BG459" s="3264"/>
      <c r="BO459" s="3264"/>
      <c r="BW459" s="3264"/>
      <c r="CE459" s="3264"/>
      <c r="CM459" s="3264"/>
      <c r="CU459" s="3264"/>
      <c r="DC459" s="3264"/>
      <c r="DK459" s="3264"/>
      <c r="DS459" s="3264"/>
      <c r="EA459" s="3264"/>
      <c r="EI459" s="3264"/>
      <c r="EQ459" s="3264"/>
      <c r="EY459" s="3264"/>
      <c r="FG459" s="3264"/>
      <c r="FO459" s="3264"/>
    </row>
    <row r="460" spans="1:171">
      <c r="K460" s="3264"/>
      <c r="S460" s="3264"/>
      <c r="AA460" s="3264"/>
      <c r="AI460" s="3264"/>
      <c r="AQ460" s="3264"/>
      <c r="AY460" s="3264"/>
      <c r="BG460" s="3264"/>
      <c r="BO460" s="3264"/>
      <c r="BW460" s="3264"/>
      <c r="CE460" s="3264"/>
      <c r="CM460" s="3264"/>
      <c r="CU460" s="3264"/>
      <c r="DC460" s="3264"/>
      <c r="DK460" s="3264"/>
      <c r="DS460" s="3264"/>
      <c r="EA460" s="3264"/>
      <c r="EI460" s="3264"/>
      <c r="EQ460" s="3264"/>
      <c r="EY460" s="3264"/>
      <c r="FG460" s="3264"/>
      <c r="FO460" s="3264"/>
    </row>
    <row r="461" spans="1:171">
      <c r="A461" s="3205"/>
      <c r="B461" s="3205"/>
      <c r="C461" s="3205"/>
      <c r="D461" s="3205"/>
      <c r="E461" s="3205"/>
      <c r="F461" s="3205"/>
      <c r="G461" s="3205"/>
      <c r="H461" s="3205"/>
      <c r="I461" s="3205"/>
      <c r="J461" s="3205"/>
      <c r="K461" s="3205"/>
      <c r="L461" s="3205"/>
      <c r="M461" s="3205"/>
      <c r="N461" s="3205"/>
      <c r="O461" s="3205"/>
      <c r="P461" s="3205"/>
      <c r="Q461" s="3205"/>
      <c r="R461" s="3205"/>
      <c r="S461" s="3205"/>
      <c r="T461" s="3205"/>
      <c r="U461" s="3205"/>
      <c r="V461" s="3205"/>
      <c r="W461" s="3205"/>
      <c r="X461" s="3205"/>
      <c r="Y461" s="3205"/>
      <c r="Z461" s="3205"/>
      <c r="AA461" s="3205"/>
      <c r="AB461" s="3205"/>
      <c r="AC461" s="3205"/>
      <c r="AD461" s="3205"/>
      <c r="AE461" s="3205"/>
      <c r="AF461" s="3205"/>
      <c r="AG461" s="3205"/>
      <c r="AH461" s="3205"/>
      <c r="AI461" s="3205"/>
      <c r="AJ461" s="3205"/>
      <c r="AK461" s="3205"/>
      <c r="AL461" s="3205"/>
      <c r="AM461" s="3205"/>
      <c r="AN461" s="3205"/>
      <c r="AO461" s="3205"/>
      <c r="AP461" s="3205"/>
      <c r="AQ461" s="3205"/>
      <c r="AR461" s="3205"/>
      <c r="AS461" s="3205"/>
      <c r="AT461" s="3205"/>
      <c r="AU461" s="3205"/>
      <c r="AV461" s="3205"/>
      <c r="AW461" s="3205"/>
      <c r="AX461" s="3205"/>
      <c r="AY461" s="3205"/>
      <c r="AZ461" s="3205"/>
      <c r="BA461" s="3205"/>
      <c r="BB461" s="3205"/>
      <c r="BC461" s="3205"/>
      <c r="BD461" s="3205"/>
      <c r="BE461" s="3205"/>
      <c r="BF461" s="3205"/>
      <c r="BG461" s="3205"/>
      <c r="BH461" s="3205"/>
      <c r="BI461" s="3205"/>
      <c r="BJ461" s="3205"/>
      <c r="BK461" s="3205"/>
      <c r="BL461" s="3205"/>
      <c r="BM461" s="3205"/>
      <c r="BN461" s="3205"/>
      <c r="BO461" s="3205"/>
      <c r="BP461" s="3205"/>
      <c r="BQ461" s="3205"/>
      <c r="BR461" s="3205"/>
      <c r="BS461" s="3205"/>
      <c r="BT461" s="3205"/>
      <c r="BU461" s="3205"/>
      <c r="BV461" s="3205"/>
      <c r="BW461" s="3205"/>
      <c r="BX461" s="3205"/>
      <c r="BY461" s="3205"/>
      <c r="BZ461" s="3205"/>
      <c r="CA461" s="3205"/>
      <c r="CB461" s="3205"/>
      <c r="CC461" s="3205"/>
      <c r="CD461" s="3205"/>
      <c r="CE461" s="3205"/>
      <c r="CF461" s="3205"/>
      <c r="CG461" s="3205"/>
      <c r="CH461" s="3205"/>
      <c r="CI461" s="3205"/>
      <c r="CJ461" s="3205"/>
      <c r="CK461" s="3205"/>
      <c r="CL461" s="3205"/>
      <c r="CM461" s="3205"/>
      <c r="CN461" s="3205"/>
      <c r="CO461" s="3205"/>
      <c r="CP461" s="3205"/>
      <c r="CQ461" s="3205"/>
      <c r="CR461" s="3205"/>
      <c r="CS461" s="3205"/>
      <c r="CT461" s="3205"/>
      <c r="CU461" s="3205"/>
      <c r="CV461" s="3205"/>
      <c r="CW461" s="3205"/>
      <c r="CX461" s="3205"/>
      <c r="CY461" s="3205"/>
      <c r="CZ461" s="3205"/>
      <c r="DA461" s="3205"/>
      <c r="DB461" s="3205"/>
      <c r="DC461" s="3205"/>
      <c r="DD461" s="3205"/>
      <c r="DE461" s="3205"/>
      <c r="DF461" s="3205"/>
      <c r="DG461" s="3205"/>
      <c r="DH461" s="3205"/>
      <c r="DI461" s="3205"/>
      <c r="DJ461" s="3205"/>
      <c r="DK461" s="3205"/>
      <c r="DL461" s="3205"/>
      <c r="DM461" s="3205"/>
      <c r="DN461" s="3205"/>
      <c r="DO461" s="3205"/>
      <c r="DP461" s="3205"/>
      <c r="DQ461" s="3205"/>
      <c r="DR461" s="3205"/>
      <c r="DS461" s="3205"/>
      <c r="DT461" s="3205"/>
      <c r="DU461" s="3205"/>
      <c r="DV461" s="3205"/>
      <c r="DW461" s="3205"/>
      <c r="DX461" s="3205"/>
      <c r="DY461" s="3205"/>
      <c r="DZ461" s="3205"/>
      <c r="EA461" s="3205"/>
      <c r="EB461" s="3205"/>
      <c r="EC461" s="3205"/>
      <c r="ED461" s="3205"/>
      <c r="EE461" s="3205"/>
      <c r="EF461" s="3205"/>
      <c r="EG461" s="3205"/>
      <c r="EH461" s="3205"/>
      <c r="EI461" s="3205"/>
      <c r="EJ461" s="3205"/>
      <c r="EK461" s="3205"/>
      <c r="EL461" s="3205"/>
      <c r="EM461" s="3205"/>
      <c r="EN461" s="3205"/>
      <c r="EO461" s="3205"/>
      <c r="EP461" s="3205"/>
      <c r="EQ461" s="3205"/>
      <c r="ER461" s="3205"/>
      <c r="ES461" s="3205"/>
      <c r="ET461" s="3205"/>
      <c r="EU461" s="3205"/>
      <c r="EV461" s="3205"/>
      <c r="EW461" s="3205"/>
      <c r="EX461" s="3205"/>
      <c r="EY461" s="3205"/>
      <c r="EZ461" s="3205"/>
      <c r="FA461" s="3205"/>
      <c r="FB461" s="3205"/>
      <c r="FC461" s="3205"/>
      <c r="FD461" s="3205"/>
      <c r="FE461" s="3205"/>
      <c r="FF461" s="3205"/>
      <c r="FG461" s="3205"/>
      <c r="FH461" s="3205"/>
      <c r="FI461" s="3205"/>
      <c r="FJ461" s="3205"/>
      <c r="FK461" s="3205"/>
      <c r="FL461" s="3205"/>
      <c r="FM461" s="3205"/>
      <c r="FN461" s="3205"/>
      <c r="FO461" s="3205"/>
    </row>
    <row r="462" spans="1:171">
      <c r="K462" s="3264"/>
      <c r="S462" s="3264"/>
      <c r="AA462" s="3264"/>
      <c r="AI462" s="3264"/>
      <c r="AQ462" s="3264"/>
      <c r="AY462" s="3264"/>
      <c r="BG462" s="3264"/>
      <c r="BO462" s="3264"/>
      <c r="BW462" s="3264"/>
      <c r="CE462" s="3264"/>
      <c r="CM462" s="3264"/>
      <c r="CU462" s="3264"/>
      <c r="DC462" s="3264"/>
      <c r="DK462" s="3264"/>
      <c r="DS462" s="3264"/>
      <c r="EA462" s="3264"/>
      <c r="EI462" s="3264"/>
      <c r="EQ462" s="3264"/>
      <c r="EY462" s="3264"/>
      <c r="FG462" s="3264"/>
      <c r="FO462" s="3264"/>
    </row>
    <row r="463" spans="1:171">
      <c r="B463" s="507" t="s">
        <v>632</v>
      </c>
      <c r="G463" s="3427" t="s">
        <v>633</v>
      </c>
      <c r="K463" s="3264"/>
      <c r="S463" s="3264"/>
      <c r="AA463" s="3264"/>
      <c r="AI463" s="3264"/>
      <c r="AQ463" s="3264"/>
      <c r="AY463" s="3264"/>
      <c r="BG463" s="3264"/>
      <c r="BO463" s="3264"/>
      <c r="BW463" s="3264"/>
      <c r="CE463" s="3264"/>
      <c r="CM463" s="3264"/>
      <c r="CU463" s="3264"/>
      <c r="DC463" s="3264"/>
      <c r="DK463" s="3264"/>
      <c r="DS463" s="3264"/>
      <c r="EA463" s="3264"/>
      <c r="EI463" s="3264"/>
      <c r="EQ463" s="3264"/>
      <c r="EY463" s="3264"/>
      <c r="FG463" s="3264"/>
      <c r="FO463" s="3264"/>
    </row>
    <row r="464" spans="1:171">
      <c r="K464" s="3264"/>
      <c r="S464" s="3264"/>
      <c r="AA464" s="3264"/>
      <c r="AI464" s="3264"/>
      <c r="AQ464" s="3264"/>
      <c r="AY464" s="3264"/>
      <c r="BG464" s="3264"/>
      <c r="BO464" s="3264"/>
      <c r="BW464" s="3264"/>
      <c r="CE464" s="3264"/>
      <c r="CM464" s="3264"/>
      <c r="CU464" s="3264"/>
      <c r="DC464" s="3264"/>
      <c r="DK464" s="3264"/>
      <c r="DS464" s="3264"/>
      <c r="EA464" s="3264"/>
      <c r="EI464" s="3264"/>
      <c r="EQ464" s="3264"/>
      <c r="EY464" s="3264"/>
      <c r="FG464" s="3264"/>
      <c r="FO464" s="3264"/>
    </row>
    <row r="465" spans="1:171">
      <c r="B465" s="3909" t="s">
        <v>657</v>
      </c>
      <c r="C465" s="3910"/>
      <c r="D465" s="3910"/>
      <c r="E465" s="3910"/>
      <c r="F465" s="3428"/>
      <c r="G465" s="743">
        <f>G470+G484</f>
        <v>1085637524</v>
      </c>
      <c r="K465" s="3264"/>
      <c r="O465" s="743">
        <f>O470+O484</f>
        <v>1085637524</v>
      </c>
      <c r="S465" s="3264"/>
      <c r="W465" s="743">
        <f>W470+W484</f>
        <v>1085637524</v>
      </c>
      <c r="AA465" s="3264"/>
      <c r="AE465" s="743">
        <f>AE470+AE484</f>
        <v>1085637524</v>
      </c>
      <c r="AI465" s="3264"/>
      <c r="AM465" s="743">
        <f>AM470+AM484</f>
        <v>1085637524</v>
      </c>
      <c r="AQ465" s="3264"/>
      <c r="AU465" s="743">
        <f>AU470+AU484</f>
        <v>1085637524</v>
      </c>
      <c r="AY465" s="3264"/>
      <c r="BC465" s="743">
        <f>BC470+BC484</f>
        <v>1085637524</v>
      </c>
      <c r="BG465" s="3264"/>
      <c r="BK465" s="743">
        <f>BK470+BK484</f>
        <v>1085637524</v>
      </c>
      <c r="BO465" s="3264"/>
      <c r="BS465" s="743">
        <f>BS470+BS484</f>
        <v>1085637524</v>
      </c>
      <c r="BW465" s="3264"/>
      <c r="CA465" s="743">
        <f>CA470+CA484</f>
        <v>1085637524</v>
      </c>
      <c r="CE465" s="3264"/>
      <c r="CI465" s="743">
        <f>CI470+CI484</f>
        <v>1085637524</v>
      </c>
      <c r="CM465" s="3264"/>
      <c r="CQ465" s="743">
        <f>CQ470+CQ484</f>
        <v>1085637524</v>
      </c>
      <c r="CU465" s="3264"/>
      <c r="CY465" s="743">
        <f>CY470+CY484</f>
        <v>1085637524</v>
      </c>
      <c r="DC465" s="3264"/>
      <c r="DG465" s="743">
        <f>DG470+DG484</f>
        <v>1085637524</v>
      </c>
      <c r="DK465" s="3264"/>
      <c r="DO465" s="743">
        <f>DO470+DO484</f>
        <v>1085637524</v>
      </c>
      <c r="DS465" s="3264"/>
      <c r="DW465" s="743">
        <f>DW470+DW484</f>
        <v>1085637524</v>
      </c>
      <c r="EA465" s="3264"/>
      <c r="EE465" s="743">
        <f>EE470+EE484</f>
        <v>1085637524</v>
      </c>
      <c r="EI465" s="3264"/>
      <c r="EM465" s="743">
        <f>EM470+EM484</f>
        <v>1085637524</v>
      </c>
      <c r="EQ465" s="3264"/>
      <c r="EU465" s="743">
        <f>EU470+EU484</f>
        <v>1085637524</v>
      </c>
      <c r="EY465" s="3264"/>
      <c r="FC465" s="743">
        <f>FC470+FC484</f>
        <v>1085637524</v>
      </c>
      <c r="FG465" s="3264"/>
      <c r="FK465" s="743">
        <f>FK470+FK484</f>
        <v>1085637524</v>
      </c>
      <c r="FO465" s="3264"/>
    </row>
    <row r="466" spans="1:171">
      <c r="B466" s="3899" t="s">
        <v>658</v>
      </c>
      <c r="C466" s="3900"/>
      <c r="D466" s="3900"/>
      <c r="E466" s="3900"/>
      <c r="F466" s="3429"/>
      <c r="G466" s="743">
        <f>G489+G493</f>
        <v>640830574</v>
      </c>
      <c r="K466" s="3264"/>
      <c r="O466" s="743">
        <f>O489+O493</f>
        <v>640830574</v>
      </c>
      <c r="S466" s="3264"/>
      <c r="W466" s="743">
        <f>W489+W493</f>
        <v>640830574</v>
      </c>
      <c r="AA466" s="3264"/>
      <c r="AE466" s="743">
        <f>AE489+AE493</f>
        <v>640830574</v>
      </c>
      <c r="AI466" s="3264"/>
      <c r="AM466" s="743">
        <f>AM489+AM493</f>
        <v>640830574</v>
      </c>
      <c r="AQ466" s="3264"/>
      <c r="AU466" s="743">
        <f>AU489+AU493</f>
        <v>640830574</v>
      </c>
      <c r="AY466" s="3264"/>
      <c r="BC466" s="743">
        <f>BC489+BC493</f>
        <v>640830574</v>
      </c>
      <c r="BG466" s="3264"/>
      <c r="BK466" s="743">
        <f>BK489+BK493</f>
        <v>640830574</v>
      </c>
      <c r="BO466" s="3264"/>
      <c r="BS466" s="743">
        <f>BS489+BS493</f>
        <v>640830574</v>
      </c>
      <c r="BW466" s="3264"/>
      <c r="CA466" s="743">
        <f>CA489+CA493</f>
        <v>640830574</v>
      </c>
      <c r="CE466" s="3264"/>
      <c r="CI466" s="743">
        <f>CI489+CI493</f>
        <v>640830574</v>
      </c>
      <c r="CM466" s="3264"/>
      <c r="CQ466" s="743">
        <f>CQ489+CQ493</f>
        <v>640830574</v>
      </c>
      <c r="CU466" s="3264"/>
      <c r="CY466" s="743">
        <f>CY489+CY493</f>
        <v>640830574</v>
      </c>
      <c r="DC466" s="3264"/>
      <c r="DG466" s="743">
        <f>DG489+DG493</f>
        <v>640830574</v>
      </c>
      <c r="DK466" s="3264"/>
      <c r="DO466" s="743">
        <f>DO489+DO493</f>
        <v>640830574</v>
      </c>
      <c r="DS466" s="3264"/>
      <c r="DW466" s="743">
        <f>DW489+DW493</f>
        <v>640830574</v>
      </c>
      <c r="EA466" s="3264"/>
      <c r="EE466" s="743">
        <f>EE489+EE493</f>
        <v>640830574</v>
      </c>
      <c r="EI466" s="3264"/>
      <c r="EM466" s="743">
        <f>EM489+EM493</f>
        <v>640830574</v>
      </c>
      <c r="EQ466" s="3264"/>
      <c r="EU466" s="743">
        <f>EU489+EU493</f>
        <v>640830574</v>
      </c>
      <c r="EY466" s="3264"/>
      <c r="FC466" s="743">
        <f>FC489+FC493</f>
        <v>640830574</v>
      </c>
      <c r="FG466" s="3264"/>
      <c r="FK466" s="743">
        <f>FK489+FK493</f>
        <v>640830574</v>
      </c>
      <c r="FO466" s="3264"/>
    </row>
    <row r="467" spans="1:171">
      <c r="K467" s="3264"/>
      <c r="S467" s="3264"/>
      <c r="AA467" s="3264"/>
      <c r="AI467" s="3264"/>
      <c r="AQ467" s="3264"/>
      <c r="AY467" s="3264"/>
      <c r="BG467" s="3264"/>
      <c r="BO467" s="3264"/>
      <c r="BW467" s="3264"/>
      <c r="CE467" s="3264"/>
      <c r="CM467" s="3264"/>
      <c r="CU467" s="3264"/>
      <c r="DC467" s="3264"/>
      <c r="DK467" s="3264"/>
      <c r="DS467" s="3264"/>
      <c r="EA467" s="3264"/>
      <c r="EI467" s="3264"/>
      <c r="EQ467" s="3264"/>
      <c r="EY467" s="3264"/>
      <c r="FG467" s="3264"/>
      <c r="FO467" s="3264"/>
    </row>
    <row r="468" spans="1:171">
      <c r="K468" s="3264"/>
      <c r="S468" s="3264"/>
      <c r="AA468" s="3264"/>
      <c r="AI468" s="3264"/>
      <c r="AQ468" s="3264"/>
      <c r="AY468" s="3264"/>
      <c r="BG468" s="3264"/>
      <c r="BO468" s="3264"/>
      <c r="BW468" s="3264"/>
      <c r="CE468" s="3264"/>
      <c r="CM468" s="3264"/>
      <c r="CU468" s="3264"/>
      <c r="DC468" s="3264"/>
      <c r="DK468" s="3264"/>
      <c r="DS468" s="3264"/>
      <c r="EA468" s="3264"/>
      <c r="EI468" s="3264"/>
      <c r="EQ468" s="3264"/>
      <c r="EY468" s="3264"/>
      <c r="FG468" s="3264"/>
      <c r="FO468" s="3264"/>
    </row>
    <row r="469" spans="1:171">
      <c r="A469" s="3430"/>
      <c r="B469" s="3431" t="s">
        <v>634</v>
      </c>
      <c r="C469" s="3432"/>
      <c r="K469" s="3264"/>
      <c r="S469" s="3264"/>
      <c r="AA469" s="3264"/>
      <c r="AI469" s="3264"/>
      <c r="AQ469" s="3264"/>
      <c r="AY469" s="3264"/>
      <c r="BG469" s="3264"/>
      <c r="BO469" s="3264"/>
      <c r="BW469" s="3264"/>
      <c r="CE469" s="3264"/>
      <c r="CM469" s="3264"/>
      <c r="CU469" s="3264"/>
      <c r="DC469" s="3264"/>
      <c r="DK469" s="3264"/>
      <c r="DS469" s="3264"/>
      <c r="EA469" s="3264"/>
      <c r="EI469" s="3264"/>
      <c r="EQ469" s="3264"/>
      <c r="EY469" s="3264"/>
      <c r="FG469" s="3264"/>
      <c r="FO469" s="3264"/>
    </row>
    <row r="470" spans="1:171">
      <c r="A470" s="3433">
        <v>105000</v>
      </c>
      <c r="B470" s="3252"/>
      <c r="C470" s="3427" t="s">
        <v>638</v>
      </c>
      <c r="G470" s="3389">
        <f>'3-YEAR PP &amp; OSS Worksheet'!$D$11+'3-YEAR PP &amp; OSS Worksheet'!$D$12+'3-YEAR PP &amp; OSS Worksheet'!$D$13+'3-YEAR PP &amp; OSS Worksheet'!$D$15+'3-YEAR PP &amp; OSS Worksheet'!$D$16</f>
        <v>756332412</v>
      </c>
      <c r="K470" s="3264"/>
      <c r="N470" s="3434">
        <f>VLOOKUP($A470,'New Resources - Individual'!$A$4:$Y$133,N$2,FALSE)*N$1</f>
        <v>0</v>
      </c>
      <c r="O470" s="3435">
        <f>$G470+N470</f>
        <v>756332412</v>
      </c>
      <c r="S470" s="3264"/>
      <c r="V470" s="3434">
        <f>VLOOKUP($A470,'New Resources - Individual'!$A$4:$Y$133,V$2,FALSE)*V$1</f>
        <v>0</v>
      </c>
      <c r="W470" s="3435">
        <f>$G470+V470</f>
        <v>756332412</v>
      </c>
      <c r="AA470" s="3264"/>
      <c r="AD470" s="3434">
        <f>VLOOKUP($A470,'New Resources - Individual'!$A$4:$Y$133,AD$2,FALSE)*AD$1</f>
        <v>0</v>
      </c>
      <c r="AE470" s="3435">
        <f>$G470+AD470</f>
        <v>756332412</v>
      </c>
      <c r="AI470" s="3264"/>
      <c r="AL470" s="3434">
        <f>VLOOKUP($A470,'New Resources - Individual'!$A$4:$Y$133,AL$2,FALSE)*AL$1</f>
        <v>0</v>
      </c>
      <c r="AM470" s="3435">
        <f>$G470+AL470</f>
        <v>756332412</v>
      </c>
      <c r="AQ470" s="3264"/>
      <c r="AT470" s="3434">
        <f>VLOOKUP($A470,'New Resources - Individual'!$A$4:$Y$133,AT$2,FALSE)*AT$1</f>
        <v>0</v>
      </c>
      <c r="AU470" s="3435">
        <f>$G470+AT470</f>
        <v>756332412</v>
      </c>
      <c r="AY470" s="3264"/>
      <c r="BB470" s="3434">
        <f>VLOOKUP($A470,'New Resources - Individual'!$A$4:$Y$133,BB$2,FALSE)*BB$1</f>
        <v>0</v>
      </c>
      <c r="BC470" s="3435">
        <f>$G470+BB470</f>
        <v>756332412</v>
      </c>
      <c r="BG470" s="3264"/>
      <c r="BJ470" s="3434">
        <f>VLOOKUP($A470,'New Resources - Individual'!$A$4:$Y$133,BJ$2,FALSE)*BJ$1</f>
        <v>0</v>
      </c>
      <c r="BK470" s="3435">
        <f>$G470+BJ470</f>
        <v>756332412</v>
      </c>
      <c r="BO470" s="3264"/>
      <c r="BR470" s="3434">
        <f>VLOOKUP($A470,'New Resources - Individual'!$A$4:$Y$133,BR$2,FALSE)*BR$1</f>
        <v>0</v>
      </c>
      <c r="BS470" s="3435">
        <f>$G470+BR470</f>
        <v>756332412</v>
      </c>
      <c r="BW470" s="3264"/>
      <c r="BZ470" s="3434">
        <f>VLOOKUP($A470,'New Resources - Individual'!$A$4:$Y$133,BZ$2,FALSE)*BZ$1</f>
        <v>0</v>
      </c>
      <c r="CA470" s="3435">
        <f>$G470+BZ470</f>
        <v>756332412</v>
      </c>
      <c r="CE470" s="3264"/>
      <c r="CH470" s="3434">
        <f>VLOOKUP($A470,'New Resources - Individual'!$A$4:$Y$133,CH$2,FALSE)*CH$1</f>
        <v>0</v>
      </c>
      <c r="CI470" s="3435">
        <f>$G470+CH470</f>
        <v>756332412</v>
      </c>
      <c r="CM470" s="3264"/>
      <c r="CP470" s="3434">
        <f>VLOOKUP($A470,'New Resources - Individual'!$A$4:$Y$133,CP$2,FALSE)*CP$1</f>
        <v>0</v>
      </c>
      <c r="CQ470" s="3435">
        <f>$G470+CP470</f>
        <v>756332412</v>
      </c>
      <c r="CU470" s="3264"/>
      <c r="CX470" s="3434">
        <f>VLOOKUP($A470,'New Resources - Individual'!$A$4:$Y$133,CX$2,FALSE)*CX$1</f>
        <v>0</v>
      </c>
      <c r="CY470" s="3435">
        <f>$G470+CX470</f>
        <v>756332412</v>
      </c>
      <c r="DC470" s="3264"/>
      <c r="DF470" s="3434">
        <f>VLOOKUP($A470,'New Resources - Individual'!$A$4:$Y$133,DF$2,FALSE)*DF$1</f>
        <v>0</v>
      </c>
      <c r="DG470" s="3435">
        <f>$G470+DF470</f>
        <v>756332412</v>
      </c>
      <c r="DK470" s="3264"/>
      <c r="DN470" s="3434">
        <f>VLOOKUP($A470,'New Resources - Individual'!$A$4:$Y$133,DN$2,FALSE)*DN$1</f>
        <v>0</v>
      </c>
      <c r="DO470" s="3435">
        <f>$G470+DN470</f>
        <v>756332412</v>
      </c>
      <c r="DS470" s="3264"/>
      <c r="DV470" s="3434">
        <f>VLOOKUP($A470,'New Resources - Individual'!$A$4:$Y$133,DV$2,FALSE)*DV$1</f>
        <v>0</v>
      </c>
      <c r="DW470" s="3435">
        <f>$G470+DV470</f>
        <v>756332412</v>
      </c>
      <c r="EA470" s="3264"/>
      <c r="ED470" s="3434">
        <f>VLOOKUP($A470,'New Resources - Individual'!$A$4:$Y$133,ED$2,FALSE)*ED$1</f>
        <v>0</v>
      </c>
      <c r="EE470" s="3435">
        <f>$G470+ED470</f>
        <v>756332412</v>
      </c>
      <c r="EI470" s="3264"/>
      <c r="EL470" s="3434">
        <f>VLOOKUP($A470,'New Resources - Individual'!$A$4:$Y$133,EL$2,FALSE)*EL$1</f>
        <v>0</v>
      </c>
      <c r="EM470" s="3435">
        <f>$G470+EL470</f>
        <v>756332412</v>
      </c>
      <c r="EQ470" s="3264"/>
      <c r="ET470" s="3434">
        <f>VLOOKUP($A470,'New Resources - Individual'!$A$4:$Y$133,ET$2,FALSE)*ET$1</f>
        <v>0</v>
      </c>
      <c r="EU470" s="3435">
        <f>$G470+ET470</f>
        <v>756332412</v>
      </c>
      <c r="EY470" s="3264"/>
      <c r="FB470" s="3434">
        <f>VLOOKUP($A470,'New Resources - Individual'!$A$4:$Y$133,FB$2,FALSE)*FB$1</f>
        <v>0</v>
      </c>
      <c r="FC470" s="3435">
        <f>$G470+FB470</f>
        <v>756332412</v>
      </c>
      <c r="FG470" s="3264"/>
      <c r="FJ470" s="3434">
        <f>VLOOKUP($A470,'New Resources - Individual'!$A$4:$Y$133,FJ$2,FALSE)*FJ$1</f>
        <v>0</v>
      </c>
      <c r="FK470" s="3435">
        <f>$G470+FJ470</f>
        <v>756332412</v>
      </c>
      <c r="FO470" s="3264"/>
    </row>
    <row r="471" spans="1:171">
      <c r="B471" s="3252"/>
      <c r="K471" s="3264"/>
      <c r="S471" s="3264"/>
      <c r="AA471" s="3264"/>
      <c r="AI471" s="3264"/>
      <c r="AQ471" s="3264"/>
      <c r="AY471" s="3264"/>
      <c r="BG471" s="3264"/>
      <c r="BO471" s="3264"/>
      <c r="BW471" s="3264"/>
      <c r="CE471" s="3264"/>
      <c r="CM471" s="3264"/>
      <c r="CU471" s="3264"/>
      <c r="DC471" s="3264"/>
      <c r="DK471" s="3264"/>
      <c r="DS471" s="3264"/>
      <c r="EA471" s="3264"/>
      <c r="EI471" s="3264"/>
      <c r="EQ471" s="3264"/>
      <c r="EY471" s="3264"/>
      <c r="FG471" s="3264"/>
      <c r="FO471" s="3264"/>
    </row>
    <row r="472" spans="1:171">
      <c r="A472" s="3430"/>
      <c r="B472" s="3252"/>
      <c r="C472" s="3427"/>
      <c r="K472" s="3264"/>
      <c r="S472" s="3264"/>
      <c r="AA472" s="3264"/>
      <c r="AI472" s="3264"/>
      <c r="AQ472" s="3264"/>
      <c r="AY472" s="3264"/>
      <c r="BG472" s="3264"/>
      <c r="BO472" s="3264"/>
      <c r="BW472" s="3264"/>
      <c r="CE472" s="3264"/>
      <c r="CM472" s="3264"/>
      <c r="CU472" s="3264"/>
      <c r="DC472" s="3264"/>
      <c r="DK472" s="3264"/>
      <c r="DS472" s="3264"/>
      <c r="EA472" s="3264"/>
      <c r="EI472" s="3264"/>
      <c r="EQ472" s="3264"/>
      <c r="EY472" s="3264"/>
      <c r="FG472" s="3264"/>
      <c r="FO472" s="3264"/>
    </row>
    <row r="473" spans="1:171">
      <c r="A473" s="3433">
        <v>106000</v>
      </c>
      <c r="B473" s="3431"/>
      <c r="C473" s="3427" t="s">
        <v>639</v>
      </c>
      <c r="K473" s="3264"/>
      <c r="N473" s="3434">
        <f>VLOOKUP($A473,'New Resources - Individual'!$A$4:$Y$133,N$2,FALSE)*N$1</f>
        <v>0</v>
      </c>
      <c r="S473" s="3264"/>
      <c r="V473" s="3434">
        <f>VLOOKUP($A473,'New Resources - Individual'!$A$4:$Y$133,V$2,FALSE)*V$1</f>
        <v>0</v>
      </c>
      <c r="AA473" s="3264"/>
      <c r="AD473" s="3434">
        <f>VLOOKUP($A473,'New Resources - Individual'!$A$4:$Y$133,AD$2,FALSE)*AD$1</f>
        <v>0</v>
      </c>
      <c r="AI473" s="3264"/>
      <c r="AL473" s="3434">
        <f>VLOOKUP($A473,'New Resources - Individual'!$A$4:$Y$133,AL$2,FALSE)*AL$1</f>
        <v>0</v>
      </c>
      <c r="AQ473" s="3264"/>
      <c r="AT473" s="3434">
        <f>VLOOKUP($A473,'New Resources - Individual'!$A$4:$Y$133,AT$2,FALSE)*AT$1</f>
        <v>0</v>
      </c>
      <c r="AY473" s="3264"/>
      <c r="BB473" s="3434">
        <f>VLOOKUP($A473,'New Resources - Individual'!$A$4:$Y$133,BB$2,FALSE)*BB$1</f>
        <v>0</v>
      </c>
      <c r="BG473" s="3264"/>
      <c r="BJ473" s="3434">
        <f>VLOOKUP($A473,'New Resources - Individual'!$A$4:$Y$133,BJ$2,FALSE)*BJ$1</f>
        <v>0</v>
      </c>
      <c r="BO473" s="3264"/>
      <c r="BR473" s="3434">
        <f>VLOOKUP($A473,'New Resources - Individual'!$A$4:$Y$133,BR$2,FALSE)*BR$1</f>
        <v>0</v>
      </c>
      <c r="BW473" s="3264"/>
      <c r="BZ473" s="3434">
        <f>VLOOKUP($A473,'New Resources - Individual'!$A$4:$Y$133,BZ$2,FALSE)*BZ$1</f>
        <v>0</v>
      </c>
      <c r="CE473" s="3264"/>
      <c r="CH473" s="3434">
        <f>VLOOKUP($A473,'New Resources - Individual'!$A$4:$Y$133,CH$2,FALSE)*CH$1</f>
        <v>0</v>
      </c>
      <c r="CM473" s="3264"/>
      <c r="CP473" s="3434">
        <f>VLOOKUP($A473,'New Resources - Individual'!$A$4:$Y$133,CP$2,FALSE)*CP$1</f>
        <v>0</v>
      </c>
      <c r="CU473" s="3264"/>
      <c r="CX473" s="3434">
        <f>VLOOKUP($A473,'New Resources - Individual'!$A$4:$Y$133,CX$2,FALSE)*CX$1</f>
        <v>0</v>
      </c>
      <c r="DC473" s="3264"/>
      <c r="DF473" s="3434">
        <f>VLOOKUP($A473,'New Resources - Individual'!$A$4:$Y$133,DF$2,FALSE)*DF$1</f>
        <v>0</v>
      </c>
      <c r="DK473" s="3264"/>
      <c r="DN473" s="3434">
        <f>VLOOKUP($A473,'New Resources - Individual'!$A$4:$Y$133,DN$2,FALSE)*DN$1</f>
        <v>0</v>
      </c>
      <c r="DS473" s="3264"/>
      <c r="DV473" s="3434">
        <f>VLOOKUP($A473,'New Resources - Individual'!$A$4:$Y$133,DV$2,FALSE)*DV$1</f>
        <v>0</v>
      </c>
      <c r="EA473" s="3264"/>
      <c r="ED473" s="3434">
        <f>VLOOKUP($A473,'New Resources - Individual'!$A$4:$Y$133,ED$2,FALSE)*ED$1</f>
        <v>0</v>
      </c>
      <c r="EI473" s="3264"/>
      <c r="EL473" s="3434">
        <f>VLOOKUP($A473,'New Resources - Individual'!$A$4:$Y$133,EL$2,FALSE)*EL$1</f>
        <v>0</v>
      </c>
      <c r="EQ473" s="3264"/>
      <c r="ET473" s="3434">
        <f>VLOOKUP($A473,'New Resources - Individual'!$A$4:$Y$133,ET$2,FALSE)*ET$1</f>
        <v>0</v>
      </c>
      <c r="EY473" s="3264"/>
      <c r="FB473" s="3434">
        <f>VLOOKUP($A473,'New Resources - Individual'!$A$4:$Y$133,FB$2,FALSE)*FB$1</f>
        <v>0</v>
      </c>
      <c r="FG473" s="3264"/>
      <c r="FJ473" s="3434">
        <f>VLOOKUP($A473,'New Resources - Individual'!$A$4:$Y$133,FJ$2,FALSE)*FJ$1</f>
        <v>0</v>
      </c>
      <c r="FO473" s="3264"/>
    </row>
    <row r="474" spans="1:171">
      <c r="A474" s="3433">
        <v>107000</v>
      </c>
      <c r="B474" s="3431"/>
      <c r="C474" s="3427" t="s">
        <v>640</v>
      </c>
      <c r="K474" s="3264"/>
      <c r="N474" s="3434">
        <f>VLOOKUP($A474,'New Resources - Individual'!$A$4:$Y$133,N$2,FALSE)*N$1</f>
        <v>0</v>
      </c>
      <c r="S474" s="3264"/>
      <c r="V474" s="3434">
        <f>VLOOKUP($A474,'New Resources - Individual'!$A$4:$Y$133,V$2,FALSE)*V$1</f>
        <v>0</v>
      </c>
      <c r="AA474" s="3264"/>
      <c r="AD474" s="3434">
        <f>VLOOKUP($A474,'New Resources - Individual'!$A$4:$Y$133,AD$2,FALSE)*AD$1</f>
        <v>0</v>
      </c>
      <c r="AI474" s="3264"/>
      <c r="AL474" s="3434">
        <f>VLOOKUP($A474,'New Resources - Individual'!$A$4:$Y$133,AL$2,FALSE)*AL$1</f>
        <v>0</v>
      </c>
      <c r="AQ474" s="3264"/>
      <c r="AT474" s="3434">
        <f>VLOOKUP($A474,'New Resources - Individual'!$A$4:$Y$133,AT$2,FALSE)*AT$1</f>
        <v>0</v>
      </c>
      <c r="AY474" s="3264"/>
      <c r="BB474" s="3434">
        <f>VLOOKUP($A474,'New Resources - Individual'!$A$4:$Y$133,BB$2,FALSE)*BB$1</f>
        <v>0</v>
      </c>
      <c r="BG474" s="3264"/>
      <c r="BJ474" s="3434">
        <f>VLOOKUP($A474,'New Resources - Individual'!$A$4:$Y$133,BJ$2,FALSE)*BJ$1</f>
        <v>0</v>
      </c>
      <c r="BO474" s="3264"/>
      <c r="BR474" s="3434">
        <f>VLOOKUP($A474,'New Resources - Individual'!$A$4:$Y$133,BR$2,FALSE)*BR$1</f>
        <v>0</v>
      </c>
      <c r="BW474" s="3264"/>
      <c r="BZ474" s="3434">
        <f>VLOOKUP($A474,'New Resources - Individual'!$A$4:$Y$133,BZ$2,FALSE)*BZ$1</f>
        <v>0</v>
      </c>
      <c r="CE474" s="3264"/>
      <c r="CH474" s="3434">
        <f>VLOOKUP($A474,'New Resources - Individual'!$A$4:$Y$133,CH$2,FALSE)*CH$1</f>
        <v>0</v>
      </c>
      <c r="CM474" s="3264"/>
      <c r="CP474" s="3434">
        <f>VLOOKUP($A474,'New Resources - Individual'!$A$4:$Y$133,CP$2,FALSE)*CP$1</f>
        <v>0</v>
      </c>
      <c r="CU474" s="3264"/>
      <c r="CX474" s="3434">
        <f>VLOOKUP($A474,'New Resources - Individual'!$A$4:$Y$133,CX$2,FALSE)*CX$1</f>
        <v>0</v>
      </c>
      <c r="DC474" s="3264"/>
      <c r="DF474" s="3434">
        <f>VLOOKUP($A474,'New Resources - Individual'!$A$4:$Y$133,DF$2,FALSE)*DF$1</f>
        <v>0</v>
      </c>
      <c r="DK474" s="3264"/>
      <c r="DN474" s="3434">
        <f>VLOOKUP($A474,'New Resources - Individual'!$A$4:$Y$133,DN$2,FALSE)*DN$1</f>
        <v>0</v>
      </c>
      <c r="DS474" s="3264"/>
      <c r="DV474" s="3434">
        <f>VLOOKUP($A474,'New Resources - Individual'!$A$4:$Y$133,DV$2,FALSE)*DV$1</f>
        <v>0</v>
      </c>
      <c r="EA474" s="3264"/>
      <c r="ED474" s="3434">
        <f>VLOOKUP($A474,'New Resources - Individual'!$A$4:$Y$133,ED$2,FALSE)*ED$1</f>
        <v>0</v>
      </c>
      <c r="EI474" s="3264"/>
      <c r="EL474" s="3434">
        <f>VLOOKUP($A474,'New Resources - Individual'!$A$4:$Y$133,EL$2,FALSE)*EL$1</f>
        <v>0</v>
      </c>
      <c r="EQ474" s="3264"/>
      <c r="ET474" s="3434">
        <f>VLOOKUP($A474,'New Resources - Individual'!$A$4:$Y$133,ET$2,FALSE)*ET$1</f>
        <v>0</v>
      </c>
      <c r="EY474" s="3264"/>
      <c r="FB474" s="3434">
        <f>VLOOKUP($A474,'New Resources - Individual'!$A$4:$Y$133,FB$2,FALSE)*FB$1</f>
        <v>0</v>
      </c>
      <c r="FG474" s="3264"/>
      <c r="FJ474" s="3434">
        <f>VLOOKUP($A474,'New Resources - Individual'!$A$4:$Y$133,FJ$2,FALSE)*FJ$1</f>
        <v>0</v>
      </c>
      <c r="FO474" s="3264"/>
    </row>
    <row r="475" spans="1:171">
      <c r="A475" s="3433">
        <v>104000</v>
      </c>
      <c r="B475" s="3430"/>
      <c r="C475" s="3427" t="s">
        <v>641</v>
      </c>
      <c r="K475" s="3264"/>
      <c r="N475" s="3434">
        <f>VLOOKUP($A475,'New Resources - Individual'!$A$4:$Y$133,N$2,FALSE)*N$1</f>
        <v>0</v>
      </c>
      <c r="O475" s="3436"/>
      <c r="S475" s="3264"/>
      <c r="V475" s="3434">
        <f>VLOOKUP($A475,'New Resources - Individual'!$A$4:$Y$133,V$2,FALSE)*V$1</f>
        <v>0</v>
      </c>
      <c r="W475" s="3436"/>
      <c r="AA475" s="3264"/>
      <c r="AD475" s="3434">
        <f>VLOOKUP($A475,'New Resources - Individual'!$A$4:$Y$133,AD$2,FALSE)*AD$1</f>
        <v>0</v>
      </c>
      <c r="AE475" s="3436"/>
      <c r="AI475" s="3264"/>
      <c r="AL475" s="3434">
        <f>VLOOKUP($A475,'New Resources - Individual'!$A$4:$Y$133,AL$2,FALSE)*AL$1</f>
        <v>0</v>
      </c>
      <c r="AM475" s="3436"/>
      <c r="AQ475" s="3264"/>
      <c r="AT475" s="3434">
        <f>VLOOKUP($A475,'New Resources - Individual'!$A$4:$Y$133,AT$2,FALSE)*AT$1</f>
        <v>0</v>
      </c>
      <c r="AU475" s="3436"/>
      <c r="AY475" s="3264"/>
      <c r="BB475" s="3434">
        <f>VLOOKUP($A475,'New Resources - Individual'!$A$4:$Y$133,BB$2,FALSE)*BB$1</f>
        <v>0</v>
      </c>
      <c r="BC475" s="3436"/>
      <c r="BG475" s="3264"/>
      <c r="BJ475" s="3434">
        <f>VLOOKUP($A475,'New Resources - Individual'!$A$4:$Y$133,BJ$2,FALSE)*BJ$1</f>
        <v>0</v>
      </c>
      <c r="BK475" s="3436"/>
      <c r="BO475" s="3264"/>
      <c r="BR475" s="3434">
        <f>VLOOKUP($A475,'New Resources - Individual'!$A$4:$Y$133,BR$2,FALSE)*BR$1</f>
        <v>0</v>
      </c>
      <c r="BS475" s="3436"/>
      <c r="BW475" s="3264"/>
      <c r="BZ475" s="3434">
        <f>VLOOKUP($A475,'New Resources - Individual'!$A$4:$Y$133,BZ$2,FALSE)*BZ$1</f>
        <v>0</v>
      </c>
      <c r="CA475" s="3436"/>
      <c r="CE475" s="3264"/>
      <c r="CH475" s="3434">
        <f>VLOOKUP($A475,'New Resources - Individual'!$A$4:$Y$133,CH$2,FALSE)*CH$1</f>
        <v>0</v>
      </c>
      <c r="CI475" s="3436"/>
      <c r="CM475" s="3264"/>
      <c r="CP475" s="3434">
        <f>VLOOKUP($A475,'New Resources - Individual'!$A$4:$Y$133,CP$2,FALSE)*CP$1</f>
        <v>0</v>
      </c>
      <c r="CQ475" s="3436"/>
      <c r="CU475" s="3264"/>
      <c r="CX475" s="3434">
        <f>VLOOKUP($A475,'New Resources - Individual'!$A$4:$Y$133,CX$2,FALSE)*CX$1</f>
        <v>0</v>
      </c>
      <c r="CY475" s="3436"/>
      <c r="DC475" s="3264"/>
      <c r="DF475" s="3434">
        <f>VLOOKUP($A475,'New Resources - Individual'!$A$4:$Y$133,DF$2,FALSE)*DF$1</f>
        <v>0</v>
      </c>
      <c r="DG475" s="3436"/>
      <c r="DK475" s="3264"/>
      <c r="DN475" s="3434">
        <f>VLOOKUP($A475,'New Resources - Individual'!$A$4:$Y$133,DN$2,FALSE)*DN$1</f>
        <v>0</v>
      </c>
      <c r="DO475" s="3436"/>
      <c r="DS475" s="3264"/>
      <c r="DV475" s="3434">
        <f>VLOOKUP($A475,'New Resources - Individual'!$A$4:$Y$133,DV$2,FALSE)*DV$1</f>
        <v>0</v>
      </c>
      <c r="DW475" s="3436"/>
      <c r="EA475" s="3264"/>
      <c r="ED475" s="3434">
        <f>VLOOKUP($A475,'New Resources - Individual'!$A$4:$Y$133,ED$2,FALSE)*ED$1</f>
        <v>0</v>
      </c>
      <c r="EE475" s="3436"/>
      <c r="EI475" s="3264"/>
      <c r="EL475" s="3434">
        <f>VLOOKUP($A475,'New Resources - Individual'!$A$4:$Y$133,EL$2,FALSE)*EL$1</f>
        <v>0</v>
      </c>
      <c r="EM475" s="3436"/>
      <c r="EQ475" s="3264"/>
      <c r="ET475" s="3434">
        <f>VLOOKUP($A475,'New Resources - Individual'!$A$4:$Y$133,ET$2,FALSE)*ET$1</f>
        <v>0</v>
      </c>
      <c r="EU475" s="3436"/>
      <c r="EY475" s="3264"/>
      <c r="FB475" s="3434">
        <f>VLOOKUP($A475,'New Resources - Individual'!$A$4:$Y$133,FB$2,FALSE)*FB$1</f>
        <v>0</v>
      </c>
      <c r="FC475" s="3436"/>
      <c r="FG475" s="3264"/>
      <c r="FJ475" s="3434">
        <f>VLOOKUP($A475,'New Resources - Individual'!$A$4:$Y$133,FJ$2,FALSE)*FJ$1</f>
        <v>0</v>
      </c>
      <c r="FK475" s="3436"/>
      <c r="FO475" s="3264"/>
    </row>
    <row r="476" spans="1:171">
      <c r="A476" s="3430"/>
      <c r="B476" s="3430"/>
      <c r="C476" s="3427" t="s">
        <v>642</v>
      </c>
      <c r="K476" s="3264"/>
      <c r="N476" s="3436">
        <f>N473+N474-N475</f>
        <v>0</v>
      </c>
      <c r="O476" s="3436">
        <f>N476</f>
        <v>0</v>
      </c>
      <c r="S476" s="3264"/>
      <c r="V476" s="3436">
        <f>V473+V474-V475</f>
        <v>0</v>
      </c>
      <c r="W476" s="3436">
        <f>V476</f>
        <v>0</v>
      </c>
      <c r="AA476" s="3264"/>
      <c r="AD476" s="3436">
        <f>AD473+AD474-AD475</f>
        <v>0</v>
      </c>
      <c r="AE476" s="3436">
        <f>AD476</f>
        <v>0</v>
      </c>
      <c r="AI476" s="3264"/>
      <c r="AL476" s="3436">
        <f>AL473+AL474-AL475</f>
        <v>0</v>
      </c>
      <c r="AM476" s="3436">
        <f>AL476</f>
        <v>0</v>
      </c>
      <c r="AQ476" s="3264"/>
      <c r="AT476" s="3436">
        <f>AT473+AT474-AT475</f>
        <v>0</v>
      </c>
      <c r="AU476" s="3436">
        <f>AT476</f>
        <v>0</v>
      </c>
      <c r="AY476" s="3264"/>
      <c r="BB476" s="3436">
        <f>BB473+BB474-BB475</f>
        <v>0</v>
      </c>
      <c r="BC476" s="3436">
        <f>BB476</f>
        <v>0</v>
      </c>
      <c r="BG476" s="3264"/>
      <c r="BJ476" s="3436">
        <f>BJ473+BJ474-BJ475</f>
        <v>0</v>
      </c>
      <c r="BK476" s="3436">
        <f>BJ476</f>
        <v>0</v>
      </c>
      <c r="BO476" s="3264"/>
      <c r="BR476" s="3436">
        <f>BR473+BR474-BR475</f>
        <v>0</v>
      </c>
      <c r="BS476" s="3436">
        <f>BR476</f>
        <v>0</v>
      </c>
      <c r="BW476" s="3264"/>
      <c r="BZ476" s="3436">
        <f>BZ473+BZ474-BZ475</f>
        <v>0</v>
      </c>
      <c r="CA476" s="3436">
        <f>BZ476</f>
        <v>0</v>
      </c>
      <c r="CE476" s="3264"/>
      <c r="CH476" s="3436">
        <f>CH473+CH474-CH475</f>
        <v>0</v>
      </c>
      <c r="CI476" s="3436">
        <f>CH476</f>
        <v>0</v>
      </c>
      <c r="CM476" s="3264"/>
      <c r="CP476" s="3436">
        <f>CP473+CP474-CP475</f>
        <v>0</v>
      </c>
      <c r="CQ476" s="3436">
        <f>CP476</f>
        <v>0</v>
      </c>
      <c r="CU476" s="3264"/>
      <c r="CX476" s="3436">
        <f>CX473+CX474-CX475</f>
        <v>0</v>
      </c>
      <c r="CY476" s="3436">
        <f>CX476</f>
        <v>0</v>
      </c>
      <c r="DC476" s="3264"/>
      <c r="DF476" s="3436">
        <f>DF473+DF474-DF475</f>
        <v>0</v>
      </c>
      <c r="DG476" s="3436">
        <f>DF476</f>
        <v>0</v>
      </c>
      <c r="DK476" s="3264"/>
      <c r="DN476" s="3436">
        <f>DN473+DN474-DN475</f>
        <v>0</v>
      </c>
      <c r="DO476" s="3436">
        <f>DN476</f>
        <v>0</v>
      </c>
      <c r="DS476" s="3264"/>
      <c r="DV476" s="3436">
        <f>DV473+DV474-DV475</f>
        <v>0</v>
      </c>
      <c r="DW476" s="3436">
        <f>DV476</f>
        <v>0</v>
      </c>
      <c r="EA476" s="3264"/>
      <c r="ED476" s="3436">
        <f>ED473+ED474-ED475</f>
        <v>0</v>
      </c>
      <c r="EE476" s="3436">
        <f>ED476</f>
        <v>0</v>
      </c>
      <c r="EI476" s="3264"/>
      <c r="EL476" s="3436">
        <f>EL473+EL474-EL475</f>
        <v>0</v>
      </c>
      <c r="EM476" s="3436">
        <f>EL476</f>
        <v>0</v>
      </c>
      <c r="EQ476" s="3264"/>
      <c r="ET476" s="3436">
        <f>ET473+ET474-ET475</f>
        <v>0</v>
      </c>
      <c r="EU476" s="3436">
        <f>ET476</f>
        <v>0</v>
      </c>
      <c r="EY476" s="3264"/>
      <c r="FB476" s="3436">
        <f>FB473+FB474-FB475</f>
        <v>0</v>
      </c>
      <c r="FC476" s="3436">
        <f>FB476</f>
        <v>0</v>
      </c>
      <c r="FG476" s="3264"/>
      <c r="FJ476" s="3436">
        <f>FJ473+FJ474-FJ475</f>
        <v>0</v>
      </c>
      <c r="FK476" s="3436">
        <f>FJ476</f>
        <v>0</v>
      </c>
      <c r="FO476" s="3264"/>
    </row>
    <row r="477" spans="1:171">
      <c r="A477" s="3430"/>
      <c r="B477" s="3430"/>
      <c r="C477" s="3432"/>
      <c r="K477" s="3264"/>
      <c r="S477" s="3264"/>
      <c r="AA477" s="3264"/>
      <c r="AI477" s="3264"/>
      <c r="AQ477" s="3264"/>
      <c r="AY477" s="3264"/>
      <c r="BG477" s="3264"/>
      <c r="BO477" s="3264"/>
      <c r="BW477" s="3264"/>
      <c r="CE477" s="3264"/>
      <c r="CM477" s="3264"/>
      <c r="CU477" s="3264"/>
      <c r="DC477" s="3264"/>
      <c r="DK477" s="3264"/>
      <c r="DS477" s="3264"/>
      <c r="EA477" s="3264"/>
      <c r="EI477" s="3264"/>
      <c r="EQ477" s="3264"/>
      <c r="EY477" s="3264"/>
      <c r="FG477" s="3264"/>
      <c r="FO477" s="3264"/>
    </row>
    <row r="478" spans="1:171">
      <c r="A478" s="3430"/>
      <c r="B478" s="3430"/>
      <c r="C478" s="3437" t="s">
        <v>643</v>
      </c>
      <c r="G478" s="3389">
        <f>'3-YEAR PP &amp; OSS Worksheet'!$E$14+'3-YEAR PP &amp; OSS Worksheet'!$E$17+'3-YEAR PP &amp; OSS Worksheet'!$E$18+'3-YEAR PP &amp; OSS Worksheet'!$E$19+'3-YEAR PP &amp; OSS Worksheet'!$E$20</f>
        <v>4254131</v>
      </c>
      <c r="K478" s="3264"/>
      <c r="O478" s="3438">
        <f>$G478</f>
        <v>4254131</v>
      </c>
      <c r="S478" s="3264"/>
      <c r="W478" s="3438">
        <f>$G478</f>
        <v>4254131</v>
      </c>
      <c r="AA478" s="3264"/>
      <c r="AE478" s="3438">
        <f>$G478</f>
        <v>4254131</v>
      </c>
      <c r="AI478" s="3264"/>
      <c r="AM478" s="3438">
        <f>$G478</f>
        <v>4254131</v>
      </c>
      <c r="AQ478" s="3264"/>
      <c r="AU478" s="3438">
        <f>$G478</f>
        <v>4254131</v>
      </c>
      <c r="AY478" s="3264"/>
      <c r="BC478" s="3438">
        <f>$G478</f>
        <v>4254131</v>
      </c>
      <c r="BG478" s="3264"/>
      <c r="BK478" s="3438">
        <f>$G478</f>
        <v>4254131</v>
      </c>
      <c r="BO478" s="3264"/>
      <c r="BS478" s="3438">
        <f>$G478</f>
        <v>4254131</v>
      </c>
      <c r="BW478" s="3264"/>
      <c r="CA478" s="3438">
        <f>$G478</f>
        <v>4254131</v>
      </c>
      <c r="CE478" s="3264"/>
      <c r="CI478" s="3438">
        <f>$G478</f>
        <v>4254131</v>
      </c>
      <c r="CM478" s="3264"/>
      <c r="CQ478" s="3438">
        <f>$G478</f>
        <v>4254131</v>
      </c>
      <c r="CU478" s="3264"/>
      <c r="CY478" s="3438">
        <f>$G478</f>
        <v>4254131</v>
      </c>
      <c r="DC478" s="3264"/>
      <c r="DG478" s="3438">
        <f>$G478</f>
        <v>4254131</v>
      </c>
      <c r="DK478" s="3264"/>
      <c r="DO478" s="3438">
        <f>$G478</f>
        <v>4254131</v>
      </c>
      <c r="DS478" s="3264"/>
      <c r="DW478" s="3438">
        <f>$G478</f>
        <v>4254131</v>
      </c>
      <c r="EA478" s="3264"/>
      <c r="EE478" s="3438">
        <f>$G478</f>
        <v>4254131</v>
      </c>
      <c r="EI478" s="3264"/>
      <c r="EM478" s="3438">
        <f>$G478</f>
        <v>4254131</v>
      </c>
      <c r="EQ478" s="3264"/>
      <c r="EU478" s="3438">
        <f>$G478</f>
        <v>4254131</v>
      </c>
      <c r="EY478" s="3264"/>
      <c r="FC478" s="3438">
        <f>$G478</f>
        <v>4254131</v>
      </c>
      <c r="FG478" s="3264"/>
      <c r="FK478" s="3438">
        <f>$G478</f>
        <v>4254131</v>
      </c>
      <c r="FO478" s="3264"/>
    </row>
    <row r="479" spans="1:171">
      <c r="A479" s="3430"/>
      <c r="B479" s="3430"/>
      <c r="C479" s="3432"/>
      <c r="K479" s="3264"/>
      <c r="S479" s="3264"/>
      <c r="AA479" s="3264"/>
      <c r="AI479" s="3264"/>
      <c r="AQ479" s="3264"/>
      <c r="AY479" s="3264"/>
      <c r="BG479" s="3264"/>
      <c r="BO479" s="3264"/>
      <c r="BW479" s="3264"/>
      <c r="CE479" s="3264"/>
      <c r="CM479" s="3264"/>
      <c r="CU479" s="3264"/>
      <c r="DC479" s="3264"/>
      <c r="DK479" s="3264"/>
      <c r="DS479" s="3264"/>
      <c r="EA479" s="3264"/>
      <c r="EI479" s="3264"/>
      <c r="EQ479" s="3264"/>
      <c r="EY479" s="3264"/>
      <c r="FG479" s="3264"/>
      <c r="FO479" s="3264"/>
    </row>
    <row r="480" spans="1:171">
      <c r="A480" s="3430"/>
      <c r="B480" s="3430"/>
      <c r="C480" s="3439" t="s">
        <v>644</v>
      </c>
      <c r="K480" s="3264"/>
      <c r="O480" s="3436">
        <f>O478-O476</f>
        <v>4254131</v>
      </c>
      <c r="S480" s="3264"/>
      <c r="W480" s="3436">
        <f>W478-W476</f>
        <v>4254131</v>
      </c>
      <c r="AA480" s="3264"/>
      <c r="AE480" s="3436">
        <f>AE478-AE476</f>
        <v>4254131</v>
      </c>
      <c r="AI480" s="3264"/>
      <c r="AM480" s="3436">
        <f>AM478-AM476</f>
        <v>4254131</v>
      </c>
      <c r="AQ480" s="3264"/>
      <c r="AU480" s="3436">
        <f>AU478-AU476</f>
        <v>4254131</v>
      </c>
      <c r="AY480" s="3264"/>
      <c r="BC480" s="3436">
        <f>BC478-BC476</f>
        <v>4254131</v>
      </c>
      <c r="BG480" s="3264"/>
      <c r="BK480" s="3436">
        <f>BK478-BK476</f>
        <v>4254131</v>
      </c>
      <c r="BO480" s="3264"/>
      <c r="BS480" s="3436">
        <f>BS478-BS476</f>
        <v>4254131</v>
      </c>
      <c r="BW480" s="3264"/>
      <c r="CA480" s="3436">
        <f>CA478-CA476</f>
        <v>4254131</v>
      </c>
      <c r="CE480" s="3264"/>
      <c r="CI480" s="3436">
        <f>CI478-CI476</f>
        <v>4254131</v>
      </c>
      <c r="CM480" s="3264"/>
      <c r="CQ480" s="3436">
        <f>CQ478-CQ476</f>
        <v>4254131</v>
      </c>
      <c r="CU480" s="3264"/>
      <c r="CY480" s="3436">
        <f>CY478-CY476</f>
        <v>4254131</v>
      </c>
      <c r="DC480" s="3264"/>
      <c r="DG480" s="3436">
        <f>DG478-DG476</f>
        <v>4254131</v>
      </c>
      <c r="DK480" s="3264"/>
      <c r="DO480" s="3436">
        <f>DO478-DO476</f>
        <v>4254131</v>
      </c>
      <c r="DS480" s="3264"/>
      <c r="DW480" s="3436">
        <f>DW478-DW476</f>
        <v>4254131</v>
      </c>
      <c r="EA480" s="3264"/>
      <c r="EE480" s="3436">
        <f>EE478-EE476</f>
        <v>4254131</v>
      </c>
      <c r="EI480" s="3264"/>
      <c r="EM480" s="3436">
        <f>EM478-EM476</f>
        <v>4254131</v>
      </c>
      <c r="EQ480" s="3264"/>
      <c r="EU480" s="3436">
        <f>EU478-EU476</f>
        <v>4254131</v>
      </c>
      <c r="EY480" s="3264"/>
      <c r="FC480" s="3436">
        <f>FC478-FC476</f>
        <v>4254131</v>
      </c>
      <c r="FG480" s="3264"/>
      <c r="FK480" s="3436">
        <f>FK478-FK476</f>
        <v>4254131</v>
      </c>
      <c r="FO480" s="3264"/>
    </row>
    <row r="481" spans="1:171">
      <c r="A481" s="3430"/>
      <c r="B481" s="3430"/>
      <c r="C481" s="3440" t="s">
        <v>645</v>
      </c>
      <c r="K481" s="3264"/>
      <c r="O481" s="3436">
        <f>IF(O480&gt;0,O480,0)</f>
        <v>4254131</v>
      </c>
      <c r="S481" s="3264"/>
      <c r="W481" s="3436">
        <f>IF(W480&gt;0,W480,0)</f>
        <v>4254131</v>
      </c>
      <c r="AA481" s="3264"/>
      <c r="AE481" s="3436">
        <f>IF(AE480&gt;0,AE480,0)</f>
        <v>4254131</v>
      </c>
      <c r="AI481" s="3264"/>
      <c r="AM481" s="3436">
        <f>IF(AM480&gt;0,AM480,0)</f>
        <v>4254131</v>
      </c>
      <c r="AQ481" s="3264"/>
      <c r="AU481" s="3436">
        <f>IF(AU480&gt;0,AU480,0)</f>
        <v>4254131</v>
      </c>
      <c r="AY481" s="3264"/>
      <c r="BC481" s="3436">
        <f>IF(BC480&gt;0,BC480,0)</f>
        <v>4254131</v>
      </c>
      <c r="BG481" s="3264"/>
      <c r="BK481" s="3436">
        <f>IF(BK480&gt;0,BK480,0)</f>
        <v>4254131</v>
      </c>
      <c r="BO481" s="3264"/>
      <c r="BS481" s="3436">
        <f>IF(BS480&gt;0,BS480,0)</f>
        <v>4254131</v>
      </c>
      <c r="BW481" s="3264"/>
      <c r="CA481" s="3436">
        <f>IF(CA480&gt;0,CA480,0)</f>
        <v>4254131</v>
      </c>
      <c r="CE481" s="3264"/>
      <c r="CI481" s="3436">
        <f>IF(CI480&gt;0,CI480,0)</f>
        <v>4254131</v>
      </c>
      <c r="CM481" s="3264"/>
      <c r="CQ481" s="3436">
        <f>IF(CQ480&gt;0,CQ480,0)</f>
        <v>4254131</v>
      </c>
      <c r="CU481" s="3264"/>
      <c r="CY481" s="3436">
        <f>IF(CY480&gt;0,CY480,0)</f>
        <v>4254131</v>
      </c>
      <c r="DC481" s="3264"/>
      <c r="DG481" s="3436">
        <f>IF(DG480&gt;0,DG480,0)</f>
        <v>4254131</v>
      </c>
      <c r="DK481" s="3264"/>
      <c r="DO481" s="3436">
        <f>IF(DO480&gt;0,DO480,0)</f>
        <v>4254131</v>
      </c>
      <c r="DS481" s="3264"/>
      <c r="DW481" s="3436">
        <f>IF(DW480&gt;0,DW480,0)</f>
        <v>4254131</v>
      </c>
      <c r="EA481" s="3264"/>
      <c r="EE481" s="3436">
        <f>IF(EE480&gt;0,EE480,0)</f>
        <v>4254131</v>
      </c>
      <c r="EI481" s="3264"/>
      <c r="EM481" s="3436">
        <f>IF(EM480&gt;0,EM480,0)</f>
        <v>4254131</v>
      </c>
      <c r="EQ481" s="3264"/>
      <c r="EU481" s="3436">
        <f>IF(EU480&gt;0,EU480,0)</f>
        <v>4254131</v>
      </c>
      <c r="EY481" s="3264"/>
      <c r="FC481" s="3436">
        <f>IF(FC480&gt;0,FC480,0)</f>
        <v>4254131</v>
      </c>
      <c r="FG481" s="3264"/>
      <c r="FK481" s="3436">
        <f>IF(FK480&gt;0,FK480,0)</f>
        <v>4254131</v>
      </c>
      <c r="FO481" s="3264"/>
    </row>
    <row r="482" spans="1:171">
      <c r="A482" s="3430"/>
      <c r="B482" s="3430"/>
      <c r="C482" s="3441"/>
      <c r="K482" s="3264"/>
      <c r="S482" s="3264"/>
      <c r="AA482" s="3264"/>
      <c r="AI482" s="3264"/>
      <c r="AQ482" s="3264"/>
      <c r="AY482" s="3264"/>
      <c r="BG482" s="3264"/>
      <c r="BO482" s="3264"/>
      <c r="BW482" s="3264"/>
      <c r="CE482" s="3264"/>
      <c r="CM482" s="3264"/>
      <c r="CU482" s="3264"/>
      <c r="DC482" s="3264"/>
      <c r="DK482" s="3264"/>
      <c r="DS482" s="3264"/>
      <c r="EA482" s="3264"/>
      <c r="EI482" s="3264"/>
      <c r="EQ482" s="3264"/>
      <c r="EY482" s="3264"/>
      <c r="FG482" s="3264"/>
      <c r="FO482" s="3264"/>
    </row>
    <row r="483" spans="1:171">
      <c r="A483" s="3430"/>
      <c r="B483" s="3430"/>
      <c r="C483" s="3439" t="s">
        <v>646</v>
      </c>
      <c r="G483" s="3442">
        <f>G484/G478</f>
        <v>77.408314882639957</v>
      </c>
      <c r="K483" s="3264"/>
      <c r="O483" s="3443">
        <f>$G483</f>
        <v>77.408314882639957</v>
      </c>
      <c r="S483" s="3264"/>
      <c r="W483" s="3443">
        <f>$G483</f>
        <v>77.408314882639957</v>
      </c>
      <c r="AA483" s="3264"/>
      <c r="AE483" s="3443">
        <f>$G483</f>
        <v>77.408314882639957</v>
      </c>
      <c r="AI483" s="3264"/>
      <c r="AM483" s="3443">
        <f>$G483</f>
        <v>77.408314882639957</v>
      </c>
      <c r="AQ483" s="3264"/>
      <c r="AU483" s="3443">
        <f>$G483</f>
        <v>77.408314882639957</v>
      </c>
      <c r="AY483" s="3264"/>
      <c r="BC483" s="3443">
        <f>$G483</f>
        <v>77.408314882639957</v>
      </c>
      <c r="BG483" s="3264"/>
      <c r="BK483" s="3443">
        <f>$G483</f>
        <v>77.408314882639957</v>
      </c>
      <c r="BO483" s="3264"/>
      <c r="BS483" s="3443">
        <f>$G483</f>
        <v>77.408314882639957</v>
      </c>
      <c r="BW483" s="3264"/>
      <c r="CA483" s="3443">
        <f>$G483</f>
        <v>77.408314882639957</v>
      </c>
      <c r="CE483" s="3264"/>
      <c r="CI483" s="3443">
        <f>$G483</f>
        <v>77.408314882639957</v>
      </c>
      <c r="CM483" s="3264"/>
      <c r="CQ483" s="3443">
        <f>$G483</f>
        <v>77.408314882639957</v>
      </c>
      <c r="CU483" s="3264"/>
      <c r="CY483" s="3443">
        <f>$G483</f>
        <v>77.408314882639957</v>
      </c>
      <c r="DC483" s="3264"/>
      <c r="DG483" s="3443">
        <f>$G483</f>
        <v>77.408314882639957</v>
      </c>
      <c r="DK483" s="3264"/>
      <c r="DO483" s="3443">
        <f>$G483</f>
        <v>77.408314882639957</v>
      </c>
      <c r="DS483" s="3264"/>
      <c r="DW483" s="3443">
        <f>$G483</f>
        <v>77.408314882639957</v>
      </c>
      <c r="EA483" s="3264"/>
      <c r="EE483" s="3443">
        <f>$G483</f>
        <v>77.408314882639957</v>
      </c>
      <c r="EI483" s="3264"/>
      <c r="EM483" s="3443">
        <f>$G483</f>
        <v>77.408314882639957</v>
      </c>
      <c r="EQ483" s="3264"/>
      <c r="EU483" s="3443">
        <f>$G483</f>
        <v>77.408314882639957</v>
      </c>
      <c r="EY483" s="3264"/>
      <c r="FC483" s="3443">
        <f>$G483</f>
        <v>77.408314882639957</v>
      </c>
      <c r="FG483" s="3264"/>
      <c r="FK483" s="3443">
        <f>$G483</f>
        <v>77.408314882639957</v>
      </c>
      <c r="FO483" s="3264"/>
    </row>
    <row r="484" spans="1:171">
      <c r="A484" s="3430"/>
      <c r="B484" s="3430"/>
      <c r="C484" s="3444" t="s">
        <v>647</v>
      </c>
      <c r="G484" s="3445">
        <f>'3-YEAR PP &amp; OSS Worksheet'!$D$14+'3-YEAR PP &amp; OSS Worksheet'!$D$17+'3-YEAR PP &amp; OSS Worksheet'!$D$18+'3-YEAR PP &amp; OSS Worksheet'!$D$19+'3-YEAR PP &amp; OSS Worksheet'!$D$20</f>
        <v>329305112</v>
      </c>
      <c r="K484" s="3264"/>
      <c r="O484" s="3435">
        <f>O481*O483</f>
        <v>329305112</v>
      </c>
      <c r="S484" s="3264"/>
      <c r="W484" s="3435">
        <f>W481*W483</f>
        <v>329305112</v>
      </c>
      <c r="AA484" s="3264"/>
      <c r="AE484" s="3435">
        <f>AE481*AE483</f>
        <v>329305112</v>
      </c>
      <c r="AI484" s="3264"/>
      <c r="AM484" s="3435">
        <f>AM481*AM483</f>
        <v>329305112</v>
      </c>
      <c r="AQ484" s="3264"/>
      <c r="AU484" s="3435">
        <f>AU481*AU483</f>
        <v>329305112</v>
      </c>
      <c r="AY484" s="3264"/>
      <c r="BC484" s="3435">
        <f>BC481*BC483</f>
        <v>329305112</v>
      </c>
      <c r="BG484" s="3264"/>
      <c r="BK484" s="3435">
        <f>BK481*BK483</f>
        <v>329305112</v>
      </c>
      <c r="BO484" s="3264"/>
      <c r="BS484" s="3435">
        <f>BS481*BS483</f>
        <v>329305112</v>
      </c>
      <c r="BW484" s="3264"/>
      <c r="CA484" s="3435">
        <f>CA481*CA483</f>
        <v>329305112</v>
      </c>
      <c r="CE484" s="3264"/>
      <c r="CI484" s="3435">
        <f>CI481*CI483</f>
        <v>329305112</v>
      </c>
      <c r="CM484" s="3264"/>
      <c r="CQ484" s="3435">
        <f>CQ481*CQ483</f>
        <v>329305112</v>
      </c>
      <c r="CU484" s="3264"/>
      <c r="CY484" s="3435">
        <f>CY481*CY483</f>
        <v>329305112</v>
      </c>
      <c r="DC484" s="3264"/>
      <c r="DG484" s="3435">
        <f>DG481*DG483</f>
        <v>329305112</v>
      </c>
      <c r="DK484" s="3264"/>
      <c r="DO484" s="3435">
        <f>DO481*DO483</f>
        <v>329305112</v>
      </c>
      <c r="DS484" s="3264"/>
      <c r="DW484" s="3435">
        <f>DW481*DW483</f>
        <v>329305112</v>
      </c>
      <c r="EA484" s="3264"/>
      <c r="EE484" s="3435">
        <f>EE481*EE483</f>
        <v>329305112</v>
      </c>
      <c r="EI484" s="3264"/>
      <c r="EM484" s="3435">
        <f>EM481*EM483</f>
        <v>329305112</v>
      </c>
      <c r="EQ484" s="3264"/>
      <c r="EU484" s="3435">
        <f>EU481*EU483</f>
        <v>329305112</v>
      </c>
      <c r="EY484" s="3264"/>
      <c r="FC484" s="3435">
        <f>FC481*FC483</f>
        <v>329305112</v>
      </c>
      <c r="FG484" s="3264"/>
      <c r="FK484" s="3435">
        <f>FK481*FK483</f>
        <v>329305112</v>
      </c>
      <c r="FO484" s="3264"/>
    </row>
    <row r="485" spans="1:171">
      <c r="A485" s="3430"/>
      <c r="B485" s="3430"/>
      <c r="C485" s="3441"/>
      <c r="K485" s="3264"/>
      <c r="S485" s="3264"/>
      <c r="AA485" s="3264"/>
      <c r="AI485" s="3264"/>
      <c r="AQ485" s="3264"/>
      <c r="AY485" s="3264"/>
      <c r="BG485" s="3264"/>
      <c r="BO485" s="3264"/>
      <c r="BW485" s="3264"/>
      <c r="CE485" s="3264"/>
      <c r="CM485" s="3264"/>
      <c r="CU485" s="3264"/>
      <c r="DC485" s="3264"/>
      <c r="DK485" s="3264"/>
      <c r="DS485" s="3264"/>
      <c r="EA485" s="3264"/>
      <c r="EI485" s="3264"/>
      <c r="EQ485" s="3264"/>
      <c r="EY485" s="3264"/>
      <c r="FG485" s="3264"/>
      <c r="FO485" s="3264"/>
    </row>
    <row r="486" spans="1:171">
      <c r="A486" s="3430"/>
      <c r="B486" s="3430"/>
      <c r="C486" s="3441" t="s">
        <v>648</v>
      </c>
      <c r="G486" s="3389">
        <f>'3-YEAR PP &amp; OSS Worksheet'!$E$29+'3-YEAR PP &amp; OSS Worksheet'!$E$32+'3-YEAR PP &amp; OSS Worksheet'!$E$33+'3-YEAR PP &amp; OSS Worksheet'!$E$34+'3-YEAR PP &amp; OSS Worksheet'!$E$35</f>
        <v>9026924</v>
      </c>
      <c r="K486" s="3264"/>
      <c r="O486" s="3436">
        <f>$G486</f>
        <v>9026924</v>
      </c>
      <c r="S486" s="3264"/>
      <c r="W486" s="3436">
        <f>$G486</f>
        <v>9026924</v>
      </c>
      <c r="AA486" s="3264"/>
      <c r="AE486" s="3436">
        <f>$G486</f>
        <v>9026924</v>
      </c>
      <c r="AI486" s="3264"/>
      <c r="AM486" s="3436">
        <f>$G486</f>
        <v>9026924</v>
      </c>
      <c r="AQ486" s="3264"/>
      <c r="AU486" s="3436">
        <f>$G486</f>
        <v>9026924</v>
      </c>
      <c r="AY486" s="3264"/>
      <c r="BC486" s="3436">
        <f>$G486</f>
        <v>9026924</v>
      </c>
      <c r="BG486" s="3264"/>
      <c r="BK486" s="3436">
        <f>$G486</f>
        <v>9026924</v>
      </c>
      <c r="BO486" s="3264"/>
      <c r="BS486" s="3436">
        <f>$G486</f>
        <v>9026924</v>
      </c>
      <c r="BW486" s="3264"/>
      <c r="CA486" s="3436">
        <f>$G486</f>
        <v>9026924</v>
      </c>
      <c r="CE486" s="3264"/>
      <c r="CI486" s="3436">
        <f>$G486</f>
        <v>9026924</v>
      </c>
      <c r="CM486" s="3264"/>
      <c r="CQ486" s="3436">
        <f>$G486</f>
        <v>9026924</v>
      </c>
      <c r="CU486" s="3264"/>
      <c r="CY486" s="3436">
        <f>$G486</f>
        <v>9026924</v>
      </c>
      <c r="DC486" s="3264"/>
      <c r="DG486" s="3436">
        <f>$G486</f>
        <v>9026924</v>
      </c>
      <c r="DK486" s="3264"/>
      <c r="DO486" s="3436">
        <f>$G486</f>
        <v>9026924</v>
      </c>
      <c r="DS486" s="3264"/>
      <c r="DW486" s="3436">
        <f>$G486</f>
        <v>9026924</v>
      </c>
      <c r="EA486" s="3264"/>
      <c r="EE486" s="3436">
        <f>$G486</f>
        <v>9026924</v>
      </c>
      <c r="EI486" s="3264"/>
      <c r="EM486" s="3436">
        <f>$G486</f>
        <v>9026924</v>
      </c>
      <c r="EQ486" s="3264"/>
      <c r="EU486" s="3436">
        <f>$G486</f>
        <v>9026924</v>
      </c>
      <c r="EY486" s="3264"/>
      <c r="FC486" s="3436">
        <f>$G486</f>
        <v>9026924</v>
      </c>
      <c r="FG486" s="3264"/>
      <c r="FK486" s="3436">
        <f>$G486</f>
        <v>9026924</v>
      </c>
      <c r="FO486" s="3264"/>
    </row>
    <row r="487" spans="1:171">
      <c r="A487" s="3430"/>
      <c r="B487" s="3430"/>
      <c r="C487" s="3441" t="s">
        <v>649</v>
      </c>
      <c r="K487" s="3264"/>
      <c r="O487" s="3436">
        <f>IF(O480&gt;0,0,-O480)</f>
        <v>0</v>
      </c>
      <c r="S487" s="3264"/>
      <c r="W487" s="3436">
        <f>IF(W480&gt;0,0,-W480)</f>
        <v>0</v>
      </c>
      <c r="AA487" s="3264"/>
      <c r="AE487" s="3436">
        <f>IF(AE480&gt;0,0,-AE480)</f>
        <v>0</v>
      </c>
      <c r="AI487" s="3264"/>
      <c r="AM487" s="3436">
        <f>IF(AM480&gt;0,0,-AM480)</f>
        <v>0</v>
      </c>
      <c r="AQ487" s="3264"/>
      <c r="AU487" s="3436">
        <f>IF(AU480&gt;0,0,-AU480)</f>
        <v>0</v>
      </c>
      <c r="AY487" s="3264"/>
      <c r="BC487" s="3436">
        <f>IF(BC480&gt;0,0,-BC480)</f>
        <v>0</v>
      </c>
      <c r="BG487" s="3264"/>
      <c r="BK487" s="3436">
        <f>IF(BK480&gt;0,0,-BK480)</f>
        <v>0</v>
      </c>
      <c r="BO487" s="3264"/>
      <c r="BS487" s="3436">
        <f>IF(BS480&gt;0,0,-BS480)</f>
        <v>0</v>
      </c>
      <c r="BW487" s="3264"/>
      <c r="CA487" s="3436">
        <f>IF(CA480&gt;0,0,-CA480)</f>
        <v>0</v>
      </c>
      <c r="CE487" s="3264"/>
      <c r="CI487" s="3436">
        <f>IF(CI480&gt;0,0,-CI480)</f>
        <v>0</v>
      </c>
      <c r="CM487" s="3264"/>
      <c r="CQ487" s="3436">
        <f>IF(CQ480&gt;0,0,-CQ480)</f>
        <v>0</v>
      </c>
      <c r="CU487" s="3264"/>
      <c r="CY487" s="3436">
        <f>IF(CY480&gt;0,0,-CY480)</f>
        <v>0</v>
      </c>
      <c r="DC487" s="3264"/>
      <c r="DG487" s="3436">
        <f>IF(DG480&gt;0,0,-DG480)</f>
        <v>0</v>
      </c>
      <c r="DK487" s="3264"/>
      <c r="DO487" s="3436">
        <f>IF(DO480&gt;0,0,-DO480)</f>
        <v>0</v>
      </c>
      <c r="DS487" s="3264"/>
      <c r="DW487" s="3436">
        <f>IF(DW480&gt;0,0,-DW480)</f>
        <v>0</v>
      </c>
      <c r="EA487" s="3264"/>
      <c r="EE487" s="3436">
        <f>IF(EE480&gt;0,0,-EE480)</f>
        <v>0</v>
      </c>
      <c r="EI487" s="3264"/>
      <c r="EM487" s="3436">
        <f>IF(EM480&gt;0,0,-EM480)</f>
        <v>0</v>
      </c>
      <c r="EQ487" s="3264"/>
      <c r="EU487" s="3436">
        <f>IF(EU480&gt;0,0,-EU480)</f>
        <v>0</v>
      </c>
      <c r="EY487" s="3264"/>
      <c r="FC487" s="3436">
        <f>IF(FC480&gt;0,0,-FC480)</f>
        <v>0</v>
      </c>
      <c r="FG487" s="3264"/>
      <c r="FK487" s="3436">
        <f>IF(FK480&gt;0,0,-FK480)</f>
        <v>0</v>
      </c>
      <c r="FO487" s="3264"/>
    </row>
    <row r="488" spans="1:171">
      <c r="A488" s="3430"/>
      <c r="B488" s="3430"/>
      <c r="C488" s="3440" t="s">
        <v>650</v>
      </c>
      <c r="K488" s="3264"/>
      <c r="O488" s="3436">
        <f>SUM(O486:O487)</f>
        <v>9026924</v>
      </c>
      <c r="S488" s="3264"/>
      <c r="W488" s="3436">
        <f>SUM(W486:W487)</f>
        <v>9026924</v>
      </c>
      <c r="AA488" s="3264"/>
      <c r="AE488" s="3436">
        <f>SUM(AE486:AE487)</f>
        <v>9026924</v>
      </c>
      <c r="AI488" s="3264"/>
      <c r="AM488" s="3436">
        <f>SUM(AM486:AM487)</f>
        <v>9026924</v>
      </c>
      <c r="AQ488" s="3264"/>
      <c r="AU488" s="3436">
        <f>SUM(AU486:AU487)</f>
        <v>9026924</v>
      </c>
      <c r="AY488" s="3264"/>
      <c r="BC488" s="3436">
        <f>SUM(BC486:BC487)</f>
        <v>9026924</v>
      </c>
      <c r="BG488" s="3264"/>
      <c r="BK488" s="3436">
        <f>SUM(BK486:BK487)</f>
        <v>9026924</v>
      </c>
      <c r="BO488" s="3264"/>
      <c r="BS488" s="3436">
        <f>SUM(BS486:BS487)</f>
        <v>9026924</v>
      </c>
      <c r="BW488" s="3264"/>
      <c r="CA488" s="3436">
        <f>SUM(CA486:CA487)</f>
        <v>9026924</v>
      </c>
      <c r="CE488" s="3264"/>
      <c r="CI488" s="3436">
        <f>SUM(CI486:CI487)</f>
        <v>9026924</v>
      </c>
      <c r="CM488" s="3264"/>
      <c r="CQ488" s="3436">
        <f>SUM(CQ486:CQ487)</f>
        <v>9026924</v>
      </c>
      <c r="CU488" s="3264"/>
      <c r="CY488" s="3436">
        <f>SUM(CY486:CY487)</f>
        <v>9026924</v>
      </c>
      <c r="DC488" s="3264"/>
      <c r="DG488" s="3436">
        <f>SUM(DG486:DG487)</f>
        <v>9026924</v>
      </c>
      <c r="DK488" s="3264"/>
      <c r="DO488" s="3436">
        <f>SUM(DO486:DO487)</f>
        <v>9026924</v>
      </c>
      <c r="DS488" s="3264"/>
      <c r="DW488" s="3436">
        <f>SUM(DW486:DW487)</f>
        <v>9026924</v>
      </c>
      <c r="EA488" s="3264"/>
      <c r="EE488" s="3436">
        <f>SUM(EE486:EE487)</f>
        <v>9026924</v>
      </c>
      <c r="EI488" s="3264"/>
      <c r="EM488" s="3436">
        <f>SUM(EM486:EM487)</f>
        <v>9026924</v>
      </c>
      <c r="EQ488" s="3264"/>
      <c r="EU488" s="3436">
        <f>SUM(EU486:EU487)</f>
        <v>9026924</v>
      </c>
      <c r="EY488" s="3264"/>
      <c r="FC488" s="3436">
        <f>SUM(FC486:FC487)</f>
        <v>9026924</v>
      </c>
      <c r="FG488" s="3264"/>
      <c r="FK488" s="3436">
        <f>SUM(FK486:FK487)</f>
        <v>9026924</v>
      </c>
      <c r="FO488" s="3264"/>
    </row>
    <row r="489" spans="1:171">
      <c r="A489" s="3430"/>
      <c r="B489" s="3430"/>
      <c r="C489" s="3444" t="s">
        <v>651</v>
      </c>
      <c r="G489" s="3445">
        <f>'3-YEAR PP &amp; OSS Worksheet'!$D$29+'3-YEAR PP &amp; OSS Worksheet'!$D$32+'3-YEAR PP &amp; OSS Worksheet'!$D$33+'3-YEAR PP &amp; OSS Worksheet'!$D$34+'3-YEAR PP &amp; OSS Worksheet'!$D$35</f>
        <v>640505575</v>
      </c>
      <c r="K489" s="3264"/>
      <c r="O489" s="3435">
        <f>O488*O490</f>
        <v>640505575</v>
      </c>
      <c r="S489" s="3264"/>
      <c r="W489" s="3435">
        <f>W488*W490</f>
        <v>640505575</v>
      </c>
      <c r="AA489" s="3264"/>
      <c r="AE489" s="3435">
        <f>AE488*AE490</f>
        <v>640505575</v>
      </c>
      <c r="AI489" s="3264"/>
      <c r="AM489" s="3435">
        <f>AM488*AM490</f>
        <v>640505575</v>
      </c>
      <c r="AQ489" s="3264"/>
      <c r="AU489" s="3435">
        <f>AU488*AU490</f>
        <v>640505575</v>
      </c>
      <c r="AY489" s="3264"/>
      <c r="BC489" s="3435">
        <f>BC488*BC490</f>
        <v>640505575</v>
      </c>
      <c r="BG489" s="3264"/>
      <c r="BK489" s="3435">
        <f>BK488*BK490</f>
        <v>640505575</v>
      </c>
      <c r="BO489" s="3264"/>
      <c r="BS489" s="3435">
        <f>BS488*BS490</f>
        <v>640505575</v>
      </c>
      <c r="BW489" s="3264"/>
      <c r="CA489" s="3435">
        <f>CA488*CA490</f>
        <v>640505575</v>
      </c>
      <c r="CE489" s="3264"/>
      <c r="CI489" s="3435">
        <f>CI488*CI490</f>
        <v>640505575</v>
      </c>
      <c r="CM489" s="3264"/>
      <c r="CQ489" s="3435">
        <f>CQ488*CQ490</f>
        <v>640505575</v>
      </c>
      <c r="CU489" s="3264"/>
      <c r="CY489" s="3435">
        <f>CY488*CY490</f>
        <v>640505575</v>
      </c>
      <c r="DC489" s="3264"/>
      <c r="DG489" s="3435">
        <f>DG488*DG490</f>
        <v>640505575</v>
      </c>
      <c r="DK489" s="3264"/>
      <c r="DO489" s="3435">
        <f>DO488*DO490</f>
        <v>640505575</v>
      </c>
      <c r="DS489" s="3264"/>
      <c r="DW489" s="3435">
        <f>DW488*DW490</f>
        <v>640505575</v>
      </c>
      <c r="EA489" s="3264"/>
      <c r="EE489" s="3435">
        <f>EE488*EE490</f>
        <v>640505575</v>
      </c>
      <c r="EI489" s="3264"/>
      <c r="EM489" s="3435">
        <f>EM488*EM490</f>
        <v>640505575</v>
      </c>
      <c r="EQ489" s="3264"/>
      <c r="EU489" s="3435">
        <f>EU488*EU490</f>
        <v>640505575</v>
      </c>
      <c r="EY489" s="3264"/>
      <c r="FC489" s="3435">
        <f>FC488*FC490</f>
        <v>640505575</v>
      </c>
      <c r="FG489" s="3264"/>
      <c r="FK489" s="3435">
        <f>FK488*FK490</f>
        <v>640505575</v>
      </c>
      <c r="FO489" s="3264"/>
    </row>
    <row r="490" spans="1:171">
      <c r="A490" s="3430"/>
      <c r="B490" s="3430"/>
      <c r="C490" s="3439" t="s">
        <v>652</v>
      </c>
      <c r="G490" s="3442">
        <f>G489/G486</f>
        <v>70.955020226158993</v>
      </c>
      <c r="K490" s="3264"/>
      <c r="O490" s="3443">
        <f>$G490</f>
        <v>70.955020226158993</v>
      </c>
      <c r="S490" s="3264"/>
      <c r="W490" s="3443">
        <f>$G490</f>
        <v>70.955020226158993</v>
      </c>
      <c r="AA490" s="3264"/>
      <c r="AE490" s="3443">
        <f>$G490</f>
        <v>70.955020226158993</v>
      </c>
      <c r="AI490" s="3264"/>
      <c r="AM490" s="3443">
        <f>$G490</f>
        <v>70.955020226158993</v>
      </c>
      <c r="AQ490" s="3264"/>
      <c r="AU490" s="3443">
        <f>$G490</f>
        <v>70.955020226158993</v>
      </c>
      <c r="AY490" s="3264"/>
      <c r="BC490" s="3443">
        <f>$G490</f>
        <v>70.955020226158993</v>
      </c>
      <c r="BG490" s="3264"/>
      <c r="BK490" s="3443">
        <f>$G490</f>
        <v>70.955020226158993</v>
      </c>
      <c r="BO490" s="3264"/>
      <c r="BS490" s="3443">
        <f>$G490</f>
        <v>70.955020226158993</v>
      </c>
      <c r="BW490" s="3264"/>
      <c r="CA490" s="3443">
        <f>$G490</f>
        <v>70.955020226158993</v>
      </c>
      <c r="CE490" s="3264"/>
      <c r="CI490" s="3443">
        <f>$G490</f>
        <v>70.955020226158993</v>
      </c>
      <c r="CM490" s="3264"/>
      <c r="CQ490" s="3443">
        <f>$G490</f>
        <v>70.955020226158993</v>
      </c>
      <c r="CU490" s="3264"/>
      <c r="CY490" s="3443">
        <f>$G490</f>
        <v>70.955020226158993</v>
      </c>
      <c r="DC490" s="3264"/>
      <c r="DG490" s="3443">
        <f>$G490</f>
        <v>70.955020226158993</v>
      </c>
      <c r="DK490" s="3264"/>
      <c r="DO490" s="3443">
        <f>$G490</f>
        <v>70.955020226158993</v>
      </c>
      <c r="DS490" s="3264"/>
      <c r="DW490" s="3443">
        <f>$G490</f>
        <v>70.955020226158993</v>
      </c>
      <c r="EA490" s="3264"/>
      <c r="EE490" s="3443">
        <f>$G490</f>
        <v>70.955020226158993</v>
      </c>
      <c r="EI490" s="3264"/>
      <c r="EM490" s="3443">
        <f>$G490</f>
        <v>70.955020226158993</v>
      </c>
      <c r="EQ490" s="3264"/>
      <c r="EU490" s="3443">
        <f>$G490</f>
        <v>70.955020226158993</v>
      </c>
      <c r="EY490" s="3264"/>
      <c r="FC490" s="3443">
        <f>$G490</f>
        <v>70.955020226158993</v>
      </c>
      <c r="FG490" s="3264"/>
      <c r="FK490" s="3443">
        <f>$G490</f>
        <v>70.955020226158993</v>
      </c>
      <c r="FO490" s="3264"/>
    </row>
    <row r="491" spans="1:171">
      <c r="A491" s="3430"/>
      <c r="B491" s="507" t="s">
        <v>635</v>
      </c>
      <c r="C491" s="3432"/>
      <c r="K491" s="3264"/>
      <c r="S491" s="3264"/>
      <c r="AA491" s="3264"/>
      <c r="AI491" s="3264"/>
      <c r="AQ491" s="3264"/>
      <c r="AY491" s="3264"/>
      <c r="BG491" s="3264"/>
      <c r="BO491" s="3264"/>
      <c r="BW491" s="3264"/>
      <c r="CE491" s="3264"/>
      <c r="CM491" s="3264"/>
      <c r="CU491" s="3264"/>
      <c r="DC491" s="3264"/>
      <c r="DK491" s="3264"/>
      <c r="DS491" s="3264"/>
      <c r="EA491" s="3264"/>
      <c r="EI491" s="3264"/>
      <c r="EQ491" s="3264"/>
      <c r="EY491" s="3264"/>
      <c r="FG491" s="3264"/>
      <c r="FO491" s="3264"/>
    </row>
    <row r="492" spans="1:171">
      <c r="B492" s="507" t="s">
        <v>636</v>
      </c>
      <c r="K492" s="3264"/>
      <c r="S492" s="3264"/>
      <c r="AA492" s="3264"/>
      <c r="AI492" s="3264"/>
      <c r="AQ492" s="3264"/>
      <c r="AY492" s="3264"/>
      <c r="BG492" s="3264"/>
      <c r="BO492" s="3264"/>
      <c r="BW492" s="3264"/>
      <c r="CE492" s="3264"/>
      <c r="CM492" s="3264"/>
      <c r="CU492" s="3264"/>
      <c r="DC492" s="3264"/>
      <c r="DK492" s="3264"/>
      <c r="DS492" s="3264"/>
      <c r="EA492" s="3264"/>
      <c r="EI492" s="3264"/>
      <c r="EQ492" s="3264"/>
      <c r="EY492" s="3264"/>
      <c r="FG492" s="3264"/>
      <c r="FO492" s="3264"/>
    </row>
    <row r="493" spans="1:171">
      <c r="A493" s="3433">
        <v>103000</v>
      </c>
      <c r="C493" s="3444" t="s">
        <v>653</v>
      </c>
      <c r="G493" s="3445">
        <f>'3-YEAR PP &amp; OSS Worksheet'!$D$26+'3-YEAR PP &amp; OSS Worksheet'!$D$27+'3-YEAR PP &amp; OSS Worksheet'!$D$28+'3-YEAR PP &amp; OSS Worksheet'!$D$30+'3-YEAR PP &amp; OSS Worksheet'!$D$31</f>
        <v>324999</v>
      </c>
      <c r="K493" s="3264"/>
      <c r="N493" s="3284">
        <f>VLOOKUP($A493,'New Resources - Individual'!$A$4:$Y$133,N$2,FALSE)*N$1</f>
        <v>0</v>
      </c>
      <c r="O493" s="3435">
        <f>$G493+N493</f>
        <v>324999</v>
      </c>
      <c r="S493" s="3264"/>
      <c r="V493" s="3284">
        <f>VLOOKUP($A493,'New Resources - Individual'!$A$4:$Y$133,V$2,FALSE)*V$1</f>
        <v>0</v>
      </c>
      <c r="W493" s="3435">
        <f>$G493+V493</f>
        <v>324999</v>
      </c>
      <c r="AA493" s="3264"/>
      <c r="AD493" s="3284">
        <f>VLOOKUP($A493,'New Resources - Individual'!$A$4:$Y$133,AD$2,FALSE)*AD$1</f>
        <v>0</v>
      </c>
      <c r="AE493" s="3435">
        <f>$G493+AD493</f>
        <v>324999</v>
      </c>
      <c r="AI493" s="3264"/>
      <c r="AL493" s="3284">
        <f>VLOOKUP($A493,'New Resources - Individual'!$A$4:$Y$133,AL$2,FALSE)*AL$1</f>
        <v>0</v>
      </c>
      <c r="AM493" s="3435">
        <f>$G493+AL493</f>
        <v>324999</v>
      </c>
      <c r="AQ493" s="3264"/>
      <c r="AT493" s="3284">
        <f>VLOOKUP($A493,'New Resources - Individual'!$A$4:$Y$133,AT$2,FALSE)*AT$1</f>
        <v>0</v>
      </c>
      <c r="AU493" s="3435">
        <f>$G493+AT493</f>
        <v>324999</v>
      </c>
      <c r="AY493" s="3264"/>
      <c r="BB493" s="3284">
        <f>VLOOKUP($A493,'New Resources - Individual'!$A$4:$Y$133,BB$2,FALSE)*BB$1</f>
        <v>0</v>
      </c>
      <c r="BC493" s="3435">
        <f>$G493+BB493</f>
        <v>324999</v>
      </c>
      <c r="BG493" s="3264"/>
      <c r="BJ493" s="3284">
        <f>VLOOKUP($A493,'New Resources - Individual'!$A$4:$Y$133,BJ$2,FALSE)*BJ$1</f>
        <v>0</v>
      </c>
      <c r="BK493" s="3435">
        <f>$G493+BJ493</f>
        <v>324999</v>
      </c>
      <c r="BO493" s="3264"/>
      <c r="BR493" s="3284">
        <f>VLOOKUP($A493,'New Resources - Individual'!$A$4:$Y$133,BR$2,FALSE)*BR$1</f>
        <v>0</v>
      </c>
      <c r="BS493" s="3435">
        <f>$G493+BR493</f>
        <v>324999</v>
      </c>
      <c r="BW493" s="3264"/>
      <c r="BZ493" s="3284">
        <f>VLOOKUP($A493,'New Resources - Individual'!$A$4:$Y$133,BZ$2,FALSE)*BZ$1</f>
        <v>0</v>
      </c>
      <c r="CA493" s="3435">
        <f>$G493+BZ493</f>
        <v>324999</v>
      </c>
      <c r="CE493" s="3264"/>
      <c r="CH493" s="3284">
        <f>VLOOKUP($A493,'New Resources - Individual'!$A$4:$Y$133,CH$2,FALSE)*CH$1</f>
        <v>0</v>
      </c>
      <c r="CI493" s="3435">
        <f>$G493+CH493</f>
        <v>324999</v>
      </c>
      <c r="CM493" s="3264"/>
      <c r="CP493" s="3284">
        <f>VLOOKUP($A493,'New Resources - Individual'!$A$4:$Y$133,CP$2,FALSE)*CP$1</f>
        <v>0</v>
      </c>
      <c r="CQ493" s="3435">
        <f>$G493+CP493</f>
        <v>324999</v>
      </c>
      <c r="CU493" s="3264"/>
      <c r="CX493" s="3284">
        <f>VLOOKUP($A493,'New Resources - Individual'!$A$4:$Y$133,CX$2,FALSE)*CX$1</f>
        <v>0</v>
      </c>
      <c r="CY493" s="3435">
        <f>$G493+CX493</f>
        <v>324999</v>
      </c>
      <c r="DC493" s="3264"/>
      <c r="DF493" s="3284">
        <f>VLOOKUP($A493,'New Resources - Individual'!$A$4:$Y$133,DF$2,FALSE)*DF$1</f>
        <v>0</v>
      </c>
      <c r="DG493" s="3435">
        <f>$G493+DF493</f>
        <v>324999</v>
      </c>
      <c r="DK493" s="3264"/>
      <c r="DN493" s="3284">
        <f>VLOOKUP($A493,'New Resources - Individual'!$A$4:$Y$133,DN$2,FALSE)*DN$1</f>
        <v>0</v>
      </c>
      <c r="DO493" s="3435">
        <f>$G493+DN493</f>
        <v>324999</v>
      </c>
      <c r="DS493" s="3264"/>
      <c r="DV493" s="3284">
        <f>VLOOKUP($A493,'New Resources - Individual'!$A$4:$Y$133,DV$2,FALSE)*DV$1</f>
        <v>0</v>
      </c>
      <c r="DW493" s="3435">
        <f>$G493+DV493</f>
        <v>324999</v>
      </c>
      <c r="EA493" s="3264"/>
      <c r="ED493" s="3284">
        <f>VLOOKUP($A493,'New Resources - Individual'!$A$4:$Y$133,ED$2,FALSE)*ED$1</f>
        <v>0</v>
      </c>
      <c r="EE493" s="3435">
        <f>$G493+ED493</f>
        <v>324999</v>
      </c>
      <c r="EI493" s="3264"/>
      <c r="EL493" s="3284">
        <f>VLOOKUP($A493,'New Resources - Individual'!$A$4:$Y$133,EL$2,FALSE)*EL$1</f>
        <v>0</v>
      </c>
      <c r="EM493" s="3435">
        <f>$G493+EL493</f>
        <v>324999</v>
      </c>
      <c r="EQ493" s="3264"/>
      <c r="ET493" s="3284">
        <f>VLOOKUP($A493,'New Resources - Individual'!$A$4:$Y$133,ET$2,FALSE)*ET$1</f>
        <v>0</v>
      </c>
      <c r="EU493" s="3435">
        <f>$G493+ET493</f>
        <v>324999</v>
      </c>
      <c r="EY493" s="3264"/>
      <c r="FB493" s="3284">
        <f>VLOOKUP($A493,'New Resources - Individual'!$A$4:$Y$133,FB$2,FALSE)*FB$1</f>
        <v>0</v>
      </c>
      <c r="FC493" s="3435">
        <f>$G493+FB493</f>
        <v>324999</v>
      </c>
      <c r="FG493" s="3264"/>
      <c r="FJ493" s="3284">
        <f>VLOOKUP($A493,'New Resources - Individual'!$A$4:$Y$133,FJ$2,FALSE)*FJ$1</f>
        <v>0</v>
      </c>
      <c r="FK493" s="3435">
        <f>$G493+FJ493</f>
        <v>324999</v>
      </c>
      <c r="FO493" s="3264"/>
    </row>
    <row r="494" spans="1:171">
      <c r="A494" s="3430" t="s">
        <v>637</v>
      </c>
      <c r="K494" s="3264"/>
      <c r="S494" s="3264"/>
      <c r="AA494" s="3264"/>
      <c r="AI494" s="3264"/>
      <c r="AQ494" s="3264"/>
      <c r="AY494" s="3264"/>
      <c r="BG494" s="3264"/>
      <c r="BO494" s="3264"/>
      <c r="BW494" s="3264"/>
      <c r="CE494" s="3264"/>
      <c r="CM494" s="3264"/>
      <c r="CU494" s="3264"/>
      <c r="DC494" s="3264"/>
      <c r="DK494" s="3264"/>
      <c r="DS494" s="3264"/>
      <c r="EA494" s="3264"/>
      <c r="EI494" s="3264"/>
      <c r="EQ494" s="3264"/>
      <c r="EY494" s="3264"/>
      <c r="FG494" s="3264"/>
      <c r="FO494" s="3264"/>
    </row>
    <row r="495" spans="1:171">
      <c r="K495" s="3264"/>
      <c r="S495" s="3264"/>
      <c r="AA495" s="3264"/>
      <c r="AI495" s="3264"/>
      <c r="AQ495" s="3264"/>
      <c r="AY495" s="3264"/>
      <c r="BG495" s="3264"/>
      <c r="BO495" s="3264"/>
      <c r="BW495" s="3264"/>
      <c r="CE495" s="3264"/>
      <c r="CM495" s="3264"/>
      <c r="CU495" s="3264"/>
      <c r="DC495" s="3264"/>
      <c r="DK495" s="3264"/>
      <c r="DS495" s="3264"/>
      <c r="EA495" s="3264"/>
      <c r="EI495" s="3264"/>
      <c r="EQ495" s="3264"/>
      <c r="EY495" s="3264"/>
      <c r="FG495" s="3264"/>
      <c r="FO495" s="3264"/>
    </row>
    <row r="496" spans="1:171">
      <c r="A496" s="3205"/>
      <c r="B496" s="3205"/>
      <c r="C496" s="3205"/>
      <c r="D496" s="3205"/>
      <c r="E496" s="3205"/>
      <c r="F496" s="3205"/>
      <c r="G496" s="3205"/>
      <c r="H496" s="3205"/>
      <c r="I496" s="3205"/>
      <c r="J496" s="3205"/>
      <c r="K496" s="3205"/>
      <c r="L496" s="3205"/>
      <c r="M496" s="3205"/>
      <c r="N496" s="3205"/>
      <c r="O496" s="3205"/>
      <c r="P496" s="3205"/>
      <c r="Q496" s="3205"/>
      <c r="R496" s="3205"/>
      <c r="S496" s="3205"/>
      <c r="T496" s="3205"/>
      <c r="U496" s="3205"/>
      <c r="V496" s="3205"/>
      <c r="W496" s="3205"/>
      <c r="X496" s="3205"/>
      <c r="Y496" s="3205"/>
      <c r="Z496" s="3205"/>
      <c r="AA496" s="3205"/>
      <c r="AB496" s="3205"/>
      <c r="AC496" s="3205"/>
      <c r="AD496" s="3205"/>
      <c r="AE496" s="3205"/>
      <c r="AF496" s="3205"/>
      <c r="AG496" s="3205"/>
      <c r="AH496" s="3205"/>
      <c r="AI496" s="3205"/>
      <c r="AJ496" s="3205"/>
      <c r="AK496" s="3205"/>
      <c r="AL496" s="3205"/>
      <c r="AM496" s="3205"/>
      <c r="AN496" s="3205"/>
      <c r="AO496" s="3205"/>
      <c r="AP496" s="3205"/>
      <c r="AQ496" s="3205"/>
      <c r="AR496" s="3205"/>
      <c r="AS496" s="3205"/>
      <c r="AT496" s="3205"/>
      <c r="AU496" s="3205"/>
      <c r="AV496" s="3205"/>
      <c r="AW496" s="3205"/>
      <c r="AX496" s="3205"/>
      <c r="AY496" s="3205"/>
      <c r="AZ496" s="3205"/>
      <c r="BA496" s="3205"/>
      <c r="BB496" s="3205"/>
      <c r="BC496" s="3205"/>
      <c r="BD496" s="3205"/>
      <c r="BE496" s="3205"/>
      <c r="BF496" s="3205"/>
      <c r="BG496" s="3205"/>
      <c r="BH496" s="3205"/>
      <c r="BI496" s="3205"/>
      <c r="BJ496" s="3205"/>
      <c r="BK496" s="3205"/>
      <c r="BL496" s="3205"/>
      <c r="BM496" s="3205"/>
      <c r="BN496" s="3205"/>
      <c r="BO496" s="3205"/>
      <c r="BP496" s="3205"/>
      <c r="BQ496" s="3205"/>
      <c r="BR496" s="3205"/>
      <c r="BS496" s="3205"/>
      <c r="BT496" s="3205"/>
      <c r="BU496" s="3205"/>
      <c r="BV496" s="3205"/>
      <c r="BW496" s="3205"/>
      <c r="BX496" s="3205"/>
      <c r="BY496" s="3205"/>
      <c r="BZ496" s="3205"/>
      <c r="CA496" s="3205"/>
      <c r="CB496" s="3205"/>
      <c r="CC496" s="3205"/>
      <c r="CD496" s="3205"/>
      <c r="CE496" s="3205"/>
      <c r="CF496" s="3205"/>
      <c r="CG496" s="3205"/>
      <c r="CH496" s="3205"/>
      <c r="CI496" s="3205"/>
      <c r="CJ496" s="3205"/>
      <c r="CK496" s="3205"/>
      <c r="CL496" s="3205"/>
      <c r="CM496" s="3205"/>
      <c r="CN496" s="3205"/>
      <c r="CO496" s="3205"/>
      <c r="CP496" s="3205"/>
      <c r="CQ496" s="3205"/>
      <c r="CR496" s="3205"/>
      <c r="CS496" s="3205"/>
      <c r="CT496" s="3205"/>
      <c r="CU496" s="3205"/>
      <c r="CV496" s="3205"/>
      <c r="CW496" s="3205"/>
      <c r="CX496" s="3205"/>
      <c r="CY496" s="3205"/>
      <c r="CZ496" s="3205"/>
      <c r="DA496" s="3205"/>
      <c r="DB496" s="3205"/>
      <c r="DC496" s="3205"/>
      <c r="DD496" s="3205"/>
      <c r="DE496" s="3205"/>
      <c r="DF496" s="3205"/>
      <c r="DG496" s="3205"/>
      <c r="DH496" s="3205"/>
      <c r="DI496" s="3205"/>
      <c r="DJ496" s="3205"/>
      <c r="DK496" s="3205"/>
      <c r="DL496" s="3205"/>
      <c r="DM496" s="3205"/>
      <c r="DN496" s="3205"/>
      <c r="DO496" s="3205"/>
      <c r="DP496" s="3205"/>
      <c r="DQ496" s="3205"/>
      <c r="DR496" s="3205"/>
      <c r="DS496" s="3205"/>
      <c r="DT496" s="3205"/>
      <c r="DU496" s="3205"/>
      <c r="DV496" s="3205"/>
      <c r="DW496" s="3205"/>
      <c r="DX496" s="3205"/>
      <c r="DY496" s="3205"/>
      <c r="DZ496" s="3205"/>
      <c r="EA496" s="3205"/>
      <c r="EB496" s="3205"/>
      <c r="EC496" s="3205"/>
      <c r="ED496" s="3205"/>
      <c r="EE496" s="3205"/>
      <c r="EF496" s="3205"/>
      <c r="EG496" s="3205"/>
      <c r="EH496" s="3205"/>
      <c r="EI496" s="3205"/>
      <c r="EJ496" s="3205"/>
      <c r="EK496" s="3205"/>
      <c r="EL496" s="3205"/>
      <c r="EM496" s="3205"/>
      <c r="EN496" s="3205"/>
      <c r="EO496" s="3205"/>
      <c r="EP496" s="3205"/>
      <c r="EQ496" s="3205"/>
      <c r="ER496" s="3205"/>
      <c r="ES496" s="3205"/>
      <c r="ET496" s="3205"/>
      <c r="EU496" s="3205"/>
      <c r="EV496" s="3205"/>
      <c r="EW496" s="3205"/>
      <c r="EX496" s="3205"/>
      <c r="EY496" s="3205"/>
      <c r="EZ496" s="3205"/>
      <c r="FA496" s="3205"/>
      <c r="FB496" s="3205"/>
      <c r="FC496" s="3205"/>
      <c r="FD496" s="3205"/>
      <c r="FE496" s="3205"/>
      <c r="FF496" s="3205"/>
      <c r="FG496" s="3205"/>
      <c r="FH496" s="3205"/>
      <c r="FI496" s="3205"/>
      <c r="FJ496" s="3205"/>
      <c r="FK496" s="3205"/>
      <c r="FL496" s="3205"/>
      <c r="FM496" s="3205"/>
      <c r="FN496" s="3205"/>
      <c r="FO496" s="3205"/>
    </row>
  </sheetData>
  <mergeCells count="22">
    <mergeCell ref="I12:I14"/>
    <mergeCell ref="B171:B173"/>
    <mergeCell ref="E171:F172"/>
    <mergeCell ref="G171:G173"/>
    <mergeCell ref="H171:H173"/>
    <mergeCell ref="I171:I173"/>
    <mergeCell ref="B12:B14"/>
    <mergeCell ref="E12:F13"/>
    <mergeCell ref="G12:G14"/>
    <mergeCell ref="H12:H14"/>
    <mergeCell ref="B465:E465"/>
    <mergeCell ref="B466:E466"/>
    <mergeCell ref="G264:G266"/>
    <mergeCell ref="H264:H266"/>
    <mergeCell ref="I264:I266"/>
    <mergeCell ref="B287:B289"/>
    <mergeCell ref="E287:F288"/>
    <mergeCell ref="G287:G289"/>
    <mergeCell ref="H287:H289"/>
    <mergeCell ref="I287:I289"/>
    <mergeCell ref="B264:B266"/>
    <mergeCell ref="E264:F265"/>
  </mergeCells>
  <phoneticPr fontId="0" type="noConversion"/>
  <hyperlinks>
    <hyperlink ref="A5" location="TOC!A1" display="TOC" xr:uid="{00000000-0004-0000-1200-000000000000}"/>
    <hyperlink ref="A6" location="'Materiality - Individual'!A15" display="é" xr:uid="{00000000-0004-0000-12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5" manualBreakCount="5">
    <brk id="81" max="16383" man="1"/>
    <brk id="169" max="16383" man="1"/>
    <brk id="284" max="16383" man="1"/>
    <brk id="363" max="16383" man="1"/>
    <brk id="461" max="16383" man="1"/>
  </rowBreaks>
  <colBreaks count="20" manualBreakCount="20">
    <brk id="10" max="1048575" man="1"/>
    <brk id="19" max="1048575" man="1"/>
    <brk id="27" max="1048575" man="1"/>
    <brk id="35" max="1048575" man="1"/>
    <brk id="43" max="1048575" man="1"/>
    <brk id="51" max="1048575" man="1"/>
    <brk id="59" max="1048575" man="1"/>
    <brk id="67" max="1048575" man="1"/>
    <brk id="75" max="1048575" man="1"/>
    <brk id="83" max="1048575" man="1"/>
    <brk id="91" max="1048575" man="1"/>
    <brk id="99" max="1048575" man="1"/>
    <brk id="107" max="1048575" man="1"/>
    <brk id="115" max="1048575" man="1"/>
    <brk id="123" max="1048575" man="1"/>
    <brk id="131" max="1048575" man="1"/>
    <brk id="139" max="1048575" man="1"/>
    <brk id="147" max="1048575" man="1"/>
    <brk id="155" max="1048575" man="1"/>
    <brk id="163" max="1048575" man="1"/>
  </colBreaks>
  <customProperties>
    <customPr name="_pios_id" r:id="rId2"/>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2:AI43"/>
  <sheetViews>
    <sheetView topLeftCell="A3" zoomScaleNormal="100" workbookViewId="0">
      <pane ySplit="9" topLeftCell="A12" activePane="bottomLeft" state="frozen"/>
      <selection activeCell="A3" sqref="A3"/>
      <selection pane="bottomLeft" activeCell="A3" sqref="A1:XFD1048576"/>
    </sheetView>
  </sheetViews>
  <sheetFormatPr defaultColWidth="9" defaultRowHeight="11.25"/>
  <cols>
    <col min="1" max="1" width="9" style="546"/>
    <col min="2" max="2" width="50.125" style="546" bestFit="1" customWidth="1"/>
    <col min="3" max="3" width="23.125" style="546" bestFit="1" customWidth="1"/>
    <col min="4" max="4" width="16.75" style="546" bestFit="1" customWidth="1"/>
    <col min="5" max="5" width="20.625" style="546" bestFit="1" customWidth="1"/>
    <col min="6" max="30" width="2.875" style="546" customWidth="1"/>
    <col min="31" max="31" width="10.375" style="546" bestFit="1" customWidth="1"/>
    <col min="32" max="34" width="9.875" style="546" bestFit="1" customWidth="1"/>
    <col min="35" max="35" width="11" style="546" bestFit="1" customWidth="1"/>
    <col min="36" max="16384" width="9" style="546"/>
  </cols>
  <sheetData>
    <row r="2" spans="2:31">
      <c r="B2" s="2452" t="s">
        <v>685</v>
      </c>
    </row>
    <row r="3" spans="2:31" ht="12" thickBot="1"/>
    <row r="4" spans="2:31" ht="12" thickTop="1">
      <c r="B4" s="3727" t="s">
        <v>54</v>
      </c>
      <c r="C4" s="3728"/>
      <c r="D4" s="3728"/>
      <c r="E4" s="3728"/>
      <c r="F4" s="3728"/>
      <c r="G4" s="3728"/>
      <c r="H4" s="3728"/>
      <c r="I4" s="3728"/>
      <c r="J4" s="3728"/>
      <c r="K4" s="3728"/>
      <c r="L4" s="3728"/>
      <c r="M4" s="3728"/>
      <c r="N4" s="3728"/>
      <c r="O4" s="3728"/>
      <c r="P4" s="3728"/>
      <c r="Q4" s="3728"/>
      <c r="R4" s="3728"/>
      <c r="S4" s="3728"/>
      <c r="T4" s="3728"/>
      <c r="U4" s="3728"/>
      <c r="V4" s="3728"/>
      <c r="W4" s="3728"/>
      <c r="X4" s="3728"/>
      <c r="Y4" s="3728"/>
      <c r="Z4" s="3728"/>
      <c r="AA4" s="3728"/>
      <c r="AB4" s="3728"/>
      <c r="AC4" s="3728"/>
      <c r="AD4" s="3728"/>
      <c r="AE4" s="3729"/>
    </row>
    <row r="5" spans="2:31">
      <c r="B5" s="3739" t="s">
        <v>56</v>
      </c>
      <c r="C5" s="3740"/>
      <c r="D5" s="3740"/>
      <c r="E5" s="3740"/>
      <c r="F5" s="3740"/>
      <c r="G5" s="3740"/>
      <c r="H5" s="3740"/>
      <c r="I5" s="3740"/>
      <c r="J5" s="3740"/>
      <c r="K5" s="3740"/>
      <c r="L5" s="3740"/>
      <c r="M5" s="3740"/>
      <c r="N5" s="3740"/>
      <c r="O5" s="3740"/>
      <c r="P5" s="3740"/>
      <c r="Q5" s="3740"/>
      <c r="R5" s="3740"/>
      <c r="S5" s="3740"/>
      <c r="T5" s="3740"/>
      <c r="U5" s="3740"/>
      <c r="V5" s="3740"/>
      <c r="W5" s="3740"/>
      <c r="X5" s="3740"/>
      <c r="Y5" s="3740"/>
      <c r="Z5" s="3740"/>
      <c r="AA5" s="3740"/>
      <c r="AB5" s="3740"/>
      <c r="AC5" s="3740"/>
      <c r="AD5" s="3740"/>
      <c r="AE5" s="3741"/>
    </row>
    <row r="6" spans="2:31">
      <c r="B6" s="3736" t="s">
        <v>709</v>
      </c>
      <c r="C6" s="3737"/>
      <c r="D6" s="3737"/>
      <c r="E6" s="3737"/>
      <c r="F6" s="3737"/>
      <c r="G6" s="3737"/>
      <c r="H6" s="3737"/>
      <c r="I6" s="3737"/>
      <c r="J6" s="3737"/>
      <c r="K6" s="3737"/>
      <c r="L6" s="3737"/>
      <c r="M6" s="3737"/>
      <c r="N6" s="3737"/>
      <c r="O6" s="3737"/>
      <c r="P6" s="3737"/>
      <c r="Q6" s="3737"/>
      <c r="R6" s="3737"/>
      <c r="S6" s="3737"/>
      <c r="T6" s="3737"/>
      <c r="U6" s="3737"/>
      <c r="V6" s="3737"/>
      <c r="W6" s="3737"/>
      <c r="X6" s="3737"/>
      <c r="Y6" s="3737"/>
      <c r="Z6" s="3737"/>
      <c r="AA6" s="3737"/>
      <c r="AB6" s="3737"/>
      <c r="AC6" s="3737"/>
      <c r="AD6" s="3737"/>
      <c r="AE6" s="3738"/>
    </row>
    <row r="7" spans="2:31" ht="12" thickBot="1">
      <c r="B7" s="3918" t="s">
        <v>754</v>
      </c>
      <c r="C7" s="3919"/>
      <c r="D7" s="3919"/>
      <c r="E7" s="3919"/>
      <c r="F7" s="3919"/>
      <c r="G7" s="3919"/>
      <c r="H7" s="3919"/>
      <c r="I7" s="3919"/>
      <c r="J7" s="3919"/>
      <c r="K7" s="3919"/>
      <c r="L7" s="3919"/>
      <c r="M7" s="3919"/>
      <c r="N7" s="3919"/>
      <c r="O7" s="3919"/>
      <c r="P7" s="3919"/>
      <c r="Q7" s="3919"/>
      <c r="R7" s="3919"/>
      <c r="S7" s="3919"/>
      <c r="T7" s="3919"/>
      <c r="U7" s="3919"/>
      <c r="V7" s="3919"/>
      <c r="W7" s="3919"/>
      <c r="X7" s="3919"/>
      <c r="Y7" s="3919"/>
      <c r="Z7" s="3919"/>
      <c r="AA7" s="3919"/>
      <c r="AB7" s="3919"/>
      <c r="AC7" s="3919"/>
      <c r="AD7" s="3919"/>
      <c r="AE7" s="3920"/>
    </row>
    <row r="8" spans="2:31" ht="12" thickBot="1">
      <c r="B8" s="2856" t="s">
        <v>706</v>
      </c>
      <c r="C8" s="2857"/>
      <c r="D8" s="2858"/>
      <c r="E8" s="2858"/>
      <c r="F8" s="2858"/>
      <c r="G8" s="2858"/>
      <c r="H8" s="2858"/>
      <c r="I8" s="2858"/>
      <c r="J8" s="2858"/>
      <c r="K8" s="2858"/>
      <c r="L8" s="2858"/>
      <c r="M8" s="2858"/>
      <c r="N8" s="2858"/>
      <c r="O8" s="2858"/>
      <c r="P8" s="2858"/>
      <c r="Q8" s="2858"/>
      <c r="R8" s="2858"/>
      <c r="S8" s="2858"/>
      <c r="T8" s="2858"/>
      <c r="U8" s="2858"/>
      <c r="V8" s="2858"/>
      <c r="W8" s="2858"/>
      <c r="X8" s="2897"/>
      <c r="Y8" s="3713"/>
      <c r="Z8" s="3713"/>
      <c r="AA8" s="3713"/>
      <c r="AB8" s="2898"/>
      <c r="AC8" s="2899"/>
      <c r="AD8" s="2900"/>
      <c r="AE8" s="2859"/>
    </row>
    <row r="9" spans="2:31" ht="12" thickBot="1">
      <c r="B9" s="2856" t="str">
        <f>'Sch 1- Rate Base '!E5</f>
        <v>PUGET SOUND ENERGY</v>
      </c>
      <c r="C9" s="2860">
        <f>'Sch 1- Rate Base '!$E$6</f>
        <v>2023</v>
      </c>
      <c r="D9" s="2861"/>
      <c r="E9" s="2861"/>
      <c r="F9" s="2861"/>
      <c r="G9" s="2861"/>
      <c r="H9" s="2861"/>
      <c r="I9" s="2861"/>
      <c r="J9" s="2861"/>
      <c r="K9" s="2861"/>
      <c r="L9" s="2861"/>
      <c r="M9" s="2861"/>
      <c r="N9" s="2861"/>
      <c r="O9" s="2861"/>
      <c r="P9" s="2861"/>
      <c r="Q9" s="2861"/>
      <c r="R9" s="2861"/>
      <c r="S9" s="2861"/>
      <c r="T9" s="2861"/>
      <c r="U9" s="2861"/>
      <c r="V9" s="2861"/>
      <c r="W9" s="2861"/>
      <c r="X9" s="2897"/>
      <c r="Y9" s="3713"/>
      <c r="Z9" s="3713"/>
      <c r="AA9" s="3713"/>
      <c r="AB9" s="2898"/>
      <c r="AC9" s="2899"/>
      <c r="AD9" s="2900"/>
      <c r="AE9" s="2859"/>
    </row>
    <row r="10" spans="2:31" ht="12" thickBot="1">
      <c r="B10" s="2862"/>
      <c r="C10" s="2863"/>
      <c r="D10" s="2864"/>
      <c r="E10" s="2864"/>
      <c r="F10" s="2864"/>
      <c r="G10" s="2864"/>
      <c r="H10" s="2864"/>
      <c r="I10" s="2864"/>
      <c r="J10" s="2864"/>
      <c r="K10" s="2864"/>
      <c r="L10" s="2864"/>
      <c r="M10" s="2864"/>
      <c r="N10" s="2864"/>
      <c r="O10" s="2864"/>
      <c r="P10" s="2864"/>
      <c r="Q10" s="2864"/>
      <c r="R10" s="2864"/>
      <c r="S10" s="2864"/>
      <c r="T10" s="2864"/>
      <c r="U10" s="2864"/>
      <c r="V10" s="2864"/>
      <c r="W10" s="2864"/>
      <c r="X10" s="2897"/>
      <c r="Y10" s="3713"/>
      <c r="Z10" s="3713"/>
      <c r="AA10" s="3713"/>
      <c r="AB10" s="2898"/>
      <c r="AC10" s="2899"/>
      <c r="AD10" s="2900"/>
      <c r="AE10" s="2859"/>
    </row>
    <row r="11" spans="2:31" ht="12.75" thickTop="1" thickBot="1">
      <c r="B11" s="2865" t="s">
        <v>755</v>
      </c>
      <c r="C11" s="3013" t="str">
        <f>'FERC p402-403 Steam-Elec (c)'!E9</f>
        <v>Wild Horse</v>
      </c>
      <c r="D11" s="3013" t="str">
        <f>'FERC p402-403 Steam-Elec (c)'!F9</f>
        <v>Hopkins Ridge</v>
      </c>
      <c r="E11" s="3013" t="str">
        <f>'FERC p402-403 Steam-Elec (c)'!G9</f>
        <v>Lower Snake River</v>
      </c>
      <c r="F11" s="3714"/>
      <c r="G11" s="3714"/>
      <c r="H11" s="3714"/>
      <c r="I11" s="3714"/>
      <c r="J11" s="3714"/>
      <c r="K11" s="3714"/>
      <c r="L11" s="3714"/>
      <c r="M11" s="3714"/>
      <c r="N11" s="3714"/>
      <c r="O11" s="3714"/>
      <c r="P11" s="3714"/>
      <c r="Q11" s="3714"/>
      <c r="R11" s="3714"/>
      <c r="S11" s="3714"/>
      <c r="T11" s="3714"/>
      <c r="U11" s="3714"/>
      <c r="V11" s="3714"/>
      <c r="W11" s="3714"/>
      <c r="X11" s="3714"/>
      <c r="Y11" s="3714"/>
      <c r="Z11" s="3714"/>
      <c r="AA11" s="3714"/>
      <c r="AB11" s="3714"/>
      <c r="AC11" s="3714"/>
      <c r="AD11" s="3714"/>
      <c r="AE11" s="3012" t="s">
        <v>104</v>
      </c>
    </row>
    <row r="12" spans="2:31" ht="12" thickTop="1">
      <c r="B12" s="2866" t="s">
        <v>756</v>
      </c>
      <c r="C12" s="2882" t="str">
        <f>'FERC p402-403 Steam-Elec (c)'!E12</f>
        <v>2006</v>
      </c>
      <c r="D12" s="2882" t="str">
        <f>'FERC p402-403 Steam-Elec (c)'!F12</f>
        <v>2005</v>
      </c>
      <c r="E12" s="2882" t="str">
        <f>'FERC p402-403 Steam-Elec (c)'!G12</f>
        <v>2012</v>
      </c>
      <c r="F12" s="3715"/>
      <c r="G12" s="3715"/>
      <c r="H12" s="3715"/>
      <c r="I12" s="3715"/>
      <c r="J12" s="3715"/>
      <c r="K12" s="3715"/>
      <c r="L12" s="3715"/>
      <c r="M12" s="3715"/>
      <c r="N12" s="3715"/>
      <c r="O12" s="3715"/>
      <c r="P12" s="3715"/>
      <c r="Q12" s="3715"/>
      <c r="R12" s="3715"/>
      <c r="S12" s="3715"/>
      <c r="T12" s="3715"/>
      <c r="U12" s="3715"/>
      <c r="V12" s="3715"/>
      <c r="W12" s="3715"/>
      <c r="X12" s="3715"/>
      <c r="Y12" s="3715"/>
      <c r="Z12" s="3715"/>
      <c r="AA12" s="3715"/>
      <c r="AB12" s="3715"/>
      <c r="AC12" s="3715"/>
      <c r="AD12" s="3715"/>
      <c r="AE12" s="3011"/>
    </row>
    <row r="13" spans="2:31">
      <c r="B13" s="2867" t="s">
        <v>757</v>
      </c>
      <c r="C13" s="2883">
        <v>149</v>
      </c>
      <c r="D13" s="2883" t="s">
        <v>5521</v>
      </c>
      <c r="E13" s="2883">
        <v>149</v>
      </c>
      <c r="F13" s="3716"/>
      <c r="G13" s="3716"/>
      <c r="H13" s="3716"/>
      <c r="I13" s="3716"/>
      <c r="J13" s="3716"/>
      <c r="K13" s="3716"/>
      <c r="L13" s="3716"/>
      <c r="M13" s="3716"/>
      <c r="N13" s="3716"/>
      <c r="O13" s="3716"/>
      <c r="P13" s="3716"/>
      <c r="Q13" s="3716"/>
      <c r="R13" s="3716"/>
      <c r="S13" s="3716"/>
      <c r="T13" s="3716"/>
      <c r="U13" s="3716"/>
      <c r="V13" s="3716"/>
      <c r="W13" s="3716"/>
      <c r="X13" s="3716"/>
      <c r="Y13" s="3716"/>
      <c r="Z13" s="3716"/>
      <c r="AA13" s="3716"/>
      <c r="AB13" s="3717"/>
      <c r="AC13" s="3717"/>
      <c r="AD13" s="3716"/>
      <c r="AE13" s="3010"/>
    </row>
    <row r="14" spans="2:31">
      <c r="B14" s="2867" t="s">
        <v>758</v>
      </c>
      <c r="C14" s="2884" t="s">
        <v>6831</v>
      </c>
      <c r="D14" s="2884" t="s">
        <v>6832</v>
      </c>
      <c r="E14" s="2884" t="s">
        <v>6833</v>
      </c>
      <c r="F14" s="2920"/>
      <c r="G14" s="2920"/>
      <c r="H14" s="2920"/>
      <c r="I14" s="2920"/>
      <c r="J14" s="2920"/>
      <c r="K14" s="2920"/>
      <c r="L14" s="2920"/>
      <c r="M14" s="2920"/>
      <c r="N14" s="2920"/>
      <c r="O14" s="2920"/>
      <c r="P14" s="2920"/>
      <c r="Q14" s="2920"/>
      <c r="R14" s="2920"/>
      <c r="S14" s="2920"/>
      <c r="T14" s="2920"/>
      <c r="U14" s="2920"/>
      <c r="V14" s="2920"/>
      <c r="W14" s="2920"/>
      <c r="X14" s="2920"/>
      <c r="Y14" s="2920"/>
      <c r="Z14" s="2920"/>
      <c r="AA14" s="2920"/>
      <c r="AB14" s="2920"/>
      <c r="AC14" s="2920"/>
      <c r="AD14" s="2920"/>
      <c r="AE14" s="2876"/>
    </row>
    <row r="15" spans="2:31">
      <c r="B15" s="2867" t="s">
        <v>759</v>
      </c>
      <c r="C15" s="2885" t="str">
        <f>'FERC p402-403 Steam-Elec (c)'!E12</f>
        <v>2006</v>
      </c>
      <c r="D15" s="2885" t="str">
        <f>'FERC p402-403 Steam-Elec (c)'!F12</f>
        <v>2005</v>
      </c>
      <c r="E15" s="2885" t="str">
        <f>'FERC p402-403 Steam-Elec (c)'!G12</f>
        <v>2012</v>
      </c>
      <c r="F15" s="2920"/>
      <c r="G15" s="2920"/>
      <c r="H15" s="2920"/>
      <c r="I15" s="2920"/>
      <c r="J15" s="2920"/>
      <c r="K15" s="2920"/>
      <c r="L15" s="2920"/>
      <c r="M15" s="2920"/>
      <c r="N15" s="2920"/>
      <c r="O15" s="2920"/>
      <c r="P15" s="2920"/>
      <c r="Q15" s="2920"/>
      <c r="R15" s="2920"/>
      <c r="S15" s="2920"/>
      <c r="T15" s="2920"/>
      <c r="U15" s="2920"/>
      <c r="V15" s="2920"/>
      <c r="W15" s="2920"/>
      <c r="X15" s="2920"/>
      <c r="Y15" s="2920"/>
      <c r="Z15" s="2920"/>
      <c r="AA15" s="2920"/>
      <c r="AB15" s="2920"/>
      <c r="AC15" s="2920"/>
      <c r="AD15" s="2920"/>
      <c r="AE15" s="2876"/>
    </row>
    <row r="16" spans="2:31">
      <c r="B16" s="2867" t="s">
        <v>760</v>
      </c>
      <c r="C16" s="2886" t="str">
        <f>'FERC p402-403 Steam-Elec (c)'!E13</f>
        <v>2009</v>
      </c>
      <c r="D16" s="2886" t="str">
        <f>'FERC p402-403 Steam-Elec (c)'!F13</f>
        <v>2008</v>
      </c>
      <c r="E16" s="2886" t="str">
        <f>'FERC p402-403 Steam-Elec (c)'!G13</f>
        <v>2012</v>
      </c>
      <c r="F16" s="2872"/>
      <c r="G16" s="2872"/>
      <c r="H16" s="2872"/>
      <c r="I16" s="2872"/>
      <c r="J16" s="2872"/>
      <c r="K16" s="2872"/>
      <c r="L16" s="2872"/>
      <c r="M16" s="2872"/>
      <c r="N16" s="2872"/>
      <c r="O16" s="2872"/>
      <c r="P16" s="2872"/>
      <c r="Q16" s="2872"/>
      <c r="R16" s="2872"/>
      <c r="S16" s="2872"/>
      <c r="T16" s="2872"/>
      <c r="U16" s="2872"/>
      <c r="V16" s="2872"/>
      <c r="W16" s="2872"/>
      <c r="X16" s="2872"/>
      <c r="Y16" s="2872"/>
      <c r="Z16" s="2872"/>
      <c r="AA16" s="2872"/>
      <c r="AB16" s="2872"/>
      <c r="AC16" s="2872"/>
      <c r="AD16" s="2872"/>
      <c r="AE16" s="2876"/>
    </row>
    <row r="17" spans="2:35">
      <c r="B17" s="2867" t="s">
        <v>761</v>
      </c>
      <c r="C17" s="2886">
        <f>'FERC p402-403 Steam-Elec (c)'!E14</f>
        <v>273</v>
      </c>
      <c r="D17" s="2886">
        <f>'FERC p402-403 Steam-Elec (c)'!F14</f>
        <v>157</v>
      </c>
      <c r="E17" s="2886">
        <f>'FERC p402-403 Steam-Elec (c)'!G14</f>
        <v>343</v>
      </c>
      <c r="F17" s="2925"/>
      <c r="G17" s="2925"/>
      <c r="H17" s="2925"/>
      <c r="I17" s="2925"/>
      <c r="J17" s="2925"/>
      <c r="K17" s="2925"/>
      <c r="L17" s="2925"/>
      <c r="M17" s="2925"/>
      <c r="N17" s="2925"/>
      <c r="O17" s="2925"/>
      <c r="P17" s="2925"/>
      <c r="Q17" s="2925"/>
      <c r="R17" s="2925"/>
      <c r="S17" s="2925"/>
      <c r="T17" s="2925"/>
      <c r="U17" s="2925"/>
      <c r="V17" s="2925"/>
      <c r="W17" s="2925"/>
      <c r="X17" s="2925"/>
      <c r="Y17" s="2925"/>
      <c r="Z17" s="2925"/>
      <c r="AA17" s="2925"/>
      <c r="AB17" s="2925"/>
      <c r="AC17" s="2925"/>
      <c r="AD17" s="2925"/>
      <c r="AE17" s="2869">
        <f>SUM(C17:E17)</f>
        <v>773</v>
      </c>
    </row>
    <row r="18" spans="2:35">
      <c r="B18" s="2867" t="s">
        <v>762</v>
      </c>
      <c r="C18" s="2886">
        <f>'FERC p402-403 Steam-Elec (c)'!E15</f>
        <v>261.39999999999998</v>
      </c>
      <c r="D18" s="2886">
        <f>'FERC p402-403 Steam-Elec (c)'!F15</f>
        <v>152.19999999999999</v>
      </c>
      <c r="E18" s="2886">
        <f>'FERC p402-403 Steam-Elec (c)'!G15</f>
        <v>338.6</v>
      </c>
      <c r="F18" s="2930"/>
      <c r="G18" s="2930"/>
      <c r="H18" s="2930"/>
      <c r="I18" s="2930"/>
      <c r="J18" s="2930"/>
      <c r="K18" s="2930"/>
      <c r="L18" s="2930"/>
      <c r="M18" s="2930"/>
      <c r="N18" s="2930"/>
      <c r="O18" s="2930"/>
      <c r="P18" s="2930"/>
      <c r="Q18" s="2930"/>
      <c r="R18" s="2930"/>
      <c r="S18" s="2930"/>
      <c r="T18" s="2930"/>
      <c r="U18" s="2930"/>
      <c r="V18" s="2930"/>
      <c r="W18" s="2930"/>
      <c r="X18" s="2930"/>
      <c r="Y18" s="2930"/>
      <c r="Z18" s="2930"/>
      <c r="AA18" s="2930"/>
      <c r="AB18" s="2930"/>
      <c r="AC18" s="2929"/>
      <c r="AD18" s="2930"/>
      <c r="AE18" s="2870"/>
    </row>
    <row r="19" spans="2:35">
      <c r="B19" s="2867" t="s">
        <v>763</v>
      </c>
      <c r="C19" s="2886">
        <f>'FERC p402-403 Steam-Elec (c)'!E16</f>
        <v>8435</v>
      </c>
      <c r="D19" s="2886">
        <f>'FERC p402-403 Steam-Elec (c)'!F16</f>
        <v>8658</v>
      </c>
      <c r="E19" s="2886">
        <f>'FERC p402-403 Steam-Elec (c)'!G16</f>
        <v>7913</v>
      </c>
      <c r="F19" s="2962"/>
      <c r="G19" s="2962"/>
      <c r="H19" s="2962"/>
      <c r="I19" s="2962"/>
      <c r="J19" s="2962"/>
      <c r="K19" s="2962"/>
      <c r="L19" s="2962"/>
      <c r="M19" s="2962"/>
      <c r="N19" s="2962"/>
      <c r="O19" s="2962"/>
      <c r="P19" s="2962"/>
      <c r="Q19" s="2962"/>
      <c r="R19" s="2962"/>
      <c r="S19" s="2962"/>
      <c r="T19" s="2962"/>
      <c r="U19" s="2962"/>
      <c r="V19" s="2962"/>
      <c r="W19" s="2962"/>
      <c r="X19" s="2962"/>
      <c r="Y19" s="2962"/>
      <c r="Z19" s="2962"/>
      <c r="AA19" s="2962"/>
      <c r="AB19" s="2962"/>
      <c r="AC19" s="2962"/>
      <c r="AD19" s="2962"/>
      <c r="AE19" s="2877"/>
    </row>
    <row r="20" spans="2:35">
      <c r="B20" s="2867" t="s">
        <v>764</v>
      </c>
      <c r="C20" s="2886">
        <f>'FERC p402-403 Steam-Elec (c)'!E17</f>
        <v>0</v>
      </c>
      <c r="D20" s="2886">
        <f>'FERC p402-403 Steam-Elec (c)'!F17</f>
        <v>0</v>
      </c>
      <c r="E20" s="2886">
        <f>'FERC p402-403 Steam-Elec (c)'!G17</f>
        <v>0</v>
      </c>
      <c r="F20" s="2871"/>
      <c r="G20" s="2871"/>
      <c r="H20" s="2871"/>
      <c r="I20" s="2871"/>
      <c r="J20" s="2871"/>
      <c r="K20" s="2871"/>
      <c r="L20" s="2871"/>
      <c r="M20" s="2871"/>
      <c r="N20" s="2871"/>
      <c r="O20" s="2871"/>
      <c r="P20" s="2871"/>
      <c r="Q20" s="2871"/>
      <c r="R20" s="2871"/>
      <c r="S20" s="2871"/>
      <c r="T20" s="2871"/>
      <c r="U20" s="2871"/>
      <c r="V20" s="2871"/>
      <c r="W20" s="2871"/>
      <c r="X20" s="2871"/>
      <c r="Y20" s="2871"/>
      <c r="Z20" s="2871"/>
      <c r="AA20" s="2871"/>
      <c r="AB20" s="2872"/>
      <c r="AC20" s="2872"/>
      <c r="AD20" s="2871"/>
      <c r="AE20" s="2876"/>
    </row>
    <row r="21" spans="2:35">
      <c r="B21" s="2867" t="s">
        <v>765</v>
      </c>
      <c r="C21" s="2886">
        <f>'FERC p402-403 Steam-Elec (c)'!E20</f>
        <v>11</v>
      </c>
      <c r="D21" s="2886">
        <f>'FERC p402-403 Steam-Elec (c)'!F20</f>
        <v>6</v>
      </c>
      <c r="E21" s="2886">
        <f>'FERC p402-403 Steam-Elec (c)'!G20</f>
        <v>5</v>
      </c>
      <c r="F21" s="2872"/>
      <c r="G21" s="2872"/>
      <c r="H21" s="2872"/>
      <c r="I21" s="2872"/>
      <c r="J21" s="2872"/>
      <c r="K21" s="2872"/>
      <c r="L21" s="2872"/>
      <c r="M21" s="2872"/>
      <c r="N21" s="2872"/>
      <c r="O21" s="2872"/>
      <c r="P21" s="2872"/>
      <c r="Q21" s="2872"/>
      <c r="R21" s="2872"/>
      <c r="S21" s="2872"/>
      <c r="T21" s="2872"/>
      <c r="U21" s="2872"/>
      <c r="V21" s="2872"/>
      <c r="W21" s="2872"/>
      <c r="X21" s="2872"/>
      <c r="Y21" s="2872"/>
      <c r="Z21" s="2872"/>
      <c r="AA21" s="2872"/>
      <c r="AB21" s="2872"/>
      <c r="AC21" s="2872"/>
      <c r="AD21" s="2872"/>
      <c r="AE21" s="2876"/>
    </row>
    <row r="22" spans="2:35">
      <c r="B22" s="2867" t="s">
        <v>766</v>
      </c>
      <c r="C22" s="2887">
        <f>'FERC p402-403 Steam-Elec (c)'!E21</f>
        <v>525311808</v>
      </c>
      <c r="D22" s="2887">
        <f>'FERC p402-403 Steam-Elec (c)'!F21</f>
        <v>328736818</v>
      </c>
      <c r="E22" s="2887">
        <f>'FERC p402-403 Steam-Elec (c)'!G21</f>
        <v>711413417</v>
      </c>
      <c r="F22" s="2872"/>
      <c r="G22" s="2872"/>
      <c r="H22" s="2872"/>
      <c r="I22" s="2872"/>
      <c r="J22" s="2872"/>
      <c r="K22" s="2872"/>
      <c r="L22" s="2872"/>
      <c r="M22" s="2872"/>
      <c r="N22" s="2872"/>
      <c r="O22" s="2872"/>
      <c r="P22" s="2872"/>
      <c r="Q22" s="2872"/>
      <c r="R22" s="2872"/>
      <c r="S22" s="2872"/>
      <c r="T22" s="2872"/>
      <c r="U22" s="2872"/>
      <c r="V22" s="2872"/>
      <c r="W22" s="2872"/>
      <c r="X22" s="2872"/>
      <c r="Y22" s="2872"/>
      <c r="Z22" s="2872"/>
      <c r="AA22" s="2872"/>
      <c r="AB22" s="2872"/>
      <c r="AC22" s="2872"/>
      <c r="AD22" s="2872"/>
      <c r="AE22" s="2876">
        <f>SUM(C22:E22)</f>
        <v>1565462043</v>
      </c>
      <c r="AF22" s="3008"/>
      <c r="AG22" s="3008"/>
      <c r="AH22" s="3008"/>
      <c r="AI22" s="3008"/>
    </row>
    <row r="23" spans="2:35">
      <c r="B23" s="2867"/>
      <c r="C23" s="2888"/>
      <c r="D23" s="2888"/>
      <c r="E23" s="2888"/>
      <c r="F23" s="2872"/>
      <c r="G23" s="2872"/>
      <c r="H23" s="2872"/>
      <c r="I23" s="2872"/>
      <c r="J23" s="2872"/>
      <c r="K23" s="2872"/>
      <c r="L23" s="2872"/>
      <c r="M23" s="2872"/>
      <c r="N23" s="2872"/>
      <c r="O23" s="2872"/>
      <c r="P23" s="2872"/>
      <c r="Q23" s="2872"/>
      <c r="R23" s="2872"/>
      <c r="S23" s="2872"/>
      <c r="T23" s="2872"/>
      <c r="U23" s="2872"/>
      <c r="V23" s="2872"/>
      <c r="W23" s="2872"/>
      <c r="X23" s="2872"/>
      <c r="Y23" s="2872"/>
      <c r="Z23" s="2872"/>
      <c r="AA23" s="2872"/>
      <c r="AB23" s="2872"/>
      <c r="AC23" s="2872"/>
      <c r="AD23" s="2872"/>
      <c r="AE23" s="2876"/>
      <c r="AF23" s="3008"/>
      <c r="AG23" s="3008"/>
      <c r="AH23" s="3008"/>
      <c r="AI23" s="3008"/>
    </row>
    <row r="24" spans="2:35">
      <c r="B24" s="2867" t="s">
        <v>767</v>
      </c>
      <c r="C24" s="2889">
        <f>'FERC p402-403 Steam-Elec (c)'!E22</f>
        <v>8131854</v>
      </c>
      <c r="D24" s="2889">
        <f>'FERC p402-403 Steam-Elec (c)'!F22</f>
        <v>0</v>
      </c>
      <c r="E24" s="2889">
        <f>'FERC p402-403 Steam-Elec (c)'!G22</f>
        <v>203682</v>
      </c>
      <c r="F24" s="2962"/>
      <c r="G24" s="2962"/>
      <c r="H24" s="2962"/>
      <c r="I24" s="2962"/>
      <c r="J24" s="2962"/>
      <c r="K24" s="2962"/>
      <c r="L24" s="2962"/>
      <c r="M24" s="2962"/>
      <c r="N24" s="2962"/>
      <c r="O24" s="2962"/>
      <c r="P24" s="2962"/>
      <c r="Q24" s="2962"/>
      <c r="R24" s="2962"/>
      <c r="S24" s="2962"/>
      <c r="T24" s="2962"/>
      <c r="U24" s="2962"/>
      <c r="V24" s="2962"/>
      <c r="W24" s="2962"/>
      <c r="X24" s="2962"/>
      <c r="Y24" s="2962"/>
      <c r="Z24" s="2962"/>
      <c r="AA24" s="2962"/>
      <c r="AB24" s="2962"/>
      <c r="AC24" s="2962"/>
      <c r="AD24" s="2962"/>
      <c r="AE24" s="2878">
        <f>SUM(C24:E24)</f>
        <v>8335536</v>
      </c>
      <c r="AF24" s="3008"/>
      <c r="AG24" s="3008"/>
      <c r="AH24" s="3008"/>
      <c r="AI24" s="3008"/>
    </row>
    <row r="25" spans="2:35">
      <c r="B25" s="2873" t="s">
        <v>126</v>
      </c>
      <c r="C25" s="2889">
        <f>'FERC p402-403 Steam-Elec (c)'!E23</f>
        <v>14993617</v>
      </c>
      <c r="D25" s="2889">
        <f>'FERC p402-403 Steam-Elec (c)'!F23</f>
        <v>3351299</v>
      </c>
      <c r="E25" s="2889">
        <f>'FERC p402-403 Steam-Elec (c)'!G23</f>
        <v>31393624</v>
      </c>
      <c r="F25" s="3718"/>
      <c r="G25" s="3718"/>
      <c r="H25" s="3718"/>
      <c r="I25" s="3718"/>
      <c r="J25" s="3718"/>
      <c r="K25" s="3718"/>
      <c r="L25" s="3718"/>
      <c r="M25" s="3718"/>
      <c r="N25" s="3718"/>
      <c r="O25" s="3718"/>
      <c r="P25" s="3718"/>
      <c r="Q25" s="3718"/>
      <c r="R25" s="3718"/>
      <c r="S25" s="3718"/>
      <c r="T25" s="3718"/>
      <c r="U25" s="3718"/>
      <c r="V25" s="3718"/>
      <c r="W25" s="3718"/>
      <c r="X25" s="3718"/>
      <c r="Y25" s="3718"/>
      <c r="Z25" s="3718"/>
      <c r="AA25" s="3718"/>
      <c r="AB25" s="3718"/>
      <c r="AC25" s="3718"/>
      <c r="AD25" s="3718"/>
      <c r="AE25" s="2878">
        <f>SUM(C25:E25)</f>
        <v>49738540</v>
      </c>
      <c r="AF25" s="3008"/>
      <c r="AG25" s="3008"/>
      <c r="AH25" s="3008"/>
      <c r="AI25" s="3008"/>
    </row>
    <row r="26" spans="2:35">
      <c r="B26" s="2867" t="s">
        <v>768</v>
      </c>
      <c r="C26" s="2889">
        <f>'FERC p402-403 Steam-Elec (c)'!E24</f>
        <v>409038243</v>
      </c>
      <c r="D26" s="2889">
        <f>'FERC p402-403 Steam-Elec (c)'!F24</f>
        <v>170993459</v>
      </c>
      <c r="E26" s="2889">
        <f>'FERC p402-403 Steam-Elec (c)'!G24</f>
        <v>648549937</v>
      </c>
      <c r="F26" s="2962"/>
      <c r="G26" s="2962"/>
      <c r="H26" s="2962"/>
      <c r="I26" s="2962"/>
      <c r="J26" s="2962"/>
      <c r="K26" s="2962"/>
      <c r="L26" s="2962"/>
      <c r="M26" s="2962"/>
      <c r="N26" s="2962"/>
      <c r="O26" s="2962"/>
      <c r="P26" s="2962"/>
      <c r="Q26" s="2962"/>
      <c r="R26" s="2962"/>
      <c r="S26" s="2962"/>
      <c r="T26" s="2962"/>
      <c r="U26" s="2962"/>
      <c r="V26" s="2962"/>
      <c r="W26" s="2962"/>
      <c r="X26" s="2962"/>
      <c r="Y26" s="2962"/>
      <c r="Z26" s="2962"/>
      <c r="AA26" s="2962"/>
      <c r="AB26" s="2962"/>
      <c r="AC26" s="2962"/>
      <c r="AD26" s="2962"/>
      <c r="AE26" s="2878">
        <f>SUM(C26:E26)</f>
        <v>1228581639</v>
      </c>
      <c r="AF26" s="3008"/>
      <c r="AG26" s="3008"/>
      <c r="AH26" s="3008"/>
      <c r="AI26" s="3008"/>
    </row>
    <row r="27" spans="2:35">
      <c r="B27" s="2867" t="s">
        <v>769</v>
      </c>
      <c r="C27" s="2889">
        <f>'FERC p402-403 Steam-Elec (c)'!E25</f>
        <v>22037384</v>
      </c>
      <c r="D27" s="2889">
        <f>'FERC p402-403 Steam-Elec (c)'!F25</f>
        <v>12455466</v>
      </c>
      <c r="E27" s="2889">
        <f>'FERC p402-403 Steam-Elec (c)'!G25</f>
        <v>17350201</v>
      </c>
      <c r="F27" s="2872"/>
      <c r="G27" s="2872"/>
      <c r="H27" s="2872"/>
      <c r="I27" s="2872"/>
      <c r="J27" s="2872"/>
      <c r="K27" s="2872"/>
      <c r="L27" s="2872"/>
      <c r="M27" s="2872"/>
      <c r="N27" s="2872"/>
      <c r="O27" s="2872"/>
      <c r="P27" s="2872"/>
      <c r="Q27" s="2872"/>
      <c r="R27" s="2872"/>
      <c r="S27" s="2872"/>
      <c r="T27" s="2872"/>
      <c r="U27" s="2872"/>
      <c r="V27" s="2872"/>
      <c r="W27" s="2872"/>
      <c r="X27" s="2872"/>
      <c r="Y27" s="2872"/>
      <c r="Z27" s="2872"/>
      <c r="AA27" s="2872"/>
      <c r="AB27" s="2872"/>
      <c r="AC27" s="2872"/>
      <c r="AD27" s="2872"/>
      <c r="AE27" s="2878">
        <f>SUM(C27:E27)</f>
        <v>51843051</v>
      </c>
      <c r="AF27" s="3008"/>
      <c r="AG27" s="3008"/>
      <c r="AH27" s="3008"/>
      <c r="AI27" s="3008"/>
    </row>
    <row r="28" spans="2:35">
      <c r="B28" s="2873" t="s">
        <v>770</v>
      </c>
      <c r="C28" s="2987">
        <f>SUM(C24:C27)</f>
        <v>454201098</v>
      </c>
      <c r="D28" s="2987">
        <f>SUM(D24:D27)</f>
        <v>186800224</v>
      </c>
      <c r="E28" s="2987">
        <f>SUM(E24:E27)</f>
        <v>697497444</v>
      </c>
      <c r="F28" s="2872"/>
      <c r="G28" s="2872"/>
      <c r="H28" s="2872"/>
      <c r="I28" s="2872"/>
      <c r="J28" s="2872"/>
      <c r="K28" s="2872"/>
      <c r="L28" s="2872"/>
      <c r="M28" s="2872"/>
      <c r="N28" s="2872"/>
      <c r="O28" s="2872"/>
      <c r="P28" s="2872"/>
      <c r="Q28" s="2872"/>
      <c r="R28" s="2872"/>
      <c r="S28" s="2872"/>
      <c r="T28" s="2872"/>
      <c r="U28" s="2872"/>
      <c r="V28" s="2872"/>
      <c r="W28" s="2872"/>
      <c r="X28" s="2872"/>
      <c r="Y28" s="2872"/>
      <c r="Z28" s="2872"/>
      <c r="AA28" s="2872"/>
      <c r="AB28" s="2872"/>
      <c r="AC28" s="2872"/>
      <c r="AD28" s="2872"/>
      <c r="AE28" s="2878">
        <f>SUM(C28:E28)</f>
        <v>1338498766</v>
      </c>
      <c r="AF28" s="3008"/>
      <c r="AG28" s="3008"/>
      <c r="AH28" s="3008"/>
      <c r="AI28" s="3008"/>
    </row>
    <row r="29" spans="2:35">
      <c r="B29" s="2873" t="s">
        <v>771</v>
      </c>
      <c r="C29" s="2987">
        <f>C28/(C17*1000)</f>
        <v>1663.7402857142856</v>
      </c>
      <c r="D29" s="2987">
        <f>D28/(D17*1000)</f>
        <v>1189.8103439490446</v>
      </c>
      <c r="E29" s="2987">
        <f>E28/(E17*1000)</f>
        <v>2033.5202448979592</v>
      </c>
      <c r="F29" s="2872"/>
      <c r="G29" s="2872"/>
      <c r="H29" s="2872"/>
      <c r="I29" s="2872"/>
      <c r="J29" s="2872"/>
      <c r="K29" s="2872"/>
      <c r="L29" s="2872"/>
      <c r="M29" s="2872"/>
      <c r="N29" s="2872"/>
      <c r="O29" s="2872"/>
      <c r="P29" s="2872"/>
      <c r="Q29" s="2872"/>
      <c r="R29" s="2872"/>
      <c r="S29" s="2872"/>
      <c r="T29" s="2872"/>
      <c r="U29" s="2872"/>
      <c r="V29" s="2872"/>
      <c r="W29" s="2872"/>
      <c r="X29" s="2872"/>
      <c r="Y29" s="2872"/>
      <c r="Z29" s="2872"/>
      <c r="AA29" s="2872"/>
      <c r="AB29" s="2872"/>
      <c r="AC29" s="2872"/>
      <c r="AD29" s="2872"/>
      <c r="AE29" s="2878">
        <f>AE28/AE17</f>
        <v>1731563.7335058216</v>
      </c>
      <c r="AF29" s="3008"/>
      <c r="AG29" s="3008"/>
      <c r="AH29" s="3008"/>
      <c r="AI29" s="3008"/>
    </row>
    <row r="30" spans="2:35">
      <c r="B30" s="2873"/>
      <c r="C30" s="2890"/>
      <c r="D30" s="2890"/>
      <c r="E30" s="2890"/>
      <c r="F30" s="2872"/>
      <c r="G30" s="2872"/>
      <c r="H30" s="2872"/>
      <c r="I30" s="2872"/>
      <c r="J30" s="2872"/>
      <c r="K30" s="2872"/>
      <c r="L30" s="2872"/>
      <c r="M30" s="2872"/>
      <c r="N30" s="2872"/>
      <c r="O30" s="2872"/>
      <c r="P30" s="2872"/>
      <c r="Q30" s="2872"/>
      <c r="R30" s="2872"/>
      <c r="S30" s="2872"/>
      <c r="T30" s="2872"/>
      <c r="U30" s="2872"/>
      <c r="V30" s="2872"/>
      <c r="W30" s="2872"/>
      <c r="X30" s="2872"/>
      <c r="Y30" s="2872"/>
      <c r="Z30" s="2872"/>
      <c r="AA30" s="2872"/>
      <c r="AB30" s="2872"/>
      <c r="AC30" s="2872"/>
      <c r="AD30" s="2872"/>
      <c r="AE30" s="2879"/>
      <c r="AF30" s="3008"/>
      <c r="AG30" s="3008"/>
      <c r="AH30" s="3008"/>
      <c r="AI30" s="3008"/>
    </row>
    <row r="31" spans="2:35">
      <c r="B31" s="2873" t="s">
        <v>790</v>
      </c>
      <c r="C31" s="2889">
        <f>'Balance &amp; Depr'!$D$21*-1</f>
        <v>-265563357.59000003</v>
      </c>
      <c r="D31" s="2889">
        <f>'Balance &amp; Depr'!$D$16*-1</f>
        <v>-118137686.40000001</v>
      </c>
      <c r="E31" s="2889">
        <f>'Balance &amp; Depr'!$D$15*-1</f>
        <v>-303813495.24999994</v>
      </c>
      <c r="F31" s="2872"/>
      <c r="G31" s="2872"/>
      <c r="H31" s="2872"/>
      <c r="I31" s="2872"/>
      <c r="J31" s="2872"/>
      <c r="K31" s="2872"/>
      <c r="L31" s="2872"/>
      <c r="M31" s="2872"/>
      <c r="N31" s="2872"/>
      <c r="O31" s="2872"/>
      <c r="P31" s="2872"/>
      <c r="Q31" s="2872"/>
      <c r="R31" s="2872"/>
      <c r="S31" s="2872"/>
      <c r="T31" s="2872"/>
      <c r="U31" s="2872"/>
      <c r="V31" s="2872"/>
      <c r="W31" s="2872"/>
      <c r="X31" s="2872"/>
      <c r="Y31" s="2872"/>
      <c r="Z31" s="2872"/>
      <c r="AA31" s="2872"/>
      <c r="AB31" s="2872"/>
      <c r="AC31" s="2872"/>
      <c r="AD31" s="2872"/>
      <c r="AE31" s="2878">
        <f>SUM(C31:E31)</f>
        <v>-687514539.24000001</v>
      </c>
      <c r="AF31" s="3008"/>
      <c r="AG31" s="3008"/>
      <c r="AH31" s="3008"/>
      <c r="AI31" s="3008"/>
    </row>
    <row r="32" spans="2:35">
      <c r="B32" s="2873" t="s">
        <v>402</v>
      </c>
      <c r="C32" s="2889">
        <f>'Balance &amp; Depr'!$C$21</f>
        <v>21282816.369999997</v>
      </c>
      <c r="D32" s="2889">
        <f>'Balance &amp; Depr'!$C$16</f>
        <v>8283352.879999999</v>
      </c>
      <c r="E32" s="2889">
        <f>'Balance &amp; Depr'!$C$15</f>
        <v>29013245.269999996</v>
      </c>
      <c r="F32" s="2872"/>
      <c r="G32" s="2872"/>
      <c r="H32" s="2872"/>
      <c r="I32" s="2872"/>
      <c r="J32" s="2872"/>
      <c r="K32" s="2872"/>
      <c r="L32" s="2872"/>
      <c r="M32" s="2872"/>
      <c r="N32" s="2872"/>
      <c r="O32" s="2872"/>
      <c r="P32" s="2872"/>
      <c r="Q32" s="2872"/>
      <c r="R32" s="2872"/>
      <c r="S32" s="2872"/>
      <c r="T32" s="2872"/>
      <c r="U32" s="2872"/>
      <c r="V32" s="2872"/>
      <c r="W32" s="2872"/>
      <c r="X32" s="2872"/>
      <c r="Y32" s="2872"/>
      <c r="Z32" s="2872"/>
      <c r="AA32" s="2872"/>
      <c r="AB32" s="2872"/>
      <c r="AC32" s="2872"/>
      <c r="AD32" s="2872"/>
      <c r="AE32" s="2878">
        <f>SUM(C32:E32)</f>
        <v>58579414.519999996</v>
      </c>
      <c r="AF32" s="3008"/>
      <c r="AG32" s="3008"/>
      <c r="AH32" s="3008"/>
      <c r="AI32" s="3008"/>
    </row>
    <row r="33" spans="2:35">
      <c r="B33" s="2873"/>
      <c r="C33" s="2890"/>
      <c r="D33" s="2890"/>
      <c r="E33" s="2890"/>
      <c r="F33" s="2872"/>
      <c r="G33" s="2872"/>
      <c r="H33" s="2872"/>
      <c r="I33" s="2872"/>
      <c r="J33" s="2872"/>
      <c r="K33" s="2872"/>
      <c r="L33" s="2872"/>
      <c r="M33" s="2872"/>
      <c r="N33" s="2872"/>
      <c r="O33" s="2872"/>
      <c r="P33" s="2872"/>
      <c r="Q33" s="2872"/>
      <c r="R33" s="2872"/>
      <c r="S33" s="2872"/>
      <c r="T33" s="2872"/>
      <c r="U33" s="2872"/>
      <c r="V33" s="2872"/>
      <c r="W33" s="2872"/>
      <c r="X33" s="2872"/>
      <c r="Y33" s="2872"/>
      <c r="Z33" s="2872"/>
      <c r="AA33" s="2872"/>
      <c r="AB33" s="2872"/>
      <c r="AC33" s="2872"/>
      <c r="AD33" s="2872"/>
      <c r="AE33" s="2879"/>
      <c r="AF33" s="3008"/>
      <c r="AG33" s="3008"/>
      <c r="AH33" s="3008"/>
      <c r="AI33" s="3008"/>
    </row>
    <row r="34" spans="2:35">
      <c r="B34" s="2867" t="s">
        <v>772</v>
      </c>
      <c r="C34" s="2891">
        <f>'FERC p402-403 Steam-Elec (c)'!E28</f>
        <v>431371</v>
      </c>
      <c r="D34" s="2891">
        <f>'FERC p402-403 Steam-Elec (c)'!F28</f>
        <v>360716</v>
      </c>
      <c r="E34" s="2891">
        <f>'FERC p402-403 Steam-Elec (c)'!G28</f>
        <v>422569</v>
      </c>
      <c r="F34" s="2872"/>
      <c r="G34" s="2872"/>
      <c r="H34" s="2872"/>
      <c r="I34" s="2872"/>
      <c r="J34" s="2872"/>
      <c r="K34" s="2872"/>
      <c r="L34" s="2872"/>
      <c r="M34" s="2872"/>
      <c r="N34" s="2872"/>
      <c r="O34" s="2872"/>
      <c r="P34" s="2872"/>
      <c r="Q34" s="2872"/>
      <c r="R34" s="2872"/>
      <c r="S34" s="2872"/>
      <c r="T34" s="2872"/>
      <c r="U34" s="2872"/>
      <c r="V34" s="2872"/>
      <c r="W34" s="2872"/>
      <c r="X34" s="2872"/>
      <c r="Y34" s="2872"/>
      <c r="Z34" s="2872"/>
      <c r="AA34" s="2872"/>
      <c r="AB34" s="2872"/>
      <c r="AC34" s="2872"/>
      <c r="AD34" s="2872"/>
      <c r="AE34" s="2878">
        <f t="shared" ref="AE34:AE41" si="0">SUM(C34:E34)</f>
        <v>1214656</v>
      </c>
      <c r="AF34" s="3008"/>
      <c r="AG34" s="3008"/>
      <c r="AH34" s="3008"/>
      <c r="AI34" s="3008"/>
    </row>
    <row r="35" spans="2:35">
      <c r="B35" s="2873" t="s">
        <v>773</v>
      </c>
      <c r="C35" s="2891">
        <f>'FERC p402-403 Steam-Elec (c)'!E34</f>
        <v>666250</v>
      </c>
      <c r="D35" s="2891">
        <f>'FERC p402-403 Steam-Elec (c)'!F34</f>
        <v>635832</v>
      </c>
      <c r="E35" s="2891">
        <f>'FERC p402-403 Steam-Elec (c)'!G34</f>
        <v>883200</v>
      </c>
      <c r="F35" s="2872"/>
      <c r="G35" s="2872"/>
      <c r="H35" s="2872"/>
      <c r="I35" s="2872"/>
      <c r="J35" s="2872"/>
      <c r="K35" s="2872"/>
      <c r="L35" s="2872"/>
      <c r="M35" s="2872"/>
      <c r="N35" s="2872"/>
      <c r="O35" s="2872"/>
      <c r="P35" s="2872"/>
      <c r="Q35" s="2872"/>
      <c r="R35" s="2872"/>
      <c r="S35" s="2872"/>
      <c r="T35" s="2872"/>
      <c r="U35" s="2872"/>
      <c r="V35" s="2872"/>
      <c r="W35" s="2872"/>
      <c r="X35" s="2872"/>
      <c r="Y35" s="2872"/>
      <c r="Z35" s="2872"/>
      <c r="AA35" s="2872"/>
      <c r="AB35" s="2872"/>
      <c r="AC35" s="2872"/>
      <c r="AD35" s="2872"/>
      <c r="AE35" s="2878">
        <f t="shared" si="0"/>
        <v>2185282</v>
      </c>
      <c r="AF35" s="3008"/>
      <c r="AG35" s="3008"/>
      <c r="AH35" s="3008"/>
      <c r="AI35" s="3008"/>
    </row>
    <row r="36" spans="2:35">
      <c r="B36" s="2873" t="s">
        <v>774</v>
      </c>
      <c r="C36" s="2891">
        <f>'FERC p402-403 Steam-Elec (c)'!E36</f>
        <v>2386603.62</v>
      </c>
      <c r="D36" s="2891">
        <f>'FERC p402-403 Steam-Elec (c)'!F36</f>
        <v>832160.29</v>
      </c>
      <c r="E36" s="2891">
        <f>'FERC p402-403 Steam-Elec (c)'!G36</f>
        <v>3589340.25</v>
      </c>
      <c r="F36" s="2872"/>
      <c r="G36" s="2872"/>
      <c r="H36" s="2872"/>
      <c r="I36" s="2872"/>
      <c r="J36" s="2872"/>
      <c r="K36" s="2872"/>
      <c r="L36" s="2872"/>
      <c r="M36" s="2872"/>
      <c r="N36" s="2872"/>
      <c r="O36" s="2872"/>
      <c r="P36" s="2872"/>
      <c r="Q36" s="2872"/>
      <c r="R36" s="2872"/>
      <c r="S36" s="2872"/>
      <c r="T36" s="2872"/>
      <c r="U36" s="2872"/>
      <c r="V36" s="2872"/>
      <c r="W36" s="2872"/>
      <c r="X36" s="2872"/>
      <c r="Y36" s="2872"/>
      <c r="Z36" s="2872"/>
      <c r="AA36" s="2872"/>
      <c r="AB36" s="2872"/>
      <c r="AC36" s="2872"/>
      <c r="AD36" s="2872"/>
      <c r="AE36" s="2878">
        <f t="shared" si="0"/>
        <v>6808104.1600000001</v>
      </c>
      <c r="AF36" s="3008"/>
      <c r="AG36" s="3008"/>
      <c r="AH36" s="3008"/>
      <c r="AI36" s="3008"/>
    </row>
    <row r="37" spans="2:35">
      <c r="B37" s="2873" t="s">
        <v>775</v>
      </c>
      <c r="C37" s="2891">
        <f>'FERC p402-403 Steam-Elec (c)'!E37</f>
        <v>0</v>
      </c>
      <c r="D37" s="2891">
        <f>'FERC p402-403 Steam-Elec (c)'!F37</f>
        <v>0</v>
      </c>
      <c r="E37" s="2891">
        <f>'FERC p402-403 Steam-Elec (c)'!G37</f>
        <v>0</v>
      </c>
      <c r="F37" s="2872"/>
      <c r="G37" s="2872"/>
      <c r="H37" s="2872"/>
      <c r="I37" s="2872"/>
      <c r="J37" s="2872"/>
      <c r="K37" s="2872"/>
      <c r="L37" s="2872"/>
      <c r="M37" s="2872"/>
      <c r="N37" s="2872"/>
      <c r="O37" s="2872"/>
      <c r="P37" s="2872"/>
      <c r="Q37" s="2872"/>
      <c r="R37" s="2872"/>
      <c r="S37" s="2872"/>
      <c r="T37" s="2872"/>
      <c r="U37" s="2872"/>
      <c r="V37" s="2872"/>
      <c r="W37" s="2872"/>
      <c r="X37" s="2872"/>
      <c r="Y37" s="2872"/>
      <c r="Z37" s="2872"/>
      <c r="AA37" s="2872"/>
      <c r="AB37" s="2872"/>
      <c r="AC37" s="2872"/>
      <c r="AD37" s="2872"/>
      <c r="AE37" s="2878">
        <f t="shared" si="0"/>
        <v>0</v>
      </c>
      <c r="AF37" s="3008"/>
      <c r="AG37" s="3008"/>
      <c r="AH37" s="3008"/>
      <c r="AI37" s="3008"/>
    </row>
    <row r="38" spans="2:35">
      <c r="B38" s="2873" t="s">
        <v>776</v>
      </c>
      <c r="C38" s="2891">
        <f>'FERC p402-403 Steam-Elec (c)'!E38</f>
        <v>129525</v>
      </c>
      <c r="D38" s="2891">
        <f>'FERC p402-403 Steam-Elec (c)'!F38</f>
        <v>108691</v>
      </c>
      <c r="E38" s="2891">
        <f>'FERC p402-403 Steam-Elec (c)'!G38</f>
        <v>79306</v>
      </c>
      <c r="F38" s="2872"/>
      <c r="G38" s="2872"/>
      <c r="H38" s="2872"/>
      <c r="I38" s="2872"/>
      <c r="J38" s="2872"/>
      <c r="K38" s="2872"/>
      <c r="L38" s="2872"/>
      <c r="M38" s="2872"/>
      <c r="N38" s="2872"/>
      <c r="O38" s="2872"/>
      <c r="P38" s="2872"/>
      <c r="Q38" s="2872"/>
      <c r="R38" s="2872"/>
      <c r="S38" s="2872"/>
      <c r="T38" s="2872"/>
      <c r="U38" s="2872"/>
      <c r="V38" s="2872"/>
      <c r="W38" s="2872"/>
      <c r="X38" s="2872"/>
      <c r="Y38" s="2872"/>
      <c r="Z38" s="2872"/>
      <c r="AA38" s="2872"/>
      <c r="AB38" s="2872"/>
      <c r="AC38" s="2951"/>
      <c r="AD38" s="2872"/>
      <c r="AE38" s="2880">
        <f t="shared" si="0"/>
        <v>317522</v>
      </c>
      <c r="AF38" s="3008"/>
      <c r="AG38" s="3008"/>
      <c r="AH38" s="3008"/>
      <c r="AI38" s="3008"/>
    </row>
    <row r="39" spans="2:35">
      <c r="B39" s="2867" t="s">
        <v>777</v>
      </c>
      <c r="C39" s="2891">
        <f>'FERC p402-403 Steam-Elec (c)'!E39</f>
        <v>23153</v>
      </c>
      <c r="D39" s="2891">
        <f>'FERC p402-403 Steam-Elec (c)'!F39</f>
        <v>46924</v>
      </c>
      <c r="E39" s="2891">
        <f>'FERC p402-403 Steam-Elec (c)'!G39</f>
        <v>86090</v>
      </c>
      <c r="F39" s="2872"/>
      <c r="G39" s="2872"/>
      <c r="H39" s="2872"/>
      <c r="I39" s="2872"/>
      <c r="J39" s="2872"/>
      <c r="K39" s="2872"/>
      <c r="L39" s="2872"/>
      <c r="M39" s="2872"/>
      <c r="N39" s="2872"/>
      <c r="O39" s="2872"/>
      <c r="P39" s="2872"/>
      <c r="Q39" s="2872"/>
      <c r="R39" s="2872"/>
      <c r="S39" s="2872"/>
      <c r="T39" s="2872"/>
      <c r="U39" s="2872"/>
      <c r="V39" s="2872"/>
      <c r="W39" s="2872"/>
      <c r="X39" s="2872"/>
      <c r="Y39" s="2872"/>
      <c r="Z39" s="2872"/>
      <c r="AA39" s="2872"/>
      <c r="AB39" s="2872"/>
      <c r="AC39" s="2935"/>
      <c r="AD39" s="2872"/>
      <c r="AE39" s="2880">
        <f t="shared" si="0"/>
        <v>156167</v>
      </c>
      <c r="AF39" s="3008"/>
      <c r="AG39" s="3008"/>
      <c r="AH39" s="3008"/>
      <c r="AI39" s="3008"/>
    </row>
    <row r="40" spans="2:35">
      <c r="B40" s="2867" t="s">
        <v>778</v>
      </c>
      <c r="C40" s="2891">
        <f>'FERC p402-403 Steam-Elec (c)'!E41</f>
        <v>7441286</v>
      </c>
      <c r="D40" s="2891">
        <f>'FERC p402-403 Steam-Elec (c)'!F41</f>
        <v>4389103</v>
      </c>
      <c r="E40" s="2891">
        <f>'FERC p402-403 Steam-Elec (c)'!G41</f>
        <v>1044706</v>
      </c>
      <c r="F40" s="2872"/>
      <c r="G40" s="2872"/>
      <c r="H40" s="2872"/>
      <c r="I40" s="2872"/>
      <c r="J40" s="2872"/>
      <c r="K40" s="2872"/>
      <c r="L40" s="2872"/>
      <c r="M40" s="2872"/>
      <c r="N40" s="2872"/>
      <c r="O40" s="2872"/>
      <c r="P40" s="2872"/>
      <c r="Q40" s="2872"/>
      <c r="R40" s="2872"/>
      <c r="S40" s="2872"/>
      <c r="T40" s="2872"/>
      <c r="U40" s="2872"/>
      <c r="V40" s="2872"/>
      <c r="W40" s="2872"/>
      <c r="X40" s="2872"/>
      <c r="Y40" s="2872"/>
      <c r="Z40" s="2872"/>
      <c r="AA40" s="2872"/>
      <c r="AB40" s="2872"/>
      <c r="AC40" s="2935"/>
      <c r="AD40" s="2872"/>
      <c r="AE40" s="2880">
        <f t="shared" si="0"/>
        <v>12875095</v>
      </c>
      <c r="AF40" s="3008"/>
      <c r="AG40" s="3008"/>
      <c r="AH40" s="3008"/>
      <c r="AI40" s="3008"/>
    </row>
    <row r="41" spans="2:35">
      <c r="B41" s="2867" t="s">
        <v>779</v>
      </c>
      <c r="C41" s="2988">
        <f>SUM(C34:C40)</f>
        <v>11078188.620000001</v>
      </c>
      <c r="D41" s="2988">
        <f>SUM(D34:D40)</f>
        <v>6373426.29</v>
      </c>
      <c r="E41" s="2988">
        <f>SUM(E34:E40)</f>
        <v>6105211.25</v>
      </c>
      <c r="F41" s="2872"/>
      <c r="G41" s="2872"/>
      <c r="H41" s="2872"/>
      <c r="I41" s="2872"/>
      <c r="J41" s="2872"/>
      <c r="K41" s="2872"/>
      <c r="L41" s="2872"/>
      <c r="M41" s="2872"/>
      <c r="N41" s="2872"/>
      <c r="O41" s="2872"/>
      <c r="P41" s="2872"/>
      <c r="Q41" s="2872"/>
      <c r="R41" s="2872"/>
      <c r="S41" s="2872"/>
      <c r="T41" s="2872"/>
      <c r="U41" s="2872"/>
      <c r="V41" s="2872"/>
      <c r="W41" s="2872"/>
      <c r="X41" s="2872"/>
      <c r="Y41" s="2872"/>
      <c r="Z41" s="2872"/>
      <c r="AA41" s="2872"/>
      <c r="AB41" s="2872"/>
      <c r="AC41" s="2872"/>
      <c r="AD41" s="2872"/>
      <c r="AE41" s="2878">
        <f t="shared" si="0"/>
        <v>23556826.16</v>
      </c>
      <c r="AF41" s="3008"/>
      <c r="AG41" s="3008"/>
      <c r="AH41" s="3008"/>
      <c r="AI41" s="3008"/>
    </row>
    <row r="42" spans="2:35" ht="12" thickBot="1">
      <c r="B42" s="2875" t="s">
        <v>780</v>
      </c>
      <c r="C42" s="3009">
        <f>C41/C22</f>
        <v>2.1088786605002414E-2</v>
      </c>
      <c r="D42" s="3009">
        <f>D41/D22</f>
        <v>1.9387625422595652E-2</v>
      </c>
      <c r="E42" s="3009">
        <f>E41/E22</f>
        <v>8.5818050434660273E-3</v>
      </c>
      <c r="F42" s="3719"/>
      <c r="G42" s="3719"/>
      <c r="H42" s="3719"/>
      <c r="I42" s="3719"/>
      <c r="J42" s="3719"/>
      <c r="K42" s="3719"/>
      <c r="L42" s="3719"/>
      <c r="M42" s="3719"/>
      <c r="N42" s="3719"/>
      <c r="O42" s="3719"/>
      <c r="P42" s="3719"/>
      <c r="Q42" s="3719"/>
      <c r="R42" s="3719"/>
      <c r="S42" s="3719"/>
      <c r="T42" s="3719"/>
      <c r="U42" s="3719"/>
      <c r="V42" s="3719"/>
      <c r="W42" s="3719"/>
      <c r="X42" s="3719"/>
      <c r="Y42" s="3719"/>
      <c r="Z42" s="3719"/>
      <c r="AA42" s="3719"/>
      <c r="AB42" s="3719"/>
      <c r="AC42" s="3719"/>
      <c r="AD42" s="3719"/>
      <c r="AE42" s="2881">
        <f>AE41/AE22</f>
        <v>1.5047842434337452E-2</v>
      </c>
      <c r="AF42" s="3008"/>
      <c r="AG42" s="3008"/>
      <c r="AH42" s="3008"/>
      <c r="AI42" s="3008"/>
    </row>
    <row r="43" spans="2:35" ht="12" thickTop="1">
      <c r="B43" s="3720"/>
      <c r="C43" s="3721"/>
      <c r="D43" s="3721"/>
      <c r="E43" s="3721"/>
      <c r="F43" s="3721"/>
      <c r="G43" s="3721"/>
      <c r="H43" s="3721"/>
      <c r="I43" s="3721"/>
      <c r="J43" s="3721"/>
      <c r="K43" s="3721"/>
      <c r="L43" s="3721"/>
      <c r="M43" s="3721"/>
      <c r="N43" s="3721"/>
      <c r="O43" s="3721"/>
      <c r="P43" s="3721"/>
      <c r="Q43" s="3721"/>
      <c r="R43" s="3721"/>
      <c r="S43" s="3721"/>
      <c r="T43" s="3721"/>
      <c r="U43" s="3721"/>
      <c r="V43" s="3721"/>
      <c r="W43" s="3721"/>
      <c r="X43" s="3721"/>
      <c r="Y43" s="3721"/>
      <c r="Z43" s="3721"/>
      <c r="AA43" s="3721"/>
      <c r="AB43" s="3721"/>
      <c r="AC43" s="3721"/>
      <c r="AD43" s="3721"/>
    </row>
  </sheetData>
  <mergeCells count="4">
    <mergeCell ref="B4:AE4"/>
    <mergeCell ref="B5:AE5"/>
    <mergeCell ref="B6:AE6"/>
    <mergeCell ref="B7:AE7"/>
  </mergeCells>
  <conditionalFormatting sqref="AB39:AC39">
    <cfRule type="expression" dxfId="8" priority="1" stopIfTrue="1">
      <formula>MOD(ROW(),2)=1</formula>
    </cfRule>
  </conditionalFormatting>
  <hyperlinks>
    <hyperlink ref="B2" location="TOC!A1" display="TOC" xr:uid="{00000000-0004-0000-13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indexed="60"/>
  </sheetPr>
  <dimension ref="A1:AA51"/>
  <sheetViews>
    <sheetView workbookViewId="0">
      <pane xSplit="1" ySplit="14" topLeftCell="B15" activePane="bottomRight" state="frozen"/>
      <selection pane="topRight" activeCell="B1" sqref="B1"/>
      <selection pane="bottomLeft" activeCell="A15" sqref="A15"/>
      <selection pane="bottomRight" sqref="A1:XFD1048576"/>
    </sheetView>
  </sheetViews>
  <sheetFormatPr defaultColWidth="9" defaultRowHeight="11.25"/>
  <cols>
    <col min="1" max="1" width="41.5" style="546" customWidth="1"/>
    <col min="2" max="2" width="13.625" style="546" customWidth="1"/>
    <col min="3" max="3" width="13.625" style="546" bestFit="1" customWidth="1"/>
    <col min="4" max="5" width="12" style="546" bestFit="1" customWidth="1"/>
    <col min="6" max="6" width="12.25" style="546" bestFit="1" customWidth="1"/>
    <col min="7" max="8" width="12" style="546" bestFit="1" customWidth="1"/>
    <col min="9" max="9" width="11.25" style="546" bestFit="1" customWidth="1"/>
    <col min="10" max="10" width="12" style="546" bestFit="1" customWidth="1"/>
    <col min="11" max="14" width="11.25" style="546" bestFit="1" customWidth="1"/>
    <col min="15" max="26" width="2.125" style="546" customWidth="1"/>
    <col min="27" max="27" width="11.75" style="546" bestFit="1" customWidth="1"/>
    <col min="28" max="16384" width="9" style="546"/>
  </cols>
  <sheetData>
    <row r="1" spans="1:27">
      <c r="A1" s="2894"/>
    </row>
    <row r="2" spans="1:27">
      <c r="A2" s="2895" t="s">
        <v>685</v>
      </c>
    </row>
    <row r="3" spans="1:27" ht="12" thickBot="1">
      <c r="A3" s="2896"/>
    </row>
    <row r="4" spans="1:27" ht="12" thickTop="1">
      <c r="A4" s="3727" t="s">
        <v>54</v>
      </c>
      <c r="B4" s="3728"/>
      <c r="C4" s="3728"/>
      <c r="D4" s="3728"/>
      <c r="E4" s="3728"/>
      <c r="F4" s="3728"/>
      <c r="G4" s="3728"/>
      <c r="H4" s="3728"/>
      <c r="I4" s="3728"/>
      <c r="J4" s="3728"/>
      <c r="K4" s="3728"/>
      <c r="L4" s="3728"/>
      <c r="M4" s="3728"/>
      <c r="N4" s="3728"/>
      <c r="O4" s="3728"/>
      <c r="P4" s="3728"/>
      <c r="Q4" s="3728"/>
      <c r="R4" s="3728"/>
      <c r="S4" s="3728"/>
      <c r="T4" s="3728"/>
      <c r="U4" s="3728"/>
      <c r="V4" s="3728"/>
      <c r="W4" s="3728"/>
      <c r="X4" s="3728"/>
      <c r="Y4" s="3728"/>
      <c r="Z4" s="3728"/>
      <c r="AA4" s="3729"/>
    </row>
    <row r="5" spans="1:27">
      <c r="A5" s="3739" t="s">
        <v>56</v>
      </c>
      <c r="B5" s="3740"/>
      <c r="C5" s="3740"/>
      <c r="D5" s="3740"/>
      <c r="E5" s="3740"/>
      <c r="F5" s="3740"/>
      <c r="G5" s="3740"/>
      <c r="H5" s="3740"/>
      <c r="I5" s="3740"/>
      <c r="J5" s="3740"/>
      <c r="K5" s="3740"/>
      <c r="L5" s="3740"/>
      <c r="M5" s="3740"/>
      <c r="N5" s="3740"/>
      <c r="O5" s="3740"/>
      <c r="P5" s="3740"/>
      <c r="Q5" s="3740"/>
      <c r="R5" s="3740"/>
      <c r="S5" s="3740"/>
      <c r="T5" s="3740"/>
      <c r="U5" s="3740"/>
      <c r="V5" s="3740"/>
      <c r="W5" s="3740"/>
      <c r="X5" s="3740"/>
      <c r="Y5" s="3740"/>
      <c r="Z5" s="3740"/>
      <c r="AA5" s="3741"/>
    </row>
    <row r="6" spans="1:27" ht="12" thickBot="1">
      <c r="A6" s="3918" t="s">
        <v>709</v>
      </c>
      <c r="B6" s="3919"/>
      <c r="C6" s="3919"/>
      <c r="D6" s="3919"/>
      <c r="E6" s="3919"/>
      <c r="F6" s="3919"/>
      <c r="G6" s="3919"/>
      <c r="H6" s="3919"/>
      <c r="I6" s="3919"/>
      <c r="J6" s="3919"/>
      <c r="K6" s="3919"/>
      <c r="L6" s="3919"/>
      <c r="M6" s="3919"/>
      <c r="N6" s="3919"/>
      <c r="O6" s="3919"/>
      <c r="P6" s="3919"/>
      <c r="Q6" s="3919"/>
      <c r="R6" s="3919"/>
      <c r="S6" s="3919"/>
      <c r="T6" s="3919"/>
      <c r="U6" s="3919"/>
      <c r="V6" s="3919"/>
      <c r="W6" s="3919"/>
      <c r="X6" s="3919"/>
      <c r="Y6" s="3919"/>
      <c r="Z6" s="3919"/>
      <c r="AA6" s="3920"/>
    </row>
    <row r="7" spans="1:27">
      <c r="A7" s="2856" t="str">
        <f>'Sch 1- Rate Base '!E5</f>
        <v>PUGET SOUND ENERGY</v>
      </c>
      <c r="B7" s="2857"/>
      <c r="C7" s="2897"/>
      <c r="D7" s="2898"/>
      <c r="E7" s="2899"/>
      <c r="F7" s="3062"/>
      <c r="G7" s="3061"/>
      <c r="H7" s="2902"/>
      <c r="I7" s="2902"/>
      <c r="J7" s="2902"/>
      <c r="K7" s="2902"/>
      <c r="L7" s="2902"/>
      <c r="M7" s="2902"/>
      <c r="N7" s="2902"/>
      <c r="O7" s="2902"/>
      <c r="P7" s="2902"/>
      <c r="Q7" s="2902"/>
      <c r="R7" s="2902"/>
      <c r="S7" s="2902"/>
      <c r="T7" s="2902"/>
      <c r="U7" s="2902"/>
      <c r="V7" s="2902"/>
      <c r="W7" s="2902"/>
      <c r="X7" s="2902"/>
      <c r="Y7" s="2902"/>
      <c r="Z7" s="2902"/>
      <c r="AA7" s="2859"/>
    </row>
    <row r="8" spans="1:27" ht="12" thickBot="1">
      <c r="A8" s="2903">
        <f>'Sch 1- Rate Base '!E7</f>
        <v>45474</v>
      </c>
      <c r="B8" s="2860">
        <f>'Sch 1- Rate Base '!E6</f>
        <v>2023</v>
      </c>
      <c r="C8" s="2897"/>
      <c r="D8" s="2898"/>
      <c r="E8" s="2899"/>
      <c r="F8" s="3062"/>
      <c r="G8" s="3061"/>
      <c r="H8" s="2902"/>
      <c r="I8" s="2902"/>
      <c r="J8" s="2902"/>
      <c r="K8" s="2902"/>
      <c r="L8" s="2902"/>
      <c r="M8" s="2902"/>
      <c r="N8" s="2902"/>
      <c r="O8" s="2902"/>
      <c r="P8" s="2902"/>
      <c r="Q8" s="2902"/>
      <c r="R8" s="2902"/>
      <c r="S8" s="2902"/>
      <c r="T8" s="2902"/>
      <c r="U8" s="2902"/>
      <c r="V8" s="2902"/>
      <c r="W8" s="2902"/>
      <c r="X8" s="2902"/>
      <c r="Y8" s="2902"/>
      <c r="Z8" s="2902"/>
      <c r="AA8" s="2859"/>
    </row>
    <row r="9" spans="1:27">
      <c r="A9" s="2862"/>
      <c r="B9" s="2863"/>
      <c r="C9" s="2897"/>
      <c r="D9" s="2898"/>
      <c r="E9" s="2899"/>
      <c r="F9" s="3062"/>
      <c r="G9" s="3061"/>
      <c r="H9" s="2902"/>
      <c r="I9" s="2902"/>
      <c r="J9" s="2902"/>
      <c r="K9" s="2902"/>
      <c r="L9" s="2902"/>
      <c r="M9" s="2902"/>
      <c r="N9" s="2902"/>
      <c r="O9" s="2902"/>
      <c r="P9" s="2902"/>
      <c r="Q9" s="2902"/>
      <c r="R9" s="2902"/>
      <c r="S9" s="2902"/>
      <c r="T9" s="2902"/>
      <c r="U9" s="2902"/>
      <c r="V9" s="2902"/>
      <c r="W9" s="2902"/>
      <c r="X9" s="2902"/>
      <c r="Y9" s="2902"/>
      <c r="Z9" s="2902"/>
      <c r="AA9" s="2859"/>
    </row>
    <row r="10" spans="1:27" ht="12" thickBot="1">
      <c r="A10" s="2862" t="s">
        <v>280</v>
      </c>
      <c r="B10" s="2904">
        <f>'Sch 2 -Rate of Return'!E14</f>
        <v>8.3803797468354424E-2</v>
      </c>
      <c r="C10" s="2905"/>
      <c r="D10" s="2902"/>
      <c r="E10" s="2902"/>
      <c r="F10" s="2902"/>
      <c r="G10" s="2902"/>
      <c r="H10" s="2902"/>
      <c r="I10" s="2902"/>
      <c r="J10" s="2902"/>
      <c r="K10" s="2902"/>
      <c r="L10" s="2902"/>
      <c r="M10" s="2902"/>
      <c r="N10" s="2902"/>
      <c r="O10" s="2902"/>
      <c r="P10" s="2902"/>
      <c r="Q10" s="2902"/>
      <c r="R10" s="2902"/>
      <c r="S10" s="2902"/>
      <c r="T10" s="2902"/>
      <c r="U10" s="2902"/>
      <c r="V10" s="2902"/>
      <c r="W10" s="2902"/>
      <c r="X10" s="2902"/>
      <c r="Y10" s="2902"/>
      <c r="Z10" s="2902"/>
      <c r="AA10" s="2859"/>
    </row>
    <row r="11" spans="1:27" ht="12" thickBot="1">
      <c r="A11" s="2906"/>
      <c r="B11" s="3059">
        <f t="shared" ref="B11:N11" si="0">IF(B14="Coal", 1,IF(B14="Hydro",2,IF(B14="Geo-Therm", 1, IF(B14="Natural Gas", 3,IF(B14="Wind",3,IF(B14= "Form 1 LF",4,IF(B14="Form 1 SF",5,"")))))))</f>
        <v>3</v>
      </c>
      <c r="C11" s="3058">
        <f t="shared" si="0"/>
        <v>4</v>
      </c>
      <c r="D11" s="3058">
        <f t="shared" si="0"/>
        <v>1</v>
      </c>
      <c r="E11" s="3058">
        <f t="shared" si="0"/>
        <v>3</v>
      </c>
      <c r="F11" s="3060">
        <f t="shared" si="0"/>
        <v>3</v>
      </c>
      <c r="G11" s="3059">
        <f t="shared" si="0"/>
        <v>3</v>
      </c>
      <c r="H11" s="3058">
        <f t="shared" si="0"/>
        <v>3</v>
      </c>
      <c r="I11" s="3058">
        <f t="shared" si="0"/>
        <v>3</v>
      </c>
      <c r="J11" s="3058">
        <f t="shared" si="0"/>
        <v>3</v>
      </c>
      <c r="K11" s="3058">
        <f t="shared" si="0"/>
        <v>3</v>
      </c>
      <c r="L11" s="3058">
        <f t="shared" si="0"/>
        <v>3</v>
      </c>
      <c r="M11" s="3058">
        <f t="shared" si="0"/>
        <v>3</v>
      </c>
      <c r="N11" s="3058">
        <f t="shared" si="0"/>
        <v>3</v>
      </c>
      <c r="O11" s="3676"/>
      <c r="P11" s="3676"/>
      <c r="Q11" s="3676"/>
      <c r="R11" s="3676"/>
      <c r="S11" s="3676"/>
      <c r="T11" s="3676"/>
      <c r="U11" s="3676"/>
      <c r="V11" s="3676"/>
      <c r="W11" s="3676"/>
      <c r="X11" s="3676"/>
      <c r="Y11" s="3676"/>
      <c r="Z11" s="3676"/>
      <c r="AA11" s="2910"/>
    </row>
    <row r="12" spans="1:27" ht="12" thickBot="1">
      <c r="A12" s="2911"/>
      <c r="B12" s="3057"/>
      <c r="C12" s="3057" t="s">
        <v>6834</v>
      </c>
      <c r="D12" s="3057" t="s">
        <v>6835</v>
      </c>
      <c r="E12" s="3057" t="s">
        <v>4573</v>
      </c>
      <c r="F12" s="3057" t="s">
        <v>6836</v>
      </c>
      <c r="G12" s="3057" t="s">
        <v>4578</v>
      </c>
      <c r="H12" s="3057" t="s">
        <v>6837</v>
      </c>
      <c r="I12" s="3057" t="s">
        <v>4583</v>
      </c>
      <c r="J12" s="3057" t="s">
        <v>4574</v>
      </c>
      <c r="K12" s="3057" t="s">
        <v>6838</v>
      </c>
      <c r="L12" s="3057" t="s">
        <v>4575</v>
      </c>
      <c r="M12" s="3057" t="s">
        <v>6839</v>
      </c>
      <c r="N12" s="3057" t="s">
        <v>6840</v>
      </c>
      <c r="O12" s="3677"/>
      <c r="P12" s="3677"/>
      <c r="Q12" s="3677"/>
      <c r="R12" s="3677"/>
      <c r="S12" s="3677"/>
      <c r="T12" s="3677"/>
      <c r="U12" s="3677"/>
      <c r="V12" s="3677"/>
      <c r="W12" s="3677"/>
      <c r="X12" s="3677"/>
      <c r="Y12" s="3677"/>
      <c r="Z12" s="3677"/>
      <c r="AA12" s="3056" t="s">
        <v>284</v>
      </c>
    </row>
    <row r="13" spans="1:27">
      <c r="A13" s="2914" t="s">
        <v>281</v>
      </c>
      <c r="B13" s="3055"/>
      <c r="C13" s="3055"/>
      <c r="D13" s="3055">
        <v>1984</v>
      </c>
      <c r="E13" s="3055">
        <v>1993</v>
      </c>
      <c r="F13" s="3055">
        <v>2002</v>
      </c>
      <c r="G13" s="3055">
        <v>2004</v>
      </c>
      <c r="H13" s="3055">
        <v>2007</v>
      </c>
      <c r="I13" s="3055">
        <v>1993</v>
      </c>
      <c r="J13" s="3055">
        <v>1994</v>
      </c>
      <c r="K13" s="3055">
        <v>1981</v>
      </c>
      <c r="L13" s="3055">
        <v>1981</v>
      </c>
      <c r="M13" s="3055">
        <v>1984</v>
      </c>
      <c r="N13" s="3055">
        <v>2001</v>
      </c>
      <c r="O13" s="3678"/>
      <c r="P13" s="3678"/>
      <c r="Q13" s="3678"/>
      <c r="R13" s="3678"/>
      <c r="S13" s="3678"/>
      <c r="T13" s="3678"/>
      <c r="U13" s="3678"/>
      <c r="V13" s="3678"/>
      <c r="W13" s="3678"/>
      <c r="X13" s="3678"/>
      <c r="Y13" s="3678"/>
      <c r="Z13" s="3678"/>
      <c r="AA13" s="3054"/>
    </row>
    <row r="14" spans="1:27" ht="12" thickBot="1">
      <c r="A14" s="2917" t="s">
        <v>282</v>
      </c>
      <c r="B14" s="3053" t="s">
        <v>6843</v>
      </c>
      <c r="C14" s="3053" t="s">
        <v>6841</v>
      </c>
      <c r="D14" s="3053" t="s">
        <v>6579</v>
      </c>
      <c r="E14" s="3053" t="s">
        <v>6842</v>
      </c>
      <c r="F14" s="3053" t="s">
        <v>6842</v>
      </c>
      <c r="G14" s="3053" t="s">
        <v>6842</v>
      </c>
      <c r="H14" s="3053" t="s">
        <v>6842</v>
      </c>
      <c r="I14" s="3053" t="s">
        <v>6842</v>
      </c>
      <c r="J14" s="3053" t="s">
        <v>6842</v>
      </c>
      <c r="K14" s="3053" t="s">
        <v>6842</v>
      </c>
      <c r="L14" s="3053" t="s">
        <v>6842</v>
      </c>
      <c r="M14" s="3053" t="s">
        <v>6842</v>
      </c>
      <c r="N14" s="3053" t="s">
        <v>6842</v>
      </c>
      <c r="O14" s="3679"/>
      <c r="P14" s="3679"/>
      <c r="Q14" s="3679"/>
      <c r="R14" s="3679"/>
      <c r="S14" s="3679"/>
      <c r="T14" s="3679"/>
      <c r="U14" s="3679"/>
      <c r="V14" s="3679"/>
      <c r="W14" s="3679"/>
      <c r="X14" s="3679"/>
      <c r="Y14" s="3679"/>
      <c r="Z14" s="3679"/>
      <c r="AA14" s="2919"/>
    </row>
    <row r="15" spans="1:27">
      <c r="A15" s="2867" t="s">
        <v>551</v>
      </c>
      <c r="B15" s="3052">
        <f>Wind_Resources_Costs!AE22</f>
        <v>1565462043</v>
      </c>
      <c r="C15" s="3052">
        <f>'3-YEAR PP &amp; OSS Worksheet'!E12*1000</f>
        <v>243042000</v>
      </c>
      <c r="D15" s="3052">
        <f>'FERC p402-403 Steam-Elec (a)'!C23</f>
        <v>2673671000</v>
      </c>
      <c r="E15" s="3051">
        <f>'FERC p402-403 Steam-Elec (a)'!D23</f>
        <v>903027000</v>
      </c>
      <c r="F15" s="3051">
        <f>'FERC p402-403 Steam-Elec (a)'!F23</f>
        <v>909289677</v>
      </c>
      <c r="G15" s="3051">
        <f>'FERC p402-403 Steam-Elec (a)'!G23</f>
        <v>2212693000</v>
      </c>
      <c r="H15" s="3050">
        <f>'FERC p402-403 Steam-Elec (a)'!H23</f>
        <v>1989583200</v>
      </c>
      <c r="I15" s="3050">
        <f>'FERC p402-403 Steam-Elec (b)'!C21</f>
        <v>834872700</v>
      </c>
      <c r="J15" s="3050">
        <f>'FERC p402-403 Steam-Elec (b)'!D21</f>
        <v>1529332001</v>
      </c>
      <c r="K15" s="3050">
        <f>'FERC p402-403 Steam-Elec (b)'!$F$21</f>
        <v>448958000</v>
      </c>
      <c r="L15" s="3050">
        <f>'FERC p402-403 Steam-Elec (b)'!$H$21</f>
        <v>159586760</v>
      </c>
      <c r="M15" s="2923">
        <f>'FERC p402-403 Steam-Elec (b)'!$J$21</f>
        <v>679146600</v>
      </c>
      <c r="N15" s="2923">
        <f>'FERC p402-403 Steam-Elec (c)'!$C$21</f>
        <v>287933100</v>
      </c>
      <c r="O15" s="3680"/>
      <c r="P15" s="3680"/>
      <c r="Q15" s="3680"/>
      <c r="R15" s="3680"/>
      <c r="S15" s="3680"/>
      <c r="T15" s="3680"/>
      <c r="U15" s="3680"/>
      <c r="V15" s="3680"/>
      <c r="W15" s="3680"/>
      <c r="X15" s="3680"/>
      <c r="Y15" s="3680"/>
      <c r="Z15" s="3680"/>
      <c r="AA15" s="2868">
        <f>SUM(B15:N15)</f>
        <v>14436597081</v>
      </c>
    </row>
    <row r="16" spans="1:27">
      <c r="A16" s="2867"/>
      <c r="B16" s="3052"/>
      <c r="C16" s="3052"/>
      <c r="D16" s="3052"/>
      <c r="E16" s="3051"/>
      <c r="F16" s="3051"/>
      <c r="G16" s="3051"/>
      <c r="H16" s="3050"/>
      <c r="I16" s="3050"/>
      <c r="J16" s="3050"/>
      <c r="K16" s="3050"/>
      <c r="L16" s="3050"/>
      <c r="M16" s="2923"/>
      <c r="N16" s="2923"/>
      <c r="O16" s="3680"/>
      <c r="P16" s="3680"/>
      <c r="Q16" s="3680"/>
      <c r="R16" s="3680"/>
      <c r="S16" s="3680"/>
      <c r="T16" s="3680"/>
      <c r="U16" s="3680"/>
      <c r="V16" s="3680"/>
      <c r="W16" s="3680"/>
      <c r="X16" s="3680"/>
      <c r="Y16" s="3680"/>
      <c r="Z16" s="3680"/>
      <c r="AA16" s="2868"/>
    </row>
    <row r="17" spans="1:27">
      <c r="A17" s="2867" t="s">
        <v>552</v>
      </c>
      <c r="B17" s="3033">
        <f>Wind_Resources_Costs!AE28</f>
        <v>1338498766</v>
      </c>
      <c r="C17" s="3033"/>
      <c r="D17" s="2890">
        <f>'Balance &amp; Depr'!$F$7</f>
        <v>579360140.94005489</v>
      </c>
      <c r="E17" s="3049">
        <f>'Balance &amp; Depr'!$F$9</f>
        <v>166059393.84236398</v>
      </c>
      <c r="F17" s="3049">
        <f>'Balance &amp; Depr'!$F$12</f>
        <v>73657770.548968583</v>
      </c>
      <c r="G17" s="3049">
        <f>'Balance &amp; Depr'!$F$14</f>
        <v>340325353.64928097</v>
      </c>
      <c r="H17" s="3048">
        <f>'Balance &amp; Depr'!$F$17</f>
        <v>128064732.22676046</v>
      </c>
      <c r="I17" s="3048">
        <f>'Balance &amp; Depr'!$F$19</f>
        <v>84580603.149103329</v>
      </c>
      <c r="J17" s="3048">
        <f>'Balance &amp; Depr'!$F$10</f>
        <v>153305797.03357565</v>
      </c>
      <c r="K17" s="3048">
        <f>'Balance &amp; Depr'!$F$20</f>
        <v>40193863.455567196</v>
      </c>
      <c r="L17" s="3048">
        <f>'Balance &amp; Depr'!$F$11</f>
        <v>43061415.263025992</v>
      </c>
      <c r="M17" s="2924">
        <f>'Balance &amp; Depr'!$F$26</f>
        <v>90796244.489999995</v>
      </c>
      <c r="N17" s="2924">
        <f>'Balance &amp; Depr'!$F$27</f>
        <v>66020237.890000001</v>
      </c>
      <c r="O17" s="3681"/>
      <c r="P17" s="3681"/>
      <c r="Q17" s="3681"/>
      <c r="R17" s="3681"/>
      <c r="S17" s="3681"/>
      <c r="T17" s="3681"/>
      <c r="U17" s="3681"/>
      <c r="V17" s="3681"/>
      <c r="W17" s="3681"/>
      <c r="X17" s="3681"/>
      <c r="Y17" s="3681"/>
      <c r="Z17" s="3681"/>
      <c r="AA17" s="2868">
        <f>SUM(B17:N17)</f>
        <v>3103924318.4887004</v>
      </c>
    </row>
    <row r="18" spans="1:27">
      <c r="A18" s="2867" t="s">
        <v>553</v>
      </c>
      <c r="B18" s="3047">
        <f>Wind_Resources_Costs!AE31</f>
        <v>-687514539.24000001</v>
      </c>
      <c r="C18" s="3047"/>
      <c r="D18" s="3047">
        <f>'Balance &amp; Depr'!$D$7*-1</f>
        <v>-488243167.7299999</v>
      </c>
      <c r="E18" s="3046">
        <f>'Balance &amp; Depr'!$D$9*-1</f>
        <v>-135570302.31</v>
      </c>
      <c r="F18" s="3046">
        <f>'Balance &amp; Depr'!$D$12*-1</f>
        <v>-34046744.609999999</v>
      </c>
      <c r="G18" s="3046">
        <f>'Balance &amp; Depr'!$D$14*-1</f>
        <v>-251922239.03999999</v>
      </c>
      <c r="H18" s="3045">
        <f>'Balance &amp; Depr'!$D$17*-1</f>
        <v>-16059156.959999999</v>
      </c>
      <c r="I18" s="3045">
        <f>'Balance &amp; Depr'!$D$19*-1</f>
        <v>-58401602.249999985</v>
      </c>
      <c r="J18" s="3045">
        <f>'Balance &amp; Depr'!$D$10*-1</f>
        <v>-83888482.460000008</v>
      </c>
      <c r="K18" s="3045">
        <f>'Balance &amp; Depr'!$D$20*-1</f>
        <v>-31204305.739999998</v>
      </c>
      <c r="L18" s="3045">
        <f>'Balance &amp; Depr'!$D$11*-1</f>
        <v>-32913279.850000001</v>
      </c>
      <c r="M18" s="3045">
        <f>'Balance &amp; Depr'!$D$26*-1</f>
        <v>-54503105.229999997</v>
      </c>
      <c r="N18" s="3045">
        <f>'Balance &amp; Depr'!$D$27*-1</f>
        <v>-44945959.25</v>
      </c>
      <c r="O18" s="3682"/>
      <c r="P18" s="3682"/>
      <c r="Q18" s="3682"/>
      <c r="R18" s="3682"/>
      <c r="S18" s="3682"/>
      <c r="T18" s="3682"/>
      <c r="U18" s="3682"/>
      <c r="V18" s="3682"/>
      <c r="W18" s="3682"/>
      <c r="X18" s="3682"/>
      <c r="Y18" s="3682"/>
      <c r="Z18" s="3682"/>
      <c r="AA18" s="3044">
        <f>SUM(B18:N18)</f>
        <v>-1919212884.6699996</v>
      </c>
    </row>
    <row r="19" spans="1:27">
      <c r="A19" s="2867"/>
      <c r="B19" s="3042"/>
      <c r="C19" s="3043"/>
      <c r="D19" s="3043"/>
      <c r="E19" s="3042"/>
      <c r="F19" s="3043"/>
      <c r="G19" s="3043"/>
      <c r="H19" s="3042"/>
      <c r="I19" s="3042"/>
      <c r="J19" s="3042"/>
      <c r="K19" s="3042"/>
      <c r="L19" s="3042"/>
      <c r="M19" s="2931"/>
      <c r="N19" s="2931"/>
      <c r="O19" s="3683"/>
      <c r="P19" s="3683"/>
      <c r="Q19" s="3683"/>
      <c r="R19" s="3683"/>
      <c r="S19" s="3683"/>
      <c r="T19" s="3683"/>
      <c r="U19" s="3683"/>
      <c r="V19" s="3683"/>
      <c r="W19" s="3683"/>
      <c r="X19" s="3683"/>
      <c r="Y19" s="3683"/>
      <c r="Z19" s="3683"/>
      <c r="AA19" s="2870"/>
    </row>
    <row r="20" spans="1:27">
      <c r="A20" s="2932" t="s">
        <v>554</v>
      </c>
      <c r="B20" s="3041">
        <f t="shared" ref="B20:N20" si="1">B17+B18</f>
        <v>650984226.75999999</v>
      </c>
      <c r="C20" s="3041">
        <f t="shared" si="1"/>
        <v>0</v>
      </c>
      <c r="D20" s="3041">
        <f t="shared" si="1"/>
        <v>91116973.210054994</v>
      </c>
      <c r="E20" s="3041">
        <f t="shared" si="1"/>
        <v>30489091.532363981</v>
      </c>
      <c r="F20" s="3041">
        <f t="shared" si="1"/>
        <v>39611025.938968584</v>
      </c>
      <c r="G20" s="3041">
        <f t="shared" si="1"/>
        <v>88403114.609280974</v>
      </c>
      <c r="H20" s="3041">
        <f t="shared" si="1"/>
        <v>112005575.26676047</v>
      </c>
      <c r="I20" s="3041">
        <f t="shared" si="1"/>
        <v>26179000.899103343</v>
      </c>
      <c r="J20" s="3041">
        <f t="shared" si="1"/>
        <v>69417314.573575646</v>
      </c>
      <c r="K20" s="3041">
        <f t="shared" si="1"/>
        <v>8989557.7155671977</v>
      </c>
      <c r="L20" s="3041">
        <f t="shared" si="1"/>
        <v>10148135.41302599</v>
      </c>
      <c r="M20" s="3041">
        <f t="shared" si="1"/>
        <v>36293139.259999998</v>
      </c>
      <c r="N20" s="3041">
        <f t="shared" si="1"/>
        <v>21074278.640000001</v>
      </c>
      <c r="O20" s="3684"/>
      <c r="P20" s="3684"/>
      <c r="Q20" s="3684"/>
      <c r="R20" s="3684"/>
      <c r="S20" s="3684"/>
      <c r="T20" s="3684"/>
      <c r="U20" s="3684"/>
      <c r="V20" s="3684"/>
      <c r="W20" s="3684"/>
      <c r="X20" s="3684"/>
      <c r="Y20" s="3684"/>
      <c r="Z20" s="3684"/>
      <c r="AA20" s="2934">
        <f>SUM(B20:N20)</f>
        <v>1184711433.8187013</v>
      </c>
    </row>
    <row r="21" spans="1:27">
      <c r="A21" s="2867" t="s">
        <v>435</v>
      </c>
      <c r="B21" s="2871"/>
      <c r="C21" s="2871"/>
      <c r="D21" s="3033"/>
      <c r="E21" s="3032"/>
      <c r="F21" s="3032"/>
      <c r="G21" s="3032"/>
      <c r="H21" s="2927"/>
      <c r="I21" s="2927"/>
      <c r="J21" s="2927"/>
      <c r="K21" s="2927"/>
      <c r="L21" s="2927"/>
      <c r="M21" s="2927"/>
      <c r="N21" s="2927"/>
      <c r="O21" s="3685"/>
      <c r="P21" s="3685"/>
      <c r="Q21" s="3685"/>
      <c r="R21" s="3685"/>
      <c r="S21" s="3685"/>
      <c r="T21" s="3685"/>
      <c r="U21" s="3685"/>
      <c r="V21" s="3685"/>
      <c r="W21" s="3685"/>
      <c r="X21" s="3685"/>
      <c r="Y21" s="3685"/>
      <c r="Z21" s="3685"/>
      <c r="AA21" s="2868">
        <f>SUM(B21:N21)</f>
        <v>0</v>
      </c>
    </row>
    <row r="22" spans="1:27">
      <c r="A22" s="2936" t="s">
        <v>555</v>
      </c>
      <c r="B22" s="3040" t="s">
        <v>239</v>
      </c>
      <c r="C22" s="3031"/>
      <c r="D22" s="3031"/>
      <c r="E22" s="3031"/>
      <c r="F22" s="3031"/>
      <c r="G22" s="3031"/>
      <c r="H22" s="2939"/>
      <c r="I22" s="2939"/>
      <c r="J22" s="2939"/>
      <c r="K22" s="2939"/>
      <c r="L22" s="2939"/>
      <c r="M22" s="2939"/>
      <c r="N22" s="2939"/>
      <c r="O22" s="3686"/>
      <c r="P22" s="3686"/>
      <c r="Q22" s="3686"/>
      <c r="R22" s="3686"/>
      <c r="S22" s="3686"/>
      <c r="T22" s="3686"/>
      <c r="U22" s="3686"/>
      <c r="V22" s="3686"/>
      <c r="W22" s="3686"/>
      <c r="X22" s="3686"/>
      <c r="Y22" s="3686"/>
      <c r="Z22" s="3686"/>
      <c r="AA22" s="2940">
        <f>'Sch 1- Rate Base '!G105*Ratios!R50</f>
        <v>41028589.204002023</v>
      </c>
    </row>
    <row r="23" spans="1:27">
      <c r="A23" s="2936" t="s">
        <v>401</v>
      </c>
      <c r="B23" s="3040" t="s">
        <v>403</v>
      </c>
      <c r="C23" s="3031"/>
      <c r="D23" s="3031"/>
      <c r="E23" s="3031"/>
      <c r="F23" s="3031"/>
      <c r="G23" s="3031"/>
      <c r="H23" s="2939"/>
      <c r="I23" s="2939"/>
      <c r="J23" s="2939"/>
      <c r="K23" s="2939"/>
      <c r="L23" s="2939"/>
      <c r="M23" s="2939"/>
      <c r="N23" s="2939"/>
      <c r="O23" s="3686"/>
      <c r="P23" s="3686"/>
      <c r="Q23" s="3686"/>
      <c r="R23" s="3686"/>
      <c r="S23" s="3686"/>
      <c r="T23" s="3686"/>
      <c r="U23" s="3686"/>
      <c r="V23" s="3686"/>
      <c r="W23" s="3686"/>
      <c r="X23" s="3686"/>
      <c r="Y23" s="3686"/>
      <c r="Z23" s="3686"/>
      <c r="AA23" s="2940">
        <f>Ratios!R37-'Sch 1- Rate Base '!G63*Ratios!R38</f>
        <v>32012975.223102972</v>
      </c>
    </row>
    <row r="24" spans="1:27">
      <c r="A24" s="2932" t="s">
        <v>556</v>
      </c>
      <c r="B24" s="3041">
        <f t="shared" ref="B24:AA24" si="2">SUM(B20:B23)</f>
        <v>650984226.75999999</v>
      </c>
      <c r="C24" s="3041">
        <f t="shared" si="2"/>
        <v>0</v>
      </c>
      <c r="D24" s="3041">
        <f t="shared" si="2"/>
        <v>91116973.210054994</v>
      </c>
      <c r="E24" s="3041">
        <f t="shared" si="2"/>
        <v>30489091.532363981</v>
      </c>
      <c r="F24" s="3041">
        <f t="shared" si="2"/>
        <v>39611025.938968584</v>
      </c>
      <c r="G24" s="3041">
        <f t="shared" si="2"/>
        <v>88403114.609280974</v>
      </c>
      <c r="H24" s="3041">
        <f t="shared" si="2"/>
        <v>112005575.26676047</v>
      </c>
      <c r="I24" s="3041">
        <f t="shared" si="2"/>
        <v>26179000.899103343</v>
      </c>
      <c r="J24" s="3041">
        <f t="shared" si="2"/>
        <v>69417314.573575646</v>
      </c>
      <c r="K24" s="3041">
        <f t="shared" si="2"/>
        <v>8989557.7155671977</v>
      </c>
      <c r="L24" s="3041">
        <f t="shared" si="2"/>
        <v>10148135.41302599</v>
      </c>
      <c r="M24" s="3041">
        <f t="shared" si="2"/>
        <v>36293139.259999998</v>
      </c>
      <c r="N24" s="3041">
        <f t="shared" si="2"/>
        <v>21074278.640000001</v>
      </c>
      <c r="O24" s="3684"/>
      <c r="P24" s="3684"/>
      <c r="Q24" s="3684"/>
      <c r="R24" s="3684"/>
      <c r="S24" s="3684"/>
      <c r="T24" s="3684"/>
      <c r="U24" s="3684"/>
      <c r="V24" s="3684"/>
      <c r="W24" s="3684"/>
      <c r="X24" s="3684"/>
      <c r="Y24" s="3684"/>
      <c r="Z24" s="3684"/>
      <c r="AA24" s="2934">
        <f t="shared" si="2"/>
        <v>1257752998.2458062</v>
      </c>
    </row>
    <row r="25" spans="1:27">
      <c r="A25" s="2941" t="s">
        <v>275</v>
      </c>
      <c r="B25" s="2942">
        <f t="shared" ref="B25:AA25" si="3">$B$10</f>
        <v>8.3803797468354424E-2</v>
      </c>
      <c r="C25" s="2942">
        <f t="shared" si="3"/>
        <v>8.3803797468354424E-2</v>
      </c>
      <c r="D25" s="2942">
        <f t="shared" si="3"/>
        <v>8.3803797468354424E-2</v>
      </c>
      <c r="E25" s="2942">
        <f t="shared" si="3"/>
        <v>8.3803797468354424E-2</v>
      </c>
      <c r="F25" s="2942">
        <f t="shared" si="3"/>
        <v>8.3803797468354424E-2</v>
      </c>
      <c r="G25" s="2942">
        <f t="shared" si="3"/>
        <v>8.3803797468354424E-2</v>
      </c>
      <c r="H25" s="2942">
        <f t="shared" si="3"/>
        <v>8.3803797468354424E-2</v>
      </c>
      <c r="I25" s="2942">
        <f t="shared" si="3"/>
        <v>8.3803797468354424E-2</v>
      </c>
      <c r="J25" s="2942">
        <f t="shared" si="3"/>
        <v>8.3803797468354424E-2</v>
      </c>
      <c r="K25" s="2942">
        <f t="shared" si="3"/>
        <v>8.3803797468354424E-2</v>
      </c>
      <c r="L25" s="2942">
        <f t="shared" si="3"/>
        <v>8.3803797468354424E-2</v>
      </c>
      <c r="M25" s="2942">
        <f t="shared" si="3"/>
        <v>8.3803797468354424E-2</v>
      </c>
      <c r="N25" s="2942">
        <f t="shared" si="3"/>
        <v>8.3803797468354424E-2</v>
      </c>
      <c r="O25" s="3687"/>
      <c r="P25" s="3687"/>
      <c r="Q25" s="3687"/>
      <c r="R25" s="3687"/>
      <c r="S25" s="3687"/>
      <c r="T25" s="3687"/>
      <c r="U25" s="3687"/>
      <c r="V25" s="3687"/>
      <c r="W25" s="3687"/>
      <c r="X25" s="3687"/>
      <c r="Y25" s="3687"/>
      <c r="Z25" s="3687"/>
      <c r="AA25" s="2943">
        <f t="shared" si="3"/>
        <v>8.3803797468354424E-2</v>
      </c>
    </row>
    <row r="26" spans="1:27">
      <c r="A26" s="2932" t="s">
        <v>557</v>
      </c>
      <c r="B26" s="3041">
        <f t="shared" ref="B26:AA26" si="4">B24*B25</f>
        <v>54554950.294488348</v>
      </c>
      <c r="C26" s="3041">
        <f t="shared" si="4"/>
        <v>0</v>
      </c>
      <c r="D26" s="3041">
        <f t="shared" si="4"/>
        <v>7635948.3688249243</v>
      </c>
      <c r="E26" s="3041">
        <f t="shared" si="4"/>
        <v>2555101.651772351</v>
      </c>
      <c r="F26" s="3041">
        <f t="shared" si="4"/>
        <v>3319554.395303057</v>
      </c>
      <c r="G26" s="3041">
        <f t="shared" si="4"/>
        <v>7408516.7122879066</v>
      </c>
      <c r="H26" s="3041">
        <f t="shared" si="4"/>
        <v>9386492.5449821223</v>
      </c>
      <c r="I26" s="3041">
        <f t="shared" si="4"/>
        <v>2193899.689272325</v>
      </c>
      <c r="J26" s="3041">
        <f t="shared" si="4"/>
        <v>5817434.5713209817</v>
      </c>
      <c r="K26" s="3041">
        <f t="shared" si="4"/>
        <v>753359.0741254763</v>
      </c>
      <c r="L26" s="3041">
        <f t="shared" si="4"/>
        <v>850452.28483466536</v>
      </c>
      <c r="M26" s="3041">
        <f t="shared" si="4"/>
        <v>3041502.8920358224</v>
      </c>
      <c r="N26" s="3041">
        <f t="shared" si="4"/>
        <v>1766104.5789382278</v>
      </c>
      <c r="O26" s="3684"/>
      <c r="P26" s="3684"/>
      <c r="Q26" s="3684"/>
      <c r="R26" s="3684"/>
      <c r="S26" s="3684"/>
      <c r="T26" s="3684"/>
      <c r="U26" s="3684"/>
      <c r="V26" s="3684"/>
      <c r="W26" s="3684"/>
      <c r="X26" s="3684"/>
      <c r="Y26" s="3684"/>
      <c r="Z26" s="3684"/>
      <c r="AA26" s="2934">
        <f t="shared" si="4"/>
        <v>105404477.53020708</v>
      </c>
    </row>
    <row r="27" spans="1:27">
      <c r="A27" s="2867"/>
      <c r="B27" s="3033"/>
      <c r="C27" s="3033"/>
      <c r="D27" s="3033"/>
      <c r="E27" s="3032"/>
      <c r="F27" s="3032"/>
      <c r="G27" s="3032"/>
      <c r="H27" s="3033"/>
      <c r="I27" s="3033"/>
      <c r="J27" s="3033"/>
      <c r="K27" s="3033"/>
      <c r="L27" s="3033"/>
      <c r="M27" s="3033"/>
      <c r="N27" s="3033"/>
      <c r="O27" s="3032"/>
      <c r="P27" s="3032"/>
      <c r="Q27" s="3032"/>
      <c r="R27" s="3032"/>
      <c r="S27" s="3032"/>
      <c r="T27" s="3032"/>
      <c r="U27" s="3032"/>
      <c r="V27" s="3032"/>
      <c r="W27" s="3032"/>
      <c r="X27" s="3032"/>
      <c r="Y27" s="3032"/>
      <c r="Z27" s="3032"/>
      <c r="AA27" s="2868"/>
    </row>
    <row r="28" spans="1:27">
      <c r="A28" s="2873" t="s">
        <v>402</v>
      </c>
      <c r="B28" s="3033"/>
      <c r="C28" s="3033"/>
      <c r="D28" s="3033"/>
      <c r="E28" s="3032"/>
      <c r="F28" s="3032"/>
      <c r="G28" s="3032"/>
      <c r="H28" s="3033"/>
      <c r="I28" s="3033"/>
      <c r="J28" s="3033"/>
      <c r="K28" s="3033"/>
      <c r="L28" s="3033"/>
      <c r="M28" s="3033"/>
      <c r="N28" s="3033"/>
      <c r="O28" s="3032"/>
      <c r="P28" s="3032"/>
      <c r="Q28" s="3032"/>
      <c r="R28" s="3032"/>
      <c r="S28" s="3032"/>
      <c r="T28" s="3032"/>
      <c r="U28" s="3032"/>
      <c r="V28" s="3032"/>
      <c r="W28" s="3032"/>
      <c r="X28" s="3032"/>
      <c r="Y28" s="3032"/>
      <c r="Z28" s="3032"/>
      <c r="AA28" s="2868"/>
    </row>
    <row r="29" spans="1:27">
      <c r="A29" s="2873" t="s">
        <v>404</v>
      </c>
      <c r="B29" s="3033">
        <f>Wind_Resources_Costs!AE32</f>
        <v>58579414.519999996</v>
      </c>
      <c r="C29" s="3033"/>
      <c r="D29" s="3033">
        <f>'Balance &amp; Depr'!$C$7</f>
        <v>36716685.460000001</v>
      </c>
      <c r="E29" s="3032">
        <f>'Balance &amp; Depr'!$C$9</f>
        <v>2805636.1200000006</v>
      </c>
      <c r="F29" s="3032">
        <f>'Balance &amp; Depr'!$C$12</f>
        <v>4610415.0100000007</v>
      </c>
      <c r="G29" s="3032">
        <f>'Balance &amp; Depr'!$C$14</f>
        <v>9340805.1699999981</v>
      </c>
      <c r="H29" s="3034">
        <f>'Balance &amp; Depr'!$C$17</f>
        <v>9680742.8699999992</v>
      </c>
      <c r="I29" s="3034">
        <f>'Balance &amp; Depr'!$C$19</f>
        <v>2522196.0500000003</v>
      </c>
      <c r="J29" s="3034">
        <f>'Balance &amp; Depr'!$C$10</f>
        <v>4935485.5599999996</v>
      </c>
      <c r="K29" s="3034">
        <f>'Balance &amp; Depr'!$C$20</f>
        <v>640923.92000000004</v>
      </c>
      <c r="L29" s="3036">
        <f>'Balance &amp; Depr'!$C$11</f>
        <v>950254.15</v>
      </c>
      <c r="M29" s="2946">
        <f>'Balance &amp; Depr'!$C$26</f>
        <v>4696864.7699999996</v>
      </c>
      <c r="N29" s="2946">
        <f>'Balance &amp; Depr'!$C$27</f>
        <v>3609786.17</v>
      </c>
      <c r="O29" s="3688"/>
      <c r="P29" s="3688"/>
      <c r="Q29" s="3688"/>
      <c r="R29" s="3688"/>
      <c r="S29" s="3688"/>
      <c r="T29" s="3688"/>
      <c r="U29" s="3688"/>
      <c r="V29" s="3688"/>
      <c r="W29" s="3688"/>
      <c r="X29" s="3688"/>
      <c r="Y29" s="3688"/>
      <c r="Z29" s="3688"/>
      <c r="AA29" s="2868">
        <f>SUM(B29:N29)</f>
        <v>139089209.77000001</v>
      </c>
    </row>
    <row r="30" spans="1:27">
      <c r="A30" s="2936" t="s">
        <v>92</v>
      </c>
      <c r="B30" s="3040" t="s">
        <v>405</v>
      </c>
      <c r="C30" s="3031"/>
      <c r="D30" s="3031"/>
      <c r="E30" s="3031"/>
      <c r="F30" s="3039"/>
      <c r="G30" s="3039"/>
      <c r="H30" s="3039"/>
      <c r="I30" s="3039"/>
      <c r="J30" s="3039"/>
      <c r="K30" s="3039"/>
      <c r="L30" s="3038"/>
      <c r="M30" s="2949"/>
      <c r="N30" s="2949"/>
      <c r="O30" s="3689"/>
      <c r="P30" s="3689"/>
      <c r="Q30" s="3689"/>
      <c r="R30" s="3689"/>
      <c r="S30" s="3689"/>
      <c r="T30" s="3689"/>
      <c r="U30" s="3689"/>
      <c r="V30" s="3689"/>
      <c r="W30" s="3689"/>
      <c r="X30" s="3689"/>
      <c r="Y30" s="3689"/>
      <c r="Z30" s="3689"/>
      <c r="AA30" s="2950">
        <f>'Sch 3 - Expenses'!G91*Ratios!R38</f>
        <v>4254901.3364795074</v>
      </c>
    </row>
    <row r="31" spans="1:27">
      <c r="A31" s="2873" t="s">
        <v>406</v>
      </c>
      <c r="B31" s="3033"/>
      <c r="C31" s="3033"/>
      <c r="D31" s="3033"/>
      <c r="E31" s="3032"/>
      <c r="F31" s="3032"/>
      <c r="G31" s="3032"/>
      <c r="H31" s="3034"/>
      <c r="I31" s="3034"/>
      <c r="J31" s="3034"/>
      <c r="K31" s="3034"/>
      <c r="L31" s="3036"/>
      <c r="M31" s="2946"/>
      <c r="N31" s="2946"/>
      <c r="O31" s="3688"/>
      <c r="P31" s="3688"/>
      <c r="Q31" s="3688"/>
      <c r="R31" s="3688"/>
      <c r="S31" s="3688"/>
      <c r="T31" s="3688"/>
      <c r="U31" s="3688"/>
      <c r="V31" s="3688"/>
      <c r="W31" s="3688"/>
      <c r="X31" s="3688"/>
      <c r="Y31" s="3688"/>
      <c r="Z31" s="3688"/>
      <c r="AA31" s="2868">
        <f>SUM(AA29:AA30)</f>
        <v>143344111.10647953</v>
      </c>
    </row>
    <row r="32" spans="1:27">
      <c r="A32" s="2873"/>
      <c r="B32" s="3033"/>
      <c r="C32" s="3033"/>
      <c r="D32" s="3033"/>
      <c r="E32" s="3032"/>
      <c r="F32" s="3032"/>
      <c r="G32" s="3032"/>
      <c r="H32" s="3034"/>
      <c r="I32" s="3034"/>
      <c r="J32" s="3034"/>
      <c r="K32" s="3034"/>
      <c r="L32" s="3036"/>
      <c r="M32" s="2946"/>
      <c r="N32" s="2946"/>
      <c r="O32" s="3688"/>
      <c r="P32" s="3688"/>
      <c r="Q32" s="3688"/>
      <c r="R32" s="3688"/>
      <c r="S32" s="3688"/>
      <c r="T32" s="3688"/>
      <c r="U32" s="3688"/>
      <c r="V32" s="3688"/>
      <c r="W32" s="3688"/>
      <c r="X32" s="3688"/>
      <c r="Y32" s="3688"/>
      <c r="Z32" s="3688"/>
      <c r="AA32" s="2868"/>
    </row>
    <row r="33" spans="1:27">
      <c r="A33" s="2873" t="s">
        <v>230</v>
      </c>
      <c r="B33" s="3033">
        <f>SUM(Wind_Resources_Costs!AE34:AE37)</f>
        <v>10208042.16</v>
      </c>
      <c r="C33" s="3033"/>
      <c r="D33" s="3033">
        <f>SUM('FERC p402-403 Steam-Elec (a)'!C30,'FERC p402-403 Steam-Elec (a)'!C32:C39)</f>
        <v>9987723.370000001</v>
      </c>
      <c r="E33" s="3032">
        <f>SUM('FERC p402-403 Steam-Elec (a)'!D30,'FERC p402-403 Steam-Elec (a)'!D32:D39)</f>
        <v>4347152.7699999996</v>
      </c>
      <c r="F33" s="3032">
        <f>SUM('FERC p402-403 Steam-Elec (a)'!F30,'FERC p402-403 Steam-Elec (a)'!F32:F39)</f>
        <v>3369344.3600000003</v>
      </c>
      <c r="G33" s="3032">
        <f>SUM('FERC p402-403 Steam-Elec (a)'!G30,'FERC p402-403 Steam-Elec (a)'!G32:G39)</f>
        <v>5658045.3200000003</v>
      </c>
      <c r="H33" s="3034">
        <f>SUM('FERC p402-403 Steam-Elec (a)'!H30,'FERC p402-403 Steam-Elec (a)'!H32:H39)</f>
        <v>3629961.5300000003</v>
      </c>
      <c r="I33" s="3034">
        <f>SUM('FERC p402-403 Steam-Elec (b)'!C$28,'FERC p402-403 Steam-Elec (b)'!C$30:C$37)</f>
        <v>3724755.91</v>
      </c>
      <c r="J33" s="3034">
        <f>SUM('FERC p402-403 Steam-Elec (b)'!D$28,'FERC p402-403 Steam-Elec (b)'!D$30:D$37)</f>
        <v>5130448.8</v>
      </c>
      <c r="K33" s="3034">
        <f>SUM('FERC p402-403 Steam-Elec (b)'!F$28,'FERC p402-403 Steam-Elec (b)'!F$30:F$37)</f>
        <v>905262</v>
      </c>
      <c r="L33" s="3036">
        <f>SUM('FERC p402-403 Steam-Elec (b)'!H$28,'FERC p402-403 Steam-Elec (b)'!H$30:H$37)</f>
        <v>1054489</v>
      </c>
      <c r="M33" s="2946">
        <f>SUM('FERC p402-403 Steam-Elec (b)'!J$28,'FERC p402-403 Steam-Elec (b)'!J$30:J$37)</f>
        <v>2691644</v>
      </c>
      <c r="N33" s="2946">
        <f>SUM('FERC p402-403 Steam-Elec (c)'!C$28,'FERC p402-403 Steam-Elec (c)'!C$30:C$37)</f>
        <v>52018</v>
      </c>
      <c r="O33" s="3688"/>
      <c r="P33" s="3688"/>
      <c r="Q33" s="3688"/>
      <c r="R33" s="3688"/>
      <c r="S33" s="3688"/>
      <c r="T33" s="3688"/>
      <c r="U33" s="3688"/>
      <c r="V33" s="3688"/>
      <c r="W33" s="3688"/>
      <c r="X33" s="3688"/>
      <c r="Y33" s="3688"/>
      <c r="Z33" s="3688"/>
      <c r="AA33" s="2868">
        <f>SUM(B33:N33)</f>
        <v>50758887.219999999</v>
      </c>
    </row>
    <row r="34" spans="1:27">
      <c r="A34" s="2873" t="s">
        <v>231</v>
      </c>
      <c r="B34" s="3033">
        <f>SUM(Wind_Resources_Costs!AE38:AE40)</f>
        <v>13348784</v>
      </c>
      <c r="C34" s="3033"/>
      <c r="D34" s="3033">
        <f>SUM('FERC p402-403 Steam-Elec (a)'!C40:C44)</f>
        <v>14204356.91</v>
      </c>
      <c r="E34" s="3037">
        <f>SUM('FERC p402-403 Steam-Elec (a)'!D40:D44)</f>
        <v>2796646.2300000004</v>
      </c>
      <c r="F34" s="3037">
        <f>SUM('FERC p402-403 Steam-Elec (a)'!F40:F44)</f>
        <v>1498396.75</v>
      </c>
      <c r="G34" s="3037">
        <f>SUM('FERC p402-403 Steam-Elec (a)'!G40:G44)</f>
        <v>4135622.9</v>
      </c>
      <c r="H34" s="3034">
        <f>SUM('FERC p402-403 Steam-Elec (a)'!H40:H44)</f>
        <v>4100975.64</v>
      </c>
      <c r="I34" s="3034">
        <f>SUM('FERC p402-403 Steam-Elec (b)'!C$38:C$42)</f>
        <v>1699557.3699999999</v>
      </c>
      <c r="J34" s="3034">
        <f>SUM('FERC p402-403 Steam-Elec (b)'!D$38:D$42)</f>
        <v>4399367.4700000007</v>
      </c>
      <c r="K34" s="3034">
        <f>SUM('FERC p402-403 Steam-Elec (b)'!F$38:F$42)</f>
        <v>569738</v>
      </c>
      <c r="L34" s="3036">
        <f>SUM('FERC p402-403 Steam-Elec (b)'!H$38:H$42)</f>
        <v>788535</v>
      </c>
      <c r="M34" s="2946">
        <f>SUM('FERC p402-403 Steam-Elec (b)'!J$38:J$42)</f>
        <v>2685147</v>
      </c>
      <c r="N34" s="2946">
        <f>SUM('FERC p402-403 Steam-Elec (c)'!C$38:C$42)</f>
        <v>197622</v>
      </c>
      <c r="O34" s="3688"/>
      <c r="P34" s="3688"/>
      <c r="Q34" s="3688"/>
      <c r="R34" s="3688"/>
      <c r="S34" s="3688"/>
      <c r="T34" s="3688"/>
      <c r="U34" s="3688"/>
      <c r="V34" s="3688"/>
      <c r="W34" s="3688"/>
      <c r="X34" s="3688"/>
      <c r="Y34" s="3688"/>
      <c r="Z34" s="3688"/>
      <c r="AA34" s="2868">
        <f>SUM(B34:N34)</f>
        <v>50424749.269999996</v>
      </c>
    </row>
    <row r="35" spans="1:27">
      <c r="A35" s="2867" t="s">
        <v>558</v>
      </c>
      <c r="B35" s="3033"/>
      <c r="C35" s="3033"/>
      <c r="D35" s="3032">
        <f>'FERC p402-403 Steam-Elec (a)'!C31</f>
        <v>60636604</v>
      </c>
      <c r="E35" s="3035">
        <f>'FERC p402-403 Steam-Elec (a)'!D31</f>
        <v>37136519</v>
      </c>
      <c r="F35" s="3035">
        <f>'FERC p402-403 Steam-Elec (a)'!F31</f>
        <v>31328456</v>
      </c>
      <c r="G35" s="3035">
        <f>'FERC p402-403 Steam-Elec (a)'!G31</f>
        <v>72447643</v>
      </c>
      <c r="H35" s="3034">
        <f>'FERC p402-403 Steam-Elec (a)'!H31</f>
        <v>74324406</v>
      </c>
      <c r="I35" s="3034">
        <f>'FERC p402-403 Steam-Elec (b)'!C$29</f>
        <v>32381524</v>
      </c>
      <c r="J35" s="3034">
        <f>'FERC p402-403 Steam-Elec (b)'!D$29</f>
        <v>66871435</v>
      </c>
      <c r="K35" s="3034">
        <f>'FERC p402-403 Steam-Elec (b)'!F$29</f>
        <v>24386270</v>
      </c>
      <c r="L35" s="3034">
        <f>'FERC p402-403 Steam-Elec (b)'!H$29</f>
        <v>9824471</v>
      </c>
      <c r="M35" s="2946">
        <f>'FERC p402-403 Steam-Elec (b)'!J$29</f>
        <v>35116280</v>
      </c>
      <c r="N35" s="2946">
        <f>'FERC p402-403 Steam-Elec (c)'!C$29</f>
        <v>12824299</v>
      </c>
      <c r="O35" s="3688"/>
      <c r="P35" s="3688"/>
      <c r="Q35" s="3688"/>
      <c r="R35" s="3688"/>
      <c r="S35" s="3688"/>
      <c r="T35" s="3688"/>
      <c r="U35" s="3688"/>
      <c r="V35" s="3688"/>
      <c r="W35" s="3688"/>
      <c r="X35" s="3688"/>
      <c r="Y35" s="3688"/>
      <c r="Z35" s="3688"/>
      <c r="AA35" s="2868">
        <f>SUM(B35:N35)</f>
        <v>457277907</v>
      </c>
    </row>
    <row r="36" spans="1:27">
      <c r="A36" s="2936" t="s">
        <v>559</v>
      </c>
      <c r="B36" s="3031" t="s">
        <v>232</v>
      </c>
      <c r="C36" s="3031"/>
      <c r="D36" s="3030"/>
      <c r="E36" s="3030"/>
      <c r="F36" s="3030"/>
      <c r="G36" s="3030"/>
      <c r="H36" s="3031"/>
      <c r="I36" s="3031"/>
      <c r="J36" s="3031"/>
      <c r="K36" s="3031"/>
      <c r="L36" s="3031"/>
      <c r="M36" s="2954"/>
      <c r="N36" s="2954"/>
      <c r="O36" s="3690"/>
      <c r="P36" s="3690"/>
      <c r="Q36" s="3690"/>
      <c r="R36" s="3690"/>
      <c r="S36" s="3690"/>
      <c r="T36" s="3690"/>
      <c r="U36" s="3690"/>
      <c r="V36" s="3690"/>
      <c r="W36" s="3690"/>
      <c r="X36" s="3690"/>
      <c r="Y36" s="3690"/>
      <c r="Z36" s="3690"/>
      <c r="AA36" s="2940">
        <f>('Sch 3 - Expenses'!G59+'Sch 3 - Expenses'!G60-'Sch 3 - Expenses'!G61+'Sch 3 - Expenses'!G62+'Sch 3 - Expenses'!G64+'Sch 3 - Expenses'!G65)*Ratios!R22+('Sch 3 - Expenses'!G63-'Sch 3 - Expenses'!G68)*Ratios!R59+'Sch 3 - Expenses'!G74*Ratios!R74</f>
        <v>38625907.547506355</v>
      </c>
    </row>
    <row r="37" spans="1:27">
      <c r="A37" s="2867" t="s">
        <v>233</v>
      </c>
      <c r="B37" s="3033"/>
      <c r="C37" s="3033">
        <f>'3-YEAR PP &amp; OSS Worksheet'!D12</f>
        <v>20964343</v>
      </c>
      <c r="D37" s="3032"/>
      <c r="E37" s="3032"/>
      <c r="F37" s="3032"/>
      <c r="G37" s="3032"/>
      <c r="H37" s="3032"/>
      <c r="I37" s="3032"/>
      <c r="J37" s="3032"/>
      <c r="K37" s="3032"/>
      <c r="L37" s="3032"/>
      <c r="M37" s="3032"/>
      <c r="N37" s="3032"/>
      <c r="O37" s="3032"/>
      <c r="P37" s="3032"/>
      <c r="Q37" s="3032"/>
      <c r="R37" s="3032"/>
      <c r="S37" s="3032"/>
      <c r="T37" s="3032"/>
      <c r="U37" s="3032"/>
      <c r="V37" s="3032"/>
      <c r="W37" s="3032"/>
      <c r="X37" s="3032"/>
      <c r="Y37" s="3032"/>
      <c r="Z37" s="3032"/>
      <c r="AA37" s="2868">
        <f>SUM(B37:N37)</f>
        <v>20964343</v>
      </c>
    </row>
    <row r="38" spans="1:27">
      <c r="A38" s="2936" t="s">
        <v>234</v>
      </c>
      <c r="B38" s="3031" t="s">
        <v>236</v>
      </c>
      <c r="C38" s="3031"/>
      <c r="D38" s="3030"/>
      <c r="E38" s="3030"/>
      <c r="F38" s="3030"/>
      <c r="G38" s="3030"/>
      <c r="H38" s="3029"/>
      <c r="I38" s="3029"/>
      <c r="J38" s="3029"/>
      <c r="K38" s="3029"/>
      <c r="L38" s="3028"/>
      <c r="M38" s="2957"/>
      <c r="N38" s="2957"/>
      <c r="O38" s="3691"/>
      <c r="P38" s="3691"/>
      <c r="Q38" s="3691"/>
      <c r="R38" s="3691"/>
      <c r="S38" s="3691"/>
      <c r="T38" s="3691"/>
      <c r="U38" s="3691"/>
      <c r="V38" s="3691"/>
      <c r="W38" s="3691"/>
      <c r="X38" s="3691"/>
      <c r="Y38" s="3691"/>
      <c r="Z38" s="3691"/>
      <c r="AA38" s="2940">
        <f>'Sch 3A - Taxes'!F17*Ratios!R22</f>
        <v>3115471.2536350256</v>
      </c>
    </row>
    <row r="39" spans="1:27">
      <c r="A39" s="2936" t="s">
        <v>235</v>
      </c>
      <c r="B39" s="3031" t="s">
        <v>237</v>
      </c>
      <c r="C39" s="3031"/>
      <c r="D39" s="3030"/>
      <c r="E39" s="3030"/>
      <c r="F39" s="3030"/>
      <c r="G39" s="3030"/>
      <c r="H39" s="3029"/>
      <c r="I39" s="3029"/>
      <c r="J39" s="3029"/>
      <c r="K39" s="3029"/>
      <c r="L39" s="3028"/>
      <c r="M39" s="2957"/>
      <c r="N39" s="2957"/>
      <c r="O39" s="3691"/>
      <c r="P39" s="3691"/>
      <c r="Q39" s="3691"/>
      <c r="R39" s="3691"/>
      <c r="S39" s="3691"/>
      <c r="T39" s="3691"/>
      <c r="U39" s="3691"/>
      <c r="V39" s="3691"/>
      <c r="W39" s="3691"/>
      <c r="X39" s="3691"/>
      <c r="Y39" s="3691"/>
      <c r="Z39" s="3691"/>
      <c r="AA39" s="2940">
        <f>'Sch 3A - Taxes'!F23*Ratios!R22</f>
        <v>0</v>
      </c>
    </row>
    <row r="40" spans="1:27">
      <c r="A40" s="2936" t="s">
        <v>269</v>
      </c>
      <c r="B40" s="3031" t="s">
        <v>238</v>
      </c>
      <c r="C40" s="3031"/>
      <c r="D40" s="3030"/>
      <c r="E40" s="3030"/>
      <c r="F40" s="3030"/>
      <c r="G40" s="3030"/>
      <c r="H40" s="3029"/>
      <c r="I40" s="3029"/>
      <c r="J40" s="3029"/>
      <c r="K40" s="3029"/>
      <c r="L40" s="3028"/>
      <c r="M40" s="2957"/>
      <c r="N40" s="2957"/>
      <c r="O40" s="3691"/>
      <c r="P40" s="3691"/>
      <c r="Q40" s="3691"/>
      <c r="R40" s="3691"/>
      <c r="S40" s="3691"/>
      <c r="T40" s="3691"/>
      <c r="U40" s="3691"/>
      <c r="V40" s="3691"/>
      <c r="W40" s="3691"/>
      <c r="X40" s="3691"/>
      <c r="Y40" s="3691"/>
      <c r="Z40" s="3691"/>
      <c r="AA40" s="2940">
        <f>'Sch 3A - Taxes'!F22*Ratios!R59</f>
        <v>13106827.739941483</v>
      </c>
    </row>
    <row r="41" spans="1:27">
      <c r="A41" s="2958"/>
      <c r="B41" s="3027"/>
      <c r="C41" s="3027"/>
      <c r="D41" s="3027"/>
      <c r="E41" s="3027"/>
      <c r="F41" s="3026"/>
      <c r="G41" s="3026"/>
      <c r="H41" s="3026"/>
      <c r="I41" s="3026"/>
      <c r="J41" s="3026"/>
      <c r="K41" s="3026"/>
      <c r="L41" s="3026"/>
      <c r="M41" s="2961"/>
      <c r="N41" s="2961"/>
      <c r="O41" s="3692"/>
      <c r="P41" s="3692"/>
      <c r="Q41" s="3692"/>
      <c r="R41" s="3692"/>
      <c r="S41" s="3692"/>
      <c r="T41" s="3692"/>
      <c r="U41" s="3692"/>
      <c r="V41" s="3692"/>
      <c r="W41" s="3692"/>
      <c r="X41" s="3692"/>
      <c r="Y41" s="3692"/>
      <c r="Z41" s="3692"/>
      <c r="AA41" s="2874"/>
    </row>
    <row r="42" spans="1:27">
      <c r="A42" s="2867" t="s">
        <v>560</v>
      </c>
      <c r="B42" s="3025"/>
      <c r="C42" s="3025"/>
      <c r="D42" s="3025"/>
      <c r="E42" s="3025"/>
      <c r="F42" s="3025"/>
      <c r="G42" s="3025"/>
      <c r="H42" s="3025"/>
      <c r="I42" s="3025"/>
      <c r="J42" s="3025"/>
      <c r="K42" s="3025"/>
      <c r="L42" s="3025"/>
      <c r="M42" s="2963"/>
      <c r="N42" s="2963"/>
      <c r="O42" s="3693"/>
      <c r="P42" s="3693"/>
      <c r="Q42" s="3693"/>
      <c r="R42" s="3693"/>
      <c r="S42" s="3693"/>
      <c r="T42" s="3693"/>
      <c r="U42" s="3693"/>
      <c r="V42" s="3693"/>
      <c r="W42" s="3693"/>
      <c r="X42" s="3693"/>
      <c r="Y42" s="3693"/>
      <c r="Z42" s="3693"/>
      <c r="AA42" s="2868">
        <f>SUM(AA26,AA31,AA33:AA40)</f>
        <v>883022681.66776943</v>
      </c>
    </row>
    <row r="43" spans="1:27" ht="12" thickBot="1">
      <c r="A43" s="2964" t="s">
        <v>561</v>
      </c>
      <c r="B43" s="3024"/>
      <c r="C43" s="3024"/>
      <c r="D43" s="3024"/>
      <c r="E43" s="3024"/>
      <c r="F43" s="3024"/>
      <c r="G43" s="3024"/>
      <c r="H43" s="3024"/>
      <c r="I43" s="3024"/>
      <c r="J43" s="3024"/>
      <c r="K43" s="3024"/>
      <c r="L43" s="3024"/>
      <c r="M43" s="2966"/>
      <c r="N43" s="2966"/>
      <c r="O43" s="3694"/>
      <c r="P43" s="3694"/>
      <c r="Q43" s="3694"/>
      <c r="R43" s="3694"/>
      <c r="S43" s="3694"/>
      <c r="T43" s="3694"/>
      <c r="U43" s="3694"/>
      <c r="V43" s="3694"/>
      <c r="W43" s="3694"/>
      <c r="X43" s="3694"/>
      <c r="Y43" s="3694"/>
      <c r="Z43" s="3694"/>
      <c r="AA43" s="2967">
        <f>IF(AA15&gt;0,AA42/AA15*1000,0)</f>
        <v>61.165569469962918</v>
      </c>
    </row>
    <row r="44" spans="1:27">
      <c r="A44" s="2968"/>
      <c r="B44" s="2969"/>
      <c r="C44" s="2969"/>
      <c r="D44" s="2969"/>
      <c r="E44" s="2969"/>
      <c r="F44" s="2970"/>
      <c r="G44" s="2970"/>
      <c r="H44" s="2971"/>
      <c r="I44" s="2970"/>
      <c r="J44" s="2970"/>
      <c r="K44" s="2970"/>
      <c r="L44" s="2970"/>
      <c r="M44" s="2970"/>
      <c r="N44" s="2970"/>
      <c r="O44" s="2970"/>
      <c r="P44" s="2970"/>
      <c r="Q44" s="2970"/>
      <c r="R44" s="2970"/>
      <c r="S44" s="2970"/>
      <c r="T44" s="2970"/>
      <c r="U44" s="2970"/>
      <c r="V44" s="2970"/>
      <c r="W44" s="2970"/>
      <c r="X44" s="2970"/>
      <c r="Y44" s="2970"/>
      <c r="Z44" s="2970"/>
      <c r="AA44" s="2972"/>
    </row>
    <row r="45" spans="1:27">
      <c r="A45" s="2973" t="s">
        <v>801</v>
      </c>
      <c r="B45" s="2969"/>
      <c r="C45" s="2969"/>
      <c r="D45" s="2969"/>
      <c r="E45" s="2974"/>
      <c r="F45" s="2970"/>
      <c r="G45" s="2970"/>
      <c r="H45" s="2970"/>
      <c r="I45" s="2970"/>
      <c r="J45" s="2970"/>
      <c r="K45" s="2970"/>
      <c r="L45" s="2970"/>
      <c r="M45" s="2970"/>
      <c r="N45" s="2970"/>
      <c r="O45" s="2970"/>
      <c r="P45" s="2970"/>
      <c r="Q45" s="2970"/>
      <c r="R45" s="2970"/>
      <c r="S45" s="2970"/>
      <c r="T45" s="2970"/>
      <c r="U45" s="2970"/>
      <c r="V45" s="2970"/>
      <c r="W45" s="2970"/>
      <c r="X45" s="2970"/>
      <c r="Y45" s="2970"/>
      <c r="Z45" s="2970"/>
      <c r="AA45" s="2975">
        <f>IF(AA15&gt;0,AA42/AA15*1000,0)</f>
        <v>61.165569469962918</v>
      </c>
    </row>
    <row r="46" spans="1:27">
      <c r="A46" s="2973" t="s">
        <v>562</v>
      </c>
      <c r="B46" s="2969"/>
      <c r="C46" s="2969"/>
      <c r="D46" s="2969"/>
      <c r="E46" s="2974"/>
      <c r="F46" s="2970"/>
      <c r="G46" s="2970"/>
      <c r="H46" s="2970"/>
      <c r="I46" s="2970"/>
      <c r="J46" s="2970"/>
      <c r="K46" s="2970"/>
      <c r="L46" s="2970"/>
      <c r="M46" s="2970"/>
      <c r="N46" s="2970"/>
      <c r="O46" s="2970"/>
      <c r="P46" s="2970"/>
      <c r="Q46" s="2970"/>
      <c r="R46" s="2970"/>
      <c r="S46" s="2970"/>
      <c r="T46" s="2970"/>
      <c r="U46" s="2970"/>
      <c r="V46" s="2970"/>
      <c r="W46" s="2970"/>
      <c r="X46" s="2970"/>
      <c r="Y46" s="2970"/>
      <c r="Z46" s="2970"/>
      <c r="AA46" s="2975">
        <f>IF('Sch 4 - Average System Cost'!D39=0,0,'Sch 4 - Average System Cost'!D33/('Sch 4 - Average System Cost'!D39+'Sch 4 - Average System Cost'!D42))</f>
        <v>0</v>
      </c>
    </row>
    <row r="47" spans="1:27">
      <c r="A47" s="2976" t="s">
        <v>856</v>
      </c>
      <c r="B47" s="2977"/>
      <c r="C47" s="2977"/>
      <c r="D47" s="2977"/>
      <c r="E47" s="2978"/>
      <c r="F47" s="2979"/>
      <c r="G47" s="2979"/>
      <c r="H47" s="2979"/>
      <c r="I47" s="2979"/>
      <c r="J47" s="2979"/>
      <c r="K47" s="2979"/>
      <c r="L47" s="2979"/>
      <c r="M47" s="2979"/>
      <c r="N47" s="2979"/>
      <c r="O47" s="2979"/>
      <c r="P47" s="2979"/>
      <c r="Q47" s="2979"/>
      <c r="R47" s="2979"/>
      <c r="S47" s="2979"/>
      <c r="T47" s="2979"/>
      <c r="U47" s="2979"/>
      <c r="V47" s="2979"/>
      <c r="W47" s="2979"/>
      <c r="X47" s="2979"/>
      <c r="Y47" s="2979"/>
      <c r="Z47" s="2979"/>
      <c r="AA47" s="2980">
        <f>SUM(AA45:AA46)</f>
        <v>61.165569469962918</v>
      </c>
    </row>
    <row r="48" spans="1:27" hidden="1">
      <c r="A48" s="2981"/>
      <c r="B48" s="2970"/>
      <c r="C48" s="2970"/>
      <c r="D48" s="2970"/>
      <c r="E48" s="2982"/>
      <c r="F48" s="2970"/>
      <c r="G48" s="2970"/>
      <c r="H48" s="2970"/>
      <c r="I48" s="2970"/>
      <c r="J48" s="2970"/>
      <c r="K48" s="2970"/>
      <c r="L48" s="2970"/>
      <c r="M48" s="2970"/>
      <c r="N48" s="2970"/>
      <c r="O48" s="2970"/>
      <c r="P48" s="2970"/>
      <c r="Q48" s="2970"/>
      <c r="R48" s="2970"/>
      <c r="S48" s="2970"/>
      <c r="T48" s="2970"/>
      <c r="U48" s="2970"/>
      <c r="V48" s="2970"/>
      <c r="W48" s="2970"/>
      <c r="X48" s="2970"/>
      <c r="Y48" s="2970"/>
      <c r="Z48" s="2970"/>
      <c r="AA48" s="2983"/>
    </row>
    <row r="49" spans="1:27" hidden="1">
      <c r="A49" s="2981"/>
      <c r="B49" s="2970"/>
      <c r="C49" s="2970"/>
      <c r="D49" s="2970"/>
      <c r="E49" s="2982"/>
      <c r="F49" s="2970"/>
      <c r="G49" s="2970"/>
      <c r="H49" s="2970"/>
      <c r="I49" s="2970"/>
      <c r="J49" s="2970"/>
      <c r="K49" s="2970"/>
      <c r="L49" s="2970"/>
      <c r="M49" s="2970"/>
      <c r="N49" s="2970"/>
      <c r="O49" s="2970"/>
      <c r="P49" s="2970"/>
      <c r="Q49" s="2970"/>
      <c r="R49" s="2970"/>
      <c r="S49" s="2970"/>
      <c r="T49" s="2970"/>
      <c r="U49" s="2970"/>
      <c r="V49" s="2970"/>
      <c r="W49" s="2970"/>
      <c r="X49" s="2970"/>
      <c r="Y49" s="2970"/>
      <c r="Z49" s="2970"/>
      <c r="AA49" s="2983"/>
    </row>
    <row r="50" spans="1:27" ht="12" thickBot="1">
      <c r="A50" s="2984"/>
      <c r="B50" s="2985"/>
      <c r="C50" s="2985"/>
      <c r="D50" s="2985"/>
      <c r="E50" s="2985"/>
      <c r="F50" s="2985"/>
      <c r="G50" s="2985"/>
      <c r="H50" s="2985"/>
      <c r="I50" s="2985"/>
      <c r="J50" s="2985"/>
      <c r="K50" s="2985"/>
      <c r="L50" s="2985"/>
      <c r="M50" s="2985"/>
      <c r="N50" s="2985"/>
      <c r="O50" s="2985"/>
      <c r="P50" s="2985"/>
      <c r="Q50" s="2985"/>
      <c r="R50" s="2985"/>
      <c r="S50" s="2985"/>
      <c r="T50" s="2985"/>
      <c r="U50" s="2985"/>
      <c r="V50" s="2985"/>
      <c r="W50" s="2985"/>
      <c r="X50" s="2985"/>
      <c r="Y50" s="2985"/>
      <c r="Z50" s="2985"/>
      <c r="AA50" s="2986"/>
    </row>
    <row r="51" spans="1:27" ht="12" thickTop="1"/>
  </sheetData>
  <mergeCells count="3">
    <mergeCell ref="A4:AA4"/>
    <mergeCell ref="A5:AA5"/>
    <mergeCell ref="A6:AA6"/>
  </mergeCells>
  <conditionalFormatting sqref="E35:G35">
    <cfRule type="expression" dxfId="7" priority="1" stopIfTrue="1">
      <formula>MOD(ROW(),2)=1</formula>
    </cfRule>
  </conditionalFormatting>
  <dataValidations count="1">
    <dataValidation type="list" allowBlank="1" showInputMessage="1" showErrorMessage="1" sqref="B14:Z14" xr:uid="{00000000-0002-0000-1400-000000000000}">
      <formula1>"Coal, Natural Gas, Geo-Therm, Hydro, Form 1 LF,Form 1 SF,Wind"</formula1>
    </dataValidation>
  </dataValidations>
  <hyperlinks>
    <hyperlink ref="A2" location="TOC!A1" display="TOC" xr:uid="{00000000-0004-0000-14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1">
    <tabColor rgb="FFFFC000"/>
  </sheetPr>
  <dimension ref="A1:AA51"/>
  <sheetViews>
    <sheetView workbookViewId="0">
      <selection sqref="A1:XFD1048576"/>
    </sheetView>
  </sheetViews>
  <sheetFormatPr defaultColWidth="9" defaultRowHeight="11.25"/>
  <cols>
    <col min="1" max="1" width="41.5" style="493" customWidth="1"/>
    <col min="2" max="8" width="14.625" style="493" customWidth="1"/>
    <col min="9" max="26" width="7.625" style="493" customWidth="1"/>
    <col min="27" max="27" width="15.75" style="493" customWidth="1"/>
    <col min="28" max="16384" width="9" style="493"/>
  </cols>
  <sheetData>
    <row r="1" spans="1:27">
      <c r="A1" s="2894"/>
    </row>
    <row r="2" spans="1:27">
      <c r="A2" s="2895" t="s">
        <v>685</v>
      </c>
    </row>
    <row r="3" spans="1:27" ht="12" thickBot="1">
      <c r="A3" s="2896"/>
    </row>
    <row r="4" spans="1:27" ht="12" thickTop="1">
      <c r="A4" s="3921" t="s">
        <v>54</v>
      </c>
      <c r="B4" s="3922"/>
      <c r="C4" s="3922"/>
      <c r="D4" s="3922"/>
      <c r="E4" s="3922"/>
      <c r="F4" s="3922"/>
      <c r="G4" s="3922"/>
      <c r="H4" s="3922"/>
      <c r="I4" s="3922"/>
      <c r="J4" s="3922"/>
      <c r="K4" s="3922"/>
      <c r="L4" s="3922"/>
      <c r="M4" s="3922"/>
      <c r="N4" s="3922"/>
      <c r="O4" s="3922"/>
      <c r="P4" s="3922"/>
      <c r="Q4" s="3922"/>
      <c r="R4" s="3922"/>
      <c r="S4" s="3922"/>
      <c r="T4" s="3922"/>
      <c r="U4" s="3922"/>
      <c r="V4" s="3922"/>
      <c r="W4" s="3922"/>
      <c r="X4" s="3922"/>
      <c r="Y4" s="3922"/>
      <c r="Z4" s="3922"/>
      <c r="AA4" s="3923"/>
    </row>
    <row r="5" spans="1:27">
      <c r="A5" s="3924" t="s">
        <v>56</v>
      </c>
      <c r="B5" s="3764"/>
      <c r="C5" s="3764"/>
      <c r="D5" s="3764"/>
      <c r="E5" s="3764"/>
      <c r="F5" s="3764"/>
      <c r="G5" s="3764"/>
      <c r="H5" s="3764"/>
      <c r="I5" s="3764"/>
      <c r="J5" s="3764"/>
      <c r="K5" s="3764"/>
      <c r="L5" s="3764"/>
      <c r="M5" s="3764"/>
      <c r="N5" s="3764"/>
      <c r="O5" s="3764"/>
      <c r="P5" s="3764"/>
      <c r="Q5" s="3764"/>
      <c r="R5" s="3764"/>
      <c r="S5" s="3764"/>
      <c r="T5" s="3764"/>
      <c r="U5" s="3764"/>
      <c r="V5" s="3764"/>
      <c r="W5" s="3764"/>
      <c r="X5" s="3764"/>
      <c r="Y5" s="3764"/>
      <c r="Z5" s="3764"/>
      <c r="AA5" s="3925"/>
    </row>
    <row r="6" spans="1:27" ht="12" thickBot="1">
      <c r="A6" s="3918" t="s">
        <v>709</v>
      </c>
      <c r="B6" s="3919"/>
      <c r="C6" s="3919"/>
      <c r="D6" s="3919"/>
      <c r="E6" s="3919"/>
      <c r="F6" s="3919"/>
      <c r="G6" s="3919"/>
      <c r="H6" s="3919"/>
      <c r="I6" s="3919"/>
      <c r="J6" s="3919"/>
      <c r="K6" s="3919"/>
      <c r="L6" s="3919"/>
      <c r="M6" s="3919"/>
      <c r="N6" s="3919"/>
      <c r="O6" s="3919"/>
      <c r="P6" s="3919"/>
      <c r="Q6" s="3919"/>
      <c r="R6" s="3919"/>
      <c r="S6" s="3919"/>
      <c r="T6" s="3919"/>
      <c r="U6" s="3919"/>
      <c r="V6" s="3919"/>
      <c r="W6" s="3919"/>
      <c r="X6" s="3919"/>
      <c r="Y6" s="3919"/>
      <c r="Z6" s="3919"/>
      <c r="AA6" s="3920"/>
    </row>
    <row r="7" spans="1:27">
      <c r="A7" s="2856" t="str">
        <f>'Sch 1- Rate Base '!E5</f>
        <v>PUGET SOUND ENERGY</v>
      </c>
      <c r="B7" s="2857"/>
      <c r="C7" s="2897"/>
      <c r="D7" s="2898"/>
      <c r="E7" s="2899"/>
      <c r="F7" s="2900"/>
      <c r="G7" s="2901"/>
      <c r="H7" s="2902"/>
      <c r="I7" s="2902"/>
      <c r="J7" s="2902"/>
      <c r="K7" s="2902"/>
      <c r="L7" s="2902"/>
      <c r="M7" s="2902"/>
      <c r="N7" s="2902"/>
      <c r="O7" s="2902"/>
      <c r="P7" s="2902"/>
      <c r="Q7" s="2902"/>
      <c r="R7" s="2902"/>
      <c r="S7" s="2902"/>
      <c r="T7" s="2902"/>
      <c r="U7" s="2902"/>
      <c r="V7" s="2902"/>
      <c r="W7" s="2902"/>
      <c r="X7" s="2902"/>
      <c r="Y7" s="2902"/>
      <c r="Z7" s="2902"/>
      <c r="AA7" s="2859"/>
    </row>
    <row r="8" spans="1:27" ht="12" thickBot="1">
      <c r="A8" s="2903">
        <f>'Sch 1- Rate Base '!E7</f>
        <v>45474</v>
      </c>
      <c r="B8" s="2860">
        <f>'Sch 1- Rate Base '!E6</f>
        <v>2023</v>
      </c>
      <c r="C8" s="2897"/>
      <c r="D8" s="2898"/>
      <c r="E8" s="2899"/>
      <c r="F8" s="2900"/>
      <c r="G8" s="2901"/>
      <c r="H8" s="2902"/>
      <c r="I8" s="2902"/>
      <c r="J8" s="2902"/>
      <c r="K8" s="2902"/>
      <c r="L8" s="2902"/>
      <c r="M8" s="2902"/>
      <c r="N8" s="2902"/>
      <c r="O8" s="2902"/>
      <c r="P8" s="2902"/>
      <c r="Q8" s="2902"/>
      <c r="R8" s="2902"/>
      <c r="S8" s="2902"/>
      <c r="T8" s="2902"/>
      <c r="U8" s="2902"/>
      <c r="V8" s="2902"/>
      <c r="W8" s="2902"/>
      <c r="X8" s="2902"/>
      <c r="Y8" s="2902"/>
      <c r="Z8" s="2902"/>
      <c r="AA8" s="2859"/>
    </row>
    <row r="9" spans="1:27">
      <c r="A9" s="2862"/>
      <c r="B9" s="2863"/>
      <c r="C9" s="2897"/>
      <c r="D9" s="2898"/>
      <c r="E9" s="2899"/>
      <c r="F9" s="2900"/>
      <c r="G9" s="2901"/>
      <c r="H9" s="2902"/>
      <c r="I9" s="2902"/>
      <c r="J9" s="2902"/>
      <c r="K9" s="2902"/>
      <c r="L9" s="2902"/>
      <c r="M9" s="2902"/>
      <c r="N9" s="2902"/>
      <c r="O9" s="2902"/>
      <c r="P9" s="2902"/>
      <c r="Q9" s="2902"/>
      <c r="R9" s="2902"/>
      <c r="S9" s="2902"/>
      <c r="T9" s="2902"/>
      <c r="U9" s="2902"/>
      <c r="V9" s="2902"/>
      <c r="W9" s="2902"/>
      <c r="X9" s="2902"/>
      <c r="Y9" s="2902"/>
      <c r="Z9" s="2902"/>
      <c r="AA9" s="2859"/>
    </row>
    <row r="10" spans="1:27" ht="12" thickBot="1">
      <c r="A10" s="2862" t="s">
        <v>280</v>
      </c>
      <c r="B10" s="2904">
        <f>'Sch 2 -Rate of Return'!E14</f>
        <v>8.3803797468354424E-2</v>
      </c>
      <c r="C10" s="2905"/>
      <c r="D10" s="2902"/>
      <c r="E10" s="2902"/>
      <c r="F10" s="2902"/>
      <c r="G10" s="2902"/>
      <c r="H10" s="2902"/>
      <c r="I10" s="2902"/>
      <c r="J10" s="2902"/>
      <c r="K10" s="2902"/>
      <c r="L10" s="2902"/>
      <c r="M10" s="2902"/>
      <c r="N10" s="2902"/>
      <c r="O10" s="2902"/>
      <c r="P10" s="2902"/>
      <c r="Q10" s="2902"/>
      <c r="R10" s="2902"/>
      <c r="S10" s="2902"/>
      <c r="T10" s="2902"/>
      <c r="U10" s="2902"/>
      <c r="V10" s="2902"/>
      <c r="W10" s="2902"/>
      <c r="X10" s="2902"/>
      <c r="Y10" s="2902"/>
      <c r="Z10" s="2902"/>
      <c r="AA10" s="2859"/>
    </row>
    <row r="11" spans="1:27" ht="12" thickBot="1">
      <c r="A11" s="2906"/>
      <c r="B11" s="2907">
        <f t="shared" ref="B11:Z11" si="0">IF(B14="Coal", 1,IF(B14="Hydro",2,IF(B14="Geo-Therm", 1, IF(B14="Natural Gas", 3,IF(B14="Wind",3,IF(B14= "Form 1 LF",4,IF(B14="Form 1 SF",5,"")))))))</f>
        <v>3</v>
      </c>
      <c r="C11" s="2908" t="str">
        <f t="shared" si="0"/>
        <v/>
      </c>
      <c r="D11" s="2908" t="str">
        <f t="shared" si="0"/>
        <v/>
      </c>
      <c r="E11" s="2908" t="str">
        <f t="shared" si="0"/>
        <v/>
      </c>
      <c r="F11" s="2909" t="str">
        <f t="shared" si="0"/>
        <v/>
      </c>
      <c r="G11" s="2907" t="str">
        <f t="shared" si="0"/>
        <v/>
      </c>
      <c r="H11" s="2908" t="str">
        <f t="shared" si="0"/>
        <v/>
      </c>
      <c r="I11" s="2908" t="str">
        <f t="shared" si="0"/>
        <v/>
      </c>
      <c r="J11" s="2908" t="str">
        <f t="shared" si="0"/>
        <v/>
      </c>
      <c r="K11" s="2908" t="str">
        <f t="shared" si="0"/>
        <v/>
      </c>
      <c r="L11" s="2908" t="str">
        <f t="shared" si="0"/>
        <v/>
      </c>
      <c r="M11" s="2908" t="str">
        <f t="shared" si="0"/>
        <v/>
      </c>
      <c r="N11" s="2908" t="str">
        <f t="shared" si="0"/>
        <v/>
      </c>
      <c r="O11" s="2908" t="str">
        <f t="shared" si="0"/>
        <v/>
      </c>
      <c r="P11" s="2908" t="str">
        <f t="shared" si="0"/>
        <v/>
      </c>
      <c r="Q11" s="2908" t="str">
        <f t="shared" si="0"/>
        <v/>
      </c>
      <c r="R11" s="2908" t="str">
        <f t="shared" si="0"/>
        <v/>
      </c>
      <c r="S11" s="2908" t="str">
        <f t="shared" si="0"/>
        <v/>
      </c>
      <c r="T11" s="2908" t="str">
        <f t="shared" si="0"/>
        <v/>
      </c>
      <c r="U11" s="2908" t="str">
        <f t="shared" si="0"/>
        <v/>
      </c>
      <c r="V11" s="2908" t="str">
        <f t="shared" si="0"/>
        <v/>
      </c>
      <c r="W11" s="2908" t="str">
        <f t="shared" si="0"/>
        <v/>
      </c>
      <c r="X11" s="2908" t="str">
        <f t="shared" si="0"/>
        <v/>
      </c>
      <c r="Y11" s="2908" t="str">
        <f t="shared" si="0"/>
        <v/>
      </c>
      <c r="Z11" s="2908" t="str">
        <f t="shared" si="0"/>
        <v/>
      </c>
      <c r="AA11" s="2910"/>
    </row>
    <row r="12" spans="1:27" ht="12" thickBot="1">
      <c r="A12" s="2911"/>
      <c r="B12" s="2912"/>
      <c r="C12" s="2912"/>
      <c r="D12" s="2912"/>
      <c r="E12" s="2912"/>
      <c r="F12" s="2912"/>
      <c r="G12" s="2912"/>
      <c r="H12" s="2912"/>
      <c r="I12" s="2912"/>
      <c r="J12" s="2912"/>
      <c r="K12" s="2912"/>
      <c r="L12" s="2912"/>
      <c r="M12" s="2912"/>
      <c r="N12" s="2912"/>
      <c r="O12" s="2912"/>
      <c r="P12" s="2912"/>
      <c r="Q12" s="2912"/>
      <c r="R12" s="2912"/>
      <c r="S12" s="2912"/>
      <c r="T12" s="2912"/>
      <c r="U12" s="2912"/>
      <c r="V12" s="2912"/>
      <c r="W12" s="2912"/>
      <c r="X12" s="2912"/>
      <c r="Y12" s="2912"/>
      <c r="Z12" s="2912"/>
      <c r="AA12" s="2913" t="s">
        <v>284</v>
      </c>
    </row>
    <row r="13" spans="1:27">
      <c r="A13" s="2914" t="s">
        <v>281</v>
      </c>
      <c r="B13" s="2915"/>
      <c r="C13" s="2915"/>
      <c r="D13" s="2915"/>
      <c r="E13" s="2915"/>
      <c r="F13" s="2915"/>
      <c r="G13" s="2915"/>
      <c r="H13" s="2915"/>
      <c r="I13" s="2915"/>
      <c r="J13" s="2915"/>
      <c r="K13" s="2915"/>
      <c r="L13" s="2915"/>
      <c r="M13" s="2915"/>
      <c r="N13" s="2915"/>
      <c r="O13" s="2915"/>
      <c r="P13" s="2915"/>
      <c r="Q13" s="2915"/>
      <c r="R13" s="2915"/>
      <c r="S13" s="2915"/>
      <c r="T13" s="2915"/>
      <c r="U13" s="2915"/>
      <c r="V13" s="2915"/>
      <c r="W13" s="2915"/>
      <c r="X13" s="2915"/>
      <c r="Y13" s="2915"/>
      <c r="Z13" s="2915"/>
      <c r="AA13" s="2916"/>
    </row>
    <row r="14" spans="1:27" ht="12" thickBot="1">
      <c r="A14" s="2917" t="s">
        <v>282</v>
      </c>
      <c r="B14" s="2918" t="s">
        <v>6843</v>
      </c>
      <c r="C14" s="2918"/>
      <c r="D14" s="2918"/>
      <c r="E14" s="2918"/>
      <c r="F14" s="2918"/>
      <c r="G14" s="2918"/>
      <c r="H14" s="2918"/>
      <c r="I14" s="2918"/>
      <c r="J14" s="2918"/>
      <c r="K14" s="2918"/>
      <c r="L14" s="2918"/>
      <c r="M14" s="2918"/>
      <c r="N14" s="2918"/>
      <c r="O14" s="2918"/>
      <c r="P14" s="2918"/>
      <c r="Q14" s="2918"/>
      <c r="R14" s="2918"/>
      <c r="S14" s="2918"/>
      <c r="T14" s="2918"/>
      <c r="U14" s="2918"/>
      <c r="V14" s="2918"/>
      <c r="W14" s="2918"/>
      <c r="X14" s="2918"/>
      <c r="Y14" s="2918"/>
      <c r="Z14" s="2918"/>
      <c r="AA14" s="2919"/>
    </row>
    <row r="15" spans="1:27">
      <c r="A15" s="2867" t="s">
        <v>551</v>
      </c>
      <c r="B15" s="2920">
        <f>Wind_Resources_Costs!C22</f>
        <v>525311808</v>
      </c>
      <c r="C15" s="2920"/>
      <c r="D15" s="2920"/>
      <c r="E15" s="2921"/>
      <c r="F15" s="2921"/>
      <c r="G15" s="2921"/>
      <c r="H15" s="2922"/>
      <c r="I15" s="2922"/>
      <c r="J15" s="2922"/>
      <c r="K15" s="2922"/>
      <c r="L15" s="2922"/>
      <c r="M15" s="2923"/>
      <c r="N15" s="2923"/>
      <c r="O15" s="2923"/>
      <c r="P15" s="2923"/>
      <c r="Q15" s="2923"/>
      <c r="R15" s="2923"/>
      <c r="S15" s="2923"/>
      <c r="T15" s="2923"/>
      <c r="U15" s="2923"/>
      <c r="V15" s="2923"/>
      <c r="W15" s="2923"/>
      <c r="X15" s="2923"/>
      <c r="Y15" s="2923"/>
      <c r="Z15" s="2923"/>
      <c r="AA15" s="2868">
        <f>SUM(B15:Z15)</f>
        <v>525311808</v>
      </c>
    </row>
    <row r="16" spans="1:27">
      <c r="A16" s="2867"/>
      <c r="B16" s="2920"/>
      <c r="C16" s="2920"/>
      <c r="D16" s="2920"/>
      <c r="E16" s="2921"/>
      <c r="F16" s="2921"/>
      <c r="G16" s="2921"/>
      <c r="H16" s="2922"/>
      <c r="I16" s="2922"/>
      <c r="J16" s="2922"/>
      <c r="K16" s="2922"/>
      <c r="L16" s="2922"/>
      <c r="M16" s="2923"/>
      <c r="N16" s="2923"/>
      <c r="O16" s="2923"/>
      <c r="P16" s="2923"/>
      <c r="Q16" s="2923"/>
      <c r="R16" s="2923"/>
      <c r="S16" s="2923"/>
      <c r="T16" s="2923"/>
      <c r="U16" s="2923"/>
      <c r="V16" s="2923"/>
      <c r="W16" s="2923"/>
      <c r="X16" s="2923"/>
      <c r="Y16" s="2923"/>
      <c r="Z16" s="2923"/>
      <c r="AA16" s="2868"/>
    </row>
    <row r="17" spans="1:27">
      <c r="A17" s="2867" t="s">
        <v>552</v>
      </c>
      <c r="B17" s="2872">
        <f>Wind_Resources_Costs!C28</f>
        <v>454201098</v>
      </c>
      <c r="C17" s="2872"/>
      <c r="D17" s="2872"/>
      <c r="E17" s="2935"/>
      <c r="F17" s="2935"/>
      <c r="G17" s="2935"/>
      <c r="H17" s="2944"/>
      <c r="I17" s="2944"/>
      <c r="J17" s="2944"/>
      <c r="K17" s="2944"/>
      <c r="L17" s="3655"/>
      <c r="M17" s="2946"/>
      <c r="N17" s="2946"/>
      <c r="O17" s="2946"/>
      <c r="P17" s="2946"/>
      <c r="Q17" s="2946"/>
      <c r="R17" s="2946"/>
      <c r="S17" s="2946"/>
      <c r="T17" s="2946"/>
      <c r="U17" s="2946"/>
      <c r="V17" s="2946"/>
      <c r="W17" s="2946"/>
      <c r="X17" s="2946"/>
      <c r="Y17" s="2946"/>
      <c r="Z17" s="2946"/>
      <c r="AA17" s="2868">
        <f>SUM(B17:Z17)</f>
        <v>454201098</v>
      </c>
    </row>
    <row r="18" spans="1:27">
      <c r="A18" s="2867" t="s">
        <v>553</v>
      </c>
      <c r="B18" s="2925">
        <f>Wind_Resources_Costs!C31</f>
        <v>-265563357.59000003</v>
      </c>
      <c r="C18" s="2925"/>
      <c r="D18" s="2925"/>
      <c r="E18" s="2926"/>
      <c r="F18" s="2926"/>
      <c r="G18" s="2926"/>
      <c r="H18" s="2927"/>
      <c r="I18" s="2927"/>
      <c r="J18" s="2927"/>
      <c r="K18" s="2927"/>
      <c r="L18" s="2927"/>
      <c r="M18" s="2927"/>
      <c r="N18" s="2927"/>
      <c r="O18" s="2927"/>
      <c r="P18" s="2927"/>
      <c r="Q18" s="2927"/>
      <c r="R18" s="2927"/>
      <c r="S18" s="2927"/>
      <c r="T18" s="2927"/>
      <c r="U18" s="2927"/>
      <c r="V18" s="2927"/>
      <c r="W18" s="2927"/>
      <c r="X18" s="2927"/>
      <c r="Y18" s="2927"/>
      <c r="Z18" s="2927"/>
      <c r="AA18" s="2928">
        <f>SUM(B18:Z18)</f>
        <v>-265563357.59000003</v>
      </c>
    </row>
    <row r="19" spans="1:27">
      <c r="A19" s="2867"/>
      <c r="B19" s="2929"/>
      <c r="C19" s="2930"/>
      <c r="D19" s="2930"/>
      <c r="E19" s="2929"/>
      <c r="F19" s="2930"/>
      <c r="G19" s="2930"/>
      <c r="H19" s="2929"/>
      <c r="I19" s="2929"/>
      <c r="J19" s="2929"/>
      <c r="K19" s="2929"/>
      <c r="L19" s="2929"/>
      <c r="M19" s="2931"/>
      <c r="N19" s="2931"/>
      <c r="O19" s="2931"/>
      <c r="P19" s="2931"/>
      <c r="Q19" s="2931"/>
      <c r="R19" s="2931"/>
      <c r="S19" s="2931"/>
      <c r="T19" s="2931"/>
      <c r="U19" s="2931"/>
      <c r="V19" s="2931"/>
      <c r="W19" s="2931"/>
      <c r="X19" s="2931"/>
      <c r="Y19" s="2931"/>
      <c r="Z19" s="2931"/>
      <c r="AA19" s="2870"/>
    </row>
    <row r="20" spans="1:27">
      <c r="A20" s="2932" t="s">
        <v>554</v>
      </c>
      <c r="B20" s="2933">
        <f>B17+B18</f>
        <v>188637740.40999997</v>
      </c>
      <c r="C20" s="2933">
        <f t="shared" ref="C20:Z20" si="1">C17+C18</f>
        <v>0</v>
      </c>
      <c r="D20" s="2933">
        <f t="shared" si="1"/>
        <v>0</v>
      </c>
      <c r="E20" s="2933">
        <f t="shared" si="1"/>
        <v>0</v>
      </c>
      <c r="F20" s="2933">
        <f t="shared" si="1"/>
        <v>0</v>
      </c>
      <c r="G20" s="2933">
        <f t="shared" si="1"/>
        <v>0</v>
      </c>
      <c r="H20" s="2933">
        <f t="shared" si="1"/>
        <v>0</v>
      </c>
      <c r="I20" s="2933">
        <f t="shared" si="1"/>
        <v>0</v>
      </c>
      <c r="J20" s="2933">
        <f t="shared" si="1"/>
        <v>0</v>
      </c>
      <c r="K20" s="2933">
        <f t="shared" si="1"/>
        <v>0</v>
      </c>
      <c r="L20" s="2933">
        <f t="shared" si="1"/>
        <v>0</v>
      </c>
      <c r="M20" s="2933">
        <f t="shared" si="1"/>
        <v>0</v>
      </c>
      <c r="N20" s="2933">
        <f t="shared" si="1"/>
        <v>0</v>
      </c>
      <c r="O20" s="2933">
        <f t="shared" si="1"/>
        <v>0</v>
      </c>
      <c r="P20" s="2933">
        <f t="shared" si="1"/>
        <v>0</v>
      </c>
      <c r="Q20" s="2933">
        <f t="shared" si="1"/>
        <v>0</v>
      </c>
      <c r="R20" s="2933">
        <f t="shared" si="1"/>
        <v>0</v>
      </c>
      <c r="S20" s="2933">
        <f t="shared" si="1"/>
        <v>0</v>
      </c>
      <c r="T20" s="2933">
        <f t="shared" si="1"/>
        <v>0</v>
      </c>
      <c r="U20" s="2933">
        <f t="shared" si="1"/>
        <v>0</v>
      </c>
      <c r="V20" s="2933">
        <f t="shared" si="1"/>
        <v>0</v>
      </c>
      <c r="W20" s="2933">
        <f t="shared" si="1"/>
        <v>0</v>
      </c>
      <c r="X20" s="2933">
        <f t="shared" si="1"/>
        <v>0</v>
      </c>
      <c r="Y20" s="2933">
        <f t="shared" si="1"/>
        <v>0</v>
      </c>
      <c r="Z20" s="2933">
        <f t="shared" si="1"/>
        <v>0</v>
      </c>
      <c r="AA20" s="2934">
        <f>SUM(B20:Z20)</f>
        <v>188637740.40999997</v>
      </c>
    </row>
    <row r="21" spans="1:27">
      <c r="A21" s="2867" t="s">
        <v>435</v>
      </c>
      <c r="B21" s="2871"/>
      <c r="C21" s="2871"/>
      <c r="D21" s="2872"/>
      <c r="E21" s="2935"/>
      <c r="F21" s="2935"/>
      <c r="G21" s="2935"/>
      <c r="H21" s="2927"/>
      <c r="I21" s="2927"/>
      <c r="J21" s="2927"/>
      <c r="K21" s="2927"/>
      <c r="L21" s="2927"/>
      <c r="M21" s="2927"/>
      <c r="N21" s="2927"/>
      <c r="O21" s="2927"/>
      <c r="P21" s="2927"/>
      <c r="Q21" s="2927"/>
      <c r="R21" s="2927"/>
      <c r="S21" s="2927"/>
      <c r="T21" s="2927"/>
      <c r="U21" s="2927"/>
      <c r="V21" s="2927"/>
      <c r="W21" s="2927"/>
      <c r="X21" s="2927"/>
      <c r="Y21" s="2927"/>
      <c r="Z21" s="2927"/>
      <c r="AA21" s="2868">
        <f>SUM(B21:Z21)</f>
        <v>0</v>
      </c>
    </row>
    <row r="22" spans="1:27">
      <c r="A22" s="2936" t="s">
        <v>555</v>
      </c>
      <c r="B22" s="2937" t="s">
        <v>782</v>
      </c>
      <c r="C22" s="2938"/>
      <c r="D22" s="2938"/>
      <c r="E22" s="2938"/>
      <c r="F22" s="2938"/>
      <c r="G22" s="2938"/>
      <c r="H22" s="2939"/>
      <c r="I22" s="2939"/>
      <c r="J22" s="2939"/>
      <c r="K22" s="2939"/>
      <c r="L22" s="2939"/>
      <c r="M22" s="2939"/>
      <c r="N22" s="2939"/>
      <c r="O22" s="2939"/>
      <c r="P22" s="2939"/>
      <c r="Q22" s="2939"/>
      <c r="R22" s="2939"/>
      <c r="S22" s="2939"/>
      <c r="T22" s="2939"/>
      <c r="U22" s="2939"/>
      <c r="V22" s="2939"/>
      <c r="W22" s="2939"/>
      <c r="X22" s="2939"/>
      <c r="Y22" s="2939"/>
      <c r="Z22" s="2939"/>
      <c r="AA22" s="2940">
        <f>'Sch 1- Rate Base '!G105*'A-RHWM_Ratios'!R50</f>
        <v>6003764.3813822595</v>
      </c>
    </row>
    <row r="23" spans="1:27">
      <c r="A23" s="2936" t="s">
        <v>401</v>
      </c>
      <c r="B23" s="2937" t="s">
        <v>783</v>
      </c>
      <c r="C23" s="2938"/>
      <c r="D23" s="2938"/>
      <c r="E23" s="2938"/>
      <c r="F23" s="2938"/>
      <c r="G23" s="2947"/>
      <c r="H23" s="2939"/>
      <c r="I23" s="2939"/>
      <c r="J23" s="2939"/>
      <c r="K23" s="2939"/>
      <c r="L23" s="2939"/>
      <c r="M23" s="2939"/>
      <c r="N23" s="2939"/>
      <c r="O23" s="2939"/>
      <c r="P23" s="2939"/>
      <c r="Q23" s="2939"/>
      <c r="R23" s="2939"/>
      <c r="S23" s="2939"/>
      <c r="T23" s="2939"/>
      <c r="U23" s="2939"/>
      <c r="V23" s="2939"/>
      <c r="W23" s="2939"/>
      <c r="X23" s="2939"/>
      <c r="Y23" s="2939"/>
      <c r="Z23" s="2939"/>
      <c r="AA23" s="2940">
        <f>'A-RHWM_Ratios'!R37-'Sch 1- Rate Base '!G63*'A-RHWM_Ratios'!R38</f>
        <v>4598281.0889457092</v>
      </c>
    </row>
    <row r="24" spans="1:27">
      <c r="A24" s="2932" t="s">
        <v>556</v>
      </c>
      <c r="B24" s="2933">
        <f t="shared" ref="B24:AA24" si="2">SUM(B20:B23)</f>
        <v>188637740.40999997</v>
      </c>
      <c r="C24" s="2933">
        <f t="shared" si="2"/>
        <v>0</v>
      </c>
      <c r="D24" s="2933">
        <f t="shared" si="2"/>
        <v>0</v>
      </c>
      <c r="E24" s="2933">
        <f t="shared" si="2"/>
        <v>0</v>
      </c>
      <c r="F24" s="2933">
        <f t="shared" si="2"/>
        <v>0</v>
      </c>
      <c r="G24" s="2933">
        <f t="shared" si="2"/>
        <v>0</v>
      </c>
      <c r="H24" s="2933">
        <f t="shared" si="2"/>
        <v>0</v>
      </c>
      <c r="I24" s="2933">
        <f t="shared" si="2"/>
        <v>0</v>
      </c>
      <c r="J24" s="2933">
        <f t="shared" si="2"/>
        <v>0</v>
      </c>
      <c r="K24" s="2933">
        <f t="shared" si="2"/>
        <v>0</v>
      </c>
      <c r="L24" s="2933">
        <f t="shared" si="2"/>
        <v>0</v>
      </c>
      <c r="M24" s="2933">
        <f t="shared" si="2"/>
        <v>0</v>
      </c>
      <c r="N24" s="2933">
        <f t="shared" si="2"/>
        <v>0</v>
      </c>
      <c r="O24" s="2933">
        <f t="shared" si="2"/>
        <v>0</v>
      </c>
      <c r="P24" s="2933">
        <f t="shared" si="2"/>
        <v>0</v>
      </c>
      <c r="Q24" s="2933">
        <f t="shared" si="2"/>
        <v>0</v>
      </c>
      <c r="R24" s="2933">
        <f t="shared" si="2"/>
        <v>0</v>
      </c>
      <c r="S24" s="2933">
        <f t="shared" si="2"/>
        <v>0</v>
      </c>
      <c r="T24" s="2933">
        <f t="shared" si="2"/>
        <v>0</v>
      </c>
      <c r="U24" s="2933">
        <f t="shared" si="2"/>
        <v>0</v>
      </c>
      <c r="V24" s="2933">
        <f t="shared" si="2"/>
        <v>0</v>
      </c>
      <c r="W24" s="2933">
        <f t="shared" si="2"/>
        <v>0</v>
      </c>
      <c r="X24" s="2933">
        <f t="shared" si="2"/>
        <v>0</v>
      </c>
      <c r="Y24" s="2933">
        <f t="shared" si="2"/>
        <v>0</v>
      </c>
      <c r="Z24" s="2933">
        <f t="shared" si="2"/>
        <v>0</v>
      </c>
      <c r="AA24" s="2934">
        <f t="shared" si="2"/>
        <v>199239785.88032794</v>
      </c>
    </row>
    <row r="25" spans="1:27">
      <c r="A25" s="2941" t="s">
        <v>275</v>
      </c>
      <c r="B25" s="2942">
        <f t="shared" ref="B25:AA25" si="3">$B$10</f>
        <v>8.3803797468354424E-2</v>
      </c>
      <c r="C25" s="2942">
        <f t="shared" si="3"/>
        <v>8.3803797468354424E-2</v>
      </c>
      <c r="D25" s="2942">
        <f t="shared" si="3"/>
        <v>8.3803797468354424E-2</v>
      </c>
      <c r="E25" s="2942">
        <f t="shared" si="3"/>
        <v>8.3803797468354424E-2</v>
      </c>
      <c r="F25" s="2942">
        <f t="shared" si="3"/>
        <v>8.3803797468354424E-2</v>
      </c>
      <c r="G25" s="2942">
        <f t="shared" si="3"/>
        <v>8.3803797468354424E-2</v>
      </c>
      <c r="H25" s="2942">
        <f t="shared" si="3"/>
        <v>8.3803797468354424E-2</v>
      </c>
      <c r="I25" s="2942">
        <f t="shared" si="3"/>
        <v>8.3803797468354424E-2</v>
      </c>
      <c r="J25" s="2942">
        <f t="shared" si="3"/>
        <v>8.3803797468354424E-2</v>
      </c>
      <c r="K25" s="2942">
        <f t="shared" si="3"/>
        <v>8.3803797468354424E-2</v>
      </c>
      <c r="L25" s="2942">
        <f t="shared" si="3"/>
        <v>8.3803797468354424E-2</v>
      </c>
      <c r="M25" s="2942">
        <f t="shared" si="3"/>
        <v>8.3803797468354424E-2</v>
      </c>
      <c r="N25" s="2942">
        <f t="shared" si="3"/>
        <v>8.3803797468354424E-2</v>
      </c>
      <c r="O25" s="2942">
        <f t="shared" si="3"/>
        <v>8.3803797468354424E-2</v>
      </c>
      <c r="P25" s="2942">
        <f t="shared" si="3"/>
        <v>8.3803797468354424E-2</v>
      </c>
      <c r="Q25" s="2942">
        <f t="shared" si="3"/>
        <v>8.3803797468354424E-2</v>
      </c>
      <c r="R25" s="2942">
        <f t="shared" si="3"/>
        <v>8.3803797468354424E-2</v>
      </c>
      <c r="S25" s="2942">
        <f t="shared" si="3"/>
        <v>8.3803797468354424E-2</v>
      </c>
      <c r="T25" s="2942">
        <f t="shared" si="3"/>
        <v>8.3803797468354424E-2</v>
      </c>
      <c r="U25" s="2942">
        <f t="shared" si="3"/>
        <v>8.3803797468354424E-2</v>
      </c>
      <c r="V25" s="2942">
        <f t="shared" si="3"/>
        <v>8.3803797468354424E-2</v>
      </c>
      <c r="W25" s="2942">
        <f t="shared" si="3"/>
        <v>8.3803797468354424E-2</v>
      </c>
      <c r="X25" s="2942">
        <f t="shared" si="3"/>
        <v>8.3803797468354424E-2</v>
      </c>
      <c r="Y25" s="2942">
        <f t="shared" si="3"/>
        <v>8.3803797468354424E-2</v>
      </c>
      <c r="Z25" s="2942">
        <f t="shared" si="3"/>
        <v>8.3803797468354424E-2</v>
      </c>
      <c r="AA25" s="2943">
        <f t="shared" si="3"/>
        <v>8.3803797468354424E-2</v>
      </c>
    </row>
    <row r="26" spans="1:27">
      <c r="A26" s="2932" t="s">
        <v>557</v>
      </c>
      <c r="B26" s="2933">
        <f t="shared" ref="B26:AA26" si="4">B24*B25</f>
        <v>15808558.992207654</v>
      </c>
      <c r="C26" s="2933">
        <f t="shared" si="4"/>
        <v>0</v>
      </c>
      <c r="D26" s="2933">
        <f t="shared" si="4"/>
        <v>0</v>
      </c>
      <c r="E26" s="2933">
        <f t="shared" si="4"/>
        <v>0</v>
      </c>
      <c r="F26" s="2933">
        <f t="shared" si="4"/>
        <v>0</v>
      </c>
      <c r="G26" s="2933">
        <f t="shared" si="4"/>
        <v>0</v>
      </c>
      <c r="H26" s="2933">
        <f t="shared" si="4"/>
        <v>0</v>
      </c>
      <c r="I26" s="2933">
        <f t="shared" si="4"/>
        <v>0</v>
      </c>
      <c r="J26" s="2933">
        <f t="shared" si="4"/>
        <v>0</v>
      </c>
      <c r="K26" s="2933">
        <f t="shared" si="4"/>
        <v>0</v>
      </c>
      <c r="L26" s="2933">
        <f t="shared" si="4"/>
        <v>0</v>
      </c>
      <c r="M26" s="2933">
        <f t="shared" si="4"/>
        <v>0</v>
      </c>
      <c r="N26" s="2933">
        <f t="shared" si="4"/>
        <v>0</v>
      </c>
      <c r="O26" s="2933">
        <f t="shared" si="4"/>
        <v>0</v>
      </c>
      <c r="P26" s="2933">
        <f t="shared" si="4"/>
        <v>0</v>
      </c>
      <c r="Q26" s="2933">
        <f t="shared" si="4"/>
        <v>0</v>
      </c>
      <c r="R26" s="2933">
        <f t="shared" si="4"/>
        <v>0</v>
      </c>
      <c r="S26" s="2933">
        <f t="shared" si="4"/>
        <v>0</v>
      </c>
      <c r="T26" s="2933">
        <f t="shared" si="4"/>
        <v>0</v>
      </c>
      <c r="U26" s="2933">
        <f t="shared" si="4"/>
        <v>0</v>
      </c>
      <c r="V26" s="2933">
        <f t="shared" si="4"/>
        <v>0</v>
      </c>
      <c r="W26" s="2933">
        <f t="shared" si="4"/>
        <v>0</v>
      </c>
      <c r="X26" s="2933">
        <f t="shared" si="4"/>
        <v>0</v>
      </c>
      <c r="Y26" s="2933">
        <f t="shared" si="4"/>
        <v>0</v>
      </c>
      <c r="Z26" s="2933">
        <f t="shared" si="4"/>
        <v>0</v>
      </c>
      <c r="AA26" s="2934">
        <f t="shared" si="4"/>
        <v>16697050.663553305</v>
      </c>
    </row>
    <row r="27" spans="1:27">
      <c r="A27" s="2867"/>
      <c r="B27" s="2872"/>
      <c r="C27" s="2872"/>
      <c r="D27" s="2872"/>
      <c r="E27" s="2935"/>
      <c r="F27" s="2935"/>
      <c r="G27" s="2935"/>
      <c r="H27" s="2872"/>
      <c r="I27" s="2872"/>
      <c r="J27" s="2872"/>
      <c r="K27" s="2872"/>
      <c r="L27" s="2872"/>
      <c r="M27" s="2872"/>
      <c r="N27" s="2872"/>
      <c r="O27" s="2872"/>
      <c r="P27" s="2872"/>
      <c r="Q27" s="2872"/>
      <c r="R27" s="2872"/>
      <c r="S27" s="2872"/>
      <c r="T27" s="2872"/>
      <c r="U27" s="2872"/>
      <c r="V27" s="2872"/>
      <c r="W27" s="2872"/>
      <c r="X27" s="2872"/>
      <c r="Y27" s="2872"/>
      <c r="Z27" s="2872"/>
      <c r="AA27" s="2868"/>
    </row>
    <row r="28" spans="1:27">
      <c r="A28" s="2873" t="s">
        <v>402</v>
      </c>
      <c r="B28" s="2872"/>
      <c r="C28" s="2872"/>
      <c r="D28" s="2872"/>
      <c r="E28" s="2935"/>
      <c r="F28" s="2935"/>
      <c r="G28" s="2935"/>
      <c r="H28" s="2872"/>
      <c r="I28" s="2872"/>
      <c r="J28" s="2872"/>
      <c r="K28" s="2872"/>
      <c r="L28" s="2872"/>
      <c r="M28" s="2872"/>
      <c r="N28" s="2872"/>
      <c r="O28" s="2872"/>
      <c r="P28" s="2872"/>
      <c r="Q28" s="2872"/>
      <c r="R28" s="2872"/>
      <c r="S28" s="2872"/>
      <c r="T28" s="2872"/>
      <c r="U28" s="2872"/>
      <c r="V28" s="2872"/>
      <c r="W28" s="2872"/>
      <c r="X28" s="2872"/>
      <c r="Y28" s="2872"/>
      <c r="Z28" s="2872"/>
      <c r="AA28" s="2868"/>
    </row>
    <row r="29" spans="1:27">
      <c r="A29" s="2873" t="s">
        <v>404</v>
      </c>
      <c r="B29" s="2872">
        <f>Wind_Resources_Costs!C32</f>
        <v>21282816.369999997</v>
      </c>
      <c r="C29" s="2872"/>
      <c r="D29" s="2872"/>
      <c r="E29" s="2935"/>
      <c r="F29" s="2935"/>
      <c r="G29" s="2935"/>
      <c r="H29" s="2944"/>
      <c r="I29" s="2944"/>
      <c r="J29" s="2944"/>
      <c r="K29" s="2944"/>
      <c r="L29" s="2945"/>
      <c r="M29" s="2946"/>
      <c r="N29" s="2946"/>
      <c r="O29" s="2946"/>
      <c r="P29" s="2946"/>
      <c r="Q29" s="2946"/>
      <c r="R29" s="2946"/>
      <c r="S29" s="2946"/>
      <c r="T29" s="2946"/>
      <c r="U29" s="2946"/>
      <c r="V29" s="2946"/>
      <c r="W29" s="2946"/>
      <c r="X29" s="2946"/>
      <c r="Y29" s="2946"/>
      <c r="Z29" s="2946"/>
      <c r="AA29" s="2868">
        <f>SUM(B29:Z29)</f>
        <v>21282816.369999997</v>
      </c>
    </row>
    <row r="30" spans="1:27">
      <c r="A30" s="2936" t="s">
        <v>92</v>
      </c>
      <c r="B30" s="2937" t="s">
        <v>784</v>
      </c>
      <c r="C30" s="2938"/>
      <c r="D30" s="2938"/>
      <c r="E30" s="2938"/>
      <c r="F30" s="2938"/>
      <c r="G30" s="2947"/>
      <c r="H30" s="2947"/>
      <c r="I30" s="2947"/>
      <c r="J30" s="2947"/>
      <c r="K30" s="2947"/>
      <c r="L30" s="2948"/>
      <c r="M30" s="2949"/>
      <c r="N30" s="2949"/>
      <c r="O30" s="2949"/>
      <c r="P30" s="2949"/>
      <c r="Q30" s="2949"/>
      <c r="R30" s="2949"/>
      <c r="S30" s="2949"/>
      <c r="T30" s="2949"/>
      <c r="U30" s="2949"/>
      <c r="V30" s="2949"/>
      <c r="W30" s="2949"/>
      <c r="X30" s="2949"/>
      <c r="Y30" s="2949"/>
      <c r="Z30" s="2949"/>
      <c r="AA30" s="2940">
        <f>'Sch 3 - Expenses'!G91*'A-RHWM_Ratios'!R38</f>
        <v>611165.69811180187</v>
      </c>
    </row>
    <row r="31" spans="1:27">
      <c r="A31" s="2873" t="s">
        <v>406</v>
      </c>
      <c r="B31" s="2872"/>
      <c r="C31" s="2872"/>
      <c r="D31" s="2872"/>
      <c r="E31" s="2935"/>
      <c r="F31" s="2935"/>
      <c r="G31" s="2935"/>
      <c r="H31" s="2944"/>
      <c r="I31" s="2944"/>
      <c r="J31" s="2944"/>
      <c r="K31" s="2944"/>
      <c r="L31" s="2945"/>
      <c r="M31" s="2946"/>
      <c r="N31" s="2946"/>
      <c r="O31" s="2946"/>
      <c r="P31" s="2946"/>
      <c r="Q31" s="2946"/>
      <c r="R31" s="2946"/>
      <c r="S31" s="2946"/>
      <c r="T31" s="2946"/>
      <c r="U31" s="2946"/>
      <c r="V31" s="2946"/>
      <c r="W31" s="2946"/>
      <c r="X31" s="2946"/>
      <c r="Y31" s="2946"/>
      <c r="Z31" s="2946"/>
      <c r="AA31" s="2868">
        <f>SUM(AA29:AA30)</f>
        <v>21893982.0681118</v>
      </c>
    </row>
    <row r="32" spans="1:27">
      <c r="A32" s="2873"/>
      <c r="B32" s="2872"/>
      <c r="C32" s="2872"/>
      <c r="D32" s="2872"/>
      <c r="E32" s="2935"/>
      <c r="F32" s="2935"/>
      <c r="G32" s="2935"/>
      <c r="H32" s="2944"/>
      <c r="I32" s="2944"/>
      <c r="J32" s="2944"/>
      <c r="K32" s="2944"/>
      <c r="L32" s="2945"/>
      <c r="M32" s="2946"/>
      <c r="N32" s="2946"/>
      <c r="O32" s="2946"/>
      <c r="P32" s="2946"/>
      <c r="Q32" s="2946"/>
      <c r="R32" s="2946"/>
      <c r="S32" s="2946"/>
      <c r="T32" s="2946"/>
      <c r="U32" s="2946"/>
      <c r="V32" s="2946"/>
      <c r="W32" s="2946"/>
      <c r="X32" s="2946"/>
      <c r="Y32" s="2946"/>
      <c r="Z32" s="2946"/>
      <c r="AA32" s="2868"/>
    </row>
    <row r="33" spans="1:27">
      <c r="A33" s="2873" t="s">
        <v>230</v>
      </c>
      <c r="B33" s="2872">
        <f>SUM(Wind_Resources_Costs!C34:C37)</f>
        <v>3484224.62</v>
      </c>
      <c r="C33" s="2872"/>
      <c r="D33" s="2872"/>
      <c r="E33" s="2935"/>
      <c r="F33" s="2935"/>
      <c r="G33" s="2935"/>
      <c r="H33" s="2944"/>
      <c r="I33" s="2944"/>
      <c r="J33" s="2944"/>
      <c r="K33" s="2944"/>
      <c r="L33" s="2945"/>
      <c r="M33" s="2946"/>
      <c r="N33" s="2946"/>
      <c r="O33" s="2946"/>
      <c r="P33" s="2946"/>
      <c r="Q33" s="2946"/>
      <c r="R33" s="2946"/>
      <c r="S33" s="2946"/>
      <c r="T33" s="2946"/>
      <c r="U33" s="2946"/>
      <c r="V33" s="2946"/>
      <c r="W33" s="2946"/>
      <c r="X33" s="2946"/>
      <c r="Y33" s="2946"/>
      <c r="Z33" s="2946"/>
      <c r="AA33" s="2868">
        <f>SUM(B33:Z33)</f>
        <v>3484224.62</v>
      </c>
    </row>
    <row r="34" spans="1:27">
      <c r="A34" s="2873" t="s">
        <v>231</v>
      </c>
      <c r="B34" s="2872">
        <f>SUM(Wind_Resources_Costs!C38:C40)</f>
        <v>7593964</v>
      </c>
      <c r="C34" s="2872"/>
      <c r="D34" s="2872"/>
      <c r="E34" s="2951"/>
      <c r="F34" s="2951"/>
      <c r="G34" s="2951"/>
      <c r="H34" s="2944"/>
      <c r="I34" s="2944"/>
      <c r="J34" s="2944"/>
      <c r="K34" s="2944"/>
      <c r="L34" s="2945"/>
      <c r="M34" s="2946"/>
      <c r="N34" s="2946"/>
      <c r="O34" s="2946"/>
      <c r="P34" s="2946"/>
      <c r="Q34" s="2946"/>
      <c r="R34" s="2946"/>
      <c r="S34" s="2946"/>
      <c r="T34" s="2946"/>
      <c r="U34" s="2946"/>
      <c r="V34" s="2946"/>
      <c r="W34" s="2946"/>
      <c r="X34" s="2946"/>
      <c r="Y34" s="2946"/>
      <c r="Z34" s="2946"/>
      <c r="AA34" s="2868">
        <f>SUM(B34:Z34)</f>
        <v>7593964</v>
      </c>
    </row>
    <row r="35" spans="1:27">
      <c r="A35" s="2867" t="s">
        <v>558</v>
      </c>
      <c r="B35" s="2872"/>
      <c r="C35" s="2872"/>
      <c r="D35" s="2935"/>
      <c r="E35" s="2952"/>
      <c r="F35" s="2952"/>
      <c r="G35" s="2952"/>
      <c r="H35" s="2944"/>
      <c r="I35" s="2944"/>
      <c r="J35" s="2944"/>
      <c r="K35" s="2944"/>
      <c r="L35" s="2944"/>
      <c r="M35" s="2946"/>
      <c r="N35" s="2946"/>
      <c r="O35" s="2946"/>
      <c r="P35" s="2946"/>
      <c r="Q35" s="2946"/>
      <c r="R35" s="2946"/>
      <c r="S35" s="2946"/>
      <c r="T35" s="2946"/>
      <c r="U35" s="2946"/>
      <c r="V35" s="2946"/>
      <c r="W35" s="2946"/>
      <c r="X35" s="2946"/>
      <c r="Y35" s="2946"/>
      <c r="Z35" s="2946"/>
      <c r="AA35" s="2868">
        <f>SUM(B35:Z35)</f>
        <v>0</v>
      </c>
    </row>
    <row r="36" spans="1:27">
      <c r="A36" s="2936" t="s">
        <v>559</v>
      </c>
      <c r="B36" s="2938" t="s">
        <v>785</v>
      </c>
      <c r="C36" s="2938"/>
      <c r="D36" s="2953"/>
      <c r="E36" s="2953"/>
      <c r="F36" s="2953"/>
      <c r="G36" s="2953"/>
      <c r="H36" s="2938"/>
      <c r="I36" s="2938"/>
      <c r="J36" s="2938"/>
      <c r="K36" s="2938"/>
      <c r="L36" s="2938"/>
      <c r="M36" s="2954"/>
      <c r="N36" s="2954"/>
      <c r="O36" s="2954"/>
      <c r="P36" s="2954"/>
      <c r="Q36" s="2954"/>
      <c r="R36" s="2954"/>
      <c r="S36" s="2954"/>
      <c r="T36" s="2954"/>
      <c r="U36" s="2954"/>
      <c r="V36" s="2954"/>
      <c r="W36" s="2954"/>
      <c r="X36" s="2954"/>
      <c r="Y36" s="2954"/>
      <c r="Z36" s="2954"/>
      <c r="AA36" s="2940">
        <f>('Sch 3 - Expenses'!G59+'Sch 3 - Expenses'!G60-'Sch 3 - Expenses'!G61+'Sch 3 - Expenses'!G62+'Sch 3 - Expenses'!G64+'Sch 3 - Expenses'!G65)*'A-RHWM_Ratios'!R22+('Sch 3 - Expenses'!G63-'Sch 3 - Expenses'!G68)*'A-RHWM_Ratios'!R59+'Sch 3 - Expenses'!G74*'A-RHWM_Ratios'!R74</f>
        <v>4814268.7311464986</v>
      </c>
    </row>
    <row r="37" spans="1:27">
      <c r="A37" s="2867" t="s">
        <v>233</v>
      </c>
      <c r="B37" s="2872"/>
      <c r="C37" s="2872"/>
      <c r="D37" s="2935"/>
      <c r="E37" s="2935"/>
      <c r="F37" s="2935"/>
      <c r="G37" s="2935"/>
      <c r="H37" s="2935"/>
      <c r="I37" s="2935"/>
      <c r="J37" s="2935"/>
      <c r="K37" s="2935"/>
      <c r="L37" s="2935"/>
      <c r="M37" s="2935"/>
      <c r="N37" s="2935"/>
      <c r="O37" s="2935"/>
      <c r="P37" s="2935"/>
      <c r="Q37" s="2935"/>
      <c r="R37" s="2935"/>
      <c r="S37" s="2935"/>
      <c r="T37" s="2935"/>
      <c r="U37" s="2935"/>
      <c r="V37" s="2935"/>
      <c r="W37" s="2935"/>
      <c r="X37" s="2935"/>
      <c r="Y37" s="2935"/>
      <c r="Z37" s="2935"/>
      <c r="AA37" s="2868">
        <f>SUM(B37:Z37)</f>
        <v>0</v>
      </c>
    </row>
    <row r="38" spans="1:27">
      <c r="A38" s="2936" t="s">
        <v>234</v>
      </c>
      <c r="B38" s="2938" t="s">
        <v>786</v>
      </c>
      <c r="C38" s="2938"/>
      <c r="D38" s="2953"/>
      <c r="E38" s="2953"/>
      <c r="F38" s="2953"/>
      <c r="G38" s="2953"/>
      <c r="H38" s="2955"/>
      <c r="I38" s="2955"/>
      <c r="J38" s="2955"/>
      <c r="K38" s="2955"/>
      <c r="L38" s="2956"/>
      <c r="M38" s="2957"/>
      <c r="N38" s="2957"/>
      <c r="O38" s="2957"/>
      <c r="P38" s="2957"/>
      <c r="Q38" s="2957"/>
      <c r="R38" s="2957"/>
      <c r="S38" s="2957"/>
      <c r="T38" s="2957"/>
      <c r="U38" s="2957"/>
      <c r="V38" s="2957"/>
      <c r="W38" s="2957"/>
      <c r="X38" s="2957"/>
      <c r="Y38" s="2957"/>
      <c r="Z38" s="2957"/>
      <c r="AA38" s="2940">
        <f>'Sch 3A - Taxes'!F17*'A-RHWM_Ratios'!R22</f>
        <v>375259.4381173529</v>
      </c>
    </row>
    <row r="39" spans="1:27">
      <c r="A39" s="2936" t="s">
        <v>235</v>
      </c>
      <c r="B39" s="2938" t="s">
        <v>787</v>
      </c>
      <c r="C39" s="2938"/>
      <c r="D39" s="2953"/>
      <c r="E39" s="2953"/>
      <c r="F39" s="2953"/>
      <c r="G39" s="2953"/>
      <c r="H39" s="2955"/>
      <c r="I39" s="2955"/>
      <c r="J39" s="2955"/>
      <c r="K39" s="2955"/>
      <c r="L39" s="2956"/>
      <c r="M39" s="2957"/>
      <c r="N39" s="2957"/>
      <c r="O39" s="2957"/>
      <c r="P39" s="2957"/>
      <c r="Q39" s="2957"/>
      <c r="R39" s="2957"/>
      <c r="S39" s="2957"/>
      <c r="T39" s="2957"/>
      <c r="U39" s="2957"/>
      <c r="V39" s="2957"/>
      <c r="W39" s="2957"/>
      <c r="X39" s="2957"/>
      <c r="Y39" s="2957"/>
      <c r="Z39" s="2957"/>
      <c r="AA39" s="2940">
        <f>'Sch 3A - Taxes'!F23*'A-RHWM_Ratios'!R22</f>
        <v>0</v>
      </c>
    </row>
    <row r="40" spans="1:27">
      <c r="A40" s="2936" t="s">
        <v>269</v>
      </c>
      <c r="B40" s="2938" t="s">
        <v>788</v>
      </c>
      <c r="C40" s="2938"/>
      <c r="D40" s="2953"/>
      <c r="E40" s="2953"/>
      <c r="F40" s="2953"/>
      <c r="G40" s="2953"/>
      <c r="H40" s="2955"/>
      <c r="I40" s="2955"/>
      <c r="J40" s="2955"/>
      <c r="K40" s="2955"/>
      <c r="L40" s="2956"/>
      <c r="M40" s="2957"/>
      <c r="N40" s="2957"/>
      <c r="O40" s="2957"/>
      <c r="P40" s="2957"/>
      <c r="Q40" s="2957"/>
      <c r="R40" s="2957"/>
      <c r="S40" s="2957"/>
      <c r="T40" s="2957"/>
      <c r="U40" s="2957"/>
      <c r="V40" s="2957"/>
      <c r="W40" s="2957"/>
      <c r="X40" s="2957"/>
      <c r="Y40" s="2957"/>
      <c r="Z40" s="2957"/>
      <c r="AA40" s="2940">
        <f>'Sch 3A - Taxes'!F22*'A-RHWM_Ratios'!R59</f>
        <v>1916999.3396720965</v>
      </c>
    </row>
    <row r="41" spans="1:27">
      <c r="A41" s="2958"/>
      <c r="B41" s="2959"/>
      <c r="C41" s="2959"/>
      <c r="D41" s="2959"/>
      <c r="E41" s="2959"/>
      <c r="F41" s="2960"/>
      <c r="G41" s="2960"/>
      <c r="H41" s="2960"/>
      <c r="I41" s="2960"/>
      <c r="J41" s="2960"/>
      <c r="K41" s="2960"/>
      <c r="L41" s="2960"/>
      <c r="M41" s="2961"/>
      <c r="N41" s="2961"/>
      <c r="O41" s="2961"/>
      <c r="P41" s="2961"/>
      <c r="Q41" s="2961"/>
      <c r="R41" s="2961"/>
      <c r="S41" s="2961"/>
      <c r="T41" s="2961"/>
      <c r="U41" s="2961"/>
      <c r="V41" s="2961"/>
      <c r="W41" s="2961"/>
      <c r="X41" s="2961"/>
      <c r="Y41" s="2961"/>
      <c r="Z41" s="2961"/>
      <c r="AA41" s="2874"/>
    </row>
    <row r="42" spans="1:27">
      <c r="A42" s="2867" t="s">
        <v>560</v>
      </c>
      <c r="B42" s="2962"/>
      <c r="C42" s="2962"/>
      <c r="D42" s="2962"/>
      <c r="E42" s="2962"/>
      <c r="F42" s="2962"/>
      <c r="G42" s="2962"/>
      <c r="H42" s="2962"/>
      <c r="I42" s="2962"/>
      <c r="J42" s="2962"/>
      <c r="K42" s="2962"/>
      <c r="L42" s="2962"/>
      <c r="M42" s="2963"/>
      <c r="N42" s="2963"/>
      <c r="O42" s="2963"/>
      <c r="P42" s="2963"/>
      <c r="Q42" s="2963"/>
      <c r="R42" s="2963"/>
      <c r="S42" s="2963"/>
      <c r="T42" s="2963"/>
      <c r="U42" s="2963"/>
      <c r="V42" s="2963"/>
      <c r="W42" s="2963"/>
      <c r="X42" s="2963"/>
      <c r="Y42" s="2963"/>
      <c r="Z42" s="2963"/>
      <c r="AA42" s="2868">
        <f>SUM(AA26,AA31,AA33:AA40)</f>
        <v>56775748.860601053</v>
      </c>
    </row>
    <row r="43" spans="1:27" ht="12" thickBot="1">
      <c r="A43" s="2964" t="s">
        <v>561</v>
      </c>
      <c r="B43" s="2965"/>
      <c r="C43" s="2965"/>
      <c r="D43" s="2965"/>
      <c r="E43" s="2965"/>
      <c r="F43" s="2965"/>
      <c r="G43" s="2965"/>
      <c r="H43" s="2965"/>
      <c r="I43" s="2965"/>
      <c r="J43" s="2965"/>
      <c r="K43" s="2965"/>
      <c r="L43" s="2965"/>
      <c r="M43" s="2966"/>
      <c r="N43" s="2966"/>
      <c r="O43" s="2966"/>
      <c r="P43" s="2966"/>
      <c r="Q43" s="2966"/>
      <c r="R43" s="2966"/>
      <c r="S43" s="2966"/>
      <c r="T43" s="2966"/>
      <c r="U43" s="2966"/>
      <c r="V43" s="2966"/>
      <c r="W43" s="2966"/>
      <c r="X43" s="2966"/>
      <c r="Y43" s="2966"/>
      <c r="Z43" s="2966"/>
      <c r="AA43" s="2967">
        <f>IF(AA15&gt;0,AA42/AA15*1000,0)</f>
        <v>108.08009261539587</v>
      </c>
    </row>
    <row r="44" spans="1:27">
      <c r="A44" s="2968"/>
      <c r="B44" s="2969"/>
      <c r="C44" s="2969"/>
      <c r="D44" s="2969"/>
      <c r="E44" s="2969"/>
      <c r="F44" s="2970"/>
      <c r="G44" s="2970"/>
      <c r="H44" s="2971"/>
      <c r="I44" s="2970"/>
      <c r="J44" s="2970"/>
      <c r="K44" s="2970"/>
      <c r="L44" s="2970"/>
      <c r="M44" s="2970"/>
      <c r="N44" s="2970"/>
      <c r="O44" s="2970"/>
      <c r="P44" s="2970"/>
      <c r="Q44" s="2970"/>
      <c r="R44" s="2970"/>
      <c r="S44" s="2970"/>
      <c r="T44" s="2970"/>
      <c r="U44" s="2970"/>
      <c r="V44" s="2970"/>
      <c r="W44" s="2970"/>
      <c r="X44" s="2970"/>
      <c r="Y44" s="2970"/>
      <c r="Z44" s="2970"/>
      <c r="AA44" s="2972"/>
    </row>
    <row r="45" spans="1:27">
      <c r="A45" s="2973" t="s">
        <v>746</v>
      </c>
      <c r="B45" s="2969"/>
      <c r="C45" s="2969"/>
      <c r="D45" s="2969"/>
      <c r="E45" s="2974"/>
      <c r="F45" s="2970"/>
      <c r="G45" s="2970"/>
      <c r="H45" s="2970"/>
      <c r="I45" s="2970"/>
      <c r="J45" s="2970"/>
      <c r="K45" s="2970"/>
      <c r="L45" s="2970"/>
      <c r="M45" s="2970"/>
      <c r="N45" s="2970"/>
      <c r="O45" s="2970"/>
      <c r="P45" s="2970"/>
      <c r="Q45" s="2970"/>
      <c r="R45" s="2970"/>
      <c r="S45" s="2970"/>
      <c r="T45" s="2970"/>
      <c r="U45" s="2970"/>
      <c r="V45" s="2970"/>
      <c r="W45" s="2970"/>
      <c r="X45" s="2970"/>
      <c r="Y45" s="2970"/>
      <c r="Z45" s="2970"/>
      <c r="AA45" s="2975">
        <f>IF(AA15&gt;0,AA42/AA15*1000,0)</f>
        <v>108.08009261539587</v>
      </c>
    </row>
    <row r="46" spans="1:27">
      <c r="A46" s="2973" t="s">
        <v>562</v>
      </c>
      <c r="B46" s="2969"/>
      <c r="C46" s="2969"/>
      <c r="D46" s="2969"/>
      <c r="E46" s="2974"/>
      <c r="F46" s="2970"/>
      <c r="G46" s="2970"/>
      <c r="H46" s="2970"/>
      <c r="I46" s="2970"/>
      <c r="J46" s="2970"/>
      <c r="K46" s="2970"/>
      <c r="L46" s="2970"/>
      <c r="M46" s="2970"/>
      <c r="N46" s="2970"/>
      <c r="O46" s="2970"/>
      <c r="P46" s="2970"/>
      <c r="Q46" s="2970"/>
      <c r="R46" s="2970"/>
      <c r="S46" s="2970"/>
      <c r="T46" s="2970"/>
      <c r="U46" s="2970"/>
      <c r="V46" s="2970"/>
      <c r="W46" s="2970"/>
      <c r="X46" s="2970"/>
      <c r="Y46" s="2970"/>
      <c r="Z46" s="2970"/>
      <c r="AA46" s="2975">
        <f>IF('Sch 4 - Average System Cost'!D39=0,0,'Sch 4 - Average System Cost'!D33/('Sch 4 - Average System Cost'!D39+'Sch 4 - Average System Cost'!D42))</f>
        <v>0</v>
      </c>
    </row>
    <row r="47" spans="1:27">
      <c r="A47" s="2976" t="s">
        <v>857</v>
      </c>
      <c r="B47" s="2977"/>
      <c r="C47" s="2977"/>
      <c r="D47" s="2977"/>
      <c r="E47" s="2978"/>
      <c r="F47" s="2979"/>
      <c r="G47" s="2979"/>
      <c r="H47" s="2979"/>
      <c r="I47" s="2979"/>
      <c r="J47" s="2979"/>
      <c r="K47" s="2979"/>
      <c r="L47" s="2979"/>
      <c r="M47" s="2979"/>
      <c r="N47" s="2979"/>
      <c r="O47" s="2979"/>
      <c r="P47" s="2979"/>
      <c r="Q47" s="2979"/>
      <c r="R47" s="2979"/>
      <c r="S47" s="2979"/>
      <c r="T47" s="2979"/>
      <c r="U47" s="2979"/>
      <c r="V47" s="2979"/>
      <c r="W47" s="2979"/>
      <c r="X47" s="2979"/>
      <c r="Y47" s="2979"/>
      <c r="Z47" s="2979"/>
      <c r="AA47" s="2980">
        <f>SUM(AA45:AA46)</f>
        <v>108.08009261539587</v>
      </c>
    </row>
    <row r="48" spans="1:27" hidden="1">
      <c r="A48" s="2981"/>
      <c r="B48" s="2970"/>
      <c r="C48" s="2970"/>
      <c r="D48" s="2970"/>
      <c r="E48" s="2982"/>
      <c r="F48" s="2970"/>
      <c r="G48" s="2970"/>
      <c r="H48" s="2970"/>
      <c r="I48" s="2970"/>
      <c r="J48" s="2970"/>
      <c r="K48" s="2970"/>
      <c r="L48" s="2970"/>
      <c r="M48" s="2970"/>
      <c r="N48" s="2970"/>
      <c r="O48" s="2970"/>
      <c r="P48" s="2970"/>
      <c r="Q48" s="2970"/>
      <c r="R48" s="2970"/>
      <c r="S48" s="2970"/>
      <c r="T48" s="2970"/>
      <c r="U48" s="2970"/>
      <c r="V48" s="2970"/>
      <c r="W48" s="2970"/>
      <c r="X48" s="2970"/>
      <c r="Y48" s="2970"/>
      <c r="Z48" s="2970"/>
      <c r="AA48" s="2983"/>
    </row>
    <row r="49" spans="1:27" hidden="1">
      <c r="A49" s="2981"/>
      <c r="B49" s="2970"/>
      <c r="C49" s="2970"/>
      <c r="D49" s="2970"/>
      <c r="E49" s="2982"/>
      <c r="F49" s="2970"/>
      <c r="G49" s="2970"/>
      <c r="H49" s="2970"/>
      <c r="I49" s="2970"/>
      <c r="J49" s="2970"/>
      <c r="K49" s="2970"/>
      <c r="L49" s="2970"/>
      <c r="M49" s="2970"/>
      <c r="N49" s="2970"/>
      <c r="O49" s="2970"/>
      <c r="P49" s="2970"/>
      <c r="Q49" s="2970"/>
      <c r="R49" s="2970"/>
      <c r="S49" s="2970"/>
      <c r="T49" s="2970"/>
      <c r="U49" s="2970"/>
      <c r="V49" s="2970"/>
      <c r="W49" s="2970"/>
      <c r="X49" s="2970"/>
      <c r="Y49" s="2970"/>
      <c r="Z49" s="2970"/>
      <c r="AA49" s="2983"/>
    </row>
    <row r="50" spans="1:27" ht="12" thickBot="1">
      <c r="A50" s="2984"/>
      <c r="B50" s="2985"/>
      <c r="C50" s="2985"/>
      <c r="D50" s="2985"/>
      <c r="E50" s="2985"/>
      <c r="F50" s="2985"/>
      <c r="G50" s="2985"/>
      <c r="H50" s="2985"/>
      <c r="I50" s="2985"/>
      <c r="J50" s="2985"/>
      <c r="K50" s="2985"/>
      <c r="L50" s="2985"/>
      <c r="M50" s="2985"/>
      <c r="N50" s="2985"/>
      <c r="O50" s="2985"/>
      <c r="P50" s="2985"/>
      <c r="Q50" s="2985"/>
      <c r="R50" s="2985"/>
      <c r="S50" s="2985"/>
      <c r="T50" s="2985"/>
      <c r="U50" s="2985"/>
      <c r="V50" s="2985"/>
      <c r="W50" s="2985"/>
      <c r="X50" s="2985"/>
      <c r="Y50" s="2985"/>
      <c r="Z50" s="2985"/>
      <c r="AA50" s="2986"/>
    </row>
    <row r="51" spans="1:27" ht="12" thickTop="1"/>
  </sheetData>
  <mergeCells count="3">
    <mergeCell ref="A4:AA4"/>
    <mergeCell ref="A5:AA5"/>
    <mergeCell ref="A6:AA6"/>
  </mergeCells>
  <conditionalFormatting sqref="E35:G35">
    <cfRule type="expression" dxfId="6" priority="1" stopIfTrue="1">
      <formula>MOD(ROW(),2)=1</formula>
    </cfRule>
  </conditionalFormatting>
  <dataValidations count="1">
    <dataValidation type="list" allowBlank="1" showInputMessage="1" showErrorMessage="1" sqref="B14:Z14" xr:uid="{00000000-0002-0000-1500-000000000000}">
      <formula1>"Coal, Natural Gas, Geo-Therm, Hydro, Form 1 LF,Form 1 SF,Wind"</formula1>
    </dataValidation>
  </dataValidations>
  <hyperlinks>
    <hyperlink ref="A2" location="TOC!A1" display="TOC" xr:uid="{00000000-0004-0000-1500-000000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customProperties>
    <customPr name="_pios_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
    <tabColor indexed="14"/>
  </sheetPr>
  <dimension ref="A1:K78"/>
  <sheetViews>
    <sheetView workbookViewId="0">
      <selection sqref="A1:XFD1048576"/>
    </sheetView>
  </sheetViews>
  <sheetFormatPr defaultRowHeight="12.75" customHeight="1"/>
  <cols>
    <col min="1" max="1" width="35.625" customWidth="1"/>
    <col min="2" max="6" width="12.625" customWidth="1"/>
    <col min="7" max="7" width="7.375" bestFit="1" customWidth="1"/>
    <col min="8" max="8" width="5.875" customWidth="1"/>
    <col min="9" max="9" width="9" customWidth="1"/>
  </cols>
  <sheetData>
    <row r="1" spans="1:11" ht="15" customHeight="1" thickBot="1">
      <c r="A1" s="277" t="s">
        <v>685</v>
      </c>
      <c r="C1" s="114" t="s">
        <v>712</v>
      </c>
      <c r="D1" s="3926" t="str">
        <f>'Sch 1- Rate Base '!E5</f>
        <v>PUGET SOUND ENERGY</v>
      </c>
      <c r="E1" s="3927"/>
    </row>
    <row r="2" spans="1:11" ht="12.75" customHeight="1">
      <c r="A2" s="114" t="s">
        <v>572</v>
      </c>
      <c r="B2" s="133">
        <f>DATE('Sch 1- Rate Base '!E6,12,31)</f>
        <v>45291</v>
      </c>
    </row>
    <row r="3" spans="1:11" ht="12.75" customHeight="1">
      <c r="A3" s="276" t="s">
        <v>686</v>
      </c>
    </row>
    <row r="4" spans="1:11" ht="12.75" customHeight="1">
      <c r="A4" s="132" t="s">
        <v>576</v>
      </c>
      <c r="B4" s="131">
        <f>YEAR(B2)</f>
        <v>2023</v>
      </c>
      <c r="C4" s="131">
        <f>B4+1</f>
        <v>2024</v>
      </c>
      <c r="D4" s="131">
        <f>C4+1</f>
        <v>2025</v>
      </c>
      <c r="E4" s="131">
        <f>D4+1</f>
        <v>2026</v>
      </c>
      <c r="F4" s="131">
        <f>E4+1</f>
        <v>2027</v>
      </c>
      <c r="G4" s="131">
        <f>F4+1</f>
        <v>2028</v>
      </c>
      <c r="H4" s="131"/>
      <c r="I4" s="131"/>
    </row>
    <row r="5" spans="1:11" ht="12.75" customHeight="1" thickBot="1">
      <c r="B5" s="126"/>
      <c r="C5" s="126"/>
      <c r="D5" s="126"/>
      <c r="E5" s="126"/>
      <c r="F5" s="126"/>
      <c r="G5" s="126"/>
      <c r="H5" s="126"/>
      <c r="I5" s="126"/>
    </row>
    <row r="6" spans="1:11" ht="12.75" customHeight="1" thickBot="1">
      <c r="A6" s="134" t="s">
        <v>806</v>
      </c>
      <c r="B6" s="310"/>
      <c r="C6" s="310"/>
      <c r="D6" s="311"/>
      <c r="E6" s="312"/>
      <c r="F6" s="320"/>
      <c r="G6" s="313"/>
      <c r="I6" s="350" t="s">
        <v>812</v>
      </c>
      <c r="J6" s="454"/>
      <c r="K6" s="452"/>
    </row>
    <row r="7" spans="1:11" ht="12.75" customHeight="1" thickBot="1">
      <c r="A7" s="309" t="s">
        <v>747</v>
      </c>
      <c r="B7" s="314"/>
      <c r="C7" s="314"/>
      <c r="D7" s="314"/>
      <c r="E7" s="481">
        <f>E22*I7</f>
        <v>0</v>
      </c>
      <c r="F7" s="315">
        <f>F22*J7</f>
        <v>0</v>
      </c>
      <c r="G7" s="315">
        <f>G22*K7</f>
        <v>0</v>
      </c>
      <c r="H7" s="315"/>
      <c r="I7" s="351"/>
      <c r="J7" s="455"/>
      <c r="K7" s="453"/>
    </row>
    <row r="8" spans="1:11" ht="12.75" customHeight="1" thickBot="1">
      <c r="A8" s="134" t="s">
        <v>722</v>
      </c>
      <c r="B8" s="310"/>
      <c r="C8" s="310"/>
      <c r="D8" s="311"/>
      <c r="E8" s="312"/>
      <c r="F8" s="320"/>
      <c r="G8" s="129"/>
    </row>
    <row r="9" spans="1:11" ht="12.75" customHeight="1" thickBot="1">
      <c r="A9" s="134"/>
      <c r="B9" s="314"/>
      <c r="C9" s="314"/>
      <c r="D9" s="314"/>
      <c r="E9" s="315"/>
      <c r="F9" s="315"/>
    </row>
    <row r="10" spans="1:11" ht="12.75" customHeight="1" thickBot="1">
      <c r="A10" s="134" t="s">
        <v>723</v>
      </c>
      <c r="B10" s="310"/>
      <c r="C10" s="310">
        <v>0</v>
      </c>
      <c r="D10" s="311">
        <v>0</v>
      </c>
      <c r="E10" s="316">
        <v>0</v>
      </c>
      <c r="F10" s="456">
        <v>0</v>
      </c>
      <c r="G10" s="317">
        <v>0</v>
      </c>
    </row>
    <row r="11" spans="1:11" ht="12.75" customHeight="1" thickBot="1">
      <c r="A11" s="134"/>
      <c r="B11" s="314"/>
      <c r="C11" s="314"/>
      <c r="D11" s="314"/>
      <c r="E11" s="315"/>
      <c r="F11" s="315"/>
    </row>
    <row r="12" spans="1:11" ht="12.75" customHeight="1" thickBot="1">
      <c r="A12" s="134" t="s">
        <v>724</v>
      </c>
      <c r="B12" s="310"/>
      <c r="C12" s="310">
        <v>0</v>
      </c>
      <c r="D12" s="311">
        <v>0</v>
      </c>
      <c r="E12" s="318">
        <v>0</v>
      </c>
      <c r="F12" s="457">
        <v>0</v>
      </c>
      <c r="G12" s="319">
        <v>0</v>
      </c>
    </row>
    <row r="13" spans="1:11" ht="12.75" customHeight="1" thickBot="1">
      <c r="A13" s="134"/>
      <c r="B13" s="314"/>
      <c r="C13" s="314"/>
      <c r="D13" s="314"/>
      <c r="E13" s="315"/>
      <c r="F13" s="315"/>
    </row>
    <row r="14" spans="1:11" ht="12.75" customHeight="1" thickBot="1">
      <c r="A14" s="134" t="s">
        <v>725</v>
      </c>
      <c r="B14" s="310"/>
      <c r="C14" s="310"/>
      <c r="D14" s="311"/>
      <c r="E14" s="312"/>
      <c r="F14" s="320"/>
      <c r="G14" s="313"/>
    </row>
    <row r="15" spans="1:11" ht="12.75" customHeight="1" thickBot="1">
      <c r="A15" s="134"/>
      <c r="B15" s="136"/>
      <c r="C15" s="136"/>
    </row>
    <row r="16" spans="1:11" ht="12.75" customHeight="1" thickBot="1">
      <c r="A16" s="134" t="s">
        <v>407</v>
      </c>
      <c r="B16" s="137"/>
      <c r="C16" s="137">
        <v>0</v>
      </c>
      <c r="D16" s="129">
        <v>0</v>
      </c>
      <c r="E16" s="482">
        <v>0</v>
      </c>
      <c r="F16" s="128">
        <v>0</v>
      </c>
      <c r="G16" s="129">
        <v>0</v>
      </c>
    </row>
    <row r="17" spans="1:7" ht="12.75" customHeight="1" thickBot="1">
      <c r="A17" s="134"/>
      <c r="B17" s="138"/>
      <c r="C17" s="138"/>
    </row>
    <row r="18" spans="1:7" ht="12.75" customHeight="1" thickBot="1">
      <c r="A18" s="134" t="s">
        <v>408</v>
      </c>
      <c r="B18" s="321"/>
      <c r="C18" s="322"/>
      <c r="D18" s="323"/>
      <c r="E18" s="324"/>
      <c r="F18" s="458"/>
      <c r="G18" s="325"/>
    </row>
    <row r="19" spans="1:7" ht="12.75" customHeight="1" thickBot="1">
      <c r="A19" s="134"/>
      <c r="B19" s="326"/>
      <c r="C19" s="327"/>
      <c r="D19" s="327"/>
      <c r="E19" s="328"/>
      <c r="F19" s="328"/>
    </row>
    <row r="20" spans="1:7" ht="12.75" customHeight="1" thickBot="1">
      <c r="A20" s="134" t="s">
        <v>409</v>
      </c>
      <c r="B20" s="321"/>
      <c r="C20" s="322"/>
      <c r="D20" s="323"/>
      <c r="E20" s="324"/>
      <c r="F20" s="458"/>
      <c r="G20" s="325"/>
    </row>
    <row r="21" spans="1:7" ht="12.75" customHeight="1" thickBot="1">
      <c r="A21" s="134"/>
      <c r="B21" s="326"/>
      <c r="C21" s="327"/>
      <c r="D21" s="327"/>
      <c r="E21" s="329"/>
      <c r="F21" s="329"/>
    </row>
    <row r="22" spans="1:7" ht="12.75" customHeight="1" thickBot="1">
      <c r="A22" s="134" t="s">
        <v>410</v>
      </c>
      <c r="B22" s="321"/>
      <c r="C22" s="322"/>
      <c r="D22" s="323"/>
      <c r="E22" s="324"/>
      <c r="F22" s="458"/>
      <c r="G22" s="325"/>
    </row>
    <row r="23" spans="1:7" ht="12.75" customHeight="1" thickBot="1">
      <c r="A23" s="134"/>
      <c r="B23" s="136"/>
      <c r="C23" s="136"/>
      <c r="D23" s="136"/>
      <c r="E23" s="136"/>
      <c r="F23" s="136"/>
    </row>
    <row r="24" spans="1:7" ht="12.75" customHeight="1" thickBot="1">
      <c r="A24" s="134" t="s">
        <v>411</v>
      </c>
      <c r="B24" s="135">
        <v>0</v>
      </c>
      <c r="C24" s="135">
        <v>0</v>
      </c>
      <c r="D24" s="330">
        <v>0</v>
      </c>
      <c r="E24" s="135">
        <v>0</v>
      </c>
      <c r="F24" s="459">
        <v>0</v>
      </c>
      <c r="G24" s="330">
        <v>0</v>
      </c>
    </row>
    <row r="25" spans="1:7" ht="12.75" customHeight="1" thickBot="1">
      <c r="A25" s="127"/>
      <c r="B25" s="136"/>
      <c r="C25" s="136"/>
      <c r="D25" s="136"/>
      <c r="E25" s="136"/>
      <c r="F25" s="136"/>
    </row>
    <row r="26" spans="1:7" ht="12.75" customHeight="1" thickBot="1">
      <c r="A26" s="134" t="s">
        <v>720</v>
      </c>
      <c r="B26" s="331"/>
      <c r="C26" s="332"/>
      <c r="D26" s="333"/>
      <c r="E26" s="485"/>
      <c r="F26" s="332"/>
      <c r="G26" s="333"/>
    </row>
    <row r="27" spans="1:7" ht="12.75" customHeight="1" thickBot="1">
      <c r="A27" s="134" t="s">
        <v>721</v>
      </c>
      <c r="B27" s="331"/>
      <c r="C27" s="334"/>
      <c r="D27" s="335"/>
      <c r="E27" s="483"/>
      <c r="F27" s="334"/>
      <c r="G27" s="335"/>
    </row>
    <row r="28" spans="1:7" ht="12.75" customHeight="1" thickBot="1">
      <c r="B28" s="336"/>
      <c r="C28" s="332">
        <f>SUM(C26:C27)</f>
        <v>0</v>
      </c>
      <c r="D28" s="333">
        <f>SUM(D26:D27)</f>
        <v>0</v>
      </c>
      <c r="E28" s="460">
        <f>SUM(E26:E27)</f>
        <v>0</v>
      </c>
      <c r="F28" s="460">
        <f>SUM(F26:F27)</f>
        <v>0</v>
      </c>
      <c r="G28" s="460">
        <f>SUM(G26:G27)</f>
        <v>0</v>
      </c>
    </row>
    <row r="29" spans="1:7" ht="12.75" customHeight="1" thickBot="1">
      <c r="A29" s="134" t="s">
        <v>412</v>
      </c>
      <c r="B29" s="337" t="e">
        <f t="shared" ref="B29:F29" si="0">(B6+B8)/B14</f>
        <v>#DIV/0!</v>
      </c>
      <c r="C29" s="337" t="e">
        <f t="shared" si="0"/>
        <v>#DIV/0!</v>
      </c>
      <c r="D29" s="337" t="e">
        <f t="shared" si="0"/>
        <v>#DIV/0!</v>
      </c>
      <c r="E29" s="337" t="e">
        <f t="shared" si="0"/>
        <v>#DIV/0!</v>
      </c>
      <c r="F29" s="137" t="e">
        <f t="shared" si="0"/>
        <v>#DIV/0!</v>
      </c>
      <c r="G29" s="484" t="e">
        <f t="shared" ref="G29" si="1">(G6+G8)/G14</f>
        <v>#DIV/0!</v>
      </c>
    </row>
    <row r="30" spans="1:7" ht="12.75" customHeight="1">
      <c r="A30" s="127"/>
    </row>
    <row r="31" spans="1:7" ht="12.75" customHeight="1">
      <c r="A31" s="127" t="s">
        <v>413</v>
      </c>
    </row>
    <row r="32" spans="1:7" ht="12.75" customHeight="1">
      <c r="A32" s="127"/>
    </row>
    <row r="33" spans="1:7" ht="12.75" customHeight="1" thickBot="1">
      <c r="A33" s="127" t="s">
        <v>414</v>
      </c>
    </row>
    <row r="34" spans="1:7" ht="15.75" customHeight="1">
      <c r="A34" s="139" t="s">
        <v>415</v>
      </c>
      <c r="B34" s="338"/>
      <c r="C34" s="338"/>
      <c r="D34" s="464"/>
      <c r="E34" s="468"/>
      <c r="F34" s="469"/>
      <c r="G34" s="461"/>
    </row>
    <row r="35" spans="1:7" ht="15.75" customHeight="1">
      <c r="A35" s="139" t="s">
        <v>416</v>
      </c>
      <c r="B35" s="339"/>
      <c r="C35" s="339"/>
      <c r="D35" s="465"/>
      <c r="E35" s="470"/>
      <c r="F35" s="467"/>
      <c r="G35" s="462"/>
    </row>
    <row r="36" spans="1:7" ht="15.75" customHeight="1">
      <c r="A36" s="139" t="s">
        <v>417</v>
      </c>
      <c r="B36" s="339"/>
      <c r="C36" s="339"/>
      <c r="D36" s="465"/>
      <c r="E36" s="470"/>
      <c r="F36" s="467"/>
      <c r="G36" s="462"/>
    </row>
    <row r="37" spans="1:7" ht="15.75" customHeight="1">
      <c r="A37" s="139" t="s">
        <v>418</v>
      </c>
      <c r="B37" s="339"/>
      <c r="C37" s="339"/>
      <c r="D37" s="465"/>
      <c r="E37" s="470"/>
      <c r="F37" s="467"/>
      <c r="G37" s="462"/>
    </row>
    <row r="38" spans="1:7" ht="15.75" customHeight="1">
      <c r="A38" s="139" t="s">
        <v>419</v>
      </c>
      <c r="B38" s="339"/>
      <c r="C38" s="339"/>
      <c r="D38" s="465"/>
      <c r="E38" s="470"/>
      <c r="F38" s="467"/>
      <c r="G38" s="462"/>
    </row>
    <row r="39" spans="1:7" ht="15.75" customHeight="1">
      <c r="A39" s="139" t="s">
        <v>420</v>
      </c>
      <c r="B39" s="339"/>
      <c r="C39" s="339"/>
      <c r="D39" s="465"/>
      <c r="E39" s="470"/>
      <c r="F39" s="467"/>
      <c r="G39" s="462"/>
    </row>
    <row r="40" spans="1:7" ht="15.75" customHeight="1">
      <c r="A40" s="139" t="s">
        <v>421</v>
      </c>
      <c r="B40" s="339"/>
      <c r="C40" s="339"/>
      <c r="D40" s="465"/>
      <c r="E40" s="470"/>
      <c r="F40" s="467"/>
      <c r="G40" s="462"/>
    </row>
    <row r="41" spans="1:7" ht="15.75" customHeight="1">
      <c r="A41" s="139" t="s">
        <v>283</v>
      </c>
      <c r="B41" s="339"/>
      <c r="C41" s="339"/>
      <c r="D41" s="465"/>
      <c r="E41" s="470"/>
      <c r="F41" s="467"/>
      <c r="G41" s="462"/>
    </row>
    <row r="42" spans="1:7" ht="15.75" customHeight="1">
      <c r="A42" s="139" t="s">
        <v>422</v>
      </c>
      <c r="B42" s="339"/>
      <c r="C42" s="339"/>
      <c r="D42" s="465"/>
      <c r="E42" s="470"/>
      <c r="F42" s="467"/>
      <c r="G42" s="462"/>
    </row>
    <row r="43" spans="1:7" ht="15.75" customHeight="1">
      <c r="A43" s="139" t="s">
        <v>423</v>
      </c>
      <c r="B43" s="339"/>
      <c r="C43" s="339"/>
      <c r="D43" s="465"/>
      <c r="E43" s="470"/>
      <c r="F43" s="467"/>
      <c r="G43" s="462"/>
    </row>
    <row r="44" spans="1:7" ht="15.75" customHeight="1">
      <c r="A44" s="139" t="s">
        <v>424</v>
      </c>
      <c r="B44" s="339"/>
      <c r="C44" s="339"/>
      <c r="D44" s="465"/>
      <c r="E44" s="470"/>
      <c r="F44" s="467"/>
      <c r="G44" s="462"/>
    </row>
    <row r="45" spans="1:7" ht="15.75" customHeight="1" thickBot="1">
      <c r="A45" s="139" t="s">
        <v>425</v>
      </c>
      <c r="B45" s="340"/>
      <c r="C45" s="340"/>
      <c r="D45" s="466"/>
      <c r="E45" s="471"/>
      <c r="F45" s="472"/>
      <c r="G45" s="463"/>
    </row>
    <row r="46" spans="1:7" ht="12.75" customHeight="1">
      <c r="A46" s="127"/>
      <c r="E46" s="341"/>
      <c r="F46" s="341"/>
    </row>
    <row r="47" spans="1:7" ht="12.75" customHeight="1">
      <c r="A47" s="127"/>
      <c r="E47" s="341"/>
      <c r="F47" s="341"/>
    </row>
    <row r="48" spans="1:7" ht="12.75" customHeight="1" thickBot="1">
      <c r="A48" s="127" t="s">
        <v>426</v>
      </c>
      <c r="E48" s="341"/>
      <c r="F48" s="341"/>
    </row>
    <row r="49" spans="1:7" ht="15.75" customHeight="1">
      <c r="A49" s="139" t="s">
        <v>415</v>
      </c>
      <c r="B49" s="338"/>
      <c r="C49" s="338"/>
      <c r="D49" s="464"/>
      <c r="E49" s="468"/>
      <c r="F49" s="469"/>
      <c r="G49" s="461"/>
    </row>
    <row r="50" spans="1:7" ht="15.75" customHeight="1">
      <c r="A50" s="139" t="s">
        <v>416</v>
      </c>
      <c r="B50" s="339"/>
      <c r="C50" s="339"/>
      <c r="D50" s="465"/>
      <c r="E50" s="470"/>
      <c r="F50" s="467"/>
      <c r="G50" s="462"/>
    </row>
    <row r="51" spans="1:7" ht="15.75" customHeight="1">
      <c r="A51" s="139" t="s">
        <v>417</v>
      </c>
      <c r="B51" s="339"/>
      <c r="C51" s="339"/>
      <c r="D51" s="465"/>
      <c r="E51" s="470"/>
      <c r="F51" s="467"/>
      <c r="G51" s="462"/>
    </row>
    <row r="52" spans="1:7" ht="15.75" customHeight="1">
      <c r="A52" s="139" t="s">
        <v>418</v>
      </c>
      <c r="B52" s="339"/>
      <c r="C52" s="339"/>
      <c r="D52" s="465"/>
      <c r="E52" s="470"/>
      <c r="F52" s="467"/>
      <c r="G52" s="462"/>
    </row>
    <row r="53" spans="1:7" ht="15.75" customHeight="1">
      <c r="A53" s="139" t="s">
        <v>419</v>
      </c>
      <c r="B53" s="339"/>
      <c r="C53" s="339"/>
      <c r="D53" s="465"/>
      <c r="E53" s="470"/>
      <c r="F53" s="467"/>
      <c r="G53" s="462"/>
    </row>
    <row r="54" spans="1:7" ht="15.75" customHeight="1">
      <c r="A54" s="139" t="s">
        <v>420</v>
      </c>
      <c r="B54" s="339"/>
      <c r="C54" s="339"/>
      <c r="D54" s="465"/>
      <c r="E54" s="470"/>
      <c r="F54" s="467"/>
      <c r="G54" s="462"/>
    </row>
    <row r="55" spans="1:7" ht="15.75" customHeight="1">
      <c r="A55" s="139" t="s">
        <v>421</v>
      </c>
      <c r="B55" s="339"/>
      <c r="C55" s="339"/>
      <c r="D55" s="465"/>
      <c r="E55" s="470"/>
      <c r="F55" s="467"/>
      <c r="G55" s="462"/>
    </row>
    <row r="56" spans="1:7" ht="15.75" customHeight="1">
      <c r="A56" s="139" t="s">
        <v>283</v>
      </c>
      <c r="B56" s="339"/>
      <c r="C56" s="339"/>
      <c r="D56" s="465"/>
      <c r="E56" s="470"/>
      <c r="F56" s="467"/>
      <c r="G56" s="462"/>
    </row>
    <row r="57" spans="1:7" ht="15.75" customHeight="1">
      <c r="A57" s="139" t="s">
        <v>422</v>
      </c>
      <c r="B57" s="339"/>
      <c r="C57" s="339"/>
      <c r="D57" s="465"/>
      <c r="E57" s="470"/>
      <c r="F57" s="467"/>
      <c r="G57" s="462"/>
    </row>
    <row r="58" spans="1:7" ht="15.75" customHeight="1">
      <c r="A58" s="139" t="s">
        <v>423</v>
      </c>
      <c r="B58" s="339"/>
      <c r="C58" s="339"/>
      <c r="D58" s="465"/>
      <c r="E58" s="470"/>
      <c r="F58" s="467"/>
      <c r="G58" s="462"/>
    </row>
    <row r="59" spans="1:7" ht="15.75" customHeight="1">
      <c r="A59" s="139" t="s">
        <v>424</v>
      </c>
      <c r="B59" s="339"/>
      <c r="C59" s="339"/>
      <c r="D59" s="465"/>
      <c r="E59" s="470"/>
      <c r="F59" s="467"/>
      <c r="G59" s="462"/>
    </row>
    <row r="60" spans="1:7" ht="15.75" customHeight="1" thickBot="1">
      <c r="A60" s="139" t="s">
        <v>425</v>
      </c>
      <c r="B60" s="340"/>
      <c r="C60" s="340"/>
      <c r="D60" s="466"/>
      <c r="E60" s="471"/>
      <c r="F60" s="472"/>
      <c r="G60" s="463"/>
    </row>
    <row r="61" spans="1:7" ht="15.75" customHeight="1"/>
    <row r="62" spans="1:7" ht="15.75" customHeight="1"/>
    <row r="63" spans="1:7" ht="15.75" customHeight="1"/>
    <row r="64" spans="1:7" ht="15.75" customHeight="1">
      <c r="A64" s="130" t="s">
        <v>427</v>
      </c>
    </row>
    <row r="65" spans="1:7" ht="15.75" customHeight="1" thickBot="1"/>
    <row r="66" spans="1:7" ht="15.75" customHeight="1">
      <c r="A66" s="126" t="s">
        <v>415</v>
      </c>
      <c r="B66" s="342"/>
      <c r="C66" s="342"/>
      <c r="D66" s="473"/>
      <c r="E66" s="476"/>
      <c r="F66" s="477"/>
      <c r="G66" s="461"/>
    </row>
    <row r="67" spans="1:7" ht="15.75" customHeight="1">
      <c r="A67" s="126" t="s">
        <v>416</v>
      </c>
      <c r="B67" s="343"/>
      <c r="C67" s="343"/>
      <c r="D67" s="474"/>
      <c r="E67" s="478"/>
      <c r="G67" s="462"/>
    </row>
    <row r="68" spans="1:7" ht="15.75" customHeight="1">
      <c r="A68" s="126" t="s">
        <v>417</v>
      </c>
      <c r="B68" s="343"/>
      <c r="C68" s="343"/>
      <c r="D68" s="474"/>
      <c r="E68" s="478"/>
      <c r="G68" s="462"/>
    </row>
    <row r="69" spans="1:7" ht="15.75" customHeight="1">
      <c r="A69" s="126" t="s">
        <v>418</v>
      </c>
      <c r="B69" s="343"/>
      <c r="C69" s="343"/>
      <c r="D69" s="474"/>
      <c r="E69" s="478"/>
      <c r="G69" s="462"/>
    </row>
    <row r="70" spans="1:7" ht="15.75" customHeight="1">
      <c r="A70" s="126" t="s">
        <v>419</v>
      </c>
      <c r="B70" s="343"/>
      <c r="C70" s="343"/>
      <c r="D70" s="474"/>
      <c r="E70" s="478"/>
      <c r="G70" s="462"/>
    </row>
    <row r="71" spans="1:7" ht="15.75" customHeight="1">
      <c r="A71" s="126" t="s">
        <v>420</v>
      </c>
      <c r="B71" s="343"/>
      <c r="C71" s="343"/>
      <c r="D71" s="474"/>
      <c r="E71" s="478"/>
      <c r="G71" s="462"/>
    </row>
    <row r="72" spans="1:7" ht="15.75" customHeight="1">
      <c r="A72" s="126" t="s">
        <v>421</v>
      </c>
      <c r="B72" s="343"/>
      <c r="C72" s="343"/>
      <c r="D72" s="474"/>
      <c r="E72" s="478"/>
      <c r="G72" s="462"/>
    </row>
    <row r="73" spans="1:7" ht="15.75" customHeight="1">
      <c r="A73" s="126" t="s">
        <v>283</v>
      </c>
      <c r="B73" s="343"/>
      <c r="C73" s="343"/>
      <c r="D73" s="474"/>
      <c r="E73" s="478"/>
      <c r="G73" s="462"/>
    </row>
    <row r="74" spans="1:7" ht="15.75" customHeight="1">
      <c r="A74" s="126" t="s">
        <v>422</v>
      </c>
      <c r="B74" s="343"/>
      <c r="C74" s="343"/>
      <c r="D74" s="474"/>
      <c r="E74" s="478"/>
      <c r="G74" s="462"/>
    </row>
    <row r="75" spans="1:7" ht="15.75" customHeight="1">
      <c r="A75" s="126" t="s">
        <v>423</v>
      </c>
      <c r="B75" s="343"/>
      <c r="C75" s="343"/>
      <c r="D75" s="474"/>
      <c r="E75" s="478"/>
      <c r="G75" s="462"/>
    </row>
    <row r="76" spans="1:7" ht="15.75" customHeight="1">
      <c r="A76" s="126" t="s">
        <v>424</v>
      </c>
      <c r="B76" s="343"/>
      <c r="C76" s="343"/>
      <c r="D76" s="474"/>
      <c r="E76" s="478"/>
      <c r="G76" s="462"/>
    </row>
    <row r="77" spans="1:7" ht="15.75" customHeight="1" thickBot="1">
      <c r="A77" s="126" t="s">
        <v>425</v>
      </c>
      <c r="B77" s="344"/>
      <c r="C77" s="344"/>
      <c r="D77" s="475"/>
      <c r="E77" s="479"/>
      <c r="F77" s="480"/>
      <c r="G77" s="463"/>
    </row>
    <row r="78" spans="1:7" ht="15.75" customHeight="1"/>
  </sheetData>
  <mergeCells count="1">
    <mergeCell ref="D1:E1"/>
  </mergeCells>
  <phoneticPr fontId="0" type="noConversion"/>
  <hyperlinks>
    <hyperlink ref="A1" location="TOC!A1" display="TOC" xr:uid="{00000000-0004-0000-1600-000000000000}"/>
    <hyperlink ref="A3" location="'Tiered Rates'!A5" display="é" xr:uid="{00000000-0004-0000-1600-000001000000}"/>
  </hyperlinks>
  <printOptions horizontalCentered="1" headings="1"/>
  <pageMargins left="0.5" right="0.5" top="0.75" bottom="0.8" header="0.25" footer="0.25"/>
  <pageSetup scale="75" orientation="landscape" r:id="rId1"/>
  <headerFooter alignWithMargins="0">
    <oddFooter>&amp;LFY 2026-2028 ASC Filing&amp;CPage &amp;P of &amp;N&amp;R&amp;A
&amp;D</oddFooter>
  </headerFooter>
  <rowBreaks count="2" manualBreakCount="2">
    <brk id="30" max="16383" man="1"/>
    <brk id="62" max="16383" man="1"/>
  </rowBreaks>
  <customProperties>
    <customPr name="_pios_id" r:id="rId2"/>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
  <sheetViews>
    <sheetView workbookViewId="0">
      <selection sqref="A1:XFD1048576"/>
    </sheetView>
  </sheetViews>
  <sheetFormatPr defaultRowHeight="15.75"/>
  <sheetData/>
  <pageMargins left="0.7" right="0.7" top="0.75" bottom="0.75" header="0.3" footer="0.3"/>
  <customProperties>
    <customPr name="_pios_id" r:id="rId1"/>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2D050"/>
  </sheetPr>
  <dimension ref="A1:J20"/>
  <sheetViews>
    <sheetView workbookViewId="0">
      <pane ySplit="8" topLeftCell="A9" activePane="bottomLeft" state="frozen"/>
      <selection sqref="A1:XFD1048576"/>
      <selection pane="bottomLeft" sqref="A1:XFD1048576"/>
    </sheetView>
  </sheetViews>
  <sheetFormatPr defaultColWidth="9" defaultRowHeight="11.25"/>
  <cols>
    <col min="1" max="1" width="3.625" style="493" customWidth="1"/>
    <col min="2" max="2" width="29.25" style="493" bestFit="1" customWidth="1"/>
    <col min="3" max="3" width="9.625" style="493" bestFit="1" customWidth="1"/>
    <col min="4" max="4" width="4.875" style="493" bestFit="1" customWidth="1"/>
    <col min="5" max="5" width="7.25" style="493" bestFit="1" customWidth="1"/>
    <col min="6" max="6" width="3.75" style="493" customWidth="1"/>
    <col min="7" max="7" width="49.25" style="493" bestFit="1" customWidth="1"/>
    <col min="8" max="8" width="1.75" style="493" customWidth="1"/>
    <col min="9" max="9" width="6.125" style="493" bestFit="1" customWidth="1"/>
    <col min="10" max="10" width="7" style="493" bestFit="1" customWidth="1"/>
    <col min="11" max="16384" width="9" style="493"/>
  </cols>
  <sheetData>
    <row r="1" spans="1:10">
      <c r="A1" s="488"/>
      <c r="B1" s="489"/>
      <c r="C1" s="489"/>
      <c r="D1" s="489"/>
      <c r="E1" s="490"/>
      <c r="F1" s="491"/>
      <c r="G1" s="492"/>
      <c r="H1" s="492"/>
      <c r="I1" s="492"/>
      <c r="J1" s="490"/>
    </row>
    <row r="2" spans="1:10">
      <c r="A2" s="494" t="s">
        <v>861</v>
      </c>
      <c r="B2" s="495"/>
      <c r="C2" s="496"/>
      <c r="D2" s="496"/>
      <c r="E2" s="497"/>
      <c r="F2" s="494" t="s">
        <v>861</v>
      </c>
      <c r="G2" s="496"/>
      <c r="H2" s="496"/>
      <c r="I2" s="496"/>
      <c r="J2" s="497"/>
    </row>
    <row r="3" spans="1:10">
      <c r="A3" s="498" t="s">
        <v>862</v>
      </c>
      <c r="B3" s="495"/>
      <c r="C3" s="496"/>
      <c r="D3" s="496"/>
      <c r="E3" s="497"/>
      <c r="F3" s="498" t="s">
        <v>863</v>
      </c>
      <c r="G3" s="496"/>
      <c r="H3" s="496"/>
      <c r="I3" s="496"/>
      <c r="J3" s="497"/>
    </row>
    <row r="4" spans="1:10">
      <c r="A4" s="499" t="s">
        <v>6844</v>
      </c>
      <c r="B4" s="495"/>
      <c r="C4" s="496"/>
      <c r="D4" s="496"/>
      <c r="E4" s="497"/>
      <c r="F4" s="499" t="s">
        <v>8454</v>
      </c>
      <c r="G4" s="496"/>
      <c r="H4" s="496"/>
      <c r="I4" s="496"/>
      <c r="J4" s="497"/>
    </row>
    <row r="5" spans="1:10">
      <c r="A5" s="494" t="s">
        <v>6845</v>
      </c>
      <c r="B5" s="500"/>
      <c r="C5" s="501"/>
      <c r="D5" s="501"/>
      <c r="E5" s="502"/>
      <c r="F5" s="494" t="s">
        <v>8455</v>
      </c>
      <c r="G5" s="501"/>
      <c r="H5" s="501"/>
      <c r="I5" s="501"/>
      <c r="J5" s="497"/>
    </row>
    <row r="6" spans="1:10">
      <c r="A6" s="503"/>
      <c r="D6" s="504"/>
      <c r="E6" s="505"/>
      <c r="F6" s="506"/>
      <c r="G6" s="507"/>
      <c r="H6" s="507"/>
      <c r="I6" s="507"/>
      <c r="J6" s="508"/>
    </row>
    <row r="7" spans="1:10">
      <c r="A7" s="509" t="s">
        <v>864</v>
      </c>
      <c r="C7" s="504" t="s">
        <v>865</v>
      </c>
      <c r="D7" s="504" t="s">
        <v>866</v>
      </c>
      <c r="E7" s="505" t="s">
        <v>867</v>
      </c>
      <c r="F7" s="509" t="s">
        <v>864</v>
      </c>
      <c r="G7" s="507"/>
      <c r="H7" s="507"/>
      <c r="I7" s="507"/>
      <c r="J7" s="508"/>
    </row>
    <row r="8" spans="1:10">
      <c r="A8" s="510" t="s">
        <v>868</v>
      </c>
      <c r="B8" s="511" t="s">
        <v>869</v>
      </c>
      <c r="C8" s="512" t="s">
        <v>870</v>
      </c>
      <c r="D8" s="512" t="s">
        <v>363</v>
      </c>
      <c r="E8" s="513" t="s">
        <v>871</v>
      </c>
      <c r="F8" s="510" t="s">
        <v>868</v>
      </c>
      <c r="G8" s="514" t="s">
        <v>869</v>
      </c>
      <c r="H8" s="515"/>
      <c r="I8" s="515"/>
      <c r="J8" s="516" t="s">
        <v>872</v>
      </c>
    </row>
    <row r="9" spans="1:10">
      <c r="A9" s="517"/>
      <c r="B9" s="518"/>
      <c r="C9" s="518"/>
      <c r="D9" s="518"/>
      <c r="E9" s="519"/>
      <c r="F9" s="520"/>
      <c r="J9" s="521"/>
    </row>
    <row r="10" spans="1:10">
      <c r="A10" s="522">
        <v>1</v>
      </c>
      <c r="B10" s="493" t="s">
        <v>873</v>
      </c>
      <c r="C10" s="523">
        <v>0.51</v>
      </c>
      <c r="D10" s="523">
        <v>0.05</v>
      </c>
      <c r="E10" s="524">
        <v>2.5499999999999998E-2</v>
      </c>
      <c r="F10" s="522">
        <v>1</v>
      </c>
      <c r="G10" s="525" t="s">
        <v>874</v>
      </c>
      <c r="J10" s="526">
        <v>7.1970000000000003E-3</v>
      </c>
    </row>
    <row r="11" spans="1:10">
      <c r="A11" s="522">
        <v>2</v>
      </c>
      <c r="B11" s="493" t="s">
        <v>875</v>
      </c>
      <c r="C11" s="523">
        <v>0.49</v>
      </c>
      <c r="D11" s="523">
        <v>9.4E-2</v>
      </c>
      <c r="E11" s="524">
        <v>4.6100000000000002E-2</v>
      </c>
      <c r="F11" s="522">
        <v>2</v>
      </c>
      <c r="G11" s="525" t="s">
        <v>876</v>
      </c>
      <c r="J11" s="526">
        <v>2E-3</v>
      </c>
    </row>
    <row r="12" spans="1:10">
      <c r="A12" s="522">
        <v>3</v>
      </c>
      <c r="B12" s="493" t="s">
        <v>877</v>
      </c>
      <c r="C12" s="527">
        <v>1</v>
      </c>
      <c r="D12" s="527"/>
      <c r="E12" s="528">
        <v>7.1599999999999997E-2</v>
      </c>
      <c r="F12" s="522">
        <v>3</v>
      </c>
      <c r="G12" s="525" t="s">
        <v>878</v>
      </c>
      <c r="I12" s="529">
        <v>3.8733999999999998E-2</v>
      </c>
      <c r="J12" s="530">
        <v>3.8455000000000003E-2</v>
      </c>
    </row>
    <row r="13" spans="1:10">
      <c r="A13" s="522">
        <v>4</v>
      </c>
      <c r="E13" s="531"/>
      <c r="F13" s="522">
        <v>4</v>
      </c>
      <c r="G13" s="525"/>
      <c r="J13" s="526"/>
    </row>
    <row r="14" spans="1:10">
      <c r="A14" s="522">
        <v>5</v>
      </c>
      <c r="B14" s="493" t="s">
        <v>879</v>
      </c>
      <c r="C14" s="523">
        <v>0.51</v>
      </c>
      <c r="D14" s="523">
        <v>3.9500000000000007E-2</v>
      </c>
      <c r="E14" s="532">
        <v>2.01E-2</v>
      </c>
      <c r="F14" s="522">
        <v>5</v>
      </c>
      <c r="G14" s="525" t="s">
        <v>880</v>
      </c>
      <c r="J14" s="526">
        <v>4.7652E-2</v>
      </c>
    </row>
    <row r="15" spans="1:10">
      <c r="A15" s="522">
        <v>6</v>
      </c>
      <c r="B15" s="493" t="s">
        <v>875</v>
      </c>
      <c r="C15" s="523">
        <v>0.49</v>
      </c>
      <c r="D15" s="523">
        <v>9.4E-2</v>
      </c>
      <c r="E15" s="524">
        <v>4.6100000000000002E-2</v>
      </c>
      <c r="F15" s="522">
        <v>6</v>
      </c>
      <c r="J15" s="526"/>
    </row>
    <row r="16" spans="1:10">
      <c r="A16" s="522">
        <v>7</v>
      </c>
      <c r="B16" s="493" t="s">
        <v>881</v>
      </c>
      <c r="C16" s="527">
        <v>1</v>
      </c>
      <c r="D16" s="527"/>
      <c r="E16" s="533">
        <v>6.6200000000000009E-2</v>
      </c>
      <c r="F16" s="522">
        <v>7</v>
      </c>
      <c r="G16" s="493" t="s">
        <v>882</v>
      </c>
      <c r="J16" s="526">
        <v>0.95234799999999997</v>
      </c>
    </row>
    <row r="17" spans="1:10" ht="12" thickBot="1">
      <c r="A17" s="522"/>
      <c r="E17" s="531"/>
      <c r="F17" s="522">
        <v>8</v>
      </c>
      <c r="G17" s="525" t="s">
        <v>883</v>
      </c>
      <c r="I17" s="534">
        <v>0.21</v>
      </c>
      <c r="J17" s="535">
        <v>0.199993</v>
      </c>
    </row>
    <row r="18" spans="1:10" ht="12.75" thickTop="1" thickBot="1">
      <c r="A18" s="536"/>
      <c r="B18" s="537"/>
      <c r="C18" s="537"/>
      <c r="D18" s="537"/>
      <c r="E18" s="538"/>
      <c r="F18" s="536">
        <v>9</v>
      </c>
      <c r="G18" s="539" t="s">
        <v>884</v>
      </c>
      <c r="H18" s="537"/>
      <c r="I18" s="537"/>
      <c r="J18" s="540">
        <v>0.752355</v>
      </c>
    </row>
    <row r="19" spans="1:10" ht="12" thickBot="1"/>
    <row r="20" spans="1:10" ht="12" thickBot="1">
      <c r="B20" s="541" t="s">
        <v>885</v>
      </c>
      <c r="C20" s="542"/>
      <c r="D20" s="542"/>
      <c r="E20" s="543">
        <f>ROUND(E16/J18,4)</f>
        <v>8.7999999999999995E-2</v>
      </c>
    </row>
  </sheetData>
  <pageMargins left="0.7" right="0.7" top="0.75" bottom="0.75" header="0.3" footer="0.3"/>
  <customProperties>
    <customPr name="_pios_id" r:id="rId1"/>
  </customPropertie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92D050"/>
  </sheetPr>
  <dimension ref="A2:I57"/>
  <sheetViews>
    <sheetView workbookViewId="0">
      <pane ySplit="15" topLeftCell="A16" activePane="bottomLeft" state="frozen"/>
      <selection sqref="A1:XFD1048576"/>
      <selection pane="bottomLeft" sqref="A1:XFD1048576"/>
    </sheetView>
  </sheetViews>
  <sheetFormatPr defaultColWidth="8" defaultRowHeight="11.25"/>
  <cols>
    <col min="1" max="1" width="6.125" style="544" bestFit="1" customWidth="1"/>
    <col min="2" max="2" width="1.875" style="544" bestFit="1" customWidth="1"/>
    <col min="3" max="3" width="24" style="544" customWidth="1"/>
    <col min="4" max="4" width="11.125" style="544" bestFit="1" customWidth="1"/>
    <col min="5" max="5" width="12.625" style="544" bestFit="1" customWidth="1"/>
    <col min="6" max="6" width="11.25" style="544" bestFit="1" customWidth="1"/>
    <col min="7" max="7" width="12.125" style="544" customWidth="1"/>
    <col min="8" max="16384" width="8" style="544"/>
  </cols>
  <sheetData>
    <row r="2" spans="1:9" ht="12" thickBot="1"/>
    <row r="3" spans="1:9">
      <c r="C3" s="1670" t="s">
        <v>886</v>
      </c>
      <c r="D3" s="1671" t="s">
        <v>887</v>
      </c>
      <c r="E3" s="1672" t="s">
        <v>104</v>
      </c>
      <c r="F3" s="1673"/>
    </row>
    <row r="4" spans="1:9">
      <c r="B4" s="544" t="s">
        <v>888</v>
      </c>
      <c r="C4" s="1674">
        <f>'FERC p356 Common Plant'!D28</f>
        <v>18014284</v>
      </c>
      <c r="D4" s="1674">
        <f>'FERC p356 Common Plant'!E28</f>
        <v>9421421</v>
      </c>
      <c r="E4" s="1675">
        <f>SUM(C4:D4)</f>
        <v>27435705</v>
      </c>
      <c r="F4" s="3656">
        <f>'FERC p356 Common Plant'!C28-'Four Factor Allocator'!E4</f>
        <v>1</v>
      </c>
      <c r="G4" s="3657" t="s">
        <v>889</v>
      </c>
      <c r="H4" s="3658"/>
      <c r="I4" s="3658"/>
    </row>
    <row r="5" spans="1:9" ht="12" thickBot="1">
      <c r="C5" s="1676">
        <f>C4/$E$4</f>
        <v>0.65660000353553882</v>
      </c>
      <c r="D5" s="1677">
        <f>D4/$E$4</f>
        <v>0.34339999646446118</v>
      </c>
      <c r="E5" s="1678">
        <f>SUM(C5:D5)</f>
        <v>1</v>
      </c>
    </row>
    <row r="6" spans="1:9">
      <c r="C6" s="1679"/>
    </row>
    <row r="7" spans="1:9">
      <c r="B7" s="545" t="s">
        <v>888</v>
      </c>
      <c r="C7" s="1680" t="s">
        <v>890</v>
      </c>
      <c r="D7" s="545"/>
    </row>
    <row r="10" spans="1:9" ht="12" thickBot="1">
      <c r="A10" s="546"/>
      <c r="B10" s="546"/>
      <c r="C10" s="546"/>
      <c r="D10" s="547"/>
      <c r="E10" s="546"/>
      <c r="F10" s="546"/>
      <c r="G10" s="548"/>
    </row>
    <row r="11" spans="1:9">
      <c r="A11" s="549" t="s">
        <v>891</v>
      </c>
      <c r="B11" s="550"/>
      <c r="C11" s="550"/>
      <c r="D11" s="550"/>
      <c r="E11" s="550"/>
      <c r="F11" s="550"/>
      <c r="G11" s="551"/>
    </row>
    <row r="12" spans="1:9">
      <c r="A12" s="552" t="s">
        <v>892</v>
      </c>
      <c r="B12" s="553"/>
      <c r="C12" s="553"/>
      <c r="D12" s="553"/>
      <c r="E12" s="553"/>
      <c r="F12" s="553"/>
      <c r="G12" s="554"/>
    </row>
    <row r="13" spans="1:9">
      <c r="A13" s="555" t="s">
        <v>893</v>
      </c>
      <c r="B13" s="556"/>
      <c r="C13" s="556"/>
      <c r="D13" s="556"/>
      <c r="E13" s="556"/>
      <c r="F13" s="556"/>
      <c r="G13" s="557"/>
    </row>
    <row r="14" spans="1:9">
      <c r="A14" s="558"/>
      <c r="B14" s="546"/>
      <c r="C14" s="547"/>
      <c r="D14" s="547"/>
      <c r="E14" s="3928"/>
      <c r="F14" s="3928"/>
      <c r="G14" s="3928"/>
    </row>
    <row r="15" spans="1:9">
      <c r="A15" s="559" t="s">
        <v>449</v>
      </c>
      <c r="B15" s="560"/>
      <c r="C15" s="560" t="s">
        <v>229</v>
      </c>
      <c r="D15" s="560"/>
      <c r="E15" s="561" t="s">
        <v>510</v>
      </c>
      <c r="F15" s="561" t="s">
        <v>894</v>
      </c>
      <c r="G15" s="561" t="s">
        <v>104</v>
      </c>
      <c r="H15" s="562"/>
    </row>
    <row r="16" spans="1:9">
      <c r="A16" s="558"/>
      <c r="B16" s="546"/>
      <c r="C16" s="546"/>
      <c r="D16" s="547"/>
      <c r="E16" s="546"/>
      <c r="F16" s="546"/>
      <c r="G16" s="563"/>
    </row>
    <row r="17" spans="1:7">
      <c r="A17" s="564">
        <v>1</v>
      </c>
      <c r="B17" s="565" t="s">
        <v>888</v>
      </c>
      <c r="C17" s="566" t="s">
        <v>895</v>
      </c>
      <c r="D17" s="567">
        <v>44926</v>
      </c>
      <c r="E17" s="568">
        <v>1223233</v>
      </c>
      <c r="F17" s="568">
        <v>875118</v>
      </c>
      <c r="G17" s="568">
        <f>SUM(E17:F17)</f>
        <v>2098351</v>
      </c>
    </row>
    <row r="18" spans="1:7" ht="12" thickBot="1">
      <c r="A18" s="558"/>
      <c r="B18" s="547"/>
      <c r="C18" s="493" t="s">
        <v>539</v>
      </c>
      <c r="D18" s="493"/>
      <c r="E18" s="569">
        <f>ROUND(+E17/G17,4)</f>
        <v>0.58289999999999997</v>
      </c>
      <c r="F18" s="569">
        <f>ROUND(+F17/G17,4)</f>
        <v>0.41710000000000003</v>
      </c>
      <c r="G18" s="570">
        <f>SUM(E18:F18)</f>
        <v>1</v>
      </c>
    </row>
    <row r="19" spans="1:7" ht="12" thickTop="1">
      <c r="A19" s="571"/>
      <c r="B19" s="547"/>
      <c r="C19" s="493"/>
      <c r="D19" s="493"/>
      <c r="E19" s="493"/>
      <c r="F19" s="493"/>
      <c r="G19" s="493"/>
    </row>
    <row r="20" spans="1:7">
      <c r="A20" s="564">
        <v>2</v>
      </c>
      <c r="B20" s="565" t="s">
        <v>888</v>
      </c>
      <c r="C20" s="566" t="s">
        <v>896</v>
      </c>
      <c r="D20" s="567">
        <v>44926</v>
      </c>
      <c r="E20" s="572">
        <v>857204</v>
      </c>
      <c r="F20" s="572">
        <v>508402</v>
      </c>
      <c r="G20" s="572">
        <f>SUM(E20:F20)</f>
        <v>1365606</v>
      </c>
    </row>
    <row r="21" spans="1:7" ht="12" thickBot="1">
      <c r="A21" s="558"/>
      <c r="B21" s="547"/>
      <c r="C21" s="493" t="s">
        <v>539</v>
      </c>
      <c r="D21" s="573"/>
      <c r="E21" s="569">
        <f>ROUND(+E20/G20,4)</f>
        <v>0.62770000000000004</v>
      </c>
      <c r="F21" s="569">
        <f>ROUND(+F20/G20,4)</f>
        <v>0.37230000000000002</v>
      </c>
      <c r="G21" s="570">
        <f>SUM(E21:F21)</f>
        <v>1</v>
      </c>
    </row>
    <row r="22" spans="1:7" ht="12" thickTop="1">
      <c r="A22" s="571"/>
      <c r="B22" s="547"/>
      <c r="C22" s="493"/>
      <c r="D22" s="573"/>
      <c r="E22" s="493"/>
      <c r="F22" s="493"/>
      <c r="G22" s="493"/>
    </row>
    <row r="23" spans="1:7">
      <c r="A23" s="564">
        <v>3</v>
      </c>
      <c r="B23" s="565" t="s">
        <v>888</v>
      </c>
      <c r="C23" s="566" t="s">
        <v>897</v>
      </c>
      <c r="D23" s="573"/>
      <c r="E23" s="493"/>
      <c r="F23" s="493"/>
      <c r="G23" s="493"/>
    </row>
    <row r="24" spans="1:7">
      <c r="A24" s="571"/>
      <c r="B24" s="547"/>
      <c r="C24" s="574" t="s">
        <v>898</v>
      </c>
      <c r="D24" s="567">
        <v>44926</v>
      </c>
      <c r="E24" s="575">
        <v>5124269441</v>
      </c>
      <c r="F24" s="576">
        <v>4859750610</v>
      </c>
      <c r="G24" s="576">
        <f>SUM(E24:F24)</f>
        <v>9984020051</v>
      </c>
    </row>
    <row r="25" spans="1:7">
      <c r="A25" s="571"/>
      <c r="B25" s="547"/>
      <c r="C25" s="574" t="s">
        <v>899</v>
      </c>
      <c r="D25" s="567">
        <v>44926</v>
      </c>
      <c r="E25" s="575">
        <v>1778605142</v>
      </c>
      <c r="F25" s="575">
        <v>0</v>
      </c>
      <c r="G25" s="575">
        <f>SUM(E25:F25)</f>
        <v>1778605142</v>
      </c>
    </row>
    <row r="26" spans="1:7">
      <c r="A26" s="571"/>
      <c r="B26" s="547"/>
      <c r="C26" s="574" t="s">
        <v>900</v>
      </c>
      <c r="D26" s="567">
        <v>44926</v>
      </c>
      <c r="E26" s="575">
        <v>253254929</v>
      </c>
      <c r="F26" s="575">
        <v>43494034</v>
      </c>
      <c r="G26" s="575">
        <f>SUM(E26:F26)</f>
        <v>296748963</v>
      </c>
    </row>
    <row r="27" spans="1:7">
      <c r="A27" s="571"/>
      <c r="B27" s="547"/>
      <c r="C27" s="574" t="s">
        <v>104</v>
      </c>
      <c r="D27" s="573"/>
      <c r="E27" s="577">
        <f>SUM(E24:E26)</f>
        <v>7156129512</v>
      </c>
      <c r="F27" s="577">
        <f>SUM(F24:F26)</f>
        <v>4903244644</v>
      </c>
      <c r="G27" s="577">
        <f>SUM(G24:G26)</f>
        <v>12059374156</v>
      </c>
    </row>
    <row r="28" spans="1:7" ht="12" thickBot="1">
      <c r="A28" s="558"/>
      <c r="B28" s="547"/>
      <c r="C28" s="493" t="s">
        <v>539</v>
      </c>
      <c r="D28" s="573"/>
      <c r="E28" s="569">
        <f>ROUND(+E27/G27,4)</f>
        <v>0.59340000000000004</v>
      </c>
      <c r="F28" s="569">
        <f>ROUND(+F27/G27,4)</f>
        <v>0.40660000000000002</v>
      </c>
      <c r="G28" s="570">
        <f>SUM(E28:F28)</f>
        <v>1</v>
      </c>
    </row>
    <row r="29" spans="1:7" ht="12" thickTop="1">
      <c r="A29" s="571"/>
      <c r="B29" s="547"/>
      <c r="C29" s="546"/>
      <c r="D29" s="547"/>
      <c r="E29" s="493"/>
      <c r="F29" s="493"/>
      <c r="G29" s="493"/>
    </row>
    <row r="30" spans="1:7">
      <c r="A30" s="564">
        <v>4</v>
      </c>
      <c r="B30" s="565" t="s">
        <v>888</v>
      </c>
      <c r="C30" s="578" t="s">
        <v>901</v>
      </c>
      <c r="D30" s="573" t="s">
        <v>902</v>
      </c>
      <c r="E30" s="493"/>
      <c r="F30" s="493"/>
      <c r="G30" s="493"/>
    </row>
    <row r="31" spans="1:7">
      <c r="A31" s="571"/>
      <c r="B31" s="547"/>
      <c r="C31" s="574" t="s">
        <v>903</v>
      </c>
      <c r="D31" s="567">
        <v>44926</v>
      </c>
      <c r="E31" s="568">
        <f>+E17</f>
        <v>1223233</v>
      </c>
      <c r="F31" s="568">
        <f>+F17</f>
        <v>875118</v>
      </c>
      <c r="G31" s="568">
        <f>SUM(E31:F31)</f>
        <v>2098351</v>
      </c>
    </row>
    <row r="32" spans="1:7">
      <c r="A32" s="571"/>
      <c r="B32" s="547"/>
      <c r="C32" s="493" t="s">
        <v>904</v>
      </c>
      <c r="D32" s="493"/>
      <c r="E32" s="579">
        <f>+E31/G31</f>
        <v>0.58294965904179041</v>
      </c>
      <c r="F32" s="579">
        <f>+F31/G31</f>
        <v>0.41705034095820959</v>
      </c>
      <c r="G32" s="579">
        <f>SUM(E32:F32)</f>
        <v>1</v>
      </c>
    </row>
    <row r="33" spans="1:7">
      <c r="A33" s="571"/>
      <c r="B33" s="547"/>
      <c r="C33" s="493"/>
      <c r="D33" s="573"/>
      <c r="E33" s="493"/>
      <c r="F33" s="493"/>
      <c r="G33" s="493"/>
    </row>
    <row r="34" spans="1:7">
      <c r="A34" s="571"/>
      <c r="B34" s="547"/>
      <c r="C34" s="493" t="s">
        <v>905</v>
      </c>
      <c r="D34" s="567">
        <v>44926</v>
      </c>
      <c r="E34" s="568">
        <v>73954989.829999998</v>
      </c>
      <c r="F34" s="568">
        <v>30427999.820000004</v>
      </c>
      <c r="G34" s="580">
        <f>SUM(E34:F34)</f>
        <v>104382989.65000001</v>
      </c>
    </row>
    <row r="35" spans="1:7">
      <c r="A35" s="571"/>
      <c r="B35" s="547"/>
      <c r="C35" s="493" t="s">
        <v>904</v>
      </c>
      <c r="D35" s="573"/>
      <c r="E35" s="579">
        <f>+E34/G34</f>
        <v>0.7084965670936787</v>
      </c>
      <c r="F35" s="579">
        <f>+F34/G34</f>
        <v>0.29150343290632125</v>
      </c>
      <c r="G35" s="579">
        <f>SUM(E35:F35)</f>
        <v>1</v>
      </c>
    </row>
    <row r="36" spans="1:7">
      <c r="A36" s="571"/>
      <c r="B36" s="547"/>
      <c r="C36" s="493"/>
      <c r="D36" s="573"/>
      <c r="E36" s="493"/>
      <c r="F36" s="493"/>
      <c r="G36" s="493"/>
    </row>
    <row r="37" spans="1:7">
      <c r="A37" s="571"/>
      <c r="B37" s="547"/>
      <c r="C37" s="493" t="s">
        <v>906</v>
      </c>
      <c r="D37" s="567">
        <v>44926</v>
      </c>
      <c r="E37" s="568">
        <v>89313501.560000002</v>
      </c>
      <c r="F37" s="568">
        <v>40390777.500000015</v>
      </c>
      <c r="G37" s="580">
        <f>SUM(E37:F37)</f>
        <v>129704279.06000002</v>
      </c>
    </row>
    <row r="38" spans="1:7">
      <c r="A38" s="571"/>
      <c r="B38" s="547"/>
      <c r="C38" s="493" t="s">
        <v>904</v>
      </c>
      <c r="D38" s="573"/>
      <c r="E38" s="579">
        <f>+E37/G37</f>
        <v>0.68859333097780362</v>
      </c>
      <c r="F38" s="579">
        <f>+F37/G37</f>
        <v>0.31140666902219633</v>
      </c>
      <c r="G38" s="579">
        <f>SUM(E38:F38)</f>
        <v>1</v>
      </c>
    </row>
    <row r="39" spans="1:7">
      <c r="A39" s="571"/>
      <c r="B39" s="547"/>
      <c r="C39" s="493"/>
      <c r="D39" s="573"/>
      <c r="E39" s="493"/>
      <c r="F39" s="493"/>
      <c r="G39" s="493"/>
    </row>
    <row r="40" spans="1:7">
      <c r="A40" s="571"/>
      <c r="B40" s="547"/>
      <c r="C40" s="493" t="s">
        <v>907</v>
      </c>
      <c r="D40" s="567">
        <v>44926</v>
      </c>
      <c r="E40" s="568">
        <v>5858242287.4704657</v>
      </c>
      <c r="F40" s="568">
        <v>3258744415.7045827</v>
      </c>
      <c r="G40" s="568">
        <f>SUM(E40:F40)</f>
        <v>9116986703.1750488</v>
      </c>
    </row>
    <row r="41" spans="1:7">
      <c r="A41" s="571"/>
      <c r="B41" s="547"/>
      <c r="C41" s="493" t="s">
        <v>904</v>
      </c>
      <c r="D41" s="573"/>
      <c r="E41" s="579">
        <f>+E40/G40</f>
        <v>0.64256343441087782</v>
      </c>
      <c r="F41" s="579">
        <f>+F40/G40</f>
        <v>0.35743656558912212</v>
      </c>
      <c r="G41" s="579">
        <f>SUM(E41:F41)</f>
        <v>1</v>
      </c>
    </row>
    <row r="42" spans="1:7">
      <c r="A42" s="571"/>
      <c r="B42" s="546"/>
      <c r="C42" s="493"/>
      <c r="D42" s="573"/>
      <c r="E42" s="493"/>
      <c r="F42" s="493"/>
      <c r="G42" s="493"/>
    </row>
    <row r="43" spans="1:7">
      <c r="A43" s="571"/>
      <c r="B43" s="546"/>
      <c r="C43" s="493" t="s">
        <v>908</v>
      </c>
      <c r="D43" s="573"/>
      <c r="E43" s="581">
        <f>+E41+E38+E35+E32</f>
        <v>2.6226029915241504</v>
      </c>
      <c r="F43" s="581">
        <f>+F41+F38+F35+F32</f>
        <v>1.3773970084758493</v>
      </c>
      <c r="G43" s="581">
        <f>+G41+G38+G35+G32</f>
        <v>4</v>
      </c>
    </row>
    <row r="44" spans="1:7" ht="12" thickBot="1">
      <c r="A44" s="558"/>
      <c r="B44" s="546"/>
      <c r="C44" s="582" t="s">
        <v>539</v>
      </c>
      <c r="D44" s="583"/>
      <c r="E44" s="584">
        <f>ROUND(+E43/4,4)</f>
        <v>0.65569999999999995</v>
      </c>
      <c r="F44" s="584">
        <f>ROUND(+F43/4,4)</f>
        <v>0.34429999999999999</v>
      </c>
      <c r="G44" s="585">
        <f>+G43/4</f>
        <v>1</v>
      </c>
    </row>
    <row r="45" spans="1:7" ht="12" thickTop="1">
      <c r="A45" s="558"/>
      <c r="B45" s="546"/>
      <c r="C45" s="546"/>
      <c r="D45" s="547"/>
      <c r="E45" s="493"/>
      <c r="F45" s="493"/>
      <c r="G45" s="493"/>
    </row>
    <row r="46" spans="1:7">
      <c r="A46" s="586">
        <v>5</v>
      </c>
      <c r="B46" s="507" t="s">
        <v>888</v>
      </c>
      <c r="C46" s="566" t="s">
        <v>909</v>
      </c>
      <c r="D46" s="573"/>
      <c r="E46" s="493"/>
      <c r="F46" s="493"/>
      <c r="G46" s="493"/>
    </row>
    <row r="47" spans="1:7">
      <c r="A47" s="587"/>
      <c r="B47" s="493"/>
      <c r="C47" s="493" t="s">
        <v>910</v>
      </c>
      <c r="D47" s="567">
        <v>44926</v>
      </c>
      <c r="E47" s="568">
        <v>86581286.390000001</v>
      </c>
      <c r="F47" s="568">
        <v>32846195.800000004</v>
      </c>
      <c r="G47" s="568">
        <f>SUM(E47:F47)</f>
        <v>119427482.19</v>
      </c>
    </row>
    <row r="48" spans="1:7">
      <c r="A48" s="587"/>
      <c r="B48" s="493"/>
      <c r="C48" s="493" t="s">
        <v>104</v>
      </c>
      <c r="D48" s="573"/>
      <c r="E48" s="588">
        <f>SUM(E47:E47)</f>
        <v>86581286.390000001</v>
      </c>
      <c r="F48" s="588">
        <f>SUM(F47:F47)</f>
        <v>32846195.800000004</v>
      </c>
      <c r="G48" s="588">
        <f>SUM(G47:G47)</f>
        <v>119427482.19</v>
      </c>
    </row>
    <row r="49" spans="1:7" ht="12" thickBot="1">
      <c r="A49" s="587"/>
      <c r="B49" s="493"/>
      <c r="C49" s="493" t="s">
        <v>539</v>
      </c>
      <c r="D49" s="573"/>
      <c r="E49" s="569">
        <f>ROUND(+E48/G48,4)</f>
        <v>0.72499999999999998</v>
      </c>
      <c r="F49" s="569">
        <f>ROUND(+F48/G48,4)</f>
        <v>0.27500000000000002</v>
      </c>
      <c r="G49" s="570">
        <f>SUM(E49:F49)</f>
        <v>1</v>
      </c>
    </row>
    <row r="50" spans="1:7" ht="12" thickTop="1">
      <c r="A50" s="587"/>
      <c r="B50" s="493"/>
      <c r="C50" s="493"/>
      <c r="D50" s="493"/>
      <c r="E50" s="493"/>
      <c r="F50" s="493"/>
      <c r="G50" s="493"/>
    </row>
    <row r="51" spans="1:7">
      <c r="A51" s="586">
        <v>6</v>
      </c>
      <c r="B51" s="493"/>
      <c r="C51" s="566" t="s">
        <v>911</v>
      </c>
      <c r="D51" s="567">
        <v>44926</v>
      </c>
      <c r="E51" s="493"/>
      <c r="F51" s="589" t="s">
        <v>912</v>
      </c>
      <c r="G51" s="493"/>
    </row>
    <row r="52" spans="1:7">
      <c r="A52" s="587"/>
      <c r="B52" s="493"/>
      <c r="C52" s="493" t="s">
        <v>850</v>
      </c>
      <c r="D52" s="493"/>
      <c r="E52" s="493"/>
      <c r="F52" s="576">
        <v>176929641.79999998</v>
      </c>
      <c r="G52" s="523">
        <v>0.45991132720047301</v>
      </c>
    </row>
    <row r="53" spans="1:7">
      <c r="A53" s="587"/>
      <c r="B53" s="493"/>
      <c r="C53" s="493" t="s">
        <v>913</v>
      </c>
      <c r="D53" s="493"/>
      <c r="E53" s="493"/>
      <c r="F53" s="576">
        <v>2398661.5799999996</v>
      </c>
      <c r="G53" s="523">
        <v>6.2350865549685606E-3</v>
      </c>
    </row>
    <row r="54" spans="1:7">
      <c r="A54" s="587"/>
      <c r="B54" s="493"/>
      <c r="C54" s="493" t="s">
        <v>914</v>
      </c>
      <c r="D54" s="493"/>
      <c r="E54" s="493"/>
      <c r="F54" s="576">
        <v>205375510.89000005</v>
      </c>
      <c r="G54" s="523">
        <v>0.53385358624455836</v>
      </c>
    </row>
    <row r="55" spans="1:7" ht="12" thickBot="1">
      <c r="A55" s="587"/>
      <c r="B55" s="493"/>
      <c r="C55" s="493" t="s">
        <v>915</v>
      </c>
      <c r="D55" s="493"/>
      <c r="E55" s="493"/>
      <c r="F55" s="590">
        <v>384703814.27000004</v>
      </c>
      <c r="G55" s="570">
        <v>1</v>
      </c>
    </row>
    <row r="56" spans="1:7" ht="12" thickTop="1">
      <c r="A56" s="591"/>
      <c r="G56" s="592"/>
    </row>
    <row r="57" spans="1:7" ht="12" thickBot="1">
      <c r="A57" s="593"/>
      <c r="B57" s="594"/>
      <c r="C57" s="594"/>
      <c r="D57" s="594"/>
      <c r="E57" s="594"/>
      <c r="F57" s="594"/>
      <c r="G57" s="595"/>
    </row>
  </sheetData>
  <mergeCells count="1">
    <mergeCell ref="E14:G14"/>
  </mergeCells>
  <pageMargins left="0.7" right="0.7" top="0.75" bottom="0.75" header="0.3" footer="0.3"/>
  <pageSetup orientation="portrait" r:id="rId1"/>
  <headerFooter>
    <oddFooter>&amp;LFY 2016-2017 ASC Filing
&amp;F&amp;CPages &amp;P of &amp;N&amp;R&amp;A
&amp;D</oddFooter>
  </headerFooter>
  <customProperties>
    <customPr name="_pios_id" r:id="rId2"/>
  </customPropertie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92D050"/>
    <pageSetUpPr fitToPage="1"/>
  </sheetPr>
  <dimension ref="A1:W751"/>
  <sheetViews>
    <sheetView workbookViewId="0">
      <pane ySplit="6" topLeftCell="A7" activePane="bottomLeft" state="frozen"/>
      <selection sqref="A1:XFD1048576"/>
      <selection pane="bottomLeft" sqref="A1:XFD1048576"/>
    </sheetView>
  </sheetViews>
  <sheetFormatPr defaultColWidth="8" defaultRowHeight="11.25"/>
  <cols>
    <col min="1" max="1" width="7.625" style="596" bestFit="1" customWidth="1"/>
    <col min="2" max="2" width="9" style="596" customWidth="1"/>
    <col min="3" max="3" width="7.125" style="596" bestFit="1" customWidth="1"/>
    <col min="4" max="4" width="41" style="596" bestFit="1" customWidth="1"/>
    <col min="5" max="5" width="0.75" style="596" customWidth="1"/>
    <col min="6" max="6" width="12.375" style="596" bestFit="1" customWidth="1"/>
    <col min="7" max="8" width="9.875" style="599" bestFit="1" customWidth="1"/>
    <col min="9" max="9" width="9.875" style="599" customWidth="1"/>
    <col min="10" max="10" width="10.5" style="599" customWidth="1"/>
    <col min="11" max="12" width="9.875" style="599" customWidth="1"/>
    <col min="13" max="13" width="9.125" style="599" bestFit="1" customWidth="1"/>
    <col min="14" max="14" width="9.875" style="599" bestFit="1" customWidth="1"/>
    <col min="15" max="15" width="6.5" style="599" bestFit="1" customWidth="1"/>
    <col min="16" max="16" width="35.875" style="2005" customWidth="1"/>
    <col min="17" max="17" width="8" style="599"/>
    <col min="18" max="18" width="10.375" style="599" bestFit="1" customWidth="1"/>
    <col min="19" max="19" width="13.375" style="599" bestFit="1" customWidth="1"/>
    <col min="20" max="20" width="10.25" style="599" bestFit="1" customWidth="1"/>
    <col min="21" max="21" width="15.375" style="599" bestFit="1" customWidth="1"/>
    <col min="22" max="16384" width="8" style="599"/>
  </cols>
  <sheetData>
    <row r="1" spans="1:16">
      <c r="A1" s="2068"/>
      <c r="B1" s="597" t="s">
        <v>916</v>
      </c>
      <c r="C1" s="2070"/>
      <c r="D1" s="598"/>
      <c r="E1" s="598"/>
      <c r="F1" s="598"/>
      <c r="G1" s="546"/>
      <c r="H1" s="546"/>
    </row>
    <row r="2" spans="1:16">
      <c r="A2" s="2068"/>
      <c r="B2" s="597" t="s">
        <v>917</v>
      </c>
      <c r="C2" s="2069"/>
      <c r="D2" s="600"/>
      <c r="E2" s="598"/>
      <c r="F2" s="598"/>
      <c r="G2" s="546"/>
      <c r="H2" s="546"/>
    </row>
    <row r="3" spans="1:16" ht="12" thickBot="1">
      <c r="A3" s="2068"/>
      <c r="B3" s="601">
        <v>45291</v>
      </c>
      <c r="C3" s="2068"/>
      <c r="D3" s="602"/>
      <c r="E3" s="603" t="s">
        <v>918</v>
      </c>
      <c r="F3" s="603"/>
      <c r="G3" s="546"/>
      <c r="H3" s="546"/>
    </row>
    <row r="4" spans="1:16" ht="22.5">
      <c r="B4" s="604"/>
      <c r="E4" s="598"/>
      <c r="F4" s="605" t="s">
        <v>919</v>
      </c>
      <c r="G4" s="606" t="s">
        <v>920</v>
      </c>
      <c r="H4" s="607"/>
    </row>
    <row r="5" spans="1:16">
      <c r="B5" s="608"/>
      <c r="D5" s="609"/>
      <c r="E5" s="598"/>
      <c r="F5" s="610">
        <f>'Four Factor Allocator'!C5</f>
        <v>0.65660000353553882</v>
      </c>
      <c r="G5" s="611">
        <f>'Four Factor Allocator'!D5</f>
        <v>0.34339999646446118</v>
      </c>
      <c r="H5" s="607"/>
      <c r="I5" s="3931" t="s">
        <v>921</v>
      </c>
      <c r="J5" s="3932"/>
      <c r="K5" s="3933"/>
      <c r="L5" s="612"/>
      <c r="M5" s="612"/>
      <c r="N5" s="612"/>
      <c r="O5" s="613"/>
    </row>
    <row r="6" spans="1:16" s="625" customFormat="1" ht="22.5">
      <c r="A6" s="608" t="s">
        <v>922</v>
      </c>
      <c r="B6" s="614" t="s">
        <v>923</v>
      </c>
      <c r="C6" s="615" t="s">
        <v>924</v>
      </c>
      <c r="D6" s="616" t="s">
        <v>925</v>
      </c>
      <c r="E6" s="617"/>
      <c r="F6" s="618" t="s">
        <v>350</v>
      </c>
      <c r="G6" s="619">
        <v>45291</v>
      </c>
      <c r="H6" s="619">
        <v>44926</v>
      </c>
      <c r="I6" s="620" t="s">
        <v>105</v>
      </c>
      <c r="J6" s="621" t="s">
        <v>106</v>
      </c>
      <c r="K6" s="622" t="s">
        <v>347</v>
      </c>
      <c r="L6" s="623" t="s">
        <v>894</v>
      </c>
      <c r="M6" s="623" t="s">
        <v>926</v>
      </c>
      <c r="N6" s="603" t="s">
        <v>104</v>
      </c>
      <c r="O6" s="624" t="s">
        <v>927</v>
      </c>
      <c r="P6" s="2004" t="s">
        <v>928</v>
      </c>
    </row>
    <row r="7" spans="1:16">
      <c r="A7" s="596">
        <v>101.1</v>
      </c>
      <c r="B7" s="626">
        <v>10110013</v>
      </c>
      <c r="C7" s="615"/>
      <c r="D7" s="627" t="s">
        <v>930</v>
      </c>
      <c r="E7" s="628"/>
      <c r="F7" s="629" t="s">
        <v>390</v>
      </c>
      <c r="G7" s="2006">
        <v>0</v>
      </c>
      <c r="H7" s="2006">
        <v>0</v>
      </c>
      <c r="I7" s="630">
        <f>IF(RIGHT($B7,1)="1", $G7*VLOOKUP($F7, Ratio, 2, FALSE), IF(RIGHT($B7,1)="3", $G7*VLOOKUP($F7, Ratio, 2, FALSE)*$F$5, 0))</f>
        <v>0</v>
      </c>
      <c r="J7" s="630">
        <f>IF(RIGHT($B7,1)="1", $G7*VLOOKUP($F7, Ratio, 3, FALSE), IF(RIGHT($B7,1)="3", $G7*VLOOKUP($F7, Ratio, 3, FALSE)*$F$5, 0))</f>
        <v>0</v>
      </c>
      <c r="K7" s="630">
        <f>IF(RIGHT($B7,1)="1", $G7*VLOOKUP($F7, Ratio, 4, FALSE), IF(RIGHT($B7,1)="3", $G7*VLOOKUP($F7, Ratio, 4, FALSE)*$F$5, 0))</f>
        <v>0</v>
      </c>
      <c r="L7" s="631">
        <f>IF(F7="GAS", G7, 0)</f>
        <v>0</v>
      </c>
      <c r="M7" s="631">
        <f>IF(RIGHT(B7,1)="3",G7*$G$5,0)</f>
        <v>0</v>
      </c>
      <c r="N7" s="631">
        <f>SUM(I7:M7)</f>
        <v>0</v>
      </c>
      <c r="O7" s="660">
        <f t="shared" ref="O7:O24" si="0">G7-N7</f>
        <v>0</v>
      </c>
    </row>
    <row r="8" spans="1:16">
      <c r="A8" s="596">
        <v>101.1</v>
      </c>
      <c r="B8" s="632">
        <v>10110023</v>
      </c>
      <c r="C8" s="633"/>
      <c r="D8" s="634" t="s">
        <v>931</v>
      </c>
      <c r="E8" s="635"/>
      <c r="F8" s="636" t="s">
        <v>390</v>
      </c>
      <c r="G8" s="2065">
        <v>55755935.229999997</v>
      </c>
      <c r="H8" s="2065">
        <v>58390841.689999998</v>
      </c>
      <c r="I8" s="630">
        <f>IF(RIGHT($B8,1)="1", $G8*VLOOKUP($F8, Ratio, 2, FALSE), IF(RIGHT($B8,1)="3", $G8*VLOOKUP($F8, Ratio, 2, FALSE)*$F$5, 0))</f>
        <v>0</v>
      </c>
      <c r="J8" s="630">
        <f>IF(RIGHT($B8,1)="1", $G8*VLOOKUP($F8, Ratio, 3, FALSE), IF(RIGHT($B8,1)="3", $G8*VLOOKUP($F8, Ratio, 3, FALSE)*$F$5, 0))</f>
        <v>0</v>
      </c>
      <c r="K8" s="630">
        <f>IF(RIGHT($B8,1)="1", $G8*VLOOKUP($F8, Ratio, 4, FALSE), IF(RIGHT($B8,1)="3", $G8*VLOOKUP($F8, Ratio, 4, FALSE)*$F$5, 0))</f>
        <v>36609347.269145273</v>
      </c>
      <c r="L8" s="631">
        <f>IF(F8="GAS", G8, 0)</f>
        <v>0</v>
      </c>
      <c r="M8" s="631">
        <f>IF(RIGHT(B8,1)="3",G8*$G$5,0)</f>
        <v>19146587.960854724</v>
      </c>
      <c r="N8" s="631">
        <f>SUM(I8:M8)</f>
        <v>55755935.229999997</v>
      </c>
      <c r="O8" s="660">
        <f t="shared" si="0"/>
        <v>0</v>
      </c>
    </row>
    <row r="9" spans="1:16" s="625" customFormat="1">
      <c r="A9" s="596">
        <v>101.1</v>
      </c>
      <c r="B9" s="2064">
        <v>10110031</v>
      </c>
      <c r="C9" s="675"/>
      <c r="D9" s="675" t="s">
        <v>932</v>
      </c>
      <c r="E9" s="675"/>
      <c r="F9" s="2007" t="s">
        <v>390</v>
      </c>
      <c r="G9" s="2006">
        <v>39358368.25</v>
      </c>
      <c r="H9" s="2006">
        <v>41575741.090000004</v>
      </c>
      <c r="I9" s="630">
        <f>IF(RIGHT($B9,1)="1", $G9*VLOOKUP($F9, Ratio, 2, FALSE), IF(RIGHT($B9,1)="3", $G9*VLOOKUP($F9, Ratio, 2, FALSE)*$F$5, 0))</f>
        <v>0</v>
      </c>
      <c r="J9" s="630">
        <f>IF(RIGHT($B9,1)="1", $G9*VLOOKUP($F9, Ratio, 3, FALSE), IF(RIGHT($B9,1)="3", $G9*VLOOKUP($F9, Ratio, 3, FALSE)*$F$5, 0))</f>
        <v>0</v>
      </c>
      <c r="K9" s="630">
        <f>IF(RIGHT($B9,1)="1", $G9*VLOOKUP($F9, Ratio, 4, FALSE), IF(RIGHT($B9,1)="3", $G9*VLOOKUP($F9, Ratio, 4, FALSE)*$F$5, 0))</f>
        <v>39358368.25</v>
      </c>
      <c r="L9" s="631">
        <f>IF(F9="GAS", G9, 0)</f>
        <v>0</v>
      </c>
      <c r="M9" s="631">
        <f>IF(RIGHT(B9,1)="3",G9*$G$5,0)</f>
        <v>0</v>
      </c>
      <c r="N9" s="631">
        <f>SUM(I9:M9)</f>
        <v>39358368.25</v>
      </c>
      <c r="O9" s="660">
        <f t="shared" si="0"/>
        <v>0</v>
      </c>
      <c r="P9" s="2005" t="s">
        <v>933</v>
      </c>
    </row>
    <row r="10" spans="1:16">
      <c r="A10" s="638" t="s">
        <v>934</v>
      </c>
      <c r="B10" s="639"/>
      <c r="C10" s="640"/>
      <c r="D10" s="641"/>
      <c r="E10" s="642"/>
      <c r="F10" s="642"/>
      <c r="G10" s="643">
        <f t="shared" ref="G10:N10" si="1">SUM(G7:G9)</f>
        <v>95114303.479999989</v>
      </c>
      <c r="H10" s="643">
        <f t="shared" si="1"/>
        <v>99966582.780000001</v>
      </c>
      <c r="I10" s="644">
        <f t="shared" si="1"/>
        <v>0</v>
      </c>
      <c r="J10" s="644">
        <f t="shared" si="1"/>
        <v>0</v>
      </c>
      <c r="K10" s="644">
        <f t="shared" si="1"/>
        <v>75967715.51914528</v>
      </c>
      <c r="L10" s="644">
        <f t="shared" si="1"/>
        <v>0</v>
      </c>
      <c r="M10" s="644">
        <f t="shared" si="1"/>
        <v>19146587.960854724</v>
      </c>
      <c r="N10" s="644">
        <f t="shared" si="1"/>
        <v>95114303.479999989</v>
      </c>
      <c r="O10" s="660">
        <f t="shared" si="0"/>
        <v>0</v>
      </c>
    </row>
    <row r="11" spans="1:16">
      <c r="A11" s="634">
        <v>114</v>
      </c>
      <c r="B11" s="645">
        <v>11400001</v>
      </c>
      <c r="C11" s="627"/>
      <c r="D11" s="627" t="s">
        <v>935</v>
      </c>
      <c r="E11" s="646"/>
      <c r="F11" s="647" t="s">
        <v>391</v>
      </c>
      <c r="G11" s="2006">
        <v>946172.25</v>
      </c>
      <c r="H11" s="2006">
        <v>946172.25</v>
      </c>
      <c r="I11" s="630">
        <f t="shared" ref="I11:I16" si="2">IF(RIGHT($B11,1)="1", $G11*VLOOKUP($F11, Ratio, 2, FALSE), IF(RIGHT($B11,1)="3", $G11*VLOOKUP($F11, Ratio, 2, FALSE)*$F$5, 0))</f>
        <v>0</v>
      </c>
      <c r="J11" s="630">
        <f t="shared" ref="J11:J16" si="3">IF(RIGHT($B11,1)="1", $G11*VLOOKUP($F11, Ratio, 3, FALSE), IF(RIGHT($B11,1)="3", $G11*VLOOKUP($F11, Ratio, 3, FALSE)*$F$5, 0))</f>
        <v>0</v>
      </c>
      <c r="K11" s="630">
        <f t="shared" ref="K11:K16" si="4">IF(RIGHT($B11,1)="1", $G11*VLOOKUP($F11, Ratio, 4, FALSE), IF(RIGHT($B11,1)="3", $G11*VLOOKUP($F11, Ratio, 4, FALSE)*$F$5, 0))</f>
        <v>946172.25</v>
      </c>
      <c r="L11" s="631">
        <f t="shared" ref="L11:L16" si="5">IF(F11="GAS", G11, 0)</f>
        <v>0</v>
      </c>
      <c r="M11" s="631">
        <f t="shared" ref="M11:M16" si="6">IF(RIGHT(B11,1)="3",G11*$G$5,0)</f>
        <v>0</v>
      </c>
      <c r="N11" s="631">
        <f t="shared" ref="N11:N16" si="7">SUM(I11:M11)</f>
        <v>946172.25</v>
      </c>
      <c r="O11" s="660">
        <f t="shared" si="0"/>
        <v>0</v>
      </c>
    </row>
    <row r="12" spans="1:16">
      <c r="A12" s="648">
        <v>114</v>
      </c>
      <c r="B12" s="645">
        <v>11400011</v>
      </c>
      <c r="C12" s="627"/>
      <c r="D12" s="627" t="s">
        <v>936</v>
      </c>
      <c r="E12" s="646"/>
      <c r="F12" s="647" t="s">
        <v>390</v>
      </c>
      <c r="G12" s="2006">
        <v>302358.01</v>
      </c>
      <c r="H12" s="2006">
        <v>302358.01</v>
      </c>
      <c r="I12" s="630">
        <f t="shared" si="2"/>
        <v>0</v>
      </c>
      <c r="J12" s="630">
        <f t="shared" si="3"/>
        <v>0</v>
      </c>
      <c r="K12" s="630">
        <f t="shared" si="4"/>
        <v>302358.01</v>
      </c>
      <c r="L12" s="631">
        <f t="shared" si="5"/>
        <v>0</v>
      </c>
      <c r="M12" s="631">
        <f t="shared" si="6"/>
        <v>0</v>
      </c>
      <c r="N12" s="631">
        <f t="shared" si="7"/>
        <v>302358.01</v>
      </c>
      <c r="O12" s="660">
        <f t="shared" si="0"/>
        <v>0</v>
      </c>
    </row>
    <row r="13" spans="1:16">
      <c r="A13" s="648">
        <v>114</v>
      </c>
      <c r="B13" s="645">
        <v>11400031</v>
      </c>
      <c r="C13" s="627"/>
      <c r="D13" s="627" t="s">
        <v>937</v>
      </c>
      <c r="E13" s="646"/>
      <c r="F13" s="647" t="s">
        <v>392</v>
      </c>
      <c r="G13" s="2006">
        <v>76622596.840000004</v>
      </c>
      <c r="H13" s="2006">
        <v>76622596.840000004</v>
      </c>
      <c r="I13" s="630">
        <f t="shared" si="2"/>
        <v>76622596.840000004</v>
      </c>
      <c r="J13" s="630">
        <f t="shared" si="3"/>
        <v>0</v>
      </c>
      <c r="K13" s="630">
        <f t="shared" si="4"/>
        <v>0</v>
      </c>
      <c r="L13" s="631">
        <f t="shared" si="5"/>
        <v>0</v>
      </c>
      <c r="M13" s="631">
        <f t="shared" si="6"/>
        <v>0</v>
      </c>
      <c r="N13" s="631">
        <f t="shared" si="7"/>
        <v>76622596.840000004</v>
      </c>
      <c r="O13" s="660">
        <f t="shared" si="0"/>
        <v>0</v>
      </c>
    </row>
    <row r="14" spans="1:16">
      <c r="A14" s="648">
        <v>114</v>
      </c>
      <c r="B14" s="645">
        <v>11400061</v>
      </c>
      <c r="C14" s="627"/>
      <c r="D14" s="627" t="s">
        <v>938</v>
      </c>
      <c r="E14" s="646"/>
      <c r="F14" s="647" t="s">
        <v>392</v>
      </c>
      <c r="G14" s="2006">
        <v>156960790.84</v>
      </c>
      <c r="H14" s="2006">
        <v>156960790.84</v>
      </c>
      <c r="I14" s="630">
        <f t="shared" si="2"/>
        <v>156960790.84</v>
      </c>
      <c r="J14" s="630">
        <f t="shared" si="3"/>
        <v>0</v>
      </c>
      <c r="K14" s="630">
        <f t="shared" si="4"/>
        <v>0</v>
      </c>
      <c r="L14" s="631">
        <f t="shared" si="5"/>
        <v>0</v>
      </c>
      <c r="M14" s="631">
        <f t="shared" si="6"/>
        <v>0</v>
      </c>
      <c r="N14" s="631">
        <f t="shared" si="7"/>
        <v>156960790.84</v>
      </c>
      <c r="O14" s="660">
        <f t="shared" si="0"/>
        <v>0</v>
      </c>
    </row>
    <row r="15" spans="1:16">
      <c r="A15" s="648">
        <v>114</v>
      </c>
      <c r="B15" s="627">
        <v>11400071</v>
      </c>
      <c r="C15" s="627" t="s">
        <v>713</v>
      </c>
      <c r="D15" s="649" t="s">
        <v>939</v>
      </c>
      <c r="E15" s="646"/>
      <c r="F15" s="647" t="s">
        <v>392</v>
      </c>
      <c r="G15" s="2006">
        <v>16950332.899999999</v>
      </c>
      <c r="H15" s="2006">
        <v>16950332.899999999</v>
      </c>
      <c r="I15" s="630">
        <f t="shared" si="2"/>
        <v>16950332.899999999</v>
      </c>
      <c r="J15" s="630">
        <f t="shared" si="3"/>
        <v>0</v>
      </c>
      <c r="K15" s="630">
        <f t="shared" si="4"/>
        <v>0</v>
      </c>
      <c r="L15" s="631">
        <f t="shared" si="5"/>
        <v>0</v>
      </c>
      <c r="M15" s="631">
        <f t="shared" si="6"/>
        <v>0</v>
      </c>
      <c r="N15" s="631">
        <f t="shared" si="7"/>
        <v>16950332.899999999</v>
      </c>
      <c r="O15" s="660">
        <f t="shared" si="0"/>
        <v>0</v>
      </c>
    </row>
    <row r="16" spans="1:16">
      <c r="A16" s="650">
        <v>114</v>
      </c>
      <c r="B16" s="651">
        <v>11400091</v>
      </c>
      <c r="C16" s="627"/>
      <c r="D16" s="652" t="s">
        <v>940</v>
      </c>
      <c r="E16" s="646"/>
      <c r="F16" s="647" t="s">
        <v>392</v>
      </c>
      <c r="G16" s="2006">
        <v>31009424.030000001</v>
      </c>
      <c r="H16" s="2006">
        <v>31009424.030000001</v>
      </c>
      <c r="I16" s="630">
        <f t="shared" si="2"/>
        <v>31009424.030000001</v>
      </c>
      <c r="J16" s="630">
        <f t="shared" si="3"/>
        <v>0</v>
      </c>
      <c r="K16" s="630">
        <f t="shared" si="4"/>
        <v>0</v>
      </c>
      <c r="L16" s="631">
        <f t="shared" si="5"/>
        <v>0</v>
      </c>
      <c r="M16" s="631">
        <f t="shared" si="6"/>
        <v>0</v>
      </c>
      <c r="N16" s="631">
        <f t="shared" si="7"/>
        <v>31009424.030000001</v>
      </c>
      <c r="O16" s="660">
        <f t="shared" si="0"/>
        <v>0</v>
      </c>
    </row>
    <row r="17" spans="1:15">
      <c r="A17" s="638" t="s">
        <v>941</v>
      </c>
      <c r="B17" s="639"/>
      <c r="C17" s="640"/>
      <c r="D17" s="641"/>
      <c r="E17" s="642"/>
      <c r="F17" s="642"/>
      <c r="G17" s="643">
        <f t="shared" ref="G17:N17" si="8">SUM(G11:G16)</f>
        <v>282791674.87</v>
      </c>
      <c r="H17" s="643">
        <f t="shared" si="8"/>
        <v>282791674.87</v>
      </c>
      <c r="I17" s="2280">
        <f t="shared" si="8"/>
        <v>281543144.61000001</v>
      </c>
      <c r="J17" s="2280">
        <f t="shared" si="8"/>
        <v>0</v>
      </c>
      <c r="K17" s="2280">
        <f t="shared" si="8"/>
        <v>1248530.26</v>
      </c>
      <c r="L17" s="644">
        <f t="shared" si="8"/>
        <v>0</v>
      </c>
      <c r="M17" s="644">
        <f t="shared" si="8"/>
        <v>0</v>
      </c>
      <c r="N17" s="644">
        <f t="shared" si="8"/>
        <v>282791674.87</v>
      </c>
      <c r="O17" s="660">
        <f t="shared" si="0"/>
        <v>0</v>
      </c>
    </row>
    <row r="18" spans="1:15">
      <c r="A18" s="634">
        <v>115</v>
      </c>
      <c r="B18" s="645">
        <v>11500001</v>
      </c>
      <c r="C18" s="627"/>
      <c r="D18" s="627" t="s">
        <v>942</v>
      </c>
      <c r="E18" s="646"/>
      <c r="F18" s="647" t="s">
        <v>391</v>
      </c>
      <c r="G18" s="2006">
        <v>-946172.25</v>
      </c>
      <c r="H18" s="2006">
        <v>-946172.25</v>
      </c>
      <c r="I18" s="630">
        <f t="shared" ref="I18:I23" si="9">IF(RIGHT($B18,1)="1", $G18*VLOOKUP($F18, Ratio, 2, FALSE), IF(RIGHT($B18,1)="3", $G18*VLOOKUP($F18, Ratio, 2, FALSE)*$F$5, 0))</f>
        <v>0</v>
      </c>
      <c r="J18" s="630">
        <f t="shared" ref="J18:J23" si="10">IF(RIGHT($B18,1)="1", $G18*VLOOKUP($F18, Ratio, 3, FALSE), IF(RIGHT($B18,1)="3", $G18*VLOOKUP($F18, Ratio, 3, FALSE)*$F$5, 0))</f>
        <v>0</v>
      </c>
      <c r="K18" s="630">
        <f t="shared" ref="K18:K23" si="11">IF(RIGHT($B18,1)="1", $G18*VLOOKUP($F18, Ratio, 4, FALSE), IF(RIGHT($B18,1)="3", $G18*VLOOKUP($F18, Ratio, 4, FALSE)*$F$5, 0))</f>
        <v>-946172.25</v>
      </c>
      <c r="L18" s="631">
        <f t="shared" ref="L18:L23" si="12">IF(F18="GAS", G18, 0)</f>
        <v>0</v>
      </c>
      <c r="M18" s="631">
        <f t="shared" ref="M18:M23" si="13">IF(RIGHT(B18,1)="3",G18*$G$5,0)</f>
        <v>0</v>
      </c>
      <c r="N18" s="631">
        <f t="shared" ref="N18:N23" si="14">SUM(I18:M18)</f>
        <v>-946172.25</v>
      </c>
      <c r="O18" s="660">
        <f t="shared" si="0"/>
        <v>0</v>
      </c>
    </row>
    <row r="19" spans="1:15">
      <c r="A19" s="648">
        <v>115</v>
      </c>
      <c r="B19" s="645">
        <v>11500011</v>
      </c>
      <c r="C19" s="627"/>
      <c r="D19" s="627" t="s">
        <v>943</v>
      </c>
      <c r="E19" s="646"/>
      <c r="F19" s="647" t="s">
        <v>390</v>
      </c>
      <c r="G19" s="2006">
        <v>-302358.01</v>
      </c>
      <c r="H19" s="2006">
        <v>-302358.01</v>
      </c>
      <c r="I19" s="630">
        <f t="shared" si="9"/>
        <v>0</v>
      </c>
      <c r="J19" s="630">
        <f t="shared" si="10"/>
        <v>0</v>
      </c>
      <c r="K19" s="630">
        <f t="shared" si="11"/>
        <v>-302358.01</v>
      </c>
      <c r="L19" s="631">
        <f t="shared" si="12"/>
        <v>0</v>
      </c>
      <c r="M19" s="631">
        <f t="shared" si="13"/>
        <v>0</v>
      </c>
      <c r="N19" s="631">
        <f t="shared" si="14"/>
        <v>-302358.01</v>
      </c>
      <c r="O19" s="660">
        <f t="shared" si="0"/>
        <v>0</v>
      </c>
    </row>
    <row r="20" spans="1:15">
      <c r="A20" s="648">
        <v>115</v>
      </c>
      <c r="B20" s="645">
        <v>11500031</v>
      </c>
      <c r="C20" s="627"/>
      <c r="D20" s="627" t="s">
        <v>944</v>
      </c>
      <c r="E20" s="646"/>
      <c r="F20" s="647" t="s">
        <v>392</v>
      </c>
      <c r="G20" s="2006">
        <v>-76622596.840000004</v>
      </c>
      <c r="H20" s="2006">
        <v>-76622596.840000004</v>
      </c>
      <c r="I20" s="630">
        <f t="shared" si="9"/>
        <v>-76622596.840000004</v>
      </c>
      <c r="J20" s="630">
        <f t="shared" si="10"/>
        <v>0</v>
      </c>
      <c r="K20" s="630">
        <f t="shared" si="11"/>
        <v>0</v>
      </c>
      <c r="L20" s="631">
        <f t="shared" si="12"/>
        <v>0</v>
      </c>
      <c r="M20" s="631">
        <f t="shared" si="13"/>
        <v>0</v>
      </c>
      <c r="N20" s="631">
        <f t="shared" si="14"/>
        <v>-76622596.840000004</v>
      </c>
      <c r="O20" s="660">
        <f t="shared" si="0"/>
        <v>0</v>
      </c>
    </row>
    <row r="21" spans="1:15">
      <c r="A21" s="648">
        <v>115</v>
      </c>
      <c r="B21" s="627">
        <v>11500041</v>
      </c>
      <c r="C21" s="627"/>
      <c r="D21" s="627" t="s">
        <v>945</v>
      </c>
      <c r="E21" s="646"/>
      <c r="F21" s="647" t="s">
        <v>392</v>
      </c>
      <c r="G21" s="2006">
        <v>-69499134.680000007</v>
      </c>
      <c r="H21" s="2006">
        <v>-64882635.32</v>
      </c>
      <c r="I21" s="630">
        <f t="shared" si="9"/>
        <v>-69499134.680000007</v>
      </c>
      <c r="J21" s="630">
        <f t="shared" si="10"/>
        <v>0</v>
      </c>
      <c r="K21" s="630">
        <f t="shared" si="11"/>
        <v>0</v>
      </c>
      <c r="L21" s="631">
        <f t="shared" si="12"/>
        <v>0</v>
      </c>
      <c r="M21" s="631">
        <f t="shared" si="13"/>
        <v>0</v>
      </c>
      <c r="N21" s="631">
        <f t="shared" si="14"/>
        <v>-69499134.680000007</v>
      </c>
      <c r="O21" s="660">
        <f t="shared" si="0"/>
        <v>0</v>
      </c>
    </row>
    <row r="22" spans="1:15">
      <c r="A22" s="648">
        <v>115</v>
      </c>
      <c r="B22" s="627">
        <v>11500051</v>
      </c>
      <c r="C22" s="627" t="s">
        <v>713</v>
      </c>
      <c r="D22" s="649" t="s">
        <v>946</v>
      </c>
      <c r="E22" s="646"/>
      <c r="F22" s="647" t="s">
        <v>392</v>
      </c>
      <c r="G22" s="2006">
        <v>-16950332.899999999</v>
      </c>
      <c r="H22" s="2006">
        <v>-16950332.899999999</v>
      </c>
      <c r="I22" s="630">
        <f t="shared" si="9"/>
        <v>-16950332.899999999</v>
      </c>
      <c r="J22" s="630">
        <f t="shared" si="10"/>
        <v>0</v>
      </c>
      <c r="K22" s="630">
        <f t="shared" si="11"/>
        <v>0</v>
      </c>
      <c r="L22" s="631">
        <f t="shared" si="12"/>
        <v>0</v>
      </c>
      <c r="M22" s="631">
        <f t="shared" si="13"/>
        <v>0</v>
      </c>
      <c r="N22" s="631">
        <f t="shared" si="14"/>
        <v>-16950332.899999999</v>
      </c>
      <c r="O22" s="660">
        <f t="shared" si="0"/>
        <v>0</v>
      </c>
    </row>
    <row r="23" spans="1:15">
      <c r="A23" s="650">
        <v>115</v>
      </c>
      <c r="B23" s="651">
        <v>11500061</v>
      </c>
      <c r="C23" s="627"/>
      <c r="D23" s="652" t="s">
        <v>947</v>
      </c>
      <c r="E23" s="646"/>
      <c r="F23" s="647" t="s">
        <v>392</v>
      </c>
      <c r="G23" s="2006">
        <v>-12737230.970000001</v>
      </c>
      <c r="H23" s="2006">
        <v>-11592237.17</v>
      </c>
      <c r="I23" s="630">
        <f t="shared" si="9"/>
        <v>-12737230.970000001</v>
      </c>
      <c r="J23" s="630">
        <f t="shared" si="10"/>
        <v>0</v>
      </c>
      <c r="K23" s="630">
        <f t="shared" si="11"/>
        <v>0</v>
      </c>
      <c r="L23" s="631">
        <f t="shared" si="12"/>
        <v>0</v>
      </c>
      <c r="M23" s="631">
        <f t="shared" si="13"/>
        <v>0</v>
      </c>
      <c r="N23" s="631">
        <f t="shared" si="14"/>
        <v>-12737230.970000001</v>
      </c>
      <c r="O23" s="660">
        <f t="shared" si="0"/>
        <v>0</v>
      </c>
    </row>
    <row r="24" spans="1:15">
      <c r="A24" s="638" t="s">
        <v>948</v>
      </c>
      <c r="B24" s="639"/>
      <c r="C24" s="640"/>
      <c r="D24" s="641"/>
      <c r="E24" s="642"/>
      <c r="F24" s="642"/>
      <c r="G24" s="643">
        <f t="shared" ref="G24:N24" si="15">SUM(G18:G23)</f>
        <v>-177057825.65000004</v>
      </c>
      <c r="H24" s="643">
        <f t="shared" si="15"/>
        <v>-171296332.49000001</v>
      </c>
      <c r="I24" s="2280">
        <f t="shared" si="15"/>
        <v>-175809295.39000002</v>
      </c>
      <c r="J24" s="2280">
        <f t="shared" si="15"/>
        <v>0</v>
      </c>
      <c r="K24" s="2280">
        <f t="shared" si="15"/>
        <v>-1248530.26</v>
      </c>
      <c r="L24" s="644">
        <f t="shared" si="15"/>
        <v>0</v>
      </c>
      <c r="M24" s="644">
        <f t="shared" si="15"/>
        <v>0</v>
      </c>
      <c r="N24" s="644">
        <f t="shared" si="15"/>
        <v>-177057825.65000004</v>
      </c>
      <c r="O24" s="660">
        <f t="shared" si="0"/>
        <v>0</v>
      </c>
    </row>
    <row r="25" spans="1:15">
      <c r="A25" s="653">
        <v>123.1</v>
      </c>
      <c r="B25" s="654">
        <v>12310000</v>
      </c>
      <c r="C25" s="655"/>
      <c r="D25" s="656" t="s">
        <v>949</v>
      </c>
      <c r="E25" s="657"/>
      <c r="F25" s="658" t="s">
        <v>950</v>
      </c>
      <c r="G25" s="2034">
        <v>38792841.780000001</v>
      </c>
      <c r="H25" s="2034">
        <v>38582474.32</v>
      </c>
      <c r="I25" s="659"/>
      <c r="J25" s="659"/>
      <c r="K25" s="659"/>
      <c r="L25" s="631"/>
      <c r="M25" s="631"/>
      <c r="N25" s="631"/>
      <c r="O25" s="660"/>
    </row>
    <row r="26" spans="1:15">
      <c r="A26" s="638" t="s">
        <v>951</v>
      </c>
      <c r="B26" s="639"/>
      <c r="C26" s="640"/>
      <c r="D26" s="641"/>
      <c r="E26" s="642"/>
      <c r="F26" s="642"/>
      <c r="G26" s="643">
        <f t="shared" ref="G26:N26" si="16">SUM(G25:G25)</f>
        <v>38792841.780000001</v>
      </c>
      <c r="H26" s="643">
        <f t="shared" si="16"/>
        <v>38582474.32</v>
      </c>
      <c r="I26" s="2280">
        <f t="shared" si="16"/>
        <v>0</v>
      </c>
      <c r="J26" s="2280">
        <f t="shared" si="16"/>
        <v>0</v>
      </c>
      <c r="K26" s="2280">
        <f t="shared" si="16"/>
        <v>0</v>
      </c>
      <c r="L26" s="644">
        <f t="shared" si="16"/>
        <v>0</v>
      </c>
      <c r="M26" s="644">
        <f t="shared" si="16"/>
        <v>0</v>
      </c>
      <c r="N26" s="644">
        <f t="shared" si="16"/>
        <v>0</v>
      </c>
      <c r="O26" s="661"/>
    </row>
    <row r="27" spans="1:15" ht="10.15" customHeight="1">
      <c r="A27" s="662"/>
      <c r="B27" s="663"/>
      <c r="C27" s="664"/>
      <c r="D27" s="665"/>
      <c r="E27" s="3929" t="s">
        <v>952</v>
      </c>
      <c r="F27" s="3930"/>
      <c r="G27" s="681">
        <f>'FERC p110-111 Assets'!D31-G26</f>
        <v>0.2199999988079071</v>
      </c>
      <c r="H27" s="681">
        <f>'FERC p110-111 Assets'!E31-H26</f>
        <v>-0.32000000029802322</v>
      </c>
      <c r="I27" s="666"/>
      <c r="J27" s="666"/>
      <c r="K27" s="666"/>
      <c r="L27" s="666"/>
      <c r="M27" s="666"/>
      <c r="N27" s="666"/>
      <c r="O27" s="661"/>
    </row>
    <row r="28" spans="1:15">
      <c r="A28" s="2015">
        <v>182.1</v>
      </c>
      <c r="B28" s="645">
        <v>18210221</v>
      </c>
      <c r="C28" s="627"/>
      <c r="D28" s="627" t="s">
        <v>953</v>
      </c>
      <c r="E28" s="646"/>
      <c r="F28" s="647" t="s">
        <v>390</v>
      </c>
      <c r="G28" s="2006">
        <v>0</v>
      </c>
      <c r="H28" s="2006">
        <v>0</v>
      </c>
      <c r="I28" s="630">
        <f t="shared" ref="I28:I46" si="17">IF(RIGHT($B28,1)="1", $G28*VLOOKUP($F28, Ratio, 2, FALSE), IF(RIGHT($B28,1)="3", $G28*VLOOKUP($F28, Ratio, 2, FALSE)*$F$5, 0))</f>
        <v>0</v>
      </c>
      <c r="J28" s="630">
        <f t="shared" ref="J28:J46" si="18">IF(RIGHT($B28,1)="1", $G28*VLOOKUP($F28, Ratio, 3, FALSE), IF(RIGHT($B28,1)="3", $G28*VLOOKUP($F28, Ratio, 3, FALSE)*$F$5, 0))</f>
        <v>0</v>
      </c>
      <c r="K28" s="630">
        <f t="shared" ref="K28:K46" si="19">IF(RIGHT($B28,1)="1", $G28*VLOOKUP($F28, Ratio, 4, FALSE), IF(RIGHT($B28,1)="3", $G28*VLOOKUP($F28, Ratio, 4, FALSE)*$F$5, 0))</f>
        <v>0</v>
      </c>
      <c r="L28" s="631">
        <f t="shared" ref="L28:L46" si="20">IF(F28="GAS", G28, 0)</f>
        <v>0</v>
      </c>
      <c r="M28" s="631">
        <f t="shared" ref="M28:M46" si="21">IF(RIGHT(B28,1)="3",G28*$G$5,0)</f>
        <v>0</v>
      </c>
      <c r="N28" s="631">
        <f t="shared" ref="N28:N46" si="22">SUM(I28:M28)</f>
        <v>0</v>
      </c>
      <c r="O28" s="660">
        <f t="shared" ref="O28:O47" si="23">G28-N28</f>
        <v>0</v>
      </c>
    </row>
    <row r="29" spans="1:15">
      <c r="A29" s="2015">
        <v>182.1</v>
      </c>
      <c r="B29" s="667">
        <v>18210231</v>
      </c>
      <c r="C29" s="668"/>
      <c r="D29" s="668" t="s">
        <v>954</v>
      </c>
      <c r="E29" s="669"/>
      <c r="F29" s="670" t="s">
        <v>390</v>
      </c>
      <c r="G29" s="2006">
        <v>0</v>
      </c>
      <c r="H29" s="2006">
        <v>0</v>
      </c>
      <c r="I29" s="630">
        <f t="shared" si="17"/>
        <v>0</v>
      </c>
      <c r="J29" s="630">
        <f t="shared" si="18"/>
        <v>0</v>
      </c>
      <c r="K29" s="630">
        <f t="shared" si="19"/>
        <v>0</v>
      </c>
      <c r="L29" s="631">
        <f t="shared" si="20"/>
        <v>0</v>
      </c>
      <c r="M29" s="631">
        <f t="shared" si="21"/>
        <v>0</v>
      </c>
      <c r="N29" s="631">
        <f t="shared" si="22"/>
        <v>0</v>
      </c>
      <c r="O29" s="660">
        <f t="shared" si="23"/>
        <v>0</v>
      </c>
    </row>
    <row r="30" spans="1:15">
      <c r="A30" s="2015">
        <v>182.1</v>
      </c>
      <c r="B30" s="667">
        <v>18210241</v>
      </c>
      <c r="C30" s="668"/>
      <c r="D30" s="668" t="s">
        <v>955</v>
      </c>
      <c r="E30" s="669"/>
      <c r="F30" s="670" t="s">
        <v>390</v>
      </c>
      <c r="G30" s="2006">
        <v>0</v>
      </c>
      <c r="H30" s="2006">
        <v>0</v>
      </c>
      <c r="I30" s="630">
        <f t="shared" si="17"/>
        <v>0</v>
      </c>
      <c r="J30" s="630">
        <f t="shared" si="18"/>
        <v>0</v>
      </c>
      <c r="K30" s="630">
        <f t="shared" si="19"/>
        <v>0</v>
      </c>
      <c r="L30" s="631">
        <f t="shared" si="20"/>
        <v>0</v>
      </c>
      <c r="M30" s="631">
        <f t="shared" si="21"/>
        <v>0</v>
      </c>
      <c r="N30" s="631">
        <f t="shared" si="22"/>
        <v>0</v>
      </c>
      <c r="O30" s="660">
        <f t="shared" si="23"/>
        <v>0</v>
      </c>
    </row>
    <row r="31" spans="1:15">
      <c r="A31" s="2015">
        <v>182.1</v>
      </c>
      <c r="B31" s="667">
        <v>18210251</v>
      </c>
      <c r="C31" s="668"/>
      <c r="D31" s="668" t="s">
        <v>956</v>
      </c>
      <c r="E31" s="669"/>
      <c r="F31" s="670" t="s">
        <v>390</v>
      </c>
      <c r="G31" s="2006">
        <v>0</v>
      </c>
      <c r="H31" s="2006">
        <v>0</v>
      </c>
      <c r="I31" s="630">
        <f t="shared" si="17"/>
        <v>0</v>
      </c>
      <c r="J31" s="630">
        <f t="shared" si="18"/>
        <v>0</v>
      </c>
      <c r="K31" s="630">
        <f t="shared" si="19"/>
        <v>0</v>
      </c>
      <c r="L31" s="631">
        <f t="shared" si="20"/>
        <v>0</v>
      </c>
      <c r="M31" s="631">
        <f t="shared" si="21"/>
        <v>0</v>
      </c>
      <c r="N31" s="631">
        <f t="shared" si="22"/>
        <v>0</v>
      </c>
      <c r="O31" s="660">
        <f t="shared" si="23"/>
        <v>0</v>
      </c>
    </row>
    <row r="32" spans="1:15">
      <c r="A32" s="2015">
        <v>182.1</v>
      </c>
      <c r="B32" s="667">
        <v>18210261</v>
      </c>
      <c r="C32" s="668"/>
      <c r="D32" s="668" t="s">
        <v>957</v>
      </c>
      <c r="E32" s="669"/>
      <c r="F32" s="670" t="s">
        <v>390</v>
      </c>
      <c r="G32" s="2006">
        <v>0</v>
      </c>
      <c r="H32" s="2006">
        <v>0</v>
      </c>
      <c r="I32" s="630">
        <f t="shared" si="17"/>
        <v>0</v>
      </c>
      <c r="J32" s="630">
        <f t="shared" si="18"/>
        <v>0</v>
      </c>
      <c r="K32" s="630">
        <f t="shared" si="19"/>
        <v>0</v>
      </c>
      <c r="L32" s="631">
        <f t="shared" si="20"/>
        <v>0</v>
      </c>
      <c r="M32" s="631">
        <f t="shared" si="21"/>
        <v>0</v>
      </c>
      <c r="N32" s="631">
        <f t="shared" si="22"/>
        <v>0</v>
      </c>
      <c r="O32" s="660">
        <f t="shared" si="23"/>
        <v>0</v>
      </c>
    </row>
    <row r="33" spans="1:16">
      <c r="A33" s="2015">
        <v>182.1</v>
      </c>
      <c r="B33" s="667">
        <v>18210271</v>
      </c>
      <c r="C33" s="668"/>
      <c r="D33" s="668" t="s">
        <v>958</v>
      </c>
      <c r="E33" s="669"/>
      <c r="F33" s="670" t="s">
        <v>390</v>
      </c>
      <c r="G33" s="2006">
        <v>0</v>
      </c>
      <c r="H33" s="2006">
        <v>0</v>
      </c>
      <c r="I33" s="630">
        <f t="shared" si="17"/>
        <v>0</v>
      </c>
      <c r="J33" s="630">
        <f t="shared" si="18"/>
        <v>0</v>
      </c>
      <c r="K33" s="630">
        <f t="shared" si="19"/>
        <v>0</v>
      </c>
      <c r="L33" s="631">
        <f t="shared" si="20"/>
        <v>0</v>
      </c>
      <c r="M33" s="631">
        <f t="shared" si="21"/>
        <v>0</v>
      </c>
      <c r="N33" s="631">
        <f t="shared" si="22"/>
        <v>0</v>
      </c>
      <c r="O33" s="660">
        <f t="shared" si="23"/>
        <v>0</v>
      </c>
    </row>
    <row r="34" spans="1:16">
      <c r="A34" s="2015">
        <v>182.1</v>
      </c>
      <c r="B34" s="651">
        <v>18210281</v>
      </c>
      <c r="C34" s="627"/>
      <c r="D34" s="652" t="s">
        <v>959</v>
      </c>
      <c r="E34" s="646"/>
      <c r="F34" s="647" t="s">
        <v>390</v>
      </c>
      <c r="G34" s="2006">
        <v>0</v>
      </c>
      <c r="H34" s="2006">
        <v>0</v>
      </c>
      <c r="I34" s="630">
        <f t="shared" si="17"/>
        <v>0</v>
      </c>
      <c r="J34" s="630">
        <f t="shared" si="18"/>
        <v>0</v>
      </c>
      <c r="K34" s="630">
        <f t="shared" si="19"/>
        <v>0</v>
      </c>
      <c r="L34" s="631">
        <f t="shared" si="20"/>
        <v>0</v>
      </c>
      <c r="M34" s="631">
        <f t="shared" si="21"/>
        <v>0</v>
      </c>
      <c r="N34" s="631">
        <f t="shared" si="22"/>
        <v>0</v>
      </c>
      <c r="O34" s="660">
        <f t="shared" si="23"/>
        <v>0</v>
      </c>
    </row>
    <row r="35" spans="1:16">
      <c r="A35" s="2015">
        <v>182.1</v>
      </c>
      <c r="B35" s="651">
        <v>18210291</v>
      </c>
      <c r="C35" s="627"/>
      <c r="D35" s="652" t="s">
        <v>960</v>
      </c>
      <c r="E35" s="646"/>
      <c r="F35" s="647" t="s">
        <v>390</v>
      </c>
      <c r="G35" s="2006">
        <v>0</v>
      </c>
      <c r="H35" s="2006">
        <v>0</v>
      </c>
      <c r="I35" s="630">
        <f t="shared" si="17"/>
        <v>0</v>
      </c>
      <c r="J35" s="630">
        <f t="shared" si="18"/>
        <v>0</v>
      </c>
      <c r="K35" s="630">
        <f t="shared" si="19"/>
        <v>0</v>
      </c>
      <c r="L35" s="631">
        <f t="shared" si="20"/>
        <v>0</v>
      </c>
      <c r="M35" s="631">
        <f t="shared" si="21"/>
        <v>0</v>
      </c>
      <c r="N35" s="631">
        <f t="shared" si="22"/>
        <v>0</v>
      </c>
      <c r="O35" s="660">
        <f t="shared" si="23"/>
        <v>0</v>
      </c>
    </row>
    <row r="36" spans="1:16">
      <c r="A36" s="2015">
        <v>182.1</v>
      </c>
      <c r="B36" s="651">
        <v>18210301</v>
      </c>
      <c r="C36" s="627"/>
      <c r="D36" s="652" t="s">
        <v>961</v>
      </c>
      <c r="E36" s="646"/>
      <c r="F36" s="647" t="s">
        <v>390</v>
      </c>
      <c r="G36" s="2006">
        <v>0</v>
      </c>
      <c r="H36" s="2006">
        <v>0</v>
      </c>
      <c r="I36" s="630">
        <f t="shared" si="17"/>
        <v>0</v>
      </c>
      <c r="J36" s="630">
        <f t="shared" si="18"/>
        <v>0</v>
      </c>
      <c r="K36" s="630">
        <f t="shared" si="19"/>
        <v>0</v>
      </c>
      <c r="L36" s="631">
        <f t="shared" si="20"/>
        <v>0</v>
      </c>
      <c r="M36" s="631">
        <f t="shared" si="21"/>
        <v>0</v>
      </c>
      <c r="N36" s="631">
        <f t="shared" si="22"/>
        <v>0</v>
      </c>
      <c r="O36" s="660">
        <f t="shared" si="23"/>
        <v>0</v>
      </c>
    </row>
    <row r="37" spans="1:16">
      <c r="A37" s="2015">
        <v>182.1</v>
      </c>
      <c r="B37" s="651">
        <v>18210311</v>
      </c>
      <c r="C37" s="627"/>
      <c r="D37" s="652" t="s">
        <v>962</v>
      </c>
      <c r="E37" s="646"/>
      <c r="F37" s="647" t="s">
        <v>390</v>
      </c>
      <c r="G37" s="2006">
        <v>0</v>
      </c>
      <c r="H37" s="2006">
        <v>0</v>
      </c>
      <c r="I37" s="630">
        <f t="shared" si="17"/>
        <v>0</v>
      </c>
      <c r="J37" s="630">
        <f t="shared" si="18"/>
        <v>0</v>
      </c>
      <c r="K37" s="630">
        <f t="shared" si="19"/>
        <v>0</v>
      </c>
      <c r="L37" s="631">
        <f t="shared" si="20"/>
        <v>0</v>
      </c>
      <c r="M37" s="631">
        <f t="shared" si="21"/>
        <v>0</v>
      </c>
      <c r="N37" s="631">
        <f t="shared" si="22"/>
        <v>0</v>
      </c>
      <c r="O37" s="660">
        <f t="shared" si="23"/>
        <v>0</v>
      </c>
    </row>
    <row r="38" spans="1:16">
      <c r="A38" s="2015">
        <v>182.1</v>
      </c>
      <c r="B38" s="651">
        <v>18210321</v>
      </c>
      <c r="C38" s="627"/>
      <c r="D38" s="652" t="s">
        <v>963</v>
      </c>
      <c r="E38" s="646"/>
      <c r="F38" s="647" t="s">
        <v>390</v>
      </c>
      <c r="G38" s="2006">
        <v>0</v>
      </c>
      <c r="H38" s="2006">
        <v>0</v>
      </c>
      <c r="I38" s="630">
        <f t="shared" si="17"/>
        <v>0</v>
      </c>
      <c r="J38" s="630">
        <f t="shared" si="18"/>
        <v>0</v>
      </c>
      <c r="K38" s="630">
        <f t="shared" si="19"/>
        <v>0</v>
      </c>
      <c r="L38" s="631">
        <f t="shared" si="20"/>
        <v>0</v>
      </c>
      <c r="M38" s="631">
        <f t="shared" si="21"/>
        <v>0</v>
      </c>
      <c r="N38" s="631">
        <f t="shared" si="22"/>
        <v>0</v>
      </c>
      <c r="O38" s="660">
        <f t="shared" si="23"/>
        <v>0</v>
      </c>
    </row>
    <row r="39" spans="1:16">
      <c r="A39" s="2015">
        <v>182.1</v>
      </c>
      <c r="B39" s="651">
        <v>18210331</v>
      </c>
      <c r="C39" s="627"/>
      <c r="D39" s="627" t="s">
        <v>964</v>
      </c>
      <c r="E39" s="646"/>
      <c r="F39" s="647" t="s">
        <v>390</v>
      </c>
      <c r="G39" s="2006">
        <v>0</v>
      </c>
      <c r="H39" s="2006">
        <v>12707858.34</v>
      </c>
      <c r="I39" s="630">
        <f t="shared" si="17"/>
        <v>0</v>
      </c>
      <c r="J39" s="630">
        <f t="shared" si="18"/>
        <v>0</v>
      </c>
      <c r="K39" s="630">
        <f t="shared" si="19"/>
        <v>0</v>
      </c>
      <c r="L39" s="631">
        <f t="shared" si="20"/>
        <v>0</v>
      </c>
      <c r="M39" s="631">
        <f t="shared" si="21"/>
        <v>0</v>
      </c>
      <c r="N39" s="631">
        <f t="shared" si="22"/>
        <v>0</v>
      </c>
      <c r="O39" s="660">
        <f t="shared" si="23"/>
        <v>0</v>
      </c>
    </row>
    <row r="40" spans="1:16">
      <c r="A40" s="2015">
        <v>182.1</v>
      </c>
      <c r="B40" s="651">
        <v>18210341</v>
      </c>
      <c r="C40" s="627"/>
      <c r="D40" s="627" t="s">
        <v>965</v>
      </c>
      <c r="E40" s="646"/>
      <c r="F40" s="647" t="s">
        <v>390</v>
      </c>
      <c r="G40" s="2006">
        <v>0</v>
      </c>
      <c r="H40" s="2006">
        <v>147516.95000000001</v>
      </c>
      <c r="I40" s="630">
        <f t="shared" si="17"/>
        <v>0</v>
      </c>
      <c r="J40" s="630">
        <f t="shared" si="18"/>
        <v>0</v>
      </c>
      <c r="K40" s="630">
        <f t="shared" si="19"/>
        <v>0</v>
      </c>
      <c r="L40" s="631">
        <f t="shared" si="20"/>
        <v>0</v>
      </c>
      <c r="M40" s="631">
        <f t="shared" si="21"/>
        <v>0</v>
      </c>
      <c r="N40" s="631">
        <f t="shared" si="22"/>
        <v>0</v>
      </c>
      <c r="O40" s="660">
        <f t="shared" si="23"/>
        <v>0</v>
      </c>
    </row>
    <row r="41" spans="1:16">
      <c r="A41" s="2015">
        <v>182.1</v>
      </c>
      <c r="B41" s="651">
        <v>18210351</v>
      </c>
      <c r="C41" s="627"/>
      <c r="D41" s="627" t="s">
        <v>966</v>
      </c>
      <c r="E41" s="646"/>
      <c r="F41" s="647" t="s">
        <v>390</v>
      </c>
      <c r="G41" s="2006">
        <v>3256212.77</v>
      </c>
      <c r="H41" s="2006">
        <v>12247269.48</v>
      </c>
      <c r="I41" s="630">
        <f t="shared" si="17"/>
        <v>0</v>
      </c>
      <c r="J41" s="630">
        <f t="shared" si="18"/>
        <v>0</v>
      </c>
      <c r="K41" s="630">
        <f t="shared" si="19"/>
        <v>3256212.77</v>
      </c>
      <c r="L41" s="631">
        <f t="shared" si="20"/>
        <v>0</v>
      </c>
      <c r="M41" s="631">
        <f t="shared" si="21"/>
        <v>0</v>
      </c>
      <c r="N41" s="631">
        <f t="shared" si="22"/>
        <v>3256212.77</v>
      </c>
      <c r="O41" s="660">
        <f t="shared" si="23"/>
        <v>0</v>
      </c>
    </row>
    <row r="42" spans="1:16">
      <c r="A42" s="2015">
        <v>182.1</v>
      </c>
      <c r="B42" s="2067">
        <v>18210361</v>
      </c>
      <c r="C42" s="634"/>
      <c r="D42" s="634" t="s">
        <v>967</v>
      </c>
      <c r="E42" s="2066"/>
      <c r="F42" s="671" t="s">
        <v>390</v>
      </c>
      <c r="G42" s="2065">
        <v>28513472.699999999</v>
      </c>
      <c r="H42" s="2065">
        <v>28513472.699999999</v>
      </c>
      <c r="I42" s="630">
        <f t="shared" si="17"/>
        <v>0</v>
      </c>
      <c r="J42" s="630">
        <f t="shared" si="18"/>
        <v>0</v>
      </c>
      <c r="K42" s="630">
        <f t="shared" si="19"/>
        <v>28513472.699999999</v>
      </c>
      <c r="L42" s="631">
        <f t="shared" si="20"/>
        <v>0</v>
      </c>
      <c r="M42" s="631">
        <f t="shared" si="21"/>
        <v>0</v>
      </c>
      <c r="N42" s="631">
        <f t="shared" si="22"/>
        <v>28513472.699999999</v>
      </c>
      <c r="O42" s="660">
        <f t="shared" si="23"/>
        <v>0</v>
      </c>
    </row>
    <row r="43" spans="1:16">
      <c r="A43" s="2015">
        <v>182.1</v>
      </c>
      <c r="B43" s="2064">
        <v>18210371</v>
      </c>
      <c r="C43" s="675" t="s">
        <v>968</v>
      </c>
      <c r="D43" s="675" t="s">
        <v>969</v>
      </c>
      <c r="E43" s="675" t="s">
        <v>968</v>
      </c>
      <c r="F43" s="2007" t="s">
        <v>390</v>
      </c>
      <c r="G43" s="2006">
        <v>0</v>
      </c>
      <c r="H43" s="2006">
        <v>11400536.98</v>
      </c>
      <c r="I43" s="630">
        <f t="shared" si="17"/>
        <v>0</v>
      </c>
      <c r="J43" s="630">
        <f t="shared" si="18"/>
        <v>0</v>
      </c>
      <c r="K43" s="630">
        <f t="shared" si="19"/>
        <v>0</v>
      </c>
      <c r="L43" s="631">
        <f t="shared" si="20"/>
        <v>0</v>
      </c>
      <c r="M43" s="631">
        <f t="shared" si="21"/>
        <v>0</v>
      </c>
      <c r="N43" s="631">
        <f t="shared" si="22"/>
        <v>0</v>
      </c>
      <c r="O43" s="660">
        <f t="shared" si="23"/>
        <v>0</v>
      </c>
      <c r="P43" s="2005" t="s">
        <v>970</v>
      </c>
    </row>
    <row r="44" spans="1:16" s="625" customFormat="1">
      <c r="A44" s="2015">
        <v>182.1</v>
      </c>
      <c r="B44" s="2064">
        <v>18210381</v>
      </c>
      <c r="C44" s="675"/>
      <c r="D44" s="675" t="s">
        <v>971</v>
      </c>
      <c r="E44" s="675"/>
      <c r="F44" s="2007" t="s">
        <v>390</v>
      </c>
      <c r="G44" s="2006">
        <v>37529267.009999998</v>
      </c>
      <c r="H44" s="2006">
        <v>41076805.390000001</v>
      </c>
      <c r="I44" s="630">
        <f t="shared" si="17"/>
        <v>0</v>
      </c>
      <c r="J44" s="630">
        <f t="shared" si="18"/>
        <v>0</v>
      </c>
      <c r="K44" s="630">
        <f t="shared" si="19"/>
        <v>37529267.009999998</v>
      </c>
      <c r="L44" s="631">
        <f t="shared" si="20"/>
        <v>0</v>
      </c>
      <c r="M44" s="631">
        <f t="shared" si="21"/>
        <v>0</v>
      </c>
      <c r="N44" s="631">
        <f t="shared" si="22"/>
        <v>37529267.009999998</v>
      </c>
      <c r="O44" s="660">
        <f t="shared" si="23"/>
        <v>0</v>
      </c>
      <c r="P44" s="2005" t="s">
        <v>970</v>
      </c>
    </row>
    <row r="45" spans="1:16" s="625" customFormat="1">
      <c r="A45" s="2030">
        <v>182.1</v>
      </c>
      <c r="B45" s="2063">
        <v>18210391</v>
      </c>
      <c r="C45" s="2007"/>
      <c r="D45" s="2017" t="s">
        <v>972</v>
      </c>
      <c r="E45" s="2062"/>
      <c r="F45" s="2017" t="s">
        <v>390</v>
      </c>
      <c r="G45" s="2028">
        <v>23572148.02</v>
      </c>
      <c r="H45" s="2028">
        <v>21430715.75</v>
      </c>
      <c r="I45" s="673">
        <f t="shared" si="17"/>
        <v>0</v>
      </c>
      <c r="J45" s="673">
        <f t="shared" si="18"/>
        <v>0</v>
      </c>
      <c r="K45" s="673">
        <f t="shared" si="19"/>
        <v>23572148.02</v>
      </c>
      <c r="L45" s="674">
        <f t="shared" si="20"/>
        <v>0</v>
      </c>
      <c r="M45" s="674">
        <f t="shared" si="21"/>
        <v>0</v>
      </c>
      <c r="N45" s="674">
        <f t="shared" si="22"/>
        <v>23572148.02</v>
      </c>
      <c r="O45" s="2046">
        <f t="shared" si="23"/>
        <v>0</v>
      </c>
      <c r="P45" s="2047" t="s">
        <v>970</v>
      </c>
    </row>
    <row r="46" spans="1:16" s="625" customFormat="1">
      <c r="A46" s="2030">
        <v>182.1</v>
      </c>
      <c r="B46" s="2063">
        <v>18210411</v>
      </c>
      <c r="C46" s="2007"/>
      <c r="D46" s="2017" t="s">
        <v>6687</v>
      </c>
      <c r="E46" s="2062"/>
      <c r="F46" s="2017" t="s">
        <v>390</v>
      </c>
      <c r="G46" s="2028">
        <v>2882709.36</v>
      </c>
      <c r="H46" s="2028">
        <v>0</v>
      </c>
      <c r="I46" s="673">
        <f t="shared" si="17"/>
        <v>0</v>
      </c>
      <c r="J46" s="673">
        <f t="shared" si="18"/>
        <v>0</v>
      </c>
      <c r="K46" s="673">
        <f t="shared" si="19"/>
        <v>2882709.36</v>
      </c>
      <c r="L46" s="674">
        <f t="shared" si="20"/>
        <v>0</v>
      </c>
      <c r="M46" s="674">
        <f t="shared" si="21"/>
        <v>0</v>
      </c>
      <c r="N46" s="674">
        <f t="shared" si="22"/>
        <v>2882709.36</v>
      </c>
      <c r="O46" s="2046">
        <f t="shared" si="23"/>
        <v>0</v>
      </c>
      <c r="P46" s="2047" t="s">
        <v>970</v>
      </c>
    </row>
    <row r="47" spans="1:16">
      <c r="A47" s="638" t="s">
        <v>974</v>
      </c>
      <c r="B47" s="639"/>
      <c r="C47" s="640"/>
      <c r="D47" s="641"/>
      <c r="E47" s="642"/>
      <c r="F47" s="642"/>
      <c r="G47" s="643">
        <f t="shared" ref="G47:N47" si="24">SUM(G28:G46)</f>
        <v>95753809.859999985</v>
      </c>
      <c r="H47" s="643">
        <f t="shared" si="24"/>
        <v>127524175.59</v>
      </c>
      <c r="I47" s="2280">
        <f t="shared" si="24"/>
        <v>0</v>
      </c>
      <c r="J47" s="2280">
        <f t="shared" si="24"/>
        <v>0</v>
      </c>
      <c r="K47" s="2280">
        <f t="shared" si="24"/>
        <v>95753809.859999985</v>
      </c>
      <c r="L47" s="644">
        <f t="shared" si="24"/>
        <v>0</v>
      </c>
      <c r="M47" s="644">
        <f t="shared" si="24"/>
        <v>0</v>
      </c>
      <c r="N47" s="644">
        <f t="shared" si="24"/>
        <v>95753809.859999985</v>
      </c>
      <c r="O47" s="660">
        <f t="shared" si="23"/>
        <v>0</v>
      </c>
    </row>
    <row r="48" spans="1:16" ht="10.15" customHeight="1">
      <c r="A48" s="662"/>
      <c r="B48" s="663"/>
      <c r="C48" s="664"/>
      <c r="D48" s="665"/>
      <c r="E48" s="3929" t="s">
        <v>952</v>
      </c>
      <c r="F48" s="3930"/>
      <c r="G48" s="681">
        <f>'FERC p110-111 Assets'!D83-G47</f>
        <v>0.14000001549720764</v>
      </c>
      <c r="H48" s="681">
        <f>'FERC p110-111 Assets'!E83-H47</f>
        <v>0.40999999642372131</v>
      </c>
      <c r="I48" s="666"/>
      <c r="J48" s="666"/>
      <c r="K48" s="666"/>
      <c r="L48" s="666"/>
      <c r="M48" s="666"/>
      <c r="N48" s="666"/>
      <c r="O48" s="660"/>
    </row>
    <row r="49" spans="1:16">
      <c r="A49" s="596">
        <v>182.2</v>
      </c>
      <c r="B49" s="645">
        <v>18220011</v>
      </c>
      <c r="C49" s="627"/>
      <c r="D49" s="627" t="s">
        <v>975</v>
      </c>
      <c r="E49" s="646"/>
      <c r="F49" s="647" t="s">
        <v>392</v>
      </c>
      <c r="G49" s="2006">
        <v>0</v>
      </c>
      <c r="H49" s="2006">
        <v>0</v>
      </c>
      <c r="I49" s="630">
        <f t="shared" ref="I49:I57" si="25">IF(RIGHT($B49,1)="1", $G49*VLOOKUP($F49, Ratio, 2, FALSE), IF(RIGHT($B49,1)="3", $G49*VLOOKUP($F49, Ratio, 2, FALSE)*$F$5, 0))</f>
        <v>0</v>
      </c>
      <c r="J49" s="630">
        <f t="shared" ref="J49:J57" si="26">IF(RIGHT($B49,1)="1", $G49*VLOOKUP($F49, Ratio, 3, FALSE), IF(RIGHT($B49,1)="3", $G49*VLOOKUP($F49, Ratio, 3, FALSE)*$F$5, 0))</f>
        <v>0</v>
      </c>
      <c r="K49" s="630">
        <f t="shared" ref="K49:K57" si="27">IF(RIGHT($B49,1)="1", $G49*VLOOKUP($F49, Ratio, 4, FALSE), IF(RIGHT($B49,1)="3", $G49*VLOOKUP($F49, Ratio, 4, FALSE)*$F$5, 0))</f>
        <v>0</v>
      </c>
      <c r="L49" s="631">
        <f t="shared" ref="L49:L57" si="28">IF(F49="GAS", G49, 0)</f>
        <v>0</v>
      </c>
      <c r="M49" s="631">
        <f t="shared" ref="M49:M57" si="29">IF(RIGHT(B49,1)="3",G49*$G$5,0)</f>
        <v>0</v>
      </c>
      <c r="N49" s="631">
        <f t="shared" ref="N49:N57" si="30">SUM(I49:M49)</f>
        <v>0</v>
      </c>
      <c r="O49" s="660">
        <f t="shared" ref="O49:O58" si="31">G49-N49</f>
        <v>0</v>
      </c>
    </row>
    <row r="50" spans="1:16">
      <c r="A50" s="596">
        <v>182.2</v>
      </c>
      <c r="B50" s="645">
        <v>18220021</v>
      </c>
      <c r="C50" s="627"/>
      <c r="D50" s="627" t="s">
        <v>976</v>
      </c>
      <c r="E50" s="646"/>
      <c r="F50" s="647" t="s">
        <v>392</v>
      </c>
      <c r="G50" s="2006">
        <v>0</v>
      </c>
      <c r="H50" s="2006">
        <v>0</v>
      </c>
      <c r="I50" s="630">
        <f t="shared" si="25"/>
        <v>0</v>
      </c>
      <c r="J50" s="630">
        <f t="shared" si="26"/>
        <v>0</v>
      </c>
      <c r="K50" s="630">
        <f t="shared" si="27"/>
        <v>0</v>
      </c>
      <c r="L50" s="631">
        <f t="shared" si="28"/>
        <v>0</v>
      </c>
      <c r="M50" s="631">
        <f t="shared" si="29"/>
        <v>0</v>
      </c>
      <c r="N50" s="631">
        <f t="shared" si="30"/>
        <v>0</v>
      </c>
      <c r="O50" s="660">
        <f t="shared" si="31"/>
        <v>0</v>
      </c>
    </row>
    <row r="51" spans="1:16">
      <c r="A51" s="596">
        <v>182.2</v>
      </c>
      <c r="B51" s="645">
        <v>18220031</v>
      </c>
      <c r="C51" s="627"/>
      <c r="D51" s="627" t="s">
        <v>977</v>
      </c>
      <c r="E51" s="646"/>
      <c r="F51" s="647" t="s">
        <v>392</v>
      </c>
      <c r="G51" s="2006">
        <v>0</v>
      </c>
      <c r="H51" s="2006">
        <v>0</v>
      </c>
      <c r="I51" s="630">
        <f t="shared" si="25"/>
        <v>0</v>
      </c>
      <c r="J51" s="630">
        <f t="shared" si="26"/>
        <v>0</v>
      </c>
      <c r="K51" s="630">
        <f t="shared" si="27"/>
        <v>0</v>
      </c>
      <c r="L51" s="631">
        <f t="shared" si="28"/>
        <v>0</v>
      </c>
      <c r="M51" s="631">
        <f t="shared" si="29"/>
        <v>0</v>
      </c>
      <c r="N51" s="631">
        <f t="shared" si="30"/>
        <v>0</v>
      </c>
      <c r="O51" s="660">
        <f t="shared" si="31"/>
        <v>0</v>
      </c>
    </row>
    <row r="52" spans="1:16">
      <c r="A52" s="596">
        <v>182.2</v>
      </c>
      <c r="B52" s="645">
        <v>18220041</v>
      </c>
      <c r="C52" s="627"/>
      <c r="D52" s="627" t="s">
        <v>978</v>
      </c>
      <c r="E52" s="646"/>
      <c r="F52" s="647" t="s">
        <v>392</v>
      </c>
      <c r="G52" s="2006">
        <v>0</v>
      </c>
      <c r="H52" s="2006">
        <v>0</v>
      </c>
      <c r="I52" s="630">
        <f t="shared" si="25"/>
        <v>0</v>
      </c>
      <c r="J52" s="630">
        <f t="shared" si="26"/>
        <v>0</v>
      </c>
      <c r="K52" s="630">
        <f t="shared" si="27"/>
        <v>0</v>
      </c>
      <c r="L52" s="631">
        <f t="shared" si="28"/>
        <v>0</v>
      </c>
      <c r="M52" s="631">
        <f t="shared" si="29"/>
        <v>0</v>
      </c>
      <c r="N52" s="631">
        <f t="shared" si="30"/>
        <v>0</v>
      </c>
      <c r="O52" s="660">
        <f t="shared" si="31"/>
        <v>0</v>
      </c>
    </row>
    <row r="53" spans="1:16">
      <c r="A53" s="596">
        <v>182.2</v>
      </c>
      <c r="B53" s="627">
        <v>18220061</v>
      </c>
      <c r="C53" s="627"/>
      <c r="D53" s="675" t="s">
        <v>979</v>
      </c>
      <c r="E53" s="646"/>
      <c r="F53" s="647" t="s">
        <v>392</v>
      </c>
      <c r="G53" s="2006">
        <v>0</v>
      </c>
      <c r="H53" s="2006">
        <v>0</v>
      </c>
      <c r="I53" s="630">
        <f t="shared" si="25"/>
        <v>0</v>
      </c>
      <c r="J53" s="630">
        <f t="shared" si="26"/>
        <v>0</v>
      </c>
      <c r="K53" s="630">
        <f t="shared" si="27"/>
        <v>0</v>
      </c>
      <c r="L53" s="631">
        <f t="shared" si="28"/>
        <v>0</v>
      </c>
      <c r="M53" s="631">
        <f t="shared" si="29"/>
        <v>0</v>
      </c>
      <c r="N53" s="631">
        <f t="shared" si="30"/>
        <v>0</v>
      </c>
      <c r="O53" s="660">
        <f t="shared" si="31"/>
        <v>0</v>
      </c>
    </row>
    <row r="54" spans="1:16">
      <c r="A54" s="596">
        <v>182.2</v>
      </c>
      <c r="B54" s="651">
        <v>18220091</v>
      </c>
      <c r="C54" s="627"/>
      <c r="D54" s="652" t="s">
        <v>980</v>
      </c>
      <c r="E54" s="646"/>
      <c r="F54" s="647" t="s">
        <v>392</v>
      </c>
      <c r="G54" s="2006">
        <v>0</v>
      </c>
      <c r="H54" s="2006">
        <v>0</v>
      </c>
      <c r="I54" s="630">
        <f t="shared" si="25"/>
        <v>0</v>
      </c>
      <c r="J54" s="630">
        <f t="shared" si="26"/>
        <v>0</v>
      </c>
      <c r="K54" s="630">
        <f t="shared" si="27"/>
        <v>0</v>
      </c>
      <c r="L54" s="631">
        <f t="shared" si="28"/>
        <v>0</v>
      </c>
      <c r="M54" s="631">
        <f t="shared" si="29"/>
        <v>0</v>
      </c>
      <c r="N54" s="631">
        <f t="shared" si="30"/>
        <v>0</v>
      </c>
      <c r="O54" s="660">
        <f t="shared" si="31"/>
        <v>0</v>
      </c>
    </row>
    <row r="55" spans="1:16">
      <c r="A55" s="596">
        <v>182.2</v>
      </c>
      <c r="B55" s="651">
        <v>18220101</v>
      </c>
      <c r="C55" s="627"/>
      <c r="D55" s="652" t="s">
        <v>981</v>
      </c>
      <c r="E55" s="646"/>
      <c r="F55" s="647" t="s">
        <v>392</v>
      </c>
      <c r="G55" s="2006">
        <v>0</v>
      </c>
      <c r="H55" s="2006">
        <v>0</v>
      </c>
      <c r="I55" s="630">
        <f t="shared" si="25"/>
        <v>0</v>
      </c>
      <c r="J55" s="630">
        <f t="shared" si="26"/>
        <v>0</v>
      </c>
      <c r="K55" s="630">
        <f t="shared" si="27"/>
        <v>0</v>
      </c>
      <c r="L55" s="631">
        <f t="shared" si="28"/>
        <v>0</v>
      </c>
      <c r="M55" s="631">
        <f t="shared" si="29"/>
        <v>0</v>
      </c>
      <c r="N55" s="631">
        <f t="shared" si="30"/>
        <v>0</v>
      </c>
      <c r="O55" s="660">
        <f t="shared" si="31"/>
        <v>0</v>
      </c>
    </row>
    <row r="56" spans="1:16">
      <c r="A56" s="596">
        <v>182.2</v>
      </c>
      <c r="B56" s="651">
        <v>18220111</v>
      </c>
      <c r="C56" s="627"/>
      <c r="D56" s="652" t="s">
        <v>982</v>
      </c>
      <c r="E56" s="646"/>
      <c r="F56" s="647" t="s">
        <v>392</v>
      </c>
      <c r="G56" s="2006">
        <v>110972218.59999999</v>
      </c>
      <c r="H56" s="2006">
        <v>110972218.59999999</v>
      </c>
      <c r="I56" s="630">
        <f t="shared" si="25"/>
        <v>110972218.59999999</v>
      </c>
      <c r="J56" s="630">
        <f t="shared" si="26"/>
        <v>0</v>
      </c>
      <c r="K56" s="630">
        <f t="shared" si="27"/>
        <v>0</v>
      </c>
      <c r="L56" s="631">
        <f t="shared" si="28"/>
        <v>0</v>
      </c>
      <c r="M56" s="631">
        <f t="shared" si="29"/>
        <v>0</v>
      </c>
      <c r="N56" s="631">
        <f t="shared" si="30"/>
        <v>110972218.59999999</v>
      </c>
      <c r="O56" s="660">
        <f t="shared" si="31"/>
        <v>0</v>
      </c>
      <c r="P56" s="2005" t="s">
        <v>983</v>
      </c>
    </row>
    <row r="57" spans="1:16">
      <c r="A57" s="596">
        <v>182.2</v>
      </c>
      <c r="B57" s="651">
        <v>18220121</v>
      </c>
      <c r="C57" s="627"/>
      <c r="D57" s="652" t="s">
        <v>984</v>
      </c>
      <c r="E57" s="646"/>
      <c r="F57" s="647" t="s">
        <v>392</v>
      </c>
      <c r="G57" s="2006">
        <v>-110972218.59999999</v>
      </c>
      <c r="H57" s="2006">
        <v>-110972218.59999999</v>
      </c>
      <c r="I57" s="630">
        <f t="shared" si="25"/>
        <v>-110972218.59999999</v>
      </c>
      <c r="J57" s="630">
        <f t="shared" si="26"/>
        <v>0</v>
      </c>
      <c r="K57" s="630">
        <f t="shared" si="27"/>
        <v>0</v>
      </c>
      <c r="L57" s="631">
        <f t="shared" si="28"/>
        <v>0</v>
      </c>
      <c r="M57" s="631">
        <f t="shared" si="29"/>
        <v>0</v>
      </c>
      <c r="N57" s="631">
        <f t="shared" si="30"/>
        <v>-110972218.59999999</v>
      </c>
      <c r="O57" s="660">
        <f t="shared" si="31"/>
        <v>0</v>
      </c>
      <c r="P57" s="2005" t="s">
        <v>985</v>
      </c>
    </row>
    <row r="58" spans="1:16">
      <c r="A58" s="638" t="s">
        <v>986</v>
      </c>
      <c r="B58" s="639"/>
      <c r="C58" s="640"/>
      <c r="D58" s="641"/>
      <c r="E58" s="642"/>
      <c r="F58" s="642"/>
      <c r="G58" s="643">
        <f t="shared" ref="G58:N58" si="32">SUM(G49:G57)</f>
        <v>0</v>
      </c>
      <c r="H58" s="643">
        <f t="shared" si="32"/>
        <v>0</v>
      </c>
      <c r="I58" s="2280">
        <f t="shared" si="32"/>
        <v>0</v>
      </c>
      <c r="J58" s="2280">
        <f t="shared" si="32"/>
        <v>0</v>
      </c>
      <c r="K58" s="2280">
        <f t="shared" si="32"/>
        <v>0</v>
      </c>
      <c r="L58" s="644">
        <f t="shared" si="32"/>
        <v>0</v>
      </c>
      <c r="M58" s="644">
        <f t="shared" si="32"/>
        <v>0</v>
      </c>
      <c r="N58" s="644">
        <f t="shared" si="32"/>
        <v>0</v>
      </c>
      <c r="O58" s="660">
        <f t="shared" si="31"/>
        <v>0</v>
      </c>
    </row>
    <row r="59" spans="1:16" ht="10.15" customHeight="1">
      <c r="A59" s="662"/>
      <c r="B59" s="663"/>
      <c r="C59" s="664"/>
      <c r="D59" s="665"/>
      <c r="E59" s="3929" t="s">
        <v>952</v>
      </c>
      <c r="F59" s="3930"/>
      <c r="G59" s="681">
        <f>'FERC p110-111 Assets'!D84-G58</f>
        <v>0</v>
      </c>
      <c r="H59" s="681">
        <f>'FERC p110-111 Assets'!E84-H58</f>
        <v>0</v>
      </c>
      <c r="I59" s="666"/>
      <c r="J59" s="666"/>
      <c r="K59" s="666"/>
      <c r="L59" s="666"/>
      <c r="M59" s="666"/>
      <c r="N59" s="666"/>
      <c r="O59" s="660"/>
    </row>
    <row r="60" spans="1:16">
      <c r="A60" s="2015">
        <v>182.3</v>
      </c>
      <c r="B60" s="675">
        <v>18230002</v>
      </c>
      <c r="C60" s="675"/>
      <c r="D60" s="652" t="s">
        <v>987</v>
      </c>
      <c r="E60" s="675" t="s">
        <v>968</v>
      </c>
      <c r="F60" s="2007" t="s">
        <v>988</v>
      </c>
      <c r="G60" s="2006">
        <v>0</v>
      </c>
      <c r="H60" s="2006">
        <v>0</v>
      </c>
      <c r="I60" s="630">
        <f t="shared" ref="I60:I123" si="33">IF(RIGHT($B60,1)="1", $G60*VLOOKUP($F60, Ratio, 2, FALSE), IF(RIGHT($B60,1)="3", $G60*VLOOKUP($F60, Ratio, 2, FALSE)*$F$5, 0))</f>
        <v>0</v>
      </c>
      <c r="J60" s="630">
        <f t="shared" ref="J60:J123" si="34">IF(RIGHT($B60,1)="1", $G60*VLOOKUP($F60, Ratio, 3, FALSE), IF(RIGHT($B60,1)="3", $G60*VLOOKUP($F60, Ratio, 3, FALSE)*$F$5, 0))</f>
        <v>0</v>
      </c>
      <c r="K60" s="630">
        <f t="shared" ref="K60:K123" si="35">IF(RIGHT($B60,1)="1", $G60*VLOOKUP($F60, Ratio, 4, FALSE), IF(RIGHT($B60,1)="3", $G60*VLOOKUP($F60, Ratio, 4, FALSE)*$F$5, 0))</f>
        <v>0</v>
      </c>
      <c r="L60" s="631">
        <f t="shared" ref="L60:L123" si="36">IF(F60="GAS", G60, 0)</f>
        <v>0</v>
      </c>
      <c r="M60" s="631">
        <f t="shared" ref="M60:M123" si="37">IF(RIGHT(B60,1)="3",G60*$G$5,0)</f>
        <v>0</v>
      </c>
      <c r="N60" s="631">
        <f t="shared" ref="N60:N123" si="38">SUM(I60:M60)</f>
        <v>0</v>
      </c>
      <c r="O60" s="660">
        <f t="shared" ref="O60:O123" si="39">G60-N60</f>
        <v>0</v>
      </c>
    </row>
    <row r="61" spans="1:16">
      <c r="A61" s="2015">
        <v>182.3</v>
      </c>
      <c r="B61" s="675">
        <v>18230021</v>
      </c>
      <c r="C61" s="675"/>
      <c r="D61" s="652" t="s">
        <v>989</v>
      </c>
      <c r="E61" s="675" t="s">
        <v>968</v>
      </c>
      <c r="F61" s="2007" t="s">
        <v>390</v>
      </c>
      <c r="G61" s="2006">
        <v>120692424.20999999</v>
      </c>
      <c r="H61" s="2006">
        <v>99157280.909999996</v>
      </c>
      <c r="I61" s="630">
        <f t="shared" si="33"/>
        <v>0</v>
      </c>
      <c r="J61" s="630">
        <f t="shared" si="34"/>
        <v>0</v>
      </c>
      <c r="K61" s="630">
        <f t="shared" si="35"/>
        <v>120692424.20999999</v>
      </c>
      <c r="L61" s="631">
        <f t="shared" si="36"/>
        <v>0</v>
      </c>
      <c r="M61" s="631">
        <f t="shared" si="37"/>
        <v>0</v>
      </c>
      <c r="N61" s="631">
        <f t="shared" si="38"/>
        <v>120692424.20999999</v>
      </c>
      <c r="O61" s="660">
        <f t="shared" si="39"/>
        <v>0</v>
      </c>
    </row>
    <row r="62" spans="1:16">
      <c r="A62" s="2015">
        <v>182.3</v>
      </c>
      <c r="B62" s="675">
        <v>18230031</v>
      </c>
      <c r="C62" s="675"/>
      <c r="D62" s="652" t="s">
        <v>990</v>
      </c>
      <c r="E62" s="675" t="s">
        <v>968</v>
      </c>
      <c r="F62" s="2007" t="s">
        <v>390</v>
      </c>
      <c r="G62" s="2006">
        <v>58648325.299999997</v>
      </c>
      <c r="H62" s="2006">
        <v>61463088.799999997</v>
      </c>
      <c r="I62" s="630">
        <f t="shared" si="33"/>
        <v>0</v>
      </c>
      <c r="J62" s="630">
        <f t="shared" si="34"/>
        <v>0</v>
      </c>
      <c r="K62" s="630">
        <f t="shared" si="35"/>
        <v>58648325.299999997</v>
      </c>
      <c r="L62" s="631">
        <f t="shared" si="36"/>
        <v>0</v>
      </c>
      <c r="M62" s="631">
        <f t="shared" si="37"/>
        <v>0</v>
      </c>
      <c r="N62" s="631">
        <f t="shared" si="38"/>
        <v>58648325.299999997</v>
      </c>
      <c r="O62" s="660">
        <f t="shared" si="39"/>
        <v>0</v>
      </c>
    </row>
    <row r="63" spans="1:16">
      <c r="A63" s="2015">
        <v>182.3</v>
      </c>
      <c r="B63" s="675">
        <v>18230032</v>
      </c>
      <c r="C63" s="675"/>
      <c r="D63" s="652" t="s">
        <v>991</v>
      </c>
      <c r="E63" s="675" t="s">
        <v>968</v>
      </c>
      <c r="F63" s="2007" t="s">
        <v>988</v>
      </c>
      <c r="G63" s="2006">
        <v>27911479.359999999</v>
      </c>
      <c r="H63" s="2006">
        <v>24507227.18</v>
      </c>
      <c r="I63" s="630">
        <f t="shared" si="33"/>
        <v>0</v>
      </c>
      <c r="J63" s="630">
        <f t="shared" si="34"/>
        <v>0</v>
      </c>
      <c r="K63" s="630">
        <f t="shared" si="35"/>
        <v>0</v>
      </c>
      <c r="L63" s="631">
        <f t="shared" si="36"/>
        <v>27911479.359999999</v>
      </c>
      <c r="M63" s="631">
        <f t="shared" si="37"/>
        <v>0</v>
      </c>
      <c r="N63" s="631">
        <f t="shared" si="38"/>
        <v>27911479.359999999</v>
      </c>
      <c r="O63" s="660">
        <f t="shared" si="39"/>
        <v>0</v>
      </c>
    </row>
    <row r="64" spans="1:16">
      <c r="A64" s="2015">
        <v>182.3</v>
      </c>
      <c r="B64" s="675">
        <v>18230041</v>
      </c>
      <c r="C64" s="675"/>
      <c r="D64" s="652" t="s">
        <v>992</v>
      </c>
      <c r="E64" s="675" t="s">
        <v>968</v>
      </c>
      <c r="F64" s="2007" t="s">
        <v>392</v>
      </c>
      <c r="G64" s="2006">
        <v>21589277</v>
      </c>
      <c r="H64" s="2006">
        <v>21589277</v>
      </c>
      <c r="I64" s="630">
        <f t="shared" si="33"/>
        <v>21589277</v>
      </c>
      <c r="J64" s="630">
        <f t="shared" si="34"/>
        <v>0</v>
      </c>
      <c r="K64" s="630">
        <f t="shared" si="35"/>
        <v>0</v>
      </c>
      <c r="L64" s="631">
        <f t="shared" si="36"/>
        <v>0</v>
      </c>
      <c r="M64" s="631">
        <f t="shared" si="37"/>
        <v>0</v>
      </c>
      <c r="N64" s="631">
        <f t="shared" si="38"/>
        <v>21589277</v>
      </c>
      <c r="O64" s="660">
        <f t="shared" si="39"/>
        <v>0</v>
      </c>
    </row>
    <row r="65" spans="1:15">
      <c r="A65" s="2015">
        <v>182.3</v>
      </c>
      <c r="B65" s="675">
        <v>18230042</v>
      </c>
      <c r="C65" s="675"/>
      <c r="D65" s="652" t="s">
        <v>993</v>
      </c>
      <c r="E65" s="675" t="s">
        <v>968</v>
      </c>
      <c r="F65" s="2007" t="s">
        <v>988</v>
      </c>
      <c r="G65" s="2006">
        <v>-14803817.310000001</v>
      </c>
      <c r="H65" s="2006">
        <v>-15912285.34</v>
      </c>
      <c r="I65" s="630">
        <f t="shared" si="33"/>
        <v>0</v>
      </c>
      <c r="J65" s="630">
        <f t="shared" si="34"/>
        <v>0</v>
      </c>
      <c r="K65" s="630">
        <f t="shared" si="35"/>
        <v>0</v>
      </c>
      <c r="L65" s="631">
        <f t="shared" si="36"/>
        <v>-14803817.310000001</v>
      </c>
      <c r="M65" s="631">
        <f t="shared" si="37"/>
        <v>0</v>
      </c>
      <c r="N65" s="631">
        <f t="shared" si="38"/>
        <v>-14803817.310000001</v>
      </c>
      <c r="O65" s="660">
        <f t="shared" si="39"/>
        <v>0</v>
      </c>
    </row>
    <row r="66" spans="1:15">
      <c r="A66" s="2015">
        <v>182.3</v>
      </c>
      <c r="B66" s="675">
        <v>18230051</v>
      </c>
      <c r="C66" s="675"/>
      <c r="D66" s="652" t="s">
        <v>994</v>
      </c>
      <c r="E66" s="675" t="s">
        <v>968</v>
      </c>
      <c r="F66" s="2007" t="s">
        <v>392</v>
      </c>
      <c r="G66" s="2006">
        <v>-21329860.469999999</v>
      </c>
      <c r="H66" s="2006">
        <v>-20753381.789999999</v>
      </c>
      <c r="I66" s="630">
        <f t="shared" si="33"/>
        <v>-21329860.469999999</v>
      </c>
      <c r="J66" s="630">
        <f t="shared" si="34"/>
        <v>0</v>
      </c>
      <c r="K66" s="630">
        <f t="shared" si="35"/>
        <v>0</v>
      </c>
      <c r="L66" s="631">
        <f t="shared" si="36"/>
        <v>0</v>
      </c>
      <c r="M66" s="631">
        <f t="shared" si="37"/>
        <v>0</v>
      </c>
      <c r="N66" s="631">
        <f t="shared" si="38"/>
        <v>-21329860.469999999</v>
      </c>
      <c r="O66" s="660">
        <f t="shared" si="39"/>
        <v>0</v>
      </c>
    </row>
    <row r="67" spans="1:15">
      <c r="A67" s="2015">
        <v>182.3</v>
      </c>
      <c r="B67" s="675">
        <v>18230061</v>
      </c>
      <c r="C67" s="675"/>
      <c r="D67" s="652" t="s">
        <v>995</v>
      </c>
      <c r="E67" s="675" t="s">
        <v>968</v>
      </c>
      <c r="F67" s="2007" t="s">
        <v>392</v>
      </c>
      <c r="G67" s="2006">
        <v>67213</v>
      </c>
      <c r="H67" s="2006">
        <v>206017</v>
      </c>
      <c r="I67" s="630">
        <f t="shared" si="33"/>
        <v>67213</v>
      </c>
      <c r="J67" s="630">
        <f t="shared" si="34"/>
        <v>0</v>
      </c>
      <c r="K67" s="630">
        <f t="shared" si="35"/>
        <v>0</v>
      </c>
      <c r="L67" s="631">
        <f t="shared" si="36"/>
        <v>0</v>
      </c>
      <c r="M67" s="631">
        <f t="shared" si="37"/>
        <v>0</v>
      </c>
      <c r="N67" s="631">
        <f t="shared" si="38"/>
        <v>67213</v>
      </c>
      <c r="O67" s="660">
        <f t="shared" si="39"/>
        <v>0</v>
      </c>
    </row>
    <row r="68" spans="1:15">
      <c r="A68" s="2015">
        <v>182.3</v>
      </c>
      <c r="B68" s="675">
        <v>18230071</v>
      </c>
      <c r="C68" s="675"/>
      <c r="D68" s="652" t="s">
        <v>996</v>
      </c>
      <c r="E68" s="675" t="s">
        <v>968</v>
      </c>
      <c r="F68" s="2007" t="s">
        <v>392</v>
      </c>
      <c r="G68" s="2006">
        <v>0</v>
      </c>
      <c r="H68" s="2006">
        <v>0</v>
      </c>
      <c r="I68" s="630">
        <f t="shared" si="33"/>
        <v>0</v>
      </c>
      <c r="J68" s="630">
        <f t="shared" si="34"/>
        <v>0</v>
      </c>
      <c r="K68" s="630">
        <f t="shared" si="35"/>
        <v>0</v>
      </c>
      <c r="L68" s="631">
        <f t="shared" si="36"/>
        <v>0</v>
      </c>
      <c r="M68" s="631">
        <f t="shared" si="37"/>
        <v>0</v>
      </c>
      <c r="N68" s="631">
        <f t="shared" si="38"/>
        <v>0</v>
      </c>
      <c r="O68" s="660">
        <f t="shared" si="39"/>
        <v>0</v>
      </c>
    </row>
    <row r="69" spans="1:15">
      <c r="A69" s="2015">
        <v>182.3</v>
      </c>
      <c r="B69" s="675">
        <v>18230081</v>
      </c>
      <c r="C69" s="675"/>
      <c r="D69" s="652" t="s">
        <v>997</v>
      </c>
      <c r="E69" s="675" t="s">
        <v>968</v>
      </c>
      <c r="F69" s="2007" t="s">
        <v>392</v>
      </c>
      <c r="G69" s="2006">
        <v>0</v>
      </c>
      <c r="H69" s="2006">
        <v>0</v>
      </c>
      <c r="I69" s="630">
        <f t="shared" si="33"/>
        <v>0</v>
      </c>
      <c r="J69" s="630">
        <f t="shared" si="34"/>
        <v>0</v>
      </c>
      <c r="K69" s="630">
        <f t="shared" si="35"/>
        <v>0</v>
      </c>
      <c r="L69" s="631">
        <f t="shared" si="36"/>
        <v>0</v>
      </c>
      <c r="M69" s="631">
        <f t="shared" si="37"/>
        <v>0</v>
      </c>
      <c r="N69" s="631">
        <f t="shared" si="38"/>
        <v>0</v>
      </c>
      <c r="O69" s="660">
        <f t="shared" si="39"/>
        <v>0</v>
      </c>
    </row>
    <row r="70" spans="1:15">
      <c r="A70" s="2015">
        <v>182.3</v>
      </c>
      <c r="B70" s="675">
        <v>18230131</v>
      </c>
      <c r="C70" s="675"/>
      <c r="D70" s="652" t="s">
        <v>998</v>
      </c>
      <c r="E70" s="675" t="s">
        <v>968</v>
      </c>
      <c r="F70" s="2007" t="s">
        <v>390</v>
      </c>
      <c r="G70" s="2006">
        <v>0</v>
      </c>
      <c r="H70" s="2006">
        <v>0</v>
      </c>
      <c r="I70" s="630">
        <f t="shared" si="33"/>
        <v>0</v>
      </c>
      <c r="J70" s="630">
        <f t="shared" si="34"/>
        <v>0</v>
      </c>
      <c r="K70" s="630">
        <f t="shared" si="35"/>
        <v>0</v>
      </c>
      <c r="L70" s="631">
        <f t="shared" si="36"/>
        <v>0</v>
      </c>
      <c r="M70" s="631">
        <f t="shared" si="37"/>
        <v>0</v>
      </c>
      <c r="N70" s="631">
        <f t="shared" si="38"/>
        <v>0</v>
      </c>
      <c r="O70" s="660">
        <f t="shared" si="39"/>
        <v>0</v>
      </c>
    </row>
    <row r="71" spans="1:15">
      <c r="A71" s="2015">
        <v>182.3</v>
      </c>
      <c r="B71" s="675">
        <v>18230311</v>
      </c>
      <c r="C71" s="675"/>
      <c r="D71" s="652" t="s">
        <v>999</v>
      </c>
      <c r="E71" s="675" t="s">
        <v>968</v>
      </c>
      <c r="F71" s="2007" t="s">
        <v>390</v>
      </c>
      <c r="G71" s="2006">
        <v>38400</v>
      </c>
      <c r="H71" s="2006">
        <v>32000</v>
      </c>
      <c r="I71" s="630">
        <f t="shared" si="33"/>
        <v>0</v>
      </c>
      <c r="J71" s="630">
        <f t="shared" si="34"/>
        <v>0</v>
      </c>
      <c r="K71" s="630">
        <f t="shared" si="35"/>
        <v>38400</v>
      </c>
      <c r="L71" s="631">
        <f t="shared" si="36"/>
        <v>0</v>
      </c>
      <c r="M71" s="631">
        <f t="shared" si="37"/>
        <v>0</v>
      </c>
      <c r="N71" s="631">
        <f t="shared" si="38"/>
        <v>38400</v>
      </c>
      <c r="O71" s="660">
        <f t="shared" si="39"/>
        <v>0</v>
      </c>
    </row>
    <row r="72" spans="1:15">
      <c r="A72" s="2015">
        <v>182.3</v>
      </c>
      <c r="B72" s="675">
        <v>18230312</v>
      </c>
      <c r="C72" s="675"/>
      <c r="D72" s="652" t="s">
        <v>1000</v>
      </c>
      <c r="E72" s="675" t="s">
        <v>968</v>
      </c>
      <c r="F72" s="2007" t="s">
        <v>988</v>
      </c>
      <c r="G72" s="2006">
        <v>-4471050.49</v>
      </c>
      <c r="H72" s="2006">
        <v>-7813650.7300000004</v>
      </c>
      <c r="I72" s="630">
        <f t="shared" si="33"/>
        <v>0</v>
      </c>
      <c r="J72" s="630">
        <f t="shared" si="34"/>
        <v>0</v>
      </c>
      <c r="K72" s="630">
        <f t="shared" si="35"/>
        <v>0</v>
      </c>
      <c r="L72" s="631">
        <f t="shared" si="36"/>
        <v>-4471050.49</v>
      </c>
      <c r="M72" s="631">
        <f t="shared" si="37"/>
        <v>0</v>
      </c>
      <c r="N72" s="631">
        <f t="shared" si="38"/>
        <v>-4471050.49</v>
      </c>
      <c r="O72" s="660">
        <f t="shared" si="39"/>
        <v>0</v>
      </c>
    </row>
    <row r="73" spans="1:15">
      <c r="A73" s="2015">
        <v>182.3</v>
      </c>
      <c r="B73" s="675">
        <v>18230321</v>
      </c>
      <c r="C73" s="675"/>
      <c r="D73" s="652" t="s">
        <v>1001</v>
      </c>
      <c r="E73" s="675" t="s">
        <v>968</v>
      </c>
      <c r="F73" s="2007" t="s">
        <v>390</v>
      </c>
      <c r="G73" s="2006">
        <v>0</v>
      </c>
      <c r="H73" s="2006">
        <v>0</v>
      </c>
      <c r="I73" s="630">
        <f t="shared" si="33"/>
        <v>0</v>
      </c>
      <c r="J73" s="630">
        <f t="shared" si="34"/>
        <v>0</v>
      </c>
      <c r="K73" s="630">
        <f t="shared" si="35"/>
        <v>0</v>
      </c>
      <c r="L73" s="631">
        <f t="shared" si="36"/>
        <v>0</v>
      </c>
      <c r="M73" s="631">
        <f t="shared" si="37"/>
        <v>0</v>
      </c>
      <c r="N73" s="631">
        <f t="shared" si="38"/>
        <v>0</v>
      </c>
      <c r="O73" s="660">
        <f t="shared" si="39"/>
        <v>0</v>
      </c>
    </row>
    <row r="74" spans="1:15">
      <c r="A74" s="2015">
        <v>182.3</v>
      </c>
      <c r="B74" s="675">
        <v>18230351</v>
      </c>
      <c r="C74" s="675"/>
      <c r="D74" s="652" t="s">
        <v>1002</v>
      </c>
      <c r="E74" s="675" t="s">
        <v>968</v>
      </c>
      <c r="F74" s="2007" t="s">
        <v>392</v>
      </c>
      <c r="G74" s="2006">
        <v>55523181.369999997</v>
      </c>
      <c r="H74" s="2006">
        <v>62611246.93</v>
      </c>
      <c r="I74" s="630">
        <f t="shared" si="33"/>
        <v>55523181.369999997</v>
      </c>
      <c r="J74" s="630">
        <f t="shared" si="34"/>
        <v>0</v>
      </c>
      <c r="K74" s="630">
        <f t="shared" si="35"/>
        <v>0</v>
      </c>
      <c r="L74" s="631">
        <f t="shared" si="36"/>
        <v>0</v>
      </c>
      <c r="M74" s="631">
        <f t="shared" si="37"/>
        <v>0</v>
      </c>
      <c r="N74" s="631">
        <f t="shared" si="38"/>
        <v>55523181.369999997</v>
      </c>
      <c r="O74" s="660">
        <f t="shared" si="39"/>
        <v>0</v>
      </c>
    </row>
    <row r="75" spans="1:15">
      <c r="A75" s="2015">
        <v>182.3</v>
      </c>
      <c r="B75" s="675">
        <v>18230401</v>
      </c>
      <c r="C75" s="675"/>
      <c r="D75" s="652" t="s">
        <v>1003</v>
      </c>
      <c r="E75" s="675" t="s">
        <v>968</v>
      </c>
      <c r="F75" s="2007" t="s">
        <v>392</v>
      </c>
      <c r="G75" s="2006">
        <v>0</v>
      </c>
      <c r="H75" s="2006">
        <v>0</v>
      </c>
      <c r="I75" s="630">
        <f t="shared" si="33"/>
        <v>0</v>
      </c>
      <c r="J75" s="630">
        <f t="shared" si="34"/>
        <v>0</v>
      </c>
      <c r="K75" s="630">
        <f t="shared" si="35"/>
        <v>0</v>
      </c>
      <c r="L75" s="631">
        <f t="shared" si="36"/>
        <v>0</v>
      </c>
      <c r="M75" s="631">
        <f t="shared" si="37"/>
        <v>0</v>
      </c>
      <c r="N75" s="631">
        <f t="shared" si="38"/>
        <v>0</v>
      </c>
      <c r="O75" s="660">
        <f t="shared" si="39"/>
        <v>0</v>
      </c>
    </row>
    <row r="76" spans="1:15">
      <c r="A76" s="2015">
        <v>182.3</v>
      </c>
      <c r="B76" s="675">
        <v>18230402</v>
      </c>
      <c r="C76" s="675"/>
      <c r="D76" s="652" t="s">
        <v>1004</v>
      </c>
      <c r="E76" s="675" t="s">
        <v>968</v>
      </c>
      <c r="F76" s="2007" t="s">
        <v>988</v>
      </c>
      <c r="G76" s="2006">
        <v>0</v>
      </c>
      <c r="H76" s="2006">
        <v>0</v>
      </c>
      <c r="I76" s="630">
        <f t="shared" si="33"/>
        <v>0</v>
      </c>
      <c r="J76" s="630">
        <f t="shared" si="34"/>
        <v>0</v>
      </c>
      <c r="K76" s="630">
        <f t="shared" si="35"/>
        <v>0</v>
      </c>
      <c r="L76" s="631">
        <f t="shared" si="36"/>
        <v>0</v>
      </c>
      <c r="M76" s="631">
        <f t="shared" si="37"/>
        <v>0</v>
      </c>
      <c r="N76" s="631">
        <f t="shared" si="38"/>
        <v>0</v>
      </c>
      <c r="O76" s="660">
        <f t="shared" si="39"/>
        <v>0</v>
      </c>
    </row>
    <row r="77" spans="1:15">
      <c r="A77" s="2015">
        <v>182.3</v>
      </c>
      <c r="B77" s="675">
        <v>18230431</v>
      </c>
      <c r="C77" s="675"/>
      <c r="D77" s="2043" t="s">
        <v>1005</v>
      </c>
      <c r="E77" s="675" t="s">
        <v>968</v>
      </c>
      <c r="F77" s="2007" t="s">
        <v>390</v>
      </c>
      <c r="G77" s="2006">
        <v>-481689.05</v>
      </c>
      <c r="H77" s="2006">
        <v>-727035.05</v>
      </c>
      <c r="I77" s="630">
        <f t="shared" si="33"/>
        <v>0</v>
      </c>
      <c r="J77" s="630">
        <f t="shared" si="34"/>
        <v>0</v>
      </c>
      <c r="K77" s="630">
        <f t="shared" si="35"/>
        <v>-481689.05</v>
      </c>
      <c r="L77" s="631">
        <f t="shared" si="36"/>
        <v>0</v>
      </c>
      <c r="M77" s="631">
        <f t="shared" si="37"/>
        <v>0</v>
      </c>
      <c r="N77" s="631">
        <f t="shared" si="38"/>
        <v>-481689.05</v>
      </c>
      <c r="O77" s="660">
        <f t="shared" si="39"/>
        <v>0</v>
      </c>
    </row>
    <row r="78" spans="1:15">
      <c r="A78" s="2015">
        <v>182.3</v>
      </c>
      <c r="B78" s="675">
        <v>18230432</v>
      </c>
      <c r="C78" s="675"/>
      <c r="D78" s="652" t="s">
        <v>1006</v>
      </c>
      <c r="E78" s="675" t="s">
        <v>968</v>
      </c>
      <c r="F78" s="2007" t="s">
        <v>988</v>
      </c>
      <c r="G78" s="2006">
        <v>0</v>
      </c>
      <c r="H78" s="2006">
        <v>0</v>
      </c>
      <c r="I78" s="630">
        <f t="shared" si="33"/>
        <v>0</v>
      </c>
      <c r="J78" s="630">
        <f t="shared" si="34"/>
        <v>0</v>
      </c>
      <c r="K78" s="630">
        <f t="shared" si="35"/>
        <v>0</v>
      </c>
      <c r="L78" s="631">
        <f t="shared" si="36"/>
        <v>0</v>
      </c>
      <c r="M78" s="631">
        <f t="shared" si="37"/>
        <v>0</v>
      </c>
      <c r="N78" s="631">
        <f t="shared" si="38"/>
        <v>0</v>
      </c>
      <c r="O78" s="660">
        <f t="shared" si="39"/>
        <v>0</v>
      </c>
    </row>
    <row r="79" spans="1:15">
      <c r="A79" s="2015">
        <v>182.3</v>
      </c>
      <c r="B79" s="675">
        <v>18230442</v>
      </c>
      <c r="C79" s="675"/>
      <c r="D79" s="652" t="s">
        <v>1007</v>
      </c>
      <c r="E79" s="675" t="s">
        <v>968</v>
      </c>
      <c r="F79" s="2007" t="s">
        <v>988</v>
      </c>
      <c r="G79" s="2006">
        <v>0</v>
      </c>
      <c r="H79" s="2006">
        <v>0</v>
      </c>
      <c r="I79" s="630">
        <f t="shared" si="33"/>
        <v>0</v>
      </c>
      <c r="J79" s="630">
        <f t="shared" si="34"/>
        <v>0</v>
      </c>
      <c r="K79" s="630">
        <f t="shared" si="35"/>
        <v>0</v>
      </c>
      <c r="L79" s="631">
        <f t="shared" si="36"/>
        <v>0</v>
      </c>
      <c r="M79" s="631">
        <f t="shared" si="37"/>
        <v>0</v>
      </c>
      <c r="N79" s="631">
        <f t="shared" si="38"/>
        <v>0</v>
      </c>
      <c r="O79" s="660">
        <f t="shared" si="39"/>
        <v>0</v>
      </c>
    </row>
    <row r="80" spans="1:15">
      <c r="A80" s="2015">
        <v>182.3</v>
      </c>
      <c r="B80" s="675">
        <v>18230471</v>
      </c>
      <c r="C80" s="675"/>
      <c r="D80" s="652" t="s">
        <v>1008</v>
      </c>
      <c r="E80" s="675" t="s">
        <v>968</v>
      </c>
      <c r="F80" s="2007" t="s">
        <v>390</v>
      </c>
      <c r="G80" s="2006">
        <v>0</v>
      </c>
      <c r="H80" s="2006">
        <v>0</v>
      </c>
      <c r="I80" s="630">
        <f t="shared" si="33"/>
        <v>0</v>
      </c>
      <c r="J80" s="630">
        <f t="shared" si="34"/>
        <v>0</v>
      </c>
      <c r="K80" s="630">
        <f t="shared" si="35"/>
        <v>0</v>
      </c>
      <c r="L80" s="631">
        <f t="shared" si="36"/>
        <v>0</v>
      </c>
      <c r="M80" s="631">
        <f t="shared" si="37"/>
        <v>0</v>
      </c>
      <c r="N80" s="631">
        <f t="shared" si="38"/>
        <v>0</v>
      </c>
      <c r="O80" s="660">
        <f t="shared" si="39"/>
        <v>0</v>
      </c>
    </row>
    <row r="81" spans="1:16" s="625" customFormat="1">
      <c r="A81" s="2015">
        <v>182.3</v>
      </c>
      <c r="B81" s="675">
        <v>18230491</v>
      </c>
      <c r="C81" s="675"/>
      <c r="D81" s="652" t="s">
        <v>1009</v>
      </c>
      <c r="E81" s="675"/>
      <c r="F81" s="2007" t="s">
        <v>390</v>
      </c>
      <c r="G81" s="2006">
        <v>0</v>
      </c>
      <c r="H81" s="2006">
        <v>-1141732.3500000001</v>
      </c>
      <c r="I81" s="630">
        <f t="shared" si="33"/>
        <v>0</v>
      </c>
      <c r="J81" s="630">
        <f t="shared" si="34"/>
        <v>0</v>
      </c>
      <c r="K81" s="630">
        <f t="shared" si="35"/>
        <v>0</v>
      </c>
      <c r="L81" s="631">
        <f t="shared" si="36"/>
        <v>0</v>
      </c>
      <c r="M81" s="631">
        <f t="shared" si="37"/>
        <v>0</v>
      </c>
      <c r="N81" s="631">
        <f t="shared" si="38"/>
        <v>0</v>
      </c>
      <c r="O81" s="660">
        <f t="shared" si="39"/>
        <v>0</v>
      </c>
      <c r="P81" s="2010"/>
    </row>
    <row r="82" spans="1:16" s="625" customFormat="1">
      <c r="A82" s="2015">
        <v>182.3</v>
      </c>
      <c r="B82" s="675">
        <v>18230492</v>
      </c>
      <c r="C82" s="675"/>
      <c r="D82" s="652" t="s">
        <v>1010</v>
      </c>
      <c r="E82" s="675"/>
      <c r="F82" s="2007" t="s">
        <v>988</v>
      </c>
      <c r="G82" s="2006">
        <v>0</v>
      </c>
      <c r="H82" s="2006">
        <v>68352.38</v>
      </c>
      <c r="I82" s="630">
        <f t="shared" si="33"/>
        <v>0</v>
      </c>
      <c r="J82" s="630">
        <f t="shared" si="34"/>
        <v>0</v>
      </c>
      <c r="K82" s="630">
        <f t="shared" si="35"/>
        <v>0</v>
      </c>
      <c r="L82" s="631">
        <f t="shared" si="36"/>
        <v>0</v>
      </c>
      <c r="M82" s="631">
        <f t="shared" si="37"/>
        <v>0</v>
      </c>
      <c r="N82" s="631">
        <f t="shared" si="38"/>
        <v>0</v>
      </c>
      <c r="O82" s="660">
        <f t="shared" si="39"/>
        <v>0</v>
      </c>
      <c r="P82" s="2010"/>
    </row>
    <row r="83" spans="1:16">
      <c r="A83" s="2015">
        <v>182.3</v>
      </c>
      <c r="B83" s="675">
        <v>18230501</v>
      </c>
      <c r="C83" s="675"/>
      <c r="D83" s="652" t="s">
        <v>1011</v>
      </c>
      <c r="E83" s="675" t="s">
        <v>968</v>
      </c>
      <c r="F83" s="2007" t="s">
        <v>390</v>
      </c>
      <c r="G83" s="2006">
        <v>0</v>
      </c>
      <c r="H83" s="2006">
        <v>0</v>
      </c>
      <c r="I83" s="630">
        <f t="shared" si="33"/>
        <v>0</v>
      </c>
      <c r="J83" s="630">
        <f t="shared" si="34"/>
        <v>0</v>
      </c>
      <c r="K83" s="630">
        <f t="shared" si="35"/>
        <v>0</v>
      </c>
      <c r="L83" s="631">
        <f t="shared" si="36"/>
        <v>0</v>
      </c>
      <c r="M83" s="631">
        <f t="shared" si="37"/>
        <v>0</v>
      </c>
      <c r="N83" s="631">
        <f t="shared" si="38"/>
        <v>0</v>
      </c>
      <c r="O83" s="660">
        <f t="shared" si="39"/>
        <v>0</v>
      </c>
    </row>
    <row r="84" spans="1:16">
      <c r="A84" s="2015">
        <v>182.3</v>
      </c>
      <c r="B84" s="675">
        <v>18230502</v>
      </c>
      <c r="C84" s="675"/>
      <c r="D84" s="652" t="s">
        <v>1012</v>
      </c>
      <c r="E84" s="675" t="s">
        <v>968</v>
      </c>
      <c r="F84" s="2007" t="s">
        <v>988</v>
      </c>
      <c r="G84" s="2006">
        <v>0</v>
      </c>
      <c r="H84" s="2006">
        <v>0</v>
      </c>
      <c r="I84" s="630">
        <f t="shared" si="33"/>
        <v>0</v>
      </c>
      <c r="J84" s="630">
        <f t="shared" si="34"/>
        <v>0</v>
      </c>
      <c r="K84" s="630">
        <f t="shared" si="35"/>
        <v>0</v>
      </c>
      <c r="L84" s="631">
        <f t="shared" si="36"/>
        <v>0</v>
      </c>
      <c r="M84" s="631">
        <f t="shared" si="37"/>
        <v>0</v>
      </c>
      <c r="N84" s="631">
        <f t="shared" si="38"/>
        <v>0</v>
      </c>
      <c r="O84" s="660">
        <f t="shared" si="39"/>
        <v>0</v>
      </c>
    </row>
    <row r="85" spans="1:16">
      <c r="A85" s="2015">
        <v>182.3</v>
      </c>
      <c r="B85" s="675">
        <v>18230621</v>
      </c>
      <c r="C85" s="675"/>
      <c r="D85" s="652" t="s">
        <v>1013</v>
      </c>
      <c r="E85" s="675" t="s">
        <v>968</v>
      </c>
      <c r="F85" s="2007" t="s">
        <v>390</v>
      </c>
      <c r="G85" s="2006">
        <v>-96240457.939999998</v>
      </c>
      <c r="H85" s="2006">
        <v>-97456333.519999996</v>
      </c>
      <c r="I85" s="630">
        <f t="shared" si="33"/>
        <v>0</v>
      </c>
      <c r="J85" s="630">
        <f t="shared" si="34"/>
        <v>0</v>
      </c>
      <c r="K85" s="630">
        <f t="shared" si="35"/>
        <v>-96240457.939999998</v>
      </c>
      <c r="L85" s="631">
        <f t="shared" si="36"/>
        <v>0</v>
      </c>
      <c r="M85" s="631">
        <f t="shared" si="37"/>
        <v>0</v>
      </c>
      <c r="N85" s="631">
        <f t="shared" si="38"/>
        <v>-96240457.939999998</v>
      </c>
      <c r="O85" s="660">
        <f t="shared" si="39"/>
        <v>0</v>
      </c>
    </row>
    <row r="86" spans="1:16">
      <c r="A86" s="2015">
        <v>182.3</v>
      </c>
      <c r="B86" s="675">
        <v>18230631</v>
      </c>
      <c r="C86" s="675"/>
      <c r="D86" s="652" t="s">
        <v>1014</v>
      </c>
      <c r="E86" s="675" t="s">
        <v>968</v>
      </c>
      <c r="F86" s="2007" t="s">
        <v>390</v>
      </c>
      <c r="G86" s="2006">
        <v>0</v>
      </c>
      <c r="H86" s="2006">
        <v>0</v>
      </c>
      <c r="I86" s="630">
        <f t="shared" si="33"/>
        <v>0</v>
      </c>
      <c r="J86" s="630">
        <f t="shared" si="34"/>
        <v>0</v>
      </c>
      <c r="K86" s="630">
        <f t="shared" si="35"/>
        <v>0</v>
      </c>
      <c r="L86" s="631">
        <f t="shared" si="36"/>
        <v>0</v>
      </c>
      <c r="M86" s="631">
        <f t="shared" si="37"/>
        <v>0</v>
      </c>
      <c r="N86" s="631">
        <f t="shared" si="38"/>
        <v>0</v>
      </c>
      <c r="O86" s="660">
        <f t="shared" si="39"/>
        <v>0</v>
      </c>
    </row>
    <row r="87" spans="1:16">
      <c r="A87" s="2015">
        <v>182.3</v>
      </c>
      <c r="B87" s="675">
        <v>18230691</v>
      </c>
      <c r="C87" s="675"/>
      <c r="D87" s="652" t="s">
        <v>1015</v>
      </c>
      <c r="E87" s="675" t="s">
        <v>968</v>
      </c>
      <c r="F87" s="2007" t="s">
        <v>392</v>
      </c>
      <c r="G87" s="2006">
        <v>0</v>
      </c>
      <c r="H87" s="2006">
        <v>0</v>
      </c>
      <c r="I87" s="630">
        <f t="shared" si="33"/>
        <v>0</v>
      </c>
      <c r="J87" s="630">
        <f t="shared" si="34"/>
        <v>0</v>
      </c>
      <c r="K87" s="630">
        <f t="shared" si="35"/>
        <v>0</v>
      </c>
      <c r="L87" s="631">
        <f t="shared" si="36"/>
        <v>0</v>
      </c>
      <c r="M87" s="631">
        <f t="shared" si="37"/>
        <v>0</v>
      </c>
      <c r="N87" s="631">
        <f t="shared" si="38"/>
        <v>0</v>
      </c>
      <c r="O87" s="660">
        <f t="shared" si="39"/>
        <v>0</v>
      </c>
    </row>
    <row r="88" spans="1:16">
      <c r="A88" s="2015">
        <v>182.3</v>
      </c>
      <c r="B88" s="675">
        <v>18230771</v>
      </c>
      <c r="C88" s="675"/>
      <c r="D88" s="2043" t="s">
        <v>1016</v>
      </c>
      <c r="E88" s="675" t="s">
        <v>968</v>
      </c>
      <c r="F88" s="2007" t="s">
        <v>392</v>
      </c>
      <c r="G88" s="2006">
        <v>118158038.06</v>
      </c>
      <c r="H88" s="2006">
        <v>144318966.06</v>
      </c>
      <c r="I88" s="630">
        <f t="shared" si="33"/>
        <v>118158038.06</v>
      </c>
      <c r="J88" s="630">
        <f t="shared" si="34"/>
        <v>0</v>
      </c>
      <c r="K88" s="630">
        <f t="shared" si="35"/>
        <v>0</v>
      </c>
      <c r="L88" s="631">
        <f t="shared" si="36"/>
        <v>0</v>
      </c>
      <c r="M88" s="631">
        <f t="shared" si="37"/>
        <v>0</v>
      </c>
      <c r="N88" s="631">
        <f t="shared" si="38"/>
        <v>118158038.06</v>
      </c>
      <c r="O88" s="660">
        <f t="shared" si="39"/>
        <v>0</v>
      </c>
      <c r="P88" s="2005" t="s">
        <v>1017</v>
      </c>
    </row>
    <row r="89" spans="1:16">
      <c r="A89" s="2015">
        <v>182.3</v>
      </c>
      <c r="B89" s="675">
        <v>18230781</v>
      </c>
      <c r="C89" s="675"/>
      <c r="D89" s="2043" t="s">
        <v>1018</v>
      </c>
      <c r="E89" s="675" t="s">
        <v>968</v>
      </c>
      <c r="F89" s="2007" t="s">
        <v>392</v>
      </c>
      <c r="G89" s="2006">
        <v>-118158038.06</v>
      </c>
      <c r="H89" s="2006">
        <v>-144318966.06</v>
      </c>
      <c r="I89" s="630">
        <f t="shared" si="33"/>
        <v>-118158038.06</v>
      </c>
      <c r="J89" s="630">
        <f t="shared" si="34"/>
        <v>0</v>
      </c>
      <c r="K89" s="630">
        <f t="shared" si="35"/>
        <v>0</v>
      </c>
      <c r="L89" s="631">
        <f t="shared" si="36"/>
        <v>0</v>
      </c>
      <c r="M89" s="631">
        <f t="shared" si="37"/>
        <v>0</v>
      </c>
      <c r="N89" s="631">
        <f t="shared" si="38"/>
        <v>-118158038.06</v>
      </c>
      <c r="O89" s="660">
        <f t="shared" si="39"/>
        <v>0</v>
      </c>
      <c r="P89" s="2005" t="s">
        <v>1019</v>
      </c>
    </row>
    <row r="90" spans="1:16">
      <c r="A90" s="2015">
        <v>182.3</v>
      </c>
      <c r="B90" s="675">
        <v>18230791</v>
      </c>
      <c r="C90" s="675"/>
      <c r="D90" s="652" t="s">
        <v>1020</v>
      </c>
      <c r="E90" s="675" t="s">
        <v>968</v>
      </c>
      <c r="F90" s="2007" t="s">
        <v>392</v>
      </c>
      <c r="G90" s="2006">
        <v>-24948344.219999999</v>
      </c>
      <c r="H90" s="2006">
        <v>111325637.98999999</v>
      </c>
      <c r="I90" s="630">
        <f t="shared" si="33"/>
        <v>-24948344.219999999</v>
      </c>
      <c r="J90" s="630">
        <f t="shared" si="34"/>
        <v>0</v>
      </c>
      <c r="K90" s="630">
        <f t="shared" si="35"/>
        <v>0</v>
      </c>
      <c r="L90" s="631">
        <f t="shared" si="36"/>
        <v>0</v>
      </c>
      <c r="M90" s="631">
        <f t="shared" si="37"/>
        <v>0</v>
      </c>
      <c r="N90" s="631">
        <f t="shared" si="38"/>
        <v>-24948344.219999999</v>
      </c>
      <c r="O90" s="660">
        <f t="shared" si="39"/>
        <v>0</v>
      </c>
      <c r="P90" s="2005" t="s">
        <v>1021</v>
      </c>
    </row>
    <row r="91" spans="1:16">
      <c r="A91" s="2015">
        <v>182.3</v>
      </c>
      <c r="B91" s="675">
        <v>18230921</v>
      </c>
      <c r="C91" s="675"/>
      <c r="D91" s="652" t="s">
        <v>1022</v>
      </c>
      <c r="E91" s="675" t="s">
        <v>968</v>
      </c>
      <c r="F91" s="2007" t="s">
        <v>390</v>
      </c>
      <c r="G91" s="2006">
        <v>0</v>
      </c>
      <c r="H91" s="2006">
        <v>0</v>
      </c>
      <c r="I91" s="630">
        <f t="shared" si="33"/>
        <v>0</v>
      </c>
      <c r="J91" s="630">
        <f t="shared" si="34"/>
        <v>0</v>
      </c>
      <c r="K91" s="630">
        <f t="shared" si="35"/>
        <v>0</v>
      </c>
      <c r="L91" s="631">
        <f t="shared" si="36"/>
        <v>0</v>
      </c>
      <c r="M91" s="631">
        <f t="shared" si="37"/>
        <v>0</v>
      </c>
      <c r="N91" s="631">
        <f t="shared" si="38"/>
        <v>0</v>
      </c>
      <c r="O91" s="660">
        <f t="shared" si="39"/>
        <v>0</v>
      </c>
    </row>
    <row r="92" spans="1:16">
      <c r="A92" s="2015">
        <v>182.3</v>
      </c>
      <c r="B92" s="675">
        <v>18230952</v>
      </c>
      <c r="C92" s="675"/>
      <c r="D92" s="652" t="s">
        <v>1023</v>
      </c>
      <c r="E92" s="675" t="s">
        <v>968</v>
      </c>
      <c r="F92" s="2007" t="s">
        <v>988</v>
      </c>
      <c r="G92" s="2006">
        <v>0</v>
      </c>
      <c r="H92" s="2006">
        <v>2914301</v>
      </c>
      <c r="I92" s="630">
        <f t="shared" si="33"/>
        <v>0</v>
      </c>
      <c r="J92" s="630">
        <f t="shared" si="34"/>
        <v>0</v>
      </c>
      <c r="K92" s="630">
        <f t="shared" si="35"/>
        <v>0</v>
      </c>
      <c r="L92" s="631">
        <f t="shared" si="36"/>
        <v>0</v>
      </c>
      <c r="M92" s="631">
        <f t="shared" si="37"/>
        <v>0</v>
      </c>
      <c r="N92" s="631">
        <f t="shared" si="38"/>
        <v>0</v>
      </c>
      <c r="O92" s="660">
        <f t="shared" si="39"/>
        <v>0</v>
      </c>
    </row>
    <row r="93" spans="1:16">
      <c r="A93" s="2015">
        <v>182.3</v>
      </c>
      <c r="B93" s="675">
        <v>18230962</v>
      </c>
      <c r="C93" s="675"/>
      <c r="D93" s="652" t="s">
        <v>1024</v>
      </c>
      <c r="E93" s="675" t="s">
        <v>968</v>
      </c>
      <c r="F93" s="2007" t="s">
        <v>988</v>
      </c>
      <c r="G93" s="2006">
        <v>0</v>
      </c>
      <c r="H93" s="2006">
        <v>33235</v>
      </c>
      <c r="I93" s="630">
        <f t="shared" si="33"/>
        <v>0</v>
      </c>
      <c r="J93" s="630">
        <f t="shared" si="34"/>
        <v>0</v>
      </c>
      <c r="K93" s="630">
        <f t="shared" si="35"/>
        <v>0</v>
      </c>
      <c r="L93" s="631">
        <f t="shared" si="36"/>
        <v>0</v>
      </c>
      <c r="M93" s="631">
        <f t="shared" si="37"/>
        <v>0</v>
      </c>
      <c r="N93" s="631">
        <f t="shared" si="38"/>
        <v>0</v>
      </c>
      <c r="O93" s="660">
        <f t="shared" si="39"/>
        <v>0</v>
      </c>
    </row>
    <row r="94" spans="1:16">
      <c r="A94" s="2015">
        <v>182.3</v>
      </c>
      <c r="B94" s="675">
        <v>18230971</v>
      </c>
      <c r="C94" s="675"/>
      <c r="D94" s="652" t="s">
        <v>1025</v>
      </c>
      <c r="E94" s="675" t="s">
        <v>968</v>
      </c>
      <c r="F94" s="2007" t="s">
        <v>392</v>
      </c>
      <c r="G94" s="2006">
        <v>0</v>
      </c>
      <c r="H94" s="2006">
        <v>0</v>
      </c>
      <c r="I94" s="630">
        <f t="shared" si="33"/>
        <v>0</v>
      </c>
      <c r="J94" s="630">
        <f t="shared" si="34"/>
        <v>0</v>
      </c>
      <c r="K94" s="630">
        <f t="shared" si="35"/>
        <v>0</v>
      </c>
      <c r="L94" s="631">
        <f t="shared" si="36"/>
        <v>0</v>
      </c>
      <c r="M94" s="631">
        <f t="shared" si="37"/>
        <v>0</v>
      </c>
      <c r="N94" s="631">
        <f t="shared" si="38"/>
        <v>0</v>
      </c>
      <c r="O94" s="660">
        <f t="shared" si="39"/>
        <v>0</v>
      </c>
    </row>
    <row r="95" spans="1:16">
      <c r="A95" s="2030">
        <v>182.3</v>
      </c>
      <c r="B95" s="2017">
        <v>18230972</v>
      </c>
      <c r="C95" s="2017"/>
      <c r="D95" s="2018" t="s">
        <v>1026</v>
      </c>
      <c r="E95" s="2017" t="s">
        <v>968</v>
      </c>
      <c r="F95" s="2017" t="s">
        <v>988</v>
      </c>
      <c r="G95" s="2011">
        <v>3700990.92</v>
      </c>
      <c r="H95" s="2011">
        <v>5507074</v>
      </c>
      <c r="I95" s="673">
        <f t="shared" si="33"/>
        <v>0</v>
      </c>
      <c r="J95" s="673">
        <f t="shared" si="34"/>
        <v>0</v>
      </c>
      <c r="K95" s="673">
        <f t="shared" si="35"/>
        <v>0</v>
      </c>
      <c r="L95" s="674">
        <f t="shared" si="36"/>
        <v>3700990.92</v>
      </c>
      <c r="M95" s="674">
        <f t="shared" si="37"/>
        <v>0</v>
      </c>
      <c r="N95" s="674">
        <f t="shared" si="38"/>
        <v>3700990.92</v>
      </c>
      <c r="O95" s="2056">
        <f t="shared" si="39"/>
        <v>0</v>
      </c>
      <c r="P95" s="2047" t="s">
        <v>8066</v>
      </c>
    </row>
    <row r="96" spans="1:16">
      <c r="A96" s="2030">
        <v>182.3</v>
      </c>
      <c r="B96" s="2017">
        <v>18230982</v>
      </c>
      <c r="C96" s="2017"/>
      <c r="D96" s="2018" t="s">
        <v>1027</v>
      </c>
      <c r="E96" s="2017" t="s">
        <v>968</v>
      </c>
      <c r="F96" s="2017" t="s">
        <v>988</v>
      </c>
      <c r="G96" s="2011">
        <v>194157.91</v>
      </c>
      <c r="H96" s="2011">
        <v>288907</v>
      </c>
      <c r="I96" s="673">
        <f t="shared" si="33"/>
        <v>0</v>
      </c>
      <c r="J96" s="673">
        <f t="shared" si="34"/>
        <v>0</v>
      </c>
      <c r="K96" s="673">
        <f t="shared" si="35"/>
        <v>0</v>
      </c>
      <c r="L96" s="674">
        <f t="shared" si="36"/>
        <v>194157.91</v>
      </c>
      <c r="M96" s="674">
        <f t="shared" si="37"/>
        <v>0</v>
      </c>
      <c r="N96" s="674">
        <f t="shared" si="38"/>
        <v>194157.91</v>
      </c>
      <c r="O96" s="2056">
        <f t="shared" si="39"/>
        <v>0</v>
      </c>
      <c r="P96" s="2047" t="s">
        <v>8066</v>
      </c>
    </row>
    <row r="97" spans="1:16">
      <c r="A97" s="2015">
        <v>182.3</v>
      </c>
      <c r="B97" s="675">
        <v>18231011</v>
      </c>
      <c r="C97" s="675"/>
      <c r="D97" s="652" t="s">
        <v>1028</v>
      </c>
      <c r="E97" s="675" t="s">
        <v>968</v>
      </c>
      <c r="F97" s="2007" t="s">
        <v>392</v>
      </c>
      <c r="G97" s="2006">
        <v>0</v>
      </c>
      <c r="H97" s="2006">
        <v>0</v>
      </c>
      <c r="I97" s="630">
        <f t="shared" si="33"/>
        <v>0</v>
      </c>
      <c r="J97" s="630">
        <f t="shared" si="34"/>
        <v>0</v>
      </c>
      <c r="K97" s="630">
        <f t="shared" si="35"/>
        <v>0</v>
      </c>
      <c r="L97" s="631">
        <f t="shared" si="36"/>
        <v>0</v>
      </c>
      <c r="M97" s="631">
        <f t="shared" si="37"/>
        <v>0</v>
      </c>
      <c r="N97" s="631">
        <f t="shared" si="38"/>
        <v>0</v>
      </c>
      <c r="O97" s="660">
        <f t="shared" si="39"/>
        <v>0</v>
      </c>
    </row>
    <row r="98" spans="1:16">
      <c r="A98" s="2015">
        <v>182.3</v>
      </c>
      <c r="B98" s="675">
        <v>18231031</v>
      </c>
      <c r="C98" s="675"/>
      <c r="D98" s="652" t="s">
        <v>1029</v>
      </c>
      <c r="E98" s="675" t="s">
        <v>968</v>
      </c>
      <c r="F98" s="2007" t="s">
        <v>392</v>
      </c>
      <c r="G98" s="2006">
        <v>0</v>
      </c>
      <c r="H98" s="2006">
        <v>0</v>
      </c>
      <c r="I98" s="630">
        <f t="shared" si="33"/>
        <v>0</v>
      </c>
      <c r="J98" s="630">
        <f t="shared" si="34"/>
        <v>0</v>
      </c>
      <c r="K98" s="630">
        <f t="shared" si="35"/>
        <v>0</v>
      </c>
      <c r="L98" s="631">
        <f t="shared" si="36"/>
        <v>0</v>
      </c>
      <c r="M98" s="631">
        <f t="shared" si="37"/>
        <v>0</v>
      </c>
      <c r="N98" s="631">
        <f t="shared" si="38"/>
        <v>0</v>
      </c>
      <c r="O98" s="660">
        <f t="shared" si="39"/>
        <v>0</v>
      </c>
    </row>
    <row r="99" spans="1:16">
      <c r="A99" s="2015">
        <v>182.3</v>
      </c>
      <c r="B99" s="675">
        <v>18231041</v>
      </c>
      <c r="C99" s="675"/>
      <c r="D99" s="652" t="s">
        <v>1030</v>
      </c>
      <c r="E99" s="675" t="s">
        <v>968</v>
      </c>
      <c r="F99" s="2007" t="s">
        <v>392</v>
      </c>
      <c r="G99" s="2006">
        <v>0</v>
      </c>
      <c r="H99" s="2006">
        <v>0</v>
      </c>
      <c r="I99" s="630">
        <f t="shared" si="33"/>
        <v>0</v>
      </c>
      <c r="J99" s="630">
        <f t="shared" si="34"/>
        <v>0</v>
      </c>
      <c r="K99" s="630">
        <f t="shared" si="35"/>
        <v>0</v>
      </c>
      <c r="L99" s="631">
        <f t="shared" si="36"/>
        <v>0</v>
      </c>
      <c r="M99" s="631">
        <f t="shared" si="37"/>
        <v>0</v>
      </c>
      <c r="N99" s="631">
        <f t="shared" si="38"/>
        <v>0</v>
      </c>
      <c r="O99" s="660">
        <f t="shared" si="39"/>
        <v>0</v>
      </c>
    </row>
    <row r="100" spans="1:16">
      <c r="A100" s="2015">
        <v>182.3</v>
      </c>
      <c r="B100" s="675">
        <v>18231051</v>
      </c>
      <c r="C100" s="675"/>
      <c r="D100" s="652" t="s">
        <v>1031</v>
      </c>
      <c r="E100" s="675" t="s">
        <v>968</v>
      </c>
      <c r="F100" s="2007" t="s">
        <v>392</v>
      </c>
      <c r="G100" s="2006">
        <v>-34827817</v>
      </c>
      <c r="H100" s="2006">
        <v>-34827817</v>
      </c>
      <c r="I100" s="630">
        <f t="shared" si="33"/>
        <v>-34827817</v>
      </c>
      <c r="J100" s="630">
        <f t="shared" si="34"/>
        <v>0</v>
      </c>
      <c r="K100" s="630">
        <f t="shared" si="35"/>
        <v>0</v>
      </c>
      <c r="L100" s="631">
        <f t="shared" si="36"/>
        <v>0</v>
      </c>
      <c r="M100" s="631">
        <f t="shared" si="37"/>
        <v>0</v>
      </c>
      <c r="N100" s="631">
        <f t="shared" si="38"/>
        <v>-34827817</v>
      </c>
      <c r="O100" s="660">
        <f t="shared" si="39"/>
        <v>0</v>
      </c>
      <c r="P100" s="2005" t="s">
        <v>1032</v>
      </c>
    </row>
    <row r="101" spans="1:16">
      <c r="A101" s="2015">
        <v>182.3</v>
      </c>
      <c r="B101" s="675">
        <v>18231061</v>
      </c>
      <c r="C101" s="675"/>
      <c r="D101" s="652" t="s">
        <v>1033</v>
      </c>
      <c r="E101" s="675" t="s">
        <v>968</v>
      </c>
      <c r="F101" s="2007" t="s">
        <v>392</v>
      </c>
      <c r="G101" s="2006">
        <v>34827817</v>
      </c>
      <c r="H101" s="2006">
        <v>34827817</v>
      </c>
      <c r="I101" s="630">
        <f t="shared" si="33"/>
        <v>34827817</v>
      </c>
      <c r="J101" s="630">
        <f t="shared" si="34"/>
        <v>0</v>
      </c>
      <c r="K101" s="630">
        <f t="shared" si="35"/>
        <v>0</v>
      </c>
      <c r="L101" s="631">
        <f t="shared" si="36"/>
        <v>0</v>
      </c>
      <c r="M101" s="631">
        <f t="shared" si="37"/>
        <v>0</v>
      </c>
      <c r="N101" s="631">
        <f t="shared" si="38"/>
        <v>34827817</v>
      </c>
      <c r="O101" s="660">
        <f t="shared" si="39"/>
        <v>0</v>
      </c>
      <c r="P101" s="2005" t="s">
        <v>1032</v>
      </c>
    </row>
    <row r="102" spans="1:16">
      <c r="A102" s="2015">
        <v>182.3</v>
      </c>
      <c r="B102" s="675">
        <v>18231071</v>
      </c>
      <c r="C102" s="675"/>
      <c r="D102" s="652" t="s">
        <v>1034</v>
      </c>
      <c r="E102" s="675" t="s">
        <v>968</v>
      </c>
      <c r="F102" s="2007" t="s">
        <v>392</v>
      </c>
      <c r="G102" s="2006">
        <v>0</v>
      </c>
      <c r="H102" s="2006">
        <v>0</v>
      </c>
      <c r="I102" s="630">
        <f t="shared" si="33"/>
        <v>0</v>
      </c>
      <c r="J102" s="630">
        <f t="shared" si="34"/>
        <v>0</v>
      </c>
      <c r="K102" s="630">
        <f t="shared" si="35"/>
        <v>0</v>
      </c>
      <c r="L102" s="631">
        <f t="shared" si="36"/>
        <v>0</v>
      </c>
      <c r="M102" s="631">
        <f t="shared" si="37"/>
        <v>0</v>
      </c>
      <c r="N102" s="631">
        <f t="shared" si="38"/>
        <v>0</v>
      </c>
      <c r="O102" s="660">
        <f t="shared" si="39"/>
        <v>0</v>
      </c>
    </row>
    <row r="103" spans="1:16">
      <c r="A103" s="2015">
        <v>182.3</v>
      </c>
      <c r="B103" s="675">
        <v>18231081</v>
      </c>
      <c r="C103" s="675"/>
      <c r="D103" s="652" t="s">
        <v>1035</v>
      </c>
      <c r="E103" s="675" t="s">
        <v>968</v>
      </c>
      <c r="F103" s="2007" t="s">
        <v>392</v>
      </c>
      <c r="G103" s="2006">
        <v>-25644564</v>
      </c>
      <c r="H103" s="2006">
        <v>-25644564</v>
      </c>
      <c r="I103" s="630">
        <f t="shared" si="33"/>
        <v>-25644564</v>
      </c>
      <c r="J103" s="630">
        <f t="shared" si="34"/>
        <v>0</v>
      </c>
      <c r="K103" s="630">
        <f t="shared" si="35"/>
        <v>0</v>
      </c>
      <c r="L103" s="631">
        <f t="shared" si="36"/>
        <v>0</v>
      </c>
      <c r="M103" s="631">
        <f t="shared" si="37"/>
        <v>0</v>
      </c>
      <c r="N103" s="631">
        <f t="shared" si="38"/>
        <v>-25644564</v>
      </c>
      <c r="O103" s="660">
        <f t="shared" si="39"/>
        <v>0</v>
      </c>
      <c r="P103" s="2005" t="s">
        <v>1036</v>
      </c>
    </row>
    <row r="104" spans="1:16">
      <c r="A104" s="2015">
        <v>182.3</v>
      </c>
      <c r="B104" s="675">
        <v>18231091</v>
      </c>
      <c r="C104" s="675"/>
      <c r="D104" s="652" t="s">
        <v>1037</v>
      </c>
      <c r="E104" s="675" t="s">
        <v>968</v>
      </c>
      <c r="F104" s="2007" t="s">
        <v>392</v>
      </c>
      <c r="G104" s="2006">
        <v>25644564</v>
      </c>
      <c r="H104" s="2006">
        <v>25644564</v>
      </c>
      <c r="I104" s="630">
        <f t="shared" si="33"/>
        <v>25644564</v>
      </c>
      <c r="J104" s="630">
        <f t="shared" si="34"/>
        <v>0</v>
      </c>
      <c r="K104" s="630">
        <f t="shared" si="35"/>
        <v>0</v>
      </c>
      <c r="L104" s="631">
        <f t="shared" si="36"/>
        <v>0</v>
      </c>
      <c r="M104" s="631">
        <f t="shared" si="37"/>
        <v>0</v>
      </c>
      <c r="N104" s="631">
        <f t="shared" si="38"/>
        <v>25644564</v>
      </c>
      <c r="O104" s="660">
        <f t="shared" si="39"/>
        <v>0</v>
      </c>
      <c r="P104" s="2005" t="s">
        <v>1036</v>
      </c>
    </row>
    <row r="105" spans="1:16">
      <c r="A105" s="2015">
        <v>182.3</v>
      </c>
      <c r="B105" s="675">
        <v>18231141</v>
      </c>
      <c r="C105" s="675"/>
      <c r="D105" s="652" t="s">
        <v>1038</v>
      </c>
      <c r="E105" s="675" t="s">
        <v>968</v>
      </c>
      <c r="F105" s="2007" t="s">
        <v>392</v>
      </c>
      <c r="G105" s="2006">
        <v>-38038883</v>
      </c>
      <c r="H105" s="2006">
        <v>-38038883</v>
      </c>
      <c r="I105" s="630">
        <f t="shared" si="33"/>
        <v>-38038883</v>
      </c>
      <c r="J105" s="630">
        <f t="shared" si="34"/>
        <v>0</v>
      </c>
      <c r="K105" s="630">
        <f t="shared" si="35"/>
        <v>0</v>
      </c>
      <c r="L105" s="631">
        <f t="shared" si="36"/>
        <v>0</v>
      </c>
      <c r="M105" s="631">
        <f t="shared" si="37"/>
        <v>0</v>
      </c>
      <c r="N105" s="631">
        <f t="shared" si="38"/>
        <v>-38038883</v>
      </c>
      <c r="O105" s="660">
        <f t="shared" si="39"/>
        <v>0</v>
      </c>
      <c r="P105" s="2005" t="s">
        <v>1039</v>
      </c>
    </row>
    <row r="106" spans="1:16">
      <c r="A106" s="2015">
        <v>182.3</v>
      </c>
      <c r="B106" s="675">
        <v>18231151</v>
      </c>
      <c r="C106" s="675"/>
      <c r="D106" s="652" t="s">
        <v>1040</v>
      </c>
      <c r="E106" s="675" t="s">
        <v>968</v>
      </c>
      <c r="F106" s="2007" t="s">
        <v>392</v>
      </c>
      <c r="G106" s="2006">
        <v>38038883</v>
      </c>
      <c r="H106" s="2006">
        <v>38038883</v>
      </c>
      <c r="I106" s="630">
        <f t="shared" si="33"/>
        <v>38038883</v>
      </c>
      <c r="J106" s="630">
        <f t="shared" si="34"/>
        <v>0</v>
      </c>
      <c r="K106" s="630">
        <f t="shared" si="35"/>
        <v>0</v>
      </c>
      <c r="L106" s="631">
        <f t="shared" si="36"/>
        <v>0</v>
      </c>
      <c r="M106" s="631">
        <f t="shared" si="37"/>
        <v>0</v>
      </c>
      <c r="N106" s="631">
        <f t="shared" si="38"/>
        <v>38038883</v>
      </c>
      <c r="O106" s="660">
        <f t="shared" si="39"/>
        <v>0</v>
      </c>
      <c r="P106" s="2005" t="s">
        <v>1039</v>
      </c>
    </row>
    <row r="107" spans="1:16">
      <c r="A107" s="2015">
        <v>182.3</v>
      </c>
      <c r="B107" s="675">
        <v>18231161</v>
      </c>
      <c r="C107" s="675"/>
      <c r="D107" s="652" t="s">
        <v>1041</v>
      </c>
      <c r="E107" s="675" t="s">
        <v>968</v>
      </c>
      <c r="F107" s="2007" t="s">
        <v>392</v>
      </c>
      <c r="G107" s="2006">
        <v>39647674</v>
      </c>
      <c r="H107" s="2006">
        <v>39647674</v>
      </c>
      <c r="I107" s="630">
        <f t="shared" si="33"/>
        <v>39647674</v>
      </c>
      <c r="J107" s="630">
        <f t="shared" si="34"/>
        <v>0</v>
      </c>
      <c r="K107" s="630">
        <f t="shared" si="35"/>
        <v>0</v>
      </c>
      <c r="L107" s="631">
        <f t="shared" si="36"/>
        <v>0</v>
      </c>
      <c r="M107" s="631">
        <f t="shared" si="37"/>
        <v>0</v>
      </c>
      <c r="N107" s="631">
        <f t="shared" si="38"/>
        <v>39647674</v>
      </c>
      <c r="O107" s="660">
        <f t="shared" si="39"/>
        <v>0</v>
      </c>
      <c r="P107" s="2005" t="s">
        <v>1042</v>
      </c>
    </row>
    <row r="108" spans="1:16">
      <c r="A108" s="2015">
        <v>182.3</v>
      </c>
      <c r="B108" s="675">
        <v>18231171</v>
      </c>
      <c r="C108" s="675"/>
      <c r="D108" s="652" t="s">
        <v>1043</v>
      </c>
      <c r="E108" s="675" t="s">
        <v>968</v>
      </c>
      <c r="F108" s="2007" t="s">
        <v>392</v>
      </c>
      <c r="G108" s="2006">
        <v>-39647674</v>
      </c>
      <c r="H108" s="2006">
        <v>-39647674</v>
      </c>
      <c r="I108" s="630">
        <f t="shared" si="33"/>
        <v>-39647674</v>
      </c>
      <c r="J108" s="630">
        <f t="shared" si="34"/>
        <v>0</v>
      </c>
      <c r="K108" s="630">
        <f t="shared" si="35"/>
        <v>0</v>
      </c>
      <c r="L108" s="631">
        <f t="shared" si="36"/>
        <v>0</v>
      </c>
      <c r="M108" s="631">
        <f t="shared" si="37"/>
        <v>0</v>
      </c>
      <c r="N108" s="631">
        <f t="shared" si="38"/>
        <v>-39647674</v>
      </c>
      <c r="O108" s="660">
        <f t="shared" si="39"/>
        <v>0</v>
      </c>
      <c r="P108" s="2005" t="s">
        <v>1042</v>
      </c>
    </row>
    <row r="109" spans="1:16">
      <c r="A109" s="2015">
        <v>182.3</v>
      </c>
      <c r="B109" s="675">
        <v>18231181</v>
      </c>
      <c r="C109" s="675"/>
      <c r="D109" s="652" t="s">
        <v>1044</v>
      </c>
      <c r="E109" s="675" t="s">
        <v>968</v>
      </c>
      <c r="F109" s="2007" t="s">
        <v>392</v>
      </c>
      <c r="G109" s="2006">
        <v>8232968</v>
      </c>
      <c r="H109" s="2006">
        <v>8232968</v>
      </c>
      <c r="I109" s="630">
        <f t="shared" si="33"/>
        <v>8232968</v>
      </c>
      <c r="J109" s="630">
        <f t="shared" si="34"/>
        <v>0</v>
      </c>
      <c r="K109" s="630">
        <f t="shared" si="35"/>
        <v>0</v>
      </c>
      <c r="L109" s="631">
        <f t="shared" si="36"/>
        <v>0</v>
      </c>
      <c r="M109" s="631">
        <f t="shared" si="37"/>
        <v>0</v>
      </c>
      <c r="N109" s="631">
        <f t="shared" si="38"/>
        <v>8232968</v>
      </c>
      <c r="O109" s="660">
        <f t="shared" si="39"/>
        <v>0</v>
      </c>
      <c r="P109" s="2005" t="s">
        <v>1045</v>
      </c>
    </row>
    <row r="110" spans="1:16">
      <c r="A110" s="2015">
        <v>182.3</v>
      </c>
      <c r="B110" s="675">
        <v>18231191</v>
      </c>
      <c r="C110" s="675"/>
      <c r="D110" s="652" t="s">
        <v>1046</v>
      </c>
      <c r="E110" s="675" t="s">
        <v>968</v>
      </c>
      <c r="F110" s="2007" t="s">
        <v>392</v>
      </c>
      <c r="G110" s="2006">
        <v>-8232968</v>
      </c>
      <c r="H110" s="2006">
        <v>-8232968</v>
      </c>
      <c r="I110" s="630">
        <f t="shared" si="33"/>
        <v>-8232968</v>
      </c>
      <c r="J110" s="630">
        <f t="shared" si="34"/>
        <v>0</v>
      </c>
      <c r="K110" s="630">
        <f t="shared" si="35"/>
        <v>0</v>
      </c>
      <c r="L110" s="631">
        <f t="shared" si="36"/>
        <v>0</v>
      </c>
      <c r="M110" s="631">
        <f t="shared" si="37"/>
        <v>0</v>
      </c>
      <c r="N110" s="631">
        <f t="shared" si="38"/>
        <v>-8232968</v>
      </c>
      <c r="O110" s="660">
        <f t="shared" si="39"/>
        <v>0</v>
      </c>
      <c r="P110" s="2005" t="s">
        <v>1045</v>
      </c>
    </row>
    <row r="111" spans="1:16">
      <c r="A111" s="2015">
        <v>182.3</v>
      </c>
      <c r="B111" s="675">
        <v>18231241</v>
      </c>
      <c r="C111" s="675"/>
      <c r="D111" s="652" t="s">
        <v>1047</v>
      </c>
      <c r="E111" s="675" t="s">
        <v>968</v>
      </c>
      <c r="F111" s="2007" t="s">
        <v>390</v>
      </c>
      <c r="G111" s="2006">
        <v>0</v>
      </c>
      <c r="H111" s="2006">
        <v>0</v>
      </c>
      <c r="I111" s="630">
        <f t="shared" si="33"/>
        <v>0</v>
      </c>
      <c r="J111" s="630">
        <f t="shared" si="34"/>
        <v>0</v>
      </c>
      <c r="K111" s="630">
        <f t="shared" si="35"/>
        <v>0</v>
      </c>
      <c r="L111" s="631">
        <f t="shared" si="36"/>
        <v>0</v>
      </c>
      <c r="M111" s="631">
        <f t="shared" si="37"/>
        <v>0</v>
      </c>
      <c r="N111" s="631">
        <f t="shared" si="38"/>
        <v>0</v>
      </c>
      <c r="O111" s="660">
        <f t="shared" si="39"/>
        <v>0</v>
      </c>
    </row>
    <row r="112" spans="1:16">
      <c r="A112" s="2015">
        <v>182.3</v>
      </c>
      <c r="B112" s="675">
        <v>18231251</v>
      </c>
      <c r="C112" s="675"/>
      <c r="D112" s="652" t="s">
        <v>1048</v>
      </c>
      <c r="E112" s="675" t="s">
        <v>968</v>
      </c>
      <c r="F112" s="2007" t="s">
        <v>390</v>
      </c>
      <c r="G112" s="2006">
        <v>0</v>
      </c>
      <c r="H112" s="2006">
        <v>0</v>
      </c>
      <c r="I112" s="630">
        <f t="shared" si="33"/>
        <v>0</v>
      </c>
      <c r="J112" s="630">
        <f t="shared" si="34"/>
        <v>0</v>
      </c>
      <c r="K112" s="630">
        <f t="shared" si="35"/>
        <v>0</v>
      </c>
      <c r="L112" s="631">
        <f t="shared" si="36"/>
        <v>0</v>
      </c>
      <c r="M112" s="631">
        <f t="shared" si="37"/>
        <v>0</v>
      </c>
      <c r="N112" s="631">
        <f t="shared" si="38"/>
        <v>0</v>
      </c>
      <c r="O112" s="660">
        <f t="shared" si="39"/>
        <v>0</v>
      </c>
    </row>
    <row r="113" spans="1:21">
      <c r="A113" s="2015">
        <v>182.3</v>
      </c>
      <c r="B113" s="675">
        <v>18231261</v>
      </c>
      <c r="C113" s="675"/>
      <c r="D113" s="652" t="s">
        <v>1049</v>
      </c>
      <c r="E113" s="675" t="s">
        <v>968</v>
      </c>
      <c r="F113" s="2007" t="s">
        <v>392</v>
      </c>
      <c r="G113" s="2006">
        <v>-8244461.2300000004</v>
      </c>
      <c r="H113" s="2006">
        <v>-8244461.2300000004</v>
      </c>
      <c r="I113" s="630">
        <f t="shared" si="33"/>
        <v>-8244461.2300000004</v>
      </c>
      <c r="J113" s="630">
        <f t="shared" si="34"/>
        <v>0</v>
      </c>
      <c r="K113" s="630">
        <f t="shared" si="35"/>
        <v>0</v>
      </c>
      <c r="L113" s="631">
        <f t="shared" si="36"/>
        <v>0</v>
      </c>
      <c r="M113" s="631">
        <f t="shared" si="37"/>
        <v>0</v>
      </c>
      <c r="N113" s="631">
        <f t="shared" si="38"/>
        <v>-8244461.2300000004</v>
      </c>
      <c r="O113" s="660">
        <f t="shared" si="39"/>
        <v>0</v>
      </c>
      <c r="P113" s="2005" t="s">
        <v>1050</v>
      </c>
    </row>
    <row r="114" spans="1:21">
      <c r="A114" s="2015">
        <v>182.3</v>
      </c>
      <c r="B114" s="675">
        <v>18231271</v>
      </c>
      <c r="C114" s="675"/>
      <c r="D114" s="652" t="s">
        <v>1051</v>
      </c>
      <c r="E114" s="675" t="s">
        <v>968</v>
      </c>
      <c r="F114" s="2007" t="s">
        <v>392</v>
      </c>
      <c r="G114" s="2006">
        <v>8244461.2300000004</v>
      </c>
      <c r="H114" s="2006">
        <v>8244461.2300000004</v>
      </c>
      <c r="I114" s="630">
        <f t="shared" si="33"/>
        <v>8244461.2300000004</v>
      </c>
      <c r="J114" s="630">
        <f t="shared" si="34"/>
        <v>0</v>
      </c>
      <c r="K114" s="630">
        <f t="shared" si="35"/>
        <v>0</v>
      </c>
      <c r="L114" s="631">
        <f t="shared" si="36"/>
        <v>0</v>
      </c>
      <c r="M114" s="631">
        <f t="shared" si="37"/>
        <v>0</v>
      </c>
      <c r="N114" s="631">
        <f t="shared" si="38"/>
        <v>8244461.2300000004</v>
      </c>
      <c r="O114" s="660">
        <f t="shared" si="39"/>
        <v>0</v>
      </c>
      <c r="P114" s="2005" t="s">
        <v>1050</v>
      </c>
    </row>
    <row r="115" spans="1:21">
      <c r="A115" s="2015">
        <v>182.3</v>
      </c>
      <c r="B115" s="675">
        <v>18231281</v>
      </c>
      <c r="C115" s="675"/>
      <c r="D115" s="652" t="s">
        <v>1052</v>
      </c>
      <c r="E115" s="675" t="s">
        <v>968</v>
      </c>
      <c r="F115" s="2007" t="s">
        <v>392</v>
      </c>
      <c r="G115" s="2006">
        <v>67232134</v>
      </c>
      <c r="H115" s="2006">
        <v>-67232134</v>
      </c>
      <c r="I115" s="630">
        <f t="shared" si="33"/>
        <v>67232134</v>
      </c>
      <c r="J115" s="630">
        <f t="shared" si="34"/>
        <v>0</v>
      </c>
      <c r="K115" s="630">
        <f t="shared" si="35"/>
        <v>0</v>
      </c>
      <c r="L115" s="631">
        <f t="shared" si="36"/>
        <v>0</v>
      </c>
      <c r="M115" s="631">
        <f t="shared" si="37"/>
        <v>0</v>
      </c>
      <c r="N115" s="631">
        <f t="shared" si="38"/>
        <v>67232134</v>
      </c>
      <c r="O115" s="660">
        <f t="shared" si="39"/>
        <v>0</v>
      </c>
      <c r="P115" s="2005" t="s">
        <v>1053</v>
      </c>
    </row>
    <row r="116" spans="1:21" ht="12" thickBot="1">
      <c r="A116" s="2015">
        <v>182.3</v>
      </c>
      <c r="B116" s="675">
        <v>18231291</v>
      </c>
      <c r="C116" s="675"/>
      <c r="D116" s="652" t="s">
        <v>1054</v>
      </c>
      <c r="E116" s="675" t="s">
        <v>968</v>
      </c>
      <c r="F116" s="2007" t="s">
        <v>392</v>
      </c>
      <c r="G116" s="2006">
        <v>-67232134</v>
      </c>
      <c r="H116" s="2006">
        <v>67232134</v>
      </c>
      <c r="I116" s="630">
        <f t="shared" si="33"/>
        <v>-67232134</v>
      </c>
      <c r="J116" s="630">
        <f t="shared" si="34"/>
        <v>0</v>
      </c>
      <c r="K116" s="630">
        <f t="shared" si="35"/>
        <v>0</v>
      </c>
      <c r="L116" s="631">
        <f t="shared" si="36"/>
        <v>0</v>
      </c>
      <c r="M116" s="631">
        <f t="shared" si="37"/>
        <v>0</v>
      </c>
      <c r="N116" s="631">
        <f t="shared" si="38"/>
        <v>-67232134</v>
      </c>
      <c r="O116" s="660">
        <f t="shared" si="39"/>
        <v>0</v>
      </c>
      <c r="P116" s="2005" t="s">
        <v>1053</v>
      </c>
    </row>
    <row r="117" spans="1:21">
      <c r="A117" s="2015">
        <v>182.3</v>
      </c>
      <c r="B117" s="2017">
        <v>18231341</v>
      </c>
      <c r="C117" s="2007"/>
      <c r="D117" s="2018" t="s">
        <v>8058</v>
      </c>
      <c r="E117" s="2017"/>
      <c r="F117" s="2017" t="s">
        <v>390</v>
      </c>
      <c r="G117" s="2011">
        <v>192874</v>
      </c>
      <c r="H117" s="2011">
        <v>0</v>
      </c>
      <c r="I117" s="673">
        <f t="shared" si="33"/>
        <v>0</v>
      </c>
      <c r="J117" s="673">
        <f t="shared" si="34"/>
        <v>0</v>
      </c>
      <c r="K117" s="673">
        <f t="shared" si="35"/>
        <v>192874</v>
      </c>
      <c r="L117" s="631">
        <f t="shared" si="36"/>
        <v>0</v>
      </c>
      <c r="M117" s="631">
        <f t="shared" si="37"/>
        <v>0</v>
      </c>
      <c r="N117" s="631">
        <f t="shared" si="38"/>
        <v>192874</v>
      </c>
      <c r="O117" s="660">
        <f t="shared" si="39"/>
        <v>0</v>
      </c>
      <c r="P117" s="2005" t="s">
        <v>8065</v>
      </c>
      <c r="R117" s="2027" t="s">
        <v>8359</v>
      </c>
      <c r="S117" s="2025" t="s">
        <v>8362</v>
      </c>
      <c r="T117" s="2025">
        <v>10100501</v>
      </c>
      <c r="U117" s="2061">
        <v>14784046.33</v>
      </c>
    </row>
    <row r="118" spans="1:21">
      <c r="A118" s="2015">
        <v>182.3</v>
      </c>
      <c r="B118" s="2017">
        <v>18231342</v>
      </c>
      <c r="C118" s="2007"/>
      <c r="D118" s="2018" t="s">
        <v>8059</v>
      </c>
      <c r="E118" s="2017"/>
      <c r="F118" s="2017" t="s">
        <v>988</v>
      </c>
      <c r="G118" s="2011">
        <v>87457</v>
      </c>
      <c r="H118" s="2011">
        <v>0</v>
      </c>
      <c r="I118" s="673">
        <f t="shared" si="33"/>
        <v>0</v>
      </c>
      <c r="J118" s="673">
        <f t="shared" si="34"/>
        <v>0</v>
      </c>
      <c r="K118" s="673">
        <f t="shared" si="35"/>
        <v>0</v>
      </c>
      <c r="L118" s="631">
        <f t="shared" si="36"/>
        <v>87457</v>
      </c>
      <c r="M118" s="631">
        <f t="shared" si="37"/>
        <v>0</v>
      </c>
      <c r="N118" s="631">
        <f t="shared" si="38"/>
        <v>87457</v>
      </c>
      <c r="O118" s="660">
        <f t="shared" si="39"/>
        <v>0</v>
      </c>
      <c r="P118" s="2005" t="s">
        <v>8065</v>
      </c>
      <c r="R118" s="2001"/>
      <c r="S118" s="2002"/>
      <c r="T118" s="2002">
        <v>18231391</v>
      </c>
      <c r="U118" s="2060">
        <v>-14784046.33</v>
      </c>
    </row>
    <row r="119" spans="1:21">
      <c r="A119" s="2015">
        <v>182.3</v>
      </c>
      <c r="B119" s="2017">
        <v>18231361</v>
      </c>
      <c r="C119" s="2007"/>
      <c r="D119" s="2018" t="s">
        <v>8060</v>
      </c>
      <c r="E119" s="2017"/>
      <c r="F119" s="2017" t="s">
        <v>390</v>
      </c>
      <c r="G119" s="2011">
        <v>2847372.14</v>
      </c>
      <c r="H119" s="2011">
        <v>0</v>
      </c>
      <c r="I119" s="673">
        <f t="shared" si="33"/>
        <v>0</v>
      </c>
      <c r="J119" s="673">
        <f t="shared" si="34"/>
        <v>0</v>
      </c>
      <c r="K119" s="673">
        <f t="shared" si="35"/>
        <v>2847372.14</v>
      </c>
      <c r="L119" s="631">
        <f t="shared" si="36"/>
        <v>0</v>
      </c>
      <c r="M119" s="631">
        <f t="shared" si="37"/>
        <v>0</v>
      </c>
      <c r="N119" s="631">
        <f t="shared" si="38"/>
        <v>2847372.14</v>
      </c>
      <c r="O119" s="660">
        <f t="shared" si="39"/>
        <v>0</v>
      </c>
      <c r="P119" s="2005" t="s">
        <v>8361</v>
      </c>
      <c r="R119" s="2001"/>
      <c r="S119" s="2002"/>
      <c r="T119" s="2002">
        <v>10800502</v>
      </c>
      <c r="U119" s="2060">
        <v>-2722129.91</v>
      </c>
    </row>
    <row r="120" spans="1:21" ht="12" thickBot="1">
      <c r="A120" s="2052">
        <v>182.3</v>
      </c>
      <c r="B120" s="2013">
        <v>18231391</v>
      </c>
      <c r="C120" s="2058"/>
      <c r="D120" s="2014" t="s">
        <v>8061</v>
      </c>
      <c r="E120" s="2013"/>
      <c r="F120" s="2013" t="s">
        <v>390</v>
      </c>
      <c r="G120" s="2057">
        <f>87964698+U118</f>
        <v>73180651.670000002</v>
      </c>
      <c r="H120" s="2011">
        <v>0</v>
      </c>
      <c r="I120" s="673">
        <f t="shared" si="33"/>
        <v>0</v>
      </c>
      <c r="J120" s="673">
        <f t="shared" si="34"/>
        <v>0</v>
      </c>
      <c r="K120" s="673">
        <f t="shared" si="35"/>
        <v>73180651.670000002</v>
      </c>
      <c r="L120" s="631">
        <f t="shared" si="36"/>
        <v>0</v>
      </c>
      <c r="M120" s="631">
        <f t="shared" si="37"/>
        <v>0</v>
      </c>
      <c r="N120" s="631">
        <f t="shared" si="38"/>
        <v>73180651.670000002</v>
      </c>
      <c r="O120" s="660">
        <f t="shared" si="39"/>
        <v>0</v>
      </c>
      <c r="R120" s="2022"/>
      <c r="S120" s="2020"/>
      <c r="T120" s="2020">
        <v>18231392</v>
      </c>
      <c r="U120" s="2059">
        <v>2722129.91</v>
      </c>
    </row>
    <row r="121" spans="1:21">
      <c r="A121" s="2052">
        <v>182.3</v>
      </c>
      <c r="B121" s="2013">
        <v>18231392</v>
      </c>
      <c r="C121" s="2058"/>
      <c r="D121" s="2014" t="s">
        <v>8062</v>
      </c>
      <c r="E121" s="2013"/>
      <c r="F121" s="2013" t="s">
        <v>988</v>
      </c>
      <c r="G121" s="2057">
        <f>28256330+U120</f>
        <v>30978459.91</v>
      </c>
      <c r="H121" s="2011">
        <v>0</v>
      </c>
      <c r="I121" s="673">
        <f t="shared" si="33"/>
        <v>0</v>
      </c>
      <c r="J121" s="673">
        <f t="shared" si="34"/>
        <v>0</v>
      </c>
      <c r="K121" s="673">
        <f t="shared" si="35"/>
        <v>0</v>
      </c>
      <c r="L121" s="631">
        <f t="shared" si="36"/>
        <v>30978459.91</v>
      </c>
      <c r="M121" s="631">
        <f t="shared" si="37"/>
        <v>0</v>
      </c>
      <c r="N121" s="631">
        <f t="shared" si="38"/>
        <v>30978459.91</v>
      </c>
      <c r="O121" s="660">
        <f t="shared" si="39"/>
        <v>0</v>
      </c>
    </row>
    <row r="122" spans="1:21">
      <c r="A122" s="2015">
        <v>182.3</v>
      </c>
      <c r="B122" s="675">
        <v>18232221</v>
      </c>
      <c r="C122" s="675"/>
      <c r="D122" s="652" t="s">
        <v>1055</v>
      </c>
      <c r="E122" s="675" t="s">
        <v>968</v>
      </c>
      <c r="F122" s="2007" t="s">
        <v>390</v>
      </c>
      <c r="G122" s="2006">
        <v>65181.59</v>
      </c>
      <c r="H122" s="2006">
        <v>39239.75</v>
      </c>
      <c r="I122" s="630">
        <f t="shared" si="33"/>
        <v>0</v>
      </c>
      <c r="J122" s="630">
        <f t="shared" si="34"/>
        <v>0</v>
      </c>
      <c r="K122" s="630">
        <f t="shared" si="35"/>
        <v>65181.59</v>
      </c>
      <c r="L122" s="631">
        <f t="shared" si="36"/>
        <v>0</v>
      </c>
      <c r="M122" s="631">
        <f t="shared" si="37"/>
        <v>0</v>
      </c>
      <c r="N122" s="631">
        <f t="shared" si="38"/>
        <v>65181.59</v>
      </c>
      <c r="O122" s="660">
        <f t="shared" si="39"/>
        <v>0</v>
      </c>
    </row>
    <row r="123" spans="1:21">
      <c r="A123" s="2015">
        <v>182.3</v>
      </c>
      <c r="B123" s="675">
        <v>18232251</v>
      </c>
      <c r="C123" s="675"/>
      <c r="D123" s="652" t="s">
        <v>1056</v>
      </c>
      <c r="E123" s="675" t="s">
        <v>968</v>
      </c>
      <c r="F123" s="2007" t="s">
        <v>390</v>
      </c>
      <c r="G123" s="2006">
        <v>38895.019999999997</v>
      </c>
      <c r="H123" s="2006">
        <v>17848.849999999999</v>
      </c>
      <c r="I123" s="630">
        <f t="shared" si="33"/>
        <v>0</v>
      </c>
      <c r="J123" s="630">
        <f t="shared" si="34"/>
        <v>0</v>
      </c>
      <c r="K123" s="630">
        <f t="shared" si="35"/>
        <v>38895.019999999997</v>
      </c>
      <c r="L123" s="631">
        <f t="shared" si="36"/>
        <v>0</v>
      </c>
      <c r="M123" s="631">
        <f t="shared" si="37"/>
        <v>0</v>
      </c>
      <c r="N123" s="631">
        <f t="shared" si="38"/>
        <v>38895.019999999997</v>
      </c>
      <c r="O123" s="660">
        <f t="shared" si="39"/>
        <v>0</v>
      </c>
    </row>
    <row r="124" spans="1:21">
      <c r="A124" s="2015">
        <v>182.3</v>
      </c>
      <c r="B124" s="675">
        <v>18232261</v>
      </c>
      <c r="C124" s="675"/>
      <c r="D124" s="652" t="s">
        <v>1057</v>
      </c>
      <c r="E124" s="675" t="s">
        <v>968</v>
      </c>
      <c r="F124" s="2007" t="s">
        <v>390</v>
      </c>
      <c r="G124" s="2006">
        <v>2206095.88</v>
      </c>
      <c r="H124" s="2006">
        <v>679084.47</v>
      </c>
      <c r="I124" s="630">
        <f t="shared" ref="I124:I187" si="40">IF(RIGHT($B124,1)="1", $G124*VLOOKUP($F124, Ratio, 2, FALSE), IF(RIGHT($B124,1)="3", $G124*VLOOKUP($F124, Ratio, 2, FALSE)*$F$5, 0))</f>
        <v>0</v>
      </c>
      <c r="J124" s="630">
        <f t="shared" ref="J124:J187" si="41">IF(RIGHT($B124,1)="1", $G124*VLOOKUP($F124, Ratio, 3, FALSE), IF(RIGHT($B124,1)="3", $G124*VLOOKUP($F124, Ratio, 3, FALSE)*$F$5, 0))</f>
        <v>0</v>
      </c>
      <c r="K124" s="630">
        <f t="shared" ref="K124:K187" si="42">IF(RIGHT($B124,1)="1", $G124*VLOOKUP($F124, Ratio, 4, FALSE), IF(RIGHT($B124,1)="3", $G124*VLOOKUP($F124, Ratio, 4, FALSE)*$F$5, 0))</f>
        <v>2206095.88</v>
      </c>
      <c r="L124" s="631">
        <f t="shared" ref="L124:L187" si="43">IF(F124="GAS", G124, 0)</f>
        <v>0</v>
      </c>
      <c r="M124" s="631">
        <f t="shared" ref="M124:M187" si="44">IF(RIGHT(B124,1)="3",G124*$G$5,0)</f>
        <v>0</v>
      </c>
      <c r="N124" s="631">
        <f t="shared" ref="N124:N187" si="45">SUM(I124:M124)</f>
        <v>2206095.88</v>
      </c>
      <c r="O124" s="660">
        <f t="shared" ref="O124:O187" si="46">G124-N124</f>
        <v>0</v>
      </c>
    </row>
    <row r="125" spans="1:21">
      <c r="A125" s="2015">
        <v>182.3</v>
      </c>
      <c r="B125" s="675">
        <v>18232271</v>
      </c>
      <c r="C125" s="675"/>
      <c r="D125" s="652" t="s">
        <v>1058</v>
      </c>
      <c r="E125" s="675" t="s">
        <v>968</v>
      </c>
      <c r="F125" s="2007" t="s">
        <v>390</v>
      </c>
      <c r="G125" s="2006">
        <v>-2770.72</v>
      </c>
      <c r="H125" s="2006">
        <v>-79058.080000000002</v>
      </c>
      <c r="I125" s="630">
        <f t="shared" si="40"/>
        <v>0</v>
      </c>
      <c r="J125" s="630">
        <f t="shared" si="41"/>
        <v>0</v>
      </c>
      <c r="K125" s="630">
        <f t="shared" si="42"/>
        <v>-2770.72</v>
      </c>
      <c r="L125" s="631">
        <f t="shared" si="43"/>
        <v>0</v>
      </c>
      <c r="M125" s="631">
        <f t="shared" si="44"/>
        <v>0</v>
      </c>
      <c r="N125" s="631">
        <f t="shared" si="45"/>
        <v>-2770.72</v>
      </c>
      <c r="O125" s="660">
        <f t="shared" si="46"/>
        <v>0</v>
      </c>
    </row>
    <row r="126" spans="1:21">
      <c r="A126" s="2015">
        <v>182.3</v>
      </c>
      <c r="B126" s="675">
        <v>18232301</v>
      </c>
      <c r="C126" s="675"/>
      <c r="D126" s="652" t="s">
        <v>1059</v>
      </c>
      <c r="E126" s="675" t="s">
        <v>968</v>
      </c>
      <c r="F126" s="2007" t="s">
        <v>392</v>
      </c>
      <c r="G126" s="2006">
        <v>37663841.369999997</v>
      </c>
      <c r="H126" s="2006">
        <v>42568897.369999997</v>
      </c>
      <c r="I126" s="630">
        <f t="shared" si="40"/>
        <v>37663841.369999997</v>
      </c>
      <c r="J126" s="630">
        <f t="shared" si="41"/>
        <v>0</v>
      </c>
      <c r="K126" s="630">
        <f t="shared" si="42"/>
        <v>0</v>
      </c>
      <c r="L126" s="631">
        <f t="shared" si="43"/>
        <v>0</v>
      </c>
      <c r="M126" s="631">
        <f t="shared" si="44"/>
        <v>0</v>
      </c>
      <c r="N126" s="631">
        <f t="shared" si="45"/>
        <v>37663841.369999997</v>
      </c>
      <c r="O126" s="660">
        <f t="shared" si="46"/>
        <v>0</v>
      </c>
    </row>
    <row r="127" spans="1:21">
      <c r="A127" s="2015">
        <v>182.3</v>
      </c>
      <c r="B127" s="675">
        <v>18232311</v>
      </c>
      <c r="C127" s="675"/>
      <c r="D127" s="652" t="s">
        <v>1060</v>
      </c>
      <c r="E127" s="675" t="s">
        <v>968</v>
      </c>
      <c r="F127" s="2007" t="s">
        <v>392</v>
      </c>
      <c r="G127" s="2006">
        <v>9244884</v>
      </c>
      <c r="H127" s="2006">
        <v>9932304</v>
      </c>
      <c r="I127" s="630">
        <f t="shared" si="40"/>
        <v>9244884</v>
      </c>
      <c r="J127" s="630">
        <f t="shared" si="41"/>
        <v>0</v>
      </c>
      <c r="K127" s="630">
        <f t="shared" si="42"/>
        <v>0</v>
      </c>
      <c r="L127" s="631">
        <f t="shared" si="43"/>
        <v>0</v>
      </c>
      <c r="M127" s="631">
        <f t="shared" si="44"/>
        <v>0</v>
      </c>
      <c r="N127" s="631">
        <f t="shared" si="45"/>
        <v>9244884</v>
      </c>
      <c r="O127" s="660">
        <f t="shared" si="46"/>
        <v>0</v>
      </c>
    </row>
    <row r="128" spans="1:21">
      <c r="A128" s="2015">
        <v>182.3</v>
      </c>
      <c r="B128" s="675">
        <v>18232321</v>
      </c>
      <c r="C128" s="675"/>
      <c r="D128" s="652" t="s">
        <v>1061</v>
      </c>
      <c r="E128" s="675" t="s">
        <v>968</v>
      </c>
      <c r="F128" s="2007" t="s">
        <v>392</v>
      </c>
      <c r="G128" s="2006">
        <v>0</v>
      </c>
      <c r="H128" s="2006">
        <v>0</v>
      </c>
      <c r="I128" s="630">
        <f t="shared" si="40"/>
        <v>0</v>
      </c>
      <c r="J128" s="630">
        <f t="shared" si="41"/>
        <v>0</v>
      </c>
      <c r="K128" s="630">
        <f t="shared" si="42"/>
        <v>0</v>
      </c>
      <c r="L128" s="631">
        <f t="shared" si="43"/>
        <v>0</v>
      </c>
      <c r="M128" s="631">
        <f t="shared" si="44"/>
        <v>0</v>
      </c>
      <c r="N128" s="631">
        <f t="shared" si="45"/>
        <v>0</v>
      </c>
      <c r="O128" s="660">
        <f t="shared" si="46"/>
        <v>0</v>
      </c>
    </row>
    <row r="129" spans="1:15">
      <c r="A129" s="2015">
        <v>182.3</v>
      </c>
      <c r="B129" s="675">
        <v>18232331</v>
      </c>
      <c r="C129" s="675"/>
      <c r="D129" s="652" t="s">
        <v>1062</v>
      </c>
      <c r="E129" s="675" t="s">
        <v>968</v>
      </c>
      <c r="F129" s="2007" t="s">
        <v>392</v>
      </c>
      <c r="G129" s="2006">
        <v>0</v>
      </c>
      <c r="H129" s="2006">
        <v>0</v>
      </c>
      <c r="I129" s="630">
        <f t="shared" si="40"/>
        <v>0</v>
      </c>
      <c r="J129" s="630">
        <f t="shared" si="41"/>
        <v>0</v>
      </c>
      <c r="K129" s="630">
        <f t="shared" si="42"/>
        <v>0</v>
      </c>
      <c r="L129" s="631">
        <f t="shared" si="43"/>
        <v>0</v>
      </c>
      <c r="M129" s="631">
        <f t="shared" si="44"/>
        <v>0</v>
      </c>
      <c r="N129" s="631">
        <f t="shared" si="45"/>
        <v>0</v>
      </c>
      <c r="O129" s="660">
        <f t="shared" si="46"/>
        <v>0</v>
      </c>
    </row>
    <row r="130" spans="1:15">
      <c r="A130" s="2015">
        <v>182.3</v>
      </c>
      <c r="B130" s="675">
        <v>18233061</v>
      </c>
      <c r="C130" s="675"/>
      <c r="D130" s="652" t="s">
        <v>1063</v>
      </c>
      <c r="E130" s="675" t="s">
        <v>968</v>
      </c>
      <c r="F130" s="2007" t="s">
        <v>390</v>
      </c>
      <c r="G130" s="2006">
        <v>0</v>
      </c>
      <c r="H130" s="2006">
        <v>0</v>
      </c>
      <c r="I130" s="630">
        <f t="shared" si="40"/>
        <v>0</v>
      </c>
      <c r="J130" s="630">
        <f t="shared" si="41"/>
        <v>0</v>
      </c>
      <c r="K130" s="630">
        <f t="shared" si="42"/>
        <v>0</v>
      </c>
      <c r="L130" s="631">
        <f t="shared" si="43"/>
        <v>0</v>
      </c>
      <c r="M130" s="631">
        <f t="shared" si="44"/>
        <v>0</v>
      </c>
      <c r="N130" s="631">
        <f t="shared" si="45"/>
        <v>0</v>
      </c>
      <c r="O130" s="660">
        <f t="shared" si="46"/>
        <v>0</v>
      </c>
    </row>
    <row r="131" spans="1:15">
      <c r="A131" s="2015">
        <v>182.3</v>
      </c>
      <c r="B131" s="675">
        <v>18233091</v>
      </c>
      <c r="C131" s="675"/>
      <c r="D131" s="652" t="s">
        <v>1064</v>
      </c>
      <c r="E131" s="675" t="s">
        <v>968</v>
      </c>
      <c r="F131" s="2007" t="s">
        <v>390</v>
      </c>
      <c r="G131" s="2006">
        <v>0</v>
      </c>
      <c r="H131" s="2006">
        <v>0</v>
      </c>
      <c r="I131" s="630">
        <f t="shared" si="40"/>
        <v>0</v>
      </c>
      <c r="J131" s="630">
        <f t="shared" si="41"/>
        <v>0</v>
      </c>
      <c r="K131" s="630">
        <f t="shared" si="42"/>
        <v>0</v>
      </c>
      <c r="L131" s="631">
        <f t="shared" si="43"/>
        <v>0</v>
      </c>
      <c r="M131" s="631">
        <f t="shared" si="44"/>
        <v>0</v>
      </c>
      <c r="N131" s="631">
        <f t="shared" si="45"/>
        <v>0</v>
      </c>
      <c r="O131" s="660">
        <f t="shared" si="46"/>
        <v>0</v>
      </c>
    </row>
    <row r="132" spans="1:15">
      <c r="A132" s="2015">
        <v>182.3</v>
      </c>
      <c r="B132" s="675">
        <v>18233131</v>
      </c>
      <c r="C132" s="675"/>
      <c r="D132" s="652" t="s">
        <v>1065</v>
      </c>
      <c r="E132" s="675" t="s">
        <v>968</v>
      </c>
      <c r="F132" s="2007" t="s">
        <v>390</v>
      </c>
      <c r="G132" s="2006">
        <v>0</v>
      </c>
      <c r="H132" s="2006">
        <v>0</v>
      </c>
      <c r="I132" s="630">
        <f t="shared" si="40"/>
        <v>0</v>
      </c>
      <c r="J132" s="630">
        <f t="shared" si="41"/>
        <v>0</v>
      </c>
      <c r="K132" s="630">
        <f t="shared" si="42"/>
        <v>0</v>
      </c>
      <c r="L132" s="631">
        <f t="shared" si="43"/>
        <v>0</v>
      </c>
      <c r="M132" s="631">
        <f t="shared" si="44"/>
        <v>0</v>
      </c>
      <c r="N132" s="631">
        <f t="shared" si="45"/>
        <v>0</v>
      </c>
      <c r="O132" s="660">
        <f t="shared" si="46"/>
        <v>0</v>
      </c>
    </row>
    <row r="133" spans="1:15">
      <c r="A133" s="2015">
        <v>182.3</v>
      </c>
      <c r="B133" s="675">
        <v>18235521</v>
      </c>
      <c r="C133" s="675"/>
      <c r="D133" s="652" t="s">
        <v>1066</v>
      </c>
      <c r="E133" s="675" t="s">
        <v>968</v>
      </c>
      <c r="F133" s="2007" t="s">
        <v>392</v>
      </c>
      <c r="G133" s="2006">
        <v>3440074.88</v>
      </c>
      <c r="H133" s="2006">
        <v>6325126.8799999999</v>
      </c>
      <c r="I133" s="630">
        <f t="shared" si="40"/>
        <v>3440074.88</v>
      </c>
      <c r="J133" s="630">
        <f t="shared" si="41"/>
        <v>0</v>
      </c>
      <c r="K133" s="630">
        <f t="shared" si="42"/>
        <v>0</v>
      </c>
      <c r="L133" s="631">
        <f t="shared" si="43"/>
        <v>0</v>
      </c>
      <c r="M133" s="631">
        <f t="shared" si="44"/>
        <v>0</v>
      </c>
      <c r="N133" s="631">
        <f t="shared" si="45"/>
        <v>3440074.88</v>
      </c>
      <c r="O133" s="660">
        <f t="shared" si="46"/>
        <v>0</v>
      </c>
    </row>
    <row r="134" spans="1:15">
      <c r="A134" s="2015">
        <v>182.3</v>
      </c>
      <c r="B134" s="675">
        <v>18236021</v>
      </c>
      <c r="C134" s="675"/>
      <c r="D134" s="652" t="s">
        <v>1067</v>
      </c>
      <c r="E134" s="675" t="s">
        <v>968</v>
      </c>
      <c r="F134" s="2007" t="s">
        <v>392</v>
      </c>
      <c r="G134" s="2006">
        <v>0</v>
      </c>
      <c r="H134" s="2006">
        <v>0</v>
      </c>
      <c r="I134" s="630">
        <f t="shared" si="40"/>
        <v>0</v>
      </c>
      <c r="J134" s="630">
        <f t="shared" si="41"/>
        <v>0</v>
      </c>
      <c r="K134" s="630">
        <f t="shared" si="42"/>
        <v>0</v>
      </c>
      <c r="L134" s="631">
        <f t="shared" si="43"/>
        <v>0</v>
      </c>
      <c r="M134" s="631">
        <f t="shared" si="44"/>
        <v>0</v>
      </c>
      <c r="N134" s="631">
        <f t="shared" si="45"/>
        <v>0</v>
      </c>
      <c r="O134" s="660">
        <f t="shared" si="46"/>
        <v>0</v>
      </c>
    </row>
    <row r="135" spans="1:15">
      <c r="A135" s="2015">
        <v>182.3</v>
      </c>
      <c r="B135" s="675">
        <v>18236022</v>
      </c>
      <c r="C135" s="675"/>
      <c r="D135" s="652" t="s">
        <v>1068</v>
      </c>
      <c r="E135" s="675" t="s">
        <v>968</v>
      </c>
      <c r="F135" s="2007" t="s">
        <v>988</v>
      </c>
      <c r="G135" s="2006">
        <v>0</v>
      </c>
      <c r="H135" s="2006">
        <v>0</v>
      </c>
      <c r="I135" s="630">
        <f t="shared" si="40"/>
        <v>0</v>
      </c>
      <c r="J135" s="630">
        <f t="shared" si="41"/>
        <v>0</v>
      </c>
      <c r="K135" s="630">
        <f t="shared" si="42"/>
        <v>0</v>
      </c>
      <c r="L135" s="631">
        <f t="shared" si="43"/>
        <v>0</v>
      </c>
      <c r="M135" s="631">
        <f t="shared" si="44"/>
        <v>0</v>
      </c>
      <c r="N135" s="631">
        <f t="shared" si="45"/>
        <v>0</v>
      </c>
      <c r="O135" s="660">
        <f t="shared" si="46"/>
        <v>0</v>
      </c>
    </row>
    <row r="136" spans="1:15">
      <c r="A136" s="2015">
        <v>182.3</v>
      </c>
      <c r="B136" s="675">
        <v>18236031</v>
      </c>
      <c r="C136" s="675"/>
      <c r="D136" s="652" t="s">
        <v>1069</v>
      </c>
      <c r="E136" s="675" t="s">
        <v>968</v>
      </c>
      <c r="F136" s="2007" t="s">
        <v>392</v>
      </c>
      <c r="G136" s="2006">
        <v>0</v>
      </c>
      <c r="H136" s="2006">
        <v>0</v>
      </c>
      <c r="I136" s="630">
        <f t="shared" si="40"/>
        <v>0</v>
      </c>
      <c r="J136" s="630">
        <f t="shared" si="41"/>
        <v>0</v>
      </c>
      <c r="K136" s="630">
        <f t="shared" si="42"/>
        <v>0</v>
      </c>
      <c r="L136" s="631">
        <f t="shared" si="43"/>
        <v>0</v>
      </c>
      <c r="M136" s="631">
        <f t="shared" si="44"/>
        <v>0</v>
      </c>
      <c r="N136" s="631">
        <f t="shared" si="45"/>
        <v>0</v>
      </c>
      <c r="O136" s="660">
        <f t="shared" si="46"/>
        <v>0</v>
      </c>
    </row>
    <row r="137" spans="1:15">
      <c r="A137" s="2015">
        <v>182.3</v>
      </c>
      <c r="B137" s="675">
        <v>18236041</v>
      </c>
      <c r="C137" s="675"/>
      <c r="D137" s="652" t="s">
        <v>1070</v>
      </c>
      <c r="E137" s="675" t="s">
        <v>968</v>
      </c>
      <c r="F137" s="2007" t="s">
        <v>392</v>
      </c>
      <c r="G137" s="2006">
        <v>0</v>
      </c>
      <c r="H137" s="2006">
        <v>0</v>
      </c>
      <c r="I137" s="630">
        <f t="shared" si="40"/>
        <v>0</v>
      </c>
      <c r="J137" s="630">
        <f t="shared" si="41"/>
        <v>0</v>
      </c>
      <c r="K137" s="630">
        <f t="shared" si="42"/>
        <v>0</v>
      </c>
      <c r="L137" s="631">
        <f t="shared" si="43"/>
        <v>0</v>
      </c>
      <c r="M137" s="631">
        <f t="shared" si="44"/>
        <v>0</v>
      </c>
      <c r="N137" s="631">
        <f t="shared" si="45"/>
        <v>0</v>
      </c>
      <c r="O137" s="660">
        <f t="shared" si="46"/>
        <v>0</v>
      </c>
    </row>
    <row r="138" spans="1:15">
      <c r="A138" s="2015">
        <v>182.3</v>
      </c>
      <c r="B138" s="675">
        <v>18236051</v>
      </c>
      <c r="C138" s="675"/>
      <c r="D138" s="652" t="s">
        <v>1071</v>
      </c>
      <c r="E138" s="675" t="s">
        <v>968</v>
      </c>
      <c r="F138" s="2007" t="s">
        <v>392</v>
      </c>
      <c r="G138" s="2006">
        <v>0</v>
      </c>
      <c r="H138" s="2006">
        <v>0</v>
      </c>
      <c r="I138" s="630">
        <f t="shared" si="40"/>
        <v>0</v>
      </c>
      <c r="J138" s="630">
        <f t="shared" si="41"/>
        <v>0</v>
      </c>
      <c r="K138" s="630">
        <f t="shared" si="42"/>
        <v>0</v>
      </c>
      <c r="L138" s="631">
        <f t="shared" si="43"/>
        <v>0</v>
      </c>
      <c r="M138" s="631">
        <f t="shared" si="44"/>
        <v>0</v>
      </c>
      <c r="N138" s="631">
        <f t="shared" si="45"/>
        <v>0</v>
      </c>
      <c r="O138" s="660">
        <f t="shared" si="46"/>
        <v>0</v>
      </c>
    </row>
    <row r="139" spans="1:15">
      <c r="A139" s="2015">
        <v>182.3</v>
      </c>
      <c r="B139" s="675">
        <v>18236061</v>
      </c>
      <c r="C139" s="675"/>
      <c r="D139" s="652" t="s">
        <v>1072</v>
      </c>
      <c r="E139" s="675" t="s">
        <v>968</v>
      </c>
      <c r="F139" s="2007" t="s">
        <v>392</v>
      </c>
      <c r="G139" s="2006">
        <v>0</v>
      </c>
      <c r="H139" s="2006">
        <v>0</v>
      </c>
      <c r="I139" s="630">
        <f t="shared" si="40"/>
        <v>0</v>
      </c>
      <c r="J139" s="630">
        <f t="shared" si="41"/>
        <v>0</v>
      </c>
      <c r="K139" s="630">
        <f t="shared" si="42"/>
        <v>0</v>
      </c>
      <c r="L139" s="631">
        <f t="shared" si="43"/>
        <v>0</v>
      </c>
      <c r="M139" s="631">
        <f t="shared" si="44"/>
        <v>0</v>
      </c>
      <c r="N139" s="631">
        <f t="shared" si="45"/>
        <v>0</v>
      </c>
      <c r="O139" s="660">
        <f t="shared" si="46"/>
        <v>0</v>
      </c>
    </row>
    <row r="140" spans="1:15">
      <c r="A140" s="2015">
        <v>182.3</v>
      </c>
      <c r="B140" s="675">
        <v>18236071</v>
      </c>
      <c r="C140" s="675"/>
      <c r="D140" s="652" t="s">
        <v>1073</v>
      </c>
      <c r="E140" s="675" t="s">
        <v>968</v>
      </c>
      <c r="F140" s="2007" t="s">
        <v>392</v>
      </c>
      <c r="G140" s="2006">
        <v>0</v>
      </c>
      <c r="H140" s="2006">
        <v>0</v>
      </c>
      <c r="I140" s="630">
        <f t="shared" si="40"/>
        <v>0</v>
      </c>
      <c r="J140" s="630">
        <f t="shared" si="41"/>
        <v>0</v>
      </c>
      <c r="K140" s="630">
        <f t="shared" si="42"/>
        <v>0</v>
      </c>
      <c r="L140" s="631">
        <f t="shared" si="43"/>
        <v>0</v>
      </c>
      <c r="M140" s="631">
        <f t="shared" si="44"/>
        <v>0</v>
      </c>
      <c r="N140" s="631">
        <f t="shared" si="45"/>
        <v>0</v>
      </c>
      <c r="O140" s="660">
        <f t="shared" si="46"/>
        <v>0</v>
      </c>
    </row>
    <row r="141" spans="1:15">
      <c r="A141" s="2015">
        <v>182.3</v>
      </c>
      <c r="B141" s="675">
        <v>18236091</v>
      </c>
      <c r="C141" s="675"/>
      <c r="D141" s="652" t="s">
        <v>1074</v>
      </c>
      <c r="E141" s="675" t="s">
        <v>968</v>
      </c>
      <c r="F141" s="2007" t="s">
        <v>392</v>
      </c>
      <c r="G141" s="2006">
        <v>0</v>
      </c>
      <c r="H141" s="2006">
        <v>0</v>
      </c>
      <c r="I141" s="630">
        <f t="shared" si="40"/>
        <v>0</v>
      </c>
      <c r="J141" s="630">
        <f t="shared" si="41"/>
        <v>0</v>
      </c>
      <c r="K141" s="630">
        <f t="shared" si="42"/>
        <v>0</v>
      </c>
      <c r="L141" s="631">
        <f t="shared" si="43"/>
        <v>0</v>
      </c>
      <c r="M141" s="631">
        <f t="shared" si="44"/>
        <v>0</v>
      </c>
      <c r="N141" s="631">
        <f t="shared" si="45"/>
        <v>0</v>
      </c>
      <c r="O141" s="660">
        <f t="shared" si="46"/>
        <v>0</v>
      </c>
    </row>
    <row r="142" spans="1:15">
      <c r="A142" s="2015">
        <v>182.3</v>
      </c>
      <c r="B142" s="675">
        <v>18236101</v>
      </c>
      <c r="C142" s="675"/>
      <c r="D142" s="652" t="s">
        <v>1075</v>
      </c>
      <c r="E142" s="675" t="s">
        <v>968</v>
      </c>
      <c r="F142" s="2007" t="s">
        <v>392</v>
      </c>
      <c r="G142" s="2006">
        <v>0</v>
      </c>
      <c r="H142" s="2006">
        <v>0</v>
      </c>
      <c r="I142" s="630">
        <f t="shared" si="40"/>
        <v>0</v>
      </c>
      <c r="J142" s="630">
        <f t="shared" si="41"/>
        <v>0</v>
      </c>
      <c r="K142" s="630">
        <f t="shared" si="42"/>
        <v>0</v>
      </c>
      <c r="L142" s="631">
        <f t="shared" si="43"/>
        <v>0</v>
      </c>
      <c r="M142" s="631">
        <f t="shared" si="44"/>
        <v>0</v>
      </c>
      <c r="N142" s="631">
        <f t="shared" si="45"/>
        <v>0</v>
      </c>
      <c r="O142" s="660">
        <f t="shared" si="46"/>
        <v>0</v>
      </c>
    </row>
    <row r="143" spans="1:15">
      <c r="A143" s="2015">
        <v>182.3</v>
      </c>
      <c r="B143" s="675">
        <v>18236111</v>
      </c>
      <c r="C143" s="675"/>
      <c r="D143" s="652" t="s">
        <v>1076</v>
      </c>
      <c r="E143" s="675" t="s">
        <v>968</v>
      </c>
      <c r="F143" s="2007" t="s">
        <v>392</v>
      </c>
      <c r="G143" s="2006">
        <v>4424.7</v>
      </c>
      <c r="H143" s="2006">
        <v>3780</v>
      </c>
      <c r="I143" s="630">
        <f t="shared" si="40"/>
        <v>4424.7</v>
      </c>
      <c r="J143" s="630">
        <f t="shared" si="41"/>
        <v>0</v>
      </c>
      <c r="K143" s="630">
        <f t="shared" si="42"/>
        <v>0</v>
      </c>
      <c r="L143" s="631">
        <f t="shared" si="43"/>
        <v>0</v>
      </c>
      <c r="M143" s="631">
        <f t="shared" si="44"/>
        <v>0</v>
      </c>
      <c r="N143" s="631">
        <f t="shared" si="45"/>
        <v>4424.7</v>
      </c>
      <c r="O143" s="660">
        <f t="shared" si="46"/>
        <v>0</v>
      </c>
    </row>
    <row r="144" spans="1:15">
      <c r="A144" s="2015">
        <v>182.3</v>
      </c>
      <c r="B144" s="675">
        <v>18237112</v>
      </c>
      <c r="C144" s="675"/>
      <c r="D144" s="652" t="s">
        <v>1077</v>
      </c>
      <c r="E144" s="675" t="s">
        <v>968</v>
      </c>
      <c r="F144" s="2007" t="s">
        <v>988</v>
      </c>
      <c r="G144" s="2006">
        <v>0</v>
      </c>
      <c r="H144" s="2006">
        <v>0</v>
      </c>
      <c r="I144" s="630">
        <f t="shared" si="40"/>
        <v>0</v>
      </c>
      <c r="J144" s="630">
        <f t="shared" si="41"/>
        <v>0</v>
      </c>
      <c r="K144" s="630">
        <f t="shared" si="42"/>
        <v>0</v>
      </c>
      <c r="L144" s="631">
        <f t="shared" si="43"/>
        <v>0</v>
      </c>
      <c r="M144" s="631">
        <f t="shared" si="44"/>
        <v>0</v>
      </c>
      <c r="N144" s="631">
        <f t="shared" si="45"/>
        <v>0</v>
      </c>
      <c r="O144" s="660">
        <f t="shared" si="46"/>
        <v>0</v>
      </c>
    </row>
    <row r="145" spans="1:15">
      <c r="A145" s="2015">
        <v>182.3</v>
      </c>
      <c r="B145" s="675">
        <v>18237122</v>
      </c>
      <c r="C145" s="675"/>
      <c r="D145" s="652" t="s">
        <v>1078</v>
      </c>
      <c r="E145" s="675" t="s">
        <v>968</v>
      </c>
      <c r="F145" s="2007" t="s">
        <v>988</v>
      </c>
      <c r="G145" s="2006">
        <v>0</v>
      </c>
      <c r="H145" s="2006">
        <v>0</v>
      </c>
      <c r="I145" s="630">
        <f t="shared" si="40"/>
        <v>0</v>
      </c>
      <c r="J145" s="630">
        <f t="shared" si="41"/>
        <v>0</v>
      </c>
      <c r="K145" s="630">
        <f t="shared" si="42"/>
        <v>0</v>
      </c>
      <c r="L145" s="631">
        <f t="shared" si="43"/>
        <v>0</v>
      </c>
      <c r="M145" s="631">
        <f t="shared" si="44"/>
        <v>0</v>
      </c>
      <c r="N145" s="631">
        <f t="shared" si="45"/>
        <v>0</v>
      </c>
      <c r="O145" s="660">
        <f t="shared" si="46"/>
        <v>0</v>
      </c>
    </row>
    <row r="146" spans="1:15">
      <c r="A146" s="2015">
        <v>182.3</v>
      </c>
      <c r="B146" s="675">
        <v>18237132</v>
      </c>
      <c r="C146" s="675"/>
      <c r="D146" s="652" t="s">
        <v>1079</v>
      </c>
      <c r="E146" s="675" t="s">
        <v>968</v>
      </c>
      <c r="F146" s="2007" t="s">
        <v>988</v>
      </c>
      <c r="G146" s="2006">
        <v>0</v>
      </c>
      <c r="H146" s="2006">
        <v>0</v>
      </c>
      <c r="I146" s="630">
        <f t="shared" si="40"/>
        <v>0</v>
      </c>
      <c r="J146" s="630">
        <f t="shared" si="41"/>
        <v>0</v>
      </c>
      <c r="K146" s="630">
        <f t="shared" si="42"/>
        <v>0</v>
      </c>
      <c r="L146" s="631">
        <f t="shared" si="43"/>
        <v>0</v>
      </c>
      <c r="M146" s="631">
        <f t="shared" si="44"/>
        <v>0</v>
      </c>
      <c r="N146" s="631">
        <f t="shared" si="45"/>
        <v>0</v>
      </c>
      <c r="O146" s="660">
        <f t="shared" si="46"/>
        <v>0</v>
      </c>
    </row>
    <row r="147" spans="1:15">
      <c r="A147" s="2015">
        <v>182.3</v>
      </c>
      <c r="B147" s="675">
        <v>18237142</v>
      </c>
      <c r="C147" s="675"/>
      <c r="D147" s="652" t="s">
        <v>1080</v>
      </c>
      <c r="E147" s="675" t="s">
        <v>968</v>
      </c>
      <c r="F147" s="2007" t="s">
        <v>988</v>
      </c>
      <c r="G147" s="2006">
        <v>0</v>
      </c>
      <c r="H147" s="2006">
        <v>0</v>
      </c>
      <c r="I147" s="630">
        <f t="shared" si="40"/>
        <v>0</v>
      </c>
      <c r="J147" s="630">
        <f t="shared" si="41"/>
        <v>0</v>
      </c>
      <c r="K147" s="630">
        <f t="shared" si="42"/>
        <v>0</v>
      </c>
      <c r="L147" s="631">
        <f t="shared" si="43"/>
        <v>0</v>
      </c>
      <c r="M147" s="631">
        <f t="shared" si="44"/>
        <v>0</v>
      </c>
      <c r="N147" s="631">
        <f t="shared" si="45"/>
        <v>0</v>
      </c>
      <c r="O147" s="660">
        <f t="shared" si="46"/>
        <v>0</v>
      </c>
    </row>
    <row r="148" spans="1:15">
      <c r="A148" s="2015">
        <v>182.3</v>
      </c>
      <c r="B148" s="675">
        <v>18237152</v>
      </c>
      <c r="C148" s="675"/>
      <c r="D148" s="652" t="s">
        <v>1081</v>
      </c>
      <c r="E148" s="675" t="s">
        <v>968</v>
      </c>
      <c r="F148" s="2007" t="s">
        <v>988</v>
      </c>
      <c r="G148" s="2006">
        <v>0</v>
      </c>
      <c r="H148" s="2006">
        <v>0</v>
      </c>
      <c r="I148" s="630">
        <f t="shared" si="40"/>
        <v>0</v>
      </c>
      <c r="J148" s="630">
        <f t="shared" si="41"/>
        <v>0</v>
      </c>
      <c r="K148" s="630">
        <f t="shared" si="42"/>
        <v>0</v>
      </c>
      <c r="L148" s="631">
        <f t="shared" si="43"/>
        <v>0</v>
      </c>
      <c r="M148" s="631">
        <f t="shared" si="44"/>
        <v>0</v>
      </c>
      <c r="N148" s="631">
        <f t="shared" si="45"/>
        <v>0</v>
      </c>
      <c r="O148" s="660">
        <f t="shared" si="46"/>
        <v>0</v>
      </c>
    </row>
    <row r="149" spans="1:15">
      <c r="A149" s="2015">
        <v>182.3</v>
      </c>
      <c r="B149" s="675">
        <v>18237161</v>
      </c>
      <c r="C149" s="675"/>
      <c r="D149" s="652" t="s">
        <v>1082</v>
      </c>
      <c r="E149" s="675" t="s">
        <v>968</v>
      </c>
      <c r="F149" s="2007" t="s">
        <v>390</v>
      </c>
      <c r="G149" s="2006">
        <v>0</v>
      </c>
      <c r="H149" s="2006">
        <v>0</v>
      </c>
      <c r="I149" s="630">
        <f t="shared" si="40"/>
        <v>0</v>
      </c>
      <c r="J149" s="630">
        <f t="shared" si="41"/>
        <v>0</v>
      </c>
      <c r="K149" s="630">
        <f t="shared" si="42"/>
        <v>0</v>
      </c>
      <c r="L149" s="631">
        <f t="shared" si="43"/>
        <v>0</v>
      </c>
      <c r="M149" s="631">
        <f t="shared" si="44"/>
        <v>0</v>
      </c>
      <c r="N149" s="631">
        <f t="shared" si="45"/>
        <v>0</v>
      </c>
      <c r="O149" s="660">
        <f t="shared" si="46"/>
        <v>0</v>
      </c>
    </row>
    <row r="150" spans="1:15">
      <c r="A150" s="2015">
        <v>182.3</v>
      </c>
      <c r="B150" s="675">
        <v>18237171</v>
      </c>
      <c r="C150" s="675"/>
      <c r="D150" s="652" t="s">
        <v>1083</v>
      </c>
      <c r="E150" s="675" t="s">
        <v>968</v>
      </c>
      <c r="F150" s="2007" t="s">
        <v>390</v>
      </c>
      <c r="G150" s="2006">
        <v>0</v>
      </c>
      <c r="H150" s="2006">
        <v>0</v>
      </c>
      <c r="I150" s="630">
        <f t="shared" si="40"/>
        <v>0</v>
      </c>
      <c r="J150" s="630">
        <f t="shared" si="41"/>
        <v>0</v>
      </c>
      <c r="K150" s="630">
        <f t="shared" si="42"/>
        <v>0</v>
      </c>
      <c r="L150" s="631">
        <f t="shared" si="43"/>
        <v>0</v>
      </c>
      <c r="M150" s="631">
        <f t="shared" si="44"/>
        <v>0</v>
      </c>
      <c r="N150" s="631">
        <f t="shared" si="45"/>
        <v>0</v>
      </c>
      <c r="O150" s="660">
        <f t="shared" si="46"/>
        <v>0</v>
      </c>
    </row>
    <row r="151" spans="1:15">
      <c r="A151" s="2015">
        <v>182.3</v>
      </c>
      <c r="B151" s="675">
        <v>18237181</v>
      </c>
      <c r="C151" s="675"/>
      <c r="D151" s="652" t="s">
        <v>1084</v>
      </c>
      <c r="E151" s="675" t="s">
        <v>968</v>
      </c>
      <c r="F151" s="2007" t="s">
        <v>390</v>
      </c>
      <c r="G151" s="2006">
        <v>0</v>
      </c>
      <c r="H151" s="2006">
        <v>0</v>
      </c>
      <c r="I151" s="630">
        <f t="shared" si="40"/>
        <v>0</v>
      </c>
      <c r="J151" s="630">
        <f t="shared" si="41"/>
        <v>0</v>
      </c>
      <c r="K151" s="630">
        <f t="shared" si="42"/>
        <v>0</v>
      </c>
      <c r="L151" s="631">
        <f t="shared" si="43"/>
        <v>0</v>
      </c>
      <c r="M151" s="631">
        <f t="shared" si="44"/>
        <v>0</v>
      </c>
      <c r="N151" s="631">
        <f t="shared" si="45"/>
        <v>0</v>
      </c>
      <c r="O151" s="660">
        <f t="shared" si="46"/>
        <v>0</v>
      </c>
    </row>
    <row r="152" spans="1:15">
      <c r="A152" s="2015">
        <v>182.3</v>
      </c>
      <c r="B152" s="675">
        <v>18237191</v>
      </c>
      <c r="C152" s="675"/>
      <c r="D152" s="652" t="s">
        <v>1085</v>
      </c>
      <c r="E152" s="675" t="s">
        <v>968</v>
      </c>
      <c r="F152" s="2007" t="s">
        <v>390</v>
      </c>
      <c r="G152" s="2006">
        <v>0</v>
      </c>
      <c r="H152" s="2006">
        <v>0</v>
      </c>
      <c r="I152" s="630">
        <f t="shared" si="40"/>
        <v>0</v>
      </c>
      <c r="J152" s="630">
        <f t="shared" si="41"/>
        <v>0</v>
      </c>
      <c r="K152" s="630">
        <f t="shared" si="42"/>
        <v>0</v>
      </c>
      <c r="L152" s="631">
        <f t="shared" si="43"/>
        <v>0</v>
      </c>
      <c r="M152" s="631">
        <f t="shared" si="44"/>
        <v>0</v>
      </c>
      <c r="N152" s="631">
        <f t="shared" si="45"/>
        <v>0</v>
      </c>
      <c r="O152" s="660">
        <f t="shared" si="46"/>
        <v>0</v>
      </c>
    </row>
    <row r="153" spans="1:15">
      <c r="A153" s="2015">
        <v>182.3</v>
      </c>
      <c r="B153" s="675">
        <v>18237201</v>
      </c>
      <c r="C153" s="675"/>
      <c r="D153" s="652" t="s">
        <v>1086</v>
      </c>
      <c r="E153" s="675" t="s">
        <v>968</v>
      </c>
      <c r="F153" s="2007" t="s">
        <v>390</v>
      </c>
      <c r="G153" s="2006">
        <v>55838.52</v>
      </c>
      <c r="H153" s="2006">
        <v>0</v>
      </c>
      <c r="I153" s="630">
        <f t="shared" si="40"/>
        <v>0</v>
      </c>
      <c r="J153" s="630">
        <f t="shared" si="41"/>
        <v>0</v>
      </c>
      <c r="K153" s="630">
        <f t="shared" si="42"/>
        <v>55838.52</v>
      </c>
      <c r="L153" s="631">
        <f t="shared" si="43"/>
        <v>0</v>
      </c>
      <c r="M153" s="631">
        <f t="shared" si="44"/>
        <v>0</v>
      </c>
      <c r="N153" s="631">
        <f t="shared" si="45"/>
        <v>55838.52</v>
      </c>
      <c r="O153" s="660">
        <f t="shared" si="46"/>
        <v>0</v>
      </c>
    </row>
    <row r="154" spans="1:15">
      <c r="A154" s="2015">
        <v>182.3</v>
      </c>
      <c r="B154" s="675">
        <v>18237211</v>
      </c>
      <c r="C154" s="675"/>
      <c r="D154" s="652" t="s">
        <v>1087</v>
      </c>
      <c r="E154" s="675" t="s">
        <v>968</v>
      </c>
      <c r="F154" s="2007" t="s">
        <v>390</v>
      </c>
      <c r="G154" s="2006">
        <v>0</v>
      </c>
      <c r="H154" s="2006">
        <v>9477980.9000000004</v>
      </c>
      <c r="I154" s="630">
        <f t="shared" si="40"/>
        <v>0</v>
      </c>
      <c r="J154" s="630">
        <f t="shared" si="41"/>
        <v>0</v>
      </c>
      <c r="K154" s="630">
        <f t="shared" si="42"/>
        <v>0</v>
      </c>
      <c r="L154" s="631">
        <f t="shared" si="43"/>
        <v>0</v>
      </c>
      <c r="M154" s="631">
        <f t="shared" si="44"/>
        <v>0</v>
      </c>
      <c r="N154" s="631">
        <f t="shared" si="45"/>
        <v>0</v>
      </c>
      <c r="O154" s="660">
        <f t="shared" si="46"/>
        <v>0</v>
      </c>
    </row>
    <row r="155" spans="1:15">
      <c r="A155" s="2015">
        <v>182.3</v>
      </c>
      <c r="B155" s="675">
        <v>18237221</v>
      </c>
      <c r="C155" s="675"/>
      <c r="D155" s="652" t="s">
        <v>1088</v>
      </c>
      <c r="E155" s="675" t="s">
        <v>968</v>
      </c>
      <c r="F155" s="2007" t="s">
        <v>390</v>
      </c>
      <c r="G155" s="2006">
        <v>111093.7</v>
      </c>
      <c r="H155" s="2006">
        <v>135071.54999999999</v>
      </c>
      <c r="I155" s="630">
        <f t="shared" si="40"/>
        <v>0</v>
      </c>
      <c r="J155" s="630">
        <f t="shared" si="41"/>
        <v>0</v>
      </c>
      <c r="K155" s="630">
        <f t="shared" si="42"/>
        <v>111093.7</v>
      </c>
      <c r="L155" s="631">
        <f t="shared" si="43"/>
        <v>0</v>
      </c>
      <c r="M155" s="631">
        <f t="shared" si="44"/>
        <v>0</v>
      </c>
      <c r="N155" s="631">
        <f t="shared" si="45"/>
        <v>111093.7</v>
      </c>
      <c r="O155" s="660">
        <f t="shared" si="46"/>
        <v>0</v>
      </c>
    </row>
    <row r="156" spans="1:15">
      <c r="A156" s="2015">
        <v>182.3</v>
      </c>
      <c r="B156" s="675">
        <v>18237231</v>
      </c>
      <c r="C156" s="675"/>
      <c r="D156" s="652" t="s">
        <v>1089</v>
      </c>
      <c r="E156" s="675" t="s">
        <v>968</v>
      </c>
      <c r="F156" s="2007" t="s">
        <v>390</v>
      </c>
      <c r="G156" s="2006">
        <v>0</v>
      </c>
      <c r="H156" s="2006">
        <v>0</v>
      </c>
      <c r="I156" s="630">
        <f t="shared" si="40"/>
        <v>0</v>
      </c>
      <c r="J156" s="630">
        <f t="shared" si="41"/>
        <v>0</v>
      </c>
      <c r="K156" s="630">
        <f t="shared" si="42"/>
        <v>0</v>
      </c>
      <c r="L156" s="631">
        <f t="shared" si="43"/>
        <v>0</v>
      </c>
      <c r="M156" s="631">
        <f t="shared" si="44"/>
        <v>0</v>
      </c>
      <c r="N156" s="631">
        <f t="shared" si="45"/>
        <v>0</v>
      </c>
      <c r="O156" s="660">
        <f t="shared" si="46"/>
        <v>0</v>
      </c>
    </row>
    <row r="157" spans="1:15">
      <c r="A157" s="2015">
        <v>182.3</v>
      </c>
      <c r="B157" s="675">
        <v>18237241</v>
      </c>
      <c r="C157" s="675"/>
      <c r="D157" s="652" t="s">
        <v>1090</v>
      </c>
      <c r="E157" s="675" t="s">
        <v>968</v>
      </c>
      <c r="F157" s="2007" t="s">
        <v>390</v>
      </c>
      <c r="G157" s="2006">
        <v>0</v>
      </c>
      <c r="H157" s="2006">
        <v>0</v>
      </c>
      <c r="I157" s="630">
        <f t="shared" si="40"/>
        <v>0</v>
      </c>
      <c r="J157" s="630">
        <f t="shared" si="41"/>
        <v>0</v>
      </c>
      <c r="K157" s="630">
        <f t="shared" si="42"/>
        <v>0</v>
      </c>
      <c r="L157" s="631">
        <f t="shared" si="43"/>
        <v>0</v>
      </c>
      <c r="M157" s="631">
        <f t="shared" si="44"/>
        <v>0</v>
      </c>
      <c r="N157" s="631">
        <f t="shared" si="45"/>
        <v>0</v>
      </c>
      <c r="O157" s="660">
        <f t="shared" si="46"/>
        <v>0</v>
      </c>
    </row>
    <row r="158" spans="1:15">
      <c r="A158" s="2015">
        <v>182.3</v>
      </c>
      <c r="B158" s="675">
        <v>18237251</v>
      </c>
      <c r="C158" s="675"/>
      <c r="D158" s="652" t="s">
        <v>1091</v>
      </c>
      <c r="E158" s="675" t="s">
        <v>968</v>
      </c>
      <c r="F158" s="2007" t="s">
        <v>390</v>
      </c>
      <c r="G158" s="2006">
        <v>890577.25</v>
      </c>
      <c r="H158" s="2006">
        <v>0</v>
      </c>
      <c r="I158" s="630">
        <f t="shared" si="40"/>
        <v>0</v>
      </c>
      <c r="J158" s="630">
        <f t="shared" si="41"/>
        <v>0</v>
      </c>
      <c r="K158" s="630">
        <f t="shared" si="42"/>
        <v>890577.25</v>
      </c>
      <c r="L158" s="631">
        <f t="shared" si="43"/>
        <v>0</v>
      </c>
      <c r="M158" s="631">
        <f t="shared" si="44"/>
        <v>0</v>
      </c>
      <c r="N158" s="631">
        <f t="shared" si="45"/>
        <v>890577.25</v>
      </c>
      <c r="O158" s="660">
        <f t="shared" si="46"/>
        <v>0</v>
      </c>
    </row>
    <row r="159" spans="1:15">
      <c r="A159" s="2015">
        <v>182.3</v>
      </c>
      <c r="B159" s="675">
        <v>18237261</v>
      </c>
      <c r="C159" s="675"/>
      <c r="D159" s="652" t="s">
        <v>1092</v>
      </c>
      <c r="E159" s="675" t="s">
        <v>968</v>
      </c>
      <c r="F159" s="2007" t="s">
        <v>390</v>
      </c>
      <c r="G159" s="2006">
        <v>0</v>
      </c>
      <c r="H159" s="2006">
        <v>0</v>
      </c>
      <c r="I159" s="630">
        <f t="shared" si="40"/>
        <v>0</v>
      </c>
      <c r="J159" s="630">
        <f t="shared" si="41"/>
        <v>0</v>
      </c>
      <c r="K159" s="630">
        <f t="shared" si="42"/>
        <v>0</v>
      </c>
      <c r="L159" s="631">
        <f t="shared" si="43"/>
        <v>0</v>
      </c>
      <c r="M159" s="631">
        <f t="shared" si="44"/>
        <v>0</v>
      </c>
      <c r="N159" s="631">
        <f t="shared" si="45"/>
        <v>0</v>
      </c>
      <c r="O159" s="660">
        <f t="shared" si="46"/>
        <v>0</v>
      </c>
    </row>
    <row r="160" spans="1:15">
      <c r="A160" s="2015">
        <v>182.3</v>
      </c>
      <c r="B160" s="675">
        <v>18237271</v>
      </c>
      <c r="C160" s="675"/>
      <c r="D160" s="652" t="s">
        <v>1093</v>
      </c>
      <c r="E160" s="675" t="s">
        <v>968</v>
      </c>
      <c r="F160" s="2007" t="s">
        <v>390</v>
      </c>
      <c r="G160" s="2006">
        <v>0</v>
      </c>
      <c r="H160" s="2006">
        <v>684887.33</v>
      </c>
      <c r="I160" s="630">
        <f t="shared" si="40"/>
        <v>0</v>
      </c>
      <c r="J160" s="630">
        <f t="shared" si="41"/>
        <v>0</v>
      </c>
      <c r="K160" s="630">
        <f t="shared" si="42"/>
        <v>0</v>
      </c>
      <c r="L160" s="631">
        <f t="shared" si="43"/>
        <v>0</v>
      </c>
      <c r="M160" s="631">
        <f t="shared" si="44"/>
        <v>0</v>
      </c>
      <c r="N160" s="631">
        <f t="shared" si="45"/>
        <v>0</v>
      </c>
      <c r="O160" s="660">
        <f t="shared" si="46"/>
        <v>0</v>
      </c>
    </row>
    <row r="161" spans="1:15">
      <c r="A161" s="2015">
        <v>182.3</v>
      </c>
      <c r="B161" s="675">
        <v>18237281</v>
      </c>
      <c r="C161" s="675"/>
      <c r="D161" s="652" t="s">
        <v>1094</v>
      </c>
      <c r="E161" s="675" t="s">
        <v>968</v>
      </c>
      <c r="F161" s="2007" t="s">
        <v>390</v>
      </c>
      <c r="G161" s="2006">
        <v>0</v>
      </c>
      <c r="H161" s="2006">
        <v>0</v>
      </c>
      <c r="I161" s="630">
        <f t="shared" si="40"/>
        <v>0</v>
      </c>
      <c r="J161" s="630">
        <f t="shared" si="41"/>
        <v>0</v>
      </c>
      <c r="K161" s="630">
        <f t="shared" si="42"/>
        <v>0</v>
      </c>
      <c r="L161" s="631">
        <f t="shared" si="43"/>
        <v>0</v>
      </c>
      <c r="M161" s="631">
        <f t="shared" si="44"/>
        <v>0</v>
      </c>
      <c r="N161" s="631">
        <f t="shared" si="45"/>
        <v>0</v>
      </c>
      <c r="O161" s="660">
        <f t="shared" si="46"/>
        <v>0</v>
      </c>
    </row>
    <row r="162" spans="1:15">
      <c r="A162" s="2015">
        <v>182.3</v>
      </c>
      <c r="B162" s="675">
        <v>18237292</v>
      </c>
      <c r="C162" s="675"/>
      <c r="D162" s="652" t="s">
        <v>1095</v>
      </c>
      <c r="E162" s="675" t="s">
        <v>968</v>
      </c>
      <c r="F162" s="2007" t="s">
        <v>988</v>
      </c>
      <c r="G162" s="2006">
        <v>1805472.82</v>
      </c>
      <c r="H162" s="2006">
        <v>0</v>
      </c>
      <c r="I162" s="630">
        <f t="shared" si="40"/>
        <v>0</v>
      </c>
      <c r="J162" s="630">
        <f t="shared" si="41"/>
        <v>0</v>
      </c>
      <c r="K162" s="630">
        <f t="shared" si="42"/>
        <v>0</v>
      </c>
      <c r="L162" s="631">
        <f t="shared" si="43"/>
        <v>1805472.82</v>
      </c>
      <c r="M162" s="631">
        <f t="shared" si="44"/>
        <v>0</v>
      </c>
      <c r="N162" s="631">
        <f t="shared" si="45"/>
        <v>1805472.82</v>
      </c>
      <c r="O162" s="660">
        <f t="shared" si="46"/>
        <v>0</v>
      </c>
    </row>
    <row r="163" spans="1:15">
      <c r="A163" s="2015">
        <v>182.3</v>
      </c>
      <c r="B163" s="675">
        <v>18237302</v>
      </c>
      <c r="C163" s="675"/>
      <c r="D163" s="652" t="s">
        <v>1096</v>
      </c>
      <c r="E163" s="675" t="s">
        <v>968</v>
      </c>
      <c r="F163" s="2007" t="s">
        <v>988</v>
      </c>
      <c r="G163" s="2006">
        <v>0</v>
      </c>
      <c r="H163" s="2006">
        <v>0</v>
      </c>
      <c r="I163" s="630">
        <f t="shared" si="40"/>
        <v>0</v>
      </c>
      <c r="J163" s="630">
        <f t="shared" si="41"/>
        <v>0</v>
      </c>
      <c r="K163" s="630">
        <f t="shared" si="42"/>
        <v>0</v>
      </c>
      <c r="L163" s="631">
        <f t="shared" si="43"/>
        <v>0</v>
      </c>
      <c r="M163" s="631">
        <f t="shared" si="44"/>
        <v>0</v>
      </c>
      <c r="N163" s="631">
        <f t="shared" si="45"/>
        <v>0</v>
      </c>
      <c r="O163" s="660">
        <f t="shared" si="46"/>
        <v>0</v>
      </c>
    </row>
    <row r="164" spans="1:15">
      <c r="A164" s="2015">
        <v>182.3</v>
      </c>
      <c r="B164" s="675">
        <v>18237311</v>
      </c>
      <c r="C164" s="675"/>
      <c r="D164" s="652" t="s">
        <v>1097</v>
      </c>
      <c r="E164" s="675" t="s">
        <v>968</v>
      </c>
      <c r="F164" s="2007" t="s">
        <v>390</v>
      </c>
      <c r="G164" s="2006">
        <v>0</v>
      </c>
      <c r="H164" s="2006">
        <v>102675.93</v>
      </c>
      <c r="I164" s="630">
        <f t="shared" si="40"/>
        <v>0</v>
      </c>
      <c r="J164" s="630">
        <f t="shared" si="41"/>
        <v>0</v>
      </c>
      <c r="K164" s="630">
        <f t="shared" si="42"/>
        <v>0</v>
      </c>
      <c r="L164" s="631">
        <f t="shared" si="43"/>
        <v>0</v>
      </c>
      <c r="M164" s="631">
        <f t="shared" si="44"/>
        <v>0</v>
      </c>
      <c r="N164" s="631">
        <f t="shared" si="45"/>
        <v>0</v>
      </c>
      <c r="O164" s="660">
        <f t="shared" si="46"/>
        <v>0</v>
      </c>
    </row>
    <row r="165" spans="1:15">
      <c r="A165" s="2015">
        <v>182.3</v>
      </c>
      <c r="B165" s="675">
        <v>18237321</v>
      </c>
      <c r="C165" s="675"/>
      <c r="D165" s="652" t="s">
        <v>1098</v>
      </c>
      <c r="E165" s="675" t="s">
        <v>968</v>
      </c>
      <c r="F165" s="2007" t="s">
        <v>390</v>
      </c>
      <c r="G165" s="2006">
        <v>439141.2</v>
      </c>
      <c r="H165" s="2006">
        <v>591403.55000000005</v>
      </c>
      <c r="I165" s="630">
        <f t="shared" si="40"/>
        <v>0</v>
      </c>
      <c r="J165" s="630">
        <f t="shared" si="41"/>
        <v>0</v>
      </c>
      <c r="K165" s="630">
        <f t="shared" si="42"/>
        <v>439141.2</v>
      </c>
      <c r="L165" s="631">
        <f t="shared" si="43"/>
        <v>0</v>
      </c>
      <c r="M165" s="631">
        <f t="shared" si="44"/>
        <v>0</v>
      </c>
      <c r="N165" s="631">
        <f t="shared" si="45"/>
        <v>439141.2</v>
      </c>
      <c r="O165" s="660">
        <f t="shared" si="46"/>
        <v>0</v>
      </c>
    </row>
    <row r="166" spans="1:15">
      <c r="A166" s="2015">
        <v>182.3</v>
      </c>
      <c r="B166" s="675">
        <v>18237331</v>
      </c>
      <c r="C166" s="675"/>
      <c r="D166" s="652" t="s">
        <v>1099</v>
      </c>
      <c r="E166" s="675" t="s">
        <v>968</v>
      </c>
      <c r="F166" s="2007" t="s">
        <v>390</v>
      </c>
      <c r="G166" s="2006">
        <v>49144.06</v>
      </c>
      <c r="H166" s="2006">
        <v>36477.71</v>
      </c>
      <c r="I166" s="630">
        <f t="shared" si="40"/>
        <v>0</v>
      </c>
      <c r="J166" s="630">
        <f t="shared" si="41"/>
        <v>0</v>
      </c>
      <c r="K166" s="630">
        <f t="shared" si="42"/>
        <v>49144.06</v>
      </c>
      <c r="L166" s="631">
        <f t="shared" si="43"/>
        <v>0</v>
      </c>
      <c r="M166" s="631">
        <f t="shared" si="44"/>
        <v>0</v>
      </c>
      <c r="N166" s="631">
        <f t="shared" si="45"/>
        <v>49144.06</v>
      </c>
      <c r="O166" s="660">
        <f t="shared" si="46"/>
        <v>0</v>
      </c>
    </row>
    <row r="167" spans="1:15">
      <c r="A167" s="2015">
        <v>182.3</v>
      </c>
      <c r="B167" s="675">
        <v>18237341</v>
      </c>
      <c r="C167" s="675"/>
      <c r="D167" s="652" t="s">
        <v>1100</v>
      </c>
      <c r="E167" s="675" t="s">
        <v>968</v>
      </c>
      <c r="F167" s="2007" t="s">
        <v>390</v>
      </c>
      <c r="G167" s="2006">
        <v>0</v>
      </c>
      <c r="H167" s="2006">
        <v>0</v>
      </c>
      <c r="I167" s="630">
        <f t="shared" si="40"/>
        <v>0</v>
      </c>
      <c r="J167" s="630">
        <f t="shared" si="41"/>
        <v>0</v>
      </c>
      <c r="K167" s="630">
        <f t="shared" si="42"/>
        <v>0</v>
      </c>
      <c r="L167" s="631">
        <f t="shared" si="43"/>
        <v>0</v>
      </c>
      <c r="M167" s="631">
        <f t="shared" si="44"/>
        <v>0</v>
      </c>
      <c r="N167" s="631">
        <f t="shared" si="45"/>
        <v>0</v>
      </c>
      <c r="O167" s="660">
        <f t="shared" si="46"/>
        <v>0</v>
      </c>
    </row>
    <row r="168" spans="1:15">
      <c r="A168" s="2015">
        <v>182.3</v>
      </c>
      <c r="B168" s="675">
        <v>18237351</v>
      </c>
      <c r="C168" s="675"/>
      <c r="D168" s="652" t="s">
        <v>1101</v>
      </c>
      <c r="E168" s="675" t="s">
        <v>968</v>
      </c>
      <c r="F168" s="2007" t="s">
        <v>390</v>
      </c>
      <c r="G168" s="2006">
        <v>0</v>
      </c>
      <c r="H168" s="2006">
        <v>161842.25</v>
      </c>
      <c r="I168" s="630">
        <f t="shared" si="40"/>
        <v>0</v>
      </c>
      <c r="J168" s="630">
        <f t="shared" si="41"/>
        <v>0</v>
      </c>
      <c r="K168" s="630">
        <f t="shared" si="42"/>
        <v>0</v>
      </c>
      <c r="L168" s="631">
        <f t="shared" si="43"/>
        <v>0</v>
      </c>
      <c r="M168" s="631">
        <f t="shared" si="44"/>
        <v>0</v>
      </c>
      <c r="N168" s="631">
        <f t="shared" si="45"/>
        <v>0</v>
      </c>
      <c r="O168" s="660">
        <f t="shared" si="46"/>
        <v>0</v>
      </c>
    </row>
    <row r="169" spans="1:15">
      <c r="A169" s="2015">
        <v>182.3</v>
      </c>
      <c r="B169" s="675">
        <v>18237361</v>
      </c>
      <c r="C169" s="675"/>
      <c r="D169" s="652" t="s">
        <v>1102</v>
      </c>
      <c r="E169" s="675" t="s">
        <v>968</v>
      </c>
      <c r="F169" s="2007" t="s">
        <v>390</v>
      </c>
      <c r="G169" s="2006">
        <v>0</v>
      </c>
      <c r="H169" s="2006">
        <v>0</v>
      </c>
      <c r="I169" s="630">
        <f t="shared" si="40"/>
        <v>0</v>
      </c>
      <c r="J169" s="630">
        <f t="shared" si="41"/>
        <v>0</v>
      </c>
      <c r="K169" s="630">
        <f t="shared" si="42"/>
        <v>0</v>
      </c>
      <c r="L169" s="631">
        <f t="shared" si="43"/>
        <v>0</v>
      </c>
      <c r="M169" s="631">
        <f t="shared" si="44"/>
        <v>0</v>
      </c>
      <c r="N169" s="631">
        <f t="shared" si="45"/>
        <v>0</v>
      </c>
      <c r="O169" s="660">
        <f t="shared" si="46"/>
        <v>0</v>
      </c>
    </row>
    <row r="170" spans="1:15">
      <c r="A170" s="2015">
        <v>182.3</v>
      </c>
      <c r="B170" s="675">
        <v>18237371</v>
      </c>
      <c r="C170" s="675"/>
      <c r="D170" s="652" t="s">
        <v>1103</v>
      </c>
      <c r="E170" s="675" t="s">
        <v>968</v>
      </c>
      <c r="F170" s="2007" t="s">
        <v>390</v>
      </c>
      <c r="G170" s="2006">
        <v>0</v>
      </c>
      <c r="H170" s="2006">
        <v>51654.69</v>
      </c>
      <c r="I170" s="630">
        <f t="shared" si="40"/>
        <v>0</v>
      </c>
      <c r="J170" s="630">
        <f t="shared" si="41"/>
        <v>0</v>
      </c>
      <c r="K170" s="630">
        <f t="shared" si="42"/>
        <v>0</v>
      </c>
      <c r="L170" s="631">
        <f t="shared" si="43"/>
        <v>0</v>
      </c>
      <c r="M170" s="631">
        <f t="shared" si="44"/>
        <v>0</v>
      </c>
      <c r="N170" s="631">
        <f t="shared" si="45"/>
        <v>0</v>
      </c>
      <c r="O170" s="660">
        <f t="shared" si="46"/>
        <v>0</v>
      </c>
    </row>
    <row r="171" spans="1:15">
      <c r="A171" s="2015">
        <v>182.3</v>
      </c>
      <c r="B171" s="675">
        <v>18237381</v>
      </c>
      <c r="C171" s="675"/>
      <c r="D171" s="652" t="s">
        <v>1104</v>
      </c>
      <c r="E171" s="675" t="s">
        <v>968</v>
      </c>
      <c r="F171" s="2007" t="s">
        <v>390</v>
      </c>
      <c r="G171" s="2006">
        <v>40777.519999999997</v>
      </c>
      <c r="H171" s="2006">
        <v>137471.71</v>
      </c>
      <c r="I171" s="630">
        <f t="shared" si="40"/>
        <v>0</v>
      </c>
      <c r="J171" s="630">
        <f t="shared" si="41"/>
        <v>0</v>
      </c>
      <c r="K171" s="630">
        <f t="shared" si="42"/>
        <v>40777.519999999997</v>
      </c>
      <c r="L171" s="631">
        <f t="shared" si="43"/>
        <v>0</v>
      </c>
      <c r="M171" s="631">
        <f t="shared" si="44"/>
        <v>0</v>
      </c>
      <c r="N171" s="631">
        <f t="shared" si="45"/>
        <v>40777.519999999997</v>
      </c>
      <c r="O171" s="660">
        <f t="shared" si="46"/>
        <v>0</v>
      </c>
    </row>
    <row r="172" spans="1:15">
      <c r="A172" s="2015">
        <v>182.3</v>
      </c>
      <c r="B172" s="675">
        <v>18237391</v>
      </c>
      <c r="C172" s="675"/>
      <c r="D172" s="652" t="s">
        <v>1105</v>
      </c>
      <c r="E172" s="675" t="s">
        <v>968</v>
      </c>
      <c r="F172" s="2007" t="s">
        <v>390</v>
      </c>
      <c r="G172" s="2006">
        <v>0</v>
      </c>
      <c r="H172" s="2006">
        <v>0</v>
      </c>
      <c r="I172" s="630">
        <f t="shared" si="40"/>
        <v>0</v>
      </c>
      <c r="J172" s="630">
        <f t="shared" si="41"/>
        <v>0</v>
      </c>
      <c r="K172" s="630">
        <f t="shared" si="42"/>
        <v>0</v>
      </c>
      <c r="L172" s="631">
        <f t="shared" si="43"/>
        <v>0</v>
      </c>
      <c r="M172" s="631">
        <f t="shared" si="44"/>
        <v>0</v>
      </c>
      <c r="N172" s="631">
        <f t="shared" si="45"/>
        <v>0</v>
      </c>
      <c r="O172" s="660">
        <f t="shared" si="46"/>
        <v>0</v>
      </c>
    </row>
    <row r="173" spans="1:15">
      <c r="A173" s="2015">
        <v>182.3</v>
      </c>
      <c r="B173" s="675">
        <v>18237401</v>
      </c>
      <c r="C173" s="675"/>
      <c r="D173" s="652" t="s">
        <v>1106</v>
      </c>
      <c r="E173" s="675" t="s">
        <v>968</v>
      </c>
      <c r="F173" s="2007" t="s">
        <v>390</v>
      </c>
      <c r="G173" s="2006">
        <v>0</v>
      </c>
      <c r="H173" s="2006">
        <v>0</v>
      </c>
      <c r="I173" s="630">
        <f t="shared" si="40"/>
        <v>0</v>
      </c>
      <c r="J173" s="630">
        <f t="shared" si="41"/>
        <v>0</v>
      </c>
      <c r="K173" s="630">
        <f t="shared" si="42"/>
        <v>0</v>
      </c>
      <c r="L173" s="631">
        <f t="shared" si="43"/>
        <v>0</v>
      </c>
      <c r="M173" s="631">
        <f t="shared" si="44"/>
        <v>0</v>
      </c>
      <c r="N173" s="631">
        <f t="shared" si="45"/>
        <v>0</v>
      </c>
      <c r="O173" s="660">
        <f t="shared" si="46"/>
        <v>0</v>
      </c>
    </row>
    <row r="174" spans="1:15">
      <c r="A174" s="2015">
        <v>182.3</v>
      </c>
      <c r="B174" s="675">
        <v>18237402</v>
      </c>
      <c r="C174" s="675"/>
      <c r="D174" s="652" t="s">
        <v>1107</v>
      </c>
      <c r="E174" s="675" t="s">
        <v>968</v>
      </c>
      <c r="F174" s="2007" t="s">
        <v>988</v>
      </c>
      <c r="G174" s="2006">
        <v>0</v>
      </c>
      <c r="H174" s="2006">
        <v>20364.98</v>
      </c>
      <c r="I174" s="630">
        <f t="shared" si="40"/>
        <v>0</v>
      </c>
      <c r="J174" s="630">
        <f t="shared" si="41"/>
        <v>0</v>
      </c>
      <c r="K174" s="630">
        <f t="shared" si="42"/>
        <v>0</v>
      </c>
      <c r="L174" s="631">
        <f t="shared" si="43"/>
        <v>0</v>
      </c>
      <c r="M174" s="631">
        <f t="shared" si="44"/>
        <v>0</v>
      </c>
      <c r="N174" s="631">
        <f t="shared" si="45"/>
        <v>0</v>
      </c>
      <c r="O174" s="660">
        <f t="shared" si="46"/>
        <v>0</v>
      </c>
    </row>
    <row r="175" spans="1:15">
      <c r="A175" s="2015">
        <v>182.3</v>
      </c>
      <c r="B175" s="675">
        <v>18237411</v>
      </c>
      <c r="C175" s="675"/>
      <c r="D175" s="652" t="s">
        <v>1108</v>
      </c>
      <c r="E175" s="675" t="s">
        <v>968</v>
      </c>
      <c r="F175" s="2007" t="s">
        <v>390</v>
      </c>
      <c r="G175" s="2006">
        <v>0</v>
      </c>
      <c r="H175" s="2006">
        <v>0</v>
      </c>
      <c r="I175" s="630">
        <f t="shared" si="40"/>
        <v>0</v>
      </c>
      <c r="J175" s="630">
        <f t="shared" si="41"/>
        <v>0</v>
      </c>
      <c r="K175" s="630">
        <f t="shared" si="42"/>
        <v>0</v>
      </c>
      <c r="L175" s="631">
        <f t="shared" si="43"/>
        <v>0</v>
      </c>
      <c r="M175" s="631">
        <f t="shared" si="44"/>
        <v>0</v>
      </c>
      <c r="N175" s="631">
        <f t="shared" si="45"/>
        <v>0</v>
      </c>
      <c r="O175" s="660">
        <f t="shared" si="46"/>
        <v>0</v>
      </c>
    </row>
    <row r="176" spans="1:15">
      <c r="A176" s="2015">
        <v>182.3</v>
      </c>
      <c r="B176" s="675">
        <v>18237412</v>
      </c>
      <c r="C176" s="675"/>
      <c r="D176" s="652" t="s">
        <v>1109</v>
      </c>
      <c r="E176" s="675" t="s">
        <v>968</v>
      </c>
      <c r="F176" s="2007" t="s">
        <v>988</v>
      </c>
      <c r="G176" s="2006">
        <v>0</v>
      </c>
      <c r="H176" s="2006">
        <v>0</v>
      </c>
      <c r="I176" s="630">
        <f t="shared" si="40"/>
        <v>0</v>
      </c>
      <c r="J176" s="630">
        <f t="shared" si="41"/>
        <v>0</v>
      </c>
      <c r="K176" s="630">
        <f t="shared" si="42"/>
        <v>0</v>
      </c>
      <c r="L176" s="631">
        <f t="shared" si="43"/>
        <v>0</v>
      </c>
      <c r="M176" s="631">
        <f t="shared" si="44"/>
        <v>0</v>
      </c>
      <c r="N176" s="631">
        <f t="shared" si="45"/>
        <v>0</v>
      </c>
      <c r="O176" s="660">
        <f t="shared" si="46"/>
        <v>0</v>
      </c>
    </row>
    <row r="177" spans="1:16">
      <c r="A177" s="2015">
        <v>182.3</v>
      </c>
      <c r="B177" s="675">
        <v>18237421</v>
      </c>
      <c r="C177" s="675"/>
      <c r="D177" s="652" t="s">
        <v>1110</v>
      </c>
      <c r="E177" s="675" t="s">
        <v>968</v>
      </c>
      <c r="F177" s="2007" t="s">
        <v>390</v>
      </c>
      <c r="G177" s="2006">
        <v>0</v>
      </c>
      <c r="H177" s="2006">
        <v>1241318.95</v>
      </c>
      <c r="I177" s="630">
        <f t="shared" si="40"/>
        <v>0</v>
      </c>
      <c r="J177" s="630">
        <f t="shared" si="41"/>
        <v>0</v>
      </c>
      <c r="K177" s="630">
        <f t="shared" si="42"/>
        <v>0</v>
      </c>
      <c r="L177" s="631">
        <f t="shared" si="43"/>
        <v>0</v>
      </c>
      <c r="M177" s="631">
        <f t="shared" si="44"/>
        <v>0</v>
      </c>
      <c r="N177" s="631">
        <f t="shared" si="45"/>
        <v>0</v>
      </c>
      <c r="O177" s="660">
        <f t="shared" si="46"/>
        <v>0</v>
      </c>
    </row>
    <row r="178" spans="1:16">
      <c r="A178" s="2015">
        <v>182.3</v>
      </c>
      <c r="B178" s="675">
        <v>18237431</v>
      </c>
      <c r="C178" s="675"/>
      <c r="D178" s="652" t="s">
        <v>1111</v>
      </c>
      <c r="E178" s="675" t="s">
        <v>968</v>
      </c>
      <c r="F178" s="2007" t="s">
        <v>390</v>
      </c>
      <c r="G178" s="2006">
        <v>3046779.76</v>
      </c>
      <c r="H178" s="2006">
        <v>3576994.07</v>
      </c>
      <c r="I178" s="630">
        <f t="shared" si="40"/>
        <v>0</v>
      </c>
      <c r="J178" s="630">
        <f t="shared" si="41"/>
        <v>0</v>
      </c>
      <c r="K178" s="630">
        <f t="shared" si="42"/>
        <v>3046779.76</v>
      </c>
      <c r="L178" s="631">
        <f t="shared" si="43"/>
        <v>0</v>
      </c>
      <c r="M178" s="631">
        <f t="shared" si="44"/>
        <v>0</v>
      </c>
      <c r="N178" s="631">
        <f t="shared" si="45"/>
        <v>3046779.76</v>
      </c>
      <c r="O178" s="660">
        <f t="shared" si="46"/>
        <v>0</v>
      </c>
    </row>
    <row r="179" spans="1:16">
      <c r="A179" s="2015">
        <v>182.3</v>
      </c>
      <c r="B179" s="675">
        <v>18237441</v>
      </c>
      <c r="C179" s="675"/>
      <c r="D179" s="652" t="s">
        <v>1112</v>
      </c>
      <c r="E179" s="675" t="s">
        <v>968</v>
      </c>
      <c r="F179" s="2007" t="s">
        <v>390</v>
      </c>
      <c r="G179" s="2006">
        <v>20880.27</v>
      </c>
      <c r="H179" s="2006">
        <v>119335.13</v>
      </c>
      <c r="I179" s="630">
        <f t="shared" si="40"/>
        <v>0</v>
      </c>
      <c r="J179" s="630">
        <f t="shared" si="41"/>
        <v>0</v>
      </c>
      <c r="K179" s="630">
        <f t="shared" si="42"/>
        <v>20880.27</v>
      </c>
      <c r="L179" s="631">
        <f t="shared" si="43"/>
        <v>0</v>
      </c>
      <c r="M179" s="631">
        <f t="shared" si="44"/>
        <v>0</v>
      </c>
      <c r="N179" s="631">
        <f t="shared" si="45"/>
        <v>20880.27</v>
      </c>
      <c r="O179" s="660">
        <f t="shared" si="46"/>
        <v>0</v>
      </c>
    </row>
    <row r="180" spans="1:16" s="625" customFormat="1">
      <c r="A180" s="2015">
        <v>182.3</v>
      </c>
      <c r="B180" s="675">
        <v>18237451</v>
      </c>
      <c r="C180" s="675"/>
      <c r="D180" s="652" t="s">
        <v>1113</v>
      </c>
      <c r="E180" s="675"/>
      <c r="F180" s="2007" t="s">
        <v>390</v>
      </c>
      <c r="G180" s="2006">
        <v>0</v>
      </c>
      <c r="H180" s="2006">
        <v>0</v>
      </c>
      <c r="I180" s="630">
        <f t="shared" si="40"/>
        <v>0</v>
      </c>
      <c r="J180" s="630">
        <f t="shared" si="41"/>
        <v>0</v>
      </c>
      <c r="K180" s="630">
        <f t="shared" si="42"/>
        <v>0</v>
      </c>
      <c r="L180" s="676">
        <f t="shared" si="43"/>
        <v>0</v>
      </c>
      <c r="M180" s="676">
        <f t="shared" si="44"/>
        <v>0</v>
      </c>
      <c r="N180" s="676">
        <f t="shared" si="45"/>
        <v>0</v>
      </c>
      <c r="O180" s="660">
        <f t="shared" si="46"/>
        <v>0</v>
      </c>
      <c r="P180" s="2010"/>
    </row>
    <row r="181" spans="1:16">
      <c r="A181" s="2015">
        <v>182.3</v>
      </c>
      <c r="B181" s="675">
        <v>18237461</v>
      </c>
      <c r="C181" s="675"/>
      <c r="D181" s="652" t="s">
        <v>1114</v>
      </c>
      <c r="E181" s="675" t="s">
        <v>968</v>
      </c>
      <c r="F181" s="2007" t="s">
        <v>390</v>
      </c>
      <c r="G181" s="2006">
        <v>0</v>
      </c>
      <c r="H181" s="2006">
        <v>1925996.1</v>
      </c>
      <c r="I181" s="630">
        <f t="shared" si="40"/>
        <v>0</v>
      </c>
      <c r="J181" s="630">
        <f t="shared" si="41"/>
        <v>0</v>
      </c>
      <c r="K181" s="630">
        <f t="shared" si="42"/>
        <v>0</v>
      </c>
      <c r="L181" s="631">
        <f t="shared" si="43"/>
        <v>0</v>
      </c>
      <c r="M181" s="631">
        <f t="shared" si="44"/>
        <v>0</v>
      </c>
      <c r="N181" s="631">
        <f t="shared" si="45"/>
        <v>0</v>
      </c>
      <c r="O181" s="660">
        <f t="shared" si="46"/>
        <v>0</v>
      </c>
    </row>
    <row r="182" spans="1:16">
      <c r="A182" s="2015">
        <v>182.3</v>
      </c>
      <c r="B182" s="675">
        <v>18237471</v>
      </c>
      <c r="C182" s="675"/>
      <c r="D182" s="652" t="s">
        <v>1115</v>
      </c>
      <c r="E182" s="675" t="s">
        <v>968</v>
      </c>
      <c r="F182" s="2007" t="s">
        <v>390</v>
      </c>
      <c r="G182" s="2006">
        <v>0</v>
      </c>
      <c r="H182" s="2006">
        <v>384789.58</v>
      </c>
      <c r="I182" s="630">
        <f t="shared" si="40"/>
        <v>0</v>
      </c>
      <c r="J182" s="630">
        <f t="shared" si="41"/>
        <v>0</v>
      </c>
      <c r="K182" s="630">
        <f t="shared" si="42"/>
        <v>0</v>
      </c>
      <c r="L182" s="631">
        <f t="shared" si="43"/>
        <v>0</v>
      </c>
      <c r="M182" s="631">
        <f t="shared" si="44"/>
        <v>0</v>
      </c>
      <c r="N182" s="631">
        <f t="shared" si="45"/>
        <v>0</v>
      </c>
      <c r="O182" s="660">
        <f t="shared" si="46"/>
        <v>0</v>
      </c>
    </row>
    <row r="183" spans="1:16">
      <c r="A183" s="2015">
        <v>182.3</v>
      </c>
      <c r="B183" s="675">
        <v>18237481</v>
      </c>
      <c r="C183" s="675"/>
      <c r="D183" s="652" t="s">
        <v>1116</v>
      </c>
      <c r="E183" s="675"/>
      <c r="F183" s="2007" t="s">
        <v>390</v>
      </c>
      <c r="G183" s="2006">
        <v>0</v>
      </c>
      <c r="H183" s="2006">
        <v>889966.85</v>
      </c>
      <c r="I183" s="630">
        <f t="shared" si="40"/>
        <v>0</v>
      </c>
      <c r="J183" s="630">
        <f t="shared" si="41"/>
        <v>0</v>
      </c>
      <c r="K183" s="630">
        <f t="shared" si="42"/>
        <v>0</v>
      </c>
      <c r="L183" s="631">
        <f t="shared" si="43"/>
        <v>0</v>
      </c>
      <c r="M183" s="631">
        <f t="shared" si="44"/>
        <v>0</v>
      </c>
      <c r="N183" s="631">
        <f t="shared" si="45"/>
        <v>0</v>
      </c>
      <c r="O183" s="660">
        <f t="shared" si="46"/>
        <v>0</v>
      </c>
    </row>
    <row r="184" spans="1:16">
      <c r="A184" s="2015">
        <v>182.3</v>
      </c>
      <c r="B184" s="675">
        <v>18237491</v>
      </c>
      <c r="C184" s="675"/>
      <c r="D184" s="652" t="s">
        <v>1117</v>
      </c>
      <c r="E184" s="675" t="s">
        <v>968</v>
      </c>
      <c r="F184" s="2007" t="s">
        <v>390</v>
      </c>
      <c r="G184" s="2006">
        <v>262852.40999999997</v>
      </c>
      <c r="H184" s="2006">
        <v>1504574.86</v>
      </c>
      <c r="I184" s="630">
        <f t="shared" si="40"/>
        <v>0</v>
      </c>
      <c r="J184" s="630">
        <f t="shared" si="41"/>
        <v>0</v>
      </c>
      <c r="K184" s="630">
        <f t="shared" si="42"/>
        <v>262852.40999999997</v>
      </c>
      <c r="L184" s="631">
        <f t="shared" si="43"/>
        <v>0</v>
      </c>
      <c r="M184" s="631">
        <f t="shared" si="44"/>
        <v>0</v>
      </c>
      <c r="N184" s="631">
        <f t="shared" si="45"/>
        <v>262852.40999999997</v>
      </c>
      <c r="O184" s="660">
        <f t="shared" si="46"/>
        <v>0</v>
      </c>
    </row>
    <row r="185" spans="1:16">
      <c r="A185" s="2015">
        <v>182.3</v>
      </c>
      <c r="B185" s="675">
        <v>18237501</v>
      </c>
      <c r="C185" s="675"/>
      <c r="D185" s="652" t="s">
        <v>1118</v>
      </c>
      <c r="E185" s="675" t="s">
        <v>968</v>
      </c>
      <c r="F185" s="2007" t="s">
        <v>390</v>
      </c>
      <c r="G185" s="2006">
        <v>0</v>
      </c>
      <c r="H185" s="2006">
        <v>0</v>
      </c>
      <c r="I185" s="630">
        <f t="shared" si="40"/>
        <v>0</v>
      </c>
      <c r="J185" s="630">
        <f t="shared" si="41"/>
        <v>0</v>
      </c>
      <c r="K185" s="630">
        <f t="shared" si="42"/>
        <v>0</v>
      </c>
      <c r="L185" s="631">
        <f t="shared" si="43"/>
        <v>0</v>
      </c>
      <c r="M185" s="631">
        <f t="shared" si="44"/>
        <v>0</v>
      </c>
      <c r="N185" s="631">
        <f t="shared" si="45"/>
        <v>0</v>
      </c>
      <c r="O185" s="660">
        <f t="shared" si="46"/>
        <v>0</v>
      </c>
    </row>
    <row r="186" spans="1:16">
      <c r="A186" s="2015">
        <v>182.3</v>
      </c>
      <c r="B186" s="675">
        <v>18237502</v>
      </c>
      <c r="C186" s="675"/>
      <c r="D186" s="652" t="s">
        <v>1119</v>
      </c>
      <c r="E186" s="675" t="s">
        <v>968</v>
      </c>
      <c r="F186" s="2007" t="s">
        <v>988</v>
      </c>
      <c r="G186" s="2006">
        <v>0</v>
      </c>
      <c r="H186" s="2006">
        <v>1364427.63</v>
      </c>
      <c r="I186" s="630">
        <f t="shared" si="40"/>
        <v>0</v>
      </c>
      <c r="J186" s="630">
        <f t="shared" si="41"/>
        <v>0</v>
      </c>
      <c r="K186" s="630">
        <f t="shared" si="42"/>
        <v>0</v>
      </c>
      <c r="L186" s="631">
        <f t="shared" si="43"/>
        <v>0</v>
      </c>
      <c r="M186" s="631">
        <f t="shared" si="44"/>
        <v>0</v>
      </c>
      <c r="N186" s="631">
        <f t="shared" si="45"/>
        <v>0</v>
      </c>
      <c r="O186" s="660">
        <f t="shared" si="46"/>
        <v>0</v>
      </c>
    </row>
    <row r="187" spans="1:16">
      <c r="A187" s="2015">
        <v>182.3</v>
      </c>
      <c r="B187" s="675">
        <v>18237512</v>
      </c>
      <c r="C187" s="675"/>
      <c r="D187" s="652" t="s">
        <v>1120</v>
      </c>
      <c r="E187" s="675" t="s">
        <v>968</v>
      </c>
      <c r="F187" s="2007" t="s">
        <v>988</v>
      </c>
      <c r="G187" s="2006">
        <v>0</v>
      </c>
      <c r="H187" s="2006">
        <v>0</v>
      </c>
      <c r="I187" s="630">
        <f t="shared" si="40"/>
        <v>0</v>
      </c>
      <c r="J187" s="630">
        <f t="shared" si="41"/>
        <v>0</v>
      </c>
      <c r="K187" s="630">
        <f t="shared" si="42"/>
        <v>0</v>
      </c>
      <c r="L187" s="631">
        <f t="shared" si="43"/>
        <v>0</v>
      </c>
      <c r="M187" s="631">
        <f t="shared" si="44"/>
        <v>0</v>
      </c>
      <c r="N187" s="631">
        <f t="shared" si="45"/>
        <v>0</v>
      </c>
      <c r="O187" s="660">
        <f t="shared" si="46"/>
        <v>0</v>
      </c>
    </row>
    <row r="188" spans="1:16">
      <c r="A188" s="2015">
        <v>182.3</v>
      </c>
      <c r="B188" s="675">
        <v>18238031</v>
      </c>
      <c r="C188" s="675"/>
      <c r="D188" s="652" t="s">
        <v>1121</v>
      </c>
      <c r="E188" s="675" t="s">
        <v>968</v>
      </c>
      <c r="F188" s="2007" t="s">
        <v>108</v>
      </c>
      <c r="G188" s="2006">
        <v>1096261.8899999999</v>
      </c>
      <c r="H188" s="2006">
        <v>2910732.92</v>
      </c>
      <c r="I188" s="630">
        <f t="shared" ref="I188:I251" si="47">IF(RIGHT($B188,1)="1", $G188*VLOOKUP($F188, Ratio, 2, FALSE), IF(RIGHT($B188,1)="3", $G188*VLOOKUP($F188, Ratio, 2, FALSE)*$F$5, 0))</f>
        <v>383551.99019682209</v>
      </c>
      <c r="J188" s="630">
        <f t="shared" ref="J188:J251" si="48">IF(RIGHT($B188,1)="1", $G188*VLOOKUP($F188, Ratio, 3, FALSE), IF(RIGHT($B188,1)="3", $G188*VLOOKUP($F188, Ratio, 3, FALSE)*$F$5, 0))</f>
        <v>0</v>
      </c>
      <c r="K188" s="630">
        <f t="shared" ref="K188:K251" si="49">IF(RIGHT($B188,1)="1", $G188*VLOOKUP($F188, Ratio, 4, FALSE), IF(RIGHT($B188,1)="3", $G188*VLOOKUP($F188, Ratio, 4, FALSE)*$F$5, 0))</f>
        <v>712709.89959335676</v>
      </c>
      <c r="L188" s="631">
        <f t="shared" ref="L188:L251" si="50">IF(F188="GAS", G188, 0)</f>
        <v>0</v>
      </c>
      <c r="M188" s="631">
        <f t="shared" ref="M188:M251" si="51">IF(RIGHT(B188,1)="3",G188*$G$5,0)</f>
        <v>0</v>
      </c>
      <c r="N188" s="631">
        <f t="shared" ref="N188:N251" si="52">SUM(I188:M188)</f>
        <v>1096261.8897901787</v>
      </c>
      <c r="O188" s="660">
        <f t="shared" ref="O188:O251" si="53">G188-N188</f>
        <v>2.0982115529477596E-4</v>
      </c>
      <c r="P188" s="2005" t="s">
        <v>1122</v>
      </c>
    </row>
    <row r="189" spans="1:16">
      <c r="A189" s="2015">
        <v>182.3</v>
      </c>
      <c r="B189" s="675">
        <v>18238032</v>
      </c>
      <c r="C189" s="675"/>
      <c r="D189" s="652" t="s">
        <v>1123</v>
      </c>
      <c r="E189" s="675" t="s">
        <v>968</v>
      </c>
      <c r="F189" s="2007" t="s">
        <v>988</v>
      </c>
      <c r="G189" s="2006">
        <v>1138770.68</v>
      </c>
      <c r="H189" s="2006">
        <v>1708676.74</v>
      </c>
      <c r="I189" s="630">
        <f t="shared" si="47"/>
        <v>0</v>
      </c>
      <c r="J189" s="630">
        <f t="shared" si="48"/>
        <v>0</v>
      </c>
      <c r="K189" s="630">
        <f t="shared" si="49"/>
        <v>0</v>
      </c>
      <c r="L189" s="631">
        <f t="shared" si="50"/>
        <v>1138770.68</v>
      </c>
      <c r="M189" s="631">
        <f t="shared" si="51"/>
        <v>0</v>
      </c>
      <c r="N189" s="631">
        <f t="shared" si="52"/>
        <v>1138770.68</v>
      </c>
      <c r="O189" s="660">
        <f t="shared" si="53"/>
        <v>0</v>
      </c>
    </row>
    <row r="190" spans="1:16">
      <c r="A190" s="2015">
        <v>182.3</v>
      </c>
      <c r="B190" s="675">
        <v>18238041</v>
      </c>
      <c r="C190" s="675"/>
      <c r="D190" s="652" t="s">
        <v>1124</v>
      </c>
      <c r="E190" s="675" t="s">
        <v>968</v>
      </c>
      <c r="F190" s="2007" t="s">
        <v>108</v>
      </c>
      <c r="G190" s="2006">
        <v>-11304254.189999999</v>
      </c>
      <c r="H190" s="2006">
        <v>4430517</v>
      </c>
      <c r="I190" s="630">
        <f t="shared" si="47"/>
        <v>-3955048.7267830363</v>
      </c>
      <c r="J190" s="630">
        <f t="shared" si="48"/>
        <v>0</v>
      </c>
      <c r="K190" s="630">
        <f t="shared" si="49"/>
        <v>-7349205.4610533649</v>
      </c>
      <c r="L190" s="631">
        <f t="shared" si="50"/>
        <v>0</v>
      </c>
      <c r="M190" s="631">
        <f t="shared" si="51"/>
        <v>0</v>
      </c>
      <c r="N190" s="631">
        <f t="shared" si="52"/>
        <v>-11304254.187836401</v>
      </c>
      <c r="O190" s="660">
        <f t="shared" si="53"/>
        <v>-2.1635983139276505E-3</v>
      </c>
      <c r="P190" s="2005" t="s">
        <v>1122</v>
      </c>
    </row>
    <row r="191" spans="1:16">
      <c r="A191" s="2015">
        <v>182.3</v>
      </c>
      <c r="B191" s="675">
        <v>18238042</v>
      </c>
      <c r="C191" s="675"/>
      <c r="D191" s="652" t="s">
        <v>1125</v>
      </c>
      <c r="E191" s="675" t="s">
        <v>968</v>
      </c>
      <c r="F191" s="2007" t="s">
        <v>988</v>
      </c>
      <c r="G191" s="2006">
        <v>-2065923.51</v>
      </c>
      <c r="H191" s="2006">
        <v>3347955</v>
      </c>
      <c r="I191" s="630">
        <f t="shared" si="47"/>
        <v>0</v>
      </c>
      <c r="J191" s="630">
        <f t="shared" si="48"/>
        <v>0</v>
      </c>
      <c r="K191" s="630">
        <f t="shared" si="49"/>
        <v>0</v>
      </c>
      <c r="L191" s="631">
        <f t="shared" si="50"/>
        <v>-2065923.51</v>
      </c>
      <c r="M191" s="631">
        <f t="shared" si="51"/>
        <v>0</v>
      </c>
      <c r="N191" s="631">
        <f t="shared" si="52"/>
        <v>-2065923.51</v>
      </c>
      <c r="O191" s="660">
        <f t="shared" si="53"/>
        <v>0</v>
      </c>
    </row>
    <row r="192" spans="1:16">
      <c r="A192" s="2015">
        <v>182.3</v>
      </c>
      <c r="B192" s="675">
        <v>18238141</v>
      </c>
      <c r="C192" s="675"/>
      <c r="D192" s="652" t="s">
        <v>1126</v>
      </c>
      <c r="E192" s="675" t="s">
        <v>968</v>
      </c>
      <c r="F192" s="2007" t="s">
        <v>390</v>
      </c>
      <c r="G192" s="2006">
        <v>0</v>
      </c>
      <c r="H192" s="2006">
        <v>0</v>
      </c>
      <c r="I192" s="630">
        <f t="shared" si="47"/>
        <v>0</v>
      </c>
      <c r="J192" s="630">
        <f t="shared" si="48"/>
        <v>0</v>
      </c>
      <c r="K192" s="630">
        <f t="shared" si="49"/>
        <v>0</v>
      </c>
      <c r="L192" s="631">
        <f t="shared" si="50"/>
        <v>0</v>
      </c>
      <c r="M192" s="631">
        <f t="shared" si="51"/>
        <v>0</v>
      </c>
      <c r="N192" s="631">
        <f t="shared" si="52"/>
        <v>0</v>
      </c>
      <c r="O192" s="660">
        <f t="shared" si="53"/>
        <v>0</v>
      </c>
    </row>
    <row r="193" spans="1:15">
      <c r="A193" s="2015">
        <v>182.3</v>
      </c>
      <c r="B193" s="675">
        <v>18238142</v>
      </c>
      <c r="C193" s="675"/>
      <c r="D193" s="652" t="s">
        <v>1127</v>
      </c>
      <c r="E193" s="675" t="s">
        <v>968</v>
      </c>
      <c r="F193" s="2007" t="s">
        <v>988</v>
      </c>
      <c r="G193" s="2006">
        <v>21938321.93</v>
      </c>
      <c r="H193" s="2006">
        <v>2765629.93</v>
      </c>
      <c r="I193" s="630">
        <f t="shared" si="47"/>
        <v>0</v>
      </c>
      <c r="J193" s="630">
        <f t="shared" si="48"/>
        <v>0</v>
      </c>
      <c r="K193" s="630">
        <f t="shared" si="49"/>
        <v>0</v>
      </c>
      <c r="L193" s="631">
        <f t="shared" si="50"/>
        <v>21938321.93</v>
      </c>
      <c r="M193" s="631">
        <f t="shared" si="51"/>
        <v>0</v>
      </c>
      <c r="N193" s="631">
        <f t="shared" si="52"/>
        <v>21938321.93</v>
      </c>
      <c r="O193" s="660">
        <f t="shared" si="53"/>
        <v>0</v>
      </c>
    </row>
    <row r="194" spans="1:15">
      <c r="A194" s="2015">
        <v>182.3</v>
      </c>
      <c r="B194" s="675">
        <v>18238151</v>
      </c>
      <c r="C194" s="675"/>
      <c r="D194" s="652" t="s">
        <v>1128</v>
      </c>
      <c r="E194" s="675" t="s">
        <v>968</v>
      </c>
      <c r="F194" s="2007" t="s">
        <v>390</v>
      </c>
      <c r="G194" s="2006">
        <v>0</v>
      </c>
      <c r="H194" s="2006">
        <v>0</v>
      </c>
      <c r="I194" s="630">
        <f t="shared" si="47"/>
        <v>0</v>
      </c>
      <c r="J194" s="630">
        <f t="shared" si="48"/>
        <v>0</v>
      </c>
      <c r="K194" s="630">
        <f t="shared" si="49"/>
        <v>0</v>
      </c>
      <c r="L194" s="631">
        <f t="shared" si="50"/>
        <v>0</v>
      </c>
      <c r="M194" s="631">
        <f t="shared" si="51"/>
        <v>0</v>
      </c>
      <c r="N194" s="631">
        <f t="shared" si="52"/>
        <v>0</v>
      </c>
      <c r="O194" s="660">
        <f t="shared" si="53"/>
        <v>0</v>
      </c>
    </row>
    <row r="195" spans="1:15">
      <c r="A195" s="2015">
        <v>182.3</v>
      </c>
      <c r="B195" s="675">
        <v>18238152</v>
      </c>
      <c r="C195" s="675"/>
      <c r="D195" s="652" t="s">
        <v>1129</v>
      </c>
      <c r="E195" s="675" t="s">
        <v>968</v>
      </c>
      <c r="F195" s="2007" t="s">
        <v>988</v>
      </c>
      <c r="G195" s="2006">
        <v>0</v>
      </c>
      <c r="H195" s="2006">
        <v>0</v>
      </c>
      <c r="I195" s="630">
        <f t="shared" si="47"/>
        <v>0</v>
      </c>
      <c r="J195" s="630">
        <f t="shared" si="48"/>
        <v>0</v>
      </c>
      <c r="K195" s="630">
        <f t="shared" si="49"/>
        <v>0</v>
      </c>
      <c r="L195" s="631">
        <f t="shared" si="50"/>
        <v>0</v>
      </c>
      <c r="M195" s="631">
        <f t="shared" si="51"/>
        <v>0</v>
      </c>
      <c r="N195" s="631">
        <f t="shared" si="52"/>
        <v>0</v>
      </c>
      <c r="O195" s="660">
        <f t="shared" si="53"/>
        <v>0</v>
      </c>
    </row>
    <row r="196" spans="1:15">
      <c r="A196" s="2015">
        <v>182.3</v>
      </c>
      <c r="B196" s="675">
        <v>18238161</v>
      </c>
      <c r="C196" s="675"/>
      <c r="D196" s="675" t="s">
        <v>1130</v>
      </c>
      <c r="E196" s="675" t="s">
        <v>968</v>
      </c>
      <c r="F196" s="2007" t="s">
        <v>390</v>
      </c>
      <c r="G196" s="2006">
        <v>0</v>
      </c>
      <c r="H196" s="2006">
        <v>0</v>
      </c>
      <c r="I196" s="630">
        <f t="shared" si="47"/>
        <v>0</v>
      </c>
      <c r="J196" s="630">
        <f t="shared" si="48"/>
        <v>0</v>
      </c>
      <c r="K196" s="630">
        <f t="shared" si="49"/>
        <v>0</v>
      </c>
      <c r="L196" s="631">
        <f t="shared" si="50"/>
        <v>0</v>
      </c>
      <c r="M196" s="631">
        <f t="shared" si="51"/>
        <v>0</v>
      </c>
      <c r="N196" s="631">
        <f t="shared" si="52"/>
        <v>0</v>
      </c>
      <c r="O196" s="660">
        <f t="shared" si="53"/>
        <v>0</v>
      </c>
    </row>
    <row r="197" spans="1:15">
      <c r="A197" s="2015">
        <v>182.3</v>
      </c>
      <c r="B197" s="675">
        <v>18238162</v>
      </c>
      <c r="C197" s="675"/>
      <c r="D197" s="675" t="s">
        <v>1131</v>
      </c>
      <c r="E197" s="675" t="s">
        <v>968</v>
      </c>
      <c r="F197" s="2007" t="s">
        <v>988</v>
      </c>
      <c r="G197" s="2006">
        <v>476146.22</v>
      </c>
      <c r="H197" s="2006">
        <v>348256.95</v>
      </c>
      <c r="I197" s="630">
        <f t="shared" si="47"/>
        <v>0</v>
      </c>
      <c r="J197" s="630">
        <f t="shared" si="48"/>
        <v>0</v>
      </c>
      <c r="K197" s="630">
        <f t="shared" si="49"/>
        <v>0</v>
      </c>
      <c r="L197" s="631">
        <f t="shared" si="50"/>
        <v>476146.22</v>
      </c>
      <c r="M197" s="631">
        <f t="shared" si="51"/>
        <v>0</v>
      </c>
      <c r="N197" s="631">
        <f t="shared" si="52"/>
        <v>476146.22</v>
      </c>
      <c r="O197" s="660">
        <f t="shared" si="53"/>
        <v>0</v>
      </c>
    </row>
    <row r="198" spans="1:15">
      <c r="A198" s="2015">
        <v>182.3</v>
      </c>
      <c r="B198" s="675">
        <v>18238171</v>
      </c>
      <c r="C198" s="675"/>
      <c r="D198" s="675" t="s">
        <v>1132</v>
      </c>
      <c r="E198" s="675" t="s">
        <v>968</v>
      </c>
      <c r="F198" s="2007" t="s">
        <v>390</v>
      </c>
      <c r="G198" s="2006">
        <v>0</v>
      </c>
      <c r="H198" s="2006">
        <v>0</v>
      </c>
      <c r="I198" s="630">
        <f t="shared" si="47"/>
        <v>0</v>
      </c>
      <c r="J198" s="630">
        <f t="shared" si="48"/>
        <v>0</v>
      </c>
      <c r="K198" s="630">
        <f t="shared" si="49"/>
        <v>0</v>
      </c>
      <c r="L198" s="631">
        <f t="shared" si="50"/>
        <v>0</v>
      </c>
      <c r="M198" s="631">
        <f t="shared" si="51"/>
        <v>0</v>
      </c>
      <c r="N198" s="631">
        <f t="shared" si="52"/>
        <v>0</v>
      </c>
      <c r="O198" s="660">
        <f t="shared" si="53"/>
        <v>0</v>
      </c>
    </row>
    <row r="199" spans="1:15">
      <c r="A199" s="2015">
        <v>182.3</v>
      </c>
      <c r="B199" s="675">
        <v>18238172</v>
      </c>
      <c r="C199" s="675"/>
      <c r="D199" s="652" t="s">
        <v>1133</v>
      </c>
      <c r="E199" s="675" t="s">
        <v>968</v>
      </c>
      <c r="F199" s="2007" t="s">
        <v>988</v>
      </c>
      <c r="G199" s="2006">
        <v>0</v>
      </c>
      <c r="H199" s="2006">
        <v>0</v>
      </c>
      <c r="I199" s="630">
        <f t="shared" si="47"/>
        <v>0</v>
      </c>
      <c r="J199" s="630">
        <f t="shared" si="48"/>
        <v>0</v>
      </c>
      <c r="K199" s="630">
        <f t="shared" si="49"/>
        <v>0</v>
      </c>
      <c r="L199" s="631">
        <f t="shared" si="50"/>
        <v>0</v>
      </c>
      <c r="M199" s="631">
        <f t="shared" si="51"/>
        <v>0</v>
      </c>
      <c r="N199" s="631">
        <f t="shared" si="52"/>
        <v>0</v>
      </c>
      <c r="O199" s="660">
        <f t="shared" si="53"/>
        <v>0</v>
      </c>
    </row>
    <row r="200" spans="1:15">
      <c r="A200" s="2015">
        <v>182.3</v>
      </c>
      <c r="B200" s="675">
        <v>18238181</v>
      </c>
      <c r="C200" s="675"/>
      <c r="D200" s="652" t="s">
        <v>1134</v>
      </c>
      <c r="E200" s="675" t="s">
        <v>968</v>
      </c>
      <c r="F200" s="2007" t="s">
        <v>390</v>
      </c>
      <c r="G200" s="2006">
        <v>0</v>
      </c>
      <c r="H200" s="2006">
        <v>2105273.83</v>
      </c>
      <c r="I200" s="630">
        <f t="shared" si="47"/>
        <v>0</v>
      </c>
      <c r="J200" s="630">
        <f t="shared" si="48"/>
        <v>0</v>
      </c>
      <c r="K200" s="630">
        <f t="shared" si="49"/>
        <v>0</v>
      </c>
      <c r="L200" s="631">
        <f t="shared" si="50"/>
        <v>0</v>
      </c>
      <c r="M200" s="631">
        <f t="shared" si="51"/>
        <v>0</v>
      </c>
      <c r="N200" s="631">
        <f t="shared" si="52"/>
        <v>0</v>
      </c>
      <c r="O200" s="660">
        <f t="shared" si="53"/>
        <v>0</v>
      </c>
    </row>
    <row r="201" spans="1:15">
      <c r="A201" s="2015">
        <v>182.3</v>
      </c>
      <c r="B201" s="675">
        <v>18238191</v>
      </c>
      <c r="C201" s="675"/>
      <c r="D201" s="652" t="s">
        <v>1135</v>
      </c>
      <c r="E201" s="675" t="s">
        <v>968</v>
      </c>
      <c r="F201" s="2007" t="s">
        <v>390</v>
      </c>
      <c r="G201" s="2006">
        <v>0</v>
      </c>
      <c r="H201" s="2006">
        <v>1572836.47</v>
      </c>
      <c r="I201" s="630">
        <f t="shared" si="47"/>
        <v>0</v>
      </c>
      <c r="J201" s="630">
        <f t="shared" si="48"/>
        <v>0</v>
      </c>
      <c r="K201" s="630">
        <f t="shared" si="49"/>
        <v>0</v>
      </c>
      <c r="L201" s="631">
        <f t="shared" si="50"/>
        <v>0</v>
      </c>
      <c r="M201" s="631">
        <f t="shared" si="51"/>
        <v>0</v>
      </c>
      <c r="N201" s="631">
        <f t="shared" si="52"/>
        <v>0</v>
      </c>
      <c r="O201" s="660">
        <f t="shared" si="53"/>
        <v>0</v>
      </c>
    </row>
    <row r="202" spans="1:15">
      <c r="A202" s="2015">
        <v>182.3</v>
      </c>
      <c r="B202" s="675">
        <v>18238201</v>
      </c>
      <c r="C202" s="675"/>
      <c r="D202" s="652" t="s">
        <v>1136</v>
      </c>
      <c r="E202" s="675" t="s">
        <v>968</v>
      </c>
      <c r="F202" s="2007" t="s">
        <v>390</v>
      </c>
      <c r="G202" s="2006">
        <v>0</v>
      </c>
      <c r="H202" s="2006">
        <v>0</v>
      </c>
      <c r="I202" s="630">
        <f t="shared" si="47"/>
        <v>0</v>
      </c>
      <c r="J202" s="630">
        <f t="shared" si="48"/>
        <v>0</v>
      </c>
      <c r="K202" s="630">
        <f t="shared" si="49"/>
        <v>0</v>
      </c>
      <c r="L202" s="631">
        <f t="shared" si="50"/>
        <v>0</v>
      </c>
      <c r="M202" s="631">
        <f t="shared" si="51"/>
        <v>0</v>
      </c>
      <c r="N202" s="631">
        <f t="shared" si="52"/>
        <v>0</v>
      </c>
      <c r="O202" s="660">
        <f t="shared" si="53"/>
        <v>0</v>
      </c>
    </row>
    <row r="203" spans="1:15">
      <c r="A203" s="2015">
        <v>182.3</v>
      </c>
      <c r="B203" s="675">
        <v>18238202</v>
      </c>
      <c r="C203" s="675"/>
      <c r="D203" s="652" t="s">
        <v>1137</v>
      </c>
      <c r="E203" s="675" t="s">
        <v>968</v>
      </c>
      <c r="F203" s="2007" t="s">
        <v>988</v>
      </c>
      <c r="G203" s="2006">
        <v>0</v>
      </c>
      <c r="H203" s="2006">
        <v>0</v>
      </c>
      <c r="I203" s="630">
        <f t="shared" si="47"/>
        <v>0</v>
      </c>
      <c r="J203" s="630">
        <f t="shared" si="48"/>
        <v>0</v>
      </c>
      <c r="K203" s="630">
        <f t="shared" si="49"/>
        <v>0</v>
      </c>
      <c r="L203" s="631">
        <f t="shared" si="50"/>
        <v>0</v>
      </c>
      <c r="M203" s="631">
        <f t="shared" si="51"/>
        <v>0</v>
      </c>
      <c r="N203" s="631">
        <f t="shared" si="52"/>
        <v>0</v>
      </c>
      <c r="O203" s="660">
        <f t="shared" si="53"/>
        <v>0</v>
      </c>
    </row>
    <row r="204" spans="1:15">
      <c r="A204" s="2015">
        <v>182.3</v>
      </c>
      <c r="B204" s="675">
        <v>18238211</v>
      </c>
      <c r="C204" s="675"/>
      <c r="D204" s="652" t="s">
        <v>1138</v>
      </c>
      <c r="E204" s="675" t="s">
        <v>968</v>
      </c>
      <c r="F204" s="2007" t="s">
        <v>390</v>
      </c>
      <c r="G204" s="2006">
        <v>110608.28</v>
      </c>
      <c r="H204" s="2006">
        <v>179648.2</v>
      </c>
      <c r="I204" s="630">
        <f t="shared" si="47"/>
        <v>0</v>
      </c>
      <c r="J204" s="630">
        <f t="shared" si="48"/>
        <v>0</v>
      </c>
      <c r="K204" s="630">
        <f t="shared" si="49"/>
        <v>110608.28</v>
      </c>
      <c r="L204" s="631">
        <f t="shared" si="50"/>
        <v>0</v>
      </c>
      <c r="M204" s="631">
        <f t="shared" si="51"/>
        <v>0</v>
      </c>
      <c r="N204" s="631">
        <f t="shared" si="52"/>
        <v>110608.28</v>
      </c>
      <c r="O204" s="660">
        <f t="shared" si="53"/>
        <v>0</v>
      </c>
    </row>
    <row r="205" spans="1:15">
      <c r="A205" s="2015">
        <v>182.3</v>
      </c>
      <c r="B205" s="675">
        <v>18238221</v>
      </c>
      <c r="C205" s="675"/>
      <c r="D205" s="652" t="s">
        <v>1139</v>
      </c>
      <c r="E205" s="675" t="s">
        <v>968</v>
      </c>
      <c r="F205" s="2007" t="s">
        <v>390</v>
      </c>
      <c r="G205" s="2006">
        <v>18783.79</v>
      </c>
      <c r="H205" s="2006">
        <v>132089.74</v>
      </c>
      <c r="I205" s="630">
        <f t="shared" si="47"/>
        <v>0</v>
      </c>
      <c r="J205" s="630">
        <f t="shared" si="48"/>
        <v>0</v>
      </c>
      <c r="K205" s="630">
        <f t="shared" si="49"/>
        <v>18783.79</v>
      </c>
      <c r="L205" s="631">
        <f t="shared" si="50"/>
        <v>0</v>
      </c>
      <c r="M205" s="631">
        <f t="shared" si="51"/>
        <v>0</v>
      </c>
      <c r="N205" s="631">
        <f t="shared" si="52"/>
        <v>18783.79</v>
      </c>
      <c r="O205" s="660">
        <f t="shared" si="53"/>
        <v>0</v>
      </c>
    </row>
    <row r="206" spans="1:15">
      <c r="A206" s="2015">
        <v>182.3</v>
      </c>
      <c r="B206" s="675">
        <v>18238232</v>
      </c>
      <c r="C206" s="675"/>
      <c r="D206" s="652" t="s">
        <v>1140</v>
      </c>
      <c r="E206" s="675" t="s">
        <v>968</v>
      </c>
      <c r="F206" s="2007" t="s">
        <v>988</v>
      </c>
      <c r="G206" s="2006">
        <v>0</v>
      </c>
      <c r="H206" s="2006">
        <v>0</v>
      </c>
      <c r="I206" s="630">
        <f t="shared" si="47"/>
        <v>0</v>
      </c>
      <c r="J206" s="630">
        <f t="shared" si="48"/>
        <v>0</v>
      </c>
      <c r="K206" s="630">
        <f t="shared" si="49"/>
        <v>0</v>
      </c>
      <c r="L206" s="631">
        <f t="shared" si="50"/>
        <v>0</v>
      </c>
      <c r="M206" s="631">
        <f t="shared" si="51"/>
        <v>0</v>
      </c>
      <c r="N206" s="631">
        <f t="shared" si="52"/>
        <v>0</v>
      </c>
      <c r="O206" s="660">
        <f t="shared" si="53"/>
        <v>0</v>
      </c>
    </row>
    <row r="207" spans="1:15">
      <c r="A207" s="2015">
        <v>182.3</v>
      </c>
      <c r="B207" s="675">
        <v>18238311</v>
      </c>
      <c r="C207" s="675"/>
      <c r="D207" s="652" t="s">
        <v>1141</v>
      </c>
      <c r="E207" s="675" t="s">
        <v>968</v>
      </c>
      <c r="F207" s="2007" t="s">
        <v>392</v>
      </c>
      <c r="G207" s="2006">
        <v>0</v>
      </c>
      <c r="H207" s="2006">
        <v>0</v>
      </c>
      <c r="I207" s="630">
        <f t="shared" si="47"/>
        <v>0</v>
      </c>
      <c r="J207" s="630">
        <f t="shared" si="48"/>
        <v>0</v>
      </c>
      <c r="K207" s="630">
        <f t="shared" si="49"/>
        <v>0</v>
      </c>
      <c r="L207" s="631">
        <f t="shared" si="50"/>
        <v>0</v>
      </c>
      <c r="M207" s="631">
        <f t="shared" si="51"/>
        <v>0</v>
      </c>
      <c r="N207" s="631">
        <f t="shared" si="52"/>
        <v>0</v>
      </c>
      <c r="O207" s="660">
        <f t="shared" si="53"/>
        <v>0</v>
      </c>
    </row>
    <row r="208" spans="1:15">
      <c r="A208" s="2015">
        <v>182.3</v>
      </c>
      <c r="B208" s="675">
        <v>18238321</v>
      </c>
      <c r="C208" s="675"/>
      <c r="D208" s="652" t="s">
        <v>1142</v>
      </c>
      <c r="E208" s="675" t="s">
        <v>968</v>
      </c>
      <c r="F208" s="2007" t="s">
        <v>392</v>
      </c>
      <c r="G208" s="2006">
        <v>0</v>
      </c>
      <c r="H208" s="2006">
        <v>0</v>
      </c>
      <c r="I208" s="630">
        <f t="shared" si="47"/>
        <v>0</v>
      </c>
      <c r="J208" s="630">
        <f t="shared" si="48"/>
        <v>0</v>
      </c>
      <c r="K208" s="630">
        <f t="shared" si="49"/>
        <v>0</v>
      </c>
      <c r="L208" s="631">
        <f t="shared" si="50"/>
        <v>0</v>
      </c>
      <c r="M208" s="631">
        <f t="shared" si="51"/>
        <v>0</v>
      </c>
      <c r="N208" s="631">
        <f t="shared" si="52"/>
        <v>0</v>
      </c>
      <c r="O208" s="660">
        <f t="shared" si="53"/>
        <v>0</v>
      </c>
    </row>
    <row r="209" spans="1:16">
      <c r="A209" s="2015">
        <v>182.3</v>
      </c>
      <c r="B209" s="675">
        <v>18238331</v>
      </c>
      <c r="C209" s="675"/>
      <c r="D209" s="652" t="s">
        <v>1143</v>
      </c>
      <c r="E209" s="675" t="s">
        <v>968</v>
      </c>
      <c r="F209" s="2007" t="s">
        <v>392</v>
      </c>
      <c r="G209" s="2006">
        <v>0</v>
      </c>
      <c r="H209" s="2006">
        <v>0</v>
      </c>
      <c r="I209" s="630">
        <f t="shared" si="47"/>
        <v>0</v>
      </c>
      <c r="J209" s="630">
        <f t="shared" si="48"/>
        <v>0</v>
      </c>
      <c r="K209" s="630">
        <f t="shared" si="49"/>
        <v>0</v>
      </c>
      <c r="L209" s="631">
        <f t="shared" si="50"/>
        <v>0</v>
      </c>
      <c r="M209" s="631">
        <f t="shared" si="51"/>
        <v>0</v>
      </c>
      <c r="N209" s="631">
        <f t="shared" si="52"/>
        <v>0</v>
      </c>
      <c r="O209" s="660">
        <f t="shared" si="53"/>
        <v>0</v>
      </c>
    </row>
    <row r="210" spans="1:16">
      <c r="A210" s="2015">
        <v>182.3</v>
      </c>
      <c r="B210" s="675">
        <v>18239001</v>
      </c>
      <c r="C210" s="675"/>
      <c r="D210" s="652" t="s">
        <v>1144</v>
      </c>
      <c r="E210" s="675" t="s">
        <v>968</v>
      </c>
      <c r="F210" s="2007" t="s">
        <v>390</v>
      </c>
      <c r="G210" s="2006">
        <v>202923561.71000001</v>
      </c>
      <c r="H210" s="2006">
        <v>186564949.41999999</v>
      </c>
      <c r="I210" s="630">
        <f t="shared" si="47"/>
        <v>0</v>
      </c>
      <c r="J210" s="630">
        <f t="shared" si="48"/>
        <v>0</v>
      </c>
      <c r="K210" s="630">
        <f t="shared" si="49"/>
        <v>202923561.71000001</v>
      </c>
      <c r="L210" s="631">
        <f t="shared" si="50"/>
        <v>0</v>
      </c>
      <c r="M210" s="631">
        <f t="shared" si="51"/>
        <v>0</v>
      </c>
      <c r="N210" s="631">
        <f t="shared" si="52"/>
        <v>202923561.71000001</v>
      </c>
      <c r="O210" s="660">
        <f t="shared" si="53"/>
        <v>0</v>
      </c>
    </row>
    <row r="211" spans="1:16">
      <c r="A211" s="2015">
        <v>182.3</v>
      </c>
      <c r="B211" s="675">
        <v>18239002</v>
      </c>
      <c r="C211" s="675"/>
      <c r="D211" s="652" t="s">
        <v>1145</v>
      </c>
      <c r="E211" s="675" t="s">
        <v>968</v>
      </c>
      <c r="F211" s="2007" t="s">
        <v>988</v>
      </c>
      <c r="G211" s="2006">
        <v>50336161.229999997</v>
      </c>
      <c r="H211" s="2006">
        <v>46197066.32</v>
      </c>
      <c r="I211" s="630">
        <f t="shared" si="47"/>
        <v>0</v>
      </c>
      <c r="J211" s="630">
        <f t="shared" si="48"/>
        <v>0</v>
      </c>
      <c r="K211" s="630">
        <f t="shared" si="49"/>
        <v>0</v>
      </c>
      <c r="L211" s="631">
        <f t="shared" si="50"/>
        <v>50336161.229999997</v>
      </c>
      <c r="M211" s="631">
        <f t="shared" si="51"/>
        <v>0</v>
      </c>
      <c r="N211" s="631">
        <f t="shared" si="52"/>
        <v>50336161.229999997</v>
      </c>
      <c r="O211" s="660">
        <f t="shared" si="53"/>
        <v>0</v>
      </c>
    </row>
    <row r="212" spans="1:16">
      <c r="A212" s="2015">
        <v>182.3</v>
      </c>
      <c r="B212" s="675">
        <v>18239011</v>
      </c>
      <c r="C212" s="675"/>
      <c r="D212" s="652" t="s">
        <v>1146</v>
      </c>
      <c r="E212" s="675" t="s">
        <v>968</v>
      </c>
      <c r="F212" s="2007" t="s">
        <v>390</v>
      </c>
      <c r="G212" s="2006">
        <v>5789196.4500000002</v>
      </c>
      <c r="H212" s="2006">
        <v>5295349.0199999996</v>
      </c>
      <c r="I212" s="630">
        <f t="shared" si="47"/>
        <v>0</v>
      </c>
      <c r="J212" s="630">
        <f t="shared" si="48"/>
        <v>0</v>
      </c>
      <c r="K212" s="630">
        <f t="shared" si="49"/>
        <v>5789196.4500000002</v>
      </c>
      <c r="L212" s="631">
        <f t="shared" si="50"/>
        <v>0</v>
      </c>
      <c r="M212" s="631">
        <f t="shared" si="51"/>
        <v>0</v>
      </c>
      <c r="N212" s="631">
        <f t="shared" si="52"/>
        <v>5789196.4500000002</v>
      </c>
      <c r="O212" s="660">
        <f t="shared" si="53"/>
        <v>0</v>
      </c>
    </row>
    <row r="213" spans="1:16">
      <c r="A213" s="2015">
        <v>182.3</v>
      </c>
      <c r="B213" s="675">
        <v>18239012</v>
      </c>
      <c r="C213" s="675"/>
      <c r="D213" s="652" t="s">
        <v>1147</v>
      </c>
      <c r="E213" s="675" t="s">
        <v>968</v>
      </c>
      <c r="F213" s="2007" t="s">
        <v>988</v>
      </c>
      <c r="G213" s="2006">
        <v>1958071.7</v>
      </c>
      <c r="H213" s="2006">
        <v>1834609.84</v>
      </c>
      <c r="I213" s="630">
        <f t="shared" si="47"/>
        <v>0</v>
      </c>
      <c r="J213" s="630">
        <f t="shared" si="48"/>
        <v>0</v>
      </c>
      <c r="K213" s="630">
        <f t="shared" si="49"/>
        <v>0</v>
      </c>
      <c r="L213" s="631">
        <f t="shared" si="50"/>
        <v>1958071.7</v>
      </c>
      <c r="M213" s="631">
        <f t="shared" si="51"/>
        <v>0</v>
      </c>
      <c r="N213" s="631">
        <f t="shared" si="52"/>
        <v>1958071.7</v>
      </c>
      <c r="O213" s="660">
        <f t="shared" si="53"/>
        <v>0</v>
      </c>
    </row>
    <row r="214" spans="1:16">
      <c r="A214" s="2015">
        <v>182.3</v>
      </c>
      <c r="B214" s="675">
        <v>18239013</v>
      </c>
      <c r="C214" s="675"/>
      <c r="D214" s="652" t="s">
        <v>1148</v>
      </c>
      <c r="E214" s="675" t="s">
        <v>968</v>
      </c>
      <c r="F214" s="2007" t="s">
        <v>390</v>
      </c>
      <c r="G214" s="2006">
        <v>0</v>
      </c>
      <c r="H214" s="2006">
        <v>0</v>
      </c>
      <c r="I214" s="630">
        <f t="shared" si="47"/>
        <v>0</v>
      </c>
      <c r="J214" s="630">
        <f t="shared" si="48"/>
        <v>0</v>
      </c>
      <c r="K214" s="630">
        <f t="shared" si="49"/>
        <v>0</v>
      </c>
      <c r="L214" s="631">
        <f t="shared" si="50"/>
        <v>0</v>
      </c>
      <c r="M214" s="631">
        <f t="shared" si="51"/>
        <v>0</v>
      </c>
      <c r="N214" s="631">
        <f t="shared" si="52"/>
        <v>0</v>
      </c>
      <c r="O214" s="660">
        <f t="shared" si="53"/>
        <v>0</v>
      </c>
    </row>
    <row r="215" spans="1:16">
      <c r="A215" s="2015">
        <v>182.3</v>
      </c>
      <c r="B215" s="675">
        <v>18239021</v>
      </c>
      <c r="C215" s="675"/>
      <c r="D215" s="652" t="s">
        <v>1149</v>
      </c>
      <c r="E215" s="675" t="s">
        <v>968</v>
      </c>
      <c r="F215" s="2007" t="s">
        <v>390</v>
      </c>
      <c r="G215" s="2006">
        <v>50123761.590000004</v>
      </c>
      <c r="H215" s="2006">
        <v>45999588.009999998</v>
      </c>
      <c r="I215" s="630">
        <f t="shared" si="47"/>
        <v>0</v>
      </c>
      <c r="J215" s="630">
        <f t="shared" si="48"/>
        <v>0</v>
      </c>
      <c r="K215" s="630">
        <f t="shared" si="49"/>
        <v>50123761.590000004</v>
      </c>
      <c r="L215" s="631">
        <f t="shared" si="50"/>
        <v>0</v>
      </c>
      <c r="M215" s="631">
        <f t="shared" si="51"/>
        <v>0</v>
      </c>
      <c r="N215" s="631">
        <f t="shared" si="52"/>
        <v>50123761.590000004</v>
      </c>
      <c r="O215" s="660">
        <f t="shared" si="53"/>
        <v>0</v>
      </c>
    </row>
    <row r="216" spans="1:16">
      <c r="A216" s="2015">
        <v>182.3</v>
      </c>
      <c r="B216" s="675">
        <v>18239022</v>
      </c>
      <c r="C216" s="675"/>
      <c r="D216" s="652" t="s">
        <v>1150</v>
      </c>
      <c r="E216" s="675" t="s">
        <v>968</v>
      </c>
      <c r="F216" s="2007" t="s">
        <v>988</v>
      </c>
      <c r="G216" s="2006">
        <v>16154215.51</v>
      </c>
      <c r="H216" s="2006">
        <v>15123172.130000001</v>
      </c>
      <c r="I216" s="630">
        <f t="shared" si="47"/>
        <v>0</v>
      </c>
      <c r="J216" s="630">
        <f t="shared" si="48"/>
        <v>0</v>
      </c>
      <c r="K216" s="630">
        <f t="shared" si="49"/>
        <v>0</v>
      </c>
      <c r="L216" s="631">
        <f t="shared" si="50"/>
        <v>16154215.51</v>
      </c>
      <c r="M216" s="631">
        <f t="shared" si="51"/>
        <v>0</v>
      </c>
      <c r="N216" s="631">
        <f t="shared" si="52"/>
        <v>16154215.51</v>
      </c>
      <c r="O216" s="660">
        <f t="shared" si="53"/>
        <v>0</v>
      </c>
    </row>
    <row r="217" spans="1:16">
      <c r="A217" s="2015">
        <v>182.3</v>
      </c>
      <c r="B217" s="675">
        <v>18239023</v>
      </c>
      <c r="C217" s="675"/>
      <c r="D217" s="2043" t="s">
        <v>1151</v>
      </c>
      <c r="E217" s="675" t="s">
        <v>968</v>
      </c>
      <c r="F217" s="2007" t="s">
        <v>390</v>
      </c>
      <c r="G217" s="2006">
        <v>0</v>
      </c>
      <c r="H217" s="2006">
        <v>0</v>
      </c>
      <c r="I217" s="630">
        <f t="shared" si="47"/>
        <v>0</v>
      </c>
      <c r="J217" s="630">
        <f t="shared" si="48"/>
        <v>0</v>
      </c>
      <c r="K217" s="630">
        <f t="shared" si="49"/>
        <v>0</v>
      </c>
      <c r="L217" s="631">
        <f t="shared" si="50"/>
        <v>0</v>
      </c>
      <c r="M217" s="631">
        <f t="shared" si="51"/>
        <v>0</v>
      </c>
      <c r="N217" s="631">
        <f t="shared" si="52"/>
        <v>0</v>
      </c>
      <c r="O217" s="660">
        <f t="shared" si="53"/>
        <v>0</v>
      </c>
    </row>
    <row r="218" spans="1:16">
      <c r="A218" s="2015">
        <v>182.3</v>
      </c>
      <c r="B218" s="675">
        <v>18239031</v>
      </c>
      <c r="C218" s="675"/>
      <c r="D218" s="652" t="s">
        <v>1152</v>
      </c>
      <c r="E218" s="675" t="s">
        <v>968</v>
      </c>
      <c r="F218" s="2007" t="s">
        <v>390</v>
      </c>
      <c r="G218" s="2006">
        <v>-258836519.75</v>
      </c>
      <c r="H218" s="2006">
        <v>-237859886.44999999</v>
      </c>
      <c r="I218" s="630">
        <f t="shared" si="47"/>
        <v>0</v>
      </c>
      <c r="J218" s="630">
        <f t="shared" si="48"/>
        <v>0</v>
      </c>
      <c r="K218" s="630">
        <f t="shared" si="49"/>
        <v>-258836519.75</v>
      </c>
      <c r="L218" s="631">
        <f t="shared" si="50"/>
        <v>0</v>
      </c>
      <c r="M218" s="631">
        <f t="shared" si="51"/>
        <v>0</v>
      </c>
      <c r="N218" s="631">
        <f t="shared" si="52"/>
        <v>-258836519.75</v>
      </c>
      <c r="O218" s="660">
        <f t="shared" si="53"/>
        <v>0</v>
      </c>
    </row>
    <row r="219" spans="1:16">
      <c r="A219" s="2015">
        <v>182.3</v>
      </c>
      <c r="B219" s="675">
        <v>18239032</v>
      </c>
      <c r="C219" s="675"/>
      <c r="D219" s="652" t="s">
        <v>1153</v>
      </c>
      <c r="E219" s="675" t="s">
        <v>968</v>
      </c>
      <c r="F219" s="2007" t="s">
        <v>988</v>
      </c>
      <c r="G219" s="2006">
        <v>-68448448.439999998</v>
      </c>
      <c r="H219" s="2006">
        <v>-63154848.289999999</v>
      </c>
      <c r="I219" s="630">
        <f t="shared" si="47"/>
        <v>0</v>
      </c>
      <c r="J219" s="630">
        <f t="shared" si="48"/>
        <v>0</v>
      </c>
      <c r="K219" s="630">
        <f t="shared" si="49"/>
        <v>0</v>
      </c>
      <c r="L219" s="631">
        <f t="shared" si="50"/>
        <v>-68448448.439999998</v>
      </c>
      <c r="M219" s="631">
        <f t="shared" si="51"/>
        <v>0</v>
      </c>
      <c r="N219" s="631">
        <f t="shared" si="52"/>
        <v>-68448448.439999998</v>
      </c>
      <c r="O219" s="660">
        <f t="shared" si="53"/>
        <v>0</v>
      </c>
    </row>
    <row r="220" spans="1:16">
      <c r="A220" s="2015">
        <v>182.3</v>
      </c>
      <c r="B220" s="675">
        <v>18239042</v>
      </c>
      <c r="C220" s="675"/>
      <c r="D220" s="652" t="s">
        <v>1154</v>
      </c>
      <c r="E220" s="675" t="s">
        <v>968</v>
      </c>
      <c r="F220" s="2007" t="s">
        <v>988</v>
      </c>
      <c r="G220" s="2006">
        <v>11335256.439999999</v>
      </c>
      <c r="H220" s="2006">
        <v>19747690.719999999</v>
      </c>
      <c r="I220" s="630">
        <f t="shared" si="47"/>
        <v>0</v>
      </c>
      <c r="J220" s="630">
        <f t="shared" si="48"/>
        <v>0</v>
      </c>
      <c r="K220" s="630">
        <f t="shared" si="49"/>
        <v>0</v>
      </c>
      <c r="L220" s="631">
        <f t="shared" si="50"/>
        <v>11335256.439999999</v>
      </c>
      <c r="M220" s="631">
        <f t="shared" si="51"/>
        <v>0</v>
      </c>
      <c r="N220" s="631">
        <f t="shared" si="52"/>
        <v>11335256.439999999</v>
      </c>
      <c r="O220" s="660">
        <f t="shared" si="53"/>
        <v>0</v>
      </c>
    </row>
    <row r="221" spans="1:16">
      <c r="A221" s="2015">
        <v>182.3</v>
      </c>
      <c r="B221" s="675">
        <v>18239043</v>
      </c>
      <c r="C221" s="675"/>
      <c r="D221" s="652" t="s">
        <v>1155</v>
      </c>
      <c r="E221" s="675" t="s">
        <v>968</v>
      </c>
      <c r="F221" s="2007" t="s">
        <v>390</v>
      </c>
      <c r="G221" s="2006">
        <v>0</v>
      </c>
      <c r="H221" s="2006">
        <v>0</v>
      </c>
      <c r="I221" s="630">
        <f t="shared" si="47"/>
        <v>0</v>
      </c>
      <c r="J221" s="630">
        <f t="shared" si="48"/>
        <v>0</v>
      </c>
      <c r="K221" s="630">
        <f t="shared" si="49"/>
        <v>0</v>
      </c>
      <c r="L221" s="631">
        <f t="shared" si="50"/>
        <v>0</v>
      </c>
      <c r="M221" s="631">
        <f t="shared" si="51"/>
        <v>0</v>
      </c>
      <c r="N221" s="631">
        <f t="shared" si="52"/>
        <v>0</v>
      </c>
      <c r="O221" s="660">
        <f t="shared" si="53"/>
        <v>0</v>
      </c>
    </row>
    <row r="222" spans="1:16">
      <c r="A222" s="2015">
        <v>182.3</v>
      </c>
      <c r="B222" s="675">
        <v>18239052</v>
      </c>
      <c r="C222" s="675"/>
      <c r="D222" s="652" t="s">
        <v>1156</v>
      </c>
      <c r="E222" s="675" t="s">
        <v>968</v>
      </c>
      <c r="F222" s="2007" t="s">
        <v>988</v>
      </c>
      <c r="G222" s="2006">
        <v>0</v>
      </c>
      <c r="H222" s="2006">
        <v>1430927.66</v>
      </c>
      <c r="I222" s="630">
        <f t="shared" si="47"/>
        <v>0</v>
      </c>
      <c r="J222" s="630">
        <f t="shared" si="48"/>
        <v>0</v>
      </c>
      <c r="K222" s="630">
        <f t="shared" si="49"/>
        <v>0</v>
      </c>
      <c r="L222" s="631">
        <f t="shared" si="50"/>
        <v>0</v>
      </c>
      <c r="M222" s="631">
        <f t="shared" si="51"/>
        <v>0</v>
      </c>
      <c r="N222" s="631">
        <f t="shared" si="52"/>
        <v>0</v>
      </c>
      <c r="O222" s="660">
        <f t="shared" si="53"/>
        <v>0</v>
      </c>
    </row>
    <row r="223" spans="1:16">
      <c r="A223" s="2015">
        <v>182.3</v>
      </c>
      <c r="B223" s="675">
        <v>18239061</v>
      </c>
      <c r="C223" s="675"/>
      <c r="D223" s="652" t="s">
        <v>1157</v>
      </c>
      <c r="E223" s="675" t="s">
        <v>968</v>
      </c>
      <c r="F223" s="2007" t="s">
        <v>392</v>
      </c>
      <c r="G223" s="2006">
        <v>3869128.66</v>
      </c>
      <c r="H223" s="2006">
        <v>3181496.66</v>
      </c>
      <c r="I223" s="630">
        <f t="shared" si="47"/>
        <v>3869128.66</v>
      </c>
      <c r="J223" s="630">
        <f t="shared" si="48"/>
        <v>0</v>
      </c>
      <c r="K223" s="630">
        <f t="shared" si="49"/>
        <v>0</v>
      </c>
      <c r="L223" s="631">
        <f t="shared" si="50"/>
        <v>0</v>
      </c>
      <c r="M223" s="631">
        <f t="shared" si="51"/>
        <v>0</v>
      </c>
      <c r="N223" s="631">
        <f t="shared" si="52"/>
        <v>3869128.66</v>
      </c>
      <c r="O223" s="660">
        <f t="shared" si="53"/>
        <v>0</v>
      </c>
      <c r="P223" s="2005" t="s">
        <v>1158</v>
      </c>
    </row>
    <row r="224" spans="1:16">
      <c r="A224" s="2015">
        <v>182.3</v>
      </c>
      <c r="B224" s="675">
        <v>18239062</v>
      </c>
      <c r="C224" s="675"/>
      <c r="D224" s="652" t="s">
        <v>1159</v>
      </c>
      <c r="E224" s="675" t="s">
        <v>968</v>
      </c>
      <c r="F224" s="2007" t="s">
        <v>988</v>
      </c>
      <c r="G224" s="2006">
        <v>0</v>
      </c>
      <c r="H224" s="2006">
        <v>0</v>
      </c>
      <c r="I224" s="630">
        <f t="shared" si="47"/>
        <v>0</v>
      </c>
      <c r="J224" s="630">
        <f t="shared" si="48"/>
        <v>0</v>
      </c>
      <c r="K224" s="630">
        <f t="shared" si="49"/>
        <v>0</v>
      </c>
      <c r="L224" s="631">
        <f t="shared" si="50"/>
        <v>0</v>
      </c>
      <c r="M224" s="631">
        <f t="shared" si="51"/>
        <v>0</v>
      </c>
      <c r="N224" s="631">
        <f t="shared" si="52"/>
        <v>0</v>
      </c>
      <c r="O224" s="660">
        <f t="shared" si="53"/>
        <v>0</v>
      </c>
    </row>
    <row r="225" spans="1:16">
      <c r="A225" s="2015">
        <v>182.3</v>
      </c>
      <c r="B225" s="675">
        <v>18239072</v>
      </c>
      <c r="C225" s="675"/>
      <c r="D225" s="652" t="s">
        <v>1160</v>
      </c>
      <c r="E225" s="675" t="s">
        <v>968</v>
      </c>
      <c r="F225" s="2007" t="s">
        <v>988</v>
      </c>
      <c r="G225" s="2006">
        <v>2057517.55</v>
      </c>
      <c r="H225" s="2006">
        <v>2057517.55</v>
      </c>
      <c r="I225" s="630">
        <f t="shared" si="47"/>
        <v>0</v>
      </c>
      <c r="J225" s="630">
        <f t="shared" si="48"/>
        <v>0</v>
      </c>
      <c r="K225" s="630">
        <f t="shared" si="49"/>
        <v>0</v>
      </c>
      <c r="L225" s="631">
        <f t="shared" si="50"/>
        <v>2057517.55</v>
      </c>
      <c r="M225" s="631">
        <f t="shared" si="51"/>
        <v>0</v>
      </c>
      <c r="N225" s="631">
        <f t="shared" si="52"/>
        <v>2057517.55</v>
      </c>
      <c r="O225" s="660">
        <f t="shared" si="53"/>
        <v>0</v>
      </c>
    </row>
    <row r="226" spans="1:16">
      <c r="A226" s="2015">
        <v>182.3</v>
      </c>
      <c r="B226" s="675">
        <v>18239081</v>
      </c>
      <c r="C226" s="675"/>
      <c r="D226" s="652" t="s">
        <v>1161</v>
      </c>
      <c r="E226" s="675" t="s">
        <v>968</v>
      </c>
      <c r="F226" s="2007" t="s">
        <v>390</v>
      </c>
      <c r="G226" s="2006">
        <v>0</v>
      </c>
      <c r="H226" s="2006">
        <v>0</v>
      </c>
      <c r="I226" s="630">
        <f t="shared" si="47"/>
        <v>0</v>
      </c>
      <c r="J226" s="630">
        <f t="shared" si="48"/>
        <v>0</v>
      </c>
      <c r="K226" s="630">
        <f t="shared" si="49"/>
        <v>0</v>
      </c>
      <c r="L226" s="631">
        <f t="shared" si="50"/>
        <v>0</v>
      </c>
      <c r="M226" s="631">
        <f t="shared" si="51"/>
        <v>0</v>
      </c>
      <c r="N226" s="631">
        <f t="shared" si="52"/>
        <v>0</v>
      </c>
      <c r="O226" s="660">
        <f t="shared" si="53"/>
        <v>0</v>
      </c>
    </row>
    <row r="227" spans="1:16">
      <c r="A227" s="2015">
        <v>182.3</v>
      </c>
      <c r="B227" s="675">
        <v>18239082</v>
      </c>
      <c r="C227" s="675"/>
      <c r="D227" s="652" t="s">
        <v>1162</v>
      </c>
      <c r="E227" s="675" t="s">
        <v>968</v>
      </c>
      <c r="F227" s="2007" t="s">
        <v>988</v>
      </c>
      <c r="G227" s="2006">
        <v>1165282.77</v>
      </c>
      <c r="H227" s="2006">
        <v>4223142.93</v>
      </c>
      <c r="I227" s="630">
        <f t="shared" si="47"/>
        <v>0</v>
      </c>
      <c r="J227" s="630">
        <f t="shared" si="48"/>
        <v>0</v>
      </c>
      <c r="K227" s="630">
        <f t="shared" si="49"/>
        <v>0</v>
      </c>
      <c r="L227" s="631">
        <f t="shared" si="50"/>
        <v>1165282.77</v>
      </c>
      <c r="M227" s="631">
        <f t="shared" si="51"/>
        <v>0</v>
      </c>
      <c r="N227" s="631">
        <f t="shared" si="52"/>
        <v>1165282.77</v>
      </c>
      <c r="O227" s="660">
        <f t="shared" si="53"/>
        <v>0</v>
      </c>
    </row>
    <row r="228" spans="1:16">
      <c r="A228" s="2015">
        <v>182.3</v>
      </c>
      <c r="B228" s="675">
        <v>18239091</v>
      </c>
      <c r="C228" s="675"/>
      <c r="D228" s="652" t="s">
        <v>1163</v>
      </c>
      <c r="E228" s="675" t="s">
        <v>968</v>
      </c>
      <c r="F228" s="2007" t="s">
        <v>390</v>
      </c>
      <c r="G228" s="2006">
        <v>0</v>
      </c>
      <c r="H228" s="2006">
        <v>0</v>
      </c>
      <c r="I228" s="630">
        <f t="shared" si="47"/>
        <v>0</v>
      </c>
      <c r="J228" s="630">
        <f t="shared" si="48"/>
        <v>0</v>
      </c>
      <c r="K228" s="630">
        <f t="shared" si="49"/>
        <v>0</v>
      </c>
      <c r="L228" s="631">
        <f t="shared" si="50"/>
        <v>0</v>
      </c>
      <c r="M228" s="631">
        <f t="shared" si="51"/>
        <v>0</v>
      </c>
      <c r="N228" s="631">
        <f t="shared" si="52"/>
        <v>0</v>
      </c>
      <c r="O228" s="660">
        <f t="shared" si="53"/>
        <v>0</v>
      </c>
    </row>
    <row r="229" spans="1:16">
      <c r="A229" s="2015">
        <v>182.3</v>
      </c>
      <c r="B229" s="675">
        <v>18239092</v>
      </c>
      <c r="C229" s="675"/>
      <c r="D229" s="652" t="s">
        <v>1164</v>
      </c>
      <c r="E229" s="675" t="s">
        <v>968</v>
      </c>
      <c r="F229" s="2007" t="s">
        <v>988</v>
      </c>
      <c r="G229" s="2006">
        <v>0</v>
      </c>
      <c r="H229" s="2006">
        <v>0</v>
      </c>
      <c r="I229" s="630">
        <f t="shared" si="47"/>
        <v>0</v>
      </c>
      <c r="J229" s="630">
        <f t="shared" si="48"/>
        <v>0</v>
      </c>
      <c r="K229" s="630">
        <f t="shared" si="49"/>
        <v>0</v>
      </c>
      <c r="L229" s="631">
        <f t="shared" si="50"/>
        <v>0</v>
      </c>
      <c r="M229" s="631">
        <f t="shared" si="51"/>
        <v>0</v>
      </c>
      <c r="N229" s="631">
        <f t="shared" si="52"/>
        <v>0</v>
      </c>
      <c r="O229" s="660">
        <f t="shared" si="53"/>
        <v>0</v>
      </c>
    </row>
    <row r="230" spans="1:16">
      <c r="A230" s="2015">
        <v>182.3</v>
      </c>
      <c r="B230" s="675">
        <v>18239101</v>
      </c>
      <c r="C230" s="675"/>
      <c r="D230" s="652" t="s">
        <v>1165</v>
      </c>
      <c r="E230" s="675" t="s">
        <v>968</v>
      </c>
      <c r="F230" s="2007" t="s">
        <v>390</v>
      </c>
      <c r="G230" s="2006">
        <v>548761.75</v>
      </c>
      <c r="H230" s="2006">
        <v>1501554.32</v>
      </c>
      <c r="I230" s="630">
        <f t="shared" si="47"/>
        <v>0</v>
      </c>
      <c r="J230" s="630">
        <f t="shared" si="48"/>
        <v>0</v>
      </c>
      <c r="K230" s="630">
        <f t="shared" si="49"/>
        <v>548761.75</v>
      </c>
      <c r="L230" s="631">
        <f t="shared" si="50"/>
        <v>0</v>
      </c>
      <c r="M230" s="631">
        <f t="shared" si="51"/>
        <v>0</v>
      </c>
      <c r="N230" s="631">
        <f t="shared" si="52"/>
        <v>548761.75</v>
      </c>
      <c r="O230" s="660">
        <f t="shared" si="53"/>
        <v>0</v>
      </c>
    </row>
    <row r="231" spans="1:16">
      <c r="A231" s="2015">
        <v>182.3</v>
      </c>
      <c r="B231" s="675">
        <v>18239102</v>
      </c>
      <c r="C231" s="675"/>
      <c r="D231" s="652" t="s">
        <v>1166</v>
      </c>
      <c r="E231" s="675" t="s">
        <v>968</v>
      </c>
      <c r="F231" s="2007" t="s">
        <v>988</v>
      </c>
      <c r="G231" s="2006">
        <v>-2057535.03</v>
      </c>
      <c r="H231" s="2006">
        <v>-2057535.03</v>
      </c>
      <c r="I231" s="630">
        <f t="shared" si="47"/>
        <v>0</v>
      </c>
      <c r="J231" s="630">
        <f t="shared" si="48"/>
        <v>0</v>
      </c>
      <c r="K231" s="630">
        <f t="shared" si="49"/>
        <v>0</v>
      </c>
      <c r="L231" s="631">
        <f t="shared" si="50"/>
        <v>-2057535.03</v>
      </c>
      <c r="M231" s="631">
        <f t="shared" si="51"/>
        <v>0</v>
      </c>
      <c r="N231" s="631">
        <f t="shared" si="52"/>
        <v>-2057535.03</v>
      </c>
      <c r="O231" s="660">
        <f t="shared" si="53"/>
        <v>0</v>
      </c>
    </row>
    <row r="232" spans="1:16">
      <c r="A232" s="2015">
        <v>182.3</v>
      </c>
      <c r="B232" s="675">
        <v>18239111</v>
      </c>
      <c r="C232" s="675"/>
      <c r="D232" s="652" t="s">
        <v>1167</v>
      </c>
      <c r="E232" s="675" t="s">
        <v>968</v>
      </c>
      <c r="F232" s="2007" t="s">
        <v>390</v>
      </c>
      <c r="G232" s="2006">
        <v>382357.55</v>
      </c>
      <c r="H232" s="2006">
        <v>1152464.24</v>
      </c>
      <c r="I232" s="630">
        <f t="shared" si="47"/>
        <v>0</v>
      </c>
      <c r="J232" s="630">
        <f t="shared" si="48"/>
        <v>0</v>
      </c>
      <c r="K232" s="630">
        <f t="shared" si="49"/>
        <v>382357.55</v>
      </c>
      <c r="L232" s="631">
        <f t="shared" si="50"/>
        <v>0</v>
      </c>
      <c r="M232" s="631">
        <f t="shared" si="51"/>
        <v>0</v>
      </c>
      <c r="N232" s="631">
        <f t="shared" si="52"/>
        <v>382357.55</v>
      </c>
      <c r="O232" s="660">
        <f t="shared" si="53"/>
        <v>0</v>
      </c>
    </row>
    <row r="233" spans="1:16">
      <c r="A233" s="2015">
        <v>182.3</v>
      </c>
      <c r="B233" s="675">
        <v>18239121</v>
      </c>
      <c r="C233" s="675"/>
      <c r="D233" s="652" t="s">
        <v>1168</v>
      </c>
      <c r="E233" s="675" t="s">
        <v>968</v>
      </c>
      <c r="F233" s="2007" t="s">
        <v>392</v>
      </c>
      <c r="G233" s="2006">
        <v>2058382</v>
      </c>
      <c r="H233" s="2006">
        <v>2058382</v>
      </c>
      <c r="I233" s="630">
        <f t="shared" si="47"/>
        <v>2058382</v>
      </c>
      <c r="J233" s="630">
        <f t="shared" si="48"/>
        <v>0</v>
      </c>
      <c r="K233" s="630">
        <f t="shared" si="49"/>
        <v>0</v>
      </c>
      <c r="L233" s="631">
        <f t="shared" si="50"/>
        <v>0</v>
      </c>
      <c r="M233" s="631">
        <f t="shared" si="51"/>
        <v>0</v>
      </c>
      <c r="N233" s="631">
        <f t="shared" si="52"/>
        <v>2058382</v>
      </c>
      <c r="O233" s="660">
        <f t="shared" si="53"/>
        <v>0</v>
      </c>
      <c r="P233" s="2005" t="s">
        <v>1169</v>
      </c>
    </row>
    <row r="234" spans="1:16">
      <c r="A234" s="2015">
        <v>182.3</v>
      </c>
      <c r="B234" s="675">
        <v>18239131</v>
      </c>
      <c r="C234" s="675"/>
      <c r="D234" s="652" t="s">
        <v>1170</v>
      </c>
      <c r="E234" s="675" t="s">
        <v>968</v>
      </c>
      <c r="F234" s="2007" t="s">
        <v>392</v>
      </c>
      <c r="G234" s="2006">
        <v>-2058382</v>
      </c>
      <c r="H234" s="2006">
        <v>-2058382</v>
      </c>
      <c r="I234" s="630">
        <f t="shared" si="47"/>
        <v>-2058382</v>
      </c>
      <c r="J234" s="630">
        <f t="shared" si="48"/>
        <v>0</v>
      </c>
      <c r="K234" s="630">
        <f t="shared" si="49"/>
        <v>0</v>
      </c>
      <c r="L234" s="631">
        <f t="shared" si="50"/>
        <v>0</v>
      </c>
      <c r="M234" s="631">
        <f t="shared" si="51"/>
        <v>0</v>
      </c>
      <c r="N234" s="631">
        <f t="shared" si="52"/>
        <v>-2058382</v>
      </c>
      <c r="O234" s="660">
        <f t="shared" si="53"/>
        <v>0</v>
      </c>
      <c r="P234" s="2005" t="s">
        <v>1169</v>
      </c>
    </row>
    <row r="235" spans="1:16">
      <c r="A235" s="2015">
        <v>182.3</v>
      </c>
      <c r="B235" s="675">
        <v>18239141</v>
      </c>
      <c r="C235" s="675"/>
      <c r="D235" s="652" t="s">
        <v>1171</v>
      </c>
      <c r="E235" s="675" t="s">
        <v>968</v>
      </c>
      <c r="F235" s="2007" t="s">
        <v>392</v>
      </c>
      <c r="G235" s="2006">
        <v>11694279</v>
      </c>
      <c r="H235" s="2006">
        <v>11694279</v>
      </c>
      <c r="I235" s="630">
        <f t="shared" si="47"/>
        <v>11694279</v>
      </c>
      <c r="J235" s="630">
        <f t="shared" si="48"/>
        <v>0</v>
      </c>
      <c r="K235" s="630">
        <f t="shared" si="49"/>
        <v>0</v>
      </c>
      <c r="L235" s="631">
        <f t="shared" si="50"/>
        <v>0</v>
      </c>
      <c r="M235" s="631">
        <f t="shared" si="51"/>
        <v>0</v>
      </c>
      <c r="N235" s="631">
        <f t="shared" si="52"/>
        <v>11694279</v>
      </c>
      <c r="O235" s="660">
        <f t="shared" si="53"/>
        <v>0</v>
      </c>
      <c r="P235" s="2005" t="s">
        <v>1172</v>
      </c>
    </row>
    <row r="236" spans="1:16">
      <c r="A236" s="2015">
        <v>182.3</v>
      </c>
      <c r="B236" s="675">
        <v>18239151</v>
      </c>
      <c r="C236" s="675"/>
      <c r="D236" s="652" t="s">
        <v>1173</v>
      </c>
      <c r="E236" s="675" t="s">
        <v>968</v>
      </c>
      <c r="F236" s="2007" t="s">
        <v>392</v>
      </c>
      <c r="G236" s="2006">
        <v>-11694279</v>
      </c>
      <c r="H236" s="2006">
        <v>-11694279</v>
      </c>
      <c r="I236" s="630">
        <f t="shared" si="47"/>
        <v>-11694279</v>
      </c>
      <c r="J236" s="630">
        <f t="shared" si="48"/>
        <v>0</v>
      </c>
      <c r="K236" s="630">
        <f t="shared" si="49"/>
        <v>0</v>
      </c>
      <c r="L236" s="631">
        <f t="shared" si="50"/>
        <v>0</v>
      </c>
      <c r="M236" s="631">
        <f t="shared" si="51"/>
        <v>0</v>
      </c>
      <c r="N236" s="631">
        <f t="shared" si="52"/>
        <v>-11694279</v>
      </c>
      <c r="O236" s="660">
        <f t="shared" si="53"/>
        <v>0</v>
      </c>
      <c r="P236" s="2005" t="s">
        <v>1172</v>
      </c>
    </row>
    <row r="237" spans="1:16">
      <c r="A237" s="2015">
        <v>182.3</v>
      </c>
      <c r="B237" s="675">
        <v>18239161</v>
      </c>
      <c r="C237" s="675"/>
      <c r="D237" s="652" t="s">
        <v>1174</v>
      </c>
      <c r="E237" s="675" t="s">
        <v>968</v>
      </c>
      <c r="F237" s="2007" t="s">
        <v>392</v>
      </c>
      <c r="G237" s="2006">
        <v>0</v>
      </c>
      <c r="H237" s="2006">
        <v>0</v>
      </c>
      <c r="I237" s="630">
        <f t="shared" si="47"/>
        <v>0</v>
      </c>
      <c r="J237" s="630">
        <f t="shared" si="48"/>
        <v>0</v>
      </c>
      <c r="K237" s="630">
        <f t="shared" si="49"/>
        <v>0</v>
      </c>
      <c r="L237" s="631">
        <f t="shared" si="50"/>
        <v>0</v>
      </c>
      <c r="M237" s="631">
        <f t="shared" si="51"/>
        <v>0</v>
      </c>
      <c r="N237" s="631">
        <f t="shared" si="52"/>
        <v>0</v>
      </c>
      <c r="O237" s="660">
        <f t="shared" si="53"/>
        <v>0</v>
      </c>
      <c r="P237" s="2005" t="s">
        <v>1175</v>
      </c>
    </row>
    <row r="238" spans="1:16">
      <c r="A238" s="2015">
        <v>182.3</v>
      </c>
      <c r="B238" s="675">
        <v>18239171</v>
      </c>
      <c r="C238" s="675"/>
      <c r="D238" s="652" t="s">
        <v>1176</v>
      </c>
      <c r="E238" s="675" t="s">
        <v>968</v>
      </c>
      <c r="F238" s="2007" t="s">
        <v>390</v>
      </c>
      <c r="G238" s="2006">
        <v>1776254.95</v>
      </c>
      <c r="H238" s="2006">
        <v>2820342.43</v>
      </c>
      <c r="I238" s="630">
        <f t="shared" si="47"/>
        <v>0</v>
      </c>
      <c r="J238" s="630">
        <f t="shared" si="48"/>
        <v>0</v>
      </c>
      <c r="K238" s="630">
        <f t="shared" si="49"/>
        <v>1776254.95</v>
      </c>
      <c r="L238" s="631">
        <f t="shared" si="50"/>
        <v>0</v>
      </c>
      <c r="M238" s="631">
        <f t="shared" si="51"/>
        <v>0</v>
      </c>
      <c r="N238" s="631">
        <f t="shared" si="52"/>
        <v>1776254.95</v>
      </c>
      <c r="O238" s="660">
        <f t="shared" si="53"/>
        <v>0</v>
      </c>
    </row>
    <row r="239" spans="1:16">
      <c r="A239" s="2015">
        <v>182.3</v>
      </c>
      <c r="B239" s="675">
        <v>18239191</v>
      </c>
      <c r="C239" s="675"/>
      <c r="D239" s="652" t="s">
        <v>1177</v>
      </c>
      <c r="E239" s="675" t="s">
        <v>968</v>
      </c>
      <c r="F239" s="2007" t="s">
        <v>392</v>
      </c>
      <c r="G239" s="2006">
        <v>0</v>
      </c>
      <c r="H239" s="2006">
        <v>0</v>
      </c>
      <c r="I239" s="630">
        <f t="shared" si="47"/>
        <v>0</v>
      </c>
      <c r="J239" s="630">
        <f t="shared" si="48"/>
        <v>0</v>
      </c>
      <c r="K239" s="630">
        <f t="shared" si="49"/>
        <v>0</v>
      </c>
      <c r="L239" s="631">
        <f t="shared" si="50"/>
        <v>0</v>
      </c>
      <c r="M239" s="631">
        <f t="shared" si="51"/>
        <v>0</v>
      </c>
      <c r="N239" s="631">
        <f t="shared" si="52"/>
        <v>0</v>
      </c>
      <c r="O239" s="660">
        <f t="shared" si="53"/>
        <v>0</v>
      </c>
    </row>
    <row r="240" spans="1:16">
      <c r="A240" s="2015">
        <v>182.3</v>
      </c>
      <c r="B240" s="675">
        <v>18239201</v>
      </c>
      <c r="C240" s="675"/>
      <c r="D240" s="652" t="s">
        <v>1178</v>
      </c>
      <c r="E240" s="675" t="s">
        <v>968</v>
      </c>
      <c r="F240" s="2007" t="s">
        <v>390</v>
      </c>
      <c r="G240" s="2006">
        <v>0</v>
      </c>
      <c r="H240" s="2006">
        <v>0</v>
      </c>
      <c r="I240" s="630">
        <f t="shared" si="47"/>
        <v>0</v>
      </c>
      <c r="J240" s="630">
        <f t="shared" si="48"/>
        <v>0</v>
      </c>
      <c r="K240" s="630">
        <f t="shared" si="49"/>
        <v>0</v>
      </c>
      <c r="L240" s="631">
        <f t="shared" si="50"/>
        <v>0</v>
      </c>
      <c r="M240" s="631">
        <f t="shared" si="51"/>
        <v>0</v>
      </c>
      <c r="N240" s="631">
        <f t="shared" si="52"/>
        <v>0</v>
      </c>
      <c r="O240" s="660">
        <f t="shared" si="53"/>
        <v>0</v>
      </c>
    </row>
    <row r="241" spans="1:16">
      <c r="A241" s="2015">
        <v>182.3</v>
      </c>
      <c r="B241" s="675">
        <v>18239211</v>
      </c>
      <c r="C241" s="675"/>
      <c r="D241" s="652" t="s">
        <v>1179</v>
      </c>
      <c r="E241" s="675" t="s">
        <v>968</v>
      </c>
      <c r="F241" s="2007" t="s">
        <v>390</v>
      </c>
      <c r="G241" s="2006">
        <v>0</v>
      </c>
      <c r="H241" s="2006">
        <v>3364857.94</v>
      </c>
      <c r="I241" s="630">
        <f t="shared" si="47"/>
        <v>0</v>
      </c>
      <c r="J241" s="630">
        <f t="shared" si="48"/>
        <v>0</v>
      </c>
      <c r="K241" s="630">
        <f t="shared" si="49"/>
        <v>0</v>
      </c>
      <c r="L241" s="631">
        <f t="shared" si="50"/>
        <v>0</v>
      </c>
      <c r="M241" s="631">
        <f t="shared" si="51"/>
        <v>0</v>
      </c>
      <c r="N241" s="631">
        <f t="shared" si="52"/>
        <v>0</v>
      </c>
      <c r="O241" s="660">
        <f t="shared" si="53"/>
        <v>0</v>
      </c>
    </row>
    <row r="242" spans="1:16">
      <c r="A242" s="2015">
        <v>182.3</v>
      </c>
      <c r="B242" s="675">
        <v>18239221</v>
      </c>
      <c r="C242" s="675"/>
      <c r="D242" s="652" t="s">
        <v>1180</v>
      </c>
      <c r="E242" s="675" t="s">
        <v>968</v>
      </c>
      <c r="F242" s="2007" t="s">
        <v>390</v>
      </c>
      <c r="G242" s="2006">
        <v>119921.27</v>
      </c>
      <c r="H242" s="2006">
        <v>157627.66</v>
      </c>
      <c r="I242" s="630">
        <f t="shared" si="47"/>
        <v>0</v>
      </c>
      <c r="J242" s="630">
        <f t="shared" si="48"/>
        <v>0</v>
      </c>
      <c r="K242" s="630">
        <f t="shared" si="49"/>
        <v>119921.27</v>
      </c>
      <c r="L242" s="631">
        <f t="shared" si="50"/>
        <v>0</v>
      </c>
      <c r="M242" s="631">
        <f t="shared" si="51"/>
        <v>0</v>
      </c>
      <c r="N242" s="631">
        <f t="shared" si="52"/>
        <v>119921.27</v>
      </c>
      <c r="O242" s="660">
        <f t="shared" si="53"/>
        <v>0</v>
      </c>
    </row>
    <row r="243" spans="1:16">
      <c r="A243" s="2015">
        <v>182.3</v>
      </c>
      <c r="B243" s="675">
        <v>18239231</v>
      </c>
      <c r="C243" s="675"/>
      <c r="D243" s="652" t="s">
        <v>1181</v>
      </c>
      <c r="E243" s="675" t="s">
        <v>968</v>
      </c>
      <c r="F243" s="2007" t="s">
        <v>390</v>
      </c>
      <c r="G243" s="2006">
        <v>5280207.5599999996</v>
      </c>
      <c r="H243" s="2006">
        <v>7181571.6900000004</v>
      </c>
      <c r="I243" s="630">
        <f t="shared" si="47"/>
        <v>0</v>
      </c>
      <c r="J243" s="630">
        <f t="shared" si="48"/>
        <v>0</v>
      </c>
      <c r="K243" s="630">
        <f t="shared" si="49"/>
        <v>5280207.5599999996</v>
      </c>
      <c r="L243" s="631">
        <f t="shared" si="50"/>
        <v>0</v>
      </c>
      <c r="M243" s="631">
        <f t="shared" si="51"/>
        <v>0</v>
      </c>
      <c r="N243" s="631">
        <f t="shared" si="52"/>
        <v>5280207.5599999996</v>
      </c>
      <c r="O243" s="660">
        <f t="shared" si="53"/>
        <v>0</v>
      </c>
    </row>
    <row r="244" spans="1:16">
      <c r="A244" s="2015">
        <v>182.3</v>
      </c>
      <c r="B244" s="675">
        <v>18239241</v>
      </c>
      <c r="C244" s="675"/>
      <c r="D244" s="652" t="s">
        <v>1182</v>
      </c>
      <c r="E244" s="675" t="s">
        <v>968</v>
      </c>
      <c r="F244" s="2007" t="s">
        <v>390</v>
      </c>
      <c r="G244" s="2006">
        <v>397758.02</v>
      </c>
      <c r="H244" s="2006">
        <v>513971.7</v>
      </c>
      <c r="I244" s="630">
        <f t="shared" si="47"/>
        <v>0</v>
      </c>
      <c r="J244" s="630">
        <f t="shared" si="48"/>
        <v>0</v>
      </c>
      <c r="K244" s="630">
        <f t="shared" si="49"/>
        <v>397758.02</v>
      </c>
      <c r="L244" s="631">
        <f t="shared" si="50"/>
        <v>0</v>
      </c>
      <c r="M244" s="631">
        <f t="shared" si="51"/>
        <v>0</v>
      </c>
      <c r="N244" s="631">
        <f t="shared" si="52"/>
        <v>397758.02</v>
      </c>
      <c r="O244" s="660">
        <f t="shared" si="53"/>
        <v>0</v>
      </c>
    </row>
    <row r="245" spans="1:16">
      <c r="A245" s="2015">
        <v>182.3</v>
      </c>
      <c r="B245" s="675">
        <v>18239251</v>
      </c>
      <c r="C245" s="675"/>
      <c r="D245" s="652" t="s">
        <v>1183</v>
      </c>
      <c r="E245" s="675" t="s">
        <v>968</v>
      </c>
      <c r="F245" s="2007" t="s">
        <v>390</v>
      </c>
      <c r="G245" s="2006">
        <v>25000</v>
      </c>
      <c r="H245" s="2006">
        <v>152416.35</v>
      </c>
      <c r="I245" s="630">
        <f t="shared" si="47"/>
        <v>0</v>
      </c>
      <c r="J245" s="630">
        <f t="shared" si="48"/>
        <v>0</v>
      </c>
      <c r="K245" s="630">
        <f t="shared" si="49"/>
        <v>25000</v>
      </c>
      <c r="L245" s="631">
        <f t="shared" si="50"/>
        <v>0</v>
      </c>
      <c r="M245" s="631">
        <f t="shared" si="51"/>
        <v>0</v>
      </c>
      <c r="N245" s="631">
        <f t="shared" si="52"/>
        <v>25000</v>
      </c>
      <c r="O245" s="660">
        <f t="shared" si="53"/>
        <v>0</v>
      </c>
    </row>
    <row r="246" spans="1:16">
      <c r="A246" s="2015">
        <v>182.3</v>
      </c>
      <c r="B246" s="675">
        <v>18239261</v>
      </c>
      <c r="C246" s="675"/>
      <c r="D246" s="652" t="s">
        <v>1184</v>
      </c>
      <c r="E246" s="675" t="s">
        <v>968</v>
      </c>
      <c r="F246" s="2007" t="s">
        <v>390</v>
      </c>
      <c r="G246" s="2006">
        <v>0</v>
      </c>
      <c r="H246" s="2006">
        <v>0</v>
      </c>
      <c r="I246" s="630">
        <f t="shared" si="47"/>
        <v>0</v>
      </c>
      <c r="J246" s="630">
        <f t="shared" si="48"/>
        <v>0</v>
      </c>
      <c r="K246" s="630">
        <f t="shared" si="49"/>
        <v>0</v>
      </c>
      <c r="L246" s="631">
        <f t="shared" si="50"/>
        <v>0</v>
      </c>
      <c r="M246" s="631">
        <f t="shared" si="51"/>
        <v>0</v>
      </c>
      <c r="N246" s="631">
        <f t="shared" si="52"/>
        <v>0</v>
      </c>
      <c r="O246" s="660">
        <f t="shared" si="53"/>
        <v>0</v>
      </c>
      <c r="P246" s="2005" t="s">
        <v>1185</v>
      </c>
    </row>
    <row r="247" spans="1:16">
      <c r="A247" s="2015">
        <v>182.3</v>
      </c>
      <c r="B247" s="675">
        <v>18239271</v>
      </c>
      <c r="C247" s="675"/>
      <c r="D247" s="652" t="s">
        <v>1186</v>
      </c>
      <c r="E247" s="675" t="s">
        <v>968</v>
      </c>
      <c r="F247" s="2007" t="s">
        <v>390</v>
      </c>
      <c r="G247" s="2006">
        <v>0</v>
      </c>
      <c r="H247" s="2006">
        <v>0</v>
      </c>
      <c r="I247" s="630">
        <f t="shared" si="47"/>
        <v>0</v>
      </c>
      <c r="J247" s="630">
        <f t="shared" si="48"/>
        <v>0</v>
      </c>
      <c r="K247" s="630">
        <f t="shared" si="49"/>
        <v>0</v>
      </c>
      <c r="L247" s="631">
        <f t="shared" si="50"/>
        <v>0</v>
      </c>
      <c r="M247" s="631">
        <f t="shared" si="51"/>
        <v>0</v>
      </c>
      <c r="N247" s="631">
        <f t="shared" si="52"/>
        <v>0</v>
      </c>
      <c r="O247" s="660">
        <f t="shared" si="53"/>
        <v>0</v>
      </c>
    </row>
    <row r="248" spans="1:16">
      <c r="A248" s="2015">
        <v>182.3</v>
      </c>
      <c r="B248" s="675">
        <v>18239281</v>
      </c>
      <c r="C248" s="675"/>
      <c r="D248" s="652" t="s">
        <v>1187</v>
      </c>
      <c r="E248" s="675" t="s">
        <v>968</v>
      </c>
      <c r="F248" s="2007" t="s">
        <v>392</v>
      </c>
      <c r="G248" s="2006">
        <v>76118660</v>
      </c>
      <c r="H248" s="2006">
        <v>76118660</v>
      </c>
      <c r="I248" s="630">
        <f t="shared" si="47"/>
        <v>76118660</v>
      </c>
      <c r="J248" s="630">
        <f t="shared" si="48"/>
        <v>0</v>
      </c>
      <c r="K248" s="630">
        <f t="shared" si="49"/>
        <v>0</v>
      </c>
      <c r="L248" s="631">
        <f t="shared" si="50"/>
        <v>0</v>
      </c>
      <c r="M248" s="631">
        <f t="shared" si="51"/>
        <v>0</v>
      </c>
      <c r="N248" s="631">
        <f t="shared" si="52"/>
        <v>76118660</v>
      </c>
      <c r="O248" s="660">
        <f t="shared" si="53"/>
        <v>0</v>
      </c>
      <c r="P248" s="2005" t="s">
        <v>1188</v>
      </c>
    </row>
    <row r="249" spans="1:16">
      <c r="A249" s="2015">
        <v>182.3</v>
      </c>
      <c r="B249" s="675">
        <v>18239291</v>
      </c>
      <c r="C249" s="675"/>
      <c r="D249" s="652" t="s">
        <v>1189</v>
      </c>
      <c r="E249" s="675" t="s">
        <v>968</v>
      </c>
      <c r="F249" s="2007" t="s">
        <v>392</v>
      </c>
      <c r="G249" s="2006">
        <v>-76118660</v>
      </c>
      <c r="H249" s="2006">
        <v>-76118660</v>
      </c>
      <c r="I249" s="630">
        <f t="shared" si="47"/>
        <v>-76118660</v>
      </c>
      <c r="J249" s="630">
        <f t="shared" si="48"/>
        <v>0</v>
      </c>
      <c r="K249" s="630">
        <f t="shared" si="49"/>
        <v>0</v>
      </c>
      <c r="L249" s="631">
        <f t="shared" si="50"/>
        <v>0</v>
      </c>
      <c r="M249" s="631">
        <f t="shared" si="51"/>
        <v>0</v>
      </c>
      <c r="N249" s="631">
        <f t="shared" si="52"/>
        <v>-76118660</v>
      </c>
      <c r="O249" s="660">
        <f t="shared" si="53"/>
        <v>0</v>
      </c>
      <c r="P249" s="2005" t="s">
        <v>1188</v>
      </c>
    </row>
    <row r="250" spans="1:16">
      <c r="A250" s="2015">
        <v>182.3</v>
      </c>
      <c r="B250" s="675">
        <v>18239301</v>
      </c>
      <c r="C250" s="675"/>
      <c r="D250" s="652" t="s">
        <v>1190</v>
      </c>
      <c r="E250" s="675" t="s">
        <v>968</v>
      </c>
      <c r="F250" s="2007" t="s">
        <v>390</v>
      </c>
      <c r="G250" s="2006">
        <v>7131286.5800000001</v>
      </c>
      <c r="H250" s="2006">
        <v>7131286.5800000001</v>
      </c>
      <c r="I250" s="630">
        <f t="shared" si="47"/>
        <v>0</v>
      </c>
      <c r="J250" s="630">
        <f t="shared" si="48"/>
        <v>0</v>
      </c>
      <c r="K250" s="630">
        <f t="shared" si="49"/>
        <v>7131286.5800000001</v>
      </c>
      <c r="L250" s="631">
        <f t="shared" si="50"/>
        <v>0</v>
      </c>
      <c r="M250" s="631">
        <f t="shared" si="51"/>
        <v>0</v>
      </c>
      <c r="N250" s="631">
        <f t="shared" si="52"/>
        <v>7131286.5800000001</v>
      </c>
      <c r="O250" s="660">
        <f t="shared" si="53"/>
        <v>0</v>
      </c>
    </row>
    <row r="251" spans="1:16">
      <c r="A251" s="2030">
        <v>182.3</v>
      </c>
      <c r="B251" s="2017">
        <v>18239311</v>
      </c>
      <c r="C251" s="2017"/>
      <c r="D251" s="2018" t="s">
        <v>1191</v>
      </c>
      <c r="E251" s="2017" t="s">
        <v>968</v>
      </c>
      <c r="F251" s="2055" t="s">
        <v>390</v>
      </c>
      <c r="G251" s="2011">
        <v>-946380.89</v>
      </c>
      <c r="H251" s="2011">
        <v>17371458.91</v>
      </c>
      <c r="I251" s="673">
        <f t="shared" si="47"/>
        <v>0</v>
      </c>
      <c r="J251" s="673">
        <f t="shared" si="48"/>
        <v>0</v>
      </c>
      <c r="K251" s="673">
        <f t="shared" si="49"/>
        <v>-946380.89</v>
      </c>
      <c r="L251" s="674">
        <f t="shared" si="50"/>
        <v>0</v>
      </c>
      <c r="M251" s="674">
        <f t="shared" si="51"/>
        <v>0</v>
      </c>
      <c r="N251" s="674">
        <f t="shared" si="52"/>
        <v>-946380.89</v>
      </c>
      <c r="O251" s="2056">
        <f t="shared" si="53"/>
        <v>0</v>
      </c>
      <c r="P251" s="2047" t="s">
        <v>970</v>
      </c>
    </row>
    <row r="252" spans="1:16">
      <c r="A252" s="2015">
        <v>182.3</v>
      </c>
      <c r="B252" s="675">
        <v>18239321</v>
      </c>
      <c r="C252" s="675"/>
      <c r="D252" s="652" t="s">
        <v>1192</v>
      </c>
      <c r="E252" s="675" t="s">
        <v>968</v>
      </c>
      <c r="F252" s="2007" t="s">
        <v>390</v>
      </c>
      <c r="G252" s="2006">
        <v>30988.240000000002</v>
      </c>
      <c r="H252" s="2006">
        <v>159314.92000000001</v>
      </c>
      <c r="I252" s="630">
        <f t="shared" ref="I252:I315" si="54">IF(RIGHT($B252,1)="1", $G252*VLOOKUP($F252, Ratio, 2, FALSE), IF(RIGHT($B252,1)="3", $G252*VLOOKUP($F252, Ratio, 2, FALSE)*$F$5, 0))</f>
        <v>0</v>
      </c>
      <c r="J252" s="630">
        <f t="shared" ref="J252:J315" si="55">IF(RIGHT($B252,1)="1", $G252*VLOOKUP($F252, Ratio, 3, FALSE), IF(RIGHT($B252,1)="3", $G252*VLOOKUP($F252, Ratio, 3, FALSE)*$F$5, 0))</f>
        <v>0</v>
      </c>
      <c r="K252" s="630">
        <f t="shared" ref="K252:K315" si="56">IF(RIGHT($B252,1)="1", $G252*VLOOKUP($F252, Ratio, 4, FALSE), IF(RIGHT($B252,1)="3", $G252*VLOOKUP($F252, Ratio, 4, FALSE)*$F$5, 0))</f>
        <v>30988.240000000002</v>
      </c>
      <c r="L252" s="631">
        <f t="shared" ref="L252:L315" si="57">IF(F252="GAS", G252, 0)</f>
        <v>0</v>
      </c>
      <c r="M252" s="631">
        <f t="shared" ref="M252:M315" si="58">IF(RIGHT(B252,1)="3",G252*$G$5,0)</f>
        <v>0</v>
      </c>
      <c r="N252" s="631">
        <f t="shared" ref="N252:N315" si="59">SUM(I252:M252)</f>
        <v>30988.240000000002</v>
      </c>
      <c r="O252" s="660">
        <f t="shared" ref="O252:O315" si="60">G252-N252</f>
        <v>0</v>
      </c>
    </row>
    <row r="253" spans="1:16">
      <c r="A253" s="2015">
        <v>182.3</v>
      </c>
      <c r="B253" s="675">
        <v>18239331</v>
      </c>
      <c r="C253" s="675"/>
      <c r="D253" s="652" t="s">
        <v>1193</v>
      </c>
      <c r="E253" s="675" t="s">
        <v>968</v>
      </c>
      <c r="F253" s="2007" t="s">
        <v>390</v>
      </c>
      <c r="G253" s="2006">
        <v>0</v>
      </c>
      <c r="H253" s="2006">
        <v>205632.65</v>
      </c>
      <c r="I253" s="630">
        <f t="shared" si="54"/>
        <v>0</v>
      </c>
      <c r="J253" s="630">
        <f t="shared" si="55"/>
        <v>0</v>
      </c>
      <c r="K253" s="630">
        <f t="shared" si="56"/>
        <v>0</v>
      </c>
      <c r="L253" s="631">
        <f t="shared" si="57"/>
        <v>0</v>
      </c>
      <c r="M253" s="631">
        <f t="shared" si="58"/>
        <v>0</v>
      </c>
      <c r="N253" s="631">
        <f t="shared" si="59"/>
        <v>0</v>
      </c>
      <c r="O253" s="660">
        <f t="shared" si="60"/>
        <v>0</v>
      </c>
    </row>
    <row r="254" spans="1:16">
      <c r="A254" s="2015">
        <v>182.3</v>
      </c>
      <c r="B254" s="675">
        <v>18239341</v>
      </c>
      <c r="C254" s="675"/>
      <c r="D254" s="652" t="s">
        <v>1194</v>
      </c>
      <c r="E254" s="675" t="s">
        <v>968</v>
      </c>
      <c r="F254" s="2007" t="s">
        <v>390</v>
      </c>
      <c r="G254" s="2006">
        <v>4007.07</v>
      </c>
      <c r="H254" s="2006">
        <v>19994.060000000001</v>
      </c>
      <c r="I254" s="630">
        <f t="shared" si="54"/>
        <v>0</v>
      </c>
      <c r="J254" s="630">
        <f t="shared" si="55"/>
        <v>0</v>
      </c>
      <c r="K254" s="630">
        <f t="shared" si="56"/>
        <v>4007.07</v>
      </c>
      <c r="L254" s="631">
        <f t="shared" si="57"/>
        <v>0</v>
      </c>
      <c r="M254" s="631">
        <f t="shared" si="58"/>
        <v>0</v>
      </c>
      <c r="N254" s="631">
        <f t="shared" si="59"/>
        <v>4007.07</v>
      </c>
      <c r="O254" s="660">
        <f t="shared" si="60"/>
        <v>0</v>
      </c>
    </row>
    <row r="255" spans="1:16">
      <c r="A255" s="2015">
        <v>182.3</v>
      </c>
      <c r="B255" s="675">
        <v>18239351</v>
      </c>
      <c r="C255" s="675"/>
      <c r="D255" s="652" t="s">
        <v>1195</v>
      </c>
      <c r="E255" s="675" t="s">
        <v>968</v>
      </c>
      <c r="F255" s="2007" t="s">
        <v>390</v>
      </c>
      <c r="G255" s="2006">
        <v>-7132246.1100000003</v>
      </c>
      <c r="H255" s="2006">
        <v>-7132246.1100000003</v>
      </c>
      <c r="I255" s="630">
        <f t="shared" si="54"/>
        <v>0</v>
      </c>
      <c r="J255" s="630">
        <f t="shared" si="55"/>
        <v>0</v>
      </c>
      <c r="K255" s="630">
        <f t="shared" si="56"/>
        <v>-7132246.1100000003</v>
      </c>
      <c r="L255" s="631">
        <f t="shared" si="57"/>
        <v>0</v>
      </c>
      <c r="M255" s="631">
        <f t="shared" si="58"/>
        <v>0</v>
      </c>
      <c r="N255" s="631">
        <f t="shared" si="59"/>
        <v>-7132246.1100000003</v>
      </c>
      <c r="O255" s="660">
        <f t="shared" si="60"/>
        <v>0</v>
      </c>
    </row>
    <row r="256" spans="1:16">
      <c r="A256" s="2015">
        <v>182.3</v>
      </c>
      <c r="B256" s="675">
        <v>18239361</v>
      </c>
      <c r="C256" s="675"/>
      <c r="D256" s="652" t="s">
        <v>1196</v>
      </c>
      <c r="E256" s="675" t="s">
        <v>968</v>
      </c>
      <c r="F256" s="2007" t="s">
        <v>390</v>
      </c>
      <c r="G256" s="2006">
        <v>0</v>
      </c>
      <c r="H256" s="2006">
        <v>0</v>
      </c>
      <c r="I256" s="630">
        <f t="shared" si="54"/>
        <v>0</v>
      </c>
      <c r="J256" s="630">
        <f t="shared" si="55"/>
        <v>0</v>
      </c>
      <c r="K256" s="630">
        <f t="shared" si="56"/>
        <v>0</v>
      </c>
      <c r="L256" s="631">
        <f t="shared" si="57"/>
        <v>0</v>
      </c>
      <c r="M256" s="631">
        <f t="shared" si="58"/>
        <v>0</v>
      </c>
      <c r="N256" s="631">
        <f t="shared" si="59"/>
        <v>0</v>
      </c>
      <c r="O256" s="660">
        <f t="shared" si="60"/>
        <v>0</v>
      </c>
    </row>
    <row r="257" spans="1:16">
      <c r="A257" s="2015">
        <v>182.3</v>
      </c>
      <c r="B257" s="675">
        <v>18239371</v>
      </c>
      <c r="C257" s="675"/>
      <c r="D257" s="652" t="s">
        <v>1197</v>
      </c>
      <c r="E257" s="675" t="s">
        <v>968</v>
      </c>
      <c r="F257" s="2007" t="s">
        <v>390</v>
      </c>
      <c r="G257" s="2006">
        <v>0</v>
      </c>
      <c r="H257" s="2006">
        <v>0</v>
      </c>
      <c r="I257" s="630">
        <f t="shared" si="54"/>
        <v>0</v>
      </c>
      <c r="J257" s="630">
        <f t="shared" si="55"/>
        <v>0</v>
      </c>
      <c r="K257" s="630">
        <f t="shared" si="56"/>
        <v>0</v>
      </c>
      <c r="L257" s="631">
        <f t="shared" si="57"/>
        <v>0</v>
      </c>
      <c r="M257" s="631">
        <f t="shared" si="58"/>
        <v>0</v>
      </c>
      <c r="N257" s="631">
        <f t="shared" si="59"/>
        <v>0</v>
      </c>
      <c r="O257" s="660">
        <f t="shared" si="60"/>
        <v>0</v>
      </c>
    </row>
    <row r="258" spans="1:16">
      <c r="A258" s="2015">
        <v>182.3</v>
      </c>
      <c r="B258" s="675">
        <v>18239381</v>
      </c>
      <c r="C258" s="675"/>
      <c r="D258" s="652" t="s">
        <v>1198</v>
      </c>
      <c r="E258" s="675" t="s">
        <v>968</v>
      </c>
      <c r="F258" s="2007" t="s">
        <v>390</v>
      </c>
      <c r="G258" s="2006">
        <v>0</v>
      </c>
      <c r="H258" s="2006">
        <v>0</v>
      </c>
      <c r="I258" s="630">
        <f t="shared" si="54"/>
        <v>0</v>
      </c>
      <c r="J258" s="630">
        <f t="shared" si="55"/>
        <v>0</v>
      </c>
      <c r="K258" s="630">
        <f t="shared" si="56"/>
        <v>0</v>
      </c>
      <c r="L258" s="631">
        <f t="shared" si="57"/>
        <v>0</v>
      </c>
      <c r="M258" s="631">
        <f t="shared" si="58"/>
        <v>0</v>
      </c>
      <c r="N258" s="631">
        <f t="shared" si="59"/>
        <v>0</v>
      </c>
      <c r="O258" s="660">
        <f t="shared" si="60"/>
        <v>0</v>
      </c>
    </row>
    <row r="259" spans="1:16">
      <c r="A259" s="2015">
        <v>182.3</v>
      </c>
      <c r="B259" s="675">
        <v>18239401</v>
      </c>
      <c r="C259" s="675"/>
      <c r="D259" s="652" t="s">
        <v>1199</v>
      </c>
      <c r="E259" s="675" t="s">
        <v>968</v>
      </c>
      <c r="F259" s="2007" t="s">
        <v>390</v>
      </c>
      <c r="G259" s="2006">
        <v>0</v>
      </c>
      <c r="H259" s="2006">
        <v>0</v>
      </c>
      <c r="I259" s="630">
        <f t="shared" si="54"/>
        <v>0</v>
      </c>
      <c r="J259" s="630">
        <f t="shared" si="55"/>
        <v>0</v>
      </c>
      <c r="K259" s="630">
        <f t="shared" si="56"/>
        <v>0</v>
      </c>
      <c r="L259" s="631">
        <f t="shared" si="57"/>
        <v>0</v>
      </c>
      <c r="M259" s="631">
        <f t="shared" si="58"/>
        <v>0</v>
      </c>
      <c r="N259" s="631">
        <f t="shared" si="59"/>
        <v>0</v>
      </c>
      <c r="O259" s="660">
        <f t="shared" si="60"/>
        <v>0</v>
      </c>
    </row>
    <row r="260" spans="1:16">
      <c r="A260" s="2015">
        <v>182.3</v>
      </c>
      <c r="B260" s="675">
        <v>18239411</v>
      </c>
      <c r="C260" s="675"/>
      <c r="D260" s="652" t="s">
        <v>1200</v>
      </c>
      <c r="E260" s="675" t="s">
        <v>968</v>
      </c>
      <c r="F260" s="2007" t="s">
        <v>390</v>
      </c>
      <c r="G260" s="2006">
        <v>0</v>
      </c>
      <c r="H260" s="2006">
        <v>0</v>
      </c>
      <c r="I260" s="630">
        <f t="shared" si="54"/>
        <v>0</v>
      </c>
      <c r="J260" s="630">
        <f t="shared" si="55"/>
        <v>0</v>
      </c>
      <c r="K260" s="630">
        <f t="shared" si="56"/>
        <v>0</v>
      </c>
      <c r="L260" s="631">
        <f t="shared" si="57"/>
        <v>0</v>
      </c>
      <c r="M260" s="631">
        <f t="shared" si="58"/>
        <v>0</v>
      </c>
      <c r="N260" s="631">
        <f t="shared" si="59"/>
        <v>0</v>
      </c>
      <c r="O260" s="660">
        <f t="shared" si="60"/>
        <v>0</v>
      </c>
    </row>
    <row r="261" spans="1:16">
      <c r="A261" s="2015">
        <v>182.3</v>
      </c>
      <c r="B261" s="675">
        <v>18239421</v>
      </c>
      <c r="C261" s="675"/>
      <c r="D261" s="652" t="s">
        <v>1201</v>
      </c>
      <c r="E261" s="675" t="s">
        <v>968</v>
      </c>
      <c r="F261" s="2007" t="s">
        <v>390</v>
      </c>
      <c r="G261" s="2006">
        <v>0</v>
      </c>
      <c r="H261" s="2006">
        <v>0</v>
      </c>
      <c r="I261" s="630">
        <f t="shared" si="54"/>
        <v>0</v>
      </c>
      <c r="J261" s="630">
        <f t="shared" si="55"/>
        <v>0</v>
      </c>
      <c r="K261" s="630">
        <f t="shared" si="56"/>
        <v>0</v>
      </c>
      <c r="L261" s="631">
        <f t="shared" si="57"/>
        <v>0</v>
      </c>
      <c r="M261" s="631">
        <f t="shared" si="58"/>
        <v>0</v>
      </c>
      <c r="N261" s="631">
        <f t="shared" si="59"/>
        <v>0</v>
      </c>
      <c r="O261" s="660">
        <f t="shared" si="60"/>
        <v>0</v>
      </c>
    </row>
    <row r="262" spans="1:16">
      <c r="A262" s="2015">
        <v>182.3</v>
      </c>
      <c r="B262" s="675">
        <v>18239431</v>
      </c>
      <c r="C262" s="675"/>
      <c r="D262" s="652" t="s">
        <v>1202</v>
      </c>
      <c r="E262" s="675" t="s">
        <v>968</v>
      </c>
      <c r="F262" s="2007" t="s">
        <v>390</v>
      </c>
      <c r="G262" s="2006">
        <v>0</v>
      </c>
      <c r="H262" s="2006">
        <v>0</v>
      </c>
      <c r="I262" s="630">
        <f t="shared" si="54"/>
        <v>0</v>
      </c>
      <c r="J262" s="630">
        <f t="shared" si="55"/>
        <v>0</v>
      </c>
      <c r="K262" s="630">
        <f t="shared" si="56"/>
        <v>0</v>
      </c>
      <c r="L262" s="631">
        <f t="shared" si="57"/>
        <v>0</v>
      </c>
      <c r="M262" s="631">
        <f t="shared" si="58"/>
        <v>0</v>
      </c>
      <c r="N262" s="631">
        <f t="shared" si="59"/>
        <v>0</v>
      </c>
      <c r="O262" s="660">
        <f t="shared" si="60"/>
        <v>0</v>
      </c>
    </row>
    <row r="263" spans="1:16">
      <c r="A263" s="2015">
        <v>182.3</v>
      </c>
      <c r="B263" s="675">
        <v>18239441</v>
      </c>
      <c r="C263" s="675"/>
      <c r="D263" s="652" t="s">
        <v>1203</v>
      </c>
      <c r="E263" s="675" t="s">
        <v>968</v>
      </c>
      <c r="F263" s="2007" t="s">
        <v>390</v>
      </c>
      <c r="G263" s="2006">
        <v>0</v>
      </c>
      <c r="H263" s="2006">
        <v>0</v>
      </c>
      <c r="I263" s="630">
        <f t="shared" si="54"/>
        <v>0</v>
      </c>
      <c r="J263" s="630">
        <f t="shared" si="55"/>
        <v>0</v>
      </c>
      <c r="K263" s="630">
        <f t="shared" si="56"/>
        <v>0</v>
      </c>
      <c r="L263" s="631">
        <f t="shared" si="57"/>
        <v>0</v>
      </c>
      <c r="M263" s="631">
        <f t="shared" si="58"/>
        <v>0</v>
      </c>
      <c r="N263" s="631">
        <f t="shared" si="59"/>
        <v>0</v>
      </c>
      <c r="O263" s="660">
        <f t="shared" si="60"/>
        <v>0</v>
      </c>
    </row>
    <row r="264" spans="1:16">
      <c r="A264" s="2015">
        <v>182.3</v>
      </c>
      <c r="B264" s="675">
        <v>18239451</v>
      </c>
      <c r="C264" s="675"/>
      <c r="D264" s="652" t="s">
        <v>1204</v>
      </c>
      <c r="E264" s="675" t="s">
        <v>968</v>
      </c>
      <c r="F264" s="2007" t="s">
        <v>390</v>
      </c>
      <c r="G264" s="2006">
        <v>0</v>
      </c>
      <c r="H264" s="2006">
        <v>0</v>
      </c>
      <c r="I264" s="630">
        <f t="shared" si="54"/>
        <v>0</v>
      </c>
      <c r="J264" s="630">
        <f t="shared" si="55"/>
        <v>0</v>
      </c>
      <c r="K264" s="630">
        <f t="shared" si="56"/>
        <v>0</v>
      </c>
      <c r="L264" s="631">
        <f t="shared" si="57"/>
        <v>0</v>
      </c>
      <c r="M264" s="631">
        <f t="shared" si="58"/>
        <v>0</v>
      </c>
      <c r="N264" s="631">
        <f t="shared" si="59"/>
        <v>0</v>
      </c>
      <c r="O264" s="660">
        <f t="shared" si="60"/>
        <v>0</v>
      </c>
    </row>
    <row r="265" spans="1:16">
      <c r="A265" s="2015">
        <v>182.3</v>
      </c>
      <c r="B265" s="675">
        <v>18239461</v>
      </c>
      <c r="C265" s="675"/>
      <c r="D265" s="652" t="s">
        <v>1205</v>
      </c>
      <c r="E265" s="675" t="s">
        <v>968</v>
      </c>
      <c r="F265" s="2007" t="s">
        <v>390</v>
      </c>
      <c r="G265" s="2006">
        <v>0</v>
      </c>
      <c r="H265" s="2006">
        <v>0</v>
      </c>
      <c r="I265" s="630">
        <f t="shared" si="54"/>
        <v>0</v>
      </c>
      <c r="J265" s="630">
        <f t="shared" si="55"/>
        <v>0</v>
      </c>
      <c r="K265" s="630">
        <f t="shared" si="56"/>
        <v>0</v>
      </c>
      <c r="L265" s="631">
        <f t="shared" si="57"/>
        <v>0</v>
      </c>
      <c r="M265" s="631">
        <f t="shared" si="58"/>
        <v>0</v>
      </c>
      <c r="N265" s="631">
        <f t="shared" si="59"/>
        <v>0</v>
      </c>
      <c r="O265" s="660">
        <f t="shared" si="60"/>
        <v>0</v>
      </c>
    </row>
    <row r="266" spans="1:16">
      <c r="A266" s="2015">
        <v>182.3</v>
      </c>
      <c r="B266" s="675">
        <v>18239471</v>
      </c>
      <c r="C266" s="675"/>
      <c r="D266" s="652" t="s">
        <v>1205</v>
      </c>
      <c r="E266" s="675" t="s">
        <v>968</v>
      </c>
      <c r="F266" s="2007" t="s">
        <v>390</v>
      </c>
      <c r="G266" s="2006">
        <v>0</v>
      </c>
      <c r="H266" s="2006">
        <v>0</v>
      </c>
      <c r="I266" s="630">
        <f t="shared" si="54"/>
        <v>0</v>
      </c>
      <c r="J266" s="630">
        <f t="shared" si="55"/>
        <v>0</v>
      </c>
      <c r="K266" s="630">
        <f t="shared" si="56"/>
        <v>0</v>
      </c>
      <c r="L266" s="631">
        <f t="shared" si="57"/>
        <v>0</v>
      </c>
      <c r="M266" s="631">
        <f t="shared" si="58"/>
        <v>0</v>
      </c>
      <c r="N266" s="631">
        <f t="shared" si="59"/>
        <v>0</v>
      </c>
      <c r="O266" s="660">
        <f t="shared" si="60"/>
        <v>0</v>
      </c>
    </row>
    <row r="267" spans="1:16">
      <c r="A267" s="2015">
        <v>182.3</v>
      </c>
      <c r="B267" s="675">
        <v>18239481</v>
      </c>
      <c r="C267" s="675"/>
      <c r="D267" s="652" t="s">
        <v>1206</v>
      </c>
      <c r="E267" s="675" t="s">
        <v>968</v>
      </c>
      <c r="F267" s="2007" t="s">
        <v>390</v>
      </c>
      <c r="G267" s="2006">
        <v>0</v>
      </c>
      <c r="H267" s="2006">
        <v>5991640</v>
      </c>
      <c r="I267" s="630">
        <f t="shared" si="54"/>
        <v>0</v>
      </c>
      <c r="J267" s="630">
        <f t="shared" si="55"/>
        <v>0</v>
      </c>
      <c r="K267" s="630">
        <f t="shared" si="56"/>
        <v>0</v>
      </c>
      <c r="L267" s="631">
        <f t="shared" si="57"/>
        <v>0</v>
      </c>
      <c r="M267" s="631">
        <f t="shared" si="58"/>
        <v>0</v>
      </c>
      <c r="N267" s="631">
        <f t="shared" si="59"/>
        <v>0</v>
      </c>
      <c r="O267" s="660">
        <f t="shared" si="60"/>
        <v>0</v>
      </c>
    </row>
    <row r="268" spans="1:16">
      <c r="A268" s="2015">
        <v>182.3</v>
      </c>
      <c r="B268" s="675">
        <v>18239491</v>
      </c>
      <c r="C268" s="675"/>
      <c r="D268" s="652" t="s">
        <v>1207</v>
      </c>
      <c r="E268" s="675" t="s">
        <v>968</v>
      </c>
      <c r="F268" s="2007" t="s">
        <v>390</v>
      </c>
      <c r="G268" s="2006">
        <v>0</v>
      </c>
      <c r="H268" s="2006">
        <v>105999</v>
      </c>
      <c r="I268" s="630">
        <f t="shared" si="54"/>
        <v>0</v>
      </c>
      <c r="J268" s="630">
        <f t="shared" si="55"/>
        <v>0</v>
      </c>
      <c r="K268" s="630">
        <f t="shared" si="56"/>
        <v>0</v>
      </c>
      <c r="L268" s="631">
        <f t="shared" si="57"/>
        <v>0</v>
      </c>
      <c r="M268" s="631">
        <f t="shared" si="58"/>
        <v>0</v>
      </c>
      <c r="N268" s="631">
        <f t="shared" si="59"/>
        <v>0</v>
      </c>
      <c r="O268" s="660">
        <f t="shared" si="60"/>
        <v>0</v>
      </c>
    </row>
    <row r="269" spans="1:16">
      <c r="A269" s="2015">
        <v>182.3</v>
      </c>
      <c r="B269" s="675">
        <v>18239501</v>
      </c>
      <c r="C269" s="675"/>
      <c r="D269" s="652" t="s">
        <v>1208</v>
      </c>
      <c r="E269" s="675" t="s">
        <v>968</v>
      </c>
      <c r="F269" s="2007" t="s">
        <v>392</v>
      </c>
      <c r="G269" s="2006">
        <v>50181015.25</v>
      </c>
      <c r="H269" s="2006">
        <v>45475816.200000003</v>
      </c>
      <c r="I269" s="630">
        <f t="shared" si="54"/>
        <v>50181015.25</v>
      </c>
      <c r="J269" s="630">
        <f t="shared" si="55"/>
        <v>0</v>
      </c>
      <c r="K269" s="630">
        <f t="shared" si="56"/>
        <v>0</v>
      </c>
      <c r="L269" s="631">
        <f t="shared" si="57"/>
        <v>0</v>
      </c>
      <c r="M269" s="631">
        <f t="shared" si="58"/>
        <v>0</v>
      </c>
      <c r="N269" s="631">
        <f t="shared" si="59"/>
        <v>50181015.25</v>
      </c>
      <c r="O269" s="660">
        <f t="shared" si="60"/>
        <v>0</v>
      </c>
      <c r="P269" s="2005" t="s">
        <v>1209</v>
      </c>
    </row>
    <row r="270" spans="1:16">
      <c r="A270" s="2015">
        <v>182.3</v>
      </c>
      <c r="B270" s="675">
        <v>18239511</v>
      </c>
      <c r="C270" s="675"/>
      <c r="D270" s="652" t="s">
        <v>1210</v>
      </c>
      <c r="E270" s="675" t="s">
        <v>968</v>
      </c>
      <c r="F270" s="2007" t="s">
        <v>392</v>
      </c>
      <c r="G270" s="2006">
        <v>28711745.77</v>
      </c>
      <c r="H270" s="2006">
        <v>27116475.52</v>
      </c>
      <c r="I270" s="630">
        <f t="shared" si="54"/>
        <v>28711745.77</v>
      </c>
      <c r="J270" s="630">
        <f t="shared" si="55"/>
        <v>0</v>
      </c>
      <c r="K270" s="630">
        <f t="shared" si="56"/>
        <v>0</v>
      </c>
      <c r="L270" s="631">
        <f t="shared" si="57"/>
        <v>0</v>
      </c>
      <c r="M270" s="631">
        <f t="shared" si="58"/>
        <v>0</v>
      </c>
      <c r="N270" s="631">
        <f t="shared" si="59"/>
        <v>28711745.77</v>
      </c>
      <c r="O270" s="660">
        <f t="shared" si="60"/>
        <v>0</v>
      </c>
      <c r="P270" s="2005" t="s">
        <v>1211</v>
      </c>
    </row>
    <row r="271" spans="1:16">
      <c r="A271" s="2015">
        <v>182.3</v>
      </c>
      <c r="B271" s="675">
        <v>18239541</v>
      </c>
      <c r="C271" s="675"/>
      <c r="D271" s="652" t="s">
        <v>1212</v>
      </c>
      <c r="E271" s="675" t="s">
        <v>968</v>
      </c>
      <c r="F271" s="2007" t="s">
        <v>392</v>
      </c>
      <c r="G271" s="2006">
        <v>64895667.950000003</v>
      </c>
      <c r="H271" s="2006">
        <v>-3547111.21</v>
      </c>
      <c r="I271" s="630">
        <f t="shared" si="54"/>
        <v>64895667.950000003</v>
      </c>
      <c r="J271" s="630">
        <f t="shared" si="55"/>
        <v>0</v>
      </c>
      <c r="K271" s="630">
        <f t="shared" si="56"/>
        <v>0</v>
      </c>
      <c r="L271" s="631">
        <f t="shared" si="57"/>
        <v>0</v>
      </c>
      <c r="M271" s="631">
        <f t="shared" si="58"/>
        <v>0</v>
      </c>
      <c r="N271" s="631">
        <f t="shared" si="59"/>
        <v>64895667.950000003</v>
      </c>
      <c r="O271" s="660">
        <f t="shared" si="60"/>
        <v>0</v>
      </c>
      <c r="P271" s="2005" t="s">
        <v>1213</v>
      </c>
    </row>
    <row r="272" spans="1:16">
      <c r="A272" s="2015">
        <v>182.3</v>
      </c>
      <c r="B272" s="675">
        <v>18239551</v>
      </c>
      <c r="C272" s="675"/>
      <c r="D272" s="652" t="s">
        <v>1214</v>
      </c>
      <c r="E272" s="675" t="s">
        <v>968</v>
      </c>
      <c r="F272" s="2007" t="s">
        <v>392</v>
      </c>
      <c r="G272" s="2006">
        <v>4609785.2699999996</v>
      </c>
      <c r="H272" s="2006">
        <v>1247097.25</v>
      </c>
      <c r="I272" s="630">
        <f t="shared" si="54"/>
        <v>4609785.2699999996</v>
      </c>
      <c r="J272" s="630">
        <f t="shared" si="55"/>
        <v>0</v>
      </c>
      <c r="K272" s="630">
        <f t="shared" si="56"/>
        <v>0</v>
      </c>
      <c r="L272" s="631">
        <f t="shared" si="57"/>
        <v>0</v>
      </c>
      <c r="M272" s="631">
        <f t="shared" si="58"/>
        <v>0</v>
      </c>
      <c r="N272" s="631">
        <f t="shared" si="59"/>
        <v>4609785.2699999996</v>
      </c>
      <c r="O272" s="660">
        <f t="shared" si="60"/>
        <v>0</v>
      </c>
      <c r="P272" s="2005" t="s">
        <v>1215</v>
      </c>
    </row>
    <row r="273" spans="1:16">
      <c r="A273" s="2015">
        <v>182.3</v>
      </c>
      <c r="B273" s="675">
        <v>18239561</v>
      </c>
      <c r="C273" s="675"/>
      <c r="D273" s="652" t="s">
        <v>1216</v>
      </c>
      <c r="E273" s="675" t="s">
        <v>968</v>
      </c>
      <c r="F273" s="2007" t="s">
        <v>392</v>
      </c>
      <c r="G273" s="2006">
        <v>68002240.370000005</v>
      </c>
      <c r="H273" s="2006">
        <v>68002240.370000005</v>
      </c>
      <c r="I273" s="630">
        <f t="shared" si="54"/>
        <v>68002240.370000005</v>
      </c>
      <c r="J273" s="630">
        <f t="shared" si="55"/>
        <v>0</v>
      </c>
      <c r="K273" s="630">
        <f t="shared" si="56"/>
        <v>0</v>
      </c>
      <c r="L273" s="631">
        <f t="shared" si="57"/>
        <v>0</v>
      </c>
      <c r="M273" s="631">
        <f t="shared" si="58"/>
        <v>0</v>
      </c>
      <c r="N273" s="631">
        <f t="shared" si="59"/>
        <v>68002240.370000005</v>
      </c>
      <c r="O273" s="660">
        <f t="shared" si="60"/>
        <v>0</v>
      </c>
      <c r="P273" s="2005" t="s">
        <v>1217</v>
      </c>
    </row>
    <row r="274" spans="1:16">
      <c r="A274" s="2015">
        <v>182.3</v>
      </c>
      <c r="B274" s="675">
        <v>18239571</v>
      </c>
      <c r="C274" s="675"/>
      <c r="D274" s="652" t="s">
        <v>1218</v>
      </c>
      <c r="E274" s="675" t="s">
        <v>968</v>
      </c>
      <c r="F274" s="2007" t="s">
        <v>392</v>
      </c>
      <c r="G274" s="2006">
        <v>-68002240.370000005</v>
      </c>
      <c r="H274" s="2006">
        <v>-68002240.370000005</v>
      </c>
      <c r="I274" s="630">
        <f t="shared" si="54"/>
        <v>-68002240.370000005</v>
      </c>
      <c r="J274" s="630">
        <f t="shared" si="55"/>
        <v>0</v>
      </c>
      <c r="K274" s="630">
        <f t="shared" si="56"/>
        <v>0</v>
      </c>
      <c r="L274" s="631">
        <f t="shared" si="57"/>
        <v>0</v>
      </c>
      <c r="M274" s="631">
        <f t="shared" si="58"/>
        <v>0</v>
      </c>
      <c r="N274" s="631">
        <f t="shared" si="59"/>
        <v>-68002240.370000005</v>
      </c>
      <c r="O274" s="660">
        <f t="shared" si="60"/>
        <v>0</v>
      </c>
      <c r="P274" s="2005" t="s">
        <v>1217</v>
      </c>
    </row>
    <row r="275" spans="1:16">
      <c r="A275" s="2015">
        <v>182.3</v>
      </c>
      <c r="B275" s="675">
        <v>18239601</v>
      </c>
      <c r="C275" s="675"/>
      <c r="D275" s="652" t="s">
        <v>1219</v>
      </c>
      <c r="E275" s="675" t="s">
        <v>968</v>
      </c>
      <c r="F275" s="2007" t="s">
        <v>392</v>
      </c>
      <c r="G275" s="2006">
        <v>0</v>
      </c>
      <c r="H275" s="2006">
        <v>599048.21</v>
      </c>
      <c r="I275" s="630">
        <f t="shared" si="54"/>
        <v>0</v>
      </c>
      <c r="J275" s="630">
        <f t="shared" si="55"/>
        <v>0</v>
      </c>
      <c r="K275" s="630">
        <f t="shared" si="56"/>
        <v>0</v>
      </c>
      <c r="L275" s="631">
        <f t="shared" si="57"/>
        <v>0</v>
      </c>
      <c r="M275" s="631">
        <f t="shared" si="58"/>
        <v>0</v>
      </c>
      <c r="N275" s="631">
        <f t="shared" si="59"/>
        <v>0</v>
      </c>
      <c r="O275" s="660">
        <f t="shared" si="60"/>
        <v>0</v>
      </c>
      <c r="P275" s="2005" t="s">
        <v>1220</v>
      </c>
    </row>
    <row r="276" spans="1:16">
      <c r="A276" s="2015">
        <v>182.3</v>
      </c>
      <c r="B276" s="675">
        <v>18239611</v>
      </c>
      <c r="C276" s="675"/>
      <c r="D276" s="652" t="s">
        <v>1221</v>
      </c>
      <c r="E276" s="675" t="s">
        <v>968</v>
      </c>
      <c r="F276" s="2007" t="s">
        <v>392</v>
      </c>
      <c r="G276" s="2006">
        <v>51267422</v>
      </c>
      <c r="H276" s="2006">
        <v>55326857</v>
      </c>
      <c r="I276" s="630">
        <f t="shared" si="54"/>
        <v>51267422</v>
      </c>
      <c r="J276" s="630">
        <f t="shared" si="55"/>
        <v>0</v>
      </c>
      <c r="K276" s="630">
        <f t="shared" si="56"/>
        <v>0</v>
      </c>
      <c r="L276" s="631">
        <f t="shared" si="57"/>
        <v>0</v>
      </c>
      <c r="M276" s="631">
        <f t="shared" si="58"/>
        <v>0</v>
      </c>
      <c r="N276" s="631">
        <f t="shared" si="59"/>
        <v>51267422</v>
      </c>
      <c r="O276" s="660">
        <f t="shared" si="60"/>
        <v>0</v>
      </c>
      <c r="P276" s="2005" t="s">
        <v>1222</v>
      </c>
    </row>
    <row r="277" spans="1:16">
      <c r="A277" s="2030">
        <v>182.3</v>
      </c>
      <c r="B277" s="2017">
        <v>18239621</v>
      </c>
      <c r="C277" s="2017"/>
      <c r="D277" s="2018" t="s">
        <v>1223</v>
      </c>
      <c r="E277" s="2017" t="s">
        <v>968</v>
      </c>
      <c r="F277" s="2055" t="s">
        <v>392</v>
      </c>
      <c r="G277" s="2011">
        <v>110137357.92</v>
      </c>
      <c r="H277" s="2011">
        <v>110137357.92</v>
      </c>
      <c r="I277" s="673">
        <f t="shared" si="54"/>
        <v>110137357.92</v>
      </c>
      <c r="J277" s="673">
        <f t="shared" si="55"/>
        <v>0</v>
      </c>
      <c r="K277" s="673">
        <f t="shared" si="56"/>
        <v>0</v>
      </c>
      <c r="L277" s="674">
        <f t="shared" si="57"/>
        <v>0</v>
      </c>
      <c r="M277" s="674">
        <f t="shared" si="58"/>
        <v>0</v>
      </c>
      <c r="N277" s="674">
        <f t="shared" si="59"/>
        <v>110137357.92</v>
      </c>
      <c r="O277" s="660">
        <f t="shared" si="60"/>
        <v>0</v>
      </c>
      <c r="P277" s="2047" t="s">
        <v>1224</v>
      </c>
    </row>
    <row r="278" spans="1:16">
      <c r="A278" s="2030">
        <v>182.3</v>
      </c>
      <c r="B278" s="2017">
        <v>18239631</v>
      </c>
      <c r="C278" s="2017"/>
      <c r="D278" s="2018" t="s">
        <v>1225</v>
      </c>
      <c r="E278" s="2017" t="s">
        <v>968</v>
      </c>
      <c r="F278" s="2055" t="s">
        <v>392</v>
      </c>
      <c r="G278" s="2011">
        <v>-110137357.92</v>
      </c>
      <c r="H278" s="2011">
        <v>-110137357.92</v>
      </c>
      <c r="I278" s="673">
        <f t="shared" si="54"/>
        <v>-110137357.92</v>
      </c>
      <c r="J278" s="673">
        <f t="shared" si="55"/>
        <v>0</v>
      </c>
      <c r="K278" s="673">
        <f t="shared" si="56"/>
        <v>0</v>
      </c>
      <c r="L278" s="674">
        <f t="shared" si="57"/>
        <v>0</v>
      </c>
      <c r="M278" s="674">
        <f t="shared" si="58"/>
        <v>0</v>
      </c>
      <c r="N278" s="674">
        <f t="shared" si="59"/>
        <v>-110137357.92</v>
      </c>
      <c r="O278" s="660">
        <f t="shared" si="60"/>
        <v>0</v>
      </c>
      <c r="P278" s="2047" t="s">
        <v>1226</v>
      </c>
    </row>
    <row r="279" spans="1:16">
      <c r="A279" s="2030">
        <v>182.3</v>
      </c>
      <c r="B279" s="2017">
        <v>18239641</v>
      </c>
      <c r="C279" s="2017"/>
      <c r="D279" s="2018" t="s">
        <v>1227</v>
      </c>
      <c r="E279" s="2017" t="s">
        <v>968</v>
      </c>
      <c r="F279" s="2017" t="s">
        <v>390</v>
      </c>
      <c r="G279" s="2011">
        <v>7933453.8300000001</v>
      </c>
      <c r="H279" s="2011">
        <v>11742353</v>
      </c>
      <c r="I279" s="673">
        <f t="shared" si="54"/>
        <v>0</v>
      </c>
      <c r="J279" s="673">
        <f t="shared" si="55"/>
        <v>0</v>
      </c>
      <c r="K279" s="673">
        <f t="shared" si="56"/>
        <v>7933453.8300000001</v>
      </c>
      <c r="L279" s="674">
        <f t="shared" si="57"/>
        <v>0</v>
      </c>
      <c r="M279" s="674">
        <f t="shared" si="58"/>
        <v>0</v>
      </c>
      <c r="N279" s="674">
        <f t="shared" si="59"/>
        <v>7933453.8300000001</v>
      </c>
      <c r="O279" s="660">
        <f t="shared" si="60"/>
        <v>0</v>
      </c>
      <c r="P279" s="2047" t="s">
        <v>970</v>
      </c>
    </row>
    <row r="280" spans="1:16">
      <c r="A280" s="2030">
        <v>182.3</v>
      </c>
      <c r="B280" s="2017">
        <v>18239642</v>
      </c>
      <c r="C280" s="2017"/>
      <c r="D280" s="2018" t="s">
        <v>1228</v>
      </c>
      <c r="E280" s="2017" t="s">
        <v>968</v>
      </c>
      <c r="F280" s="2055" t="s">
        <v>988</v>
      </c>
      <c r="G280" s="2011">
        <v>11421031.130000001</v>
      </c>
      <c r="H280" s="2011">
        <v>5515644.25</v>
      </c>
      <c r="I280" s="673">
        <f t="shared" si="54"/>
        <v>0</v>
      </c>
      <c r="J280" s="673">
        <f t="shared" si="55"/>
        <v>0</v>
      </c>
      <c r="K280" s="673">
        <f t="shared" si="56"/>
        <v>0</v>
      </c>
      <c r="L280" s="674">
        <f t="shared" si="57"/>
        <v>11421031.130000001</v>
      </c>
      <c r="M280" s="674">
        <f t="shared" si="58"/>
        <v>0</v>
      </c>
      <c r="N280" s="674">
        <f t="shared" si="59"/>
        <v>11421031.130000001</v>
      </c>
      <c r="O280" s="660">
        <f t="shared" si="60"/>
        <v>0</v>
      </c>
      <c r="P280" s="2053"/>
    </row>
    <row r="281" spans="1:16">
      <c r="A281" s="2030">
        <v>182.3</v>
      </c>
      <c r="B281" s="2017">
        <v>18239651</v>
      </c>
      <c r="C281" s="2017"/>
      <c r="D281" s="2018" t="s">
        <v>1229</v>
      </c>
      <c r="E281" s="2017" t="s">
        <v>968</v>
      </c>
      <c r="F281" s="2017" t="s">
        <v>390</v>
      </c>
      <c r="G281" s="2011">
        <v>351911.5</v>
      </c>
      <c r="H281" s="2011">
        <v>520866</v>
      </c>
      <c r="I281" s="673">
        <f t="shared" si="54"/>
        <v>0</v>
      </c>
      <c r="J281" s="673">
        <f t="shared" si="55"/>
        <v>0</v>
      </c>
      <c r="K281" s="673">
        <f t="shared" si="56"/>
        <v>351911.5</v>
      </c>
      <c r="L281" s="674">
        <f t="shared" si="57"/>
        <v>0</v>
      </c>
      <c r="M281" s="674">
        <f t="shared" si="58"/>
        <v>0</v>
      </c>
      <c r="N281" s="674">
        <f t="shared" si="59"/>
        <v>351911.5</v>
      </c>
      <c r="O281" s="660">
        <f t="shared" si="60"/>
        <v>0</v>
      </c>
      <c r="P281" s="2047" t="s">
        <v>970</v>
      </c>
    </row>
    <row r="282" spans="1:16">
      <c r="A282" s="2030">
        <v>182.3</v>
      </c>
      <c r="B282" s="2017">
        <v>18239652</v>
      </c>
      <c r="C282" s="2017"/>
      <c r="D282" s="2018" t="s">
        <v>1230</v>
      </c>
      <c r="E282" s="2017" t="s">
        <v>968</v>
      </c>
      <c r="F282" s="2055" t="s">
        <v>988</v>
      </c>
      <c r="G282" s="2011">
        <v>9386562.5600000005</v>
      </c>
      <c r="H282" s="2011">
        <v>4465773.32</v>
      </c>
      <c r="I282" s="673">
        <f t="shared" si="54"/>
        <v>0</v>
      </c>
      <c r="J282" s="673">
        <f t="shared" si="55"/>
        <v>0</v>
      </c>
      <c r="K282" s="673">
        <f t="shared" si="56"/>
        <v>0</v>
      </c>
      <c r="L282" s="674">
        <f t="shared" si="57"/>
        <v>9386562.5600000005</v>
      </c>
      <c r="M282" s="674">
        <f t="shared" si="58"/>
        <v>0</v>
      </c>
      <c r="N282" s="674">
        <f t="shared" si="59"/>
        <v>9386562.5600000005</v>
      </c>
      <c r="O282" s="660">
        <f t="shared" si="60"/>
        <v>0</v>
      </c>
      <c r="P282" s="2053"/>
    </row>
    <row r="283" spans="1:16">
      <c r="A283" s="2030">
        <v>182.3</v>
      </c>
      <c r="B283" s="2017">
        <v>18239661</v>
      </c>
      <c r="C283" s="2017"/>
      <c r="D283" s="2018" t="s">
        <v>6688</v>
      </c>
      <c r="E283" s="2017"/>
      <c r="F283" s="2049" t="s">
        <v>392</v>
      </c>
      <c r="G283" s="2028">
        <v>-51109272</v>
      </c>
      <c r="H283" s="2028">
        <v>0</v>
      </c>
      <c r="I283" s="673">
        <f t="shared" si="54"/>
        <v>-51109272</v>
      </c>
      <c r="J283" s="673">
        <f t="shared" si="55"/>
        <v>0</v>
      </c>
      <c r="K283" s="673">
        <f t="shared" si="56"/>
        <v>0</v>
      </c>
      <c r="L283" s="674">
        <f t="shared" si="57"/>
        <v>0</v>
      </c>
      <c r="M283" s="674">
        <f t="shared" si="58"/>
        <v>0</v>
      </c>
      <c r="N283" s="674">
        <f t="shared" si="59"/>
        <v>-51109272</v>
      </c>
      <c r="O283" s="660">
        <f t="shared" si="60"/>
        <v>0</v>
      </c>
      <c r="P283" s="2054" t="s">
        <v>6846</v>
      </c>
    </row>
    <row r="284" spans="1:16">
      <c r="A284" s="2030">
        <v>182.3</v>
      </c>
      <c r="B284" s="2017">
        <v>18239671</v>
      </c>
      <c r="C284" s="2017"/>
      <c r="D284" s="2018" t="s">
        <v>6689</v>
      </c>
      <c r="E284" s="2017"/>
      <c r="F284" s="2049" t="s">
        <v>392</v>
      </c>
      <c r="G284" s="2028">
        <v>51109272</v>
      </c>
      <c r="H284" s="2028">
        <v>0</v>
      </c>
      <c r="I284" s="673">
        <f t="shared" si="54"/>
        <v>51109272</v>
      </c>
      <c r="J284" s="673">
        <f t="shared" si="55"/>
        <v>0</v>
      </c>
      <c r="K284" s="673">
        <f t="shared" si="56"/>
        <v>0</v>
      </c>
      <c r="L284" s="674">
        <f t="shared" si="57"/>
        <v>0</v>
      </c>
      <c r="M284" s="674">
        <f t="shared" si="58"/>
        <v>0</v>
      </c>
      <c r="N284" s="674">
        <f t="shared" si="59"/>
        <v>51109272</v>
      </c>
      <c r="O284" s="660">
        <f t="shared" si="60"/>
        <v>0</v>
      </c>
      <c r="P284" s="2054" t="s">
        <v>6846</v>
      </c>
    </row>
    <row r="285" spans="1:16">
      <c r="A285" s="2030">
        <v>182.3</v>
      </c>
      <c r="B285" s="2017">
        <v>18239681</v>
      </c>
      <c r="C285" s="2017"/>
      <c r="D285" s="2018" t="s">
        <v>6690</v>
      </c>
      <c r="E285" s="2017"/>
      <c r="F285" s="2049" t="s">
        <v>390</v>
      </c>
      <c r="G285" s="2028">
        <v>475542.64</v>
      </c>
      <c r="H285" s="2028">
        <v>0</v>
      </c>
      <c r="I285" s="673">
        <f t="shared" si="54"/>
        <v>0</v>
      </c>
      <c r="J285" s="673">
        <f t="shared" si="55"/>
        <v>0</v>
      </c>
      <c r="K285" s="673">
        <f t="shared" si="56"/>
        <v>475542.64</v>
      </c>
      <c r="L285" s="674">
        <f t="shared" si="57"/>
        <v>0</v>
      </c>
      <c r="M285" s="674">
        <f t="shared" si="58"/>
        <v>0</v>
      </c>
      <c r="N285" s="674">
        <f t="shared" si="59"/>
        <v>475542.64</v>
      </c>
      <c r="O285" s="660">
        <f t="shared" si="60"/>
        <v>0</v>
      </c>
      <c r="P285" s="2053"/>
    </row>
    <row r="286" spans="1:16">
      <c r="A286" s="2030">
        <v>182.3</v>
      </c>
      <c r="B286" s="2017">
        <v>18239682</v>
      </c>
      <c r="C286" s="2017"/>
      <c r="D286" s="2018" t="s">
        <v>6691</v>
      </c>
      <c r="E286" s="2017"/>
      <c r="F286" s="2049" t="s">
        <v>988</v>
      </c>
      <c r="G286" s="2028">
        <v>3862485.23</v>
      </c>
      <c r="H286" s="2028">
        <v>0</v>
      </c>
      <c r="I286" s="673">
        <f t="shared" si="54"/>
        <v>0</v>
      </c>
      <c r="J286" s="673">
        <f t="shared" si="55"/>
        <v>0</v>
      </c>
      <c r="K286" s="673">
        <f t="shared" si="56"/>
        <v>0</v>
      </c>
      <c r="L286" s="674">
        <f t="shared" si="57"/>
        <v>3862485.23</v>
      </c>
      <c r="M286" s="674">
        <f t="shared" si="58"/>
        <v>0</v>
      </c>
      <c r="N286" s="674">
        <f t="shared" si="59"/>
        <v>3862485.23</v>
      </c>
      <c r="O286" s="660">
        <f t="shared" si="60"/>
        <v>0</v>
      </c>
      <c r="P286" s="2053"/>
    </row>
    <row r="287" spans="1:16">
      <c r="A287" s="2030">
        <v>182.3</v>
      </c>
      <c r="B287" s="2017">
        <v>18239691</v>
      </c>
      <c r="C287" s="2017"/>
      <c r="D287" s="2018" t="s">
        <v>6692</v>
      </c>
      <c r="E287" s="2017"/>
      <c r="F287" s="2049" t="s">
        <v>390</v>
      </c>
      <c r="G287" s="2028">
        <v>-67568.7</v>
      </c>
      <c r="H287" s="2028">
        <v>0</v>
      </c>
      <c r="I287" s="673">
        <f t="shared" si="54"/>
        <v>0</v>
      </c>
      <c r="J287" s="673">
        <f t="shared" si="55"/>
        <v>0</v>
      </c>
      <c r="K287" s="673">
        <f t="shared" si="56"/>
        <v>-67568.7</v>
      </c>
      <c r="L287" s="674">
        <f t="shared" si="57"/>
        <v>0</v>
      </c>
      <c r="M287" s="674">
        <f t="shared" si="58"/>
        <v>0</v>
      </c>
      <c r="N287" s="674">
        <f t="shared" si="59"/>
        <v>-67568.7</v>
      </c>
      <c r="O287" s="660">
        <f t="shared" si="60"/>
        <v>0</v>
      </c>
      <c r="P287" s="2053"/>
    </row>
    <row r="288" spans="1:16">
      <c r="A288" s="2030">
        <v>182.3</v>
      </c>
      <c r="B288" s="2017">
        <v>18239692</v>
      </c>
      <c r="C288" s="2017"/>
      <c r="D288" s="2018" t="s">
        <v>6692</v>
      </c>
      <c r="E288" s="2017"/>
      <c r="F288" s="2049" t="s">
        <v>988</v>
      </c>
      <c r="G288" s="2028">
        <v>-1225674.43</v>
      </c>
      <c r="H288" s="2028">
        <v>0</v>
      </c>
      <c r="I288" s="673">
        <f t="shared" si="54"/>
        <v>0</v>
      </c>
      <c r="J288" s="673">
        <f t="shared" si="55"/>
        <v>0</v>
      </c>
      <c r="K288" s="673">
        <f t="shared" si="56"/>
        <v>0</v>
      </c>
      <c r="L288" s="674">
        <f t="shared" si="57"/>
        <v>-1225674.43</v>
      </c>
      <c r="M288" s="674">
        <f t="shared" si="58"/>
        <v>0</v>
      </c>
      <c r="N288" s="674">
        <f t="shared" si="59"/>
        <v>-1225674.43</v>
      </c>
      <c r="O288" s="660">
        <f t="shared" si="60"/>
        <v>0</v>
      </c>
      <c r="P288" s="2053"/>
    </row>
    <row r="289" spans="1:16">
      <c r="A289" s="2030">
        <v>182.3</v>
      </c>
      <c r="B289" s="2017">
        <v>18239701</v>
      </c>
      <c r="C289" s="2017"/>
      <c r="D289" s="2018" t="s">
        <v>6693</v>
      </c>
      <c r="E289" s="2017"/>
      <c r="F289" s="2049" t="s">
        <v>390</v>
      </c>
      <c r="G289" s="2028">
        <v>8364641</v>
      </c>
      <c r="H289" s="2028">
        <v>0</v>
      </c>
      <c r="I289" s="673">
        <f t="shared" si="54"/>
        <v>0</v>
      </c>
      <c r="J289" s="673">
        <f t="shared" si="55"/>
        <v>0</v>
      </c>
      <c r="K289" s="673">
        <f t="shared" si="56"/>
        <v>8364641</v>
      </c>
      <c r="L289" s="674">
        <f t="shared" si="57"/>
        <v>0</v>
      </c>
      <c r="M289" s="674">
        <f t="shared" si="58"/>
        <v>0</v>
      </c>
      <c r="N289" s="674">
        <f t="shared" si="59"/>
        <v>8364641</v>
      </c>
      <c r="O289" s="660">
        <f t="shared" si="60"/>
        <v>0</v>
      </c>
      <c r="P289" s="2053"/>
    </row>
    <row r="290" spans="1:16">
      <c r="A290" s="2030">
        <v>182.3</v>
      </c>
      <c r="B290" s="2017">
        <v>18239702</v>
      </c>
      <c r="C290" s="2017"/>
      <c r="D290" s="2018" t="s">
        <v>6693</v>
      </c>
      <c r="E290" s="2017"/>
      <c r="F290" s="2049" t="s">
        <v>988</v>
      </c>
      <c r="G290" s="2028">
        <v>7932013</v>
      </c>
      <c r="H290" s="2028">
        <v>0</v>
      </c>
      <c r="I290" s="673">
        <f t="shared" si="54"/>
        <v>0</v>
      </c>
      <c r="J290" s="673">
        <f t="shared" si="55"/>
        <v>0</v>
      </c>
      <c r="K290" s="673">
        <f t="shared" si="56"/>
        <v>0</v>
      </c>
      <c r="L290" s="674">
        <f t="shared" si="57"/>
        <v>7932013</v>
      </c>
      <c r="M290" s="674">
        <f t="shared" si="58"/>
        <v>0</v>
      </c>
      <c r="N290" s="674">
        <f t="shared" si="59"/>
        <v>7932013</v>
      </c>
      <c r="O290" s="660">
        <f t="shared" si="60"/>
        <v>0</v>
      </c>
      <c r="P290" s="2053"/>
    </row>
    <row r="291" spans="1:16">
      <c r="A291" s="2030">
        <v>182.3</v>
      </c>
      <c r="B291" s="2017">
        <v>18239711</v>
      </c>
      <c r="C291" s="2017"/>
      <c r="D291" s="2018" t="s">
        <v>6694</v>
      </c>
      <c r="E291" s="2017"/>
      <c r="F291" s="2049" t="s">
        <v>390</v>
      </c>
      <c r="G291" s="2028">
        <v>338205</v>
      </c>
      <c r="H291" s="2028">
        <v>0</v>
      </c>
      <c r="I291" s="673">
        <f t="shared" si="54"/>
        <v>0</v>
      </c>
      <c r="J291" s="673">
        <f t="shared" si="55"/>
        <v>0</v>
      </c>
      <c r="K291" s="673">
        <f t="shared" si="56"/>
        <v>338205</v>
      </c>
      <c r="L291" s="674">
        <f t="shared" si="57"/>
        <v>0</v>
      </c>
      <c r="M291" s="674">
        <f t="shared" si="58"/>
        <v>0</v>
      </c>
      <c r="N291" s="674">
        <f t="shared" si="59"/>
        <v>338205</v>
      </c>
      <c r="O291" s="660">
        <f t="shared" si="60"/>
        <v>0</v>
      </c>
      <c r="P291" s="2053"/>
    </row>
    <row r="292" spans="1:16">
      <c r="A292" s="2030">
        <v>182.3</v>
      </c>
      <c r="B292" s="2017">
        <v>18239712</v>
      </c>
      <c r="C292" s="2017"/>
      <c r="D292" s="2018" t="s">
        <v>6694</v>
      </c>
      <c r="E292" s="2017"/>
      <c r="F292" s="2049" t="s">
        <v>988</v>
      </c>
      <c r="G292" s="2028">
        <v>369984</v>
      </c>
      <c r="H292" s="2028">
        <v>0</v>
      </c>
      <c r="I292" s="673">
        <f t="shared" si="54"/>
        <v>0</v>
      </c>
      <c r="J292" s="673">
        <f t="shared" si="55"/>
        <v>0</v>
      </c>
      <c r="K292" s="673">
        <f t="shared" si="56"/>
        <v>0</v>
      </c>
      <c r="L292" s="674">
        <f t="shared" si="57"/>
        <v>369984</v>
      </c>
      <c r="M292" s="674">
        <f t="shared" si="58"/>
        <v>0</v>
      </c>
      <c r="N292" s="674">
        <f t="shared" si="59"/>
        <v>369984</v>
      </c>
      <c r="O292" s="660">
        <f t="shared" si="60"/>
        <v>0</v>
      </c>
      <c r="P292" s="2053"/>
    </row>
    <row r="293" spans="1:16">
      <c r="A293" s="2030">
        <v>182.3</v>
      </c>
      <c r="B293" s="2017">
        <v>18239721</v>
      </c>
      <c r="C293" s="2017"/>
      <c r="D293" s="2018" t="s">
        <v>6695</v>
      </c>
      <c r="E293" s="2017"/>
      <c r="F293" s="2049" t="s">
        <v>390</v>
      </c>
      <c r="G293" s="2028">
        <v>0</v>
      </c>
      <c r="H293" s="2028">
        <v>0</v>
      </c>
      <c r="I293" s="673">
        <f t="shared" si="54"/>
        <v>0</v>
      </c>
      <c r="J293" s="673">
        <f t="shared" si="55"/>
        <v>0</v>
      </c>
      <c r="K293" s="673">
        <f t="shared" si="56"/>
        <v>0</v>
      </c>
      <c r="L293" s="674">
        <f t="shared" si="57"/>
        <v>0</v>
      </c>
      <c r="M293" s="674">
        <f t="shared" si="58"/>
        <v>0</v>
      </c>
      <c r="N293" s="674">
        <f t="shared" si="59"/>
        <v>0</v>
      </c>
      <c r="O293" s="660">
        <f t="shared" si="60"/>
        <v>0</v>
      </c>
      <c r="P293" s="2053"/>
    </row>
    <row r="294" spans="1:16">
      <c r="A294" s="2030">
        <v>182.3</v>
      </c>
      <c r="B294" s="2017">
        <v>18239722</v>
      </c>
      <c r="C294" s="2017"/>
      <c r="D294" s="2018" t="s">
        <v>6696</v>
      </c>
      <c r="E294" s="2017"/>
      <c r="F294" s="2049" t="s">
        <v>988</v>
      </c>
      <c r="G294" s="2028">
        <v>1081797.9099999999</v>
      </c>
      <c r="H294" s="2028">
        <v>0</v>
      </c>
      <c r="I294" s="673">
        <f t="shared" si="54"/>
        <v>0</v>
      </c>
      <c r="J294" s="673">
        <f t="shared" si="55"/>
        <v>0</v>
      </c>
      <c r="K294" s="673">
        <f t="shared" si="56"/>
        <v>0</v>
      </c>
      <c r="L294" s="674">
        <f t="shared" si="57"/>
        <v>1081797.9099999999</v>
      </c>
      <c r="M294" s="674">
        <f t="shared" si="58"/>
        <v>0</v>
      </c>
      <c r="N294" s="674">
        <f t="shared" si="59"/>
        <v>1081797.9099999999</v>
      </c>
      <c r="O294" s="660">
        <f t="shared" si="60"/>
        <v>0</v>
      </c>
      <c r="P294" s="2053"/>
    </row>
    <row r="295" spans="1:16">
      <c r="A295" s="2030">
        <v>182.3</v>
      </c>
      <c r="B295" s="2017">
        <v>18239723</v>
      </c>
      <c r="C295" s="2017"/>
      <c r="D295" s="2018" t="s">
        <v>6697</v>
      </c>
      <c r="E295" s="2017"/>
      <c r="F295" s="2049" t="s">
        <v>390</v>
      </c>
      <c r="G295" s="2028">
        <v>2719684.8</v>
      </c>
      <c r="H295" s="2028">
        <v>0</v>
      </c>
      <c r="I295" s="673">
        <f t="shared" si="54"/>
        <v>0</v>
      </c>
      <c r="J295" s="673">
        <f t="shared" si="55"/>
        <v>0</v>
      </c>
      <c r="K295" s="673">
        <f t="shared" si="56"/>
        <v>1785745.0492955511</v>
      </c>
      <c r="L295" s="674">
        <f t="shared" si="57"/>
        <v>0</v>
      </c>
      <c r="M295" s="674">
        <f t="shared" si="58"/>
        <v>933939.75070444879</v>
      </c>
      <c r="N295" s="674">
        <f t="shared" si="59"/>
        <v>2719684.8</v>
      </c>
      <c r="O295" s="660">
        <f t="shared" si="60"/>
        <v>0</v>
      </c>
      <c r="P295" s="2047" t="s">
        <v>8036</v>
      </c>
    </row>
    <row r="296" spans="1:16">
      <c r="A296" s="2030">
        <v>182.3</v>
      </c>
      <c r="B296" s="2017">
        <v>18239732</v>
      </c>
      <c r="C296" s="2017"/>
      <c r="D296" s="2018" t="s">
        <v>6698</v>
      </c>
      <c r="E296" s="2017"/>
      <c r="F296" s="2049" t="s">
        <v>988</v>
      </c>
      <c r="G296" s="2028">
        <v>3151413.32</v>
      </c>
      <c r="H296" s="2028">
        <v>0</v>
      </c>
      <c r="I296" s="673">
        <f t="shared" si="54"/>
        <v>0</v>
      </c>
      <c r="J296" s="673">
        <f t="shared" si="55"/>
        <v>0</v>
      </c>
      <c r="K296" s="673">
        <f t="shared" si="56"/>
        <v>0</v>
      </c>
      <c r="L296" s="674">
        <f t="shared" si="57"/>
        <v>3151413.32</v>
      </c>
      <c r="M296" s="674">
        <f t="shared" si="58"/>
        <v>0</v>
      </c>
      <c r="N296" s="674">
        <f t="shared" si="59"/>
        <v>3151413.32</v>
      </c>
      <c r="O296" s="660">
        <f t="shared" si="60"/>
        <v>0</v>
      </c>
      <c r="P296" s="2047"/>
    </row>
    <row r="297" spans="1:16">
      <c r="A297" s="2030">
        <v>182.3</v>
      </c>
      <c r="B297" s="2017">
        <v>18239741</v>
      </c>
      <c r="C297" s="2017"/>
      <c r="D297" s="2018" t="s">
        <v>6699</v>
      </c>
      <c r="E297" s="2017"/>
      <c r="F297" s="2049" t="s">
        <v>390</v>
      </c>
      <c r="G297" s="2028">
        <v>399493.23</v>
      </c>
      <c r="H297" s="2028">
        <v>0</v>
      </c>
      <c r="I297" s="673">
        <f t="shared" si="54"/>
        <v>0</v>
      </c>
      <c r="J297" s="673">
        <f t="shared" si="55"/>
        <v>0</v>
      </c>
      <c r="K297" s="673">
        <f t="shared" si="56"/>
        <v>399493.23</v>
      </c>
      <c r="L297" s="674">
        <f t="shared" si="57"/>
        <v>0</v>
      </c>
      <c r="M297" s="674">
        <f t="shared" si="58"/>
        <v>0</v>
      </c>
      <c r="N297" s="674">
        <f t="shared" si="59"/>
        <v>399493.23</v>
      </c>
      <c r="O297" s="660">
        <f t="shared" si="60"/>
        <v>0</v>
      </c>
      <c r="P297" s="2047" t="s">
        <v>8024</v>
      </c>
    </row>
    <row r="298" spans="1:16">
      <c r="A298" s="2030">
        <v>182.3</v>
      </c>
      <c r="B298" s="2017">
        <v>18239742</v>
      </c>
      <c r="C298" s="2017"/>
      <c r="D298" s="2018" t="s">
        <v>6699</v>
      </c>
      <c r="E298" s="2017"/>
      <c r="F298" s="2049" t="s">
        <v>988</v>
      </c>
      <c r="G298" s="2028">
        <v>151050.99</v>
      </c>
      <c r="H298" s="2028">
        <v>0</v>
      </c>
      <c r="I298" s="673">
        <f t="shared" si="54"/>
        <v>0</v>
      </c>
      <c r="J298" s="673">
        <f t="shared" si="55"/>
        <v>0</v>
      </c>
      <c r="K298" s="673">
        <f t="shared" si="56"/>
        <v>0</v>
      </c>
      <c r="L298" s="674">
        <f t="shared" si="57"/>
        <v>151050.99</v>
      </c>
      <c r="M298" s="674">
        <f t="shared" si="58"/>
        <v>0</v>
      </c>
      <c r="N298" s="674">
        <f t="shared" si="59"/>
        <v>151050.99</v>
      </c>
      <c r="O298" s="660">
        <f t="shared" si="60"/>
        <v>0</v>
      </c>
      <c r="P298" s="2053"/>
    </row>
    <row r="299" spans="1:16">
      <c r="A299" s="2030">
        <v>182.3</v>
      </c>
      <c r="B299" s="2017">
        <v>18239751</v>
      </c>
      <c r="C299" s="2017"/>
      <c r="D299" s="2018" t="s">
        <v>6700</v>
      </c>
      <c r="E299" s="2017"/>
      <c r="F299" s="2049" t="s">
        <v>390</v>
      </c>
      <c r="G299" s="2028">
        <v>3709693.42</v>
      </c>
      <c r="H299" s="2028">
        <v>0</v>
      </c>
      <c r="I299" s="673">
        <f t="shared" si="54"/>
        <v>0</v>
      </c>
      <c r="J299" s="673">
        <f t="shared" si="55"/>
        <v>0</v>
      </c>
      <c r="K299" s="673">
        <f t="shared" si="56"/>
        <v>3709693.42</v>
      </c>
      <c r="L299" s="674">
        <f t="shared" si="57"/>
        <v>0</v>
      </c>
      <c r="M299" s="674">
        <f t="shared" si="58"/>
        <v>0</v>
      </c>
      <c r="N299" s="674">
        <f t="shared" si="59"/>
        <v>3709693.42</v>
      </c>
      <c r="O299" s="660">
        <f t="shared" si="60"/>
        <v>0</v>
      </c>
      <c r="P299" s="2053"/>
    </row>
    <row r="300" spans="1:16">
      <c r="A300" s="2030">
        <v>182.3</v>
      </c>
      <c r="B300" s="2017">
        <v>18239752</v>
      </c>
      <c r="C300" s="2017"/>
      <c r="D300" s="2018" t="s">
        <v>6701</v>
      </c>
      <c r="E300" s="2017"/>
      <c r="F300" s="2049" t="s">
        <v>988</v>
      </c>
      <c r="G300" s="2028">
        <v>1495528.45</v>
      </c>
      <c r="H300" s="2028">
        <v>0</v>
      </c>
      <c r="I300" s="673">
        <f t="shared" si="54"/>
        <v>0</v>
      </c>
      <c r="J300" s="673">
        <f t="shared" si="55"/>
        <v>0</v>
      </c>
      <c r="K300" s="673">
        <f t="shared" si="56"/>
        <v>0</v>
      </c>
      <c r="L300" s="674">
        <f t="shared" si="57"/>
        <v>1495528.45</v>
      </c>
      <c r="M300" s="674">
        <f t="shared" si="58"/>
        <v>0</v>
      </c>
      <c r="N300" s="674">
        <f t="shared" si="59"/>
        <v>1495528.45</v>
      </c>
      <c r="O300" s="660">
        <f t="shared" si="60"/>
        <v>0</v>
      </c>
      <c r="P300" s="2053"/>
    </row>
    <row r="301" spans="1:16">
      <c r="A301" s="2030">
        <v>182.3</v>
      </c>
      <c r="B301" s="2017">
        <v>18239761</v>
      </c>
      <c r="C301" s="2017"/>
      <c r="D301" s="2018" t="s">
        <v>6702</v>
      </c>
      <c r="E301" s="2017"/>
      <c r="F301" s="2049" t="s">
        <v>390</v>
      </c>
      <c r="G301" s="2028">
        <v>5283478.8</v>
      </c>
      <c r="H301" s="2028">
        <v>0</v>
      </c>
      <c r="I301" s="673">
        <f t="shared" si="54"/>
        <v>0</v>
      </c>
      <c r="J301" s="673">
        <f t="shared" si="55"/>
        <v>0</v>
      </c>
      <c r="K301" s="673">
        <f t="shared" si="56"/>
        <v>5283478.8</v>
      </c>
      <c r="L301" s="674">
        <f t="shared" si="57"/>
        <v>0</v>
      </c>
      <c r="M301" s="674">
        <f t="shared" si="58"/>
        <v>0</v>
      </c>
      <c r="N301" s="674">
        <f t="shared" si="59"/>
        <v>5283478.8</v>
      </c>
      <c r="O301" s="660">
        <f t="shared" si="60"/>
        <v>0</v>
      </c>
      <c r="P301" s="2053"/>
    </row>
    <row r="302" spans="1:16">
      <c r="A302" s="2030">
        <v>182.3</v>
      </c>
      <c r="B302" s="2017">
        <v>18239762</v>
      </c>
      <c r="C302" s="2017"/>
      <c r="D302" s="2018" t="s">
        <v>6703</v>
      </c>
      <c r="E302" s="2017"/>
      <c r="F302" s="2049" t="s">
        <v>988</v>
      </c>
      <c r="G302" s="2028">
        <v>2238876.4</v>
      </c>
      <c r="H302" s="2028">
        <v>0</v>
      </c>
      <c r="I302" s="673">
        <f t="shared" si="54"/>
        <v>0</v>
      </c>
      <c r="J302" s="673">
        <f t="shared" si="55"/>
        <v>0</v>
      </c>
      <c r="K302" s="673">
        <f t="shared" si="56"/>
        <v>0</v>
      </c>
      <c r="L302" s="674">
        <f t="shared" si="57"/>
        <v>2238876.4</v>
      </c>
      <c r="M302" s="674">
        <f t="shared" si="58"/>
        <v>0</v>
      </c>
      <c r="N302" s="674">
        <f t="shared" si="59"/>
        <v>2238876.4</v>
      </c>
      <c r="O302" s="660">
        <f t="shared" si="60"/>
        <v>0</v>
      </c>
      <c r="P302" s="2053"/>
    </row>
    <row r="303" spans="1:16">
      <c r="A303" s="2030">
        <v>182.3</v>
      </c>
      <c r="B303" s="2017">
        <v>18239771</v>
      </c>
      <c r="C303" s="2017"/>
      <c r="D303" s="2018" t="s">
        <v>6704</v>
      </c>
      <c r="E303" s="2017"/>
      <c r="F303" s="2049" t="s">
        <v>390</v>
      </c>
      <c r="G303" s="2028">
        <v>279350.15000000002</v>
      </c>
      <c r="H303" s="2028">
        <v>0</v>
      </c>
      <c r="I303" s="673">
        <f t="shared" si="54"/>
        <v>0</v>
      </c>
      <c r="J303" s="673">
        <f t="shared" si="55"/>
        <v>0</v>
      </c>
      <c r="K303" s="673">
        <f t="shared" si="56"/>
        <v>279350.15000000002</v>
      </c>
      <c r="L303" s="674">
        <f t="shared" si="57"/>
        <v>0</v>
      </c>
      <c r="M303" s="674">
        <f t="shared" si="58"/>
        <v>0</v>
      </c>
      <c r="N303" s="674">
        <f t="shared" si="59"/>
        <v>279350.15000000002</v>
      </c>
      <c r="O303" s="660">
        <f t="shared" si="60"/>
        <v>0</v>
      </c>
      <c r="P303" s="2047" t="s">
        <v>8067</v>
      </c>
    </row>
    <row r="304" spans="1:16">
      <c r="A304" s="2030">
        <v>182.3</v>
      </c>
      <c r="B304" s="2017">
        <v>18239772</v>
      </c>
      <c r="C304" s="2017"/>
      <c r="D304" s="2018" t="s">
        <v>6705</v>
      </c>
      <c r="E304" s="2017"/>
      <c r="F304" s="2049" t="s">
        <v>988</v>
      </c>
      <c r="G304" s="2028">
        <v>202132221</v>
      </c>
      <c r="H304" s="2028">
        <v>0</v>
      </c>
      <c r="I304" s="673">
        <f t="shared" si="54"/>
        <v>0</v>
      </c>
      <c r="J304" s="673">
        <f t="shared" si="55"/>
        <v>0</v>
      </c>
      <c r="K304" s="673">
        <f t="shared" si="56"/>
        <v>0</v>
      </c>
      <c r="L304" s="674">
        <f t="shared" si="57"/>
        <v>202132221</v>
      </c>
      <c r="M304" s="674">
        <f t="shared" si="58"/>
        <v>0</v>
      </c>
      <c r="N304" s="674">
        <f t="shared" si="59"/>
        <v>202132221</v>
      </c>
      <c r="O304" s="660">
        <f t="shared" si="60"/>
        <v>0</v>
      </c>
      <c r="P304" s="2047"/>
    </row>
    <row r="305" spans="1:16">
      <c r="A305" s="2030">
        <v>182.3</v>
      </c>
      <c r="B305" s="2017">
        <v>18239781</v>
      </c>
      <c r="C305" s="2017"/>
      <c r="D305" s="2018" t="s">
        <v>6706</v>
      </c>
      <c r="E305" s="2017"/>
      <c r="F305" s="2049" t="s">
        <v>390</v>
      </c>
      <c r="G305" s="2028">
        <v>1011768.77</v>
      </c>
      <c r="H305" s="2028">
        <v>0</v>
      </c>
      <c r="I305" s="673">
        <f t="shared" si="54"/>
        <v>0</v>
      </c>
      <c r="J305" s="673">
        <f t="shared" si="55"/>
        <v>0</v>
      </c>
      <c r="K305" s="673">
        <f t="shared" si="56"/>
        <v>1011768.77</v>
      </c>
      <c r="L305" s="674">
        <f t="shared" si="57"/>
        <v>0</v>
      </c>
      <c r="M305" s="674">
        <f t="shared" si="58"/>
        <v>0</v>
      </c>
      <c r="N305" s="674">
        <f t="shared" si="59"/>
        <v>1011768.77</v>
      </c>
      <c r="O305" s="660">
        <f t="shared" si="60"/>
        <v>0</v>
      </c>
      <c r="P305" s="2047" t="s">
        <v>8067</v>
      </c>
    </row>
    <row r="306" spans="1:16">
      <c r="A306" s="2030">
        <v>182.3</v>
      </c>
      <c r="B306" s="2017">
        <v>18239782</v>
      </c>
      <c r="C306" s="2017"/>
      <c r="D306" s="2018" t="s">
        <v>6707</v>
      </c>
      <c r="E306" s="2017"/>
      <c r="F306" s="2049" t="s">
        <v>988</v>
      </c>
      <c r="G306" s="2028">
        <v>2140173.64</v>
      </c>
      <c r="H306" s="2028">
        <v>0</v>
      </c>
      <c r="I306" s="673">
        <f t="shared" si="54"/>
        <v>0</v>
      </c>
      <c r="J306" s="673">
        <f t="shared" si="55"/>
        <v>0</v>
      </c>
      <c r="K306" s="673">
        <f t="shared" si="56"/>
        <v>0</v>
      </c>
      <c r="L306" s="674">
        <f t="shared" si="57"/>
        <v>2140173.64</v>
      </c>
      <c r="M306" s="674">
        <f t="shared" si="58"/>
        <v>0</v>
      </c>
      <c r="N306" s="674">
        <f t="shared" si="59"/>
        <v>2140173.64</v>
      </c>
      <c r="O306" s="660">
        <f t="shared" si="60"/>
        <v>0</v>
      </c>
      <c r="P306" s="2047"/>
    </row>
    <row r="307" spans="1:16">
      <c r="A307" s="2030">
        <v>182.3</v>
      </c>
      <c r="B307" s="2017">
        <v>18239791</v>
      </c>
      <c r="C307" s="2017"/>
      <c r="D307" s="2018" t="s">
        <v>6708</v>
      </c>
      <c r="E307" s="2017"/>
      <c r="F307" s="2017" t="s">
        <v>392</v>
      </c>
      <c r="G307" s="2028">
        <v>23810927.710000001</v>
      </c>
      <c r="H307" s="2028">
        <v>0</v>
      </c>
      <c r="I307" s="673">
        <f t="shared" si="54"/>
        <v>23810927.710000001</v>
      </c>
      <c r="J307" s="673">
        <f t="shared" si="55"/>
        <v>0</v>
      </c>
      <c r="K307" s="673">
        <f t="shared" si="56"/>
        <v>0</v>
      </c>
      <c r="L307" s="674">
        <f t="shared" si="57"/>
        <v>0</v>
      </c>
      <c r="M307" s="674">
        <f t="shared" si="58"/>
        <v>0</v>
      </c>
      <c r="N307" s="674">
        <f t="shared" si="59"/>
        <v>23810927.710000001</v>
      </c>
      <c r="O307" s="660">
        <f t="shared" si="60"/>
        <v>0</v>
      </c>
      <c r="P307" s="2047" t="s">
        <v>970</v>
      </c>
    </row>
    <row r="308" spans="1:16">
      <c r="A308" s="2030">
        <v>182.3</v>
      </c>
      <c r="B308" s="2017">
        <v>18239792</v>
      </c>
      <c r="C308" s="2017"/>
      <c r="D308" s="2018" t="s">
        <v>6709</v>
      </c>
      <c r="E308" s="2017"/>
      <c r="F308" s="2049" t="s">
        <v>988</v>
      </c>
      <c r="G308" s="2028">
        <v>-113679988.23999999</v>
      </c>
      <c r="H308" s="2028">
        <v>0</v>
      </c>
      <c r="I308" s="673">
        <f t="shared" si="54"/>
        <v>0</v>
      </c>
      <c r="J308" s="673">
        <f t="shared" si="55"/>
        <v>0</v>
      </c>
      <c r="K308" s="673">
        <f t="shared" si="56"/>
        <v>0</v>
      </c>
      <c r="L308" s="674">
        <f t="shared" si="57"/>
        <v>-113679988.23999999</v>
      </c>
      <c r="M308" s="674">
        <f t="shared" si="58"/>
        <v>0</v>
      </c>
      <c r="N308" s="674">
        <f t="shared" si="59"/>
        <v>-113679988.23999999</v>
      </c>
      <c r="O308" s="660">
        <f t="shared" si="60"/>
        <v>0</v>
      </c>
      <c r="P308" s="2016"/>
    </row>
    <row r="309" spans="1:16">
      <c r="A309" s="2030">
        <v>182.3</v>
      </c>
      <c r="B309" s="2017">
        <v>18239801</v>
      </c>
      <c r="C309" s="2017"/>
      <c r="D309" s="2018" t="s">
        <v>6710</v>
      </c>
      <c r="E309" s="2017"/>
      <c r="F309" s="2017" t="s">
        <v>392</v>
      </c>
      <c r="G309" s="2028">
        <v>1262113.3</v>
      </c>
      <c r="H309" s="2028">
        <v>0</v>
      </c>
      <c r="I309" s="673">
        <f t="shared" si="54"/>
        <v>1262113.3</v>
      </c>
      <c r="J309" s="673">
        <f t="shared" si="55"/>
        <v>0</v>
      </c>
      <c r="K309" s="673">
        <f t="shared" si="56"/>
        <v>0</v>
      </c>
      <c r="L309" s="674">
        <f t="shared" si="57"/>
        <v>0</v>
      </c>
      <c r="M309" s="674">
        <f t="shared" si="58"/>
        <v>0</v>
      </c>
      <c r="N309" s="674">
        <f t="shared" si="59"/>
        <v>1262113.3</v>
      </c>
      <c r="O309" s="660">
        <f t="shared" si="60"/>
        <v>0</v>
      </c>
      <c r="P309" s="2047" t="s">
        <v>970</v>
      </c>
    </row>
    <row r="310" spans="1:16">
      <c r="A310" s="2030">
        <v>182.3</v>
      </c>
      <c r="B310" s="2017">
        <v>18239802</v>
      </c>
      <c r="C310" s="2017"/>
      <c r="D310" s="2018" t="s">
        <v>6711</v>
      </c>
      <c r="E310" s="2017"/>
      <c r="F310" s="2049" t="s">
        <v>988</v>
      </c>
      <c r="G310" s="2028">
        <v>-3557678</v>
      </c>
      <c r="H310" s="2028">
        <v>0</v>
      </c>
      <c r="I310" s="673">
        <f t="shared" si="54"/>
        <v>0</v>
      </c>
      <c r="J310" s="673">
        <f t="shared" si="55"/>
        <v>0</v>
      </c>
      <c r="K310" s="673">
        <f t="shared" si="56"/>
        <v>0</v>
      </c>
      <c r="L310" s="674">
        <f t="shared" si="57"/>
        <v>-3557678</v>
      </c>
      <c r="M310" s="674">
        <f t="shared" si="58"/>
        <v>0</v>
      </c>
      <c r="N310" s="674">
        <f t="shared" si="59"/>
        <v>-3557678</v>
      </c>
      <c r="O310" s="660">
        <f t="shared" si="60"/>
        <v>0</v>
      </c>
      <c r="P310" s="2016"/>
    </row>
    <row r="311" spans="1:16">
      <c r="A311" s="2030">
        <v>182.3</v>
      </c>
      <c r="B311" s="2017">
        <v>18239811</v>
      </c>
      <c r="C311" s="2017"/>
      <c r="D311" s="2018" t="s">
        <v>6712</v>
      </c>
      <c r="E311" s="2017"/>
      <c r="F311" s="2017" t="s">
        <v>392</v>
      </c>
      <c r="G311" s="2028">
        <v>852997.08</v>
      </c>
      <c r="H311" s="2028">
        <v>0</v>
      </c>
      <c r="I311" s="673">
        <f t="shared" si="54"/>
        <v>852997.08</v>
      </c>
      <c r="J311" s="673">
        <f t="shared" si="55"/>
        <v>0</v>
      </c>
      <c r="K311" s="673">
        <f t="shared" si="56"/>
        <v>0</v>
      </c>
      <c r="L311" s="674">
        <f t="shared" si="57"/>
        <v>0</v>
      </c>
      <c r="M311" s="674">
        <f t="shared" si="58"/>
        <v>0</v>
      </c>
      <c r="N311" s="674">
        <f t="shared" si="59"/>
        <v>852997.08</v>
      </c>
      <c r="O311" s="660">
        <f t="shared" si="60"/>
        <v>0</v>
      </c>
      <c r="P311" s="2047" t="s">
        <v>970</v>
      </c>
    </row>
    <row r="312" spans="1:16">
      <c r="A312" s="2030">
        <v>182.3</v>
      </c>
      <c r="B312" s="2017">
        <v>18239821</v>
      </c>
      <c r="C312" s="2017"/>
      <c r="D312" s="2018" t="s">
        <v>6713</v>
      </c>
      <c r="E312" s="2017"/>
      <c r="F312" s="2049" t="s">
        <v>390</v>
      </c>
      <c r="G312" s="2028">
        <v>-4769275.2300000004</v>
      </c>
      <c r="H312" s="2028">
        <v>0</v>
      </c>
      <c r="I312" s="673">
        <f t="shared" si="54"/>
        <v>0</v>
      </c>
      <c r="J312" s="673">
        <f t="shared" si="55"/>
        <v>0</v>
      </c>
      <c r="K312" s="673">
        <f t="shared" si="56"/>
        <v>-4769275.2300000004</v>
      </c>
      <c r="L312" s="674">
        <f t="shared" si="57"/>
        <v>0</v>
      </c>
      <c r="M312" s="674">
        <f t="shared" si="58"/>
        <v>0</v>
      </c>
      <c r="N312" s="674">
        <f t="shared" si="59"/>
        <v>-4769275.2300000004</v>
      </c>
      <c r="O312" s="660">
        <f t="shared" si="60"/>
        <v>0</v>
      </c>
      <c r="P312" s="2016"/>
    </row>
    <row r="313" spans="1:16">
      <c r="A313" s="2052">
        <v>182.3</v>
      </c>
      <c r="B313" s="2013">
        <v>18239831</v>
      </c>
      <c r="C313" s="2013"/>
      <c r="D313" s="2014" t="s">
        <v>6714</v>
      </c>
      <c r="E313" s="2013"/>
      <c r="F313" s="2051" t="s">
        <v>390</v>
      </c>
      <c r="G313" s="2050">
        <f>76105127.42+'Reconcile Other RB Items'!$K$77</f>
        <v>95941999.670000002</v>
      </c>
      <c r="H313" s="2028">
        <v>0</v>
      </c>
      <c r="I313" s="673">
        <f t="shared" si="54"/>
        <v>0</v>
      </c>
      <c r="J313" s="673">
        <f t="shared" si="55"/>
        <v>0</v>
      </c>
      <c r="K313" s="673">
        <f t="shared" si="56"/>
        <v>95941999.670000002</v>
      </c>
      <c r="L313" s="674">
        <f t="shared" si="57"/>
        <v>0</v>
      </c>
      <c r="M313" s="674">
        <f t="shared" si="58"/>
        <v>0</v>
      </c>
      <c r="N313" s="674">
        <f t="shared" si="59"/>
        <v>95941999.670000002</v>
      </c>
      <c r="O313" s="660">
        <f t="shared" si="60"/>
        <v>0</v>
      </c>
      <c r="P313" s="2010" t="s">
        <v>8087</v>
      </c>
    </row>
    <row r="314" spans="1:16">
      <c r="A314" s="2030">
        <v>182.3</v>
      </c>
      <c r="B314" s="2017">
        <v>18239841</v>
      </c>
      <c r="C314" s="2017"/>
      <c r="D314" s="2018" t="s">
        <v>6715</v>
      </c>
      <c r="E314" s="2017"/>
      <c r="F314" s="2049" t="s">
        <v>390</v>
      </c>
      <c r="G314" s="2028">
        <v>16060.1</v>
      </c>
      <c r="H314" s="2028">
        <v>0</v>
      </c>
      <c r="I314" s="673">
        <f t="shared" si="54"/>
        <v>0</v>
      </c>
      <c r="J314" s="673">
        <f t="shared" si="55"/>
        <v>0</v>
      </c>
      <c r="K314" s="673">
        <f t="shared" si="56"/>
        <v>16060.1</v>
      </c>
      <c r="L314" s="674">
        <f t="shared" si="57"/>
        <v>0</v>
      </c>
      <c r="M314" s="674">
        <f t="shared" si="58"/>
        <v>0</v>
      </c>
      <c r="N314" s="674">
        <f t="shared" si="59"/>
        <v>16060.1</v>
      </c>
      <c r="O314" s="660">
        <f t="shared" si="60"/>
        <v>0</v>
      </c>
      <c r="P314" s="2010" t="s">
        <v>8037</v>
      </c>
    </row>
    <row r="315" spans="1:16">
      <c r="A315" s="2030">
        <v>182.3</v>
      </c>
      <c r="B315" s="2017">
        <v>18239851</v>
      </c>
      <c r="C315" s="2017"/>
      <c r="D315" s="2018" t="s">
        <v>6716</v>
      </c>
      <c r="E315" s="2017"/>
      <c r="F315" s="2017" t="s">
        <v>390</v>
      </c>
      <c r="G315" s="2028">
        <v>2990403.84</v>
      </c>
      <c r="H315" s="2028">
        <v>0</v>
      </c>
      <c r="I315" s="673">
        <f t="shared" si="54"/>
        <v>0</v>
      </c>
      <c r="J315" s="673">
        <f t="shared" si="55"/>
        <v>0</v>
      </c>
      <c r="K315" s="673">
        <f t="shared" si="56"/>
        <v>2990403.84</v>
      </c>
      <c r="L315" s="674">
        <f t="shared" si="57"/>
        <v>0</v>
      </c>
      <c r="M315" s="674">
        <f t="shared" si="58"/>
        <v>0</v>
      </c>
      <c r="N315" s="674">
        <f t="shared" si="59"/>
        <v>2990403.84</v>
      </c>
      <c r="O315" s="660">
        <f t="shared" si="60"/>
        <v>0</v>
      </c>
      <c r="P315" s="2010" t="s">
        <v>8082</v>
      </c>
    </row>
    <row r="316" spans="1:16">
      <c r="A316" s="2030">
        <v>182.3</v>
      </c>
      <c r="B316" s="2017">
        <v>18239861</v>
      </c>
      <c r="C316" s="2017"/>
      <c r="D316" s="2018" t="s">
        <v>6717</v>
      </c>
      <c r="E316" s="2017"/>
      <c r="F316" s="2049" t="s">
        <v>390</v>
      </c>
      <c r="G316" s="2028">
        <v>945600</v>
      </c>
      <c r="H316" s="2028">
        <v>0</v>
      </c>
      <c r="I316" s="673">
        <f t="shared" ref="I316:I325" si="61">IF(RIGHT($B316,1)="1", $G316*VLOOKUP($F316, Ratio, 2, FALSE), IF(RIGHT($B316,1)="3", $G316*VLOOKUP($F316, Ratio, 2, FALSE)*$F$5, 0))</f>
        <v>0</v>
      </c>
      <c r="J316" s="673">
        <f t="shared" ref="J316:J325" si="62">IF(RIGHT($B316,1)="1", $G316*VLOOKUP($F316, Ratio, 3, FALSE), IF(RIGHT($B316,1)="3", $G316*VLOOKUP($F316, Ratio, 3, FALSE)*$F$5, 0))</f>
        <v>0</v>
      </c>
      <c r="K316" s="673">
        <f t="shared" ref="K316:K325" si="63">IF(RIGHT($B316,1)="1", $G316*VLOOKUP($F316, Ratio, 4, FALSE), IF(RIGHT($B316,1)="3", $G316*VLOOKUP($F316, Ratio, 4, FALSE)*$F$5, 0))</f>
        <v>945600</v>
      </c>
      <c r="L316" s="674">
        <f t="shared" ref="L316:L325" si="64">IF(F316="GAS", G316, 0)</f>
        <v>0</v>
      </c>
      <c r="M316" s="674">
        <f t="shared" ref="M316:M325" si="65">IF(RIGHT(B316,1)="3",G316*$G$5,0)</f>
        <v>0</v>
      </c>
      <c r="N316" s="674">
        <f t="shared" ref="N316:N325" si="66">SUM(I316:M316)</f>
        <v>945600</v>
      </c>
      <c r="O316" s="660">
        <f t="shared" ref="O316:O326" si="67">G316-N316</f>
        <v>0</v>
      </c>
      <c r="P316" s="2010" t="s">
        <v>8085</v>
      </c>
    </row>
    <row r="317" spans="1:16">
      <c r="A317" s="2030">
        <v>182.3</v>
      </c>
      <c r="B317" s="2017">
        <v>18239871</v>
      </c>
      <c r="C317" s="2017"/>
      <c r="D317" s="2018" t="s">
        <v>6718</v>
      </c>
      <c r="E317" s="2017"/>
      <c r="F317" s="2049" t="s">
        <v>390</v>
      </c>
      <c r="G317" s="2028">
        <v>-7503753.4900000002</v>
      </c>
      <c r="H317" s="2028">
        <v>0</v>
      </c>
      <c r="I317" s="673">
        <f t="shared" si="61"/>
        <v>0</v>
      </c>
      <c r="J317" s="673">
        <f t="shared" si="62"/>
        <v>0</v>
      </c>
      <c r="K317" s="673">
        <f t="shared" si="63"/>
        <v>-7503753.4900000002</v>
      </c>
      <c r="L317" s="674">
        <f t="shared" si="64"/>
        <v>0</v>
      </c>
      <c r="M317" s="674">
        <f t="shared" si="65"/>
        <v>0</v>
      </c>
      <c r="N317" s="674">
        <f t="shared" si="66"/>
        <v>-7503753.4900000002</v>
      </c>
      <c r="O317" s="660">
        <f t="shared" si="67"/>
        <v>0</v>
      </c>
      <c r="P317" s="2010" t="s">
        <v>8028</v>
      </c>
    </row>
    <row r="318" spans="1:16">
      <c r="A318" s="2030">
        <v>182.3</v>
      </c>
      <c r="B318" s="2017">
        <v>18239881</v>
      </c>
      <c r="C318" s="2017"/>
      <c r="D318" s="2018" t="s">
        <v>6719</v>
      </c>
      <c r="E318" s="2017"/>
      <c r="F318" s="2049" t="s">
        <v>390</v>
      </c>
      <c r="G318" s="2028">
        <v>863169.48</v>
      </c>
      <c r="H318" s="2028">
        <v>0</v>
      </c>
      <c r="I318" s="673">
        <f t="shared" si="61"/>
        <v>0</v>
      </c>
      <c r="J318" s="673">
        <f t="shared" si="62"/>
        <v>0</v>
      </c>
      <c r="K318" s="673">
        <f t="shared" si="63"/>
        <v>863169.48</v>
      </c>
      <c r="L318" s="674">
        <f t="shared" si="64"/>
        <v>0</v>
      </c>
      <c r="M318" s="674">
        <f t="shared" si="65"/>
        <v>0</v>
      </c>
      <c r="N318" s="674">
        <f t="shared" si="66"/>
        <v>863169.48</v>
      </c>
      <c r="O318" s="660">
        <f t="shared" si="67"/>
        <v>0</v>
      </c>
      <c r="P318" s="2010" t="s">
        <v>8026</v>
      </c>
    </row>
    <row r="319" spans="1:16">
      <c r="A319" s="2030">
        <v>182.3</v>
      </c>
      <c r="B319" s="2017">
        <v>18239891</v>
      </c>
      <c r="C319" s="2017"/>
      <c r="D319" s="2018" t="s">
        <v>6720</v>
      </c>
      <c r="E319" s="2017"/>
      <c r="F319" s="2049" t="s">
        <v>390</v>
      </c>
      <c r="G319" s="2028">
        <v>61802.93</v>
      </c>
      <c r="H319" s="2028">
        <v>0</v>
      </c>
      <c r="I319" s="673">
        <f t="shared" si="61"/>
        <v>0</v>
      </c>
      <c r="J319" s="673">
        <f t="shared" si="62"/>
        <v>0</v>
      </c>
      <c r="K319" s="673">
        <f t="shared" si="63"/>
        <v>61802.93</v>
      </c>
      <c r="L319" s="674">
        <f t="shared" si="64"/>
        <v>0</v>
      </c>
      <c r="M319" s="674">
        <f t="shared" si="65"/>
        <v>0</v>
      </c>
      <c r="N319" s="674">
        <f t="shared" si="66"/>
        <v>61802.93</v>
      </c>
      <c r="O319" s="660">
        <f t="shared" si="67"/>
        <v>0</v>
      </c>
      <c r="P319" s="2010" t="s">
        <v>8025</v>
      </c>
    </row>
    <row r="320" spans="1:16">
      <c r="A320" s="2030">
        <v>182.3</v>
      </c>
      <c r="B320" s="2017">
        <v>18239901</v>
      </c>
      <c r="C320" s="2017"/>
      <c r="D320" s="2018" t="s">
        <v>6721</v>
      </c>
      <c r="E320" s="2017"/>
      <c r="F320" s="2049" t="s">
        <v>390</v>
      </c>
      <c r="G320" s="2028">
        <v>-863169.48</v>
      </c>
      <c r="H320" s="2028">
        <v>0</v>
      </c>
      <c r="I320" s="673">
        <f t="shared" si="61"/>
        <v>0</v>
      </c>
      <c r="J320" s="673">
        <f t="shared" si="62"/>
        <v>0</v>
      </c>
      <c r="K320" s="673">
        <f t="shared" si="63"/>
        <v>-863169.48</v>
      </c>
      <c r="L320" s="674">
        <f t="shared" si="64"/>
        <v>0</v>
      </c>
      <c r="M320" s="674">
        <f t="shared" si="65"/>
        <v>0</v>
      </c>
      <c r="N320" s="674">
        <f t="shared" si="66"/>
        <v>-863169.48</v>
      </c>
      <c r="O320" s="660">
        <f t="shared" si="67"/>
        <v>0</v>
      </c>
      <c r="P320" s="2010" t="s">
        <v>8026</v>
      </c>
    </row>
    <row r="321" spans="1:16">
      <c r="A321" s="2030">
        <v>182.3</v>
      </c>
      <c r="B321" s="2017">
        <v>18239911</v>
      </c>
      <c r="C321" s="2017"/>
      <c r="D321" s="2018" t="s">
        <v>6720</v>
      </c>
      <c r="E321" s="2017"/>
      <c r="F321" s="2049" t="s">
        <v>390</v>
      </c>
      <c r="G321" s="2028">
        <v>-61802.93</v>
      </c>
      <c r="H321" s="2028">
        <v>0</v>
      </c>
      <c r="I321" s="673">
        <f t="shared" si="61"/>
        <v>0</v>
      </c>
      <c r="J321" s="673">
        <f t="shared" si="62"/>
        <v>0</v>
      </c>
      <c r="K321" s="673">
        <f t="shared" si="63"/>
        <v>-61802.93</v>
      </c>
      <c r="L321" s="674">
        <f t="shared" si="64"/>
        <v>0</v>
      </c>
      <c r="M321" s="674">
        <f t="shared" si="65"/>
        <v>0</v>
      </c>
      <c r="N321" s="674">
        <f t="shared" si="66"/>
        <v>-61802.93</v>
      </c>
      <c r="O321" s="660">
        <f t="shared" si="67"/>
        <v>0</v>
      </c>
      <c r="P321" s="2010" t="s">
        <v>8025</v>
      </c>
    </row>
    <row r="322" spans="1:16">
      <c r="A322" s="2030">
        <v>182.3</v>
      </c>
      <c r="B322" s="2017">
        <v>18239921</v>
      </c>
      <c r="C322" s="2017"/>
      <c r="D322" s="2018" t="s">
        <v>6722</v>
      </c>
      <c r="E322" s="2017"/>
      <c r="F322" s="2049" t="s">
        <v>390</v>
      </c>
      <c r="G322" s="2028">
        <v>-25000</v>
      </c>
      <c r="H322" s="2028">
        <v>0</v>
      </c>
      <c r="I322" s="673">
        <f t="shared" si="61"/>
        <v>0</v>
      </c>
      <c r="J322" s="673">
        <f t="shared" si="62"/>
        <v>0</v>
      </c>
      <c r="K322" s="673">
        <f t="shared" si="63"/>
        <v>-25000</v>
      </c>
      <c r="L322" s="674">
        <f t="shared" si="64"/>
        <v>0</v>
      </c>
      <c r="M322" s="674">
        <f t="shared" si="65"/>
        <v>0</v>
      </c>
      <c r="N322" s="674">
        <f t="shared" si="66"/>
        <v>-25000</v>
      </c>
      <c r="O322" s="660">
        <f t="shared" si="67"/>
        <v>0</v>
      </c>
      <c r="P322" s="2016"/>
    </row>
    <row r="323" spans="1:16">
      <c r="A323" s="2030">
        <v>182.3</v>
      </c>
      <c r="B323" s="2017">
        <v>18239931</v>
      </c>
      <c r="C323" s="2017"/>
      <c r="D323" s="2018" t="s">
        <v>6716</v>
      </c>
      <c r="E323" s="2017"/>
      <c r="F323" s="2017" t="s">
        <v>390</v>
      </c>
      <c r="G323" s="2028">
        <v>2679062.64</v>
      </c>
      <c r="H323" s="2028">
        <v>0</v>
      </c>
      <c r="I323" s="673">
        <f t="shared" si="61"/>
        <v>0</v>
      </c>
      <c r="J323" s="673">
        <f t="shared" si="62"/>
        <v>0</v>
      </c>
      <c r="K323" s="673">
        <f t="shared" si="63"/>
        <v>2679062.64</v>
      </c>
      <c r="L323" s="674">
        <f t="shared" si="64"/>
        <v>0</v>
      </c>
      <c r="M323" s="674">
        <f t="shared" si="65"/>
        <v>0</v>
      </c>
      <c r="N323" s="674">
        <f t="shared" si="66"/>
        <v>2679062.64</v>
      </c>
      <c r="O323" s="660">
        <f t="shared" si="67"/>
        <v>0</v>
      </c>
      <c r="P323" s="2010" t="s">
        <v>8081</v>
      </c>
    </row>
    <row r="324" spans="1:16">
      <c r="A324" s="2030">
        <v>182.3</v>
      </c>
      <c r="B324" s="2017">
        <v>18239941</v>
      </c>
      <c r="C324" s="2017"/>
      <c r="D324" s="2018" t="s">
        <v>6723</v>
      </c>
      <c r="E324" s="2017"/>
      <c r="F324" s="2017" t="s">
        <v>390</v>
      </c>
      <c r="G324" s="2028">
        <v>450440</v>
      </c>
      <c r="H324" s="2028">
        <v>0</v>
      </c>
      <c r="I324" s="673">
        <f t="shared" si="61"/>
        <v>0</v>
      </c>
      <c r="J324" s="673">
        <f t="shared" si="62"/>
        <v>0</v>
      </c>
      <c r="K324" s="673">
        <f t="shared" si="63"/>
        <v>450440</v>
      </c>
      <c r="L324" s="674">
        <f t="shared" si="64"/>
        <v>0</v>
      </c>
      <c r="M324" s="674">
        <f t="shared" si="65"/>
        <v>0</v>
      </c>
      <c r="N324" s="674">
        <f t="shared" si="66"/>
        <v>450440</v>
      </c>
      <c r="O324" s="660">
        <f t="shared" si="67"/>
        <v>0</v>
      </c>
      <c r="P324" s="2010" t="s">
        <v>8027</v>
      </c>
    </row>
    <row r="325" spans="1:16">
      <c r="A325" s="2030">
        <v>182.3</v>
      </c>
      <c r="B325" s="2017">
        <v>18239951</v>
      </c>
      <c r="C325" s="2017"/>
      <c r="D325" s="2018" t="s">
        <v>6724</v>
      </c>
      <c r="E325" s="2017"/>
      <c r="F325" s="2049" t="s">
        <v>390</v>
      </c>
      <c r="G325" s="2028">
        <v>-3020877</v>
      </c>
      <c r="H325" s="2028">
        <v>0</v>
      </c>
      <c r="I325" s="673">
        <f t="shared" si="61"/>
        <v>0</v>
      </c>
      <c r="J325" s="673">
        <f t="shared" si="62"/>
        <v>0</v>
      </c>
      <c r="K325" s="673">
        <f t="shared" si="63"/>
        <v>-3020877</v>
      </c>
      <c r="L325" s="674">
        <f t="shared" si="64"/>
        <v>0</v>
      </c>
      <c r="M325" s="674">
        <f t="shared" si="65"/>
        <v>0</v>
      </c>
      <c r="N325" s="674">
        <f t="shared" si="66"/>
        <v>-3020877</v>
      </c>
      <c r="O325" s="660">
        <f t="shared" si="67"/>
        <v>0</v>
      </c>
      <c r="P325" s="2010" t="s">
        <v>8013</v>
      </c>
    </row>
    <row r="326" spans="1:16">
      <c r="A326" s="638" t="s">
        <v>1231</v>
      </c>
      <c r="B326" s="639"/>
      <c r="C326" s="640"/>
      <c r="D326" s="641"/>
      <c r="E326" s="642"/>
      <c r="F326" s="642"/>
      <c r="G326" s="643">
        <f t="shared" ref="G326:N326" si="68">SUM(G60:G325)</f>
        <v>799152296.26999974</v>
      </c>
      <c r="H326" s="643">
        <f t="shared" si="68"/>
        <v>565039246.57000029</v>
      </c>
      <c r="I326" s="2288">
        <f t="shared" si="68"/>
        <v>307143997.88341385</v>
      </c>
      <c r="J326" s="2288">
        <f t="shared" si="68"/>
        <v>0</v>
      </c>
      <c r="K326" s="2288">
        <f t="shared" si="68"/>
        <v>284783574.50783557</v>
      </c>
      <c r="L326" s="643">
        <f t="shared" si="68"/>
        <v>206290784.12999994</v>
      </c>
      <c r="M326" s="643">
        <f t="shared" si="68"/>
        <v>933939.75070444879</v>
      </c>
      <c r="N326" s="643">
        <f t="shared" si="68"/>
        <v>799152296.27195358</v>
      </c>
      <c r="O326" s="660">
        <f t="shared" si="67"/>
        <v>-1.9538402557373047E-3</v>
      </c>
    </row>
    <row r="327" spans="1:16" ht="10.15" customHeight="1">
      <c r="A327" s="677"/>
      <c r="B327" s="663"/>
      <c r="C327" s="664"/>
      <c r="D327" s="665"/>
      <c r="E327" s="3929" t="s">
        <v>952</v>
      </c>
      <c r="F327" s="3930"/>
      <c r="G327" s="681">
        <f>'FERC p110-111 Assets'!D85-G326</f>
        <v>-0.26999974250793457</v>
      </c>
      <c r="H327" s="681">
        <f>'FERC p110-111 Assets'!E85-H326</f>
        <v>0.4299997091293335</v>
      </c>
      <c r="I327" s="666"/>
      <c r="J327" s="666"/>
      <c r="K327" s="666"/>
      <c r="L327" s="666"/>
      <c r="M327" s="666"/>
      <c r="N327" s="666"/>
      <c r="O327" s="660"/>
    </row>
    <row r="328" spans="1:16">
      <c r="A328" s="2015">
        <v>186</v>
      </c>
      <c r="B328" s="675">
        <v>18600002</v>
      </c>
      <c r="C328" s="675"/>
      <c r="D328" s="675" t="s">
        <v>1232</v>
      </c>
      <c r="E328" s="675" t="s">
        <v>968</v>
      </c>
      <c r="F328" s="2007" t="s">
        <v>988</v>
      </c>
      <c r="G328" s="2006">
        <v>556.41999999999996</v>
      </c>
      <c r="H328" s="2006">
        <v>0</v>
      </c>
      <c r="I328" s="630">
        <f t="shared" ref="I328:I337" si="69">IF(RIGHT($B328,1)="1", $G328*VLOOKUP($F328, Ratio, 2, FALSE), IF(RIGHT($B328,1)="3", $G328*VLOOKUP($F328, Ratio, 2, FALSE)*$F$5, 0))</f>
        <v>0</v>
      </c>
      <c r="J328" s="630">
        <f t="shared" ref="J328:J337" si="70">IF(RIGHT($B328,1)="1", $G328*VLOOKUP($F328, Ratio, 3, FALSE), IF(RIGHT($B328,1)="3", $G328*VLOOKUP($F328, Ratio, 3, FALSE)*$F$5, 0))</f>
        <v>0</v>
      </c>
      <c r="K328" s="630">
        <f t="shared" ref="K328:K337" si="71">IF(RIGHT($B328,1)="1", $G328*VLOOKUP($F328, Ratio, 4, FALSE), IF(RIGHT($B328,1)="3", $G328*VLOOKUP($F328, Ratio, 4, FALSE)*$F$5, 0))</f>
        <v>0</v>
      </c>
      <c r="L328" s="631">
        <f t="shared" ref="L328:L337" si="72">IF(F328="GAS", G328, 0)</f>
        <v>556.41999999999996</v>
      </c>
      <c r="M328" s="631">
        <f t="shared" ref="M328:M337" si="73">IF(RIGHT(B328,1)="3",G328*$G$5,0)</f>
        <v>0</v>
      </c>
      <c r="N328" s="631">
        <f t="shared" ref="N328:N337" si="74">SUM(I328:M328)</f>
        <v>556.41999999999996</v>
      </c>
      <c r="O328" s="660">
        <f t="shared" ref="O328:O337" si="75">G328-N328</f>
        <v>0</v>
      </c>
    </row>
    <row r="329" spans="1:16">
      <c r="A329" s="2015">
        <v>186</v>
      </c>
      <c r="B329" s="675">
        <v>18600011</v>
      </c>
      <c r="C329" s="675"/>
      <c r="D329" s="675" t="s">
        <v>1233</v>
      </c>
      <c r="E329" s="675" t="s">
        <v>968</v>
      </c>
      <c r="F329" s="2007" t="s">
        <v>390</v>
      </c>
      <c r="G329" s="2006">
        <v>0</v>
      </c>
      <c r="H329" s="2006">
        <v>0</v>
      </c>
      <c r="I329" s="630">
        <f t="shared" si="69"/>
        <v>0</v>
      </c>
      <c r="J329" s="630">
        <f t="shared" si="70"/>
        <v>0</v>
      </c>
      <c r="K329" s="630">
        <f t="shared" si="71"/>
        <v>0</v>
      </c>
      <c r="L329" s="631">
        <f t="shared" si="72"/>
        <v>0</v>
      </c>
      <c r="M329" s="631">
        <f t="shared" si="73"/>
        <v>0</v>
      </c>
      <c r="N329" s="631">
        <f t="shared" si="74"/>
        <v>0</v>
      </c>
      <c r="O329" s="660">
        <f t="shared" si="75"/>
        <v>0</v>
      </c>
    </row>
    <row r="330" spans="1:16">
      <c r="A330" s="2015">
        <v>186</v>
      </c>
      <c r="B330" s="675">
        <v>18600013</v>
      </c>
      <c r="C330" s="675"/>
      <c r="D330" s="675" t="s">
        <v>1234</v>
      </c>
      <c r="E330" s="675" t="s">
        <v>968</v>
      </c>
      <c r="F330" s="2007" t="s">
        <v>390</v>
      </c>
      <c r="G330" s="2006">
        <v>29809221.989999998</v>
      </c>
      <c r="H330" s="2006">
        <v>19073480.579999998</v>
      </c>
      <c r="I330" s="630">
        <f t="shared" si="69"/>
        <v>0</v>
      </c>
      <c r="J330" s="630">
        <f t="shared" si="70"/>
        <v>0</v>
      </c>
      <c r="K330" s="630">
        <f t="shared" si="71"/>
        <v>19572735.264025662</v>
      </c>
      <c r="L330" s="631">
        <f t="shared" si="72"/>
        <v>0</v>
      </c>
      <c r="M330" s="631">
        <f t="shared" si="73"/>
        <v>10236486.725974338</v>
      </c>
      <c r="N330" s="631">
        <f t="shared" si="74"/>
        <v>29809221.990000002</v>
      </c>
      <c r="O330" s="660">
        <f t="shared" si="75"/>
        <v>0</v>
      </c>
    </row>
    <row r="331" spans="1:16">
      <c r="A331" s="2015">
        <v>186</v>
      </c>
      <c r="B331" s="675">
        <v>18600032</v>
      </c>
      <c r="C331" s="675"/>
      <c r="D331" s="675" t="s">
        <v>1235</v>
      </c>
      <c r="E331" s="675" t="s">
        <v>968</v>
      </c>
      <c r="F331" s="2007" t="s">
        <v>988</v>
      </c>
      <c r="G331" s="2006">
        <v>1601881.07</v>
      </c>
      <c r="H331" s="2006">
        <v>1085632.02</v>
      </c>
      <c r="I331" s="630">
        <f t="shared" si="69"/>
        <v>0</v>
      </c>
      <c r="J331" s="630">
        <f t="shared" si="70"/>
        <v>0</v>
      </c>
      <c r="K331" s="630">
        <f t="shared" si="71"/>
        <v>0</v>
      </c>
      <c r="L331" s="631">
        <f t="shared" si="72"/>
        <v>1601881.07</v>
      </c>
      <c r="M331" s="631">
        <f t="shared" si="73"/>
        <v>0</v>
      </c>
      <c r="N331" s="631">
        <f t="shared" si="74"/>
        <v>1601881.07</v>
      </c>
      <c r="O331" s="660">
        <f t="shared" si="75"/>
        <v>0</v>
      </c>
    </row>
    <row r="332" spans="1:16">
      <c r="A332" s="2015">
        <v>186</v>
      </c>
      <c r="B332" s="675">
        <v>18600042</v>
      </c>
      <c r="C332" s="675"/>
      <c r="D332" s="675" t="s">
        <v>1236</v>
      </c>
      <c r="E332" s="675"/>
      <c r="F332" s="2007" t="s">
        <v>988</v>
      </c>
      <c r="G332" s="2006">
        <v>3799342.8</v>
      </c>
      <c r="H332" s="2006">
        <v>3799844.76</v>
      </c>
      <c r="I332" s="630">
        <f t="shared" si="69"/>
        <v>0</v>
      </c>
      <c r="J332" s="630">
        <f t="shared" si="70"/>
        <v>0</v>
      </c>
      <c r="K332" s="630">
        <f t="shared" si="71"/>
        <v>0</v>
      </c>
      <c r="L332" s="631">
        <f t="shared" si="72"/>
        <v>3799342.8</v>
      </c>
      <c r="M332" s="631">
        <f t="shared" si="73"/>
        <v>0</v>
      </c>
      <c r="N332" s="631">
        <f t="shared" si="74"/>
        <v>3799342.8</v>
      </c>
      <c r="O332" s="660">
        <f t="shared" si="75"/>
        <v>0</v>
      </c>
    </row>
    <row r="333" spans="1:16">
      <c r="A333" s="2015">
        <v>186</v>
      </c>
      <c r="B333" s="675">
        <v>18600052</v>
      </c>
      <c r="C333" s="675"/>
      <c r="D333" s="675" t="s">
        <v>1237</v>
      </c>
      <c r="E333" s="675"/>
      <c r="F333" s="2007" t="s">
        <v>988</v>
      </c>
      <c r="G333" s="2006">
        <v>-3799342.8</v>
      </c>
      <c r="H333" s="2006">
        <v>-3799844.76</v>
      </c>
      <c r="I333" s="630">
        <f t="shared" si="69"/>
        <v>0</v>
      </c>
      <c r="J333" s="630">
        <f t="shared" si="70"/>
        <v>0</v>
      </c>
      <c r="K333" s="630">
        <f t="shared" si="71"/>
        <v>0</v>
      </c>
      <c r="L333" s="631">
        <f t="shared" si="72"/>
        <v>-3799342.8</v>
      </c>
      <c r="M333" s="631">
        <f t="shared" si="73"/>
        <v>0</v>
      </c>
      <c r="N333" s="631">
        <f t="shared" si="74"/>
        <v>-3799342.8</v>
      </c>
      <c r="O333" s="660">
        <f t="shared" si="75"/>
        <v>0</v>
      </c>
    </row>
    <row r="334" spans="1:16">
      <c r="A334" s="2015">
        <v>186</v>
      </c>
      <c r="B334" s="675">
        <v>18600053</v>
      </c>
      <c r="C334" s="675"/>
      <c r="D334" s="675" t="s">
        <v>1238</v>
      </c>
      <c r="E334" s="675" t="s">
        <v>968</v>
      </c>
      <c r="F334" s="2007" t="s">
        <v>390</v>
      </c>
      <c r="G334" s="2006">
        <v>-249942.81</v>
      </c>
      <c r="H334" s="2006">
        <v>-192378.23</v>
      </c>
      <c r="I334" s="630">
        <f t="shared" si="69"/>
        <v>0</v>
      </c>
      <c r="J334" s="630">
        <f t="shared" si="70"/>
        <v>0</v>
      </c>
      <c r="K334" s="630">
        <f t="shared" si="71"/>
        <v>-164112.44992968251</v>
      </c>
      <c r="L334" s="631">
        <f t="shared" si="72"/>
        <v>0</v>
      </c>
      <c r="M334" s="631">
        <f t="shared" si="73"/>
        <v>-85830.360070317489</v>
      </c>
      <c r="N334" s="631">
        <f t="shared" si="74"/>
        <v>-249942.81</v>
      </c>
      <c r="O334" s="660">
        <f t="shared" si="75"/>
        <v>0</v>
      </c>
    </row>
    <row r="335" spans="1:16">
      <c r="A335" s="2015">
        <v>186</v>
      </c>
      <c r="B335" s="675">
        <v>18600122</v>
      </c>
      <c r="C335" s="675"/>
      <c r="D335" s="675" t="s">
        <v>1239</v>
      </c>
      <c r="E335" s="675" t="s">
        <v>968</v>
      </c>
      <c r="F335" s="2007" t="s">
        <v>988</v>
      </c>
      <c r="G335" s="2006">
        <v>-45818.17</v>
      </c>
      <c r="H335" s="2006">
        <v>-45344.97</v>
      </c>
      <c r="I335" s="630">
        <f t="shared" si="69"/>
        <v>0</v>
      </c>
      <c r="J335" s="630">
        <f t="shared" si="70"/>
        <v>0</v>
      </c>
      <c r="K335" s="630">
        <f t="shared" si="71"/>
        <v>0</v>
      </c>
      <c r="L335" s="631">
        <f t="shared" si="72"/>
        <v>-45818.17</v>
      </c>
      <c r="M335" s="631">
        <f t="shared" si="73"/>
        <v>0</v>
      </c>
      <c r="N335" s="631">
        <f t="shared" si="74"/>
        <v>-45818.17</v>
      </c>
      <c r="O335" s="660">
        <f t="shared" si="75"/>
        <v>0</v>
      </c>
    </row>
    <row r="336" spans="1:16">
      <c r="A336" s="2015">
        <v>186</v>
      </c>
      <c r="B336" s="675">
        <v>18600143</v>
      </c>
      <c r="C336" s="675"/>
      <c r="D336" s="675" t="s">
        <v>1240</v>
      </c>
      <c r="E336" s="675" t="s">
        <v>968</v>
      </c>
      <c r="F336" s="2007" t="s">
        <v>390</v>
      </c>
      <c r="G336" s="2006">
        <v>80532.06</v>
      </c>
      <c r="H336" s="2006">
        <v>37171.379999999997</v>
      </c>
      <c r="I336" s="630">
        <f t="shared" si="69"/>
        <v>0</v>
      </c>
      <c r="J336" s="630">
        <f t="shared" si="70"/>
        <v>0</v>
      </c>
      <c r="K336" s="630">
        <f t="shared" si="71"/>
        <v>52877.350880724225</v>
      </c>
      <c r="L336" s="631">
        <f t="shared" si="72"/>
        <v>0</v>
      </c>
      <c r="M336" s="631">
        <f t="shared" si="73"/>
        <v>27654.709119275776</v>
      </c>
      <c r="N336" s="631">
        <f t="shared" si="74"/>
        <v>80532.06</v>
      </c>
      <c r="O336" s="660">
        <f t="shared" si="75"/>
        <v>0</v>
      </c>
    </row>
    <row r="337" spans="1:16">
      <c r="A337" s="2015">
        <v>186</v>
      </c>
      <c r="B337" s="675">
        <v>18600203</v>
      </c>
      <c r="C337" s="675"/>
      <c r="D337" s="675" t="s">
        <v>1241</v>
      </c>
      <c r="E337" s="675" t="s">
        <v>968</v>
      </c>
      <c r="F337" s="2007" t="s">
        <v>390</v>
      </c>
      <c r="G337" s="2006">
        <v>217650.03</v>
      </c>
      <c r="H337" s="2006">
        <v>108975.08</v>
      </c>
      <c r="I337" s="630">
        <f t="shared" si="69"/>
        <v>0</v>
      </c>
      <c r="J337" s="630">
        <f t="shared" si="70"/>
        <v>0</v>
      </c>
      <c r="K337" s="630">
        <f t="shared" si="71"/>
        <v>142909.01046751012</v>
      </c>
      <c r="L337" s="631">
        <f t="shared" si="72"/>
        <v>0</v>
      </c>
      <c r="M337" s="631">
        <f t="shared" si="73"/>
        <v>74741.019532489867</v>
      </c>
      <c r="N337" s="631">
        <f t="shared" si="74"/>
        <v>217650.02999999997</v>
      </c>
      <c r="O337" s="660">
        <f t="shared" si="75"/>
        <v>0</v>
      </c>
    </row>
    <row r="338" spans="1:16" s="625" customFormat="1">
      <c r="A338" s="2048">
        <v>186</v>
      </c>
      <c r="B338" s="656">
        <v>18600321</v>
      </c>
      <c r="C338" s="675"/>
      <c r="D338" s="656" t="s">
        <v>1242</v>
      </c>
      <c r="E338" s="656" t="s">
        <v>968</v>
      </c>
      <c r="F338" s="2035" t="s">
        <v>950</v>
      </c>
      <c r="G338" s="2034">
        <v>16088946.699999999</v>
      </c>
      <c r="H338" s="2034">
        <v>15785108.789999999</v>
      </c>
      <c r="I338" s="678"/>
      <c r="J338" s="678"/>
      <c r="K338" s="678"/>
      <c r="L338" s="661"/>
      <c r="M338" s="661"/>
      <c r="N338" s="661"/>
      <c r="O338" s="661"/>
      <c r="P338" s="2016"/>
    </row>
    <row r="339" spans="1:16">
      <c r="A339" s="2015">
        <v>186</v>
      </c>
      <c r="B339" s="675">
        <v>18600383</v>
      </c>
      <c r="C339" s="675"/>
      <c r="D339" s="675" t="s">
        <v>1243</v>
      </c>
      <c r="E339" s="675" t="s">
        <v>968</v>
      </c>
      <c r="F339" s="2007" t="s">
        <v>390</v>
      </c>
      <c r="G339" s="2006">
        <v>0</v>
      </c>
      <c r="H339" s="2006">
        <v>2208.33</v>
      </c>
      <c r="I339" s="630">
        <f t="shared" ref="I339:I370" si="76">IF(RIGHT($B339,1)="1", $G339*VLOOKUP($F339, Ratio, 2, FALSE), IF(RIGHT($B339,1)="3", $G339*VLOOKUP($F339, Ratio, 2, FALSE)*$F$5, 0))</f>
        <v>0</v>
      </c>
      <c r="J339" s="630">
        <f t="shared" ref="J339:J370" si="77">IF(RIGHT($B339,1)="1", $G339*VLOOKUP($F339, Ratio, 3, FALSE), IF(RIGHT($B339,1)="3", $G339*VLOOKUP($F339, Ratio, 3, FALSE)*$F$5, 0))</f>
        <v>0</v>
      </c>
      <c r="K339" s="630">
        <f t="shared" ref="K339:K370" si="78">IF(RIGHT($B339,1)="1", $G339*VLOOKUP($F339, Ratio, 4, FALSE), IF(RIGHT($B339,1)="3", $G339*VLOOKUP($F339, Ratio, 4, FALSE)*$F$5, 0))</f>
        <v>0</v>
      </c>
      <c r="L339" s="631">
        <f t="shared" ref="L339:L370" si="79">IF(F339="GAS", G339, 0)</f>
        <v>0</v>
      </c>
      <c r="M339" s="631">
        <f t="shared" ref="M339:M370" si="80">IF(RIGHT(B339,1)="3",G339*$G$5,0)</f>
        <v>0</v>
      </c>
      <c r="N339" s="631">
        <f t="shared" ref="N339:N370" si="81">SUM(I339:M339)</f>
        <v>0</v>
      </c>
      <c r="O339" s="660">
        <f t="shared" ref="O339:O370" si="82">G339-N339</f>
        <v>0</v>
      </c>
    </row>
    <row r="340" spans="1:16">
      <c r="A340" s="2015">
        <v>186</v>
      </c>
      <c r="B340" s="675">
        <v>18600403</v>
      </c>
      <c r="C340" s="675"/>
      <c r="D340" s="652" t="s">
        <v>1244</v>
      </c>
      <c r="E340" s="675" t="s">
        <v>968</v>
      </c>
      <c r="F340" s="2007" t="s">
        <v>390</v>
      </c>
      <c r="G340" s="2006">
        <v>-598287.57999999996</v>
      </c>
      <c r="H340" s="2006">
        <v>-99599.7</v>
      </c>
      <c r="I340" s="630">
        <f t="shared" si="76"/>
        <v>0</v>
      </c>
      <c r="J340" s="630">
        <f t="shared" si="77"/>
        <v>0</v>
      </c>
      <c r="K340" s="630">
        <f t="shared" si="78"/>
        <v>-392835.62714326894</v>
      </c>
      <c r="L340" s="631">
        <f t="shared" si="79"/>
        <v>0</v>
      </c>
      <c r="M340" s="631">
        <f t="shared" si="80"/>
        <v>-205451.95285673102</v>
      </c>
      <c r="N340" s="631">
        <f t="shared" si="81"/>
        <v>-598287.57999999996</v>
      </c>
      <c r="O340" s="660">
        <f t="shared" si="82"/>
        <v>0</v>
      </c>
    </row>
    <row r="341" spans="1:16">
      <c r="A341" s="2015">
        <v>186</v>
      </c>
      <c r="B341" s="675">
        <v>18600453</v>
      </c>
      <c r="C341" s="675"/>
      <c r="D341" s="675" t="s">
        <v>8040</v>
      </c>
      <c r="E341" s="675"/>
      <c r="F341" s="2007" t="s">
        <v>390</v>
      </c>
      <c r="G341" s="2006">
        <v>186265.38</v>
      </c>
      <c r="H341" s="2006">
        <v>0</v>
      </c>
      <c r="I341" s="630">
        <f t="shared" si="76"/>
        <v>0</v>
      </c>
      <c r="J341" s="630">
        <f t="shared" si="77"/>
        <v>0</v>
      </c>
      <c r="K341" s="630">
        <f t="shared" si="78"/>
        <v>122301.84916654849</v>
      </c>
      <c r="L341" s="631">
        <f t="shared" si="79"/>
        <v>0</v>
      </c>
      <c r="M341" s="631">
        <f t="shared" si="80"/>
        <v>63963.530833451521</v>
      </c>
      <c r="N341" s="631">
        <f t="shared" si="81"/>
        <v>186265.38</v>
      </c>
      <c r="O341" s="660">
        <f t="shared" si="82"/>
        <v>0</v>
      </c>
    </row>
    <row r="342" spans="1:16">
      <c r="A342" s="2015">
        <v>186</v>
      </c>
      <c r="B342" s="675">
        <v>18600483</v>
      </c>
      <c r="C342" s="675"/>
      <c r="D342" s="675" t="s">
        <v>1245</v>
      </c>
      <c r="E342" s="675" t="s">
        <v>968</v>
      </c>
      <c r="F342" s="2007" t="s">
        <v>390</v>
      </c>
      <c r="G342" s="2006">
        <v>0</v>
      </c>
      <c r="H342" s="2006">
        <v>0</v>
      </c>
      <c r="I342" s="630">
        <f t="shared" si="76"/>
        <v>0</v>
      </c>
      <c r="J342" s="630">
        <f t="shared" si="77"/>
        <v>0</v>
      </c>
      <c r="K342" s="630">
        <f t="shared" si="78"/>
        <v>0</v>
      </c>
      <c r="L342" s="631">
        <f t="shared" si="79"/>
        <v>0</v>
      </c>
      <c r="M342" s="631">
        <f t="shared" si="80"/>
        <v>0</v>
      </c>
      <c r="N342" s="631">
        <f t="shared" si="81"/>
        <v>0</v>
      </c>
      <c r="O342" s="660">
        <f t="shared" si="82"/>
        <v>0</v>
      </c>
    </row>
    <row r="343" spans="1:16">
      <c r="A343" s="2015">
        <v>186</v>
      </c>
      <c r="B343" s="675">
        <v>18600512</v>
      </c>
      <c r="C343" s="675"/>
      <c r="D343" s="652" t="s">
        <v>1247</v>
      </c>
      <c r="E343" s="675" t="s">
        <v>968</v>
      </c>
      <c r="F343" s="2007" t="s">
        <v>988</v>
      </c>
      <c r="G343" s="2006">
        <v>80376369.109999999</v>
      </c>
      <c r="H343" s="2006">
        <v>0</v>
      </c>
      <c r="I343" s="630">
        <f t="shared" si="76"/>
        <v>0</v>
      </c>
      <c r="J343" s="630">
        <f t="shared" si="77"/>
        <v>0</v>
      </c>
      <c r="K343" s="630">
        <f t="shared" si="78"/>
        <v>0</v>
      </c>
      <c r="L343" s="631">
        <f t="shared" si="79"/>
        <v>80376369.109999999</v>
      </c>
      <c r="M343" s="631">
        <f t="shared" si="80"/>
        <v>0</v>
      </c>
      <c r="N343" s="631">
        <f t="shared" si="81"/>
        <v>80376369.109999999</v>
      </c>
      <c r="O343" s="660">
        <f t="shared" si="82"/>
        <v>0</v>
      </c>
    </row>
    <row r="344" spans="1:16">
      <c r="A344" s="2015">
        <v>186</v>
      </c>
      <c r="B344" s="675">
        <v>18600561</v>
      </c>
      <c r="C344" s="675"/>
      <c r="D344" s="675" t="s">
        <v>1248</v>
      </c>
      <c r="E344" s="675" t="s">
        <v>968</v>
      </c>
      <c r="F344" s="2007" t="s">
        <v>390</v>
      </c>
      <c r="G344" s="2006">
        <v>7428261</v>
      </c>
      <c r="H344" s="2006">
        <v>7444780</v>
      </c>
      <c r="I344" s="630">
        <f t="shared" si="76"/>
        <v>0</v>
      </c>
      <c r="J344" s="630">
        <f t="shared" si="77"/>
        <v>0</v>
      </c>
      <c r="K344" s="630">
        <f t="shared" si="78"/>
        <v>7428261</v>
      </c>
      <c r="L344" s="631">
        <f t="shared" si="79"/>
        <v>0</v>
      </c>
      <c r="M344" s="631">
        <f t="shared" si="80"/>
        <v>0</v>
      </c>
      <c r="N344" s="631">
        <f t="shared" si="81"/>
        <v>7428261</v>
      </c>
      <c r="O344" s="660">
        <f t="shared" si="82"/>
        <v>0</v>
      </c>
    </row>
    <row r="345" spans="1:16">
      <c r="A345" s="2015">
        <v>186</v>
      </c>
      <c r="B345" s="675">
        <v>18600571</v>
      </c>
      <c r="C345" s="675"/>
      <c r="D345" s="675" t="s">
        <v>1249</v>
      </c>
      <c r="E345" s="675" t="s">
        <v>968</v>
      </c>
      <c r="F345" s="2007" t="s">
        <v>390</v>
      </c>
      <c r="G345" s="2006">
        <v>55641034.159999996</v>
      </c>
      <c r="H345" s="2006">
        <v>55049618.82</v>
      </c>
      <c r="I345" s="630">
        <f t="shared" si="76"/>
        <v>0</v>
      </c>
      <c r="J345" s="630">
        <f t="shared" si="77"/>
        <v>0</v>
      </c>
      <c r="K345" s="630">
        <f t="shared" si="78"/>
        <v>55641034.159999996</v>
      </c>
      <c r="L345" s="631">
        <f t="shared" si="79"/>
        <v>0</v>
      </c>
      <c r="M345" s="631">
        <f t="shared" si="80"/>
        <v>0</v>
      </c>
      <c r="N345" s="631">
        <f t="shared" si="81"/>
        <v>55641034.159999996</v>
      </c>
      <c r="O345" s="660">
        <f t="shared" si="82"/>
        <v>0</v>
      </c>
    </row>
    <row r="346" spans="1:16">
      <c r="A346" s="2015">
        <v>186</v>
      </c>
      <c r="B346" s="675">
        <v>18600573</v>
      </c>
      <c r="C346" s="675"/>
      <c r="D346" s="652" t="s">
        <v>1250</v>
      </c>
      <c r="E346" s="675" t="s">
        <v>968</v>
      </c>
      <c r="F346" s="2007" t="s">
        <v>390</v>
      </c>
      <c r="G346" s="2006">
        <v>8456919.1699999999</v>
      </c>
      <c r="H346" s="2006">
        <v>8306025.0099999998</v>
      </c>
      <c r="I346" s="630">
        <f t="shared" si="76"/>
        <v>0</v>
      </c>
      <c r="J346" s="630">
        <f t="shared" si="77"/>
        <v>0</v>
      </c>
      <c r="K346" s="630">
        <f t="shared" si="78"/>
        <v>5552813.1569217658</v>
      </c>
      <c r="L346" s="631">
        <f t="shared" si="79"/>
        <v>0</v>
      </c>
      <c r="M346" s="631">
        <f t="shared" si="80"/>
        <v>2904106.0130782337</v>
      </c>
      <c r="N346" s="631">
        <f t="shared" si="81"/>
        <v>8456919.1699999999</v>
      </c>
      <c r="O346" s="660">
        <f t="shared" si="82"/>
        <v>0</v>
      </c>
    </row>
    <row r="347" spans="1:16">
      <c r="A347" s="2015">
        <v>186</v>
      </c>
      <c r="B347" s="675">
        <v>18600751</v>
      </c>
      <c r="C347" s="675"/>
      <c r="D347" s="652" t="s">
        <v>1251</v>
      </c>
      <c r="E347" s="675" t="s">
        <v>968</v>
      </c>
      <c r="F347" s="2007" t="s">
        <v>390</v>
      </c>
      <c r="G347" s="2006">
        <v>1818955.55</v>
      </c>
      <c r="H347" s="2006">
        <v>1791533.1</v>
      </c>
      <c r="I347" s="630">
        <f t="shared" si="76"/>
        <v>0</v>
      </c>
      <c r="J347" s="630">
        <f t="shared" si="77"/>
        <v>0</v>
      </c>
      <c r="K347" s="630">
        <f t="shared" si="78"/>
        <v>1818955.55</v>
      </c>
      <c r="L347" s="631">
        <f t="shared" si="79"/>
        <v>0</v>
      </c>
      <c r="M347" s="631">
        <f t="shared" si="80"/>
        <v>0</v>
      </c>
      <c r="N347" s="631">
        <f t="shared" si="81"/>
        <v>1818955.55</v>
      </c>
      <c r="O347" s="660">
        <f t="shared" si="82"/>
        <v>0</v>
      </c>
    </row>
    <row r="348" spans="1:16">
      <c r="A348" s="2015">
        <v>186</v>
      </c>
      <c r="B348" s="675">
        <v>18600761</v>
      </c>
      <c r="C348" s="675"/>
      <c r="D348" s="675" t="s">
        <v>1252</v>
      </c>
      <c r="E348" s="675" t="s">
        <v>968</v>
      </c>
      <c r="F348" s="2007" t="s">
        <v>390</v>
      </c>
      <c r="G348" s="2006">
        <v>523324.1</v>
      </c>
      <c r="H348" s="2006">
        <v>590131.57999999996</v>
      </c>
      <c r="I348" s="630">
        <f t="shared" si="76"/>
        <v>0</v>
      </c>
      <c r="J348" s="630">
        <f t="shared" si="77"/>
        <v>0</v>
      </c>
      <c r="K348" s="630">
        <f t="shared" si="78"/>
        <v>523324.1</v>
      </c>
      <c r="L348" s="631">
        <f t="shared" si="79"/>
        <v>0</v>
      </c>
      <c r="M348" s="631">
        <f t="shared" si="80"/>
        <v>0</v>
      </c>
      <c r="N348" s="631">
        <f t="shared" si="81"/>
        <v>523324.1</v>
      </c>
      <c r="O348" s="660">
        <f t="shared" si="82"/>
        <v>0</v>
      </c>
    </row>
    <row r="349" spans="1:16">
      <c r="A349" s="2015">
        <v>186</v>
      </c>
      <c r="B349" s="675">
        <v>18600771</v>
      </c>
      <c r="C349" s="675"/>
      <c r="D349" s="675" t="s">
        <v>1253</v>
      </c>
      <c r="E349" s="675" t="s">
        <v>968</v>
      </c>
      <c r="F349" s="2007" t="s">
        <v>390</v>
      </c>
      <c r="G349" s="2006">
        <v>1858367.69</v>
      </c>
      <c r="H349" s="2006">
        <v>1835976.6</v>
      </c>
      <c r="I349" s="630">
        <f t="shared" si="76"/>
        <v>0</v>
      </c>
      <c r="J349" s="630">
        <f t="shared" si="77"/>
        <v>0</v>
      </c>
      <c r="K349" s="630">
        <f t="shared" si="78"/>
        <v>1858367.69</v>
      </c>
      <c r="L349" s="631">
        <f t="shared" si="79"/>
        <v>0</v>
      </c>
      <c r="M349" s="631">
        <f t="shared" si="80"/>
        <v>0</v>
      </c>
      <c r="N349" s="631">
        <f t="shared" si="81"/>
        <v>1858367.69</v>
      </c>
      <c r="O349" s="660">
        <f t="shared" si="82"/>
        <v>0</v>
      </c>
    </row>
    <row r="350" spans="1:16">
      <c r="A350" s="2015">
        <v>186</v>
      </c>
      <c r="B350" s="675">
        <v>18600781</v>
      </c>
      <c r="C350" s="675"/>
      <c r="D350" s="652" t="s">
        <v>1254</v>
      </c>
      <c r="E350" s="675" t="s">
        <v>968</v>
      </c>
      <c r="F350" s="2007" t="s">
        <v>390</v>
      </c>
      <c r="G350" s="2006">
        <v>668466.78</v>
      </c>
      <c r="H350" s="2006">
        <v>753802.86</v>
      </c>
      <c r="I350" s="630">
        <f t="shared" si="76"/>
        <v>0</v>
      </c>
      <c r="J350" s="630">
        <f t="shared" si="77"/>
        <v>0</v>
      </c>
      <c r="K350" s="630">
        <f t="shared" si="78"/>
        <v>668466.78</v>
      </c>
      <c r="L350" s="631">
        <f t="shared" si="79"/>
        <v>0</v>
      </c>
      <c r="M350" s="631">
        <f t="shared" si="80"/>
        <v>0</v>
      </c>
      <c r="N350" s="631">
        <f t="shared" si="81"/>
        <v>668466.78</v>
      </c>
      <c r="O350" s="660">
        <f t="shared" si="82"/>
        <v>0</v>
      </c>
    </row>
    <row r="351" spans="1:16">
      <c r="A351" s="2015">
        <v>186</v>
      </c>
      <c r="B351" s="675">
        <v>18600881</v>
      </c>
      <c r="C351" s="675"/>
      <c r="D351" s="2043" t="s">
        <v>1256</v>
      </c>
      <c r="E351" s="675" t="s">
        <v>968</v>
      </c>
      <c r="F351" s="2007" t="s">
        <v>392</v>
      </c>
      <c r="G351" s="2006">
        <v>536034.36</v>
      </c>
      <c r="H351" s="2006">
        <v>615114.84</v>
      </c>
      <c r="I351" s="630">
        <f t="shared" si="76"/>
        <v>536034.36</v>
      </c>
      <c r="J351" s="630">
        <f t="shared" si="77"/>
        <v>0</v>
      </c>
      <c r="K351" s="630">
        <f t="shared" si="78"/>
        <v>0</v>
      </c>
      <c r="L351" s="631">
        <f t="shared" si="79"/>
        <v>0</v>
      </c>
      <c r="M351" s="631">
        <f t="shared" si="80"/>
        <v>0</v>
      </c>
      <c r="N351" s="631">
        <f t="shared" si="81"/>
        <v>536034.36</v>
      </c>
      <c r="O351" s="660">
        <f t="shared" si="82"/>
        <v>0</v>
      </c>
      <c r="P351" s="2005" t="s">
        <v>1255</v>
      </c>
    </row>
    <row r="352" spans="1:16">
      <c r="A352" s="2015">
        <v>186</v>
      </c>
      <c r="B352" s="675">
        <v>18600921</v>
      </c>
      <c r="C352" s="675"/>
      <c r="D352" s="2043" t="s">
        <v>1257</v>
      </c>
      <c r="E352" s="675" t="s">
        <v>968</v>
      </c>
      <c r="F352" s="2007" t="s">
        <v>390</v>
      </c>
      <c r="G352" s="2006">
        <v>2829028.77</v>
      </c>
      <c r="H352" s="2006">
        <v>2221434.98</v>
      </c>
      <c r="I352" s="630">
        <f t="shared" si="76"/>
        <v>0</v>
      </c>
      <c r="J352" s="630">
        <f t="shared" si="77"/>
        <v>0</v>
      </c>
      <c r="K352" s="630">
        <f t="shared" si="78"/>
        <v>2829028.77</v>
      </c>
      <c r="L352" s="631">
        <f t="shared" si="79"/>
        <v>0</v>
      </c>
      <c r="M352" s="631">
        <f t="shared" si="80"/>
        <v>0</v>
      </c>
      <c r="N352" s="631">
        <f t="shared" si="81"/>
        <v>2829028.77</v>
      </c>
      <c r="O352" s="660">
        <f t="shared" si="82"/>
        <v>0</v>
      </c>
    </row>
    <row r="353" spans="1:16">
      <c r="A353" s="2015">
        <v>186</v>
      </c>
      <c r="B353" s="675">
        <v>18600931</v>
      </c>
      <c r="C353" s="675"/>
      <c r="D353" s="652" t="s">
        <v>1259</v>
      </c>
      <c r="E353" s="675" t="s">
        <v>968</v>
      </c>
      <c r="F353" s="2007" t="s">
        <v>392</v>
      </c>
      <c r="G353" s="2006">
        <v>2653961</v>
      </c>
      <c r="H353" s="2006">
        <v>3028637.84</v>
      </c>
      <c r="I353" s="630">
        <f t="shared" si="76"/>
        <v>2653961</v>
      </c>
      <c r="J353" s="630">
        <f t="shared" si="77"/>
        <v>0</v>
      </c>
      <c r="K353" s="630">
        <f t="shared" si="78"/>
        <v>0</v>
      </c>
      <c r="L353" s="631">
        <f t="shared" si="79"/>
        <v>0</v>
      </c>
      <c r="M353" s="631">
        <f t="shared" si="80"/>
        <v>0</v>
      </c>
      <c r="N353" s="631">
        <f t="shared" si="81"/>
        <v>2653961</v>
      </c>
      <c r="O353" s="660">
        <f t="shared" si="82"/>
        <v>0</v>
      </c>
      <c r="P353" s="2005" t="s">
        <v>1260</v>
      </c>
    </row>
    <row r="354" spans="1:16" s="625" customFormat="1">
      <c r="A354" s="2015">
        <v>186</v>
      </c>
      <c r="B354" s="675">
        <v>18600951</v>
      </c>
      <c r="C354" s="675"/>
      <c r="D354" s="652" t="s">
        <v>1261</v>
      </c>
      <c r="E354" s="675"/>
      <c r="F354" s="2007" t="s">
        <v>392</v>
      </c>
      <c r="G354" s="2006">
        <v>0</v>
      </c>
      <c r="H354" s="2006">
        <v>11655.92</v>
      </c>
      <c r="I354" s="630">
        <f t="shared" si="76"/>
        <v>0</v>
      </c>
      <c r="J354" s="630">
        <f t="shared" si="77"/>
        <v>0</v>
      </c>
      <c r="K354" s="630">
        <f t="shared" si="78"/>
        <v>0</v>
      </c>
      <c r="L354" s="676">
        <f t="shared" si="79"/>
        <v>0</v>
      </c>
      <c r="M354" s="676">
        <f t="shared" si="80"/>
        <v>0</v>
      </c>
      <c r="N354" s="676">
        <f t="shared" si="81"/>
        <v>0</v>
      </c>
      <c r="O354" s="660">
        <f t="shared" si="82"/>
        <v>0</v>
      </c>
      <c r="P354" s="2005" t="s">
        <v>1262</v>
      </c>
    </row>
    <row r="355" spans="1:16" s="625" customFormat="1">
      <c r="A355" s="2015">
        <v>186</v>
      </c>
      <c r="B355" s="675">
        <v>18600961</v>
      </c>
      <c r="C355" s="675"/>
      <c r="D355" s="652" t="s">
        <v>1263</v>
      </c>
      <c r="E355" s="675"/>
      <c r="F355" s="2007" t="s">
        <v>392</v>
      </c>
      <c r="G355" s="2006">
        <v>1109383.21</v>
      </c>
      <c r="H355" s="2006">
        <v>1775013.01</v>
      </c>
      <c r="I355" s="630">
        <f t="shared" si="76"/>
        <v>1109383.21</v>
      </c>
      <c r="J355" s="630">
        <f t="shared" si="77"/>
        <v>0</v>
      </c>
      <c r="K355" s="630">
        <f t="shared" si="78"/>
        <v>0</v>
      </c>
      <c r="L355" s="676">
        <f t="shared" si="79"/>
        <v>0</v>
      </c>
      <c r="M355" s="676">
        <f t="shared" si="80"/>
        <v>0</v>
      </c>
      <c r="N355" s="676">
        <f t="shared" si="81"/>
        <v>1109383.21</v>
      </c>
      <c r="O355" s="660">
        <f t="shared" si="82"/>
        <v>0</v>
      </c>
      <c r="P355" s="2005" t="s">
        <v>1264</v>
      </c>
    </row>
    <row r="356" spans="1:16" s="625" customFormat="1">
      <c r="A356" s="2015">
        <v>186</v>
      </c>
      <c r="B356" s="675">
        <v>18600971</v>
      </c>
      <c r="C356" s="675"/>
      <c r="D356" s="652" t="s">
        <v>1265</v>
      </c>
      <c r="E356" s="675"/>
      <c r="F356" s="2007" t="s">
        <v>390</v>
      </c>
      <c r="G356" s="2006">
        <v>5417140.5999999996</v>
      </c>
      <c r="H356" s="2006">
        <v>4340102.53</v>
      </c>
      <c r="I356" s="630">
        <f t="shared" si="76"/>
        <v>0</v>
      </c>
      <c r="J356" s="630">
        <f t="shared" si="77"/>
        <v>0</v>
      </c>
      <c r="K356" s="630">
        <f t="shared" si="78"/>
        <v>5417140.5999999996</v>
      </c>
      <c r="L356" s="676">
        <f t="shared" si="79"/>
        <v>0</v>
      </c>
      <c r="M356" s="676">
        <f t="shared" si="80"/>
        <v>0</v>
      </c>
      <c r="N356" s="676">
        <f t="shared" si="81"/>
        <v>5417140.5999999996</v>
      </c>
      <c r="O356" s="660">
        <f t="shared" si="82"/>
        <v>0</v>
      </c>
      <c r="P356" s="2010"/>
    </row>
    <row r="357" spans="1:16" s="625" customFormat="1">
      <c r="A357" s="2015">
        <v>186</v>
      </c>
      <c r="B357" s="675">
        <v>18600981</v>
      </c>
      <c r="C357" s="675"/>
      <c r="D357" s="652" t="s">
        <v>1266</v>
      </c>
      <c r="E357" s="675"/>
      <c r="F357" s="2007" t="s">
        <v>392</v>
      </c>
      <c r="G357" s="2006">
        <v>715643.63</v>
      </c>
      <c r="H357" s="2006">
        <v>708160</v>
      </c>
      <c r="I357" s="630">
        <f t="shared" si="76"/>
        <v>715643.63</v>
      </c>
      <c r="J357" s="630">
        <f t="shared" si="77"/>
        <v>0</v>
      </c>
      <c r="K357" s="630">
        <f t="shared" si="78"/>
        <v>0</v>
      </c>
      <c r="L357" s="676">
        <f t="shared" si="79"/>
        <v>0</v>
      </c>
      <c r="M357" s="676">
        <f t="shared" si="80"/>
        <v>0</v>
      </c>
      <c r="N357" s="676">
        <f t="shared" si="81"/>
        <v>715643.63</v>
      </c>
      <c r="O357" s="660">
        <f t="shared" si="82"/>
        <v>0</v>
      </c>
      <c r="P357" s="2005" t="s">
        <v>1267</v>
      </c>
    </row>
    <row r="358" spans="1:16" s="625" customFormat="1">
      <c r="A358" s="2015">
        <v>186</v>
      </c>
      <c r="B358" s="675">
        <v>18600991</v>
      </c>
      <c r="C358" s="675"/>
      <c r="D358" s="652" t="s">
        <v>1268</v>
      </c>
      <c r="E358" s="675"/>
      <c r="F358" s="2007" t="s">
        <v>390</v>
      </c>
      <c r="G358" s="2006">
        <v>0</v>
      </c>
      <c r="H358" s="2006">
        <v>3305577</v>
      </c>
      <c r="I358" s="630">
        <f t="shared" si="76"/>
        <v>0</v>
      </c>
      <c r="J358" s="630">
        <f t="shared" si="77"/>
        <v>0</v>
      </c>
      <c r="K358" s="630">
        <f t="shared" si="78"/>
        <v>0</v>
      </c>
      <c r="L358" s="676">
        <f t="shared" si="79"/>
        <v>0</v>
      </c>
      <c r="M358" s="676">
        <f t="shared" si="80"/>
        <v>0</v>
      </c>
      <c r="N358" s="676">
        <f t="shared" si="81"/>
        <v>0</v>
      </c>
      <c r="O358" s="660">
        <f t="shared" si="82"/>
        <v>0</v>
      </c>
      <c r="P358" s="2010"/>
    </row>
    <row r="359" spans="1:16" s="625" customFormat="1">
      <c r="A359" s="2015">
        <v>186</v>
      </c>
      <c r="B359" s="675">
        <v>18600992</v>
      </c>
      <c r="C359" s="675"/>
      <c r="D359" s="652" t="s">
        <v>1269</v>
      </c>
      <c r="E359" s="675"/>
      <c r="F359" s="2007" t="s">
        <v>988</v>
      </c>
      <c r="G359" s="2006">
        <v>0</v>
      </c>
      <c r="H359" s="2006">
        <v>6504639</v>
      </c>
      <c r="I359" s="630">
        <f t="shared" si="76"/>
        <v>0</v>
      </c>
      <c r="J359" s="630">
        <f t="shared" si="77"/>
        <v>0</v>
      </c>
      <c r="K359" s="630">
        <f t="shared" si="78"/>
        <v>0</v>
      </c>
      <c r="L359" s="676">
        <f t="shared" si="79"/>
        <v>0</v>
      </c>
      <c r="M359" s="676">
        <f t="shared" si="80"/>
        <v>0</v>
      </c>
      <c r="N359" s="676">
        <f t="shared" si="81"/>
        <v>0</v>
      </c>
      <c r="O359" s="660">
        <f t="shared" si="82"/>
        <v>0</v>
      </c>
      <c r="P359" s="2010"/>
    </row>
    <row r="360" spans="1:16" s="625" customFormat="1">
      <c r="A360" s="2015">
        <v>186</v>
      </c>
      <c r="B360" s="675">
        <v>18601001</v>
      </c>
      <c r="C360" s="675"/>
      <c r="D360" s="652" t="s">
        <v>1270</v>
      </c>
      <c r="E360" s="675"/>
      <c r="F360" s="2007" t="s">
        <v>390</v>
      </c>
      <c r="G360" s="2006">
        <v>0</v>
      </c>
      <c r="H360" s="2006">
        <v>88293</v>
      </c>
      <c r="I360" s="630">
        <f t="shared" si="76"/>
        <v>0</v>
      </c>
      <c r="J360" s="630">
        <f t="shared" si="77"/>
        <v>0</v>
      </c>
      <c r="K360" s="630">
        <f t="shared" si="78"/>
        <v>0</v>
      </c>
      <c r="L360" s="676">
        <f t="shared" si="79"/>
        <v>0</v>
      </c>
      <c r="M360" s="676">
        <f t="shared" si="80"/>
        <v>0</v>
      </c>
      <c r="N360" s="676">
        <f t="shared" si="81"/>
        <v>0</v>
      </c>
      <c r="O360" s="660">
        <f t="shared" si="82"/>
        <v>0</v>
      </c>
      <c r="P360" s="2010"/>
    </row>
    <row r="361" spans="1:16" s="625" customFormat="1">
      <c r="A361" s="2015">
        <v>186</v>
      </c>
      <c r="B361" s="675">
        <v>18601002</v>
      </c>
      <c r="C361" s="675"/>
      <c r="D361" s="652" t="s">
        <v>1271</v>
      </c>
      <c r="E361" s="675"/>
      <c r="F361" s="2007" t="s">
        <v>988</v>
      </c>
      <c r="G361" s="2006">
        <v>0</v>
      </c>
      <c r="H361" s="2006">
        <v>297586</v>
      </c>
      <c r="I361" s="630">
        <f t="shared" si="76"/>
        <v>0</v>
      </c>
      <c r="J361" s="630">
        <f t="shared" si="77"/>
        <v>0</v>
      </c>
      <c r="K361" s="630">
        <f t="shared" si="78"/>
        <v>0</v>
      </c>
      <c r="L361" s="676">
        <f t="shared" si="79"/>
        <v>0</v>
      </c>
      <c r="M361" s="676">
        <f t="shared" si="80"/>
        <v>0</v>
      </c>
      <c r="N361" s="676">
        <f t="shared" si="81"/>
        <v>0</v>
      </c>
      <c r="O361" s="660">
        <f t="shared" si="82"/>
        <v>0</v>
      </c>
      <c r="P361" s="2010"/>
    </row>
    <row r="362" spans="1:16" s="625" customFormat="1">
      <c r="A362" s="2030">
        <v>186</v>
      </c>
      <c r="B362" s="2017">
        <v>18601011</v>
      </c>
      <c r="C362" s="2017"/>
      <c r="D362" s="2018" t="s">
        <v>1272</v>
      </c>
      <c r="E362" s="2017"/>
      <c r="F362" s="2017" t="s">
        <v>392</v>
      </c>
      <c r="G362" s="2011">
        <v>1993828.51</v>
      </c>
      <c r="H362" s="2011">
        <v>2788783.61</v>
      </c>
      <c r="I362" s="673">
        <f t="shared" si="76"/>
        <v>1993828.51</v>
      </c>
      <c r="J362" s="673">
        <f t="shared" si="77"/>
        <v>0</v>
      </c>
      <c r="K362" s="673">
        <f t="shared" si="78"/>
        <v>0</v>
      </c>
      <c r="L362" s="674">
        <f t="shared" si="79"/>
        <v>0</v>
      </c>
      <c r="M362" s="674">
        <f t="shared" si="80"/>
        <v>0</v>
      </c>
      <c r="N362" s="674">
        <f t="shared" si="81"/>
        <v>1993828.51</v>
      </c>
      <c r="O362" s="2046">
        <f t="shared" si="82"/>
        <v>0</v>
      </c>
      <c r="P362" s="2047" t="s">
        <v>1273</v>
      </c>
    </row>
    <row r="363" spans="1:16">
      <c r="A363" s="2015">
        <v>186</v>
      </c>
      <c r="B363" s="675">
        <v>18601013</v>
      </c>
      <c r="C363" s="675"/>
      <c r="D363" s="652" t="s">
        <v>1274</v>
      </c>
      <c r="E363" s="675" t="s">
        <v>968</v>
      </c>
      <c r="F363" s="2007" t="s">
        <v>390</v>
      </c>
      <c r="G363" s="2006">
        <v>14794.14</v>
      </c>
      <c r="H363" s="2006">
        <v>30885.18</v>
      </c>
      <c r="I363" s="630">
        <f t="shared" si="76"/>
        <v>0</v>
      </c>
      <c r="J363" s="630">
        <f t="shared" si="77"/>
        <v>0</v>
      </c>
      <c r="K363" s="630">
        <f t="shared" si="78"/>
        <v>9713.8323763052558</v>
      </c>
      <c r="L363" s="676">
        <f t="shared" si="79"/>
        <v>0</v>
      </c>
      <c r="M363" s="676">
        <f t="shared" si="80"/>
        <v>5080.3076236947436</v>
      </c>
      <c r="N363" s="676">
        <f t="shared" si="81"/>
        <v>14794.14</v>
      </c>
      <c r="O363" s="660">
        <f t="shared" si="82"/>
        <v>0</v>
      </c>
    </row>
    <row r="364" spans="1:16">
      <c r="A364" s="2030">
        <v>186</v>
      </c>
      <c r="B364" s="2017">
        <v>18601031</v>
      </c>
      <c r="C364" s="2017"/>
      <c r="D364" s="2018" t="s">
        <v>1275</v>
      </c>
      <c r="E364" s="2017"/>
      <c r="F364" s="2017" t="s">
        <v>392</v>
      </c>
      <c r="G364" s="2011">
        <v>4315194.51</v>
      </c>
      <c r="H364" s="2011">
        <v>5076699.45</v>
      </c>
      <c r="I364" s="673">
        <f t="shared" si="76"/>
        <v>4315194.51</v>
      </c>
      <c r="J364" s="673">
        <f t="shared" si="77"/>
        <v>0</v>
      </c>
      <c r="K364" s="673">
        <f t="shared" si="78"/>
        <v>0</v>
      </c>
      <c r="L364" s="674">
        <f t="shared" si="79"/>
        <v>0</v>
      </c>
      <c r="M364" s="674">
        <f t="shared" si="80"/>
        <v>0</v>
      </c>
      <c r="N364" s="674">
        <f t="shared" si="81"/>
        <v>4315194.51</v>
      </c>
      <c r="O364" s="2046">
        <f t="shared" si="82"/>
        <v>0</v>
      </c>
      <c r="P364" s="2047" t="s">
        <v>1264</v>
      </c>
    </row>
    <row r="365" spans="1:16">
      <c r="A365" s="2030">
        <v>186</v>
      </c>
      <c r="B365" s="2017">
        <v>18601053</v>
      </c>
      <c r="C365" s="2017"/>
      <c r="D365" s="2018" t="s">
        <v>1276</v>
      </c>
      <c r="E365" s="2017"/>
      <c r="F365" s="2017" t="s">
        <v>108</v>
      </c>
      <c r="G365" s="2011">
        <v>101951.8</v>
      </c>
      <c r="H365" s="2011">
        <v>139259.29999999999</v>
      </c>
      <c r="I365" s="673">
        <f t="shared" si="76"/>
        <v>23421.014470083308</v>
      </c>
      <c r="J365" s="673">
        <f t="shared" si="77"/>
        <v>0</v>
      </c>
      <c r="K365" s="673">
        <f t="shared" si="78"/>
        <v>43520.537757558835</v>
      </c>
      <c r="L365" s="674">
        <f t="shared" si="79"/>
        <v>0</v>
      </c>
      <c r="M365" s="674">
        <f t="shared" si="80"/>
        <v>35010.247759545455</v>
      </c>
      <c r="N365" s="674">
        <f t="shared" si="81"/>
        <v>101951.79998718759</v>
      </c>
      <c r="O365" s="2046">
        <f t="shared" si="82"/>
        <v>1.2812408385798335E-5</v>
      </c>
      <c r="P365" s="2047" t="s">
        <v>1277</v>
      </c>
    </row>
    <row r="366" spans="1:16">
      <c r="A366" s="2015">
        <v>186</v>
      </c>
      <c r="B366" s="675">
        <v>18601061</v>
      </c>
      <c r="C366" s="675"/>
      <c r="D366" s="652" t="s">
        <v>1278</v>
      </c>
      <c r="E366" s="675" t="s">
        <v>968</v>
      </c>
      <c r="F366" s="2007" t="s">
        <v>390</v>
      </c>
      <c r="G366" s="2006">
        <v>0</v>
      </c>
      <c r="H366" s="2006">
        <v>1165700.8799999999</v>
      </c>
      <c r="I366" s="630">
        <f t="shared" si="76"/>
        <v>0</v>
      </c>
      <c r="J366" s="630">
        <f t="shared" si="77"/>
        <v>0</v>
      </c>
      <c r="K366" s="630">
        <f t="shared" si="78"/>
        <v>0</v>
      </c>
      <c r="L366" s="631">
        <f t="shared" si="79"/>
        <v>0</v>
      </c>
      <c r="M366" s="631">
        <f t="shared" si="80"/>
        <v>0</v>
      </c>
      <c r="N366" s="631">
        <f t="shared" si="81"/>
        <v>0</v>
      </c>
      <c r="O366" s="660">
        <f t="shared" si="82"/>
        <v>0</v>
      </c>
    </row>
    <row r="367" spans="1:16">
      <c r="A367" s="2015">
        <v>186</v>
      </c>
      <c r="B367" s="675">
        <v>18601062</v>
      </c>
      <c r="C367" s="675"/>
      <c r="D367" s="652" t="s">
        <v>1279</v>
      </c>
      <c r="E367" s="675" t="s">
        <v>968</v>
      </c>
      <c r="F367" s="2007" t="s">
        <v>988</v>
      </c>
      <c r="G367" s="2006">
        <v>0</v>
      </c>
      <c r="H367" s="2006">
        <v>534826.13</v>
      </c>
      <c r="I367" s="630">
        <f t="shared" si="76"/>
        <v>0</v>
      </c>
      <c r="J367" s="630">
        <f t="shared" si="77"/>
        <v>0</v>
      </c>
      <c r="K367" s="630">
        <f t="shared" si="78"/>
        <v>0</v>
      </c>
      <c r="L367" s="631">
        <f t="shared" si="79"/>
        <v>0</v>
      </c>
      <c r="M367" s="631">
        <f t="shared" si="80"/>
        <v>0</v>
      </c>
      <c r="N367" s="631">
        <f t="shared" si="81"/>
        <v>0</v>
      </c>
      <c r="O367" s="660">
        <f t="shared" si="82"/>
        <v>0</v>
      </c>
    </row>
    <row r="368" spans="1:16">
      <c r="A368" s="2015">
        <v>186</v>
      </c>
      <c r="B368" s="675">
        <v>18601071</v>
      </c>
      <c r="C368" s="675"/>
      <c r="D368" s="652" t="s">
        <v>1280</v>
      </c>
      <c r="E368" s="675" t="s">
        <v>968</v>
      </c>
      <c r="F368" s="2007" t="s">
        <v>390</v>
      </c>
      <c r="G368" s="2006">
        <v>0</v>
      </c>
      <c r="H368" s="2006">
        <v>897702.12</v>
      </c>
      <c r="I368" s="630">
        <f t="shared" si="76"/>
        <v>0</v>
      </c>
      <c r="J368" s="630">
        <f t="shared" si="77"/>
        <v>0</v>
      </c>
      <c r="K368" s="630">
        <f t="shared" si="78"/>
        <v>0</v>
      </c>
      <c r="L368" s="631">
        <f t="shared" si="79"/>
        <v>0</v>
      </c>
      <c r="M368" s="631">
        <f t="shared" si="80"/>
        <v>0</v>
      </c>
      <c r="N368" s="631">
        <f t="shared" si="81"/>
        <v>0</v>
      </c>
      <c r="O368" s="660">
        <f t="shared" si="82"/>
        <v>0</v>
      </c>
    </row>
    <row r="369" spans="1:16">
      <c r="A369" s="2015">
        <v>186</v>
      </c>
      <c r="B369" s="675">
        <v>18601072</v>
      </c>
      <c r="C369" s="675"/>
      <c r="D369" s="652" t="s">
        <v>1281</v>
      </c>
      <c r="E369" s="675" t="s">
        <v>968</v>
      </c>
      <c r="F369" s="2007" t="s">
        <v>988</v>
      </c>
      <c r="G369" s="2006">
        <v>0</v>
      </c>
      <c r="H369" s="2006">
        <v>370019.34</v>
      </c>
      <c r="I369" s="630">
        <f t="shared" si="76"/>
        <v>0</v>
      </c>
      <c r="J369" s="630">
        <f t="shared" si="77"/>
        <v>0</v>
      </c>
      <c r="K369" s="630">
        <f t="shared" si="78"/>
        <v>0</v>
      </c>
      <c r="L369" s="631">
        <f t="shared" si="79"/>
        <v>0</v>
      </c>
      <c r="M369" s="631">
        <f t="shared" si="80"/>
        <v>0</v>
      </c>
      <c r="N369" s="631">
        <f t="shared" si="81"/>
        <v>0</v>
      </c>
      <c r="O369" s="660">
        <f t="shared" si="82"/>
        <v>0</v>
      </c>
    </row>
    <row r="370" spans="1:16">
      <c r="A370" s="2015">
        <v>186</v>
      </c>
      <c r="B370" s="675">
        <v>18601091</v>
      </c>
      <c r="C370" s="675"/>
      <c r="D370" s="652" t="s">
        <v>1282</v>
      </c>
      <c r="E370" s="675" t="s">
        <v>968</v>
      </c>
      <c r="F370" s="2007" t="s">
        <v>392</v>
      </c>
      <c r="G370" s="2006">
        <v>-50181015.25</v>
      </c>
      <c r="H370" s="2006">
        <v>-45475816.200000003</v>
      </c>
      <c r="I370" s="630">
        <f t="shared" si="76"/>
        <v>-50181015.25</v>
      </c>
      <c r="J370" s="630">
        <f t="shared" si="77"/>
        <v>0</v>
      </c>
      <c r="K370" s="630">
        <f t="shared" si="78"/>
        <v>0</v>
      </c>
      <c r="L370" s="631">
        <f t="shared" si="79"/>
        <v>0</v>
      </c>
      <c r="M370" s="631">
        <f t="shared" si="80"/>
        <v>0</v>
      </c>
      <c r="N370" s="631">
        <f t="shared" si="81"/>
        <v>-50181015.25</v>
      </c>
      <c r="O370" s="660">
        <f t="shared" si="82"/>
        <v>0</v>
      </c>
      <c r="P370" s="2005" t="s">
        <v>1209</v>
      </c>
    </row>
    <row r="371" spans="1:16">
      <c r="A371" s="2015">
        <v>186</v>
      </c>
      <c r="B371" s="675">
        <v>18601092</v>
      </c>
      <c r="C371" s="675"/>
      <c r="D371" s="652" t="s">
        <v>1283</v>
      </c>
      <c r="E371" s="675" t="s">
        <v>968</v>
      </c>
      <c r="F371" s="2007" t="s">
        <v>988</v>
      </c>
      <c r="G371" s="2006">
        <v>0</v>
      </c>
      <c r="H371" s="2006">
        <v>2006004</v>
      </c>
      <c r="I371" s="630">
        <f t="shared" ref="I371:I402" si="83">IF(RIGHT($B371,1)="1", $G371*VLOOKUP($F371, Ratio, 2, FALSE), IF(RIGHT($B371,1)="3", $G371*VLOOKUP($F371, Ratio, 2, FALSE)*$F$5, 0))</f>
        <v>0</v>
      </c>
      <c r="J371" s="630">
        <f t="shared" ref="J371:J402" si="84">IF(RIGHT($B371,1)="1", $G371*VLOOKUP($F371, Ratio, 3, FALSE), IF(RIGHT($B371,1)="3", $G371*VLOOKUP($F371, Ratio, 3, FALSE)*$F$5, 0))</f>
        <v>0</v>
      </c>
      <c r="K371" s="630">
        <f t="shared" ref="K371:K402" si="85">IF(RIGHT($B371,1)="1", $G371*VLOOKUP($F371, Ratio, 4, FALSE), IF(RIGHT($B371,1)="3", $G371*VLOOKUP($F371, Ratio, 4, FALSE)*$F$5, 0))</f>
        <v>0</v>
      </c>
      <c r="L371" s="631">
        <f t="shared" ref="L371:L402" si="86">IF(F371="GAS", G371, 0)</f>
        <v>0</v>
      </c>
      <c r="M371" s="631">
        <f t="shared" ref="M371:M402" si="87">IF(RIGHT(B371,1)="3",G371*$G$5,0)</f>
        <v>0</v>
      </c>
      <c r="N371" s="631">
        <f t="shared" ref="N371:N402" si="88">SUM(I371:M371)</f>
        <v>0</v>
      </c>
      <c r="O371" s="660">
        <f t="shared" ref="O371:O402" si="89">G371-N371</f>
        <v>0</v>
      </c>
    </row>
    <row r="372" spans="1:16">
      <c r="A372" s="2015">
        <v>186</v>
      </c>
      <c r="B372" s="675">
        <v>18601101</v>
      </c>
      <c r="C372" s="675"/>
      <c r="D372" s="652" t="s">
        <v>1284</v>
      </c>
      <c r="E372" s="675" t="s">
        <v>968</v>
      </c>
      <c r="F372" s="2007" t="s">
        <v>392</v>
      </c>
      <c r="G372" s="2006">
        <v>-28711745.77</v>
      </c>
      <c r="H372" s="2006">
        <v>-27116475.52</v>
      </c>
      <c r="I372" s="630">
        <f t="shared" si="83"/>
        <v>-28711745.77</v>
      </c>
      <c r="J372" s="630">
        <f t="shared" si="84"/>
        <v>0</v>
      </c>
      <c r="K372" s="630">
        <f t="shared" si="85"/>
        <v>0</v>
      </c>
      <c r="L372" s="631">
        <f t="shared" si="86"/>
        <v>0</v>
      </c>
      <c r="M372" s="631">
        <f t="shared" si="87"/>
        <v>0</v>
      </c>
      <c r="N372" s="631">
        <f t="shared" si="88"/>
        <v>-28711745.77</v>
      </c>
      <c r="O372" s="660">
        <f t="shared" si="89"/>
        <v>0</v>
      </c>
      <c r="P372" s="2005" t="s">
        <v>1211</v>
      </c>
    </row>
    <row r="373" spans="1:16">
      <c r="A373" s="2015">
        <v>186</v>
      </c>
      <c r="B373" s="675">
        <v>18601102</v>
      </c>
      <c r="C373" s="675"/>
      <c r="D373" s="652" t="s">
        <v>1285</v>
      </c>
      <c r="E373" s="675" t="s">
        <v>968</v>
      </c>
      <c r="F373" s="2007" t="s">
        <v>988</v>
      </c>
      <c r="G373" s="2006">
        <v>0</v>
      </c>
      <c r="H373" s="2006">
        <v>6255145.0300000003</v>
      </c>
      <c r="I373" s="630">
        <f t="shared" si="83"/>
        <v>0</v>
      </c>
      <c r="J373" s="630">
        <f t="shared" si="84"/>
        <v>0</v>
      </c>
      <c r="K373" s="630">
        <f t="shared" si="85"/>
        <v>0</v>
      </c>
      <c r="L373" s="631">
        <f t="shared" si="86"/>
        <v>0</v>
      </c>
      <c r="M373" s="631">
        <f t="shared" si="87"/>
        <v>0</v>
      </c>
      <c r="N373" s="631">
        <f t="shared" si="88"/>
        <v>0</v>
      </c>
      <c r="O373" s="660">
        <f t="shared" si="89"/>
        <v>0</v>
      </c>
    </row>
    <row r="374" spans="1:16">
      <c r="A374" s="2015">
        <v>186</v>
      </c>
      <c r="B374" s="675">
        <v>18601112</v>
      </c>
      <c r="C374" s="675"/>
      <c r="D374" s="652" t="s">
        <v>1286</v>
      </c>
      <c r="E374" s="675" t="s">
        <v>968</v>
      </c>
      <c r="F374" s="2007" t="s">
        <v>988</v>
      </c>
      <c r="G374" s="2006">
        <v>0</v>
      </c>
      <c r="H374" s="2006">
        <v>4197280.83</v>
      </c>
      <c r="I374" s="630">
        <f t="shared" si="83"/>
        <v>0</v>
      </c>
      <c r="J374" s="630">
        <f t="shared" si="84"/>
        <v>0</v>
      </c>
      <c r="K374" s="630">
        <f t="shared" si="85"/>
        <v>0</v>
      </c>
      <c r="L374" s="631">
        <f t="shared" si="86"/>
        <v>0</v>
      </c>
      <c r="M374" s="631">
        <f t="shared" si="87"/>
        <v>0</v>
      </c>
      <c r="N374" s="631">
        <f t="shared" si="88"/>
        <v>0</v>
      </c>
      <c r="O374" s="660">
        <f t="shared" si="89"/>
        <v>0</v>
      </c>
    </row>
    <row r="375" spans="1:16">
      <c r="A375" s="2030">
        <v>186</v>
      </c>
      <c r="B375" s="2017">
        <v>18601121</v>
      </c>
      <c r="C375" s="2017"/>
      <c r="D375" s="2018" t="s">
        <v>8041</v>
      </c>
      <c r="E375" s="2017"/>
      <c r="F375" s="2017" t="s">
        <v>390</v>
      </c>
      <c r="G375" s="2011">
        <v>109441.2</v>
      </c>
      <c r="H375" s="2011">
        <v>0</v>
      </c>
      <c r="I375" s="673">
        <f t="shared" si="83"/>
        <v>0</v>
      </c>
      <c r="J375" s="673">
        <f t="shared" si="84"/>
        <v>0</v>
      </c>
      <c r="K375" s="673">
        <f t="shared" si="85"/>
        <v>109441.2</v>
      </c>
      <c r="L375" s="674">
        <f t="shared" si="86"/>
        <v>0</v>
      </c>
      <c r="M375" s="674">
        <f t="shared" si="87"/>
        <v>0</v>
      </c>
      <c r="N375" s="674">
        <f t="shared" si="88"/>
        <v>109441.2</v>
      </c>
      <c r="O375" s="2046">
        <f t="shared" si="89"/>
        <v>0</v>
      </c>
      <c r="P375" s="2047"/>
    </row>
    <row r="376" spans="1:16">
      <c r="A376" s="2015">
        <v>186</v>
      </c>
      <c r="B376" s="675">
        <v>18601122</v>
      </c>
      <c r="C376" s="675"/>
      <c r="D376" s="652" t="s">
        <v>1287</v>
      </c>
      <c r="E376" s="675" t="s">
        <v>968</v>
      </c>
      <c r="F376" s="2007" t="s">
        <v>988</v>
      </c>
      <c r="G376" s="2006">
        <v>0</v>
      </c>
      <c r="H376" s="2006">
        <v>1609713</v>
      </c>
      <c r="I376" s="630">
        <f t="shared" si="83"/>
        <v>0</v>
      </c>
      <c r="J376" s="630">
        <f t="shared" si="84"/>
        <v>0</v>
      </c>
      <c r="K376" s="630">
        <f t="shared" si="85"/>
        <v>0</v>
      </c>
      <c r="L376" s="631">
        <f t="shared" si="86"/>
        <v>0</v>
      </c>
      <c r="M376" s="631">
        <f t="shared" si="87"/>
        <v>0</v>
      </c>
      <c r="N376" s="631">
        <f t="shared" si="88"/>
        <v>0</v>
      </c>
      <c r="O376" s="660">
        <f t="shared" si="89"/>
        <v>0</v>
      </c>
    </row>
    <row r="377" spans="1:16">
      <c r="A377" s="2030">
        <v>186</v>
      </c>
      <c r="B377" s="2017">
        <v>18601131</v>
      </c>
      <c r="C377" s="2017"/>
      <c r="D377" s="2018" t="s">
        <v>8042</v>
      </c>
      <c r="E377" s="2017"/>
      <c r="F377" s="2017" t="s">
        <v>390</v>
      </c>
      <c r="G377" s="2011">
        <v>-44441.2</v>
      </c>
      <c r="H377" s="2011">
        <v>0</v>
      </c>
      <c r="I377" s="673">
        <f t="shared" si="83"/>
        <v>0</v>
      </c>
      <c r="J377" s="673">
        <f t="shared" si="84"/>
        <v>0</v>
      </c>
      <c r="K377" s="673">
        <f t="shared" si="85"/>
        <v>-44441.2</v>
      </c>
      <c r="L377" s="674">
        <f t="shared" si="86"/>
        <v>0</v>
      </c>
      <c r="M377" s="674">
        <f t="shared" si="87"/>
        <v>0</v>
      </c>
      <c r="N377" s="674">
        <f t="shared" si="88"/>
        <v>-44441.2</v>
      </c>
      <c r="O377" s="2046">
        <f t="shared" si="89"/>
        <v>0</v>
      </c>
      <c r="P377" s="2047"/>
    </row>
    <row r="378" spans="1:16">
      <c r="A378" s="2015">
        <v>186</v>
      </c>
      <c r="B378" s="675">
        <v>18601132</v>
      </c>
      <c r="C378" s="675"/>
      <c r="D378" s="652" t="s">
        <v>1288</v>
      </c>
      <c r="E378" s="675" t="s">
        <v>968</v>
      </c>
      <c r="F378" s="2007" t="s">
        <v>988</v>
      </c>
      <c r="G378" s="2006">
        <v>0</v>
      </c>
      <c r="H378" s="2006">
        <v>4689304</v>
      </c>
      <c r="I378" s="630">
        <f t="shared" si="83"/>
        <v>0</v>
      </c>
      <c r="J378" s="630">
        <f t="shared" si="84"/>
        <v>0</v>
      </c>
      <c r="K378" s="630">
        <f t="shared" si="85"/>
        <v>0</v>
      </c>
      <c r="L378" s="631">
        <f t="shared" si="86"/>
        <v>0</v>
      </c>
      <c r="M378" s="631">
        <f t="shared" si="87"/>
        <v>0</v>
      </c>
      <c r="N378" s="631">
        <f t="shared" si="88"/>
        <v>0</v>
      </c>
      <c r="O378" s="660">
        <f t="shared" si="89"/>
        <v>0</v>
      </c>
    </row>
    <row r="379" spans="1:16">
      <c r="A379" s="2030">
        <v>186</v>
      </c>
      <c r="B379" s="2017">
        <v>18601141</v>
      </c>
      <c r="C379" s="2017"/>
      <c r="D379" s="2018" t="s">
        <v>7135</v>
      </c>
      <c r="E379" s="2017"/>
      <c r="F379" s="2017" t="s">
        <v>390</v>
      </c>
      <c r="G379" s="2011">
        <v>56014</v>
      </c>
      <c r="H379" s="2011">
        <v>0</v>
      </c>
      <c r="I379" s="673">
        <f t="shared" si="83"/>
        <v>0</v>
      </c>
      <c r="J379" s="673">
        <f t="shared" si="84"/>
        <v>0</v>
      </c>
      <c r="K379" s="673">
        <f t="shared" si="85"/>
        <v>56014</v>
      </c>
      <c r="L379" s="674">
        <f t="shared" si="86"/>
        <v>0</v>
      </c>
      <c r="M379" s="674">
        <f t="shared" si="87"/>
        <v>0</v>
      </c>
      <c r="N379" s="674">
        <f t="shared" si="88"/>
        <v>56014</v>
      </c>
      <c r="O379" s="2046">
        <f t="shared" si="89"/>
        <v>0</v>
      </c>
      <c r="P379" s="2047"/>
    </row>
    <row r="380" spans="1:16">
      <c r="A380" s="2030">
        <v>186</v>
      </c>
      <c r="B380" s="2017">
        <v>18601151</v>
      </c>
      <c r="C380" s="2017"/>
      <c r="D380" s="2018" t="s">
        <v>8043</v>
      </c>
      <c r="E380" s="2017"/>
      <c r="F380" s="2017" t="s">
        <v>390</v>
      </c>
      <c r="G380" s="2011">
        <v>90232.44</v>
      </c>
      <c r="H380" s="2011">
        <v>0</v>
      </c>
      <c r="I380" s="673">
        <f t="shared" si="83"/>
        <v>0</v>
      </c>
      <c r="J380" s="673">
        <f t="shared" si="84"/>
        <v>0</v>
      </c>
      <c r="K380" s="673">
        <f t="shared" si="85"/>
        <v>90232.44</v>
      </c>
      <c r="L380" s="674">
        <f t="shared" si="86"/>
        <v>0</v>
      </c>
      <c r="M380" s="674">
        <f t="shared" si="87"/>
        <v>0</v>
      </c>
      <c r="N380" s="674">
        <f t="shared" si="88"/>
        <v>90232.44</v>
      </c>
      <c r="O380" s="2046">
        <f t="shared" si="89"/>
        <v>0</v>
      </c>
      <c r="P380" s="2047"/>
    </row>
    <row r="381" spans="1:16">
      <c r="A381" s="2030">
        <v>186</v>
      </c>
      <c r="B381" s="2017">
        <v>18601251</v>
      </c>
      <c r="C381" s="2017"/>
      <c r="D381" s="2018" t="s">
        <v>8044</v>
      </c>
      <c r="E381" s="2017"/>
      <c r="F381" s="2017" t="s">
        <v>390</v>
      </c>
      <c r="G381" s="2011">
        <v>47122.95</v>
      </c>
      <c r="H381" s="2011">
        <v>0</v>
      </c>
      <c r="I381" s="673">
        <f t="shared" si="83"/>
        <v>0</v>
      </c>
      <c r="J381" s="673">
        <f t="shared" si="84"/>
        <v>0</v>
      </c>
      <c r="K381" s="673">
        <f t="shared" si="85"/>
        <v>47122.95</v>
      </c>
      <c r="L381" s="674">
        <f t="shared" si="86"/>
        <v>0</v>
      </c>
      <c r="M381" s="674">
        <f t="shared" si="87"/>
        <v>0</v>
      </c>
      <c r="N381" s="674">
        <f t="shared" si="88"/>
        <v>47122.95</v>
      </c>
      <c r="O381" s="2046">
        <f t="shared" si="89"/>
        <v>0</v>
      </c>
      <c r="P381" s="2047" t="s">
        <v>8068</v>
      </c>
    </row>
    <row r="382" spans="1:16">
      <c r="A382" s="2030">
        <v>186</v>
      </c>
      <c r="B382" s="2017">
        <v>18601261</v>
      </c>
      <c r="C382" s="2017"/>
      <c r="D382" s="2018" t="s">
        <v>8045</v>
      </c>
      <c r="E382" s="2017"/>
      <c r="F382" s="2017" t="s">
        <v>390</v>
      </c>
      <c r="G382" s="2011">
        <v>46957.5</v>
      </c>
      <c r="H382" s="2011">
        <v>0</v>
      </c>
      <c r="I382" s="673">
        <f t="shared" si="83"/>
        <v>0</v>
      </c>
      <c r="J382" s="673">
        <f t="shared" si="84"/>
        <v>0</v>
      </c>
      <c r="K382" s="673">
        <f t="shared" si="85"/>
        <v>46957.5</v>
      </c>
      <c r="L382" s="674">
        <f t="shared" si="86"/>
        <v>0</v>
      </c>
      <c r="M382" s="674">
        <f t="shared" si="87"/>
        <v>0</v>
      </c>
      <c r="N382" s="674">
        <f t="shared" si="88"/>
        <v>46957.5</v>
      </c>
      <c r="O382" s="2046">
        <f t="shared" si="89"/>
        <v>0</v>
      </c>
      <c r="P382" s="2047" t="s">
        <v>8068</v>
      </c>
    </row>
    <row r="383" spans="1:16">
      <c r="A383" s="2030">
        <v>186</v>
      </c>
      <c r="B383" s="2017">
        <v>18601271</v>
      </c>
      <c r="C383" s="2017"/>
      <c r="D383" s="2018" t="s">
        <v>8046</v>
      </c>
      <c r="E383" s="2017"/>
      <c r="F383" s="2017" t="s">
        <v>390</v>
      </c>
      <c r="G383" s="2011">
        <v>60000</v>
      </c>
      <c r="H383" s="2011">
        <v>0</v>
      </c>
      <c r="I383" s="673">
        <f t="shared" si="83"/>
        <v>0</v>
      </c>
      <c r="J383" s="673">
        <f t="shared" si="84"/>
        <v>0</v>
      </c>
      <c r="K383" s="673">
        <f t="shared" si="85"/>
        <v>60000</v>
      </c>
      <c r="L383" s="674">
        <f t="shared" si="86"/>
        <v>0</v>
      </c>
      <c r="M383" s="674">
        <f t="shared" si="87"/>
        <v>0</v>
      </c>
      <c r="N383" s="674">
        <f t="shared" si="88"/>
        <v>60000</v>
      </c>
      <c r="O383" s="2046">
        <f t="shared" si="89"/>
        <v>0</v>
      </c>
      <c r="P383" s="2047" t="s">
        <v>8068</v>
      </c>
    </row>
    <row r="384" spans="1:16">
      <c r="A384" s="2015">
        <v>186</v>
      </c>
      <c r="B384" s="675">
        <v>18602241</v>
      </c>
      <c r="C384" s="675"/>
      <c r="D384" s="652" t="s">
        <v>1289</v>
      </c>
      <c r="E384" s="675" t="s">
        <v>968</v>
      </c>
      <c r="F384" s="2007" t="s">
        <v>391</v>
      </c>
      <c r="G384" s="2006">
        <v>363640.81</v>
      </c>
      <c r="H384" s="2006">
        <v>1090922.6499999999</v>
      </c>
      <c r="I384" s="630">
        <f t="shared" si="83"/>
        <v>0</v>
      </c>
      <c r="J384" s="630">
        <f t="shared" si="84"/>
        <v>0</v>
      </c>
      <c r="K384" s="630">
        <f t="shared" si="85"/>
        <v>363640.81</v>
      </c>
      <c r="L384" s="631">
        <f t="shared" si="86"/>
        <v>0</v>
      </c>
      <c r="M384" s="631">
        <f t="shared" si="87"/>
        <v>0</v>
      </c>
      <c r="N384" s="631">
        <f t="shared" si="88"/>
        <v>363640.81</v>
      </c>
      <c r="O384" s="660">
        <f t="shared" si="89"/>
        <v>0</v>
      </c>
      <c r="P384" s="2005" t="s">
        <v>1290</v>
      </c>
    </row>
    <row r="385" spans="1:16">
      <c r="A385" s="2015">
        <v>186</v>
      </c>
      <c r="B385" s="675">
        <v>18602251</v>
      </c>
      <c r="C385" s="675"/>
      <c r="D385" s="652" t="s">
        <v>1291</v>
      </c>
      <c r="E385" s="675" t="s">
        <v>968</v>
      </c>
      <c r="F385" s="2007" t="s">
        <v>390</v>
      </c>
      <c r="G385" s="2006">
        <v>8175730.9900000002</v>
      </c>
      <c r="H385" s="2006">
        <v>5969521.0800000001</v>
      </c>
      <c r="I385" s="630">
        <f t="shared" si="83"/>
        <v>0</v>
      </c>
      <c r="J385" s="630">
        <f t="shared" si="84"/>
        <v>0</v>
      </c>
      <c r="K385" s="630">
        <f t="shared" si="85"/>
        <v>8175730.9900000002</v>
      </c>
      <c r="L385" s="631">
        <f t="shared" si="86"/>
        <v>0</v>
      </c>
      <c r="M385" s="631">
        <f t="shared" si="87"/>
        <v>0</v>
      </c>
      <c r="N385" s="631">
        <f t="shared" si="88"/>
        <v>8175730.9900000002</v>
      </c>
      <c r="O385" s="660">
        <f t="shared" si="89"/>
        <v>0</v>
      </c>
    </row>
    <row r="386" spans="1:16">
      <c r="A386" s="2030">
        <v>186</v>
      </c>
      <c r="B386" s="2017">
        <v>18602981</v>
      </c>
      <c r="C386" s="2017"/>
      <c r="D386" s="2018" t="s">
        <v>8047</v>
      </c>
      <c r="E386" s="2017"/>
      <c r="F386" s="2017" t="s">
        <v>392</v>
      </c>
      <c r="G386" s="2011">
        <v>0</v>
      </c>
      <c r="H386" s="2011">
        <v>0</v>
      </c>
      <c r="I386" s="673">
        <f t="shared" si="83"/>
        <v>0</v>
      </c>
      <c r="J386" s="673">
        <f t="shared" si="84"/>
        <v>0</v>
      </c>
      <c r="K386" s="673">
        <f t="shared" si="85"/>
        <v>0</v>
      </c>
      <c r="L386" s="674">
        <f t="shared" si="86"/>
        <v>0</v>
      </c>
      <c r="M386" s="674">
        <f t="shared" si="87"/>
        <v>0</v>
      </c>
      <c r="N386" s="674">
        <f t="shared" si="88"/>
        <v>0</v>
      </c>
      <c r="O386" s="2046">
        <f t="shared" si="89"/>
        <v>0</v>
      </c>
      <c r="P386" s="2047" t="s">
        <v>8069</v>
      </c>
    </row>
    <row r="387" spans="1:16">
      <c r="A387" s="2030">
        <v>186</v>
      </c>
      <c r="B387" s="2017">
        <v>18602991</v>
      </c>
      <c r="C387" s="2017"/>
      <c r="D387" s="2018" t="s">
        <v>8048</v>
      </c>
      <c r="E387" s="2017"/>
      <c r="F387" s="2017" t="s">
        <v>392</v>
      </c>
      <c r="G387" s="2011">
        <v>708032.38</v>
      </c>
      <c r="H387" s="2011">
        <v>0</v>
      </c>
      <c r="I387" s="673">
        <f t="shared" si="83"/>
        <v>708032.38</v>
      </c>
      <c r="J387" s="673">
        <f t="shared" si="84"/>
        <v>0</v>
      </c>
      <c r="K387" s="673">
        <f t="shared" si="85"/>
        <v>0</v>
      </c>
      <c r="L387" s="674">
        <f t="shared" si="86"/>
        <v>0</v>
      </c>
      <c r="M387" s="674">
        <f t="shared" si="87"/>
        <v>0</v>
      </c>
      <c r="N387" s="674">
        <f t="shared" si="88"/>
        <v>708032.38</v>
      </c>
      <c r="O387" s="2046">
        <f t="shared" si="89"/>
        <v>0</v>
      </c>
      <c r="P387" s="2047" t="s">
        <v>8069</v>
      </c>
    </row>
    <row r="388" spans="1:16">
      <c r="A388" s="2015">
        <v>186</v>
      </c>
      <c r="B388" s="675">
        <v>18603001</v>
      </c>
      <c r="C388" s="675"/>
      <c r="D388" s="2043" t="s">
        <v>1292</v>
      </c>
      <c r="E388" s="675" t="s">
        <v>968</v>
      </c>
      <c r="F388" s="2007" t="s">
        <v>392</v>
      </c>
      <c r="G388" s="2006">
        <v>455480.16</v>
      </c>
      <c r="H388" s="2006">
        <v>592124.16000000003</v>
      </c>
      <c r="I388" s="630">
        <f t="shared" si="83"/>
        <v>455480.16</v>
      </c>
      <c r="J388" s="630">
        <f t="shared" si="84"/>
        <v>0</v>
      </c>
      <c r="K388" s="630">
        <f t="shared" si="85"/>
        <v>0</v>
      </c>
      <c r="L388" s="631">
        <f t="shared" si="86"/>
        <v>0</v>
      </c>
      <c r="M388" s="631">
        <f t="shared" si="87"/>
        <v>0</v>
      </c>
      <c r="N388" s="631">
        <f t="shared" si="88"/>
        <v>455480.16</v>
      </c>
      <c r="O388" s="660">
        <f t="shared" si="89"/>
        <v>0</v>
      </c>
      <c r="P388" s="2005" t="s">
        <v>1255</v>
      </c>
    </row>
    <row r="389" spans="1:16">
      <c r="A389" s="2015">
        <v>186</v>
      </c>
      <c r="B389" s="675">
        <v>18603003</v>
      </c>
      <c r="C389" s="675"/>
      <c r="D389" s="652" t="s">
        <v>1293</v>
      </c>
      <c r="E389" s="675" t="s">
        <v>968</v>
      </c>
      <c r="F389" s="2007" t="s">
        <v>390</v>
      </c>
      <c r="G389" s="2006">
        <v>1582288.06</v>
      </c>
      <c r="H389" s="2006">
        <v>1560031.9</v>
      </c>
      <c r="I389" s="630">
        <f t="shared" si="83"/>
        <v>0</v>
      </c>
      <c r="J389" s="630">
        <f t="shared" si="84"/>
        <v>0</v>
      </c>
      <c r="K389" s="630">
        <f t="shared" si="85"/>
        <v>1038930.3457902409</v>
      </c>
      <c r="L389" s="631">
        <f t="shared" si="86"/>
        <v>0</v>
      </c>
      <c r="M389" s="631">
        <f t="shared" si="87"/>
        <v>543357.71420975914</v>
      </c>
      <c r="N389" s="631">
        <f t="shared" si="88"/>
        <v>1582288.06</v>
      </c>
      <c r="O389" s="660">
        <f t="shared" si="89"/>
        <v>0</v>
      </c>
    </row>
    <row r="390" spans="1:16">
      <c r="A390" s="2015">
        <v>186</v>
      </c>
      <c r="B390" s="675">
        <v>18603021</v>
      </c>
      <c r="C390" s="675"/>
      <c r="D390" s="652" t="s">
        <v>1295</v>
      </c>
      <c r="E390" s="675" t="s">
        <v>968</v>
      </c>
      <c r="F390" s="2007" t="s">
        <v>392</v>
      </c>
      <c r="G390" s="2006">
        <v>291262.68</v>
      </c>
      <c r="H390" s="2006">
        <v>991506.88</v>
      </c>
      <c r="I390" s="630">
        <f t="shared" si="83"/>
        <v>291262.68</v>
      </c>
      <c r="J390" s="630">
        <f t="shared" si="84"/>
        <v>0</v>
      </c>
      <c r="K390" s="630">
        <f t="shared" si="85"/>
        <v>0</v>
      </c>
      <c r="L390" s="631">
        <f t="shared" si="86"/>
        <v>0</v>
      </c>
      <c r="M390" s="631">
        <f t="shared" si="87"/>
        <v>0</v>
      </c>
      <c r="N390" s="631">
        <f t="shared" si="88"/>
        <v>291262.68</v>
      </c>
      <c r="O390" s="660">
        <f t="shared" si="89"/>
        <v>0</v>
      </c>
      <c r="P390" s="2005" t="s">
        <v>1294</v>
      </c>
    </row>
    <row r="391" spans="1:16">
      <c r="A391" s="2015">
        <v>186</v>
      </c>
      <c r="B391" s="675">
        <v>18603053</v>
      </c>
      <c r="C391" s="675"/>
      <c r="D391" s="652" t="s">
        <v>1296</v>
      </c>
      <c r="E391" s="675" t="s">
        <v>968</v>
      </c>
      <c r="F391" s="2007" t="s">
        <v>390</v>
      </c>
      <c r="G391" s="2006">
        <v>0</v>
      </c>
      <c r="H391" s="2006">
        <v>11785991</v>
      </c>
      <c r="I391" s="630">
        <f t="shared" si="83"/>
        <v>0</v>
      </c>
      <c r="J391" s="630">
        <f t="shared" si="84"/>
        <v>0</v>
      </c>
      <c r="K391" s="630">
        <f t="shared" si="85"/>
        <v>0</v>
      </c>
      <c r="L391" s="631">
        <f t="shared" si="86"/>
        <v>0</v>
      </c>
      <c r="M391" s="631">
        <f t="shared" si="87"/>
        <v>0</v>
      </c>
      <c r="N391" s="631">
        <f t="shared" si="88"/>
        <v>0</v>
      </c>
      <c r="O391" s="660">
        <f t="shared" si="89"/>
        <v>0</v>
      </c>
    </row>
    <row r="392" spans="1:16">
      <c r="A392" s="2015">
        <v>186</v>
      </c>
      <c r="B392" s="675">
        <v>18603061</v>
      </c>
      <c r="C392" s="675"/>
      <c r="D392" s="652" t="s">
        <v>1297</v>
      </c>
      <c r="E392" s="675" t="s">
        <v>968</v>
      </c>
      <c r="F392" s="2007" t="s">
        <v>392</v>
      </c>
      <c r="G392" s="2006">
        <v>841730.65</v>
      </c>
      <c r="H392" s="2006">
        <v>1082224.93</v>
      </c>
      <c r="I392" s="630">
        <f t="shared" si="83"/>
        <v>841730.65</v>
      </c>
      <c r="J392" s="630">
        <f t="shared" si="84"/>
        <v>0</v>
      </c>
      <c r="K392" s="630">
        <f t="shared" si="85"/>
        <v>0</v>
      </c>
      <c r="L392" s="631">
        <f t="shared" si="86"/>
        <v>0</v>
      </c>
      <c r="M392" s="631">
        <f t="shared" si="87"/>
        <v>0</v>
      </c>
      <c r="N392" s="631">
        <f t="shared" si="88"/>
        <v>841730.65</v>
      </c>
      <c r="O392" s="660">
        <f t="shared" si="89"/>
        <v>0</v>
      </c>
    </row>
    <row r="393" spans="1:16">
      <c r="A393" s="2015">
        <v>186</v>
      </c>
      <c r="B393" s="675">
        <v>18603063</v>
      </c>
      <c r="C393" s="675"/>
      <c r="D393" s="652" t="s">
        <v>1298</v>
      </c>
      <c r="E393" s="675" t="s">
        <v>968</v>
      </c>
      <c r="F393" s="2007" t="s">
        <v>390</v>
      </c>
      <c r="G393" s="2006">
        <v>0</v>
      </c>
      <c r="H393" s="2006">
        <v>518953</v>
      </c>
      <c r="I393" s="630">
        <f t="shared" si="83"/>
        <v>0</v>
      </c>
      <c r="J393" s="630">
        <f t="shared" si="84"/>
        <v>0</v>
      </c>
      <c r="K393" s="630">
        <f t="shared" si="85"/>
        <v>0</v>
      </c>
      <c r="L393" s="631">
        <f t="shared" si="86"/>
        <v>0</v>
      </c>
      <c r="M393" s="631">
        <f t="shared" si="87"/>
        <v>0</v>
      </c>
      <c r="N393" s="631">
        <f t="shared" si="88"/>
        <v>0</v>
      </c>
      <c r="O393" s="660">
        <f t="shared" si="89"/>
        <v>0</v>
      </c>
    </row>
    <row r="394" spans="1:16">
      <c r="A394" s="2015">
        <v>186</v>
      </c>
      <c r="B394" s="675">
        <v>18603091</v>
      </c>
      <c r="C394" s="675"/>
      <c r="D394" s="652" t="s">
        <v>1299</v>
      </c>
      <c r="E394" s="675" t="s">
        <v>968</v>
      </c>
      <c r="F394" s="2007" t="s">
        <v>392</v>
      </c>
      <c r="G394" s="2006">
        <v>7500</v>
      </c>
      <c r="H394" s="2006">
        <v>7500</v>
      </c>
      <c r="I394" s="630">
        <f t="shared" si="83"/>
        <v>7500</v>
      </c>
      <c r="J394" s="630">
        <f t="shared" si="84"/>
        <v>0</v>
      </c>
      <c r="K394" s="630">
        <f t="shared" si="85"/>
        <v>0</v>
      </c>
      <c r="L394" s="631">
        <f t="shared" si="86"/>
        <v>0</v>
      </c>
      <c r="M394" s="631">
        <f t="shared" si="87"/>
        <v>0</v>
      </c>
      <c r="N394" s="631">
        <f t="shared" si="88"/>
        <v>7500</v>
      </c>
      <c r="O394" s="660">
        <f t="shared" si="89"/>
        <v>0</v>
      </c>
      <c r="P394" s="2005" t="s">
        <v>1294</v>
      </c>
    </row>
    <row r="395" spans="1:16">
      <c r="A395" s="2015">
        <v>186</v>
      </c>
      <c r="B395" s="675">
        <v>18604001</v>
      </c>
      <c r="C395" s="675"/>
      <c r="D395" s="652" t="s">
        <v>1300</v>
      </c>
      <c r="E395" s="675" t="s">
        <v>968</v>
      </c>
      <c r="F395" s="2007" t="s">
        <v>392</v>
      </c>
      <c r="G395" s="2006">
        <v>0</v>
      </c>
      <c r="H395" s="2006">
        <v>165476.04</v>
      </c>
      <c r="I395" s="630">
        <f t="shared" si="83"/>
        <v>0</v>
      </c>
      <c r="J395" s="630">
        <f t="shared" si="84"/>
        <v>0</v>
      </c>
      <c r="K395" s="630">
        <f t="shared" si="85"/>
        <v>0</v>
      </c>
      <c r="L395" s="631">
        <f t="shared" si="86"/>
        <v>0</v>
      </c>
      <c r="M395" s="631">
        <f t="shared" si="87"/>
        <v>0</v>
      </c>
      <c r="N395" s="631">
        <f t="shared" si="88"/>
        <v>0</v>
      </c>
      <c r="O395" s="660">
        <f t="shared" si="89"/>
        <v>0</v>
      </c>
      <c r="P395" s="2005" t="s">
        <v>1255</v>
      </c>
    </row>
    <row r="396" spans="1:16">
      <c r="A396" s="2015">
        <v>186</v>
      </c>
      <c r="B396" s="675">
        <v>18604021</v>
      </c>
      <c r="C396" s="675"/>
      <c r="D396" s="652" t="s">
        <v>1301</v>
      </c>
      <c r="E396" s="675" t="s">
        <v>968</v>
      </c>
      <c r="F396" s="2007" t="s">
        <v>392</v>
      </c>
      <c r="G396" s="2006">
        <v>871730.11</v>
      </c>
      <c r="H396" s="2006">
        <v>1034367.91</v>
      </c>
      <c r="I396" s="630">
        <f t="shared" si="83"/>
        <v>871730.11</v>
      </c>
      <c r="J396" s="630">
        <f t="shared" si="84"/>
        <v>0</v>
      </c>
      <c r="K396" s="630">
        <f t="shared" si="85"/>
        <v>0</v>
      </c>
      <c r="L396" s="631">
        <f t="shared" si="86"/>
        <v>0</v>
      </c>
      <c r="M396" s="631">
        <f t="shared" si="87"/>
        <v>0</v>
      </c>
      <c r="N396" s="631">
        <f t="shared" si="88"/>
        <v>871730.11</v>
      </c>
      <c r="O396" s="660">
        <f t="shared" si="89"/>
        <v>0</v>
      </c>
      <c r="P396" s="2005" t="s">
        <v>1255</v>
      </c>
    </row>
    <row r="397" spans="1:16">
      <c r="A397" s="2015">
        <v>186</v>
      </c>
      <c r="B397" s="675">
        <v>18604031</v>
      </c>
      <c r="C397" s="675"/>
      <c r="D397" s="652" t="s">
        <v>1302</v>
      </c>
      <c r="E397" s="675" t="s">
        <v>968</v>
      </c>
      <c r="F397" s="2007" t="s">
        <v>392</v>
      </c>
      <c r="G397" s="2006">
        <v>684882.11</v>
      </c>
      <c r="H397" s="2006">
        <v>843270.71</v>
      </c>
      <c r="I397" s="630">
        <f t="shared" si="83"/>
        <v>684882.11</v>
      </c>
      <c r="J397" s="630">
        <f t="shared" si="84"/>
        <v>0</v>
      </c>
      <c r="K397" s="630">
        <f t="shared" si="85"/>
        <v>0</v>
      </c>
      <c r="L397" s="631">
        <f t="shared" si="86"/>
        <v>0</v>
      </c>
      <c r="M397" s="631">
        <f t="shared" si="87"/>
        <v>0</v>
      </c>
      <c r="N397" s="631">
        <f t="shared" si="88"/>
        <v>684882.11</v>
      </c>
      <c r="O397" s="660">
        <f t="shared" si="89"/>
        <v>0</v>
      </c>
      <c r="P397" s="2005" t="s">
        <v>1255</v>
      </c>
    </row>
    <row r="398" spans="1:16">
      <c r="A398" s="2015">
        <v>186</v>
      </c>
      <c r="B398" s="675">
        <v>18604041</v>
      </c>
      <c r="C398" s="675"/>
      <c r="D398" s="652" t="s">
        <v>1303</v>
      </c>
      <c r="E398" s="675" t="s">
        <v>968</v>
      </c>
      <c r="F398" s="2007" t="s">
        <v>392</v>
      </c>
      <c r="G398" s="2006">
        <v>53779.51</v>
      </c>
      <c r="H398" s="2006">
        <v>268896.43</v>
      </c>
      <c r="I398" s="630">
        <f t="shared" si="83"/>
        <v>53779.51</v>
      </c>
      <c r="J398" s="630">
        <f t="shared" si="84"/>
        <v>0</v>
      </c>
      <c r="K398" s="630">
        <f t="shared" si="85"/>
        <v>0</v>
      </c>
      <c r="L398" s="631">
        <f t="shared" si="86"/>
        <v>0</v>
      </c>
      <c r="M398" s="631">
        <f t="shared" si="87"/>
        <v>0</v>
      </c>
      <c r="N398" s="631">
        <f t="shared" si="88"/>
        <v>53779.51</v>
      </c>
      <c r="O398" s="660">
        <f t="shared" si="89"/>
        <v>0</v>
      </c>
      <c r="P398" s="2005" t="s">
        <v>1255</v>
      </c>
    </row>
    <row r="399" spans="1:16" s="625" customFormat="1">
      <c r="A399" s="2015">
        <v>186</v>
      </c>
      <c r="B399" s="675">
        <v>18604051</v>
      </c>
      <c r="C399" s="675"/>
      <c r="D399" s="652" t="s">
        <v>1304</v>
      </c>
      <c r="E399" s="675"/>
      <c r="F399" s="2007" t="s">
        <v>392</v>
      </c>
      <c r="G399" s="2006">
        <v>2107662.52</v>
      </c>
      <c r="H399" s="2006">
        <v>2502849.2799999998</v>
      </c>
      <c r="I399" s="630">
        <f t="shared" si="83"/>
        <v>2107662.52</v>
      </c>
      <c r="J399" s="630">
        <f t="shared" si="84"/>
        <v>0</v>
      </c>
      <c r="K399" s="630">
        <f t="shared" si="85"/>
        <v>0</v>
      </c>
      <c r="L399" s="676">
        <f t="shared" si="86"/>
        <v>0</v>
      </c>
      <c r="M399" s="676">
        <f t="shared" si="87"/>
        <v>0</v>
      </c>
      <c r="N399" s="676">
        <f t="shared" si="88"/>
        <v>2107662.52</v>
      </c>
      <c r="O399" s="660">
        <f t="shared" si="89"/>
        <v>0</v>
      </c>
      <c r="P399" s="2010" t="s">
        <v>1264</v>
      </c>
    </row>
    <row r="400" spans="1:16" s="625" customFormat="1">
      <c r="A400" s="2015">
        <v>186</v>
      </c>
      <c r="B400" s="675">
        <v>18604061</v>
      </c>
      <c r="C400" s="675"/>
      <c r="D400" s="652" t="s">
        <v>1305</v>
      </c>
      <c r="E400" s="675"/>
      <c r="F400" s="2007" t="s">
        <v>392</v>
      </c>
      <c r="G400" s="2006">
        <v>629191.19999999995</v>
      </c>
      <c r="H400" s="2006">
        <v>1100713.56</v>
      </c>
      <c r="I400" s="630">
        <f t="shared" si="83"/>
        <v>629191.19999999995</v>
      </c>
      <c r="J400" s="630">
        <f t="shared" si="84"/>
        <v>0</v>
      </c>
      <c r="K400" s="630">
        <f t="shared" si="85"/>
        <v>0</v>
      </c>
      <c r="L400" s="676">
        <f t="shared" si="86"/>
        <v>0</v>
      </c>
      <c r="M400" s="676">
        <f t="shared" si="87"/>
        <v>0</v>
      </c>
      <c r="N400" s="676">
        <f t="shared" si="88"/>
        <v>629191.19999999995</v>
      </c>
      <c r="O400" s="660">
        <f t="shared" si="89"/>
        <v>0</v>
      </c>
      <c r="P400" s="2010" t="s">
        <v>1264</v>
      </c>
    </row>
    <row r="401" spans="1:16" s="625" customFormat="1">
      <c r="A401" s="2015">
        <v>186</v>
      </c>
      <c r="B401" s="675">
        <v>18604071</v>
      </c>
      <c r="C401" s="675"/>
      <c r="D401" s="652" t="s">
        <v>1306</v>
      </c>
      <c r="E401" s="675"/>
      <c r="F401" s="2007" t="s">
        <v>392</v>
      </c>
      <c r="G401" s="2006">
        <v>2389667.5499999998</v>
      </c>
      <c r="H401" s="2006">
        <v>3124949.91</v>
      </c>
      <c r="I401" s="630">
        <f t="shared" si="83"/>
        <v>2389667.5499999998</v>
      </c>
      <c r="J401" s="630">
        <f t="shared" si="84"/>
        <v>0</v>
      </c>
      <c r="K401" s="630">
        <f t="shared" si="85"/>
        <v>0</v>
      </c>
      <c r="L401" s="676">
        <f t="shared" si="86"/>
        <v>0</v>
      </c>
      <c r="M401" s="676">
        <f t="shared" si="87"/>
        <v>0</v>
      </c>
      <c r="N401" s="676">
        <f t="shared" si="88"/>
        <v>2389667.5499999998</v>
      </c>
      <c r="O401" s="660">
        <f t="shared" si="89"/>
        <v>0</v>
      </c>
      <c r="P401" s="2010" t="s">
        <v>1264</v>
      </c>
    </row>
    <row r="402" spans="1:16">
      <c r="A402" s="2015">
        <v>186</v>
      </c>
      <c r="B402" s="675">
        <v>18605011</v>
      </c>
      <c r="C402" s="675"/>
      <c r="D402" s="652" t="s">
        <v>1307</v>
      </c>
      <c r="E402" s="675" t="s">
        <v>968</v>
      </c>
      <c r="F402" s="2007" t="s">
        <v>392</v>
      </c>
      <c r="G402" s="2006">
        <v>2690274.96</v>
      </c>
      <c r="H402" s="2006">
        <v>4035412.33</v>
      </c>
      <c r="I402" s="630">
        <f t="shared" si="83"/>
        <v>2690274.96</v>
      </c>
      <c r="J402" s="630">
        <f t="shared" si="84"/>
        <v>0</v>
      </c>
      <c r="K402" s="630">
        <f t="shared" si="85"/>
        <v>0</v>
      </c>
      <c r="L402" s="631">
        <f t="shared" si="86"/>
        <v>0</v>
      </c>
      <c r="M402" s="631">
        <f t="shared" si="87"/>
        <v>0</v>
      </c>
      <c r="N402" s="631">
        <f t="shared" si="88"/>
        <v>2690274.96</v>
      </c>
      <c r="O402" s="660">
        <f t="shared" si="89"/>
        <v>0</v>
      </c>
      <c r="P402" s="2005" t="s">
        <v>1308</v>
      </c>
    </row>
    <row r="403" spans="1:16">
      <c r="A403" s="2015">
        <v>186</v>
      </c>
      <c r="B403" s="675">
        <v>18605041</v>
      </c>
      <c r="C403" s="675"/>
      <c r="D403" s="652" t="s">
        <v>1309</v>
      </c>
      <c r="E403" s="675" t="s">
        <v>968</v>
      </c>
      <c r="F403" s="2007" t="s">
        <v>392</v>
      </c>
      <c r="G403" s="2006">
        <v>455074.75</v>
      </c>
      <c r="H403" s="2006">
        <v>795442.75</v>
      </c>
      <c r="I403" s="630">
        <f t="shared" ref="I403:I434" si="90">IF(RIGHT($B403,1)="1", $G403*VLOOKUP($F403, Ratio, 2, FALSE), IF(RIGHT($B403,1)="3", $G403*VLOOKUP($F403, Ratio, 2, FALSE)*$F$5, 0))</f>
        <v>455074.75</v>
      </c>
      <c r="J403" s="630">
        <f t="shared" ref="J403:J434" si="91">IF(RIGHT($B403,1)="1", $G403*VLOOKUP($F403, Ratio, 3, FALSE), IF(RIGHT($B403,1)="3", $G403*VLOOKUP($F403, Ratio, 3, FALSE)*$F$5, 0))</f>
        <v>0</v>
      </c>
      <c r="K403" s="630">
        <f t="shared" ref="K403:K434" si="92">IF(RIGHT($B403,1)="1", $G403*VLOOKUP($F403, Ratio, 4, FALSE), IF(RIGHT($B403,1)="3", $G403*VLOOKUP($F403, Ratio, 4, FALSE)*$F$5, 0))</f>
        <v>0</v>
      </c>
      <c r="L403" s="631">
        <f t="shared" ref="L403:L434" si="93">IF(F403="GAS", G403, 0)</f>
        <v>0</v>
      </c>
      <c r="M403" s="631">
        <f t="shared" ref="M403:M434" si="94">IF(RIGHT(B403,1)="3",G403*$G$5,0)</f>
        <v>0</v>
      </c>
      <c r="N403" s="631">
        <f t="shared" ref="N403:N434" si="95">SUM(I403:M403)</f>
        <v>455074.75</v>
      </c>
      <c r="O403" s="660">
        <f t="shared" ref="O403:O434" si="96">G403-N403</f>
        <v>0</v>
      </c>
      <c r="P403" s="2005" t="s">
        <v>1308</v>
      </c>
    </row>
    <row r="404" spans="1:16">
      <c r="A404" s="2015">
        <v>186</v>
      </c>
      <c r="B404" s="675">
        <v>18605051</v>
      </c>
      <c r="C404" s="675"/>
      <c r="D404" s="652" t="s">
        <v>1310</v>
      </c>
      <c r="E404" s="675" t="s">
        <v>968</v>
      </c>
      <c r="F404" s="2007" t="s">
        <v>392</v>
      </c>
      <c r="G404" s="2006">
        <v>910863.29</v>
      </c>
      <c r="H404" s="2006">
        <v>1301233.1299999999</v>
      </c>
      <c r="I404" s="630">
        <f t="shared" si="90"/>
        <v>910863.29</v>
      </c>
      <c r="J404" s="630">
        <f t="shared" si="91"/>
        <v>0</v>
      </c>
      <c r="K404" s="630">
        <f t="shared" si="92"/>
        <v>0</v>
      </c>
      <c r="L404" s="631">
        <f t="shared" si="93"/>
        <v>0</v>
      </c>
      <c r="M404" s="631">
        <f t="shared" si="94"/>
        <v>0</v>
      </c>
      <c r="N404" s="631">
        <f t="shared" si="95"/>
        <v>910863.29</v>
      </c>
      <c r="O404" s="660">
        <f t="shared" si="96"/>
        <v>0</v>
      </c>
      <c r="P404" s="2005" t="s">
        <v>1308</v>
      </c>
    </row>
    <row r="405" spans="1:16">
      <c r="A405" s="2015">
        <v>186</v>
      </c>
      <c r="B405" s="675">
        <v>18605081</v>
      </c>
      <c r="C405" s="675"/>
      <c r="D405" s="652" t="s">
        <v>1311</v>
      </c>
      <c r="E405" s="675" t="s">
        <v>968</v>
      </c>
      <c r="F405" s="2007" t="s">
        <v>392</v>
      </c>
      <c r="G405" s="2006">
        <v>1015877.33</v>
      </c>
      <c r="H405" s="2006">
        <v>1320640.49</v>
      </c>
      <c r="I405" s="630">
        <f t="shared" si="90"/>
        <v>1015877.33</v>
      </c>
      <c r="J405" s="630">
        <f t="shared" si="91"/>
        <v>0</v>
      </c>
      <c r="K405" s="630">
        <f t="shared" si="92"/>
        <v>0</v>
      </c>
      <c r="L405" s="631">
        <f t="shared" si="93"/>
        <v>0</v>
      </c>
      <c r="M405" s="631">
        <f t="shared" si="94"/>
        <v>0</v>
      </c>
      <c r="N405" s="631">
        <f t="shared" si="95"/>
        <v>1015877.33</v>
      </c>
      <c r="O405" s="660">
        <f t="shared" si="96"/>
        <v>0</v>
      </c>
    </row>
    <row r="406" spans="1:16">
      <c r="A406" s="2030">
        <v>186</v>
      </c>
      <c r="B406" s="2017">
        <v>18605101</v>
      </c>
      <c r="C406" s="2017"/>
      <c r="D406" s="2018" t="s">
        <v>8049</v>
      </c>
      <c r="E406" s="2017"/>
      <c r="F406" s="2041" t="s">
        <v>390</v>
      </c>
      <c r="G406" s="2011">
        <v>828626</v>
      </c>
      <c r="H406" s="2011">
        <v>0</v>
      </c>
      <c r="I406" s="673">
        <f t="shared" si="90"/>
        <v>0</v>
      </c>
      <c r="J406" s="673">
        <f t="shared" si="91"/>
        <v>0</v>
      </c>
      <c r="K406" s="673">
        <f t="shared" si="92"/>
        <v>828626</v>
      </c>
      <c r="L406" s="674">
        <f t="shared" si="93"/>
        <v>0</v>
      </c>
      <c r="M406" s="674">
        <f t="shared" si="94"/>
        <v>0</v>
      </c>
      <c r="N406" s="674">
        <f t="shared" si="95"/>
        <v>828626</v>
      </c>
      <c r="O406" s="2046">
        <f t="shared" si="96"/>
        <v>0</v>
      </c>
      <c r="P406" s="2045" t="s">
        <v>8070</v>
      </c>
    </row>
    <row r="407" spans="1:16">
      <c r="A407" s="2015">
        <v>186</v>
      </c>
      <c r="B407" s="675">
        <v>18608001</v>
      </c>
      <c r="C407" s="675"/>
      <c r="D407" s="652" t="s">
        <v>1312</v>
      </c>
      <c r="E407" s="675" t="s">
        <v>968</v>
      </c>
      <c r="F407" s="2007" t="s">
        <v>392</v>
      </c>
      <c r="G407" s="2006">
        <v>30646.41</v>
      </c>
      <c r="H407" s="2006">
        <v>85176.29</v>
      </c>
      <c r="I407" s="630">
        <f t="shared" si="90"/>
        <v>30646.41</v>
      </c>
      <c r="J407" s="630">
        <f t="shared" si="91"/>
        <v>0</v>
      </c>
      <c r="K407" s="630">
        <f t="shared" si="92"/>
        <v>0</v>
      </c>
      <c r="L407" s="631">
        <f t="shared" si="93"/>
        <v>0</v>
      </c>
      <c r="M407" s="631">
        <f t="shared" si="94"/>
        <v>0</v>
      </c>
      <c r="N407" s="631">
        <f t="shared" si="95"/>
        <v>30646.41</v>
      </c>
      <c r="O407" s="660">
        <f t="shared" si="96"/>
        <v>0</v>
      </c>
    </row>
    <row r="408" spans="1:16">
      <c r="A408" s="2015">
        <v>186</v>
      </c>
      <c r="B408" s="675">
        <v>18608002</v>
      </c>
      <c r="C408" s="675"/>
      <c r="D408" s="652" t="s">
        <v>1313</v>
      </c>
      <c r="E408" s="675" t="s">
        <v>968</v>
      </c>
      <c r="F408" s="2007" t="s">
        <v>988</v>
      </c>
      <c r="G408" s="2006">
        <v>75560.58</v>
      </c>
      <c r="H408" s="2006">
        <v>190197.8</v>
      </c>
      <c r="I408" s="630">
        <f t="shared" si="90"/>
        <v>0</v>
      </c>
      <c r="J408" s="630">
        <f t="shared" si="91"/>
        <v>0</v>
      </c>
      <c r="K408" s="630">
        <f t="shared" si="92"/>
        <v>0</v>
      </c>
      <c r="L408" s="631">
        <f t="shared" si="93"/>
        <v>75560.58</v>
      </c>
      <c r="M408" s="631">
        <f t="shared" si="94"/>
        <v>0</v>
      </c>
      <c r="N408" s="631">
        <f t="shared" si="95"/>
        <v>75560.58</v>
      </c>
      <c r="O408" s="660">
        <f t="shared" si="96"/>
        <v>0</v>
      </c>
    </row>
    <row r="409" spans="1:16">
      <c r="A409" s="2015">
        <v>186</v>
      </c>
      <c r="B409" s="675">
        <v>18608011</v>
      </c>
      <c r="C409" s="675"/>
      <c r="D409" s="652" t="s">
        <v>1314</v>
      </c>
      <c r="E409" s="675" t="s">
        <v>968</v>
      </c>
      <c r="F409" s="2007" t="s">
        <v>392</v>
      </c>
      <c r="G409" s="2006">
        <v>327269.25</v>
      </c>
      <c r="H409" s="2006">
        <v>300000</v>
      </c>
      <c r="I409" s="630">
        <f t="shared" si="90"/>
        <v>327269.25</v>
      </c>
      <c r="J409" s="630">
        <f t="shared" si="91"/>
        <v>0</v>
      </c>
      <c r="K409" s="630">
        <f t="shared" si="92"/>
        <v>0</v>
      </c>
      <c r="L409" s="631">
        <f t="shared" si="93"/>
        <v>0</v>
      </c>
      <c r="M409" s="631">
        <f t="shared" si="94"/>
        <v>0</v>
      </c>
      <c r="N409" s="631">
        <f t="shared" si="95"/>
        <v>327269.25</v>
      </c>
      <c r="O409" s="660">
        <f t="shared" si="96"/>
        <v>0</v>
      </c>
      <c r="P409" s="2005" t="s">
        <v>970</v>
      </c>
    </row>
    <row r="410" spans="1:16">
      <c r="A410" s="2015">
        <v>186</v>
      </c>
      <c r="B410" s="675">
        <v>18608012</v>
      </c>
      <c r="C410" s="675"/>
      <c r="D410" s="652" t="s">
        <v>1315</v>
      </c>
      <c r="E410" s="675" t="s">
        <v>968</v>
      </c>
      <c r="F410" s="2007" t="s">
        <v>988</v>
      </c>
      <c r="G410" s="2006">
        <v>54602.95</v>
      </c>
      <c r="H410" s="2006">
        <v>55923.8</v>
      </c>
      <c r="I410" s="630">
        <f t="shared" si="90"/>
        <v>0</v>
      </c>
      <c r="J410" s="630">
        <f t="shared" si="91"/>
        <v>0</v>
      </c>
      <c r="K410" s="630">
        <f t="shared" si="92"/>
        <v>0</v>
      </c>
      <c r="L410" s="631">
        <f t="shared" si="93"/>
        <v>54602.95</v>
      </c>
      <c r="M410" s="631">
        <f t="shared" si="94"/>
        <v>0</v>
      </c>
      <c r="N410" s="631">
        <f t="shared" si="95"/>
        <v>54602.95</v>
      </c>
      <c r="O410" s="660">
        <f t="shared" si="96"/>
        <v>0</v>
      </c>
    </row>
    <row r="411" spans="1:16">
      <c r="A411" s="2015">
        <v>186</v>
      </c>
      <c r="B411" s="675">
        <v>18608021</v>
      </c>
      <c r="C411" s="675"/>
      <c r="D411" s="652" t="s">
        <v>1316</v>
      </c>
      <c r="E411" s="675" t="s">
        <v>968</v>
      </c>
      <c r="F411" s="2007" t="s">
        <v>392</v>
      </c>
      <c r="G411" s="2006">
        <v>4404</v>
      </c>
      <c r="H411" s="2006">
        <v>4404</v>
      </c>
      <c r="I411" s="630">
        <f t="shared" si="90"/>
        <v>4404</v>
      </c>
      <c r="J411" s="630">
        <f t="shared" si="91"/>
        <v>0</v>
      </c>
      <c r="K411" s="630">
        <f t="shared" si="92"/>
        <v>0</v>
      </c>
      <c r="L411" s="631">
        <f t="shared" si="93"/>
        <v>0</v>
      </c>
      <c r="M411" s="631">
        <f t="shared" si="94"/>
        <v>0</v>
      </c>
      <c r="N411" s="631">
        <f t="shared" si="95"/>
        <v>4404</v>
      </c>
      <c r="O411" s="660">
        <f t="shared" si="96"/>
        <v>0</v>
      </c>
    </row>
    <row r="412" spans="1:16">
      <c r="A412" s="2015">
        <v>186</v>
      </c>
      <c r="B412" s="675">
        <v>18608031</v>
      </c>
      <c r="C412" s="675"/>
      <c r="D412" s="652" t="s">
        <v>1316</v>
      </c>
      <c r="E412" s="675" t="s">
        <v>968</v>
      </c>
      <c r="F412" s="2007" t="s">
        <v>392</v>
      </c>
      <c r="G412" s="2006">
        <v>63600</v>
      </c>
      <c r="H412" s="2006">
        <v>48596</v>
      </c>
      <c r="I412" s="630">
        <f t="shared" si="90"/>
        <v>63600</v>
      </c>
      <c r="J412" s="630">
        <f t="shared" si="91"/>
        <v>0</v>
      </c>
      <c r="K412" s="630">
        <f t="shared" si="92"/>
        <v>0</v>
      </c>
      <c r="L412" s="631">
        <f t="shared" si="93"/>
        <v>0</v>
      </c>
      <c r="M412" s="631">
        <f t="shared" si="94"/>
        <v>0</v>
      </c>
      <c r="N412" s="631">
        <f t="shared" si="95"/>
        <v>63600</v>
      </c>
      <c r="O412" s="660">
        <f t="shared" si="96"/>
        <v>0</v>
      </c>
    </row>
    <row r="413" spans="1:16">
      <c r="A413" s="2015">
        <v>186</v>
      </c>
      <c r="B413" s="675">
        <v>18608041</v>
      </c>
      <c r="C413" s="675"/>
      <c r="D413" s="652" t="s">
        <v>1317</v>
      </c>
      <c r="E413" s="675" t="s">
        <v>968</v>
      </c>
      <c r="F413" s="2007" t="s">
        <v>390</v>
      </c>
      <c r="G413" s="2006">
        <v>-200264.09</v>
      </c>
      <c r="H413" s="2006">
        <v>847052.95</v>
      </c>
      <c r="I413" s="630">
        <f t="shared" si="90"/>
        <v>0</v>
      </c>
      <c r="J413" s="630">
        <f t="shared" si="91"/>
        <v>0</v>
      </c>
      <c r="K413" s="630">
        <f t="shared" si="92"/>
        <v>-200264.09</v>
      </c>
      <c r="L413" s="631">
        <f t="shared" si="93"/>
        <v>0</v>
      </c>
      <c r="M413" s="631">
        <f t="shared" si="94"/>
        <v>0</v>
      </c>
      <c r="N413" s="631">
        <f t="shared" si="95"/>
        <v>-200264.09</v>
      </c>
      <c r="O413" s="660">
        <f t="shared" si="96"/>
        <v>0</v>
      </c>
    </row>
    <row r="414" spans="1:16">
      <c r="A414" s="2015">
        <v>186</v>
      </c>
      <c r="B414" s="675">
        <v>18608051</v>
      </c>
      <c r="C414" s="675"/>
      <c r="D414" s="652" t="s">
        <v>1318</v>
      </c>
      <c r="E414" s="675" t="s">
        <v>968</v>
      </c>
      <c r="F414" s="2007" t="s">
        <v>390</v>
      </c>
      <c r="G414" s="2006">
        <v>6112076.4699999997</v>
      </c>
      <c r="H414" s="2006">
        <v>6156880.0700000003</v>
      </c>
      <c r="I414" s="630">
        <f t="shared" si="90"/>
        <v>0</v>
      </c>
      <c r="J414" s="630">
        <f t="shared" si="91"/>
        <v>0</v>
      </c>
      <c r="K414" s="630">
        <f t="shared" si="92"/>
        <v>6112076.4699999997</v>
      </c>
      <c r="L414" s="631">
        <f t="shared" si="93"/>
        <v>0</v>
      </c>
      <c r="M414" s="631">
        <f t="shared" si="94"/>
        <v>0</v>
      </c>
      <c r="N414" s="631">
        <f t="shared" si="95"/>
        <v>6112076.4699999997</v>
      </c>
      <c r="O414" s="660">
        <f t="shared" si="96"/>
        <v>0</v>
      </c>
    </row>
    <row r="415" spans="1:16">
      <c r="A415" s="2015">
        <v>186</v>
      </c>
      <c r="B415" s="675">
        <v>18608062</v>
      </c>
      <c r="C415" s="675"/>
      <c r="D415" s="652" t="s">
        <v>1319</v>
      </c>
      <c r="E415" s="675" t="s">
        <v>968</v>
      </c>
      <c r="F415" s="2007" t="s">
        <v>988</v>
      </c>
      <c r="G415" s="2006">
        <v>-17404306.370000001</v>
      </c>
      <c r="H415" s="2006">
        <v>-18930246.370000001</v>
      </c>
      <c r="I415" s="630">
        <f t="shared" si="90"/>
        <v>0</v>
      </c>
      <c r="J415" s="630">
        <f t="shared" si="91"/>
        <v>0</v>
      </c>
      <c r="K415" s="630">
        <f t="shared" si="92"/>
        <v>0</v>
      </c>
      <c r="L415" s="631">
        <f t="shared" si="93"/>
        <v>-17404306.370000001</v>
      </c>
      <c r="M415" s="631">
        <f t="shared" si="94"/>
        <v>0</v>
      </c>
      <c r="N415" s="631">
        <f t="shared" si="95"/>
        <v>-17404306.370000001</v>
      </c>
      <c r="O415" s="660">
        <f t="shared" si="96"/>
        <v>0</v>
      </c>
    </row>
    <row r="416" spans="1:16">
      <c r="A416" s="2015">
        <v>186</v>
      </c>
      <c r="B416" s="675">
        <v>18608081</v>
      </c>
      <c r="C416" s="675"/>
      <c r="D416" s="652" t="s">
        <v>1320</v>
      </c>
      <c r="E416" s="675" t="s">
        <v>968</v>
      </c>
      <c r="F416" s="2007" t="s">
        <v>392</v>
      </c>
      <c r="G416" s="2006">
        <v>0</v>
      </c>
      <c r="H416" s="2006">
        <v>1093</v>
      </c>
      <c r="I416" s="630">
        <f t="shared" si="90"/>
        <v>0</v>
      </c>
      <c r="J416" s="630">
        <f t="shared" si="91"/>
        <v>0</v>
      </c>
      <c r="K416" s="630">
        <f t="shared" si="92"/>
        <v>0</v>
      </c>
      <c r="L416" s="631">
        <f t="shared" si="93"/>
        <v>0</v>
      </c>
      <c r="M416" s="631">
        <f t="shared" si="94"/>
        <v>0</v>
      </c>
      <c r="N416" s="631">
        <f t="shared" si="95"/>
        <v>0</v>
      </c>
      <c r="O416" s="660">
        <f t="shared" si="96"/>
        <v>0</v>
      </c>
    </row>
    <row r="417" spans="1:16">
      <c r="A417" s="2015">
        <v>186</v>
      </c>
      <c r="B417" s="675">
        <v>18608111</v>
      </c>
      <c r="C417" s="675"/>
      <c r="D417" s="652" t="s">
        <v>1321</v>
      </c>
      <c r="E417" s="675" t="s">
        <v>968</v>
      </c>
      <c r="F417" s="2007" t="s">
        <v>390</v>
      </c>
      <c r="G417" s="2006">
        <v>320400</v>
      </c>
      <c r="H417" s="2006">
        <v>267000</v>
      </c>
      <c r="I417" s="630">
        <f t="shared" si="90"/>
        <v>0</v>
      </c>
      <c r="J417" s="630">
        <f t="shared" si="91"/>
        <v>0</v>
      </c>
      <c r="K417" s="630">
        <f t="shared" si="92"/>
        <v>320400</v>
      </c>
      <c r="L417" s="631">
        <f t="shared" si="93"/>
        <v>0</v>
      </c>
      <c r="M417" s="631">
        <f t="shared" si="94"/>
        <v>0</v>
      </c>
      <c r="N417" s="631">
        <f t="shared" si="95"/>
        <v>320400</v>
      </c>
      <c r="O417" s="660">
        <f t="shared" si="96"/>
        <v>0</v>
      </c>
    </row>
    <row r="418" spans="1:16">
      <c r="A418" s="2015">
        <v>186</v>
      </c>
      <c r="B418" s="675">
        <v>18608112</v>
      </c>
      <c r="C418" s="675"/>
      <c r="D418" s="652" t="s">
        <v>1322</v>
      </c>
      <c r="E418" s="675" t="s">
        <v>968</v>
      </c>
      <c r="F418" s="2007" t="s">
        <v>988</v>
      </c>
      <c r="G418" s="2006">
        <v>886235.89</v>
      </c>
      <c r="H418" s="2006">
        <v>1388827.35</v>
      </c>
      <c r="I418" s="630">
        <f t="shared" si="90"/>
        <v>0</v>
      </c>
      <c r="J418" s="630">
        <f t="shared" si="91"/>
        <v>0</v>
      </c>
      <c r="K418" s="630">
        <f t="shared" si="92"/>
        <v>0</v>
      </c>
      <c r="L418" s="631">
        <f t="shared" si="93"/>
        <v>886235.89</v>
      </c>
      <c r="M418" s="631">
        <f t="shared" si="94"/>
        <v>0</v>
      </c>
      <c r="N418" s="631">
        <f t="shared" si="95"/>
        <v>886235.89</v>
      </c>
      <c r="O418" s="660">
        <f t="shared" si="96"/>
        <v>0</v>
      </c>
    </row>
    <row r="419" spans="1:16">
      <c r="A419" s="2015">
        <v>186</v>
      </c>
      <c r="B419" s="675">
        <v>18608141</v>
      </c>
      <c r="C419" s="675"/>
      <c r="D419" s="652" t="s">
        <v>1323</v>
      </c>
      <c r="E419" s="675" t="s">
        <v>968</v>
      </c>
      <c r="F419" s="2007" t="s">
        <v>390</v>
      </c>
      <c r="G419" s="2006">
        <v>1845.91</v>
      </c>
      <c r="H419" s="2006">
        <v>1845.91</v>
      </c>
      <c r="I419" s="630">
        <f t="shared" si="90"/>
        <v>0</v>
      </c>
      <c r="J419" s="630">
        <f t="shared" si="91"/>
        <v>0</v>
      </c>
      <c r="K419" s="630">
        <f t="shared" si="92"/>
        <v>1845.91</v>
      </c>
      <c r="L419" s="631">
        <f t="shared" si="93"/>
        <v>0</v>
      </c>
      <c r="M419" s="631">
        <f t="shared" si="94"/>
        <v>0</v>
      </c>
      <c r="N419" s="631">
        <f t="shared" si="95"/>
        <v>1845.91</v>
      </c>
      <c r="O419" s="660">
        <f t="shared" si="96"/>
        <v>0</v>
      </c>
    </row>
    <row r="420" spans="1:16">
      <c r="A420" s="2015">
        <v>186</v>
      </c>
      <c r="B420" s="675">
        <v>18608151</v>
      </c>
      <c r="C420" s="675"/>
      <c r="D420" s="652" t="s">
        <v>1324</v>
      </c>
      <c r="E420" s="675" t="s">
        <v>968</v>
      </c>
      <c r="F420" s="2007" t="s">
        <v>390</v>
      </c>
      <c r="G420" s="2006">
        <v>96000</v>
      </c>
      <c r="H420" s="2006">
        <v>79999.990000000005</v>
      </c>
      <c r="I420" s="630">
        <f t="shared" si="90"/>
        <v>0</v>
      </c>
      <c r="J420" s="630">
        <f t="shared" si="91"/>
        <v>0</v>
      </c>
      <c r="K420" s="630">
        <f t="shared" si="92"/>
        <v>96000</v>
      </c>
      <c r="L420" s="631">
        <f t="shared" si="93"/>
        <v>0</v>
      </c>
      <c r="M420" s="631">
        <f t="shared" si="94"/>
        <v>0</v>
      </c>
      <c r="N420" s="631">
        <f t="shared" si="95"/>
        <v>96000</v>
      </c>
      <c r="O420" s="660">
        <f t="shared" si="96"/>
        <v>0</v>
      </c>
    </row>
    <row r="421" spans="1:16">
      <c r="A421" s="2015">
        <v>186</v>
      </c>
      <c r="B421" s="675">
        <v>18608181</v>
      </c>
      <c r="C421" s="675"/>
      <c r="D421" s="652" t="s">
        <v>1325</v>
      </c>
      <c r="E421" s="675" t="s">
        <v>968</v>
      </c>
      <c r="F421" s="2007" t="s">
        <v>390</v>
      </c>
      <c r="G421" s="2006">
        <v>63600</v>
      </c>
      <c r="H421" s="2006">
        <v>53000</v>
      </c>
      <c r="I421" s="630">
        <f t="shared" si="90"/>
        <v>0</v>
      </c>
      <c r="J421" s="630">
        <f t="shared" si="91"/>
        <v>0</v>
      </c>
      <c r="K421" s="630">
        <f t="shared" si="92"/>
        <v>63600</v>
      </c>
      <c r="L421" s="631">
        <f t="shared" si="93"/>
        <v>0</v>
      </c>
      <c r="M421" s="631">
        <f t="shared" si="94"/>
        <v>0</v>
      </c>
      <c r="N421" s="631">
        <f t="shared" si="95"/>
        <v>63600</v>
      </c>
      <c r="O421" s="660">
        <f t="shared" si="96"/>
        <v>0</v>
      </c>
    </row>
    <row r="422" spans="1:16">
      <c r="A422" s="2015">
        <v>186</v>
      </c>
      <c r="B422" s="675">
        <v>18608212</v>
      </c>
      <c r="C422" s="675"/>
      <c r="D422" s="652" t="s">
        <v>1326</v>
      </c>
      <c r="E422" s="675" t="s">
        <v>968</v>
      </c>
      <c r="F422" s="2007" t="s">
        <v>988</v>
      </c>
      <c r="G422" s="2006">
        <v>44623.93</v>
      </c>
      <c r="H422" s="2006">
        <v>47081.34</v>
      </c>
      <c r="I422" s="630">
        <f t="shared" si="90"/>
        <v>0</v>
      </c>
      <c r="J422" s="630">
        <f t="shared" si="91"/>
        <v>0</v>
      </c>
      <c r="K422" s="630">
        <f t="shared" si="92"/>
        <v>0</v>
      </c>
      <c r="L422" s="631">
        <f t="shared" si="93"/>
        <v>44623.93</v>
      </c>
      <c r="M422" s="631">
        <f t="shared" si="94"/>
        <v>0</v>
      </c>
      <c r="N422" s="631">
        <f t="shared" si="95"/>
        <v>44623.93</v>
      </c>
      <c r="O422" s="660">
        <f t="shared" si="96"/>
        <v>0</v>
      </c>
    </row>
    <row r="423" spans="1:16">
      <c r="A423" s="2015">
        <v>186</v>
      </c>
      <c r="B423" s="675">
        <v>18608241</v>
      </c>
      <c r="C423" s="675"/>
      <c r="D423" s="652" t="s">
        <v>1327</v>
      </c>
      <c r="E423" s="675" t="s">
        <v>968</v>
      </c>
      <c r="F423" s="2007" t="s">
        <v>392</v>
      </c>
      <c r="G423" s="2006">
        <v>122400</v>
      </c>
      <c r="H423" s="2006">
        <v>100215.17</v>
      </c>
      <c r="I423" s="630">
        <f t="shared" si="90"/>
        <v>122400</v>
      </c>
      <c r="J423" s="630">
        <f t="shared" si="91"/>
        <v>0</v>
      </c>
      <c r="K423" s="630">
        <f t="shared" si="92"/>
        <v>0</v>
      </c>
      <c r="L423" s="631">
        <f t="shared" si="93"/>
        <v>0</v>
      </c>
      <c r="M423" s="631">
        <f t="shared" si="94"/>
        <v>0</v>
      </c>
      <c r="N423" s="631">
        <f t="shared" si="95"/>
        <v>122400</v>
      </c>
      <c r="O423" s="660">
        <f t="shared" si="96"/>
        <v>0</v>
      </c>
    </row>
    <row r="424" spans="1:16">
      <c r="A424" s="2015">
        <v>186</v>
      </c>
      <c r="B424" s="675">
        <v>18608251</v>
      </c>
      <c r="C424" s="675"/>
      <c r="D424" s="652" t="s">
        <v>1328</v>
      </c>
      <c r="E424" s="675" t="s">
        <v>968</v>
      </c>
      <c r="F424" s="2007" t="s">
        <v>392</v>
      </c>
      <c r="G424" s="2006">
        <v>1784.83</v>
      </c>
      <c r="H424" s="2006">
        <v>2357.33</v>
      </c>
      <c r="I424" s="630">
        <f t="shared" si="90"/>
        <v>1784.83</v>
      </c>
      <c r="J424" s="630">
        <f t="shared" si="91"/>
        <v>0</v>
      </c>
      <c r="K424" s="630">
        <f t="shared" si="92"/>
        <v>0</v>
      </c>
      <c r="L424" s="631">
        <f t="shared" si="93"/>
        <v>0</v>
      </c>
      <c r="M424" s="631">
        <f t="shared" si="94"/>
        <v>0</v>
      </c>
      <c r="N424" s="631">
        <f t="shared" si="95"/>
        <v>1784.83</v>
      </c>
      <c r="O424" s="660">
        <f t="shared" si="96"/>
        <v>0</v>
      </c>
      <c r="P424" s="2005" t="s">
        <v>8039</v>
      </c>
    </row>
    <row r="425" spans="1:16">
      <c r="A425" s="2015">
        <v>186</v>
      </c>
      <c r="B425" s="675">
        <v>18608281</v>
      </c>
      <c r="C425" s="675"/>
      <c r="D425" s="652" t="s">
        <v>1329</v>
      </c>
      <c r="E425" s="675" t="s">
        <v>968</v>
      </c>
      <c r="F425" s="2007" t="s">
        <v>392</v>
      </c>
      <c r="G425" s="2006">
        <v>0</v>
      </c>
      <c r="H425" s="2006">
        <v>72266.67</v>
      </c>
      <c r="I425" s="630">
        <f t="shared" si="90"/>
        <v>0</v>
      </c>
      <c r="J425" s="630">
        <f t="shared" si="91"/>
        <v>0</v>
      </c>
      <c r="K425" s="630">
        <f t="shared" si="92"/>
        <v>0</v>
      </c>
      <c r="L425" s="631">
        <f t="shared" si="93"/>
        <v>0</v>
      </c>
      <c r="M425" s="631">
        <f t="shared" si="94"/>
        <v>0</v>
      </c>
      <c r="N425" s="631">
        <f t="shared" si="95"/>
        <v>0</v>
      </c>
      <c r="O425" s="660">
        <f t="shared" si="96"/>
        <v>0</v>
      </c>
      <c r="P425" s="2005" t="s">
        <v>970</v>
      </c>
    </row>
    <row r="426" spans="1:16">
      <c r="A426" s="2015">
        <v>186</v>
      </c>
      <c r="B426" s="675">
        <v>18608291</v>
      </c>
      <c r="C426" s="675"/>
      <c r="D426" s="652" t="s">
        <v>1330</v>
      </c>
      <c r="E426" s="675" t="s">
        <v>968</v>
      </c>
      <c r="F426" s="2007" t="s">
        <v>392</v>
      </c>
      <c r="G426" s="2006">
        <v>27500</v>
      </c>
      <c r="H426" s="2006">
        <v>25000</v>
      </c>
      <c r="I426" s="630">
        <f t="shared" si="90"/>
        <v>27500</v>
      </c>
      <c r="J426" s="630">
        <f t="shared" si="91"/>
        <v>0</v>
      </c>
      <c r="K426" s="630">
        <f t="shared" si="92"/>
        <v>0</v>
      </c>
      <c r="L426" s="631">
        <f t="shared" si="93"/>
        <v>0</v>
      </c>
      <c r="M426" s="631">
        <f t="shared" si="94"/>
        <v>0</v>
      </c>
      <c r="N426" s="631">
        <f t="shared" si="95"/>
        <v>27500</v>
      </c>
      <c r="O426" s="660">
        <f t="shared" si="96"/>
        <v>0</v>
      </c>
      <c r="P426" s="2005" t="s">
        <v>970</v>
      </c>
    </row>
    <row r="427" spans="1:16">
      <c r="A427" s="2015">
        <v>186</v>
      </c>
      <c r="B427" s="675">
        <v>18608311</v>
      </c>
      <c r="C427" s="675"/>
      <c r="D427" s="652" t="s">
        <v>1331</v>
      </c>
      <c r="E427" s="675" t="s">
        <v>968</v>
      </c>
      <c r="F427" s="2007" t="s">
        <v>392</v>
      </c>
      <c r="G427" s="2006">
        <v>132835.04</v>
      </c>
      <c r="H427" s="2006">
        <v>398504.48</v>
      </c>
      <c r="I427" s="630">
        <f t="shared" si="90"/>
        <v>132835.04</v>
      </c>
      <c r="J427" s="630">
        <f t="shared" si="91"/>
        <v>0</v>
      </c>
      <c r="K427" s="630">
        <f t="shared" si="92"/>
        <v>0</v>
      </c>
      <c r="L427" s="631">
        <f t="shared" si="93"/>
        <v>0</v>
      </c>
      <c r="M427" s="631">
        <f t="shared" si="94"/>
        <v>0</v>
      </c>
      <c r="N427" s="631">
        <f t="shared" si="95"/>
        <v>132835.04</v>
      </c>
      <c r="O427" s="660">
        <f t="shared" si="96"/>
        <v>0</v>
      </c>
      <c r="P427" s="2005" t="s">
        <v>1255</v>
      </c>
    </row>
    <row r="428" spans="1:16">
      <c r="A428" s="2015">
        <v>186</v>
      </c>
      <c r="B428" s="675">
        <v>18608312</v>
      </c>
      <c r="C428" s="675"/>
      <c r="D428" s="652" t="s">
        <v>1332</v>
      </c>
      <c r="E428" s="675" t="s">
        <v>968</v>
      </c>
      <c r="F428" s="2007" t="s">
        <v>988</v>
      </c>
      <c r="G428" s="2006">
        <v>3197.81</v>
      </c>
      <c r="H428" s="2006">
        <v>9585.19</v>
      </c>
      <c r="I428" s="630">
        <f t="shared" si="90"/>
        <v>0</v>
      </c>
      <c r="J428" s="630">
        <f t="shared" si="91"/>
        <v>0</v>
      </c>
      <c r="K428" s="630">
        <f t="shared" si="92"/>
        <v>0</v>
      </c>
      <c r="L428" s="631">
        <f t="shared" si="93"/>
        <v>3197.81</v>
      </c>
      <c r="M428" s="631">
        <f t="shared" si="94"/>
        <v>0</v>
      </c>
      <c r="N428" s="631">
        <f t="shared" si="95"/>
        <v>3197.81</v>
      </c>
      <c r="O428" s="660">
        <f t="shared" si="96"/>
        <v>0</v>
      </c>
    </row>
    <row r="429" spans="1:16">
      <c r="A429" s="2015">
        <v>186</v>
      </c>
      <c r="B429" s="675">
        <v>18608411</v>
      </c>
      <c r="C429" s="675"/>
      <c r="D429" s="2043" t="s">
        <v>1333</v>
      </c>
      <c r="E429" s="675" t="s">
        <v>968</v>
      </c>
      <c r="F429" s="2007" t="s">
        <v>392</v>
      </c>
      <c r="G429" s="2006">
        <v>132835.06</v>
      </c>
      <c r="H429" s="2006">
        <v>398504.5</v>
      </c>
      <c r="I429" s="630">
        <f t="shared" si="90"/>
        <v>132835.06</v>
      </c>
      <c r="J429" s="630">
        <f t="shared" si="91"/>
        <v>0</v>
      </c>
      <c r="K429" s="630">
        <f t="shared" si="92"/>
        <v>0</v>
      </c>
      <c r="L429" s="631">
        <f t="shared" si="93"/>
        <v>0</v>
      </c>
      <c r="M429" s="631">
        <f t="shared" si="94"/>
        <v>0</v>
      </c>
      <c r="N429" s="631">
        <f t="shared" si="95"/>
        <v>132835.06</v>
      </c>
      <c r="O429" s="660">
        <f t="shared" si="96"/>
        <v>0</v>
      </c>
      <c r="P429" s="2005" t="s">
        <v>1255</v>
      </c>
    </row>
    <row r="430" spans="1:16">
      <c r="A430" s="2015">
        <v>186</v>
      </c>
      <c r="B430" s="675">
        <v>18608451</v>
      </c>
      <c r="C430" s="675"/>
      <c r="D430" s="2043" t="s">
        <v>1334</v>
      </c>
      <c r="E430" s="675" t="s">
        <v>968</v>
      </c>
      <c r="F430" s="2007" t="s">
        <v>390</v>
      </c>
      <c r="G430" s="2006">
        <v>45000</v>
      </c>
      <c r="H430" s="2006">
        <v>45000</v>
      </c>
      <c r="I430" s="630">
        <f t="shared" si="90"/>
        <v>0</v>
      </c>
      <c r="J430" s="630">
        <f t="shared" si="91"/>
        <v>0</v>
      </c>
      <c r="K430" s="630">
        <f t="shared" si="92"/>
        <v>45000</v>
      </c>
      <c r="L430" s="631">
        <f t="shared" si="93"/>
        <v>0</v>
      </c>
      <c r="M430" s="631">
        <f t="shared" si="94"/>
        <v>0</v>
      </c>
      <c r="N430" s="631">
        <f t="shared" si="95"/>
        <v>45000</v>
      </c>
      <c r="O430" s="660">
        <f t="shared" si="96"/>
        <v>0</v>
      </c>
    </row>
    <row r="431" spans="1:16">
      <c r="A431" s="2015">
        <v>186</v>
      </c>
      <c r="B431" s="675">
        <v>18608612</v>
      </c>
      <c r="C431" s="675"/>
      <c r="D431" s="652" t="s">
        <v>1335</v>
      </c>
      <c r="E431" s="675" t="s">
        <v>968</v>
      </c>
      <c r="F431" s="2007" t="s">
        <v>988</v>
      </c>
      <c r="G431" s="2006">
        <v>188051.68</v>
      </c>
      <c r="H431" s="2006">
        <v>56756.23</v>
      </c>
      <c r="I431" s="630">
        <f t="shared" si="90"/>
        <v>0</v>
      </c>
      <c r="J431" s="630">
        <f t="shared" si="91"/>
        <v>0</v>
      </c>
      <c r="K431" s="630">
        <f t="shared" si="92"/>
        <v>0</v>
      </c>
      <c r="L431" s="631">
        <f t="shared" si="93"/>
        <v>188051.68</v>
      </c>
      <c r="M431" s="631">
        <f t="shared" si="94"/>
        <v>0</v>
      </c>
      <c r="N431" s="631">
        <f t="shared" si="95"/>
        <v>188051.68</v>
      </c>
      <c r="O431" s="660">
        <f t="shared" si="96"/>
        <v>0</v>
      </c>
    </row>
    <row r="432" spans="1:16">
      <c r="A432" s="2015">
        <v>186</v>
      </c>
      <c r="B432" s="2017">
        <v>18608621</v>
      </c>
      <c r="C432" s="2017"/>
      <c r="D432" s="2018" t="s">
        <v>8050</v>
      </c>
      <c r="E432" s="2017"/>
      <c r="F432" s="2017" t="s">
        <v>390</v>
      </c>
      <c r="G432" s="2011">
        <v>2877.05</v>
      </c>
      <c r="H432" s="2011">
        <v>0</v>
      </c>
      <c r="I432" s="673">
        <f t="shared" si="90"/>
        <v>0</v>
      </c>
      <c r="J432" s="673">
        <f t="shared" si="91"/>
        <v>0</v>
      </c>
      <c r="K432" s="673">
        <f t="shared" si="92"/>
        <v>2877.05</v>
      </c>
      <c r="L432" s="674">
        <f t="shared" si="93"/>
        <v>0</v>
      </c>
      <c r="M432" s="674">
        <f t="shared" si="94"/>
        <v>0</v>
      </c>
      <c r="N432" s="674">
        <f t="shared" si="95"/>
        <v>2877.05</v>
      </c>
      <c r="O432" s="660">
        <f t="shared" si="96"/>
        <v>0</v>
      </c>
      <c r="P432" s="2005" t="s">
        <v>8068</v>
      </c>
    </row>
    <row r="433" spans="1:16">
      <c r="A433" s="2015">
        <v>186</v>
      </c>
      <c r="B433" s="2017">
        <v>18608631</v>
      </c>
      <c r="C433" s="2017"/>
      <c r="D433" s="2018" t="s">
        <v>8051</v>
      </c>
      <c r="E433" s="2017"/>
      <c r="F433" s="2017" t="s">
        <v>390</v>
      </c>
      <c r="G433" s="2011">
        <v>3042.5</v>
      </c>
      <c r="H433" s="2011">
        <v>0</v>
      </c>
      <c r="I433" s="673">
        <f t="shared" si="90"/>
        <v>0</v>
      </c>
      <c r="J433" s="673">
        <f t="shared" si="91"/>
        <v>0</v>
      </c>
      <c r="K433" s="673">
        <f t="shared" si="92"/>
        <v>3042.5</v>
      </c>
      <c r="L433" s="674">
        <f t="shared" si="93"/>
        <v>0</v>
      </c>
      <c r="M433" s="674">
        <f t="shared" si="94"/>
        <v>0</v>
      </c>
      <c r="N433" s="674">
        <f t="shared" si="95"/>
        <v>3042.5</v>
      </c>
      <c r="O433" s="660">
        <f t="shared" si="96"/>
        <v>0</v>
      </c>
      <c r="P433" s="2005" t="s">
        <v>8068</v>
      </c>
    </row>
    <row r="434" spans="1:16">
      <c r="A434" s="2015">
        <v>186</v>
      </c>
      <c r="B434" s="675">
        <v>18608712</v>
      </c>
      <c r="C434" s="675"/>
      <c r="D434" s="675" t="s">
        <v>1336</v>
      </c>
      <c r="E434" s="675" t="s">
        <v>968</v>
      </c>
      <c r="F434" s="2007" t="s">
        <v>988</v>
      </c>
      <c r="G434" s="2006">
        <v>51873.37</v>
      </c>
      <c r="H434" s="2006">
        <v>11322.81</v>
      </c>
      <c r="I434" s="630">
        <f t="shared" si="90"/>
        <v>0</v>
      </c>
      <c r="J434" s="630">
        <f t="shared" si="91"/>
        <v>0</v>
      </c>
      <c r="K434" s="630">
        <f t="shared" si="92"/>
        <v>0</v>
      </c>
      <c r="L434" s="631">
        <f t="shared" si="93"/>
        <v>51873.37</v>
      </c>
      <c r="M434" s="631">
        <f t="shared" si="94"/>
        <v>0</v>
      </c>
      <c r="N434" s="631">
        <f t="shared" si="95"/>
        <v>51873.37</v>
      </c>
      <c r="O434" s="660">
        <f t="shared" si="96"/>
        <v>0</v>
      </c>
    </row>
    <row r="435" spans="1:16">
      <c r="A435" s="2015">
        <v>186</v>
      </c>
      <c r="B435" s="2017">
        <v>18608961</v>
      </c>
      <c r="C435" s="2017"/>
      <c r="D435" s="2018" t="s">
        <v>8052</v>
      </c>
      <c r="E435" s="2017"/>
      <c r="F435" s="2041" t="s">
        <v>390</v>
      </c>
      <c r="G435" s="2011">
        <v>701325.76</v>
      </c>
      <c r="H435" s="2011">
        <v>0</v>
      </c>
      <c r="I435" s="673">
        <f t="shared" ref="I435:I466" si="97">IF(RIGHT($B435,1)="1", $G435*VLOOKUP($F435, Ratio, 2, FALSE), IF(RIGHT($B435,1)="3", $G435*VLOOKUP($F435, Ratio, 2, FALSE)*$F$5, 0))</f>
        <v>0</v>
      </c>
      <c r="J435" s="673">
        <f t="shared" ref="J435:J466" si="98">IF(RIGHT($B435,1)="1", $G435*VLOOKUP($F435, Ratio, 3, FALSE), IF(RIGHT($B435,1)="3", $G435*VLOOKUP($F435, Ratio, 3, FALSE)*$F$5, 0))</f>
        <v>0</v>
      </c>
      <c r="K435" s="673">
        <f t="shared" ref="K435:K466" si="99">IF(RIGHT($B435,1)="1", $G435*VLOOKUP($F435, Ratio, 4, FALSE), IF(RIGHT($B435,1)="3", $G435*VLOOKUP($F435, Ratio, 4, FALSE)*$F$5, 0))</f>
        <v>701325.76</v>
      </c>
      <c r="L435" s="674">
        <f t="shared" ref="L435:L466" si="100">IF(F435="GAS", G435, 0)</f>
        <v>0</v>
      </c>
      <c r="M435" s="674">
        <f t="shared" ref="M435:M466" si="101">IF(RIGHT(B435,1)="3",G435*$G$5,0)</f>
        <v>0</v>
      </c>
      <c r="N435" s="674">
        <f t="shared" ref="N435:N466" si="102">SUM(I435:M435)</f>
        <v>701325.76</v>
      </c>
      <c r="O435" s="660">
        <f t="shared" ref="O435:O466" si="103">G435-N435</f>
        <v>0</v>
      </c>
      <c r="P435" s="2005" t="s">
        <v>8071</v>
      </c>
    </row>
    <row r="436" spans="1:16">
      <c r="A436" s="2015">
        <v>186</v>
      </c>
      <c r="B436" s="675">
        <v>18609211</v>
      </c>
      <c r="C436" s="675"/>
      <c r="D436" s="675" t="s">
        <v>1337</v>
      </c>
      <c r="E436" s="675" t="s">
        <v>968</v>
      </c>
      <c r="F436" s="2007" t="s">
        <v>391</v>
      </c>
      <c r="G436" s="2006">
        <v>1519536.93</v>
      </c>
      <c r="H436" s="2006">
        <v>1546957.17</v>
      </c>
      <c r="I436" s="630">
        <f t="shared" si="97"/>
        <v>0</v>
      </c>
      <c r="J436" s="630">
        <f t="shared" si="98"/>
        <v>0</v>
      </c>
      <c r="K436" s="630">
        <f t="shared" si="99"/>
        <v>1519536.93</v>
      </c>
      <c r="L436" s="631">
        <f t="shared" si="100"/>
        <v>0</v>
      </c>
      <c r="M436" s="631">
        <f t="shared" si="101"/>
        <v>0</v>
      </c>
      <c r="N436" s="631">
        <f t="shared" si="102"/>
        <v>1519536.93</v>
      </c>
      <c r="O436" s="660">
        <f t="shared" si="103"/>
        <v>0</v>
      </c>
      <c r="P436" s="2005" t="s">
        <v>1338</v>
      </c>
    </row>
    <row r="437" spans="1:16">
      <c r="A437" s="2015">
        <v>186</v>
      </c>
      <c r="B437" s="675">
        <v>18609402</v>
      </c>
      <c r="C437" s="675"/>
      <c r="D437" s="2043" t="s">
        <v>1339</v>
      </c>
      <c r="E437" s="675" t="s">
        <v>968</v>
      </c>
      <c r="F437" s="2007" t="s">
        <v>988</v>
      </c>
      <c r="G437" s="2006">
        <v>-407026.46</v>
      </c>
      <c r="H437" s="2006">
        <v>-1651334.08</v>
      </c>
      <c r="I437" s="630">
        <f t="shared" si="97"/>
        <v>0</v>
      </c>
      <c r="J437" s="630">
        <f t="shared" si="98"/>
        <v>0</v>
      </c>
      <c r="K437" s="630">
        <f t="shared" si="99"/>
        <v>0</v>
      </c>
      <c r="L437" s="631">
        <f t="shared" si="100"/>
        <v>-407026.46</v>
      </c>
      <c r="M437" s="631">
        <f t="shared" si="101"/>
        <v>0</v>
      </c>
      <c r="N437" s="631">
        <f t="shared" si="102"/>
        <v>-407026.46</v>
      </c>
      <c r="O437" s="660">
        <f t="shared" si="103"/>
        <v>0</v>
      </c>
    </row>
    <row r="438" spans="1:16">
      <c r="A438" s="2015">
        <v>186</v>
      </c>
      <c r="B438" s="675">
        <v>18609422</v>
      </c>
      <c r="C438" s="675"/>
      <c r="D438" s="652" t="s">
        <v>1340</v>
      </c>
      <c r="E438" s="675" t="s">
        <v>968</v>
      </c>
      <c r="F438" s="2007" t="s">
        <v>988</v>
      </c>
      <c r="G438" s="2006">
        <v>61366506.420000002</v>
      </c>
      <c r="H438" s="2006">
        <v>50343540.270000003</v>
      </c>
      <c r="I438" s="630">
        <f t="shared" si="97"/>
        <v>0</v>
      </c>
      <c r="J438" s="630">
        <f t="shared" si="98"/>
        <v>0</v>
      </c>
      <c r="K438" s="630">
        <f t="shared" si="99"/>
        <v>0</v>
      </c>
      <c r="L438" s="631">
        <f t="shared" si="100"/>
        <v>61366506.420000002</v>
      </c>
      <c r="M438" s="631">
        <f t="shared" si="101"/>
        <v>0</v>
      </c>
      <c r="N438" s="631">
        <f t="shared" si="102"/>
        <v>61366506.420000002</v>
      </c>
      <c r="O438" s="660">
        <f t="shared" si="103"/>
        <v>0</v>
      </c>
    </row>
    <row r="439" spans="1:16">
      <c r="A439" s="2015">
        <v>186</v>
      </c>
      <c r="B439" s="675">
        <v>18609432</v>
      </c>
      <c r="C439" s="675"/>
      <c r="D439" s="652" t="s">
        <v>1341</v>
      </c>
      <c r="E439" s="675" t="s">
        <v>968</v>
      </c>
      <c r="F439" s="2007" t="s">
        <v>988</v>
      </c>
      <c r="G439" s="2006">
        <v>1619325.09</v>
      </c>
      <c r="H439" s="2006">
        <v>5619874.1799999997</v>
      </c>
      <c r="I439" s="630">
        <f t="shared" si="97"/>
        <v>0</v>
      </c>
      <c r="J439" s="630">
        <f t="shared" si="98"/>
        <v>0</v>
      </c>
      <c r="K439" s="630">
        <f t="shared" si="99"/>
        <v>0</v>
      </c>
      <c r="L439" s="631">
        <f t="shared" si="100"/>
        <v>1619325.09</v>
      </c>
      <c r="M439" s="631">
        <f t="shared" si="101"/>
        <v>0</v>
      </c>
      <c r="N439" s="631">
        <f t="shared" si="102"/>
        <v>1619325.09</v>
      </c>
      <c r="O439" s="660">
        <f t="shared" si="103"/>
        <v>0</v>
      </c>
    </row>
    <row r="440" spans="1:16">
      <c r="A440" s="2015">
        <v>186</v>
      </c>
      <c r="B440" s="675">
        <v>18609512</v>
      </c>
      <c r="C440" s="675"/>
      <c r="D440" s="652" t="s">
        <v>1342</v>
      </c>
      <c r="E440" s="675" t="s">
        <v>968</v>
      </c>
      <c r="F440" s="2007" t="s">
        <v>988</v>
      </c>
      <c r="G440" s="2006">
        <v>2168188.2799999998</v>
      </c>
      <c r="H440" s="2006">
        <v>1778139.99</v>
      </c>
      <c r="I440" s="630">
        <f t="shared" si="97"/>
        <v>0</v>
      </c>
      <c r="J440" s="630">
        <f t="shared" si="98"/>
        <v>0</v>
      </c>
      <c r="K440" s="630">
        <f t="shared" si="99"/>
        <v>0</v>
      </c>
      <c r="L440" s="631">
        <f t="shared" si="100"/>
        <v>2168188.2799999998</v>
      </c>
      <c r="M440" s="631">
        <f t="shared" si="101"/>
        <v>0</v>
      </c>
      <c r="N440" s="631">
        <f t="shared" si="102"/>
        <v>2168188.2799999998</v>
      </c>
      <c r="O440" s="660">
        <f t="shared" si="103"/>
        <v>0</v>
      </c>
    </row>
    <row r="441" spans="1:16">
      <c r="A441" s="2015">
        <v>186</v>
      </c>
      <c r="B441" s="675">
        <v>18609532</v>
      </c>
      <c r="C441" s="675"/>
      <c r="D441" s="652" t="s">
        <v>1343</v>
      </c>
      <c r="E441" s="675" t="s">
        <v>968</v>
      </c>
      <c r="F441" s="2007" t="s">
        <v>988</v>
      </c>
      <c r="G441" s="2006">
        <v>5150379.49</v>
      </c>
      <c r="H441" s="2006">
        <v>5567832</v>
      </c>
      <c r="I441" s="630">
        <f t="shared" si="97"/>
        <v>0</v>
      </c>
      <c r="J441" s="630">
        <f t="shared" si="98"/>
        <v>0</v>
      </c>
      <c r="K441" s="630">
        <f t="shared" si="99"/>
        <v>0</v>
      </c>
      <c r="L441" s="631">
        <f t="shared" si="100"/>
        <v>5150379.49</v>
      </c>
      <c r="M441" s="631">
        <f t="shared" si="101"/>
        <v>0</v>
      </c>
      <c r="N441" s="631">
        <f t="shared" si="102"/>
        <v>5150379.49</v>
      </c>
      <c r="O441" s="660">
        <f t="shared" si="103"/>
        <v>0</v>
      </c>
    </row>
    <row r="442" spans="1:16">
      <c r="A442" s="2015">
        <v>186</v>
      </c>
      <c r="B442" s="675">
        <v>18609542</v>
      </c>
      <c r="C442" s="675"/>
      <c r="D442" s="652" t="s">
        <v>1344</v>
      </c>
      <c r="E442" s="675" t="s">
        <v>968</v>
      </c>
      <c r="F442" s="2007" t="s">
        <v>988</v>
      </c>
      <c r="G442" s="2006">
        <v>13515.65</v>
      </c>
      <c r="H442" s="2006">
        <v>21309.24</v>
      </c>
      <c r="I442" s="630">
        <f t="shared" si="97"/>
        <v>0</v>
      </c>
      <c r="J442" s="630">
        <f t="shared" si="98"/>
        <v>0</v>
      </c>
      <c r="K442" s="630">
        <f t="shared" si="99"/>
        <v>0</v>
      </c>
      <c r="L442" s="631">
        <f t="shared" si="100"/>
        <v>13515.65</v>
      </c>
      <c r="M442" s="631">
        <f t="shared" si="101"/>
        <v>0</v>
      </c>
      <c r="N442" s="631">
        <f t="shared" si="102"/>
        <v>13515.65</v>
      </c>
      <c r="O442" s="660">
        <f t="shared" si="103"/>
        <v>0</v>
      </c>
    </row>
    <row r="443" spans="1:16">
      <c r="A443" s="2015">
        <v>186</v>
      </c>
      <c r="B443" s="675">
        <v>18609572</v>
      </c>
      <c r="C443" s="675"/>
      <c r="D443" s="652" t="s">
        <v>1345</v>
      </c>
      <c r="E443" s="675" t="s">
        <v>968</v>
      </c>
      <c r="F443" s="2007" t="s">
        <v>988</v>
      </c>
      <c r="G443" s="2006">
        <v>2243960.7999999998</v>
      </c>
      <c r="H443" s="2006">
        <v>1939806</v>
      </c>
      <c r="I443" s="630">
        <f t="shared" si="97"/>
        <v>0</v>
      </c>
      <c r="J443" s="630">
        <f t="shared" si="98"/>
        <v>0</v>
      </c>
      <c r="K443" s="630">
        <f t="shared" si="99"/>
        <v>0</v>
      </c>
      <c r="L443" s="631">
        <f t="shared" si="100"/>
        <v>2243960.7999999998</v>
      </c>
      <c r="M443" s="631">
        <f t="shared" si="101"/>
        <v>0</v>
      </c>
      <c r="N443" s="631">
        <f t="shared" si="102"/>
        <v>2243960.7999999998</v>
      </c>
      <c r="O443" s="660">
        <f t="shared" si="103"/>
        <v>0</v>
      </c>
    </row>
    <row r="444" spans="1:16">
      <c r="A444" s="2015">
        <v>186</v>
      </c>
      <c r="B444" s="675">
        <v>18609582</v>
      </c>
      <c r="C444" s="675"/>
      <c r="D444" s="652" t="s">
        <v>1346</v>
      </c>
      <c r="E444" s="675" t="s">
        <v>968</v>
      </c>
      <c r="F444" s="2007" t="s">
        <v>988</v>
      </c>
      <c r="G444" s="2006">
        <v>673600</v>
      </c>
      <c r="H444" s="2006">
        <v>652700</v>
      </c>
      <c r="I444" s="630">
        <f t="shared" si="97"/>
        <v>0</v>
      </c>
      <c r="J444" s="630">
        <f t="shared" si="98"/>
        <v>0</v>
      </c>
      <c r="K444" s="630">
        <f t="shared" si="99"/>
        <v>0</v>
      </c>
      <c r="L444" s="631">
        <f t="shared" si="100"/>
        <v>673600</v>
      </c>
      <c r="M444" s="631">
        <f t="shared" si="101"/>
        <v>0</v>
      </c>
      <c r="N444" s="631">
        <f t="shared" si="102"/>
        <v>673600</v>
      </c>
      <c r="O444" s="660">
        <f t="shared" si="103"/>
        <v>0</v>
      </c>
    </row>
    <row r="445" spans="1:16">
      <c r="A445" s="2015">
        <v>186</v>
      </c>
      <c r="B445" s="675">
        <v>18609592</v>
      </c>
      <c r="C445" s="675"/>
      <c r="D445" s="652" t="s">
        <v>1347</v>
      </c>
      <c r="E445" s="675" t="s">
        <v>968</v>
      </c>
      <c r="F445" s="2007" t="s">
        <v>988</v>
      </c>
      <c r="G445" s="2006">
        <v>2466601.12</v>
      </c>
      <c r="H445" s="2006">
        <v>2446191.46</v>
      </c>
      <c r="I445" s="630">
        <f t="shared" si="97"/>
        <v>0</v>
      </c>
      <c r="J445" s="630">
        <f t="shared" si="98"/>
        <v>0</v>
      </c>
      <c r="K445" s="630">
        <f t="shared" si="99"/>
        <v>0</v>
      </c>
      <c r="L445" s="631">
        <f t="shared" si="100"/>
        <v>2466601.12</v>
      </c>
      <c r="M445" s="631">
        <f t="shared" si="101"/>
        <v>0</v>
      </c>
      <c r="N445" s="631">
        <f t="shared" si="102"/>
        <v>2466601.12</v>
      </c>
      <c r="O445" s="660">
        <f t="shared" si="103"/>
        <v>0</v>
      </c>
    </row>
    <row r="446" spans="1:16">
      <c r="A446" s="2015">
        <v>186</v>
      </c>
      <c r="B446" s="675">
        <v>18609602</v>
      </c>
      <c r="C446" s="675"/>
      <c r="D446" s="652" t="s">
        <v>1348</v>
      </c>
      <c r="E446" s="675" t="s">
        <v>968</v>
      </c>
      <c r="F446" s="2007" t="s">
        <v>988</v>
      </c>
      <c r="G446" s="2006">
        <v>91000</v>
      </c>
      <c r="H446" s="2006">
        <v>91000</v>
      </c>
      <c r="I446" s="630">
        <f t="shared" si="97"/>
        <v>0</v>
      </c>
      <c r="J446" s="630">
        <f t="shared" si="98"/>
        <v>0</v>
      </c>
      <c r="K446" s="630">
        <f t="shared" si="99"/>
        <v>0</v>
      </c>
      <c r="L446" s="631">
        <f t="shared" si="100"/>
        <v>91000</v>
      </c>
      <c r="M446" s="631">
        <f t="shared" si="101"/>
        <v>0</v>
      </c>
      <c r="N446" s="631">
        <f t="shared" si="102"/>
        <v>91000</v>
      </c>
      <c r="O446" s="660">
        <f t="shared" si="103"/>
        <v>0</v>
      </c>
    </row>
    <row r="447" spans="1:16">
      <c r="A447" s="2015">
        <v>186</v>
      </c>
      <c r="B447" s="675">
        <v>18609622</v>
      </c>
      <c r="C447" s="675"/>
      <c r="D447" s="652" t="s">
        <v>1349</v>
      </c>
      <c r="E447" s="675" t="s">
        <v>968</v>
      </c>
      <c r="F447" s="2007" t="s">
        <v>988</v>
      </c>
      <c r="G447" s="2006">
        <v>50921397.210000001</v>
      </c>
      <c r="H447" s="2006">
        <v>19066811.440000001</v>
      </c>
      <c r="I447" s="630">
        <f t="shared" si="97"/>
        <v>0</v>
      </c>
      <c r="J447" s="630">
        <f t="shared" si="98"/>
        <v>0</v>
      </c>
      <c r="K447" s="630">
        <f t="shared" si="99"/>
        <v>0</v>
      </c>
      <c r="L447" s="631">
        <f t="shared" si="100"/>
        <v>50921397.210000001</v>
      </c>
      <c r="M447" s="631">
        <f t="shared" si="101"/>
        <v>0</v>
      </c>
      <c r="N447" s="631">
        <f t="shared" si="102"/>
        <v>50921397.210000001</v>
      </c>
      <c r="O447" s="660">
        <f t="shared" si="103"/>
        <v>0</v>
      </c>
    </row>
    <row r="448" spans="1:16">
      <c r="A448" s="2015">
        <v>186</v>
      </c>
      <c r="B448" s="675">
        <v>18609642</v>
      </c>
      <c r="C448" s="675"/>
      <c r="D448" s="652" t="s">
        <v>1350</v>
      </c>
      <c r="E448" s="675" t="s">
        <v>968</v>
      </c>
      <c r="F448" s="2007" t="s">
        <v>988</v>
      </c>
      <c r="G448" s="2006">
        <v>9165307.5399999991</v>
      </c>
      <c r="H448" s="2006">
        <v>8638873.1899999995</v>
      </c>
      <c r="I448" s="630">
        <f t="shared" si="97"/>
        <v>0</v>
      </c>
      <c r="J448" s="630">
        <f t="shared" si="98"/>
        <v>0</v>
      </c>
      <c r="K448" s="630">
        <f t="shared" si="99"/>
        <v>0</v>
      </c>
      <c r="L448" s="631">
        <f t="shared" si="100"/>
        <v>9165307.5399999991</v>
      </c>
      <c r="M448" s="631">
        <f t="shared" si="101"/>
        <v>0</v>
      </c>
      <c r="N448" s="631">
        <f t="shared" si="102"/>
        <v>9165307.5399999991</v>
      </c>
      <c r="O448" s="660">
        <f t="shared" si="103"/>
        <v>0</v>
      </c>
    </row>
    <row r="449" spans="1:16">
      <c r="A449" s="2015">
        <v>186</v>
      </c>
      <c r="B449" s="675">
        <v>18609652</v>
      </c>
      <c r="C449" s="675"/>
      <c r="D449" s="652" t="s">
        <v>1351</v>
      </c>
      <c r="E449" s="675" t="s">
        <v>968</v>
      </c>
      <c r="F449" s="2007" t="s">
        <v>988</v>
      </c>
      <c r="G449" s="2006">
        <v>549909.17000000004</v>
      </c>
      <c r="H449" s="2006">
        <v>50792.93</v>
      </c>
      <c r="I449" s="630">
        <f t="shared" si="97"/>
        <v>0</v>
      </c>
      <c r="J449" s="630">
        <f t="shared" si="98"/>
        <v>0</v>
      </c>
      <c r="K449" s="630">
        <f t="shared" si="99"/>
        <v>0</v>
      </c>
      <c r="L449" s="631">
        <f t="shared" si="100"/>
        <v>549909.17000000004</v>
      </c>
      <c r="M449" s="631">
        <f t="shared" si="101"/>
        <v>0</v>
      </c>
      <c r="N449" s="631">
        <f t="shared" si="102"/>
        <v>549909.17000000004</v>
      </c>
      <c r="O449" s="660">
        <f t="shared" si="103"/>
        <v>0</v>
      </c>
    </row>
    <row r="450" spans="1:16">
      <c r="A450" s="2015">
        <v>186</v>
      </c>
      <c r="B450" s="675">
        <v>18609662</v>
      </c>
      <c r="C450" s="675"/>
      <c r="D450" s="652" t="s">
        <v>1352</v>
      </c>
      <c r="E450" s="675" t="s">
        <v>968</v>
      </c>
      <c r="F450" s="2007" t="s">
        <v>988</v>
      </c>
      <c r="G450" s="2006">
        <v>727199.5</v>
      </c>
      <c r="H450" s="2006">
        <v>607610.67000000004</v>
      </c>
      <c r="I450" s="630">
        <f t="shared" si="97"/>
        <v>0</v>
      </c>
      <c r="J450" s="630">
        <f t="shared" si="98"/>
        <v>0</v>
      </c>
      <c r="K450" s="630">
        <f t="shared" si="99"/>
        <v>0</v>
      </c>
      <c r="L450" s="631">
        <f t="shared" si="100"/>
        <v>727199.5</v>
      </c>
      <c r="M450" s="631">
        <f t="shared" si="101"/>
        <v>0</v>
      </c>
      <c r="N450" s="631">
        <f t="shared" si="102"/>
        <v>727199.5</v>
      </c>
      <c r="O450" s="660">
        <f t="shared" si="103"/>
        <v>0</v>
      </c>
    </row>
    <row r="451" spans="1:16">
      <c r="A451" s="2015">
        <v>186</v>
      </c>
      <c r="B451" s="675">
        <v>18609672</v>
      </c>
      <c r="C451" s="675"/>
      <c r="D451" s="652" t="s">
        <v>1353</v>
      </c>
      <c r="E451" s="675" t="s">
        <v>968</v>
      </c>
      <c r="F451" s="2007" t="s">
        <v>988</v>
      </c>
      <c r="G451" s="2006">
        <v>260000</v>
      </c>
      <c r="H451" s="2006">
        <v>250000</v>
      </c>
      <c r="I451" s="630">
        <f t="shared" si="97"/>
        <v>0</v>
      </c>
      <c r="J451" s="630">
        <f t="shared" si="98"/>
        <v>0</v>
      </c>
      <c r="K451" s="630">
        <f t="shared" si="99"/>
        <v>0</v>
      </c>
      <c r="L451" s="631">
        <f t="shared" si="100"/>
        <v>260000</v>
      </c>
      <c r="M451" s="631">
        <f t="shared" si="101"/>
        <v>0</v>
      </c>
      <c r="N451" s="631">
        <f t="shared" si="102"/>
        <v>260000</v>
      </c>
      <c r="O451" s="660">
        <f t="shared" si="103"/>
        <v>0</v>
      </c>
    </row>
    <row r="452" spans="1:16">
      <c r="A452" s="2015">
        <v>186</v>
      </c>
      <c r="B452" s="675">
        <v>18609682</v>
      </c>
      <c r="C452" s="675"/>
      <c r="D452" s="652" t="s">
        <v>1354</v>
      </c>
      <c r="E452" s="675" t="s">
        <v>968</v>
      </c>
      <c r="F452" s="2007" t="s">
        <v>988</v>
      </c>
      <c r="G452" s="2006">
        <v>178800</v>
      </c>
      <c r="H452" s="2006">
        <v>149000</v>
      </c>
      <c r="I452" s="630">
        <f t="shared" si="97"/>
        <v>0</v>
      </c>
      <c r="J452" s="630">
        <f t="shared" si="98"/>
        <v>0</v>
      </c>
      <c r="K452" s="630">
        <f t="shared" si="99"/>
        <v>0</v>
      </c>
      <c r="L452" s="631">
        <f t="shared" si="100"/>
        <v>178800</v>
      </c>
      <c r="M452" s="631">
        <f t="shared" si="101"/>
        <v>0</v>
      </c>
      <c r="N452" s="631">
        <f t="shared" si="102"/>
        <v>178800</v>
      </c>
      <c r="O452" s="660">
        <f t="shared" si="103"/>
        <v>0</v>
      </c>
    </row>
    <row r="453" spans="1:16">
      <c r="A453" s="2015">
        <v>186</v>
      </c>
      <c r="B453" s="675">
        <v>18609692</v>
      </c>
      <c r="C453" s="675"/>
      <c r="D453" s="652" t="s">
        <v>1355</v>
      </c>
      <c r="E453" s="675" t="s">
        <v>968</v>
      </c>
      <c r="F453" s="2007" t="s">
        <v>988</v>
      </c>
      <c r="G453" s="2006">
        <v>128400</v>
      </c>
      <c r="H453" s="2006">
        <v>107000</v>
      </c>
      <c r="I453" s="630">
        <f t="shared" si="97"/>
        <v>0</v>
      </c>
      <c r="J453" s="630">
        <f t="shared" si="98"/>
        <v>0</v>
      </c>
      <c r="K453" s="630">
        <f t="shared" si="99"/>
        <v>0</v>
      </c>
      <c r="L453" s="631">
        <f t="shared" si="100"/>
        <v>128400</v>
      </c>
      <c r="M453" s="631">
        <f t="shared" si="101"/>
        <v>0</v>
      </c>
      <c r="N453" s="631">
        <f t="shared" si="102"/>
        <v>128400</v>
      </c>
      <c r="O453" s="660">
        <f t="shared" si="103"/>
        <v>0</v>
      </c>
    </row>
    <row r="454" spans="1:16">
      <c r="A454" s="2015">
        <v>186</v>
      </c>
      <c r="B454" s="675">
        <v>18609722</v>
      </c>
      <c r="C454" s="675"/>
      <c r="D454" s="652" t="s">
        <v>1356</v>
      </c>
      <c r="E454" s="675" t="s">
        <v>968</v>
      </c>
      <c r="F454" s="2007" t="s">
        <v>988</v>
      </c>
      <c r="G454" s="2006">
        <v>9604661.2699999996</v>
      </c>
      <c r="H454" s="2006">
        <v>7369216</v>
      </c>
      <c r="I454" s="630">
        <f t="shared" si="97"/>
        <v>0</v>
      </c>
      <c r="J454" s="630">
        <f t="shared" si="98"/>
        <v>0</v>
      </c>
      <c r="K454" s="630">
        <f t="shared" si="99"/>
        <v>0</v>
      </c>
      <c r="L454" s="631">
        <f t="shared" si="100"/>
        <v>9604661.2699999996</v>
      </c>
      <c r="M454" s="631">
        <f t="shared" si="101"/>
        <v>0</v>
      </c>
      <c r="N454" s="631">
        <f t="shared" si="102"/>
        <v>9604661.2699999996</v>
      </c>
      <c r="O454" s="660">
        <f t="shared" si="103"/>
        <v>0</v>
      </c>
    </row>
    <row r="455" spans="1:16">
      <c r="A455" s="2015">
        <v>186</v>
      </c>
      <c r="B455" s="675">
        <v>18609732</v>
      </c>
      <c r="C455" s="675"/>
      <c r="D455" s="652" t="s">
        <v>1357</v>
      </c>
      <c r="E455" s="675" t="s">
        <v>968</v>
      </c>
      <c r="F455" s="2007" t="s">
        <v>988</v>
      </c>
      <c r="G455" s="2006">
        <v>0</v>
      </c>
      <c r="H455" s="2006">
        <v>2225346.0499999998</v>
      </c>
      <c r="I455" s="630">
        <f t="shared" si="97"/>
        <v>0</v>
      </c>
      <c r="J455" s="630">
        <f t="shared" si="98"/>
        <v>0</v>
      </c>
      <c r="K455" s="630">
        <f t="shared" si="99"/>
        <v>0</v>
      </c>
      <c r="L455" s="631">
        <f t="shared" si="100"/>
        <v>0</v>
      </c>
      <c r="M455" s="631">
        <f t="shared" si="101"/>
        <v>0</v>
      </c>
      <c r="N455" s="631">
        <f t="shared" si="102"/>
        <v>0</v>
      </c>
      <c r="O455" s="660">
        <f t="shared" si="103"/>
        <v>0</v>
      </c>
    </row>
    <row r="456" spans="1:16">
      <c r="A456" s="2015">
        <v>186</v>
      </c>
      <c r="B456" s="675">
        <v>18609752</v>
      </c>
      <c r="C456" s="675"/>
      <c r="D456" s="652" t="s">
        <v>1010</v>
      </c>
      <c r="E456" s="675" t="s">
        <v>968</v>
      </c>
      <c r="F456" s="2007" t="s">
        <v>988</v>
      </c>
      <c r="G456" s="2006">
        <v>19567141.960000001</v>
      </c>
      <c r="H456" s="2006">
        <v>11162641.15</v>
      </c>
      <c r="I456" s="630">
        <f t="shared" si="97"/>
        <v>0</v>
      </c>
      <c r="J456" s="630">
        <f t="shared" si="98"/>
        <v>0</v>
      </c>
      <c r="K456" s="630">
        <f t="shared" si="99"/>
        <v>0</v>
      </c>
      <c r="L456" s="631">
        <f t="shared" si="100"/>
        <v>19567141.960000001</v>
      </c>
      <c r="M456" s="631">
        <f t="shared" si="101"/>
        <v>0</v>
      </c>
      <c r="N456" s="631">
        <f t="shared" si="102"/>
        <v>19567141.960000001</v>
      </c>
      <c r="O456" s="660">
        <f t="shared" si="103"/>
        <v>0</v>
      </c>
      <c r="P456" s="2005" t="s">
        <v>1358</v>
      </c>
    </row>
    <row r="457" spans="1:16">
      <c r="A457" s="2015">
        <v>186</v>
      </c>
      <c r="B457" s="675">
        <v>18609762</v>
      </c>
      <c r="C457" s="675"/>
      <c r="D457" s="652" t="s">
        <v>1359</v>
      </c>
      <c r="E457" s="675" t="s">
        <v>968</v>
      </c>
      <c r="F457" s="2007" t="s">
        <v>988</v>
      </c>
      <c r="G457" s="2006">
        <v>-19567141.960000001</v>
      </c>
      <c r="H457" s="2006">
        <v>-11162641.15</v>
      </c>
      <c r="I457" s="630">
        <f t="shared" si="97"/>
        <v>0</v>
      </c>
      <c r="J457" s="630">
        <f t="shared" si="98"/>
        <v>0</v>
      </c>
      <c r="K457" s="630">
        <f t="shared" si="99"/>
        <v>0</v>
      </c>
      <c r="L457" s="631">
        <f t="shared" si="100"/>
        <v>-19567141.960000001</v>
      </c>
      <c r="M457" s="631">
        <f t="shared" si="101"/>
        <v>0</v>
      </c>
      <c r="N457" s="631">
        <f t="shared" si="102"/>
        <v>-19567141.960000001</v>
      </c>
      <c r="O457" s="660">
        <f t="shared" si="103"/>
        <v>0</v>
      </c>
      <c r="P457" s="2005" t="s">
        <v>1360</v>
      </c>
    </row>
    <row r="458" spans="1:16">
      <c r="A458" s="2015">
        <v>186</v>
      </c>
      <c r="B458" s="675">
        <v>18609801</v>
      </c>
      <c r="C458" s="675"/>
      <c r="D458" s="652" t="s">
        <v>1361</v>
      </c>
      <c r="E458" s="675" t="s">
        <v>968</v>
      </c>
      <c r="F458" s="2007" t="s">
        <v>392</v>
      </c>
      <c r="G458" s="2006">
        <v>178296.66</v>
      </c>
      <c r="H458" s="2006">
        <v>173843.73</v>
      </c>
      <c r="I458" s="630">
        <f t="shared" si="97"/>
        <v>178296.66</v>
      </c>
      <c r="J458" s="630">
        <f t="shared" si="98"/>
        <v>0</v>
      </c>
      <c r="K458" s="630">
        <f t="shared" si="99"/>
        <v>0</v>
      </c>
      <c r="L458" s="631">
        <f t="shared" si="100"/>
        <v>0</v>
      </c>
      <c r="M458" s="631">
        <f t="shared" si="101"/>
        <v>0</v>
      </c>
      <c r="N458" s="631">
        <f t="shared" si="102"/>
        <v>178296.66</v>
      </c>
      <c r="O458" s="660">
        <f t="shared" si="103"/>
        <v>0</v>
      </c>
    </row>
    <row r="459" spans="1:16">
      <c r="A459" s="2030">
        <v>186</v>
      </c>
      <c r="B459" s="2017">
        <v>18609802</v>
      </c>
      <c r="C459" s="2017"/>
      <c r="D459" s="2018" t="s">
        <v>1362</v>
      </c>
      <c r="E459" s="2017"/>
      <c r="F459" s="2017" t="s">
        <v>988</v>
      </c>
      <c r="G459" s="2011">
        <v>34840158.590000004</v>
      </c>
      <c r="H459" s="2011">
        <v>18870408.59</v>
      </c>
      <c r="I459" s="673">
        <f t="shared" si="97"/>
        <v>0</v>
      </c>
      <c r="J459" s="673">
        <f t="shared" si="98"/>
        <v>0</v>
      </c>
      <c r="K459" s="673">
        <f t="shared" si="99"/>
        <v>0</v>
      </c>
      <c r="L459" s="674">
        <f t="shared" si="100"/>
        <v>34840158.590000004</v>
      </c>
      <c r="M459" s="674">
        <f t="shared" si="101"/>
        <v>0</v>
      </c>
      <c r="N459" s="674">
        <f t="shared" si="102"/>
        <v>34840158.590000004</v>
      </c>
      <c r="O459" s="660">
        <f t="shared" si="103"/>
        <v>0</v>
      </c>
    </row>
    <row r="460" spans="1:16">
      <c r="A460" s="2030">
        <v>186</v>
      </c>
      <c r="B460" s="2017">
        <v>18609812</v>
      </c>
      <c r="C460" s="2017"/>
      <c r="D460" s="2018" t="s">
        <v>8053</v>
      </c>
      <c r="E460" s="2017"/>
      <c r="F460" s="2017" t="s">
        <v>988</v>
      </c>
      <c r="G460" s="2011">
        <v>3524.02</v>
      </c>
      <c r="H460" s="2011">
        <v>0</v>
      </c>
      <c r="I460" s="673">
        <f t="shared" si="97"/>
        <v>0</v>
      </c>
      <c r="J460" s="673">
        <f t="shared" si="98"/>
        <v>0</v>
      </c>
      <c r="K460" s="673">
        <f t="shared" si="99"/>
        <v>0</v>
      </c>
      <c r="L460" s="674">
        <f t="shared" si="100"/>
        <v>3524.02</v>
      </c>
      <c r="M460" s="674">
        <f t="shared" si="101"/>
        <v>0</v>
      </c>
      <c r="N460" s="674">
        <f t="shared" si="102"/>
        <v>3524.02</v>
      </c>
      <c r="O460" s="660">
        <f t="shared" si="103"/>
        <v>0</v>
      </c>
    </row>
    <row r="461" spans="1:16">
      <c r="A461" s="2015">
        <v>186</v>
      </c>
      <c r="B461" s="675">
        <v>18609821</v>
      </c>
      <c r="C461" s="675"/>
      <c r="D461" s="652" t="s">
        <v>1363</v>
      </c>
      <c r="E461" s="675" t="s">
        <v>968</v>
      </c>
      <c r="F461" s="2007" t="s">
        <v>392</v>
      </c>
      <c r="G461" s="2006">
        <v>1101044.94</v>
      </c>
      <c r="H461" s="2006">
        <v>975899.75</v>
      </c>
      <c r="I461" s="630">
        <f t="shared" si="97"/>
        <v>1101044.94</v>
      </c>
      <c r="J461" s="630">
        <f t="shared" si="98"/>
        <v>0</v>
      </c>
      <c r="K461" s="630">
        <f t="shared" si="99"/>
        <v>0</v>
      </c>
      <c r="L461" s="631">
        <f t="shared" si="100"/>
        <v>0</v>
      </c>
      <c r="M461" s="631">
        <f t="shared" si="101"/>
        <v>0</v>
      </c>
      <c r="N461" s="631">
        <f t="shared" si="102"/>
        <v>1101044.94</v>
      </c>
      <c r="O461" s="660">
        <f t="shared" si="103"/>
        <v>0</v>
      </c>
    </row>
    <row r="462" spans="1:16">
      <c r="A462" s="2015">
        <v>186</v>
      </c>
      <c r="B462" s="675">
        <v>18609841</v>
      </c>
      <c r="C462" s="675"/>
      <c r="D462" s="652" t="s">
        <v>1364</v>
      </c>
      <c r="E462" s="675" t="s">
        <v>968</v>
      </c>
      <c r="F462" s="2007" t="s">
        <v>392</v>
      </c>
      <c r="G462" s="2006">
        <v>1460057.8</v>
      </c>
      <c r="H462" s="2006">
        <v>1456087.15</v>
      </c>
      <c r="I462" s="630">
        <f t="shared" si="97"/>
        <v>1460057.8</v>
      </c>
      <c r="J462" s="630">
        <f t="shared" si="98"/>
        <v>0</v>
      </c>
      <c r="K462" s="630">
        <f t="shared" si="99"/>
        <v>0</v>
      </c>
      <c r="L462" s="631">
        <f t="shared" si="100"/>
        <v>0</v>
      </c>
      <c r="M462" s="631">
        <f t="shared" si="101"/>
        <v>0</v>
      </c>
      <c r="N462" s="631">
        <f t="shared" si="102"/>
        <v>1460057.8</v>
      </c>
      <c r="O462" s="660">
        <f t="shared" si="103"/>
        <v>0</v>
      </c>
    </row>
    <row r="463" spans="1:16">
      <c r="A463" s="2015">
        <v>186</v>
      </c>
      <c r="B463" s="675">
        <v>18609851</v>
      </c>
      <c r="C463" s="675"/>
      <c r="D463" s="652" t="s">
        <v>1365</v>
      </c>
      <c r="E463" s="675" t="s">
        <v>968</v>
      </c>
      <c r="F463" s="2007" t="s">
        <v>390</v>
      </c>
      <c r="G463" s="2006">
        <v>0</v>
      </c>
      <c r="H463" s="2006">
        <v>5490739.9900000002</v>
      </c>
      <c r="I463" s="630">
        <f t="shared" si="97"/>
        <v>0</v>
      </c>
      <c r="J463" s="630">
        <f t="shared" si="98"/>
        <v>0</v>
      </c>
      <c r="K463" s="630">
        <f t="shared" si="99"/>
        <v>0</v>
      </c>
      <c r="L463" s="631">
        <f t="shared" si="100"/>
        <v>0</v>
      </c>
      <c r="M463" s="631">
        <f t="shared" si="101"/>
        <v>0</v>
      </c>
      <c r="N463" s="631">
        <f t="shared" si="102"/>
        <v>0</v>
      </c>
      <c r="O463" s="660">
        <f t="shared" si="103"/>
        <v>0</v>
      </c>
    </row>
    <row r="464" spans="1:16">
      <c r="A464" s="2015">
        <v>186</v>
      </c>
      <c r="B464" s="675">
        <v>18609861</v>
      </c>
      <c r="C464" s="675"/>
      <c r="D464" s="652" t="s">
        <v>1366</v>
      </c>
      <c r="E464" s="675" t="s">
        <v>968</v>
      </c>
      <c r="F464" s="2007" t="s">
        <v>392</v>
      </c>
      <c r="G464" s="2006">
        <v>3489838.56</v>
      </c>
      <c r="H464" s="2006">
        <v>4067901.4</v>
      </c>
      <c r="I464" s="630">
        <f t="shared" si="97"/>
        <v>3489838.56</v>
      </c>
      <c r="J464" s="630">
        <f t="shared" si="98"/>
        <v>0</v>
      </c>
      <c r="K464" s="630">
        <f t="shared" si="99"/>
        <v>0</v>
      </c>
      <c r="L464" s="631">
        <f t="shared" si="100"/>
        <v>0</v>
      </c>
      <c r="M464" s="631">
        <f t="shared" si="101"/>
        <v>0</v>
      </c>
      <c r="N464" s="631">
        <f t="shared" si="102"/>
        <v>3489838.56</v>
      </c>
      <c r="O464" s="660">
        <f t="shared" si="103"/>
        <v>0</v>
      </c>
    </row>
    <row r="465" spans="1:16">
      <c r="A465" s="2015">
        <v>186</v>
      </c>
      <c r="B465" s="675">
        <v>18609871</v>
      </c>
      <c r="C465" s="675"/>
      <c r="D465" s="652" t="s">
        <v>1367</v>
      </c>
      <c r="E465" s="675" t="s">
        <v>968</v>
      </c>
      <c r="F465" s="2007" t="s">
        <v>390</v>
      </c>
      <c r="G465" s="2006">
        <v>20455915.949999999</v>
      </c>
      <c r="H465" s="2006">
        <v>17478709</v>
      </c>
      <c r="I465" s="630">
        <f t="shared" si="97"/>
        <v>0</v>
      </c>
      <c r="J465" s="630">
        <f t="shared" si="98"/>
        <v>0</v>
      </c>
      <c r="K465" s="630">
        <f t="shared" si="99"/>
        <v>20455915.949999999</v>
      </c>
      <c r="L465" s="631">
        <f t="shared" si="100"/>
        <v>0</v>
      </c>
      <c r="M465" s="631">
        <f t="shared" si="101"/>
        <v>0</v>
      </c>
      <c r="N465" s="631">
        <f t="shared" si="102"/>
        <v>20455915.949999999</v>
      </c>
      <c r="O465" s="660">
        <f t="shared" si="103"/>
        <v>0</v>
      </c>
    </row>
    <row r="466" spans="1:16">
      <c r="A466" s="2015">
        <v>186</v>
      </c>
      <c r="B466" s="675">
        <v>18609893</v>
      </c>
      <c r="C466" s="675"/>
      <c r="D466" s="652" t="s">
        <v>1368</v>
      </c>
      <c r="E466" s="675" t="s">
        <v>968</v>
      </c>
      <c r="F466" s="2007" t="s">
        <v>390</v>
      </c>
      <c r="G466" s="2032">
        <f>194321100.21*0</f>
        <v>0</v>
      </c>
      <c r="H466" s="2032">
        <f>193508845.88*0</f>
        <v>0</v>
      </c>
      <c r="I466" s="630">
        <f t="shared" si="97"/>
        <v>0</v>
      </c>
      <c r="J466" s="630">
        <f t="shared" si="98"/>
        <v>0</v>
      </c>
      <c r="K466" s="630">
        <f t="shared" si="99"/>
        <v>0</v>
      </c>
      <c r="L466" s="631">
        <f t="shared" si="100"/>
        <v>0</v>
      </c>
      <c r="M466" s="631">
        <f t="shared" si="101"/>
        <v>0</v>
      </c>
      <c r="N466" s="631">
        <f t="shared" si="102"/>
        <v>0</v>
      </c>
      <c r="O466" s="660">
        <f t="shared" si="103"/>
        <v>0</v>
      </c>
    </row>
    <row r="467" spans="1:16">
      <c r="A467" s="2030">
        <v>186</v>
      </c>
      <c r="B467" s="2017">
        <v>18609903</v>
      </c>
      <c r="C467" s="2017"/>
      <c r="D467" s="2018" t="s">
        <v>6766</v>
      </c>
      <c r="E467" s="2017"/>
      <c r="F467" s="2017" t="s">
        <v>390</v>
      </c>
      <c r="G467" s="2011">
        <v>0</v>
      </c>
      <c r="H467" s="2011">
        <v>0</v>
      </c>
      <c r="I467" s="673">
        <f t="shared" ref="I467:I494" si="104">IF(RIGHT($B467,1)="1", $G467*VLOOKUP($F467, Ratio, 2, FALSE), IF(RIGHT($B467,1)="3", $G467*VLOOKUP($F467, Ratio, 2, FALSE)*$F$5, 0))</f>
        <v>0</v>
      </c>
      <c r="J467" s="673">
        <f t="shared" ref="J467:J494" si="105">IF(RIGHT($B467,1)="1", $G467*VLOOKUP($F467, Ratio, 3, FALSE), IF(RIGHT($B467,1)="3", $G467*VLOOKUP($F467, Ratio, 3, FALSE)*$F$5, 0))</f>
        <v>0</v>
      </c>
      <c r="K467" s="673">
        <f t="shared" ref="K467:K494" si="106">IF(RIGHT($B467,1)="1", $G467*VLOOKUP($F467, Ratio, 4, FALSE), IF(RIGHT($B467,1)="3", $G467*VLOOKUP($F467, Ratio, 4, FALSE)*$F$5, 0))</f>
        <v>0</v>
      </c>
      <c r="L467" s="674">
        <f t="shared" ref="L467:L494" si="107">IF(F467="GAS", G467, 0)</f>
        <v>0</v>
      </c>
      <c r="M467" s="674">
        <f t="shared" ref="M467:M494" si="108">IF(RIGHT(B467,1)="3",G467*$G$5,0)</f>
        <v>0</v>
      </c>
      <c r="N467" s="674">
        <f t="shared" ref="N467:N494" si="109">SUM(I467:M467)</f>
        <v>0</v>
      </c>
      <c r="O467" s="660">
        <f t="shared" ref="O467:O494" si="110">G467-N467</f>
        <v>0</v>
      </c>
    </row>
    <row r="468" spans="1:16">
      <c r="A468" s="2015">
        <v>186</v>
      </c>
      <c r="B468" s="675">
        <v>18609931</v>
      </c>
      <c r="C468" s="675"/>
      <c r="D468" s="2044" t="s">
        <v>1369</v>
      </c>
      <c r="E468" s="2043"/>
      <c r="F468" s="2042" t="s">
        <v>392</v>
      </c>
      <c r="G468" s="2006">
        <v>-51267422</v>
      </c>
      <c r="H468" s="2006">
        <v>-55326857</v>
      </c>
      <c r="I468" s="630">
        <f t="shared" si="104"/>
        <v>-51267422</v>
      </c>
      <c r="J468" s="630">
        <f t="shared" si="105"/>
        <v>0</v>
      </c>
      <c r="K468" s="630">
        <f t="shared" si="106"/>
        <v>0</v>
      </c>
      <c r="L468" s="631">
        <f t="shared" si="107"/>
        <v>0</v>
      </c>
      <c r="M468" s="631">
        <f t="shared" si="108"/>
        <v>0</v>
      </c>
      <c r="N468" s="631">
        <f t="shared" si="109"/>
        <v>-51267422</v>
      </c>
      <c r="O468" s="660">
        <f t="shared" si="110"/>
        <v>0</v>
      </c>
      <c r="P468" s="2005" t="s">
        <v>1222</v>
      </c>
    </row>
    <row r="469" spans="1:16">
      <c r="A469" s="2030">
        <v>186</v>
      </c>
      <c r="B469" s="2017">
        <v>18609941</v>
      </c>
      <c r="C469" s="2017"/>
      <c r="D469" s="2018" t="s">
        <v>8054</v>
      </c>
      <c r="E469" s="2017"/>
      <c r="F469" s="2017" t="s">
        <v>392</v>
      </c>
      <c r="G469" s="2011">
        <v>2270299.06</v>
      </c>
      <c r="H469" s="2011">
        <v>3006612.34</v>
      </c>
      <c r="I469" s="673">
        <f t="shared" si="104"/>
        <v>2270299.06</v>
      </c>
      <c r="J469" s="673">
        <f t="shared" si="105"/>
        <v>0</v>
      </c>
      <c r="K469" s="673">
        <f t="shared" si="106"/>
        <v>0</v>
      </c>
      <c r="L469" s="674">
        <f t="shared" si="107"/>
        <v>0</v>
      </c>
      <c r="M469" s="674">
        <f t="shared" si="108"/>
        <v>0</v>
      </c>
      <c r="N469" s="674">
        <f t="shared" si="109"/>
        <v>2270299.06</v>
      </c>
      <c r="O469" s="660">
        <f t="shared" si="110"/>
        <v>0</v>
      </c>
      <c r="P469" s="2005" t="s">
        <v>1264</v>
      </c>
    </row>
    <row r="470" spans="1:16">
      <c r="A470" s="2030">
        <v>186</v>
      </c>
      <c r="B470" s="2017">
        <v>18609951</v>
      </c>
      <c r="C470" s="2017"/>
      <c r="D470" s="2018" t="s">
        <v>8055</v>
      </c>
      <c r="E470" s="2017"/>
      <c r="F470" s="2017" t="s">
        <v>108</v>
      </c>
      <c r="G470" s="2011">
        <v>5817.89</v>
      </c>
      <c r="H470" s="2011">
        <v>0</v>
      </c>
      <c r="I470" s="673">
        <f t="shared" si="104"/>
        <v>2035.5202608075608</v>
      </c>
      <c r="J470" s="673">
        <f t="shared" si="105"/>
        <v>0</v>
      </c>
      <c r="K470" s="673">
        <f t="shared" si="106"/>
        <v>3782.369738078914</v>
      </c>
      <c r="L470" s="674">
        <f t="shared" si="107"/>
        <v>0</v>
      </c>
      <c r="M470" s="674">
        <f t="shared" si="108"/>
        <v>0</v>
      </c>
      <c r="N470" s="674">
        <f t="shared" si="109"/>
        <v>5817.889998886475</v>
      </c>
      <c r="O470" s="660">
        <f t="shared" si="110"/>
        <v>1.1135252862004563E-6</v>
      </c>
      <c r="P470" s="2005" t="s">
        <v>8065</v>
      </c>
    </row>
    <row r="471" spans="1:16">
      <c r="A471" s="2015">
        <v>186</v>
      </c>
      <c r="B471" s="675">
        <v>18610001</v>
      </c>
      <c r="C471" s="675"/>
      <c r="D471" s="652" t="s">
        <v>1370</v>
      </c>
      <c r="E471" s="675" t="s">
        <v>968</v>
      </c>
      <c r="F471" s="2007" t="s">
        <v>390</v>
      </c>
      <c r="G471" s="2006">
        <v>1055831.75</v>
      </c>
      <c r="H471" s="2006">
        <v>297358.08000000002</v>
      </c>
      <c r="I471" s="630">
        <f t="shared" si="104"/>
        <v>0</v>
      </c>
      <c r="J471" s="630">
        <f t="shared" si="105"/>
        <v>0</v>
      </c>
      <c r="K471" s="630">
        <f t="shared" si="106"/>
        <v>1055831.75</v>
      </c>
      <c r="L471" s="631">
        <f t="shared" si="107"/>
        <v>0</v>
      </c>
      <c r="M471" s="631">
        <f t="shared" si="108"/>
        <v>0</v>
      </c>
      <c r="N471" s="631">
        <f t="shared" si="109"/>
        <v>1055831.75</v>
      </c>
      <c r="O471" s="660">
        <f t="shared" si="110"/>
        <v>0</v>
      </c>
    </row>
    <row r="472" spans="1:16">
      <c r="A472" s="2015">
        <v>186</v>
      </c>
      <c r="B472" s="675">
        <v>18610011</v>
      </c>
      <c r="C472" s="675"/>
      <c r="D472" s="652" t="s">
        <v>1371</v>
      </c>
      <c r="E472" s="675" t="s">
        <v>968</v>
      </c>
      <c r="F472" s="2007" t="s">
        <v>390</v>
      </c>
      <c r="G472" s="2006">
        <v>226247.98</v>
      </c>
      <c r="H472" s="2006">
        <v>485072.12</v>
      </c>
      <c r="I472" s="630">
        <f t="shared" si="104"/>
        <v>0</v>
      </c>
      <c r="J472" s="630">
        <f t="shared" si="105"/>
        <v>0</v>
      </c>
      <c r="K472" s="630">
        <f t="shared" si="106"/>
        <v>226247.98</v>
      </c>
      <c r="L472" s="631">
        <f t="shared" si="107"/>
        <v>0</v>
      </c>
      <c r="M472" s="631">
        <f t="shared" si="108"/>
        <v>0</v>
      </c>
      <c r="N472" s="631">
        <f t="shared" si="109"/>
        <v>226247.98</v>
      </c>
      <c r="O472" s="660">
        <f t="shared" si="110"/>
        <v>0</v>
      </c>
    </row>
    <row r="473" spans="1:16">
      <c r="A473" s="2015">
        <v>186</v>
      </c>
      <c r="B473" s="675">
        <v>18610021</v>
      </c>
      <c r="C473" s="675"/>
      <c r="D473" s="652" t="s">
        <v>1372</v>
      </c>
      <c r="E473" s="675" t="s">
        <v>968</v>
      </c>
      <c r="F473" s="2007" t="s">
        <v>390</v>
      </c>
      <c r="G473" s="2006">
        <v>0</v>
      </c>
      <c r="H473" s="2006">
        <v>-1269.22</v>
      </c>
      <c r="I473" s="630">
        <f t="shared" si="104"/>
        <v>0</v>
      </c>
      <c r="J473" s="630">
        <f t="shared" si="105"/>
        <v>0</v>
      </c>
      <c r="K473" s="630">
        <f t="shared" si="106"/>
        <v>0</v>
      </c>
      <c r="L473" s="631">
        <f t="shared" si="107"/>
        <v>0</v>
      </c>
      <c r="M473" s="631">
        <f t="shared" si="108"/>
        <v>0</v>
      </c>
      <c r="N473" s="631">
        <f t="shared" si="109"/>
        <v>0</v>
      </c>
      <c r="O473" s="660">
        <f t="shared" si="110"/>
        <v>0</v>
      </c>
    </row>
    <row r="474" spans="1:16">
      <c r="A474" s="2015">
        <v>186</v>
      </c>
      <c r="B474" s="675">
        <v>18610031</v>
      </c>
      <c r="C474" s="675"/>
      <c r="D474" s="652" t="s">
        <v>1373</v>
      </c>
      <c r="E474" s="675" t="s">
        <v>968</v>
      </c>
      <c r="F474" s="2007" t="s">
        <v>390</v>
      </c>
      <c r="G474" s="2006">
        <v>0</v>
      </c>
      <c r="H474" s="2006">
        <v>131269.22</v>
      </c>
      <c r="I474" s="630">
        <f t="shared" si="104"/>
        <v>0</v>
      </c>
      <c r="J474" s="630">
        <f t="shared" si="105"/>
        <v>0</v>
      </c>
      <c r="K474" s="630">
        <f t="shared" si="106"/>
        <v>0</v>
      </c>
      <c r="L474" s="631">
        <f t="shared" si="107"/>
        <v>0</v>
      </c>
      <c r="M474" s="631">
        <f t="shared" si="108"/>
        <v>0</v>
      </c>
      <c r="N474" s="631">
        <f t="shared" si="109"/>
        <v>0</v>
      </c>
      <c r="O474" s="660">
        <f t="shared" si="110"/>
        <v>0</v>
      </c>
    </row>
    <row r="475" spans="1:16">
      <c r="A475" s="2015">
        <v>186</v>
      </c>
      <c r="B475" s="675">
        <v>18610041</v>
      </c>
      <c r="C475" s="675"/>
      <c r="D475" s="652" t="s">
        <v>1374</v>
      </c>
      <c r="E475" s="675" t="s">
        <v>968</v>
      </c>
      <c r="F475" s="2007" t="s">
        <v>390</v>
      </c>
      <c r="G475" s="2006">
        <v>38888639.25</v>
      </c>
      <c r="H475" s="2006">
        <v>39307500</v>
      </c>
      <c r="I475" s="630">
        <f t="shared" si="104"/>
        <v>0</v>
      </c>
      <c r="J475" s="630">
        <f t="shared" si="105"/>
        <v>0</v>
      </c>
      <c r="K475" s="630">
        <f t="shared" si="106"/>
        <v>38888639.25</v>
      </c>
      <c r="L475" s="631">
        <f t="shared" si="107"/>
        <v>0</v>
      </c>
      <c r="M475" s="631">
        <f t="shared" si="108"/>
        <v>0</v>
      </c>
      <c r="N475" s="631">
        <f t="shared" si="109"/>
        <v>38888639.25</v>
      </c>
      <c r="O475" s="660">
        <f t="shared" si="110"/>
        <v>0</v>
      </c>
      <c r="P475" s="2005" t="s">
        <v>1375</v>
      </c>
    </row>
    <row r="476" spans="1:16">
      <c r="A476" s="2015">
        <v>186</v>
      </c>
      <c r="B476" s="675">
        <v>18610051</v>
      </c>
      <c r="C476" s="675"/>
      <c r="D476" s="652" t="s">
        <v>1376</v>
      </c>
      <c r="E476" s="675" t="s">
        <v>968</v>
      </c>
      <c r="F476" s="2007" t="s">
        <v>390</v>
      </c>
      <c r="G476" s="2006">
        <v>0</v>
      </c>
      <c r="H476" s="2006">
        <v>5810.53</v>
      </c>
      <c r="I476" s="630">
        <f t="shared" si="104"/>
        <v>0</v>
      </c>
      <c r="J476" s="630">
        <f t="shared" si="105"/>
        <v>0</v>
      </c>
      <c r="K476" s="630">
        <f t="shared" si="106"/>
        <v>0</v>
      </c>
      <c r="L476" s="631">
        <f t="shared" si="107"/>
        <v>0</v>
      </c>
      <c r="M476" s="631">
        <f t="shared" si="108"/>
        <v>0</v>
      </c>
      <c r="N476" s="631">
        <f t="shared" si="109"/>
        <v>0</v>
      </c>
      <c r="O476" s="660">
        <f t="shared" si="110"/>
        <v>0</v>
      </c>
    </row>
    <row r="477" spans="1:16">
      <c r="A477" s="2015">
        <v>186</v>
      </c>
      <c r="B477" s="675">
        <v>18610071</v>
      </c>
      <c r="C477" s="675"/>
      <c r="D477" s="652" t="s">
        <v>1186</v>
      </c>
      <c r="E477" s="675" t="s">
        <v>968</v>
      </c>
      <c r="F477" s="2007" t="s">
        <v>390</v>
      </c>
      <c r="G477" s="2006">
        <v>-89819.63</v>
      </c>
      <c r="H477" s="2006">
        <v>100000</v>
      </c>
      <c r="I477" s="630">
        <f t="shared" si="104"/>
        <v>0</v>
      </c>
      <c r="J477" s="630">
        <f t="shared" si="105"/>
        <v>0</v>
      </c>
      <c r="K477" s="630">
        <f t="shared" si="106"/>
        <v>-89819.63</v>
      </c>
      <c r="L477" s="631">
        <f t="shared" si="107"/>
        <v>0</v>
      </c>
      <c r="M477" s="631">
        <f t="shared" si="108"/>
        <v>0</v>
      </c>
      <c r="N477" s="631">
        <f t="shared" si="109"/>
        <v>-89819.63</v>
      </c>
      <c r="O477" s="660">
        <f t="shared" si="110"/>
        <v>0</v>
      </c>
    </row>
    <row r="478" spans="1:16">
      <c r="A478" s="2015">
        <v>186</v>
      </c>
      <c r="B478" s="675">
        <v>18610081</v>
      </c>
      <c r="C478" s="675"/>
      <c r="D478" s="652" t="s">
        <v>1178</v>
      </c>
      <c r="E478" s="675" t="s">
        <v>968</v>
      </c>
      <c r="F478" s="2007" t="s">
        <v>390</v>
      </c>
      <c r="G478" s="2006">
        <v>0</v>
      </c>
      <c r="H478" s="2006">
        <v>99931.95</v>
      </c>
      <c r="I478" s="630">
        <f t="shared" si="104"/>
        <v>0</v>
      </c>
      <c r="J478" s="630">
        <f t="shared" si="105"/>
        <v>0</v>
      </c>
      <c r="K478" s="630">
        <f t="shared" si="106"/>
        <v>0</v>
      </c>
      <c r="L478" s="631">
        <f t="shared" si="107"/>
        <v>0</v>
      </c>
      <c r="M478" s="631">
        <f t="shared" si="108"/>
        <v>0</v>
      </c>
      <c r="N478" s="631">
        <f t="shared" si="109"/>
        <v>0</v>
      </c>
      <c r="O478" s="660">
        <f t="shared" si="110"/>
        <v>0</v>
      </c>
    </row>
    <row r="479" spans="1:16">
      <c r="A479" s="2030">
        <v>186</v>
      </c>
      <c r="B479" s="2017">
        <v>18610091</v>
      </c>
      <c r="C479" s="2017"/>
      <c r="D479" s="2018" t="s">
        <v>8056</v>
      </c>
      <c r="E479" s="2017"/>
      <c r="F479" s="2017" t="s">
        <v>390</v>
      </c>
      <c r="G479" s="2011">
        <v>189819.63</v>
      </c>
      <c r="H479" s="2011">
        <v>0</v>
      </c>
      <c r="I479" s="673">
        <f t="shared" si="104"/>
        <v>0</v>
      </c>
      <c r="J479" s="673">
        <f t="shared" si="105"/>
        <v>0</v>
      </c>
      <c r="K479" s="673">
        <f t="shared" si="106"/>
        <v>189819.63</v>
      </c>
      <c r="L479" s="674">
        <f t="shared" si="107"/>
        <v>0</v>
      </c>
      <c r="M479" s="674">
        <f t="shared" si="108"/>
        <v>0</v>
      </c>
      <c r="N479" s="674">
        <f t="shared" si="109"/>
        <v>189819.63</v>
      </c>
      <c r="O479" s="660">
        <f t="shared" si="110"/>
        <v>0</v>
      </c>
    </row>
    <row r="480" spans="1:16">
      <c r="A480" s="2030">
        <v>186</v>
      </c>
      <c r="B480" s="2017">
        <v>18610101</v>
      </c>
      <c r="C480" s="2017"/>
      <c r="D480" s="2018" t="s">
        <v>8057</v>
      </c>
      <c r="E480" s="2017"/>
      <c r="F480" s="2017" t="s">
        <v>392</v>
      </c>
      <c r="G480" s="2011">
        <v>418860.75</v>
      </c>
      <c r="H480" s="2011">
        <v>0</v>
      </c>
      <c r="I480" s="673">
        <f t="shared" si="104"/>
        <v>418860.75</v>
      </c>
      <c r="J480" s="673">
        <f t="shared" si="105"/>
        <v>0</v>
      </c>
      <c r="K480" s="673">
        <f t="shared" si="106"/>
        <v>0</v>
      </c>
      <c r="L480" s="674">
        <f t="shared" si="107"/>
        <v>0</v>
      </c>
      <c r="M480" s="674">
        <f t="shared" si="108"/>
        <v>0</v>
      </c>
      <c r="N480" s="674">
        <f t="shared" si="109"/>
        <v>418860.75</v>
      </c>
      <c r="O480" s="660">
        <f t="shared" si="110"/>
        <v>0</v>
      </c>
    </row>
    <row r="481" spans="1:16">
      <c r="A481" s="2015">
        <v>186</v>
      </c>
      <c r="B481" s="675">
        <v>18630031</v>
      </c>
      <c r="C481" s="675"/>
      <c r="D481" s="652" t="s">
        <v>1377</v>
      </c>
      <c r="E481" s="675" t="s">
        <v>968</v>
      </c>
      <c r="F481" s="2007" t="s">
        <v>390</v>
      </c>
      <c r="G481" s="2006">
        <v>0</v>
      </c>
      <c r="H481" s="2006">
        <v>0</v>
      </c>
      <c r="I481" s="630">
        <f t="shared" si="104"/>
        <v>0</v>
      </c>
      <c r="J481" s="630">
        <f t="shared" si="105"/>
        <v>0</v>
      </c>
      <c r="K481" s="630">
        <f t="shared" si="106"/>
        <v>0</v>
      </c>
      <c r="L481" s="631">
        <f t="shared" si="107"/>
        <v>0</v>
      </c>
      <c r="M481" s="631">
        <f t="shared" si="108"/>
        <v>0</v>
      </c>
      <c r="N481" s="631">
        <f t="shared" si="109"/>
        <v>0</v>
      </c>
      <c r="O481" s="660">
        <f t="shared" si="110"/>
        <v>0</v>
      </c>
    </row>
    <row r="482" spans="1:16">
      <c r="A482" s="2015">
        <v>186</v>
      </c>
      <c r="B482" s="675">
        <v>18630041</v>
      </c>
      <c r="C482" s="675"/>
      <c r="D482" s="652" t="s">
        <v>1378</v>
      </c>
      <c r="E482" s="675" t="s">
        <v>968</v>
      </c>
      <c r="F482" s="2007" t="s">
        <v>391</v>
      </c>
      <c r="G482" s="2006">
        <v>2793042.72</v>
      </c>
      <c r="H482" s="2006">
        <v>2870988.12</v>
      </c>
      <c r="I482" s="630">
        <f t="shared" si="104"/>
        <v>0</v>
      </c>
      <c r="J482" s="630">
        <f t="shared" si="105"/>
        <v>0</v>
      </c>
      <c r="K482" s="630">
        <f t="shared" si="106"/>
        <v>2793042.72</v>
      </c>
      <c r="L482" s="631">
        <f t="shared" si="107"/>
        <v>0</v>
      </c>
      <c r="M482" s="631">
        <f t="shared" si="108"/>
        <v>0</v>
      </c>
      <c r="N482" s="631">
        <f t="shared" si="109"/>
        <v>2793042.72</v>
      </c>
      <c r="O482" s="660">
        <f t="shared" si="110"/>
        <v>0</v>
      </c>
      <c r="P482" s="2005" t="s">
        <v>1379</v>
      </c>
    </row>
    <row r="483" spans="1:16">
      <c r="A483" s="2015">
        <v>186</v>
      </c>
      <c r="B483" s="675">
        <v>18630051</v>
      </c>
      <c r="C483" s="675"/>
      <c r="D483" s="652" t="s">
        <v>1009</v>
      </c>
      <c r="E483" s="675" t="s">
        <v>968</v>
      </c>
      <c r="F483" s="2007" t="s">
        <v>390</v>
      </c>
      <c r="G483" s="2006">
        <v>73836247.719999999</v>
      </c>
      <c r="H483" s="2006">
        <v>44348615.07</v>
      </c>
      <c r="I483" s="630">
        <f t="shared" si="104"/>
        <v>0</v>
      </c>
      <c r="J483" s="630">
        <f t="shared" si="105"/>
        <v>0</v>
      </c>
      <c r="K483" s="630">
        <f t="shared" si="106"/>
        <v>73836247.719999999</v>
      </c>
      <c r="L483" s="631">
        <f t="shared" si="107"/>
        <v>0</v>
      </c>
      <c r="M483" s="631">
        <f t="shared" si="108"/>
        <v>0</v>
      </c>
      <c r="N483" s="631">
        <f t="shared" si="109"/>
        <v>73836247.719999999</v>
      </c>
      <c r="O483" s="660">
        <f t="shared" si="110"/>
        <v>0</v>
      </c>
      <c r="P483" s="2005" t="s">
        <v>1380</v>
      </c>
    </row>
    <row r="484" spans="1:16">
      <c r="A484" s="2015">
        <v>186</v>
      </c>
      <c r="B484" s="675">
        <v>18630061</v>
      </c>
      <c r="C484" s="675"/>
      <c r="D484" s="652" t="s">
        <v>1381</v>
      </c>
      <c r="E484" s="675" t="s">
        <v>968</v>
      </c>
      <c r="F484" s="2007" t="s">
        <v>390</v>
      </c>
      <c r="G484" s="2006">
        <v>-73836247.719999999</v>
      </c>
      <c r="H484" s="2006">
        <v>-44348615.07</v>
      </c>
      <c r="I484" s="630">
        <f t="shared" si="104"/>
        <v>0</v>
      </c>
      <c r="J484" s="630">
        <f t="shared" si="105"/>
        <v>0</v>
      </c>
      <c r="K484" s="630">
        <f t="shared" si="106"/>
        <v>-73836247.719999999</v>
      </c>
      <c r="L484" s="631">
        <f t="shared" si="107"/>
        <v>0</v>
      </c>
      <c r="M484" s="631">
        <f t="shared" si="108"/>
        <v>0</v>
      </c>
      <c r="N484" s="631">
        <f t="shared" si="109"/>
        <v>-73836247.719999999</v>
      </c>
      <c r="O484" s="660">
        <f t="shared" si="110"/>
        <v>0</v>
      </c>
      <c r="P484" s="2005" t="s">
        <v>1382</v>
      </c>
    </row>
    <row r="485" spans="1:16">
      <c r="A485" s="2015">
        <v>186</v>
      </c>
      <c r="B485" s="675">
        <v>18630112</v>
      </c>
      <c r="C485" s="675"/>
      <c r="D485" s="652" t="s">
        <v>1383</v>
      </c>
      <c r="E485" s="675" t="s">
        <v>968</v>
      </c>
      <c r="F485" s="2007" t="s">
        <v>988</v>
      </c>
      <c r="G485" s="2006">
        <v>3906597.08</v>
      </c>
      <c r="H485" s="2006">
        <v>3906942.06</v>
      </c>
      <c r="I485" s="630">
        <f t="shared" si="104"/>
        <v>0</v>
      </c>
      <c r="J485" s="630">
        <f t="shared" si="105"/>
        <v>0</v>
      </c>
      <c r="K485" s="630">
        <f t="shared" si="106"/>
        <v>0</v>
      </c>
      <c r="L485" s="676">
        <f t="shared" si="107"/>
        <v>3906597.08</v>
      </c>
      <c r="M485" s="676">
        <f t="shared" si="108"/>
        <v>0</v>
      </c>
      <c r="N485" s="676">
        <f t="shared" si="109"/>
        <v>3906597.08</v>
      </c>
      <c r="O485" s="660">
        <f t="shared" si="110"/>
        <v>0</v>
      </c>
      <c r="P485" s="2005" t="s">
        <v>1384</v>
      </c>
    </row>
    <row r="486" spans="1:16">
      <c r="A486" s="2015">
        <v>186</v>
      </c>
      <c r="B486" s="675">
        <v>18630122</v>
      </c>
      <c r="C486" s="675"/>
      <c r="D486" s="652" t="s">
        <v>1385</v>
      </c>
      <c r="E486" s="675"/>
      <c r="F486" s="2007" t="s">
        <v>988</v>
      </c>
      <c r="G486" s="2006">
        <v>-3906597.08</v>
      </c>
      <c r="H486" s="2006">
        <v>-3906942.06</v>
      </c>
      <c r="I486" s="630">
        <f t="shared" si="104"/>
        <v>0</v>
      </c>
      <c r="J486" s="630">
        <f t="shared" si="105"/>
        <v>0</v>
      </c>
      <c r="K486" s="630">
        <f t="shared" si="106"/>
        <v>0</v>
      </c>
      <c r="L486" s="676">
        <f t="shared" si="107"/>
        <v>-3906597.08</v>
      </c>
      <c r="M486" s="676">
        <f t="shared" si="108"/>
        <v>0</v>
      </c>
      <c r="N486" s="676">
        <f t="shared" si="109"/>
        <v>-3906597.08</v>
      </c>
      <c r="O486" s="660">
        <f t="shared" si="110"/>
        <v>0</v>
      </c>
      <c r="P486" s="2005" t="s">
        <v>1386</v>
      </c>
    </row>
    <row r="487" spans="1:16">
      <c r="A487" s="2015">
        <v>186</v>
      </c>
      <c r="B487" s="675">
        <v>18630151</v>
      </c>
      <c r="C487" s="675"/>
      <c r="D487" s="652" t="s">
        <v>1387</v>
      </c>
      <c r="E487" s="675"/>
      <c r="F487" s="2007" t="s">
        <v>390</v>
      </c>
      <c r="G487" s="2006">
        <v>12368953.82</v>
      </c>
      <c r="H487" s="2006">
        <v>4558462.22</v>
      </c>
      <c r="I487" s="630">
        <f t="shared" si="104"/>
        <v>0</v>
      </c>
      <c r="J487" s="630">
        <f t="shared" si="105"/>
        <v>0</v>
      </c>
      <c r="K487" s="630">
        <f t="shared" si="106"/>
        <v>12368953.82</v>
      </c>
      <c r="L487" s="676">
        <f t="shared" si="107"/>
        <v>0</v>
      </c>
      <c r="M487" s="676">
        <f t="shared" si="108"/>
        <v>0</v>
      </c>
      <c r="N487" s="676">
        <f t="shared" si="109"/>
        <v>12368953.82</v>
      </c>
      <c r="O487" s="660">
        <f t="shared" si="110"/>
        <v>0</v>
      </c>
    </row>
    <row r="488" spans="1:16">
      <c r="A488" s="2015">
        <v>186</v>
      </c>
      <c r="B488" s="675">
        <v>18630152</v>
      </c>
      <c r="C488" s="675"/>
      <c r="D488" s="652" t="s">
        <v>1388</v>
      </c>
      <c r="E488" s="675"/>
      <c r="F488" s="2007" t="s">
        <v>988</v>
      </c>
      <c r="G488" s="2006">
        <v>4727942.51</v>
      </c>
      <c r="H488" s="2006">
        <v>2492294.3199999998</v>
      </c>
      <c r="I488" s="630">
        <f t="shared" si="104"/>
        <v>0</v>
      </c>
      <c r="J488" s="630">
        <f t="shared" si="105"/>
        <v>0</v>
      </c>
      <c r="K488" s="630">
        <f t="shared" si="106"/>
        <v>0</v>
      </c>
      <c r="L488" s="676">
        <f t="shared" si="107"/>
        <v>4727942.51</v>
      </c>
      <c r="M488" s="676">
        <f t="shared" si="108"/>
        <v>0</v>
      </c>
      <c r="N488" s="676">
        <f t="shared" si="109"/>
        <v>4727942.51</v>
      </c>
      <c r="O488" s="660">
        <f t="shared" si="110"/>
        <v>0</v>
      </c>
    </row>
    <row r="489" spans="1:16">
      <c r="A489" s="2030">
        <v>186</v>
      </c>
      <c r="B489" s="2017">
        <v>18630191</v>
      </c>
      <c r="C489" s="2017"/>
      <c r="D489" s="2018" t="s">
        <v>1389</v>
      </c>
      <c r="E489" s="2017"/>
      <c r="F489" s="2017" t="s">
        <v>390</v>
      </c>
      <c r="G489" s="2011">
        <v>10503912.539999999</v>
      </c>
      <c r="H489" s="2011">
        <v>5278392.3899999997</v>
      </c>
      <c r="I489" s="673">
        <f t="shared" si="104"/>
        <v>0</v>
      </c>
      <c r="J489" s="673">
        <f t="shared" si="105"/>
        <v>0</v>
      </c>
      <c r="K489" s="673">
        <f t="shared" si="106"/>
        <v>10503912.539999999</v>
      </c>
      <c r="L489" s="674">
        <f t="shared" si="107"/>
        <v>0</v>
      </c>
      <c r="M489" s="674">
        <f t="shared" si="108"/>
        <v>0</v>
      </c>
      <c r="N489" s="674">
        <f t="shared" si="109"/>
        <v>10503912.539999999</v>
      </c>
      <c r="O489" s="660">
        <f t="shared" si="110"/>
        <v>0</v>
      </c>
    </row>
    <row r="490" spans="1:16">
      <c r="A490" s="2030">
        <v>186</v>
      </c>
      <c r="B490" s="2017">
        <v>18630192</v>
      </c>
      <c r="C490" s="2017"/>
      <c r="D490" s="2018" t="s">
        <v>1390</v>
      </c>
      <c r="E490" s="2017"/>
      <c r="F490" s="2017" t="s">
        <v>988</v>
      </c>
      <c r="G490" s="2011">
        <v>3527595.04</v>
      </c>
      <c r="H490" s="2011">
        <v>2280473.91</v>
      </c>
      <c r="I490" s="673">
        <f t="shared" si="104"/>
        <v>0</v>
      </c>
      <c r="J490" s="673">
        <f t="shared" si="105"/>
        <v>0</v>
      </c>
      <c r="K490" s="673">
        <f t="shared" si="106"/>
        <v>0</v>
      </c>
      <c r="L490" s="674">
        <f t="shared" si="107"/>
        <v>3527595.04</v>
      </c>
      <c r="M490" s="674">
        <f t="shared" si="108"/>
        <v>0</v>
      </c>
      <c r="N490" s="674">
        <f t="shared" si="109"/>
        <v>3527595.04</v>
      </c>
      <c r="O490" s="660">
        <f t="shared" si="110"/>
        <v>0</v>
      </c>
    </row>
    <row r="491" spans="1:16">
      <c r="A491" s="2030">
        <v>186</v>
      </c>
      <c r="B491" s="2017">
        <v>18630201</v>
      </c>
      <c r="C491" s="2017"/>
      <c r="D491" s="2018" t="s">
        <v>6725</v>
      </c>
      <c r="E491" s="2017"/>
      <c r="F491" s="2041" t="s">
        <v>390</v>
      </c>
      <c r="G491" s="2011">
        <v>-2457874.04</v>
      </c>
      <c r="H491" s="2011">
        <v>0</v>
      </c>
      <c r="I491" s="673">
        <f t="shared" si="104"/>
        <v>0</v>
      </c>
      <c r="J491" s="673">
        <f t="shared" si="105"/>
        <v>0</v>
      </c>
      <c r="K491" s="673">
        <f t="shared" si="106"/>
        <v>-2457874.04</v>
      </c>
      <c r="L491" s="674">
        <f t="shared" si="107"/>
        <v>0</v>
      </c>
      <c r="M491" s="674">
        <f t="shared" si="108"/>
        <v>0</v>
      </c>
      <c r="N491" s="674">
        <f t="shared" si="109"/>
        <v>-2457874.04</v>
      </c>
      <c r="O491" s="660">
        <f t="shared" si="110"/>
        <v>0</v>
      </c>
      <c r="P491" s="2005" t="s">
        <v>7175</v>
      </c>
    </row>
    <row r="492" spans="1:16">
      <c r="A492" s="2030">
        <v>186</v>
      </c>
      <c r="B492" s="2017">
        <v>18630222</v>
      </c>
      <c r="C492" s="2017"/>
      <c r="D492" s="2018" t="s">
        <v>6726</v>
      </c>
      <c r="E492" s="2017"/>
      <c r="F492" s="2017" t="s">
        <v>988</v>
      </c>
      <c r="G492" s="2011">
        <v>14448143.76</v>
      </c>
      <c r="H492" s="2011">
        <v>0</v>
      </c>
      <c r="I492" s="673">
        <f t="shared" si="104"/>
        <v>0</v>
      </c>
      <c r="J492" s="673">
        <f t="shared" si="105"/>
        <v>0</v>
      </c>
      <c r="K492" s="673">
        <f t="shared" si="106"/>
        <v>0</v>
      </c>
      <c r="L492" s="674">
        <f t="shared" si="107"/>
        <v>14448143.76</v>
      </c>
      <c r="M492" s="674">
        <f t="shared" si="108"/>
        <v>0</v>
      </c>
      <c r="N492" s="674">
        <f t="shared" si="109"/>
        <v>14448143.76</v>
      </c>
      <c r="O492" s="660">
        <f t="shared" si="110"/>
        <v>0</v>
      </c>
      <c r="P492" s="2005" t="s">
        <v>8038</v>
      </c>
    </row>
    <row r="493" spans="1:16">
      <c r="A493" s="2030">
        <v>186</v>
      </c>
      <c r="B493" s="2017">
        <v>18630232</v>
      </c>
      <c r="C493" s="2017"/>
      <c r="D493" s="2018" t="s">
        <v>6727</v>
      </c>
      <c r="E493" s="2017"/>
      <c r="F493" s="2017" t="s">
        <v>988</v>
      </c>
      <c r="G493" s="2011">
        <v>-14448143.76</v>
      </c>
      <c r="H493" s="2011">
        <v>0</v>
      </c>
      <c r="I493" s="673">
        <f t="shared" si="104"/>
        <v>0</v>
      </c>
      <c r="J493" s="673">
        <f t="shared" si="105"/>
        <v>0</v>
      </c>
      <c r="K493" s="673">
        <f t="shared" si="106"/>
        <v>0</v>
      </c>
      <c r="L493" s="674">
        <f t="shared" si="107"/>
        <v>-14448143.76</v>
      </c>
      <c r="M493" s="674">
        <f t="shared" si="108"/>
        <v>0</v>
      </c>
      <c r="N493" s="674">
        <f t="shared" si="109"/>
        <v>-14448143.76</v>
      </c>
      <c r="O493" s="660">
        <f t="shared" si="110"/>
        <v>0</v>
      </c>
      <c r="P493" s="2005" t="s">
        <v>8038</v>
      </c>
    </row>
    <row r="494" spans="1:16">
      <c r="A494" s="2030">
        <v>186</v>
      </c>
      <c r="B494" s="2017">
        <v>18630251</v>
      </c>
      <c r="C494" s="2017"/>
      <c r="D494" s="2018" t="s">
        <v>6728</v>
      </c>
      <c r="E494" s="2017"/>
      <c r="F494" s="2017" t="s">
        <v>392</v>
      </c>
      <c r="G494" s="2011">
        <v>483377.21</v>
      </c>
      <c r="H494" s="2011">
        <v>0</v>
      </c>
      <c r="I494" s="673">
        <f t="shared" si="104"/>
        <v>483377.21</v>
      </c>
      <c r="J494" s="673">
        <f t="shared" si="105"/>
        <v>0</v>
      </c>
      <c r="K494" s="673">
        <f t="shared" si="106"/>
        <v>0</v>
      </c>
      <c r="L494" s="674">
        <f t="shared" si="107"/>
        <v>0</v>
      </c>
      <c r="M494" s="674">
        <f t="shared" si="108"/>
        <v>0</v>
      </c>
      <c r="N494" s="674">
        <f t="shared" si="109"/>
        <v>483377.21</v>
      </c>
      <c r="O494" s="660">
        <f t="shared" si="110"/>
        <v>0</v>
      </c>
      <c r="P494" s="2005" t="s">
        <v>8086</v>
      </c>
    </row>
    <row r="495" spans="1:16">
      <c r="A495" s="638" t="s">
        <v>1391</v>
      </c>
      <c r="B495" s="639"/>
      <c r="C495" s="640"/>
      <c r="D495" s="641"/>
      <c r="E495" s="642"/>
      <c r="F495" s="642"/>
      <c r="G495" s="643">
        <f t="shared" ref="G495:N495" si="111">SUM(G328:G494)</f>
        <v>395589865.15000004</v>
      </c>
      <c r="H495" s="643">
        <f t="shared" si="111"/>
        <v>284321034.2700001</v>
      </c>
      <c r="I495" s="2288">
        <f t="shared" si="111"/>
        <v>-94452622.49526912</v>
      </c>
      <c r="J495" s="2288">
        <f t="shared" si="111"/>
        <v>0</v>
      </c>
      <c r="K495" s="2288">
        <f t="shared" si="111"/>
        <v>204500649.48005137</v>
      </c>
      <c r="L495" s="643">
        <f t="shared" si="111"/>
        <v>255853773.51000005</v>
      </c>
      <c r="M495" s="643">
        <f t="shared" si="111"/>
        <v>13599117.95520374</v>
      </c>
      <c r="N495" s="643">
        <f t="shared" si="111"/>
        <v>379500918.44998616</v>
      </c>
      <c r="O495" s="660">
        <f>G495-N495-G338</f>
        <v>1.387670636177063E-5</v>
      </c>
    </row>
    <row r="496" spans="1:16" ht="10.15" customHeight="1">
      <c r="A496" s="662"/>
      <c r="B496" s="663"/>
      <c r="C496" s="664"/>
      <c r="D496" s="665"/>
      <c r="E496" s="3929" t="s">
        <v>952</v>
      </c>
      <c r="F496" s="3930"/>
      <c r="G496" s="681">
        <f>'FERC p110-111 Assets'!D91-G495+G466</f>
        <v>-0.15000003576278687</v>
      </c>
      <c r="H496" s="681">
        <f>'FERC p110-111 Assets'!E91-H495</f>
        <v>-0.27000010013580322</v>
      </c>
      <c r="I496" s="666"/>
      <c r="J496" s="666"/>
      <c r="K496" s="666"/>
      <c r="L496" s="666"/>
      <c r="M496" s="666"/>
      <c r="N496" s="666"/>
      <c r="O496" s="660"/>
    </row>
    <row r="497" spans="1:15">
      <c r="A497" s="2040">
        <v>187</v>
      </c>
      <c r="B497" s="675">
        <v>18700003</v>
      </c>
      <c r="C497" s="675" t="s">
        <v>968</v>
      </c>
      <c r="D497" s="652" t="s">
        <v>1392</v>
      </c>
      <c r="E497" s="675" t="s">
        <v>968</v>
      </c>
      <c r="F497" s="2007" t="s">
        <v>390</v>
      </c>
      <c r="G497" s="2006">
        <v>0</v>
      </c>
      <c r="H497" s="2006">
        <v>0</v>
      </c>
      <c r="I497" s="630">
        <f t="shared" ref="I497:I507" si="112">IF(RIGHT($B497,1)="1", $G497*VLOOKUP($F497, Ratio, 2, FALSE), IF(RIGHT($B497,1)="3", $G497*VLOOKUP($F497, Ratio, 2, FALSE)*$F$5, 0))</f>
        <v>0</v>
      </c>
      <c r="J497" s="630">
        <f t="shared" ref="J497:J507" si="113">IF(RIGHT($B497,1)="1", $G497*VLOOKUP($F497, Ratio, 3, FALSE), IF(RIGHT($B497,1)="3", $G497*VLOOKUP($F497, Ratio, 3, FALSE)*$F$5, 0))</f>
        <v>0</v>
      </c>
      <c r="K497" s="630">
        <f t="shared" ref="K497:K507" si="114">IF(RIGHT($B497,1)="1", $G497*VLOOKUP($F497, Ratio, 4, FALSE), IF(RIGHT($B497,1)="3", $G497*VLOOKUP($F497, Ratio, 4, FALSE)*$F$5, 0))</f>
        <v>0</v>
      </c>
      <c r="L497" s="631">
        <f t="shared" ref="L497:L507" si="115">IF(F497="GAS", G497, 0)</f>
        <v>0</v>
      </c>
      <c r="M497" s="631">
        <f t="shared" ref="M497:M507" si="116">IF(RIGHT(B497,1)="3",G497*$G$5,0)</f>
        <v>0</v>
      </c>
      <c r="N497" s="631">
        <f t="shared" ref="N497:N507" si="117">SUM(I497:M497)</f>
        <v>0</v>
      </c>
      <c r="O497" s="660">
        <f t="shared" ref="O497:O508" si="118">G497-N497</f>
        <v>0</v>
      </c>
    </row>
    <row r="498" spans="1:15">
      <c r="A498" s="2040">
        <v>187</v>
      </c>
      <c r="B498" s="675">
        <v>18700021</v>
      </c>
      <c r="C498" s="675" t="s">
        <v>968</v>
      </c>
      <c r="D498" s="652" t="s">
        <v>1393</v>
      </c>
      <c r="E498" s="675" t="s">
        <v>968</v>
      </c>
      <c r="F498" s="2007" t="s">
        <v>390</v>
      </c>
      <c r="G498" s="2006">
        <v>11494.21</v>
      </c>
      <c r="H498" s="2006">
        <v>0</v>
      </c>
      <c r="I498" s="630">
        <f t="shared" si="112"/>
        <v>0</v>
      </c>
      <c r="J498" s="630">
        <f t="shared" si="113"/>
        <v>0</v>
      </c>
      <c r="K498" s="630">
        <f t="shared" si="114"/>
        <v>11494.21</v>
      </c>
      <c r="L498" s="631">
        <f t="shared" si="115"/>
        <v>0</v>
      </c>
      <c r="M498" s="631">
        <f t="shared" si="116"/>
        <v>0</v>
      </c>
      <c r="N498" s="631">
        <f t="shared" si="117"/>
        <v>11494.21</v>
      </c>
      <c r="O498" s="660">
        <f t="shared" si="118"/>
        <v>0</v>
      </c>
    </row>
    <row r="499" spans="1:15">
      <c r="A499" s="2040">
        <v>187</v>
      </c>
      <c r="B499" s="675">
        <v>18700032</v>
      </c>
      <c r="C499" s="675" t="s">
        <v>968</v>
      </c>
      <c r="D499" s="652" t="s">
        <v>1394</v>
      </c>
      <c r="E499" s="675" t="s">
        <v>968</v>
      </c>
      <c r="F499" s="2007" t="s">
        <v>988</v>
      </c>
      <c r="G499" s="2006">
        <v>0</v>
      </c>
      <c r="H499" s="2006">
        <v>0</v>
      </c>
      <c r="I499" s="630">
        <f t="shared" si="112"/>
        <v>0</v>
      </c>
      <c r="J499" s="630">
        <f t="shared" si="113"/>
        <v>0</v>
      </c>
      <c r="K499" s="630">
        <f t="shared" si="114"/>
        <v>0</v>
      </c>
      <c r="L499" s="631">
        <f t="shared" si="115"/>
        <v>0</v>
      </c>
      <c r="M499" s="631">
        <f t="shared" si="116"/>
        <v>0</v>
      </c>
      <c r="N499" s="631">
        <f t="shared" si="117"/>
        <v>0</v>
      </c>
      <c r="O499" s="660">
        <f t="shared" si="118"/>
        <v>0</v>
      </c>
    </row>
    <row r="500" spans="1:15">
      <c r="A500" s="2040">
        <v>187</v>
      </c>
      <c r="B500" s="675">
        <v>18700041</v>
      </c>
      <c r="C500" s="675" t="s">
        <v>968</v>
      </c>
      <c r="D500" s="675" t="s">
        <v>1395</v>
      </c>
      <c r="E500" s="675" t="s">
        <v>968</v>
      </c>
      <c r="F500" s="2007" t="s">
        <v>390</v>
      </c>
      <c r="G500" s="2006">
        <v>0</v>
      </c>
      <c r="H500" s="2006">
        <v>17013.009999999998</v>
      </c>
      <c r="I500" s="630">
        <f t="shared" si="112"/>
        <v>0</v>
      </c>
      <c r="J500" s="630">
        <f t="shared" si="113"/>
        <v>0</v>
      </c>
      <c r="K500" s="630">
        <f t="shared" si="114"/>
        <v>0</v>
      </c>
      <c r="L500" s="631">
        <f t="shared" si="115"/>
        <v>0</v>
      </c>
      <c r="M500" s="631">
        <f t="shared" si="116"/>
        <v>0</v>
      </c>
      <c r="N500" s="631">
        <f t="shared" si="117"/>
        <v>0</v>
      </c>
      <c r="O500" s="660">
        <f t="shared" si="118"/>
        <v>0</v>
      </c>
    </row>
    <row r="501" spans="1:15">
      <c r="A501" s="2040">
        <v>187</v>
      </c>
      <c r="B501" s="675">
        <v>18700052</v>
      </c>
      <c r="C501" s="675" t="s">
        <v>968</v>
      </c>
      <c r="D501" s="675" t="s">
        <v>1396</v>
      </c>
      <c r="E501" s="675" t="s">
        <v>968</v>
      </c>
      <c r="F501" s="2007" t="s">
        <v>988</v>
      </c>
      <c r="G501" s="2006">
        <v>0</v>
      </c>
      <c r="H501" s="2006">
        <v>0</v>
      </c>
      <c r="I501" s="630">
        <f t="shared" si="112"/>
        <v>0</v>
      </c>
      <c r="J501" s="630">
        <f t="shared" si="113"/>
        <v>0</v>
      </c>
      <c r="K501" s="630">
        <f t="shared" si="114"/>
        <v>0</v>
      </c>
      <c r="L501" s="631">
        <f t="shared" si="115"/>
        <v>0</v>
      </c>
      <c r="M501" s="631">
        <f t="shared" si="116"/>
        <v>0</v>
      </c>
      <c r="N501" s="631">
        <f t="shared" si="117"/>
        <v>0</v>
      </c>
      <c r="O501" s="660">
        <f t="shared" si="118"/>
        <v>0</v>
      </c>
    </row>
    <row r="502" spans="1:15">
      <c r="A502" s="2040">
        <v>187</v>
      </c>
      <c r="B502" s="675">
        <v>18700061</v>
      </c>
      <c r="C502" s="675" t="s">
        <v>968</v>
      </c>
      <c r="D502" s="675" t="s">
        <v>1397</v>
      </c>
      <c r="E502" s="675" t="s">
        <v>968</v>
      </c>
      <c r="F502" s="2007" t="s">
        <v>390</v>
      </c>
      <c r="G502" s="2006">
        <v>0</v>
      </c>
      <c r="H502" s="2006">
        <v>0</v>
      </c>
      <c r="I502" s="630">
        <f t="shared" si="112"/>
        <v>0</v>
      </c>
      <c r="J502" s="630">
        <f t="shared" si="113"/>
        <v>0</v>
      </c>
      <c r="K502" s="630">
        <f t="shared" si="114"/>
        <v>0</v>
      </c>
      <c r="L502" s="631">
        <f t="shared" si="115"/>
        <v>0</v>
      </c>
      <c r="M502" s="631">
        <f t="shared" si="116"/>
        <v>0</v>
      </c>
      <c r="N502" s="631">
        <f t="shared" si="117"/>
        <v>0</v>
      </c>
      <c r="O502" s="660">
        <f t="shared" si="118"/>
        <v>0</v>
      </c>
    </row>
    <row r="503" spans="1:15">
      <c r="A503" s="2040">
        <v>187</v>
      </c>
      <c r="B503" s="675">
        <v>18700062</v>
      </c>
      <c r="C503" s="675" t="s">
        <v>968</v>
      </c>
      <c r="D503" s="652" t="s">
        <v>1398</v>
      </c>
      <c r="E503" s="675" t="s">
        <v>968</v>
      </c>
      <c r="F503" s="2007" t="s">
        <v>988</v>
      </c>
      <c r="G503" s="2006">
        <v>0</v>
      </c>
      <c r="H503" s="2006">
        <v>0</v>
      </c>
      <c r="I503" s="630">
        <f t="shared" si="112"/>
        <v>0</v>
      </c>
      <c r="J503" s="630">
        <f t="shared" si="113"/>
        <v>0</v>
      </c>
      <c r="K503" s="630">
        <f t="shared" si="114"/>
        <v>0</v>
      </c>
      <c r="L503" s="631">
        <f t="shared" si="115"/>
        <v>0</v>
      </c>
      <c r="M503" s="631">
        <f t="shared" si="116"/>
        <v>0</v>
      </c>
      <c r="N503" s="631">
        <f t="shared" si="117"/>
        <v>0</v>
      </c>
      <c r="O503" s="660">
        <f t="shared" si="118"/>
        <v>0</v>
      </c>
    </row>
    <row r="504" spans="1:15">
      <c r="A504" s="2040">
        <v>187</v>
      </c>
      <c r="B504" s="675">
        <v>18700071</v>
      </c>
      <c r="C504" s="675" t="s">
        <v>968</v>
      </c>
      <c r="D504" s="652" t="s">
        <v>1399</v>
      </c>
      <c r="E504" s="675" t="s">
        <v>968</v>
      </c>
      <c r="F504" s="2007" t="s">
        <v>390</v>
      </c>
      <c r="G504" s="2006">
        <v>0</v>
      </c>
      <c r="H504" s="2006">
        <v>0</v>
      </c>
      <c r="I504" s="630">
        <f t="shared" si="112"/>
        <v>0</v>
      </c>
      <c r="J504" s="630">
        <f t="shared" si="113"/>
        <v>0</v>
      </c>
      <c r="K504" s="630">
        <f t="shared" si="114"/>
        <v>0</v>
      </c>
      <c r="L504" s="631">
        <f t="shared" si="115"/>
        <v>0</v>
      </c>
      <c r="M504" s="631">
        <f t="shared" si="116"/>
        <v>0</v>
      </c>
      <c r="N504" s="631">
        <f t="shared" si="117"/>
        <v>0</v>
      </c>
      <c r="O504" s="660">
        <f t="shared" si="118"/>
        <v>0</v>
      </c>
    </row>
    <row r="505" spans="1:15">
      <c r="A505" s="2040">
        <v>187</v>
      </c>
      <c r="B505" s="675">
        <v>18700081</v>
      </c>
      <c r="C505" s="675" t="s">
        <v>968</v>
      </c>
      <c r="D505" s="652" t="s">
        <v>1400</v>
      </c>
      <c r="E505" s="675" t="s">
        <v>968</v>
      </c>
      <c r="F505" s="2007" t="s">
        <v>390</v>
      </c>
      <c r="G505" s="2006">
        <v>0</v>
      </c>
      <c r="H505" s="2006">
        <v>0</v>
      </c>
      <c r="I505" s="630">
        <f t="shared" si="112"/>
        <v>0</v>
      </c>
      <c r="J505" s="630">
        <f t="shared" si="113"/>
        <v>0</v>
      </c>
      <c r="K505" s="630">
        <f t="shared" si="114"/>
        <v>0</v>
      </c>
      <c r="L505" s="631">
        <f t="shared" si="115"/>
        <v>0</v>
      </c>
      <c r="M505" s="631">
        <f t="shared" si="116"/>
        <v>0</v>
      </c>
      <c r="N505" s="631">
        <f t="shared" si="117"/>
        <v>0</v>
      </c>
      <c r="O505" s="660">
        <f t="shared" si="118"/>
        <v>0</v>
      </c>
    </row>
    <row r="506" spans="1:15">
      <c r="A506" s="2040">
        <v>187</v>
      </c>
      <c r="B506" s="675">
        <v>18700082</v>
      </c>
      <c r="C506" s="675" t="s">
        <v>968</v>
      </c>
      <c r="D506" s="652" t="s">
        <v>1401</v>
      </c>
      <c r="E506" s="675" t="s">
        <v>968</v>
      </c>
      <c r="F506" s="2007" t="s">
        <v>988</v>
      </c>
      <c r="G506" s="2006">
        <v>0</v>
      </c>
      <c r="H506" s="2006">
        <v>0</v>
      </c>
      <c r="I506" s="630">
        <f t="shared" si="112"/>
        <v>0</v>
      </c>
      <c r="J506" s="630">
        <f t="shared" si="113"/>
        <v>0</v>
      </c>
      <c r="K506" s="630">
        <f t="shared" si="114"/>
        <v>0</v>
      </c>
      <c r="L506" s="631">
        <f t="shared" si="115"/>
        <v>0</v>
      </c>
      <c r="M506" s="631">
        <f t="shared" si="116"/>
        <v>0</v>
      </c>
      <c r="N506" s="631">
        <f t="shared" si="117"/>
        <v>0</v>
      </c>
      <c r="O506" s="660">
        <f t="shared" si="118"/>
        <v>0</v>
      </c>
    </row>
    <row r="507" spans="1:15">
      <c r="A507" s="2040">
        <v>187</v>
      </c>
      <c r="B507" s="675">
        <v>18700092</v>
      </c>
      <c r="C507" s="675" t="s">
        <v>968</v>
      </c>
      <c r="D507" s="652" t="s">
        <v>1402</v>
      </c>
      <c r="E507" s="675" t="s">
        <v>968</v>
      </c>
      <c r="F507" s="2007" t="s">
        <v>988</v>
      </c>
      <c r="G507" s="2006">
        <v>3847139.93</v>
      </c>
      <c r="H507" s="2006">
        <v>5724543.71</v>
      </c>
      <c r="I507" s="630">
        <f t="shared" si="112"/>
        <v>0</v>
      </c>
      <c r="J507" s="630">
        <f t="shared" si="113"/>
        <v>0</v>
      </c>
      <c r="K507" s="630">
        <f t="shared" si="114"/>
        <v>0</v>
      </c>
      <c r="L507" s="631">
        <f t="shared" si="115"/>
        <v>3847139.93</v>
      </c>
      <c r="M507" s="631">
        <f t="shared" si="116"/>
        <v>0</v>
      </c>
      <c r="N507" s="631">
        <f t="shared" si="117"/>
        <v>3847139.93</v>
      </c>
      <c r="O507" s="660">
        <f t="shared" si="118"/>
        <v>0</v>
      </c>
    </row>
    <row r="508" spans="1:15">
      <c r="A508" s="638" t="s">
        <v>1403</v>
      </c>
      <c r="B508" s="639"/>
      <c r="C508" s="640"/>
      <c r="D508" s="641"/>
      <c r="E508" s="642"/>
      <c r="F508" s="642"/>
      <c r="G508" s="643">
        <f t="shared" ref="G508:N508" si="119">SUM(G497:G507)</f>
        <v>3858634.14</v>
      </c>
      <c r="H508" s="643">
        <f t="shared" si="119"/>
        <v>5741556.7199999997</v>
      </c>
      <c r="I508" s="2280">
        <f t="shared" si="119"/>
        <v>0</v>
      </c>
      <c r="J508" s="2280">
        <f t="shared" si="119"/>
        <v>0</v>
      </c>
      <c r="K508" s="2280">
        <f t="shared" si="119"/>
        <v>11494.21</v>
      </c>
      <c r="L508" s="644">
        <f t="shared" si="119"/>
        <v>3847139.93</v>
      </c>
      <c r="M508" s="644">
        <f t="shared" si="119"/>
        <v>0</v>
      </c>
      <c r="N508" s="644">
        <f t="shared" si="119"/>
        <v>3858634.14</v>
      </c>
      <c r="O508" s="660">
        <f t="shared" si="118"/>
        <v>0</v>
      </c>
    </row>
    <row r="509" spans="1:15" ht="10.15" customHeight="1">
      <c r="A509" s="677"/>
      <c r="B509" s="663"/>
      <c r="C509" s="664"/>
      <c r="D509" s="665"/>
      <c r="E509" s="3929" t="s">
        <v>952</v>
      </c>
      <c r="F509" s="3930"/>
      <c r="G509" s="681">
        <f>'FERC p110-111 Assets'!D92-G508</f>
        <v>-0.14000000013038516</v>
      </c>
      <c r="H509" s="681">
        <f>'FERC p110-111 Assets'!E92-H508</f>
        <v>0.28000000026077032</v>
      </c>
      <c r="I509" s="666"/>
      <c r="J509" s="666"/>
      <c r="K509" s="666"/>
      <c r="L509" s="666"/>
      <c r="M509" s="666"/>
      <c r="N509" s="666"/>
      <c r="O509" s="660"/>
    </row>
    <row r="510" spans="1:15">
      <c r="A510" s="2015">
        <v>253</v>
      </c>
      <c r="B510" s="675">
        <v>25300001</v>
      </c>
      <c r="C510" s="675"/>
      <c r="D510" s="652" t="s">
        <v>1404</v>
      </c>
      <c r="E510" s="675" t="s">
        <v>968</v>
      </c>
      <c r="F510" s="2007" t="s">
        <v>392</v>
      </c>
      <c r="G510" s="2006">
        <v>-110436.68</v>
      </c>
      <c r="H510" s="2006">
        <v>-110436.68</v>
      </c>
      <c r="I510" s="630">
        <f t="shared" ref="I510:I526" si="120">IF(RIGHT($B510,1)="1", $G510*VLOOKUP($F510, Ratio, 2, FALSE), IF(RIGHT($B510,1)="3", $G510*VLOOKUP($F510, Ratio, 2, FALSE)*$F$5, 0))</f>
        <v>-110436.68</v>
      </c>
      <c r="J510" s="630">
        <f t="shared" ref="J510:J526" si="121">IF(RIGHT($B510,1)="1", $G510*VLOOKUP($F510, Ratio, 3, FALSE), IF(RIGHT($B510,1)="3", $G510*VLOOKUP($F510, Ratio, 3, FALSE)*$F$5, 0))</f>
        <v>0</v>
      </c>
      <c r="K510" s="630">
        <f t="shared" ref="K510:K526" si="122">IF(RIGHT($B510,1)="1", $G510*VLOOKUP($F510, Ratio, 4, FALSE), IF(RIGHT($B510,1)="3", $G510*VLOOKUP($F510, Ratio, 4, FALSE)*$F$5, 0))</f>
        <v>0</v>
      </c>
      <c r="L510" s="631">
        <f t="shared" ref="L510:L546" si="123">IF(F510="GAS", G510, 0)</f>
        <v>0</v>
      </c>
      <c r="M510" s="631">
        <f t="shared" ref="M510:M546" si="124">IF(RIGHT(B510,1)="3",G510*$G$5,0)</f>
        <v>0</v>
      </c>
      <c r="N510" s="631">
        <f t="shared" ref="N510:N546" si="125">SUM(I510:M510)</f>
        <v>-110436.68</v>
      </c>
      <c r="O510" s="660">
        <f t="shared" ref="O510:O526" si="126">G510-N510</f>
        <v>0</v>
      </c>
    </row>
    <row r="511" spans="1:15">
      <c r="A511" s="2015">
        <v>253</v>
      </c>
      <c r="B511" s="675">
        <v>25300011</v>
      </c>
      <c r="C511" s="675"/>
      <c r="D511" s="652" t="s">
        <v>1405</v>
      </c>
      <c r="E511" s="675" t="s">
        <v>968</v>
      </c>
      <c r="F511" s="2007" t="s">
        <v>392</v>
      </c>
      <c r="G511" s="2006">
        <v>0</v>
      </c>
      <c r="H511" s="2006">
        <v>0</v>
      </c>
      <c r="I511" s="630">
        <f t="shared" si="120"/>
        <v>0</v>
      </c>
      <c r="J511" s="630">
        <f t="shared" si="121"/>
        <v>0</v>
      </c>
      <c r="K511" s="630">
        <f t="shared" si="122"/>
        <v>0</v>
      </c>
      <c r="L511" s="631">
        <f t="shared" si="123"/>
        <v>0</v>
      </c>
      <c r="M511" s="631">
        <f t="shared" si="124"/>
        <v>0</v>
      </c>
      <c r="N511" s="631">
        <f t="shared" si="125"/>
        <v>0</v>
      </c>
      <c r="O511" s="660">
        <f t="shared" si="126"/>
        <v>0</v>
      </c>
    </row>
    <row r="512" spans="1:15">
      <c r="A512" s="2015">
        <v>253</v>
      </c>
      <c r="B512" s="675">
        <v>25300032</v>
      </c>
      <c r="C512" s="675"/>
      <c r="D512" s="652" t="s">
        <v>1406</v>
      </c>
      <c r="E512" s="675" t="s">
        <v>968</v>
      </c>
      <c r="F512" s="2007" t="s">
        <v>988</v>
      </c>
      <c r="G512" s="2006">
        <v>0</v>
      </c>
      <c r="H512" s="2006">
        <v>0</v>
      </c>
      <c r="I512" s="630">
        <f t="shared" si="120"/>
        <v>0</v>
      </c>
      <c r="J512" s="630">
        <f t="shared" si="121"/>
        <v>0</v>
      </c>
      <c r="K512" s="630">
        <f t="shared" si="122"/>
        <v>0</v>
      </c>
      <c r="L512" s="631">
        <f t="shared" si="123"/>
        <v>0</v>
      </c>
      <c r="M512" s="631">
        <f t="shared" si="124"/>
        <v>0</v>
      </c>
      <c r="N512" s="631">
        <f t="shared" si="125"/>
        <v>0</v>
      </c>
      <c r="O512" s="660">
        <f t="shared" si="126"/>
        <v>0</v>
      </c>
    </row>
    <row r="513" spans="1:16">
      <c r="A513" s="2015">
        <v>253</v>
      </c>
      <c r="B513" s="675">
        <v>25300033</v>
      </c>
      <c r="C513" s="675"/>
      <c r="D513" s="652" t="s">
        <v>1407</v>
      </c>
      <c r="E513" s="675" t="s">
        <v>968</v>
      </c>
      <c r="F513" s="2007" t="s">
        <v>95</v>
      </c>
      <c r="G513" s="2006">
        <v>-7057695.9000000004</v>
      </c>
      <c r="H513" s="2006">
        <v>-7299033.2699999996</v>
      </c>
      <c r="I513" s="630">
        <f t="shared" si="120"/>
        <v>-1574801.0919353142</v>
      </c>
      <c r="J513" s="630">
        <f t="shared" si="121"/>
        <v>0</v>
      </c>
      <c r="K513" s="630">
        <f t="shared" si="122"/>
        <v>-3059282.0609574439</v>
      </c>
      <c r="L513" s="631">
        <f t="shared" si="123"/>
        <v>0</v>
      </c>
      <c r="M513" s="631">
        <f t="shared" si="124"/>
        <v>-2423612.7471072422</v>
      </c>
      <c r="N513" s="631">
        <f t="shared" si="125"/>
        <v>-7057695.9000000004</v>
      </c>
      <c r="O513" s="660">
        <f t="shared" si="126"/>
        <v>0</v>
      </c>
      <c r="P513" s="2005" t="s">
        <v>1408</v>
      </c>
    </row>
    <row r="514" spans="1:16">
      <c r="A514" s="2015">
        <v>253</v>
      </c>
      <c r="B514" s="675">
        <v>25300041</v>
      </c>
      <c r="C514" s="675"/>
      <c r="D514" s="652" t="s">
        <v>1409</v>
      </c>
      <c r="E514" s="675" t="s">
        <v>968</v>
      </c>
      <c r="F514" s="2007" t="s">
        <v>390</v>
      </c>
      <c r="G514" s="2006">
        <v>0</v>
      </c>
      <c r="H514" s="2006">
        <v>0</v>
      </c>
      <c r="I514" s="630">
        <f t="shared" si="120"/>
        <v>0</v>
      </c>
      <c r="J514" s="630">
        <f t="shared" si="121"/>
        <v>0</v>
      </c>
      <c r="K514" s="630">
        <f t="shared" si="122"/>
        <v>0</v>
      </c>
      <c r="L514" s="631">
        <f t="shared" si="123"/>
        <v>0</v>
      </c>
      <c r="M514" s="631">
        <f t="shared" si="124"/>
        <v>0</v>
      </c>
      <c r="N514" s="631">
        <f t="shared" si="125"/>
        <v>0</v>
      </c>
      <c r="O514" s="660">
        <f t="shared" si="126"/>
        <v>0</v>
      </c>
    </row>
    <row r="515" spans="1:16" s="625" customFormat="1">
      <c r="A515" s="2015">
        <v>253</v>
      </c>
      <c r="B515" s="675">
        <v>25300042</v>
      </c>
      <c r="C515" s="675"/>
      <c r="D515" s="652" t="s">
        <v>1410</v>
      </c>
      <c r="E515" s="675"/>
      <c r="F515" s="2007" t="s">
        <v>988</v>
      </c>
      <c r="G515" s="2006">
        <v>0</v>
      </c>
      <c r="H515" s="2006">
        <v>0</v>
      </c>
      <c r="I515" s="630">
        <f t="shared" si="120"/>
        <v>0</v>
      </c>
      <c r="J515" s="630">
        <f t="shared" si="121"/>
        <v>0</v>
      </c>
      <c r="K515" s="630">
        <f t="shared" si="122"/>
        <v>0</v>
      </c>
      <c r="L515" s="631">
        <f t="shared" si="123"/>
        <v>0</v>
      </c>
      <c r="M515" s="631">
        <f t="shared" si="124"/>
        <v>0</v>
      </c>
      <c r="N515" s="631">
        <f t="shared" si="125"/>
        <v>0</v>
      </c>
      <c r="O515" s="660">
        <f t="shared" si="126"/>
        <v>0</v>
      </c>
      <c r="P515" s="2010"/>
    </row>
    <row r="516" spans="1:16" s="625" customFormat="1">
      <c r="A516" s="2015">
        <v>253</v>
      </c>
      <c r="B516" s="675">
        <v>25300052</v>
      </c>
      <c r="C516" s="675"/>
      <c r="D516" s="652" t="s">
        <v>1410</v>
      </c>
      <c r="E516" s="675"/>
      <c r="F516" s="2007" t="s">
        <v>988</v>
      </c>
      <c r="G516" s="2006">
        <v>-1219247.78</v>
      </c>
      <c r="H516" s="2006">
        <v>-1218745.82</v>
      </c>
      <c r="I516" s="630">
        <f t="shared" si="120"/>
        <v>0</v>
      </c>
      <c r="J516" s="630">
        <f t="shared" si="121"/>
        <v>0</v>
      </c>
      <c r="K516" s="630">
        <f t="shared" si="122"/>
        <v>0</v>
      </c>
      <c r="L516" s="631">
        <f t="shared" si="123"/>
        <v>-1219247.78</v>
      </c>
      <c r="M516" s="631">
        <f t="shared" si="124"/>
        <v>0</v>
      </c>
      <c r="N516" s="631">
        <f t="shared" si="125"/>
        <v>-1219247.78</v>
      </c>
      <c r="O516" s="660">
        <f t="shared" si="126"/>
        <v>0</v>
      </c>
      <c r="P516" s="2010"/>
    </row>
    <row r="517" spans="1:16">
      <c r="A517" s="2015">
        <v>253</v>
      </c>
      <c r="B517" s="675">
        <v>25300061</v>
      </c>
      <c r="C517" s="675"/>
      <c r="D517" s="652" t="s">
        <v>1411</v>
      </c>
      <c r="E517" s="675" t="s">
        <v>968</v>
      </c>
      <c r="F517" s="2007" t="s">
        <v>390</v>
      </c>
      <c r="G517" s="2006">
        <v>0</v>
      </c>
      <c r="H517" s="2006">
        <v>0</v>
      </c>
      <c r="I517" s="630">
        <f t="shared" si="120"/>
        <v>0</v>
      </c>
      <c r="J517" s="630">
        <f t="shared" si="121"/>
        <v>0</v>
      </c>
      <c r="K517" s="630">
        <f t="shared" si="122"/>
        <v>0</v>
      </c>
      <c r="L517" s="631">
        <f t="shared" si="123"/>
        <v>0</v>
      </c>
      <c r="M517" s="631">
        <f t="shared" si="124"/>
        <v>0</v>
      </c>
      <c r="N517" s="631">
        <f t="shared" si="125"/>
        <v>0</v>
      </c>
      <c r="O517" s="660">
        <f t="shared" si="126"/>
        <v>0</v>
      </c>
    </row>
    <row r="518" spans="1:16">
      <c r="A518" s="2015">
        <v>253</v>
      </c>
      <c r="B518" s="675">
        <v>25300071</v>
      </c>
      <c r="C518" s="675"/>
      <c r="D518" s="652" t="s">
        <v>1412</v>
      </c>
      <c r="E518" s="675" t="s">
        <v>968</v>
      </c>
      <c r="F518" s="2007" t="s">
        <v>390</v>
      </c>
      <c r="G518" s="2006">
        <v>0</v>
      </c>
      <c r="H518" s="2006">
        <v>0</v>
      </c>
      <c r="I518" s="630">
        <f t="shared" si="120"/>
        <v>0</v>
      </c>
      <c r="J518" s="630">
        <f t="shared" si="121"/>
        <v>0</v>
      </c>
      <c r="K518" s="630">
        <f t="shared" si="122"/>
        <v>0</v>
      </c>
      <c r="L518" s="631">
        <f t="shared" si="123"/>
        <v>0</v>
      </c>
      <c r="M518" s="631">
        <f t="shared" si="124"/>
        <v>0</v>
      </c>
      <c r="N518" s="631">
        <f t="shared" si="125"/>
        <v>0</v>
      </c>
      <c r="O518" s="660">
        <f t="shared" si="126"/>
        <v>0</v>
      </c>
    </row>
    <row r="519" spans="1:16">
      <c r="A519" s="2015">
        <v>253</v>
      </c>
      <c r="B519" s="675">
        <v>25300081</v>
      </c>
      <c r="C519" s="675"/>
      <c r="D519" s="652" t="s">
        <v>1413</v>
      </c>
      <c r="E519" s="675" t="s">
        <v>968</v>
      </c>
      <c r="F519" s="2007" t="s">
        <v>390</v>
      </c>
      <c r="G519" s="2006">
        <v>-1000</v>
      </c>
      <c r="H519" s="2006">
        <v>-1000</v>
      </c>
      <c r="I519" s="630">
        <f t="shared" si="120"/>
        <v>0</v>
      </c>
      <c r="J519" s="630">
        <f t="shared" si="121"/>
        <v>0</v>
      </c>
      <c r="K519" s="630">
        <f t="shared" si="122"/>
        <v>-1000</v>
      </c>
      <c r="L519" s="631">
        <f t="shared" si="123"/>
        <v>0</v>
      </c>
      <c r="M519" s="631">
        <f t="shared" si="124"/>
        <v>0</v>
      </c>
      <c r="N519" s="631">
        <f t="shared" si="125"/>
        <v>-1000</v>
      </c>
      <c r="O519" s="660">
        <f t="shared" si="126"/>
        <v>0</v>
      </c>
    </row>
    <row r="520" spans="1:16">
      <c r="A520" s="2015">
        <v>253</v>
      </c>
      <c r="B520" s="675">
        <v>25300091</v>
      </c>
      <c r="C520" s="675"/>
      <c r="D520" s="652" t="s">
        <v>1414</v>
      </c>
      <c r="E520" s="675" t="s">
        <v>968</v>
      </c>
      <c r="F520" s="2007" t="s">
        <v>390</v>
      </c>
      <c r="G520" s="2006">
        <v>0</v>
      </c>
      <c r="H520" s="2006">
        <v>0</v>
      </c>
      <c r="I520" s="630">
        <f t="shared" si="120"/>
        <v>0</v>
      </c>
      <c r="J520" s="630">
        <f t="shared" si="121"/>
        <v>0</v>
      </c>
      <c r="K520" s="630">
        <f t="shared" si="122"/>
        <v>0</v>
      </c>
      <c r="L520" s="631">
        <f t="shared" si="123"/>
        <v>0</v>
      </c>
      <c r="M520" s="631">
        <f t="shared" si="124"/>
        <v>0</v>
      </c>
      <c r="N520" s="631">
        <f t="shared" si="125"/>
        <v>0</v>
      </c>
      <c r="O520" s="660">
        <f t="shared" si="126"/>
        <v>0</v>
      </c>
    </row>
    <row r="521" spans="1:16">
      <c r="A521" s="2015">
        <v>253</v>
      </c>
      <c r="B521" s="675">
        <v>25300121</v>
      </c>
      <c r="C521" s="675"/>
      <c r="D521" s="652" t="s">
        <v>1415</v>
      </c>
      <c r="E521" s="675" t="s">
        <v>968</v>
      </c>
      <c r="F521" s="2007" t="s">
        <v>390</v>
      </c>
      <c r="G521" s="2006">
        <v>0</v>
      </c>
      <c r="H521" s="2006">
        <v>0</v>
      </c>
      <c r="I521" s="630">
        <f t="shared" si="120"/>
        <v>0</v>
      </c>
      <c r="J521" s="630">
        <f t="shared" si="121"/>
        <v>0</v>
      </c>
      <c r="K521" s="630">
        <f t="shared" si="122"/>
        <v>0</v>
      </c>
      <c r="L521" s="631">
        <f t="shared" si="123"/>
        <v>0</v>
      </c>
      <c r="M521" s="631">
        <f t="shared" si="124"/>
        <v>0</v>
      </c>
      <c r="N521" s="631">
        <f t="shared" si="125"/>
        <v>0</v>
      </c>
      <c r="O521" s="660">
        <f t="shared" si="126"/>
        <v>0</v>
      </c>
    </row>
    <row r="522" spans="1:16">
      <c r="A522" s="2015">
        <v>253</v>
      </c>
      <c r="B522" s="675">
        <v>25300141</v>
      </c>
      <c r="C522" s="675"/>
      <c r="D522" s="652" t="s">
        <v>1416</v>
      </c>
      <c r="E522" s="675" t="s">
        <v>968</v>
      </c>
      <c r="F522" s="2007" t="s">
        <v>390</v>
      </c>
      <c r="G522" s="2006">
        <v>-2860215.62</v>
      </c>
      <c r="H522" s="2006">
        <v>-1314764.27</v>
      </c>
      <c r="I522" s="630">
        <f t="shared" si="120"/>
        <v>0</v>
      </c>
      <c r="J522" s="630">
        <f t="shared" si="121"/>
        <v>0</v>
      </c>
      <c r="K522" s="630">
        <f t="shared" si="122"/>
        <v>-2860215.62</v>
      </c>
      <c r="L522" s="631">
        <f t="shared" si="123"/>
        <v>0</v>
      </c>
      <c r="M522" s="631">
        <f t="shared" si="124"/>
        <v>0</v>
      </c>
      <c r="N522" s="631">
        <f t="shared" si="125"/>
        <v>-2860215.62</v>
      </c>
      <c r="O522" s="660">
        <f t="shared" si="126"/>
        <v>0</v>
      </c>
    </row>
    <row r="523" spans="1:16">
      <c r="A523" s="2015">
        <v>253</v>
      </c>
      <c r="B523" s="675">
        <v>25300151</v>
      </c>
      <c r="C523" s="675"/>
      <c r="D523" s="652" t="s">
        <v>1417</v>
      </c>
      <c r="E523" s="675" t="s">
        <v>968</v>
      </c>
      <c r="F523" s="2007" t="s">
        <v>390</v>
      </c>
      <c r="G523" s="2006">
        <v>-18208602.359999999</v>
      </c>
      <c r="H523" s="2006">
        <v>-17164157.670000002</v>
      </c>
      <c r="I523" s="630">
        <f t="shared" si="120"/>
        <v>0</v>
      </c>
      <c r="J523" s="630">
        <f t="shared" si="121"/>
        <v>0</v>
      </c>
      <c r="K523" s="630">
        <f t="shared" si="122"/>
        <v>-18208602.359999999</v>
      </c>
      <c r="L523" s="631">
        <f t="shared" si="123"/>
        <v>0</v>
      </c>
      <c r="M523" s="631">
        <f t="shared" si="124"/>
        <v>0</v>
      </c>
      <c r="N523" s="631">
        <f t="shared" si="125"/>
        <v>-18208602.359999999</v>
      </c>
      <c r="O523" s="660">
        <f t="shared" si="126"/>
        <v>0</v>
      </c>
    </row>
    <row r="524" spans="1:16">
      <c r="A524" s="2015">
        <v>253</v>
      </c>
      <c r="B524" s="675">
        <v>25300153</v>
      </c>
      <c r="C524" s="675"/>
      <c r="D524" s="652" t="s">
        <v>1418</v>
      </c>
      <c r="E524" s="675" t="s">
        <v>968</v>
      </c>
      <c r="F524" s="2007" t="s">
        <v>390</v>
      </c>
      <c r="G524" s="2006">
        <v>0</v>
      </c>
      <c r="H524" s="2006">
        <v>0</v>
      </c>
      <c r="I524" s="630">
        <f t="shared" si="120"/>
        <v>0</v>
      </c>
      <c r="J524" s="630">
        <f t="shared" si="121"/>
        <v>0</v>
      </c>
      <c r="K524" s="630">
        <f t="shared" si="122"/>
        <v>0</v>
      </c>
      <c r="L524" s="631">
        <f t="shared" si="123"/>
        <v>0</v>
      </c>
      <c r="M524" s="631">
        <f t="shared" si="124"/>
        <v>0</v>
      </c>
      <c r="N524" s="631">
        <f t="shared" si="125"/>
        <v>0</v>
      </c>
      <c r="O524" s="660">
        <f t="shared" si="126"/>
        <v>0</v>
      </c>
    </row>
    <row r="525" spans="1:16">
      <c r="A525" s="2015">
        <v>253</v>
      </c>
      <c r="B525" s="675">
        <v>25300161</v>
      </c>
      <c r="C525" s="675"/>
      <c r="D525" s="652" t="s">
        <v>1419</v>
      </c>
      <c r="E525" s="675" t="s">
        <v>968</v>
      </c>
      <c r="F525" s="2007" t="s">
        <v>390</v>
      </c>
      <c r="G525" s="2006">
        <v>0.01</v>
      </c>
      <c r="H525" s="2006">
        <v>0.01</v>
      </c>
      <c r="I525" s="630">
        <f t="shared" si="120"/>
        <v>0</v>
      </c>
      <c r="J525" s="630">
        <f t="shared" si="121"/>
        <v>0</v>
      </c>
      <c r="K525" s="630">
        <f t="shared" si="122"/>
        <v>0.01</v>
      </c>
      <c r="L525" s="631">
        <f t="shared" si="123"/>
        <v>0</v>
      </c>
      <c r="M525" s="631">
        <f t="shared" si="124"/>
        <v>0</v>
      </c>
      <c r="N525" s="631">
        <f t="shared" si="125"/>
        <v>0.01</v>
      </c>
      <c r="O525" s="660">
        <f t="shared" si="126"/>
        <v>0</v>
      </c>
    </row>
    <row r="526" spans="1:16">
      <c r="A526" s="2015">
        <v>253</v>
      </c>
      <c r="B526" s="675">
        <v>25300181</v>
      </c>
      <c r="C526" s="675"/>
      <c r="D526" s="652" t="s">
        <v>1420</v>
      </c>
      <c r="E526" s="675" t="s">
        <v>968</v>
      </c>
      <c r="F526" s="2007" t="s">
        <v>392</v>
      </c>
      <c r="G526" s="2006">
        <v>-2930650.74</v>
      </c>
      <c r="H526" s="2006">
        <v>-3145161.74</v>
      </c>
      <c r="I526" s="630">
        <f t="shared" si="120"/>
        <v>-2930650.74</v>
      </c>
      <c r="J526" s="630">
        <f t="shared" si="121"/>
        <v>0</v>
      </c>
      <c r="K526" s="630">
        <f t="shared" si="122"/>
        <v>0</v>
      </c>
      <c r="L526" s="631">
        <f t="shared" si="123"/>
        <v>0</v>
      </c>
      <c r="M526" s="631">
        <f t="shared" si="124"/>
        <v>0</v>
      </c>
      <c r="N526" s="631">
        <f t="shared" si="125"/>
        <v>-2930650.74</v>
      </c>
      <c r="O526" s="660">
        <f t="shared" si="126"/>
        <v>0</v>
      </c>
    </row>
    <row r="527" spans="1:16">
      <c r="A527" s="2015">
        <v>253</v>
      </c>
      <c r="B527" s="656">
        <v>25300201</v>
      </c>
      <c r="C527" s="656"/>
      <c r="D527" s="2036" t="s">
        <v>1421</v>
      </c>
      <c r="E527" s="656" t="s">
        <v>968</v>
      </c>
      <c r="F527" s="2035" t="s">
        <v>950</v>
      </c>
      <c r="G527" s="2034">
        <v>-3688961</v>
      </c>
      <c r="H527" s="2034">
        <v>-3965633</v>
      </c>
      <c r="I527" s="678"/>
      <c r="J527" s="678"/>
      <c r="K527" s="678"/>
      <c r="L527" s="661">
        <f t="shared" si="123"/>
        <v>0</v>
      </c>
      <c r="M527" s="661">
        <f t="shared" si="124"/>
        <v>0</v>
      </c>
      <c r="N527" s="661">
        <f t="shared" si="125"/>
        <v>0</v>
      </c>
      <c r="O527" s="661"/>
      <c r="P527" s="2005" t="s">
        <v>1422</v>
      </c>
    </row>
    <row r="528" spans="1:16">
      <c r="A528" s="2015">
        <v>253</v>
      </c>
      <c r="B528" s="675">
        <v>25300212</v>
      </c>
      <c r="C528" s="675"/>
      <c r="D528" s="652" t="s">
        <v>1423</v>
      </c>
      <c r="E528" s="675" t="s">
        <v>968</v>
      </c>
      <c r="F528" s="2007" t="s">
        <v>988</v>
      </c>
      <c r="G528" s="2006">
        <v>0</v>
      </c>
      <c r="H528" s="2006">
        <v>0</v>
      </c>
      <c r="I528" s="630">
        <f>IF(RIGHT($B528,1)="1", $G528*VLOOKUP($F528, Ratio, 2, FALSE), IF(RIGHT($B528,1)="3", $G528*VLOOKUP($F528, Ratio, 2, FALSE)*$F$5, 0))</f>
        <v>0</v>
      </c>
      <c r="J528" s="630">
        <f>IF(RIGHT($B528,1)="1", $G528*VLOOKUP($F528, Ratio, 3, FALSE), IF(RIGHT($B528,1)="3", $G528*VLOOKUP($F528, Ratio, 3, FALSE)*$F$5, 0))</f>
        <v>0</v>
      </c>
      <c r="K528" s="630">
        <f>IF(RIGHT($B528,1)="1", $G528*VLOOKUP($F528, Ratio, 4, FALSE), IF(RIGHT($B528,1)="3", $G528*VLOOKUP($F528, Ratio, 4, FALSE)*$F$5, 0))</f>
        <v>0</v>
      </c>
      <c r="L528" s="631">
        <f t="shared" si="123"/>
        <v>0</v>
      </c>
      <c r="M528" s="631">
        <f t="shared" si="124"/>
        <v>0</v>
      </c>
      <c r="N528" s="631">
        <f t="shared" si="125"/>
        <v>0</v>
      </c>
      <c r="O528" s="660">
        <f>G528-N528</f>
        <v>0</v>
      </c>
    </row>
    <row r="529" spans="1:16">
      <c r="A529" s="2015">
        <v>253</v>
      </c>
      <c r="B529" s="675">
        <v>25300241</v>
      </c>
      <c r="C529" s="675"/>
      <c r="D529" s="652" t="s">
        <v>1424</v>
      </c>
      <c r="E529" s="675" t="s">
        <v>968</v>
      </c>
      <c r="F529" s="2007" t="s">
        <v>390</v>
      </c>
      <c r="G529" s="2006">
        <v>0</v>
      </c>
      <c r="H529" s="2006">
        <v>0</v>
      </c>
      <c r="I529" s="630">
        <f>IF(RIGHT($B529,1)="1", $G529*VLOOKUP($F529, Ratio, 2, FALSE), IF(RIGHT($B529,1)="3", $G529*VLOOKUP($F529, Ratio, 2, FALSE)*$F$5, 0))</f>
        <v>0</v>
      </c>
      <c r="J529" s="630">
        <f>IF(RIGHT($B529,1)="1", $G529*VLOOKUP($F529, Ratio, 3, FALSE), IF(RIGHT($B529,1)="3", $G529*VLOOKUP($F529, Ratio, 3, FALSE)*$F$5, 0))</f>
        <v>0</v>
      </c>
      <c r="K529" s="630">
        <f>IF(RIGHT($B529,1)="1", $G529*VLOOKUP($F529, Ratio, 4, FALSE), IF(RIGHT($B529,1)="3", $G529*VLOOKUP($F529, Ratio, 4, FALSE)*$F$5, 0))</f>
        <v>0</v>
      </c>
      <c r="L529" s="631">
        <f t="shared" si="123"/>
        <v>0</v>
      </c>
      <c r="M529" s="631">
        <f t="shared" si="124"/>
        <v>0</v>
      </c>
      <c r="N529" s="631">
        <f t="shared" si="125"/>
        <v>0</v>
      </c>
      <c r="O529" s="660">
        <f>G529-N529</f>
        <v>0</v>
      </c>
    </row>
    <row r="530" spans="1:16">
      <c r="A530" s="2015">
        <v>253</v>
      </c>
      <c r="B530" s="675">
        <v>25300271</v>
      </c>
      <c r="C530" s="675"/>
      <c r="D530" s="652" t="s">
        <v>1425</v>
      </c>
      <c r="E530" s="675" t="s">
        <v>968</v>
      </c>
      <c r="F530" s="2007" t="s">
        <v>390</v>
      </c>
      <c r="G530" s="2006">
        <v>0</v>
      </c>
      <c r="H530" s="2006">
        <v>0</v>
      </c>
      <c r="I530" s="630">
        <f>IF(RIGHT($B530,1)="1", $G530*VLOOKUP($F530, Ratio, 2, FALSE), IF(RIGHT($B530,1)="3", $G530*VLOOKUP($F530, Ratio, 2, FALSE)*$F$5, 0))</f>
        <v>0</v>
      </c>
      <c r="J530" s="630">
        <f>IF(RIGHT($B530,1)="1", $G530*VLOOKUP($F530, Ratio, 3, FALSE), IF(RIGHT($B530,1)="3", $G530*VLOOKUP($F530, Ratio, 3, FALSE)*$F$5, 0))</f>
        <v>0</v>
      </c>
      <c r="K530" s="630">
        <f>IF(RIGHT($B530,1)="1", $G530*VLOOKUP($F530, Ratio, 4, FALSE), IF(RIGHT($B530,1)="3", $G530*VLOOKUP($F530, Ratio, 4, FALSE)*$F$5, 0))</f>
        <v>0</v>
      </c>
      <c r="L530" s="631">
        <f t="shared" si="123"/>
        <v>0</v>
      </c>
      <c r="M530" s="631">
        <f t="shared" si="124"/>
        <v>0</v>
      </c>
      <c r="N530" s="631">
        <f t="shared" si="125"/>
        <v>0</v>
      </c>
      <c r="O530" s="660">
        <f>G530-N530</f>
        <v>0</v>
      </c>
    </row>
    <row r="531" spans="1:16">
      <c r="A531" s="2015">
        <v>253</v>
      </c>
      <c r="B531" s="656">
        <v>25300281</v>
      </c>
      <c r="C531" s="656"/>
      <c r="D531" s="2036" t="s">
        <v>1426</v>
      </c>
      <c r="E531" s="656" t="s">
        <v>968</v>
      </c>
      <c r="F531" s="2035" t="s">
        <v>950</v>
      </c>
      <c r="G531" s="2034">
        <v>-560320</v>
      </c>
      <c r="H531" s="2034">
        <v>-552160</v>
      </c>
      <c r="I531" s="678"/>
      <c r="J531" s="678"/>
      <c r="K531" s="678"/>
      <c r="L531" s="661">
        <f t="shared" si="123"/>
        <v>0</v>
      </c>
      <c r="M531" s="661">
        <f t="shared" si="124"/>
        <v>0</v>
      </c>
      <c r="N531" s="661">
        <f t="shared" si="125"/>
        <v>0</v>
      </c>
      <c r="O531" s="661"/>
      <c r="P531" s="2005" t="s">
        <v>1427</v>
      </c>
    </row>
    <row r="532" spans="1:16">
      <c r="A532" s="2015">
        <v>253</v>
      </c>
      <c r="B532" s="675">
        <v>25300293</v>
      </c>
      <c r="C532" s="675"/>
      <c r="D532" s="652" t="s">
        <v>1428</v>
      </c>
      <c r="E532" s="675" t="s">
        <v>968</v>
      </c>
      <c r="F532" s="2007" t="s">
        <v>95</v>
      </c>
      <c r="G532" s="2006">
        <v>-14828617.109999999</v>
      </c>
      <c r="H532" s="2006">
        <v>-13984328.66</v>
      </c>
      <c r="I532" s="630">
        <f t="shared" ref="I532:I546" si="127">IF(RIGHT($B532,1)="1", $G532*VLOOKUP($F532, Ratio, 2, FALSE), IF(RIGHT($B532,1)="3", $G532*VLOOKUP($F532, Ratio, 2, FALSE)*$F$5, 0))</f>
        <v>-3308745.9062551395</v>
      </c>
      <c r="J532" s="630">
        <f t="shared" ref="J532:J546" si="128">IF(RIGHT($B532,1)="1", $G532*VLOOKUP($F532, Ratio, 3, FALSE), IF(RIGHT($B532,1)="3", $G532*VLOOKUP($F532, Ratio, 3, FALSE)*$F$5, 0))</f>
        <v>0</v>
      </c>
      <c r="K532" s="630">
        <f t="shared" ref="K532:K546" si="129">IF(RIGHT($B532,1)="1", $G532*VLOOKUP($F532, Ratio, 4, FALSE), IF(RIGHT($B532,1)="3", $G532*VLOOKUP($F532, Ratio, 4, FALSE)*$F$5, 0))</f>
        <v>-6427724.1405980121</v>
      </c>
      <c r="L532" s="631">
        <f t="shared" si="123"/>
        <v>0</v>
      </c>
      <c r="M532" s="631">
        <f t="shared" si="124"/>
        <v>-5092147.0631468482</v>
      </c>
      <c r="N532" s="631">
        <f t="shared" si="125"/>
        <v>-14828617.109999999</v>
      </c>
      <c r="O532" s="660">
        <f t="shared" ref="O532:O546" si="130">G532-N532</f>
        <v>0</v>
      </c>
      <c r="P532" s="2005" t="s">
        <v>8084</v>
      </c>
    </row>
    <row r="533" spans="1:16">
      <c r="A533" s="2015">
        <v>253</v>
      </c>
      <c r="B533" s="675">
        <v>25300302</v>
      </c>
      <c r="C533" s="675"/>
      <c r="D533" s="652" t="s">
        <v>1429</v>
      </c>
      <c r="E533" s="675" t="s">
        <v>968</v>
      </c>
      <c r="F533" s="2007" t="s">
        <v>988</v>
      </c>
      <c r="G533" s="2006">
        <v>0</v>
      </c>
      <c r="H533" s="2006">
        <v>0</v>
      </c>
      <c r="I533" s="630">
        <f t="shared" si="127"/>
        <v>0</v>
      </c>
      <c r="J533" s="630">
        <f t="shared" si="128"/>
        <v>0</v>
      </c>
      <c r="K533" s="630">
        <f t="shared" si="129"/>
        <v>0</v>
      </c>
      <c r="L533" s="631">
        <f t="shared" si="123"/>
        <v>0</v>
      </c>
      <c r="M533" s="631">
        <f t="shared" si="124"/>
        <v>0</v>
      </c>
      <c r="N533" s="631">
        <f t="shared" si="125"/>
        <v>0</v>
      </c>
      <c r="O533" s="660">
        <f t="shared" si="130"/>
        <v>0</v>
      </c>
    </row>
    <row r="534" spans="1:16">
      <c r="A534" s="2015">
        <v>253</v>
      </c>
      <c r="B534" s="675">
        <v>25300303</v>
      </c>
      <c r="C534" s="675"/>
      <c r="D534" s="652" t="s">
        <v>1430</v>
      </c>
      <c r="E534" s="675" t="s">
        <v>968</v>
      </c>
      <c r="F534" s="2007" t="s">
        <v>390</v>
      </c>
      <c r="G534" s="2006">
        <v>-178398.75</v>
      </c>
      <c r="H534" s="2006">
        <v>-138143.1</v>
      </c>
      <c r="I534" s="630">
        <f t="shared" si="127"/>
        <v>0</v>
      </c>
      <c r="J534" s="630">
        <f t="shared" si="128"/>
        <v>0</v>
      </c>
      <c r="K534" s="630">
        <f t="shared" si="129"/>
        <v>-117136.6198807357</v>
      </c>
      <c r="L534" s="631">
        <f t="shared" si="123"/>
        <v>0</v>
      </c>
      <c r="M534" s="631">
        <f t="shared" si="124"/>
        <v>-61262.130119264293</v>
      </c>
      <c r="N534" s="631">
        <f t="shared" si="125"/>
        <v>-178398.75</v>
      </c>
      <c r="O534" s="660">
        <f t="shared" si="130"/>
        <v>0</v>
      </c>
    </row>
    <row r="535" spans="1:16">
      <c r="A535" s="2015">
        <v>253</v>
      </c>
      <c r="B535" s="675">
        <v>25300323</v>
      </c>
      <c r="C535" s="675"/>
      <c r="D535" s="652" t="s">
        <v>1431</v>
      </c>
      <c r="E535" s="675" t="s">
        <v>968</v>
      </c>
      <c r="F535" s="2007" t="s">
        <v>390</v>
      </c>
      <c r="G535" s="2006">
        <v>0</v>
      </c>
      <c r="H535" s="2006">
        <v>0</v>
      </c>
      <c r="I535" s="630">
        <f t="shared" si="127"/>
        <v>0</v>
      </c>
      <c r="J535" s="630">
        <f t="shared" si="128"/>
        <v>0</v>
      </c>
      <c r="K535" s="630">
        <f t="shared" si="129"/>
        <v>0</v>
      </c>
      <c r="L535" s="631">
        <f t="shared" si="123"/>
        <v>0</v>
      </c>
      <c r="M535" s="631">
        <f t="shared" si="124"/>
        <v>0</v>
      </c>
      <c r="N535" s="631">
        <f t="shared" si="125"/>
        <v>0</v>
      </c>
      <c r="O535" s="660">
        <f t="shared" si="130"/>
        <v>0</v>
      </c>
    </row>
    <row r="536" spans="1:16">
      <c r="A536" s="2015">
        <v>253</v>
      </c>
      <c r="B536" s="675">
        <v>25300343</v>
      </c>
      <c r="C536" s="675"/>
      <c r="D536" s="652" t="s">
        <v>1432</v>
      </c>
      <c r="E536" s="675" t="s">
        <v>968</v>
      </c>
      <c r="F536" s="2007" t="s">
        <v>390</v>
      </c>
      <c r="G536" s="2006">
        <v>-1298393</v>
      </c>
      <c r="H536" s="2006">
        <v>-1774824.72</v>
      </c>
      <c r="I536" s="630">
        <f t="shared" si="127"/>
        <v>0</v>
      </c>
      <c r="J536" s="630">
        <f t="shared" si="128"/>
        <v>0</v>
      </c>
      <c r="K536" s="630">
        <f t="shared" si="129"/>
        <v>-852524.8483905188</v>
      </c>
      <c r="L536" s="631">
        <f t="shared" si="123"/>
        <v>0</v>
      </c>
      <c r="M536" s="631">
        <f t="shared" si="124"/>
        <v>-445868.15160948114</v>
      </c>
      <c r="N536" s="631">
        <f t="shared" si="125"/>
        <v>-1298393</v>
      </c>
      <c r="O536" s="660">
        <f t="shared" si="130"/>
        <v>0</v>
      </c>
    </row>
    <row r="537" spans="1:16">
      <c r="A537" s="2015">
        <v>253</v>
      </c>
      <c r="B537" s="675">
        <v>25300353</v>
      </c>
      <c r="C537" s="675"/>
      <c r="D537" s="652" t="s">
        <v>1433</v>
      </c>
      <c r="E537" s="675" t="s">
        <v>968</v>
      </c>
      <c r="F537" s="2007" t="s">
        <v>390</v>
      </c>
      <c r="G537" s="2006">
        <v>-3375849.63</v>
      </c>
      <c r="H537" s="2006">
        <v>-4074301.23</v>
      </c>
      <c r="I537" s="630">
        <f t="shared" si="127"/>
        <v>0</v>
      </c>
      <c r="J537" s="630">
        <f t="shared" si="128"/>
        <v>0</v>
      </c>
      <c r="K537" s="630">
        <f t="shared" si="129"/>
        <v>-2216582.8789934474</v>
      </c>
      <c r="L537" s="631">
        <f t="shared" si="123"/>
        <v>0</v>
      </c>
      <c r="M537" s="631">
        <f t="shared" si="124"/>
        <v>-1159266.7510065525</v>
      </c>
      <c r="N537" s="631">
        <f t="shared" si="125"/>
        <v>-3375849.63</v>
      </c>
      <c r="O537" s="660">
        <f t="shared" si="130"/>
        <v>0</v>
      </c>
    </row>
    <row r="538" spans="1:16">
      <c r="A538" s="2015">
        <v>253</v>
      </c>
      <c r="B538" s="675">
        <v>25300363</v>
      </c>
      <c r="C538" s="675"/>
      <c r="D538" s="652" t="s">
        <v>1434</v>
      </c>
      <c r="E538" s="675" t="s">
        <v>968</v>
      </c>
      <c r="F538" s="2007" t="s">
        <v>390</v>
      </c>
      <c r="G538" s="2006">
        <v>0</v>
      </c>
      <c r="H538" s="2006">
        <v>0</v>
      </c>
      <c r="I538" s="630">
        <f t="shared" si="127"/>
        <v>0</v>
      </c>
      <c r="J538" s="630">
        <f t="shared" si="128"/>
        <v>0</v>
      </c>
      <c r="K538" s="630">
        <f t="shared" si="129"/>
        <v>0</v>
      </c>
      <c r="L538" s="631">
        <f t="shared" si="123"/>
        <v>0</v>
      </c>
      <c r="M538" s="631">
        <f t="shared" si="124"/>
        <v>0</v>
      </c>
      <c r="N538" s="631">
        <f t="shared" si="125"/>
        <v>0</v>
      </c>
      <c r="O538" s="660">
        <f t="shared" si="130"/>
        <v>0</v>
      </c>
    </row>
    <row r="539" spans="1:16">
      <c r="A539" s="2015">
        <v>253</v>
      </c>
      <c r="B539" s="675">
        <v>25300371</v>
      </c>
      <c r="C539" s="675"/>
      <c r="D539" s="652" t="s">
        <v>1435</v>
      </c>
      <c r="E539" s="675" t="s">
        <v>968</v>
      </c>
      <c r="F539" s="2007" t="s">
        <v>390</v>
      </c>
      <c r="G539" s="2006">
        <v>0</v>
      </c>
      <c r="H539" s="2006">
        <v>0</v>
      </c>
      <c r="I539" s="630">
        <f t="shared" si="127"/>
        <v>0</v>
      </c>
      <c r="J539" s="630">
        <f t="shared" si="128"/>
        <v>0</v>
      </c>
      <c r="K539" s="630">
        <f t="shared" si="129"/>
        <v>0</v>
      </c>
      <c r="L539" s="631">
        <f t="shared" si="123"/>
        <v>0</v>
      </c>
      <c r="M539" s="631">
        <f t="shared" si="124"/>
        <v>0</v>
      </c>
      <c r="N539" s="631">
        <f t="shared" si="125"/>
        <v>0</v>
      </c>
      <c r="O539" s="660">
        <f t="shared" si="130"/>
        <v>0</v>
      </c>
    </row>
    <row r="540" spans="1:16">
      <c r="A540" s="2015">
        <v>253</v>
      </c>
      <c r="B540" s="675">
        <v>25300413</v>
      </c>
      <c r="C540" s="675"/>
      <c r="D540" s="652" t="s">
        <v>1436</v>
      </c>
      <c r="E540" s="675" t="s">
        <v>968</v>
      </c>
      <c r="F540" s="2007" t="s">
        <v>390</v>
      </c>
      <c r="G540" s="2006">
        <v>0</v>
      </c>
      <c r="H540" s="2006">
        <v>0</v>
      </c>
      <c r="I540" s="630">
        <f t="shared" si="127"/>
        <v>0</v>
      </c>
      <c r="J540" s="630">
        <f t="shared" si="128"/>
        <v>0</v>
      </c>
      <c r="K540" s="630">
        <f t="shared" si="129"/>
        <v>0</v>
      </c>
      <c r="L540" s="631">
        <f t="shared" si="123"/>
        <v>0</v>
      </c>
      <c r="M540" s="631">
        <f t="shared" si="124"/>
        <v>0</v>
      </c>
      <c r="N540" s="631">
        <f t="shared" si="125"/>
        <v>0</v>
      </c>
      <c r="O540" s="660">
        <f t="shared" si="130"/>
        <v>0</v>
      </c>
    </row>
    <row r="541" spans="1:16">
      <c r="A541" s="2015">
        <v>253</v>
      </c>
      <c r="B541" s="675">
        <v>25300433</v>
      </c>
      <c r="C541" s="675"/>
      <c r="D541" s="652" t="s">
        <v>1437</v>
      </c>
      <c r="E541" s="675" t="s">
        <v>968</v>
      </c>
      <c r="F541" s="2007" t="s">
        <v>390</v>
      </c>
      <c r="G541" s="2006">
        <v>0</v>
      </c>
      <c r="H541" s="2006">
        <v>0</v>
      </c>
      <c r="I541" s="630">
        <f t="shared" si="127"/>
        <v>0</v>
      </c>
      <c r="J541" s="630">
        <f t="shared" si="128"/>
        <v>0</v>
      </c>
      <c r="K541" s="630">
        <f t="shared" si="129"/>
        <v>0</v>
      </c>
      <c r="L541" s="631">
        <f t="shared" si="123"/>
        <v>0</v>
      </c>
      <c r="M541" s="631">
        <f t="shared" si="124"/>
        <v>0</v>
      </c>
      <c r="N541" s="631">
        <f t="shared" si="125"/>
        <v>0</v>
      </c>
      <c r="O541" s="660">
        <f t="shared" si="130"/>
        <v>0</v>
      </c>
    </row>
    <row r="542" spans="1:16">
      <c r="A542" s="2015">
        <v>253</v>
      </c>
      <c r="B542" s="675">
        <v>25300443</v>
      </c>
      <c r="C542" s="675"/>
      <c r="D542" s="652" t="s">
        <v>1438</v>
      </c>
      <c r="E542" s="675" t="s">
        <v>968</v>
      </c>
      <c r="F542" s="2007" t="s">
        <v>390</v>
      </c>
      <c r="G542" s="2006">
        <v>0</v>
      </c>
      <c r="H542" s="2006">
        <v>0</v>
      </c>
      <c r="I542" s="630">
        <f t="shared" si="127"/>
        <v>0</v>
      </c>
      <c r="J542" s="630">
        <f t="shared" si="128"/>
        <v>0</v>
      </c>
      <c r="K542" s="630">
        <f t="shared" si="129"/>
        <v>0</v>
      </c>
      <c r="L542" s="631">
        <f t="shared" si="123"/>
        <v>0</v>
      </c>
      <c r="M542" s="631">
        <f t="shared" si="124"/>
        <v>0</v>
      </c>
      <c r="N542" s="631">
        <f t="shared" si="125"/>
        <v>0</v>
      </c>
      <c r="O542" s="660">
        <f t="shared" si="130"/>
        <v>0</v>
      </c>
    </row>
    <row r="543" spans="1:16">
      <c r="A543" s="2015">
        <v>253</v>
      </c>
      <c r="B543" s="675">
        <v>25300463</v>
      </c>
      <c r="C543" s="675"/>
      <c r="D543" s="652" t="s">
        <v>1439</v>
      </c>
      <c r="E543" s="675" t="s">
        <v>968</v>
      </c>
      <c r="F543" s="2007" t="s">
        <v>390</v>
      </c>
      <c r="G543" s="2006">
        <v>-88500.94</v>
      </c>
      <c r="H543" s="2006">
        <v>-96546.48</v>
      </c>
      <c r="I543" s="630">
        <f t="shared" si="127"/>
        <v>0</v>
      </c>
      <c r="J543" s="630">
        <f t="shared" si="128"/>
        <v>0</v>
      </c>
      <c r="K543" s="630">
        <f t="shared" si="129"/>
        <v>-58109.717516898512</v>
      </c>
      <c r="L543" s="631">
        <f t="shared" si="123"/>
        <v>0</v>
      </c>
      <c r="M543" s="631">
        <f t="shared" si="124"/>
        <v>-30391.22248310149</v>
      </c>
      <c r="N543" s="631">
        <f t="shared" si="125"/>
        <v>-88500.94</v>
      </c>
      <c r="O543" s="660">
        <f t="shared" si="130"/>
        <v>0</v>
      </c>
    </row>
    <row r="544" spans="1:16">
      <c r="A544" s="2015">
        <v>253</v>
      </c>
      <c r="B544" s="675">
        <v>25300503</v>
      </c>
      <c r="C544" s="675"/>
      <c r="D544" s="652" t="s">
        <v>1440</v>
      </c>
      <c r="E544" s="675" t="s">
        <v>968</v>
      </c>
      <c r="F544" s="2007" t="s">
        <v>390</v>
      </c>
      <c r="G544" s="2006">
        <v>-235400.98</v>
      </c>
      <c r="H544" s="2006">
        <v>-309878.53000000003</v>
      </c>
      <c r="I544" s="630">
        <f t="shared" si="127"/>
        <v>0</v>
      </c>
      <c r="J544" s="630">
        <f t="shared" si="128"/>
        <v>0</v>
      </c>
      <c r="K544" s="630">
        <f t="shared" si="129"/>
        <v>-154564.2843002693</v>
      </c>
      <c r="L544" s="631">
        <f t="shared" si="123"/>
        <v>0</v>
      </c>
      <c r="M544" s="631">
        <f t="shared" si="124"/>
        <v>-80836.695699730699</v>
      </c>
      <c r="N544" s="631">
        <f t="shared" si="125"/>
        <v>-235400.97999999998</v>
      </c>
      <c r="O544" s="660">
        <f t="shared" si="130"/>
        <v>0</v>
      </c>
    </row>
    <row r="545" spans="1:16">
      <c r="A545" s="2015">
        <v>253</v>
      </c>
      <c r="B545" s="675">
        <v>25300513</v>
      </c>
      <c r="C545" s="675"/>
      <c r="D545" s="652" t="s">
        <v>1441</v>
      </c>
      <c r="E545" s="675" t="s">
        <v>968</v>
      </c>
      <c r="F545" s="2007" t="s">
        <v>95</v>
      </c>
      <c r="G545" s="2006">
        <v>0</v>
      </c>
      <c r="H545" s="2006">
        <v>397.88</v>
      </c>
      <c r="I545" s="630">
        <f t="shared" si="127"/>
        <v>0</v>
      </c>
      <c r="J545" s="630">
        <f t="shared" si="128"/>
        <v>0</v>
      </c>
      <c r="K545" s="630">
        <f t="shared" si="129"/>
        <v>0</v>
      </c>
      <c r="L545" s="631">
        <f t="shared" si="123"/>
        <v>0</v>
      </c>
      <c r="M545" s="631">
        <f t="shared" si="124"/>
        <v>0</v>
      </c>
      <c r="N545" s="631">
        <f t="shared" si="125"/>
        <v>0</v>
      </c>
      <c r="O545" s="660">
        <f t="shared" si="130"/>
        <v>0</v>
      </c>
      <c r="P545" s="2005" t="s">
        <v>1408</v>
      </c>
    </row>
    <row r="546" spans="1:16">
      <c r="A546" s="2015">
        <v>253</v>
      </c>
      <c r="B546" s="2038">
        <v>25300521</v>
      </c>
      <c r="C546" s="2038"/>
      <c r="D546" s="2039" t="s">
        <v>1442</v>
      </c>
      <c r="E546" s="2038" t="s">
        <v>968</v>
      </c>
      <c r="F546" s="2038" t="s">
        <v>390</v>
      </c>
      <c r="G546" s="2037">
        <v>0</v>
      </c>
      <c r="H546" s="2037">
        <v>0</v>
      </c>
      <c r="I546" s="630">
        <f t="shared" si="127"/>
        <v>0</v>
      </c>
      <c r="J546" s="630">
        <f t="shared" si="128"/>
        <v>0</v>
      </c>
      <c r="K546" s="630">
        <f t="shared" si="129"/>
        <v>0</v>
      </c>
      <c r="L546" s="631">
        <f t="shared" si="123"/>
        <v>0</v>
      </c>
      <c r="M546" s="631">
        <f t="shared" si="124"/>
        <v>0</v>
      </c>
      <c r="N546" s="631">
        <f t="shared" si="125"/>
        <v>0</v>
      </c>
      <c r="O546" s="660">
        <f t="shared" si="130"/>
        <v>0</v>
      </c>
    </row>
    <row r="547" spans="1:16">
      <c r="A547" s="2015">
        <v>253</v>
      </c>
      <c r="B547" s="656">
        <v>25300541</v>
      </c>
      <c r="C547" s="656"/>
      <c r="D547" s="2036" t="s">
        <v>1443</v>
      </c>
      <c r="E547" s="656" t="s">
        <v>968</v>
      </c>
      <c r="F547" s="2035" t="s">
        <v>950</v>
      </c>
      <c r="G547" s="2034">
        <v>0</v>
      </c>
      <c r="H547" s="2034">
        <v>0.01</v>
      </c>
      <c r="I547" s="679"/>
      <c r="J547" s="679"/>
      <c r="K547" s="679"/>
      <c r="L547" s="680"/>
      <c r="M547" s="680"/>
      <c r="N547" s="680"/>
      <c r="O547" s="661"/>
    </row>
    <row r="548" spans="1:16">
      <c r="A548" s="2015">
        <v>253</v>
      </c>
      <c r="B548" s="675">
        <v>25300543</v>
      </c>
      <c r="C548" s="675"/>
      <c r="D548" s="652" t="s">
        <v>1444</v>
      </c>
      <c r="E548" s="675" t="s">
        <v>968</v>
      </c>
      <c r="F548" s="2007" t="s">
        <v>390</v>
      </c>
      <c r="G548" s="2006">
        <v>-3818.02</v>
      </c>
      <c r="H548" s="2006">
        <v>-4344.42</v>
      </c>
      <c r="I548" s="630">
        <f t="shared" ref="I548:I579" si="131">IF(RIGHT($B548,1)="1", $G548*VLOOKUP($F548, Ratio, 2, FALSE), IF(RIGHT($B548,1)="3", $G548*VLOOKUP($F548, Ratio, 2, FALSE)*$F$5, 0))</f>
        <v>0</v>
      </c>
      <c r="J548" s="630">
        <f t="shared" ref="J548:J579" si="132">IF(RIGHT($B548,1)="1", $G548*VLOOKUP($F548, Ratio, 3, FALSE), IF(RIGHT($B548,1)="3", $G548*VLOOKUP($F548, Ratio, 3, FALSE)*$F$5, 0))</f>
        <v>0</v>
      </c>
      <c r="K548" s="630">
        <f t="shared" ref="K548:K579" si="133">IF(RIGHT($B548,1)="1", $G548*VLOOKUP($F548, Ratio, 4, FALSE), IF(RIGHT($B548,1)="3", $G548*VLOOKUP($F548, Ratio, 4, FALSE)*$F$5, 0))</f>
        <v>-2506.9119454987581</v>
      </c>
      <c r="L548" s="631">
        <f t="shared" ref="L548:L579" si="134">IF(F548="GAS", G548, 0)</f>
        <v>0</v>
      </c>
      <c r="M548" s="631">
        <f t="shared" ref="M548:M579" si="135">IF(RIGHT(B548,1)="3",G548*$G$5,0)</f>
        <v>-1311.1080545012421</v>
      </c>
      <c r="N548" s="631">
        <f t="shared" ref="N548:N579" si="136">SUM(I548:M548)</f>
        <v>-3818.0200000000004</v>
      </c>
      <c r="O548" s="660">
        <f t="shared" ref="O548:O579" si="137">G548-N548</f>
        <v>0</v>
      </c>
    </row>
    <row r="549" spans="1:16">
      <c r="A549" s="2015">
        <v>253</v>
      </c>
      <c r="B549" s="675">
        <v>25300553</v>
      </c>
      <c r="C549" s="675"/>
      <c r="D549" s="652" t="s">
        <v>1445</v>
      </c>
      <c r="E549" s="675" t="s">
        <v>968</v>
      </c>
      <c r="F549" s="2007" t="s">
        <v>390</v>
      </c>
      <c r="G549" s="2006">
        <v>-216455.18</v>
      </c>
      <c r="H549" s="2006">
        <v>463.07</v>
      </c>
      <c r="I549" s="630">
        <f t="shared" si="131"/>
        <v>0</v>
      </c>
      <c r="J549" s="630">
        <f t="shared" si="132"/>
        <v>0</v>
      </c>
      <c r="K549" s="630">
        <f t="shared" si="133"/>
        <v>-142124.47195328568</v>
      </c>
      <c r="L549" s="631">
        <f t="shared" si="134"/>
        <v>0</v>
      </c>
      <c r="M549" s="631">
        <f t="shared" si="135"/>
        <v>-74330.70804671431</v>
      </c>
      <c r="N549" s="631">
        <f t="shared" si="136"/>
        <v>-216455.18</v>
      </c>
      <c r="O549" s="660">
        <f t="shared" si="137"/>
        <v>0</v>
      </c>
    </row>
    <row r="550" spans="1:16">
      <c r="A550" s="2015">
        <v>253</v>
      </c>
      <c r="B550" s="675">
        <v>25300561</v>
      </c>
      <c r="C550" s="675"/>
      <c r="D550" s="652" t="s">
        <v>1446</v>
      </c>
      <c r="E550" s="675" t="s">
        <v>968</v>
      </c>
      <c r="F550" s="2007" t="s">
        <v>390</v>
      </c>
      <c r="G550" s="2006">
        <v>-7428261</v>
      </c>
      <c r="H550" s="2006">
        <v>-7444780</v>
      </c>
      <c r="I550" s="630">
        <f t="shared" si="131"/>
        <v>0</v>
      </c>
      <c r="J550" s="630">
        <f t="shared" si="132"/>
        <v>0</v>
      </c>
      <c r="K550" s="630">
        <f t="shared" si="133"/>
        <v>-7428261</v>
      </c>
      <c r="L550" s="631">
        <f t="shared" si="134"/>
        <v>0</v>
      </c>
      <c r="M550" s="631">
        <f t="shared" si="135"/>
        <v>0</v>
      </c>
      <c r="N550" s="631">
        <f t="shared" si="136"/>
        <v>-7428261</v>
      </c>
      <c r="O550" s="660">
        <f t="shared" si="137"/>
        <v>0</v>
      </c>
    </row>
    <row r="551" spans="1:16">
      <c r="A551" s="2015">
        <v>253</v>
      </c>
      <c r="B551" s="675">
        <v>25300563</v>
      </c>
      <c r="C551" s="675"/>
      <c r="D551" s="652" t="s">
        <v>1447</v>
      </c>
      <c r="E551" s="675" t="s">
        <v>968</v>
      </c>
      <c r="F551" s="2007" t="s">
        <v>390</v>
      </c>
      <c r="G551" s="2006">
        <v>0</v>
      </c>
      <c r="H551" s="2006">
        <v>0</v>
      </c>
      <c r="I551" s="630">
        <f t="shared" si="131"/>
        <v>0</v>
      </c>
      <c r="J551" s="630">
        <f t="shared" si="132"/>
        <v>0</v>
      </c>
      <c r="K551" s="630">
        <f t="shared" si="133"/>
        <v>0</v>
      </c>
      <c r="L551" s="631">
        <f t="shared" si="134"/>
        <v>0</v>
      </c>
      <c r="M551" s="631">
        <f t="shared" si="135"/>
        <v>0</v>
      </c>
      <c r="N551" s="631">
        <f t="shared" si="136"/>
        <v>0</v>
      </c>
      <c r="O551" s="660">
        <f t="shared" si="137"/>
        <v>0</v>
      </c>
    </row>
    <row r="552" spans="1:16">
      <c r="A552" s="2015">
        <v>253</v>
      </c>
      <c r="B552" s="675">
        <v>25300581</v>
      </c>
      <c r="C552" s="675"/>
      <c r="D552" s="652" t="s">
        <v>1448</v>
      </c>
      <c r="E552" s="675" t="s">
        <v>968</v>
      </c>
      <c r="F552" s="2007" t="s">
        <v>390</v>
      </c>
      <c r="G552" s="2006">
        <v>-10167887.140000001</v>
      </c>
      <c r="H552" s="2006">
        <v>-9616956.8399999999</v>
      </c>
      <c r="I552" s="630">
        <f t="shared" si="131"/>
        <v>0</v>
      </c>
      <c r="J552" s="630">
        <f t="shared" si="132"/>
        <v>0</v>
      </c>
      <c r="K552" s="630">
        <f t="shared" si="133"/>
        <v>-10167887.140000001</v>
      </c>
      <c r="L552" s="631">
        <f t="shared" si="134"/>
        <v>0</v>
      </c>
      <c r="M552" s="631">
        <f t="shared" si="135"/>
        <v>0</v>
      </c>
      <c r="N552" s="631">
        <f t="shared" si="136"/>
        <v>-10167887.140000001</v>
      </c>
      <c r="O552" s="660">
        <f t="shared" si="137"/>
        <v>0</v>
      </c>
    </row>
    <row r="553" spans="1:16">
      <c r="A553" s="2015">
        <v>253</v>
      </c>
      <c r="B553" s="675">
        <v>25300582</v>
      </c>
      <c r="C553" s="675"/>
      <c r="D553" s="652" t="s">
        <v>1449</v>
      </c>
      <c r="E553" s="675" t="s">
        <v>968</v>
      </c>
      <c r="F553" s="2007" t="s">
        <v>988</v>
      </c>
      <c r="G553" s="2006">
        <v>-4737028.57</v>
      </c>
      <c r="H553" s="2006">
        <v>-4448893.53</v>
      </c>
      <c r="I553" s="630">
        <f t="shared" si="131"/>
        <v>0</v>
      </c>
      <c r="J553" s="630">
        <f t="shared" si="132"/>
        <v>0</v>
      </c>
      <c r="K553" s="630">
        <f t="shared" si="133"/>
        <v>0</v>
      </c>
      <c r="L553" s="631">
        <f t="shared" si="134"/>
        <v>-4737028.57</v>
      </c>
      <c r="M553" s="631">
        <f t="shared" si="135"/>
        <v>0</v>
      </c>
      <c r="N553" s="631">
        <f t="shared" si="136"/>
        <v>-4737028.57</v>
      </c>
      <c r="O553" s="660">
        <f t="shared" si="137"/>
        <v>0</v>
      </c>
    </row>
    <row r="554" spans="1:16">
      <c r="A554" s="2015">
        <v>253</v>
      </c>
      <c r="B554" s="675">
        <v>25300591</v>
      </c>
      <c r="C554" s="675"/>
      <c r="D554" s="652" t="s">
        <v>1450</v>
      </c>
      <c r="E554" s="675" t="s">
        <v>968</v>
      </c>
      <c r="F554" s="2007" t="s">
        <v>390</v>
      </c>
      <c r="G554" s="2006">
        <v>10167887.140000001</v>
      </c>
      <c r="H554" s="2006">
        <v>9616956.8399999999</v>
      </c>
      <c r="I554" s="630">
        <f t="shared" si="131"/>
        <v>0</v>
      </c>
      <c r="J554" s="630">
        <f t="shared" si="132"/>
        <v>0</v>
      </c>
      <c r="K554" s="630">
        <f t="shared" si="133"/>
        <v>10167887.140000001</v>
      </c>
      <c r="L554" s="631">
        <f t="shared" si="134"/>
        <v>0</v>
      </c>
      <c r="M554" s="631">
        <f t="shared" si="135"/>
        <v>0</v>
      </c>
      <c r="N554" s="631">
        <f t="shared" si="136"/>
        <v>10167887.140000001</v>
      </c>
      <c r="O554" s="660">
        <f t="shared" si="137"/>
        <v>0</v>
      </c>
    </row>
    <row r="555" spans="1:16">
      <c r="A555" s="2015">
        <v>253</v>
      </c>
      <c r="B555" s="675">
        <v>25300592</v>
      </c>
      <c r="C555" s="675"/>
      <c r="D555" s="652" t="s">
        <v>1451</v>
      </c>
      <c r="E555" s="675" t="s">
        <v>968</v>
      </c>
      <c r="F555" s="2007" t="s">
        <v>988</v>
      </c>
      <c r="G555" s="2006">
        <v>4737028.57</v>
      </c>
      <c r="H555" s="2006">
        <v>4448893.53</v>
      </c>
      <c r="I555" s="630">
        <f t="shared" si="131"/>
        <v>0</v>
      </c>
      <c r="J555" s="630">
        <f t="shared" si="132"/>
        <v>0</v>
      </c>
      <c r="K555" s="630">
        <f t="shared" si="133"/>
        <v>0</v>
      </c>
      <c r="L555" s="631">
        <f t="shared" si="134"/>
        <v>4737028.57</v>
      </c>
      <c r="M555" s="631">
        <f t="shared" si="135"/>
        <v>0</v>
      </c>
      <c r="N555" s="631">
        <f t="shared" si="136"/>
        <v>4737028.57</v>
      </c>
      <c r="O555" s="660">
        <f t="shared" si="137"/>
        <v>0</v>
      </c>
    </row>
    <row r="556" spans="1:16">
      <c r="A556" s="2015">
        <v>253</v>
      </c>
      <c r="B556" s="675">
        <v>25300602</v>
      </c>
      <c r="C556" s="675"/>
      <c r="D556" s="652" t="s">
        <v>1452</v>
      </c>
      <c r="E556" s="675" t="s">
        <v>968</v>
      </c>
      <c r="F556" s="2007" t="s">
        <v>988</v>
      </c>
      <c r="G556" s="2006">
        <v>0</v>
      </c>
      <c r="H556" s="2006">
        <v>-287725008.97000003</v>
      </c>
      <c r="I556" s="630">
        <f t="shared" si="131"/>
        <v>0</v>
      </c>
      <c r="J556" s="630">
        <f t="shared" si="132"/>
        <v>0</v>
      </c>
      <c r="K556" s="630">
        <f t="shared" si="133"/>
        <v>0</v>
      </c>
      <c r="L556" s="631">
        <f t="shared" si="134"/>
        <v>0</v>
      </c>
      <c r="M556" s="631">
        <f t="shared" si="135"/>
        <v>0</v>
      </c>
      <c r="N556" s="631">
        <f t="shared" si="136"/>
        <v>0</v>
      </c>
      <c r="O556" s="660">
        <f t="shared" si="137"/>
        <v>0</v>
      </c>
    </row>
    <row r="557" spans="1:16">
      <c r="A557" s="2015">
        <v>253</v>
      </c>
      <c r="B557" s="675">
        <v>25300603</v>
      </c>
      <c r="C557" s="675"/>
      <c r="D557" s="652" t="s">
        <v>1453</v>
      </c>
      <c r="E557" s="675" t="s">
        <v>968</v>
      </c>
      <c r="F557" s="2007" t="s">
        <v>390</v>
      </c>
      <c r="G557" s="2006">
        <v>0</v>
      </c>
      <c r="H557" s="2006">
        <v>0</v>
      </c>
      <c r="I557" s="630">
        <f t="shared" si="131"/>
        <v>0</v>
      </c>
      <c r="J557" s="630">
        <f t="shared" si="132"/>
        <v>0</v>
      </c>
      <c r="K557" s="630">
        <f t="shared" si="133"/>
        <v>0</v>
      </c>
      <c r="L557" s="631">
        <f t="shared" si="134"/>
        <v>0</v>
      </c>
      <c r="M557" s="631">
        <f t="shared" si="135"/>
        <v>0</v>
      </c>
      <c r="N557" s="631">
        <f t="shared" si="136"/>
        <v>0</v>
      </c>
      <c r="O557" s="660">
        <f t="shared" si="137"/>
        <v>0</v>
      </c>
    </row>
    <row r="558" spans="1:16">
      <c r="A558" s="2015">
        <v>253</v>
      </c>
      <c r="B558" s="675">
        <v>25300611</v>
      </c>
      <c r="C558" s="675"/>
      <c r="D558" s="652" t="s">
        <v>1454</v>
      </c>
      <c r="E558" s="675" t="s">
        <v>968</v>
      </c>
      <c r="F558" s="2007" t="s">
        <v>390</v>
      </c>
      <c r="G558" s="2006">
        <v>-55641034.159999996</v>
      </c>
      <c r="H558" s="2006">
        <v>-55049618.82</v>
      </c>
      <c r="I558" s="630">
        <f t="shared" si="131"/>
        <v>0</v>
      </c>
      <c r="J558" s="630">
        <f t="shared" si="132"/>
        <v>0</v>
      </c>
      <c r="K558" s="630">
        <f t="shared" si="133"/>
        <v>-55641034.159999996</v>
      </c>
      <c r="L558" s="631">
        <f t="shared" si="134"/>
        <v>0</v>
      </c>
      <c r="M558" s="631">
        <f t="shared" si="135"/>
        <v>0</v>
      </c>
      <c r="N558" s="631">
        <f t="shared" si="136"/>
        <v>-55641034.159999996</v>
      </c>
      <c r="O558" s="660">
        <f t="shared" si="137"/>
        <v>0</v>
      </c>
    </row>
    <row r="559" spans="1:16">
      <c r="A559" s="2015">
        <v>253</v>
      </c>
      <c r="B559" s="675">
        <v>25300621</v>
      </c>
      <c r="C559" s="675"/>
      <c r="D559" s="652" t="s">
        <v>1455</v>
      </c>
      <c r="E559" s="675" t="s">
        <v>968</v>
      </c>
      <c r="F559" s="2007" t="s">
        <v>390</v>
      </c>
      <c r="G559" s="2006">
        <v>-1123095.3600000001</v>
      </c>
      <c r="H559" s="2006">
        <v>-2007818.88</v>
      </c>
      <c r="I559" s="630">
        <f t="shared" si="131"/>
        <v>0</v>
      </c>
      <c r="J559" s="630">
        <f t="shared" si="132"/>
        <v>0</v>
      </c>
      <c r="K559" s="630">
        <f t="shared" si="133"/>
        <v>-1123095.3600000001</v>
      </c>
      <c r="L559" s="631">
        <f t="shared" si="134"/>
        <v>0</v>
      </c>
      <c r="M559" s="631">
        <f t="shared" si="135"/>
        <v>0</v>
      </c>
      <c r="N559" s="631">
        <f t="shared" si="136"/>
        <v>-1123095.3600000001</v>
      </c>
      <c r="O559" s="660">
        <f t="shared" si="137"/>
        <v>0</v>
      </c>
    </row>
    <row r="560" spans="1:16">
      <c r="A560" s="2015">
        <v>253</v>
      </c>
      <c r="B560" s="675">
        <v>25300631</v>
      </c>
      <c r="C560" s="675"/>
      <c r="D560" s="652" t="s">
        <v>1456</v>
      </c>
      <c r="E560" s="675" t="s">
        <v>968</v>
      </c>
      <c r="F560" s="2007" t="s">
        <v>390</v>
      </c>
      <c r="G560" s="2006">
        <v>0</v>
      </c>
      <c r="H560" s="2006">
        <v>0</v>
      </c>
      <c r="I560" s="630">
        <f t="shared" si="131"/>
        <v>0</v>
      </c>
      <c r="J560" s="630">
        <f t="shared" si="132"/>
        <v>0</v>
      </c>
      <c r="K560" s="630">
        <f t="shared" si="133"/>
        <v>0</v>
      </c>
      <c r="L560" s="631">
        <f t="shared" si="134"/>
        <v>0</v>
      </c>
      <c r="M560" s="631">
        <f t="shared" si="135"/>
        <v>0</v>
      </c>
      <c r="N560" s="631">
        <f t="shared" si="136"/>
        <v>0</v>
      </c>
      <c r="O560" s="660">
        <f t="shared" si="137"/>
        <v>0</v>
      </c>
    </row>
    <row r="561" spans="1:16">
      <c r="A561" s="2015">
        <v>253</v>
      </c>
      <c r="B561" s="675">
        <v>25300641</v>
      </c>
      <c r="C561" s="675"/>
      <c r="D561" s="652" t="s">
        <v>1457</v>
      </c>
      <c r="E561" s="675" t="s">
        <v>968</v>
      </c>
      <c r="F561" s="2007" t="s">
        <v>390</v>
      </c>
      <c r="G561" s="2006">
        <v>0</v>
      </c>
      <c r="H561" s="2006">
        <v>0</v>
      </c>
      <c r="I561" s="630">
        <f t="shared" si="131"/>
        <v>0</v>
      </c>
      <c r="J561" s="630">
        <f t="shared" si="132"/>
        <v>0</v>
      </c>
      <c r="K561" s="630">
        <f t="shared" si="133"/>
        <v>0</v>
      </c>
      <c r="L561" s="631">
        <f t="shared" si="134"/>
        <v>0</v>
      </c>
      <c r="M561" s="631">
        <f t="shared" si="135"/>
        <v>0</v>
      </c>
      <c r="N561" s="631">
        <f t="shared" si="136"/>
        <v>0</v>
      </c>
      <c r="O561" s="660">
        <f t="shared" si="137"/>
        <v>0</v>
      </c>
    </row>
    <row r="562" spans="1:16">
      <c r="A562" s="2015">
        <v>253</v>
      </c>
      <c r="B562" s="675">
        <v>25300642</v>
      </c>
      <c r="C562" s="675"/>
      <c r="D562" s="652" t="s">
        <v>1458</v>
      </c>
      <c r="E562" s="675" t="s">
        <v>968</v>
      </c>
      <c r="F562" s="2007" t="s">
        <v>988</v>
      </c>
      <c r="G562" s="2006">
        <v>0</v>
      </c>
      <c r="H562" s="2006">
        <v>0</v>
      </c>
      <c r="I562" s="630">
        <f t="shared" si="131"/>
        <v>0</v>
      </c>
      <c r="J562" s="630">
        <f t="shared" si="132"/>
        <v>0</v>
      </c>
      <c r="K562" s="630">
        <f t="shared" si="133"/>
        <v>0</v>
      </c>
      <c r="L562" s="631">
        <f t="shared" si="134"/>
        <v>0</v>
      </c>
      <c r="M562" s="631">
        <f t="shared" si="135"/>
        <v>0</v>
      </c>
      <c r="N562" s="631">
        <f t="shared" si="136"/>
        <v>0</v>
      </c>
      <c r="O562" s="660">
        <f t="shared" si="137"/>
        <v>0</v>
      </c>
    </row>
    <row r="563" spans="1:16">
      <c r="A563" s="2015">
        <v>253</v>
      </c>
      <c r="B563" s="675">
        <v>25300663</v>
      </c>
      <c r="C563" s="675"/>
      <c r="D563" s="652" t="s">
        <v>1459</v>
      </c>
      <c r="E563" s="675" t="s">
        <v>968</v>
      </c>
      <c r="F563" s="2007" t="s">
        <v>390</v>
      </c>
      <c r="G563" s="2006">
        <v>0</v>
      </c>
      <c r="H563" s="2006">
        <v>0</v>
      </c>
      <c r="I563" s="630">
        <f t="shared" si="131"/>
        <v>0</v>
      </c>
      <c r="J563" s="630">
        <f t="shared" si="132"/>
        <v>0</v>
      </c>
      <c r="K563" s="630">
        <f t="shared" si="133"/>
        <v>0</v>
      </c>
      <c r="L563" s="631">
        <f t="shared" si="134"/>
        <v>0</v>
      </c>
      <c r="M563" s="631">
        <f t="shared" si="135"/>
        <v>0</v>
      </c>
      <c r="N563" s="631">
        <f t="shared" si="136"/>
        <v>0</v>
      </c>
      <c r="O563" s="660">
        <f t="shared" si="137"/>
        <v>0</v>
      </c>
    </row>
    <row r="564" spans="1:16">
      <c r="A564" s="2015">
        <v>253</v>
      </c>
      <c r="B564" s="675">
        <v>25300712</v>
      </c>
      <c r="C564" s="675"/>
      <c r="D564" s="652" t="s">
        <v>1460</v>
      </c>
      <c r="E564" s="675" t="s">
        <v>968</v>
      </c>
      <c r="F564" s="2007" t="s">
        <v>988</v>
      </c>
      <c r="G564" s="2006">
        <v>-9604660</v>
      </c>
      <c r="H564" s="2006">
        <v>-2657366</v>
      </c>
      <c r="I564" s="630">
        <f t="shared" si="131"/>
        <v>0</v>
      </c>
      <c r="J564" s="630">
        <f t="shared" si="132"/>
        <v>0</v>
      </c>
      <c r="K564" s="630">
        <f t="shared" si="133"/>
        <v>0</v>
      </c>
      <c r="L564" s="631">
        <f t="shared" si="134"/>
        <v>-9604660</v>
      </c>
      <c r="M564" s="631">
        <f t="shared" si="135"/>
        <v>0</v>
      </c>
      <c r="N564" s="631">
        <f t="shared" si="136"/>
        <v>-9604660</v>
      </c>
      <c r="O564" s="660">
        <f t="shared" si="137"/>
        <v>0</v>
      </c>
    </row>
    <row r="565" spans="1:16">
      <c r="A565" s="2015">
        <v>253</v>
      </c>
      <c r="B565" s="675">
        <v>25300731</v>
      </c>
      <c r="C565" s="675"/>
      <c r="D565" s="652" t="s">
        <v>1461</v>
      </c>
      <c r="E565" s="675" t="s">
        <v>968</v>
      </c>
      <c r="F565" s="2007" t="s">
        <v>390</v>
      </c>
      <c r="G565" s="2006">
        <v>0</v>
      </c>
      <c r="H565" s="2006">
        <v>0</v>
      </c>
      <c r="I565" s="630">
        <f t="shared" si="131"/>
        <v>0</v>
      </c>
      <c r="J565" s="630">
        <f t="shared" si="132"/>
        <v>0</v>
      </c>
      <c r="K565" s="630">
        <f t="shared" si="133"/>
        <v>0</v>
      </c>
      <c r="L565" s="631">
        <f t="shared" si="134"/>
        <v>0</v>
      </c>
      <c r="M565" s="631">
        <f t="shared" si="135"/>
        <v>0</v>
      </c>
      <c r="N565" s="631">
        <f t="shared" si="136"/>
        <v>0</v>
      </c>
      <c r="O565" s="660">
        <f t="shared" si="137"/>
        <v>0</v>
      </c>
    </row>
    <row r="566" spans="1:16">
      <c r="A566" s="2015">
        <v>253</v>
      </c>
      <c r="B566" s="675">
        <v>25300733</v>
      </c>
      <c r="C566" s="675"/>
      <c r="D566" s="652" t="s">
        <v>1462</v>
      </c>
      <c r="E566" s="675" t="s">
        <v>968</v>
      </c>
      <c r="F566" s="2007" t="s">
        <v>390</v>
      </c>
      <c r="G566" s="2006">
        <v>0</v>
      </c>
      <c r="H566" s="2006">
        <v>0</v>
      </c>
      <c r="I566" s="630">
        <f t="shared" si="131"/>
        <v>0</v>
      </c>
      <c r="J566" s="630">
        <f t="shared" si="132"/>
        <v>0</v>
      </c>
      <c r="K566" s="630">
        <f t="shared" si="133"/>
        <v>0</v>
      </c>
      <c r="L566" s="631">
        <f t="shared" si="134"/>
        <v>0</v>
      </c>
      <c r="M566" s="631">
        <f t="shared" si="135"/>
        <v>0</v>
      </c>
      <c r="N566" s="631">
        <f t="shared" si="136"/>
        <v>0</v>
      </c>
      <c r="O566" s="660">
        <f t="shared" si="137"/>
        <v>0</v>
      </c>
    </row>
    <row r="567" spans="1:16">
      <c r="A567" s="2015">
        <v>253</v>
      </c>
      <c r="B567" s="675">
        <v>25300741</v>
      </c>
      <c r="C567" s="675"/>
      <c r="D567" s="652" t="s">
        <v>1463</v>
      </c>
      <c r="E567" s="675" t="s">
        <v>968</v>
      </c>
      <c r="F567" s="2007" t="s">
        <v>390</v>
      </c>
      <c r="G567" s="2006">
        <v>0</v>
      </c>
      <c r="H567" s="2006">
        <v>0</v>
      </c>
      <c r="I567" s="630">
        <f t="shared" si="131"/>
        <v>0</v>
      </c>
      <c r="J567" s="630">
        <f t="shared" si="132"/>
        <v>0</v>
      </c>
      <c r="K567" s="630">
        <f t="shared" si="133"/>
        <v>0</v>
      </c>
      <c r="L567" s="631">
        <f t="shared" si="134"/>
        <v>0</v>
      </c>
      <c r="M567" s="631">
        <f t="shared" si="135"/>
        <v>0</v>
      </c>
      <c r="N567" s="631">
        <f t="shared" si="136"/>
        <v>0</v>
      </c>
      <c r="O567" s="660">
        <f t="shared" si="137"/>
        <v>0</v>
      </c>
    </row>
    <row r="568" spans="1:16">
      <c r="A568" s="2015">
        <v>253</v>
      </c>
      <c r="B568" s="675">
        <v>25300742</v>
      </c>
      <c r="C568" s="675"/>
      <c r="D568" s="652" t="s">
        <v>1464</v>
      </c>
      <c r="E568" s="675" t="s">
        <v>968</v>
      </c>
      <c r="F568" s="2007" t="s">
        <v>988</v>
      </c>
      <c r="G568" s="2006">
        <v>0</v>
      </c>
      <c r="H568" s="2006">
        <v>0</v>
      </c>
      <c r="I568" s="630">
        <f t="shared" si="131"/>
        <v>0</v>
      </c>
      <c r="J568" s="630">
        <f t="shared" si="132"/>
        <v>0</v>
      </c>
      <c r="K568" s="630">
        <f t="shared" si="133"/>
        <v>0</v>
      </c>
      <c r="L568" s="631">
        <f t="shared" si="134"/>
        <v>0</v>
      </c>
      <c r="M568" s="631">
        <f t="shared" si="135"/>
        <v>0</v>
      </c>
      <c r="N568" s="631">
        <f t="shared" si="136"/>
        <v>0</v>
      </c>
      <c r="O568" s="660">
        <f t="shared" si="137"/>
        <v>0</v>
      </c>
    </row>
    <row r="569" spans="1:16">
      <c r="A569" s="2015">
        <v>253</v>
      </c>
      <c r="B569" s="675">
        <v>25300761</v>
      </c>
      <c r="C569" s="675"/>
      <c r="D569" s="652" t="s">
        <v>1465</v>
      </c>
      <c r="E569" s="675" t="s">
        <v>968</v>
      </c>
      <c r="F569" s="2007" t="s">
        <v>390</v>
      </c>
      <c r="G569" s="2006">
        <v>0</v>
      </c>
      <c r="H569" s="2006">
        <v>0</v>
      </c>
      <c r="I569" s="630">
        <f t="shared" si="131"/>
        <v>0</v>
      </c>
      <c r="J569" s="630">
        <f t="shared" si="132"/>
        <v>0</v>
      </c>
      <c r="K569" s="630">
        <f t="shared" si="133"/>
        <v>0</v>
      </c>
      <c r="L569" s="631">
        <f t="shared" si="134"/>
        <v>0</v>
      </c>
      <c r="M569" s="631">
        <f t="shared" si="135"/>
        <v>0</v>
      </c>
      <c r="N569" s="631">
        <f t="shared" si="136"/>
        <v>0</v>
      </c>
      <c r="O569" s="660">
        <f t="shared" si="137"/>
        <v>0</v>
      </c>
    </row>
    <row r="570" spans="1:16">
      <c r="A570" s="2015">
        <v>253</v>
      </c>
      <c r="B570" s="675">
        <v>25300771</v>
      </c>
      <c r="C570" s="675"/>
      <c r="D570" s="652" t="s">
        <v>1466</v>
      </c>
      <c r="E570" s="675" t="s">
        <v>968</v>
      </c>
      <c r="F570" s="2007" t="s">
        <v>390</v>
      </c>
      <c r="G570" s="2006">
        <v>-9522219.9199999999</v>
      </c>
      <c r="H570" s="2006">
        <v>-8602938.9900000002</v>
      </c>
      <c r="I570" s="630">
        <f t="shared" si="131"/>
        <v>0</v>
      </c>
      <c r="J570" s="630">
        <f t="shared" si="132"/>
        <v>0</v>
      </c>
      <c r="K570" s="630">
        <f t="shared" si="133"/>
        <v>-9522219.9199999999</v>
      </c>
      <c r="L570" s="631">
        <f t="shared" si="134"/>
        <v>0</v>
      </c>
      <c r="M570" s="631">
        <f t="shared" si="135"/>
        <v>0</v>
      </c>
      <c r="N570" s="631">
        <f t="shared" si="136"/>
        <v>-9522219.9199999999</v>
      </c>
      <c r="O570" s="660">
        <f t="shared" si="137"/>
        <v>0</v>
      </c>
    </row>
    <row r="571" spans="1:16">
      <c r="A571" s="2033">
        <v>253</v>
      </c>
      <c r="B571" s="2017">
        <v>25300772</v>
      </c>
      <c r="C571" s="2017"/>
      <c r="D571" s="2018" t="s">
        <v>1467</v>
      </c>
      <c r="E571" s="2017" t="s">
        <v>968</v>
      </c>
      <c r="F571" s="2017" t="s">
        <v>988</v>
      </c>
      <c r="G571" s="2011">
        <v>-674156.15</v>
      </c>
      <c r="H571" s="2011">
        <f>-453630.16-2285246</f>
        <v>-2738876.16</v>
      </c>
      <c r="I571" s="673">
        <f t="shared" si="131"/>
        <v>0</v>
      </c>
      <c r="J571" s="673">
        <f t="shared" si="132"/>
        <v>0</v>
      </c>
      <c r="K571" s="673">
        <f t="shared" si="133"/>
        <v>0</v>
      </c>
      <c r="L571" s="674">
        <f t="shared" si="134"/>
        <v>-674156.15</v>
      </c>
      <c r="M571" s="674">
        <f t="shared" si="135"/>
        <v>0</v>
      </c>
      <c r="N571" s="674">
        <f t="shared" si="136"/>
        <v>-674156.15</v>
      </c>
      <c r="O571" s="660">
        <f t="shared" si="137"/>
        <v>0</v>
      </c>
    </row>
    <row r="572" spans="1:16">
      <c r="A572" s="2015">
        <v>253</v>
      </c>
      <c r="B572" s="675">
        <v>25300863</v>
      </c>
      <c r="C572" s="675"/>
      <c r="D572" s="652" t="s">
        <v>1468</v>
      </c>
      <c r="E572" s="675" t="s">
        <v>968</v>
      </c>
      <c r="F572" s="2007" t="s">
        <v>390</v>
      </c>
      <c r="G572" s="2006">
        <v>0</v>
      </c>
      <c r="H572" s="2006">
        <v>0</v>
      </c>
      <c r="I572" s="630">
        <f t="shared" si="131"/>
        <v>0</v>
      </c>
      <c r="J572" s="630">
        <f t="shared" si="132"/>
        <v>0</v>
      </c>
      <c r="K572" s="630">
        <f t="shared" si="133"/>
        <v>0</v>
      </c>
      <c r="L572" s="631">
        <f t="shared" si="134"/>
        <v>0</v>
      </c>
      <c r="M572" s="631">
        <f t="shared" si="135"/>
        <v>0</v>
      </c>
      <c r="N572" s="631">
        <f t="shared" si="136"/>
        <v>0</v>
      </c>
      <c r="O572" s="660">
        <f t="shared" si="137"/>
        <v>0</v>
      </c>
    </row>
    <row r="573" spans="1:16">
      <c r="A573" s="2015">
        <v>253</v>
      </c>
      <c r="B573" s="675">
        <v>25300871</v>
      </c>
      <c r="C573" s="675"/>
      <c r="D573" s="652" t="s">
        <v>1469</v>
      </c>
      <c r="E573" s="675" t="s">
        <v>968</v>
      </c>
      <c r="F573" s="2007" t="s">
        <v>392</v>
      </c>
      <c r="G573" s="2006">
        <v>0</v>
      </c>
      <c r="H573" s="2006">
        <v>0</v>
      </c>
      <c r="I573" s="630">
        <f t="shared" si="131"/>
        <v>0</v>
      </c>
      <c r="J573" s="630">
        <f t="shared" si="132"/>
        <v>0</v>
      </c>
      <c r="K573" s="630">
        <f t="shared" si="133"/>
        <v>0</v>
      </c>
      <c r="L573" s="631">
        <f t="shared" si="134"/>
        <v>0</v>
      </c>
      <c r="M573" s="631">
        <f t="shared" si="135"/>
        <v>0</v>
      </c>
      <c r="N573" s="631">
        <f t="shared" si="136"/>
        <v>0</v>
      </c>
      <c r="O573" s="660">
        <f t="shared" si="137"/>
        <v>0</v>
      </c>
    </row>
    <row r="574" spans="1:16" s="625" customFormat="1">
      <c r="A574" s="2015">
        <v>253</v>
      </c>
      <c r="B574" s="675">
        <v>25300881</v>
      </c>
      <c r="C574" s="675"/>
      <c r="D574" s="652" t="s">
        <v>1470</v>
      </c>
      <c r="E574" s="675"/>
      <c r="F574" s="2007" t="s">
        <v>390</v>
      </c>
      <c r="G574" s="2006">
        <v>-6830141.6799999997</v>
      </c>
      <c r="H574" s="2006">
        <v>-14450729.68</v>
      </c>
      <c r="I574" s="630">
        <f t="shared" si="131"/>
        <v>0</v>
      </c>
      <c r="J574" s="630">
        <f t="shared" si="132"/>
        <v>0</v>
      </c>
      <c r="K574" s="630">
        <f t="shared" si="133"/>
        <v>-6830141.6799999997</v>
      </c>
      <c r="L574" s="676">
        <f t="shared" si="134"/>
        <v>0</v>
      </c>
      <c r="M574" s="676">
        <f t="shared" si="135"/>
        <v>0</v>
      </c>
      <c r="N574" s="676">
        <f t="shared" si="136"/>
        <v>-6830141.6799999997</v>
      </c>
      <c r="O574" s="660">
        <f t="shared" si="137"/>
        <v>0</v>
      </c>
      <c r="P574" s="2010"/>
    </row>
    <row r="575" spans="1:16">
      <c r="A575" s="2015">
        <v>253</v>
      </c>
      <c r="B575" s="675">
        <v>25301073</v>
      </c>
      <c r="C575" s="675"/>
      <c r="D575" s="652" t="s">
        <v>1471</v>
      </c>
      <c r="E575" s="675" t="s">
        <v>968</v>
      </c>
      <c r="F575" s="2007" t="s">
        <v>390</v>
      </c>
      <c r="G575" s="2006">
        <v>0</v>
      </c>
      <c r="H575" s="2006">
        <v>0</v>
      </c>
      <c r="I575" s="630">
        <f t="shared" si="131"/>
        <v>0</v>
      </c>
      <c r="J575" s="630">
        <f t="shared" si="132"/>
        <v>0</v>
      </c>
      <c r="K575" s="630">
        <f t="shared" si="133"/>
        <v>0</v>
      </c>
      <c r="L575" s="631">
        <f t="shared" si="134"/>
        <v>0</v>
      </c>
      <c r="M575" s="631">
        <f t="shared" si="135"/>
        <v>0</v>
      </c>
      <c r="N575" s="631">
        <f t="shared" si="136"/>
        <v>0</v>
      </c>
      <c r="O575" s="660">
        <f t="shared" si="137"/>
        <v>0</v>
      </c>
    </row>
    <row r="576" spans="1:16">
      <c r="A576" s="2015">
        <v>253</v>
      </c>
      <c r="B576" s="675">
        <v>25301101</v>
      </c>
      <c r="C576" s="675"/>
      <c r="D576" s="652" t="s">
        <v>1472</v>
      </c>
      <c r="E576" s="675" t="s">
        <v>968</v>
      </c>
      <c r="F576" s="2007" t="s">
        <v>391</v>
      </c>
      <c r="G576" s="2006">
        <v>0</v>
      </c>
      <c r="H576" s="2006">
        <v>0</v>
      </c>
      <c r="I576" s="630">
        <f t="shared" si="131"/>
        <v>0</v>
      </c>
      <c r="J576" s="630">
        <f t="shared" si="132"/>
        <v>0</v>
      </c>
      <c r="K576" s="630">
        <f t="shared" si="133"/>
        <v>0</v>
      </c>
      <c r="L576" s="631">
        <f t="shared" si="134"/>
        <v>0</v>
      </c>
      <c r="M576" s="631">
        <f t="shared" si="135"/>
        <v>0</v>
      </c>
      <c r="N576" s="631">
        <f t="shared" si="136"/>
        <v>0</v>
      </c>
      <c r="O576" s="660">
        <f t="shared" si="137"/>
        <v>0</v>
      </c>
    </row>
    <row r="577" spans="1:15">
      <c r="A577" s="2015">
        <v>253</v>
      </c>
      <c r="B577" s="675">
        <v>25301132</v>
      </c>
      <c r="C577" s="675"/>
      <c r="D577" s="652" t="s">
        <v>1473</v>
      </c>
      <c r="E577" s="675" t="s">
        <v>968</v>
      </c>
      <c r="F577" s="2007" t="s">
        <v>988</v>
      </c>
      <c r="G577" s="2006">
        <v>0</v>
      </c>
      <c r="H577" s="2006">
        <v>0</v>
      </c>
      <c r="I577" s="630">
        <f t="shared" si="131"/>
        <v>0</v>
      </c>
      <c r="J577" s="630">
        <f t="shared" si="132"/>
        <v>0</v>
      </c>
      <c r="K577" s="630">
        <f t="shared" si="133"/>
        <v>0</v>
      </c>
      <c r="L577" s="631">
        <f t="shared" si="134"/>
        <v>0</v>
      </c>
      <c r="M577" s="631">
        <f t="shared" si="135"/>
        <v>0</v>
      </c>
      <c r="N577" s="631">
        <f t="shared" si="136"/>
        <v>0</v>
      </c>
      <c r="O577" s="660">
        <f t="shared" si="137"/>
        <v>0</v>
      </c>
    </row>
    <row r="578" spans="1:15">
      <c r="A578" s="2015">
        <v>253</v>
      </c>
      <c r="B578" s="675">
        <v>25301141</v>
      </c>
      <c r="C578" s="675"/>
      <c r="D578" s="652" t="s">
        <v>1474</v>
      </c>
      <c r="E578" s="675" t="s">
        <v>968</v>
      </c>
      <c r="F578" s="2007" t="s">
        <v>390</v>
      </c>
      <c r="G578" s="2006">
        <v>0</v>
      </c>
      <c r="H578" s="2006">
        <v>0</v>
      </c>
      <c r="I578" s="630">
        <f t="shared" si="131"/>
        <v>0</v>
      </c>
      <c r="J578" s="630">
        <f t="shared" si="132"/>
        <v>0</v>
      </c>
      <c r="K578" s="630">
        <f t="shared" si="133"/>
        <v>0</v>
      </c>
      <c r="L578" s="631">
        <f t="shared" si="134"/>
        <v>0</v>
      </c>
      <c r="M578" s="631">
        <f t="shared" si="135"/>
        <v>0</v>
      </c>
      <c r="N578" s="631">
        <f t="shared" si="136"/>
        <v>0</v>
      </c>
      <c r="O578" s="660">
        <f t="shared" si="137"/>
        <v>0</v>
      </c>
    </row>
    <row r="579" spans="1:15">
      <c r="A579" s="2015">
        <v>253</v>
      </c>
      <c r="B579" s="675">
        <v>25301142</v>
      </c>
      <c r="C579" s="675"/>
      <c r="D579" s="652" t="s">
        <v>1475</v>
      </c>
      <c r="E579" s="675" t="s">
        <v>968</v>
      </c>
      <c r="F579" s="2007" t="s">
        <v>988</v>
      </c>
      <c r="G579" s="2006">
        <v>-129821.21</v>
      </c>
      <c r="H579" s="2006">
        <v>-193173.55</v>
      </c>
      <c r="I579" s="630">
        <f t="shared" si="131"/>
        <v>0</v>
      </c>
      <c r="J579" s="630">
        <f t="shared" si="132"/>
        <v>0</v>
      </c>
      <c r="K579" s="630">
        <f t="shared" si="133"/>
        <v>0</v>
      </c>
      <c r="L579" s="631">
        <f t="shared" si="134"/>
        <v>-129821.21</v>
      </c>
      <c r="M579" s="631">
        <f t="shared" si="135"/>
        <v>0</v>
      </c>
      <c r="N579" s="631">
        <f t="shared" si="136"/>
        <v>-129821.21</v>
      </c>
      <c r="O579" s="660">
        <f t="shared" si="137"/>
        <v>0</v>
      </c>
    </row>
    <row r="580" spans="1:15">
      <c r="A580" s="2015">
        <v>253</v>
      </c>
      <c r="B580" s="675">
        <v>25301151</v>
      </c>
      <c r="C580" s="675"/>
      <c r="D580" s="652" t="s">
        <v>1476</v>
      </c>
      <c r="E580" s="675" t="s">
        <v>968</v>
      </c>
      <c r="F580" s="2007" t="s">
        <v>390</v>
      </c>
      <c r="G580" s="2006">
        <v>0</v>
      </c>
      <c r="H580" s="2006">
        <v>0</v>
      </c>
      <c r="I580" s="630">
        <f t="shared" ref="I580:I611" si="138">IF(RIGHT($B580,1)="1", $G580*VLOOKUP($F580, Ratio, 2, FALSE), IF(RIGHT($B580,1)="3", $G580*VLOOKUP($F580, Ratio, 2, FALSE)*$F$5, 0))</f>
        <v>0</v>
      </c>
      <c r="J580" s="630">
        <f t="shared" ref="J580:J611" si="139">IF(RIGHT($B580,1)="1", $G580*VLOOKUP($F580, Ratio, 3, FALSE), IF(RIGHT($B580,1)="3", $G580*VLOOKUP($F580, Ratio, 3, FALSE)*$F$5, 0))</f>
        <v>0</v>
      </c>
      <c r="K580" s="630">
        <f t="shared" ref="K580:K611" si="140">IF(RIGHT($B580,1)="1", $G580*VLOOKUP($F580, Ratio, 4, FALSE), IF(RIGHT($B580,1)="3", $G580*VLOOKUP($F580, Ratio, 4, FALSE)*$F$5, 0))</f>
        <v>0</v>
      </c>
      <c r="L580" s="631">
        <f t="shared" ref="L580:L611" si="141">IF(F580="GAS", G580, 0)</f>
        <v>0</v>
      </c>
      <c r="M580" s="631">
        <f t="shared" ref="M580:M611" si="142">IF(RIGHT(B580,1)="3",G580*$G$5,0)</f>
        <v>0</v>
      </c>
      <c r="N580" s="631">
        <f t="shared" ref="N580:N611" si="143">SUM(I580:M580)</f>
        <v>0</v>
      </c>
      <c r="O580" s="660">
        <f t="shared" ref="O580:O611" si="144">G580-N580</f>
        <v>0</v>
      </c>
    </row>
    <row r="581" spans="1:15">
      <c r="A581" s="2015">
        <v>253</v>
      </c>
      <c r="B581" s="675">
        <v>25301152</v>
      </c>
      <c r="C581" s="675"/>
      <c r="D581" s="652" t="s">
        <v>1477</v>
      </c>
      <c r="E581" s="675" t="s">
        <v>968</v>
      </c>
      <c r="F581" s="2007" t="s">
        <v>988</v>
      </c>
      <c r="G581" s="2006">
        <v>-63761</v>
      </c>
      <c r="H581" s="2006">
        <v>-94875.839999999997</v>
      </c>
      <c r="I581" s="630">
        <f t="shared" si="138"/>
        <v>0</v>
      </c>
      <c r="J581" s="630">
        <f t="shared" si="139"/>
        <v>0</v>
      </c>
      <c r="K581" s="630">
        <f t="shared" si="140"/>
        <v>0</v>
      </c>
      <c r="L581" s="631">
        <f t="shared" si="141"/>
        <v>-63761</v>
      </c>
      <c r="M581" s="631">
        <f t="shared" si="142"/>
        <v>0</v>
      </c>
      <c r="N581" s="631">
        <f t="shared" si="143"/>
        <v>-63761</v>
      </c>
      <c r="O581" s="660">
        <f t="shared" si="144"/>
        <v>0</v>
      </c>
    </row>
    <row r="582" spans="1:15">
      <c r="A582" s="2015">
        <v>253</v>
      </c>
      <c r="B582" s="675">
        <v>25301161</v>
      </c>
      <c r="C582" s="675"/>
      <c r="D582" s="652" t="s">
        <v>1478</v>
      </c>
      <c r="E582" s="675" t="s">
        <v>968</v>
      </c>
      <c r="F582" s="2007" t="s">
        <v>390</v>
      </c>
      <c r="G582" s="2006">
        <v>0</v>
      </c>
      <c r="H582" s="2006">
        <v>0</v>
      </c>
      <c r="I582" s="630">
        <f t="shared" si="138"/>
        <v>0</v>
      </c>
      <c r="J582" s="630">
        <f t="shared" si="139"/>
        <v>0</v>
      </c>
      <c r="K582" s="630">
        <f t="shared" si="140"/>
        <v>0</v>
      </c>
      <c r="L582" s="631">
        <f t="shared" si="141"/>
        <v>0</v>
      </c>
      <c r="M582" s="631">
        <f t="shared" si="142"/>
        <v>0</v>
      </c>
      <c r="N582" s="631">
        <f t="shared" si="143"/>
        <v>0</v>
      </c>
      <c r="O582" s="660">
        <f t="shared" si="144"/>
        <v>0</v>
      </c>
    </row>
    <row r="583" spans="1:15">
      <c r="A583" s="2015">
        <v>253</v>
      </c>
      <c r="B583" s="675">
        <v>25301162</v>
      </c>
      <c r="C583" s="675"/>
      <c r="D583" s="652" t="s">
        <v>1479</v>
      </c>
      <c r="E583" s="675" t="s">
        <v>968</v>
      </c>
      <c r="F583" s="2007" t="s">
        <v>988</v>
      </c>
      <c r="G583" s="2006">
        <v>0</v>
      </c>
      <c r="H583" s="2006">
        <v>-2006004</v>
      </c>
      <c r="I583" s="630">
        <f t="shared" si="138"/>
        <v>0</v>
      </c>
      <c r="J583" s="630">
        <f t="shared" si="139"/>
        <v>0</v>
      </c>
      <c r="K583" s="630">
        <f t="shared" si="140"/>
        <v>0</v>
      </c>
      <c r="L583" s="631">
        <f t="shared" si="141"/>
        <v>0</v>
      </c>
      <c r="M583" s="631">
        <f t="shared" si="142"/>
        <v>0</v>
      </c>
      <c r="N583" s="631">
        <f t="shared" si="143"/>
        <v>0</v>
      </c>
      <c r="O583" s="660">
        <f t="shared" si="144"/>
        <v>0</v>
      </c>
    </row>
    <row r="584" spans="1:15">
      <c r="A584" s="2033">
        <v>253</v>
      </c>
      <c r="B584" s="2017">
        <v>25301171</v>
      </c>
      <c r="C584" s="2017"/>
      <c r="D584" s="2018" t="s">
        <v>1480</v>
      </c>
      <c r="E584" s="2017" t="s">
        <v>968</v>
      </c>
      <c r="F584" s="2017" t="s">
        <v>390</v>
      </c>
      <c r="G584" s="2011">
        <v>-20455915</v>
      </c>
      <c r="H584" s="2011">
        <f>-6300638-5421364</f>
        <v>-11722002</v>
      </c>
      <c r="I584" s="673">
        <f t="shared" si="138"/>
        <v>0</v>
      </c>
      <c r="J584" s="673">
        <f t="shared" si="139"/>
        <v>0</v>
      </c>
      <c r="K584" s="673">
        <f t="shared" si="140"/>
        <v>-20455915</v>
      </c>
      <c r="L584" s="674">
        <f t="shared" si="141"/>
        <v>0</v>
      </c>
      <c r="M584" s="674">
        <f t="shared" si="142"/>
        <v>0</v>
      </c>
      <c r="N584" s="674">
        <f t="shared" si="143"/>
        <v>-20455915</v>
      </c>
      <c r="O584" s="660">
        <f t="shared" si="144"/>
        <v>0</v>
      </c>
    </row>
    <row r="585" spans="1:15">
      <c r="A585" s="2015">
        <v>253</v>
      </c>
      <c r="B585" s="675">
        <v>25301172</v>
      </c>
      <c r="C585" s="675"/>
      <c r="D585" s="652" t="s">
        <v>1481</v>
      </c>
      <c r="E585" s="675" t="s">
        <v>968</v>
      </c>
      <c r="F585" s="2007" t="s">
        <v>988</v>
      </c>
      <c r="G585" s="2006">
        <v>0</v>
      </c>
      <c r="H585" s="2006">
        <v>-6255145.0300000003</v>
      </c>
      <c r="I585" s="630">
        <f t="shared" si="138"/>
        <v>0</v>
      </c>
      <c r="J585" s="630">
        <f t="shared" si="139"/>
        <v>0</v>
      </c>
      <c r="K585" s="630">
        <f t="shared" si="140"/>
        <v>0</v>
      </c>
      <c r="L585" s="631">
        <f t="shared" si="141"/>
        <v>0</v>
      </c>
      <c r="M585" s="631">
        <f t="shared" si="142"/>
        <v>0</v>
      </c>
      <c r="N585" s="631">
        <f t="shared" si="143"/>
        <v>0</v>
      </c>
      <c r="O585" s="660">
        <f t="shared" si="144"/>
        <v>0</v>
      </c>
    </row>
    <row r="586" spans="1:15">
      <c r="A586" s="2015">
        <v>253</v>
      </c>
      <c r="B586" s="675">
        <v>25301181</v>
      </c>
      <c r="C586" s="675"/>
      <c r="D586" s="652" t="s">
        <v>1482</v>
      </c>
      <c r="E586" s="675" t="s">
        <v>968</v>
      </c>
      <c r="F586" s="2007" t="s">
        <v>390</v>
      </c>
      <c r="G586" s="2006">
        <v>0</v>
      </c>
      <c r="H586" s="2006">
        <v>0</v>
      </c>
      <c r="I586" s="630">
        <f t="shared" si="138"/>
        <v>0</v>
      </c>
      <c r="J586" s="630">
        <f t="shared" si="139"/>
        <v>0</v>
      </c>
      <c r="K586" s="630">
        <f t="shared" si="140"/>
        <v>0</v>
      </c>
      <c r="L586" s="631">
        <f t="shared" si="141"/>
        <v>0</v>
      </c>
      <c r="M586" s="631">
        <f t="shared" si="142"/>
        <v>0</v>
      </c>
      <c r="N586" s="631">
        <f t="shared" si="143"/>
        <v>0</v>
      </c>
      <c r="O586" s="660">
        <f t="shared" si="144"/>
        <v>0</v>
      </c>
    </row>
    <row r="587" spans="1:15">
      <c r="A587" s="2015">
        <v>253</v>
      </c>
      <c r="B587" s="675">
        <v>25301182</v>
      </c>
      <c r="C587" s="675"/>
      <c r="D587" s="652" t="s">
        <v>1483</v>
      </c>
      <c r="E587" s="675" t="s">
        <v>968</v>
      </c>
      <c r="F587" s="2007" t="s">
        <v>988</v>
      </c>
      <c r="G587" s="2006">
        <v>0</v>
      </c>
      <c r="H587" s="2006">
        <v>-4197280.83</v>
      </c>
      <c r="I587" s="630">
        <f t="shared" si="138"/>
        <v>0</v>
      </c>
      <c r="J587" s="630">
        <f t="shared" si="139"/>
        <v>0</v>
      </c>
      <c r="K587" s="630">
        <f t="shared" si="140"/>
        <v>0</v>
      </c>
      <c r="L587" s="631">
        <f t="shared" si="141"/>
        <v>0</v>
      </c>
      <c r="M587" s="631">
        <f t="shared" si="142"/>
        <v>0</v>
      </c>
      <c r="N587" s="631">
        <f t="shared" si="143"/>
        <v>0</v>
      </c>
      <c r="O587" s="660">
        <f t="shared" si="144"/>
        <v>0</v>
      </c>
    </row>
    <row r="588" spans="1:15">
      <c r="A588" s="2015">
        <v>253</v>
      </c>
      <c r="B588" s="675">
        <v>25301191</v>
      </c>
      <c r="C588" s="675"/>
      <c r="D588" s="652" t="s">
        <v>1484</v>
      </c>
      <c r="E588" s="675" t="s">
        <v>968</v>
      </c>
      <c r="F588" s="2007" t="s">
        <v>390</v>
      </c>
      <c r="G588" s="2006">
        <v>-42908.77</v>
      </c>
      <c r="H588" s="2006">
        <v>-56821.7</v>
      </c>
      <c r="I588" s="630">
        <f t="shared" si="138"/>
        <v>0</v>
      </c>
      <c r="J588" s="630">
        <f t="shared" si="139"/>
        <v>0</v>
      </c>
      <c r="K588" s="630">
        <f t="shared" si="140"/>
        <v>-42908.77</v>
      </c>
      <c r="L588" s="631">
        <f t="shared" si="141"/>
        <v>0</v>
      </c>
      <c r="M588" s="631">
        <f t="shared" si="142"/>
        <v>0</v>
      </c>
      <c r="N588" s="631">
        <f t="shared" si="143"/>
        <v>-42908.77</v>
      </c>
      <c r="O588" s="660">
        <f t="shared" si="144"/>
        <v>0</v>
      </c>
    </row>
    <row r="589" spans="1:15">
      <c r="A589" s="2015">
        <v>253</v>
      </c>
      <c r="B589" s="675">
        <v>25301192</v>
      </c>
      <c r="C589" s="675"/>
      <c r="D589" s="652" t="s">
        <v>1485</v>
      </c>
      <c r="E589" s="675" t="s">
        <v>968</v>
      </c>
      <c r="F589" s="2007" t="s">
        <v>988</v>
      </c>
      <c r="G589" s="2006">
        <v>-2114639.7999999998</v>
      </c>
      <c r="H589" s="2006">
        <v>-3146584</v>
      </c>
      <c r="I589" s="630">
        <f t="shared" si="138"/>
        <v>0</v>
      </c>
      <c r="J589" s="630">
        <f t="shared" si="139"/>
        <v>0</v>
      </c>
      <c r="K589" s="630">
        <f t="shared" si="140"/>
        <v>0</v>
      </c>
      <c r="L589" s="631">
        <f t="shared" si="141"/>
        <v>-2114639.7999999998</v>
      </c>
      <c r="M589" s="631">
        <f t="shared" si="142"/>
        <v>0</v>
      </c>
      <c r="N589" s="631">
        <f t="shared" si="143"/>
        <v>-2114639.7999999998</v>
      </c>
      <c r="O589" s="660">
        <f t="shared" si="144"/>
        <v>0</v>
      </c>
    </row>
    <row r="590" spans="1:15">
      <c r="A590" s="2015">
        <v>253</v>
      </c>
      <c r="B590" s="675">
        <v>25301201</v>
      </c>
      <c r="C590" s="675"/>
      <c r="D590" s="652" t="s">
        <v>1486</v>
      </c>
      <c r="E590" s="675" t="s">
        <v>968</v>
      </c>
      <c r="F590" s="2007" t="s">
        <v>390</v>
      </c>
      <c r="G590" s="2006">
        <v>0</v>
      </c>
      <c r="H590" s="2006">
        <v>0</v>
      </c>
      <c r="I590" s="630">
        <f t="shared" si="138"/>
        <v>0</v>
      </c>
      <c r="J590" s="630">
        <f t="shared" si="139"/>
        <v>0</v>
      </c>
      <c r="K590" s="630">
        <f t="shared" si="140"/>
        <v>0</v>
      </c>
      <c r="L590" s="631">
        <f t="shared" si="141"/>
        <v>0</v>
      </c>
      <c r="M590" s="631">
        <f t="shared" si="142"/>
        <v>0</v>
      </c>
      <c r="N590" s="631">
        <f t="shared" si="143"/>
        <v>0</v>
      </c>
      <c r="O590" s="660">
        <f t="shared" si="144"/>
        <v>0</v>
      </c>
    </row>
    <row r="591" spans="1:15">
      <c r="A591" s="2015">
        <v>253</v>
      </c>
      <c r="B591" s="675">
        <v>25301203</v>
      </c>
      <c r="C591" s="675"/>
      <c r="D591" s="652" t="s">
        <v>1487</v>
      </c>
      <c r="E591" s="675" t="s">
        <v>968</v>
      </c>
      <c r="F591" s="2007" t="s">
        <v>390</v>
      </c>
      <c r="G591" s="2006">
        <v>0</v>
      </c>
      <c r="H591" s="2006">
        <v>0</v>
      </c>
      <c r="I591" s="630">
        <f t="shared" si="138"/>
        <v>0</v>
      </c>
      <c r="J591" s="630">
        <f t="shared" si="139"/>
        <v>0</v>
      </c>
      <c r="K591" s="630">
        <f t="shared" si="140"/>
        <v>0</v>
      </c>
      <c r="L591" s="631">
        <f t="shared" si="141"/>
        <v>0</v>
      </c>
      <c r="M591" s="631">
        <f t="shared" si="142"/>
        <v>0</v>
      </c>
      <c r="N591" s="631">
        <f t="shared" si="143"/>
        <v>0</v>
      </c>
      <c r="O591" s="660">
        <f t="shared" si="144"/>
        <v>0</v>
      </c>
    </row>
    <row r="592" spans="1:15">
      <c r="A592" s="2015">
        <v>253</v>
      </c>
      <c r="B592" s="675">
        <v>25302101</v>
      </c>
      <c r="C592" s="675"/>
      <c r="D592" s="652" t="s">
        <v>1488</v>
      </c>
      <c r="E592" s="675" t="s">
        <v>968</v>
      </c>
      <c r="F592" s="2007" t="s">
        <v>390</v>
      </c>
      <c r="G592" s="2006">
        <v>0</v>
      </c>
      <c r="H592" s="2006">
        <v>0</v>
      </c>
      <c r="I592" s="630">
        <f t="shared" si="138"/>
        <v>0</v>
      </c>
      <c r="J592" s="630">
        <f t="shared" si="139"/>
        <v>0</v>
      </c>
      <c r="K592" s="630">
        <f t="shared" si="140"/>
        <v>0</v>
      </c>
      <c r="L592" s="631">
        <f t="shared" si="141"/>
        <v>0</v>
      </c>
      <c r="M592" s="631">
        <f t="shared" si="142"/>
        <v>0</v>
      </c>
      <c r="N592" s="631">
        <f t="shared" si="143"/>
        <v>0</v>
      </c>
      <c r="O592" s="660">
        <f t="shared" si="144"/>
        <v>0</v>
      </c>
    </row>
    <row r="593" spans="1:16">
      <c r="A593" s="2015">
        <v>253</v>
      </c>
      <c r="B593" s="675">
        <v>25301213</v>
      </c>
      <c r="C593" s="675"/>
      <c r="D593" s="652" t="s">
        <v>1489</v>
      </c>
      <c r="E593" s="675" t="s">
        <v>968</v>
      </c>
      <c r="F593" s="2007" t="s">
        <v>390</v>
      </c>
      <c r="G593" s="2006">
        <v>0</v>
      </c>
      <c r="H593" s="2006">
        <v>-88500.58</v>
      </c>
      <c r="I593" s="630">
        <f t="shared" si="138"/>
        <v>0</v>
      </c>
      <c r="J593" s="630">
        <f t="shared" si="139"/>
        <v>0</v>
      </c>
      <c r="K593" s="630">
        <f t="shared" si="140"/>
        <v>0</v>
      </c>
      <c r="L593" s="631">
        <f t="shared" si="141"/>
        <v>0</v>
      </c>
      <c r="M593" s="631">
        <f t="shared" si="142"/>
        <v>0</v>
      </c>
      <c r="N593" s="631">
        <f t="shared" si="143"/>
        <v>0</v>
      </c>
      <c r="O593" s="660">
        <f t="shared" si="144"/>
        <v>0</v>
      </c>
    </row>
    <row r="594" spans="1:16">
      <c r="A594" s="2015">
        <v>253</v>
      </c>
      <c r="B594" s="675">
        <v>25301221</v>
      </c>
      <c r="C594" s="675"/>
      <c r="D594" s="652" t="s">
        <v>1490</v>
      </c>
      <c r="E594" s="675" t="s">
        <v>968</v>
      </c>
      <c r="F594" s="2007" t="s">
        <v>390</v>
      </c>
      <c r="G594" s="2006">
        <v>-284465</v>
      </c>
      <c r="H594" s="2006">
        <v>-421038.83</v>
      </c>
      <c r="I594" s="630">
        <f t="shared" si="138"/>
        <v>0</v>
      </c>
      <c r="J594" s="630">
        <f t="shared" si="139"/>
        <v>0</v>
      </c>
      <c r="K594" s="630">
        <f t="shared" si="140"/>
        <v>-284465</v>
      </c>
      <c r="L594" s="631">
        <f t="shared" si="141"/>
        <v>0</v>
      </c>
      <c r="M594" s="631">
        <f t="shared" si="142"/>
        <v>0</v>
      </c>
      <c r="N594" s="631">
        <f t="shared" si="143"/>
        <v>-284465</v>
      </c>
      <c r="O594" s="660">
        <f t="shared" si="144"/>
        <v>0</v>
      </c>
    </row>
    <row r="595" spans="1:16">
      <c r="A595" s="2015">
        <v>253</v>
      </c>
      <c r="B595" s="675">
        <v>25301231</v>
      </c>
      <c r="C595" s="675"/>
      <c r="D595" s="652" t="s">
        <v>1491</v>
      </c>
      <c r="E595" s="675" t="s">
        <v>968</v>
      </c>
      <c r="F595" s="2007" t="s">
        <v>390</v>
      </c>
      <c r="G595" s="2006">
        <v>-155514.84</v>
      </c>
      <c r="H595" s="2006">
        <v>-230177.97</v>
      </c>
      <c r="I595" s="630">
        <f t="shared" si="138"/>
        <v>0</v>
      </c>
      <c r="J595" s="630">
        <f t="shared" si="139"/>
        <v>0</v>
      </c>
      <c r="K595" s="630">
        <f t="shared" si="140"/>
        <v>-155514.84</v>
      </c>
      <c r="L595" s="631">
        <f t="shared" si="141"/>
        <v>0</v>
      </c>
      <c r="M595" s="631">
        <f t="shared" si="142"/>
        <v>0</v>
      </c>
      <c r="N595" s="631">
        <f t="shared" si="143"/>
        <v>-155514.84</v>
      </c>
      <c r="O595" s="660">
        <f t="shared" si="144"/>
        <v>0</v>
      </c>
    </row>
    <row r="596" spans="1:16">
      <c r="A596" s="2015">
        <v>253</v>
      </c>
      <c r="B596" s="675">
        <v>25302083</v>
      </c>
      <c r="C596" s="675"/>
      <c r="D596" s="652" t="s">
        <v>1492</v>
      </c>
      <c r="E596" s="675"/>
      <c r="F596" s="2007" t="s">
        <v>390</v>
      </c>
      <c r="G596" s="2032">
        <f>-180753733.92*0</f>
        <v>0</v>
      </c>
      <c r="H596" s="2032">
        <f>-181264524.07+181264524.07</f>
        <v>0</v>
      </c>
      <c r="I596" s="630">
        <f t="shared" si="138"/>
        <v>0</v>
      </c>
      <c r="J596" s="630">
        <f t="shared" si="139"/>
        <v>0</v>
      </c>
      <c r="K596" s="630">
        <f t="shared" si="140"/>
        <v>0</v>
      </c>
      <c r="L596" s="631">
        <f t="shared" si="141"/>
        <v>0</v>
      </c>
      <c r="M596" s="631">
        <f t="shared" si="142"/>
        <v>0</v>
      </c>
      <c r="N596" s="631">
        <f t="shared" si="143"/>
        <v>0</v>
      </c>
      <c r="O596" s="660">
        <f t="shared" si="144"/>
        <v>0</v>
      </c>
    </row>
    <row r="597" spans="1:16">
      <c r="A597" s="2015">
        <v>253</v>
      </c>
      <c r="B597" s="675">
        <v>25302123</v>
      </c>
      <c r="C597" s="675"/>
      <c r="D597" s="652" t="s">
        <v>1493</v>
      </c>
      <c r="E597" s="675" t="s">
        <v>968</v>
      </c>
      <c r="F597" s="2007" t="s">
        <v>390</v>
      </c>
      <c r="G597" s="2006">
        <v>-3800000</v>
      </c>
      <c r="H597" s="2006">
        <v>-3800000</v>
      </c>
      <c r="I597" s="630">
        <f t="shared" si="138"/>
        <v>0</v>
      </c>
      <c r="J597" s="630">
        <f t="shared" si="139"/>
        <v>0</v>
      </c>
      <c r="K597" s="630">
        <f t="shared" si="140"/>
        <v>-2495080.0134350476</v>
      </c>
      <c r="L597" s="631">
        <f t="shared" si="141"/>
        <v>0</v>
      </c>
      <c r="M597" s="631">
        <f t="shared" si="142"/>
        <v>-1304919.9865649524</v>
      </c>
      <c r="N597" s="631">
        <f t="shared" si="143"/>
        <v>-3800000</v>
      </c>
      <c r="O597" s="660">
        <f t="shared" si="144"/>
        <v>0</v>
      </c>
    </row>
    <row r="598" spans="1:16">
      <c r="A598" s="2015">
        <v>253</v>
      </c>
      <c r="B598" s="675">
        <v>25302133</v>
      </c>
      <c r="C598" s="675"/>
      <c r="D598" s="652" t="s">
        <v>1494</v>
      </c>
      <c r="E598" s="675" t="s">
        <v>968</v>
      </c>
      <c r="F598" s="2007" t="s">
        <v>390</v>
      </c>
      <c r="G598" s="2006">
        <v>0</v>
      </c>
      <c r="H598" s="2006">
        <v>0</v>
      </c>
      <c r="I598" s="630">
        <f t="shared" si="138"/>
        <v>0</v>
      </c>
      <c r="J598" s="630">
        <f t="shared" si="139"/>
        <v>0</v>
      </c>
      <c r="K598" s="630">
        <f t="shared" si="140"/>
        <v>0</v>
      </c>
      <c r="L598" s="631">
        <f t="shared" si="141"/>
        <v>0</v>
      </c>
      <c r="M598" s="631">
        <f t="shared" si="142"/>
        <v>0</v>
      </c>
      <c r="N598" s="631">
        <f t="shared" si="143"/>
        <v>0</v>
      </c>
      <c r="O598" s="660">
        <f t="shared" si="144"/>
        <v>0</v>
      </c>
    </row>
    <row r="599" spans="1:16">
      <c r="A599" s="2015">
        <v>253</v>
      </c>
      <c r="B599" s="675">
        <v>25302151</v>
      </c>
      <c r="C599" s="675"/>
      <c r="D599" s="652" t="s">
        <v>1495</v>
      </c>
      <c r="E599" s="675" t="s">
        <v>968</v>
      </c>
      <c r="F599" s="2007" t="s">
        <v>392</v>
      </c>
      <c r="G599" s="2006">
        <v>0</v>
      </c>
      <c r="H599" s="2006">
        <v>0</v>
      </c>
      <c r="I599" s="630">
        <f t="shared" si="138"/>
        <v>0</v>
      </c>
      <c r="J599" s="630">
        <f t="shared" si="139"/>
        <v>0</v>
      </c>
      <c r="K599" s="630">
        <f t="shared" si="140"/>
        <v>0</v>
      </c>
      <c r="L599" s="631">
        <f t="shared" si="141"/>
        <v>0</v>
      </c>
      <c r="M599" s="631">
        <f t="shared" si="142"/>
        <v>0</v>
      </c>
      <c r="N599" s="631">
        <f t="shared" si="143"/>
        <v>0</v>
      </c>
      <c r="O599" s="660">
        <f t="shared" si="144"/>
        <v>0</v>
      </c>
    </row>
    <row r="600" spans="1:16">
      <c r="A600" s="2015">
        <v>253</v>
      </c>
      <c r="B600" s="675">
        <v>25302221</v>
      </c>
      <c r="C600" s="675"/>
      <c r="D600" s="652" t="s">
        <v>1496</v>
      </c>
      <c r="E600" s="675" t="s">
        <v>968</v>
      </c>
      <c r="F600" s="2007" t="s">
        <v>390</v>
      </c>
      <c r="G600" s="2006">
        <v>-14041811.27</v>
      </c>
      <c r="H600" s="2006">
        <v>-15095502.91</v>
      </c>
      <c r="I600" s="630">
        <f t="shared" si="138"/>
        <v>0</v>
      </c>
      <c r="J600" s="630">
        <f t="shared" si="139"/>
        <v>0</v>
      </c>
      <c r="K600" s="630">
        <f t="shared" si="140"/>
        <v>-14041811.27</v>
      </c>
      <c r="L600" s="631">
        <f t="shared" si="141"/>
        <v>0</v>
      </c>
      <c r="M600" s="631">
        <f t="shared" si="142"/>
        <v>0</v>
      </c>
      <c r="N600" s="631">
        <f t="shared" si="143"/>
        <v>-14041811.27</v>
      </c>
      <c r="O600" s="660">
        <f t="shared" si="144"/>
        <v>0</v>
      </c>
    </row>
    <row r="601" spans="1:16">
      <c r="A601" s="2015">
        <v>253</v>
      </c>
      <c r="B601" s="675">
        <v>25302222</v>
      </c>
      <c r="C601" s="675"/>
      <c r="D601" s="652" t="s">
        <v>1497</v>
      </c>
      <c r="E601" s="675" t="s">
        <v>968</v>
      </c>
      <c r="F601" s="2007" t="s">
        <v>988</v>
      </c>
      <c r="G601" s="2006">
        <v>-3632296.21</v>
      </c>
      <c r="H601" s="2006">
        <v>-6921907.4800000004</v>
      </c>
      <c r="I601" s="630">
        <f t="shared" si="138"/>
        <v>0</v>
      </c>
      <c r="J601" s="630">
        <f t="shared" si="139"/>
        <v>0</v>
      </c>
      <c r="K601" s="630">
        <f t="shared" si="140"/>
        <v>0</v>
      </c>
      <c r="L601" s="631">
        <f t="shared" si="141"/>
        <v>-3632296.21</v>
      </c>
      <c r="M601" s="631">
        <f t="shared" si="142"/>
        <v>0</v>
      </c>
      <c r="N601" s="631">
        <f t="shared" si="143"/>
        <v>-3632296.21</v>
      </c>
      <c r="O601" s="660">
        <f t="shared" si="144"/>
        <v>0</v>
      </c>
    </row>
    <row r="602" spans="1:16">
      <c r="A602" s="2015">
        <v>253</v>
      </c>
      <c r="B602" s="675">
        <v>25302223</v>
      </c>
      <c r="C602" s="675"/>
      <c r="D602" s="652" t="s">
        <v>1498</v>
      </c>
      <c r="E602" s="675" t="s">
        <v>968</v>
      </c>
      <c r="F602" s="2007" t="s">
        <v>390</v>
      </c>
      <c r="G602" s="2006">
        <v>0</v>
      </c>
      <c r="H602" s="2006">
        <v>0</v>
      </c>
      <c r="I602" s="630">
        <f t="shared" si="138"/>
        <v>0</v>
      </c>
      <c r="J602" s="630">
        <f t="shared" si="139"/>
        <v>0</v>
      </c>
      <c r="K602" s="630">
        <f t="shared" si="140"/>
        <v>0</v>
      </c>
      <c r="L602" s="631">
        <f t="shared" si="141"/>
        <v>0</v>
      </c>
      <c r="M602" s="631">
        <f t="shared" si="142"/>
        <v>0</v>
      </c>
      <c r="N602" s="631">
        <f t="shared" si="143"/>
        <v>0</v>
      </c>
      <c r="O602" s="660">
        <f t="shared" si="144"/>
        <v>0</v>
      </c>
    </row>
    <row r="603" spans="1:16">
      <c r="A603" s="2015">
        <v>253</v>
      </c>
      <c r="B603" s="675">
        <v>25302233</v>
      </c>
      <c r="C603" s="675"/>
      <c r="D603" s="652" t="s">
        <v>1499</v>
      </c>
      <c r="E603" s="675" t="s">
        <v>968</v>
      </c>
      <c r="F603" s="2007" t="s">
        <v>390</v>
      </c>
      <c r="G603" s="2006">
        <v>0</v>
      </c>
      <c r="H603" s="2006">
        <v>0</v>
      </c>
      <c r="I603" s="630">
        <f t="shared" si="138"/>
        <v>0</v>
      </c>
      <c r="J603" s="630">
        <f t="shared" si="139"/>
        <v>0</v>
      </c>
      <c r="K603" s="630">
        <f t="shared" si="140"/>
        <v>0</v>
      </c>
      <c r="L603" s="631">
        <f t="shared" si="141"/>
        <v>0</v>
      </c>
      <c r="M603" s="631">
        <f t="shared" si="142"/>
        <v>0</v>
      </c>
      <c r="N603" s="631">
        <f t="shared" si="143"/>
        <v>0</v>
      </c>
      <c r="O603" s="660">
        <f t="shared" si="144"/>
        <v>0</v>
      </c>
    </row>
    <row r="604" spans="1:16">
      <c r="A604" s="2015">
        <v>253</v>
      </c>
      <c r="B604" s="675">
        <v>25302241</v>
      </c>
      <c r="C604" s="675"/>
      <c r="D604" s="652" t="s">
        <v>1500</v>
      </c>
      <c r="E604" s="675" t="s">
        <v>968</v>
      </c>
      <c r="F604" s="2007" t="s">
        <v>392</v>
      </c>
      <c r="G604" s="2006">
        <v>0</v>
      </c>
      <c r="H604" s="2006">
        <v>0</v>
      </c>
      <c r="I604" s="630">
        <f t="shared" si="138"/>
        <v>0</v>
      </c>
      <c r="J604" s="630">
        <f t="shared" si="139"/>
        <v>0</v>
      </c>
      <c r="K604" s="630">
        <f t="shared" si="140"/>
        <v>0</v>
      </c>
      <c r="L604" s="631">
        <f t="shared" si="141"/>
        <v>0</v>
      </c>
      <c r="M604" s="631">
        <f t="shared" si="142"/>
        <v>0</v>
      </c>
      <c r="N604" s="631">
        <f t="shared" si="143"/>
        <v>0</v>
      </c>
      <c r="O604" s="660">
        <f t="shared" si="144"/>
        <v>0</v>
      </c>
    </row>
    <row r="605" spans="1:16">
      <c r="A605" s="2015">
        <v>253</v>
      </c>
      <c r="B605" s="675">
        <v>25302243</v>
      </c>
      <c r="C605" s="675"/>
      <c r="D605" s="652" t="s">
        <v>1501</v>
      </c>
      <c r="E605" s="675" t="s">
        <v>968</v>
      </c>
      <c r="F605" s="2007" t="s">
        <v>390</v>
      </c>
      <c r="G605" s="2006">
        <v>0</v>
      </c>
      <c r="H605" s="2006">
        <v>0</v>
      </c>
      <c r="I605" s="630">
        <f t="shared" si="138"/>
        <v>0</v>
      </c>
      <c r="J605" s="630">
        <f t="shared" si="139"/>
        <v>0</v>
      </c>
      <c r="K605" s="630">
        <f t="shared" si="140"/>
        <v>0</v>
      </c>
      <c r="L605" s="631">
        <f t="shared" si="141"/>
        <v>0</v>
      </c>
      <c r="M605" s="631">
        <f t="shared" si="142"/>
        <v>0</v>
      </c>
      <c r="N605" s="631">
        <f t="shared" si="143"/>
        <v>0</v>
      </c>
      <c r="O605" s="660">
        <f t="shared" si="144"/>
        <v>0</v>
      </c>
    </row>
    <row r="606" spans="1:16">
      <c r="A606" s="2015">
        <v>253</v>
      </c>
      <c r="B606" s="675">
        <v>25302251</v>
      </c>
      <c r="C606" s="675"/>
      <c r="D606" s="652" t="s">
        <v>1502</v>
      </c>
      <c r="E606" s="675" t="s">
        <v>968</v>
      </c>
      <c r="F606" s="2007" t="s">
        <v>390</v>
      </c>
      <c r="G606" s="2006">
        <v>-3867701.27</v>
      </c>
      <c r="H606" s="2006">
        <v>-4089770.27</v>
      </c>
      <c r="I606" s="630">
        <f t="shared" si="138"/>
        <v>0</v>
      </c>
      <c r="J606" s="630">
        <f t="shared" si="139"/>
        <v>0</v>
      </c>
      <c r="K606" s="630">
        <f t="shared" si="140"/>
        <v>-3867701.27</v>
      </c>
      <c r="L606" s="631">
        <f t="shared" si="141"/>
        <v>0</v>
      </c>
      <c r="M606" s="631">
        <f t="shared" si="142"/>
        <v>0</v>
      </c>
      <c r="N606" s="631">
        <f t="shared" si="143"/>
        <v>-3867701.27</v>
      </c>
      <c r="O606" s="660">
        <f t="shared" si="144"/>
        <v>0</v>
      </c>
    </row>
    <row r="607" spans="1:16">
      <c r="A607" s="2015">
        <v>253</v>
      </c>
      <c r="B607" s="675">
        <v>25302253</v>
      </c>
      <c r="C607" s="675"/>
      <c r="D607" s="652" t="s">
        <v>1503</v>
      </c>
      <c r="E607" s="675" t="s">
        <v>968</v>
      </c>
      <c r="F607" s="2007" t="s">
        <v>390</v>
      </c>
      <c r="G607" s="2006">
        <v>-601294.25</v>
      </c>
      <c r="H607" s="2006">
        <v>-1002157.01</v>
      </c>
      <c r="I607" s="630">
        <f t="shared" si="138"/>
        <v>0</v>
      </c>
      <c r="J607" s="630">
        <f t="shared" si="139"/>
        <v>0</v>
      </c>
      <c r="K607" s="630">
        <f t="shared" si="140"/>
        <v>-394809.80667589919</v>
      </c>
      <c r="L607" s="631">
        <f t="shared" si="141"/>
        <v>0</v>
      </c>
      <c r="M607" s="631">
        <f t="shared" si="142"/>
        <v>-206484.44332410084</v>
      </c>
      <c r="N607" s="631">
        <f t="shared" si="143"/>
        <v>-601294.25</v>
      </c>
      <c r="O607" s="660">
        <f t="shared" si="144"/>
        <v>0</v>
      </c>
    </row>
    <row r="608" spans="1:16">
      <c r="A608" s="2030">
        <v>253</v>
      </c>
      <c r="B608" s="2017">
        <v>25302261</v>
      </c>
      <c r="C608" s="2017"/>
      <c r="D608" s="2018" t="s">
        <v>1504</v>
      </c>
      <c r="E608" s="2017"/>
      <c r="F608" s="2017" t="s">
        <v>392</v>
      </c>
      <c r="G608" s="2006">
        <v>-13429807.220000001</v>
      </c>
      <c r="H608" s="2011">
        <v>-6990637.6900000004</v>
      </c>
      <c r="I608" s="673">
        <f t="shared" si="138"/>
        <v>-13429807.220000001</v>
      </c>
      <c r="J608" s="673">
        <f t="shared" si="139"/>
        <v>0</v>
      </c>
      <c r="K608" s="673">
        <f t="shared" si="140"/>
        <v>0</v>
      </c>
      <c r="L608" s="674">
        <f t="shared" si="141"/>
        <v>0</v>
      </c>
      <c r="M608" s="674">
        <f t="shared" si="142"/>
        <v>0</v>
      </c>
      <c r="N608" s="674">
        <f t="shared" si="143"/>
        <v>-13429807.220000001</v>
      </c>
      <c r="O608" s="661">
        <f t="shared" si="144"/>
        <v>0</v>
      </c>
      <c r="P608" s="2010" t="s">
        <v>8033</v>
      </c>
    </row>
    <row r="609" spans="1:16">
      <c r="A609" s="2015">
        <v>253</v>
      </c>
      <c r="B609" s="675">
        <v>25302263</v>
      </c>
      <c r="C609" s="675"/>
      <c r="D609" s="652" t="s">
        <v>1505</v>
      </c>
      <c r="E609" s="675" t="s">
        <v>968</v>
      </c>
      <c r="F609" s="2007" t="s">
        <v>390</v>
      </c>
      <c r="G609" s="2006">
        <v>-228762.41</v>
      </c>
      <c r="H609" s="2006">
        <v>-381270.77</v>
      </c>
      <c r="I609" s="630">
        <f t="shared" si="138"/>
        <v>0</v>
      </c>
      <c r="J609" s="630">
        <f t="shared" si="139"/>
        <v>0</v>
      </c>
      <c r="K609" s="630">
        <f t="shared" si="140"/>
        <v>-150205.39921479838</v>
      </c>
      <c r="L609" s="631">
        <f t="shared" si="141"/>
        <v>0</v>
      </c>
      <c r="M609" s="631">
        <f t="shared" si="142"/>
        <v>-78557.010785201623</v>
      </c>
      <c r="N609" s="631">
        <f t="shared" si="143"/>
        <v>-228762.41</v>
      </c>
      <c r="O609" s="660">
        <f t="shared" si="144"/>
        <v>0</v>
      </c>
    </row>
    <row r="610" spans="1:16">
      <c r="A610" s="2030">
        <v>253</v>
      </c>
      <c r="B610" s="2017">
        <v>25302283</v>
      </c>
      <c r="C610" s="2017"/>
      <c r="D610" s="2018" t="s">
        <v>1506</v>
      </c>
      <c r="E610" s="2017"/>
      <c r="F610" s="2017" t="s">
        <v>390</v>
      </c>
      <c r="G610" s="2006">
        <v>-2679174.69</v>
      </c>
      <c r="H610" s="2011">
        <v>-2824650.21</v>
      </c>
      <c r="I610" s="673">
        <f t="shared" si="138"/>
        <v>0</v>
      </c>
      <c r="J610" s="673">
        <f t="shared" si="139"/>
        <v>0</v>
      </c>
      <c r="K610" s="673">
        <f t="shared" si="140"/>
        <v>-1759146.1109263261</v>
      </c>
      <c r="L610" s="674">
        <f t="shared" si="141"/>
        <v>0</v>
      </c>
      <c r="M610" s="674">
        <f t="shared" si="142"/>
        <v>-920028.57907367381</v>
      </c>
      <c r="N610" s="674">
        <f t="shared" si="143"/>
        <v>-2679174.69</v>
      </c>
      <c r="O610" s="661">
        <f t="shared" si="144"/>
        <v>0</v>
      </c>
      <c r="P610" s="2010"/>
    </row>
    <row r="611" spans="1:16">
      <c r="A611" s="2015">
        <v>253</v>
      </c>
      <c r="B611" s="675">
        <v>25303001</v>
      </c>
      <c r="C611" s="675"/>
      <c r="D611" s="652" t="s">
        <v>1507</v>
      </c>
      <c r="E611" s="675" t="s">
        <v>968</v>
      </c>
      <c r="F611" s="2007" t="s">
        <v>390</v>
      </c>
      <c r="G611" s="2006">
        <v>0</v>
      </c>
      <c r="H611" s="2006">
        <v>0</v>
      </c>
      <c r="I611" s="630">
        <f t="shared" si="138"/>
        <v>0</v>
      </c>
      <c r="J611" s="630">
        <f t="shared" si="139"/>
        <v>0</v>
      </c>
      <c r="K611" s="630">
        <f t="shared" si="140"/>
        <v>0</v>
      </c>
      <c r="L611" s="631">
        <f t="shared" si="141"/>
        <v>0</v>
      </c>
      <c r="M611" s="631">
        <f t="shared" si="142"/>
        <v>0</v>
      </c>
      <c r="N611" s="631">
        <f t="shared" si="143"/>
        <v>0</v>
      </c>
      <c r="O611" s="660">
        <f t="shared" si="144"/>
        <v>0</v>
      </c>
    </row>
    <row r="612" spans="1:16">
      <c r="A612" s="2015">
        <v>253</v>
      </c>
      <c r="B612" s="675">
        <v>25303031</v>
      </c>
      <c r="C612" s="675"/>
      <c r="D612" s="652" t="s">
        <v>1508</v>
      </c>
      <c r="E612" s="675" t="s">
        <v>968</v>
      </c>
      <c r="F612" s="2007" t="s">
        <v>390</v>
      </c>
      <c r="G612" s="2006">
        <v>0</v>
      </c>
      <c r="H612" s="2006">
        <v>0</v>
      </c>
      <c r="I612" s="630">
        <f t="shared" ref="I612:I636" si="145">IF(RIGHT($B612,1)="1", $G612*VLOOKUP($F612, Ratio, 2, FALSE), IF(RIGHT($B612,1)="3", $G612*VLOOKUP($F612, Ratio, 2, FALSE)*$F$5, 0))</f>
        <v>0</v>
      </c>
      <c r="J612" s="630">
        <f t="shared" ref="J612:J636" si="146">IF(RIGHT($B612,1)="1", $G612*VLOOKUP($F612, Ratio, 3, FALSE), IF(RIGHT($B612,1)="3", $G612*VLOOKUP($F612, Ratio, 3, FALSE)*$F$5, 0))</f>
        <v>0</v>
      </c>
      <c r="K612" s="630">
        <f t="shared" ref="K612:K636" si="147">IF(RIGHT($B612,1)="1", $G612*VLOOKUP($F612, Ratio, 4, FALSE), IF(RIGHT($B612,1)="3", $G612*VLOOKUP($F612, Ratio, 4, FALSE)*$F$5, 0))</f>
        <v>0</v>
      </c>
      <c r="L612" s="631">
        <f t="shared" ref="L612:L636" si="148">IF(F612="GAS", G612, 0)</f>
        <v>0</v>
      </c>
      <c r="M612" s="631">
        <f t="shared" ref="M612:M636" si="149">IF(RIGHT(B612,1)="3",G612*$G$5,0)</f>
        <v>0</v>
      </c>
      <c r="N612" s="631">
        <f t="shared" ref="N612:N636" si="150">SUM(I612:M612)</f>
        <v>0</v>
      </c>
      <c r="O612" s="660">
        <f t="shared" ref="O612:O636" si="151">G612-N612</f>
        <v>0</v>
      </c>
    </row>
    <row r="613" spans="1:16">
      <c r="A613" s="2015">
        <v>253</v>
      </c>
      <c r="B613" s="675">
        <v>25303041</v>
      </c>
      <c r="C613" s="675"/>
      <c r="D613" s="652" t="s">
        <v>1509</v>
      </c>
      <c r="E613" s="675" t="s">
        <v>968</v>
      </c>
      <c r="F613" s="2007" t="s">
        <v>390</v>
      </c>
      <c r="G613" s="2006">
        <v>0</v>
      </c>
      <c r="H613" s="2006">
        <v>0</v>
      </c>
      <c r="I613" s="630">
        <f t="shared" si="145"/>
        <v>0</v>
      </c>
      <c r="J613" s="630">
        <f t="shared" si="146"/>
        <v>0</v>
      </c>
      <c r="K613" s="630">
        <f t="shared" si="147"/>
        <v>0</v>
      </c>
      <c r="L613" s="631">
        <f t="shared" si="148"/>
        <v>0</v>
      </c>
      <c r="M613" s="631">
        <f t="shared" si="149"/>
        <v>0</v>
      </c>
      <c r="N613" s="631">
        <f t="shared" si="150"/>
        <v>0</v>
      </c>
      <c r="O613" s="660">
        <f t="shared" si="151"/>
        <v>0</v>
      </c>
    </row>
    <row r="614" spans="1:16">
      <c r="A614" s="2015">
        <v>253</v>
      </c>
      <c r="B614" s="675">
        <v>25303061</v>
      </c>
      <c r="C614" s="675"/>
      <c r="D614" s="652" t="s">
        <v>1510</v>
      </c>
      <c r="E614" s="675" t="s">
        <v>968</v>
      </c>
      <c r="F614" s="2007" t="s">
        <v>390</v>
      </c>
      <c r="G614" s="2006">
        <v>0</v>
      </c>
      <c r="H614" s="2006">
        <v>0</v>
      </c>
      <c r="I614" s="630">
        <f t="shared" si="145"/>
        <v>0</v>
      </c>
      <c r="J614" s="630">
        <f t="shared" si="146"/>
        <v>0</v>
      </c>
      <c r="K614" s="630">
        <f t="shared" si="147"/>
        <v>0</v>
      </c>
      <c r="L614" s="631">
        <f t="shared" si="148"/>
        <v>0</v>
      </c>
      <c r="M614" s="631">
        <f t="shared" si="149"/>
        <v>0</v>
      </c>
      <c r="N614" s="631">
        <f t="shared" si="150"/>
        <v>0</v>
      </c>
      <c r="O614" s="660">
        <f t="shared" si="151"/>
        <v>0</v>
      </c>
    </row>
    <row r="615" spans="1:16">
      <c r="A615" s="2015">
        <v>253</v>
      </c>
      <c r="B615" s="675">
        <v>25303081</v>
      </c>
      <c r="C615" s="675"/>
      <c r="D615" s="652" t="s">
        <v>1511</v>
      </c>
      <c r="E615" s="675" t="s">
        <v>968</v>
      </c>
      <c r="F615" s="2007" t="s">
        <v>390</v>
      </c>
      <c r="G615" s="2006">
        <v>0</v>
      </c>
      <c r="H615" s="2006">
        <v>0</v>
      </c>
      <c r="I615" s="630">
        <f t="shared" si="145"/>
        <v>0</v>
      </c>
      <c r="J615" s="630">
        <f t="shared" si="146"/>
        <v>0</v>
      </c>
      <c r="K615" s="630">
        <f t="shared" si="147"/>
        <v>0</v>
      </c>
      <c r="L615" s="631">
        <f t="shared" si="148"/>
        <v>0</v>
      </c>
      <c r="M615" s="631">
        <f t="shared" si="149"/>
        <v>0</v>
      </c>
      <c r="N615" s="631">
        <f t="shared" si="150"/>
        <v>0</v>
      </c>
      <c r="O615" s="660">
        <f t="shared" si="151"/>
        <v>0</v>
      </c>
    </row>
    <row r="616" spans="1:16">
      <c r="A616" s="2030">
        <v>253</v>
      </c>
      <c r="B616" s="2017">
        <v>25304021</v>
      </c>
      <c r="C616" s="2017"/>
      <c r="D616" s="2018" t="s">
        <v>8064</v>
      </c>
      <c r="E616" s="2017"/>
      <c r="F616" s="2017" t="s">
        <v>392</v>
      </c>
      <c r="G616" s="2006">
        <v>-30936260.25</v>
      </c>
      <c r="H616" s="2011">
        <v>0</v>
      </c>
      <c r="I616" s="673">
        <f t="shared" si="145"/>
        <v>-30936260.25</v>
      </c>
      <c r="J616" s="673">
        <f t="shared" si="146"/>
        <v>0</v>
      </c>
      <c r="K616" s="673">
        <f t="shared" si="147"/>
        <v>0</v>
      </c>
      <c r="L616" s="674">
        <f t="shared" si="148"/>
        <v>0</v>
      </c>
      <c r="M616" s="674">
        <f t="shared" si="149"/>
        <v>0</v>
      </c>
      <c r="N616" s="674">
        <f t="shared" si="150"/>
        <v>-30936260.25</v>
      </c>
      <c r="O616" s="660">
        <f t="shared" si="151"/>
        <v>0</v>
      </c>
      <c r="P616" s="2010" t="s">
        <v>1277</v>
      </c>
    </row>
    <row r="617" spans="1:16">
      <c r="A617" s="2015">
        <v>253</v>
      </c>
      <c r="B617" s="675">
        <v>25306001</v>
      </c>
      <c r="C617" s="675"/>
      <c r="D617" s="652" t="s">
        <v>1512</v>
      </c>
      <c r="E617" s="675" t="s">
        <v>968</v>
      </c>
      <c r="F617" s="2007" t="s">
        <v>390</v>
      </c>
      <c r="G617" s="2006">
        <v>0</v>
      </c>
      <c r="H617" s="2006">
        <v>0</v>
      </c>
      <c r="I617" s="630">
        <f t="shared" si="145"/>
        <v>0</v>
      </c>
      <c r="J617" s="630">
        <f t="shared" si="146"/>
        <v>0</v>
      </c>
      <c r="K617" s="630">
        <f t="shared" si="147"/>
        <v>0</v>
      </c>
      <c r="L617" s="631">
        <f t="shared" si="148"/>
        <v>0</v>
      </c>
      <c r="M617" s="631">
        <f t="shared" si="149"/>
        <v>0</v>
      </c>
      <c r="N617" s="631">
        <f t="shared" si="150"/>
        <v>0</v>
      </c>
      <c r="O617" s="660">
        <f t="shared" si="151"/>
        <v>0</v>
      </c>
    </row>
    <row r="618" spans="1:16">
      <c r="A618" s="2015">
        <v>253</v>
      </c>
      <c r="B618" s="675">
        <v>25321011</v>
      </c>
      <c r="C618" s="675"/>
      <c r="D618" s="652" t="s">
        <v>1513</v>
      </c>
      <c r="E618" s="675" t="s">
        <v>968</v>
      </c>
      <c r="F618" s="2007" t="s">
        <v>390</v>
      </c>
      <c r="G618" s="2006">
        <v>0</v>
      </c>
      <c r="H618" s="2006">
        <v>0</v>
      </c>
      <c r="I618" s="630">
        <f t="shared" si="145"/>
        <v>0</v>
      </c>
      <c r="J618" s="630">
        <f t="shared" si="146"/>
        <v>0</v>
      </c>
      <c r="K618" s="630">
        <f t="shared" si="147"/>
        <v>0</v>
      </c>
      <c r="L618" s="631">
        <f t="shared" si="148"/>
        <v>0</v>
      </c>
      <c r="M618" s="631">
        <f t="shared" si="149"/>
        <v>0</v>
      </c>
      <c r="N618" s="631">
        <f t="shared" si="150"/>
        <v>0</v>
      </c>
      <c r="O618" s="660">
        <f t="shared" si="151"/>
        <v>0</v>
      </c>
    </row>
    <row r="619" spans="1:16">
      <c r="A619" s="2015">
        <v>253</v>
      </c>
      <c r="B619" s="675">
        <v>25321012</v>
      </c>
      <c r="C619" s="675"/>
      <c r="D619" s="652" t="s">
        <v>1514</v>
      </c>
      <c r="E619" s="675" t="s">
        <v>968</v>
      </c>
      <c r="F619" s="2007" t="s">
        <v>988</v>
      </c>
      <c r="G619" s="2006">
        <v>0</v>
      </c>
      <c r="H619" s="2006">
        <v>0</v>
      </c>
      <c r="I619" s="630">
        <f t="shared" si="145"/>
        <v>0</v>
      </c>
      <c r="J619" s="630">
        <f t="shared" si="146"/>
        <v>0</v>
      </c>
      <c r="K619" s="630">
        <f t="shared" si="147"/>
        <v>0</v>
      </c>
      <c r="L619" s="631">
        <f t="shared" si="148"/>
        <v>0</v>
      </c>
      <c r="M619" s="631">
        <f t="shared" si="149"/>
        <v>0</v>
      </c>
      <c r="N619" s="631">
        <f t="shared" si="150"/>
        <v>0</v>
      </c>
      <c r="O619" s="660">
        <f t="shared" si="151"/>
        <v>0</v>
      </c>
    </row>
    <row r="620" spans="1:16">
      <c r="A620" s="2015">
        <v>253</v>
      </c>
      <c r="B620" s="675">
        <v>25321022</v>
      </c>
      <c r="C620" s="675"/>
      <c r="D620" s="652" t="s">
        <v>1383</v>
      </c>
      <c r="E620" s="675" t="s">
        <v>968</v>
      </c>
      <c r="F620" s="2007" t="s">
        <v>988</v>
      </c>
      <c r="G620" s="2006">
        <v>-3793385.44</v>
      </c>
      <c r="H620" s="2006">
        <v>-3793040.46</v>
      </c>
      <c r="I620" s="630">
        <f t="shared" si="145"/>
        <v>0</v>
      </c>
      <c r="J620" s="630">
        <f t="shared" si="146"/>
        <v>0</v>
      </c>
      <c r="K620" s="630">
        <f t="shared" si="147"/>
        <v>0</v>
      </c>
      <c r="L620" s="631">
        <f t="shared" si="148"/>
        <v>-3793385.44</v>
      </c>
      <c r="M620" s="631">
        <f t="shared" si="149"/>
        <v>0</v>
      </c>
      <c r="N620" s="631">
        <f t="shared" si="150"/>
        <v>-3793385.44</v>
      </c>
      <c r="O620" s="660">
        <f t="shared" si="151"/>
        <v>0</v>
      </c>
    </row>
    <row r="621" spans="1:16">
      <c r="A621" s="2015">
        <v>253</v>
      </c>
      <c r="B621" s="675">
        <v>25321023</v>
      </c>
      <c r="C621" s="675"/>
      <c r="D621" s="652" t="s">
        <v>1515</v>
      </c>
      <c r="E621" s="675" t="s">
        <v>968</v>
      </c>
      <c r="F621" s="2007" t="s">
        <v>390</v>
      </c>
      <c r="G621" s="2006">
        <v>0</v>
      </c>
      <c r="H621" s="2006">
        <v>0</v>
      </c>
      <c r="I621" s="630">
        <f t="shared" si="145"/>
        <v>0</v>
      </c>
      <c r="J621" s="630">
        <f t="shared" si="146"/>
        <v>0</v>
      </c>
      <c r="K621" s="630">
        <f t="shared" si="147"/>
        <v>0</v>
      </c>
      <c r="L621" s="631">
        <f t="shared" si="148"/>
        <v>0</v>
      </c>
      <c r="M621" s="631">
        <f t="shared" si="149"/>
        <v>0</v>
      </c>
      <c r="N621" s="631">
        <f t="shared" si="150"/>
        <v>0</v>
      </c>
      <c r="O621" s="660">
        <f t="shared" si="151"/>
        <v>0</v>
      </c>
    </row>
    <row r="622" spans="1:16">
      <c r="A622" s="2015">
        <v>253</v>
      </c>
      <c r="B622" s="675">
        <v>25321033</v>
      </c>
      <c r="C622" s="675"/>
      <c r="D622" s="652" t="s">
        <v>1516</v>
      </c>
      <c r="E622" s="675" t="s">
        <v>968</v>
      </c>
      <c r="F622" s="2007" t="s">
        <v>390</v>
      </c>
      <c r="G622" s="2006">
        <v>-1910804</v>
      </c>
      <c r="H622" s="2006">
        <v>-1752927.67</v>
      </c>
      <c r="I622" s="630">
        <f t="shared" si="145"/>
        <v>0</v>
      </c>
      <c r="J622" s="630">
        <f t="shared" si="146"/>
        <v>0</v>
      </c>
      <c r="K622" s="630">
        <f t="shared" si="147"/>
        <v>-1254633.9131557217</v>
      </c>
      <c r="L622" s="631">
        <f t="shared" si="148"/>
        <v>0</v>
      </c>
      <c r="M622" s="631">
        <f t="shared" si="149"/>
        <v>-656170.08684427827</v>
      </c>
      <c r="N622" s="631">
        <f t="shared" si="150"/>
        <v>-1910804</v>
      </c>
      <c r="O622" s="660">
        <f t="shared" si="151"/>
        <v>0</v>
      </c>
    </row>
    <row r="623" spans="1:16">
      <c r="A623" s="2015">
        <v>253</v>
      </c>
      <c r="B623" s="675">
        <v>25321043</v>
      </c>
      <c r="C623" s="675"/>
      <c r="D623" s="652" t="s">
        <v>1517</v>
      </c>
      <c r="E623" s="675" t="s">
        <v>968</v>
      </c>
      <c r="F623" s="2007" t="s">
        <v>390</v>
      </c>
      <c r="G623" s="2006">
        <v>0</v>
      </c>
      <c r="H623" s="2006">
        <v>0</v>
      </c>
      <c r="I623" s="630">
        <f t="shared" si="145"/>
        <v>0</v>
      </c>
      <c r="J623" s="630">
        <f t="shared" si="146"/>
        <v>0</v>
      </c>
      <c r="K623" s="630">
        <f t="shared" si="147"/>
        <v>0</v>
      </c>
      <c r="L623" s="631">
        <f t="shared" si="148"/>
        <v>0</v>
      </c>
      <c r="M623" s="631">
        <f t="shared" si="149"/>
        <v>0</v>
      </c>
      <c r="N623" s="631">
        <f t="shared" si="150"/>
        <v>0</v>
      </c>
      <c r="O623" s="660">
        <f t="shared" si="151"/>
        <v>0</v>
      </c>
    </row>
    <row r="624" spans="1:16">
      <c r="A624" s="2015">
        <v>253</v>
      </c>
      <c r="B624" s="675">
        <v>25321051</v>
      </c>
      <c r="C624" s="675"/>
      <c r="D624" s="652" t="s">
        <v>1518</v>
      </c>
      <c r="E624" s="675"/>
      <c r="F624" s="2007" t="s">
        <v>390</v>
      </c>
      <c r="G624" s="2006">
        <v>0</v>
      </c>
      <c r="H624" s="2006">
        <v>0</v>
      </c>
      <c r="I624" s="630">
        <f t="shared" si="145"/>
        <v>0</v>
      </c>
      <c r="J624" s="630">
        <f t="shared" si="146"/>
        <v>0</v>
      </c>
      <c r="K624" s="630">
        <f t="shared" si="147"/>
        <v>0</v>
      </c>
      <c r="L624" s="631">
        <f t="shared" si="148"/>
        <v>0</v>
      </c>
      <c r="M624" s="631">
        <f t="shared" si="149"/>
        <v>0</v>
      </c>
      <c r="N624" s="631">
        <f t="shared" si="150"/>
        <v>0</v>
      </c>
      <c r="O624" s="660">
        <f t="shared" si="151"/>
        <v>0</v>
      </c>
    </row>
    <row r="625" spans="1:16">
      <c r="A625" s="2015">
        <v>253</v>
      </c>
      <c r="B625" s="675">
        <v>25321052</v>
      </c>
      <c r="C625" s="675"/>
      <c r="D625" s="652" t="s">
        <v>1519</v>
      </c>
      <c r="E625" s="675"/>
      <c r="F625" s="2007" t="s">
        <v>988</v>
      </c>
      <c r="G625" s="2006">
        <v>0</v>
      </c>
      <c r="H625" s="2006">
        <v>0</v>
      </c>
      <c r="I625" s="630">
        <f t="shared" si="145"/>
        <v>0</v>
      </c>
      <c r="J625" s="630">
        <f t="shared" si="146"/>
        <v>0</v>
      </c>
      <c r="K625" s="630">
        <f t="shared" si="147"/>
        <v>0</v>
      </c>
      <c r="L625" s="631">
        <f t="shared" si="148"/>
        <v>0</v>
      </c>
      <c r="M625" s="631">
        <f t="shared" si="149"/>
        <v>0</v>
      </c>
      <c r="N625" s="631">
        <f t="shared" si="150"/>
        <v>0</v>
      </c>
      <c r="O625" s="660">
        <f t="shared" si="151"/>
        <v>0</v>
      </c>
    </row>
    <row r="626" spans="1:16">
      <c r="A626" s="2015">
        <v>253</v>
      </c>
      <c r="B626" s="675">
        <v>25321053</v>
      </c>
      <c r="C626" s="675"/>
      <c r="D626" s="652" t="s">
        <v>1520</v>
      </c>
      <c r="E626" s="675"/>
      <c r="F626" s="2007" t="s">
        <v>390</v>
      </c>
      <c r="G626" s="2006">
        <v>-395135.25</v>
      </c>
      <c r="H626" s="2006">
        <v>-644694.32999999996</v>
      </c>
      <c r="I626" s="630">
        <f t="shared" si="145"/>
        <v>0</v>
      </c>
      <c r="J626" s="630">
        <f t="shared" si="146"/>
        <v>0</v>
      </c>
      <c r="K626" s="630">
        <f t="shared" si="147"/>
        <v>-259445.80654701602</v>
      </c>
      <c r="L626" s="631">
        <f t="shared" si="148"/>
        <v>0</v>
      </c>
      <c r="M626" s="631">
        <f t="shared" si="149"/>
        <v>-135689.44345298398</v>
      </c>
      <c r="N626" s="631">
        <f t="shared" si="150"/>
        <v>-395135.25</v>
      </c>
      <c r="O626" s="660">
        <f t="shared" si="151"/>
        <v>0</v>
      </c>
    </row>
    <row r="627" spans="1:16">
      <c r="A627" s="2015">
        <v>253</v>
      </c>
      <c r="B627" s="675">
        <v>25321061</v>
      </c>
      <c r="C627" s="675"/>
      <c r="D627" s="652" t="s">
        <v>1518</v>
      </c>
      <c r="E627" s="675"/>
      <c r="F627" s="2007" t="s">
        <v>390</v>
      </c>
      <c r="G627" s="2006">
        <v>0</v>
      </c>
      <c r="H627" s="2006">
        <v>0</v>
      </c>
      <c r="I627" s="630">
        <f t="shared" si="145"/>
        <v>0</v>
      </c>
      <c r="J627" s="630">
        <f t="shared" si="146"/>
        <v>0</v>
      </c>
      <c r="K627" s="630">
        <f t="shared" si="147"/>
        <v>0</v>
      </c>
      <c r="L627" s="631">
        <f t="shared" si="148"/>
        <v>0</v>
      </c>
      <c r="M627" s="631">
        <f t="shared" si="149"/>
        <v>0</v>
      </c>
      <c r="N627" s="631">
        <f t="shared" si="150"/>
        <v>0</v>
      </c>
      <c r="O627" s="660">
        <f t="shared" si="151"/>
        <v>0</v>
      </c>
    </row>
    <row r="628" spans="1:16">
      <c r="A628" s="2015">
        <v>253</v>
      </c>
      <c r="B628" s="675">
        <v>25321062</v>
      </c>
      <c r="C628" s="675"/>
      <c r="D628" s="652" t="s">
        <v>1519</v>
      </c>
      <c r="E628" s="675"/>
      <c r="F628" s="2007" t="s">
        <v>988</v>
      </c>
      <c r="G628" s="2006">
        <v>0</v>
      </c>
      <c r="H628" s="2006">
        <v>0</v>
      </c>
      <c r="I628" s="630">
        <f t="shared" si="145"/>
        <v>0</v>
      </c>
      <c r="J628" s="630">
        <f t="shared" si="146"/>
        <v>0</v>
      </c>
      <c r="K628" s="630">
        <f t="shared" si="147"/>
        <v>0</v>
      </c>
      <c r="L628" s="631">
        <f t="shared" si="148"/>
        <v>0</v>
      </c>
      <c r="M628" s="631">
        <f t="shared" si="149"/>
        <v>0</v>
      </c>
      <c r="N628" s="631">
        <f t="shared" si="150"/>
        <v>0</v>
      </c>
      <c r="O628" s="660">
        <f t="shared" si="151"/>
        <v>0</v>
      </c>
    </row>
    <row r="629" spans="1:16">
      <c r="A629" s="2030">
        <v>253</v>
      </c>
      <c r="B629" s="2017">
        <v>25321071</v>
      </c>
      <c r="C629" s="2017"/>
      <c r="D629" s="2018" t="s">
        <v>8063</v>
      </c>
      <c r="E629" s="2017"/>
      <c r="F629" s="2017" t="s">
        <v>390</v>
      </c>
      <c r="G629" s="2006">
        <v>-22238</v>
      </c>
      <c r="H629" s="2011">
        <v>0</v>
      </c>
      <c r="I629" s="673">
        <f t="shared" si="145"/>
        <v>0</v>
      </c>
      <c r="J629" s="673">
        <f t="shared" si="146"/>
        <v>0</v>
      </c>
      <c r="K629" s="673">
        <f t="shared" si="147"/>
        <v>-22238</v>
      </c>
      <c r="L629" s="2031">
        <f t="shared" si="148"/>
        <v>0</v>
      </c>
      <c r="M629" s="2031">
        <f t="shared" si="149"/>
        <v>0</v>
      </c>
      <c r="N629" s="2031">
        <f t="shared" si="150"/>
        <v>-22238</v>
      </c>
      <c r="O629" s="660">
        <f t="shared" si="151"/>
        <v>0</v>
      </c>
      <c r="P629" s="2010"/>
    </row>
    <row r="630" spans="1:16">
      <c r="A630" s="2030">
        <v>253</v>
      </c>
      <c r="B630" s="2017">
        <v>25321072</v>
      </c>
      <c r="C630" s="2017"/>
      <c r="D630" s="2018" t="s">
        <v>1521</v>
      </c>
      <c r="E630" s="2017"/>
      <c r="F630" s="2017" t="s">
        <v>988</v>
      </c>
      <c r="G630" s="2006">
        <v>-35320.61</v>
      </c>
      <c r="H630" s="2011">
        <v>6629.56</v>
      </c>
      <c r="I630" s="673">
        <f t="shared" si="145"/>
        <v>0</v>
      </c>
      <c r="J630" s="673">
        <f t="shared" si="146"/>
        <v>0</v>
      </c>
      <c r="K630" s="673">
        <f t="shared" si="147"/>
        <v>0</v>
      </c>
      <c r="L630" s="674">
        <f t="shared" si="148"/>
        <v>-35320.61</v>
      </c>
      <c r="M630" s="674">
        <f t="shared" si="149"/>
        <v>0</v>
      </c>
      <c r="N630" s="674">
        <f t="shared" si="150"/>
        <v>-35320.61</v>
      </c>
      <c r="O630" s="660">
        <f t="shared" si="151"/>
        <v>0</v>
      </c>
      <c r="P630" s="2010"/>
    </row>
    <row r="631" spans="1:16">
      <c r="A631" s="2030">
        <v>253</v>
      </c>
      <c r="B631" s="2017">
        <v>25321082</v>
      </c>
      <c r="C631" s="2017"/>
      <c r="D631" s="2018" t="s">
        <v>1522</v>
      </c>
      <c r="E631" s="2017"/>
      <c r="F631" s="2017" t="s">
        <v>988</v>
      </c>
      <c r="G631" s="2006">
        <v>-13400401.08</v>
      </c>
      <c r="H631" s="2011">
        <v>-6815791.0800000001</v>
      </c>
      <c r="I631" s="673">
        <f t="shared" si="145"/>
        <v>0</v>
      </c>
      <c r="J631" s="673">
        <f t="shared" si="146"/>
        <v>0</v>
      </c>
      <c r="K631" s="673">
        <f t="shared" si="147"/>
        <v>0</v>
      </c>
      <c r="L631" s="674">
        <f t="shared" si="148"/>
        <v>-13400401.08</v>
      </c>
      <c r="M631" s="674">
        <f t="shared" si="149"/>
        <v>0</v>
      </c>
      <c r="N631" s="674">
        <f t="shared" si="150"/>
        <v>-13400401.08</v>
      </c>
      <c r="O631" s="660">
        <f t="shared" si="151"/>
        <v>0</v>
      </c>
      <c r="P631" s="2010"/>
    </row>
    <row r="632" spans="1:16">
      <c r="A632" s="2030">
        <v>253</v>
      </c>
      <c r="B632" s="2017">
        <v>25321091</v>
      </c>
      <c r="C632" s="2017"/>
      <c r="D632" s="2029" t="s">
        <v>6729</v>
      </c>
      <c r="E632" s="2017"/>
      <c r="F632" s="2017" t="s">
        <v>99</v>
      </c>
      <c r="G632" s="2006">
        <v>0</v>
      </c>
      <c r="H632" s="2028">
        <v>0</v>
      </c>
      <c r="I632" s="673">
        <f t="shared" si="145"/>
        <v>0</v>
      </c>
      <c r="J632" s="673">
        <f t="shared" si="146"/>
        <v>0</v>
      </c>
      <c r="K632" s="673">
        <f t="shared" si="147"/>
        <v>0</v>
      </c>
      <c r="L632" s="674">
        <f t="shared" si="148"/>
        <v>0</v>
      </c>
      <c r="M632" s="674">
        <f t="shared" si="149"/>
        <v>0</v>
      </c>
      <c r="N632" s="674">
        <f t="shared" si="150"/>
        <v>0</v>
      </c>
      <c r="O632" s="660">
        <f t="shared" si="151"/>
        <v>0</v>
      </c>
      <c r="P632" s="2010" t="s">
        <v>8072</v>
      </c>
    </row>
    <row r="633" spans="1:16">
      <c r="A633" s="2030">
        <v>253</v>
      </c>
      <c r="B633" s="2017">
        <v>25321092</v>
      </c>
      <c r="C633" s="2017"/>
      <c r="D633" s="2029" t="s">
        <v>6730</v>
      </c>
      <c r="E633" s="2017"/>
      <c r="F633" s="2017" t="s">
        <v>988</v>
      </c>
      <c r="G633" s="2006">
        <v>-1300684</v>
      </c>
      <c r="H633" s="2028">
        <v>0</v>
      </c>
      <c r="I633" s="673">
        <f t="shared" si="145"/>
        <v>0</v>
      </c>
      <c r="J633" s="673">
        <f t="shared" si="146"/>
        <v>0</v>
      </c>
      <c r="K633" s="673">
        <f t="shared" si="147"/>
        <v>0</v>
      </c>
      <c r="L633" s="674">
        <f t="shared" si="148"/>
        <v>-1300684</v>
      </c>
      <c r="M633" s="674">
        <f t="shared" si="149"/>
        <v>0</v>
      </c>
      <c r="N633" s="674">
        <f t="shared" si="150"/>
        <v>-1300684</v>
      </c>
      <c r="O633" s="660">
        <f t="shared" si="151"/>
        <v>0</v>
      </c>
      <c r="P633" s="2010"/>
    </row>
    <row r="634" spans="1:16">
      <c r="A634" s="2030">
        <v>253</v>
      </c>
      <c r="B634" s="2017">
        <v>25321101</v>
      </c>
      <c r="C634" s="2017"/>
      <c r="D634" s="2029" t="s">
        <v>6731</v>
      </c>
      <c r="E634" s="2017"/>
      <c r="F634" s="2017" t="s">
        <v>99</v>
      </c>
      <c r="G634" s="2006">
        <v>0</v>
      </c>
      <c r="H634" s="2028">
        <v>0</v>
      </c>
      <c r="I634" s="673">
        <f t="shared" si="145"/>
        <v>0</v>
      </c>
      <c r="J634" s="673">
        <f t="shared" si="146"/>
        <v>0</v>
      </c>
      <c r="K634" s="673">
        <f t="shared" si="147"/>
        <v>0</v>
      </c>
      <c r="L634" s="674">
        <f t="shared" si="148"/>
        <v>0</v>
      </c>
      <c r="M634" s="674">
        <f t="shared" si="149"/>
        <v>0</v>
      </c>
      <c r="N634" s="674">
        <f t="shared" si="150"/>
        <v>0</v>
      </c>
      <c r="O634" s="660">
        <f t="shared" si="151"/>
        <v>0</v>
      </c>
      <c r="P634" s="2010"/>
    </row>
    <row r="635" spans="1:16">
      <c r="A635" s="2030">
        <v>253</v>
      </c>
      <c r="B635" s="2017">
        <v>25321201</v>
      </c>
      <c r="C635" s="2017"/>
      <c r="D635" s="2029" t="s">
        <v>6732</v>
      </c>
      <c r="E635" s="2017"/>
      <c r="F635" s="2017" t="s">
        <v>390</v>
      </c>
      <c r="G635" s="2006">
        <v>-6827168</v>
      </c>
      <c r="H635" s="2028">
        <v>0</v>
      </c>
      <c r="I635" s="673">
        <f t="shared" si="145"/>
        <v>0</v>
      </c>
      <c r="J635" s="673">
        <f t="shared" si="146"/>
        <v>0</v>
      </c>
      <c r="K635" s="673">
        <f t="shared" si="147"/>
        <v>-6827168</v>
      </c>
      <c r="L635" s="674">
        <f t="shared" si="148"/>
        <v>0</v>
      </c>
      <c r="M635" s="674">
        <f t="shared" si="149"/>
        <v>0</v>
      </c>
      <c r="N635" s="674">
        <f t="shared" si="150"/>
        <v>-6827168</v>
      </c>
      <c r="O635" s="660">
        <f t="shared" si="151"/>
        <v>0</v>
      </c>
      <c r="P635" s="2010" t="s">
        <v>8073</v>
      </c>
    </row>
    <row r="636" spans="1:16">
      <c r="A636" s="2030">
        <v>253</v>
      </c>
      <c r="B636" s="2017">
        <v>25321301</v>
      </c>
      <c r="C636" s="2017"/>
      <c r="D636" s="2029" t="s">
        <v>6733</v>
      </c>
      <c r="E636" s="2017"/>
      <c r="F636" s="2017" t="s">
        <v>392</v>
      </c>
      <c r="G636" s="2006">
        <v>-21738957.07</v>
      </c>
      <c r="H636" s="2028">
        <v>0</v>
      </c>
      <c r="I636" s="673">
        <f t="shared" si="145"/>
        <v>-21738957.07</v>
      </c>
      <c r="J636" s="673">
        <f t="shared" si="146"/>
        <v>0</v>
      </c>
      <c r="K636" s="673">
        <f t="shared" si="147"/>
        <v>0</v>
      </c>
      <c r="L636" s="674">
        <f t="shared" si="148"/>
        <v>0</v>
      </c>
      <c r="M636" s="674">
        <f t="shared" si="149"/>
        <v>0</v>
      </c>
      <c r="N636" s="674">
        <f t="shared" si="150"/>
        <v>-21738957.07</v>
      </c>
      <c r="O636" s="660">
        <f t="shared" si="151"/>
        <v>0</v>
      </c>
      <c r="P636" s="2010" t="s">
        <v>8074</v>
      </c>
    </row>
    <row r="637" spans="1:16">
      <c r="A637" s="638" t="s">
        <v>1523</v>
      </c>
      <c r="B637" s="639"/>
      <c r="C637" s="640"/>
      <c r="D637" s="641"/>
      <c r="E637" s="642"/>
      <c r="F637" s="642"/>
      <c r="G637" s="643">
        <f t="shared" ref="G637:N637" si="152">SUM(G510:G636)</f>
        <v>-293574358.59000009</v>
      </c>
      <c r="H637" s="643">
        <f t="shared" si="152"/>
        <v>-518347060.76999992</v>
      </c>
      <c r="I637" s="2288">
        <f t="shared" si="152"/>
        <v>-74029658.958190456</v>
      </c>
      <c r="J637" s="2288">
        <f t="shared" si="152"/>
        <v>0</v>
      </c>
      <c r="K637" s="2288">
        <f t="shared" si="152"/>
        <v>-166656169.22449097</v>
      </c>
      <c r="L637" s="643">
        <f t="shared" si="152"/>
        <v>-35968373.280000001</v>
      </c>
      <c r="M637" s="643">
        <f t="shared" si="152"/>
        <v>-12670876.127318628</v>
      </c>
      <c r="N637" s="643">
        <f t="shared" si="152"/>
        <v>-289325077.59000009</v>
      </c>
      <c r="O637" s="661">
        <f>G637-N637-G527-G531-G547</f>
        <v>0</v>
      </c>
    </row>
    <row r="638" spans="1:16">
      <c r="A638" s="677"/>
      <c r="B638" s="663"/>
      <c r="C638" s="664"/>
      <c r="D638" s="665"/>
      <c r="E638" s="3929" t="s">
        <v>1524</v>
      </c>
      <c r="F638" s="3930"/>
      <c r="G638" s="681">
        <f>'FERC p112-113 Liabilities'!D72+G637</f>
        <v>-0.59000009298324585</v>
      </c>
      <c r="H638" s="681">
        <f>'FERC p112-113 Liabilities'!E72+H637</f>
        <v>0.2300000786781311</v>
      </c>
      <c r="I638" s="666"/>
      <c r="J638" s="666"/>
      <c r="K638" s="666"/>
      <c r="L638" s="666"/>
      <c r="M638" s="666"/>
      <c r="N638" s="666"/>
      <c r="O638" s="660"/>
    </row>
    <row r="639" spans="1:16">
      <c r="A639" s="2015">
        <v>254</v>
      </c>
      <c r="B639" s="675">
        <v>25400002</v>
      </c>
      <c r="C639" s="675" t="s">
        <v>968</v>
      </c>
      <c r="D639" s="652" t="s">
        <v>1525</v>
      </c>
      <c r="E639" s="675" t="s">
        <v>968</v>
      </c>
      <c r="F639" s="2007" t="s">
        <v>988</v>
      </c>
      <c r="G639" s="2006">
        <v>0</v>
      </c>
      <c r="H639" s="2006"/>
      <c r="I639" s="630">
        <f t="shared" ref="I639:I670" si="153">IF(RIGHT($B639,1)="1", $G639*VLOOKUP($F639, Ratio, 2, FALSE), IF(RIGHT($B639,1)="3", $G639*VLOOKUP($F639, Ratio, 2, FALSE)*$F$5, 0))</f>
        <v>0</v>
      </c>
      <c r="J639" s="630">
        <f t="shared" ref="J639:J670" si="154">IF(RIGHT($B639,1)="1", $G639*VLOOKUP($F639, Ratio, 3, FALSE), IF(RIGHT($B639,1)="3", $G639*VLOOKUP($F639, Ratio, 3, FALSE)*$F$5, 0))</f>
        <v>0</v>
      </c>
      <c r="K639" s="630">
        <f t="shared" ref="K639:K670" si="155">IF(RIGHT($B639,1)="1", $G639*VLOOKUP($F639, Ratio, 4, FALSE), IF(RIGHT($B639,1)="3", $G639*VLOOKUP($F639, Ratio, 4, FALSE)*$F$5, 0))</f>
        <v>0</v>
      </c>
      <c r="L639" s="631">
        <f t="shared" ref="L639:L670" si="156">IF(F639="GAS", G639, 0)</f>
        <v>0</v>
      </c>
      <c r="M639" s="631">
        <f t="shared" ref="M639:M670" si="157">IF(RIGHT(B639,1)="3",G639*$G$5,0)</f>
        <v>0</v>
      </c>
      <c r="N639" s="631">
        <f t="shared" ref="N639:N670" si="158">SUM(I639:M639)</f>
        <v>0</v>
      </c>
      <c r="O639" s="660">
        <f t="shared" ref="O639:O670" si="159">G639-N639</f>
        <v>0</v>
      </c>
    </row>
    <row r="640" spans="1:16">
      <c r="A640" s="2015">
        <v>254</v>
      </c>
      <c r="B640" s="675">
        <v>25400012</v>
      </c>
      <c r="C640" s="675" t="s">
        <v>968</v>
      </c>
      <c r="D640" s="652" t="s">
        <v>1526</v>
      </c>
      <c r="E640" s="675" t="s">
        <v>968</v>
      </c>
      <c r="F640" s="2007" t="s">
        <v>988</v>
      </c>
      <c r="G640" s="2006">
        <v>-299392149.94</v>
      </c>
      <c r="H640" s="2006">
        <v>-305375578.06</v>
      </c>
      <c r="I640" s="630">
        <f t="shared" si="153"/>
        <v>0</v>
      </c>
      <c r="J640" s="630">
        <f t="shared" si="154"/>
        <v>0</v>
      </c>
      <c r="K640" s="630">
        <f t="shared" si="155"/>
        <v>0</v>
      </c>
      <c r="L640" s="631">
        <f t="shared" si="156"/>
        <v>-299392149.94</v>
      </c>
      <c r="M640" s="631">
        <f t="shared" si="157"/>
        <v>0</v>
      </c>
      <c r="N640" s="631">
        <f t="shared" si="158"/>
        <v>-299392149.94</v>
      </c>
      <c r="O640" s="660">
        <f t="shared" si="159"/>
        <v>0</v>
      </c>
    </row>
    <row r="641" spans="1:15">
      <c r="A641" s="2015">
        <v>254</v>
      </c>
      <c r="B641" s="675">
        <v>25400031</v>
      </c>
      <c r="C641" s="675" t="s">
        <v>968</v>
      </c>
      <c r="D641" s="652" t="s">
        <v>1527</v>
      </c>
      <c r="E641" s="675" t="s">
        <v>968</v>
      </c>
      <c r="F641" s="2007" t="s">
        <v>392</v>
      </c>
      <c r="G641" s="2006">
        <v>0</v>
      </c>
      <c r="H641" s="2006"/>
      <c r="I641" s="630">
        <f t="shared" si="153"/>
        <v>0</v>
      </c>
      <c r="J641" s="630">
        <f t="shared" si="154"/>
        <v>0</v>
      </c>
      <c r="K641" s="630">
        <f t="shared" si="155"/>
        <v>0</v>
      </c>
      <c r="L641" s="631">
        <f t="shared" si="156"/>
        <v>0</v>
      </c>
      <c r="M641" s="631">
        <f t="shared" si="157"/>
        <v>0</v>
      </c>
      <c r="N641" s="631">
        <f t="shared" si="158"/>
        <v>0</v>
      </c>
      <c r="O641" s="660">
        <f t="shared" si="159"/>
        <v>0</v>
      </c>
    </row>
    <row r="642" spans="1:15">
      <c r="A642" s="2015">
        <v>254</v>
      </c>
      <c r="B642" s="675">
        <v>25400101</v>
      </c>
      <c r="C642" s="675" t="s">
        <v>968</v>
      </c>
      <c r="D642" s="652" t="s">
        <v>1528</v>
      </c>
      <c r="E642" s="675" t="s">
        <v>968</v>
      </c>
      <c r="F642" s="2007" t="s">
        <v>392</v>
      </c>
      <c r="G642" s="2006">
        <v>0</v>
      </c>
      <c r="H642" s="2006"/>
      <c r="I642" s="630">
        <f t="shared" si="153"/>
        <v>0</v>
      </c>
      <c r="J642" s="630">
        <f t="shared" si="154"/>
        <v>0</v>
      </c>
      <c r="K642" s="630">
        <f t="shared" si="155"/>
        <v>0</v>
      </c>
      <c r="L642" s="631">
        <f t="shared" si="156"/>
        <v>0</v>
      </c>
      <c r="M642" s="631">
        <f t="shared" si="157"/>
        <v>0</v>
      </c>
      <c r="N642" s="631">
        <f t="shared" si="158"/>
        <v>0</v>
      </c>
      <c r="O642" s="660">
        <f t="shared" si="159"/>
        <v>0</v>
      </c>
    </row>
    <row r="643" spans="1:15">
      <c r="A643" s="2015">
        <v>254</v>
      </c>
      <c r="B643" s="675">
        <v>25400111</v>
      </c>
      <c r="C643" s="675" t="s">
        <v>968</v>
      </c>
      <c r="D643" s="652" t="s">
        <v>1528</v>
      </c>
      <c r="E643" s="675" t="s">
        <v>968</v>
      </c>
      <c r="F643" s="2007" t="s">
        <v>392</v>
      </c>
      <c r="G643" s="2006">
        <v>0</v>
      </c>
      <c r="H643" s="2006"/>
      <c r="I643" s="630">
        <f t="shared" si="153"/>
        <v>0</v>
      </c>
      <c r="J643" s="630">
        <f t="shared" si="154"/>
        <v>0</v>
      </c>
      <c r="K643" s="630">
        <f t="shared" si="155"/>
        <v>0</v>
      </c>
      <c r="L643" s="631">
        <f t="shared" si="156"/>
        <v>0</v>
      </c>
      <c r="M643" s="631">
        <f t="shared" si="157"/>
        <v>0</v>
      </c>
      <c r="N643" s="631">
        <f t="shared" si="158"/>
        <v>0</v>
      </c>
      <c r="O643" s="660">
        <f t="shared" si="159"/>
        <v>0</v>
      </c>
    </row>
    <row r="644" spans="1:15">
      <c r="A644" s="2015">
        <v>254</v>
      </c>
      <c r="B644" s="675">
        <v>25400181</v>
      </c>
      <c r="C644" s="675" t="s">
        <v>968</v>
      </c>
      <c r="D644" s="652" t="s">
        <v>1529</v>
      </c>
      <c r="E644" s="675" t="s">
        <v>968</v>
      </c>
      <c r="F644" s="2007" t="s">
        <v>390</v>
      </c>
      <c r="G644" s="2006">
        <v>0</v>
      </c>
      <c r="H644" s="2006"/>
      <c r="I644" s="630">
        <f t="shared" si="153"/>
        <v>0</v>
      </c>
      <c r="J644" s="630">
        <f t="shared" si="154"/>
        <v>0</v>
      </c>
      <c r="K644" s="630">
        <f t="shared" si="155"/>
        <v>0</v>
      </c>
      <c r="L644" s="631">
        <f t="shared" si="156"/>
        <v>0</v>
      </c>
      <c r="M644" s="631">
        <f t="shared" si="157"/>
        <v>0</v>
      </c>
      <c r="N644" s="631">
        <f t="shared" si="158"/>
        <v>0</v>
      </c>
      <c r="O644" s="660">
        <f t="shared" si="159"/>
        <v>0</v>
      </c>
    </row>
    <row r="645" spans="1:15">
      <c r="A645" s="2015">
        <v>254</v>
      </c>
      <c r="B645" s="675">
        <v>25400182</v>
      </c>
      <c r="C645" s="675" t="s">
        <v>968</v>
      </c>
      <c r="D645" s="652" t="s">
        <v>1530</v>
      </c>
      <c r="E645" s="675" t="s">
        <v>968</v>
      </c>
      <c r="F645" s="2007" t="s">
        <v>988</v>
      </c>
      <c r="G645" s="2006">
        <v>0</v>
      </c>
      <c r="H645" s="2006"/>
      <c r="I645" s="630">
        <f t="shared" si="153"/>
        <v>0</v>
      </c>
      <c r="J645" s="630">
        <f t="shared" si="154"/>
        <v>0</v>
      </c>
      <c r="K645" s="630">
        <f t="shared" si="155"/>
        <v>0</v>
      </c>
      <c r="L645" s="631">
        <f t="shared" si="156"/>
        <v>0</v>
      </c>
      <c r="M645" s="631">
        <f t="shared" si="157"/>
        <v>0</v>
      </c>
      <c r="N645" s="631">
        <f t="shared" si="158"/>
        <v>0</v>
      </c>
      <c r="O645" s="660">
        <f t="shared" si="159"/>
        <v>0</v>
      </c>
    </row>
    <row r="646" spans="1:15">
      <c r="A646" s="2015">
        <v>254</v>
      </c>
      <c r="B646" s="675">
        <v>25400191</v>
      </c>
      <c r="C646" s="675" t="s">
        <v>968</v>
      </c>
      <c r="D646" s="652" t="s">
        <v>1531</v>
      </c>
      <c r="E646" s="675" t="s">
        <v>968</v>
      </c>
      <c r="F646" s="2007" t="s">
        <v>392</v>
      </c>
      <c r="G646" s="2006">
        <v>0</v>
      </c>
      <c r="H646" s="2006"/>
      <c r="I646" s="630">
        <f t="shared" si="153"/>
        <v>0</v>
      </c>
      <c r="J646" s="630">
        <f t="shared" si="154"/>
        <v>0</v>
      </c>
      <c r="K646" s="630">
        <f t="shared" si="155"/>
        <v>0</v>
      </c>
      <c r="L646" s="631">
        <f t="shared" si="156"/>
        <v>0</v>
      </c>
      <c r="M646" s="631">
        <f t="shared" si="157"/>
        <v>0</v>
      </c>
      <c r="N646" s="631">
        <f t="shared" si="158"/>
        <v>0</v>
      </c>
      <c r="O646" s="660">
        <f t="shared" si="159"/>
        <v>0</v>
      </c>
    </row>
    <row r="647" spans="1:15">
      <c r="A647" s="2015">
        <v>254</v>
      </c>
      <c r="B647" s="675">
        <v>25400201</v>
      </c>
      <c r="C647" s="675" t="s">
        <v>968</v>
      </c>
      <c r="D647" s="652" t="s">
        <v>1532</v>
      </c>
      <c r="E647" s="675" t="s">
        <v>968</v>
      </c>
      <c r="F647" s="2007" t="s">
        <v>392</v>
      </c>
      <c r="G647" s="2006">
        <v>0</v>
      </c>
      <c r="H647" s="2006"/>
      <c r="I647" s="630">
        <f t="shared" si="153"/>
        <v>0</v>
      </c>
      <c r="J647" s="630">
        <f t="shared" si="154"/>
        <v>0</v>
      </c>
      <c r="K647" s="630">
        <f t="shared" si="155"/>
        <v>0</v>
      </c>
      <c r="L647" s="631">
        <f t="shared" si="156"/>
        <v>0</v>
      </c>
      <c r="M647" s="631">
        <f t="shared" si="157"/>
        <v>0</v>
      </c>
      <c r="N647" s="631">
        <f t="shared" si="158"/>
        <v>0</v>
      </c>
      <c r="O647" s="660">
        <f t="shared" si="159"/>
        <v>0</v>
      </c>
    </row>
    <row r="648" spans="1:15">
      <c r="A648" s="2015">
        <v>254</v>
      </c>
      <c r="B648" s="675">
        <v>25400211</v>
      </c>
      <c r="C648" s="675" t="s">
        <v>968</v>
      </c>
      <c r="D648" s="652" t="s">
        <v>1533</v>
      </c>
      <c r="E648" s="675" t="s">
        <v>968</v>
      </c>
      <c r="F648" s="2007" t="s">
        <v>390</v>
      </c>
      <c r="G648" s="2006">
        <v>0</v>
      </c>
      <c r="H648" s="2006"/>
      <c r="I648" s="630">
        <f t="shared" si="153"/>
        <v>0</v>
      </c>
      <c r="J648" s="630">
        <f t="shared" si="154"/>
        <v>0</v>
      </c>
      <c r="K648" s="630">
        <f t="shared" si="155"/>
        <v>0</v>
      </c>
      <c r="L648" s="631">
        <f t="shared" si="156"/>
        <v>0</v>
      </c>
      <c r="M648" s="631">
        <f t="shared" si="157"/>
        <v>0</v>
      </c>
      <c r="N648" s="631">
        <f t="shared" si="158"/>
        <v>0</v>
      </c>
      <c r="O648" s="660">
        <f t="shared" si="159"/>
        <v>0</v>
      </c>
    </row>
    <row r="649" spans="1:15">
      <c r="A649" s="2015">
        <v>254</v>
      </c>
      <c r="B649" s="675">
        <v>25400212</v>
      </c>
      <c r="C649" s="675" t="s">
        <v>968</v>
      </c>
      <c r="D649" s="652" t="s">
        <v>1534</v>
      </c>
      <c r="E649" s="675" t="s">
        <v>968</v>
      </c>
      <c r="F649" s="2007" t="s">
        <v>988</v>
      </c>
      <c r="G649" s="2006">
        <v>0</v>
      </c>
      <c r="H649" s="2006"/>
      <c r="I649" s="630">
        <f t="shared" si="153"/>
        <v>0</v>
      </c>
      <c r="J649" s="630">
        <f t="shared" si="154"/>
        <v>0</v>
      </c>
      <c r="K649" s="630">
        <f t="shared" si="155"/>
        <v>0</v>
      </c>
      <c r="L649" s="631">
        <f t="shared" si="156"/>
        <v>0</v>
      </c>
      <c r="M649" s="631">
        <f t="shared" si="157"/>
        <v>0</v>
      </c>
      <c r="N649" s="631">
        <f t="shared" si="158"/>
        <v>0</v>
      </c>
      <c r="O649" s="660">
        <f t="shared" si="159"/>
        <v>0</v>
      </c>
    </row>
    <row r="650" spans="1:15">
      <c r="A650" s="2015">
        <v>254</v>
      </c>
      <c r="B650" s="675">
        <v>25400221</v>
      </c>
      <c r="C650" s="675" t="s">
        <v>968</v>
      </c>
      <c r="D650" s="652" t="s">
        <v>1535</v>
      </c>
      <c r="E650" s="675" t="s">
        <v>968</v>
      </c>
      <c r="F650" s="2007" t="s">
        <v>390</v>
      </c>
      <c r="G650" s="2006">
        <v>-48701.09</v>
      </c>
      <c r="H650" s="2006">
        <v>-63682.8</v>
      </c>
      <c r="I650" s="630">
        <f t="shared" si="153"/>
        <v>0</v>
      </c>
      <c r="J650" s="630">
        <f t="shared" si="154"/>
        <v>0</v>
      </c>
      <c r="K650" s="630">
        <f t="shared" si="155"/>
        <v>-48701.09</v>
      </c>
      <c r="L650" s="631">
        <f t="shared" si="156"/>
        <v>0</v>
      </c>
      <c r="M650" s="631">
        <f t="shared" si="157"/>
        <v>0</v>
      </c>
      <c r="N650" s="631">
        <f t="shared" si="158"/>
        <v>-48701.09</v>
      </c>
      <c r="O650" s="660">
        <f t="shared" si="159"/>
        <v>0</v>
      </c>
    </row>
    <row r="651" spans="1:15">
      <c r="A651" s="2015">
        <v>254</v>
      </c>
      <c r="B651" s="675">
        <v>25400231</v>
      </c>
      <c r="C651" s="675" t="s">
        <v>968</v>
      </c>
      <c r="D651" s="652" t="s">
        <v>1536</v>
      </c>
      <c r="E651" s="675" t="s">
        <v>968</v>
      </c>
      <c r="F651" s="2007" t="s">
        <v>390</v>
      </c>
      <c r="G651" s="2006">
        <v>0</v>
      </c>
      <c r="H651" s="2006">
        <v>0</v>
      </c>
      <c r="I651" s="630">
        <f t="shared" si="153"/>
        <v>0</v>
      </c>
      <c r="J651" s="630">
        <f t="shared" si="154"/>
        <v>0</v>
      </c>
      <c r="K651" s="630">
        <f t="shared" si="155"/>
        <v>0</v>
      </c>
      <c r="L651" s="631">
        <f t="shared" si="156"/>
        <v>0</v>
      </c>
      <c r="M651" s="631">
        <f t="shared" si="157"/>
        <v>0</v>
      </c>
      <c r="N651" s="631">
        <f t="shared" si="158"/>
        <v>0</v>
      </c>
      <c r="O651" s="660">
        <f t="shared" si="159"/>
        <v>0</v>
      </c>
    </row>
    <row r="652" spans="1:15">
      <c r="A652" s="2015">
        <v>254</v>
      </c>
      <c r="B652" s="675">
        <v>25400241</v>
      </c>
      <c r="C652" s="675" t="s">
        <v>968</v>
      </c>
      <c r="D652" s="652" t="s">
        <v>1537</v>
      </c>
      <c r="E652" s="675" t="s">
        <v>968</v>
      </c>
      <c r="F652" s="2007" t="s">
        <v>390</v>
      </c>
      <c r="G652" s="2006">
        <v>0</v>
      </c>
      <c r="H652" s="2006">
        <v>0</v>
      </c>
      <c r="I652" s="630">
        <f t="shared" si="153"/>
        <v>0</v>
      </c>
      <c r="J652" s="630">
        <f t="shared" si="154"/>
        <v>0</v>
      </c>
      <c r="K652" s="630">
        <f t="shared" si="155"/>
        <v>0</v>
      </c>
      <c r="L652" s="631">
        <f t="shared" si="156"/>
        <v>0</v>
      </c>
      <c r="M652" s="631">
        <f t="shared" si="157"/>
        <v>0</v>
      </c>
      <c r="N652" s="631">
        <f t="shared" si="158"/>
        <v>0</v>
      </c>
      <c r="O652" s="660">
        <f t="shared" si="159"/>
        <v>0</v>
      </c>
    </row>
    <row r="653" spans="1:15">
      <c r="A653" s="2015">
        <v>254</v>
      </c>
      <c r="B653" s="675">
        <v>25400251</v>
      </c>
      <c r="C653" s="675" t="s">
        <v>968</v>
      </c>
      <c r="D653" s="652" t="s">
        <v>1538</v>
      </c>
      <c r="E653" s="675" t="s">
        <v>968</v>
      </c>
      <c r="F653" s="2007" t="s">
        <v>390</v>
      </c>
      <c r="G653" s="2006">
        <v>0</v>
      </c>
      <c r="H653" s="2006">
        <v>0</v>
      </c>
      <c r="I653" s="630">
        <f t="shared" si="153"/>
        <v>0</v>
      </c>
      <c r="J653" s="630">
        <f t="shared" si="154"/>
        <v>0</v>
      </c>
      <c r="K653" s="630">
        <f t="shared" si="155"/>
        <v>0</v>
      </c>
      <c r="L653" s="631">
        <f t="shared" si="156"/>
        <v>0</v>
      </c>
      <c r="M653" s="631">
        <f t="shared" si="157"/>
        <v>0</v>
      </c>
      <c r="N653" s="631">
        <f t="shared" si="158"/>
        <v>0</v>
      </c>
      <c r="O653" s="660">
        <f t="shared" si="159"/>
        <v>0</v>
      </c>
    </row>
    <row r="654" spans="1:15">
      <c r="A654" s="2015">
        <v>254</v>
      </c>
      <c r="B654" s="675">
        <v>25400261</v>
      </c>
      <c r="C654" s="675" t="s">
        <v>968</v>
      </c>
      <c r="D654" s="652" t="s">
        <v>1539</v>
      </c>
      <c r="E654" s="675" t="s">
        <v>968</v>
      </c>
      <c r="F654" s="2007" t="s">
        <v>390</v>
      </c>
      <c r="G654" s="2006">
        <v>0</v>
      </c>
      <c r="H654" s="2006">
        <v>0</v>
      </c>
      <c r="I654" s="630">
        <f t="shared" si="153"/>
        <v>0</v>
      </c>
      <c r="J654" s="630">
        <f t="shared" si="154"/>
        <v>0</v>
      </c>
      <c r="K654" s="630">
        <f t="shared" si="155"/>
        <v>0</v>
      </c>
      <c r="L654" s="631">
        <f t="shared" si="156"/>
        <v>0</v>
      </c>
      <c r="M654" s="631">
        <f t="shared" si="157"/>
        <v>0</v>
      </c>
      <c r="N654" s="631">
        <f t="shared" si="158"/>
        <v>0</v>
      </c>
      <c r="O654" s="660">
        <f t="shared" si="159"/>
        <v>0</v>
      </c>
    </row>
    <row r="655" spans="1:15">
      <c r="A655" s="2015">
        <v>254</v>
      </c>
      <c r="B655" s="675">
        <v>25400281</v>
      </c>
      <c r="C655" s="675" t="s">
        <v>968</v>
      </c>
      <c r="D655" s="652" t="s">
        <v>1540</v>
      </c>
      <c r="E655" s="675" t="s">
        <v>968</v>
      </c>
      <c r="F655" s="2007" t="s">
        <v>390</v>
      </c>
      <c r="G655" s="2006">
        <v>0</v>
      </c>
      <c r="H655" s="2006">
        <v>0</v>
      </c>
      <c r="I655" s="630">
        <f t="shared" si="153"/>
        <v>0</v>
      </c>
      <c r="J655" s="630">
        <f t="shared" si="154"/>
        <v>0</v>
      </c>
      <c r="K655" s="630">
        <f t="shared" si="155"/>
        <v>0</v>
      </c>
      <c r="L655" s="631">
        <f t="shared" si="156"/>
        <v>0</v>
      </c>
      <c r="M655" s="631">
        <f t="shared" si="157"/>
        <v>0</v>
      </c>
      <c r="N655" s="631">
        <f t="shared" si="158"/>
        <v>0</v>
      </c>
      <c r="O655" s="660">
        <f t="shared" si="159"/>
        <v>0</v>
      </c>
    </row>
    <row r="656" spans="1:15">
      <c r="A656" s="2015">
        <v>254</v>
      </c>
      <c r="B656" s="675">
        <v>25400291</v>
      </c>
      <c r="C656" s="675" t="s">
        <v>968</v>
      </c>
      <c r="D656" s="652" t="s">
        <v>1541</v>
      </c>
      <c r="E656" s="675" t="s">
        <v>968</v>
      </c>
      <c r="F656" s="2007" t="s">
        <v>392</v>
      </c>
      <c r="G656" s="2006">
        <v>181262.64</v>
      </c>
      <c r="H656" s="2006">
        <v>183679.5</v>
      </c>
      <c r="I656" s="630">
        <f t="shared" si="153"/>
        <v>181262.64</v>
      </c>
      <c r="J656" s="630">
        <f t="shared" si="154"/>
        <v>0</v>
      </c>
      <c r="K656" s="630">
        <f t="shared" si="155"/>
        <v>0</v>
      </c>
      <c r="L656" s="631">
        <f t="shared" si="156"/>
        <v>0</v>
      </c>
      <c r="M656" s="631">
        <f t="shared" si="157"/>
        <v>0</v>
      </c>
      <c r="N656" s="631">
        <f t="shared" si="158"/>
        <v>181262.64</v>
      </c>
      <c r="O656" s="660">
        <f t="shared" si="159"/>
        <v>0</v>
      </c>
    </row>
    <row r="657" spans="1:15">
      <c r="A657" s="2015">
        <v>254</v>
      </c>
      <c r="B657" s="675">
        <v>25400301</v>
      </c>
      <c r="C657" s="675" t="s">
        <v>968</v>
      </c>
      <c r="D657" s="652" t="s">
        <v>1542</v>
      </c>
      <c r="E657" s="675" t="s">
        <v>968</v>
      </c>
      <c r="F657" s="2007" t="s">
        <v>392</v>
      </c>
      <c r="G657" s="2006">
        <v>-91231.39</v>
      </c>
      <c r="H657" s="2006">
        <v>-103084.67</v>
      </c>
      <c r="I657" s="630">
        <f t="shared" si="153"/>
        <v>-91231.39</v>
      </c>
      <c r="J657" s="630">
        <f t="shared" si="154"/>
        <v>0</v>
      </c>
      <c r="K657" s="630">
        <f t="shared" si="155"/>
        <v>0</v>
      </c>
      <c r="L657" s="631">
        <f t="shared" si="156"/>
        <v>0</v>
      </c>
      <c r="M657" s="631">
        <f t="shared" si="157"/>
        <v>0</v>
      </c>
      <c r="N657" s="631">
        <f t="shared" si="158"/>
        <v>-91231.39</v>
      </c>
      <c r="O657" s="660">
        <f t="shared" si="159"/>
        <v>0</v>
      </c>
    </row>
    <row r="658" spans="1:15">
      <c r="A658" s="2015">
        <v>254</v>
      </c>
      <c r="B658" s="675">
        <v>25400311</v>
      </c>
      <c r="C658" s="675" t="s">
        <v>968</v>
      </c>
      <c r="D658" s="652" t="s">
        <v>1543</v>
      </c>
      <c r="E658" s="675" t="s">
        <v>968</v>
      </c>
      <c r="F658" s="2007" t="s">
        <v>390</v>
      </c>
      <c r="G658" s="2006">
        <v>96601.76</v>
      </c>
      <c r="H658" s="2006">
        <v>100578.07</v>
      </c>
      <c r="I658" s="630">
        <f t="shared" si="153"/>
        <v>0</v>
      </c>
      <c r="J658" s="630">
        <f t="shared" si="154"/>
        <v>0</v>
      </c>
      <c r="K658" s="630">
        <f t="shared" si="155"/>
        <v>96601.76</v>
      </c>
      <c r="L658" s="631">
        <f t="shared" si="156"/>
        <v>0</v>
      </c>
      <c r="M658" s="631">
        <f t="shared" si="157"/>
        <v>0</v>
      </c>
      <c r="N658" s="631">
        <f t="shared" si="158"/>
        <v>96601.76</v>
      </c>
      <c r="O658" s="660">
        <f t="shared" si="159"/>
        <v>0</v>
      </c>
    </row>
    <row r="659" spans="1:15">
      <c r="A659" s="2015">
        <v>254</v>
      </c>
      <c r="B659" s="675">
        <v>25400321</v>
      </c>
      <c r="C659" s="675" t="s">
        <v>968</v>
      </c>
      <c r="D659" s="652" t="s">
        <v>1544</v>
      </c>
      <c r="E659" s="675" t="s">
        <v>968</v>
      </c>
      <c r="F659" s="2007" t="s">
        <v>390</v>
      </c>
      <c r="G659" s="2006">
        <v>0</v>
      </c>
      <c r="H659" s="2006">
        <v>0</v>
      </c>
      <c r="I659" s="630">
        <f t="shared" si="153"/>
        <v>0</v>
      </c>
      <c r="J659" s="630">
        <f t="shared" si="154"/>
        <v>0</v>
      </c>
      <c r="K659" s="630">
        <f t="shared" si="155"/>
        <v>0</v>
      </c>
      <c r="L659" s="631">
        <f t="shared" si="156"/>
        <v>0</v>
      </c>
      <c r="M659" s="631">
        <f t="shared" si="157"/>
        <v>0</v>
      </c>
      <c r="N659" s="631">
        <f t="shared" si="158"/>
        <v>0</v>
      </c>
      <c r="O659" s="660">
        <f t="shared" si="159"/>
        <v>0</v>
      </c>
    </row>
    <row r="660" spans="1:15">
      <c r="A660" s="2015">
        <v>254</v>
      </c>
      <c r="B660" s="675">
        <v>25400331</v>
      </c>
      <c r="C660" s="675" t="s">
        <v>968</v>
      </c>
      <c r="D660" s="652" t="s">
        <v>1545</v>
      </c>
      <c r="E660" s="675" t="s">
        <v>968</v>
      </c>
      <c r="F660" s="2007" t="s">
        <v>390</v>
      </c>
      <c r="G660" s="2006">
        <v>0</v>
      </c>
      <c r="H660" s="2006">
        <v>172975.76</v>
      </c>
      <c r="I660" s="630">
        <f t="shared" si="153"/>
        <v>0</v>
      </c>
      <c r="J660" s="630">
        <f t="shared" si="154"/>
        <v>0</v>
      </c>
      <c r="K660" s="630">
        <f t="shared" si="155"/>
        <v>0</v>
      </c>
      <c r="L660" s="631">
        <f t="shared" si="156"/>
        <v>0</v>
      </c>
      <c r="M660" s="631">
        <f t="shared" si="157"/>
        <v>0</v>
      </c>
      <c r="N660" s="631">
        <f t="shared" si="158"/>
        <v>0</v>
      </c>
      <c r="O660" s="660">
        <f t="shared" si="159"/>
        <v>0</v>
      </c>
    </row>
    <row r="661" spans="1:15">
      <c r="A661" s="2015">
        <v>254</v>
      </c>
      <c r="B661" s="675">
        <v>25400341</v>
      </c>
      <c r="C661" s="675" t="s">
        <v>968</v>
      </c>
      <c r="D661" s="652" t="s">
        <v>1546</v>
      </c>
      <c r="E661" s="675" t="s">
        <v>968</v>
      </c>
      <c r="F661" s="2007" t="s">
        <v>390</v>
      </c>
      <c r="G661" s="2006">
        <v>-18451701.73</v>
      </c>
      <c r="H661" s="2006">
        <v>-18098229.969999999</v>
      </c>
      <c r="I661" s="630">
        <f t="shared" si="153"/>
        <v>0</v>
      </c>
      <c r="J661" s="630">
        <f t="shared" si="154"/>
        <v>0</v>
      </c>
      <c r="K661" s="630">
        <f t="shared" si="155"/>
        <v>-18451701.73</v>
      </c>
      <c r="L661" s="631">
        <f t="shared" si="156"/>
        <v>0</v>
      </c>
      <c r="M661" s="631">
        <f t="shared" si="157"/>
        <v>0</v>
      </c>
      <c r="N661" s="631">
        <f t="shared" si="158"/>
        <v>-18451701.73</v>
      </c>
      <c r="O661" s="660">
        <f t="shared" si="159"/>
        <v>0</v>
      </c>
    </row>
    <row r="662" spans="1:15">
      <c r="A662" s="2015">
        <v>254</v>
      </c>
      <c r="B662" s="675">
        <v>25400342</v>
      </c>
      <c r="C662" s="675" t="s">
        <v>968</v>
      </c>
      <c r="D662" s="652" t="s">
        <v>1547</v>
      </c>
      <c r="E662" s="675" t="s">
        <v>968</v>
      </c>
      <c r="F662" s="2007" t="s">
        <v>988</v>
      </c>
      <c r="G662" s="2006">
        <v>0</v>
      </c>
      <c r="H662" s="2006">
        <v>0</v>
      </c>
      <c r="I662" s="630">
        <f t="shared" si="153"/>
        <v>0</v>
      </c>
      <c r="J662" s="630">
        <f t="shared" si="154"/>
        <v>0</v>
      </c>
      <c r="K662" s="630">
        <f t="shared" si="155"/>
        <v>0</v>
      </c>
      <c r="L662" s="631">
        <f t="shared" si="156"/>
        <v>0</v>
      </c>
      <c r="M662" s="631">
        <f t="shared" si="157"/>
        <v>0</v>
      </c>
      <c r="N662" s="631">
        <f t="shared" si="158"/>
        <v>0</v>
      </c>
      <c r="O662" s="660">
        <f t="shared" si="159"/>
        <v>0</v>
      </c>
    </row>
    <row r="663" spans="1:15">
      <c r="A663" s="2015">
        <v>254</v>
      </c>
      <c r="B663" s="675">
        <v>25400351</v>
      </c>
      <c r="C663" s="675" t="s">
        <v>968</v>
      </c>
      <c r="D663" s="652" t="s">
        <v>1548</v>
      </c>
      <c r="E663" s="675" t="s">
        <v>968</v>
      </c>
      <c r="F663" s="2007" t="s">
        <v>390</v>
      </c>
      <c r="G663" s="2006">
        <v>0</v>
      </c>
      <c r="H663" s="2006">
        <v>0</v>
      </c>
      <c r="I663" s="630">
        <f t="shared" si="153"/>
        <v>0</v>
      </c>
      <c r="J663" s="630">
        <f t="shared" si="154"/>
        <v>0</v>
      </c>
      <c r="K663" s="630">
        <f t="shared" si="155"/>
        <v>0</v>
      </c>
      <c r="L663" s="631">
        <f t="shared" si="156"/>
        <v>0</v>
      </c>
      <c r="M663" s="631">
        <f t="shared" si="157"/>
        <v>0</v>
      </c>
      <c r="N663" s="631">
        <f t="shared" si="158"/>
        <v>0</v>
      </c>
      <c r="O663" s="660">
        <f t="shared" si="159"/>
        <v>0</v>
      </c>
    </row>
    <row r="664" spans="1:15">
      <c r="A664" s="2015">
        <v>254</v>
      </c>
      <c r="B664" s="675">
        <v>25400352</v>
      </c>
      <c r="C664" s="675" t="s">
        <v>968</v>
      </c>
      <c r="D664" s="652" t="s">
        <v>1549</v>
      </c>
      <c r="E664" s="675" t="s">
        <v>968</v>
      </c>
      <c r="F664" s="2007" t="s">
        <v>988</v>
      </c>
      <c r="G664" s="2006">
        <v>0</v>
      </c>
      <c r="H664" s="2006">
        <v>0</v>
      </c>
      <c r="I664" s="630">
        <f t="shared" si="153"/>
        <v>0</v>
      </c>
      <c r="J664" s="630">
        <f t="shared" si="154"/>
        <v>0</v>
      </c>
      <c r="K664" s="630">
        <f t="shared" si="155"/>
        <v>0</v>
      </c>
      <c r="L664" s="631">
        <f t="shared" si="156"/>
        <v>0</v>
      </c>
      <c r="M664" s="631">
        <f t="shared" si="157"/>
        <v>0</v>
      </c>
      <c r="N664" s="631">
        <f t="shared" si="158"/>
        <v>0</v>
      </c>
      <c r="O664" s="660">
        <f t="shared" si="159"/>
        <v>0</v>
      </c>
    </row>
    <row r="665" spans="1:15">
      <c r="A665" s="2015">
        <v>254</v>
      </c>
      <c r="B665" s="675">
        <v>25400361</v>
      </c>
      <c r="C665" s="675" t="s">
        <v>968</v>
      </c>
      <c r="D665" s="652" t="s">
        <v>1550</v>
      </c>
      <c r="E665" s="675" t="s">
        <v>968</v>
      </c>
      <c r="F665" s="2007" t="s">
        <v>390</v>
      </c>
      <c r="G665" s="2006">
        <v>-1914677.57</v>
      </c>
      <c r="H665" s="2006">
        <v>-734788.44</v>
      </c>
      <c r="I665" s="630">
        <f t="shared" si="153"/>
        <v>0</v>
      </c>
      <c r="J665" s="630">
        <f t="shared" si="154"/>
        <v>0</v>
      </c>
      <c r="K665" s="630">
        <f t="shared" si="155"/>
        <v>-1914677.57</v>
      </c>
      <c r="L665" s="631">
        <f t="shared" si="156"/>
        <v>0</v>
      </c>
      <c r="M665" s="631">
        <f t="shared" si="157"/>
        <v>0</v>
      </c>
      <c r="N665" s="631">
        <f t="shared" si="158"/>
        <v>-1914677.57</v>
      </c>
      <c r="O665" s="660">
        <f t="shared" si="159"/>
        <v>0</v>
      </c>
    </row>
    <row r="666" spans="1:15">
      <c r="A666" s="2015">
        <v>254</v>
      </c>
      <c r="B666" s="675">
        <v>25400362</v>
      </c>
      <c r="C666" s="675" t="s">
        <v>968</v>
      </c>
      <c r="D666" s="652" t="s">
        <v>1551</v>
      </c>
      <c r="E666" s="675" t="s">
        <v>968</v>
      </c>
      <c r="F666" s="2007" t="s">
        <v>988</v>
      </c>
      <c r="G666" s="2006">
        <v>0</v>
      </c>
      <c r="H666" s="2006">
        <v>0</v>
      </c>
      <c r="I666" s="630">
        <f t="shared" si="153"/>
        <v>0</v>
      </c>
      <c r="J666" s="630">
        <f t="shared" si="154"/>
        <v>0</v>
      </c>
      <c r="K666" s="630">
        <f t="shared" si="155"/>
        <v>0</v>
      </c>
      <c r="L666" s="631">
        <f t="shared" si="156"/>
        <v>0</v>
      </c>
      <c r="M666" s="631">
        <f t="shared" si="157"/>
        <v>0</v>
      </c>
      <c r="N666" s="631">
        <f t="shared" si="158"/>
        <v>0</v>
      </c>
      <c r="O666" s="660">
        <f t="shared" si="159"/>
        <v>0</v>
      </c>
    </row>
    <row r="667" spans="1:15">
      <c r="A667" s="2015">
        <v>254</v>
      </c>
      <c r="B667" s="675">
        <v>25400371</v>
      </c>
      <c r="C667" s="675" t="s">
        <v>968</v>
      </c>
      <c r="D667" s="652" t="s">
        <v>1552</v>
      </c>
      <c r="E667" s="675" t="s">
        <v>968</v>
      </c>
      <c r="F667" s="2007" t="s">
        <v>390</v>
      </c>
      <c r="G667" s="2006">
        <v>0</v>
      </c>
      <c r="H667" s="2006">
        <v>0</v>
      </c>
      <c r="I667" s="630">
        <f t="shared" si="153"/>
        <v>0</v>
      </c>
      <c r="J667" s="630">
        <f t="shared" si="154"/>
        <v>0</v>
      </c>
      <c r="K667" s="630">
        <f t="shared" si="155"/>
        <v>0</v>
      </c>
      <c r="L667" s="631">
        <f t="shared" si="156"/>
        <v>0</v>
      </c>
      <c r="M667" s="631">
        <f t="shared" si="157"/>
        <v>0</v>
      </c>
      <c r="N667" s="631">
        <f t="shared" si="158"/>
        <v>0</v>
      </c>
      <c r="O667" s="660">
        <f t="shared" si="159"/>
        <v>0</v>
      </c>
    </row>
    <row r="668" spans="1:15">
      <c r="A668" s="2015">
        <v>254</v>
      </c>
      <c r="B668" s="675">
        <v>25400381</v>
      </c>
      <c r="C668" s="675" t="s">
        <v>968</v>
      </c>
      <c r="D668" s="652" t="s">
        <v>1553</v>
      </c>
      <c r="E668" s="675" t="s">
        <v>968</v>
      </c>
      <c r="F668" s="2007" t="s">
        <v>390</v>
      </c>
      <c r="G668" s="2006">
        <v>-1582763.17</v>
      </c>
      <c r="H668" s="2006">
        <v>0</v>
      </c>
      <c r="I668" s="630">
        <f t="shared" si="153"/>
        <v>0</v>
      </c>
      <c r="J668" s="630">
        <f t="shared" si="154"/>
        <v>0</v>
      </c>
      <c r="K668" s="630">
        <f t="shared" si="155"/>
        <v>-1582763.17</v>
      </c>
      <c r="L668" s="631">
        <f t="shared" si="156"/>
        <v>0</v>
      </c>
      <c r="M668" s="631">
        <f t="shared" si="157"/>
        <v>0</v>
      </c>
      <c r="N668" s="631">
        <f t="shared" si="158"/>
        <v>-1582763.17</v>
      </c>
      <c r="O668" s="660">
        <f t="shared" si="159"/>
        <v>0</v>
      </c>
    </row>
    <row r="669" spans="1:15">
      <c r="A669" s="2015">
        <v>254</v>
      </c>
      <c r="B669" s="675">
        <v>25400391</v>
      </c>
      <c r="C669" s="675" t="s">
        <v>968</v>
      </c>
      <c r="D669" s="652" t="s">
        <v>1554</v>
      </c>
      <c r="E669" s="675" t="s">
        <v>968</v>
      </c>
      <c r="F669" s="2007" t="s">
        <v>390</v>
      </c>
      <c r="G669" s="2006">
        <v>-2522133.27</v>
      </c>
      <c r="H669" s="2006">
        <v>0</v>
      </c>
      <c r="I669" s="630">
        <f t="shared" si="153"/>
        <v>0</v>
      </c>
      <c r="J669" s="630">
        <f t="shared" si="154"/>
        <v>0</v>
      </c>
      <c r="K669" s="630">
        <f t="shared" si="155"/>
        <v>-2522133.27</v>
      </c>
      <c r="L669" s="631">
        <f t="shared" si="156"/>
        <v>0</v>
      </c>
      <c r="M669" s="631">
        <f t="shared" si="157"/>
        <v>0</v>
      </c>
      <c r="N669" s="631">
        <f t="shared" si="158"/>
        <v>-2522133.27</v>
      </c>
      <c r="O669" s="660">
        <f t="shared" si="159"/>
        <v>0</v>
      </c>
    </row>
    <row r="670" spans="1:15">
      <c r="A670" s="2015">
        <v>254</v>
      </c>
      <c r="B670" s="675">
        <v>25400392</v>
      </c>
      <c r="C670" s="675" t="s">
        <v>968</v>
      </c>
      <c r="D670" s="652" t="s">
        <v>1555</v>
      </c>
      <c r="E670" s="675" t="s">
        <v>968</v>
      </c>
      <c r="F670" s="2007" t="s">
        <v>988</v>
      </c>
      <c r="G670" s="2006">
        <v>0</v>
      </c>
      <c r="H670" s="2006">
        <v>0</v>
      </c>
      <c r="I670" s="630">
        <f t="shared" si="153"/>
        <v>0</v>
      </c>
      <c r="J670" s="630">
        <f t="shared" si="154"/>
        <v>0</v>
      </c>
      <c r="K670" s="630">
        <f t="shared" si="155"/>
        <v>0</v>
      </c>
      <c r="L670" s="631">
        <f t="shared" si="156"/>
        <v>0</v>
      </c>
      <c r="M670" s="631">
        <f t="shared" si="157"/>
        <v>0</v>
      </c>
      <c r="N670" s="631">
        <f t="shared" si="158"/>
        <v>0</v>
      </c>
      <c r="O670" s="660">
        <f t="shared" si="159"/>
        <v>0</v>
      </c>
    </row>
    <row r="671" spans="1:15">
      <c r="A671" s="2015">
        <v>254</v>
      </c>
      <c r="B671" s="675">
        <v>25400411</v>
      </c>
      <c r="C671" s="675" t="s">
        <v>968</v>
      </c>
      <c r="D671" s="652" t="s">
        <v>1556</v>
      </c>
      <c r="E671" s="675" t="s">
        <v>968</v>
      </c>
      <c r="F671" s="2007" t="s">
        <v>390</v>
      </c>
      <c r="G671" s="2006">
        <v>-6224703.25</v>
      </c>
      <c r="H671" s="2006">
        <v>-4522596.96</v>
      </c>
      <c r="I671" s="630">
        <f t="shared" ref="I671:I702" si="160">IF(RIGHT($B671,1)="1", $G671*VLOOKUP($F671, Ratio, 2, FALSE), IF(RIGHT($B671,1)="3", $G671*VLOOKUP($F671, Ratio, 2, FALSE)*$F$5, 0))</f>
        <v>0</v>
      </c>
      <c r="J671" s="630">
        <f t="shared" ref="J671:J702" si="161">IF(RIGHT($B671,1)="1", $G671*VLOOKUP($F671, Ratio, 3, FALSE), IF(RIGHT($B671,1)="3", $G671*VLOOKUP($F671, Ratio, 3, FALSE)*$F$5, 0))</f>
        <v>0</v>
      </c>
      <c r="K671" s="630">
        <f t="shared" ref="K671:K702" si="162">IF(RIGHT($B671,1)="1", $G671*VLOOKUP($F671, Ratio, 4, FALSE), IF(RIGHT($B671,1)="3", $G671*VLOOKUP($F671, Ratio, 4, FALSE)*$F$5, 0))</f>
        <v>-6224703.25</v>
      </c>
      <c r="L671" s="631">
        <f t="shared" ref="L671:L702" si="163">IF(F671="GAS", G671, 0)</f>
        <v>0</v>
      </c>
      <c r="M671" s="631">
        <f t="shared" ref="M671:M702" si="164">IF(RIGHT(B671,1)="3",G671*$G$5,0)</f>
        <v>0</v>
      </c>
      <c r="N671" s="631">
        <f t="shared" ref="N671:N702" si="165">SUM(I671:M671)</f>
        <v>-6224703.25</v>
      </c>
      <c r="O671" s="660">
        <f t="shared" ref="O671:O702" si="166">G671-N671</f>
        <v>0</v>
      </c>
    </row>
    <row r="672" spans="1:15">
      <c r="A672" s="2015">
        <v>254</v>
      </c>
      <c r="B672" s="675">
        <v>25400412</v>
      </c>
      <c r="C672" s="675" t="s">
        <v>968</v>
      </c>
      <c r="D672" s="652" t="s">
        <v>1557</v>
      </c>
      <c r="E672" s="675" t="s">
        <v>968</v>
      </c>
      <c r="F672" s="2007" t="s">
        <v>988</v>
      </c>
      <c r="G672" s="2006">
        <v>0</v>
      </c>
      <c r="H672" s="2006">
        <v>0</v>
      </c>
      <c r="I672" s="630">
        <f t="shared" si="160"/>
        <v>0</v>
      </c>
      <c r="J672" s="630">
        <f t="shared" si="161"/>
        <v>0</v>
      </c>
      <c r="K672" s="630">
        <f t="shared" si="162"/>
        <v>0</v>
      </c>
      <c r="L672" s="631">
        <f t="shared" si="163"/>
        <v>0</v>
      </c>
      <c r="M672" s="631">
        <f t="shared" si="164"/>
        <v>0</v>
      </c>
      <c r="N672" s="631">
        <f t="shared" si="165"/>
        <v>0</v>
      </c>
      <c r="O672" s="660">
        <f t="shared" si="166"/>
        <v>0</v>
      </c>
    </row>
    <row r="673" spans="1:15">
      <c r="A673" s="2015">
        <v>254</v>
      </c>
      <c r="B673" s="675">
        <v>25400421</v>
      </c>
      <c r="C673" s="675" t="s">
        <v>968</v>
      </c>
      <c r="D673" s="652" t="s">
        <v>1558</v>
      </c>
      <c r="E673" s="675" t="s">
        <v>968</v>
      </c>
      <c r="F673" s="2007" t="s">
        <v>390</v>
      </c>
      <c r="G673" s="2006">
        <v>0</v>
      </c>
      <c r="H673" s="2006">
        <v>0</v>
      </c>
      <c r="I673" s="630">
        <f t="shared" si="160"/>
        <v>0</v>
      </c>
      <c r="J673" s="630">
        <f t="shared" si="161"/>
        <v>0</v>
      </c>
      <c r="K673" s="630">
        <f t="shared" si="162"/>
        <v>0</v>
      </c>
      <c r="L673" s="631">
        <f t="shared" si="163"/>
        <v>0</v>
      </c>
      <c r="M673" s="631">
        <f t="shared" si="164"/>
        <v>0</v>
      </c>
      <c r="N673" s="631">
        <f t="shared" si="165"/>
        <v>0</v>
      </c>
      <c r="O673" s="660">
        <f t="shared" si="166"/>
        <v>0</v>
      </c>
    </row>
    <row r="674" spans="1:15">
      <c r="A674" s="2015">
        <v>254</v>
      </c>
      <c r="B674" s="675">
        <v>25400431</v>
      </c>
      <c r="C674" s="675" t="s">
        <v>968</v>
      </c>
      <c r="D674" s="652" t="s">
        <v>1559</v>
      </c>
      <c r="E674" s="675" t="s">
        <v>968</v>
      </c>
      <c r="F674" s="2007" t="s">
        <v>392</v>
      </c>
      <c r="G674" s="2006">
        <v>0</v>
      </c>
      <c r="H674" s="2006">
        <v>0</v>
      </c>
      <c r="I674" s="630">
        <f t="shared" si="160"/>
        <v>0</v>
      </c>
      <c r="J674" s="630">
        <f t="shared" si="161"/>
        <v>0</v>
      </c>
      <c r="K674" s="630">
        <f t="shared" si="162"/>
        <v>0</v>
      </c>
      <c r="L674" s="631">
        <f t="shared" si="163"/>
        <v>0</v>
      </c>
      <c r="M674" s="631">
        <f t="shared" si="164"/>
        <v>0</v>
      </c>
      <c r="N674" s="631">
        <f t="shared" si="165"/>
        <v>0</v>
      </c>
      <c r="O674" s="660">
        <f t="shared" si="166"/>
        <v>0</v>
      </c>
    </row>
    <row r="675" spans="1:15">
      <c r="A675" s="2015">
        <v>254</v>
      </c>
      <c r="B675" s="675">
        <v>25400441</v>
      </c>
      <c r="C675" s="675" t="s">
        <v>968</v>
      </c>
      <c r="D675" s="652" t="s">
        <v>1560</v>
      </c>
      <c r="E675" s="675" t="s">
        <v>968</v>
      </c>
      <c r="F675" s="2007" t="s">
        <v>392</v>
      </c>
      <c r="G675" s="2006">
        <v>0</v>
      </c>
      <c r="H675" s="2006">
        <v>0</v>
      </c>
      <c r="I675" s="630">
        <f t="shared" si="160"/>
        <v>0</v>
      </c>
      <c r="J675" s="630">
        <f t="shared" si="161"/>
        <v>0</v>
      </c>
      <c r="K675" s="630">
        <f t="shared" si="162"/>
        <v>0</v>
      </c>
      <c r="L675" s="631">
        <f t="shared" si="163"/>
        <v>0</v>
      </c>
      <c r="M675" s="631">
        <f t="shared" si="164"/>
        <v>0</v>
      </c>
      <c r="N675" s="631">
        <f t="shared" si="165"/>
        <v>0</v>
      </c>
      <c r="O675" s="660">
        <f t="shared" si="166"/>
        <v>0</v>
      </c>
    </row>
    <row r="676" spans="1:15">
      <c r="A676" s="2015">
        <v>254</v>
      </c>
      <c r="B676" s="675">
        <v>25400451</v>
      </c>
      <c r="C676" s="675" t="s">
        <v>968</v>
      </c>
      <c r="D676" s="652" t="s">
        <v>1561</v>
      </c>
      <c r="E676" s="675" t="s">
        <v>968</v>
      </c>
      <c r="F676" s="2007" t="s">
        <v>390</v>
      </c>
      <c r="G676" s="2006">
        <v>0</v>
      </c>
      <c r="H676" s="2006">
        <v>0</v>
      </c>
      <c r="I676" s="630">
        <f t="shared" si="160"/>
        <v>0</v>
      </c>
      <c r="J676" s="630">
        <f t="shared" si="161"/>
        <v>0</v>
      </c>
      <c r="K676" s="630">
        <f t="shared" si="162"/>
        <v>0</v>
      </c>
      <c r="L676" s="631">
        <f t="shared" si="163"/>
        <v>0</v>
      </c>
      <c r="M676" s="631">
        <f t="shared" si="164"/>
        <v>0</v>
      </c>
      <c r="N676" s="631">
        <f t="shared" si="165"/>
        <v>0</v>
      </c>
      <c r="O676" s="660">
        <f t="shared" si="166"/>
        <v>0</v>
      </c>
    </row>
    <row r="677" spans="1:15">
      <c r="A677" s="2015">
        <v>254</v>
      </c>
      <c r="B677" s="675">
        <v>25400461</v>
      </c>
      <c r="C677" s="675" t="s">
        <v>968</v>
      </c>
      <c r="D677" s="652" t="s">
        <v>1562</v>
      </c>
      <c r="E677" s="675" t="s">
        <v>968</v>
      </c>
      <c r="F677" s="2007" t="s">
        <v>390</v>
      </c>
      <c r="G677" s="2006">
        <v>0</v>
      </c>
      <c r="H677" s="2006">
        <v>0</v>
      </c>
      <c r="I677" s="630">
        <f t="shared" si="160"/>
        <v>0</v>
      </c>
      <c r="J677" s="630">
        <f t="shared" si="161"/>
        <v>0</v>
      </c>
      <c r="K677" s="630">
        <f t="shared" si="162"/>
        <v>0</v>
      </c>
      <c r="L677" s="631">
        <f t="shared" si="163"/>
        <v>0</v>
      </c>
      <c r="M677" s="631">
        <f t="shared" si="164"/>
        <v>0</v>
      </c>
      <c r="N677" s="631">
        <f t="shared" si="165"/>
        <v>0</v>
      </c>
      <c r="O677" s="660">
        <f t="shared" si="166"/>
        <v>0</v>
      </c>
    </row>
    <row r="678" spans="1:15">
      <c r="A678" s="2015">
        <v>254</v>
      </c>
      <c r="B678" s="675">
        <v>25400471</v>
      </c>
      <c r="C678" s="675" t="s">
        <v>968</v>
      </c>
      <c r="D678" s="652" t="s">
        <v>1563</v>
      </c>
      <c r="E678" s="675" t="s">
        <v>968</v>
      </c>
      <c r="F678" s="2007" t="s">
        <v>390</v>
      </c>
      <c r="G678" s="2006">
        <v>0</v>
      </c>
      <c r="H678" s="2006">
        <v>0</v>
      </c>
      <c r="I678" s="630">
        <f t="shared" si="160"/>
        <v>0</v>
      </c>
      <c r="J678" s="630">
        <f t="shared" si="161"/>
        <v>0</v>
      </c>
      <c r="K678" s="630">
        <f t="shared" si="162"/>
        <v>0</v>
      </c>
      <c r="L678" s="631">
        <f t="shared" si="163"/>
        <v>0</v>
      </c>
      <c r="M678" s="631">
        <f t="shared" si="164"/>
        <v>0</v>
      </c>
      <c r="N678" s="631">
        <f t="shared" si="165"/>
        <v>0</v>
      </c>
      <c r="O678" s="660">
        <f t="shared" si="166"/>
        <v>0</v>
      </c>
    </row>
    <row r="679" spans="1:15">
      <c r="A679" s="2015">
        <v>254</v>
      </c>
      <c r="B679" s="675">
        <v>25400481</v>
      </c>
      <c r="C679" s="675" t="s">
        <v>968</v>
      </c>
      <c r="D679" s="652" t="s">
        <v>1564</v>
      </c>
      <c r="E679" s="675" t="s">
        <v>968</v>
      </c>
      <c r="F679" s="2007" t="s">
        <v>390</v>
      </c>
      <c r="G679" s="2006">
        <v>0</v>
      </c>
      <c r="H679" s="2006">
        <v>0</v>
      </c>
      <c r="I679" s="630">
        <f t="shared" si="160"/>
        <v>0</v>
      </c>
      <c r="J679" s="630">
        <f t="shared" si="161"/>
        <v>0</v>
      </c>
      <c r="K679" s="630">
        <f t="shared" si="162"/>
        <v>0</v>
      </c>
      <c r="L679" s="631">
        <f t="shared" si="163"/>
        <v>0</v>
      </c>
      <c r="M679" s="631">
        <f t="shared" si="164"/>
        <v>0</v>
      </c>
      <c r="N679" s="631">
        <f t="shared" si="165"/>
        <v>0</v>
      </c>
      <c r="O679" s="660">
        <f t="shared" si="166"/>
        <v>0</v>
      </c>
    </row>
    <row r="680" spans="1:15">
      <c r="A680" s="2015">
        <v>254</v>
      </c>
      <c r="B680" s="675">
        <v>25400491</v>
      </c>
      <c r="C680" s="675" t="s">
        <v>968</v>
      </c>
      <c r="D680" s="652" t="s">
        <v>1565</v>
      </c>
      <c r="E680" s="675" t="s">
        <v>968</v>
      </c>
      <c r="F680" s="2007" t="s">
        <v>390</v>
      </c>
      <c r="G680" s="2006">
        <v>0</v>
      </c>
      <c r="H680" s="2006">
        <v>0</v>
      </c>
      <c r="I680" s="630">
        <f t="shared" si="160"/>
        <v>0</v>
      </c>
      <c r="J680" s="630">
        <f t="shared" si="161"/>
        <v>0</v>
      </c>
      <c r="K680" s="630">
        <f t="shared" si="162"/>
        <v>0</v>
      </c>
      <c r="L680" s="631">
        <f t="shared" si="163"/>
        <v>0</v>
      </c>
      <c r="M680" s="631">
        <f t="shared" si="164"/>
        <v>0</v>
      </c>
      <c r="N680" s="631">
        <f t="shared" si="165"/>
        <v>0</v>
      </c>
      <c r="O680" s="660">
        <f t="shared" si="166"/>
        <v>0</v>
      </c>
    </row>
    <row r="681" spans="1:15">
      <c r="A681" s="2015">
        <v>254</v>
      </c>
      <c r="B681" s="675">
        <v>25400501</v>
      </c>
      <c r="C681" s="675" t="s">
        <v>968</v>
      </c>
      <c r="D681" s="652" t="s">
        <v>1566</v>
      </c>
      <c r="E681" s="675" t="s">
        <v>968</v>
      </c>
      <c r="F681" s="2007" t="s">
        <v>390</v>
      </c>
      <c r="G681" s="2006">
        <v>0</v>
      </c>
      <c r="H681" s="2006">
        <v>0</v>
      </c>
      <c r="I681" s="630">
        <f t="shared" si="160"/>
        <v>0</v>
      </c>
      <c r="J681" s="630">
        <f t="shared" si="161"/>
        <v>0</v>
      </c>
      <c r="K681" s="630">
        <f t="shared" si="162"/>
        <v>0</v>
      </c>
      <c r="L681" s="631">
        <f t="shared" si="163"/>
        <v>0</v>
      </c>
      <c r="M681" s="631">
        <f t="shared" si="164"/>
        <v>0</v>
      </c>
      <c r="N681" s="631">
        <f t="shared" si="165"/>
        <v>0</v>
      </c>
      <c r="O681" s="660">
        <f t="shared" si="166"/>
        <v>0</v>
      </c>
    </row>
    <row r="682" spans="1:15">
      <c r="A682" s="2015">
        <v>254</v>
      </c>
      <c r="B682" s="675">
        <v>25400511</v>
      </c>
      <c r="C682" s="675" t="s">
        <v>968</v>
      </c>
      <c r="D682" s="652" t="s">
        <v>1567</v>
      </c>
      <c r="E682" s="675" t="s">
        <v>968</v>
      </c>
      <c r="F682" s="2007" t="s">
        <v>390</v>
      </c>
      <c r="G682" s="2006">
        <v>0</v>
      </c>
      <c r="H682" s="2006">
        <v>0</v>
      </c>
      <c r="I682" s="630">
        <f t="shared" si="160"/>
        <v>0</v>
      </c>
      <c r="J682" s="630">
        <f t="shared" si="161"/>
        <v>0</v>
      </c>
      <c r="K682" s="630">
        <f t="shared" si="162"/>
        <v>0</v>
      </c>
      <c r="L682" s="631">
        <f t="shared" si="163"/>
        <v>0</v>
      </c>
      <c r="M682" s="631">
        <f t="shared" si="164"/>
        <v>0</v>
      </c>
      <c r="N682" s="631">
        <f t="shared" si="165"/>
        <v>0</v>
      </c>
      <c r="O682" s="660">
        <f t="shared" si="166"/>
        <v>0</v>
      </c>
    </row>
    <row r="683" spans="1:15">
      <c r="A683" s="2015">
        <v>254</v>
      </c>
      <c r="B683" s="675">
        <v>25400521</v>
      </c>
      <c r="C683" s="675" t="s">
        <v>968</v>
      </c>
      <c r="D683" s="652" t="s">
        <v>1568</v>
      </c>
      <c r="E683" s="675" t="s">
        <v>968</v>
      </c>
      <c r="F683" s="2007" t="s">
        <v>390</v>
      </c>
      <c r="G683" s="2006">
        <v>0</v>
      </c>
      <c r="H683" s="2006">
        <v>0</v>
      </c>
      <c r="I683" s="630">
        <f t="shared" si="160"/>
        <v>0</v>
      </c>
      <c r="J683" s="630">
        <f t="shared" si="161"/>
        <v>0</v>
      </c>
      <c r="K683" s="630">
        <f t="shared" si="162"/>
        <v>0</v>
      </c>
      <c r="L683" s="631">
        <f t="shared" si="163"/>
        <v>0</v>
      </c>
      <c r="M683" s="631">
        <f t="shared" si="164"/>
        <v>0</v>
      </c>
      <c r="N683" s="631">
        <f t="shared" si="165"/>
        <v>0</v>
      </c>
      <c r="O683" s="660">
        <f t="shared" si="166"/>
        <v>0</v>
      </c>
    </row>
    <row r="684" spans="1:15">
      <c r="A684" s="2015">
        <v>254</v>
      </c>
      <c r="B684" s="675">
        <v>25400531</v>
      </c>
      <c r="C684" s="675" t="s">
        <v>968</v>
      </c>
      <c r="D684" s="652" t="s">
        <v>1569</v>
      </c>
      <c r="E684" s="675" t="s">
        <v>968</v>
      </c>
      <c r="F684" s="2007" t="s">
        <v>390</v>
      </c>
      <c r="G684" s="2006">
        <v>0</v>
      </c>
      <c r="H684" s="2006">
        <v>0</v>
      </c>
      <c r="I684" s="630">
        <f t="shared" si="160"/>
        <v>0</v>
      </c>
      <c r="J684" s="630">
        <f t="shared" si="161"/>
        <v>0</v>
      </c>
      <c r="K684" s="630">
        <f t="shared" si="162"/>
        <v>0</v>
      </c>
      <c r="L684" s="631">
        <f t="shared" si="163"/>
        <v>0</v>
      </c>
      <c r="M684" s="631">
        <f t="shared" si="164"/>
        <v>0</v>
      </c>
      <c r="N684" s="631">
        <f t="shared" si="165"/>
        <v>0</v>
      </c>
      <c r="O684" s="660">
        <f t="shared" si="166"/>
        <v>0</v>
      </c>
    </row>
    <row r="685" spans="1:15">
      <c r="A685" s="2015">
        <v>254</v>
      </c>
      <c r="B685" s="675">
        <v>25400532</v>
      </c>
      <c r="C685" s="675" t="s">
        <v>968</v>
      </c>
      <c r="D685" s="652" t="s">
        <v>1570</v>
      </c>
      <c r="E685" s="675" t="s">
        <v>968</v>
      </c>
      <c r="F685" s="2007" t="s">
        <v>988</v>
      </c>
      <c r="G685" s="2006">
        <v>0</v>
      </c>
      <c r="H685" s="2006">
        <v>0</v>
      </c>
      <c r="I685" s="630">
        <f t="shared" si="160"/>
        <v>0</v>
      </c>
      <c r="J685" s="630">
        <f t="shared" si="161"/>
        <v>0</v>
      </c>
      <c r="K685" s="630">
        <f t="shared" si="162"/>
        <v>0</v>
      </c>
      <c r="L685" s="631">
        <f t="shared" si="163"/>
        <v>0</v>
      </c>
      <c r="M685" s="631">
        <f t="shared" si="164"/>
        <v>0</v>
      </c>
      <c r="N685" s="631">
        <f t="shared" si="165"/>
        <v>0</v>
      </c>
      <c r="O685" s="660">
        <f t="shared" si="166"/>
        <v>0</v>
      </c>
    </row>
    <row r="686" spans="1:15">
      <c r="A686" s="2015">
        <v>254</v>
      </c>
      <c r="B686" s="675">
        <v>25400541</v>
      </c>
      <c r="C686" s="675" t="s">
        <v>968</v>
      </c>
      <c r="D686" s="652" t="s">
        <v>1571</v>
      </c>
      <c r="E686" s="675" t="s">
        <v>968</v>
      </c>
      <c r="F686" s="2007" t="s">
        <v>392</v>
      </c>
      <c r="G686" s="2006">
        <v>0</v>
      </c>
      <c r="H686" s="2006">
        <v>0</v>
      </c>
      <c r="I686" s="630">
        <f t="shared" si="160"/>
        <v>0</v>
      </c>
      <c r="J686" s="630">
        <f t="shared" si="161"/>
        <v>0</v>
      </c>
      <c r="K686" s="630">
        <f t="shared" si="162"/>
        <v>0</v>
      </c>
      <c r="L686" s="631">
        <f t="shared" si="163"/>
        <v>0</v>
      </c>
      <c r="M686" s="631">
        <f t="shared" si="164"/>
        <v>0</v>
      </c>
      <c r="N686" s="631">
        <f t="shared" si="165"/>
        <v>0</v>
      </c>
      <c r="O686" s="660">
        <f t="shared" si="166"/>
        <v>0</v>
      </c>
    </row>
    <row r="687" spans="1:15">
      <c r="A687" s="2015">
        <v>254</v>
      </c>
      <c r="B687" s="675">
        <v>25400601</v>
      </c>
      <c r="C687" s="675" t="s">
        <v>968</v>
      </c>
      <c r="D687" s="652" t="s">
        <v>1572</v>
      </c>
      <c r="E687" s="675" t="s">
        <v>968</v>
      </c>
      <c r="F687" s="2007" t="s">
        <v>390</v>
      </c>
      <c r="G687" s="2006">
        <v>0</v>
      </c>
      <c r="H687" s="2006">
        <v>-673835.12</v>
      </c>
      <c r="I687" s="630">
        <f t="shared" si="160"/>
        <v>0</v>
      </c>
      <c r="J687" s="630">
        <f t="shared" si="161"/>
        <v>0</v>
      </c>
      <c r="K687" s="630">
        <f t="shared" si="162"/>
        <v>0</v>
      </c>
      <c r="L687" s="631">
        <f t="shared" si="163"/>
        <v>0</v>
      </c>
      <c r="M687" s="631">
        <f t="shared" si="164"/>
        <v>0</v>
      </c>
      <c r="N687" s="631">
        <f t="shared" si="165"/>
        <v>0</v>
      </c>
      <c r="O687" s="660">
        <f t="shared" si="166"/>
        <v>0</v>
      </c>
    </row>
    <row r="688" spans="1:15">
      <c r="A688" s="2015">
        <v>254</v>
      </c>
      <c r="B688" s="675">
        <v>25400611</v>
      </c>
      <c r="C688" s="675" t="s">
        <v>968</v>
      </c>
      <c r="D688" s="652" t="s">
        <v>1573</v>
      </c>
      <c r="E688" s="675" t="s">
        <v>968</v>
      </c>
      <c r="F688" s="2007" t="s">
        <v>390</v>
      </c>
      <c r="G688" s="2006">
        <v>-1459497.26</v>
      </c>
      <c r="H688" s="2006">
        <v>0</v>
      </c>
      <c r="I688" s="630">
        <f t="shared" si="160"/>
        <v>0</v>
      </c>
      <c r="J688" s="630">
        <f t="shared" si="161"/>
        <v>0</v>
      </c>
      <c r="K688" s="630">
        <f t="shared" si="162"/>
        <v>-1459497.26</v>
      </c>
      <c r="L688" s="631">
        <f t="shared" si="163"/>
        <v>0</v>
      </c>
      <c r="M688" s="631">
        <f t="shared" si="164"/>
        <v>0</v>
      </c>
      <c r="N688" s="631">
        <f t="shared" si="165"/>
        <v>-1459497.26</v>
      </c>
      <c r="O688" s="660">
        <f t="shared" si="166"/>
        <v>0</v>
      </c>
    </row>
    <row r="689" spans="1:15">
      <c r="A689" s="2015">
        <v>254</v>
      </c>
      <c r="B689" s="675">
        <v>25400621</v>
      </c>
      <c r="C689" s="675" t="s">
        <v>968</v>
      </c>
      <c r="D689" s="652" t="s">
        <v>1574</v>
      </c>
      <c r="E689" s="675" t="s">
        <v>968</v>
      </c>
      <c r="F689" s="2007" t="s">
        <v>390</v>
      </c>
      <c r="G689" s="2006">
        <v>0</v>
      </c>
      <c r="H689" s="2006">
        <v>0</v>
      </c>
      <c r="I689" s="630">
        <f t="shared" si="160"/>
        <v>0</v>
      </c>
      <c r="J689" s="630">
        <f t="shared" si="161"/>
        <v>0</v>
      </c>
      <c r="K689" s="630">
        <f t="shared" si="162"/>
        <v>0</v>
      </c>
      <c r="L689" s="631">
        <f t="shared" si="163"/>
        <v>0</v>
      </c>
      <c r="M689" s="631">
        <f t="shared" si="164"/>
        <v>0</v>
      </c>
      <c r="N689" s="631">
        <f t="shared" si="165"/>
        <v>0</v>
      </c>
      <c r="O689" s="660">
        <f t="shared" si="166"/>
        <v>0</v>
      </c>
    </row>
    <row r="690" spans="1:15">
      <c r="A690" s="2015">
        <v>254</v>
      </c>
      <c r="B690" s="675">
        <v>25400631</v>
      </c>
      <c r="C690" s="675" t="s">
        <v>968</v>
      </c>
      <c r="D690" s="652" t="s">
        <v>1575</v>
      </c>
      <c r="E690" s="675" t="s">
        <v>968</v>
      </c>
      <c r="F690" s="2007" t="s">
        <v>390</v>
      </c>
      <c r="G690" s="2006">
        <v>-8616817.8300000001</v>
      </c>
      <c r="H690" s="2006">
        <v>-18796915.449999999</v>
      </c>
      <c r="I690" s="630">
        <f t="shared" si="160"/>
        <v>0</v>
      </c>
      <c r="J690" s="630">
        <f t="shared" si="161"/>
        <v>0</v>
      </c>
      <c r="K690" s="630">
        <f t="shared" si="162"/>
        <v>-8616817.8300000001</v>
      </c>
      <c r="L690" s="631">
        <f t="shared" si="163"/>
        <v>0</v>
      </c>
      <c r="M690" s="631">
        <f t="shared" si="164"/>
        <v>0</v>
      </c>
      <c r="N690" s="631">
        <f t="shared" si="165"/>
        <v>-8616817.8300000001</v>
      </c>
      <c r="O690" s="660">
        <f t="shared" si="166"/>
        <v>0</v>
      </c>
    </row>
    <row r="691" spans="1:15">
      <c r="A691" s="2015">
        <v>254</v>
      </c>
      <c r="B691" s="675">
        <v>25400641</v>
      </c>
      <c r="C691" s="675" t="s">
        <v>968</v>
      </c>
      <c r="D691" s="652" t="s">
        <v>1576</v>
      </c>
      <c r="E691" s="675" t="s">
        <v>968</v>
      </c>
      <c r="F691" s="2007" t="s">
        <v>390</v>
      </c>
      <c r="G691" s="2006">
        <v>-2080600.27</v>
      </c>
      <c r="H691" s="2006">
        <v>-351898.08</v>
      </c>
      <c r="I691" s="630">
        <f t="shared" si="160"/>
        <v>0</v>
      </c>
      <c r="J691" s="630">
        <f t="shared" si="161"/>
        <v>0</v>
      </c>
      <c r="K691" s="630">
        <f t="shared" si="162"/>
        <v>-2080600.27</v>
      </c>
      <c r="L691" s="631">
        <f t="shared" si="163"/>
        <v>0</v>
      </c>
      <c r="M691" s="631">
        <f t="shared" si="164"/>
        <v>0</v>
      </c>
      <c r="N691" s="631">
        <f t="shared" si="165"/>
        <v>-2080600.27</v>
      </c>
      <c r="O691" s="660">
        <f t="shared" si="166"/>
        <v>0</v>
      </c>
    </row>
    <row r="692" spans="1:15">
      <c r="A692" s="2015">
        <v>254</v>
      </c>
      <c r="B692" s="675">
        <v>25400651</v>
      </c>
      <c r="C692" s="675" t="s">
        <v>968</v>
      </c>
      <c r="D692" s="652" t="s">
        <v>1577</v>
      </c>
      <c r="E692" s="675" t="s">
        <v>968</v>
      </c>
      <c r="F692" s="2007" t="s">
        <v>390</v>
      </c>
      <c r="G692" s="2006">
        <v>0</v>
      </c>
      <c r="H692" s="2006">
        <v>-4984484.58</v>
      </c>
      <c r="I692" s="630">
        <f t="shared" si="160"/>
        <v>0</v>
      </c>
      <c r="J692" s="630">
        <f t="shared" si="161"/>
        <v>0</v>
      </c>
      <c r="K692" s="630">
        <f t="shared" si="162"/>
        <v>0</v>
      </c>
      <c r="L692" s="631">
        <f t="shared" si="163"/>
        <v>0</v>
      </c>
      <c r="M692" s="631">
        <f t="shared" si="164"/>
        <v>0</v>
      </c>
      <c r="N692" s="631">
        <f t="shared" si="165"/>
        <v>0</v>
      </c>
      <c r="O692" s="660">
        <f t="shared" si="166"/>
        <v>0</v>
      </c>
    </row>
    <row r="693" spans="1:15">
      <c r="A693" s="2015">
        <v>254</v>
      </c>
      <c r="B693" s="675">
        <v>25400661</v>
      </c>
      <c r="C693" s="675" t="s">
        <v>968</v>
      </c>
      <c r="D693" s="652" t="s">
        <v>1578</v>
      </c>
      <c r="E693" s="675" t="s">
        <v>968</v>
      </c>
      <c r="F693" s="2007" t="s">
        <v>390</v>
      </c>
      <c r="G693" s="2006">
        <v>-1445550.19</v>
      </c>
      <c r="H693" s="2006">
        <v>-1112062.6100000001</v>
      </c>
      <c r="I693" s="630">
        <f t="shared" si="160"/>
        <v>0</v>
      </c>
      <c r="J693" s="630">
        <f t="shared" si="161"/>
        <v>0</v>
      </c>
      <c r="K693" s="630">
        <f t="shared" si="162"/>
        <v>-1445550.19</v>
      </c>
      <c r="L693" s="631">
        <f t="shared" si="163"/>
        <v>0</v>
      </c>
      <c r="M693" s="631">
        <f t="shared" si="164"/>
        <v>0</v>
      </c>
      <c r="N693" s="631">
        <f t="shared" si="165"/>
        <v>-1445550.19</v>
      </c>
      <c r="O693" s="660">
        <f t="shared" si="166"/>
        <v>0</v>
      </c>
    </row>
    <row r="694" spans="1:15">
      <c r="A694" s="2015">
        <v>254</v>
      </c>
      <c r="B694" s="675">
        <v>25400671</v>
      </c>
      <c r="C694" s="675" t="s">
        <v>968</v>
      </c>
      <c r="D694" s="652" t="s">
        <v>1579</v>
      </c>
      <c r="E694" s="675" t="s">
        <v>968</v>
      </c>
      <c r="F694" s="2007" t="s">
        <v>390</v>
      </c>
      <c r="G694" s="2006">
        <v>-519991.2</v>
      </c>
      <c r="H694" s="2006">
        <v>0</v>
      </c>
      <c r="I694" s="630">
        <f t="shared" si="160"/>
        <v>0</v>
      </c>
      <c r="J694" s="630">
        <f t="shared" si="161"/>
        <v>0</v>
      </c>
      <c r="K694" s="630">
        <f t="shared" si="162"/>
        <v>-519991.2</v>
      </c>
      <c r="L694" s="631">
        <f t="shared" si="163"/>
        <v>0</v>
      </c>
      <c r="M694" s="631">
        <f t="shared" si="164"/>
        <v>0</v>
      </c>
      <c r="N694" s="631">
        <f t="shared" si="165"/>
        <v>-519991.2</v>
      </c>
      <c r="O694" s="660">
        <f t="shared" si="166"/>
        <v>0</v>
      </c>
    </row>
    <row r="695" spans="1:15">
      <c r="A695" s="2015">
        <v>254</v>
      </c>
      <c r="B695" s="675">
        <v>25400691</v>
      </c>
      <c r="C695" s="675" t="s">
        <v>968</v>
      </c>
      <c r="D695" s="652" t="s">
        <v>1580</v>
      </c>
      <c r="E695" s="675" t="s">
        <v>968</v>
      </c>
      <c r="F695" s="2007" t="s">
        <v>390</v>
      </c>
      <c r="G695" s="2006">
        <v>0</v>
      </c>
      <c r="H695" s="2006">
        <v>0</v>
      </c>
      <c r="I695" s="630">
        <f t="shared" si="160"/>
        <v>0</v>
      </c>
      <c r="J695" s="630">
        <f t="shared" si="161"/>
        <v>0</v>
      </c>
      <c r="K695" s="630">
        <f t="shared" si="162"/>
        <v>0</v>
      </c>
      <c r="L695" s="631">
        <f t="shared" si="163"/>
        <v>0</v>
      </c>
      <c r="M695" s="631">
        <f t="shared" si="164"/>
        <v>0</v>
      </c>
      <c r="N695" s="631">
        <f t="shared" si="165"/>
        <v>0</v>
      </c>
      <c r="O695" s="660">
        <f t="shared" si="166"/>
        <v>0</v>
      </c>
    </row>
    <row r="696" spans="1:15">
      <c r="A696" s="2015">
        <v>254</v>
      </c>
      <c r="B696" s="675">
        <v>25400692</v>
      </c>
      <c r="C696" s="675" t="s">
        <v>968</v>
      </c>
      <c r="D696" s="652" t="s">
        <v>1581</v>
      </c>
      <c r="E696" s="675" t="s">
        <v>968</v>
      </c>
      <c r="F696" s="2007" t="s">
        <v>988</v>
      </c>
      <c r="G696" s="2006">
        <v>0</v>
      </c>
      <c r="H696" s="2006">
        <v>-3816316.45</v>
      </c>
      <c r="I696" s="630">
        <f t="shared" si="160"/>
        <v>0</v>
      </c>
      <c r="J696" s="630">
        <f t="shared" si="161"/>
        <v>0</v>
      </c>
      <c r="K696" s="630">
        <f t="shared" si="162"/>
        <v>0</v>
      </c>
      <c r="L696" s="631">
        <f t="shared" si="163"/>
        <v>0</v>
      </c>
      <c r="M696" s="631">
        <f t="shared" si="164"/>
        <v>0</v>
      </c>
      <c r="N696" s="631">
        <f t="shared" si="165"/>
        <v>0</v>
      </c>
      <c r="O696" s="660">
        <f t="shared" si="166"/>
        <v>0</v>
      </c>
    </row>
    <row r="697" spans="1:15">
      <c r="A697" s="2015">
        <v>254</v>
      </c>
      <c r="B697" s="675">
        <v>25400701</v>
      </c>
      <c r="C697" s="675" t="s">
        <v>968</v>
      </c>
      <c r="D697" s="652" t="s">
        <v>1582</v>
      </c>
      <c r="E697" s="675" t="s">
        <v>968</v>
      </c>
      <c r="F697" s="2007" t="s">
        <v>390</v>
      </c>
      <c r="G697" s="2006">
        <v>-462228838</v>
      </c>
      <c r="H697" s="2006">
        <v>-495349508.93000001</v>
      </c>
      <c r="I697" s="630">
        <f t="shared" si="160"/>
        <v>0</v>
      </c>
      <c r="J697" s="630">
        <f t="shared" si="161"/>
        <v>0</v>
      </c>
      <c r="K697" s="630">
        <f t="shared" si="162"/>
        <v>-462228838</v>
      </c>
      <c r="L697" s="631">
        <f t="shared" si="163"/>
        <v>0</v>
      </c>
      <c r="M697" s="631">
        <f t="shared" si="164"/>
        <v>0</v>
      </c>
      <c r="N697" s="631">
        <f t="shared" si="165"/>
        <v>-462228838</v>
      </c>
      <c r="O697" s="660">
        <f t="shared" si="166"/>
        <v>0</v>
      </c>
    </row>
    <row r="698" spans="1:15">
      <c r="A698" s="2015">
        <v>254</v>
      </c>
      <c r="B698" s="675">
        <v>25400702</v>
      </c>
      <c r="C698" s="675" t="s">
        <v>968</v>
      </c>
      <c r="D698" s="652" t="s">
        <v>1583</v>
      </c>
      <c r="E698" s="675" t="s">
        <v>968</v>
      </c>
      <c r="F698" s="2007" t="s">
        <v>988</v>
      </c>
      <c r="G698" s="2006">
        <v>-628394.47</v>
      </c>
      <c r="H698" s="2006">
        <v>-2956939.78</v>
      </c>
      <c r="I698" s="630">
        <f t="shared" si="160"/>
        <v>0</v>
      </c>
      <c r="J698" s="630">
        <f t="shared" si="161"/>
        <v>0</v>
      </c>
      <c r="K698" s="630">
        <f t="shared" si="162"/>
        <v>0</v>
      </c>
      <c r="L698" s="631">
        <f t="shared" si="163"/>
        <v>-628394.47</v>
      </c>
      <c r="M698" s="631">
        <f t="shared" si="164"/>
        <v>0</v>
      </c>
      <c r="N698" s="631">
        <f t="shared" si="165"/>
        <v>-628394.47</v>
      </c>
      <c r="O698" s="660">
        <f t="shared" si="166"/>
        <v>0</v>
      </c>
    </row>
    <row r="699" spans="1:15">
      <c r="A699" s="2015">
        <v>254</v>
      </c>
      <c r="B699" s="675">
        <v>25400711</v>
      </c>
      <c r="C699" s="675" t="s">
        <v>968</v>
      </c>
      <c r="D699" s="652" t="s">
        <v>1584</v>
      </c>
      <c r="E699" s="675" t="s">
        <v>968</v>
      </c>
      <c r="F699" s="2007" t="s">
        <v>390</v>
      </c>
      <c r="G699" s="2006">
        <v>-81208.34</v>
      </c>
      <c r="H699" s="2006">
        <v>0</v>
      </c>
      <c r="I699" s="630">
        <f t="shared" si="160"/>
        <v>0</v>
      </c>
      <c r="J699" s="630">
        <f t="shared" si="161"/>
        <v>0</v>
      </c>
      <c r="K699" s="630">
        <f t="shared" si="162"/>
        <v>-81208.34</v>
      </c>
      <c r="L699" s="631">
        <f t="shared" si="163"/>
        <v>0</v>
      </c>
      <c r="M699" s="631">
        <f t="shared" si="164"/>
        <v>0</v>
      </c>
      <c r="N699" s="631">
        <f t="shared" si="165"/>
        <v>-81208.34</v>
      </c>
      <c r="O699" s="660">
        <f t="shared" si="166"/>
        <v>0</v>
      </c>
    </row>
    <row r="700" spans="1:15">
      <c r="A700" s="2015">
        <v>254</v>
      </c>
      <c r="B700" s="675">
        <v>25400721</v>
      </c>
      <c r="C700" s="675" t="s">
        <v>968</v>
      </c>
      <c r="D700" s="652" t="s">
        <v>1585</v>
      </c>
      <c r="E700" s="675" t="s">
        <v>968</v>
      </c>
      <c r="F700" s="2007" t="s">
        <v>390</v>
      </c>
      <c r="G700" s="2006">
        <v>0</v>
      </c>
      <c r="H700" s="2006">
        <v>0</v>
      </c>
      <c r="I700" s="630">
        <f t="shared" si="160"/>
        <v>0</v>
      </c>
      <c r="J700" s="630">
        <f t="shared" si="161"/>
        <v>0</v>
      </c>
      <c r="K700" s="630">
        <f t="shared" si="162"/>
        <v>0</v>
      </c>
      <c r="L700" s="631">
        <f t="shared" si="163"/>
        <v>0</v>
      </c>
      <c r="M700" s="631">
        <f t="shared" si="164"/>
        <v>0</v>
      </c>
      <c r="N700" s="631">
        <f t="shared" si="165"/>
        <v>0</v>
      </c>
      <c r="O700" s="660">
        <f t="shared" si="166"/>
        <v>0</v>
      </c>
    </row>
    <row r="701" spans="1:15">
      <c r="A701" s="2015">
        <v>254</v>
      </c>
      <c r="B701" s="675">
        <v>25400741</v>
      </c>
      <c r="C701" s="675" t="s">
        <v>968</v>
      </c>
      <c r="D701" s="652" t="s">
        <v>1586</v>
      </c>
      <c r="E701" s="675" t="s">
        <v>968</v>
      </c>
      <c r="F701" s="2007" t="s">
        <v>390</v>
      </c>
      <c r="G701" s="2006">
        <v>-1547898.69</v>
      </c>
      <c r="H701" s="2006">
        <v>-847315.31</v>
      </c>
      <c r="I701" s="630">
        <f t="shared" si="160"/>
        <v>0</v>
      </c>
      <c r="J701" s="630">
        <f t="shared" si="161"/>
        <v>0</v>
      </c>
      <c r="K701" s="630">
        <f t="shared" si="162"/>
        <v>-1547898.69</v>
      </c>
      <c r="L701" s="631">
        <f t="shared" si="163"/>
        <v>0</v>
      </c>
      <c r="M701" s="631">
        <f t="shared" si="164"/>
        <v>0</v>
      </c>
      <c r="N701" s="631">
        <f t="shared" si="165"/>
        <v>-1547898.69</v>
      </c>
      <c r="O701" s="660">
        <f t="shared" si="166"/>
        <v>0</v>
      </c>
    </row>
    <row r="702" spans="1:15">
      <c r="A702" s="2015">
        <v>254</v>
      </c>
      <c r="B702" s="675">
        <v>25400751</v>
      </c>
      <c r="C702" s="675" t="s">
        <v>968</v>
      </c>
      <c r="D702" s="652" t="s">
        <v>1587</v>
      </c>
      <c r="E702" s="675" t="s">
        <v>968</v>
      </c>
      <c r="F702" s="2007" t="s">
        <v>390</v>
      </c>
      <c r="G702" s="2006">
        <v>-119611.42</v>
      </c>
      <c r="H702" s="2006">
        <v>0</v>
      </c>
      <c r="I702" s="630">
        <f t="shared" si="160"/>
        <v>0</v>
      </c>
      <c r="J702" s="630">
        <f t="shared" si="161"/>
        <v>0</v>
      </c>
      <c r="K702" s="630">
        <f t="shared" si="162"/>
        <v>-119611.42</v>
      </c>
      <c r="L702" s="631">
        <f t="shared" si="163"/>
        <v>0</v>
      </c>
      <c r="M702" s="631">
        <f t="shared" si="164"/>
        <v>0</v>
      </c>
      <c r="N702" s="631">
        <f t="shared" si="165"/>
        <v>-119611.42</v>
      </c>
      <c r="O702" s="660">
        <f t="shared" si="166"/>
        <v>0</v>
      </c>
    </row>
    <row r="703" spans="1:15">
      <c r="A703" s="2015">
        <v>254</v>
      </c>
      <c r="B703" s="675">
        <v>25400761</v>
      </c>
      <c r="C703" s="675" t="s">
        <v>968</v>
      </c>
      <c r="D703" s="652" t="s">
        <v>1588</v>
      </c>
      <c r="E703" s="675" t="s">
        <v>968</v>
      </c>
      <c r="F703" s="2007" t="s">
        <v>390</v>
      </c>
      <c r="G703" s="2006">
        <v>-270935.12</v>
      </c>
      <c r="H703" s="2006">
        <v>-75570.34</v>
      </c>
      <c r="I703" s="630">
        <f t="shared" ref="I703:I738" si="167">IF(RIGHT($B703,1)="1", $G703*VLOOKUP($F703, Ratio, 2, FALSE), IF(RIGHT($B703,1)="3", $G703*VLOOKUP($F703, Ratio, 2, FALSE)*$F$5, 0))</f>
        <v>0</v>
      </c>
      <c r="J703" s="630">
        <f t="shared" ref="J703:J738" si="168">IF(RIGHT($B703,1)="1", $G703*VLOOKUP($F703, Ratio, 3, FALSE), IF(RIGHT($B703,1)="3", $G703*VLOOKUP($F703, Ratio, 3, FALSE)*$F$5, 0))</f>
        <v>0</v>
      </c>
      <c r="K703" s="630">
        <f t="shared" ref="K703:K738" si="169">IF(RIGHT($B703,1)="1", $G703*VLOOKUP($F703, Ratio, 4, FALSE), IF(RIGHT($B703,1)="3", $G703*VLOOKUP($F703, Ratio, 4, FALSE)*$F$5, 0))</f>
        <v>-270935.12</v>
      </c>
      <c r="L703" s="631">
        <f t="shared" ref="L703:L738" si="170">IF(F703="GAS", G703, 0)</f>
        <v>0</v>
      </c>
      <c r="M703" s="631">
        <f t="shared" ref="M703:M738" si="171">IF(RIGHT(B703,1)="3",G703*$G$5,0)</f>
        <v>0</v>
      </c>
      <c r="N703" s="631">
        <f t="shared" ref="N703:N734" si="172">SUM(I703:M703)</f>
        <v>-270935.12</v>
      </c>
      <c r="O703" s="660">
        <f t="shared" ref="O703:O734" si="173">G703-N703</f>
        <v>0</v>
      </c>
    </row>
    <row r="704" spans="1:15">
      <c r="A704" s="2015">
        <v>254</v>
      </c>
      <c r="B704" s="675">
        <v>25400771</v>
      </c>
      <c r="C704" s="675" t="s">
        <v>968</v>
      </c>
      <c r="D704" s="652" t="s">
        <v>1589</v>
      </c>
      <c r="E704" s="675" t="s">
        <v>968</v>
      </c>
      <c r="F704" s="2007" t="s">
        <v>390</v>
      </c>
      <c r="G704" s="2006">
        <v>-114418.49</v>
      </c>
      <c r="H704" s="2006">
        <v>0</v>
      </c>
      <c r="I704" s="630">
        <f t="shared" si="167"/>
        <v>0</v>
      </c>
      <c r="J704" s="630">
        <f t="shared" si="168"/>
        <v>0</v>
      </c>
      <c r="K704" s="630">
        <f t="shared" si="169"/>
        <v>-114418.49</v>
      </c>
      <c r="L704" s="631">
        <f t="shared" si="170"/>
        <v>0</v>
      </c>
      <c r="M704" s="631">
        <f t="shared" si="171"/>
        <v>0</v>
      </c>
      <c r="N704" s="631">
        <f t="shared" si="172"/>
        <v>-114418.49</v>
      </c>
      <c r="O704" s="660">
        <f t="shared" si="173"/>
        <v>0</v>
      </c>
    </row>
    <row r="705" spans="1:15">
      <c r="A705" s="2015">
        <v>254</v>
      </c>
      <c r="B705" s="675">
        <v>25400781</v>
      </c>
      <c r="C705" s="675" t="s">
        <v>968</v>
      </c>
      <c r="D705" s="652" t="s">
        <v>1590</v>
      </c>
      <c r="E705" s="675" t="s">
        <v>968</v>
      </c>
      <c r="F705" s="2007" t="s">
        <v>390</v>
      </c>
      <c r="G705" s="2006">
        <v>0</v>
      </c>
      <c r="H705" s="2006">
        <v>0</v>
      </c>
      <c r="I705" s="630">
        <f t="shared" si="167"/>
        <v>0</v>
      </c>
      <c r="J705" s="630">
        <f t="shared" si="168"/>
        <v>0</v>
      </c>
      <c r="K705" s="630">
        <f t="shared" si="169"/>
        <v>0</v>
      </c>
      <c r="L705" s="631">
        <f t="shared" si="170"/>
        <v>0</v>
      </c>
      <c r="M705" s="631">
        <f t="shared" si="171"/>
        <v>0</v>
      </c>
      <c r="N705" s="631">
        <f t="shared" si="172"/>
        <v>0</v>
      </c>
      <c r="O705" s="660">
        <f t="shared" si="173"/>
        <v>0</v>
      </c>
    </row>
    <row r="706" spans="1:15">
      <c r="A706" s="2015">
        <v>254</v>
      </c>
      <c r="B706" s="675">
        <v>25400791</v>
      </c>
      <c r="C706" s="675" t="s">
        <v>968</v>
      </c>
      <c r="D706" s="652" t="s">
        <v>1591</v>
      </c>
      <c r="E706" s="675" t="s">
        <v>968</v>
      </c>
      <c r="F706" s="2007" t="s">
        <v>390</v>
      </c>
      <c r="G706" s="2006">
        <v>0</v>
      </c>
      <c r="H706" s="2006">
        <v>0</v>
      </c>
      <c r="I706" s="630">
        <f t="shared" si="167"/>
        <v>0</v>
      </c>
      <c r="J706" s="630">
        <f t="shared" si="168"/>
        <v>0</v>
      </c>
      <c r="K706" s="630">
        <f t="shared" si="169"/>
        <v>0</v>
      </c>
      <c r="L706" s="631">
        <f t="shared" si="170"/>
        <v>0</v>
      </c>
      <c r="M706" s="631">
        <f t="shared" si="171"/>
        <v>0</v>
      </c>
      <c r="N706" s="631">
        <f t="shared" si="172"/>
        <v>0</v>
      </c>
      <c r="O706" s="660">
        <f t="shared" si="173"/>
        <v>0</v>
      </c>
    </row>
    <row r="707" spans="1:15">
      <c r="A707" s="2015">
        <v>254</v>
      </c>
      <c r="B707" s="675">
        <v>25400801</v>
      </c>
      <c r="C707" s="675" t="s">
        <v>968</v>
      </c>
      <c r="D707" s="652" t="s">
        <v>1592</v>
      </c>
      <c r="E707" s="675" t="s">
        <v>968</v>
      </c>
      <c r="F707" s="2007" t="s">
        <v>390</v>
      </c>
      <c r="G707" s="2006">
        <v>0</v>
      </c>
      <c r="H707" s="2006">
        <v>0</v>
      </c>
      <c r="I707" s="630">
        <f t="shared" si="167"/>
        <v>0</v>
      </c>
      <c r="J707" s="630">
        <f t="shared" si="168"/>
        <v>0</v>
      </c>
      <c r="K707" s="630">
        <f t="shared" si="169"/>
        <v>0</v>
      </c>
      <c r="L707" s="631">
        <f t="shared" si="170"/>
        <v>0</v>
      </c>
      <c r="M707" s="631">
        <f t="shared" si="171"/>
        <v>0</v>
      </c>
      <c r="N707" s="631">
        <f t="shared" si="172"/>
        <v>0</v>
      </c>
      <c r="O707" s="660">
        <f t="shared" si="173"/>
        <v>0</v>
      </c>
    </row>
    <row r="708" spans="1:15">
      <c r="A708" s="2015">
        <v>254</v>
      </c>
      <c r="B708" s="675">
        <v>25400802</v>
      </c>
      <c r="C708" s="675" t="s">
        <v>968</v>
      </c>
      <c r="D708" s="652" t="s">
        <v>1593</v>
      </c>
      <c r="E708" s="675" t="s">
        <v>968</v>
      </c>
      <c r="F708" s="2007" t="s">
        <v>988</v>
      </c>
      <c r="G708" s="2006">
        <v>-408109.39</v>
      </c>
      <c r="H708" s="2006">
        <v>0</v>
      </c>
      <c r="I708" s="630">
        <f t="shared" si="167"/>
        <v>0</v>
      </c>
      <c r="J708" s="630">
        <f t="shared" si="168"/>
        <v>0</v>
      </c>
      <c r="K708" s="630">
        <f t="shared" si="169"/>
        <v>0</v>
      </c>
      <c r="L708" s="631">
        <f t="shared" si="170"/>
        <v>-408109.39</v>
      </c>
      <c r="M708" s="631">
        <f t="shared" si="171"/>
        <v>0</v>
      </c>
      <c r="N708" s="631">
        <f t="shared" si="172"/>
        <v>-408109.39</v>
      </c>
      <c r="O708" s="660">
        <f t="shared" si="173"/>
        <v>0</v>
      </c>
    </row>
    <row r="709" spans="1:15">
      <c r="A709" s="2015">
        <v>254</v>
      </c>
      <c r="B709" s="675">
        <v>25400812</v>
      </c>
      <c r="C709" s="675" t="s">
        <v>968</v>
      </c>
      <c r="D709" s="652" t="s">
        <v>1594</v>
      </c>
      <c r="E709" s="675" t="s">
        <v>968</v>
      </c>
      <c r="F709" s="2007" t="s">
        <v>988</v>
      </c>
      <c r="G709" s="2006">
        <v>-240436.59</v>
      </c>
      <c r="H709" s="2006">
        <v>-116492.66</v>
      </c>
      <c r="I709" s="630">
        <f t="shared" si="167"/>
        <v>0</v>
      </c>
      <c r="J709" s="630">
        <f t="shared" si="168"/>
        <v>0</v>
      </c>
      <c r="K709" s="630">
        <f t="shared" si="169"/>
        <v>0</v>
      </c>
      <c r="L709" s="631">
        <f t="shared" si="170"/>
        <v>-240436.59</v>
      </c>
      <c r="M709" s="631">
        <f t="shared" si="171"/>
        <v>0</v>
      </c>
      <c r="N709" s="631">
        <f t="shared" si="172"/>
        <v>-240436.59</v>
      </c>
      <c r="O709" s="660">
        <f t="shared" si="173"/>
        <v>0</v>
      </c>
    </row>
    <row r="710" spans="1:15">
      <c r="A710" s="2015">
        <v>254</v>
      </c>
      <c r="B710" s="675">
        <v>25400821</v>
      </c>
      <c r="C710" s="675" t="s">
        <v>968</v>
      </c>
      <c r="D710" s="652" t="s">
        <v>1595</v>
      </c>
      <c r="E710" s="675" t="s">
        <v>968</v>
      </c>
      <c r="F710" s="2007" t="s">
        <v>390</v>
      </c>
      <c r="G710" s="2006">
        <v>-241555.55</v>
      </c>
      <c r="H710" s="2006">
        <v>0</v>
      </c>
      <c r="I710" s="630">
        <f t="shared" si="167"/>
        <v>0</v>
      </c>
      <c r="J710" s="630">
        <f t="shared" si="168"/>
        <v>0</v>
      </c>
      <c r="K710" s="630">
        <f t="shared" si="169"/>
        <v>-241555.55</v>
      </c>
      <c r="L710" s="631">
        <f t="shared" si="170"/>
        <v>0</v>
      </c>
      <c r="M710" s="631">
        <f t="shared" si="171"/>
        <v>0</v>
      </c>
      <c r="N710" s="631">
        <f t="shared" si="172"/>
        <v>-241555.55</v>
      </c>
      <c r="O710" s="660">
        <f t="shared" si="173"/>
        <v>0</v>
      </c>
    </row>
    <row r="711" spans="1:15">
      <c r="A711" s="2015">
        <v>254</v>
      </c>
      <c r="B711" s="675">
        <v>25400831</v>
      </c>
      <c r="C711" s="675" t="s">
        <v>968</v>
      </c>
      <c r="D711" s="652" t="s">
        <v>1596</v>
      </c>
      <c r="E711" s="675" t="s">
        <v>968</v>
      </c>
      <c r="F711" s="2007" t="s">
        <v>390</v>
      </c>
      <c r="G711" s="2006">
        <v>0</v>
      </c>
      <c r="H711" s="2006">
        <v>0</v>
      </c>
      <c r="I711" s="630">
        <f t="shared" si="167"/>
        <v>0</v>
      </c>
      <c r="J711" s="630">
        <f t="shared" si="168"/>
        <v>0</v>
      </c>
      <c r="K711" s="630">
        <f t="shared" si="169"/>
        <v>0</v>
      </c>
      <c r="L711" s="631">
        <f t="shared" si="170"/>
        <v>0</v>
      </c>
      <c r="M711" s="631">
        <f t="shared" si="171"/>
        <v>0</v>
      </c>
      <c r="N711" s="631">
        <f t="shared" si="172"/>
        <v>0</v>
      </c>
      <c r="O711" s="660">
        <f t="shared" si="173"/>
        <v>0</v>
      </c>
    </row>
    <row r="712" spans="1:15">
      <c r="A712" s="2015">
        <v>254</v>
      </c>
      <c r="B712" s="675">
        <v>25400841</v>
      </c>
      <c r="C712" s="675" t="s">
        <v>968</v>
      </c>
      <c r="D712" s="652" t="s">
        <v>1597</v>
      </c>
      <c r="E712" s="675" t="s">
        <v>968</v>
      </c>
      <c r="F712" s="2007" t="s">
        <v>390</v>
      </c>
      <c r="G712" s="2006">
        <v>0</v>
      </c>
      <c r="H712" s="2006">
        <v>0</v>
      </c>
      <c r="I712" s="630">
        <f t="shared" si="167"/>
        <v>0</v>
      </c>
      <c r="J712" s="630">
        <f t="shared" si="168"/>
        <v>0</v>
      </c>
      <c r="K712" s="630">
        <f t="shared" si="169"/>
        <v>0</v>
      </c>
      <c r="L712" s="631">
        <f t="shared" si="170"/>
        <v>0</v>
      </c>
      <c r="M712" s="631">
        <f t="shared" si="171"/>
        <v>0</v>
      </c>
      <c r="N712" s="631">
        <f t="shared" si="172"/>
        <v>0</v>
      </c>
      <c r="O712" s="660">
        <f t="shared" si="173"/>
        <v>0</v>
      </c>
    </row>
    <row r="713" spans="1:15">
      <c r="A713" s="2015">
        <v>254</v>
      </c>
      <c r="B713" s="675">
        <v>25400851</v>
      </c>
      <c r="C713" s="675" t="s">
        <v>968</v>
      </c>
      <c r="D713" s="652" t="s">
        <v>1598</v>
      </c>
      <c r="E713" s="675" t="s">
        <v>968</v>
      </c>
      <c r="F713" s="2007" t="s">
        <v>390</v>
      </c>
      <c r="G713" s="2006">
        <v>-6375476.75</v>
      </c>
      <c r="H713" s="2006">
        <v>-5504288.04</v>
      </c>
      <c r="I713" s="630">
        <f t="shared" si="167"/>
        <v>0</v>
      </c>
      <c r="J713" s="630">
        <f t="shared" si="168"/>
        <v>0</v>
      </c>
      <c r="K713" s="630">
        <f t="shared" si="169"/>
        <v>-6375476.75</v>
      </c>
      <c r="L713" s="631">
        <f t="shared" si="170"/>
        <v>0</v>
      </c>
      <c r="M713" s="631">
        <f t="shared" si="171"/>
        <v>0</v>
      </c>
      <c r="N713" s="631">
        <f t="shared" si="172"/>
        <v>-6375476.75</v>
      </c>
      <c r="O713" s="660">
        <f t="shared" si="173"/>
        <v>0</v>
      </c>
    </row>
    <row r="714" spans="1:15">
      <c r="A714" s="2015">
        <v>254</v>
      </c>
      <c r="B714" s="675">
        <v>25400861</v>
      </c>
      <c r="C714" s="675" t="s">
        <v>968</v>
      </c>
      <c r="D714" s="652" t="s">
        <v>1599</v>
      </c>
      <c r="E714" s="675" t="s">
        <v>968</v>
      </c>
      <c r="F714" s="2007" t="s">
        <v>390</v>
      </c>
      <c r="G714" s="2006">
        <v>-171130.07</v>
      </c>
      <c r="H714" s="2006">
        <v>0</v>
      </c>
      <c r="I714" s="630">
        <f t="shared" si="167"/>
        <v>0</v>
      </c>
      <c r="J714" s="630">
        <f t="shared" si="168"/>
        <v>0</v>
      </c>
      <c r="K714" s="630">
        <f t="shared" si="169"/>
        <v>-171130.07</v>
      </c>
      <c r="L714" s="631">
        <f t="shared" si="170"/>
        <v>0</v>
      </c>
      <c r="M714" s="631">
        <f t="shared" si="171"/>
        <v>0</v>
      </c>
      <c r="N714" s="631">
        <f t="shared" si="172"/>
        <v>-171130.07</v>
      </c>
      <c r="O714" s="660">
        <f t="shared" si="173"/>
        <v>0</v>
      </c>
    </row>
    <row r="715" spans="1:15">
      <c r="A715" s="2015">
        <v>254</v>
      </c>
      <c r="B715" s="675">
        <v>25400871</v>
      </c>
      <c r="C715" s="675" t="s">
        <v>968</v>
      </c>
      <c r="D715" s="652" t="s">
        <v>1600</v>
      </c>
      <c r="E715" s="675" t="s">
        <v>968</v>
      </c>
      <c r="F715" s="2007" t="s">
        <v>390</v>
      </c>
      <c r="G715" s="2006">
        <v>-1936535.47</v>
      </c>
      <c r="H715" s="2006">
        <v>0</v>
      </c>
      <c r="I715" s="630">
        <f t="shared" si="167"/>
        <v>0</v>
      </c>
      <c r="J715" s="630">
        <f t="shared" si="168"/>
        <v>0</v>
      </c>
      <c r="K715" s="630">
        <f t="shared" si="169"/>
        <v>-1936535.47</v>
      </c>
      <c r="L715" s="631">
        <f t="shared" si="170"/>
        <v>0</v>
      </c>
      <c r="M715" s="631">
        <f t="shared" si="171"/>
        <v>0</v>
      </c>
      <c r="N715" s="631">
        <f t="shared" si="172"/>
        <v>-1936535.47</v>
      </c>
      <c r="O715" s="660">
        <f t="shared" si="173"/>
        <v>0</v>
      </c>
    </row>
    <row r="716" spans="1:15">
      <c r="A716" s="2015">
        <v>254</v>
      </c>
      <c r="B716" s="675">
        <v>25400881</v>
      </c>
      <c r="C716" s="675" t="s">
        <v>968</v>
      </c>
      <c r="D716" s="652" t="s">
        <v>1601</v>
      </c>
      <c r="E716" s="675" t="s">
        <v>968</v>
      </c>
      <c r="F716" s="2007" t="s">
        <v>390</v>
      </c>
      <c r="G716" s="2006">
        <v>-358602.79</v>
      </c>
      <c r="H716" s="2006">
        <v>0</v>
      </c>
      <c r="I716" s="630">
        <f t="shared" si="167"/>
        <v>0</v>
      </c>
      <c r="J716" s="630">
        <f t="shared" si="168"/>
        <v>0</v>
      </c>
      <c r="K716" s="630">
        <f t="shared" si="169"/>
        <v>-358602.79</v>
      </c>
      <c r="L716" s="631">
        <f t="shared" si="170"/>
        <v>0</v>
      </c>
      <c r="M716" s="631">
        <f t="shared" si="171"/>
        <v>0</v>
      </c>
      <c r="N716" s="631">
        <f t="shared" si="172"/>
        <v>-358602.79</v>
      </c>
      <c r="O716" s="660">
        <f t="shared" si="173"/>
        <v>0</v>
      </c>
    </row>
    <row r="717" spans="1:15">
      <c r="A717" s="2015">
        <v>254</v>
      </c>
      <c r="B717" s="675">
        <v>25400891</v>
      </c>
      <c r="C717" s="675" t="s">
        <v>968</v>
      </c>
      <c r="D717" s="652" t="s">
        <v>1602</v>
      </c>
      <c r="E717" s="675" t="s">
        <v>968</v>
      </c>
      <c r="F717" s="2007" t="s">
        <v>390</v>
      </c>
      <c r="G717" s="2006">
        <v>0</v>
      </c>
      <c r="H717" s="2006">
        <v>0</v>
      </c>
      <c r="I717" s="630">
        <f t="shared" si="167"/>
        <v>0</v>
      </c>
      <c r="J717" s="630">
        <f t="shared" si="168"/>
        <v>0</v>
      </c>
      <c r="K717" s="630">
        <f t="shared" si="169"/>
        <v>0</v>
      </c>
      <c r="L717" s="631">
        <f t="shared" si="170"/>
        <v>0</v>
      </c>
      <c r="M717" s="631">
        <f t="shared" si="171"/>
        <v>0</v>
      </c>
      <c r="N717" s="631">
        <f t="shared" si="172"/>
        <v>0</v>
      </c>
      <c r="O717" s="660">
        <f t="shared" si="173"/>
        <v>0</v>
      </c>
    </row>
    <row r="718" spans="1:15">
      <c r="A718" s="2015">
        <v>254</v>
      </c>
      <c r="B718" s="675">
        <v>25400902</v>
      </c>
      <c r="C718" s="675" t="s">
        <v>968</v>
      </c>
      <c r="D718" s="652" t="s">
        <v>1603</v>
      </c>
      <c r="E718" s="675" t="s">
        <v>968</v>
      </c>
      <c r="F718" s="2007" t="s">
        <v>988</v>
      </c>
      <c r="G718" s="2006">
        <v>-2211186.1800000002</v>
      </c>
      <c r="H718" s="2006">
        <v>0</v>
      </c>
      <c r="I718" s="630">
        <f t="shared" si="167"/>
        <v>0</v>
      </c>
      <c r="J718" s="630">
        <f t="shared" si="168"/>
        <v>0</v>
      </c>
      <c r="K718" s="630">
        <f t="shared" si="169"/>
        <v>0</v>
      </c>
      <c r="L718" s="631">
        <f t="shared" si="170"/>
        <v>-2211186.1800000002</v>
      </c>
      <c r="M718" s="631">
        <f t="shared" si="171"/>
        <v>0</v>
      </c>
      <c r="N718" s="631">
        <f t="shared" si="172"/>
        <v>-2211186.1800000002</v>
      </c>
      <c r="O718" s="660">
        <f t="shared" si="173"/>
        <v>0</v>
      </c>
    </row>
    <row r="719" spans="1:15">
      <c r="A719" s="2015">
        <v>254</v>
      </c>
      <c r="B719" s="675">
        <v>25400911</v>
      </c>
      <c r="C719" s="675" t="s">
        <v>968</v>
      </c>
      <c r="D719" s="652" t="s">
        <v>1604</v>
      </c>
      <c r="E719" s="675" t="s">
        <v>968</v>
      </c>
      <c r="F719" s="2007" t="s">
        <v>390</v>
      </c>
      <c r="G719" s="2006">
        <v>0</v>
      </c>
      <c r="H719" s="2006">
        <v>0</v>
      </c>
      <c r="I719" s="630">
        <f t="shared" si="167"/>
        <v>0</v>
      </c>
      <c r="J719" s="630">
        <f t="shared" si="168"/>
        <v>0</v>
      </c>
      <c r="K719" s="630">
        <f t="shared" si="169"/>
        <v>0</v>
      </c>
      <c r="L719" s="631">
        <f t="shared" si="170"/>
        <v>0</v>
      </c>
      <c r="M719" s="631">
        <f t="shared" si="171"/>
        <v>0</v>
      </c>
      <c r="N719" s="631">
        <f t="shared" si="172"/>
        <v>0</v>
      </c>
      <c r="O719" s="660">
        <f t="shared" si="173"/>
        <v>0</v>
      </c>
    </row>
    <row r="720" spans="1:15">
      <c r="A720" s="2015">
        <v>254</v>
      </c>
      <c r="B720" s="675">
        <v>25400912</v>
      </c>
      <c r="C720" s="675" t="s">
        <v>968</v>
      </c>
      <c r="D720" s="652" t="s">
        <v>1605</v>
      </c>
      <c r="E720" s="675" t="s">
        <v>968</v>
      </c>
      <c r="F720" s="2007" t="s">
        <v>988</v>
      </c>
      <c r="G720" s="2006">
        <v>-1140448.03</v>
      </c>
      <c r="H720" s="2006">
        <v>-613840.39</v>
      </c>
      <c r="I720" s="630">
        <f t="shared" si="167"/>
        <v>0</v>
      </c>
      <c r="J720" s="630">
        <f t="shared" si="168"/>
        <v>0</v>
      </c>
      <c r="K720" s="630">
        <f t="shared" si="169"/>
        <v>0</v>
      </c>
      <c r="L720" s="631">
        <f t="shared" si="170"/>
        <v>-1140448.03</v>
      </c>
      <c r="M720" s="631">
        <f t="shared" si="171"/>
        <v>0</v>
      </c>
      <c r="N720" s="631">
        <f t="shared" si="172"/>
        <v>-1140448.03</v>
      </c>
      <c r="O720" s="660">
        <f t="shared" si="173"/>
        <v>0</v>
      </c>
    </row>
    <row r="721" spans="1:23">
      <c r="A721" s="2015">
        <v>254</v>
      </c>
      <c r="B721" s="675">
        <v>25400921</v>
      </c>
      <c r="C721" s="675" t="s">
        <v>968</v>
      </c>
      <c r="D721" s="652" t="s">
        <v>1606</v>
      </c>
      <c r="E721" s="675" t="s">
        <v>968</v>
      </c>
      <c r="F721" s="2007" t="s">
        <v>390</v>
      </c>
      <c r="G721" s="2006">
        <v>0</v>
      </c>
      <c r="H721" s="2006">
        <v>0</v>
      </c>
      <c r="I721" s="630">
        <f t="shared" si="167"/>
        <v>0</v>
      </c>
      <c r="J721" s="630">
        <f t="shared" si="168"/>
        <v>0</v>
      </c>
      <c r="K721" s="630">
        <f t="shared" si="169"/>
        <v>0</v>
      </c>
      <c r="L721" s="631">
        <f t="shared" si="170"/>
        <v>0</v>
      </c>
      <c r="M721" s="631">
        <f t="shared" si="171"/>
        <v>0</v>
      </c>
      <c r="N721" s="631">
        <f t="shared" si="172"/>
        <v>0</v>
      </c>
      <c r="O721" s="660">
        <f t="shared" si="173"/>
        <v>0</v>
      </c>
    </row>
    <row r="722" spans="1:23">
      <c r="A722" s="2015">
        <v>254</v>
      </c>
      <c r="B722" s="675">
        <v>25400931</v>
      </c>
      <c r="C722" s="675" t="s">
        <v>968</v>
      </c>
      <c r="D722" s="652" t="s">
        <v>1607</v>
      </c>
      <c r="E722" s="675" t="s">
        <v>968</v>
      </c>
      <c r="F722" s="2007" t="s">
        <v>390</v>
      </c>
      <c r="G722" s="2006">
        <v>-10441952.76</v>
      </c>
      <c r="H722" s="2006">
        <v>-11836548.939999999</v>
      </c>
      <c r="I722" s="630">
        <f t="shared" si="167"/>
        <v>0</v>
      </c>
      <c r="J722" s="630">
        <f t="shared" si="168"/>
        <v>0</v>
      </c>
      <c r="K722" s="630">
        <f t="shared" si="169"/>
        <v>-10441952.76</v>
      </c>
      <c r="L722" s="631">
        <f t="shared" si="170"/>
        <v>0</v>
      </c>
      <c r="M722" s="631">
        <f t="shared" si="171"/>
        <v>0</v>
      </c>
      <c r="N722" s="631">
        <f t="shared" si="172"/>
        <v>-10441952.76</v>
      </c>
      <c r="O722" s="660">
        <f t="shared" si="173"/>
        <v>0</v>
      </c>
    </row>
    <row r="723" spans="1:23">
      <c r="A723" s="2015">
        <v>254</v>
      </c>
      <c r="B723" s="675">
        <v>25400941</v>
      </c>
      <c r="C723" s="675" t="s">
        <v>968</v>
      </c>
      <c r="D723" s="652" t="s">
        <v>1608</v>
      </c>
      <c r="E723" s="675" t="s">
        <v>968</v>
      </c>
      <c r="F723" s="2007" t="s">
        <v>390</v>
      </c>
      <c r="G723" s="2006">
        <v>18075.07</v>
      </c>
      <c r="H723" s="2006">
        <v>26753.26</v>
      </c>
      <c r="I723" s="630">
        <f t="shared" si="167"/>
        <v>0</v>
      </c>
      <c r="J723" s="630">
        <f t="shared" si="168"/>
        <v>0</v>
      </c>
      <c r="K723" s="630">
        <f t="shared" si="169"/>
        <v>18075.07</v>
      </c>
      <c r="L723" s="631">
        <f t="shared" si="170"/>
        <v>0</v>
      </c>
      <c r="M723" s="631">
        <f t="shared" si="171"/>
        <v>0</v>
      </c>
      <c r="N723" s="631">
        <f t="shared" si="172"/>
        <v>18075.07</v>
      </c>
      <c r="O723" s="660">
        <f t="shared" si="173"/>
        <v>0</v>
      </c>
    </row>
    <row r="724" spans="1:23">
      <c r="A724" s="2015">
        <v>254</v>
      </c>
      <c r="B724" s="675">
        <v>25400951</v>
      </c>
      <c r="C724" s="675" t="s">
        <v>968</v>
      </c>
      <c r="D724" s="652" t="s">
        <v>1192</v>
      </c>
      <c r="E724" s="675" t="s">
        <v>968</v>
      </c>
      <c r="F724" s="2007" t="s">
        <v>390</v>
      </c>
      <c r="G724" s="2006">
        <v>0</v>
      </c>
      <c r="H724" s="2006">
        <v>0</v>
      </c>
      <c r="I724" s="630">
        <f t="shared" si="167"/>
        <v>0</v>
      </c>
      <c r="J724" s="630">
        <f t="shared" si="168"/>
        <v>0</v>
      </c>
      <c r="K724" s="630">
        <f t="shared" si="169"/>
        <v>0</v>
      </c>
      <c r="L724" s="631">
        <f t="shared" si="170"/>
        <v>0</v>
      </c>
      <c r="M724" s="631">
        <f t="shared" si="171"/>
        <v>0</v>
      </c>
      <c r="N724" s="631">
        <f t="shared" si="172"/>
        <v>0</v>
      </c>
      <c r="O724" s="660">
        <f t="shared" si="173"/>
        <v>0</v>
      </c>
    </row>
    <row r="725" spans="1:23">
      <c r="A725" s="2015">
        <v>254</v>
      </c>
      <c r="B725" s="675">
        <v>25400961</v>
      </c>
      <c r="C725" s="675" t="s">
        <v>968</v>
      </c>
      <c r="D725" s="652" t="s">
        <v>1193</v>
      </c>
      <c r="E725" s="675" t="s">
        <v>968</v>
      </c>
      <c r="F725" s="2007" t="s">
        <v>390</v>
      </c>
      <c r="G725" s="2006">
        <v>0</v>
      </c>
      <c r="H725" s="2006">
        <v>0</v>
      </c>
      <c r="I725" s="630">
        <f t="shared" si="167"/>
        <v>0</v>
      </c>
      <c r="J725" s="630">
        <f t="shared" si="168"/>
        <v>0</v>
      </c>
      <c r="K725" s="630">
        <f t="shared" si="169"/>
        <v>0</v>
      </c>
      <c r="L725" s="631">
        <f t="shared" si="170"/>
        <v>0</v>
      </c>
      <c r="M725" s="631">
        <f t="shared" si="171"/>
        <v>0</v>
      </c>
      <c r="N725" s="631">
        <f t="shared" si="172"/>
        <v>0</v>
      </c>
      <c r="O725" s="660">
        <f t="shared" si="173"/>
        <v>0</v>
      </c>
    </row>
    <row r="726" spans="1:23">
      <c r="A726" s="2015">
        <v>254</v>
      </c>
      <c r="B726" s="675">
        <v>25401011</v>
      </c>
      <c r="C726" s="675" t="s">
        <v>968</v>
      </c>
      <c r="D726" s="652" t="s">
        <v>1609</v>
      </c>
      <c r="E726" s="675" t="s">
        <v>968</v>
      </c>
      <c r="F726" s="2007" t="s">
        <v>390</v>
      </c>
      <c r="G726" s="2006">
        <v>0</v>
      </c>
      <c r="H726" s="2006">
        <v>0</v>
      </c>
      <c r="I726" s="630">
        <f t="shared" si="167"/>
        <v>0</v>
      </c>
      <c r="J726" s="630">
        <f t="shared" si="168"/>
        <v>0</v>
      </c>
      <c r="K726" s="630">
        <f t="shared" si="169"/>
        <v>0</v>
      </c>
      <c r="L726" s="631">
        <f t="shared" si="170"/>
        <v>0</v>
      </c>
      <c r="M726" s="631">
        <f t="shared" si="171"/>
        <v>0</v>
      </c>
      <c r="N726" s="631">
        <f t="shared" si="172"/>
        <v>0</v>
      </c>
      <c r="O726" s="660">
        <f t="shared" si="173"/>
        <v>0</v>
      </c>
    </row>
    <row r="727" spans="1:23">
      <c r="A727" s="2015">
        <v>254</v>
      </c>
      <c r="B727" s="675">
        <v>25401092</v>
      </c>
      <c r="C727" s="675" t="s">
        <v>968</v>
      </c>
      <c r="D727" s="652" t="s">
        <v>1610</v>
      </c>
      <c r="E727" s="675" t="s">
        <v>968</v>
      </c>
      <c r="F727" s="2007" t="s">
        <v>988</v>
      </c>
      <c r="G727" s="2006">
        <v>0</v>
      </c>
      <c r="H727" s="2006">
        <v>-711241.03</v>
      </c>
      <c r="I727" s="630">
        <f t="shared" si="167"/>
        <v>0</v>
      </c>
      <c r="J727" s="630">
        <f t="shared" si="168"/>
        <v>0</v>
      </c>
      <c r="K727" s="630">
        <f t="shared" si="169"/>
        <v>0</v>
      </c>
      <c r="L727" s="631">
        <f t="shared" si="170"/>
        <v>0</v>
      </c>
      <c r="M727" s="631">
        <f t="shared" si="171"/>
        <v>0</v>
      </c>
      <c r="N727" s="631">
        <f t="shared" si="172"/>
        <v>0</v>
      </c>
      <c r="O727" s="660">
        <f t="shared" si="173"/>
        <v>0</v>
      </c>
    </row>
    <row r="728" spans="1:23">
      <c r="A728" s="2015">
        <v>254</v>
      </c>
      <c r="B728" s="675">
        <v>25401101</v>
      </c>
      <c r="C728" s="675" t="s">
        <v>968</v>
      </c>
      <c r="D728" s="652" t="s">
        <v>1611</v>
      </c>
      <c r="E728" s="675" t="s">
        <v>968</v>
      </c>
      <c r="F728" s="2007" t="s">
        <v>390</v>
      </c>
      <c r="G728" s="2006">
        <v>0</v>
      </c>
      <c r="H728" s="2006">
        <v>-7178372.3799999999</v>
      </c>
      <c r="I728" s="630">
        <f t="shared" si="167"/>
        <v>0</v>
      </c>
      <c r="J728" s="630">
        <f t="shared" si="168"/>
        <v>0</v>
      </c>
      <c r="K728" s="630">
        <f t="shared" si="169"/>
        <v>0</v>
      </c>
      <c r="L728" s="631">
        <f t="shared" si="170"/>
        <v>0</v>
      </c>
      <c r="M728" s="631">
        <f t="shared" si="171"/>
        <v>0</v>
      </c>
      <c r="N728" s="631">
        <f t="shared" si="172"/>
        <v>0</v>
      </c>
      <c r="O728" s="660">
        <f t="shared" si="173"/>
        <v>0</v>
      </c>
    </row>
    <row r="729" spans="1:23">
      <c r="A729" s="2015">
        <v>254</v>
      </c>
      <c r="B729" s="675">
        <v>25401111</v>
      </c>
      <c r="C729" s="675" t="s">
        <v>968</v>
      </c>
      <c r="D729" s="652" t="s">
        <v>1612</v>
      </c>
      <c r="E729" s="675" t="s">
        <v>968</v>
      </c>
      <c r="F729" s="2007" t="s">
        <v>390</v>
      </c>
      <c r="G729" s="2006">
        <v>0</v>
      </c>
      <c r="H729" s="2006">
        <v>-3108642.75</v>
      </c>
      <c r="I729" s="630">
        <f t="shared" si="167"/>
        <v>0</v>
      </c>
      <c r="J729" s="630">
        <f t="shared" si="168"/>
        <v>0</v>
      </c>
      <c r="K729" s="630">
        <f t="shared" si="169"/>
        <v>0</v>
      </c>
      <c r="L729" s="631">
        <f t="shared" si="170"/>
        <v>0</v>
      </c>
      <c r="M729" s="631">
        <f t="shared" si="171"/>
        <v>0</v>
      </c>
      <c r="N729" s="631">
        <f t="shared" si="172"/>
        <v>0</v>
      </c>
      <c r="O729" s="660">
        <f t="shared" si="173"/>
        <v>0</v>
      </c>
    </row>
    <row r="730" spans="1:23">
      <c r="A730" s="2015">
        <v>254</v>
      </c>
      <c r="B730" s="675">
        <v>25401121</v>
      </c>
      <c r="C730" s="675" t="s">
        <v>968</v>
      </c>
      <c r="D730" s="652" t="s">
        <v>1613</v>
      </c>
      <c r="E730" s="675" t="s">
        <v>968</v>
      </c>
      <c r="F730" s="2007" t="s">
        <v>390</v>
      </c>
      <c r="G730" s="2006">
        <v>0</v>
      </c>
      <c r="H730" s="2006">
        <v>0</v>
      </c>
      <c r="I730" s="630">
        <f t="shared" si="167"/>
        <v>0</v>
      </c>
      <c r="J730" s="630">
        <f t="shared" si="168"/>
        <v>0</v>
      </c>
      <c r="K730" s="630">
        <f t="shared" si="169"/>
        <v>0</v>
      </c>
      <c r="L730" s="631">
        <f t="shared" si="170"/>
        <v>0</v>
      </c>
      <c r="M730" s="631">
        <f t="shared" si="171"/>
        <v>0</v>
      </c>
      <c r="N730" s="631">
        <f t="shared" si="172"/>
        <v>0</v>
      </c>
      <c r="O730" s="660">
        <f t="shared" si="173"/>
        <v>0</v>
      </c>
    </row>
    <row r="731" spans="1:23">
      <c r="A731" s="2015">
        <v>254</v>
      </c>
      <c r="B731" s="675">
        <v>25401122</v>
      </c>
      <c r="C731" s="675" t="s">
        <v>968</v>
      </c>
      <c r="D731" s="652" t="s">
        <v>1613</v>
      </c>
      <c r="E731" s="675" t="s">
        <v>968</v>
      </c>
      <c r="F731" s="2007" t="s">
        <v>988</v>
      </c>
      <c r="G731" s="2006">
        <v>0</v>
      </c>
      <c r="H731" s="2006">
        <v>0</v>
      </c>
      <c r="I731" s="630">
        <f t="shared" si="167"/>
        <v>0</v>
      </c>
      <c r="J731" s="630">
        <f t="shared" si="168"/>
        <v>0</v>
      </c>
      <c r="K731" s="630">
        <f t="shared" si="169"/>
        <v>0</v>
      </c>
      <c r="L731" s="631">
        <f t="shared" si="170"/>
        <v>0</v>
      </c>
      <c r="M731" s="631">
        <f t="shared" si="171"/>
        <v>0</v>
      </c>
      <c r="N731" s="631">
        <f t="shared" si="172"/>
        <v>0</v>
      </c>
      <c r="O731" s="660">
        <f t="shared" si="173"/>
        <v>0</v>
      </c>
    </row>
    <row r="732" spans="1:23" ht="12" thickBot="1">
      <c r="A732" s="2015">
        <v>254</v>
      </c>
      <c r="B732" s="2017">
        <v>25401141</v>
      </c>
      <c r="C732" s="2017"/>
      <c r="D732" s="2018" t="s">
        <v>1614</v>
      </c>
      <c r="E732" s="2017"/>
      <c r="F732" s="2017" t="s">
        <v>390</v>
      </c>
      <c r="G732" s="2006">
        <v>-828503.06</v>
      </c>
      <c r="H732" s="2011">
        <v>-828503.06</v>
      </c>
      <c r="I732" s="673">
        <f t="shared" si="167"/>
        <v>0</v>
      </c>
      <c r="J732" s="673">
        <f t="shared" si="168"/>
        <v>0</v>
      </c>
      <c r="K732" s="673">
        <f t="shared" si="169"/>
        <v>-828503.06</v>
      </c>
      <c r="L732" s="674">
        <f t="shared" si="170"/>
        <v>0</v>
      </c>
      <c r="M732" s="674">
        <f t="shared" si="171"/>
        <v>0</v>
      </c>
      <c r="N732" s="674">
        <f t="shared" si="172"/>
        <v>-828503.06</v>
      </c>
      <c r="O732" s="661">
        <f t="shared" si="173"/>
        <v>0</v>
      </c>
      <c r="P732" s="2010" t="s">
        <v>8034</v>
      </c>
    </row>
    <row r="733" spans="1:23">
      <c r="A733" s="2015">
        <v>254</v>
      </c>
      <c r="B733" s="2017">
        <v>25401151</v>
      </c>
      <c r="C733" s="2017"/>
      <c r="D733" s="2018" t="s">
        <v>1615</v>
      </c>
      <c r="E733" s="2017"/>
      <c r="F733" s="2017" t="s">
        <v>390</v>
      </c>
      <c r="G733" s="2006">
        <v>0</v>
      </c>
      <c r="H733" s="2011">
        <v>-4353000</v>
      </c>
      <c r="I733" s="673">
        <f t="shared" si="167"/>
        <v>0</v>
      </c>
      <c r="J733" s="673">
        <f t="shared" si="168"/>
        <v>0</v>
      </c>
      <c r="K733" s="673">
        <f t="shared" si="169"/>
        <v>0</v>
      </c>
      <c r="L733" s="674">
        <f t="shared" si="170"/>
        <v>0</v>
      </c>
      <c r="M733" s="674">
        <f t="shared" si="171"/>
        <v>0</v>
      </c>
      <c r="N733" s="674">
        <f t="shared" si="172"/>
        <v>0</v>
      </c>
      <c r="O733" s="661">
        <f t="shared" si="173"/>
        <v>0</v>
      </c>
      <c r="P733" s="2016" t="s">
        <v>8360</v>
      </c>
      <c r="R733" s="2027" t="s">
        <v>8359</v>
      </c>
      <c r="S733" s="2025" t="s">
        <v>8358</v>
      </c>
      <c r="T733" s="2025">
        <v>25401202</v>
      </c>
      <c r="U733" s="2026">
        <v>27029071.899999999</v>
      </c>
      <c r="V733" s="2025" t="s">
        <v>8357</v>
      </c>
      <c r="W733" s="2024" t="s">
        <v>8356</v>
      </c>
    </row>
    <row r="734" spans="1:23">
      <c r="A734" s="2015">
        <v>254</v>
      </c>
      <c r="B734" s="2017">
        <v>25401172</v>
      </c>
      <c r="C734" s="2017"/>
      <c r="D734" s="2018" t="s">
        <v>6734</v>
      </c>
      <c r="E734" s="2017"/>
      <c r="F734" s="2017" t="s">
        <v>988</v>
      </c>
      <c r="G734" s="2006">
        <v>-2593939.31</v>
      </c>
      <c r="H734" s="2011">
        <v>0</v>
      </c>
      <c r="I734" s="673">
        <f t="shared" si="167"/>
        <v>0</v>
      </c>
      <c r="J734" s="673">
        <f t="shared" si="168"/>
        <v>0</v>
      </c>
      <c r="K734" s="673">
        <f t="shared" si="169"/>
        <v>0</v>
      </c>
      <c r="L734" s="674">
        <f t="shared" si="170"/>
        <v>-2593939.31</v>
      </c>
      <c r="M734" s="674">
        <f t="shared" si="171"/>
        <v>0</v>
      </c>
      <c r="N734" s="674">
        <f t="shared" si="172"/>
        <v>-2593939.31</v>
      </c>
      <c r="O734" s="661">
        <f t="shared" si="173"/>
        <v>0</v>
      </c>
      <c r="P734" s="2016"/>
      <c r="R734" s="2001"/>
      <c r="S734" s="2002"/>
      <c r="T734" s="2002">
        <v>17300002</v>
      </c>
      <c r="U734" s="2023">
        <v>-27029071.899999999</v>
      </c>
      <c r="V734" s="2002" t="s">
        <v>8355</v>
      </c>
      <c r="W734" s="2003" t="s">
        <v>8354</v>
      </c>
    </row>
    <row r="735" spans="1:23" ht="12" thickBot="1">
      <c r="A735" s="2015">
        <v>254</v>
      </c>
      <c r="B735" s="2017">
        <v>25401181</v>
      </c>
      <c r="C735" s="2017"/>
      <c r="D735" s="2018" t="s">
        <v>6735</v>
      </c>
      <c r="E735" s="2017"/>
      <c r="F735" s="2017" t="s">
        <v>392</v>
      </c>
      <c r="G735" s="2006">
        <v>-407922.43</v>
      </c>
      <c r="H735" s="2011">
        <v>0</v>
      </c>
      <c r="I735" s="673">
        <f t="shared" si="167"/>
        <v>-407922.43</v>
      </c>
      <c r="J735" s="673">
        <f t="shared" si="168"/>
        <v>0</v>
      </c>
      <c r="K735" s="673">
        <f t="shared" si="169"/>
        <v>0</v>
      </c>
      <c r="L735" s="674">
        <f t="shared" si="170"/>
        <v>0</v>
      </c>
      <c r="M735" s="674">
        <f t="shared" si="171"/>
        <v>0</v>
      </c>
      <c r="N735" s="674">
        <f t="shared" ref="N735:N738" si="174">SUM(I735:M735)</f>
        <v>-407922.43</v>
      </c>
      <c r="O735" s="661">
        <f t="shared" ref="O735:O739" si="175">G735-N735</f>
        <v>0</v>
      </c>
      <c r="P735" s="2010" t="s">
        <v>8353</v>
      </c>
      <c r="R735" s="2022"/>
      <c r="S735" s="2020"/>
      <c r="T735" s="2020"/>
      <c r="U735" s="2021"/>
      <c r="V735" s="2020"/>
      <c r="W735" s="2019"/>
    </row>
    <row r="736" spans="1:23">
      <c r="A736" s="2015">
        <v>254</v>
      </c>
      <c r="B736" s="2017">
        <v>25401182</v>
      </c>
      <c r="C736" s="2017"/>
      <c r="D736" s="2018" t="s">
        <v>6736</v>
      </c>
      <c r="E736" s="2017"/>
      <c r="F736" s="2017" t="s">
        <v>988</v>
      </c>
      <c r="G736" s="2006">
        <v>-181376033.94</v>
      </c>
      <c r="H736" s="2011">
        <v>0</v>
      </c>
      <c r="I736" s="673">
        <f t="shared" si="167"/>
        <v>0</v>
      </c>
      <c r="J736" s="673">
        <f t="shared" si="168"/>
        <v>0</v>
      </c>
      <c r="K736" s="673">
        <f t="shared" si="169"/>
        <v>0</v>
      </c>
      <c r="L736" s="674">
        <f t="shared" si="170"/>
        <v>-181376033.94</v>
      </c>
      <c r="M736" s="674">
        <f t="shared" si="171"/>
        <v>0</v>
      </c>
      <c r="N736" s="674">
        <f t="shared" si="174"/>
        <v>-181376033.94</v>
      </c>
      <c r="O736" s="661">
        <f t="shared" si="175"/>
        <v>0</v>
      </c>
      <c r="P736" s="2016"/>
    </row>
    <row r="737" spans="1:16">
      <c r="A737" s="2015">
        <v>254</v>
      </c>
      <c r="B737" s="2017">
        <v>25401192</v>
      </c>
      <c r="C737" s="2017"/>
      <c r="D737" s="2018" t="s">
        <v>6737</v>
      </c>
      <c r="E737" s="2017"/>
      <c r="F737" s="2017" t="s">
        <v>988</v>
      </c>
      <c r="G737" s="2006">
        <v>-1492567.83</v>
      </c>
      <c r="H737" s="2011">
        <v>0</v>
      </c>
      <c r="I737" s="673">
        <f t="shared" si="167"/>
        <v>0</v>
      </c>
      <c r="J737" s="673">
        <f t="shared" si="168"/>
        <v>0</v>
      </c>
      <c r="K737" s="673">
        <f t="shared" si="169"/>
        <v>0</v>
      </c>
      <c r="L737" s="674">
        <f t="shared" si="170"/>
        <v>-1492567.83</v>
      </c>
      <c r="M737" s="674">
        <f t="shared" si="171"/>
        <v>0</v>
      </c>
      <c r="N737" s="674">
        <f t="shared" si="174"/>
        <v>-1492567.83</v>
      </c>
      <c r="O737" s="661">
        <f t="shared" si="175"/>
        <v>0</v>
      </c>
      <c r="P737" s="2016"/>
    </row>
    <row r="738" spans="1:16">
      <c r="A738" s="2015">
        <v>254</v>
      </c>
      <c r="B738" s="2013">
        <v>25401202</v>
      </c>
      <c r="C738" s="2013"/>
      <c r="D738" s="2014" t="s">
        <v>6738</v>
      </c>
      <c r="E738" s="2013"/>
      <c r="F738" s="2013" t="s">
        <v>988</v>
      </c>
      <c r="G738" s="2012">
        <f>71354793.28+U733</f>
        <v>98383865.180000007</v>
      </c>
      <c r="H738" s="2011">
        <v>0</v>
      </c>
      <c r="I738" s="673">
        <f t="shared" si="167"/>
        <v>0</v>
      </c>
      <c r="J738" s="673">
        <f t="shared" si="168"/>
        <v>0</v>
      </c>
      <c r="K738" s="673">
        <f t="shared" si="169"/>
        <v>0</v>
      </c>
      <c r="L738" s="674">
        <f t="shared" si="170"/>
        <v>98383865.180000007</v>
      </c>
      <c r="M738" s="674">
        <f t="shared" si="171"/>
        <v>0</v>
      </c>
      <c r="N738" s="674">
        <f t="shared" si="174"/>
        <v>98383865.180000007</v>
      </c>
      <c r="O738" s="661">
        <f t="shared" si="175"/>
        <v>0</v>
      </c>
      <c r="P738" s="2010" t="s">
        <v>8083</v>
      </c>
    </row>
    <row r="739" spans="1:16">
      <c r="A739" s="638" t="s">
        <v>1616</v>
      </c>
      <c r="B739" s="639"/>
      <c r="C739" s="640"/>
      <c r="D739" s="641"/>
      <c r="E739" s="642"/>
      <c r="F739" s="642"/>
      <c r="G739" s="643">
        <f t="shared" ref="G739:N739" si="176">SUM(G639:G738)</f>
        <v>-920886418.18999982</v>
      </c>
      <c r="H739" s="643">
        <f t="shared" si="176"/>
        <v>-891629750.2099998</v>
      </c>
      <c r="I739" s="2288">
        <f t="shared" si="176"/>
        <v>-317891.18</v>
      </c>
      <c r="J739" s="2288">
        <f t="shared" si="176"/>
        <v>0</v>
      </c>
      <c r="K739" s="2288">
        <f t="shared" si="176"/>
        <v>-529469126.51000005</v>
      </c>
      <c r="L739" s="643">
        <f t="shared" si="176"/>
        <v>-391099400.49999994</v>
      </c>
      <c r="M739" s="643">
        <f t="shared" si="176"/>
        <v>0</v>
      </c>
      <c r="N739" s="643">
        <f t="shared" si="176"/>
        <v>-920886418.18999982</v>
      </c>
      <c r="O739" s="661">
        <f t="shared" si="175"/>
        <v>0</v>
      </c>
    </row>
    <row r="740" spans="1:16" ht="10.15" customHeight="1">
      <c r="A740" s="662"/>
      <c r="B740" s="663"/>
      <c r="C740" s="664"/>
      <c r="D740" s="665"/>
      <c r="E740" s="3929" t="s">
        <v>1524</v>
      </c>
      <c r="F740" s="3930"/>
      <c r="G740" s="681">
        <f>'FERC p112-113 Liabilities'!D73+G739</f>
        <v>-0.18999981880187988</v>
      </c>
      <c r="H740" s="681">
        <f>'FERC p112-113 Liabilities'!E73+H739</f>
        <v>0.79000020027160645</v>
      </c>
      <c r="I740" s="666"/>
      <c r="J740" s="666"/>
      <c r="K740" s="666"/>
      <c r="L740" s="666"/>
      <c r="M740" s="666"/>
      <c r="N740" s="666"/>
      <c r="O740" s="660"/>
    </row>
    <row r="741" spans="1:16">
      <c r="A741" s="2009">
        <v>256</v>
      </c>
      <c r="B741" s="675">
        <v>25600072</v>
      </c>
      <c r="C741" s="675" t="s">
        <v>968</v>
      </c>
      <c r="D741" s="652" t="s">
        <v>1617</v>
      </c>
      <c r="E741" s="675" t="s">
        <v>968</v>
      </c>
      <c r="F741" s="2007" t="s">
        <v>988</v>
      </c>
      <c r="G741" s="2006">
        <v>0</v>
      </c>
      <c r="H741" s="2006">
        <v>0</v>
      </c>
      <c r="I741" s="630">
        <f t="shared" ref="I741:I749" si="177">IF(RIGHT($B741,1)="1", $G741*VLOOKUP($F741, Ratio, 2, FALSE), IF(RIGHT($B741,1)="3", $G741*VLOOKUP($F741, Ratio, 2, FALSE)*$F$5, 0))</f>
        <v>0</v>
      </c>
      <c r="J741" s="630">
        <f t="shared" ref="J741:J749" si="178">IF(RIGHT($B741,1)="1", $G741*VLOOKUP($F741, Ratio, 3, FALSE), IF(RIGHT($B741,1)="3", $G741*VLOOKUP($F741, Ratio, 3, FALSE)*$F$5, 0))</f>
        <v>0</v>
      </c>
      <c r="K741" s="630">
        <f t="shared" ref="K741:K749" si="179">IF(RIGHT($B741,1)="1", $G741*VLOOKUP($F741, Ratio, 4, FALSE), IF(RIGHT($B741,1)="3", $G741*VLOOKUP($F741, Ratio, 4, FALSE)*$F$5, 0))</f>
        <v>0</v>
      </c>
      <c r="L741" s="631">
        <f t="shared" ref="L741:L749" si="180">IF(F741="GAS", G741, 0)</f>
        <v>0</v>
      </c>
      <c r="M741" s="631">
        <f t="shared" ref="M741:M749" si="181">IF(RIGHT(B741,1)="3",G741*$G$5,0)</f>
        <v>0</v>
      </c>
      <c r="N741" s="631">
        <f t="shared" ref="N741:N749" si="182">SUM(I741:M741)</f>
        <v>0</v>
      </c>
      <c r="O741" s="660">
        <f t="shared" ref="O741:O750" si="183">G741-N741</f>
        <v>0</v>
      </c>
    </row>
    <row r="742" spans="1:16">
      <c r="A742" s="2008">
        <v>256</v>
      </c>
      <c r="B742" s="675">
        <v>25600081</v>
      </c>
      <c r="C742" s="675" t="s">
        <v>968</v>
      </c>
      <c r="D742" s="652" t="s">
        <v>1618</v>
      </c>
      <c r="E742" s="675" t="s">
        <v>968</v>
      </c>
      <c r="F742" s="2007" t="s">
        <v>390</v>
      </c>
      <c r="G742" s="2006">
        <v>-61062.91</v>
      </c>
      <c r="H742" s="2006">
        <v>-1928263.6799999999</v>
      </c>
      <c r="I742" s="630">
        <f t="shared" si="177"/>
        <v>0</v>
      </c>
      <c r="J742" s="630">
        <f t="shared" si="178"/>
        <v>0</v>
      </c>
      <c r="K742" s="630">
        <f t="shared" si="179"/>
        <v>-61062.91</v>
      </c>
      <c r="L742" s="631">
        <f t="shared" si="180"/>
        <v>0</v>
      </c>
      <c r="M742" s="631">
        <f t="shared" si="181"/>
        <v>0</v>
      </c>
      <c r="N742" s="631">
        <f t="shared" si="182"/>
        <v>-61062.91</v>
      </c>
      <c r="O742" s="660">
        <f t="shared" si="183"/>
        <v>0</v>
      </c>
    </row>
    <row r="743" spans="1:16">
      <c r="A743" s="2008">
        <v>256</v>
      </c>
      <c r="B743" s="675">
        <v>25600091</v>
      </c>
      <c r="C743" s="675" t="s">
        <v>968</v>
      </c>
      <c r="D743" s="652" t="s">
        <v>1619</v>
      </c>
      <c r="E743" s="675" t="s">
        <v>968</v>
      </c>
      <c r="F743" s="2007" t="s">
        <v>392</v>
      </c>
      <c r="G743" s="2006">
        <v>0</v>
      </c>
      <c r="H743" s="2006">
        <v>0</v>
      </c>
      <c r="I743" s="630">
        <f t="shared" si="177"/>
        <v>0</v>
      </c>
      <c r="J743" s="630">
        <f t="shared" si="178"/>
        <v>0</v>
      </c>
      <c r="K743" s="630">
        <f t="shared" si="179"/>
        <v>0</v>
      </c>
      <c r="L743" s="631">
        <f t="shared" si="180"/>
        <v>0</v>
      </c>
      <c r="M743" s="631">
        <f t="shared" si="181"/>
        <v>0</v>
      </c>
      <c r="N743" s="631">
        <f t="shared" si="182"/>
        <v>0</v>
      </c>
      <c r="O743" s="660">
        <f t="shared" si="183"/>
        <v>0</v>
      </c>
      <c r="P743" s="2005" t="s">
        <v>1620</v>
      </c>
    </row>
    <row r="744" spans="1:16">
      <c r="A744" s="2008">
        <v>256</v>
      </c>
      <c r="B744" s="675">
        <v>25600092</v>
      </c>
      <c r="C744" s="675" t="s">
        <v>968</v>
      </c>
      <c r="D744" s="652" t="s">
        <v>1621</v>
      </c>
      <c r="E744" s="675" t="s">
        <v>968</v>
      </c>
      <c r="F744" s="2007" t="s">
        <v>988</v>
      </c>
      <c r="G744" s="2006">
        <v>0</v>
      </c>
      <c r="H744" s="2006">
        <v>0</v>
      </c>
      <c r="I744" s="630">
        <f t="shared" si="177"/>
        <v>0</v>
      </c>
      <c r="J744" s="630">
        <f t="shared" si="178"/>
        <v>0</v>
      </c>
      <c r="K744" s="630">
        <f t="shared" si="179"/>
        <v>0</v>
      </c>
      <c r="L744" s="631">
        <f t="shared" si="180"/>
        <v>0</v>
      </c>
      <c r="M744" s="631">
        <f t="shared" si="181"/>
        <v>0</v>
      </c>
      <c r="N744" s="631">
        <f t="shared" si="182"/>
        <v>0</v>
      </c>
      <c r="O744" s="660">
        <f t="shared" si="183"/>
        <v>0</v>
      </c>
    </row>
    <row r="745" spans="1:16">
      <c r="A745" s="2008">
        <v>256</v>
      </c>
      <c r="B745" s="675">
        <v>25600101</v>
      </c>
      <c r="C745" s="675" t="s">
        <v>968</v>
      </c>
      <c r="D745" s="652" t="s">
        <v>1622</v>
      </c>
      <c r="E745" s="675" t="s">
        <v>968</v>
      </c>
      <c r="F745" s="2007" t="s">
        <v>390</v>
      </c>
      <c r="G745" s="2006">
        <v>0</v>
      </c>
      <c r="H745" s="2006">
        <v>0</v>
      </c>
      <c r="I745" s="630">
        <f t="shared" si="177"/>
        <v>0</v>
      </c>
      <c r="J745" s="630">
        <f t="shared" si="178"/>
        <v>0</v>
      </c>
      <c r="K745" s="630">
        <f t="shared" si="179"/>
        <v>0</v>
      </c>
      <c r="L745" s="631">
        <f t="shared" si="180"/>
        <v>0</v>
      </c>
      <c r="M745" s="631">
        <f t="shared" si="181"/>
        <v>0</v>
      </c>
      <c r="N745" s="631">
        <f t="shared" si="182"/>
        <v>0</v>
      </c>
      <c r="O745" s="660">
        <f t="shared" si="183"/>
        <v>0</v>
      </c>
    </row>
    <row r="746" spans="1:16">
      <c r="A746" s="2008">
        <v>256</v>
      </c>
      <c r="B746" s="675">
        <v>25600102</v>
      </c>
      <c r="C746" s="675" t="s">
        <v>968</v>
      </c>
      <c r="D746" s="652" t="s">
        <v>1623</v>
      </c>
      <c r="E746" s="675" t="s">
        <v>968</v>
      </c>
      <c r="F746" s="2007" t="s">
        <v>988</v>
      </c>
      <c r="G746" s="2006">
        <v>0</v>
      </c>
      <c r="H746" s="2006">
        <v>0</v>
      </c>
      <c r="I746" s="630">
        <f t="shared" si="177"/>
        <v>0</v>
      </c>
      <c r="J746" s="630">
        <f t="shared" si="178"/>
        <v>0</v>
      </c>
      <c r="K746" s="630">
        <f t="shared" si="179"/>
        <v>0</v>
      </c>
      <c r="L746" s="631">
        <f t="shared" si="180"/>
        <v>0</v>
      </c>
      <c r="M746" s="631">
        <f t="shared" si="181"/>
        <v>0</v>
      </c>
      <c r="N746" s="631">
        <f t="shared" si="182"/>
        <v>0</v>
      </c>
      <c r="O746" s="660">
        <f t="shared" si="183"/>
        <v>0</v>
      </c>
    </row>
    <row r="747" spans="1:16">
      <c r="A747" s="2008">
        <v>256</v>
      </c>
      <c r="B747" s="675">
        <v>25600111</v>
      </c>
      <c r="C747" s="675" t="s">
        <v>968</v>
      </c>
      <c r="D747" s="652" t="s">
        <v>1624</v>
      </c>
      <c r="E747" s="675" t="s">
        <v>968</v>
      </c>
      <c r="F747" s="2007" t="s">
        <v>390</v>
      </c>
      <c r="G747" s="2006">
        <v>0</v>
      </c>
      <c r="H747" s="2006">
        <v>0</v>
      </c>
      <c r="I747" s="630">
        <f t="shared" si="177"/>
        <v>0</v>
      </c>
      <c r="J747" s="630">
        <f t="shared" si="178"/>
        <v>0</v>
      </c>
      <c r="K747" s="630">
        <f t="shared" si="179"/>
        <v>0</v>
      </c>
      <c r="L747" s="631">
        <f t="shared" si="180"/>
        <v>0</v>
      </c>
      <c r="M747" s="631">
        <f t="shared" si="181"/>
        <v>0</v>
      </c>
      <c r="N747" s="631">
        <f t="shared" si="182"/>
        <v>0</v>
      </c>
      <c r="O747" s="660">
        <f t="shared" si="183"/>
        <v>0</v>
      </c>
    </row>
    <row r="748" spans="1:16">
      <c r="A748" s="2008">
        <v>256</v>
      </c>
      <c r="B748" s="675">
        <v>25600121</v>
      </c>
      <c r="C748" s="675" t="s">
        <v>968</v>
      </c>
      <c r="D748" s="652" t="s">
        <v>1625</v>
      </c>
      <c r="E748" s="675" t="s">
        <v>968</v>
      </c>
      <c r="F748" s="2007" t="s">
        <v>390</v>
      </c>
      <c r="G748" s="2006">
        <v>-1292161.8899999999</v>
      </c>
      <c r="H748" s="2006">
        <v>0</v>
      </c>
      <c r="I748" s="630">
        <f t="shared" si="177"/>
        <v>0</v>
      </c>
      <c r="J748" s="630">
        <f t="shared" si="178"/>
        <v>0</v>
      </c>
      <c r="K748" s="630">
        <f t="shared" si="179"/>
        <v>-1292161.8899999999</v>
      </c>
      <c r="L748" s="631">
        <f t="shared" si="180"/>
        <v>0</v>
      </c>
      <c r="M748" s="631">
        <f t="shared" si="181"/>
        <v>0</v>
      </c>
      <c r="N748" s="631">
        <f t="shared" si="182"/>
        <v>-1292161.8899999999</v>
      </c>
      <c r="O748" s="660">
        <f t="shared" si="183"/>
        <v>0</v>
      </c>
    </row>
    <row r="749" spans="1:16">
      <c r="A749" s="2008">
        <v>256</v>
      </c>
      <c r="B749" s="675">
        <v>25600122</v>
      </c>
      <c r="C749" s="675" t="s">
        <v>968</v>
      </c>
      <c r="D749" s="652" t="s">
        <v>1626</v>
      </c>
      <c r="E749" s="675" t="s">
        <v>968</v>
      </c>
      <c r="F749" s="2007" t="s">
        <v>988</v>
      </c>
      <c r="G749" s="2006">
        <v>0</v>
      </c>
      <c r="H749" s="2006">
        <v>0</v>
      </c>
      <c r="I749" s="630">
        <f t="shared" si="177"/>
        <v>0</v>
      </c>
      <c r="J749" s="630">
        <f t="shared" si="178"/>
        <v>0</v>
      </c>
      <c r="K749" s="630">
        <f t="shared" si="179"/>
        <v>0</v>
      </c>
      <c r="L749" s="631">
        <f t="shared" si="180"/>
        <v>0</v>
      </c>
      <c r="M749" s="631">
        <f t="shared" si="181"/>
        <v>0</v>
      </c>
      <c r="N749" s="631">
        <f t="shared" si="182"/>
        <v>0</v>
      </c>
      <c r="O749" s="660">
        <f t="shared" si="183"/>
        <v>0</v>
      </c>
    </row>
    <row r="750" spans="1:16">
      <c r="A750" s="638" t="s">
        <v>1627</v>
      </c>
      <c r="B750" s="639"/>
      <c r="C750" s="640"/>
      <c r="D750" s="641"/>
      <c r="E750" s="642"/>
      <c r="F750" s="642"/>
      <c r="G750" s="643">
        <f t="shared" ref="G750:N750" si="184">SUM(G741:G749)</f>
        <v>-1353224.7999999998</v>
      </c>
      <c r="H750" s="643">
        <f t="shared" si="184"/>
        <v>-1928263.6799999999</v>
      </c>
      <c r="I750" s="2280">
        <f t="shared" si="184"/>
        <v>0</v>
      </c>
      <c r="J750" s="2280">
        <f t="shared" si="184"/>
        <v>0</v>
      </c>
      <c r="K750" s="2280">
        <f t="shared" si="184"/>
        <v>-1353224.7999999998</v>
      </c>
      <c r="L750" s="644">
        <f t="shared" si="184"/>
        <v>0</v>
      </c>
      <c r="M750" s="644">
        <f t="shared" si="184"/>
        <v>0</v>
      </c>
      <c r="N750" s="644">
        <f t="shared" si="184"/>
        <v>-1353224.7999999998</v>
      </c>
      <c r="O750" s="660">
        <f t="shared" si="183"/>
        <v>0</v>
      </c>
    </row>
    <row r="751" spans="1:16" ht="10.15" customHeight="1">
      <c r="A751" s="677"/>
      <c r="B751" s="682"/>
      <c r="C751" s="683"/>
      <c r="D751" s="684"/>
      <c r="E751" s="3929" t="s">
        <v>1524</v>
      </c>
      <c r="F751" s="3930"/>
      <c r="G751" s="681">
        <f>'FERC p112-113 Liabilities'!D71+G750</f>
        <v>0.20000000018626451</v>
      </c>
      <c r="H751" s="681">
        <f>'FERC p112-113 Liabilities'!E71+H750</f>
        <v>0.32000000006519258</v>
      </c>
    </row>
  </sheetData>
  <mergeCells count="10">
    <mergeCell ref="E509:F509"/>
    <mergeCell ref="E638:F638"/>
    <mergeCell ref="E740:F740"/>
    <mergeCell ref="E751:F751"/>
    <mergeCell ref="I5:K5"/>
    <mergeCell ref="E27:F27"/>
    <mergeCell ref="E48:F48"/>
    <mergeCell ref="E59:F59"/>
    <mergeCell ref="E327:F327"/>
    <mergeCell ref="E496:F496"/>
  </mergeCells>
  <conditionalFormatting sqref="D5">
    <cfRule type="cellIs" dxfId="5" priority="1" stopIfTrue="1" operator="equal">
      <formula>"NOT OK!"</formula>
    </cfRule>
    <cfRule type="cellIs" dxfId="4" priority="2" stopIfTrue="1" operator="equal">
      <formula>"OK!"</formula>
    </cfRule>
  </conditionalFormatting>
  <printOptions gridLines="1"/>
  <pageMargins left="0.25" right="0.25" top="0.25" bottom="0.75" header="0.5" footer="0.5"/>
  <pageSetup scale="59" fitToHeight="10" orientation="landscape" blackAndWhite="1" r:id="rId1"/>
  <headerFooter alignWithMargins="0">
    <oddHeader>&amp;CPSE_ASC_Filing_Appendix_1_CY_2018</oddHeader>
    <oddFooter>&amp;R&amp;9&amp;F&amp;A</oddFooter>
  </headerFooter>
  <customProperties>
    <customPr name="_pios_id" r:id="rId2"/>
  </customProperties>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92D050"/>
    <pageSetUpPr fitToPage="1"/>
  </sheetPr>
  <dimension ref="A1:Q786"/>
  <sheetViews>
    <sheetView workbookViewId="0">
      <pane ySplit="6" topLeftCell="A7" activePane="bottomLeft" state="frozen"/>
      <selection sqref="A1:XFD1048576"/>
      <selection pane="bottomLeft" sqref="A1:XFD1048576"/>
    </sheetView>
  </sheetViews>
  <sheetFormatPr defaultColWidth="7.5" defaultRowHeight="11.25"/>
  <cols>
    <col min="1" max="1" width="7.625" style="685" bestFit="1" customWidth="1"/>
    <col min="2" max="2" width="15.25" style="685" bestFit="1" customWidth="1"/>
    <col min="3" max="3" width="13.875" style="692" bestFit="1" customWidth="1"/>
    <col min="4" max="4" width="41.125" style="685" bestFit="1" customWidth="1"/>
    <col min="5" max="5" width="11" style="685" customWidth="1"/>
    <col min="6" max="6" width="11" style="685" bestFit="1" customWidth="1"/>
    <col min="7" max="7" width="10.125" style="685" customWidth="1"/>
    <col min="8" max="9" width="11" style="685" bestFit="1" customWidth="1"/>
    <col min="10" max="10" width="14.5" style="685" customWidth="1"/>
    <col min="11" max="11" width="12.625" style="685" customWidth="1"/>
    <col min="12" max="12" width="12" style="685" bestFit="1" customWidth="1"/>
    <col min="13" max="13" width="6.875" style="685" bestFit="1" customWidth="1"/>
    <col min="14" max="14" width="10" style="685" bestFit="1" customWidth="1"/>
    <col min="15" max="15" width="17.75" style="685" customWidth="1"/>
    <col min="16" max="16384" width="7.5" style="685"/>
  </cols>
  <sheetData>
    <row r="1" spans="1:8" ht="12" thickBot="1">
      <c r="B1" s="686" t="s">
        <v>916</v>
      </c>
      <c r="C1" s="687"/>
      <c r="D1" s="688"/>
    </row>
    <row r="2" spans="1:8" ht="22.5">
      <c r="B2" s="686" t="s">
        <v>917</v>
      </c>
      <c r="C2" s="689"/>
      <c r="D2" s="690"/>
      <c r="E2" s="605" t="s">
        <v>919</v>
      </c>
      <c r="F2" s="606" t="s">
        <v>920</v>
      </c>
    </row>
    <row r="3" spans="1:8" ht="12" thickBot="1">
      <c r="B3" s="691">
        <v>45291</v>
      </c>
      <c r="D3" s="693"/>
      <c r="E3" s="694">
        <f>'Four Factor Allocator'!$C$5</f>
        <v>0.65660000353553882</v>
      </c>
      <c r="F3" s="695">
        <f>'Four Factor Allocator'!$D$5</f>
        <v>0.34339999646446118</v>
      </c>
    </row>
    <row r="4" spans="1:8">
      <c r="B4" s="696"/>
      <c r="D4" s="697" t="s">
        <v>1628</v>
      </c>
    </row>
    <row r="5" spans="1:8">
      <c r="B5" s="698"/>
      <c r="D5" s="699"/>
    </row>
    <row r="6" spans="1:8" s="706" customFormat="1" ht="45">
      <c r="A6" s="700" t="s">
        <v>922</v>
      </c>
      <c r="B6" s="700" t="s">
        <v>923</v>
      </c>
      <c r="C6" s="701" t="s">
        <v>924</v>
      </c>
      <c r="D6" s="702" t="s">
        <v>925</v>
      </c>
      <c r="E6" s="703">
        <v>45291</v>
      </c>
      <c r="F6" s="703">
        <v>44926</v>
      </c>
      <c r="G6" s="704" t="s">
        <v>1629</v>
      </c>
      <c r="H6" s="705" t="s">
        <v>1630</v>
      </c>
    </row>
    <row r="7" spans="1:8">
      <c r="A7" s="707">
        <v>124</v>
      </c>
      <c r="B7" s="1962">
        <v>12400013</v>
      </c>
      <c r="C7" s="1962"/>
      <c r="D7" s="1962" t="s">
        <v>1631</v>
      </c>
      <c r="E7" s="1974">
        <v>0</v>
      </c>
      <c r="F7" s="1974">
        <v>0</v>
      </c>
      <c r="G7" s="708">
        <f t="shared" ref="G7:G18" si="0">IF(MID(B7,8,1)="1",0,IF(MID(B7,8,1)="2",E7,E7*$F$3))</f>
        <v>0</v>
      </c>
      <c r="H7" s="708">
        <f t="shared" ref="H7:H18" si="1">E7-G7</f>
        <v>0</v>
      </c>
    </row>
    <row r="8" spans="1:8">
      <c r="A8" s="707">
        <v>124</v>
      </c>
      <c r="B8" s="1977">
        <v>12400043</v>
      </c>
      <c r="C8" s="1973"/>
      <c r="D8" s="1973" t="s">
        <v>1632</v>
      </c>
      <c r="E8" s="1970">
        <v>44081823.710000001</v>
      </c>
      <c r="F8" s="1970">
        <v>54418736.039999999</v>
      </c>
      <c r="G8" s="708">
        <f t="shared" si="0"/>
        <v>15137698.106161002</v>
      </c>
      <c r="H8" s="708">
        <f t="shared" si="1"/>
        <v>28944125.603838999</v>
      </c>
    </row>
    <row r="9" spans="1:8">
      <c r="A9" s="707">
        <v>124</v>
      </c>
      <c r="B9" s="1962">
        <v>12400063</v>
      </c>
      <c r="C9" s="1973"/>
      <c r="D9" s="1973" t="s">
        <v>1633</v>
      </c>
      <c r="E9" s="1970">
        <v>0</v>
      </c>
      <c r="F9" s="1970">
        <v>0</v>
      </c>
      <c r="G9" s="708">
        <f t="shared" si="0"/>
        <v>0</v>
      </c>
      <c r="H9" s="708">
        <f t="shared" si="1"/>
        <v>0</v>
      </c>
    </row>
    <row r="10" spans="1:8">
      <c r="A10" s="707">
        <v>124</v>
      </c>
      <c r="B10" s="1962">
        <v>12400261</v>
      </c>
      <c r="C10" s="1973"/>
      <c r="D10" s="1973" t="s">
        <v>1634</v>
      </c>
      <c r="E10" s="1970">
        <v>0</v>
      </c>
      <c r="F10" s="1970">
        <v>0</v>
      </c>
      <c r="G10" s="708">
        <f t="shared" si="0"/>
        <v>0</v>
      </c>
      <c r="H10" s="708">
        <f t="shared" si="1"/>
        <v>0</v>
      </c>
    </row>
    <row r="11" spans="1:8">
      <c r="A11" s="707">
        <v>124</v>
      </c>
      <c r="B11" s="1962">
        <v>12400373</v>
      </c>
      <c r="C11" s="1973"/>
      <c r="D11" s="1973" t="s">
        <v>1635</v>
      </c>
      <c r="E11" s="1970">
        <v>0</v>
      </c>
      <c r="F11" s="1970">
        <v>0</v>
      </c>
      <c r="G11" s="708">
        <f t="shared" si="0"/>
        <v>0</v>
      </c>
      <c r="H11" s="708">
        <f t="shared" si="1"/>
        <v>0</v>
      </c>
    </row>
    <row r="12" spans="1:8">
      <c r="A12" s="707">
        <v>124</v>
      </c>
      <c r="B12" s="1962">
        <v>12400483</v>
      </c>
      <c r="C12" s="1973"/>
      <c r="D12" s="1973" t="s">
        <v>1636</v>
      </c>
      <c r="E12" s="1970">
        <v>0</v>
      </c>
      <c r="F12" s="1970">
        <v>0</v>
      </c>
      <c r="G12" s="708">
        <f t="shared" si="0"/>
        <v>0</v>
      </c>
      <c r="H12" s="708">
        <f t="shared" si="1"/>
        <v>0</v>
      </c>
    </row>
    <row r="13" spans="1:8">
      <c r="A13" s="707">
        <v>124</v>
      </c>
      <c r="B13" s="1962">
        <v>12400503</v>
      </c>
      <c r="C13" s="1973"/>
      <c r="D13" s="1973" t="s">
        <v>1637</v>
      </c>
      <c r="E13" s="1970">
        <v>23741.81</v>
      </c>
      <c r="F13" s="1970">
        <v>30213.7</v>
      </c>
      <c r="G13" s="708">
        <f t="shared" si="0"/>
        <v>8152.9374700599092</v>
      </c>
      <c r="H13" s="708">
        <f t="shared" si="1"/>
        <v>15588.872529940092</v>
      </c>
    </row>
    <row r="14" spans="1:8">
      <c r="A14" s="707">
        <v>124</v>
      </c>
      <c r="B14" s="1962">
        <v>12400542</v>
      </c>
      <c r="C14" s="1973"/>
      <c r="D14" s="1973" t="s">
        <v>1638</v>
      </c>
      <c r="E14" s="1970">
        <v>0</v>
      </c>
      <c r="F14" s="1970">
        <v>0</v>
      </c>
      <c r="G14" s="708">
        <f t="shared" si="0"/>
        <v>0</v>
      </c>
      <c r="H14" s="708">
        <f t="shared" si="1"/>
        <v>0</v>
      </c>
    </row>
    <row r="15" spans="1:8">
      <c r="A15" s="707">
        <v>124</v>
      </c>
      <c r="B15" s="1962">
        <v>12400552</v>
      </c>
      <c r="C15" s="1973"/>
      <c r="D15" s="1973" t="s">
        <v>1639</v>
      </c>
      <c r="E15" s="1970">
        <v>0</v>
      </c>
      <c r="F15" s="1970">
        <v>0</v>
      </c>
      <c r="G15" s="708">
        <f t="shared" si="0"/>
        <v>0</v>
      </c>
      <c r="H15" s="708">
        <f t="shared" si="1"/>
        <v>0</v>
      </c>
    </row>
    <row r="16" spans="1:8">
      <c r="A16" s="707">
        <v>124</v>
      </c>
      <c r="B16" s="1962">
        <v>12400553</v>
      </c>
      <c r="C16" s="1973"/>
      <c r="D16" s="1973" t="s">
        <v>1640</v>
      </c>
      <c r="E16" s="1970">
        <v>534370.03</v>
      </c>
      <c r="F16" s="1970">
        <v>534370.03</v>
      </c>
      <c r="G16" s="708">
        <f t="shared" si="0"/>
        <v>183502.66641271402</v>
      </c>
      <c r="H16" s="708">
        <f t="shared" si="1"/>
        <v>350867.36358728597</v>
      </c>
    </row>
    <row r="17" spans="1:10">
      <c r="A17" s="707">
        <v>124</v>
      </c>
      <c r="B17" s="1962">
        <v>12400723</v>
      </c>
      <c r="C17" s="1973"/>
      <c r="D17" s="1973" t="s">
        <v>1641</v>
      </c>
      <c r="E17" s="1970">
        <v>0</v>
      </c>
      <c r="F17" s="1970">
        <v>0</v>
      </c>
      <c r="G17" s="708">
        <f t="shared" si="0"/>
        <v>0</v>
      </c>
      <c r="H17" s="708">
        <f t="shared" si="1"/>
        <v>0</v>
      </c>
    </row>
    <row r="18" spans="1:10">
      <c r="A18" s="707">
        <v>124</v>
      </c>
      <c r="B18" s="1962">
        <v>12400743</v>
      </c>
      <c r="C18" s="1973"/>
      <c r="D18" s="1973" t="s">
        <v>1642</v>
      </c>
      <c r="E18" s="1970">
        <v>0</v>
      </c>
      <c r="F18" s="1970">
        <v>0</v>
      </c>
      <c r="G18" s="708">
        <f t="shared" si="0"/>
        <v>0</v>
      </c>
      <c r="H18" s="708">
        <f t="shared" si="1"/>
        <v>0</v>
      </c>
    </row>
    <row r="19" spans="1:10">
      <c r="A19" s="638"/>
      <c r="B19" s="709"/>
      <c r="C19" s="710"/>
      <c r="D19" s="711" t="s">
        <v>104</v>
      </c>
      <c r="E19" s="1958">
        <f>SUM(E7:E18)</f>
        <v>44639935.550000004</v>
      </c>
      <c r="F19" s="1958">
        <f>SUM(F7:F18)</f>
        <v>54983319.770000003</v>
      </c>
      <c r="G19" s="1958">
        <f>SUM(G7:G18)</f>
        <v>15329353.710043777</v>
      </c>
      <c r="H19" s="2279">
        <f>SUM(H7:H18)</f>
        <v>29310581.839956224</v>
      </c>
      <c r="I19" s="1957">
        <f>E19-G19-H19</f>
        <v>0</v>
      </c>
      <c r="J19" s="718" t="s">
        <v>929</v>
      </c>
    </row>
    <row r="20" spans="1:10">
      <c r="B20" s="713"/>
      <c r="D20" s="1952" t="s">
        <v>1643</v>
      </c>
      <c r="E20" s="1953">
        <f>'FERC p110-111 Assets'!D34-E19</f>
        <v>0.44999999552965164</v>
      </c>
      <c r="F20" s="1953">
        <f>'FERC p110-111 Assets'!E34-F19</f>
        <v>0.22999999672174454</v>
      </c>
    </row>
    <row r="21" spans="1:10" s="706" customFormat="1">
      <c r="A21" s="698" t="s">
        <v>922</v>
      </c>
      <c r="B21" s="698" t="s">
        <v>923</v>
      </c>
      <c r="C21" s="714" t="s">
        <v>924</v>
      </c>
      <c r="D21" s="697" t="s">
        <v>925</v>
      </c>
      <c r="E21" s="715">
        <f>E6</f>
        <v>45291</v>
      </c>
      <c r="F21" s="715">
        <f>F6</f>
        <v>44926</v>
      </c>
      <c r="G21" s="716"/>
      <c r="H21" s="717"/>
    </row>
    <row r="22" spans="1:10">
      <c r="A22" s="707">
        <v>151</v>
      </c>
      <c r="B22" s="1975">
        <v>15100001</v>
      </c>
      <c r="C22" s="1962"/>
      <c r="D22" s="1976" t="s">
        <v>1644</v>
      </c>
      <c r="E22" s="1974">
        <v>0</v>
      </c>
      <c r="F22" s="1974">
        <v>0</v>
      </c>
      <c r="G22" s="708">
        <f t="shared" ref="G22:G50" si="2">IF(MID(B22,8,1)="1",0,IF(MID(B22,8,1)="2",E22,E22*$F$3))</f>
        <v>0</v>
      </c>
      <c r="H22" s="708">
        <f t="shared" ref="H22:H50" si="3">E22-G22</f>
        <v>0</v>
      </c>
    </row>
    <row r="23" spans="1:10">
      <c r="A23" s="707">
        <v>151</v>
      </c>
      <c r="B23" s="1962">
        <v>15100021</v>
      </c>
      <c r="C23" s="1973"/>
      <c r="D23" s="1973" t="s">
        <v>1645</v>
      </c>
      <c r="E23" s="1974">
        <v>0</v>
      </c>
      <c r="F23" s="1974">
        <v>0</v>
      </c>
      <c r="G23" s="708">
        <f t="shared" si="2"/>
        <v>0</v>
      </c>
      <c r="H23" s="708">
        <f t="shared" si="3"/>
        <v>0</v>
      </c>
    </row>
    <row r="24" spans="1:10">
      <c r="A24" s="707">
        <v>151</v>
      </c>
      <c r="B24" s="1962">
        <v>15100031</v>
      </c>
      <c r="C24" s="1973"/>
      <c r="D24" s="1973" t="s">
        <v>1646</v>
      </c>
      <c r="E24" s="1974">
        <v>4607825.07</v>
      </c>
      <c r="F24" s="1974">
        <v>4341319.9400000004</v>
      </c>
      <c r="G24" s="708">
        <f t="shared" si="2"/>
        <v>0</v>
      </c>
      <c r="H24" s="708">
        <f t="shared" si="3"/>
        <v>4607825.07</v>
      </c>
    </row>
    <row r="25" spans="1:10">
      <c r="A25" s="707">
        <v>151</v>
      </c>
      <c r="B25" s="1962">
        <v>15100041</v>
      </c>
      <c r="C25" s="1973"/>
      <c r="D25" s="1973" t="s">
        <v>1647</v>
      </c>
      <c r="E25" s="1974">
        <v>179368.89</v>
      </c>
      <c r="F25" s="1974">
        <v>503117.35</v>
      </c>
      <c r="G25" s="708">
        <f t="shared" si="2"/>
        <v>0</v>
      </c>
      <c r="H25" s="708">
        <f t="shared" si="3"/>
        <v>179368.89</v>
      </c>
    </row>
    <row r="26" spans="1:10">
      <c r="A26" s="707">
        <v>151</v>
      </c>
      <c r="B26" s="1962">
        <v>15100061</v>
      </c>
      <c r="C26" s="1973"/>
      <c r="D26" s="1973" t="s">
        <v>1648</v>
      </c>
      <c r="E26" s="1974">
        <v>57720.94</v>
      </c>
      <c r="F26" s="1974">
        <v>66582.28</v>
      </c>
      <c r="G26" s="708">
        <f t="shared" si="2"/>
        <v>0</v>
      </c>
      <c r="H26" s="708">
        <f t="shared" si="3"/>
        <v>57720.94</v>
      </c>
    </row>
    <row r="27" spans="1:10">
      <c r="A27" s="707">
        <v>151</v>
      </c>
      <c r="B27" s="1962">
        <v>15100081</v>
      </c>
      <c r="C27" s="1973"/>
      <c r="D27" s="1973" t="s">
        <v>1649</v>
      </c>
      <c r="E27" s="1974">
        <v>4646505.87</v>
      </c>
      <c r="F27" s="1974">
        <v>1659619.54</v>
      </c>
      <c r="G27" s="708">
        <f t="shared" si="2"/>
        <v>0</v>
      </c>
      <c r="H27" s="708">
        <f t="shared" si="3"/>
        <v>4646505.87</v>
      </c>
    </row>
    <row r="28" spans="1:10">
      <c r="A28" s="707">
        <v>151</v>
      </c>
      <c r="B28" s="1962">
        <v>15100091</v>
      </c>
      <c r="C28" s="1973"/>
      <c r="D28" s="1973" t="s">
        <v>1650</v>
      </c>
      <c r="E28" s="1974">
        <v>3279401.18</v>
      </c>
      <c r="F28" s="1974">
        <v>3382947.07</v>
      </c>
      <c r="G28" s="708">
        <f t="shared" si="2"/>
        <v>0</v>
      </c>
      <c r="H28" s="708">
        <f t="shared" si="3"/>
        <v>3279401.18</v>
      </c>
    </row>
    <row r="29" spans="1:10">
      <c r="A29" s="707">
        <v>151</v>
      </c>
      <c r="B29" s="1962">
        <v>15100101</v>
      </c>
      <c r="C29" s="1973"/>
      <c r="D29" s="1973" t="s">
        <v>1651</v>
      </c>
      <c r="E29" s="1974">
        <v>5205141.58</v>
      </c>
      <c r="F29" s="1974">
        <v>4100433.83</v>
      </c>
      <c r="G29" s="708">
        <f t="shared" si="2"/>
        <v>0</v>
      </c>
      <c r="H29" s="708">
        <f t="shared" si="3"/>
        <v>5205141.58</v>
      </c>
    </row>
    <row r="30" spans="1:10">
      <c r="A30" s="707">
        <v>151</v>
      </c>
      <c r="B30" s="1962">
        <v>15100121</v>
      </c>
      <c r="C30" s="1973"/>
      <c r="D30" s="1973" t="s">
        <v>1650</v>
      </c>
      <c r="E30" s="1974">
        <v>0</v>
      </c>
      <c r="F30" s="1974">
        <v>0</v>
      </c>
      <c r="G30" s="708">
        <f t="shared" si="2"/>
        <v>0</v>
      </c>
      <c r="H30" s="708">
        <f t="shared" si="3"/>
        <v>0</v>
      </c>
    </row>
    <row r="31" spans="1:10">
      <c r="A31" s="707">
        <v>151</v>
      </c>
      <c r="B31" s="1962">
        <v>15100122</v>
      </c>
      <c r="C31" s="1973"/>
      <c r="D31" s="1973" t="s">
        <v>1652</v>
      </c>
      <c r="E31" s="1974">
        <v>296344.58</v>
      </c>
      <c r="F31" s="1974">
        <v>296344.58</v>
      </c>
      <c r="G31" s="708">
        <f t="shared" si="2"/>
        <v>296344.58</v>
      </c>
      <c r="H31" s="708">
        <f t="shared" si="3"/>
        <v>0</v>
      </c>
    </row>
    <row r="32" spans="1:10">
      <c r="A32" s="707">
        <v>151</v>
      </c>
      <c r="B32" s="1962">
        <v>15100131</v>
      </c>
      <c r="C32" s="1973"/>
      <c r="D32" s="1973" t="s">
        <v>1653</v>
      </c>
      <c r="E32" s="1974">
        <v>0</v>
      </c>
      <c r="F32" s="1974">
        <v>0</v>
      </c>
      <c r="G32" s="708">
        <f t="shared" si="2"/>
        <v>0</v>
      </c>
      <c r="H32" s="708">
        <f t="shared" si="3"/>
        <v>0</v>
      </c>
    </row>
    <row r="33" spans="1:9">
      <c r="A33" s="707">
        <v>151</v>
      </c>
      <c r="B33" s="1962">
        <v>15100151</v>
      </c>
      <c r="C33" s="1973"/>
      <c r="D33" s="1973" t="s">
        <v>1654</v>
      </c>
      <c r="E33" s="1974">
        <v>0</v>
      </c>
      <c r="F33" s="1974">
        <v>0</v>
      </c>
      <c r="G33" s="708">
        <f t="shared" si="2"/>
        <v>0</v>
      </c>
      <c r="H33" s="708">
        <f t="shared" si="3"/>
        <v>0</v>
      </c>
    </row>
    <row r="34" spans="1:9">
      <c r="A34" s="707">
        <v>151</v>
      </c>
      <c r="B34" s="1962">
        <v>15100161</v>
      </c>
      <c r="C34" s="1973"/>
      <c r="D34" s="1973" t="s">
        <v>1655</v>
      </c>
      <c r="E34" s="1974">
        <v>0</v>
      </c>
      <c r="F34" s="1974">
        <v>0</v>
      </c>
      <c r="G34" s="708">
        <f t="shared" si="2"/>
        <v>0</v>
      </c>
      <c r="H34" s="708">
        <f t="shared" si="3"/>
        <v>0</v>
      </c>
    </row>
    <row r="35" spans="1:9">
      <c r="A35" s="707">
        <v>151</v>
      </c>
      <c r="B35" s="1962">
        <v>15100171</v>
      </c>
      <c r="C35" s="1973"/>
      <c r="D35" s="1973" t="s">
        <v>1656</v>
      </c>
      <c r="E35" s="1974">
        <v>0</v>
      </c>
      <c r="F35" s="1974">
        <v>0</v>
      </c>
      <c r="G35" s="708">
        <f t="shared" si="2"/>
        <v>0</v>
      </c>
      <c r="H35" s="708">
        <f t="shared" si="3"/>
        <v>0</v>
      </c>
    </row>
    <row r="36" spans="1:9">
      <c r="A36" s="707">
        <v>151</v>
      </c>
      <c r="B36" s="1962">
        <v>15100181</v>
      </c>
      <c r="C36" s="1973"/>
      <c r="D36" s="1973" t="s">
        <v>1657</v>
      </c>
      <c r="E36" s="1974">
        <v>0</v>
      </c>
      <c r="F36" s="1974">
        <v>0</v>
      </c>
      <c r="G36" s="708">
        <f t="shared" si="2"/>
        <v>0</v>
      </c>
      <c r="H36" s="708">
        <f t="shared" si="3"/>
        <v>0</v>
      </c>
    </row>
    <row r="37" spans="1:9">
      <c r="A37" s="707">
        <v>151</v>
      </c>
      <c r="B37" s="1962">
        <v>15100201</v>
      </c>
      <c r="C37" s="1973"/>
      <c r="D37" s="1973" t="s">
        <v>1658</v>
      </c>
      <c r="E37" s="1974">
        <v>0</v>
      </c>
      <c r="F37" s="1974">
        <v>0</v>
      </c>
      <c r="G37" s="708">
        <f t="shared" si="2"/>
        <v>0</v>
      </c>
      <c r="H37" s="708">
        <f t="shared" si="3"/>
        <v>0</v>
      </c>
    </row>
    <row r="38" spans="1:9">
      <c r="A38" s="707">
        <v>151</v>
      </c>
      <c r="B38" s="1962">
        <v>15100211</v>
      </c>
      <c r="C38" s="1973"/>
      <c r="D38" s="1973" t="s">
        <v>1659</v>
      </c>
      <c r="E38" s="1974">
        <v>785221.53</v>
      </c>
      <c r="F38" s="1974">
        <v>-632358.16</v>
      </c>
      <c r="G38" s="708">
        <f t="shared" si="2"/>
        <v>0</v>
      </c>
      <c r="H38" s="708">
        <f t="shared" si="3"/>
        <v>785221.53</v>
      </c>
    </row>
    <row r="39" spans="1:9">
      <c r="A39" s="707">
        <v>151</v>
      </c>
      <c r="B39" s="1962">
        <v>15100221</v>
      </c>
      <c r="C39" s="1973"/>
      <c r="D39" s="1973" t="s">
        <v>1660</v>
      </c>
      <c r="E39" s="1974">
        <v>4520794.1500000004</v>
      </c>
      <c r="F39" s="1974">
        <v>4055360.39</v>
      </c>
      <c r="G39" s="708">
        <f t="shared" si="2"/>
        <v>0</v>
      </c>
      <c r="H39" s="708">
        <f t="shared" si="3"/>
        <v>4520794.1500000004</v>
      </c>
    </row>
    <row r="40" spans="1:9">
      <c r="A40" s="707">
        <v>151</v>
      </c>
      <c r="B40" s="1962">
        <v>15100231</v>
      </c>
      <c r="C40" s="1973"/>
      <c r="D40" s="1973" t="s">
        <v>1661</v>
      </c>
      <c r="E40" s="1974">
        <v>0</v>
      </c>
      <c r="F40" s="1974">
        <v>0</v>
      </c>
      <c r="G40" s="708">
        <f t="shared" si="2"/>
        <v>0</v>
      </c>
      <c r="H40" s="708">
        <f t="shared" si="3"/>
        <v>0</v>
      </c>
    </row>
    <row r="41" spans="1:9">
      <c r="A41" s="707">
        <v>151</v>
      </c>
      <c r="B41" s="1962">
        <v>15100241</v>
      </c>
      <c r="C41" s="1973"/>
      <c r="D41" s="1973" t="s">
        <v>1662</v>
      </c>
      <c r="E41" s="1974">
        <v>0</v>
      </c>
      <c r="F41" s="1974">
        <v>0</v>
      </c>
      <c r="G41" s="708">
        <f t="shared" si="2"/>
        <v>0</v>
      </c>
      <c r="H41" s="708">
        <f t="shared" si="3"/>
        <v>0</v>
      </c>
    </row>
    <row r="42" spans="1:9">
      <c r="A42" s="707">
        <v>151</v>
      </c>
      <c r="B42" s="1962">
        <v>15100251</v>
      </c>
      <c r="C42" s="1973"/>
      <c r="D42" s="1973" t="s">
        <v>1663</v>
      </c>
      <c r="E42" s="1974">
        <v>0</v>
      </c>
      <c r="F42" s="1974">
        <v>0</v>
      </c>
      <c r="G42" s="708">
        <f t="shared" si="2"/>
        <v>0</v>
      </c>
      <c r="H42" s="708">
        <f t="shared" si="3"/>
        <v>0</v>
      </c>
    </row>
    <row r="43" spans="1:9">
      <c r="A43" s="707">
        <v>151</v>
      </c>
      <c r="B43" s="1962">
        <v>15100271</v>
      </c>
      <c r="C43" s="1973"/>
      <c r="D43" s="1973" t="s">
        <v>1664</v>
      </c>
      <c r="E43" s="1974">
        <v>5423022.8600000003</v>
      </c>
      <c r="F43" s="1974">
        <v>2855878.05</v>
      </c>
      <c r="G43" s="708">
        <f t="shared" si="2"/>
        <v>0</v>
      </c>
      <c r="H43" s="708">
        <f t="shared" si="3"/>
        <v>5423022.8600000003</v>
      </c>
    </row>
    <row r="44" spans="1:9">
      <c r="A44" s="707">
        <v>151</v>
      </c>
      <c r="B44" s="1962">
        <v>15100281</v>
      </c>
      <c r="C44" s="1973"/>
      <c r="D44" s="1973" t="s">
        <v>1665</v>
      </c>
      <c r="E44" s="1974">
        <v>0</v>
      </c>
      <c r="F44" s="1974">
        <v>0</v>
      </c>
      <c r="G44" s="708">
        <f t="shared" si="2"/>
        <v>0</v>
      </c>
      <c r="H44" s="708">
        <f t="shared" si="3"/>
        <v>0</v>
      </c>
    </row>
    <row r="45" spans="1:9">
      <c r="A45" s="707">
        <v>151</v>
      </c>
      <c r="B45" s="1962">
        <v>15100291</v>
      </c>
      <c r="C45" s="1973"/>
      <c r="D45" s="1973" t="s">
        <v>1666</v>
      </c>
      <c r="E45" s="1974">
        <v>505718.63</v>
      </c>
      <c r="F45" s="1974">
        <v>319161.65999999997</v>
      </c>
      <c r="G45" s="708">
        <f t="shared" si="2"/>
        <v>0</v>
      </c>
      <c r="H45" s="708">
        <f t="shared" si="3"/>
        <v>505718.63</v>
      </c>
    </row>
    <row r="46" spans="1:9">
      <c r="A46" s="1954">
        <v>151</v>
      </c>
      <c r="B46" s="1972">
        <v>15100301</v>
      </c>
      <c r="C46" s="1960"/>
      <c r="D46" s="1960" t="s">
        <v>6774</v>
      </c>
      <c r="E46" s="1971">
        <v>2438428.86</v>
      </c>
      <c r="F46" s="1971">
        <v>0</v>
      </c>
      <c r="G46" s="722">
        <f t="shared" si="2"/>
        <v>0</v>
      </c>
      <c r="H46" s="722">
        <f t="shared" si="3"/>
        <v>2438428.86</v>
      </c>
      <c r="I46" s="1955" t="s">
        <v>973</v>
      </c>
    </row>
    <row r="47" spans="1:9">
      <c r="A47" s="707">
        <v>151</v>
      </c>
      <c r="B47" s="1962">
        <v>15101001</v>
      </c>
      <c r="C47" s="1973"/>
      <c r="D47" s="1973" t="s">
        <v>1667</v>
      </c>
      <c r="E47" s="1974">
        <v>0</v>
      </c>
      <c r="F47" s="1974">
        <v>0</v>
      </c>
      <c r="G47" s="708">
        <f t="shared" si="2"/>
        <v>0</v>
      </c>
      <c r="H47" s="708">
        <f t="shared" si="3"/>
        <v>0</v>
      </c>
    </row>
    <row r="48" spans="1:9">
      <c r="A48" s="707">
        <v>151</v>
      </c>
      <c r="B48" s="1962">
        <v>15101011</v>
      </c>
      <c r="C48" s="1973"/>
      <c r="D48" s="1973" t="s">
        <v>1668</v>
      </c>
      <c r="E48" s="1974">
        <v>0</v>
      </c>
      <c r="F48" s="1974">
        <v>0</v>
      </c>
      <c r="G48" s="708">
        <f t="shared" si="2"/>
        <v>0</v>
      </c>
      <c r="H48" s="708">
        <f t="shared" si="3"/>
        <v>0</v>
      </c>
    </row>
    <row r="49" spans="1:10">
      <c r="A49" s="707">
        <v>151</v>
      </c>
      <c r="B49" s="1962">
        <v>15111001</v>
      </c>
      <c r="C49" s="1973"/>
      <c r="D49" s="1973" t="s">
        <v>1667</v>
      </c>
      <c r="E49" s="1974">
        <v>402296.77</v>
      </c>
      <c r="F49" s="1974">
        <v>234246.5</v>
      </c>
      <c r="G49" s="708">
        <f t="shared" si="2"/>
        <v>0</v>
      </c>
      <c r="H49" s="708">
        <f t="shared" si="3"/>
        <v>402296.77</v>
      </c>
    </row>
    <row r="50" spans="1:10">
      <c r="A50" s="707">
        <v>151</v>
      </c>
      <c r="B50" s="1962">
        <v>15111011</v>
      </c>
      <c r="C50" s="1973"/>
      <c r="D50" s="1973" t="s">
        <v>1668</v>
      </c>
      <c r="E50" s="1974">
        <v>0</v>
      </c>
      <c r="F50" s="1974">
        <v>0</v>
      </c>
      <c r="G50" s="708">
        <f t="shared" si="2"/>
        <v>0</v>
      </c>
      <c r="H50" s="708">
        <f t="shared" si="3"/>
        <v>0</v>
      </c>
    </row>
    <row r="51" spans="1:10">
      <c r="A51" s="638"/>
      <c r="B51" s="709"/>
      <c r="C51" s="710"/>
      <c r="D51" s="711" t="s">
        <v>104</v>
      </c>
      <c r="E51" s="1958">
        <f>SUM(E22:E50)</f>
        <v>32347790.909999996</v>
      </c>
      <c r="F51" s="1958">
        <f>SUM(F22:F50)</f>
        <v>21182653.030000001</v>
      </c>
      <c r="G51" s="1958">
        <f>SUM(G22:G50)</f>
        <v>296344.58</v>
      </c>
      <c r="H51" s="2279">
        <f>SUM(H22:H50)</f>
        <v>32051446.329999998</v>
      </c>
      <c r="I51" s="1957">
        <f>E51-G51-H51</f>
        <v>0</v>
      </c>
      <c r="J51" s="718" t="s">
        <v>929</v>
      </c>
    </row>
    <row r="52" spans="1:10">
      <c r="B52" s="713"/>
      <c r="D52" s="1952" t="s">
        <v>1643</v>
      </c>
      <c r="E52" s="1956">
        <f>'FERC p110-111 Assets'!D55-E51</f>
        <v>9.0000003576278687E-2</v>
      </c>
      <c r="F52" s="1956">
        <f>'FERC p110-111 Assets'!E55-F51</f>
        <v>-3.0000001192092896E-2</v>
      </c>
    </row>
    <row r="53" spans="1:10" s="706" customFormat="1">
      <c r="A53" s="697" t="s">
        <v>922</v>
      </c>
      <c r="B53" s="719" t="s">
        <v>96</v>
      </c>
      <c r="C53" s="720" t="s">
        <v>924</v>
      </c>
      <c r="D53" s="697" t="s">
        <v>925</v>
      </c>
      <c r="E53" s="721">
        <f>E6</f>
        <v>45291</v>
      </c>
      <c r="F53" s="721">
        <f>F6</f>
        <v>44926</v>
      </c>
    </row>
    <row r="54" spans="1:10" s="706" customFormat="1">
      <c r="A54" s="1954">
        <v>154</v>
      </c>
      <c r="B54" s="1972">
        <v>15400112</v>
      </c>
      <c r="C54" s="1960"/>
      <c r="D54" s="1960" t="s">
        <v>1669</v>
      </c>
      <c r="E54" s="1971">
        <v>3771685.94</v>
      </c>
      <c r="F54" s="1971">
        <v>1808468.48</v>
      </c>
      <c r="G54" s="722">
        <f t="shared" ref="G54:G65" si="4">IF(MID(B54,8,1)="1",0,IF(MID(B54,8,1)="2",E54,E54*$F$3))</f>
        <v>3771685.94</v>
      </c>
      <c r="H54" s="722">
        <f t="shared" ref="H54:H65" si="5">E54-G54</f>
        <v>0</v>
      </c>
      <c r="I54" s="1955" t="s">
        <v>973</v>
      </c>
    </row>
    <row r="55" spans="1:10">
      <c r="A55" s="707">
        <v>154</v>
      </c>
      <c r="B55" s="1975">
        <v>15400023</v>
      </c>
      <c r="C55" s="1962"/>
      <c r="D55" s="1962" t="s">
        <v>1670</v>
      </c>
      <c r="E55" s="1974">
        <v>47967420.619999997</v>
      </c>
      <c r="F55" s="1974">
        <v>52543258.090000004</v>
      </c>
      <c r="G55" s="708">
        <f t="shared" si="4"/>
        <v>16472012.071317321</v>
      </c>
      <c r="H55" s="708">
        <f t="shared" si="5"/>
        <v>31495408.548682675</v>
      </c>
    </row>
    <row r="56" spans="1:10">
      <c r="A56" s="707">
        <v>154</v>
      </c>
      <c r="B56" s="1962">
        <v>15400031</v>
      </c>
      <c r="C56" s="1973"/>
      <c r="D56" s="1973" t="s">
        <v>1671</v>
      </c>
      <c r="E56" s="1970">
        <v>0</v>
      </c>
      <c r="F56" s="1970">
        <v>0</v>
      </c>
      <c r="G56" s="708">
        <f t="shared" si="4"/>
        <v>0</v>
      </c>
      <c r="H56" s="708">
        <f t="shared" si="5"/>
        <v>0</v>
      </c>
    </row>
    <row r="57" spans="1:10">
      <c r="A57" s="707">
        <v>154</v>
      </c>
      <c r="B57" s="1962">
        <v>15400033</v>
      </c>
      <c r="C57" s="1973"/>
      <c r="D57" s="1973" t="s">
        <v>1672</v>
      </c>
      <c r="E57" s="1970">
        <v>-47877483.329999998</v>
      </c>
      <c r="F57" s="1970">
        <v>-52649382.380000003</v>
      </c>
      <c r="G57" s="708">
        <f t="shared" si="4"/>
        <v>-16441127.606249299</v>
      </c>
      <c r="H57" s="708">
        <f t="shared" si="5"/>
        <v>-31436355.723750699</v>
      </c>
    </row>
    <row r="58" spans="1:10">
      <c r="A58" s="707">
        <v>154</v>
      </c>
      <c r="B58" s="1962">
        <v>15400041</v>
      </c>
      <c r="C58" s="1973"/>
      <c r="D58" s="1973" t="s">
        <v>1673</v>
      </c>
      <c r="E58" s="1970">
        <v>8057644.4699999997</v>
      </c>
      <c r="F58" s="1970">
        <v>6982963.3200000003</v>
      </c>
      <c r="G58" s="708">
        <f t="shared" si="4"/>
        <v>0</v>
      </c>
      <c r="H58" s="708">
        <f t="shared" si="5"/>
        <v>8057644.4699999997</v>
      </c>
    </row>
    <row r="59" spans="1:10">
      <c r="A59" s="707">
        <v>154</v>
      </c>
      <c r="B59" s="1962">
        <v>15400061</v>
      </c>
      <c r="C59" s="1973"/>
      <c r="D59" s="1973" t="s">
        <v>1674</v>
      </c>
      <c r="E59" s="1970">
        <v>30968943.530000001</v>
      </c>
      <c r="F59" s="1970">
        <v>25064651.129999999</v>
      </c>
      <c r="G59" s="708">
        <f t="shared" si="4"/>
        <v>0</v>
      </c>
      <c r="H59" s="708">
        <f t="shared" si="5"/>
        <v>30968943.530000001</v>
      </c>
    </row>
    <row r="60" spans="1:10">
      <c r="A60" s="707">
        <v>154</v>
      </c>
      <c r="B60" s="1962">
        <v>15400091</v>
      </c>
      <c r="C60" s="1973"/>
      <c r="D60" s="1973" t="s">
        <v>1675</v>
      </c>
      <c r="E60" s="1970">
        <v>53711.54</v>
      </c>
      <c r="F60" s="1970">
        <v>169145.54</v>
      </c>
      <c r="G60" s="708">
        <f t="shared" si="4"/>
        <v>0</v>
      </c>
      <c r="H60" s="708">
        <f t="shared" si="5"/>
        <v>53711.54</v>
      </c>
    </row>
    <row r="61" spans="1:10">
      <c r="A61" s="707">
        <v>154</v>
      </c>
      <c r="B61" s="1962">
        <v>15400101</v>
      </c>
      <c r="C61" s="1973"/>
      <c r="D61" s="1973" t="s">
        <v>1676</v>
      </c>
      <c r="E61" s="1970">
        <v>97110619.489999995</v>
      </c>
      <c r="F61" s="1970">
        <v>67002929.859999999</v>
      </c>
      <c r="G61" s="708">
        <f t="shared" si="4"/>
        <v>0</v>
      </c>
      <c r="H61" s="708">
        <f t="shared" si="5"/>
        <v>97110619.489999995</v>
      </c>
    </row>
    <row r="62" spans="1:10">
      <c r="A62" s="707">
        <v>154</v>
      </c>
      <c r="B62" s="1962">
        <v>15400102</v>
      </c>
      <c r="C62" s="1973"/>
      <c r="D62" s="1973" t="s">
        <v>1677</v>
      </c>
      <c r="E62" s="1970">
        <v>17769220.5</v>
      </c>
      <c r="F62" s="1970">
        <v>16275698.279999999</v>
      </c>
      <c r="G62" s="708">
        <f t="shared" si="4"/>
        <v>17769220.5</v>
      </c>
      <c r="H62" s="708">
        <f t="shared" si="5"/>
        <v>0</v>
      </c>
    </row>
    <row r="63" spans="1:10">
      <c r="A63" s="707">
        <v>154</v>
      </c>
      <c r="B63" s="1962">
        <v>15400103</v>
      </c>
      <c r="C63" s="1973"/>
      <c r="D63" s="1973" t="s">
        <v>1678</v>
      </c>
      <c r="E63" s="1970">
        <v>13174208.810000001</v>
      </c>
      <c r="F63" s="1970">
        <v>11521435.42</v>
      </c>
      <c r="G63" s="708">
        <f t="shared" si="4"/>
        <v>4524023.2587760733</v>
      </c>
      <c r="H63" s="708">
        <f t="shared" si="5"/>
        <v>8650185.5512239262</v>
      </c>
    </row>
    <row r="64" spans="1:10">
      <c r="A64" s="707">
        <v>154</v>
      </c>
      <c r="B64" s="1962">
        <v>15400181</v>
      </c>
      <c r="C64" s="1973"/>
      <c r="D64" s="1973" t="s">
        <v>1679</v>
      </c>
      <c r="E64" s="1970">
        <v>2863055.87</v>
      </c>
      <c r="F64" s="1970">
        <v>2564732.4</v>
      </c>
      <c r="G64" s="708">
        <f t="shared" si="4"/>
        <v>0</v>
      </c>
      <c r="H64" s="708">
        <f t="shared" si="5"/>
        <v>2863055.87</v>
      </c>
    </row>
    <row r="65" spans="1:14">
      <c r="A65" s="707">
        <v>154</v>
      </c>
      <c r="B65" s="1962">
        <v>15400301</v>
      </c>
      <c r="C65" s="1973"/>
      <c r="D65" s="1973" t="s">
        <v>1680</v>
      </c>
      <c r="E65" s="1970">
        <v>0</v>
      </c>
      <c r="F65" s="1970">
        <v>0</v>
      </c>
      <c r="G65" s="708">
        <f t="shared" si="4"/>
        <v>0</v>
      </c>
      <c r="H65" s="708">
        <f t="shared" si="5"/>
        <v>0</v>
      </c>
    </row>
    <row r="66" spans="1:14">
      <c r="A66" s="638"/>
      <c r="B66" s="709"/>
      <c r="C66" s="710"/>
      <c r="D66" s="711" t="s">
        <v>104</v>
      </c>
      <c r="E66" s="1958">
        <f>SUM(E54:E65)</f>
        <v>173859027.44</v>
      </c>
      <c r="F66" s="1958">
        <f>SUM(F54:F65)</f>
        <v>131283900.14</v>
      </c>
      <c r="G66" s="1958">
        <f>SUM(G54:G65)</f>
        <v>26095814.163844094</v>
      </c>
      <c r="H66" s="2279">
        <f>SUM(H54:H65)</f>
        <v>147763213.27615592</v>
      </c>
      <c r="I66" s="1957">
        <f>E66-G66-H66</f>
        <v>0</v>
      </c>
      <c r="J66" s="718" t="s">
        <v>929</v>
      </c>
    </row>
    <row r="67" spans="1:14">
      <c r="B67" s="713"/>
      <c r="D67" s="1952" t="s">
        <v>1643</v>
      </c>
      <c r="E67" s="1956">
        <f>'FERC p110-111 Assets'!D58-E66</f>
        <v>-0.43999999761581421</v>
      </c>
      <c r="F67" s="1956">
        <f>'FERC p110-111 Assets'!E58-F66</f>
        <v>-0.14000000059604645</v>
      </c>
    </row>
    <row r="68" spans="1:14" s="706" customFormat="1">
      <c r="A68" s="697" t="s">
        <v>922</v>
      </c>
      <c r="B68" s="719" t="s">
        <v>96</v>
      </c>
      <c r="C68" s="720" t="s">
        <v>924</v>
      </c>
      <c r="D68" s="697" t="s">
        <v>925</v>
      </c>
      <c r="E68" s="723">
        <f>E53</f>
        <v>45291</v>
      </c>
      <c r="F68" s="723">
        <f>F53</f>
        <v>44926</v>
      </c>
    </row>
    <row r="69" spans="1:14">
      <c r="A69" s="707">
        <v>156</v>
      </c>
      <c r="B69" s="1962">
        <v>15600003</v>
      </c>
      <c r="C69" s="1962"/>
      <c r="D69" s="1962" t="s">
        <v>1681</v>
      </c>
      <c r="E69" s="1967">
        <v>0</v>
      </c>
      <c r="F69" s="1970">
        <v>221956.78</v>
      </c>
      <c r="G69" s="708">
        <f>IF(MID(B69,8,1)="1",0,IF(MID(B69,8,1)="2",E69,E69*$F$3))</f>
        <v>0</v>
      </c>
      <c r="H69" s="708">
        <f>E69-G69</f>
        <v>0</v>
      </c>
    </row>
    <row r="70" spans="1:14">
      <c r="A70" s="638"/>
      <c r="B70" s="709"/>
      <c r="C70" s="710"/>
      <c r="D70" s="711" t="s">
        <v>104</v>
      </c>
      <c r="E70" s="1958">
        <f>SUM(E69:E69)</f>
        <v>0</v>
      </c>
      <c r="F70" s="1958">
        <f>SUM(F69:F69)</f>
        <v>221956.78</v>
      </c>
      <c r="G70" s="1958">
        <f>SUM(G69:G69)</f>
        <v>0</v>
      </c>
      <c r="H70" s="2279">
        <f>SUM(H69:H69)</f>
        <v>0</v>
      </c>
      <c r="I70" s="1957">
        <f>E70-G70-H70</f>
        <v>0</v>
      </c>
      <c r="J70" s="718" t="s">
        <v>929</v>
      </c>
    </row>
    <row r="71" spans="1:14" ht="12" thickBot="1">
      <c r="B71" s="713"/>
      <c r="D71" s="1952" t="s">
        <v>1643</v>
      </c>
      <c r="E71" s="1956">
        <f>'FERC p110-111 Assets'!D60-E70</f>
        <v>0</v>
      </c>
      <c r="F71" s="1956">
        <f>'FERC p110-111 Assets'!E60-F70</f>
        <v>0.22000000000116415</v>
      </c>
    </row>
    <row r="72" spans="1:14" s="706" customFormat="1">
      <c r="A72" s="697" t="s">
        <v>922</v>
      </c>
      <c r="B72" s="719" t="s">
        <v>96</v>
      </c>
      <c r="C72" s="720" t="s">
        <v>924</v>
      </c>
      <c r="D72" s="697" t="s">
        <v>925</v>
      </c>
      <c r="E72" s="715">
        <f>E68</f>
        <v>45291</v>
      </c>
      <c r="F72" s="715">
        <f>F68</f>
        <v>44926</v>
      </c>
      <c r="K72" s="1982" t="s">
        <v>8352</v>
      </c>
      <c r="L72" s="1983"/>
      <c r="M72" s="1983"/>
      <c r="N72" s="1984"/>
    </row>
    <row r="73" spans="1:14">
      <c r="A73" s="707">
        <v>158</v>
      </c>
      <c r="B73" s="1962">
        <v>15810001</v>
      </c>
      <c r="C73" s="1962"/>
      <c r="D73" s="1962" t="s">
        <v>1682</v>
      </c>
      <c r="E73" s="1967">
        <v>896933</v>
      </c>
      <c r="F73" s="1970">
        <v>731066.82</v>
      </c>
      <c r="G73" s="708">
        <f t="shared" ref="G73:G79" si="6">IF(MID(B73,8,1)="1",0,IF(MID(B73,8,1)="2",E73,E73*$F$3))</f>
        <v>0</v>
      </c>
      <c r="H73" s="708">
        <f t="shared" ref="H73:H79" si="7">E73-G73</f>
        <v>896933</v>
      </c>
      <c r="K73" s="1985">
        <v>19836872.25</v>
      </c>
      <c r="L73" s="1986" t="s">
        <v>510</v>
      </c>
      <c r="M73" s="1987">
        <v>65000010</v>
      </c>
      <c r="N73" s="1988">
        <v>55500628</v>
      </c>
    </row>
    <row r="74" spans="1:14">
      <c r="A74" s="1954">
        <v>158</v>
      </c>
      <c r="B74" s="1972">
        <v>15810011</v>
      </c>
      <c r="C74" s="1960"/>
      <c r="D74" s="1960" t="s">
        <v>6768</v>
      </c>
      <c r="E74" s="1971">
        <v>0</v>
      </c>
      <c r="F74" s="1971">
        <v>0</v>
      </c>
      <c r="G74" s="722">
        <f t="shared" si="6"/>
        <v>0</v>
      </c>
      <c r="H74" s="722">
        <f t="shared" si="7"/>
        <v>0</v>
      </c>
      <c r="I74" s="1955" t="s">
        <v>973</v>
      </c>
      <c r="K74" s="1985">
        <v>-19836872.25</v>
      </c>
      <c r="L74" s="1986" t="s">
        <v>510</v>
      </c>
      <c r="M74" s="1987">
        <v>15810021</v>
      </c>
      <c r="N74" s="1988"/>
    </row>
    <row r="75" spans="1:14">
      <c r="A75" s="1954">
        <v>158</v>
      </c>
      <c r="B75" s="1972">
        <v>15810012</v>
      </c>
      <c r="C75" s="1960"/>
      <c r="D75" s="1960" t="s">
        <v>6769</v>
      </c>
      <c r="E75" s="1971">
        <v>0</v>
      </c>
      <c r="F75" s="1971">
        <v>0</v>
      </c>
      <c r="G75" s="722">
        <f t="shared" si="6"/>
        <v>0</v>
      </c>
      <c r="H75" s="722">
        <f t="shared" si="7"/>
        <v>0</v>
      </c>
      <c r="I75" s="1955" t="s">
        <v>973</v>
      </c>
      <c r="K75" s="1989">
        <f>SUM(K73:K74)</f>
        <v>0</v>
      </c>
      <c r="L75" s="1990"/>
      <c r="M75" s="1990"/>
      <c r="N75" s="1988"/>
    </row>
    <row r="76" spans="1:14">
      <c r="A76" s="1954">
        <v>158</v>
      </c>
      <c r="B76" s="1979">
        <v>15810021</v>
      </c>
      <c r="C76" s="1980"/>
      <c r="D76" s="1980" t="s">
        <v>6770</v>
      </c>
      <c r="E76" s="1981">
        <f>-75038011.52+K74</f>
        <v>-94874883.769999996</v>
      </c>
      <c r="F76" s="1971">
        <v>0</v>
      </c>
      <c r="G76" s="722">
        <f t="shared" si="6"/>
        <v>0</v>
      </c>
      <c r="H76" s="722">
        <f t="shared" si="7"/>
        <v>-94874883.769999996</v>
      </c>
      <c r="I76" s="1955" t="s">
        <v>973</v>
      </c>
      <c r="K76" s="1985"/>
      <c r="L76" s="1991"/>
      <c r="M76" s="1991"/>
      <c r="N76" s="1992"/>
    </row>
    <row r="77" spans="1:14">
      <c r="A77" s="2282">
        <v>158</v>
      </c>
      <c r="B77" s="2283">
        <v>15810022</v>
      </c>
      <c r="C77" s="2284"/>
      <c r="D77" s="2284" t="s">
        <v>6771</v>
      </c>
      <c r="E77" s="2285">
        <v>-74004089</v>
      </c>
      <c r="F77" s="2285">
        <v>0</v>
      </c>
      <c r="G77" s="2286">
        <f t="shared" si="6"/>
        <v>-74004089</v>
      </c>
      <c r="H77" s="2286">
        <f t="shared" si="7"/>
        <v>0</v>
      </c>
      <c r="I77" s="1955" t="s">
        <v>973</v>
      </c>
      <c r="J77" s="2287" t="s">
        <v>8372</v>
      </c>
      <c r="K77" s="1985">
        <v>19836872.25</v>
      </c>
      <c r="L77" s="1986" t="s">
        <v>510</v>
      </c>
      <c r="M77" s="1987">
        <v>18239831</v>
      </c>
      <c r="N77" s="1988"/>
    </row>
    <row r="78" spans="1:14">
      <c r="A78" s="1954">
        <v>158</v>
      </c>
      <c r="B78" s="1972">
        <v>15810032</v>
      </c>
      <c r="C78" s="1960"/>
      <c r="D78" s="1960" t="s">
        <v>6772</v>
      </c>
      <c r="E78" s="1971">
        <v>937450</v>
      </c>
      <c r="F78" s="1971">
        <v>0</v>
      </c>
      <c r="G78" s="722">
        <f t="shared" si="6"/>
        <v>937450</v>
      </c>
      <c r="H78" s="722">
        <f t="shared" si="7"/>
        <v>0</v>
      </c>
      <c r="I78" s="1955" t="s">
        <v>973</v>
      </c>
      <c r="K78" s="1985">
        <v>-19836872.25</v>
      </c>
      <c r="L78" s="1986" t="s">
        <v>510</v>
      </c>
      <c r="M78" s="1987">
        <v>65000010</v>
      </c>
      <c r="N78" s="1988">
        <v>40740275</v>
      </c>
    </row>
    <row r="79" spans="1:14" ht="12" thickBot="1">
      <c r="A79" s="1954">
        <v>158</v>
      </c>
      <c r="B79" s="1972">
        <v>15810042</v>
      </c>
      <c r="C79" s="1960"/>
      <c r="D79" s="1960" t="s">
        <v>6773</v>
      </c>
      <c r="E79" s="1971">
        <v>-937450</v>
      </c>
      <c r="F79" s="1971">
        <v>0</v>
      </c>
      <c r="G79" s="722">
        <f t="shared" si="6"/>
        <v>-937450</v>
      </c>
      <c r="H79" s="722">
        <f t="shared" si="7"/>
        <v>0</v>
      </c>
      <c r="I79" s="1955" t="s">
        <v>973</v>
      </c>
      <c r="K79" s="1993">
        <f>SUM(K77:K78)</f>
        <v>0</v>
      </c>
      <c r="L79" s="1994"/>
      <c r="M79" s="1994"/>
      <c r="N79" s="1995"/>
    </row>
    <row r="80" spans="1:14">
      <c r="A80" s="638"/>
      <c r="B80" s="709"/>
      <c r="C80" s="710"/>
      <c r="D80" s="711" t="s">
        <v>104</v>
      </c>
      <c r="E80" s="1958">
        <f>SUM(E73:E79)</f>
        <v>-167982039.76999998</v>
      </c>
      <c r="F80" s="1958">
        <f>SUM(F73:F79)</f>
        <v>731066.82</v>
      </c>
      <c r="G80" s="1958">
        <f>SUM(G73:G79)</f>
        <v>-74004089</v>
      </c>
      <c r="H80" s="2279">
        <f>SUM(H73:H79)</f>
        <v>-93977950.769999996</v>
      </c>
      <c r="I80" s="1957">
        <f>E80-G80-H80</f>
        <v>0</v>
      </c>
      <c r="J80" s="718" t="s">
        <v>929</v>
      </c>
      <c r="K80" s="746"/>
    </row>
    <row r="81" spans="1:10">
      <c r="B81" s="713"/>
      <c r="D81" s="1952" t="s">
        <v>1643</v>
      </c>
      <c r="E81" s="1956">
        <f>'FERC p110-111 Assets'!D62-E80</f>
        <v>-0.23000001907348633</v>
      </c>
      <c r="F81" s="1956">
        <f>'FERC p110-111 Assets'!E62-F80</f>
        <v>0.18000000005122274</v>
      </c>
    </row>
    <row r="82" spans="1:10" s="706" customFormat="1">
      <c r="A82" s="697" t="s">
        <v>922</v>
      </c>
      <c r="B82" s="719" t="s">
        <v>96</v>
      </c>
      <c r="C82" s="720" t="s">
        <v>924</v>
      </c>
      <c r="D82" s="697" t="s">
        <v>925</v>
      </c>
      <c r="E82" s="715">
        <f>E6</f>
        <v>45291</v>
      </c>
      <c r="F82" s="715">
        <f>F6</f>
        <v>44926</v>
      </c>
    </row>
    <row r="83" spans="1:10">
      <c r="A83" s="707">
        <v>163</v>
      </c>
      <c r="B83" s="1962">
        <v>16300023</v>
      </c>
      <c r="C83" s="1962"/>
      <c r="D83" s="1962" t="s">
        <v>1683</v>
      </c>
      <c r="E83" s="1967">
        <v>-1573199.94</v>
      </c>
      <c r="F83" s="1970">
        <v>-270681.40000000002</v>
      </c>
      <c r="G83" s="708">
        <f>IF(MID(B83,8,1)="1",0,IF(MID(B83,8,1)="2",E83,E83*$F$3))</f>
        <v>-540236.85383389052</v>
      </c>
      <c r="H83" s="708">
        <f>E83-G83</f>
        <v>-1032963.0861661094</v>
      </c>
    </row>
    <row r="84" spans="1:10">
      <c r="A84" s="707">
        <v>163</v>
      </c>
      <c r="B84" s="1962">
        <v>16300063</v>
      </c>
      <c r="C84" s="1962"/>
      <c r="D84" s="1962" t="s">
        <v>1684</v>
      </c>
      <c r="E84" s="1967">
        <v>260647.19</v>
      </c>
      <c r="F84" s="1970">
        <v>427506.02</v>
      </c>
      <c r="G84" s="708">
        <f>IF(MID(B84,8,1)="1",0,IF(MID(B84,8,1)="2",E84,E84*$F$3))</f>
        <v>89506.244124471748</v>
      </c>
      <c r="H84" s="708">
        <f>E84-G84</f>
        <v>171140.94587552827</v>
      </c>
    </row>
    <row r="85" spans="1:10">
      <c r="A85" s="707">
        <v>163</v>
      </c>
      <c r="B85" s="1962">
        <v>16300093</v>
      </c>
      <c r="C85" s="1962"/>
      <c r="D85" s="1962" t="s">
        <v>1685</v>
      </c>
      <c r="E85" s="1967">
        <v>0</v>
      </c>
      <c r="F85" s="1970">
        <v>0</v>
      </c>
      <c r="G85" s="708">
        <f>IF(MID(B85,8,1)="1",0,IF(MID(B85,8,1)="2",E85,E85*$F$3))</f>
        <v>0</v>
      </c>
      <c r="H85" s="708">
        <f>E85-G85</f>
        <v>0</v>
      </c>
    </row>
    <row r="86" spans="1:10">
      <c r="A86" s="638"/>
      <c r="B86" s="709"/>
      <c r="C86" s="710"/>
      <c r="D86" s="711" t="s">
        <v>104</v>
      </c>
      <c r="E86" s="1958">
        <f>SUM(E83:E85)</f>
        <v>-1312552.75</v>
      </c>
      <c r="F86" s="1958">
        <f>SUM(F83:F85)</f>
        <v>156824.62</v>
      </c>
      <c r="G86" s="1958">
        <f>SUM(G83:G85)</f>
        <v>-450730.60970941879</v>
      </c>
      <c r="H86" s="2279">
        <f>SUM(H83:H85)</f>
        <v>-861822.14029058116</v>
      </c>
      <c r="I86" s="1957">
        <f>E86-G86-H86</f>
        <v>0</v>
      </c>
      <c r="J86" s="718" t="s">
        <v>929</v>
      </c>
    </row>
    <row r="87" spans="1:10">
      <c r="B87" s="713"/>
      <c r="D87" s="1952" t="s">
        <v>1643</v>
      </c>
      <c r="E87" s="1956">
        <f>'FERC p110-111 Assets'!D67-E86</f>
        <v>-0.25</v>
      </c>
      <c r="F87" s="1956">
        <f>'FERC p110-111 Assets'!E67-F86</f>
        <v>0.38000000000465661</v>
      </c>
    </row>
    <row r="88" spans="1:10" s="706" customFormat="1">
      <c r="A88" s="697" t="s">
        <v>922</v>
      </c>
      <c r="B88" s="719" t="s">
        <v>96</v>
      </c>
      <c r="C88" s="720" t="s">
        <v>924</v>
      </c>
      <c r="D88" s="697" t="s">
        <v>925</v>
      </c>
      <c r="E88" s="715">
        <f>E6</f>
        <v>45291</v>
      </c>
      <c r="F88" s="715">
        <f>F6</f>
        <v>44926</v>
      </c>
    </row>
    <row r="89" spans="1:10">
      <c r="A89" s="707">
        <v>165</v>
      </c>
      <c r="B89" s="1962">
        <v>16500012</v>
      </c>
      <c r="C89" s="1962"/>
      <c r="D89" s="1962" t="s">
        <v>1686</v>
      </c>
      <c r="E89" s="1967">
        <v>0</v>
      </c>
      <c r="F89" s="1967">
        <v>0</v>
      </c>
      <c r="G89" s="708">
        <f t="shared" ref="G89:G152" si="8">IF(MID(B89,8,1)="1",0,IF(MID(B89,8,1)="2",E89,E89*$F$3))</f>
        <v>0</v>
      </c>
      <c r="H89" s="708">
        <f t="shared" ref="H89:H152" si="9">E89-G89</f>
        <v>0</v>
      </c>
    </row>
    <row r="90" spans="1:10">
      <c r="A90" s="707">
        <v>165</v>
      </c>
      <c r="B90" s="1962">
        <v>16500013</v>
      </c>
      <c r="C90" s="1962"/>
      <c r="D90" s="1962" t="s">
        <v>1687</v>
      </c>
      <c r="E90" s="1967">
        <v>0</v>
      </c>
      <c r="F90" s="1967">
        <v>0</v>
      </c>
      <c r="G90" s="708">
        <f t="shared" si="8"/>
        <v>0</v>
      </c>
      <c r="H90" s="708">
        <f t="shared" si="9"/>
        <v>0</v>
      </c>
    </row>
    <row r="91" spans="1:10">
      <c r="A91" s="707">
        <v>165</v>
      </c>
      <c r="B91" s="1962">
        <v>16500021</v>
      </c>
      <c r="C91" s="1962"/>
      <c r="D91" s="1962" t="s">
        <v>1688</v>
      </c>
      <c r="E91" s="1967">
        <v>0</v>
      </c>
      <c r="F91" s="1967">
        <v>0</v>
      </c>
      <c r="G91" s="708">
        <f t="shared" si="8"/>
        <v>0</v>
      </c>
      <c r="H91" s="708">
        <f t="shared" si="9"/>
        <v>0</v>
      </c>
    </row>
    <row r="92" spans="1:10">
      <c r="A92" s="707">
        <v>165</v>
      </c>
      <c r="B92" s="1962">
        <v>16500022</v>
      </c>
      <c r="C92" s="1962"/>
      <c r="D92" s="1962" t="s">
        <v>1689</v>
      </c>
      <c r="E92" s="1967">
        <v>0</v>
      </c>
      <c r="F92" s="1967">
        <v>0</v>
      </c>
      <c r="G92" s="708">
        <f t="shared" si="8"/>
        <v>0</v>
      </c>
      <c r="H92" s="708">
        <f t="shared" si="9"/>
        <v>0</v>
      </c>
    </row>
    <row r="93" spans="1:10">
      <c r="A93" s="707">
        <v>165</v>
      </c>
      <c r="B93" s="1962">
        <v>16500033</v>
      </c>
      <c r="C93" s="1962"/>
      <c r="D93" s="1962" t="s">
        <v>1690</v>
      </c>
      <c r="E93" s="1967">
        <v>0</v>
      </c>
      <c r="F93" s="1967">
        <v>0</v>
      </c>
      <c r="G93" s="708">
        <f t="shared" si="8"/>
        <v>0</v>
      </c>
      <c r="H93" s="708">
        <f t="shared" si="9"/>
        <v>0</v>
      </c>
    </row>
    <row r="94" spans="1:10">
      <c r="A94" s="707">
        <v>165</v>
      </c>
      <c r="B94" s="1962">
        <v>16500051</v>
      </c>
      <c r="C94" s="1962"/>
      <c r="D94" s="1962" t="s">
        <v>1691</v>
      </c>
      <c r="E94" s="1967">
        <v>0</v>
      </c>
      <c r="F94" s="1967">
        <v>0</v>
      </c>
      <c r="G94" s="708">
        <f t="shared" si="8"/>
        <v>0</v>
      </c>
      <c r="H94" s="708">
        <f t="shared" si="9"/>
        <v>0</v>
      </c>
    </row>
    <row r="95" spans="1:10">
      <c r="A95" s="707">
        <v>165</v>
      </c>
      <c r="B95" s="1962">
        <v>16500063</v>
      </c>
      <c r="C95" s="1962"/>
      <c r="D95" s="1962" t="s">
        <v>1692</v>
      </c>
      <c r="E95" s="1967">
        <v>0</v>
      </c>
      <c r="F95" s="1967">
        <v>0</v>
      </c>
      <c r="G95" s="708">
        <f t="shared" si="8"/>
        <v>0</v>
      </c>
      <c r="H95" s="708">
        <f t="shared" si="9"/>
        <v>0</v>
      </c>
    </row>
    <row r="96" spans="1:10">
      <c r="A96" s="707">
        <v>165</v>
      </c>
      <c r="B96" s="1962">
        <v>16500071</v>
      </c>
      <c r="C96" s="1962"/>
      <c r="D96" s="1962" t="s">
        <v>1693</v>
      </c>
      <c r="E96" s="1967">
        <v>0</v>
      </c>
      <c r="F96" s="1967">
        <v>0</v>
      </c>
      <c r="G96" s="708">
        <f t="shared" si="8"/>
        <v>0</v>
      </c>
      <c r="H96" s="708">
        <f t="shared" si="9"/>
        <v>0</v>
      </c>
    </row>
    <row r="97" spans="1:8">
      <c r="A97" s="707">
        <v>165</v>
      </c>
      <c r="B97" s="1962">
        <v>16500073</v>
      </c>
      <c r="C97" s="1962"/>
      <c r="D97" s="1962" t="s">
        <v>1694</v>
      </c>
      <c r="E97" s="1967">
        <v>0</v>
      </c>
      <c r="F97" s="1967">
        <v>0</v>
      </c>
      <c r="G97" s="708">
        <f t="shared" si="8"/>
        <v>0</v>
      </c>
      <c r="H97" s="708">
        <f t="shared" si="9"/>
        <v>0</v>
      </c>
    </row>
    <row r="98" spans="1:8">
      <c r="A98" s="707">
        <v>165</v>
      </c>
      <c r="B98" s="1962">
        <v>16500081</v>
      </c>
      <c r="C98" s="1962"/>
      <c r="D98" s="1962" t="s">
        <v>1695</v>
      </c>
      <c r="E98" s="1967">
        <v>0</v>
      </c>
      <c r="F98" s="1967">
        <v>0</v>
      </c>
      <c r="G98" s="708">
        <f t="shared" si="8"/>
        <v>0</v>
      </c>
      <c r="H98" s="708">
        <f t="shared" si="9"/>
        <v>0</v>
      </c>
    </row>
    <row r="99" spans="1:8">
      <c r="A99" s="707">
        <v>165</v>
      </c>
      <c r="B99" s="1962">
        <v>16500083</v>
      </c>
      <c r="C99" s="1962"/>
      <c r="D99" s="1962" t="s">
        <v>1696</v>
      </c>
      <c r="E99" s="1967">
        <v>0</v>
      </c>
      <c r="F99" s="1967">
        <v>0</v>
      </c>
      <c r="G99" s="708">
        <f t="shared" si="8"/>
        <v>0</v>
      </c>
      <c r="H99" s="708">
        <f t="shared" si="9"/>
        <v>0</v>
      </c>
    </row>
    <row r="100" spans="1:8">
      <c r="A100" s="707">
        <v>165</v>
      </c>
      <c r="B100" s="1962">
        <v>16500091</v>
      </c>
      <c r="C100" s="1962"/>
      <c r="D100" s="1962" t="s">
        <v>1697</v>
      </c>
      <c r="E100" s="1967">
        <v>0</v>
      </c>
      <c r="F100" s="1967">
        <v>0</v>
      </c>
      <c r="G100" s="708">
        <f t="shared" si="8"/>
        <v>0</v>
      </c>
      <c r="H100" s="708">
        <f t="shared" si="9"/>
        <v>0</v>
      </c>
    </row>
    <row r="101" spans="1:8">
      <c r="A101" s="707">
        <v>165</v>
      </c>
      <c r="B101" s="1962">
        <v>16500093</v>
      </c>
      <c r="C101" s="1962"/>
      <c r="D101" s="1962" t="s">
        <v>1698</v>
      </c>
      <c r="E101" s="1967">
        <v>0</v>
      </c>
      <c r="F101" s="1967">
        <v>0</v>
      </c>
      <c r="G101" s="708">
        <f t="shared" si="8"/>
        <v>0</v>
      </c>
      <c r="H101" s="708">
        <f t="shared" si="9"/>
        <v>0</v>
      </c>
    </row>
    <row r="102" spans="1:8">
      <c r="A102" s="707">
        <v>165</v>
      </c>
      <c r="B102" s="1962">
        <v>16500101</v>
      </c>
      <c r="C102" s="1962"/>
      <c r="D102" s="1962" t="s">
        <v>1699</v>
      </c>
      <c r="E102" s="1967">
        <v>0</v>
      </c>
      <c r="F102" s="1967">
        <v>0</v>
      </c>
      <c r="G102" s="708">
        <f t="shared" si="8"/>
        <v>0</v>
      </c>
      <c r="H102" s="708">
        <f t="shared" si="9"/>
        <v>0</v>
      </c>
    </row>
    <row r="103" spans="1:8">
      <c r="A103" s="707">
        <v>165</v>
      </c>
      <c r="B103" s="1962">
        <v>16500103</v>
      </c>
      <c r="C103" s="1962"/>
      <c r="D103" s="1962" t="s">
        <v>1700</v>
      </c>
      <c r="E103" s="1967">
        <v>0</v>
      </c>
      <c r="F103" s="1967">
        <v>0</v>
      </c>
      <c r="G103" s="708">
        <f t="shared" si="8"/>
        <v>0</v>
      </c>
      <c r="H103" s="708">
        <f t="shared" si="9"/>
        <v>0</v>
      </c>
    </row>
    <row r="104" spans="1:8">
      <c r="A104" s="707">
        <v>165</v>
      </c>
      <c r="B104" s="1962">
        <v>16500113</v>
      </c>
      <c r="C104" s="1962"/>
      <c r="D104" s="1962" t="s">
        <v>1701</v>
      </c>
      <c r="E104" s="1967">
        <v>0</v>
      </c>
      <c r="F104" s="1967">
        <v>0</v>
      </c>
      <c r="G104" s="708">
        <f t="shared" si="8"/>
        <v>0</v>
      </c>
      <c r="H104" s="708">
        <f t="shared" si="9"/>
        <v>0</v>
      </c>
    </row>
    <row r="105" spans="1:8">
      <c r="A105" s="707">
        <v>165</v>
      </c>
      <c r="B105" s="1962">
        <v>16500123</v>
      </c>
      <c r="C105" s="1962"/>
      <c r="D105" s="1962" t="s">
        <v>1702</v>
      </c>
      <c r="E105" s="1967">
        <v>0</v>
      </c>
      <c r="F105" s="1967">
        <v>0</v>
      </c>
      <c r="G105" s="708">
        <f t="shared" si="8"/>
        <v>0</v>
      </c>
      <c r="H105" s="708">
        <f t="shared" si="9"/>
        <v>0</v>
      </c>
    </row>
    <row r="106" spans="1:8">
      <c r="A106" s="707">
        <v>165</v>
      </c>
      <c r="B106" s="1962">
        <v>16500143</v>
      </c>
      <c r="C106" s="1962"/>
      <c r="D106" s="1962" t="s">
        <v>1703</v>
      </c>
      <c r="E106" s="1967">
        <v>0</v>
      </c>
      <c r="F106" s="1967">
        <v>0</v>
      </c>
      <c r="G106" s="708">
        <f t="shared" si="8"/>
        <v>0</v>
      </c>
      <c r="H106" s="708">
        <f t="shared" si="9"/>
        <v>0</v>
      </c>
    </row>
    <row r="107" spans="1:8">
      <c r="A107" s="707">
        <v>165</v>
      </c>
      <c r="B107" s="1962">
        <v>16500153</v>
      </c>
      <c r="C107" s="1962"/>
      <c r="D107" s="1962" t="s">
        <v>1704</v>
      </c>
      <c r="E107" s="1967">
        <v>0</v>
      </c>
      <c r="F107" s="1967">
        <v>0</v>
      </c>
      <c r="G107" s="708">
        <f t="shared" si="8"/>
        <v>0</v>
      </c>
      <c r="H107" s="708">
        <f t="shared" si="9"/>
        <v>0</v>
      </c>
    </row>
    <row r="108" spans="1:8">
      <c r="A108" s="707">
        <v>165</v>
      </c>
      <c r="B108" s="1962">
        <v>16500163</v>
      </c>
      <c r="C108" s="1962"/>
      <c r="D108" s="1962" t="s">
        <v>1705</v>
      </c>
      <c r="E108" s="1967">
        <v>0</v>
      </c>
      <c r="F108" s="1967">
        <v>0</v>
      </c>
      <c r="G108" s="708">
        <f t="shared" si="8"/>
        <v>0</v>
      </c>
      <c r="H108" s="708">
        <f t="shared" si="9"/>
        <v>0</v>
      </c>
    </row>
    <row r="109" spans="1:8">
      <c r="A109" s="707">
        <v>165</v>
      </c>
      <c r="B109" s="1962">
        <v>16500173</v>
      </c>
      <c r="C109" s="1962"/>
      <c r="D109" s="1962" t="s">
        <v>1706</v>
      </c>
      <c r="E109" s="1967">
        <v>0</v>
      </c>
      <c r="F109" s="1967">
        <v>0</v>
      </c>
      <c r="G109" s="708">
        <f t="shared" si="8"/>
        <v>0</v>
      </c>
      <c r="H109" s="708">
        <f t="shared" si="9"/>
        <v>0</v>
      </c>
    </row>
    <row r="110" spans="1:8">
      <c r="A110" s="707">
        <v>165</v>
      </c>
      <c r="B110" s="1962">
        <v>16500183</v>
      </c>
      <c r="C110" s="1962"/>
      <c r="D110" s="1962" t="s">
        <v>1707</v>
      </c>
      <c r="E110" s="1967">
        <v>0</v>
      </c>
      <c r="F110" s="1967">
        <v>0</v>
      </c>
      <c r="G110" s="708">
        <f t="shared" si="8"/>
        <v>0</v>
      </c>
      <c r="H110" s="708">
        <f t="shared" si="9"/>
        <v>0</v>
      </c>
    </row>
    <row r="111" spans="1:8">
      <c r="A111" s="707">
        <v>165</v>
      </c>
      <c r="B111" s="1962">
        <v>16500193</v>
      </c>
      <c r="C111" s="1962"/>
      <c r="D111" s="1962" t="s">
        <v>1708</v>
      </c>
      <c r="E111" s="1967">
        <v>0</v>
      </c>
      <c r="F111" s="1967">
        <v>0</v>
      </c>
      <c r="G111" s="708">
        <f t="shared" si="8"/>
        <v>0</v>
      </c>
      <c r="H111" s="708">
        <f t="shared" si="9"/>
        <v>0</v>
      </c>
    </row>
    <row r="112" spans="1:8">
      <c r="A112" s="707">
        <v>165</v>
      </c>
      <c r="B112" s="1962">
        <v>16500213</v>
      </c>
      <c r="C112" s="1962"/>
      <c r="D112" s="1962" t="s">
        <v>1709</v>
      </c>
      <c r="E112" s="1967">
        <v>0</v>
      </c>
      <c r="F112" s="1967">
        <v>0</v>
      </c>
      <c r="G112" s="708">
        <f t="shared" si="8"/>
        <v>0</v>
      </c>
      <c r="H112" s="708">
        <f t="shared" si="9"/>
        <v>0</v>
      </c>
    </row>
    <row r="113" spans="1:8">
      <c r="A113" s="707">
        <v>165</v>
      </c>
      <c r="B113" s="1962">
        <v>16500223</v>
      </c>
      <c r="C113" s="1962"/>
      <c r="D113" s="1962" t="s">
        <v>1710</v>
      </c>
      <c r="E113" s="1967">
        <v>0</v>
      </c>
      <c r="F113" s="1967">
        <v>0</v>
      </c>
      <c r="G113" s="708">
        <f t="shared" si="8"/>
        <v>0</v>
      </c>
      <c r="H113" s="708">
        <f t="shared" si="9"/>
        <v>0</v>
      </c>
    </row>
    <row r="114" spans="1:8">
      <c r="A114" s="707">
        <v>165</v>
      </c>
      <c r="B114" s="1962">
        <v>16500251</v>
      </c>
      <c r="C114" s="1962"/>
      <c r="D114" s="1962" t="s">
        <v>1711</v>
      </c>
      <c r="E114" s="1967">
        <v>0</v>
      </c>
      <c r="F114" s="1967">
        <v>0</v>
      </c>
      <c r="G114" s="708">
        <f t="shared" si="8"/>
        <v>0</v>
      </c>
      <c r="H114" s="708">
        <f t="shared" si="9"/>
        <v>0</v>
      </c>
    </row>
    <row r="115" spans="1:8">
      <c r="A115" s="707">
        <v>165</v>
      </c>
      <c r="B115" s="1962">
        <v>16500253</v>
      </c>
      <c r="C115" s="1962"/>
      <c r="D115" s="1962" t="s">
        <v>1712</v>
      </c>
      <c r="E115" s="1967">
        <v>0</v>
      </c>
      <c r="F115" s="1967">
        <v>0</v>
      </c>
      <c r="G115" s="708">
        <f t="shared" si="8"/>
        <v>0</v>
      </c>
      <c r="H115" s="708">
        <f t="shared" si="9"/>
        <v>0</v>
      </c>
    </row>
    <row r="116" spans="1:8">
      <c r="A116" s="707">
        <v>165</v>
      </c>
      <c r="B116" s="1962">
        <v>16500283</v>
      </c>
      <c r="C116" s="1962"/>
      <c r="D116" s="1962" t="s">
        <v>1713</v>
      </c>
      <c r="E116" s="1967">
        <v>0</v>
      </c>
      <c r="F116" s="1967">
        <v>0</v>
      </c>
      <c r="G116" s="708">
        <f t="shared" si="8"/>
        <v>0</v>
      </c>
      <c r="H116" s="708">
        <f t="shared" si="9"/>
        <v>0</v>
      </c>
    </row>
    <row r="117" spans="1:8">
      <c r="A117" s="707">
        <v>165</v>
      </c>
      <c r="B117" s="1962">
        <v>16500303</v>
      </c>
      <c r="C117" s="1962"/>
      <c r="D117" s="1962" t="s">
        <v>1714</v>
      </c>
      <c r="E117" s="1967">
        <v>0</v>
      </c>
      <c r="F117" s="1967">
        <v>0</v>
      </c>
      <c r="G117" s="708">
        <f t="shared" si="8"/>
        <v>0</v>
      </c>
      <c r="H117" s="708">
        <f t="shared" si="9"/>
        <v>0</v>
      </c>
    </row>
    <row r="118" spans="1:8">
      <c r="A118" s="707">
        <v>165</v>
      </c>
      <c r="B118" s="1962">
        <v>16500313</v>
      </c>
      <c r="C118" s="1962"/>
      <c r="D118" s="1962" t="s">
        <v>1715</v>
      </c>
      <c r="E118" s="1967">
        <v>0</v>
      </c>
      <c r="F118" s="1967">
        <v>0</v>
      </c>
      <c r="G118" s="708">
        <f t="shared" si="8"/>
        <v>0</v>
      </c>
      <c r="H118" s="708">
        <f t="shared" si="9"/>
        <v>0</v>
      </c>
    </row>
    <row r="119" spans="1:8">
      <c r="A119" s="707">
        <v>165</v>
      </c>
      <c r="B119" s="1962">
        <v>16500321</v>
      </c>
      <c r="C119" s="1962"/>
      <c r="D119" s="1962" t="s">
        <v>1716</v>
      </c>
      <c r="E119" s="1967">
        <v>0</v>
      </c>
      <c r="F119" s="1967">
        <v>0</v>
      </c>
      <c r="G119" s="708">
        <f t="shared" si="8"/>
        <v>0</v>
      </c>
      <c r="H119" s="708">
        <f t="shared" si="9"/>
        <v>0</v>
      </c>
    </row>
    <row r="120" spans="1:8">
      <c r="A120" s="707">
        <v>165</v>
      </c>
      <c r="B120" s="1962">
        <v>16500331</v>
      </c>
      <c r="C120" s="1962"/>
      <c r="D120" s="1962" t="s">
        <v>1717</v>
      </c>
      <c r="E120" s="1967">
        <v>0</v>
      </c>
      <c r="F120" s="1967">
        <v>0</v>
      </c>
      <c r="G120" s="708">
        <f t="shared" si="8"/>
        <v>0</v>
      </c>
      <c r="H120" s="708">
        <f t="shared" si="9"/>
        <v>0</v>
      </c>
    </row>
    <row r="121" spans="1:8">
      <c r="A121" s="707">
        <v>165</v>
      </c>
      <c r="B121" s="1962">
        <v>16500333</v>
      </c>
      <c r="C121" s="1962"/>
      <c r="D121" s="1962" t="s">
        <v>1718</v>
      </c>
      <c r="E121" s="1967">
        <v>0</v>
      </c>
      <c r="F121" s="1967">
        <v>0</v>
      </c>
      <c r="G121" s="708">
        <f t="shared" si="8"/>
        <v>0</v>
      </c>
      <c r="H121" s="708">
        <f t="shared" si="9"/>
        <v>0</v>
      </c>
    </row>
    <row r="122" spans="1:8">
      <c r="A122" s="707">
        <v>165</v>
      </c>
      <c r="B122" s="1962">
        <v>16500351</v>
      </c>
      <c r="C122" s="1962"/>
      <c r="D122" s="1962" t="s">
        <v>1719</v>
      </c>
      <c r="E122" s="1967">
        <v>0</v>
      </c>
      <c r="F122" s="1967">
        <v>0</v>
      </c>
      <c r="G122" s="708">
        <f t="shared" si="8"/>
        <v>0</v>
      </c>
      <c r="H122" s="708">
        <f t="shared" si="9"/>
        <v>0</v>
      </c>
    </row>
    <row r="123" spans="1:8">
      <c r="A123" s="707">
        <v>165</v>
      </c>
      <c r="B123" s="1962">
        <v>16500373</v>
      </c>
      <c r="C123" s="1962"/>
      <c r="D123" s="1962" t="s">
        <v>1720</v>
      </c>
      <c r="E123" s="1967">
        <v>571721.66</v>
      </c>
      <c r="F123" s="1967">
        <v>586830.54</v>
      </c>
      <c r="G123" s="708">
        <f t="shared" si="8"/>
        <v>196329.21602265589</v>
      </c>
      <c r="H123" s="708">
        <f t="shared" si="9"/>
        <v>375392.44397734414</v>
      </c>
    </row>
    <row r="124" spans="1:8">
      <c r="A124" s="707">
        <v>165</v>
      </c>
      <c r="B124" s="1962">
        <v>16500383</v>
      </c>
      <c r="C124" s="1962"/>
      <c r="D124" s="1962" t="s">
        <v>1721</v>
      </c>
      <c r="E124" s="1967">
        <v>0</v>
      </c>
      <c r="F124" s="1967">
        <v>0</v>
      </c>
      <c r="G124" s="708">
        <f t="shared" si="8"/>
        <v>0</v>
      </c>
      <c r="H124" s="708">
        <f t="shared" si="9"/>
        <v>0</v>
      </c>
    </row>
    <row r="125" spans="1:8">
      <c r="A125" s="707">
        <v>165</v>
      </c>
      <c r="B125" s="1962">
        <v>16500401</v>
      </c>
      <c r="C125" s="1962"/>
      <c r="D125" s="1962" t="s">
        <v>1722</v>
      </c>
      <c r="E125" s="1967">
        <v>0</v>
      </c>
      <c r="F125" s="1967">
        <v>0</v>
      </c>
      <c r="G125" s="708">
        <f t="shared" si="8"/>
        <v>0</v>
      </c>
      <c r="H125" s="708">
        <f t="shared" si="9"/>
        <v>0</v>
      </c>
    </row>
    <row r="126" spans="1:8">
      <c r="A126" s="707">
        <v>165</v>
      </c>
      <c r="B126" s="1962">
        <v>16500411</v>
      </c>
      <c r="C126" s="1962"/>
      <c r="D126" s="1962" t="s">
        <v>1723</v>
      </c>
      <c r="E126" s="1967">
        <v>0</v>
      </c>
      <c r="F126" s="1967">
        <v>0</v>
      </c>
      <c r="G126" s="708">
        <f t="shared" si="8"/>
        <v>0</v>
      </c>
      <c r="H126" s="708">
        <f t="shared" si="9"/>
        <v>0</v>
      </c>
    </row>
    <row r="127" spans="1:8">
      <c r="A127" s="707">
        <v>165</v>
      </c>
      <c r="B127" s="1962">
        <v>16500413</v>
      </c>
      <c r="C127" s="1962"/>
      <c r="D127" s="1962" t="s">
        <v>1724</v>
      </c>
      <c r="E127" s="1967">
        <v>0</v>
      </c>
      <c r="F127" s="1967">
        <v>0</v>
      </c>
      <c r="G127" s="708">
        <f t="shared" si="8"/>
        <v>0</v>
      </c>
      <c r="H127" s="708">
        <f t="shared" si="9"/>
        <v>0</v>
      </c>
    </row>
    <row r="128" spans="1:8">
      <c r="A128" s="707">
        <v>165</v>
      </c>
      <c r="B128" s="1962">
        <v>16500421</v>
      </c>
      <c r="C128" s="1962"/>
      <c r="D128" s="1962" t="s">
        <v>1725</v>
      </c>
      <c r="E128" s="1967">
        <v>0</v>
      </c>
      <c r="F128" s="1967">
        <v>0</v>
      </c>
      <c r="G128" s="708">
        <f t="shared" si="8"/>
        <v>0</v>
      </c>
      <c r="H128" s="708">
        <f t="shared" si="9"/>
        <v>0</v>
      </c>
    </row>
    <row r="129" spans="1:9">
      <c r="A129" s="707">
        <v>165</v>
      </c>
      <c r="B129" s="1962">
        <v>16500433</v>
      </c>
      <c r="C129" s="1962"/>
      <c r="D129" s="1962" t="s">
        <v>1726</v>
      </c>
      <c r="E129" s="1967">
        <v>0</v>
      </c>
      <c r="F129" s="1967">
        <v>0</v>
      </c>
      <c r="G129" s="708">
        <f t="shared" si="8"/>
        <v>0</v>
      </c>
      <c r="H129" s="708">
        <f t="shared" si="9"/>
        <v>0</v>
      </c>
    </row>
    <row r="130" spans="1:9">
      <c r="A130" s="707">
        <v>165</v>
      </c>
      <c r="B130" s="1962">
        <v>16500443</v>
      </c>
      <c r="C130" s="1962"/>
      <c r="D130" s="1962" t="s">
        <v>1727</v>
      </c>
      <c r="E130" s="1967">
        <v>0</v>
      </c>
      <c r="F130" s="1967">
        <v>0</v>
      </c>
      <c r="G130" s="708">
        <f t="shared" si="8"/>
        <v>0</v>
      </c>
      <c r="H130" s="708">
        <f t="shared" si="9"/>
        <v>0</v>
      </c>
    </row>
    <row r="131" spans="1:9">
      <c r="A131" s="707">
        <v>165</v>
      </c>
      <c r="B131" s="1962">
        <v>16500491</v>
      </c>
      <c r="C131" s="1962"/>
      <c r="D131" s="1962" t="s">
        <v>1728</v>
      </c>
      <c r="E131" s="1967">
        <v>0</v>
      </c>
      <c r="F131" s="1967">
        <v>0</v>
      </c>
      <c r="G131" s="708">
        <f t="shared" si="8"/>
        <v>0</v>
      </c>
      <c r="H131" s="708">
        <f t="shared" si="9"/>
        <v>0</v>
      </c>
    </row>
    <row r="132" spans="1:9">
      <c r="A132" s="707">
        <v>165</v>
      </c>
      <c r="B132" s="1962">
        <v>16500493</v>
      </c>
      <c r="C132" s="1962"/>
      <c r="D132" s="1962" t="s">
        <v>1729</v>
      </c>
      <c r="E132" s="1967">
        <v>0</v>
      </c>
      <c r="F132" s="1967">
        <v>0</v>
      </c>
      <c r="G132" s="708">
        <f t="shared" si="8"/>
        <v>0</v>
      </c>
      <c r="H132" s="708">
        <f t="shared" si="9"/>
        <v>0</v>
      </c>
    </row>
    <row r="133" spans="1:9">
      <c r="A133" s="707">
        <v>165</v>
      </c>
      <c r="B133" s="1962">
        <v>16500503</v>
      </c>
      <c r="C133" s="1962"/>
      <c r="D133" s="1962" t="s">
        <v>1730</v>
      </c>
      <c r="E133" s="1967">
        <v>0</v>
      </c>
      <c r="F133" s="1967">
        <v>0</v>
      </c>
      <c r="G133" s="708">
        <f t="shared" si="8"/>
        <v>0</v>
      </c>
      <c r="H133" s="708">
        <f t="shared" si="9"/>
        <v>0</v>
      </c>
    </row>
    <row r="134" spans="1:9">
      <c r="A134" s="707">
        <v>165</v>
      </c>
      <c r="B134" s="1962">
        <v>16500511</v>
      </c>
      <c r="C134" s="1962"/>
      <c r="D134" s="1962" t="s">
        <v>1731</v>
      </c>
      <c r="E134" s="1967">
        <v>0</v>
      </c>
      <c r="F134" s="1967">
        <v>0</v>
      </c>
      <c r="G134" s="708">
        <f t="shared" si="8"/>
        <v>0</v>
      </c>
      <c r="H134" s="708">
        <f t="shared" si="9"/>
        <v>0</v>
      </c>
    </row>
    <row r="135" spans="1:9">
      <c r="A135" s="1954">
        <v>165</v>
      </c>
      <c r="B135" s="1960">
        <v>16500521</v>
      </c>
      <c r="C135" s="1960"/>
      <c r="D135" s="1960" t="s">
        <v>6767</v>
      </c>
      <c r="E135" s="1968">
        <v>29251600</v>
      </c>
      <c r="F135" s="1968">
        <v>0</v>
      </c>
      <c r="G135" s="722">
        <f t="shared" si="8"/>
        <v>0</v>
      </c>
      <c r="H135" s="722">
        <f t="shared" si="9"/>
        <v>29251600</v>
      </c>
      <c r="I135" s="1955" t="s">
        <v>1873</v>
      </c>
    </row>
    <row r="136" spans="1:9">
      <c r="A136" s="707">
        <v>165</v>
      </c>
      <c r="B136" s="1962">
        <v>16500532</v>
      </c>
      <c r="C136" s="1962"/>
      <c r="D136" s="1962" t="s">
        <v>1732</v>
      </c>
      <c r="E136" s="1967">
        <v>0</v>
      </c>
      <c r="F136" s="1967">
        <v>0</v>
      </c>
      <c r="G136" s="708">
        <f t="shared" si="8"/>
        <v>0</v>
      </c>
      <c r="H136" s="708">
        <f t="shared" si="9"/>
        <v>0</v>
      </c>
    </row>
    <row r="137" spans="1:9">
      <c r="A137" s="707">
        <v>165</v>
      </c>
      <c r="B137" s="1962">
        <v>16500553</v>
      </c>
      <c r="C137" s="1962"/>
      <c r="D137" s="1962" t="s">
        <v>1733</v>
      </c>
      <c r="E137" s="1967">
        <v>0</v>
      </c>
      <c r="F137" s="1967">
        <v>0</v>
      </c>
      <c r="G137" s="708">
        <f t="shared" si="8"/>
        <v>0</v>
      </c>
      <c r="H137" s="708">
        <f t="shared" si="9"/>
        <v>0</v>
      </c>
    </row>
    <row r="138" spans="1:9">
      <c r="A138" s="707">
        <v>165</v>
      </c>
      <c r="B138" s="1962">
        <v>16500563</v>
      </c>
      <c r="C138" s="1962"/>
      <c r="D138" s="1962" t="s">
        <v>1734</v>
      </c>
      <c r="E138" s="1967">
        <v>0</v>
      </c>
      <c r="F138" s="1967">
        <v>0</v>
      </c>
      <c r="G138" s="708">
        <f t="shared" si="8"/>
        <v>0</v>
      </c>
      <c r="H138" s="708">
        <f t="shared" si="9"/>
        <v>0</v>
      </c>
    </row>
    <row r="139" spans="1:9">
      <c r="A139" s="707">
        <v>165</v>
      </c>
      <c r="B139" s="1962">
        <v>16500573</v>
      </c>
      <c r="C139" s="1962"/>
      <c r="D139" s="1962" t="s">
        <v>1735</v>
      </c>
      <c r="E139" s="1967">
        <v>0</v>
      </c>
      <c r="F139" s="1967">
        <v>0</v>
      </c>
      <c r="G139" s="708">
        <f t="shared" si="8"/>
        <v>0</v>
      </c>
      <c r="H139" s="708">
        <f t="shared" si="9"/>
        <v>0</v>
      </c>
    </row>
    <row r="140" spans="1:9">
      <c r="A140" s="707">
        <v>165</v>
      </c>
      <c r="B140" s="1962">
        <v>16500582</v>
      </c>
      <c r="C140" s="1962"/>
      <c r="D140" s="1962" t="s">
        <v>1736</v>
      </c>
      <c r="E140" s="1967">
        <v>0</v>
      </c>
      <c r="F140" s="1967">
        <v>0</v>
      </c>
      <c r="G140" s="708">
        <f t="shared" si="8"/>
        <v>0</v>
      </c>
      <c r="H140" s="708">
        <f t="shared" si="9"/>
        <v>0</v>
      </c>
    </row>
    <row r="141" spans="1:9">
      <c r="A141" s="707">
        <v>165</v>
      </c>
      <c r="B141" s="1962">
        <v>16500583</v>
      </c>
      <c r="C141" s="1962"/>
      <c r="D141" s="1962" t="s">
        <v>1737</v>
      </c>
      <c r="E141" s="1967">
        <v>0</v>
      </c>
      <c r="F141" s="1967">
        <v>0</v>
      </c>
      <c r="G141" s="708">
        <f t="shared" si="8"/>
        <v>0</v>
      </c>
      <c r="H141" s="708">
        <f t="shared" si="9"/>
        <v>0</v>
      </c>
    </row>
    <row r="142" spans="1:9">
      <c r="A142" s="707">
        <v>165</v>
      </c>
      <c r="B142" s="1962">
        <v>16500591</v>
      </c>
      <c r="C142" s="1962"/>
      <c r="D142" s="1962" t="s">
        <v>1738</v>
      </c>
      <c r="E142" s="1967">
        <v>0</v>
      </c>
      <c r="F142" s="1967">
        <v>0</v>
      </c>
      <c r="G142" s="708">
        <f t="shared" si="8"/>
        <v>0</v>
      </c>
      <c r="H142" s="708">
        <f t="shared" si="9"/>
        <v>0</v>
      </c>
    </row>
    <row r="143" spans="1:9">
      <c r="A143" s="707">
        <v>165</v>
      </c>
      <c r="B143" s="1962">
        <v>16500601</v>
      </c>
      <c r="C143" s="1962"/>
      <c r="D143" s="1962" t="s">
        <v>1739</v>
      </c>
      <c r="E143" s="1967">
        <v>0</v>
      </c>
      <c r="F143" s="1967">
        <v>0</v>
      </c>
      <c r="G143" s="708">
        <f t="shared" si="8"/>
        <v>0</v>
      </c>
      <c r="H143" s="708">
        <f t="shared" si="9"/>
        <v>0</v>
      </c>
    </row>
    <row r="144" spans="1:9">
      <c r="A144" s="707">
        <v>165</v>
      </c>
      <c r="B144" s="1962">
        <v>16500611</v>
      </c>
      <c r="C144" s="1962"/>
      <c r="D144" s="1962" t="s">
        <v>1740</v>
      </c>
      <c r="E144" s="1967">
        <v>0</v>
      </c>
      <c r="F144" s="1967">
        <v>0</v>
      </c>
      <c r="G144" s="708">
        <f t="shared" si="8"/>
        <v>0</v>
      </c>
      <c r="H144" s="708">
        <f t="shared" si="9"/>
        <v>0</v>
      </c>
    </row>
    <row r="145" spans="1:8">
      <c r="A145" s="707">
        <v>165</v>
      </c>
      <c r="B145" s="1962">
        <v>16500612</v>
      </c>
      <c r="C145" s="1962"/>
      <c r="D145" s="1962" t="s">
        <v>1741</v>
      </c>
      <c r="E145" s="1967">
        <v>0</v>
      </c>
      <c r="F145" s="1967">
        <v>0</v>
      </c>
      <c r="G145" s="708">
        <f t="shared" si="8"/>
        <v>0</v>
      </c>
      <c r="H145" s="708">
        <f t="shared" si="9"/>
        <v>0</v>
      </c>
    </row>
    <row r="146" spans="1:8">
      <c r="A146" s="707">
        <v>165</v>
      </c>
      <c r="B146" s="1962">
        <v>16500622</v>
      </c>
      <c r="C146" s="1962"/>
      <c r="D146" s="1962" t="s">
        <v>1742</v>
      </c>
      <c r="E146" s="1967">
        <v>0</v>
      </c>
      <c r="F146" s="1967">
        <v>0</v>
      </c>
      <c r="G146" s="708">
        <f t="shared" si="8"/>
        <v>0</v>
      </c>
      <c r="H146" s="708">
        <f t="shared" si="9"/>
        <v>0</v>
      </c>
    </row>
    <row r="147" spans="1:8">
      <c r="A147" s="707">
        <v>165</v>
      </c>
      <c r="B147" s="1962">
        <v>16500623</v>
      </c>
      <c r="C147" s="1962"/>
      <c r="D147" s="1962" t="s">
        <v>1743</v>
      </c>
      <c r="E147" s="1967">
        <v>0</v>
      </c>
      <c r="F147" s="1967">
        <v>0</v>
      </c>
      <c r="G147" s="708">
        <f t="shared" si="8"/>
        <v>0</v>
      </c>
      <c r="H147" s="708">
        <f t="shared" si="9"/>
        <v>0</v>
      </c>
    </row>
    <row r="148" spans="1:8">
      <c r="A148" s="707">
        <v>165</v>
      </c>
      <c r="B148" s="1962">
        <v>16500631</v>
      </c>
      <c r="C148" s="1962"/>
      <c r="D148" s="1962" t="s">
        <v>1744</v>
      </c>
      <c r="E148" s="1967">
        <v>0</v>
      </c>
      <c r="F148" s="1967">
        <v>0</v>
      </c>
      <c r="G148" s="708">
        <f t="shared" si="8"/>
        <v>0</v>
      </c>
      <c r="H148" s="708">
        <f t="shared" si="9"/>
        <v>0</v>
      </c>
    </row>
    <row r="149" spans="1:8">
      <c r="A149" s="707">
        <v>165</v>
      </c>
      <c r="B149" s="1962">
        <v>16500633</v>
      </c>
      <c r="C149" s="1962"/>
      <c r="D149" s="1962" t="s">
        <v>1745</v>
      </c>
      <c r="E149" s="1967">
        <v>0</v>
      </c>
      <c r="F149" s="1967">
        <v>0</v>
      </c>
      <c r="G149" s="708">
        <f t="shared" si="8"/>
        <v>0</v>
      </c>
      <c r="H149" s="708">
        <f t="shared" si="9"/>
        <v>0</v>
      </c>
    </row>
    <row r="150" spans="1:8">
      <c r="A150" s="707">
        <v>165</v>
      </c>
      <c r="B150" s="1962">
        <v>16500643</v>
      </c>
      <c r="C150" s="1962"/>
      <c r="D150" s="1962" t="s">
        <v>1746</v>
      </c>
      <c r="E150" s="1967">
        <v>0</v>
      </c>
      <c r="F150" s="1967">
        <v>0</v>
      </c>
      <c r="G150" s="708">
        <f t="shared" si="8"/>
        <v>0</v>
      </c>
      <c r="H150" s="708">
        <f t="shared" si="9"/>
        <v>0</v>
      </c>
    </row>
    <row r="151" spans="1:8">
      <c r="A151" s="707">
        <v>165</v>
      </c>
      <c r="B151" s="1962">
        <v>16500651</v>
      </c>
      <c r="C151" s="1962"/>
      <c r="D151" s="1962" t="s">
        <v>1747</v>
      </c>
      <c r="E151" s="1967">
        <v>0</v>
      </c>
      <c r="F151" s="1967">
        <v>0</v>
      </c>
      <c r="G151" s="708">
        <f t="shared" si="8"/>
        <v>0</v>
      </c>
      <c r="H151" s="708">
        <f t="shared" si="9"/>
        <v>0</v>
      </c>
    </row>
    <row r="152" spans="1:8">
      <c r="A152" s="707">
        <v>165</v>
      </c>
      <c r="B152" s="1962">
        <v>16500661</v>
      </c>
      <c r="C152" s="1962"/>
      <c r="D152" s="1962" t="s">
        <v>1748</v>
      </c>
      <c r="E152" s="1967">
        <v>0</v>
      </c>
      <c r="F152" s="1967">
        <v>0</v>
      </c>
      <c r="G152" s="708">
        <f t="shared" si="8"/>
        <v>0</v>
      </c>
      <c r="H152" s="708">
        <f t="shared" si="9"/>
        <v>0</v>
      </c>
    </row>
    <row r="153" spans="1:8">
      <c r="A153" s="707">
        <v>165</v>
      </c>
      <c r="B153" s="1962">
        <v>16500671</v>
      </c>
      <c r="C153" s="1962"/>
      <c r="D153" s="1962" t="s">
        <v>1749</v>
      </c>
      <c r="E153" s="1967">
        <v>0</v>
      </c>
      <c r="F153" s="1967">
        <v>0</v>
      </c>
      <c r="G153" s="708">
        <f t="shared" ref="G153:G216" si="10">IF(MID(B153,8,1)="1",0,IF(MID(B153,8,1)="2",E153,E153*$F$3))</f>
        <v>0</v>
      </c>
      <c r="H153" s="708">
        <f t="shared" ref="H153:H216" si="11">E153-G153</f>
        <v>0</v>
      </c>
    </row>
    <row r="154" spans="1:8">
      <c r="A154" s="707">
        <v>165</v>
      </c>
      <c r="B154" s="1962">
        <v>16500673</v>
      </c>
      <c r="C154" s="1962"/>
      <c r="D154" s="1962" t="s">
        <v>1750</v>
      </c>
      <c r="E154" s="1967">
        <v>0</v>
      </c>
      <c r="F154" s="1967">
        <v>0</v>
      </c>
      <c r="G154" s="708">
        <f t="shared" si="10"/>
        <v>0</v>
      </c>
      <c r="H154" s="708">
        <f t="shared" si="11"/>
        <v>0</v>
      </c>
    </row>
    <row r="155" spans="1:8">
      <c r="A155" s="707">
        <v>165</v>
      </c>
      <c r="B155" s="1962">
        <v>16500681</v>
      </c>
      <c r="C155" s="1962"/>
      <c r="D155" s="1962" t="s">
        <v>1751</v>
      </c>
      <c r="E155" s="1967">
        <v>0</v>
      </c>
      <c r="F155" s="1967">
        <v>0</v>
      </c>
      <c r="G155" s="708">
        <f t="shared" si="10"/>
        <v>0</v>
      </c>
      <c r="H155" s="708">
        <f t="shared" si="11"/>
        <v>0</v>
      </c>
    </row>
    <row r="156" spans="1:8">
      <c r="A156" s="707">
        <v>165</v>
      </c>
      <c r="B156" s="1962">
        <v>16500683</v>
      </c>
      <c r="C156" s="1962"/>
      <c r="D156" s="1962" t="s">
        <v>1752</v>
      </c>
      <c r="E156" s="1967">
        <v>0</v>
      </c>
      <c r="F156" s="1967">
        <v>0</v>
      </c>
      <c r="G156" s="708">
        <f t="shared" si="10"/>
        <v>0</v>
      </c>
      <c r="H156" s="708">
        <f t="shared" si="11"/>
        <v>0</v>
      </c>
    </row>
    <row r="157" spans="1:8">
      <c r="A157" s="707">
        <v>165</v>
      </c>
      <c r="B157" s="1962">
        <v>16500691</v>
      </c>
      <c r="C157" s="1962"/>
      <c r="D157" s="1962" t="s">
        <v>1753</v>
      </c>
      <c r="E157" s="1967">
        <v>0</v>
      </c>
      <c r="F157" s="1967">
        <v>0</v>
      </c>
      <c r="G157" s="708">
        <f t="shared" si="10"/>
        <v>0</v>
      </c>
      <c r="H157" s="708">
        <f t="shared" si="11"/>
        <v>0</v>
      </c>
    </row>
    <row r="158" spans="1:8">
      <c r="A158" s="707">
        <v>165</v>
      </c>
      <c r="B158" s="1962">
        <v>16500693</v>
      </c>
      <c r="C158" s="1962"/>
      <c r="D158" s="1962" t="s">
        <v>1754</v>
      </c>
      <c r="E158" s="1967">
        <v>0</v>
      </c>
      <c r="F158" s="1967">
        <v>0</v>
      </c>
      <c r="G158" s="708">
        <f t="shared" si="10"/>
        <v>0</v>
      </c>
      <c r="H158" s="708">
        <f t="shared" si="11"/>
        <v>0</v>
      </c>
    </row>
    <row r="159" spans="1:8">
      <c r="A159" s="707">
        <v>165</v>
      </c>
      <c r="B159" s="1962">
        <v>16500703</v>
      </c>
      <c r="C159" s="1962"/>
      <c r="D159" s="1962" t="s">
        <v>1755</v>
      </c>
      <c r="E159" s="1967">
        <v>0</v>
      </c>
      <c r="F159" s="1967">
        <v>0</v>
      </c>
      <c r="G159" s="708">
        <f t="shared" si="10"/>
        <v>0</v>
      </c>
      <c r="H159" s="708">
        <f t="shared" si="11"/>
        <v>0</v>
      </c>
    </row>
    <row r="160" spans="1:8">
      <c r="A160" s="707">
        <v>165</v>
      </c>
      <c r="B160" s="1962">
        <v>16500731</v>
      </c>
      <c r="C160" s="1962"/>
      <c r="D160" s="1962" t="s">
        <v>1756</v>
      </c>
      <c r="E160" s="1967">
        <v>0</v>
      </c>
      <c r="F160" s="1967">
        <v>0</v>
      </c>
      <c r="G160" s="708">
        <f t="shared" si="10"/>
        <v>0</v>
      </c>
      <c r="H160" s="708">
        <f t="shared" si="11"/>
        <v>0</v>
      </c>
    </row>
    <row r="161" spans="1:8">
      <c r="A161" s="707">
        <v>165</v>
      </c>
      <c r="B161" s="1962">
        <v>16500741</v>
      </c>
      <c r="C161" s="1962"/>
      <c r="D161" s="1962" t="s">
        <v>1757</v>
      </c>
      <c r="E161" s="1967">
        <v>0</v>
      </c>
      <c r="F161" s="1967">
        <v>0</v>
      </c>
      <c r="G161" s="708">
        <f t="shared" si="10"/>
        <v>0</v>
      </c>
      <c r="H161" s="708">
        <f t="shared" si="11"/>
        <v>0</v>
      </c>
    </row>
    <row r="162" spans="1:8">
      <c r="A162" s="707">
        <v>165</v>
      </c>
      <c r="B162" s="1962">
        <v>16500743</v>
      </c>
      <c r="C162" s="1962"/>
      <c r="D162" s="1962" t="s">
        <v>1758</v>
      </c>
      <c r="E162" s="1967">
        <v>0</v>
      </c>
      <c r="F162" s="1967">
        <v>0</v>
      </c>
      <c r="G162" s="708">
        <f t="shared" si="10"/>
        <v>0</v>
      </c>
      <c r="H162" s="708">
        <f t="shared" si="11"/>
        <v>0</v>
      </c>
    </row>
    <row r="163" spans="1:8">
      <c r="A163" s="707">
        <v>165</v>
      </c>
      <c r="B163" s="1962">
        <v>16500751</v>
      </c>
      <c r="C163" s="1962"/>
      <c r="D163" s="1962" t="s">
        <v>1759</v>
      </c>
      <c r="E163" s="1967">
        <v>0</v>
      </c>
      <c r="F163" s="1967">
        <v>0</v>
      </c>
      <c r="G163" s="708">
        <f t="shared" si="10"/>
        <v>0</v>
      </c>
      <c r="H163" s="708">
        <f t="shared" si="11"/>
        <v>0</v>
      </c>
    </row>
    <row r="164" spans="1:8">
      <c r="A164" s="707">
        <v>165</v>
      </c>
      <c r="B164" s="1962">
        <v>16500753</v>
      </c>
      <c r="C164" s="1962"/>
      <c r="D164" s="1962" t="s">
        <v>1760</v>
      </c>
      <c r="E164" s="1967">
        <v>0</v>
      </c>
      <c r="F164" s="1967">
        <v>0</v>
      </c>
      <c r="G164" s="708">
        <f t="shared" si="10"/>
        <v>0</v>
      </c>
      <c r="H164" s="708">
        <f t="shared" si="11"/>
        <v>0</v>
      </c>
    </row>
    <row r="165" spans="1:8">
      <c r="A165" s="707">
        <v>165</v>
      </c>
      <c r="B165" s="1962">
        <v>16500763</v>
      </c>
      <c r="C165" s="1962"/>
      <c r="D165" s="1962" t="s">
        <v>1761</v>
      </c>
      <c r="E165" s="1967">
        <v>0</v>
      </c>
      <c r="F165" s="1967">
        <v>0</v>
      </c>
      <c r="G165" s="708">
        <f t="shared" si="10"/>
        <v>0</v>
      </c>
      <c r="H165" s="708">
        <f t="shared" si="11"/>
        <v>0</v>
      </c>
    </row>
    <row r="166" spans="1:8">
      <c r="A166" s="707">
        <v>165</v>
      </c>
      <c r="B166" s="1962">
        <v>16500773</v>
      </c>
      <c r="C166" s="1962"/>
      <c r="D166" s="1962" t="s">
        <v>1762</v>
      </c>
      <c r="E166" s="1967">
        <v>0</v>
      </c>
      <c r="F166" s="1967">
        <v>0</v>
      </c>
      <c r="G166" s="708">
        <f t="shared" si="10"/>
        <v>0</v>
      </c>
      <c r="H166" s="708">
        <f t="shared" si="11"/>
        <v>0</v>
      </c>
    </row>
    <row r="167" spans="1:8">
      <c r="A167" s="707">
        <v>165</v>
      </c>
      <c r="B167" s="1962">
        <v>16500783</v>
      </c>
      <c r="C167" s="1962"/>
      <c r="D167" s="1962" t="s">
        <v>1763</v>
      </c>
      <c r="E167" s="1967">
        <v>0</v>
      </c>
      <c r="F167" s="1967">
        <v>0</v>
      </c>
      <c r="G167" s="708">
        <f t="shared" si="10"/>
        <v>0</v>
      </c>
      <c r="H167" s="708">
        <f t="shared" si="11"/>
        <v>0</v>
      </c>
    </row>
    <row r="168" spans="1:8">
      <c r="A168" s="707">
        <v>165</v>
      </c>
      <c r="B168" s="1962">
        <v>16500793</v>
      </c>
      <c r="C168" s="1962"/>
      <c r="D168" s="1962" t="s">
        <v>1764</v>
      </c>
      <c r="E168" s="1967">
        <v>0</v>
      </c>
      <c r="F168" s="1967">
        <v>0</v>
      </c>
      <c r="G168" s="708">
        <f t="shared" si="10"/>
        <v>0</v>
      </c>
      <c r="H168" s="708">
        <f t="shared" si="11"/>
        <v>0</v>
      </c>
    </row>
    <row r="169" spans="1:8">
      <c r="A169" s="707">
        <v>165</v>
      </c>
      <c r="B169" s="1962">
        <v>16500803</v>
      </c>
      <c r="C169" s="1962"/>
      <c r="D169" s="1962" t="s">
        <v>1765</v>
      </c>
      <c r="E169" s="1967">
        <v>0</v>
      </c>
      <c r="F169" s="1967">
        <v>0</v>
      </c>
      <c r="G169" s="708">
        <f t="shared" si="10"/>
        <v>0</v>
      </c>
      <c r="H169" s="708">
        <f t="shared" si="11"/>
        <v>0</v>
      </c>
    </row>
    <row r="170" spans="1:8">
      <c r="A170" s="707">
        <v>165</v>
      </c>
      <c r="B170" s="1962">
        <v>16500841</v>
      </c>
      <c r="C170" s="1962"/>
      <c r="D170" s="1962" t="s">
        <v>1766</v>
      </c>
      <c r="E170" s="1967">
        <v>0</v>
      </c>
      <c r="F170" s="1967">
        <v>0</v>
      </c>
      <c r="G170" s="708">
        <f t="shared" si="10"/>
        <v>0</v>
      </c>
      <c r="H170" s="708">
        <f t="shared" si="11"/>
        <v>0</v>
      </c>
    </row>
    <row r="171" spans="1:8">
      <c r="A171" s="707">
        <v>165</v>
      </c>
      <c r="B171" s="1962">
        <v>16500851</v>
      </c>
      <c r="C171" s="1962"/>
      <c r="D171" s="1962" t="s">
        <v>1767</v>
      </c>
      <c r="E171" s="1967">
        <v>0</v>
      </c>
      <c r="F171" s="1967">
        <v>0</v>
      </c>
      <c r="G171" s="708">
        <f t="shared" si="10"/>
        <v>0</v>
      </c>
      <c r="H171" s="708">
        <f t="shared" si="11"/>
        <v>0</v>
      </c>
    </row>
    <row r="172" spans="1:8">
      <c r="A172" s="707">
        <v>165</v>
      </c>
      <c r="B172" s="1962">
        <v>16500881</v>
      </c>
      <c r="C172" s="1962"/>
      <c r="D172" s="1962" t="s">
        <v>1768</v>
      </c>
      <c r="E172" s="1967">
        <v>0</v>
      </c>
      <c r="F172" s="1967">
        <v>0</v>
      </c>
      <c r="G172" s="708">
        <f t="shared" si="10"/>
        <v>0</v>
      </c>
      <c r="H172" s="708">
        <f t="shared" si="11"/>
        <v>0</v>
      </c>
    </row>
    <row r="173" spans="1:8">
      <c r="A173" s="707">
        <v>165</v>
      </c>
      <c r="B173" s="1962">
        <v>16500853</v>
      </c>
      <c r="C173" s="1962"/>
      <c r="D173" s="1962" t="s">
        <v>1769</v>
      </c>
      <c r="E173" s="1967">
        <v>0</v>
      </c>
      <c r="F173" s="1967">
        <v>0</v>
      </c>
      <c r="G173" s="708">
        <f t="shared" si="10"/>
        <v>0</v>
      </c>
      <c r="H173" s="708">
        <f t="shared" si="11"/>
        <v>0</v>
      </c>
    </row>
    <row r="174" spans="1:8">
      <c r="A174" s="707">
        <v>165</v>
      </c>
      <c r="B174" s="1962">
        <v>16500873</v>
      </c>
      <c r="C174" s="1962"/>
      <c r="D174" s="1962" t="s">
        <v>1770</v>
      </c>
      <c r="E174" s="1967">
        <v>0</v>
      </c>
      <c r="F174" s="1967">
        <v>0</v>
      </c>
      <c r="G174" s="708">
        <f t="shared" si="10"/>
        <v>0</v>
      </c>
      <c r="H174" s="708">
        <f t="shared" si="11"/>
        <v>0</v>
      </c>
    </row>
    <row r="175" spans="1:8">
      <c r="A175" s="707">
        <v>165</v>
      </c>
      <c r="B175" s="1962">
        <v>16500893</v>
      </c>
      <c r="C175" s="1962"/>
      <c r="D175" s="1962" t="s">
        <v>1771</v>
      </c>
      <c r="E175" s="1967">
        <v>0</v>
      </c>
      <c r="F175" s="1967">
        <v>0</v>
      </c>
      <c r="G175" s="708">
        <f t="shared" si="10"/>
        <v>0</v>
      </c>
      <c r="H175" s="708">
        <f t="shared" si="11"/>
        <v>0</v>
      </c>
    </row>
    <row r="176" spans="1:8">
      <c r="A176" s="707">
        <v>165</v>
      </c>
      <c r="B176" s="1962">
        <v>16500901</v>
      </c>
      <c r="C176" s="1962"/>
      <c r="D176" s="1962" t="s">
        <v>1772</v>
      </c>
      <c r="E176" s="1967">
        <v>0</v>
      </c>
      <c r="F176" s="1967">
        <v>0</v>
      </c>
      <c r="G176" s="708">
        <f t="shared" si="10"/>
        <v>0</v>
      </c>
      <c r="H176" s="708">
        <f t="shared" si="11"/>
        <v>0</v>
      </c>
    </row>
    <row r="177" spans="1:8">
      <c r="A177" s="707">
        <v>165</v>
      </c>
      <c r="B177" s="1962">
        <v>16500903</v>
      </c>
      <c r="C177" s="1962"/>
      <c r="D177" s="1962" t="s">
        <v>1773</v>
      </c>
      <c r="E177" s="1967">
        <v>0</v>
      </c>
      <c r="F177" s="1967">
        <v>0</v>
      </c>
      <c r="G177" s="708">
        <f t="shared" si="10"/>
        <v>0</v>
      </c>
      <c r="H177" s="708">
        <f t="shared" si="11"/>
        <v>0</v>
      </c>
    </row>
    <row r="178" spans="1:8">
      <c r="A178" s="707">
        <v>165</v>
      </c>
      <c r="B178" s="1962">
        <v>16500911</v>
      </c>
      <c r="C178" s="1962"/>
      <c r="D178" s="1962" t="s">
        <v>1774</v>
      </c>
      <c r="E178" s="1967">
        <v>0</v>
      </c>
      <c r="F178" s="1967">
        <v>0</v>
      </c>
      <c r="G178" s="708">
        <f t="shared" si="10"/>
        <v>0</v>
      </c>
      <c r="H178" s="708">
        <f t="shared" si="11"/>
        <v>0</v>
      </c>
    </row>
    <row r="179" spans="1:8">
      <c r="A179" s="707">
        <v>165</v>
      </c>
      <c r="B179" s="1962">
        <v>16500913</v>
      </c>
      <c r="C179" s="1962"/>
      <c r="D179" s="1962" t="s">
        <v>1775</v>
      </c>
      <c r="E179" s="1967">
        <v>0</v>
      </c>
      <c r="F179" s="1967">
        <v>0</v>
      </c>
      <c r="G179" s="708">
        <f t="shared" si="10"/>
        <v>0</v>
      </c>
      <c r="H179" s="708">
        <f t="shared" si="11"/>
        <v>0</v>
      </c>
    </row>
    <row r="180" spans="1:8">
      <c r="A180" s="707">
        <v>165</v>
      </c>
      <c r="B180" s="1962">
        <v>16500923</v>
      </c>
      <c r="C180" s="1962"/>
      <c r="D180" s="1962" t="s">
        <v>1776</v>
      </c>
      <c r="E180" s="1967">
        <v>0</v>
      </c>
      <c r="F180" s="1967">
        <v>0</v>
      </c>
      <c r="G180" s="708">
        <f t="shared" si="10"/>
        <v>0</v>
      </c>
      <c r="H180" s="708">
        <f t="shared" si="11"/>
        <v>0</v>
      </c>
    </row>
    <row r="181" spans="1:8">
      <c r="A181" s="707">
        <v>165</v>
      </c>
      <c r="B181" s="1962">
        <v>16500933</v>
      </c>
      <c r="C181" s="1962"/>
      <c r="D181" s="1962" t="s">
        <v>1777</v>
      </c>
      <c r="E181" s="1967">
        <v>0</v>
      </c>
      <c r="F181" s="1967">
        <v>0</v>
      </c>
      <c r="G181" s="708">
        <f t="shared" si="10"/>
        <v>0</v>
      </c>
      <c r="H181" s="708">
        <f t="shared" si="11"/>
        <v>0</v>
      </c>
    </row>
    <row r="182" spans="1:8">
      <c r="A182" s="707">
        <v>165</v>
      </c>
      <c r="B182" s="1962">
        <v>16500943</v>
      </c>
      <c r="C182" s="1962"/>
      <c r="D182" s="1962" t="s">
        <v>1778</v>
      </c>
      <c r="E182" s="1967">
        <v>0</v>
      </c>
      <c r="F182" s="1967">
        <v>0</v>
      </c>
      <c r="G182" s="708">
        <f t="shared" si="10"/>
        <v>0</v>
      </c>
      <c r="H182" s="708">
        <f t="shared" si="11"/>
        <v>0</v>
      </c>
    </row>
    <row r="183" spans="1:8">
      <c r="A183" s="707">
        <v>165</v>
      </c>
      <c r="B183" s="1962">
        <v>16500963</v>
      </c>
      <c r="C183" s="1962"/>
      <c r="D183" s="1962" t="s">
        <v>1779</v>
      </c>
      <c r="E183" s="1967">
        <v>0</v>
      </c>
      <c r="F183" s="1967">
        <v>0</v>
      </c>
      <c r="G183" s="708">
        <f t="shared" si="10"/>
        <v>0</v>
      </c>
      <c r="H183" s="708">
        <f t="shared" si="11"/>
        <v>0</v>
      </c>
    </row>
    <row r="184" spans="1:8">
      <c r="A184" s="707">
        <v>165</v>
      </c>
      <c r="B184" s="1962">
        <v>16500973</v>
      </c>
      <c r="C184" s="1962"/>
      <c r="D184" s="1962" t="s">
        <v>1780</v>
      </c>
      <c r="E184" s="1967">
        <v>0</v>
      </c>
      <c r="F184" s="1967">
        <v>0</v>
      </c>
      <c r="G184" s="708">
        <f t="shared" si="10"/>
        <v>0</v>
      </c>
      <c r="H184" s="708">
        <f t="shared" si="11"/>
        <v>0</v>
      </c>
    </row>
    <row r="185" spans="1:8">
      <c r="A185" s="707">
        <v>165</v>
      </c>
      <c r="B185" s="1962">
        <v>16500983</v>
      </c>
      <c r="C185" s="1962"/>
      <c r="D185" s="1962" t="s">
        <v>1781</v>
      </c>
      <c r="E185" s="1967">
        <v>0</v>
      </c>
      <c r="F185" s="1967">
        <v>0</v>
      </c>
      <c r="G185" s="708">
        <f t="shared" si="10"/>
        <v>0</v>
      </c>
      <c r="H185" s="708">
        <f t="shared" si="11"/>
        <v>0</v>
      </c>
    </row>
    <row r="186" spans="1:8">
      <c r="A186" s="707">
        <v>165</v>
      </c>
      <c r="B186" s="1962">
        <v>16501003</v>
      </c>
      <c r="C186" s="1962"/>
      <c r="D186" s="1962" t="s">
        <v>1782</v>
      </c>
      <c r="E186" s="1967">
        <v>0</v>
      </c>
      <c r="F186" s="1967">
        <v>0</v>
      </c>
      <c r="G186" s="708">
        <f t="shared" si="10"/>
        <v>0</v>
      </c>
      <c r="H186" s="708">
        <f t="shared" si="11"/>
        <v>0</v>
      </c>
    </row>
    <row r="187" spans="1:8">
      <c r="A187" s="707">
        <v>165</v>
      </c>
      <c r="B187" s="1962">
        <v>16501013</v>
      </c>
      <c r="C187" s="1962"/>
      <c r="D187" s="1962" t="s">
        <v>1783</v>
      </c>
      <c r="E187" s="1967">
        <v>0</v>
      </c>
      <c r="F187" s="1967">
        <v>0</v>
      </c>
      <c r="G187" s="708">
        <f t="shared" si="10"/>
        <v>0</v>
      </c>
      <c r="H187" s="708">
        <f t="shared" si="11"/>
        <v>0</v>
      </c>
    </row>
    <row r="188" spans="1:8">
      <c r="A188" s="707">
        <v>165</v>
      </c>
      <c r="B188" s="1962">
        <v>16501023</v>
      </c>
      <c r="C188" s="1962"/>
      <c r="D188" s="1962" t="s">
        <v>1784</v>
      </c>
      <c r="E188" s="1967">
        <v>0</v>
      </c>
      <c r="F188" s="1967">
        <v>0</v>
      </c>
      <c r="G188" s="708">
        <f t="shared" si="10"/>
        <v>0</v>
      </c>
      <c r="H188" s="708">
        <f t="shared" si="11"/>
        <v>0</v>
      </c>
    </row>
    <row r="189" spans="1:8">
      <c r="A189" s="707">
        <v>165</v>
      </c>
      <c r="B189" s="1962">
        <v>16501031</v>
      </c>
      <c r="C189" s="1962"/>
      <c r="D189" s="1962" t="s">
        <v>1785</v>
      </c>
      <c r="E189" s="1967">
        <v>0</v>
      </c>
      <c r="F189" s="1967">
        <v>0</v>
      </c>
      <c r="G189" s="708">
        <f t="shared" si="10"/>
        <v>0</v>
      </c>
      <c r="H189" s="708">
        <f t="shared" si="11"/>
        <v>0</v>
      </c>
    </row>
    <row r="190" spans="1:8">
      <c r="A190" s="707">
        <v>165</v>
      </c>
      <c r="B190" s="1962">
        <v>16501033</v>
      </c>
      <c r="C190" s="1962"/>
      <c r="D190" s="1962" t="s">
        <v>1786</v>
      </c>
      <c r="E190" s="1967">
        <v>0</v>
      </c>
      <c r="F190" s="1967">
        <v>0</v>
      </c>
      <c r="G190" s="708">
        <f t="shared" si="10"/>
        <v>0</v>
      </c>
      <c r="H190" s="708">
        <f t="shared" si="11"/>
        <v>0</v>
      </c>
    </row>
    <row r="191" spans="1:8">
      <c r="A191" s="707">
        <v>165</v>
      </c>
      <c r="B191" s="1962">
        <v>16501041</v>
      </c>
      <c r="C191" s="1962"/>
      <c r="D191" s="1962" t="s">
        <v>1787</v>
      </c>
      <c r="E191" s="1967">
        <v>0</v>
      </c>
      <c r="F191" s="1967">
        <v>0</v>
      </c>
      <c r="G191" s="708">
        <f t="shared" si="10"/>
        <v>0</v>
      </c>
      <c r="H191" s="708">
        <f t="shared" si="11"/>
        <v>0</v>
      </c>
    </row>
    <row r="192" spans="1:8">
      <c r="A192" s="707">
        <v>165</v>
      </c>
      <c r="B192" s="1962">
        <v>16501043</v>
      </c>
      <c r="C192" s="1962"/>
      <c r="D192" s="1962" t="s">
        <v>1788</v>
      </c>
      <c r="E192" s="1967">
        <v>0</v>
      </c>
      <c r="F192" s="1967">
        <v>0</v>
      </c>
      <c r="G192" s="708">
        <f t="shared" si="10"/>
        <v>0</v>
      </c>
      <c r="H192" s="708">
        <f t="shared" si="11"/>
        <v>0</v>
      </c>
    </row>
    <row r="193" spans="1:8">
      <c r="A193" s="707">
        <v>165</v>
      </c>
      <c r="B193" s="1962">
        <v>16501051</v>
      </c>
      <c r="C193" s="1962"/>
      <c r="D193" s="1962" t="s">
        <v>1789</v>
      </c>
      <c r="E193" s="1967">
        <v>0</v>
      </c>
      <c r="F193" s="1967">
        <v>0</v>
      </c>
      <c r="G193" s="708">
        <f t="shared" si="10"/>
        <v>0</v>
      </c>
      <c r="H193" s="708">
        <f t="shared" si="11"/>
        <v>0</v>
      </c>
    </row>
    <row r="194" spans="1:8">
      <c r="A194" s="707">
        <v>165</v>
      </c>
      <c r="B194" s="1962">
        <v>16501053</v>
      </c>
      <c r="C194" s="1962"/>
      <c r="D194" s="1962" t="s">
        <v>1790</v>
      </c>
      <c r="E194" s="1967">
        <v>0</v>
      </c>
      <c r="F194" s="1967">
        <v>0</v>
      </c>
      <c r="G194" s="708">
        <f t="shared" si="10"/>
        <v>0</v>
      </c>
      <c r="H194" s="708">
        <f t="shared" si="11"/>
        <v>0</v>
      </c>
    </row>
    <row r="195" spans="1:8">
      <c r="A195" s="707">
        <v>165</v>
      </c>
      <c r="B195" s="1962">
        <v>16501061</v>
      </c>
      <c r="C195" s="1962"/>
      <c r="D195" s="1962" t="s">
        <v>1791</v>
      </c>
      <c r="E195" s="1967">
        <v>0</v>
      </c>
      <c r="F195" s="1967">
        <v>0</v>
      </c>
      <c r="G195" s="708">
        <f t="shared" si="10"/>
        <v>0</v>
      </c>
      <c r="H195" s="708">
        <f t="shared" si="11"/>
        <v>0</v>
      </c>
    </row>
    <row r="196" spans="1:8">
      <c r="A196" s="707">
        <v>165</v>
      </c>
      <c r="B196" s="1962">
        <v>16501062</v>
      </c>
      <c r="C196" s="1962"/>
      <c r="D196" s="1962" t="s">
        <v>1791</v>
      </c>
      <c r="E196" s="1967">
        <v>0</v>
      </c>
      <c r="F196" s="1967">
        <v>0</v>
      </c>
      <c r="G196" s="708">
        <f t="shared" si="10"/>
        <v>0</v>
      </c>
      <c r="H196" s="708">
        <f t="shared" si="11"/>
        <v>0</v>
      </c>
    </row>
    <row r="197" spans="1:8">
      <c r="A197" s="707">
        <v>165</v>
      </c>
      <c r="B197" s="1962">
        <v>16501071</v>
      </c>
      <c r="C197" s="1962"/>
      <c r="D197" s="1962" t="s">
        <v>1792</v>
      </c>
      <c r="E197" s="1967">
        <v>0</v>
      </c>
      <c r="F197" s="1967">
        <v>0</v>
      </c>
      <c r="G197" s="708">
        <f t="shared" si="10"/>
        <v>0</v>
      </c>
      <c r="H197" s="708">
        <f t="shared" si="11"/>
        <v>0</v>
      </c>
    </row>
    <row r="198" spans="1:8">
      <c r="A198" s="707">
        <v>165</v>
      </c>
      <c r="B198" s="1962">
        <v>16501072</v>
      </c>
      <c r="C198" s="1962"/>
      <c r="D198" s="1962" t="s">
        <v>1792</v>
      </c>
      <c r="E198" s="1967">
        <v>0</v>
      </c>
      <c r="F198" s="1967">
        <v>0</v>
      </c>
      <c r="G198" s="708">
        <f t="shared" si="10"/>
        <v>0</v>
      </c>
      <c r="H198" s="708">
        <f t="shared" si="11"/>
        <v>0</v>
      </c>
    </row>
    <row r="199" spans="1:8">
      <c r="A199" s="707">
        <v>165</v>
      </c>
      <c r="B199" s="1962">
        <v>16501083</v>
      </c>
      <c r="C199" s="1962"/>
      <c r="D199" s="1962" t="s">
        <v>1793</v>
      </c>
      <c r="E199" s="1967">
        <v>31260.94</v>
      </c>
      <c r="F199" s="1967">
        <v>34010.94</v>
      </c>
      <c r="G199" s="708">
        <f t="shared" si="10"/>
        <v>10735.006685475733</v>
      </c>
      <c r="H199" s="708">
        <f t="shared" si="11"/>
        <v>20525.933314524264</v>
      </c>
    </row>
    <row r="200" spans="1:8">
      <c r="A200" s="707">
        <v>165</v>
      </c>
      <c r="B200" s="1962">
        <v>16501101</v>
      </c>
      <c r="C200" s="1962"/>
      <c r="D200" s="1962" t="s">
        <v>1794</v>
      </c>
      <c r="E200" s="1967">
        <v>0</v>
      </c>
      <c r="F200" s="1967">
        <v>0</v>
      </c>
      <c r="G200" s="708">
        <f t="shared" si="10"/>
        <v>0</v>
      </c>
      <c r="H200" s="708">
        <f t="shared" si="11"/>
        <v>0</v>
      </c>
    </row>
    <row r="201" spans="1:8">
      <c r="A201" s="707">
        <v>165</v>
      </c>
      <c r="B201" s="1962">
        <v>16501103</v>
      </c>
      <c r="C201" s="1962"/>
      <c r="D201" s="1962" t="s">
        <v>1795</v>
      </c>
      <c r="E201" s="1967">
        <v>0</v>
      </c>
      <c r="F201" s="1967">
        <v>0</v>
      </c>
      <c r="G201" s="708">
        <f t="shared" si="10"/>
        <v>0</v>
      </c>
      <c r="H201" s="708">
        <f t="shared" si="11"/>
        <v>0</v>
      </c>
    </row>
    <row r="202" spans="1:8">
      <c r="A202" s="707">
        <v>165</v>
      </c>
      <c r="B202" s="1962">
        <v>16501113</v>
      </c>
      <c r="C202" s="1962"/>
      <c r="D202" s="1962" t="s">
        <v>1796</v>
      </c>
      <c r="E202" s="1967">
        <v>0</v>
      </c>
      <c r="F202" s="1967">
        <v>0</v>
      </c>
      <c r="G202" s="708">
        <f t="shared" si="10"/>
        <v>0</v>
      </c>
      <c r="H202" s="708">
        <f t="shared" si="11"/>
        <v>0</v>
      </c>
    </row>
    <row r="203" spans="1:8">
      <c r="A203" s="707">
        <v>165</v>
      </c>
      <c r="B203" s="1962">
        <v>16501133</v>
      </c>
      <c r="C203" s="1962"/>
      <c r="D203" s="1962" t="s">
        <v>1797</v>
      </c>
      <c r="E203" s="1967">
        <v>0</v>
      </c>
      <c r="F203" s="1967">
        <v>0</v>
      </c>
      <c r="G203" s="708">
        <f t="shared" si="10"/>
        <v>0</v>
      </c>
      <c r="H203" s="708">
        <f t="shared" si="11"/>
        <v>0</v>
      </c>
    </row>
    <row r="204" spans="1:8">
      <c r="A204" s="707">
        <v>165</v>
      </c>
      <c r="B204" s="1962">
        <v>16501143</v>
      </c>
      <c r="C204" s="1962"/>
      <c r="D204" s="1962" t="s">
        <v>1798</v>
      </c>
      <c r="E204" s="1967">
        <v>0</v>
      </c>
      <c r="F204" s="1967">
        <v>0</v>
      </c>
      <c r="G204" s="708">
        <f t="shared" si="10"/>
        <v>0</v>
      </c>
      <c r="H204" s="708">
        <f t="shared" si="11"/>
        <v>0</v>
      </c>
    </row>
    <row r="205" spans="1:8">
      <c r="A205" s="707">
        <v>165</v>
      </c>
      <c r="B205" s="1962">
        <v>16501153</v>
      </c>
      <c r="C205" s="1962"/>
      <c r="D205" s="1962" t="s">
        <v>1799</v>
      </c>
      <c r="E205" s="1967">
        <v>0</v>
      </c>
      <c r="F205" s="1967">
        <v>0</v>
      </c>
      <c r="G205" s="708">
        <f t="shared" si="10"/>
        <v>0</v>
      </c>
      <c r="H205" s="708">
        <f t="shared" si="11"/>
        <v>0</v>
      </c>
    </row>
    <row r="206" spans="1:8">
      <c r="A206" s="707">
        <v>165</v>
      </c>
      <c r="B206" s="1962">
        <v>16501173</v>
      </c>
      <c r="C206" s="1962"/>
      <c r="D206" s="1962" t="s">
        <v>1800</v>
      </c>
      <c r="E206" s="1967">
        <v>0</v>
      </c>
      <c r="F206" s="1967">
        <v>0</v>
      </c>
      <c r="G206" s="708">
        <f t="shared" si="10"/>
        <v>0</v>
      </c>
      <c r="H206" s="708">
        <f t="shared" si="11"/>
        <v>0</v>
      </c>
    </row>
    <row r="207" spans="1:8">
      <c r="A207" s="707">
        <v>165</v>
      </c>
      <c r="B207" s="1962">
        <v>16501193</v>
      </c>
      <c r="C207" s="1962"/>
      <c r="D207" s="1962" t="s">
        <v>1801</v>
      </c>
      <c r="E207" s="1967">
        <v>0</v>
      </c>
      <c r="F207" s="1967">
        <v>0</v>
      </c>
      <c r="G207" s="708">
        <f t="shared" si="10"/>
        <v>0</v>
      </c>
      <c r="H207" s="708">
        <f t="shared" si="11"/>
        <v>0</v>
      </c>
    </row>
    <row r="208" spans="1:8">
      <c r="A208" s="707">
        <v>165</v>
      </c>
      <c r="B208" s="1962">
        <v>16501203</v>
      </c>
      <c r="C208" s="1962"/>
      <c r="D208" s="1962" t="s">
        <v>1802</v>
      </c>
      <c r="E208" s="1967">
        <v>0</v>
      </c>
      <c r="F208" s="1967">
        <v>0</v>
      </c>
      <c r="G208" s="708">
        <f t="shared" si="10"/>
        <v>0</v>
      </c>
      <c r="H208" s="708">
        <f t="shared" si="11"/>
        <v>0</v>
      </c>
    </row>
    <row r="209" spans="1:8">
      <c r="A209" s="707">
        <v>165</v>
      </c>
      <c r="B209" s="1962">
        <v>16501223</v>
      </c>
      <c r="C209" s="1962"/>
      <c r="D209" s="1962" t="s">
        <v>1803</v>
      </c>
      <c r="E209" s="1967">
        <v>0</v>
      </c>
      <c r="F209" s="1967">
        <v>0</v>
      </c>
      <c r="G209" s="708">
        <f t="shared" si="10"/>
        <v>0</v>
      </c>
      <c r="H209" s="708">
        <f t="shared" si="11"/>
        <v>0</v>
      </c>
    </row>
    <row r="210" spans="1:8">
      <c r="A210" s="707">
        <v>165</v>
      </c>
      <c r="B210" s="1962">
        <v>16501233</v>
      </c>
      <c r="C210" s="1962"/>
      <c r="D210" s="1962" t="s">
        <v>1804</v>
      </c>
      <c r="E210" s="1967">
        <v>0</v>
      </c>
      <c r="F210" s="1967">
        <v>0</v>
      </c>
      <c r="G210" s="708">
        <f t="shared" si="10"/>
        <v>0</v>
      </c>
      <c r="H210" s="708">
        <f t="shared" si="11"/>
        <v>0</v>
      </c>
    </row>
    <row r="211" spans="1:8">
      <c r="A211" s="707">
        <v>165</v>
      </c>
      <c r="B211" s="1962">
        <v>16501243</v>
      </c>
      <c r="C211" s="1962"/>
      <c r="D211" s="1962" t="s">
        <v>1805</v>
      </c>
      <c r="E211" s="1967">
        <v>0</v>
      </c>
      <c r="F211" s="1967">
        <v>0</v>
      </c>
      <c r="G211" s="708">
        <f t="shared" si="10"/>
        <v>0</v>
      </c>
      <c r="H211" s="708">
        <f t="shared" si="11"/>
        <v>0</v>
      </c>
    </row>
    <row r="212" spans="1:8">
      <c r="A212" s="707">
        <v>165</v>
      </c>
      <c r="B212" s="1962">
        <v>16501273</v>
      </c>
      <c r="C212" s="1962"/>
      <c r="D212" s="1962" t="s">
        <v>1806</v>
      </c>
      <c r="E212" s="1967">
        <v>214194.13</v>
      </c>
      <c r="F212" s="1967">
        <v>427434.19</v>
      </c>
      <c r="G212" s="708">
        <f t="shared" si="10"/>
        <v>73554.263484708339</v>
      </c>
      <c r="H212" s="708">
        <f t="shared" si="11"/>
        <v>140639.86651529168</v>
      </c>
    </row>
    <row r="213" spans="1:8">
      <c r="A213" s="707">
        <v>165</v>
      </c>
      <c r="B213" s="1962">
        <v>16501283</v>
      </c>
      <c r="C213" s="1962"/>
      <c r="D213" s="1962" t="s">
        <v>1807</v>
      </c>
      <c r="E213" s="1967">
        <v>0</v>
      </c>
      <c r="F213" s="1967">
        <v>0</v>
      </c>
      <c r="G213" s="708">
        <f t="shared" si="10"/>
        <v>0</v>
      </c>
      <c r="H213" s="708">
        <f t="shared" si="11"/>
        <v>0</v>
      </c>
    </row>
    <row r="214" spans="1:8">
      <c r="A214" s="707">
        <v>165</v>
      </c>
      <c r="B214" s="1962">
        <v>16501293</v>
      </c>
      <c r="C214" s="1962"/>
      <c r="D214" s="1962" t="s">
        <v>1808</v>
      </c>
      <c r="E214" s="1967">
        <v>769392</v>
      </c>
      <c r="F214" s="1967">
        <v>1777100</v>
      </c>
      <c r="G214" s="708">
        <f t="shared" si="10"/>
        <v>264209.21007978474</v>
      </c>
      <c r="H214" s="708">
        <f t="shared" si="11"/>
        <v>505182.78992021526</v>
      </c>
    </row>
    <row r="215" spans="1:8">
      <c r="A215" s="707">
        <v>165</v>
      </c>
      <c r="B215" s="1962">
        <v>16502001</v>
      </c>
      <c r="C215" s="1962"/>
      <c r="D215" s="1962" t="s">
        <v>1809</v>
      </c>
      <c r="E215" s="1967">
        <v>10097.719999999999</v>
      </c>
      <c r="F215" s="1967">
        <v>8800.09</v>
      </c>
      <c r="G215" s="708">
        <f t="shared" si="10"/>
        <v>0</v>
      </c>
      <c r="H215" s="708">
        <f t="shared" si="11"/>
        <v>10097.719999999999</v>
      </c>
    </row>
    <row r="216" spans="1:8">
      <c r="A216" s="707">
        <v>165</v>
      </c>
      <c r="B216" s="1962">
        <v>16502003</v>
      </c>
      <c r="C216" s="1962"/>
      <c r="D216" s="1962" t="s">
        <v>1810</v>
      </c>
      <c r="E216" s="1967">
        <v>0</v>
      </c>
      <c r="F216" s="1967">
        <v>0</v>
      </c>
      <c r="G216" s="708">
        <f t="shared" si="10"/>
        <v>0</v>
      </c>
      <c r="H216" s="708">
        <f t="shared" si="11"/>
        <v>0</v>
      </c>
    </row>
    <row r="217" spans="1:8">
      <c r="A217" s="707">
        <v>165</v>
      </c>
      <c r="B217" s="1962">
        <v>16502013</v>
      </c>
      <c r="C217" s="1962"/>
      <c r="D217" s="1962" t="s">
        <v>1811</v>
      </c>
      <c r="E217" s="1967">
        <v>0</v>
      </c>
      <c r="F217" s="1967">
        <v>0</v>
      </c>
      <c r="G217" s="708">
        <f t="shared" ref="G217:G280" si="12">IF(MID(B217,8,1)="1",0,IF(MID(B217,8,1)="2",E217,E217*$F$3))</f>
        <v>0</v>
      </c>
      <c r="H217" s="708">
        <f t="shared" ref="H217:H280" si="13">E217-G217</f>
        <v>0</v>
      </c>
    </row>
    <row r="218" spans="1:8">
      <c r="A218" s="707">
        <v>165</v>
      </c>
      <c r="B218" s="1962">
        <v>16502021</v>
      </c>
      <c r="C218" s="1962"/>
      <c r="D218" s="1962" t="s">
        <v>1812</v>
      </c>
      <c r="E218" s="1967">
        <v>402915.1</v>
      </c>
      <c r="F218" s="1967">
        <v>351060.04</v>
      </c>
      <c r="G218" s="708">
        <f t="shared" si="12"/>
        <v>0</v>
      </c>
      <c r="H218" s="708">
        <f t="shared" si="13"/>
        <v>402915.1</v>
      </c>
    </row>
    <row r="219" spans="1:8">
      <c r="A219" s="707">
        <v>165</v>
      </c>
      <c r="B219" s="1962">
        <v>16502023</v>
      </c>
      <c r="C219" s="1962"/>
      <c r="D219" s="1962" t="s">
        <v>1813</v>
      </c>
      <c r="E219" s="1967">
        <v>0</v>
      </c>
      <c r="F219" s="1967">
        <v>0</v>
      </c>
      <c r="G219" s="708">
        <f t="shared" si="12"/>
        <v>0</v>
      </c>
      <c r="H219" s="708">
        <f t="shared" si="13"/>
        <v>0</v>
      </c>
    </row>
    <row r="220" spans="1:8">
      <c r="A220" s="707">
        <v>165</v>
      </c>
      <c r="B220" s="1962">
        <v>16502033</v>
      </c>
      <c r="C220" s="1962"/>
      <c r="D220" s="1962" t="s">
        <v>1814</v>
      </c>
      <c r="E220" s="1967">
        <v>0</v>
      </c>
      <c r="F220" s="1967">
        <v>0</v>
      </c>
      <c r="G220" s="708">
        <f t="shared" si="12"/>
        <v>0</v>
      </c>
      <c r="H220" s="708">
        <f t="shared" si="13"/>
        <v>0</v>
      </c>
    </row>
    <row r="221" spans="1:8">
      <c r="A221" s="707">
        <v>165</v>
      </c>
      <c r="B221" s="1962">
        <v>16502041</v>
      </c>
      <c r="C221" s="1969" t="s">
        <v>968</v>
      </c>
      <c r="D221" s="1962" t="s">
        <v>1815</v>
      </c>
      <c r="E221" s="1968">
        <v>0</v>
      </c>
      <c r="F221" s="1968">
        <v>0</v>
      </c>
      <c r="G221" s="725">
        <f t="shared" si="12"/>
        <v>0</v>
      </c>
      <c r="H221" s="725">
        <f t="shared" si="13"/>
        <v>0</v>
      </c>
    </row>
    <row r="222" spans="1:8">
      <c r="A222" s="707">
        <v>165</v>
      </c>
      <c r="B222" s="1962">
        <v>16502043</v>
      </c>
      <c r="C222" s="1962"/>
      <c r="D222" s="1962" t="s">
        <v>1816</v>
      </c>
      <c r="E222" s="1967">
        <v>0</v>
      </c>
      <c r="F222" s="1967">
        <v>0</v>
      </c>
      <c r="G222" s="708">
        <f t="shared" si="12"/>
        <v>0</v>
      </c>
      <c r="H222" s="708">
        <f t="shared" si="13"/>
        <v>0</v>
      </c>
    </row>
    <row r="223" spans="1:8">
      <c r="A223" s="707">
        <v>165</v>
      </c>
      <c r="B223" s="1962">
        <v>16502053</v>
      </c>
      <c r="C223" s="1962"/>
      <c r="D223" s="1962" t="s">
        <v>1817</v>
      </c>
      <c r="E223" s="1967">
        <v>0</v>
      </c>
      <c r="F223" s="1967">
        <v>0</v>
      </c>
      <c r="G223" s="708">
        <f t="shared" si="12"/>
        <v>0</v>
      </c>
      <c r="H223" s="708">
        <f t="shared" si="13"/>
        <v>0</v>
      </c>
    </row>
    <row r="224" spans="1:8">
      <c r="A224" s="707">
        <v>165</v>
      </c>
      <c r="B224" s="1962">
        <v>16502063</v>
      </c>
      <c r="C224" s="1962"/>
      <c r="D224" s="1962" t="s">
        <v>1818</v>
      </c>
      <c r="E224" s="1967">
        <v>0</v>
      </c>
      <c r="F224" s="1967">
        <v>0</v>
      </c>
      <c r="G224" s="708">
        <f t="shared" si="12"/>
        <v>0</v>
      </c>
      <c r="H224" s="708">
        <f t="shared" si="13"/>
        <v>0</v>
      </c>
    </row>
    <row r="225" spans="1:8">
      <c r="A225" s="707">
        <v>165</v>
      </c>
      <c r="B225" s="1962">
        <v>16502083</v>
      </c>
      <c r="C225" s="1962"/>
      <c r="D225" s="1962" t="s">
        <v>1819</v>
      </c>
      <c r="E225" s="1967">
        <v>0</v>
      </c>
      <c r="F225" s="1967">
        <v>0</v>
      </c>
      <c r="G225" s="708">
        <f t="shared" si="12"/>
        <v>0</v>
      </c>
      <c r="H225" s="708">
        <f t="shared" si="13"/>
        <v>0</v>
      </c>
    </row>
    <row r="226" spans="1:8">
      <c r="A226" s="707">
        <v>165</v>
      </c>
      <c r="B226" s="1962">
        <v>16502093</v>
      </c>
      <c r="C226" s="1962"/>
      <c r="D226" s="1962" t="s">
        <v>1820</v>
      </c>
      <c r="E226" s="1967">
        <v>0</v>
      </c>
      <c r="F226" s="1967">
        <v>0</v>
      </c>
      <c r="G226" s="708">
        <f t="shared" si="12"/>
        <v>0</v>
      </c>
      <c r="H226" s="708">
        <f t="shared" si="13"/>
        <v>0</v>
      </c>
    </row>
    <row r="227" spans="1:8">
      <c r="A227" s="707">
        <v>165</v>
      </c>
      <c r="B227" s="1962">
        <v>16502103</v>
      </c>
      <c r="C227" s="1962"/>
      <c r="D227" s="1962" t="s">
        <v>1821</v>
      </c>
      <c r="E227" s="1967">
        <v>0</v>
      </c>
      <c r="F227" s="1967">
        <v>0</v>
      </c>
      <c r="G227" s="708">
        <f t="shared" si="12"/>
        <v>0</v>
      </c>
      <c r="H227" s="708">
        <f t="shared" si="13"/>
        <v>0</v>
      </c>
    </row>
    <row r="228" spans="1:8">
      <c r="A228" s="707">
        <v>165</v>
      </c>
      <c r="B228" s="1962">
        <v>16502113</v>
      </c>
      <c r="C228" s="1962"/>
      <c r="D228" s="1962" t="s">
        <v>1822</v>
      </c>
      <c r="E228" s="1967">
        <v>0</v>
      </c>
      <c r="F228" s="1967">
        <v>0</v>
      </c>
      <c r="G228" s="708">
        <f t="shared" si="12"/>
        <v>0</v>
      </c>
      <c r="H228" s="708">
        <f t="shared" si="13"/>
        <v>0</v>
      </c>
    </row>
    <row r="229" spans="1:8">
      <c r="A229" s="707">
        <v>165</v>
      </c>
      <c r="B229" s="1962">
        <v>16502123</v>
      </c>
      <c r="C229" s="1962"/>
      <c r="D229" s="1962" t="s">
        <v>1823</v>
      </c>
      <c r="E229" s="1967">
        <v>0</v>
      </c>
      <c r="F229" s="1967">
        <v>0</v>
      </c>
      <c r="G229" s="708">
        <f t="shared" si="12"/>
        <v>0</v>
      </c>
      <c r="H229" s="708">
        <f t="shared" si="13"/>
        <v>0</v>
      </c>
    </row>
    <row r="230" spans="1:8">
      <c r="A230" s="707">
        <v>165</v>
      </c>
      <c r="B230" s="1962">
        <v>16502133</v>
      </c>
      <c r="C230" s="1962"/>
      <c r="D230" s="1962" t="s">
        <v>1824</v>
      </c>
      <c r="E230" s="1967">
        <v>0</v>
      </c>
      <c r="F230" s="1967">
        <v>0</v>
      </c>
      <c r="G230" s="708">
        <f t="shared" si="12"/>
        <v>0</v>
      </c>
      <c r="H230" s="708">
        <f t="shared" si="13"/>
        <v>0</v>
      </c>
    </row>
    <row r="231" spans="1:8">
      <c r="A231" s="707">
        <v>165</v>
      </c>
      <c r="B231" s="1962">
        <v>16502153</v>
      </c>
      <c r="C231" s="1962"/>
      <c r="D231" s="1962" t="s">
        <v>1825</v>
      </c>
      <c r="E231" s="1967">
        <v>0</v>
      </c>
      <c r="F231" s="1967">
        <v>0</v>
      </c>
      <c r="G231" s="708">
        <f t="shared" si="12"/>
        <v>0</v>
      </c>
      <c r="H231" s="708">
        <f t="shared" si="13"/>
        <v>0</v>
      </c>
    </row>
    <row r="232" spans="1:8">
      <c r="A232" s="707">
        <v>165</v>
      </c>
      <c r="B232" s="1962">
        <v>16502163</v>
      </c>
      <c r="C232" s="1962"/>
      <c r="D232" s="1962" t="s">
        <v>1826</v>
      </c>
      <c r="E232" s="1967">
        <v>0</v>
      </c>
      <c r="F232" s="1967">
        <v>0</v>
      </c>
      <c r="G232" s="708">
        <f t="shared" si="12"/>
        <v>0</v>
      </c>
      <c r="H232" s="708">
        <f t="shared" si="13"/>
        <v>0</v>
      </c>
    </row>
    <row r="233" spans="1:8">
      <c r="A233" s="707">
        <v>165</v>
      </c>
      <c r="B233" s="1962">
        <v>16502173</v>
      </c>
      <c r="C233" s="1962"/>
      <c r="D233" s="1962" t="s">
        <v>1827</v>
      </c>
      <c r="E233" s="1967">
        <v>0</v>
      </c>
      <c r="F233" s="1967">
        <v>0</v>
      </c>
      <c r="G233" s="708">
        <f t="shared" si="12"/>
        <v>0</v>
      </c>
      <c r="H233" s="708">
        <f t="shared" si="13"/>
        <v>0</v>
      </c>
    </row>
    <row r="234" spans="1:8">
      <c r="A234" s="707">
        <v>165</v>
      </c>
      <c r="B234" s="1962">
        <v>16502181</v>
      </c>
      <c r="C234" s="1962"/>
      <c r="D234" s="1962" t="s">
        <v>1828</v>
      </c>
      <c r="E234" s="1967">
        <v>0</v>
      </c>
      <c r="F234" s="1967">
        <v>0</v>
      </c>
      <c r="G234" s="708">
        <f t="shared" si="12"/>
        <v>0</v>
      </c>
      <c r="H234" s="708">
        <f t="shared" si="13"/>
        <v>0</v>
      </c>
    </row>
    <row r="235" spans="1:8">
      <c r="A235" s="707">
        <v>165</v>
      </c>
      <c r="B235" s="1962">
        <v>16502191</v>
      </c>
      <c r="C235" s="1962"/>
      <c r="D235" s="1962" t="s">
        <v>1772</v>
      </c>
      <c r="E235" s="1967">
        <v>0</v>
      </c>
      <c r="F235" s="1967">
        <v>0</v>
      </c>
      <c r="G235" s="708">
        <f t="shared" si="12"/>
        <v>0</v>
      </c>
      <c r="H235" s="708">
        <f t="shared" si="13"/>
        <v>0</v>
      </c>
    </row>
    <row r="236" spans="1:8">
      <c r="A236" s="707">
        <v>165</v>
      </c>
      <c r="B236" s="1962">
        <v>16502201</v>
      </c>
      <c r="C236" s="1962"/>
      <c r="D236" s="1962" t="s">
        <v>1829</v>
      </c>
      <c r="E236" s="1967">
        <v>0</v>
      </c>
      <c r="F236" s="1967">
        <v>0</v>
      </c>
      <c r="G236" s="708">
        <f t="shared" si="12"/>
        <v>0</v>
      </c>
      <c r="H236" s="708">
        <f t="shared" si="13"/>
        <v>0</v>
      </c>
    </row>
    <row r="237" spans="1:8">
      <c r="A237" s="707">
        <v>165</v>
      </c>
      <c r="B237" s="1962">
        <v>16502213</v>
      </c>
      <c r="C237" s="1962"/>
      <c r="D237" s="1962" t="s">
        <v>1830</v>
      </c>
      <c r="E237" s="1967">
        <v>0</v>
      </c>
      <c r="F237" s="1967">
        <v>0</v>
      </c>
      <c r="G237" s="708">
        <f t="shared" si="12"/>
        <v>0</v>
      </c>
      <c r="H237" s="708">
        <f t="shared" si="13"/>
        <v>0</v>
      </c>
    </row>
    <row r="238" spans="1:8">
      <c r="A238" s="707">
        <v>165</v>
      </c>
      <c r="B238" s="1962">
        <v>16502221</v>
      </c>
      <c r="C238" s="1962"/>
      <c r="D238" s="1962" t="s">
        <v>1831</v>
      </c>
      <c r="E238" s="1967">
        <v>0</v>
      </c>
      <c r="F238" s="1967">
        <v>0</v>
      </c>
      <c r="G238" s="708">
        <f t="shared" si="12"/>
        <v>0</v>
      </c>
      <c r="H238" s="708">
        <f t="shared" si="13"/>
        <v>0</v>
      </c>
    </row>
    <row r="239" spans="1:8">
      <c r="A239" s="707">
        <v>165</v>
      </c>
      <c r="B239" s="1962">
        <v>16502231</v>
      </c>
      <c r="C239" s="1962"/>
      <c r="D239" s="1962" t="s">
        <v>1832</v>
      </c>
      <c r="E239" s="1967">
        <v>0</v>
      </c>
      <c r="F239" s="1967">
        <v>0</v>
      </c>
      <c r="G239" s="708">
        <f t="shared" si="12"/>
        <v>0</v>
      </c>
      <c r="H239" s="708">
        <f t="shared" si="13"/>
        <v>0</v>
      </c>
    </row>
    <row r="240" spans="1:8">
      <c r="A240" s="707">
        <v>165</v>
      </c>
      <c r="B240" s="1962">
        <v>16502241</v>
      </c>
      <c r="C240" s="1962"/>
      <c r="D240" s="1962" t="s">
        <v>1833</v>
      </c>
      <c r="E240" s="1967">
        <v>0</v>
      </c>
      <c r="F240" s="1967">
        <v>0</v>
      </c>
      <c r="G240" s="708">
        <f t="shared" si="12"/>
        <v>0</v>
      </c>
      <c r="H240" s="708">
        <f t="shared" si="13"/>
        <v>0</v>
      </c>
    </row>
    <row r="241" spans="1:8">
      <c r="A241" s="707">
        <v>165</v>
      </c>
      <c r="B241" s="1962">
        <v>16502251</v>
      </c>
      <c r="C241" s="1962"/>
      <c r="D241" s="1962" t="s">
        <v>1834</v>
      </c>
      <c r="E241" s="1967">
        <v>0</v>
      </c>
      <c r="F241" s="1967">
        <v>0</v>
      </c>
      <c r="G241" s="708">
        <f t="shared" si="12"/>
        <v>0</v>
      </c>
      <c r="H241" s="708">
        <f t="shared" si="13"/>
        <v>0</v>
      </c>
    </row>
    <row r="242" spans="1:8">
      <c r="A242" s="707">
        <v>165</v>
      </c>
      <c r="B242" s="1962">
        <v>16502261</v>
      </c>
      <c r="C242" s="1962"/>
      <c r="D242" s="1962" t="s">
        <v>1835</v>
      </c>
      <c r="E242" s="1967">
        <v>0</v>
      </c>
      <c r="F242" s="1967">
        <v>0</v>
      </c>
      <c r="G242" s="708">
        <f t="shared" si="12"/>
        <v>0</v>
      </c>
      <c r="H242" s="708">
        <f t="shared" si="13"/>
        <v>0</v>
      </c>
    </row>
    <row r="243" spans="1:8">
      <c r="A243" s="707">
        <v>165</v>
      </c>
      <c r="B243" s="1962">
        <v>16502271</v>
      </c>
      <c r="C243" s="1962"/>
      <c r="D243" s="1962" t="s">
        <v>1836</v>
      </c>
      <c r="E243" s="1967">
        <v>0</v>
      </c>
      <c r="F243" s="1967">
        <v>0</v>
      </c>
      <c r="G243" s="708">
        <f t="shared" si="12"/>
        <v>0</v>
      </c>
      <c r="H243" s="708">
        <f t="shared" si="13"/>
        <v>0</v>
      </c>
    </row>
    <row r="244" spans="1:8">
      <c r="A244" s="707">
        <v>165</v>
      </c>
      <c r="B244" s="1962">
        <v>16502273</v>
      </c>
      <c r="C244" s="1962"/>
      <c r="D244" s="1962" t="s">
        <v>1837</v>
      </c>
      <c r="E244" s="1967">
        <v>0</v>
      </c>
      <c r="F244" s="1967">
        <v>0</v>
      </c>
      <c r="G244" s="708">
        <f t="shared" si="12"/>
        <v>0</v>
      </c>
      <c r="H244" s="708">
        <f t="shared" si="13"/>
        <v>0</v>
      </c>
    </row>
    <row r="245" spans="1:8">
      <c r="A245" s="707">
        <v>165</v>
      </c>
      <c r="B245" s="1962">
        <v>16502283</v>
      </c>
      <c r="C245" s="1962"/>
      <c r="D245" s="1962" t="s">
        <v>1838</v>
      </c>
      <c r="E245" s="1967">
        <v>0</v>
      </c>
      <c r="F245" s="1967">
        <v>0</v>
      </c>
      <c r="G245" s="708">
        <f t="shared" si="12"/>
        <v>0</v>
      </c>
      <c r="H245" s="708">
        <f t="shared" si="13"/>
        <v>0</v>
      </c>
    </row>
    <row r="246" spans="1:8">
      <c r="A246" s="707">
        <v>165</v>
      </c>
      <c r="B246" s="1962">
        <v>16502303</v>
      </c>
      <c r="C246" s="1962"/>
      <c r="D246" s="1962" t="s">
        <v>1839</v>
      </c>
      <c r="E246" s="1967">
        <v>0</v>
      </c>
      <c r="F246" s="1967">
        <v>0</v>
      </c>
      <c r="G246" s="708">
        <f t="shared" si="12"/>
        <v>0</v>
      </c>
      <c r="H246" s="708">
        <f t="shared" si="13"/>
        <v>0</v>
      </c>
    </row>
    <row r="247" spans="1:8">
      <c r="A247" s="707">
        <v>165</v>
      </c>
      <c r="B247" s="1962">
        <v>16502313</v>
      </c>
      <c r="C247" s="1962"/>
      <c r="D247" s="1962" t="s">
        <v>1840</v>
      </c>
      <c r="E247" s="1967">
        <v>20134123.789999999</v>
      </c>
      <c r="F247" s="1967">
        <v>11136133.23</v>
      </c>
      <c r="G247" s="708">
        <f t="shared" si="12"/>
        <v>6914058.0383010237</v>
      </c>
      <c r="H247" s="708">
        <f t="shared" si="13"/>
        <v>13220065.751698975</v>
      </c>
    </row>
    <row r="248" spans="1:8">
      <c r="A248" s="707">
        <v>165</v>
      </c>
      <c r="B248" s="1962">
        <v>16502323</v>
      </c>
      <c r="C248" s="1962"/>
      <c r="D248" s="1962" t="s">
        <v>1841</v>
      </c>
      <c r="E248" s="1967">
        <v>907631.24</v>
      </c>
      <c r="F248" s="1967">
        <v>2110956.23</v>
      </c>
      <c r="G248" s="708">
        <f t="shared" si="12"/>
        <v>311680.5646070345</v>
      </c>
      <c r="H248" s="708">
        <f t="shared" si="13"/>
        <v>595950.67539296555</v>
      </c>
    </row>
    <row r="249" spans="1:8">
      <c r="A249" s="707">
        <v>165</v>
      </c>
      <c r="B249" s="1962">
        <v>16502333</v>
      </c>
      <c r="C249" s="1962"/>
      <c r="D249" s="1962" t="s">
        <v>1842</v>
      </c>
      <c r="E249" s="1967">
        <v>10068722.220000001</v>
      </c>
      <c r="F249" s="1967">
        <v>10963780.880000001</v>
      </c>
      <c r="G249" s="708">
        <f t="shared" si="12"/>
        <v>3457599.1747496421</v>
      </c>
      <c r="H249" s="708">
        <f t="shared" si="13"/>
        <v>6611123.0452503581</v>
      </c>
    </row>
    <row r="250" spans="1:8">
      <c r="A250" s="707">
        <v>165</v>
      </c>
      <c r="B250" s="1962">
        <v>16502343</v>
      </c>
      <c r="C250" s="1962"/>
      <c r="D250" s="1962" t="s">
        <v>1843</v>
      </c>
      <c r="E250" s="1967">
        <v>2122548.85</v>
      </c>
      <c r="F250" s="1967">
        <v>2888596.17</v>
      </c>
      <c r="G250" s="708">
        <f t="shared" si="12"/>
        <v>728883.26758564613</v>
      </c>
      <c r="H250" s="708">
        <f t="shared" si="13"/>
        <v>1393665.582414354</v>
      </c>
    </row>
    <row r="251" spans="1:8">
      <c r="A251" s="707">
        <v>165</v>
      </c>
      <c r="B251" s="1962">
        <v>16502353</v>
      </c>
      <c r="C251" s="1962"/>
      <c r="D251" s="1962" t="s">
        <v>1844</v>
      </c>
      <c r="E251" s="1967">
        <v>893926.96</v>
      </c>
      <c r="F251" s="1967">
        <v>849787.96</v>
      </c>
      <c r="G251" s="708">
        <f t="shared" si="12"/>
        <v>306974.51490348653</v>
      </c>
      <c r="H251" s="708">
        <f t="shared" si="13"/>
        <v>586952.44509651349</v>
      </c>
    </row>
    <row r="252" spans="1:8">
      <c r="A252" s="707">
        <v>165</v>
      </c>
      <c r="B252" s="1962">
        <v>16502363</v>
      </c>
      <c r="C252" s="1962"/>
      <c r="D252" s="1962" t="s">
        <v>1845</v>
      </c>
      <c r="E252" s="1967">
        <v>127312.83</v>
      </c>
      <c r="F252" s="1967">
        <v>125623.57</v>
      </c>
      <c r="G252" s="708">
        <f t="shared" si="12"/>
        <v>43719.225371880544</v>
      </c>
      <c r="H252" s="708">
        <f t="shared" si="13"/>
        <v>83593.604628119458</v>
      </c>
    </row>
    <row r="253" spans="1:8">
      <c r="A253" s="707">
        <v>165</v>
      </c>
      <c r="B253" s="1962">
        <v>16502381</v>
      </c>
      <c r="C253" s="1962"/>
      <c r="D253" s="1962" t="s">
        <v>1846</v>
      </c>
      <c r="E253" s="1967">
        <v>0</v>
      </c>
      <c r="F253" s="1967">
        <v>0</v>
      </c>
      <c r="G253" s="708">
        <f t="shared" si="12"/>
        <v>0</v>
      </c>
      <c r="H253" s="708">
        <f t="shared" si="13"/>
        <v>0</v>
      </c>
    </row>
    <row r="254" spans="1:8">
      <c r="A254" s="707">
        <v>165</v>
      </c>
      <c r="B254" s="1962">
        <v>16502382</v>
      </c>
      <c r="C254" s="1962"/>
      <c r="D254" s="1962" t="s">
        <v>1847</v>
      </c>
      <c r="E254" s="1967">
        <v>0</v>
      </c>
      <c r="F254" s="1967">
        <v>45300</v>
      </c>
      <c r="G254" s="708">
        <f t="shared" si="12"/>
        <v>0</v>
      </c>
      <c r="H254" s="708">
        <f t="shared" si="13"/>
        <v>0</v>
      </c>
    </row>
    <row r="255" spans="1:8">
      <c r="A255" s="707">
        <v>165</v>
      </c>
      <c r="B255" s="1962">
        <v>16502391</v>
      </c>
      <c r="C255" s="1962"/>
      <c r="D255" s="1962" t="s">
        <v>1848</v>
      </c>
      <c r="E255" s="1967">
        <v>0</v>
      </c>
      <c r="F255" s="1967">
        <v>0</v>
      </c>
      <c r="G255" s="708">
        <f t="shared" si="12"/>
        <v>0</v>
      </c>
      <c r="H255" s="708">
        <f t="shared" si="13"/>
        <v>0</v>
      </c>
    </row>
    <row r="256" spans="1:8">
      <c r="A256" s="707">
        <v>165</v>
      </c>
      <c r="B256" s="1962">
        <v>16502393</v>
      </c>
      <c r="C256" s="1962"/>
      <c r="D256" s="1962" t="s">
        <v>1849</v>
      </c>
      <c r="E256" s="1967">
        <v>0</v>
      </c>
      <c r="F256" s="1967">
        <v>0</v>
      </c>
      <c r="G256" s="708">
        <f t="shared" si="12"/>
        <v>0</v>
      </c>
      <c r="H256" s="708">
        <f t="shared" si="13"/>
        <v>0</v>
      </c>
    </row>
    <row r="257" spans="1:8">
      <c r="A257" s="707">
        <v>165</v>
      </c>
      <c r="B257" s="1962">
        <v>16502401</v>
      </c>
      <c r="C257" s="1962"/>
      <c r="D257" s="1962" t="s">
        <v>1850</v>
      </c>
      <c r="E257" s="1967">
        <v>0</v>
      </c>
      <c r="F257" s="1967">
        <v>0</v>
      </c>
      <c r="G257" s="708">
        <f t="shared" si="12"/>
        <v>0</v>
      </c>
      <c r="H257" s="708">
        <f t="shared" si="13"/>
        <v>0</v>
      </c>
    </row>
    <row r="258" spans="1:8">
      <c r="A258" s="707">
        <v>165</v>
      </c>
      <c r="B258" s="1962">
        <v>16502403</v>
      </c>
      <c r="C258" s="1962"/>
      <c r="D258" s="1962" t="s">
        <v>1851</v>
      </c>
      <c r="E258" s="1967">
        <v>0</v>
      </c>
      <c r="F258" s="1967">
        <v>0</v>
      </c>
      <c r="G258" s="708">
        <f t="shared" si="12"/>
        <v>0</v>
      </c>
      <c r="H258" s="708">
        <f t="shared" si="13"/>
        <v>0</v>
      </c>
    </row>
    <row r="259" spans="1:8">
      <c r="A259" s="707">
        <v>165</v>
      </c>
      <c r="B259" s="1962">
        <v>16502413</v>
      </c>
      <c r="C259" s="1962"/>
      <c r="D259" s="1962" t="s">
        <v>1852</v>
      </c>
      <c r="E259" s="1967">
        <v>0</v>
      </c>
      <c r="F259" s="1967">
        <v>0</v>
      </c>
      <c r="G259" s="708">
        <f t="shared" si="12"/>
        <v>0</v>
      </c>
      <c r="H259" s="708">
        <f t="shared" si="13"/>
        <v>0</v>
      </c>
    </row>
    <row r="260" spans="1:8">
      <c r="A260" s="707">
        <v>165</v>
      </c>
      <c r="B260" s="1962">
        <v>16502423</v>
      </c>
      <c r="C260" s="1962"/>
      <c r="D260" s="1962" t="s">
        <v>1853</v>
      </c>
      <c r="E260" s="1967">
        <v>0</v>
      </c>
      <c r="F260" s="1967">
        <v>0</v>
      </c>
      <c r="G260" s="708">
        <f t="shared" si="12"/>
        <v>0</v>
      </c>
      <c r="H260" s="708">
        <f t="shared" si="13"/>
        <v>0</v>
      </c>
    </row>
    <row r="261" spans="1:8">
      <c r="A261" s="707">
        <v>165</v>
      </c>
      <c r="B261" s="1962">
        <v>16502433</v>
      </c>
      <c r="C261" s="1962"/>
      <c r="D261" s="1962" t="s">
        <v>1854</v>
      </c>
      <c r="E261" s="1967">
        <v>0</v>
      </c>
      <c r="F261" s="1967">
        <v>0</v>
      </c>
      <c r="G261" s="708">
        <f t="shared" si="12"/>
        <v>0</v>
      </c>
      <c r="H261" s="708">
        <f t="shared" si="13"/>
        <v>0</v>
      </c>
    </row>
    <row r="262" spans="1:8">
      <c r="A262" s="707">
        <v>165</v>
      </c>
      <c r="B262" s="1962">
        <v>16502443</v>
      </c>
      <c r="C262" s="1962"/>
      <c r="D262" s="1962" t="s">
        <v>1855</v>
      </c>
      <c r="E262" s="1967">
        <v>0</v>
      </c>
      <c r="F262" s="1967">
        <v>0</v>
      </c>
      <c r="G262" s="708">
        <f t="shared" si="12"/>
        <v>0</v>
      </c>
      <c r="H262" s="708">
        <f t="shared" si="13"/>
        <v>0</v>
      </c>
    </row>
    <row r="263" spans="1:8">
      <c r="A263" s="707">
        <v>165</v>
      </c>
      <c r="B263" s="1962">
        <v>16502453</v>
      </c>
      <c r="C263" s="1962"/>
      <c r="D263" s="1962" t="s">
        <v>1856</v>
      </c>
      <c r="E263" s="1967">
        <v>0</v>
      </c>
      <c r="F263" s="1967">
        <v>0</v>
      </c>
      <c r="G263" s="708">
        <f t="shared" si="12"/>
        <v>0</v>
      </c>
      <c r="H263" s="708">
        <f t="shared" si="13"/>
        <v>0</v>
      </c>
    </row>
    <row r="264" spans="1:8">
      <c r="A264" s="707">
        <v>165</v>
      </c>
      <c r="B264" s="1962">
        <v>16502463</v>
      </c>
      <c r="C264" s="1962"/>
      <c r="D264" s="1962" t="s">
        <v>1857</v>
      </c>
      <c r="E264" s="1967">
        <v>0</v>
      </c>
      <c r="F264" s="1967">
        <v>0</v>
      </c>
      <c r="G264" s="708">
        <f t="shared" si="12"/>
        <v>0</v>
      </c>
      <c r="H264" s="708">
        <f t="shared" si="13"/>
        <v>0</v>
      </c>
    </row>
    <row r="265" spans="1:8">
      <c r="A265" s="707">
        <v>165</v>
      </c>
      <c r="B265" s="1962">
        <v>16502473</v>
      </c>
      <c r="C265" s="1962"/>
      <c r="D265" s="1962" t="s">
        <v>1858</v>
      </c>
      <c r="E265" s="1967">
        <v>0</v>
      </c>
      <c r="F265" s="1967">
        <v>0</v>
      </c>
      <c r="G265" s="708">
        <f t="shared" si="12"/>
        <v>0</v>
      </c>
      <c r="H265" s="708">
        <f t="shared" si="13"/>
        <v>0</v>
      </c>
    </row>
    <row r="266" spans="1:8">
      <c r="A266" s="707">
        <v>165</v>
      </c>
      <c r="B266" s="1962">
        <v>16502483</v>
      </c>
      <c r="C266" s="1962"/>
      <c r="D266" s="1962" t="s">
        <v>1859</v>
      </c>
      <c r="E266" s="1967">
        <v>0</v>
      </c>
      <c r="F266" s="1967">
        <v>0</v>
      </c>
      <c r="G266" s="708">
        <f t="shared" si="12"/>
        <v>0</v>
      </c>
      <c r="H266" s="708">
        <f t="shared" si="13"/>
        <v>0</v>
      </c>
    </row>
    <row r="267" spans="1:8">
      <c r="A267" s="707">
        <v>165</v>
      </c>
      <c r="B267" s="1962">
        <v>16502493</v>
      </c>
      <c r="C267" s="1962"/>
      <c r="D267" s="1962" t="s">
        <v>1860</v>
      </c>
      <c r="E267" s="1967">
        <v>0</v>
      </c>
      <c r="F267" s="1967">
        <v>0</v>
      </c>
      <c r="G267" s="708">
        <f t="shared" si="12"/>
        <v>0</v>
      </c>
      <c r="H267" s="708">
        <f t="shared" si="13"/>
        <v>0</v>
      </c>
    </row>
    <row r="268" spans="1:8">
      <c r="A268" s="707">
        <v>165</v>
      </c>
      <c r="B268" s="1962">
        <v>16502503</v>
      </c>
      <c r="C268" s="1962"/>
      <c r="D268" s="1962" t="s">
        <v>1861</v>
      </c>
      <c r="E268" s="1967">
        <v>0</v>
      </c>
      <c r="F268" s="1967">
        <v>0</v>
      </c>
      <c r="G268" s="708">
        <f t="shared" si="12"/>
        <v>0</v>
      </c>
      <c r="H268" s="708">
        <f t="shared" si="13"/>
        <v>0</v>
      </c>
    </row>
    <row r="269" spans="1:8">
      <c r="A269" s="707">
        <v>165</v>
      </c>
      <c r="B269" s="1962">
        <v>16502513</v>
      </c>
      <c r="C269" s="1962"/>
      <c r="D269" s="1962" t="s">
        <v>1862</v>
      </c>
      <c r="E269" s="1967">
        <v>0</v>
      </c>
      <c r="F269" s="1967">
        <v>0</v>
      </c>
      <c r="G269" s="708">
        <f t="shared" si="12"/>
        <v>0</v>
      </c>
      <c r="H269" s="708">
        <f t="shared" si="13"/>
        <v>0</v>
      </c>
    </row>
    <row r="270" spans="1:8">
      <c r="A270" s="707">
        <v>165</v>
      </c>
      <c r="B270" s="1962">
        <v>16502523</v>
      </c>
      <c r="C270" s="1962"/>
      <c r="D270" s="1962" t="s">
        <v>1863</v>
      </c>
      <c r="E270" s="1967">
        <v>0</v>
      </c>
      <c r="F270" s="1967">
        <v>0</v>
      </c>
      <c r="G270" s="708">
        <f t="shared" si="12"/>
        <v>0</v>
      </c>
      <c r="H270" s="708">
        <f t="shared" si="13"/>
        <v>0</v>
      </c>
    </row>
    <row r="271" spans="1:8">
      <c r="A271" s="707">
        <v>165</v>
      </c>
      <c r="B271" s="1962">
        <v>16502543</v>
      </c>
      <c r="C271" s="1962"/>
      <c r="D271" s="1962" t="s">
        <v>1864</v>
      </c>
      <c r="E271" s="1967">
        <v>0</v>
      </c>
      <c r="F271" s="1967">
        <v>0</v>
      </c>
      <c r="G271" s="708">
        <f t="shared" si="12"/>
        <v>0</v>
      </c>
      <c r="H271" s="708">
        <f t="shared" si="13"/>
        <v>0</v>
      </c>
    </row>
    <row r="272" spans="1:8">
      <c r="A272" s="707">
        <v>165</v>
      </c>
      <c r="B272" s="1962">
        <v>16502553</v>
      </c>
      <c r="C272" s="1962"/>
      <c r="D272" s="1962" t="s">
        <v>1865</v>
      </c>
      <c r="E272" s="1967">
        <v>0</v>
      </c>
      <c r="F272" s="1967">
        <v>0</v>
      </c>
      <c r="G272" s="708">
        <f t="shared" si="12"/>
        <v>0</v>
      </c>
      <c r="H272" s="708">
        <f t="shared" si="13"/>
        <v>0</v>
      </c>
    </row>
    <row r="273" spans="1:9">
      <c r="A273" s="707">
        <v>165</v>
      </c>
      <c r="B273" s="1962">
        <v>16502563</v>
      </c>
      <c r="C273" s="1962"/>
      <c r="D273" s="1962" t="s">
        <v>1866</v>
      </c>
      <c r="E273" s="1967">
        <v>0</v>
      </c>
      <c r="F273" s="1967">
        <v>0</v>
      </c>
      <c r="G273" s="708">
        <f t="shared" si="12"/>
        <v>0</v>
      </c>
      <c r="H273" s="708">
        <f t="shared" si="13"/>
        <v>0</v>
      </c>
    </row>
    <row r="274" spans="1:9">
      <c r="A274" s="707">
        <v>165</v>
      </c>
      <c r="B274" s="1962">
        <v>16502573</v>
      </c>
      <c r="C274" s="1962"/>
      <c r="D274" s="1962" t="s">
        <v>1867</v>
      </c>
      <c r="E274" s="1967">
        <v>0</v>
      </c>
      <c r="F274" s="1967">
        <v>0</v>
      </c>
      <c r="G274" s="708">
        <f t="shared" si="12"/>
        <v>0</v>
      </c>
      <c r="H274" s="708">
        <f t="shared" si="13"/>
        <v>0</v>
      </c>
    </row>
    <row r="275" spans="1:9">
      <c r="A275" s="707">
        <v>165</v>
      </c>
      <c r="B275" s="1962">
        <v>16502583</v>
      </c>
      <c r="C275" s="1962"/>
      <c r="D275" s="1962" t="s">
        <v>1868</v>
      </c>
      <c r="E275" s="1967">
        <v>0</v>
      </c>
      <c r="F275" s="1967">
        <v>0</v>
      </c>
      <c r="G275" s="708">
        <f t="shared" si="12"/>
        <v>0</v>
      </c>
      <c r="H275" s="708">
        <f t="shared" si="13"/>
        <v>0</v>
      </c>
    </row>
    <row r="276" spans="1:9">
      <c r="A276" s="707">
        <v>165</v>
      </c>
      <c r="B276" s="1962">
        <v>16502603</v>
      </c>
      <c r="C276" s="1962"/>
      <c r="D276" s="1962" t="s">
        <v>1869</v>
      </c>
      <c r="E276" s="1967">
        <v>0</v>
      </c>
      <c r="F276" s="1967">
        <v>0</v>
      </c>
      <c r="G276" s="708">
        <f t="shared" si="12"/>
        <v>0</v>
      </c>
      <c r="H276" s="708">
        <f t="shared" si="13"/>
        <v>0</v>
      </c>
    </row>
    <row r="277" spans="1:9">
      <c r="A277" s="707">
        <v>165</v>
      </c>
      <c r="B277" s="1962">
        <v>16502613</v>
      </c>
      <c r="C277" s="1962"/>
      <c r="D277" s="1962" t="s">
        <v>1870</v>
      </c>
      <c r="E277" s="1967">
        <v>0</v>
      </c>
      <c r="F277" s="1967">
        <v>0</v>
      </c>
      <c r="G277" s="708">
        <f t="shared" si="12"/>
        <v>0</v>
      </c>
      <c r="H277" s="708">
        <f t="shared" si="13"/>
        <v>0</v>
      </c>
    </row>
    <row r="278" spans="1:9">
      <c r="A278" s="707">
        <v>165</v>
      </c>
      <c r="B278" s="1962">
        <v>16502623</v>
      </c>
      <c r="C278" s="1962"/>
      <c r="D278" s="1962" t="s">
        <v>1871</v>
      </c>
      <c r="E278" s="1967">
        <v>0</v>
      </c>
      <c r="F278" s="1967">
        <v>0</v>
      </c>
      <c r="G278" s="708">
        <f t="shared" si="12"/>
        <v>0</v>
      </c>
      <c r="H278" s="708">
        <f t="shared" si="13"/>
        <v>0</v>
      </c>
    </row>
    <row r="279" spans="1:9">
      <c r="A279" s="1954">
        <v>165</v>
      </c>
      <c r="B279" s="1960">
        <v>16502673</v>
      </c>
      <c r="C279" s="1960"/>
      <c r="D279" s="1960" t="s">
        <v>1872</v>
      </c>
      <c r="E279" s="1968">
        <v>8558446.8900000006</v>
      </c>
      <c r="F279" s="1968">
        <v>7964369.1200000001</v>
      </c>
      <c r="G279" s="722">
        <f t="shared" si="12"/>
        <v>2938970.631767279</v>
      </c>
      <c r="H279" s="722">
        <f t="shared" si="13"/>
        <v>5619476.2582327221</v>
      </c>
      <c r="I279" s="1955" t="s">
        <v>973</v>
      </c>
    </row>
    <row r="280" spans="1:9">
      <c r="A280" s="707">
        <v>165</v>
      </c>
      <c r="B280" s="1962">
        <v>16504003</v>
      </c>
      <c r="C280" s="1962"/>
      <c r="D280" s="1962" t="s">
        <v>1874</v>
      </c>
      <c r="E280" s="1967">
        <v>0</v>
      </c>
      <c r="F280" s="1967">
        <v>0</v>
      </c>
      <c r="G280" s="708">
        <f t="shared" si="12"/>
        <v>0</v>
      </c>
      <c r="H280" s="708">
        <f t="shared" si="13"/>
        <v>0</v>
      </c>
    </row>
    <row r="281" spans="1:9">
      <c r="A281" s="707">
        <v>165</v>
      </c>
      <c r="B281" s="1962">
        <v>16504013</v>
      </c>
      <c r="C281" s="1962"/>
      <c r="D281" s="1962" t="s">
        <v>1875</v>
      </c>
      <c r="E281" s="1967">
        <v>0</v>
      </c>
      <c r="F281" s="1967">
        <v>0</v>
      </c>
      <c r="G281" s="708">
        <f t="shared" ref="G281:G334" si="14">IF(MID(B281,8,1)="1",0,IF(MID(B281,8,1)="2",E281,E281*$F$3))</f>
        <v>0</v>
      </c>
      <c r="H281" s="708">
        <f t="shared" ref="H281:H334" si="15">E281-G281</f>
        <v>0</v>
      </c>
    </row>
    <row r="282" spans="1:9">
      <c r="A282" s="707">
        <v>165</v>
      </c>
      <c r="B282" s="1962">
        <v>16504023</v>
      </c>
      <c r="C282" s="1962"/>
      <c r="D282" s="1962" t="s">
        <v>1876</v>
      </c>
      <c r="E282" s="1967">
        <v>0</v>
      </c>
      <c r="F282" s="1967">
        <v>0</v>
      </c>
      <c r="G282" s="708">
        <f t="shared" si="14"/>
        <v>0</v>
      </c>
      <c r="H282" s="708">
        <f t="shared" si="15"/>
        <v>0</v>
      </c>
    </row>
    <row r="283" spans="1:9">
      <c r="A283" s="707">
        <v>165</v>
      </c>
      <c r="B283" s="1962">
        <v>16504033</v>
      </c>
      <c r="C283" s="1962"/>
      <c r="D283" s="1962" t="s">
        <v>1877</v>
      </c>
      <c r="E283" s="1967">
        <v>0</v>
      </c>
      <c r="F283" s="1967">
        <v>0</v>
      </c>
      <c r="G283" s="708">
        <f t="shared" si="14"/>
        <v>0</v>
      </c>
      <c r="H283" s="708">
        <f t="shared" si="15"/>
        <v>0</v>
      </c>
    </row>
    <row r="284" spans="1:9">
      <c r="A284" s="707">
        <v>165</v>
      </c>
      <c r="B284" s="1962">
        <v>16504043</v>
      </c>
      <c r="C284" s="1962"/>
      <c r="D284" s="1962" t="s">
        <v>1878</v>
      </c>
      <c r="E284" s="1967">
        <v>0</v>
      </c>
      <c r="F284" s="1967">
        <v>0</v>
      </c>
      <c r="G284" s="708">
        <f t="shared" si="14"/>
        <v>0</v>
      </c>
      <c r="H284" s="708">
        <f t="shared" si="15"/>
        <v>0</v>
      </c>
    </row>
    <row r="285" spans="1:9">
      <c r="A285" s="707">
        <v>165</v>
      </c>
      <c r="B285" s="1962">
        <v>16504063</v>
      </c>
      <c r="C285" s="1962"/>
      <c r="D285" s="1962" t="s">
        <v>1879</v>
      </c>
      <c r="E285" s="1967">
        <v>0</v>
      </c>
      <c r="F285" s="1967">
        <v>0</v>
      </c>
      <c r="G285" s="708">
        <f t="shared" si="14"/>
        <v>0</v>
      </c>
      <c r="H285" s="708">
        <f t="shared" si="15"/>
        <v>0</v>
      </c>
    </row>
    <row r="286" spans="1:9">
      <c r="A286" s="707">
        <v>165</v>
      </c>
      <c r="B286" s="1962">
        <v>16504073</v>
      </c>
      <c r="C286" s="1962"/>
      <c r="D286" s="1962" t="s">
        <v>1852</v>
      </c>
      <c r="E286" s="1967">
        <v>0</v>
      </c>
      <c r="F286" s="1967">
        <v>0</v>
      </c>
      <c r="G286" s="708">
        <f t="shared" si="14"/>
        <v>0</v>
      </c>
      <c r="H286" s="708">
        <f t="shared" si="15"/>
        <v>0</v>
      </c>
    </row>
    <row r="287" spans="1:9">
      <c r="A287" s="707">
        <v>165</v>
      </c>
      <c r="B287" s="1962">
        <v>16504083</v>
      </c>
      <c r="C287" s="1962"/>
      <c r="D287" s="1962" t="s">
        <v>1851</v>
      </c>
      <c r="E287" s="1967">
        <v>0</v>
      </c>
      <c r="F287" s="1967">
        <v>0</v>
      </c>
      <c r="G287" s="708">
        <f t="shared" si="14"/>
        <v>0</v>
      </c>
      <c r="H287" s="708">
        <f t="shared" si="15"/>
        <v>0</v>
      </c>
    </row>
    <row r="288" spans="1:9">
      <c r="A288" s="707">
        <v>165</v>
      </c>
      <c r="B288" s="1962">
        <v>16504093</v>
      </c>
      <c r="C288" s="1962"/>
      <c r="D288" s="1962" t="s">
        <v>1880</v>
      </c>
      <c r="E288" s="1967">
        <v>0</v>
      </c>
      <c r="F288" s="1967">
        <v>0</v>
      </c>
      <c r="G288" s="708">
        <f t="shared" si="14"/>
        <v>0</v>
      </c>
      <c r="H288" s="708">
        <f t="shared" si="15"/>
        <v>0</v>
      </c>
    </row>
    <row r="289" spans="1:8">
      <c r="A289" s="707">
        <v>165</v>
      </c>
      <c r="B289" s="1962">
        <v>16504101</v>
      </c>
      <c r="C289" s="1962"/>
      <c r="D289" s="1962" t="s">
        <v>1828</v>
      </c>
      <c r="E289" s="1967">
        <v>0</v>
      </c>
      <c r="F289" s="1967">
        <v>0</v>
      </c>
      <c r="G289" s="708">
        <f t="shared" si="14"/>
        <v>0</v>
      </c>
      <c r="H289" s="708">
        <f t="shared" si="15"/>
        <v>0</v>
      </c>
    </row>
    <row r="290" spans="1:8">
      <c r="A290" s="707">
        <v>165</v>
      </c>
      <c r="B290" s="1962">
        <v>16504112</v>
      </c>
      <c r="C290" s="1962"/>
      <c r="D290" s="1962" t="s">
        <v>1881</v>
      </c>
      <c r="E290" s="1967">
        <v>0</v>
      </c>
      <c r="F290" s="1967">
        <v>0</v>
      </c>
      <c r="G290" s="708">
        <f t="shared" si="14"/>
        <v>0</v>
      </c>
      <c r="H290" s="708">
        <f t="shared" si="15"/>
        <v>0</v>
      </c>
    </row>
    <row r="291" spans="1:8">
      <c r="A291" s="707">
        <v>165</v>
      </c>
      <c r="B291" s="1962">
        <v>16504171</v>
      </c>
      <c r="C291" s="1962"/>
      <c r="D291" s="1962" t="s">
        <v>1831</v>
      </c>
      <c r="E291" s="1967">
        <v>3130100.28</v>
      </c>
      <c r="F291" s="1967">
        <v>1381750.88</v>
      </c>
      <c r="G291" s="708">
        <f t="shared" si="14"/>
        <v>0</v>
      </c>
      <c r="H291" s="708">
        <f t="shared" si="15"/>
        <v>3130100.28</v>
      </c>
    </row>
    <row r="292" spans="1:8">
      <c r="A292" s="707">
        <v>165</v>
      </c>
      <c r="B292" s="1962">
        <v>16504181</v>
      </c>
      <c r="C292" s="1962"/>
      <c r="D292" s="1962" t="s">
        <v>1832</v>
      </c>
      <c r="E292" s="1967">
        <v>1718118.89</v>
      </c>
      <c r="F292" s="1967">
        <v>758446.09</v>
      </c>
      <c r="G292" s="708">
        <f t="shared" si="14"/>
        <v>0</v>
      </c>
      <c r="H292" s="708">
        <f t="shared" si="15"/>
        <v>1718118.89</v>
      </c>
    </row>
    <row r="293" spans="1:8">
      <c r="A293" s="707">
        <v>165</v>
      </c>
      <c r="B293" s="1962">
        <v>16504191</v>
      </c>
      <c r="C293" s="1962"/>
      <c r="D293" s="1962" t="s">
        <v>1882</v>
      </c>
      <c r="E293" s="1967">
        <v>49981.67</v>
      </c>
      <c r="F293" s="1967">
        <v>22063.91</v>
      </c>
      <c r="G293" s="708">
        <f t="shared" si="14"/>
        <v>0</v>
      </c>
      <c r="H293" s="708">
        <f t="shared" si="15"/>
        <v>49981.67</v>
      </c>
    </row>
    <row r="294" spans="1:8">
      <c r="A294" s="707">
        <v>165</v>
      </c>
      <c r="B294" s="1962">
        <v>16504201</v>
      </c>
      <c r="C294" s="1962"/>
      <c r="D294" s="1962" t="s">
        <v>1883</v>
      </c>
      <c r="E294" s="1967">
        <v>33006</v>
      </c>
      <c r="F294" s="1967">
        <v>33006</v>
      </c>
      <c r="G294" s="708">
        <f t="shared" si="14"/>
        <v>0</v>
      </c>
      <c r="H294" s="708">
        <f t="shared" si="15"/>
        <v>33006</v>
      </c>
    </row>
    <row r="295" spans="1:8">
      <c r="A295" s="707">
        <v>165</v>
      </c>
      <c r="B295" s="1962">
        <v>16504221</v>
      </c>
      <c r="C295" s="1962"/>
      <c r="D295" s="1962" t="s">
        <v>1829</v>
      </c>
      <c r="E295" s="1967">
        <v>0</v>
      </c>
      <c r="F295" s="1967">
        <v>0</v>
      </c>
      <c r="G295" s="708">
        <f t="shared" si="14"/>
        <v>0</v>
      </c>
      <c r="H295" s="708">
        <f t="shared" si="15"/>
        <v>0</v>
      </c>
    </row>
    <row r="296" spans="1:8">
      <c r="A296" s="707">
        <v>165</v>
      </c>
      <c r="B296" s="1962">
        <v>16504223</v>
      </c>
      <c r="C296" s="1962"/>
      <c r="D296" s="1962" t="s">
        <v>1884</v>
      </c>
      <c r="E296" s="1967">
        <v>0</v>
      </c>
      <c r="F296" s="1967">
        <v>0</v>
      </c>
      <c r="G296" s="708">
        <f t="shared" si="14"/>
        <v>0</v>
      </c>
      <c r="H296" s="708">
        <f t="shared" si="15"/>
        <v>0</v>
      </c>
    </row>
    <row r="297" spans="1:8">
      <c r="A297" s="707">
        <v>165</v>
      </c>
      <c r="B297" s="1962">
        <v>16504231</v>
      </c>
      <c r="C297" s="1962"/>
      <c r="D297" s="1962" t="s">
        <v>1846</v>
      </c>
      <c r="E297" s="1967">
        <v>0</v>
      </c>
      <c r="F297" s="1967">
        <v>0</v>
      </c>
      <c r="G297" s="708">
        <f t="shared" si="14"/>
        <v>0</v>
      </c>
      <c r="H297" s="708">
        <f t="shared" si="15"/>
        <v>0</v>
      </c>
    </row>
    <row r="298" spans="1:8">
      <c r="A298" s="707">
        <v>165</v>
      </c>
      <c r="B298" s="1962">
        <v>16504233</v>
      </c>
      <c r="C298" s="1962"/>
      <c r="D298" s="1962" t="s">
        <v>1855</v>
      </c>
      <c r="E298" s="1967">
        <v>0</v>
      </c>
      <c r="F298" s="1967">
        <v>0</v>
      </c>
      <c r="G298" s="708">
        <f t="shared" si="14"/>
        <v>0</v>
      </c>
      <c r="H298" s="708">
        <f t="shared" si="15"/>
        <v>0</v>
      </c>
    </row>
    <row r="299" spans="1:8">
      <c r="A299" s="707">
        <v>165</v>
      </c>
      <c r="B299" s="1962">
        <v>16504241</v>
      </c>
      <c r="C299" s="1962"/>
      <c r="D299" s="1962" t="s">
        <v>1848</v>
      </c>
      <c r="E299" s="1967">
        <v>0</v>
      </c>
      <c r="F299" s="1967">
        <v>0</v>
      </c>
      <c r="G299" s="708">
        <f t="shared" si="14"/>
        <v>0</v>
      </c>
      <c r="H299" s="708">
        <f t="shared" si="15"/>
        <v>0</v>
      </c>
    </row>
    <row r="300" spans="1:8">
      <c r="A300" s="707">
        <v>165</v>
      </c>
      <c r="B300" s="1962">
        <v>16504243</v>
      </c>
      <c r="C300" s="1962"/>
      <c r="D300" s="1962" t="s">
        <v>1885</v>
      </c>
      <c r="E300" s="1967">
        <v>0</v>
      </c>
      <c r="F300" s="1967">
        <v>0</v>
      </c>
      <c r="G300" s="708">
        <f t="shared" si="14"/>
        <v>0</v>
      </c>
      <c r="H300" s="708">
        <f t="shared" si="15"/>
        <v>0</v>
      </c>
    </row>
    <row r="301" spans="1:8">
      <c r="A301" s="707">
        <v>165</v>
      </c>
      <c r="B301" s="1962">
        <v>16504251</v>
      </c>
      <c r="C301" s="1962"/>
      <c r="D301" s="1962" t="s">
        <v>1850</v>
      </c>
      <c r="E301" s="1967">
        <v>0</v>
      </c>
      <c r="F301" s="1967">
        <v>0</v>
      </c>
      <c r="G301" s="708">
        <f t="shared" si="14"/>
        <v>0</v>
      </c>
      <c r="H301" s="708">
        <f t="shared" si="15"/>
        <v>0</v>
      </c>
    </row>
    <row r="302" spans="1:8">
      <c r="A302" s="707">
        <v>165</v>
      </c>
      <c r="B302" s="1962">
        <v>16504253</v>
      </c>
      <c r="C302" s="1962"/>
      <c r="D302" s="1962" t="s">
        <v>1886</v>
      </c>
      <c r="E302" s="1967">
        <v>0</v>
      </c>
      <c r="F302" s="1967">
        <v>0</v>
      </c>
      <c r="G302" s="708">
        <f t="shared" si="14"/>
        <v>0</v>
      </c>
      <c r="H302" s="708">
        <f t="shared" si="15"/>
        <v>0</v>
      </c>
    </row>
    <row r="303" spans="1:8">
      <c r="A303" s="707">
        <v>165</v>
      </c>
      <c r="B303" s="1962">
        <v>16504261</v>
      </c>
      <c r="C303" s="1962"/>
      <c r="D303" s="1962" t="s">
        <v>1835</v>
      </c>
      <c r="E303" s="1967">
        <v>2601354.84</v>
      </c>
      <c r="F303" s="1967">
        <v>971738.5</v>
      </c>
      <c r="G303" s="708">
        <f t="shared" si="14"/>
        <v>0</v>
      </c>
      <c r="H303" s="708">
        <f t="shared" si="15"/>
        <v>2601354.84</v>
      </c>
    </row>
    <row r="304" spans="1:8">
      <c r="A304" s="707">
        <v>165</v>
      </c>
      <c r="B304" s="1962">
        <v>16504271</v>
      </c>
      <c r="C304" s="1962"/>
      <c r="D304" s="1962" t="s">
        <v>1836</v>
      </c>
      <c r="E304" s="1967">
        <v>1427889.4</v>
      </c>
      <c r="F304" s="1967">
        <v>533389.4</v>
      </c>
      <c r="G304" s="708">
        <f t="shared" si="14"/>
        <v>0</v>
      </c>
      <c r="H304" s="708">
        <f t="shared" si="15"/>
        <v>1427889.4</v>
      </c>
    </row>
    <row r="305" spans="1:8">
      <c r="A305" s="707">
        <v>165</v>
      </c>
      <c r="B305" s="1962">
        <v>16504273</v>
      </c>
      <c r="C305" s="1962"/>
      <c r="D305" s="1962" t="s">
        <v>1887</v>
      </c>
      <c r="E305" s="1967">
        <v>0</v>
      </c>
      <c r="F305" s="1967">
        <v>0</v>
      </c>
      <c r="G305" s="708">
        <f t="shared" si="14"/>
        <v>0</v>
      </c>
      <c r="H305" s="708">
        <f t="shared" si="15"/>
        <v>0</v>
      </c>
    </row>
    <row r="306" spans="1:8">
      <c r="A306" s="707">
        <v>165</v>
      </c>
      <c r="B306" s="1962">
        <v>16504281</v>
      </c>
      <c r="C306" s="1962"/>
      <c r="D306" s="1962" t="s">
        <v>1888</v>
      </c>
      <c r="E306" s="1967">
        <v>41538.57</v>
      </c>
      <c r="F306" s="1967">
        <v>15516.76</v>
      </c>
      <c r="G306" s="708">
        <f t="shared" si="14"/>
        <v>0</v>
      </c>
      <c r="H306" s="708">
        <f t="shared" si="15"/>
        <v>41538.57</v>
      </c>
    </row>
    <row r="307" spans="1:8">
      <c r="A307" s="707">
        <v>165</v>
      </c>
      <c r="B307" s="1962">
        <v>16504283</v>
      </c>
      <c r="C307" s="1962"/>
      <c r="D307" s="1962" t="s">
        <v>1889</v>
      </c>
      <c r="E307" s="1967">
        <v>0</v>
      </c>
      <c r="F307" s="1967">
        <v>0</v>
      </c>
      <c r="G307" s="708">
        <f t="shared" si="14"/>
        <v>0</v>
      </c>
      <c r="H307" s="708">
        <f t="shared" si="15"/>
        <v>0</v>
      </c>
    </row>
    <row r="308" spans="1:8">
      <c r="A308" s="707">
        <v>165</v>
      </c>
      <c r="B308" s="1962">
        <v>16504293</v>
      </c>
      <c r="C308" s="1962"/>
      <c r="D308" s="1962" t="s">
        <v>1890</v>
      </c>
      <c r="E308" s="1967">
        <v>0</v>
      </c>
      <c r="F308" s="1967">
        <v>0</v>
      </c>
      <c r="G308" s="708">
        <f t="shared" si="14"/>
        <v>0</v>
      </c>
      <c r="H308" s="708">
        <f t="shared" si="15"/>
        <v>0</v>
      </c>
    </row>
    <row r="309" spans="1:8">
      <c r="A309" s="707">
        <v>165</v>
      </c>
      <c r="B309" s="1962">
        <v>16504303</v>
      </c>
      <c r="C309" s="1962"/>
      <c r="D309" s="1962" t="s">
        <v>1891</v>
      </c>
      <c r="E309" s="1967">
        <v>0</v>
      </c>
      <c r="F309" s="1967">
        <v>0</v>
      </c>
      <c r="G309" s="708">
        <f t="shared" si="14"/>
        <v>0</v>
      </c>
      <c r="H309" s="708">
        <f t="shared" si="15"/>
        <v>0</v>
      </c>
    </row>
    <row r="310" spans="1:8">
      <c r="A310" s="707">
        <v>165</v>
      </c>
      <c r="B310" s="1962">
        <v>16504313</v>
      </c>
      <c r="C310" s="1962"/>
      <c r="D310" s="1962" t="s">
        <v>1892</v>
      </c>
      <c r="E310" s="1967">
        <v>0</v>
      </c>
      <c r="F310" s="1967">
        <v>0</v>
      </c>
      <c r="G310" s="708">
        <f t="shared" si="14"/>
        <v>0</v>
      </c>
      <c r="H310" s="708">
        <f t="shared" si="15"/>
        <v>0</v>
      </c>
    </row>
    <row r="311" spans="1:8">
      <c r="A311" s="707">
        <v>165</v>
      </c>
      <c r="B311" s="1962">
        <v>16504323</v>
      </c>
      <c r="C311" s="1962"/>
      <c r="D311" s="1962" t="s">
        <v>1893</v>
      </c>
      <c r="E311" s="1967">
        <v>0</v>
      </c>
      <c r="F311" s="1967">
        <v>0</v>
      </c>
      <c r="G311" s="708">
        <f t="shared" si="14"/>
        <v>0</v>
      </c>
      <c r="H311" s="708">
        <f t="shared" si="15"/>
        <v>0</v>
      </c>
    </row>
    <row r="312" spans="1:8">
      <c r="A312" s="707">
        <v>165</v>
      </c>
      <c r="B312" s="1962">
        <v>16504353</v>
      </c>
      <c r="C312" s="1962"/>
      <c r="D312" s="1962" t="s">
        <v>1894</v>
      </c>
      <c r="E312" s="1967">
        <v>0</v>
      </c>
      <c r="F312" s="1967">
        <v>0</v>
      </c>
      <c r="G312" s="708">
        <f t="shared" si="14"/>
        <v>0</v>
      </c>
      <c r="H312" s="708">
        <f t="shared" si="15"/>
        <v>0</v>
      </c>
    </row>
    <row r="313" spans="1:8">
      <c r="A313" s="707">
        <v>165</v>
      </c>
      <c r="B313" s="1962">
        <v>16504373</v>
      </c>
      <c r="C313" s="1962"/>
      <c r="D313" s="1962" t="s">
        <v>1895</v>
      </c>
      <c r="E313" s="1967">
        <v>0</v>
      </c>
      <c r="F313" s="1967">
        <v>0</v>
      </c>
      <c r="G313" s="708">
        <f t="shared" si="14"/>
        <v>0</v>
      </c>
      <c r="H313" s="708">
        <f t="shared" si="15"/>
        <v>0</v>
      </c>
    </row>
    <row r="314" spans="1:8">
      <c r="A314" s="707">
        <v>165</v>
      </c>
      <c r="B314" s="1962">
        <v>16504383</v>
      </c>
      <c r="C314" s="1962"/>
      <c r="D314" s="1962" t="s">
        <v>1896</v>
      </c>
      <c r="E314" s="1967">
        <v>0</v>
      </c>
      <c r="F314" s="1967">
        <v>0</v>
      </c>
      <c r="G314" s="708">
        <f t="shared" si="14"/>
        <v>0</v>
      </c>
      <c r="H314" s="708">
        <f t="shared" si="15"/>
        <v>0</v>
      </c>
    </row>
    <row r="315" spans="1:8">
      <c r="A315" s="707">
        <v>165</v>
      </c>
      <c r="B315" s="1962">
        <v>16504393</v>
      </c>
      <c r="C315" s="1962"/>
      <c r="D315" s="1962" t="s">
        <v>1897</v>
      </c>
      <c r="E315" s="1967">
        <v>0</v>
      </c>
      <c r="F315" s="1967">
        <v>0</v>
      </c>
      <c r="G315" s="708">
        <f t="shared" si="14"/>
        <v>0</v>
      </c>
      <c r="H315" s="708">
        <f t="shared" si="15"/>
        <v>0</v>
      </c>
    </row>
    <row r="316" spans="1:8">
      <c r="A316" s="707">
        <v>165</v>
      </c>
      <c r="B316" s="1962">
        <v>16504403</v>
      </c>
      <c r="C316" s="1962"/>
      <c r="D316" s="1962" t="s">
        <v>1898</v>
      </c>
      <c r="E316" s="1967">
        <v>0</v>
      </c>
      <c r="F316" s="1967">
        <v>0</v>
      </c>
      <c r="G316" s="708">
        <f t="shared" si="14"/>
        <v>0</v>
      </c>
      <c r="H316" s="708">
        <f t="shared" si="15"/>
        <v>0</v>
      </c>
    </row>
    <row r="317" spans="1:8">
      <c r="A317" s="707">
        <v>165</v>
      </c>
      <c r="B317" s="1962">
        <v>16504413</v>
      </c>
      <c r="C317" s="1962"/>
      <c r="D317" s="1962" t="s">
        <v>1899</v>
      </c>
      <c r="E317" s="1967">
        <v>0</v>
      </c>
      <c r="F317" s="1967">
        <v>0</v>
      </c>
      <c r="G317" s="708">
        <f t="shared" si="14"/>
        <v>0</v>
      </c>
      <c r="H317" s="708">
        <f t="shared" si="15"/>
        <v>0</v>
      </c>
    </row>
    <row r="318" spans="1:8">
      <c r="A318" s="707">
        <v>165</v>
      </c>
      <c r="B318" s="1962">
        <v>16504433</v>
      </c>
      <c r="C318" s="1962"/>
      <c r="D318" s="1962" t="s">
        <v>1900</v>
      </c>
      <c r="E318" s="1967">
        <v>0</v>
      </c>
      <c r="F318" s="1967">
        <v>0</v>
      </c>
      <c r="G318" s="708">
        <f t="shared" si="14"/>
        <v>0</v>
      </c>
      <c r="H318" s="708">
        <f t="shared" si="15"/>
        <v>0</v>
      </c>
    </row>
    <row r="319" spans="1:8">
      <c r="A319" s="707">
        <v>165</v>
      </c>
      <c r="B319" s="1962">
        <v>16504443</v>
      </c>
      <c r="C319" s="1962"/>
      <c r="D319" s="1962" t="s">
        <v>1901</v>
      </c>
      <c r="E319" s="1967">
        <v>0</v>
      </c>
      <c r="F319" s="1967">
        <v>0</v>
      </c>
      <c r="G319" s="708">
        <f t="shared" si="14"/>
        <v>0</v>
      </c>
      <c r="H319" s="708">
        <f t="shared" si="15"/>
        <v>0</v>
      </c>
    </row>
    <row r="320" spans="1:8">
      <c r="A320" s="707">
        <v>165</v>
      </c>
      <c r="B320" s="1962">
        <v>16504453</v>
      </c>
      <c r="C320" s="1962"/>
      <c r="D320" s="1962" t="s">
        <v>1902</v>
      </c>
      <c r="E320" s="1967">
        <v>0</v>
      </c>
      <c r="F320" s="1967">
        <v>0</v>
      </c>
      <c r="G320" s="708">
        <f t="shared" si="14"/>
        <v>0</v>
      </c>
      <c r="H320" s="708">
        <f t="shared" si="15"/>
        <v>0</v>
      </c>
    </row>
    <row r="321" spans="1:13">
      <c r="A321" s="707">
        <v>165</v>
      </c>
      <c r="B321" s="1962">
        <v>16504463</v>
      </c>
      <c r="C321" s="1962"/>
      <c r="D321" s="1962" t="s">
        <v>1903</v>
      </c>
      <c r="E321" s="1967">
        <v>0</v>
      </c>
      <c r="F321" s="1967">
        <v>0</v>
      </c>
      <c r="G321" s="708">
        <f t="shared" si="14"/>
        <v>0</v>
      </c>
      <c r="H321" s="708">
        <f t="shared" si="15"/>
        <v>0</v>
      </c>
    </row>
    <row r="322" spans="1:13">
      <c r="A322" s="707">
        <v>165</v>
      </c>
      <c r="B322" s="1962">
        <v>16504543</v>
      </c>
      <c r="C322" s="1962"/>
      <c r="D322" s="1962" t="s">
        <v>1904</v>
      </c>
      <c r="E322" s="1967">
        <v>0</v>
      </c>
      <c r="F322" s="1967">
        <v>0</v>
      </c>
      <c r="G322" s="708">
        <f t="shared" si="14"/>
        <v>0</v>
      </c>
      <c r="H322" s="708">
        <f t="shared" si="15"/>
        <v>0</v>
      </c>
    </row>
    <row r="323" spans="1:13">
      <c r="A323" s="707">
        <v>165</v>
      </c>
      <c r="B323" s="1962">
        <v>16504553</v>
      </c>
      <c r="C323" s="1962"/>
      <c r="D323" s="1962" t="s">
        <v>1905</v>
      </c>
      <c r="E323" s="1967">
        <v>3385902.16</v>
      </c>
      <c r="F323" s="1967">
        <v>4613462.6399999997</v>
      </c>
      <c r="G323" s="708">
        <f t="shared" si="14"/>
        <v>1162718.7897730116</v>
      </c>
      <c r="H323" s="708">
        <f t="shared" si="15"/>
        <v>2223183.3702269886</v>
      </c>
    </row>
    <row r="324" spans="1:13">
      <c r="A324" s="707">
        <v>165</v>
      </c>
      <c r="B324" s="1962">
        <v>16504563</v>
      </c>
      <c r="C324" s="1962"/>
      <c r="D324" s="1962" t="s">
        <v>1906</v>
      </c>
      <c r="E324" s="1967">
        <v>955226.4</v>
      </c>
      <c r="F324" s="1967">
        <v>2110330.2799999998</v>
      </c>
      <c r="G324" s="708">
        <f t="shared" si="14"/>
        <v>328024.74238275999</v>
      </c>
      <c r="H324" s="708">
        <f t="shared" si="15"/>
        <v>627201.65761723998</v>
      </c>
    </row>
    <row r="325" spans="1:13">
      <c r="A325" s="707">
        <v>165</v>
      </c>
      <c r="B325" s="1962">
        <v>16504573</v>
      </c>
      <c r="C325" s="1962"/>
      <c r="D325" s="1962" t="s">
        <v>1907</v>
      </c>
      <c r="E325" s="1967">
        <v>127300.37</v>
      </c>
      <c r="F325" s="1967">
        <v>152153.57</v>
      </c>
      <c r="G325" s="708">
        <f t="shared" si="14"/>
        <v>43714.946607924598</v>
      </c>
      <c r="H325" s="708">
        <f t="shared" si="15"/>
        <v>83585.423392075405</v>
      </c>
    </row>
    <row r="326" spans="1:13">
      <c r="A326" s="1954">
        <v>165</v>
      </c>
      <c r="B326" s="1960">
        <v>16504593</v>
      </c>
      <c r="C326" s="1960"/>
      <c r="D326" s="1960" t="s">
        <v>1908</v>
      </c>
      <c r="E326" s="1968">
        <v>235038.97</v>
      </c>
      <c r="F326" s="1968">
        <v>1520941.02</v>
      </c>
      <c r="G326" s="722">
        <f t="shared" si="14"/>
        <v>80712.381467010593</v>
      </c>
      <c r="H326" s="722">
        <f t="shared" si="15"/>
        <v>154326.58853298941</v>
      </c>
      <c r="I326" s="1955" t="s">
        <v>973</v>
      </c>
    </row>
    <row r="327" spans="1:13">
      <c r="A327" s="707">
        <v>165</v>
      </c>
      <c r="B327" s="1962">
        <v>16580001</v>
      </c>
      <c r="C327" s="1962"/>
      <c r="D327" s="1962" t="s">
        <v>1909</v>
      </c>
      <c r="E327" s="1967">
        <v>-9001989.6500000004</v>
      </c>
      <c r="F327" s="1967">
        <v>-3715911.54</v>
      </c>
      <c r="G327" s="708">
        <f t="shared" si="14"/>
        <v>0</v>
      </c>
      <c r="H327" s="708">
        <f t="shared" si="15"/>
        <v>-9001989.6500000004</v>
      </c>
    </row>
    <row r="328" spans="1:13">
      <c r="A328" s="707">
        <v>165</v>
      </c>
      <c r="B328" s="1962">
        <v>16580002</v>
      </c>
      <c r="C328" s="1962"/>
      <c r="D328" s="1962" t="s">
        <v>1910</v>
      </c>
      <c r="E328" s="1967">
        <v>0</v>
      </c>
      <c r="F328" s="1967">
        <v>0</v>
      </c>
      <c r="G328" s="708">
        <f t="shared" si="14"/>
        <v>0</v>
      </c>
      <c r="H328" s="708">
        <f t="shared" si="15"/>
        <v>0</v>
      </c>
    </row>
    <row r="329" spans="1:13">
      <c r="A329" s="707">
        <v>165</v>
      </c>
      <c r="B329" s="1962">
        <v>16580003</v>
      </c>
      <c r="C329" s="1962"/>
      <c r="D329" s="1962" t="s">
        <v>1911</v>
      </c>
      <c r="E329" s="1967">
        <v>0</v>
      </c>
      <c r="F329" s="1967">
        <v>0</v>
      </c>
      <c r="G329" s="708">
        <f t="shared" si="14"/>
        <v>0</v>
      </c>
      <c r="H329" s="708">
        <f t="shared" si="15"/>
        <v>0</v>
      </c>
    </row>
    <row r="330" spans="1:13">
      <c r="A330" s="707">
        <v>165</v>
      </c>
      <c r="B330" s="1962">
        <v>16590001</v>
      </c>
      <c r="C330" s="1962"/>
      <c r="D330" s="1962" t="s">
        <v>1909</v>
      </c>
      <c r="E330" s="1967">
        <v>9001989.6500000004</v>
      </c>
      <c r="F330" s="1967">
        <v>3715911.54</v>
      </c>
      <c r="G330" s="708">
        <f t="shared" si="14"/>
        <v>0</v>
      </c>
      <c r="H330" s="708">
        <f t="shared" si="15"/>
        <v>9001989.6500000004</v>
      </c>
    </row>
    <row r="331" spans="1:13">
      <c r="A331" s="707">
        <v>165</v>
      </c>
      <c r="B331" s="1962">
        <v>16590002</v>
      </c>
      <c r="C331" s="1962"/>
      <c r="D331" s="1962" t="s">
        <v>1912</v>
      </c>
      <c r="E331" s="1967">
        <v>0</v>
      </c>
      <c r="F331" s="1967">
        <v>0</v>
      </c>
      <c r="G331" s="708">
        <f t="shared" si="14"/>
        <v>0</v>
      </c>
      <c r="H331" s="708">
        <f t="shared" si="15"/>
        <v>0</v>
      </c>
    </row>
    <row r="332" spans="1:13">
      <c r="A332" s="707">
        <v>165</v>
      </c>
      <c r="B332" s="1962">
        <v>16590003</v>
      </c>
      <c r="C332" s="1962"/>
      <c r="D332" s="1962" t="s">
        <v>1911</v>
      </c>
      <c r="E332" s="1967">
        <v>0</v>
      </c>
      <c r="F332" s="1967">
        <v>0</v>
      </c>
      <c r="G332" s="708">
        <f t="shared" si="14"/>
        <v>0</v>
      </c>
      <c r="H332" s="708">
        <f t="shared" si="15"/>
        <v>0</v>
      </c>
    </row>
    <row r="333" spans="1:13">
      <c r="A333" s="707">
        <v>165</v>
      </c>
      <c r="B333" s="1962">
        <v>16599011</v>
      </c>
      <c r="C333" s="1962"/>
      <c r="D333" s="1962" t="s">
        <v>1913</v>
      </c>
      <c r="E333" s="1967">
        <v>0</v>
      </c>
      <c r="F333" s="1967">
        <v>0</v>
      </c>
      <c r="G333" s="708">
        <f t="shared" si="14"/>
        <v>0</v>
      </c>
      <c r="H333" s="708">
        <f t="shared" si="15"/>
        <v>0</v>
      </c>
    </row>
    <row r="334" spans="1:13">
      <c r="A334" s="638"/>
      <c r="B334" s="709"/>
      <c r="C334" s="710"/>
      <c r="D334" s="711" t="s">
        <v>104</v>
      </c>
      <c r="E334" s="1958">
        <f>SUM(E89:E333)</f>
        <v>87769351.880000025</v>
      </c>
      <c r="F334" s="1958">
        <f>SUM(F89:F333)</f>
        <v>51382582.010000005</v>
      </c>
      <c r="G334" s="1958">
        <f t="shared" si="14"/>
        <v>30139995.125280056</v>
      </c>
      <c r="H334" s="2279">
        <f t="shared" si="15"/>
        <v>57629356.754719973</v>
      </c>
      <c r="I334" s="1957">
        <f>E334-G334-H334</f>
        <v>0</v>
      </c>
      <c r="J334" s="718" t="s">
        <v>929</v>
      </c>
    </row>
    <row r="335" spans="1:13">
      <c r="B335" s="696"/>
      <c r="C335" s="726"/>
      <c r="D335" s="1952" t="s">
        <v>1643</v>
      </c>
      <c r="E335" s="1956">
        <f>'FERC p110-111 Assets'!D70-E334</f>
        <v>0.11999997496604919</v>
      </c>
      <c r="F335" s="1956">
        <f>'FERC p110-111 Assets'!E70-F334</f>
        <v>-1.000000536441803E-2</v>
      </c>
      <c r="G335" s="706"/>
      <c r="H335" s="706"/>
      <c r="I335" s="706"/>
      <c r="J335" s="706"/>
      <c r="K335" s="706"/>
    </row>
    <row r="336" spans="1:13" s="706" customFormat="1">
      <c r="A336" s="697" t="s">
        <v>922</v>
      </c>
      <c r="B336" s="719" t="s">
        <v>96</v>
      </c>
      <c r="C336" s="720" t="s">
        <v>924</v>
      </c>
      <c r="D336" s="697" t="s">
        <v>925</v>
      </c>
      <c r="E336" s="715">
        <f>E6</f>
        <v>45291</v>
      </c>
      <c r="F336" s="715">
        <f>F6</f>
        <v>44926</v>
      </c>
      <c r="L336" s="685"/>
      <c r="M336" s="685"/>
    </row>
    <row r="337" spans="1:14">
      <c r="A337" s="707">
        <v>175</v>
      </c>
      <c r="B337" s="1962">
        <v>17400001</v>
      </c>
      <c r="C337" s="1962"/>
      <c r="D337" s="1962" t="s">
        <v>1914</v>
      </c>
      <c r="E337" s="1967">
        <v>0</v>
      </c>
      <c r="F337" s="1967">
        <v>0</v>
      </c>
      <c r="G337" s="708">
        <f>IF(MID(B337,8,1)="1",0,IF(MID(B337,8,1)="2",E337,E337*$F$3))</f>
        <v>0</v>
      </c>
      <c r="H337" s="708">
        <f>E337-G337</f>
        <v>0</v>
      </c>
      <c r="J337" s="706"/>
      <c r="K337" s="706"/>
    </row>
    <row r="338" spans="1:14">
      <c r="A338" s="707">
        <v>175</v>
      </c>
      <c r="B338" s="1962">
        <v>17400021</v>
      </c>
      <c r="C338" s="1962"/>
      <c r="D338" s="1962" t="s">
        <v>1915</v>
      </c>
      <c r="E338" s="1967">
        <v>727281.83</v>
      </c>
      <c r="F338" s="1967">
        <v>727281.83</v>
      </c>
      <c r="G338" s="708">
        <f>IF(MID(B338,8,1)="1",0,IF(MID(B338,8,1)="2",E338,E338*$F$3))</f>
        <v>0</v>
      </c>
      <c r="H338" s="708">
        <f>E338-G338</f>
        <v>727281.83</v>
      </c>
      <c r="J338" s="706"/>
      <c r="K338" s="706"/>
    </row>
    <row r="339" spans="1:14">
      <c r="A339" s="707">
        <v>175</v>
      </c>
      <c r="B339" s="1962">
        <v>17400031</v>
      </c>
      <c r="C339" s="1962"/>
      <c r="D339" s="1962" t="s">
        <v>1916</v>
      </c>
      <c r="E339" s="1967">
        <v>0</v>
      </c>
      <c r="F339" s="1967">
        <v>0</v>
      </c>
      <c r="G339" s="708">
        <f>IF(MID(B339,8,1)="1",0,IF(MID(B339,8,1)="2",E339,E339*$F$3))</f>
        <v>0</v>
      </c>
      <c r="H339" s="708">
        <f>E339-G339</f>
        <v>0</v>
      </c>
      <c r="J339" s="706"/>
      <c r="K339" s="706"/>
    </row>
    <row r="340" spans="1:14">
      <c r="A340" s="707">
        <v>175</v>
      </c>
      <c r="B340" s="1962">
        <v>17400041</v>
      </c>
      <c r="C340" s="1962"/>
      <c r="D340" s="1962" t="s">
        <v>1917</v>
      </c>
      <c r="E340" s="1967">
        <v>0</v>
      </c>
      <c r="F340" s="1967">
        <v>0</v>
      </c>
      <c r="G340" s="708">
        <f>IF(MID(B340,8,1)="1",0,IF(MID(B340,8,1)="2",E340,E340*$F$3))</f>
        <v>0</v>
      </c>
      <c r="H340" s="708">
        <f>E340-G340</f>
        <v>0</v>
      </c>
      <c r="J340" s="706"/>
      <c r="K340" s="706"/>
    </row>
    <row r="341" spans="1:14">
      <c r="A341" s="707">
        <v>175</v>
      </c>
      <c r="B341" s="1962">
        <v>17400051</v>
      </c>
      <c r="C341" s="1962"/>
      <c r="D341" s="1962" t="s">
        <v>1918</v>
      </c>
      <c r="E341" s="1967">
        <v>2294362.2999999998</v>
      </c>
      <c r="F341" s="1967">
        <v>2603853.96</v>
      </c>
      <c r="G341" s="708">
        <f>IF(MID(B341,8,1)="1",0,IF(MID(B341,8,1)="2",E341,E341*$F$3))</f>
        <v>0</v>
      </c>
      <c r="H341" s="708">
        <f>E341-G341</f>
        <v>2294362.2999999998</v>
      </c>
    </row>
    <row r="342" spans="1:14">
      <c r="A342" s="638"/>
      <c r="B342" s="709"/>
      <c r="C342" s="710"/>
      <c r="D342" s="711" t="s">
        <v>104</v>
      </c>
      <c r="E342" s="1958">
        <f>SUM(E337:E341)</f>
        <v>3021644.13</v>
      </c>
      <c r="F342" s="1958">
        <f>SUM(F337:F341)</f>
        <v>3331135.79</v>
      </c>
      <c r="G342" s="1958">
        <f>SUM(G337:G341)</f>
        <v>0</v>
      </c>
      <c r="H342" s="2279">
        <f>SUM(H337:H341)</f>
        <v>3021644.13</v>
      </c>
      <c r="I342" s="1957">
        <f>E342-G342-H342</f>
        <v>0</v>
      </c>
      <c r="J342" s="718" t="s">
        <v>929</v>
      </c>
    </row>
    <row r="343" spans="1:14">
      <c r="B343" s="727"/>
      <c r="D343" s="1952" t="s">
        <v>1643</v>
      </c>
      <c r="E343" s="1956">
        <f>'FERC p110-111 Assets'!D75-E342</f>
        <v>-0.12999999988824129</v>
      </c>
      <c r="F343" s="1956">
        <f>'FERC p110-111 Assets'!E75-F342</f>
        <v>0.2099999999627471</v>
      </c>
    </row>
    <row r="344" spans="1:14" s="706" customFormat="1">
      <c r="A344" s="697" t="s">
        <v>922</v>
      </c>
      <c r="B344" s="719" t="s">
        <v>96</v>
      </c>
      <c r="C344" s="720" t="s">
        <v>924</v>
      </c>
      <c r="D344" s="697" t="s">
        <v>925</v>
      </c>
      <c r="E344" s="715">
        <f>E6</f>
        <v>45291</v>
      </c>
      <c r="F344" s="715">
        <f>F6</f>
        <v>44926</v>
      </c>
      <c r="I344" s="728" t="s">
        <v>1919</v>
      </c>
      <c r="J344" s="728" t="s">
        <v>1920</v>
      </c>
    </row>
    <row r="345" spans="1:14">
      <c r="A345" s="707">
        <v>175</v>
      </c>
      <c r="B345" s="1962">
        <v>17500001</v>
      </c>
      <c r="C345" s="1962"/>
      <c r="D345" s="1962" t="s">
        <v>1921</v>
      </c>
      <c r="E345" s="1967">
        <v>62928711.119999997</v>
      </c>
      <c r="F345" s="1967">
        <v>267811242.71000001</v>
      </c>
      <c r="G345" s="708">
        <f>IF(MID(B345,8,1)="1",0,IF(MID(B345,8,1)="2",E345,E345*$F$3))</f>
        <v>0</v>
      </c>
      <c r="H345" s="708">
        <f>E345-G345</f>
        <v>62928711.119999997</v>
      </c>
      <c r="I345" s="729"/>
      <c r="J345" s="730">
        <f>H345</f>
        <v>62928711.119999997</v>
      </c>
    </row>
    <row r="346" spans="1:14">
      <c r="A346" s="707">
        <v>175</v>
      </c>
      <c r="B346" s="1962">
        <v>17500002</v>
      </c>
      <c r="C346" s="1962"/>
      <c r="D346" s="1962" t="s">
        <v>1922</v>
      </c>
      <c r="E346" s="1967">
        <v>11295959.539999999</v>
      </c>
      <c r="F346" s="1967">
        <v>319218353.05000001</v>
      </c>
      <c r="G346" s="708">
        <f>IF(MID(B346,8,1)="1",0,IF(MID(B346,8,1)="2",E346,E346*$F$3))</f>
        <v>11295959.539999999</v>
      </c>
      <c r="H346" s="708">
        <f>E346-G346</f>
        <v>0</v>
      </c>
      <c r="I346" s="730"/>
      <c r="J346" s="730">
        <f>H346</f>
        <v>0</v>
      </c>
      <c r="N346" s="731"/>
    </row>
    <row r="347" spans="1:14">
      <c r="A347" s="707">
        <v>175</v>
      </c>
      <c r="B347" s="1962">
        <v>17500011</v>
      </c>
      <c r="C347" s="1962"/>
      <c r="D347" s="1962" t="s">
        <v>1923</v>
      </c>
      <c r="E347" s="1967">
        <v>30098821.84</v>
      </c>
      <c r="F347" s="1967">
        <v>69891819.099999994</v>
      </c>
      <c r="G347" s="708">
        <f>IF(MID(B347,8,1)="1",0,IF(MID(B347,8,1)="2",E347,E347*$F$3))</f>
        <v>0</v>
      </c>
      <c r="H347" s="708">
        <f>E347-G347</f>
        <v>30098821.84</v>
      </c>
      <c r="I347" s="730">
        <f>H347</f>
        <v>30098821.84</v>
      </c>
      <c r="J347" s="730"/>
      <c r="N347" s="731"/>
    </row>
    <row r="348" spans="1:14">
      <c r="A348" s="707">
        <v>175</v>
      </c>
      <c r="B348" s="1962">
        <v>17500012</v>
      </c>
      <c r="C348" s="1962"/>
      <c r="D348" s="1962" t="s">
        <v>1924</v>
      </c>
      <c r="E348" s="1967">
        <v>5225154.43</v>
      </c>
      <c r="F348" s="1967">
        <v>24729367.010000002</v>
      </c>
      <c r="G348" s="708">
        <f>IF(MID(B348,8,1)="1",0,IF(MID(B348,8,1)="2",E348,E348*$F$3))</f>
        <v>5225154.43</v>
      </c>
      <c r="H348" s="708">
        <f>E348-G348</f>
        <v>0</v>
      </c>
      <c r="I348" s="730">
        <f>H348</f>
        <v>0</v>
      </c>
      <c r="J348" s="730"/>
      <c r="N348" s="731"/>
    </row>
    <row r="349" spans="1:14" ht="12" thickBot="1">
      <c r="A349" s="638"/>
      <c r="B349" s="709"/>
      <c r="C349" s="710"/>
      <c r="D349" s="711" t="s">
        <v>104</v>
      </c>
      <c r="E349" s="1958">
        <f t="shared" ref="E349:J349" si="16">SUM(E345:E348)</f>
        <v>109548646.93000001</v>
      </c>
      <c r="F349" s="1958">
        <f t="shared" si="16"/>
        <v>681650781.87</v>
      </c>
      <c r="G349" s="1958">
        <f t="shared" si="16"/>
        <v>16521113.969999999</v>
      </c>
      <c r="H349" s="1958">
        <f t="shared" si="16"/>
        <v>93027532.959999993</v>
      </c>
      <c r="I349" s="2278">
        <f t="shared" si="16"/>
        <v>30098821.84</v>
      </c>
      <c r="J349" s="732">
        <f t="shared" si="16"/>
        <v>62928711.119999997</v>
      </c>
      <c r="K349" s="1957">
        <f>E349-G349-H349</f>
        <v>0</v>
      </c>
      <c r="L349" s="718" t="s">
        <v>929</v>
      </c>
    </row>
    <row r="350" spans="1:14" ht="12" thickTop="1">
      <c r="B350" s="727"/>
      <c r="D350" s="1952" t="s">
        <v>1643</v>
      </c>
      <c r="E350" s="1956">
        <f>'FERC p110-111 Assets'!D76-E349</f>
        <v>6.9999992847442627E-2</v>
      </c>
      <c r="F350" s="1956">
        <f>'FERC p110-111 Assets'!E76-F349</f>
        <v>0.12999999523162842</v>
      </c>
      <c r="K350" s="1957">
        <f>H349-I349-J349</f>
        <v>0</v>
      </c>
      <c r="L350" s="718" t="s">
        <v>929</v>
      </c>
    </row>
    <row r="351" spans="1:14" s="706" customFormat="1">
      <c r="A351" s="697" t="s">
        <v>922</v>
      </c>
      <c r="B351" s="719" t="s">
        <v>96</v>
      </c>
      <c r="C351" s="720" t="s">
        <v>924</v>
      </c>
      <c r="D351" s="697" t="s">
        <v>925</v>
      </c>
      <c r="E351" s="715">
        <f>E6</f>
        <v>45291</v>
      </c>
      <c r="F351" s="715">
        <f>F6</f>
        <v>44926</v>
      </c>
      <c r="I351" s="728" t="s">
        <v>1919</v>
      </c>
      <c r="J351" s="728" t="s">
        <v>1920</v>
      </c>
    </row>
    <row r="352" spans="1:14">
      <c r="A352" s="707">
        <v>176</v>
      </c>
      <c r="B352" s="1962">
        <v>17600111</v>
      </c>
      <c r="C352" s="1962"/>
      <c r="D352" s="1962" t="s">
        <v>1925</v>
      </c>
      <c r="E352" s="1967">
        <v>0</v>
      </c>
      <c r="F352" s="1967">
        <v>0</v>
      </c>
      <c r="G352" s="708">
        <f>IF(MID(B352,8,1)="1",0,IF(MID(B352,8,1)="2",E352,E352*$F$3))</f>
        <v>0</v>
      </c>
      <c r="H352" s="708">
        <f>E352-G352</f>
        <v>0</v>
      </c>
      <c r="J352" s="733">
        <f>H352</f>
        <v>0</v>
      </c>
    </row>
    <row r="353" spans="1:12" ht="12" thickBot="1">
      <c r="A353" s="638"/>
      <c r="B353" s="709"/>
      <c r="C353" s="710"/>
      <c r="D353" s="711" t="s">
        <v>104</v>
      </c>
      <c r="E353" s="1958">
        <f t="shared" ref="E353:J353" si="17">SUM(E352:E352)</f>
        <v>0</v>
      </c>
      <c r="F353" s="1958">
        <f t="shared" si="17"/>
        <v>0</v>
      </c>
      <c r="G353" s="1958">
        <f t="shared" si="17"/>
        <v>0</v>
      </c>
      <c r="H353" s="2279">
        <f t="shared" si="17"/>
        <v>0</v>
      </c>
      <c r="I353" s="2281">
        <f t="shared" si="17"/>
        <v>0</v>
      </c>
      <c r="J353" s="734">
        <f t="shared" si="17"/>
        <v>0</v>
      </c>
      <c r="K353" s="1957">
        <f>E353-G353-H353</f>
        <v>0</v>
      </c>
      <c r="L353" s="718" t="s">
        <v>929</v>
      </c>
    </row>
    <row r="354" spans="1:12" ht="12" thickTop="1">
      <c r="B354" s="727"/>
      <c r="D354" s="1952" t="s">
        <v>1643</v>
      </c>
      <c r="E354" s="1956">
        <f>'FERC p110-111 Assets'!D78-E353</f>
        <v>0</v>
      </c>
      <c r="F354" s="1956">
        <f>'FERC p110-111 Assets'!E78-F353</f>
        <v>0</v>
      </c>
      <c r="K354" s="1964">
        <f>H353-I353-J353</f>
        <v>0</v>
      </c>
      <c r="L354" s="718" t="s">
        <v>929</v>
      </c>
    </row>
    <row r="355" spans="1:12" s="706" customFormat="1">
      <c r="A355" s="697" t="s">
        <v>922</v>
      </c>
      <c r="B355" s="719" t="s">
        <v>96</v>
      </c>
      <c r="C355" s="720" t="s">
        <v>924</v>
      </c>
      <c r="D355" s="697" t="s">
        <v>925</v>
      </c>
      <c r="E355" s="715">
        <f>E6</f>
        <v>45291</v>
      </c>
      <c r="F355" s="715">
        <f>F6</f>
        <v>44926</v>
      </c>
    </row>
    <row r="356" spans="1:12">
      <c r="A356" s="707">
        <v>181</v>
      </c>
      <c r="B356" s="1962">
        <v>18100003</v>
      </c>
      <c r="C356" s="1962"/>
      <c r="D356" s="1962" t="s">
        <v>1926</v>
      </c>
      <c r="E356" s="1967">
        <v>0</v>
      </c>
      <c r="F356" s="1967">
        <v>0</v>
      </c>
      <c r="G356" s="708">
        <f t="shared" ref="G356:G388" si="18">IF(MID(B356,8,1)="1",0,IF(MID(B356,8,1)="2",E356,E356*$F$3))</f>
        <v>0</v>
      </c>
      <c r="H356" s="708">
        <f t="shared" ref="H356:H388" si="19">E356-G356</f>
        <v>0</v>
      </c>
    </row>
    <row r="357" spans="1:12">
      <c r="A357" s="707">
        <v>181</v>
      </c>
      <c r="B357" s="1962">
        <v>18100083</v>
      </c>
      <c r="C357" s="1962"/>
      <c r="D357" s="1962" t="s">
        <v>1927</v>
      </c>
      <c r="E357" s="1967">
        <v>0</v>
      </c>
      <c r="F357" s="1967">
        <v>0</v>
      </c>
      <c r="G357" s="708">
        <f t="shared" si="18"/>
        <v>0</v>
      </c>
      <c r="H357" s="708">
        <f t="shared" si="19"/>
        <v>0</v>
      </c>
    </row>
    <row r="358" spans="1:12">
      <c r="A358" s="707">
        <v>181</v>
      </c>
      <c r="B358" s="1962">
        <v>18100093</v>
      </c>
      <c r="C358" s="1962"/>
      <c r="D358" s="1962" t="s">
        <v>1928</v>
      </c>
      <c r="E358" s="1967">
        <v>8560.52</v>
      </c>
      <c r="F358" s="1967">
        <v>13026.56</v>
      </c>
      <c r="G358" s="708">
        <f t="shared" si="18"/>
        <v>2939.6825377339492</v>
      </c>
      <c r="H358" s="708">
        <f t="shared" si="19"/>
        <v>5620.8374622660513</v>
      </c>
    </row>
    <row r="359" spans="1:12">
      <c r="A359" s="707">
        <v>181</v>
      </c>
      <c r="B359" s="1962">
        <v>18100203</v>
      </c>
      <c r="C359" s="1962"/>
      <c r="D359" s="1962" t="s">
        <v>1929</v>
      </c>
      <c r="E359" s="1967">
        <v>936359.3</v>
      </c>
      <c r="F359" s="1967">
        <v>1018376.3</v>
      </c>
      <c r="G359" s="708">
        <f t="shared" si="18"/>
        <v>321545.78030946536</v>
      </c>
      <c r="H359" s="708">
        <f t="shared" si="19"/>
        <v>614813.51969053468</v>
      </c>
    </row>
    <row r="360" spans="1:12">
      <c r="A360" s="707">
        <v>181</v>
      </c>
      <c r="B360" s="1962">
        <v>18100213</v>
      </c>
      <c r="C360" s="1962"/>
      <c r="D360" s="1962" t="s">
        <v>1930</v>
      </c>
      <c r="E360" s="1967">
        <v>3293428.46</v>
      </c>
      <c r="F360" s="1967">
        <v>3447807.86</v>
      </c>
      <c r="G360" s="708">
        <f t="shared" si="18"/>
        <v>1130963.3215199558</v>
      </c>
      <c r="H360" s="708">
        <f t="shared" si="19"/>
        <v>2162465.138480044</v>
      </c>
    </row>
    <row r="361" spans="1:12">
      <c r="A361" s="707">
        <v>181</v>
      </c>
      <c r="B361" s="1962">
        <v>18100223</v>
      </c>
      <c r="C361" s="1962"/>
      <c r="D361" s="1962" t="s">
        <v>1931</v>
      </c>
      <c r="E361" s="1967">
        <v>592852.72</v>
      </c>
      <c r="F361" s="1967">
        <v>675576.4</v>
      </c>
      <c r="G361" s="708">
        <f t="shared" si="18"/>
        <v>203585.62195194617</v>
      </c>
      <c r="H361" s="708">
        <f t="shared" si="19"/>
        <v>389267.0980480538</v>
      </c>
    </row>
    <row r="362" spans="1:12">
      <c r="A362" s="707">
        <v>181</v>
      </c>
      <c r="B362" s="1962">
        <v>18100233</v>
      </c>
      <c r="C362" s="1962"/>
      <c r="D362" s="1962" t="s">
        <v>1932</v>
      </c>
      <c r="E362" s="1967">
        <v>100188.23</v>
      </c>
      <c r="F362" s="1967">
        <v>114168.11</v>
      </c>
      <c r="G362" s="708">
        <f t="shared" si="18"/>
        <v>34404.637827780622</v>
      </c>
      <c r="H362" s="708">
        <f t="shared" si="19"/>
        <v>65783.592172219374</v>
      </c>
    </row>
    <row r="363" spans="1:12">
      <c r="A363" s="707">
        <v>181</v>
      </c>
      <c r="B363" s="1962">
        <v>18100473</v>
      </c>
      <c r="C363" s="1962"/>
      <c r="D363" s="1962" t="s">
        <v>1933</v>
      </c>
      <c r="E363" s="1967">
        <v>396271.08</v>
      </c>
      <c r="F363" s="1967">
        <v>497446.92</v>
      </c>
      <c r="G363" s="708">
        <f t="shared" si="18"/>
        <v>136079.48747096822</v>
      </c>
      <c r="H363" s="708">
        <f t="shared" si="19"/>
        <v>260191.5925290318</v>
      </c>
    </row>
    <row r="364" spans="1:12">
      <c r="A364" s="707">
        <v>181</v>
      </c>
      <c r="B364" s="1962">
        <v>18100493</v>
      </c>
      <c r="C364" s="1962"/>
      <c r="D364" s="1962" t="s">
        <v>1934</v>
      </c>
      <c r="E364" s="1967">
        <v>165274.25</v>
      </c>
      <c r="F364" s="1967">
        <v>197108.69</v>
      </c>
      <c r="G364" s="708">
        <f t="shared" si="18"/>
        <v>56755.176865666472</v>
      </c>
      <c r="H364" s="708">
        <f t="shared" si="19"/>
        <v>108519.07313433354</v>
      </c>
    </row>
    <row r="365" spans="1:12">
      <c r="A365" s="707">
        <v>181</v>
      </c>
      <c r="B365" s="1962">
        <v>18100563</v>
      </c>
      <c r="C365" s="1962"/>
      <c r="D365" s="1962" t="s">
        <v>1935</v>
      </c>
      <c r="E365" s="1967">
        <v>0</v>
      </c>
      <c r="F365" s="1967">
        <v>0</v>
      </c>
      <c r="G365" s="708">
        <f t="shared" si="18"/>
        <v>0</v>
      </c>
      <c r="H365" s="708">
        <f t="shared" si="19"/>
        <v>0</v>
      </c>
    </row>
    <row r="366" spans="1:12">
      <c r="A366" s="707">
        <v>181</v>
      </c>
      <c r="B366" s="1962">
        <v>18100573</v>
      </c>
      <c r="C366" s="1962"/>
      <c r="D366" s="1962" t="s">
        <v>1936</v>
      </c>
      <c r="E366" s="1967">
        <v>0</v>
      </c>
      <c r="F366" s="1967">
        <v>0</v>
      </c>
      <c r="G366" s="708">
        <f t="shared" si="18"/>
        <v>0</v>
      </c>
      <c r="H366" s="708">
        <f t="shared" si="19"/>
        <v>0</v>
      </c>
    </row>
    <row r="367" spans="1:12">
      <c r="A367" s="707">
        <v>181</v>
      </c>
      <c r="B367" s="1962">
        <v>18100633</v>
      </c>
      <c r="C367" s="1962"/>
      <c r="D367" s="1962" t="s">
        <v>1937</v>
      </c>
      <c r="E367" s="1967">
        <v>1179269.18</v>
      </c>
      <c r="F367" s="1967">
        <v>1227566.8999999999</v>
      </c>
      <c r="G367" s="708">
        <f t="shared" si="18"/>
        <v>404961.03224264801</v>
      </c>
      <c r="H367" s="708">
        <f t="shared" si="19"/>
        <v>774308.14775735186</v>
      </c>
    </row>
    <row r="368" spans="1:12">
      <c r="A368" s="707">
        <v>181</v>
      </c>
      <c r="B368" s="1962">
        <v>18100643</v>
      </c>
      <c r="C368" s="1962"/>
      <c r="D368" s="1962" t="s">
        <v>1938</v>
      </c>
      <c r="E368" s="1967">
        <v>1141192.58</v>
      </c>
      <c r="F368" s="1967">
        <v>1185654.6200000001</v>
      </c>
      <c r="G368" s="708">
        <f t="shared" si="18"/>
        <v>391885.52793726936</v>
      </c>
      <c r="H368" s="708">
        <f t="shared" si="19"/>
        <v>749307.05206273077</v>
      </c>
    </row>
    <row r="369" spans="1:8">
      <c r="A369" s="707">
        <v>181</v>
      </c>
      <c r="B369" s="1962">
        <v>18100663</v>
      </c>
      <c r="C369" s="1962"/>
      <c r="D369" s="1962" t="s">
        <v>1939</v>
      </c>
      <c r="E369" s="1967">
        <v>0</v>
      </c>
      <c r="F369" s="1967">
        <v>0</v>
      </c>
      <c r="G369" s="708">
        <f t="shared" si="18"/>
        <v>0</v>
      </c>
      <c r="H369" s="708">
        <f t="shared" si="19"/>
        <v>0</v>
      </c>
    </row>
    <row r="370" spans="1:8">
      <c r="A370" s="707">
        <v>181</v>
      </c>
      <c r="B370" s="1962">
        <v>18100673</v>
      </c>
      <c r="C370" s="1962"/>
      <c r="D370" s="1962" t="s">
        <v>1940</v>
      </c>
      <c r="E370" s="1967">
        <v>0</v>
      </c>
      <c r="F370" s="1967">
        <v>0</v>
      </c>
      <c r="G370" s="708">
        <f t="shared" si="18"/>
        <v>0</v>
      </c>
      <c r="H370" s="708">
        <f t="shared" si="19"/>
        <v>0</v>
      </c>
    </row>
    <row r="371" spans="1:8">
      <c r="A371" s="707">
        <v>181</v>
      </c>
      <c r="B371" s="1962">
        <v>18100683</v>
      </c>
      <c r="C371" s="1962"/>
      <c r="D371" s="1962" t="s">
        <v>1941</v>
      </c>
      <c r="E371" s="1967">
        <v>0</v>
      </c>
      <c r="F371" s="1967">
        <v>0</v>
      </c>
      <c r="G371" s="708">
        <f t="shared" si="18"/>
        <v>0</v>
      </c>
      <c r="H371" s="708">
        <f t="shared" si="19"/>
        <v>0</v>
      </c>
    </row>
    <row r="372" spans="1:8">
      <c r="A372" s="707">
        <v>181</v>
      </c>
      <c r="B372" s="1962">
        <v>18100693</v>
      </c>
      <c r="C372" s="1962"/>
      <c r="D372" s="1962" t="s">
        <v>1246</v>
      </c>
      <c r="E372" s="1967">
        <v>1141012.51</v>
      </c>
      <c r="F372" s="1967">
        <v>1182253.8700000001</v>
      </c>
      <c r="G372" s="708">
        <f t="shared" si="18"/>
        <v>391823.69189990597</v>
      </c>
      <c r="H372" s="708">
        <f t="shared" si="19"/>
        <v>749188.8181000941</v>
      </c>
    </row>
    <row r="373" spans="1:8">
      <c r="A373" s="707">
        <v>181</v>
      </c>
      <c r="B373" s="1962">
        <v>18100923</v>
      </c>
      <c r="C373" s="1962"/>
      <c r="D373" s="1962" t="s">
        <v>1258</v>
      </c>
      <c r="E373" s="1967">
        <v>1546769.12</v>
      </c>
      <c r="F373" s="1967">
        <v>1633503.8</v>
      </c>
      <c r="G373" s="708">
        <f t="shared" si="18"/>
        <v>531160.51033933775</v>
      </c>
      <c r="H373" s="708">
        <f t="shared" si="19"/>
        <v>1015608.6096606624</v>
      </c>
    </row>
    <row r="374" spans="1:8">
      <c r="A374" s="707">
        <v>181</v>
      </c>
      <c r="B374" s="1962">
        <v>18100933</v>
      </c>
      <c r="C374" s="1962"/>
      <c r="D374" s="1962" t="s">
        <v>1942</v>
      </c>
      <c r="E374" s="1967">
        <v>356363.3</v>
      </c>
      <c r="F374" s="1967">
        <v>369166.82</v>
      </c>
      <c r="G374" s="708">
        <f t="shared" si="18"/>
        <v>122375.15596006371</v>
      </c>
      <c r="H374" s="708">
        <f t="shared" si="19"/>
        <v>233988.14403993628</v>
      </c>
    </row>
    <row r="375" spans="1:8">
      <c r="A375" s="707">
        <v>181</v>
      </c>
      <c r="B375" s="1962">
        <v>18100973</v>
      </c>
      <c r="C375" s="1962"/>
      <c r="D375" s="1962" t="s">
        <v>1943</v>
      </c>
      <c r="E375" s="1967">
        <v>0</v>
      </c>
      <c r="F375" s="1967">
        <v>0</v>
      </c>
      <c r="G375" s="708">
        <f t="shared" si="18"/>
        <v>0</v>
      </c>
      <c r="H375" s="708">
        <f t="shared" si="19"/>
        <v>0</v>
      </c>
    </row>
    <row r="376" spans="1:8">
      <c r="A376" s="707">
        <v>181</v>
      </c>
      <c r="B376" s="1962">
        <v>18100993</v>
      </c>
      <c r="C376" s="1962"/>
      <c r="D376" s="1962" t="s">
        <v>1944</v>
      </c>
      <c r="E376" s="1967">
        <v>0</v>
      </c>
      <c r="F376" s="1967">
        <v>0</v>
      </c>
      <c r="G376" s="708">
        <f t="shared" si="18"/>
        <v>0</v>
      </c>
      <c r="H376" s="708">
        <f t="shared" si="19"/>
        <v>0</v>
      </c>
    </row>
    <row r="377" spans="1:8">
      <c r="A377" s="707">
        <v>181</v>
      </c>
      <c r="B377" s="1962">
        <v>18101023</v>
      </c>
      <c r="C377" s="1962"/>
      <c r="D377" s="1962" t="s">
        <v>1945</v>
      </c>
      <c r="E377" s="1967">
        <v>1055416.1200000001</v>
      </c>
      <c r="F377" s="1967">
        <v>1140026.68</v>
      </c>
      <c r="G377" s="708">
        <f t="shared" si="18"/>
        <v>362429.89187653537</v>
      </c>
      <c r="H377" s="708">
        <f t="shared" si="19"/>
        <v>692986.22812346474</v>
      </c>
    </row>
    <row r="378" spans="1:8">
      <c r="A378" s="707">
        <v>181</v>
      </c>
      <c r="B378" s="1962">
        <v>18101033</v>
      </c>
      <c r="C378" s="1962"/>
      <c r="D378" s="1962" t="s">
        <v>1946</v>
      </c>
      <c r="E378" s="1967">
        <v>1263223.03</v>
      </c>
      <c r="F378" s="1967">
        <v>1359163.99</v>
      </c>
      <c r="G378" s="708">
        <f t="shared" si="18"/>
        <v>433790.78403582593</v>
      </c>
      <c r="H378" s="708">
        <f t="shared" si="19"/>
        <v>829432.24596417416</v>
      </c>
    </row>
    <row r="379" spans="1:8">
      <c r="A379" s="707">
        <v>181</v>
      </c>
      <c r="B379" s="1962">
        <v>18101053</v>
      </c>
      <c r="C379" s="1962"/>
      <c r="D379" s="1962" t="s">
        <v>1947</v>
      </c>
      <c r="E379" s="1967">
        <v>0</v>
      </c>
      <c r="F379" s="1967">
        <v>0</v>
      </c>
      <c r="G379" s="708">
        <f t="shared" si="18"/>
        <v>0</v>
      </c>
      <c r="H379" s="708">
        <f t="shared" si="19"/>
        <v>0</v>
      </c>
    </row>
    <row r="380" spans="1:8">
      <c r="A380" s="707">
        <v>181</v>
      </c>
      <c r="B380" s="1962">
        <v>18101073</v>
      </c>
      <c r="C380" s="1962"/>
      <c r="D380" s="1962" t="s">
        <v>1948</v>
      </c>
      <c r="E380" s="1967">
        <v>0</v>
      </c>
      <c r="F380" s="1967">
        <v>0</v>
      </c>
      <c r="G380" s="708">
        <f t="shared" si="18"/>
        <v>0</v>
      </c>
      <c r="H380" s="708">
        <f t="shared" si="19"/>
        <v>0</v>
      </c>
    </row>
    <row r="381" spans="1:8">
      <c r="A381" s="707">
        <v>181</v>
      </c>
      <c r="B381" s="1962">
        <v>18101083</v>
      </c>
      <c r="C381" s="1962"/>
      <c r="D381" s="1962" t="s">
        <v>1949</v>
      </c>
      <c r="E381" s="1967">
        <v>0</v>
      </c>
      <c r="F381" s="1967">
        <v>0</v>
      </c>
      <c r="G381" s="708">
        <f t="shared" si="18"/>
        <v>0</v>
      </c>
      <c r="H381" s="708">
        <f t="shared" si="19"/>
        <v>0</v>
      </c>
    </row>
    <row r="382" spans="1:8">
      <c r="A382" s="707">
        <v>181</v>
      </c>
      <c r="B382" s="1962">
        <v>18101093</v>
      </c>
      <c r="C382" s="1962"/>
      <c r="D382" s="1962" t="s">
        <v>1950</v>
      </c>
      <c r="E382" s="1967">
        <v>0</v>
      </c>
      <c r="F382" s="1967">
        <v>0</v>
      </c>
      <c r="G382" s="708">
        <f t="shared" si="18"/>
        <v>0</v>
      </c>
      <c r="H382" s="708">
        <f t="shared" si="19"/>
        <v>0</v>
      </c>
    </row>
    <row r="383" spans="1:8">
      <c r="A383" s="707">
        <v>181</v>
      </c>
      <c r="B383" s="1962">
        <v>18101113</v>
      </c>
      <c r="C383" s="1962"/>
      <c r="D383" s="1962" t="s">
        <v>1951</v>
      </c>
      <c r="E383" s="1967">
        <v>1859979.51</v>
      </c>
      <c r="F383" s="1967">
        <v>1978701.51</v>
      </c>
      <c r="G383" s="708">
        <f t="shared" si="18"/>
        <v>638716.95715797029</v>
      </c>
      <c r="H383" s="708">
        <f t="shared" si="19"/>
        <v>1221262.5528420298</v>
      </c>
    </row>
    <row r="384" spans="1:8">
      <c r="A384" s="707">
        <v>181</v>
      </c>
      <c r="B384" s="1962">
        <v>18101123</v>
      </c>
      <c r="C384" s="1962"/>
      <c r="D384" s="1962" t="s">
        <v>1952</v>
      </c>
      <c r="E384" s="1967">
        <v>1824241.01</v>
      </c>
      <c r="F384" s="1967">
        <v>1937080.61</v>
      </c>
      <c r="G384" s="708">
        <f t="shared" si="18"/>
        <v>626444.35638432507</v>
      </c>
      <c r="H384" s="708">
        <f t="shared" si="19"/>
        <v>1197796.6536156749</v>
      </c>
    </row>
    <row r="385" spans="1:10">
      <c r="A385" s="707">
        <v>181</v>
      </c>
      <c r="B385" s="1962">
        <v>18101133</v>
      </c>
      <c r="C385" s="1962"/>
      <c r="D385" s="1962" t="s">
        <v>1953</v>
      </c>
      <c r="E385" s="1967">
        <v>1425540.52</v>
      </c>
      <c r="F385" s="1967">
        <v>1511502.76</v>
      </c>
      <c r="G385" s="708">
        <f t="shared" si="18"/>
        <v>489530.60952794616</v>
      </c>
      <c r="H385" s="708">
        <f t="shared" si="19"/>
        <v>936009.9104720538</v>
      </c>
    </row>
    <row r="386" spans="1:10">
      <c r="A386" s="707">
        <v>181</v>
      </c>
      <c r="B386" s="1962">
        <v>18101143</v>
      </c>
      <c r="C386" s="1962"/>
      <c r="D386" s="1962" t="s">
        <v>1954</v>
      </c>
      <c r="E386" s="1967">
        <v>1775098.53</v>
      </c>
      <c r="F386" s="1967">
        <v>1877160.09</v>
      </c>
      <c r="G386" s="708">
        <f t="shared" si="18"/>
        <v>609568.82892607024</v>
      </c>
      <c r="H386" s="708">
        <f t="shared" si="19"/>
        <v>1165529.7010739297</v>
      </c>
    </row>
    <row r="387" spans="1:10">
      <c r="A387" s="1954">
        <v>181</v>
      </c>
      <c r="B387" s="1960">
        <v>18101223</v>
      </c>
      <c r="C387" s="1960"/>
      <c r="D387" s="1960" t="s">
        <v>1955</v>
      </c>
      <c r="E387" s="1968">
        <v>2163577.54</v>
      </c>
      <c r="F387" s="1968">
        <v>2807328.86</v>
      </c>
      <c r="G387" s="722">
        <f t="shared" si="18"/>
        <v>742972.51958658767</v>
      </c>
      <c r="H387" s="722">
        <f t="shared" si="19"/>
        <v>1420605.0204134122</v>
      </c>
      <c r="I387" s="1955" t="s">
        <v>973</v>
      </c>
    </row>
    <row r="388" spans="1:10">
      <c r="A388" s="1954">
        <v>181</v>
      </c>
      <c r="B388" s="1960">
        <v>18101233</v>
      </c>
      <c r="C388" s="1960"/>
      <c r="D388" s="1960" t="s">
        <v>6766</v>
      </c>
      <c r="E388" s="1968">
        <v>1183189.68</v>
      </c>
      <c r="F388" s="1968">
        <v>0</v>
      </c>
      <c r="G388" s="722">
        <f t="shared" si="18"/>
        <v>406307.33192878694</v>
      </c>
      <c r="H388" s="722">
        <f t="shared" si="19"/>
        <v>776882.348071213</v>
      </c>
      <c r="I388" s="1955" t="s">
        <v>973</v>
      </c>
    </row>
    <row r="389" spans="1:10">
      <c r="A389" s="638"/>
      <c r="B389" s="709"/>
      <c r="C389" s="710"/>
      <c r="D389" s="711" t="s">
        <v>104</v>
      </c>
      <c r="E389" s="1958">
        <f>SUM(E356:E388)</f>
        <v>23407807.190000001</v>
      </c>
      <c r="F389" s="1958">
        <f>SUM(F356:F388)</f>
        <v>24172621.350000001</v>
      </c>
      <c r="G389" s="1958">
        <f>SUM(G356:G388)</f>
        <v>8038240.9062867891</v>
      </c>
      <c r="H389" s="2279">
        <f>SUM(H356:H388)</f>
        <v>15369566.283713212</v>
      </c>
      <c r="I389" s="1957">
        <f>E389-G389-H389</f>
        <v>0</v>
      </c>
      <c r="J389" s="718" t="s">
        <v>929</v>
      </c>
    </row>
    <row r="390" spans="1:10">
      <c r="A390" s="693"/>
      <c r="B390" s="735"/>
      <c r="D390" s="1952" t="s">
        <v>1643</v>
      </c>
      <c r="E390" s="1956">
        <f>'FERC p110-111 Assets'!D82-E389</f>
        <v>-0.19000000134110451</v>
      </c>
      <c r="F390" s="1956">
        <f>'FERC p110-111 Assets'!E82-F389</f>
        <v>-0.35000000149011612</v>
      </c>
    </row>
    <row r="391" spans="1:10" s="706" customFormat="1">
      <c r="A391" s="697" t="s">
        <v>922</v>
      </c>
      <c r="B391" s="719" t="s">
        <v>96</v>
      </c>
      <c r="C391" s="720" t="s">
        <v>924</v>
      </c>
      <c r="D391" s="697" t="s">
        <v>925</v>
      </c>
      <c r="E391" s="715">
        <f>E6</f>
        <v>45291</v>
      </c>
      <c r="F391" s="715">
        <f>F6</f>
        <v>44926</v>
      </c>
    </row>
    <row r="392" spans="1:10">
      <c r="A392" s="707">
        <v>183</v>
      </c>
      <c r="B392" s="1962">
        <v>18300121</v>
      </c>
      <c r="C392" s="1962"/>
      <c r="D392" s="1962" t="s">
        <v>1956</v>
      </c>
      <c r="E392" s="1967">
        <v>0</v>
      </c>
      <c r="F392" s="1967">
        <v>0</v>
      </c>
      <c r="G392" s="708">
        <f>IF(MID(B392,8,1)="1",0,IF(MID(B392,8,1)="2",E392,E392*$F$3))</f>
        <v>0</v>
      </c>
      <c r="H392" s="708">
        <f>E392-G392</f>
        <v>0</v>
      </c>
    </row>
    <row r="393" spans="1:10">
      <c r="A393" s="707">
        <v>183</v>
      </c>
      <c r="B393" s="1962">
        <v>18300131</v>
      </c>
      <c r="C393" s="1962"/>
      <c r="D393" s="1962" t="s">
        <v>1957</v>
      </c>
      <c r="E393" s="1967">
        <v>0</v>
      </c>
      <c r="F393" s="1967">
        <v>0</v>
      </c>
      <c r="G393" s="708">
        <f>IF(MID(B393,8,1)="1",0,IF(MID(B393,8,1)="2",E393,E393*$F$3))</f>
        <v>0</v>
      </c>
      <c r="H393" s="708">
        <f>E393-G393</f>
        <v>0</v>
      </c>
    </row>
    <row r="394" spans="1:10">
      <c r="A394" s="707">
        <v>183</v>
      </c>
      <c r="B394" s="1962">
        <v>18300141</v>
      </c>
      <c r="C394" s="1962"/>
      <c r="D394" s="1962" t="s">
        <v>1958</v>
      </c>
      <c r="E394" s="1967">
        <v>52939.56</v>
      </c>
      <c r="F394" s="1967">
        <v>52939.56</v>
      </c>
      <c r="G394" s="708">
        <f>IF(MID(B394,8,1)="1",0,IF(MID(B394,8,1)="2",E394,E394*$F$3))</f>
        <v>0</v>
      </c>
      <c r="H394" s="708">
        <f>E394-G394</f>
        <v>52939.56</v>
      </c>
    </row>
    <row r="395" spans="1:10">
      <c r="A395" s="707">
        <v>183</v>
      </c>
      <c r="B395" s="1962">
        <v>18300151</v>
      </c>
      <c r="C395" s="1962" t="s">
        <v>968</v>
      </c>
      <c r="D395" s="1962" t="s">
        <v>1959</v>
      </c>
      <c r="E395" s="1967">
        <v>726682.32</v>
      </c>
      <c r="F395" s="1966">
        <v>53932.21</v>
      </c>
      <c r="G395" s="708">
        <f>IF(MID(B395,8,1)="1",0,IF(MID(B395,8,1)="2",E395,E395*$F$3))</f>
        <v>0</v>
      </c>
      <c r="H395" s="708">
        <f>E395-G395</f>
        <v>726682.32</v>
      </c>
    </row>
    <row r="396" spans="1:10">
      <c r="A396" s="638"/>
      <c r="B396" s="709"/>
      <c r="C396" s="710"/>
      <c r="D396" s="711" t="s">
        <v>104</v>
      </c>
      <c r="E396" s="1958">
        <f>SUM(E392:E395)</f>
        <v>779621.87999999989</v>
      </c>
      <c r="F396" s="1958">
        <f>SUM(F392:F395)</f>
        <v>106871.76999999999</v>
      </c>
      <c r="G396" s="1958">
        <f>SUM(G392:G395)</f>
        <v>0</v>
      </c>
      <c r="H396" s="2279">
        <f>SUM(H392:H395)</f>
        <v>779621.87999999989</v>
      </c>
      <c r="I396" s="1957">
        <f>E396-G396-H396</f>
        <v>0</v>
      </c>
      <c r="J396" s="718" t="s">
        <v>929</v>
      </c>
    </row>
    <row r="397" spans="1:10">
      <c r="B397" s="713"/>
      <c r="D397" s="1952" t="s">
        <v>1643</v>
      </c>
      <c r="E397" s="1956">
        <f>SUM('FERC p110-111 Assets'!D86:D88)-E396</f>
        <v>0.12000000011175871</v>
      </c>
      <c r="F397" s="1956">
        <f>SUM('FERC p110-111 Assets'!E86:E88)-F396</f>
        <v>0.23000000001047738</v>
      </c>
    </row>
    <row r="398" spans="1:10" s="706" customFormat="1">
      <c r="A398" s="697" t="s">
        <v>922</v>
      </c>
      <c r="B398" s="719" t="s">
        <v>96</v>
      </c>
      <c r="C398" s="720" t="s">
        <v>924</v>
      </c>
      <c r="D398" s="697" t="s">
        <v>925</v>
      </c>
      <c r="E398" s="715">
        <f>E6</f>
        <v>45291</v>
      </c>
      <c r="F398" s="715">
        <f>F6</f>
        <v>44926</v>
      </c>
    </row>
    <row r="399" spans="1:10">
      <c r="A399" s="707">
        <v>184</v>
      </c>
      <c r="B399" s="1962">
        <v>18400013</v>
      </c>
      <c r="C399" s="1962"/>
      <c r="D399" s="1962" t="s">
        <v>1960</v>
      </c>
      <c r="E399" s="1961">
        <v>0</v>
      </c>
      <c r="F399" s="1961">
        <v>0</v>
      </c>
      <c r="G399" s="708">
        <f t="shared" ref="G399:G427" si="20">IF(MID(B399,8,1)="1",0,IF(MID(B399,8,1)="2",E399,E399*$F$3))</f>
        <v>0</v>
      </c>
      <c r="H399" s="708">
        <f t="shared" ref="H399:H427" si="21">E399-G399</f>
        <v>0</v>
      </c>
    </row>
    <row r="400" spans="1:10">
      <c r="A400" s="707">
        <v>184</v>
      </c>
      <c r="B400" s="1962">
        <v>18400123</v>
      </c>
      <c r="C400" s="1962"/>
      <c r="D400" s="1962" t="s">
        <v>1961</v>
      </c>
      <c r="E400" s="1961">
        <v>0</v>
      </c>
      <c r="F400" s="1961">
        <v>0</v>
      </c>
      <c r="G400" s="708">
        <f t="shared" si="20"/>
        <v>0</v>
      </c>
      <c r="H400" s="708">
        <f t="shared" si="21"/>
        <v>0</v>
      </c>
    </row>
    <row r="401" spans="1:8">
      <c r="A401" s="707">
        <v>184</v>
      </c>
      <c r="B401" s="1962">
        <v>18400143</v>
      </c>
      <c r="C401" s="1962"/>
      <c r="D401" s="1962" t="s">
        <v>1962</v>
      </c>
      <c r="E401" s="1961">
        <v>0</v>
      </c>
      <c r="F401" s="1961">
        <v>0</v>
      </c>
      <c r="G401" s="708">
        <f t="shared" si="20"/>
        <v>0</v>
      </c>
      <c r="H401" s="708">
        <f t="shared" si="21"/>
        <v>0</v>
      </c>
    </row>
    <row r="402" spans="1:8">
      <c r="A402" s="707">
        <v>184</v>
      </c>
      <c r="B402" s="1962">
        <v>18400153</v>
      </c>
      <c r="C402" s="1962"/>
      <c r="D402" s="1962" t="s">
        <v>1963</v>
      </c>
      <c r="E402" s="1961">
        <v>0</v>
      </c>
      <c r="F402" s="1961">
        <v>0</v>
      </c>
      <c r="G402" s="708">
        <f t="shared" si="20"/>
        <v>0</v>
      </c>
      <c r="H402" s="708">
        <f t="shared" si="21"/>
        <v>0</v>
      </c>
    </row>
    <row r="403" spans="1:8">
      <c r="A403" s="707">
        <v>184</v>
      </c>
      <c r="B403" s="1962">
        <v>18400223</v>
      </c>
      <c r="C403" s="1962"/>
      <c r="D403" s="1962" t="s">
        <v>1964</v>
      </c>
      <c r="E403" s="1961">
        <v>0</v>
      </c>
      <c r="F403" s="1961">
        <v>0</v>
      </c>
      <c r="G403" s="708">
        <f t="shared" si="20"/>
        <v>0</v>
      </c>
      <c r="H403" s="708">
        <f t="shared" si="21"/>
        <v>0</v>
      </c>
    </row>
    <row r="404" spans="1:8">
      <c r="A404" s="707">
        <v>184</v>
      </c>
      <c r="B404" s="1962">
        <v>18400433</v>
      </c>
      <c r="C404" s="1962"/>
      <c r="D404" s="1962" t="s">
        <v>1965</v>
      </c>
      <c r="E404" s="1961">
        <v>0</v>
      </c>
      <c r="F404" s="1961">
        <v>0</v>
      </c>
      <c r="G404" s="708">
        <f t="shared" si="20"/>
        <v>0</v>
      </c>
      <c r="H404" s="708">
        <f t="shared" si="21"/>
        <v>0</v>
      </c>
    </row>
    <row r="405" spans="1:8">
      <c r="A405" s="707">
        <v>184</v>
      </c>
      <c r="B405" s="1962">
        <v>18400453</v>
      </c>
      <c r="C405" s="1962"/>
      <c r="D405" s="1962" t="s">
        <v>1966</v>
      </c>
      <c r="E405" s="1961">
        <v>0</v>
      </c>
      <c r="F405" s="1961">
        <v>0</v>
      </c>
      <c r="G405" s="708">
        <f t="shared" si="20"/>
        <v>0</v>
      </c>
      <c r="H405" s="708">
        <f t="shared" si="21"/>
        <v>0</v>
      </c>
    </row>
    <row r="406" spans="1:8">
      <c r="A406" s="707">
        <v>184</v>
      </c>
      <c r="B406" s="1962">
        <v>18400503</v>
      </c>
      <c r="C406" s="1962"/>
      <c r="D406" s="1962" t="s">
        <v>1967</v>
      </c>
      <c r="E406" s="1961">
        <v>0</v>
      </c>
      <c r="F406" s="1961">
        <v>0</v>
      </c>
      <c r="G406" s="708">
        <f t="shared" si="20"/>
        <v>0</v>
      </c>
      <c r="H406" s="708">
        <f t="shared" si="21"/>
        <v>0</v>
      </c>
    </row>
    <row r="407" spans="1:8">
      <c r="A407" s="707">
        <v>184</v>
      </c>
      <c r="B407" s="1962">
        <v>18400513</v>
      </c>
      <c r="C407" s="1962"/>
      <c r="D407" s="1962" t="s">
        <v>1968</v>
      </c>
      <c r="E407" s="1961">
        <v>0</v>
      </c>
      <c r="F407" s="1961">
        <v>0</v>
      </c>
      <c r="G407" s="708">
        <f t="shared" si="20"/>
        <v>0</v>
      </c>
      <c r="H407" s="708">
        <f t="shared" si="21"/>
        <v>0</v>
      </c>
    </row>
    <row r="408" spans="1:8">
      <c r="A408" s="707">
        <v>184</v>
      </c>
      <c r="B408" s="1962">
        <v>18400613</v>
      </c>
      <c r="C408" s="1962"/>
      <c r="D408" s="1962" t="s">
        <v>1969</v>
      </c>
      <c r="E408" s="1961">
        <v>0</v>
      </c>
      <c r="F408" s="1961">
        <v>0</v>
      </c>
      <c r="G408" s="708">
        <f t="shared" si="20"/>
        <v>0</v>
      </c>
      <c r="H408" s="708">
        <f t="shared" si="21"/>
        <v>0</v>
      </c>
    </row>
    <row r="409" spans="1:8">
      <c r="A409" s="707">
        <v>184</v>
      </c>
      <c r="B409" s="1962">
        <v>18400713</v>
      </c>
      <c r="C409" s="1962"/>
      <c r="D409" s="1962" t="s">
        <v>1970</v>
      </c>
      <c r="E409" s="1961">
        <v>0</v>
      </c>
      <c r="F409" s="1961">
        <v>0</v>
      </c>
      <c r="G409" s="708">
        <f t="shared" si="20"/>
        <v>0</v>
      </c>
      <c r="H409" s="708">
        <f t="shared" si="21"/>
        <v>0</v>
      </c>
    </row>
    <row r="410" spans="1:8">
      <c r="A410" s="707">
        <v>184</v>
      </c>
      <c r="B410" s="1962">
        <v>18400813</v>
      </c>
      <c r="C410" s="1962"/>
      <c r="D410" s="1962" t="s">
        <v>1971</v>
      </c>
      <c r="E410" s="1961">
        <v>0</v>
      </c>
      <c r="F410" s="1961">
        <v>0</v>
      </c>
      <c r="G410" s="708">
        <f t="shared" si="20"/>
        <v>0</v>
      </c>
      <c r="H410" s="708">
        <f t="shared" si="21"/>
        <v>0</v>
      </c>
    </row>
    <row r="411" spans="1:8">
      <c r="A411" s="707">
        <v>184</v>
      </c>
      <c r="B411" s="1962">
        <v>18400853</v>
      </c>
      <c r="C411" s="1962"/>
      <c r="D411" s="1962" t="s">
        <v>1972</v>
      </c>
      <c r="E411" s="1961">
        <v>0</v>
      </c>
      <c r="F411" s="1961">
        <v>0</v>
      </c>
      <c r="G411" s="708">
        <f t="shared" si="20"/>
        <v>0</v>
      </c>
      <c r="H411" s="708">
        <f t="shared" si="21"/>
        <v>0</v>
      </c>
    </row>
    <row r="412" spans="1:8">
      <c r="A412" s="707">
        <v>184</v>
      </c>
      <c r="B412" s="1962">
        <v>18400873</v>
      </c>
      <c r="C412" s="1962"/>
      <c r="D412" s="1962" t="s">
        <v>1973</v>
      </c>
      <c r="E412" s="1961">
        <v>0</v>
      </c>
      <c r="F412" s="1961">
        <v>0</v>
      </c>
      <c r="G412" s="708">
        <f t="shared" si="20"/>
        <v>0</v>
      </c>
      <c r="H412" s="708">
        <f t="shared" si="21"/>
        <v>0</v>
      </c>
    </row>
    <row r="413" spans="1:8">
      <c r="A413" s="707">
        <v>184</v>
      </c>
      <c r="B413" s="1962">
        <v>18400883</v>
      </c>
      <c r="C413" s="1962" t="s">
        <v>968</v>
      </c>
      <c r="D413" s="1962" t="s">
        <v>1974</v>
      </c>
      <c r="E413" s="1961">
        <v>0</v>
      </c>
      <c r="F413" s="1961">
        <v>0</v>
      </c>
      <c r="G413" s="708">
        <f t="shared" si="20"/>
        <v>0</v>
      </c>
      <c r="H413" s="708">
        <f t="shared" si="21"/>
        <v>0</v>
      </c>
    </row>
    <row r="414" spans="1:8">
      <c r="A414" s="707">
        <v>184</v>
      </c>
      <c r="B414" s="1962">
        <v>18400893</v>
      </c>
      <c r="C414" s="1962" t="s">
        <v>968</v>
      </c>
      <c r="D414" s="1962" t="s">
        <v>1975</v>
      </c>
      <c r="E414" s="1961">
        <v>0</v>
      </c>
      <c r="F414" s="1961">
        <v>0</v>
      </c>
      <c r="G414" s="708">
        <f t="shared" si="20"/>
        <v>0</v>
      </c>
      <c r="H414" s="708">
        <f t="shared" si="21"/>
        <v>0</v>
      </c>
    </row>
    <row r="415" spans="1:8">
      <c r="A415" s="707">
        <v>184</v>
      </c>
      <c r="B415" s="1962">
        <v>18400973</v>
      </c>
      <c r="C415" s="1962"/>
      <c r="D415" s="1962" t="s">
        <v>1976</v>
      </c>
      <c r="E415" s="1961">
        <v>0</v>
      </c>
      <c r="F415" s="1961">
        <v>0</v>
      </c>
      <c r="G415" s="708">
        <f t="shared" si="20"/>
        <v>0</v>
      </c>
      <c r="H415" s="708">
        <f t="shared" si="21"/>
        <v>0</v>
      </c>
    </row>
    <row r="416" spans="1:8">
      <c r="A416" s="707">
        <v>184</v>
      </c>
      <c r="B416" s="1962">
        <v>18400983</v>
      </c>
      <c r="C416" s="1962"/>
      <c r="D416" s="1962" t="s">
        <v>1977</v>
      </c>
      <c r="E416" s="1961">
        <v>0</v>
      </c>
      <c r="F416" s="1961">
        <v>0</v>
      </c>
      <c r="G416" s="708">
        <f t="shared" si="20"/>
        <v>0</v>
      </c>
      <c r="H416" s="708">
        <f t="shared" si="21"/>
        <v>0</v>
      </c>
    </row>
    <row r="417" spans="1:10">
      <c r="A417" s="707">
        <v>184</v>
      </c>
      <c r="B417" s="1962">
        <v>18400483</v>
      </c>
      <c r="C417" s="1962"/>
      <c r="D417" s="1962" t="s">
        <v>1978</v>
      </c>
      <c r="E417" s="1961">
        <v>0</v>
      </c>
      <c r="F417" s="1961">
        <v>0</v>
      </c>
      <c r="G417" s="708">
        <f t="shared" si="20"/>
        <v>0</v>
      </c>
      <c r="H417" s="708">
        <f t="shared" si="21"/>
        <v>0</v>
      </c>
    </row>
    <row r="418" spans="1:10">
      <c r="A418" s="707">
        <v>184</v>
      </c>
      <c r="B418" s="1962">
        <v>18400703</v>
      </c>
      <c r="C418" s="1962"/>
      <c r="D418" s="1962" t="s">
        <v>1979</v>
      </c>
      <c r="E418" s="1961">
        <v>0</v>
      </c>
      <c r="F418" s="1961">
        <v>0</v>
      </c>
      <c r="G418" s="708">
        <f t="shared" si="20"/>
        <v>0</v>
      </c>
      <c r="H418" s="708">
        <f t="shared" si="21"/>
        <v>0</v>
      </c>
    </row>
    <row r="419" spans="1:10">
      <c r="A419" s="707">
        <v>184</v>
      </c>
      <c r="B419" s="1962">
        <v>18401013</v>
      </c>
      <c r="C419" s="1962"/>
      <c r="D419" s="1962" t="s">
        <v>1980</v>
      </c>
      <c r="E419" s="1961">
        <v>0</v>
      </c>
      <c r="F419" s="1961">
        <v>0</v>
      </c>
      <c r="G419" s="708">
        <f t="shared" si="20"/>
        <v>0</v>
      </c>
      <c r="H419" s="708">
        <f t="shared" si="21"/>
        <v>0</v>
      </c>
    </row>
    <row r="420" spans="1:10">
      <c r="A420" s="707">
        <v>184</v>
      </c>
      <c r="B420" s="1962">
        <v>18401023</v>
      </c>
      <c r="C420" s="1962" t="s">
        <v>97</v>
      </c>
      <c r="D420" s="1962" t="s">
        <v>1981</v>
      </c>
      <c r="E420" s="1961">
        <v>0</v>
      </c>
      <c r="F420" s="1961">
        <v>0</v>
      </c>
      <c r="G420" s="708">
        <f t="shared" si="20"/>
        <v>0</v>
      </c>
      <c r="H420" s="708">
        <f t="shared" si="21"/>
        <v>0</v>
      </c>
    </row>
    <row r="421" spans="1:10">
      <c r="A421" s="707">
        <v>184</v>
      </c>
      <c r="B421" s="1962">
        <v>18401033</v>
      </c>
      <c r="C421" s="1962"/>
      <c r="D421" s="1962" t="s">
        <v>1982</v>
      </c>
      <c r="E421" s="1961">
        <v>0</v>
      </c>
      <c r="F421" s="1961">
        <v>0</v>
      </c>
      <c r="G421" s="708">
        <f t="shared" si="20"/>
        <v>0</v>
      </c>
      <c r="H421" s="708">
        <f t="shared" si="21"/>
        <v>0</v>
      </c>
    </row>
    <row r="422" spans="1:10">
      <c r="A422" s="707">
        <v>184</v>
      </c>
      <c r="B422" s="1962">
        <v>18401053</v>
      </c>
      <c r="C422" s="1962"/>
      <c r="D422" s="1962" t="s">
        <v>1983</v>
      </c>
      <c r="E422" s="1961">
        <v>0</v>
      </c>
      <c r="F422" s="1961">
        <v>0</v>
      </c>
      <c r="G422" s="708">
        <f t="shared" si="20"/>
        <v>0</v>
      </c>
      <c r="H422" s="708">
        <f t="shared" si="21"/>
        <v>0</v>
      </c>
    </row>
    <row r="423" spans="1:10">
      <c r="A423" s="707">
        <v>184</v>
      </c>
      <c r="B423" s="1962">
        <v>18401063</v>
      </c>
      <c r="C423" s="1962"/>
      <c r="D423" s="1962" t="s">
        <v>1984</v>
      </c>
      <c r="E423" s="1961">
        <v>0</v>
      </c>
      <c r="F423" s="1961">
        <v>0</v>
      </c>
      <c r="G423" s="708">
        <f t="shared" si="20"/>
        <v>0</v>
      </c>
      <c r="H423" s="708">
        <f t="shared" si="21"/>
        <v>0</v>
      </c>
    </row>
    <row r="424" spans="1:10">
      <c r="A424" s="707">
        <v>184</v>
      </c>
      <c r="B424" s="1962">
        <v>18401093</v>
      </c>
      <c r="C424" s="1962"/>
      <c r="D424" s="1962" t="s">
        <v>1985</v>
      </c>
      <c r="E424" s="1961">
        <v>0</v>
      </c>
      <c r="F424" s="1961">
        <v>0</v>
      </c>
      <c r="G424" s="708">
        <f t="shared" si="20"/>
        <v>0</v>
      </c>
      <c r="H424" s="708">
        <f t="shared" si="21"/>
        <v>0</v>
      </c>
    </row>
    <row r="425" spans="1:10">
      <c r="A425" s="707">
        <v>184</v>
      </c>
      <c r="B425" s="1962">
        <v>18401103</v>
      </c>
      <c r="C425" s="1962"/>
      <c r="D425" s="1962" t="s">
        <v>1986</v>
      </c>
      <c r="E425" s="1961">
        <v>0</v>
      </c>
      <c r="F425" s="1961">
        <v>0</v>
      </c>
      <c r="G425" s="708">
        <f t="shared" si="20"/>
        <v>0</v>
      </c>
      <c r="H425" s="708">
        <f t="shared" si="21"/>
        <v>0</v>
      </c>
    </row>
    <row r="426" spans="1:10">
      <c r="A426" s="707">
        <v>184</v>
      </c>
      <c r="B426" s="1962">
        <v>18401113</v>
      </c>
      <c r="C426" s="1962"/>
      <c r="D426" s="1962" t="s">
        <v>1987</v>
      </c>
      <c r="E426" s="1961">
        <v>0</v>
      </c>
      <c r="F426" s="1961">
        <v>0</v>
      </c>
      <c r="G426" s="708">
        <f t="shared" si="20"/>
        <v>0</v>
      </c>
      <c r="H426" s="708">
        <f t="shared" si="21"/>
        <v>0</v>
      </c>
    </row>
    <row r="427" spans="1:10">
      <c r="A427" s="707">
        <v>184</v>
      </c>
      <c r="B427" s="1962">
        <v>18405025</v>
      </c>
      <c r="C427" s="1962"/>
      <c r="D427" s="1962" t="s">
        <v>1988</v>
      </c>
      <c r="E427" s="1961">
        <v>0</v>
      </c>
      <c r="F427" s="1961">
        <v>0</v>
      </c>
      <c r="G427" s="708">
        <f t="shared" si="20"/>
        <v>0</v>
      </c>
      <c r="H427" s="708">
        <f t="shared" si="21"/>
        <v>0</v>
      </c>
    </row>
    <row r="428" spans="1:10">
      <c r="A428" s="638"/>
      <c r="B428" s="709"/>
      <c r="C428" s="710"/>
      <c r="D428" s="711" t="s">
        <v>104</v>
      </c>
      <c r="E428" s="1958">
        <f>SUM(E399:E427)</f>
        <v>0</v>
      </c>
      <c r="F428" s="1958">
        <f>SUM(F399:F427)</f>
        <v>0</v>
      </c>
      <c r="G428" s="1958">
        <f>SUM(G399:G427)</f>
        <v>0</v>
      </c>
      <c r="H428" s="2279">
        <f>SUM(H399:H427)</f>
        <v>0</v>
      </c>
      <c r="I428" s="1957">
        <f>E428-G428-H428</f>
        <v>0</v>
      </c>
      <c r="J428" s="718" t="s">
        <v>929</v>
      </c>
    </row>
    <row r="429" spans="1:10">
      <c r="B429" s="736"/>
      <c r="C429" s="737"/>
      <c r="D429" s="1952" t="s">
        <v>1643</v>
      </c>
      <c r="E429" s="1956">
        <f>'FERC p110-111 Assets'!D89-E428</f>
        <v>0</v>
      </c>
      <c r="F429" s="1956">
        <f>'FERC p110-111 Assets'!E89-F428</f>
        <v>0</v>
      </c>
    </row>
    <row r="430" spans="1:10" s="706" customFormat="1" collapsed="1">
      <c r="A430" s="697" t="s">
        <v>922</v>
      </c>
      <c r="B430" s="719" t="s">
        <v>96</v>
      </c>
      <c r="C430" s="720" t="s">
        <v>924</v>
      </c>
      <c r="D430" s="697" t="s">
        <v>925</v>
      </c>
      <c r="E430" s="715">
        <f>E6</f>
        <v>45291</v>
      </c>
      <c r="F430" s="715">
        <f>F6</f>
        <v>44926</v>
      </c>
    </row>
    <row r="431" spans="1:10">
      <c r="A431" s="707">
        <v>185</v>
      </c>
      <c r="B431" s="1962">
        <v>18500003</v>
      </c>
      <c r="C431" s="1962"/>
      <c r="D431" s="1962" t="s">
        <v>1989</v>
      </c>
      <c r="E431" s="1961">
        <v>184264.58</v>
      </c>
      <c r="F431" s="1961">
        <v>137168.34</v>
      </c>
      <c r="G431" s="708">
        <f>IF(MID(B431,8,1)="1",0,IF(MID(B431,8,1)="2",E431,E431*$F$3))</f>
        <v>63276.456120525421</v>
      </c>
      <c r="H431" s="708">
        <f>E431-G431</f>
        <v>120988.12387947456</v>
      </c>
    </row>
    <row r="432" spans="1:10">
      <c r="A432" s="638"/>
      <c r="B432" s="709"/>
      <c r="C432" s="710"/>
      <c r="D432" s="711" t="s">
        <v>104</v>
      </c>
      <c r="E432" s="1958">
        <f>SUM(E431)</f>
        <v>184264.58</v>
      </c>
      <c r="F432" s="1958">
        <f>SUM(F431)</f>
        <v>137168.34</v>
      </c>
      <c r="G432" s="1958">
        <f>SUM(G431)</f>
        <v>63276.456120525421</v>
      </c>
      <c r="H432" s="2279">
        <f>SUM(H431)</f>
        <v>120988.12387947456</v>
      </c>
      <c r="I432" s="1957">
        <f>E432-G432-H432</f>
        <v>0</v>
      </c>
      <c r="J432" s="718" t="s">
        <v>929</v>
      </c>
    </row>
    <row r="433" spans="1:8">
      <c r="B433" s="713"/>
      <c r="D433" s="1952" t="s">
        <v>1643</v>
      </c>
      <c r="E433" s="1956">
        <f>'FERC p110-111 Assets'!D90-E432</f>
        <v>0.42000000001280569</v>
      </c>
      <c r="F433" s="1956">
        <f>'FERC p110-111 Assets'!E90-F432</f>
        <v>-0.33999999999650754</v>
      </c>
    </row>
    <row r="434" spans="1:8" s="706" customFormat="1">
      <c r="A434" s="697" t="s">
        <v>922</v>
      </c>
      <c r="B434" s="719" t="s">
        <v>96</v>
      </c>
      <c r="C434" s="720" t="s">
        <v>924</v>
      </c>
      <c r="D434" s="697" t="s">
        <v>925</v>
      </c>
      <c r="E434" s="715">
        <f>E6</f>
        <v>45291</v>
      </c>
      <c r="F434" s="715">
        <f>F6</f>
        <v>44926</v>
      </c>
    </row>
    <row r="435" spans="1:8">
      <c r="A435" s="707">
        <v>189</v>
      </c>
      <c r="B435" s="1962">
        <v>18900013</v>
      </c>
      <c r="C435" s="1962"/>
      <c r="D435" s="1962" t="s">
        <v>1990</v>
      </c>
      <c r="E435" s="1961">
        <v>0</v>
      </c>
      <c r="F435" s="1961">
        <v>0</v>
      </c>
      <c r="G435" s="708">
        <f t="shared" ref="G435:G467" si="22">IF(MID(B435,8,1)="1",0,IF(MID(B435,8,1)="2",E435,E435*$F$3))</f>
        <v>0</v>
      </c>
      <c r="H435" s="708">
        <f t="shared" ref="H435:H467" si="23">E435-G435</f>
        <v>0</v>
      </c>
    </row>
    <row r="436" spans="1:8">
      <c r="A436" s="707">
        <v>189</v>
      </c>
      <c r="B436" s="1962">
        <v>18900173</v>
      </c>
      <c r="C436" s="1962"/>
      <c r="D436" s="1962" t="s">
        <v>1991</v>
      </c>
      <c r="E436" s="1961">
        <v>14074</v>
      </c>
      <c r="F436" s="1961">
        <v>182954.08</v>
      </c>
      <c r="G436" s="708">
        <f t="shared" si="22"/>
        <v>4833.0115502408262</v>
      </c>
      <c r="H436" s="708">
        <f t="shared" si="23"/>
        <v>9240.9884497591738</v>
      </c>
    </row>
    <row r="437" spans="1:8">
      <c r="A437" s="707">
        <v>189</v>
      </c>
      <c r="B437" s="1962">
        <v>18900183</v>
      </c>
      <c r="C437" s="1962"/>
      <c r="D437" s="1962" t="s">
        <v>1992</v>
      </c>
      <c r="E437" s="1961">
        <v>195071.01</v>
      </c>
      <c r="F437" s="1961">
        <v>212157.57</v>
      </c>
      <c r="G437" s="708">
        <f t="shared" si="22"/>
        <v>66987.384144318872</v>
      </c>
      <c r="H437" s="708">
        <f t="shared" si="23"/>
        <v>128083.62585568114</v>
      </c>
    </row>
    <row r="438" spans="1:8">
      <c r="A438" s="707">
        <v>189</v>
      </c>
      <c r="B438" s="1962">
        <v>18900193</v>
      </c>
      <c r="C438" s="1962"/>
      <c r="D438" s="1962" t="s">
        <v>1993</v>
      </c>
      <c r="E438" s="1961">
        <v>785163.61</v>
      </c>
      <c r="F438" s="1961">
        <v>1014967.81</v>
      </c>
      <c r="G438" s="708">
        <f t="shared" si="22"/>
        <v>269625.18089802359</v>
      </c>
      <c r="H438" s="708">
        <f t="shared" si="23"/>
        <v>515538.42910197639</v>
      </c>
    </row>
    <row r="439" spans="1:8">
      <c r="A439" s="707">
        <v>189</v>
      </c>
      <c r="B439" s="1962">
        <v>18900203</v>
      </c>
      <c r="C439" s="1962"/>
      <c r="D439" s="1962" t="s">
        <v>1994</v>
      </c>
      <c r="E439" s="1961">
        <v>1757190.84</v>
      </c>
      <c r="F439" s="1961">
        <v>1839493.32</v>
      </c>
      <c r="G439" s="708">
        <f t="shared" si="22"/>
        <v>603419.32824338356</v>
      </c>
      <c r="H439" s="708">
        <f t="shared" si="23"/>
        <v>1153771.5117566166</v>
      </c>
    </row>
    <row r="440" spans="1:8">
      <c r="A440" s="707">
        <v>189</v>
      </c>
      <c r="B440" s="1962">
        <v>18900213</v>
      </c>
      <c r="C440" s="1962"/>
      <c r="D440" s="1962" t="s">
        <v>1995</v>
      </c>
      <c r="E440" s="1961">
        <v>6759205.0199999996</v>
      </c>
      <c r="F440" s="1961">
        <v>7075854.7800000003</v>
      </c>
      <c r="G440" s="708">
        <f t="shared" si="22"/>
        <v>2321110.9799705679</v>
      </c>
      <c r="H440" s="708">
        <f t="shared" si="23"/>
        <v>4438094.0400294317</v>
      </c>
    </row>
    <row r="441" spans="1:8">
      <c r="A441" s="707">
        <v>189</v>
      </c>
      <c r="B441" s="1962">
        <v>18900233</v>
      </c>
      <c r="C441" s="1962"/>
      <c r="D441" s="1962" t="s">
        <v>1996</v>
      </c>
      <c r="E441" s="1961">
        <v>4370002.9000000004</v>
      </c>
      <c r="F441" s="1961">
        <v>4470655.54</v>
      </c>
      <c r="G441" s="708">
        <f t="shared" si="22"/>
        <v>1500658.9804096853</v>
      </c>
      <c r="H441" s="708">
        <f t="shared" si="23"/>
        <v>2869343.9195903149</v>
      </c>
    </row>
    <row r="442" spans="1:8">
      <c r="A442" s="707">
        <v>189</v>
      </c>
      <c r="B442" s="1962">
        <v>18900243</v>
      </c>
      <c r="C442" s="1962"/>
      <c r="D442" s="1962" t="s">
        <v>1997</v>
      </c>
      <c r="E442" s="1961">
        <v>0</v>
      </c>
      <c r="F442" s="1961">
        <v>0</v>
      </c>
      <c r="G442" s="708">
        <f t="shared" si="22"/>
        <v>0</v>
      </c>
      <c r="H442" s="708">
        <f t="shared" si="23"/>
        <v>0</v>
      </c>
    </row>
    <row r="443" spans="1:8">
      <c r="A443" s="707">
        <v>189</v>
      </c>
      <c r="B443" s="1962">
        <v>18900253</v>
      </c>
      <c r="C443" s="1962"/>
      <c r="D443" s="1962" t="s">
        <v>1998</v>
      </c>
      <c r="E443" s="1961">
        <v>325942.87</v>
      </c>
      <c r="F443" s="1961">
        <v>371423.35</v>
      </c>
      <c r="G443" s="708">
        <f t="shared" si="22"/>
        <v>111928.78040561633</v>
      </c>
      <c r="H443" s="708">
        <f t="shared" si="23"/>
        <v>214014.08959438367</v>
      </c>
    </row>
    <row r="444" spans="1:8">
      <c r="A444" s="707">
        <v>189</v>
      </c>
      <c r="B444" s="1962">
        <v>18900263</v>
      </c>
      <c r="C444" s="1962"/>
      <c r="D444" s="1962" t="s">
        <v>1999</v>
      </c>
      <c r="E444" s="1961">
        <v>247689.42</v>
      </c>
      <c r="F444" s="1961">
        <v>282250.86</v>
      </c>
      <c r="G444" s="708">
        <f t="shared" si="22"/>
        <v>85056.545952284447</v>
      </c>
      <c r="H444" s="708">
        <f t="shared" si="23"/>
        <v>162632.87404771557</v>
      </c>
    </row>
    <row r="445" spans="1:8">
      <c r="A445" s="707">
        <v>189</v>
      </c>
      <c r="B445" s="1962">
        <v>18900273</v>
      </c>
      <c r="C445" s="1962"/>
      <c r="D445" s="1962" t="s">
        <v>2000</v>
      </c>
      <c r="E445" s="1961">
        <v>758414.89</v>
      </c>
      <c r="F445" s="1961">
        <v>864240.37</v>
      </c>
      <c r="G445" s="708">
        <f t="shared" si="22"/>
        <v>260439.67054459473</v>
      </c>
      <c r="H445" s="708">
        <f t="shared" si="23"/>
        <v>497975.21945540525</v>
      </c>
    </row>
    <row r="446" spans="1:8">
      <c r="A446" s="707">
        <v>189</v>
      </c>
      <c r="B446" s="1962">
        <v>18900283</v>
      </c>
      <c r="C446" s="1962"/>
      <c r="D446" s="1962" t="s">
        <v>2001</v>
      </c>
      <c r="E446" s="1961">
        <v>231468.51</v>
      </c>
      <c r="F446" s="1961">
        <v>263766.27</v>
      </c>
      <c r="G446" s="708">
        <f t="shared" si="22"/>
        <v>79486.285515634096</v>
      </c>
      <c r="H446" s="708">
        <f t="shared" si="23"/>
        <v>151982.2244843659</v>
      </c>
    </row>
    <row r="447" spans="1:8">
      <c r="A447" s="707">
        <v>189</v>
      </c>
      <c r="B447" s="1962">
        <v>18900293</v>
      </c>
      <c r="C447" s="1962"/>
      <c r="D447" s="1962" t="s">
        <v>2002</v>
      </c>
      <c r="E447" s="1961">
        <v>0</v>
      </c>
      <c r="F447" s="1961">
        <v>0</v>
      </c>
      <c r="G447" s="708">
        <f t="shared" si="22"/>
        <v>0</v>
      </c>
      <c r="H447" s="708">
        <f t="shared" si="23"/>
        <v>0</v>
      </c>
    </row>
    <row r="448" spans="1:8">
      <c r="A448" s="707">
        <v>189</v>
      </c>
      <c r="B448" s="1962">
        <v>18900303</v>
      </c>
      <c r="C448" s="1962"/>
      <c r="D448" s="1962" t="s">
        <v>2003</v>
      </c>
      <c r="E448" s="1961">
        <v>0</v>
      </c>
      <c r="F448" s="1961">
        <v>0</v>
      </c>
      <c r="G448" s="708">
        <f t="shared" si="22"/>
        <v>0</v>
      </c>
      <c r="H448" s="708">
        <f t="shared" si="23"/>
        <v>0</v>
      </c>
    </row>
    <row r="449" spans="1:8">
      <c r="A449" s="707">
        <v>189</v>
      </c>
      <c r="B449" s="1962">
        <v>18900323</v>
      </c>
      <c r="C449" s="1962"/>
      <c r="D449" s="1962" t="s">
        <v>2004</v>
      </c>
      <c r="E449" s="1961">
        <v>0</v>
      </c>
      <c r="F449" s="1961">
        <v>0</v>
      </c>
      <c r="G449" s="708">
        <f t="shared" si="22"/>
        <v>0</v>
      </c>
      <c r="H449" s="708">
        <f t="shared" si="23"/>
        <v>0</v>
      </c>
    </row>
    <row r="450" spans="1:8">
      <c r="A450" s="707">
        <v>189</v>
      </c>
      <c r="B450" s="1962">
        <v>18900333</v>
      </c>
      <c r="C450" s="1962"/>
      <c r="D450" s="1962" t="s">
        <v>2005</v>
      </c>
      <c r="E450" s="1961">
        <v>0</v>
      </c>
      <c r="F450" s="1961">
        <v>0</v>
      </c>
      <c r="G450" s="708">
        <f t="shared" si="22"/>
        <v>0</v>
      </c>
      <c r="H450" s="708">
        <f t="shared" si="23"/>
        <v>0</v>
      </c>
    </row>
    <row r="451" spans="1:8">
      <c r="A451" s="707">
        <v>189</v>
      </c>
      <c r="B451" s="1962">
        <v>18900343</v>
      </c>
      <c r="C451" s="1962"/>
      <c r="D451" s="1962" t="s">
        <v>2006</v>
      </c>
      <c r="E451" s="1961">
        <v>0</v>
      </c>
      <c r="F451" s="1961">
        <v>0</v>
      </c>
      <c r="G451" s="708">
        <f t="shared" si="22"/>
        <v>0</v>
      </c>
      <c r="H451" s="708">
        <f t="shared" si="23"/>
        <v>0</v>
      </c>
    </row>
    <row r="452" spans="1:8">
      <c r="A452" s="707">
        <v>189</v>
      </c>
      <c r="B452" s="1962">
        <v>18900353</v>
      </c>
      <c r="C452" s="1962"/>
      <c r="D452" s="1962" t="s">
        <v>2007</v>
      </c>
      <c r="E452" s="1961">
        <v>0</v>
      </c>
      <c r="F452" s="1961">
        <v>6217.98</v>
      </c>
      <c r="G452" s="708">
        <f t="shared" si="22"/>
        <v>0</v>
      </c>
      <c r="H452" s="708">
        <f t="shared" si="23"/>
        <v>0</v>
      </c>
    </row>
    <row r="453" spans="1:8">
      <c r="A453" s="707">
        <v>189</v>
      </c>
      <c r="B453" s="1962">
        <v>18900373</v>
      </c>
      <c r="C453" s="1962"/>
      <c r="D453" s="1962" t="s">
        <v>2008</v>
      </c>
      <c r="E453" s="1961">
        <v>2462766.7599999998</v>
      </c>
      <c r="F453" s="1961">
        <v>2659788.16</v>
      </c>
      <c r="G453" s="708">
        <f t="shared" si="22"/>
        <v>845714.09667679248</v>
      </c>
      <c r="H453" s="708">
        <f t="shared" si="23"/>
        <v>1617052.6633232073</v>
      </c>
    </row>
    <row r="454" spans="1:8">
      <c r="A454" s="707">
        <v>189</v>
      </c>
      <c r="B454" s="1962">
        <v>18900383</v>
      </c>
      <c r="C454" s="1962"/>
      <c r="D454" s="1962" t="s">
        <v>2009</v>
      </c>
      <c r="E454" s="1961">
        <v>0</v>
      </c>
      <c r="F454" s="1961">
        <v>0</v>
      </c>
      <c r="G454" s="708">
        <f t="shared" si="22"/>
        <v>0</v>
      </c>
      <c r="H454" s="708">
        <f t="shared" si="23"/>
        <v>0</v>
      </c>
    </row>
    <row r="455" spans="1:8">
      <c r="A455" s="707">
        <v>189</v>
      </c>
      <c r="B455" s="1962">
        <v>18900393</v>
      </c>
      <c r="C455" s="1962"/>
      <c r="D455" s="1962" t="s">
        <v>2010</v>
      </c>
      <c r="E455" s="1961">
        <v>11147775.1</v>
      </c>
      <c r="F455" s="1961">
        <v>11548293.939999999</v>
      </c>
      <c r="G455" s="708">
        <f t="shared" si="22"/>
        <v>3828145.9299266082</v>
      </c>
      <c r="H455" s="708">
        <f t="shared" si="23"/>
        <v>7319629.1700733919</v>
      </c>
    </row>
    <row r="456" spans="1:8">
      <c r="A456" s="707">
        <v>189</v>
      </c>
      <c r="B456" s="1962">
        <v>18900403</v>
      </c>
      <c r="C456" s="1962"/>
      <c r="D456" s="1962" t="s">
        <v>2011</v>
      </c>
      <c r="E456" s="1961">
        <v>0</v>
      </c>
      <c r="F456" s="1961">
        <v>0</v>
      </c>
      <c r="G456" s="708">
        <f t="shared" si="22"/>
        <v>0</v>
      </c>
      <c r="H456" s="708">
        <f t="shared" si="23"/>
        <v>0</v>
      </c>
    </row>
    <row r="457" spans="1:8">
      <c r="A457" s="707">
        <v>189</v>
      </c>
      <c r="B457" s="1962">
        <v>18900413</v>
      </c>
      <c r="C457" s="1962"/>
      <c r="D457" s="1962" t="s">
        <v>2012</v>
      </c>
      <c r="E457" s="1961">
        <v>0</v>
      </c>
      <c r="F457" s="1961">
        <v>0</v>
      </c>
      <c r="G457" s="708">
        <f t="shared" si="22"/>
        <v>0</v>
      </c>
      <c r="H457" s="708">
        <f t="shared" si="23"/>
        <v>0</v>
      </c>
    </row>
    <row r="458" spans="1:8">
      <c r="A458" s="707">
        <v>189</v>
      </c>
      <c r="B458" s="1962">
        <v>18900423</v>
      </c>
      <c r="C458" s="1962"/>
      <c r="D458" s="1962" t="s">
        <v>2013</v>
      </c>
      <c r="E458" s="1961">
        <v>0</v>
      </c>
      <c r="F458" s="1961">
        <v>0</v>
      </c>
      <c r="G458" s="708">
        <f t="shared" si="22"/>
        <v>0</v>
      </c>
      <c r="H458" s="708">
        <f t="shared" si="23"/>
        <v>0</v>
      </c>
    </row>
    <row r="459" spans="1:8">
      <c r="A459" s="707">
        <v>189</v>
      </c>
      <c r="B459" s="1962">
        <v>18900433</v>
      </c>
      <c r="C459" s="1962"/>
      <c r="D459" s="1962" t="s">
        <v>2014</v>
      </c>
      <c r="E459" s="1961">
        <v>2143757.08</v>
      </c>
      <c r="F459" s="1961">
        <v>2442885.7599999998</v>
      </c>
      <c r="G459" s="708">
        <f t="shared" si="22"/>
        <v>736166.17369266367</v>
      </c>
      <c r="H459" s="708">
        <f t="shared" si="23"/>
        <v>1407590.9063073364</v>
      </c>
    </row>
    <row r="460" spans="1:8">
      <c r="A460" s="707">
        <v>189</v>
      </c>
      <c r="B460" s="1962">
        <v>18900443</v>
      </c>
      <c r="C460" s="1962"/>
      <c r="D460" s="1962" t="s">
        <v>2015</v>
      </c>
      <c r="E460" s="1961">
        <v>0</v>
      </c>
      <c r="F460" s="1961">
        <v>0</v>
      </c>
      <c r="G460" s="708">
        <f t="shared" si="22"/>
        <v>0</v>
      </c>
      <c r="H460" s="708">
        <f t="shared" si="23"/>
        <v>0</v>
      </c>
    </row>
    <row r="461" spans="1:8">
      <c r="A461" s="707">
        <v>189</v>
      </c>
      <c r="B461" s="1962">
        <v>18900451</v>
      </c>
      <c r="C461" s="1962"/>
      <c r="D461" s="1962" t="s">
        <v>2016</v>
      </c>
      <c r="E461" s="1961">
        <v>0</v>
      </c>
      <c r="F461" s="1961">
        <v>0</v>
      </c>
      <c r="G461" s="708">
        <f t="shared" si="22"/>
        <v>0</v>
      </c>
      <c r="H461" s="708">
        <f t="shared" si="23"/>
        <v>0</v>
      </c>
    </row>
    <row r="462" spans="1:8">
      <c r="A462" s="707">
        <v>189</v>
      </c>
      <c r="B462" s="1962">
        <v>18900452</v>
      </c>
      <c r="C462" s="1962"/>
      <c r="D462" s="1962" t="s">
        <v>2017</v>
      </c>
      <c r="E462" s="1961">
        <v>0</v>
      </c>
      <c r="F462" s="1961">
        <v>0</v>
      </c>
      <c r="G462" s="708">
        <f t="shared" si="22"/>
        <v>0</v>
      </c>
      <c r="H462" s="708">
        <f t="shared" si="23"/>
        <v>0</v>
      </c>
    </row>
    <row r="463" spans="1:8">
      <c r="A463" s="707">
        <v>189</v>
      </c>
      <c r="B463" s="1962">
        <v>18900463</v>
      </c>
      <c r="C463" s="1962"/>
      <c r="D463" s="1962" t="s">
        <v>2018</v>
      </c>
      <c r="E463" s="1961">
        <v>0</v>
      </c>
      <c r="F463" s="1961">
        <v>0</v>
      </c>
      <c r="G463" s="708">
        <f t="shared" si="22"/>
        <v>0</v>
      </c>
      <c r="H463" s="708">
        <f t="shared" si="23"/>
        <v>0</v>
      </c>
    </row>
    <row r="464" spans="1:8">
      <c r="A464" s="707">
        <v>189</v>
      </c>
      <c r="B464" s="1962">
        <v>18900473</v>
      </c>
      <c r="C464" s="1962"/>
      <c r="D464" s="1962" t="s">
        <v>1243</v>
      </c>
      <c r="E464" s="1961">
        <v>0</v>
      </c>
      <c r="F464" s="1961">
        <v>0</v>
      </c>
      <c r="G464" s="708">
        <f t="shared" si="22"/>
        <v>0</v>
      </c>
      <c r="H464" s="708">
        <f t="shared" si="23"/>
        <v>0</v>
      </c>
    </row>
    <row r="465" spans="1:13">
      <c r="A465" s="1954">
        <v>189</v>
      </c>
      <c r="B465" s="1960">
        <v>18900483</v>
      </c>
      <c r="C465" s="1960"/>
      <c r="D465" s="1960" t="s">
        <v>2019</v>
      </c>
      <c r="E465" s="1959">
        <v>64680.78</v>
      </c>
      <c r="F465" s="1959">
        <v>83845.5</v>
      </c>
      <c r="G465" s="722">
        <f t="shared" si="22"/>
        <v>22211.379623318589</v>
      </c>
      <c r="H465" s="722">
        <f t="shared" si="23"/>
        <v>42469.400376681413</v>
      </c>
      <c r="I465" s="1955" t="s">
        <v>973</v>
      </c>
    </row>
    <row r="466" spans="1:13">
      <c r="A466" s="707">
        <v>189</v>
      </c>
      <c r="B466" s="1962">
        <v>18900533</v>
      </c>
      <c r="C466" s="1962"/>
      <c r="D466" s="1962" t="s">
        <v>2020</v>
      </c>
      <c r="E466" s="1961">
        <v>362299.76</v>
      </c>
      <c r="F466" s="1961">
        <v>412853</v>
      </c>
      <c r="G466" s="708">
        <f t="shared" si="22"/>
        <v>124413.73630307513</v>
      </c>
      <c r="H466" s="708">
        <f t="shared" si="23"/>
        <v>237886.02369692488</v>
      </c>
    </row>
    <row r="467" spans="1:13">
      <c r="A467" s="638"/>
      <c r="B467" s="709"/>
      <c r="C467" s="710"/>
      <c r="D467" s="711" t="s">
        <v>104</v>
      </c>
      <c r="E467" s="1958">
        <f>SUM(E435:E466)</f>
        <v>31625502.550000001</v>
      </c>
      <c r="F467" s="1958">
        <f>SUM(F435:F466)</f>
        <v>33731648.289999999</v>
      </c>
      <c r="G467" s="1958">
        <f t="shared" si="22"/>
        <v>10860197.463856809</v>
      </c>
      <c r="H467" s="2279">
        <f t="shared" si="23"/>
        <v>20765305.086143192</v>
      </c>
      <c r="I467" s="1957">
        <f>E467-G467-H467</f>
        <v>0</v>
      </c>
      <c r="J467" s="718" t="s">
        <v>929</v>
      </c>
    </row>
    <row r="468" spans="1:13">
      <c r="B468" s="738"/>
      <c r="D468" s="1952" t="s">
        <v>1643</v>
      </c>
      <c r="E468" s="1956">
        <f>'FERC p110-111 Assets'!D94-E467</f>
        <v>0.44999999925494194</v>
      </c>
      <c r="F468" s="1956">
        <f>'FERC p110-111 Assets'!E94-F467</f>
        <v>-0.28999999910593033</v>
      </c>
    </row>
    <row r="469" spans="1:13" s="706" customFormat="1">
      <c r="A469" s="697" t="s">
        <v>922</v>
      </c>
      <c r="B469" s="719" t="s">
        <v>96</v>
      </c>
      <c r="C469" s="720" t="s">
        <v>924</v>
      </c>
      <c r="D469" s="697" t="s">
        <v>925</v>
      </c>
      <c r="E469" s="715">
        <f>E6</f>
        <v>45291</v>
      </c>
      <c r="F469" s="715">
        <f>F6</f>
        <v>44926</v>
      </c>
    </row>
    <row r="470" spans="1:13">
      <c r="A470" s="707">
        <v>190</v>
      </c>
      <c r="B470" s="1962">
        <v>19000001</v>
      </c>
      <c r="C470" s="1962"/>
      <c r="D470" s="1962" t="s">
        <v>2021</v>
      </c>
      <c r="E470" s="1961">
        <v>0</v>
      </c>
      <c r="F470" s="1961">
        <v>0</v>
      </c>
      <c r="G470" s="708">
        <f t="shared" ref="G470:G501" si="24">IF(MID(B470,8,1)="1",0,IF(MID(B470,8,1)="2",E470,E470*$F$3))</f>
        <v>0</v>
      </c>
      <c r="H470" s="708">
        <f t="shared" ref="H470:H501" si="25">E470-G470</f>
        <v>0</v>
      </c>
    </row>
    <row r="471" spans="1:13">
      <c r="A471" s="707">
        <v>190</v>
      </c>
      <c r="B471" s="1962">
        <v>19000003</v>
      </c>
      <c r="C471" s="1962" t="s">
        <v>2022</v>
      </c>
      <c r="D471" s="1962" t="s">
        <v>2023</v>
      </c>
      <c r="E471" s="1961">
        <v>1482116.54</v>
      </c>
      <c r="F471" s="1961">
        <v>1532797.39</v>
      </c>
      <c r="G471" s="708">
        <f t="shared" si="24"/>
        <v>508958.81459591945</v>
      </c>
      <c r="H471" s="708">
        <f t="shared" si="25"/>
        <v>973157.72540408059</v>
      </c>
    </row>
    <row r="472" spans="1:13">
      <c r="A472" s="707">
        <v>190</v>
      </c>
      <c r="B472" s="1962">
        <v>19000013</v>
      </c>
      <c r="C472" s="1962" t="s">
        <v>2022</v>
      </c>
      <c r="D472" s="1962" t="s">
        <v>2024</v>
      </c>
      <c r="E472" s="1961">
        <v>672678.53</v>
      </c>
      <c r="F472" s="1961">
        <v>699120.85</v>
      </c>
      <c r="G472" s="708">
        <f t="shared" si="24"/>
        <v>230997.80482371897</v>
      </c>
      <c r="H472" s="708">
        <f t="shared" si="25"/>
        <v>441680.72517628106</v>
      </c>
    </row>
    <row r="473" spans="1:13">
      <c r="A473" s="707">
        <v>190</v>
      </c>
      <c r="B473" s="1962">
        <v>19000032</v>
      </c>
      <c r="C473" s="1962"/>
      <c r="D473" s="1962" t="s">
        <v>2025</v>
      </c>
      <c r="E473" s="1961">
        <v>16504502.57</v>
      </c>
      <c r="F473" s="1961">
        <v>9514724.3399999999</v>
      </c>
      <c r="G473" s="708">
        <f t="shared" si="24"/>
        <v>16504502.57</v>
      </c>
      <c r="H473" s="708">
        <f t="shared" si="25"/>
        <v>0</v>
      </c>
    </row>
    <row r="474" spans="1:13">
      <c r="A474" s="707">
        <v>190</v>
      </c>
      <c r="B474" s="1962">
        <v>19000033</v>
      </c>
      <c r="C474" s="1962"/>
      <c r="D474" s="1962" t="s">
        <v>2026</v>
      </c>
      <c r="E474" s="1961">
        <v>0</v>
      </c>
      <c r="F474" s="1961">
        <v>0</v>
      </c>
      <c r="G474" s="708">
        <f t="shared" si="24"/>
        <v>0</v>
      </c>
      <c r="H474" s="708">
        <f t="shared" si="25"/>
        <v>0</v>
      </c>
    </row>
    <row r="475" spans="1:13">
      <c r="A475" s="707">
        <v>190</v>
      </c>
      <c r="B475" s="1962">
        <v>19000042</v>
      </c>
      <c r="C475" s="1962"/>
      <c r="D475" s="1962" t="s">
        <v>2027</v>
      </c>
      <c r="E475" s="1961">
        <v>3843968.88</v>
      </c>
      <c r="F475" s="1961">
        <v>2292044.9900000002</v>
      </c>
      <c r="G475" s="708">
        <f t="shared" si="24"/>
        <v>3843968.88</v>
      </c>
      <c r="H475" s="708">
        <f t="shared" si="25"/>
        <v>0</v>
      </c>
    </row>
    <row r="476" spans="1:13">
      <c r="A476" s="707">
        <v>190</v>
      </c>
      <c r="B476" s="1962">
        <v>19000043</v>
      </c>
      <c r="C476" s="1962"/>
      <c r="D476" s="1962" t="s">
        <v>2028</v>
      </c>
      <c r="E476" s="1961">
        <v>2821882.86</v>
      </c>
      <c r="F476" s="1961">
        <v>3069054.54</v>
      </c>
      <c r="G476" s="708">
        <f t="shared" si="24"/>
        <v>969034.5641471236</v>
      </c>
      <c r="H476" s="708">
        <f t="shared" si="25"/>
        <v>1852848.2958528763</v>
      </c>
    </row>
    <row r="477" spans="1:13">
      <c r="A477" s="707">
        <v>190</v>
      </c>
      <c r="B477" s="1962">
        <v>19000052</v>
      </c>
      <c r="C477" s="1962"/>
      <c r="D477" s="1962" t="s">
        <v>2029</v>
      </c>
      <c r="E477" s="1961">
        <v>0</v>
      </c>
      <c r="F477" s="1961">
        <v>60422251.880000003</v>
      </c>
      <c r="G477" s="708">
        <f t="shared" si="24"/>
        <v>0</v>
      </c>
      <c r="H477" s="708">
        <f t="shared" si="25"/>
        <v>0</v>
      </c>
    </row>
    <row r="478" spans="1:13">
      <c r="A478" s="707">
        <v>190</v>
      </c>
      <c r="B478" s="1962">
        <v>19000062</v>
      </c>
      <c r="C478" s="1962"/>
      <c r="D478" s="1962" t="s">
        <v>2030</v>
      </c>
      <c r="E478" s="1961">
        <v>0</v>
      </c>
      <c r="F478" s="1961">
        <v>0</v>
      </c>
      <c r="G478" s="708">
        <f t="shared" si="24"/>
        <v>0</v>
      </c>
      <c r="H478" s="708">
        <f t="shared" si="25"/>
        <v>0</v>
      </c>
      <c r="J478" s="546"/>
      <c r="K478" s="546"/>
      <c r="L478" s="546"/>
      <c r="M478" s="546"/>
    </row>
    <row r="479" spans="1:13">
      <c r="A479" s="707">
        <v>190</v>
      </c>
      <c r="B479" s="1962">
        <v>19000081</v>
      </c>
      <c r="C479" s="1962"/>
      <c r="D479" s="1962" t="s">
        <v>2031</v>
      </c>
      <c r="E479" s="1961">
        <v>22510877.079999998</v>
      </c>
      <c r="F479" s="1961">
        <v>16730185.08</v>
      </c>
      <c r="G479" s="708">
        <f t="shared" si="24"/>
        <v>0</v>
      </c>
      <c r="H479" s="708">
        <f t="shared" si="25"/>
        <v>22510877.079999998</v>
      </c>
      <c r="J479" s="546"/>
      <c r="K479" s="546"/>
      <c r="L479" s="546"/>
      <c r="M479" s="546"/>
    </row>
    <row r="480" spans="1:13">
      <c r="A480" s="707">
        <v>190</v>
      </c>
      <c r="B480" s="1962">
        <v>19000091</v>
      </c>
      <c r="C480" s="1962"/>
      <c r="D480" s="1962" t="s">
        <v>2032</v>
      </c>
      <c r="E480" s="1961">
        <v>4146274.25</v>
      </c>
      <c r="F480" s="1961">
        <v>1564958.32</v>
      </c>
      <c r="G480" s="708">
        <f t="shared" si="24"/>
        <v>0</v>
      </c>
      <c r="H480" s="708">
        <f t="shared" si="25"/>
        <v>4146274.25</v>
      </c>
      <c r="J480" s="546"/>
      <c r="K480" s="546"/>
      <c r="L480" s="546"/>
      <c r="M480" s="546"/>
    </row>
    <row r="481" spans="1:13">
      <c r="A481" s="707">
        <v>190</v>
      </c>
      <c r="B481" s="1962">
        <v>19000093</v>
      </c>
      <c r="C481" s="1962" t="s">
        <v>2022</v>
      </c>
      <c r="D481" s="1962" t="s">
        <v>2033</v>
      </c>
      <c r="E481" s="1961">
        <v>4002218.13</v>
      </c>
      <c r="F481" s="1961">
        <v>3780036.65</v>
      </c>
      <c r="G481" s="708">
        <f t="shared" si="24"/>
        <v>1374361.6916920024</v>
      </c>
      <c r="H481" s="708">
        <f t="shared" si="25"/>
        <v>2627856.4383079978</v>
      </c>
      <c r="J481" s="546"/>
      <c r="K481" s="546"/>
      <c r="L481" s="546"/>
      <c r="M481" s="546"/>
    </row>
    <row r="482" spans="1:13">
      <c r="A482" s="707">
        <v>190</v>
      </c>
      <c r="B482" s="1962">
        <v>19000103</v>
      </c>
      <c r="C482" s="1962"/>
      <c r="D482" s="1962" t="s">
        <v>2034</v>
      </c>
      <c r="E482" s="1961">
        <v>968279.44</v>
      </c>
      <c r="F482" s="1961">
        <v>1042343.83</v>
      </c>
      <c r="G482" s="708">
        <f t="shared" si="24"/>
        <v>332507.15627261042</v>
      </c>
      <c r="H482" s="708">
        <f t="shared" si="25"/>
        <v>635772.28372738953</v>
      </c>
      <c r="J482" s="546"/>
      <c r="K482" s="546"/>
      <c r="L482" s="546"/>
      <c r="M482" s="546"/>
    </row>
    <row r="483" spans="1:13">
      <c r="A483" s="707">
        <v>190</v>
      </c>
      <c r="B483" s="1962">
        <v>19000111</v>
      </c>
      <c r="C483" s="1962"/>
      <c r="D483" s="1962" t="s">
        <v>2035</v>
      </c>
      <c r="E483" s="1961">
        <v>281762.46000000002</v>
      </c>
      <c r="F483" s="1961">
        <v>401361.68</v>
      </c>
      <c r="G483" s="708">
        <f t="shared" si="24"/>
        <v>0</v>
      </c>
      <c r="H483" s="708">
        <f t="shared" si="25"/>
        <v>281762.46000000002</v>
      </c>
      <c r="J483" s="546"/>
      <c r="K483" s="546"/>
      <c r="L483" s="546"/>
      <c r="M483" s="546"/>
    </row>
    <row r="484" spans="1:13">
      <c r="A484" s="707">
        <v>190</v>
      </c>
      <c r="B484" s="1962">
        <v>19000112</v>
      </c>
      <c r="C484" s="1962"/>
      <c r="D484" s="1962" t="s">
        <v>2036</v>
      </c>
      <c r="E484" s="1961">
        <v>0</v>
      </c>
      <c r="F484" s="1961">
        <v>0</v>
      </c>
      <c r="G484" s="708">
        <f t="shared" si="24"/>
        <v>0</v>
      </c>
      <c r="H484" s="708">
        <f t="shared" si="25"/>
        <v>0</v>
      </c>
      <c r="J484" s="546"/>
      <c r="K484" s="546"/>
      <c r="L484" s="546"/>
      <c r="M484" s="546"/>
    </row>
    <row r="485" spans="1:13">
      <c r="A485" s="707">
        <v>190</v>
      </c>
      <c r="B485" s="1962">
        <v>19000113</v>
      </c>
      <c r="C485" s="1962"/>
      <c r="D485" s="1962" t="s">
        <v>2037</v>
      </c>
      <c r="E485" s="1961">
        <v>18584.7</v>
      </c>
      <c r="F485" s="1961">
        <v>38859.39</v>
      </c>
      <c r="G485" s="708">
        <f t="shared" si="24"/>
        <v>6381.9859142930718</v>
      </c>
      <c r="H485" s="708">
        <f t="shared" si="25"/>
        <v>12202.714085706928</v>
      </c>
      <c r="J485" s="546"/>
      <c r="K485" s="546"/>
      <c r="L485" s="546"/>
      <c r="M485" s="546"/>
    </row>
    <row r="486" spans="1:13">
      <c r="A486" s="707">
        <v>190</v>
      </c>
      <c r="B486" s="1962">
        <v>19000122</v>
      </c>
      <c r="C486" s="1962"/>
      <c r="D486" s="1962" t="s">
        <v>2038</v>
      </c>
      <c r="E486" s="1961">
        <v>-807899.11</v>
      </c>
      <c r="F486" s="1961">
        <v>-1202153.8999999999</v>
      </c>
      <c r="G486" s="708">
        <f t="shared" si="24"/>
        <v>-807899.11</v>
      </c>
      <c r="H486" s="708">
        <f t="shared" si="25"/>
        <v>0</v>
      </c>
      <c r="J486" s="546"/>
      <c r="K486" s="546"/>
      <c r="L486" s="546"/>
      <c r="M486" s="546"/>
    </row>
    <row r="487" spans="1:13">
      <c r="A487" s="707">
        <v>190</v>
      </c>
      <c r="B487" s="1978">
        <v>19000132</v>
      </c>
      <c r="C487" s="1978"/>
      <c r="D487" s="1978" t="s">
        <v>2039</v>
      </c>
      <c r="E487" s="1963">
        <f>299392151.05+J497</f>
        <v>93036057.050000012</v>
      </c>
      <c r="F487" s="1963">
        <f>305375579.17-F657-J492</f>
        <v>95237195.133006066</v>
      </c>
      <c r="G487" s="708">
        <f t="shared" si="24"/>
        <v>93036057.050000012</v>
      </c>
      <c r="H487" s="708">
        <f t="shared" si="25"/>
        <v>0</v>
      </c>
      <c r="J487" s="546"/>
      <c r="K487" s="546"/>
      <c r="L487" s="546"/>
      <c r="M487" s="546"/>
    </row>
    <row r="488" spans="1:13">
      <c r="A488" s="707">
        <v>190</v>
      </c>
      <c r="B488" s="1962">
        <v>19000133</v>
      </c>
      <c r="C488" s="1962" t="s">
        <v>2022</v>
      </c>
      <c r="D488" s="1962" t="s">
        <v>2040</v>
      </c>
      <c r="E488" s="1961">
        <v>6417596.7800000003</v>
      </c>
      <c r="F488" s="1961">
        <v>6759084.4699999997</v>
      </c>
      <c r="G488" s="708">
        <f t="shared" si="24"/>
        <v>2203802.7115623374</v>
      </c>
      <c r="H488" s="708">
        <f t="shared" si="25"/>
        <v>4213794.0684376629</v>
      </c>
      <c r="J488" s="546"/>
      <c r="K488" s="546"/>
      <c r="L488" s="546"/>
      <c r="M488" s="546"/>
    </row>
    <row r="489" spans="1:13" ht="12" thickBot="1">
      <c r="A489" s="707">
        <v>190</v>
      </c>
      <c r="B489" s="1962">
        <v>19000142</v>
      </c>
      <c r="C489" s="1962"/>
      <c r="D489" s="1962" t="s">
        <v>2041</v>
      </c>
      <c r="E489" s="1961">
        <v>0</v>
      </c>
      <c r="F489" s="1961">
        <v>0</v>
      </c>
      <c r="G489" s="708">
        <f t="shared" si="24"/>
        <v>0</v>
      </c>
      <c r="H489" s="708">
        <f t="shared" si="25"/>
        <v>0</v>
      </c>
    </row>
    <row r="490" spans="1:13">
      <c r="A490" s="707">
        <v>190</v>
      </c>
      <c r="B490" s="1962">
        <v>19000151</v>
      </c>
      <c r="C490" s="1962"/>
      <c r="D490" s="1962" t="s">
        <v>2042</v>
      </c>
      <c r="E490" s="1961">
        <v>0</v>
      </c>
      <c r="F490" s="1961">
        <v>0</v>
      </c>
      <c r="G490" s="708">
        <f t="shared" si="24"/>
        <v>0</v>
      </c>
      <c r="H490" s="708">
        <f t="shared" si="25"/>
        <v>0</v>
      </c>
      <c r="J490" s="1996" t="s">
        <v>2043</v>
      </c>
      <c r="K490" s="1983"/>
      <c r="L490" s="1983"/>
      <c r="M490" s="1984"/>
    </row>
    <row r="491" spans="1:13">
      <c r="A491" s="707">
        <v>190</v>
      </c>
      <c r="B491" s="1962">
        <v>19000152</v>
      </c>
      <c r="C491" s="1962"/>
      <c r="D491" s="1962" t="s">
        <v>2044</v>
      </c>
      <c r="E491" s="1961">
        <v>-0.27</v>
      </c>
      <c r="F491" s="1961">
        <v>-989488.5</v>
      </c>
      <c r="G491" s="708">
        <f t="shared" si="24"/>
        <v>-0.27</v>
      </c>
      <c r="H491" s="708">
        <f t="shared" si="25"/>
        <v>0</v>
      </c>
      <c r="J491" s="1997">
        <v>-1138486</v>
      </c>
      <c r="K491" s="1986" t="s">
        <v>510</v>
      </c>
      <c r="L491" s="1987">
        <v>28200181</v>
      </c>
      <c r="M491" s="1988">
        <v>19000891</v>
      </c>
    </row>
    <row r="492" spans="1:13">
      <c r="A492" s="1954">
        <v>190</v>
      </c>
      <c r="B492" s="1960">
        <v>19000162</v>
      </c>
      <c r="C492" s="1960"/>
      <c r="D492" s="1960" t="s">
        <v>2045</v>
      </c>
      <c r="E492" s="1959">
        <v>2814084.23</v>
      </c>
      <c r="F492" s="1959">
        <v>1431316.13</v>
      </c>
      <c r="G492" s="722">
        <f t="shared" si="24"/>
        <v>2814084.23</v>
      </c>
      <c r="H492" s="722">
        <f t="shared" si="25"/>
        <v>0</v>
      </c>
      <c r="I492" s="1955" t="s">
        <v>973</v>
      </c>
      <c r="J492" s="1997">
        <v>-479902</v>
      </c>
      <c r="K492" s="1986" t="s">
        <v>894</v>
      </c>
      <c r="L492" s="1987">
        <v>28200182</v>
      </c>
      <c r="M492" s="1988">
        <v>19000132</v>
      </c>
    </row>
    <row r="493" spans="1:13" ht="12" thickBot="1">
      <c r="A493" s="707">
        <v>190</v>
      </c>
      <c r="B493" s="1962">
        <v>19000181</v>
      </c>
      <c r="C493" s="1962"/>
      <c r="D493" s="1962" t="s">
        <v>2046</v>
      </c>
      <c r="E493" s="1961">
        <v>-76919.25</v>
      </c>
      <c r="F493" s="1961">
        <v>-167540.46</v>
      </c>
      <c r="G493" s="708">
        <f t="shared" si="24"/>
        <v>0</v>
      </c>
      <c r="H493" s="708">
        <f t="shared" si="25"/>
        <v>-76919.25</v>
      </c>
      <c r="J493" s="1998">
        <f>SUM(J491:J492)</f>
        <v>-1618388</v>
      </c>
      <c r="K493" s="1999"/>
      <c r="L493" s="1999"/>
      <c r="M493" s="1995"/>
    </row>
    <row r="494" spans="1:13" ht="12" thickBot="1">
      <c r="A494" s="707">
        <v>190</v>
      </c>
      <c r="B494" s="1962">
        <v>19000183</v>
      </c>
      <c r="C494" s="1962"/>
      <c r="D494" s="1962" t="s">
        <v>2047</v>
      </c>
      <c r="E494" s="1961">
        <v>0</v>
      </c>
      <c r="F494" s="1961">
        <v>0</v>
      </c>
      <c r="G494" s="708">
        <f t="shared" si="24"/>
        <v>0</v>
      </c>
      <c r="H494" s="708">
        <f t="shared" si="25"/>
        <v>0</v>
      </c>
    </row>
    <row r="495" spans="1:13">
      <c r="A495" s="707">
        <v>190</v>
      </c>
      <c r="B495" s="1962">
        <v>19000193</v>
      </c>
      <c r="C495" s="1962"/>
      <c r="D495" s="1962" t="s">
        <v>2048</v>
      </c>
      <c r="E495" s="1961">
        <v>0</v>
      </c>
      <c r="F495" s="1961">
        <v>0</v>
      </c>
      <c r="G495" s="708">
        <f t="shared" si="24"/>
        <v>0</v>
      </c>
      <c r="H495" s="708">
        <f t="shared" si="25"/>
        <v>0</v>
      </c>
      <c r="J495" s="1996" t="s">
        <v>8088</v>
      </c>
      <c r="K495" s="1983"/>
      <c r="L495" s="1983"/>
      <c r="M495" s="1984"/>
    </row>
    <row r="496" spans="1:13">
      <c r="A496" s="707">
        <v>190</v>
      </c>
      <c r="B496" s="1962">
        <v>19000213</v>
      </c>
      <c r="C496" s="1962"/>
      <c r="D496" s="1962" t="s">
        <v>2049</v>
      </c>
      <c r="E496" s="1961">
        <v>-99701.8</v>
      </c>
      <c r="F496" s="1961">
        <v>-129103.3</v>
      </c>
      <c r="G496" s="708">
        <f t="shared" si="24"/>
        <v>-34237.597767500418</v>
      </c>
      <c r="H496" s="708">
        <f t="shared" si="25"/>
        <v>-65464.202232499585</v>
      </c>
      <c r="J496" s="1997">
        <v>-441461247</v>
      </c>
      <c r="K496" s="1986" t="s">
        <v>510</v>
      </c>
      <c r="L496" s="1987">
        <v>28200181</v>
      </c>
      <c r="M496" s="1988">
        <v>19000891</v>
      </c>
    </row>
    <row r="497" spans="1:13">
      <c r="A497" s="707">
        <v>190</v>
      </c>
      <c r="B497" s="1962">
        <v>19000251</v>
      </c>
      <c r="C497" s="1962"/>
      <c r="D497" s="1962" t="s">
        <v>2050</v>
      </c>
      <c r="E497" s="1961">
        <v>0</v>
      </c>
      <c r="F497" s="1961">
        <v>0</v>
      </c>
      <c r="G497" s="708">
        <f t="shared" si="24"/>
        <v>0</v>
      </c>
      <c r="H497" s="708">
        <f t="shared" si="25"/>
        <v>0</v>
      </c>
      <c r="J497" s="1997">
        <v>-206356094</v>
      </c>
      <c r="K497" s="1986" t="s">
        <v>894</v>
      </c>
      <c r="L497" s="1987">
        <v>28200182</v>
      </c>
      <c r="M497" s="1988">
        <v>19000132</v>
      </c>
    </row>
    <row r="498" spans="1:13" ht="12" thickBot="1">
      <c r="A498" s="707">
        <v>190</v>
      </c>
      <c r="B498" s="1962">
        <v>19000253</v>
      </c>
      <c r="C498" s="1962"/>
      <c r="D498" s="1962" t="s">
        <v>2051</v>
      </c>
      <c r="E498" s="1961">
        <v>0</v>
      </c>
      <c r="F498" s="1961">
        <v>0</v>
      </c>
      <c r="G498" s="708">
        <f t="shared" si="24"/>
        <v>0</v>
      </c>
      <c r="H498" s="708">
        <f t="shared" si="25"/>
        <v>0</v>
      </c>
      <c r="J498" s="1998">
        <f>SUM(J496:J497)</f>
        <v>-647817341</v>
      </c>
      <c r="K498" s="1999"/>
      <c r="L498" s="1999"/>
      <c r="M498" s="1995"/>
    </row>
    <row r="499" spans="1:13" ht="12" thickBot="1">
      <c r="A499" s="707">
        <v>190</v>
      </c>
      <c r="B499" s="1962">
        <v>19000263</v>
      </c>
      <c r="C499" s="1962"/>
      <c r="D499" s="1962" t="s">
        <v>2052</v>
      </c>
      <c r="E499" s="1961">
        <v>-2160835.73</v>
      </c>
      <c r="F499" s="1961">
        <v>-1874897.63</v>
      </c>
      <c r="G499" s="708">
        <f t="shared" si="24"/>
        <v>-742030.98204228142</v>
      </c>
      <c r="H499" s="708">
        <f t="shared" si="25"/>
        <v>-1418804.7479577186</v>
      </c>
    </row>
    <row r="500" spans="1:13">
      <c r="A500" s="707">
        <v>190</v>
      </c>
      <c r="B500" s="1962">
        <v>19000273</v>
      </c>
      <c r="C500" s="1962" t="s">
        <v>968</v>
      </c>
      <c r="D500" s="1962" t="s">
        <v>2053</v>
      </c>
      <c r="E500" s="1961">
        <v>-0.01</v>
      </c>
      <c r="F500" s="1961">
        <v>-0.01</v>
      </c>
      <c r="G500" s="708">
        <f t="shared" si="24"/>
        <v>-3.4339999646446117E-3</v>
      </c>
      <c r="H500" s="708">
        <f t="shared" si="25"/>
        <v>-6.5660000353553885E-3</v>
      </c>
      <c r="J500" s="1996" t="s">
        <v>8351</v>
      </c>
      <c r="K500" s="1983"/>
      <c r="L500" s="1983"/>
      <c r="M500" s="1984"/>
    </row>
    <row r="501" spans="1:13">
      <c r="A501" s="707">
        <v>190</v>
      </c>
      <c r="B501" s="1978">
        <v>19000283</v>
      </c>
      <c r="C501" s="1978"/>
      <c r="D501" s="1978" t="s">
        <v>2054</v>
      </c>
      <c r="E501" s="1963">
        <f>2643039.27+J505</f>
        <v>3114009.21</v>
      </c>
      <c r="F501" s="1961">
        <v>2936708.64</v>
      </c>
      <c r="G501" s="708">
        <f t="shared" si="24"/>
        <v>1069350.7517042996</v>
      </c>
      <c r="H501" s="708">
        <f t="shared" si="25"/>
        <v>2044658.4582957004</v>
      </c>
      <c r="J501" s="1997">
        <v>-2242714</v>
      </c>
      <c r="K501" s="1986" t="s">
        <v>510</v>
      </c>
      <c r="L501" s="1987">
        <v>25300293</v>
      </c>
      <c r="M501" s="1988"/>
    </row>
    <row r="502" spans="1:13">
      <c r="A502" s="707">
        <v>190</v>
      </c>
      <c r="B502" s="1962">
        <v>19000361</v>
      </c>
      <c r="C502" s="1962"/>
      <c r="D502" s="1962" t="s">
        <v>2055</v>
      </c>
      <c r="E502" s="1961">
        <v>0</v>
      </c>
      <c r="F502" s="1961">
        <v>95662</v>
      </c>
      <c r="G502" s="708">
        <f t="shared" ref="G502:G533" si="26">IF(MID(B502,8,1)="1",0,IF(MID(B502,8,1)="2",E502,E502*$F$3))</f>
        <v>0</v>
      </c>
      <c r="H502" s="708">
        <f t="shared" ref="H502:H533" si="27">E502-G502</f>
        <v>0</v>
      </c>
      <c r="J502" s="1997">
        <f>-J501</f>
        <v>2242714</v>
      </c>
      <c r="K502" s="1986" t="s">
        <v>510</v>
      </c>
      <c r="L502" s="1987">
        <v>41710255</v>
      </c>
      <c r="M502" s="1988"/>
    </row>
    <row r="503" spans="1:13">
      <c r="A503" s="707">
        <v>190</v>
      </c>
      <c r="B503" s="1962">
        <v>19000371</v>
      </c>
      <c r="C503" s="1962"/>
      <c r="D503" s="1962" t="s">
        <v>2056</v>
      </c>
      <c r="E503" s="1961">
        <v>23191.68</v>
      </c>
      <c r="F503" s="1961">
        <v>23191.68</v>
      </c>
      <c r="G503" s="708">
        <f t="shared" si="26"/>
        <v>0</v>
      </c>
      <c r="H503" s="708">
        <f t="shared" si="27"/>
        <v>23191.68</v>
      </c>
      <c r="J503" s="2000">
        <f>SUM(J501:J502)</f>
        <v>0</v>
      </c>
      <c r="K503" s="1990"/>
      <c r="L503" s="1990"/>
      <c r="M503" s="1988"/>
    </row>
    <row r="504" spans="1:13">
      <c r="A504" s="707">
        <v>190</v>
      </c>
      <c r="B504" s="1962">
        <v>19000393</v>
      </c>
      <c r="C504" s="1962"/>
      <c r="D504" s="1962" t="s">
        <v>2057</v>
      </c>
      <c r="E504" s="1961">
        <v>0</v>
      </c>
      <c r="F504" s="1961">
        <v>0</v>
      </c>
      <c r="G504" s="708">
        <f t="shared" si="26"/>
        <v>0</v>
      </c>
      <c r="H504" s="708">
        <f t="shared" si="27"/>
        <v>0</v>
      </c>
      <c r="J504" s="2001"/>
      <c r="K504" s="1987"/>
      <c r="L504" s="2002"/>
      <c r="M504" s="2003"/>
    </row>
    <row r="505" spans="1:13">
      <c r="A505" s="707">
        <v>190</v>
      </c>
      <c r="B505" s="1962">
        <v>19000403</v>
      </c>
      <c r="C505" s="1962"/>
      <c r="D505" s="1962" t="s">
        <v>2058</v>
      </c>
      <c r="E505" s="1961">
        <v>57123.66</v>
      </c>
      <c r="F505" s="1961">
        <v>61601.7</v>
      </c>
      <c r="G505" s="708">
        <f t="shared" si="26"/>
        <v>19616.264642037084</v>
      </c>
      <c r="H505" s="708">
        <f t="shared" si="27"/>
        <v>37507.395357962916</v>
      </c>
      <c r="J505" s="1997">
        <v>470969.94</v>
      </c>
      <c r="K505" s="1986" t="s">
        <v>510</v>
      </c>
      <c r="L505" s="1987">
        <v>19000283</v>
      </c>
      <c r="M505" s="1988"/>
    </row>
    <row r="506" spans="1:13">
      <c r="A506" s="707">
        <v>190</v>
      </c>
      <c r="B506" s="1962">
        <v>19000413</v>
      </c>
      <c r="C506" s="1962"/>
      <c r="D506" s="1962" t="s">
        <v>2059</v>
      </c>
      <c r="E506" s="1961">
        <v>0</v>
      </c>
      <c r="F506" s="1961">
        <v>0</v>
      </c>
      <c r="G506" s="708">
        <f t="shared" si="26"/>
        <v>0</v>
      </c>
      <c r="H506" s="708">
        <f t="shared" si="27"/>
        <v>0</v>
      </c>
      <c r="J506" s="1997">
        <v>-470969.94</v>
      </c>
      <c r="K506" s="1986" t="s">
        <v>510</v>
      </c>
      <c r="L506" s="1987">
        <v>41020601</v>
      </c>
      <c r="M506" s="1988"/>
    </row>
    <row r="507" spans="1:13" ht="12" thickBot="1">
      <c r="A507" s="707">
        <v>190</v>
      </c>
      <c r="B507" s="1962">
        <v>19000433</v>
      </c>
      <c r="C507" s="1962"/>
      <c r="D507" s="1962" t="s">
        <v>2060</v>
      </c>
      <c r="E507" s="1961">
        <v>0</v>
      </c>
      <c r="F507" s="1961">
        <v>0</v>
      </c>
      <c r="G507" s="708">
        <f t="shared" si="26"/>
        <v>0</v>
      </c>
      <c r="H507" s="708">
        <f t="shared" si="27"/>
        <v>0</v>
      </c>
      <c r="J507" s="1998">
        <f>SUM(J505:J506)</f>
        <v>0</v>
      </c>
      <c r="K507" s="1994"/>
      <c r="L507" s="1994"/>
      <c r="M507" s="1995"/>
    </row>
    <row r="508" spans="1:13">
      <c r="A508" s="707">
        <v>190</v>
      </c>
      <c r="B508" s="1962">
        <v>19000441</v>
      </c>
      <c r="C508" s="1962"/>
      <c r="D508" s="1962" t="s">
        <v>2061</v>
      </c>
      <c r="E508" s="1961">
        <v>1924190.79</v>
      </c>
      <c r="F508" s="1961">
        <v>1773619.53</v>
      </c>
      <c r="G508" s="708">
        <f t="shared" si="26"/>
        <v>0</v>
      </c>
      <c r="H508" s="708">
        <f t="shared" si="27"/>
        <v>1924190.79</v>
      </c>
    </row>
    <row r="509" spans="1:13">
      <c r="A509" s="707">
        <v>190</v>
      </c>
      <c r="B509" s="1962">
        <v>19000443</v>
      </c>
      <c r="C509" s="1962"/>
      <c r="D509" s="1962" t="s">
        <v>2062</v>
      </c>
      <c r="E509" s="1961">
        <v>17560439.82</v>
      </c>
      <c r="F509" s="1961">
        <v>26201153.16</v>
      </c>
      <c r="G509" s="708">
        <f t="shared" si="26"/>
        <v>6030254.9721023832</v>
      </c>
      <c r="H509" s="708">
        <f t="shared" si="27"/>
        <v>11530184.847897617</v>
      </c>
    </row>
    <row r="510" spans="1:13">
      <c r="A510" s="707">
        <v>190</v>
      </c>
      <c r="B510" s="1962">
        <v>19000453</v>
      </c>
      <c r="C510" s="1962"/>
      <c r="D510" s="1962" t="s">
        <v>2063</v>
      </c>
      <c r="E510" s="1961">
        <v>-490777.98</v>
      </c>
      <c r="F510" s="1961">
        <v>280504.34999999998</v>
      </c>
      <c r="G510" s="708">
        <f t="shared" si="26"/>
        <v>-168533.15659683538</v>
      </c>
      <c r="H510" s="708">
        <f t="shared" si="27"/>
        <v>-322244.82340316463</v>
      </c>
    </row>
    <row r="511" spans="1:13">
      <c r="A511" s="707">
        <v>190</v>
      </c>
      <c r="B511" s="1962">
        <v>19000463</v>
      </c>
      <c r="C511" s="1962"/>
      <c r="D511" s="1962" t="s">
        <v>2064</v>
      </c>
      <c r="E511" s="1961">
        <v>-228899.93</v>
      </c>
      <c r="F511" s="1961">
        <v>-205799.93</v>
      </c>
      <c r="G511" s="708">
        <f t="shared" si="26"/>
        <v>-78604.23515271541</v>
      </c>
      <c r="H511" s="708">
        <f t="shared" si="27"/>
        <v>-150295.69484728458</v>
      </c>
    </row>
    <row r="512" spans="1:13">
      <c r="A512" s="707">
        <v>190</v>
      </c>
      <c r="B512" s="1962">
        <v>19000471</v>
      </c>
      <c r="C512" s="1962"/>
      <c r="D512" s="1962" t="s">
        <v>2065</v>
      </c>
      <c r="E512" s="1961">
        <v>0</v>
      </c>
      <c r="F512" s="1961">
        <v>0</v>
      </c>
      <c r="G512" s="708">
        <f t="shared" si="26"/>
        <v>0</v>
      </c>
      <c r="H512" s="708">
        <f t="shared" si="27"/>
        <v>0</v>
      </c>
    </row>
    <row r="513" spans="1:9">
      <c r="A513" s="707">
        <v>190</v>
      </c>
      <c r="B513" s="1962">
        <v>19000473</v>
      </c>
      <c r="C513" s="1962"/>
      <c r="D513" s="1962" t="s">
        <v>2066</v>
      </c>
      <c r="E513" s="1961">
        <v>0</v>
      </c>
      <c r="F513" s="1961">
        <v>0</v>
      </c>
      <c r="G513" s="708">
        <f t="shared" si="26"/>
        <v>0</v>
      </c>
      <c r="H513" s="708">
        <f t="shared" si="27"/>
        <v>0</v>
      </c>
    </row>
    <row r="514" spans="1:9">
      <c r="A514" s="707">
        <v>190</v>
      </c>
      <c r="B514" s="1962">
        <v>19000483</v>
      </c>
      <c r="C514" s="1962"/>
      <c r="D514" s="1962" t="s">
        <v>2067</v>
      </c>
      <c r="E514" s="1961">
        <v>0</v>
      </c>
      <c r="F514" s="1961">
        <v>0</v>
      </c>
      <c r="G514" s="708">
        <f t="shared" si="26"/>
        <v>0</v>
      </c>
      <c r="H514" s="708">
        <f t="shared" si="27"/>
        <v>0</v>
      </c>
    </row>
    <row r="515" spans="1:9">
      <c r="A515" s="707">
        <v>190</v>
      </c>
      <c r="B515" s="1962">
        <v>19000491</v>
      </c>
      <c r="C515" s="1962"/>
      <c r="D515" s="1962" t="s">
        <v>2068</v>
      </c>
      <c r="E515" s="1961">
        <v>624396.65</v>
      </c>
      <c r="F515" s="1961">
        <v>684069.33</v>
      </c>
      <c r="G515" s="708">
        <f t="shared" si="26"/>
        <v>0</v>
      </c>
      <c r="H515" s="708">
        <f t="shared" si="27"/>
        <v>624396.65</v>
      </c>
    </row>
    <row r="516" spans="1:9">
      <c r="A516" s="707">
        <v>190</v>
      </c>
      <c r="B516" s="1962">
        <v>19000551</v>
      </c>
      <c r="C516" s="1962"/>
      <c r="D516" s="1962" t="s">
        <v>2069</v>
      </c>
      <c r="E516" s="1961">
        <v>0</v>
      </c>
      <c r="F516" s="1961">
        <v>0</v>
      </c>
      <c r="G516" s="708">
        <f t="shared" si="26"/>
        <v>0</v>
      </c>
      <c r="H516" s="708">
        <f t="shared" si="27"/>
        <v>0</v>
      </c>
    </row>
    <row r="517" spans="1:9">
      <c r="A517" s="707">
        <v>190</v>
      </c>
      <c r="B517" s="1962">
        <v>19000552</v>
      </c>
      <c r="C517" s="1962"/>
      <c r="D517" s="1962" t="s">
        <v>2070</v>
      </c>
      <c r="E517" s="1961">
        <v>1234220.96</v>
      </c>
      <c r="F517" s="1961">
        <v>1507538.68</v>
      </c>
      <c r="G517" s="708">
        <f t="shared" si="26"/>
        <v>1234220.96</v>
      </c>
      <c r="H517" s="708">
        <f t="shared" si="27"/>
        <v>0</v>
      </c>
    </row>
    <row r="518" spans="1:9">
      <c r="A518" s="707">
        <v>190</v>
      </c>
      <c r="B518" s="1962">
        <v>19000553</v>
      </c>
      <c r="C518" s="1962"/>
      <c r="D518" s="1962" t="s">
        <v>2071</v>
      </c>
      <c r="E518" s="1961">
        <v>0</v>
      </c>
      <c r="F518" s="1961">
        <v>0</v>
      </c>
      <c r="G518" s="708">
        <f t="shared" si="26"/>
        <v>0</v>
      </c>
      <c r="H518" s="708">
        <f t="shared" si="27"/>
        <v>0</v>
      </c>
    </row>
    <row r="519" spans="1:9">
      <c r="A519" s="707">
        <v>190</v>
      </c>
      <c r="B519" s="1962">
        <v>19000562</v>
      </c>
      <c r="C519" s="1962"/>
      <c r="D519" s="1962" t="s">
        <v>2072</v>
      </c>
      <c r="E519" s="1961">
        <v>1172064.32</v>
      </c>
      <c r="F519" s="1961">
        <v>1101214.33</v>
      </c>
      <c r="G519" s="708">
        <f t="shared" si="26"/>
        <v>1172064.32</v>
      </c>
      <c r="H519" s="708">
        <f t="shared" si="27"/>
        <v>0</v>
      </c>
    </row>
    <row r="520" spans="1:9">
      <c r="A520" s="707">
        <v>190</v>
      </c>
      <c r="B520" s="1962">
        <v>19000563</v>
      </c>
      <c r="C520" s="1962"/>
      <c r="D520" s="1962" t="s">
        <v>2073</v>
      </c>
      <c r="E520" s="1961">
        <v>0</v>
      </c>
      <c r="F520" s="1961">
        <v>0</v>
      </c>
      <c r="G520" s="708">
        <f t="shared" si="26"/>
        <v>0</v>
      </c>
      <c r="H520" s="708">
        <f t="shared" si="27"/>
        <v>0</v>
      </c>
    </row>
    <row r="521" spans="1:9">
      <c r="A521" s="707">
        <v>190</v>
      </c>
      <c r="B521" s="1962">
        <v>19000571</v>
      </c>
      <c r="C521" s="1962"/>
      <c r="D521" s="1962" t="s">
        <v>2074</v>
      </c>
      <c r="E521" s="1961">
        <v>0</v>
      </c>
      <c r="F521" s="1961">
        <v>0</v>
      </c>
      <c r="G521" s="708">
        <f t="shared" si="26"/>
        <v>0</v>
      </c>
      <c r="H521" s="708">
        <f t="shared" si="27"/>
        <v>0</v>
      </c>
    </row>
    <row r="522" spans="1:9">
      <c r="A522" s="707">
        <v>190</v>
      </c>
      <c r="B522" s="1962">
        <v>19000572</v>
      </c>
      <c r="C522" s="1962"/>
      <c r="D522" s="1962" t="s">
        <v>2075</v>
      </c>
      <c r="E522" s="1961">
        <v>374671.37</v>
      </c>
      <c r="F522" s="1961">
        <v>430106.12</v>
      </c>
      <c r="G522" s="708">
        <f t="shared" si="26"/>
        <v>374671.37</v>
      </c>
      <c r="H522" s="708">
        <f t="shared" si="27"/>
        <v>0</v>
      </c>
    </row>
    <row r="523" spans="1:9">
      <c r="A523" s="707">
        <v>190</v>
      </c>
      <c r="B523" s="1962">
        <v>19000573</v>
      </c>
      <c r="C523" s="1962"/>
      <c r="D523" s="1962" t="s">
        <v>2076</v>
      </c>
      <c r="E523" s="1961">
        <v>2341063.23</v>
      </c>
      <c r="F523" s="1961">
        <v>2733537.75</v>
      </c>
      <c r="G523" s="708">
        <f t="shared" si="26"/>
        <v>803921.10490508005</v>
      </c>
      <c r="H523" s="708">
        <f t="shared" si="27"/>
        <v>1537142.1250949199</v>
      </c>
    </row>
    <row r="524" spans="1:9">
      <c r="A524" s="707">
        <v>190</v>
      </c>
      <c r="B524" s="1962">
        <v>19000581</v>
      </c>
      <c r="C524" s="1962"/>
      <c r="D524" s="1962" t="s">
        <v>2077</v>
      </c>
      <c r="E524" s="1961">
        <v>235855.11</v>
      </c>
      <c r="F524" s="1961">
        <v>421647.05</v>
      </c>
      <c r="G524" s="708">
        <f t="shared" si="26"/>
        <v>0</v>
      </c>
      <c r="H524" s="708">
        <f t="shared" si="27"/>
        <v>235855.11</v>
      </c>
    </row>
    <row r="525" spans="1:9">
      <c r="A525" s="707">
        <v>190</v>
      </c>
      <c r="B525" s="1962">
        <v>19000591</v>
      </c>
      <c r="C525" s="1962"/>
      <c r="D525" s="1962" t="s">
        <v>2079</v>
      </c>
      <c r="E525" s="1961">
        <v>0</v>
      </c>
      <c r="F525" s="1961">
        <v>0</v>
      </c>
      <c r="G525" s="708">
        <f t="shared" si="26"/>
        <v>0</v>
      </c>
      <c r="H525" s="708">
        <f t="shared" si="27"/>
        <v>0</v>
      </c>
    </row>
    <row r="526" spans="1:9">
      <c r="A526" s="707">
        <v>190</v>
      </c>
      <c r="B526" s="1962">
        <v>19000592</v>
      </c>
      <c r="C526" s="1962"/>
      <c r="D526" s="1962" t="s">
        <v>2078</v>
      </c>
      <c r="E526" s="1961">
        <v>712034.04</v>
      </c>
      <c r="F526" s="1961">
        <v>590732.16</v>
      </c>
      <c r="G526" s="708">
        <f t="shared" si="26"/>
        <v>712034.04</v>
      </c>
      <c r="H526" s="708">
        <f t="shared" si="27"/>
        <v>0</v>
      </c>
    </row>
    <row r="527" spans="1:9">
      <c r="A527" s="1954">
        <v>190</v>
      </c>
      <c r="B527" s="1960">
        <v>19000601</v>
      </c>
      <c r="C527" s="1960"/>
      <c r="D527" s="1960" t="s">
        <v>6765</v>
      </c>
      <c r="E527" s="1959">
        <v>-4767</v>
      </c>
      <c r="F527" s="1959">
        <v>0</v>
      </c>
      <c r="G527" s="722">
        <f t="shared" si="26"/>
        <v>0</v>
      </c>
      <c r="H527" s="722">
        <f t="shared" si="27"/>
        <v>-4767</v>
      </c>
      <c r="I527" s="1955" t="s">
        <v>973</v>
      </c>
    </row>
    <row r="528" spans="1:9">
      <c r="A528" s="707">
        <v>190</v>
      </c>
      <c r="B528" s="1962">
        <v>19000603</v>
      </c>
      <c r="C528" s="1962"/>
      <c r="D528" s="1962" t="s">
        <v>2080</v>
      </c>
      <c r="E528" s="1961">
        <v>0</v>
      </c>
      <c r="F528" s="1961">
        <v>0</v>
      </c>
      <c r="G528" s="708">
        <f t="shared" si="26"/>
        <v>0</v>
      </c>
      <c r="H528" s="708">
        <f t="shared" si="27"/>
        <v>0</v>
      </c>
    </row>
    <row r="529" spans="1:8">
      <c r="A529" s="707">
        <v>190</v>
      </c>
      <c r="B529" s="1962">
        <v>19000611</v>
      </c>
      <c r="C529" s="1962"/>
      <c r="D529" s="1962" t="s">
        <v>2081</v>
      </c>
      <c r="E529" s="1961">
        <v>0</v>
      </c>
      <c r="F529" s="1961">
        <v>0</v>
      </c>
      <c r="G529" s="708">
        <f t="shared" si="26"/>
        <v>0</v>
      </c>
      <c r="H529" s="708">
        <f t="shared" si="27"/>
        <v>0</v>
      </c>
    </row>
    <row r="530" spans="1:8">
      <c r="A530" s="707">
        <v>190</v>
      </c>
      <c r="B530" s="1962">
        <v>19000621</v>
      </c>
      <c r="C530" s="1962"/>
      <c r="D530" s="1962" t="s">
        <v>2082</v>
      </c>
      <c r="E530" s="1961">
        <v>0</v>
      </c>
      <c r="F530" s="1961">
        <v>0</v>
      </c>
      <c r="G530" s="708">
        <f t="shared" si="26"/>
        <v>0</v>
      </c>
      <c r="H530" s="708">
        <f t="shared" si="27"/>
        <v>0</v>
      </c>
    </row>
    <row r="531" spans="1:8">
      <c r="A531" s="707">
        <v>190</v>
      </c>
      <c r="B531" s="1962">
        <v>19000631</v>
      </c>
      <c r="C531" s="1962"/>
      <c r="D531" s="1962" t="s">
        <v>2083</v>
      </c>
      <c r="E531" s="1961">
        <v>0</v>
      </c>
      <c r="F531" s="1961">
        <v>0</v>
      </c>
      <c r="G531" s="708">
        <f t="shared" si="26"/>
        <v>0</v>
      </c>
      <c r="H531" s="708">
        <f t="shared" si="27"/>
        <v>0</v>
      </c>
    </row>
    <row r="532" spans="1:8">
      <c r="A532" s="707">
        <v>190</v>
      </c>
      <c r="B532" s="1962">
        <v>19000641</v>
      </c>
      <c r="C532" s="1962"/>
      <c r="D532" s="1962" t="s">
        <v>2084</v>
      </c>
      <c r="E532" s="1961">
        <v>10227.15</v>
      </c>
      <c r="F532" s="1961">
        <v>13373.31</v>
      </c>
      <c r="G532" s="708">
        <f t="shared" si="26"/>
        <v>0</v>
      </c>
      <c r="H532" s="708">
        <f t="shared" si="27"/>
        <v>10227.15</v>
      </c>
    </row>
    <row r="533" spans="1:8">
      <c r="A533" s="707">
        <v>190</v>
      </c>
      <c r="B533" s="1962">
        <v>19000651</v>
      </c>
      <c r="C533" s="1962"/>
      <c r="D533" s="1962" t="s">
        <v>2085</v>
      </c>
      <c r="E533" s="1961">
        <v>0</v>
      </c>
      <c r="F533" s="1961">
        <v>0</v>
      </c>
      <c r="G533" s="708">
        <f t="shared" si="26"/>
        <v>0</v>
      </c>
      <c r="H533" s="708">
        <f t="shared" si="27"/>
        <v>0</v>
      </c>
    </row>
    <row r="534" spans="1:8">
      <c r="A534" s="707">
        <v>190</v>
      </c>
      <c r="B534" s="1962">
        <v>19000661</v>
      </c>
      <c r="C534" s="1962"/>
      <c r="D534" s="1962" t="s">
        <v>2086</v>
      </c>
      <c r="E534" s="1961">
        <v>0</v>
      </c>
      <c r="F534" s="1961">
        <v>0</v>
      </c>
      <c r="G534" s="708">
        <f t="shared" ref="G534:G565" si="28">IF(MID(B534,8,1)="1",0,IF(MID(B534,8,1)="2",E534,E534*$F$3))</f>
        <v>0</v>
      </c>
      <c r="H534" s="708">
        <f t="shared" ref="H534:H565" si="29">E534-G534</f>
        <v>0</v>
      </c>
    </row>
    <row r="535" spans="1:8">
      <c r="A535" s="707">
        <v>190</v>
      </c>
      <c r="B535" s="1962">
        <v>19000671</v>
      </c>
      <c r="C535" s="1962"/>
      <c r="D535" s="1962" t="s">
        <v>2087</v>
      </c>
      <c r="E535" s="1961">
        <v>0</v>
      </c>
      <c r="F535" s="1961">
        <v>0</v>
      </c>
      <c r="G535" s="708">
        <f t="shared" si="28"/>
        <v>0</v>
      </c>
      <c r="H535" s="708">
        <f t="shared" si="29"/>
        <v>0</v>
      </c>
    </row>
    <row r="536" spans="1:8">
      <c r="A536" s="707">
        <v>190</v>
      </c>
      <c r="B536" s="1962">
        <v>19000691</v>
      </c>
      <c r="C536" s="1962"/>
      <c r="D536" s="1962" t="s">
        <v>2088</v>
      </c>
      <c r="E536" s="1961">
        <v>-64575</v>
      </c>
      <c r="F536" s="1961">
        <v>18480</v>
      </c>
      <c r="G536" s="708">
        <f t="shared" si="28"/>
        <v>0</v>
      </c>
      <c r="H536" s="708">
        <f t="shared" si="29"/>
        <v>-64575</v>
      </c>
    </row>
    <row r="537" spans="1:8">
      <c r="A537" s="707">
        <v>190</v>
      </c>
      <c r="B537" s="1962">
        <v>19000692</v>
      </c>
      <c r="C537" s="1962"/>
      <c r="D537" s="1962" t="s">
        <v>2089</v>
      </c>
      <c r="E537" s="1961">
        <v>34650</v>
      </c>
      <c r="F537" s="1961">
        <v>0</v>
      </c>
      <c r="G537" s="708">
        <f t="shared" si="28"/>
        <v>34650</v>
      </c>
      <c r="H537" s="708">
        <f t="shared" si="29"/>
        <v>0</v>
      </c>
    </row>
    <row r="538" spans="1:8">
      <c r="A538" s="707">
        <v>190</v>
      </c>
      <c r="B538" s="1962">
        <v>19000711</v>
      </c>
      <c r="C538" s="1962"/>
      <c r="D538" s="1962" t="s">
        <v>2090</v>
      </c>
      <c r="E538" s="1961">
        <v>0</v>
      </c>
      <c r="F538" s="1961">
        <v>0</v>
      </c>
      <c r="G538" s="708">
        <f t="shared" si="28"/>
        <v>0</v>
      </c>
      <c r="H538" s="708">
        <f t="shared" si="29"/>
        <v>0</v>
      </c>
    </row>
    <row r="539" spans="1:8">
      <c r="A539" s="707">
        <v>190</v>
      </c>
      <c r="B539" s="1962">
        <v>19000721</v>
      </c>
      <c r="C539" s="1962"/>
      <c r="D539" s="1962" t="s">
        <v>2091</v>
      </c>
      <c r="E539" s="1961">
        <v>-2500.9</v>
      </c>
      <c r="F539" s="1961">
        <v>-2500.9</v>
      </c>
      <c r="G539" s="708">
        <f t="shared" si="28"/>
        <v>0</v>
      </c>
      <c r="H539" s="708">
        <f t="shared" si="29"/>
        <v>-2500.9</v>
      </c>
    </row>
    <row r="540" spans="1:8">
      <c r="A540" s="707">
        <v>190</v>
      </c>
      <c r="B540" s="1962">
        <v>19000731</v>
      </c>
      <c r="C540" s="1962"/>
      <c r="D540" s="1962" t="s">
        <v>2092</v>
      </c>
      <c r="E540" s="1961">
        <v>0</v>
      </c>
      <c r="F540" s="1961">
        <v>0</v>
      </c>
      <c r="G540" s="708">
        <f t="shared" si="28"/>
        <v>0</v>
      </c>
      <c r="H540" s="708">
        <f t="shared" si="29"/>
        <v>0</v>
      </c>
    </row>
    <row r="541" spans="1:8">
      <c r="A541" s="707">
        <v>190</v>
      </c>
      <c r="B541" s="1962">
        <v>19000732</v>
      </c>
      <c r="C541" s="1962"/>
      <c r="D541" s="1962" t="s">
        <v>2093</v>
      </c>
      <c r="E541" s="1961">
        <v>0</v>
      </c>
      <c r="F541" s="1961">
        <v>0</v>
      </c>
      <c r="G541" s="708">
        <f t="shared" si="28"/>
        <v>0</v>
      </c>
      <c r="H541" s="708">
        <f t="shared" si="29"/>
        <v>0</v>
      </c>
    </row>
    <row r="542" spans="1:8">
      <c r="A542" s="707">
        <v>190</v>
      </c>
      <c r="B542" s="1962">
        <v>19000741</v>
      </c>
      <c r="C542" s="1962"/>
      <c r="D542" s="1962" t="s">
        <v>2094</v>
      </c>
      <c r="E542" s="1961">
        <v>0</v>
      </c>
      <c r="F542" s="1961">
        <v>0</v>
      </c>
      <c r="G542" s="708">
        <f t="shared" si="28"/>
        <v>0</v>
      </c>
      <c r="H542" s="708">
        <f t="shared" si="29"/>
        <v>0</v>
      </c>
    </row>
    <row r="543" spans="1:8">
      <c r="A543" s="707">
        <v>190</v>
      </c>
      <c r="B543" s="1962">
        <v>19000751</v>
      </c>
      <c r="C543" s="1962"/>
      <c r="D543" s="1962" t="s">
        <v>2095</v>
      </c>
      <c r="E543" s="1961">
        <v>0</v>
      </c>
      <c r="F543" s="1961">
        <v>914130</v>
      </c>
      <c r="G543" s="708">
        <f t="shared" si="28"/>
        <v>0</v>
      </c>
      <c r="H543" s="708">
        <f t="shared" si="29"/>
        <v>0</v>
      </c>
    </row>
    <row r="544" spans="1:8">
      <c r="A544" s="707">
        <v>190</v>
      </c>
      <c r="B544" s="1962">
        <v>19000752</v>
      </c>
      <c r="C544" s="1962"/>
      <c r="D544" s="1962" t="s">
        <v>2096</v>
      </c>
      <c r="E544" s="1961">
        <v>0</v>
      </c>
      <c r="F544" s="1961">
        <v>0</v>
      </c>
      <c r="G544" s="708">
        <f t="shared" si="28"/>
        <v>0</v>
      </c>
      <c r="H544" s="708">
        <f t="shared" si="29"/>
        <v>0</v>
      </c>
    </row>
    <row r="545" spans="1:8">
      <c r="A545" s="707">
        <v>190</v>
      </c>
      <c r="B545" s="1962">
        <v>19000761</v>
      </c>
      <c r="C545" s="1962"/>
      <c r="D545" s="1962" t="s">
        <v>2097</v>
      </c>
      <c r="E545" s="1961">
        <v>0</v>
      </c>
      <c r="F545" s="1961">
        <v>0</v>
      </c>
      <c r="G545" s="708">
        <f t="shared" si="28"/>
        <v>0</v>
      </c>
      <c r="H545" s="708">
        <f t="shared" si="29"/>
        <v>0</v>
      </c>
    </row>
    <row r="546" spans="1:8">
      <c r="A546" s="707">
        <v>190</v>
      </c>
      <c r="B546" s="1962">
        <v>19000771</v>
      </c>
      <c r="C546" s="1962"/>
      <c r="D546" s="1962" t="s">
        <v>2098</v>
      </c>
      <c r="E546" s="1961">
        <v>0</v>
      </c>
      <c r="F546" s="1961">
        <v>0</v>
      </c>
      <c r="G546" s="708">
        <f t="shared" si="28"/>
        <v>0</v>
      </c>
      <c r="H546" s="708">
        <f t="shared" si="29"/>
        <v>0</v>
      </c>
    </row>
    <row r="547" spans="1:8">
      <c r="A547" s="707">
        <v>190</v>
      </c>
      <c r="B547" s="1962">
        <v>19000781</v>
      </c>
      <c r="C547" s="1962"/>
      <c r="D547" s="1962" t="s">
        <v>2099</v>
      </c>
      <c r="E547" s="1961">
        <v>6790090.6100000003</v>
      </c>
      <c r="F547" s="1961">
        <v>7304421.0300000003</v>
      </c>
      <c r="G547" s="708">
        <f t="shared" si="28"/>
        <v>0</v>
      </c>
      <c r="H547" s="708">
        <f t="shared" si="29"/>
        <v>6790090.6100000003</v>
      </c>
    </row>
    <row r="548" spans="1:8">
      <c r="A548" s="707">
        <v>190</v>
      </c>
      <c r="B548" s="1962">
        <v>19000791</v>
      </c>
      <c r="C548" s="1962"/>
      <c r="D548" s="1962" t="s">
        <v>2100</v>
      </c>
      <c r="E548" s="1961">
        <v>-38064.400000000001</v>
      </c>
      <c r="F548" s="1961">
        <v>-38571.94</v>
      </c>
      <c r="G548" s="708">
        <f t="shared" si="28"/>
        <v>0</v>
      </c>
      <c r="H548" s="708">
        <f t="shared" si="29"/>
        <v>-38064.400000000001</v>
      </c>
    </row>
    <row r="549" spans="1:8">
      <c r="A549" s="707">
        <v>190</v>
      </c>
      <c r="B549" s="1962">
        <v>19000801</v>
      </c>
      <c r="C549" s="1962"/>
      <c r="D549" s="1962" t="s">
        <v>2101</v>
      </c>
      <c r="E549" s="1961">
        <v>19158.3</v>
      </c>
      <c r="F549" s="1961">
        <v>21647.49</v>
      </c>
      <c r="G549" s="708">
        <f t="shared" si="28"/>
        <v>0</v>
      </c>
      <c r="H549" s="708">
        <f t="shared" si="29"/>
        <v>19158.3</v>
      </c>
    </row>
    <row r="550" spans="1:8">
      <c r="A550" s="707">
        <v>190</v>
      </c>
      <c r="B550" s="1962">
        <v>19000811</v>
      </c>
      <c r="C550" s="1962"/>
      <c r="D550" s="1962" t="s">
        <v>2102</v>
      </c>
      <c r="E550" s="1961">
        <v>-20285.78</v>
      </c>
      <c r="F550" s="1961">
        <v>-21120.81</v>
      </c>
      <c r="G550" s="708">
        <f t="shared" si="28"/>
        <v>0</v>
      </c>
      <c r="H550" s="708">
        <f t="shared" si="29"/>
        <v>-20285.78</v>
      </c>
    </row>
    <row r="551" spans="1:8">
      <c r="A551" s="707">
        <v>190</v>
      </c>
      <c r="B551" s="1962">
        <v>19000821</v>
      </c>
      <c r="C551" s="1962"/>
      <c r="D551" s="1962" t="s">
        <v>2103</v>
      </c>
      <c r="E551" s="1961">
        <v>0</v>
      </c>
      <c r="F551" s="1961">
        <v>0</v>
      </c>
      <c r="G551" s="708">
        <f t="shared" si="28"/>
        <v>0</v>
      </c>
      <c r="H551" s="708">
        <f t="shared" si="29"/>
        <v>0</v>
      </c>
    </row>
    <row r="552" spans="1:8">
      <c r="A552" s="707">
        <v>190</v>
      </c>
      <c r="B552" s="1962">
        <v>19000831</v>
      </c>
      <c r="C552" s="1962"/>
      <c r="D552" s="1962" t="s">
        <v>2104</v>
      </c>
      <c r="E552" s="1961">
        <v>0</v>
      </c>
      <c r="F552" s="1961">
        <v>0</v>
      </c>
      <c r="G552" s="708">
        <f t="shared" si="28"/>
        <v>0</v>
      </c>
      <c r="H552" s="708">
        <f t="shared" si="29"/>
        <v>0</v>
      </c>
    </row>
    <row r="553" spans="1:8">
      <c r="A553" s="707">
        <v>190</v>
      </c>
      <c r="B553" s="1962">
        <v>19000841</v>
      </c>
      <c r="C553" s="1962"/>
      <c r="D553" s="1962" t="s">
        <v>2105</v>
      </c>
      <c r="E553" s="1961">
        <v>-58663.53</v>
      </c>
      <c r="F553" s="1961">
        <v>-36324.910000000003</v>
      </c>
      <c r="G553" s="708">
        <f t="shared" si="28"/>
        <v>0</v>
      </c>
      <c r="H553" s="708">
        <f t="shared" si="29"/>
        <v>-58663.53</v>
      </c>
    </row>
    <row r="554" spans="1:8">
      <c r="A554" s="707">
        <v>190</v>
      </c>
      <c r="B554" s="1962">
        <v>19000851</v>
      </c>
      <c r="C554" s="1962"/>
      <c r="D554" s="1962" t="s">
        <v>2106</v>
      </c>
      <c r="E554" s="1961">
        <v>0</v>
      </c>
      <c r="F554" s="1961">
        <v>0</v>
      </c>
      <c r="G554" s="708">
        <f t="shared" si="28"/>
        <v>0</v>
      </c>
      <c r="H554" s="708">
        <f t="shared" si="29"/>
        <v>0</v>
      </c>
    </row>
    <row r="555" spans="1:8">
      <c r="A555" s="707">
        <v>190</v>
      </c>
      <c r="B555" s="1962">
        <v>19000861</v>
      </c>
      <c r="C555" s="1962"/>
      <c r="D555" s="1962" t="s">
        <v>2107</v>
      </c>
      <c r="E555" s="1961">
        <v>0</v>
      </c>
      <c r="F555" s="1961">
        <v>0</v>
      </c>
      <c r="G555" s="708">
        <f t="shared" si="28"/>
        <v>0</v>
      </c>
      <c r="H555" s="708">
        <f t="shared" si="29"/>
        <v>0</v>
      </c>
    </row>
    <row r="556" spans="1:8">
      <c r="A556" s="707">
        <v>190</v>
      </c>
      <c r="B556" s="1962">
        <v>19000871</v>
      </c>
      <c r="C556" s="1962"/>
      <c r="D556" s="1962" t="s">
        <v>2108</v>
      </c>
      <c r="E556" s="1961">
        <v>0</v>
      </c>
      <c r="F556" s="1961">
        <v>0</v>
      </c>
      <c r="G556" s="708">
        <f t="shared" si="28"/>
        <v>0</v>
      </c>
      <c r="H556" s="708">
        <f t="shared" si="29"/>
        <v>0</v>
      </c>
    </row>
    <row r="557" spans="1:8">
      <c r="A557" s="707">
        <v>190</v>
      </c>
      <c r="B557" s="1962">
        <v>19000881</v>
      </c>
      <c r="C557" s="1962"/>
      <c r="D557" s="1962" t="s">
        <v>2109</v>
      </c>
      <c r="E557" s="1961">
        <v>4688956.8099999996</v>
      </c>
      <c r="F557" s="1961">
        <v>5364745.97</v>
      </c>
      <c r="G557" s="708">
        <f t="shared" si="28"/>
        <v>0</v>
      </c>
      <c r="H557" s="708">
        <f t="shared" si="29"/>
        <v>4688956.8099999996</v>
      </c>
    </row>
    <row r="558" spans="1:8">
      <c r="A558" s="707">
        <v>190</v>
      </c>
      <c r="B558" s="1978">
        <v>19000891</v>
      </c>
      <c r="C558" s="1978"/>
      <c r="D558" s="1978" t="s">
        <v>2110</v>
      </c>
      <c r="E558" s="1963">
        <f>462228838.35-E656</f>
        <v>20767591.350000024</v>
      </c>
      <c r="F558" s="1963">
        <f>495349509.28-F656-J491</f>
        <v>31491099.416993856</v>
      </c>
      <c r="G558" s="708">
        <f t="shared" si="28"/>
        <v>0</v>
      </c>
      <c r="H558" s="708">
        <f t="shared" si="29"/>
        <v>20767591.350000024</v>
      </c>
    </row>
    <row r="559" spans="1:8">
      <c r="A559" s="707">
        <v>190</v>
      </c>
      <c r="B559" s="1962">
        <v>19000901</v>
      </c>
      <c r="C559" s="1962"/>
      <c r="D559" s="1962" t="s">
        <v>2111</v>
      </c>
      <c r="E559" s="1961">
        <v>0</v>
      </c>
      <c r="F559" s="1961">
        <v>0</v>
      </c>
      <c r="G559" s="708">
        <f t="shared" si="28"/>
        <v>0</v>
      </c>
      <c r="H559" s="708">
        <f t="shared" si="29"/>
        <v>0</v>
      </c>
    </row>
    <row r="560" spans="1:8">
      <c r="A560" s="707">
        <v>190</v>
      </c>
      <c r="B560" s="1962">
        <v>19000911</v>
      </c>
      <c r="C560" s="1962"/>
      <c r="D560" s="1962" t="s">
        <v>2112</v>
      </c>
      <c r="E560" s="1961">
        <v>0</v>
      </c>
      <c r="F560" s="1961">
        <v>0</v>
      </c>
      <c r="G560" s="708">
        <f t="shared" si="28"/>
        <v>0</v>
      </c>
      <c r="H560" s="708">
        <f t="shared" si="29"/>
        <v>0</v>
      </c>
    </row>
    <row r="561" spans="1:9">
      <c r="A561" s="707">
        <v>190</v>
      </c>
      <c r="B561" s="1962">
        <v>19000921</v>
      </c>
      <c r="C561" s="1962"/>
      <c r="D561" s="1962" t="s">
        <v>2113</v>
      </c>
      <c r="E561" s="1961">
        <v>-0.2</v>
      </c>
      <c r="F561" s="1961">
        <v>-2347394.91</v>
      </c>
      <c r="G561" s="708">
        <f t="shared" si="28"/>
        <v>0</v>
      </c>
      <c r="H561" s="708">
        <f t="shared" si="29"/>
        <v>-0.2</v>
      </c>
    </row>
    <row r="562" spans="1:9">
      <c r="A562" s="707">
        <v>190</v>
      </c>
      <c r="B562" s="1962">
        <v>19000931</v>
      </c>
      <c r="C562" s="1962"/>
      <c r="D562" s="1962" t="s">
        <v>2114</v>
      </c>
      <c r="E562" s="1961">
        <v>85663.71</v>
      </c>
      <c r="F562" s="1961">
        <v>0</v>
      </c>
      <c r="G562" s="708">
        <f t="shared" si="28"/>
        <v>0</v>
      </c>
      <c r="H562" s="708">
        <f t="shared" si="29"/>
        <v>85663.71</v>
      </c>
    </row>
    <row r="563" spans="1:9">
      <c r="A563" s="707">
        <v>190</v>
      </c>
      <c r="B563" s="1962">
        <v>19000941</v>
      </c>
      <c r="C563" s="1962"/>
      <c r="D563" s="1962" t="s">
        <v>2115</v>
      </c>
      <c r="E563" s="1961">
        <v>-3795.75</v>
      </c>
      <c r="F563" s="1961">
        <v>-5618.17</v>
      </c>
      <c r="G563" s="708">
        <f t="shared" si="28"/>
        <v>0</v>
      </c>
      <c r="H563" s="708">
        <f t="shared" si="29"/>
        <v>-3795.75</v>
      </c>
    </row>
    <row r="564" spans="1:9">
      <c r="A564" s="707">
        <v>190</v>
      </c>
      <c r="B564" s="1962">
        <v>19000951</v>
      </c>
      <c r="C564" s="1962"/>
      <c r="D564" s="1962" t="s">
        <v>2116</v>
      </c>
      <c r="E564" s="1961">
        <v>50409023.710000001</v>
      </c>
      <c r="F564" s="1961">
        <v>50409023.710000001</v>
      </c>
      <c r="G564" s="708">
        <f t="shared" si="28"/>
        <v>0</v>
      </c>
      <c r="H564" s="708">
        <f t="shared" si="29"/>
        <v>50409023.710000001</v>
      </c>
    </row>
    <row r="565" spans="1:9">
      <c r="A565" s="707">
        <v>190</v>
      </c>
      <c r="B565" s="1962">
        <v>19000961</v>
      </c>
      <c r="C565" s="1962"/>
      <c r="D565" s="1962" t="s">
        <v>2117</v>
      </c>
      <c r="E565" s="1961">
        <v>-1050000</v>
      </c>
      <c r="F565" s="1961">
        <v>-1050000</v>
      </c>
      <c r="G565" s="708">
        <f t="shared" si="28"/>
        <v>0</v>
      </c>
      <c r="H565" s="708">
        <f t="shared" si="29"/>
        <v>-1050000</v>
      </c>
    </row>
    <row r="566" spans="1:9">
      <c r="A566" s="707">
        <v>190</v>
      </c>
      <c r="B566" s="1962">
        <v>19000971</v>
      </c>
      <c r="C566" s="1962"/>
      <c r="D566" s="1962" t="s">
        <v>2118</v>
      </c>
      <c r="E566" s="1961">
        <v>3685747.35</v>
      </c>
      <c r="F566" s="1961">
        <v>3653738.57</v>
      </c>
      <c r="G566" s="708">
        <f t="shared" ref="G566:G595" si="30">IF(MID(B566,8,1)="1",0,IF(MID(B566,8,1)="2",E566,E566*$F$3))</f>
        <v>0</v>
      </c>
      <c r="H566" s="708">
        <f t="shared" ref="H566:H595" si="31">E566-G566</f>
        <v>3685747.35</v>
      </c>
    </row>
    <row r="567" spans="1:9">
      <c r="A567" s="707">
        <v>190</v>
      </c>
      <c r="B567" s="1962">
        <v>19000991</v>
      </c>
      <c r="C567" s="1962" t="s">
        <v>968</v>
      </c>
      <c r="D567" s="1962" t="s">
        <v>2119</v>
      </c>
      <c r="E567" s="1961">
        <v>26581328.969999999</v>
      </c>
      <c r="F567" s="1961">
        <v>24972816.75</v>
      </c>
      <c r="G567" s="708">
        <f t="shared" si="30"/>
        <v>0</v>
      </c>
      <c r="H567" s="708">
        <f t="shared" si="31"/>
        <v>26581328.969999999</v>
      </c>
    </row>
    <row r="568" spans="1:9">
      <c r="A568" s="707">
        <v>190</v>
      </c>
      <c r="B568" s="1962">
        <v>19001001</v>
      </c>
      <c r="C568" s="1962"/>
      <c r="D568" s="1962" t="s">
        <v>2120</v>
      </c>
      <c r="E568" s="1961">
        <v>600644.93000000005</v>
      </c>
      <c r="F568" s="1961">
        <v>276100.15000000002</v>
      </c>
      <c r="G568" s="708">
        <f t="shared" si="30"/>
        <v>0</v>
      </c>
      <c r="H568" s="708">
        <f t="shared" si="31"/>
        <v>600644.93000000005</v>
      </c>
    </row>
    <row r="569" spans="1:9">
      <c r="A569" s="1954">
        <v>190</v>
      </c>
      <c r="B569" s="1960">
        <v>19001011</v>
      </c>
      <c r="C569" s="1960"/>
      <c r="D569" s="1960" t="s">
        <v>2121</v>
      </c>
      <c r="E569" s="1959">
        <v>64105698.159999996</v>
      </c>
      <c r="F569" s="1959">
        <v>64531286.689999998</v>
      </c>
      <c r="G569" s="722">
        <f t="shared" si="30"/>
        <v>0</v>
      </c>
      <c r="H569" s="722">
        <f t="shared" si="31"/>
        <v>64105698.159999996</v>
      </c>
      <c r="I569" s="1955" t="s">
        <v>973</v>
      </c>
    </row>
    <row r="570" spans="1:9">
      <c r="A570" s="1954">
        <v>190</v>
      </c>
      <c r="B570" s="1960">
        <v>19001031</v>
      </c>
      <c r="C570" s="1960"/>
      <c r="D570" s="1960" t="s">
        <v>6756</v>
      </c>
      <c r="E570" s="1959">
        <v>-2890.82</v>
      </c>
      <c r="F570" s="1959">
        <v>0</v>
      </c>
      <c r="G570" s="722">
        <f t="shared" si="30"/>
        <v>0</v>
      </c>
      <c r="H570" s="722">
        <f t="shared" si="31"/>
        <v>-2890.82</v>
      </c>
      <c r="I570" s="1955" t="s">
        <v>973</v>
      </c>
    </row>
    <row r="571" spans="1:9">
      <c r="A571" s="1954">
        <v>190</v>
      </c>
      <c r="B571" s="1960">
        <v>19001032</v>
      </c>
      <c r="C571" s="1960"/>
      <c r="D571" s="1960" t="s">
        <v>6757</v>
      </c>
      <c r="E571" s="1959">
        <v>-449918.27</v>
      </c>
      <c r="F571" s="1959">
        <v>0</v>
      </c>
      <c r="G571" s="722">
        <f t="shared" si="30"/>
        <v>-449918.27</v>
      </c>
      <c r="H571" s="722">
        <f t="shared" si="31"/>
        <v>0</v>
      </c>
      <c r="I571" s="1955" t="s">
        <v>973</v>
      </c>
    </row>
    <row r="572" spans="1:9">
      <c r="A572" s="1954">
        <v>190</v>
      </c>
      <c r="B572" s="1960">
        <v>19001041</v>
      </c>
      <c r="C572" s="1960"/>
      <c r="D572" s="1960" t="s">
        <v>6758</v>
      </c>
      <c r="E572" s="1959">
        <v>-105075.52</v>
      </c>
      <c r="F572" s="1959">
        <v>0</v>
      </c>
      <c r="G572" s="722">
        <f t="shared" si="30"/>
        <v>0</v>
      </c>
      <c r="H572" s="722">
        <f t="shared" si="31"/>
        <v>-105075.52</v>
      </c>
      <c r="I572" s="1955" t="s">
        <v>973</v>
      </c>
    </row>
    <row r="573" spans="1:9">
      <c r="A573" s="707">
        <v>190</v>
      </c>
      <c r="B573" s="1962">
        <v>19002003</v>
      </c>
      <c r="C573" s="1962"/>
      <c r="D573" s="1962" t="s">
        <v>2122</v>
      </c>
      <c r="E573" s="1961">
        <v>0</v>
      </c>
      <c r="F573" s="1961">
        <v>0</v>
      </c>
      <c r="G573" s="708">
        <f t="shared" si="30"/>
        <v>0</v>
      </c>
      <c r="H573" s="708">
        <f t="shared" si="31"/>
        <v>0</v>
      </c>
    </row>
    <row r="574" spans="1:9">
      <c r="A574" s="707">
        <v>190</v>
      </c>
      <c r="B574" s="1962">
        <v>19003001</v>
      </c>
      <c r="C574" s="1962"/>
      <c r="D574" s="1962" t="s">
        <v>2123</v>
      </c>
      <c r="E574" s="1961">
        <v>0</v>
      </c>
      <c r="F574" s="1961">
        <v>0</v>
      </c>
      <c r="G574" s="708">
        <f t="shared" si="30"/>
        <v>0</v>
      </c>
      <c r="H574" s="708">
        <f t="shared" si="31"/>
        <v>0</v>
      </c>
    </row>
    <row r="575" spans="1:9">
      <c r="A575" s="707">
        <v>190</v>
      </c>
      <c r="B575" s="1962">
        <v>19003011</v>
      </c>
      <c r="C575" s="1962"/>
      <c r="D575" s="1962" t="s">
        <v>2124</v>
      </c>
      <c r="E575" s="1961">
        <v>0</v>
      </c>
      <c r="F575" s="1961">
        <v>0</v>
      </c>
      <c r="G575" s="708">
        <f t="shared" si="30"/>
        <v>0</v>
      </c>
      <c r="H575" s="708">
        <f t="shared" si="31"/>
        <v>0</v>
      </c>
    </row>
    <row r="576" spans="1:9">
      <c r="A576" s="707">
        <v>190</v>
      </c>
      <c r="B576" s="1962">
        <v>19003021</v>
      </c>
      <c r="C576" s="1962"/>
      <c r="D576" s="1962" t="s">
        <v>2125</v>
      </c>
      <c r="E576" s="1961">
        <v>0</v>
      </c>
      <c r="F576" s="1961">
        <v>0</v>
      </c>
      <c r="G576" s="708">
        <f t="shared" si="30"/>
        <v>0</v>
      </c>
      <c r="H576" s="708">
        <f t="shared" si="31"/>
        <v>0</v>
      </c>
    </row>
    <row r="577" spans="1:12">
      <c r="A577" s="707">
        <v>190</v>
      </c>
      <c r="B577" s="1962">
        <v>19003031</v>
      </c>
      <c r="C577" s="1962"/>
      <c r="D577" s="1962" t="s">
        <v>2126</v>
      </c>
      <c r="E577" s="1961">
        <v>0</v>
      </c>
      <c r="F577" s="1961">
        <v>0</v>
      </c>
      <c r="G577" s="708">
        <f t="shared" si="30"/>
        <v>0</v>
      </c>
      <c r="H577" s="708">
        <f t="shared" si="31"/>
        <v>0</v>
      </c>
    </row>
    <row r="578" spans="1:12">
      <c r="A578" s="707">
        <v>190</v>
      </c>
      <c r="B578" s="1962">
        <v>19003032</v>
      </c>
      <c r="C578" s="1962"/>
      <c r="D578" s="1962" t="s">
        <v>2127</v>
      </c>
      <c r="E578" s="1961">
        <v>0</v>
      </c>
      <c r="F578" s="1961">
        <v>0</v>
      </c>
      <c r="G578" s="708">
        <f t="shared" si="30"/>
        <v>0</v>
      </c>
      <c r="H578" s="708">
        <f t="shared" si="31"/>
        <v>0</v>
      </c>
    </row>
    <row r="579" spans="1:12">
      <c r="A579" s="707">
        <v>190</v>
      </c>
      <c r="B579" s="1962">
        <v>19003041</v>
      </c>
      <c r="C579" s="1962"/>
      <c r="D579" s="1962" t="s">
        <v>2128</v>
      </c>
      <c r="E579" s="1961">
        <v>0</v>
      </c>
      <c r="F579" s="1961">
        <v>0</v>
      </c>
      <c r="G579" s="708">
        <f t="shared" si="30"/>
        <v>0</v>
      </c>
      <c r="H579" s="708">
        <f t="shared" si="31"/>
        <v>0</v>
      </c>
    </row>
    <row r="580" spans="1:12">
      <c r="A580" s="707">
        <v>190</v>
      </c>
      <c r="B580" s="1962">
        <v>19003042</v>
      </c>
      <c r="C580" s="1962"/>
      <c r="D580" s="1962" t="s">
        <v>2129</v>
      </c>
      <c r="E580" s="1961">
        <v>0</v>
      </c>
      <c r="F580" s="1961">
        <v>0</v>
      </c>
      <c r="G580" s="708">
        <f t="shared" si="30"/>
        <v>0</v>
      </c>
      <c r="H580" s="708">
        <f t="shared" si="31"/>
        <v>0</v>
      </c>
    </row>
    <row r="581" spans="1:12">
      <c r="A581" s="707">
        <v>190</v>
      </c>
      <c r="B581" s="1962">
        <v>19003051</v>
      </c>
      <c r="C581" s="1962"/>
      <c r="D581" s="1962" t="s">
        <v>2130</v>
      </c>
      <c r="E581" s="1961">
        <v>2192810.08</v>
      </c>
      <c r="F581" s="1961">
        <v>2485675.2799999998</v>
      </c>
      <c r="G581" s="708">
        <f t="shared" si="30"/>
        <v>0</v>
      </c>
      <c r="H581" s="708">
        <f t="shared" si="31"/>
        <v>2192810.08</v>
      </c>
    </row>
    <row r="582" spans="1:12">
      <c r="A582" s="707">
        <v>190</v>
      </c>
      <c r="B582" s="1962">
        <v>19003061</v>
      </c>
      <c r="C582" s="1962" t="s">
        <v>968</v>
      </c>
      <c r="D582" s="1962" t="s">
        <v>2131</v>
      </c>
      <c r="E582" s="1961">
        <v>0</v>
      </c>
      <c r="F582" s="1961">
        <v>0</v>
      </c>
      <c r="G582" s="708">
        <f t="shared" si="30"/>
        <v>0</v>
      </c>
      <c r="H582" s="708">
        <f t="shared" si="31"/>
        <v>0</v>
      </c>
      <c r="L582" s="1965"/>
    </row>
    <row r="583" spans="1:12">
      <c r="A583" s="707">
        <v>190</v>
      </c>
      <c r="B583" s="1962">
        <v>19003062</v>
      </c>
      <c r="C583" s="1962" t="s">
        <v>968</v>
      </c>
      <c r="D583" s="1962" t="s">
        <v>2132</v>
      </c>
      <c r="E583" s="1961">
        <v>0</v>
      </c>
      <c r="F583" s="1961">
        <v>0</v>
      </c>
      <c r="G583" s="708">
        <f t="shared" si="30"/>
        <v>0</v>
      </c>
      <c r="H583" s="708">
        <f t="shared" si="31"/>
        <v>0</v>
      </c>
    </row>
    <row r="584" spans="1:12">
      <c r="A584" s="707">
        <v>190</v>
      </c>
      <c r="B584" s="1962">
        <v>19003071</v>
      </c>
      <c r="C584" s="1962" t="s">
        <v>968</v>
      </c>
      <c r="D584" s="1962" t="s">
        <v>2133</v>
      </c>
      <c r="E584" s="1961">
        <v>0</v>
      </c>
      <c r="F584" s="1961">
        <v>1507458.21</v>
      </c>
      <c r="G584" s="708">
        <f t="shared" si="30"/>
        <v>0</v>
      </c>
      <c r="H584" s="708">
        <f t="shared" si="31"/>
        <v>0</v>
      </c>
    </row>
    <row r="585" spans="1:12">
      <c r="A585" s="707">
        <v>190</v>
      </c>
      <c r="B585" s="1962">
        <v>19003072</v>
      </c>
      <c r="C585" s="1962" t="s">
        <v>968</v>
      </c>
      <c r="D585" s="1962" t="s">
        <v>2134</v>
      </c>
      <c r="E585" s="1961">
        <v>0</v>
      </c>
      <c r="F585" s="1961">
        <v>149360.62</v>
      </c>
      <c r="G585" s="708">
        <f t="shared" si="30"/>
        <v>0</v>
      </c>
      <c r="H585" s="708">
        <f t="shared" si="31"/>
        <v>0</v>
      </c>
    </row>
    <row r="586" spans="1:12">
      <c r="A586" s="707">
        <v>190</v>
      </c>
      <c r="B586" s="1962">
        <v>19003081</v>
      </c>
      <c r="C586" s="1962" t="s">
        <v>968</v>
      </c>
      <c r="D586" s="1962" t="s">
        <v>2135</v>
      </c>
      <c r="E586" s="1961">
        <v>0</v>
      </c>
      <c r="F586" s="1961">
        <v>652814.98</v>
      </c>
      <c r="G586" s="708">
        <f t="shared" si="30"/>
        <v>0</v>
      </c>
      <c r="H586" s="708">
        <f t="shared" si="31"/>
        <v>0</v>
      </c>
    </row>
    <row r="587" spans="1:12">
      <c r="A587" s="1954">
        <v>190</v>
      </c>
      <c r="B587" s="1960">
        <v>19003082</v>
      </c>
      <c r="C587" s="1960"/>
      <c r="D587" s="1960" t="s">
        <v>6759</v>
      </c>
      <c r="E587" s="1959">
        <v>544727.26</v>
      </c>
      <c r="F587" s="1959">
        <v>0</v>
      </c>
      <c r="G587" s="722">
        <f t="shared" si="30"/>
        <v>544727.26</v>
      </c>
      <c r="H587" s="722">
        <f t="shared" si="31"/>
        <v>0</v>
      </c>
      <c r="I587" s="1955" t="s">
        <v>973</v>
      </c>
    </row>
    <row r="588" spans="1:12">
      <c r="A588" s="707">
        <v>190</v>
      </c>
      <c r="B588" s="1962">
        <v>19003091</v>
      </c>
      <c r="C588" s="1962" t="s">
        <v>968</v>
      </c>
      <c r="D588" s="1962" t="s">
        <v>2136</v>
      </c>
      <c r="E588" s="1961">
        <v>59737.66</v>
      </c>
      <c r="F588" s="1961">
        <v>88418.16</v>
      </c>
      <c r="G588" s="708">
        <f t="shared" si="30"/>
        <v>0</v>
      </c>
      <c r="H588" s="708">
        <f t="shared" si="31"/>
        <v>59737.66</v>
      </c>
    </row>
    <row r="589" spans="1:12">
      <c r="A589" s="707">
        <v>190</v>
      </c>
      <c r="B589" s="1962">
        <v>19003092</v>
      </c>
      <c r="C589" s="1962" t="s">
        <v>968</v>
      </c>
      <c r="D589" s="1962" t="s">
        <v>2137</v>
      </c>
      <c r="E589" s="1961">
        <v>27262.45</v>
      </c>
      <c r="F589" s="1961">
        <v>40566.44</v>
      </c>
      <c r="G589" s="708">
        <f t="shared" si="30"/>
        <v>27262.45</v>
      </c>
      <c r="H589" s="708">
        <f t="shared" si="31"/>
        <v>0</v>
      </c>
    </row>
    <row r="590" spans="1:12">
      <c r="A590" s="707">
        <v>190</v>
      </c>
      <c r="B590" s="1962">
        <v>19003102</v>
      </c>
      <c r="C590" s="1962" t="s">
        <v>968</v>
      </c>
      <c r="D590" s="1962" t="s">
        <v>2138</v>
      </c>
      <c r="E590" s="1961">
        <v>444074.36</v>
      </c>
      <c r="F590" s="1961">
        <v>660782.64</v>
      </c>
      <c r="G590" s="708">
        <f t="shared" si="30"/>
        <v>444074.36</v>
      </c>
      <c r="H590" s="708">
        <f t="shared" si="31"/>
        <v>0</v>
      </c>
    </row>
    <row r="591" spans="1:12">
      <c r="A591" s="1954">
        <v>190</v>
      </c>
      <c r="B591" s="1960">
        <v>19003111</v>
      </c>
      <c r="C591" s="1960"/>
      <c r="D591" s="1960" t="s">
        <v>6760</v>
      </c>
      <c r="E591" s="1959">
        <v>516153.55</v>
      </c>
      <c r="F591" s="1959">
        <v>0</v>
      </c>
      <c r="G591" s="722">
        <f t="shared" si="30"/>
        <v>0</v>
      </c>
      <c r="H591" s="722">
        <f t="shared" si="31"/>
        <v>516153.55</v>
      </c>
      <c r="I591" s="1955" t="s">
        <v>973</v>
      </c>
    </row>
    <row r="592" spans="1:12">
      <c r="A592" s="1954">
        <v>190</v>
      </c>
      <c r="B592" s="1960">
        <v>19003121</v>
      </c>
      <c r="C592" s="1960"/>
      <c r="D592" s="1960" t="s">
        <v>6761</v>
      </c>
      <c r="E592" s="1959">
        <v>0</v>
      </c>
      <c r="F592" s="1959">
        <v>0</v>
      </c>
      <c r="G592" s="722">
        <f t="shared" si="30"/>
        <v>0</v>
      </c>
      <c r="H592" s="722">
        <f t="shared" si="31"/>
        <v>0</v>
      </c>
      <c r="I592" s="1955" t="s">
        <v>973</v>
      </c>
    </row>
    <row r="593" spans="1:17">
      <c r="A593" s="1954">
        <v>190</v>
      </c>
      <c r="B593" s="1960">
        <v>19003131</v>
      </c>
      <c r="C593" s="1960"/>
      <c r="D593" s="1960" t="s">
        <v>6762</v>
      </c>
      <c r="E593" s="1959">
        <v>-90596.35</v>
      </c>
      <c r="F593" s="1959">
        <v>0</v>
      </c>
      <c r="G593" s="722">
        <f t="shared" si="30"/>
        <v>0</v>
      </c>
      <c r="H593" s="722">
        <f t="shared" si="31"/>
        <v>-90596.35</v>
      </c>
      <c r="I593" s="1955" t="s">
        <v>973</v>
      </c>
    </row>
    <row r="594" spans="1:17">
      <c r="A594" s="1954">
        <v>190</v>
      </c>
      <c r="B594" s="1960">
        <v>19003132</v>
      </c>
      <c r="C594" s="1960"/>
      <c r="D594" s="1960" t="s">
        <v>6763</v>
      </c>
      <c r="E594" s="1959">
        <v>143000.07999999999</v>
      </c>
      <c r="F594" s="1959">
        <v>0</v>
      </c>
      <c r="G594" s="722">
        <f t="shared" si="30"/>
        <v>143000.07999999999</v>
      </c>
      <c r="H594" s="722">
        <f t="shared" si="31"/>
        <v>0</v>
      </c>
      <c r="I594" s="1955" t="s">
        <v>973</v>
      </c>
    </row>
    <row r="595" spans="1:17">
      <c r="A595" s="1954">
        <v>190</v>
      </c>
      <c r="B595" s="1960">
        <v>19003201</v>
      </c>
      <c r="C595" s="1960"/>
      <c r="D595" s="1960" t="s">
        <v>6764</v>
      </c>
      <c r="E595" s="1959">
        <v>174517.37</v>
      </c>
      <c r="F595" s="1959">
        <v>174400.28</v>
      </c>
      <c r="G595" s="722">
        <f t="shared" si="30"/>
        <v>0</v>
      </c>
      <c r="H595" s="722">
        <f t="shared" si="31"/>
        <v>174517.37</v>
      </c>
      <c r="I595" s="1955" t="s">
        <v>973</v>
      </c>
    </row>
    <row r="596" spans="1:17">
      <c r="A596" s="638"/>
      <c r="B596" s="709"/>
      <c r="C596" s="710"/>
      <c r="D596" s="711" t="s">
        <v>104</v>
      </c>
      <c r="E596" s="1958">
        <f>SUM(E470:E595)</f>
        <v>365019040.60000014</v>
      </c>
      <c r="F596" s="1958">
        <f>SUM(F470:F595)</f>
        <v>430016445.47999978</v>
      </c>
      <c r="G596" s="1958">
        <f>SUM(G470:G595)</f>
        <v>132153281.76736848</v>
      </c>
      <c r="H596" s="2279">
        <f>SUM(H470:H595)</f>
        <v>232865758.83263156</v>
      </c>
      <c r="I596" s="1957">
        <f>E596-G596-H596</f>
        <v>0</v>
      </c>
      <c r="J596" s="718" t="s">
        <v>929</v>
      </c>
      <c r="K596" s="718"/>
      <c r="L596" s="718"/>
      <c r="N596" s="706"/>
      <c r="O596" s="706"/>
      <c r="P596" s="706"/>
      <c r="Q596" s="706"/>
    </row>
    <row r="597" spans="1:17">
      <c r="B597" s="713"/>
      <c r="D597" s="1952" t="s">
        <v>1643</v>
      </c>
      <c r="E597" s="1956">
        <f>'FERC p110-111 Assets'!D95-E596</f>
        <v>0.39999985694885254</v>
      </c>
      <c r="F597" s="1956">
        <f>'FERC p110-111 Assets'!E95-F596</f>
        <v>-0.47999978065490723</v>
      </c>
      <c r="K597" s="718"/>
      <c r="L597" s="718"/>
    </row>
    <row r="598" spans="1:17" s="706" customFormat="1">
      <c r="A598" s="697" t="s">
        <v>922</v>
      </c>
      <c r="B598" s="719" t="s">
        <v>96</v>
      </c>
      <c r="C598" s="720" t="s">
        <v>924</v>
      </c>
      <c r="D598" s="697" t="s">
        <v>925</v>
      </c>
      <c r="E598" s="715">
        <f>E6</f>
        <v>45291</v>
      </c>
      <c r="F598" s="715">
        <f>F6</f>
        <v>44926</v>
      </c>
      <c r="I598" s="728" t="s">
        <v>1919</v>
      </c>
      <c r="J598" s="728" t="s">
        <v>1920</v>
      </c>
      <c r="K598" s="718"/>
      <c r="L598" s="718"/>
      <c r="M598" s="685"/>
      <c r="N598" s="685"/>
      <c r="O598" s="685"/>
      <c r="P598" s="685"/>
      <c r="Q598" s="685"/>
    </row>
    <row r="599" spans="1:17">
      <c r="A599" s="707">
        <v>244</v>
      </c>
      <c r="B599" s="1962">
        <v>24400001</v>
      </c>
      <c r="C599" s="1962"/>
      <c r="D599" s="1962" t="s">
        <v>2139</v>
      </c>
      <c r="E599" s="1961">
        <v>-107194652.7</v>
      </c>
      <c r="F599" s="1961">
        <v>-79667547.969999999</v>
      </c>
      <c r="G599" s="708">
        <f>IF(MID(B599,8,1)="1",0,IF(MID(B599,8,1)="2",E599,E599*$F$3))</f>
        <v>0</v>
      </c>
      <c r="H599" s="708">
        <f>E599-G599</f>
        <v>-107194652.7</v>
      </c>
      <c r="I599" s="708"/>
      <c r="J599" s="708">
        <f>H599</f>
        <v>-107194652.7</v>
      </c>
    </row>
    <row r="600" spans="1:17">
      <c r="A600" s="707">
        <v>244</v>
      </c>
      <c r="B600" s="1962">
        <v>24400002</v>
      </c>
      <c r="C600" s="1962"/>
      <c r="D600" s="1962" t="s">
        <v>2140</v>
      </c>
      <c r="E600" s="1961">
        <v>-78592869.400000006</v>
      </c>
      <c r="F600" s="1961">
        <v>-45308211.170000002</v>
      </c>
      <c r="G600" s="708">
        <f>IF(MID(B600,8,1)="1",0,IF(MID(B600,8,1)="2",E600,E600*$F$3))</f>
        <v>-78592869.400000006</v>
      </c>
      <c r="H600" s="708">
        <f>E600-G600</f>
        <v>0</v>
      </c>
      <c r="I600" s="708"/>
      <c r="J600" s="708">
        <f>H600</f>
        <v>0</v>
      </c>
    </row>
    <row r="601" spans="1:17">
      <c r="A601" s="707">
        <v>244</v>
      </c>
      <c r="B601" s="1962">
        <v>24400011</v>
      </c>
      <c r="C601" s="1962"/>
      <c r="D601" s="1962" t="s">
        <v>2141</v>
      </c>
      <c r="E601" s="1961">
        <v>-19744163.190000001</v>
      </c>
      <c r="F601" s="1961">
        <v>-7452182.5499999998</v>
      </c>
      <c r="G601" s="708">
        <f>IF(MID(B601,8,1)="1",0,IF(MID(B601,8,1)="2",E601,E601*$F$3))</f>
        <v>0</v>
      </c>
      <c r="H601" s="708">
        <f>E601-G601</f>
        <v>-19744163.190000001</v>
      </c>
      <c r="I601" s="708">
        <f>H601</f>
        <v>-19744163.190000001</v>
      </c>
      <c r="J601" s="708"/>
      <c r="L601" s="718"/>
    </row>
    <row r="602" spans="1:17">
      <c r="A602" s="707">
        <v>244</v>
      </c>
      <c r="B602" s="1962">
        <v>24400012</v>
      </c>
      <c r="C602" s="1962"/>
      <c r="D602" s="1962" t="s">
        <v>2142</v>
      </c>
      <c r="E602" s="1961">
        <v>-18304613.68</v>
      </c>
      <c r="F602" s="1961">
        <v>-10914499.92</v>
      </c>
      <c r="G602" s="708">
        <f>IF(MID(B602,8,1)="1",0,IF(MID(B602,8,1)="2",E602,E602*$F$3))</f>
        <v>-18304613.68</v>
      </c>
      <c r="H602" s="708">
        <f>E602-G602</f>
        <v>0</v>
      </c>
      <c r="I602" s="708">
        <f>H602</f>
        <v>0</v>
      </c>
      <c r="J602" s="708"/>
      <c r="L602" s="718"/>
    </row>
    <row r="603" spans="1:17">
      <c r="A603" s="638"/>
      <c r="B603" s="709"/>
      <c r="C603" s="710"/>
      <c r="D603" s="711" t="s">
        <v>104</v>
      </c>
      <c r="E603" s="1958">
        <f t="shared" ref="E603:J603" si="32">SUM(E599:E602)</f>
        <v>-223836298.97000003</v>
      </c>
      <c r="F603" s="1958">
        <f t="shared" si="32"/>
        <v>-143342441.60999998</v>
      </c>
      <c r="G603" s="1958">
        <f t="shared" si="32"/>
        <v>-96897483.080000013</v>
      </c>
      <c r="H603" s="2279">
        <f t="shared" si="32"/>
        <v>-126938815.89</v>
      </c>
      <c r="I603" s="2279">
        <f t="shared" si="32"/>
        <v>-19744163.190000001</v>
      </c>
      <c r="J603" s="1958">
        <f t="shared" si="32"/>
        <v>-107194652.7</v>
      </c>
      <c r="K603" s="1957">
        <f>E603-G603-H603</f>
        <v>0</v>
      </c>
      <c r="L603" s="718" t="s">
        <v>929</v>
      </c>
      <c r="M603" s="706"/>
      <c r="N603" s="706"/>
      <c r="O603" s="706"/>
    </row>
    <row r="604" spans="1:17">
      <c r="B604" s="740"/>
      <c r="D604" s="1952" t="s">
        <v>2143</v>
      </c>
      <c r="E604" s="1956">
        <f>-'FERC p112-113 Liabilities'!D63-E603</f>
        <v>-2.9999971389770508E-2</v>
      </c>
      <c r="F604" s="1956">
        <f>-'FERC p112-113 Liabilities'!E63-F603</f>
        <v>-0.39000001549720764</v>
      </c>
      <c r="K604" s="1964">
        <f>H603-I603-J603</f>
        <v>0</v>
      </c>
      <c r="L604" s="718" t="s">
        <v>929</v>
      </c>
    </row>
    <row r="605" spans="1:17" s="706" customFormat="1">
      <c r="A605" s="697" t="s">
        <v>922</v>
      </c>
      <c r="B605" s="719" t="s">
        <v>96</v>
      </c>
      <c r="C605" s="720" t="s">
        <v>924</v>
      </c>
      <c r="D605" s="697" t="s">
        <v>925</v>
      </c>
      <c r="E605" s="715">
        <f>E6</f>
        <v>45291</v>
      </c>
      <c r="F605" s="715">
        <f>F6</f>
        <v>44926</v>
      </c>
      <c r="I605" s="728" t="s">
        <v>1919</v>
      </c>
      <c r="J605" s="728" t="s">
        <v>1920</v>
      </c>
      <c r="L605" s="685"/>
      <c r="M605" s="685"/>
      <c r="N605" s="685"/>
      <c r="O605" s="685"/>
    </row>
    <row r="606" spans="1:17">
      <c r="A606" s="707">
        <v>245</v>
      </c>
      <c r="B606" s="1962">
        <v>24500001</v>
      </c>
      <c r="C606" s="1962"/>
      <c r="D606" s="1962" t="s">
        <v>2144</v>
      </c>
      <c r="E606" s="1961">
        <v>0</v>
      </c>
      <c r="F606" s="1961">
        <v>0</v>
      </c>
      <c r="G606" s="708">
        <f t="shared" ref="G606:G619" si="33">IF(MID(B606,8,1)="1",0,IF(MID(B606,8,1)="2",E606,E606*$F$3))</f>
        <v>0</v>
      </c>
      <c r="H606" s="708">
        <f t="shared" ref="H606:H619" si="34">E606-G606</f>
        <v>0</v>
      </c>
      <c r="I606" s="741"/>
      <c r="J606" s="742">
        <f>H606</f>
        <v>0</v>
      </c>
    </row>
    <row r="607" spans="1:17">
      <c r="A607" s="707">
        <v>245</v>
      </c>
      <c r="B607" s="1962">
        <v>24500002</v>
      </c>
      <c r="C607" s="1962"/>
      <c r="D607" s="1962" t="s">
        <v>2145</v>
      </c>
      <c r="E607" s="1961">
        <v>0</v>
      </c>
      <c r="F607" s="1961">
        <v>0</v>
      </c>
      <c r="G607" s="708">
        <f t="shared" si="33"/>
        <v>0</v>
      </c>
      <c r="H607" s="708">
        <f t="shared" si="34"/>
        <v>0</v>
      </c>
      <c r="I607" s="741"/>
      <c r="J607" s="742">
        <f>H607</f>
        <v>0</v>
      </c>
    </row>
    <row r="608" spans="1:17">
      <c r="A608" s="707">
        <v>245</v>
      </c>
      <c r="B608" s="1962">
        <v>24500003</v>
      </c>
      <c r="C608" s="1962"/>
      <c r="D608" s="1962" t="s">
        <v>2146</v>
      </c>
      <c r="E608" s="1961">
        <v>0</v>
      </c>
      <c r="F608" s="1961">
        <v>0</v>
      </c>
      <c r="G608" s="708">
        <f t="shared" si="33"/>
        <v>0</v>
      </c>
      <c r="H608" s="708">
        <f t="shared" si="34"/>
        <v>0</v>
      </c>
      <c r="I608" s="741"/>
      <c r="J608" s="742">
        <f>H608</f>
        <v>0</v>
      </c>
    </row>
    <row r="609" spans="1:15">
      <c r="A609" s="707">
        <v>245</v>
      </c>
      <c r="B609" s="1962">
        <v>24500011</v>
      </c>
      <c r="C609" s="1962"/>
      <c r="D609" s="1962" t="s">
        <v>2144</v>
      </c>
      <c r="E609" s="1961">
        <v>0</v>
      </c>
      <c r="F609" s="1961">
        <v>0</v>
      </c>
      <c r="G609" s="708">
        <f t="shared" si="33"/>
        <v>0</v>
      </c>
      <c r="H609" s="708">
        <f t="shared" si="34"/>
        <v>0</v>
      </c>
      <c r="I609" s="741"/>
      <c r="J609" s="742">
        <f>H609</f>
        <v>0</v>
      </c>
    </row>
    <row r="610" spans="1:15">
      <c r="A610" s="707">
        <v>245</v>
      </c>
      <c r="B610" s="1962">
        <v>24500012</v>
      </c>
      <c r="C610" s="1962"/>
      <c r="D610" s="1962" t="s">
        <v>2147</v>
      </c>
      <c r="E610" s="1961">
        <v>0</v>
      </c>
      <c r="F610" s="1961">
        <v>0</v>
      </c>
      <c r="G610" s="708">
        <f t="shared" si="33"/>
        <v>0</v>
      </c>
      <c r="H610" s="708">
        <f t="shared" si="34"/>
        <v>0</v>
      </c>
      <c r="I610" s="741">
        <f>H610</f>
        <v>0</v>
      </c>
      <c r="J610" s="742"/>
    </row>
    <row r="611" spans="1:15">
      <c r="A611" s="707">
        <v>245</v>
      </c>
      <c r="B611" s="1962">
        <v>24500021</v>
      </c>
      <c r="C611" s="1962"/>
      <c r="D611" s="1962" t="s">
        <v>2148</v>
      </c>
      <c r="E611" s="1961">
        <v>0</v>
      </c>
      <c r="F611" s="1961">
        <v>0</v>
      </c>
      <c r="G611" s="708">
        <f t="shared" si="33"/>
        <v>0</v>
      </c>
      <c r="H611" s="708">
        <f t="shared" si="34"/>
        <v>0</v>
      </c>
      <c r="I611" s="741"/>
      <c r="J611" s="742">
        <f>H611</f>
        <v>0</v>
      </c>
    </row>
    <row r="612" spans="1:15">
      <c r="A612" s="707">
        <v>245</v>
      </c>
      <c r="B612" s="1962">
        <v>24500022</v>
      </c>
      <c r="C612" s="1962"/>
      <c r="D612" s="1962" t="s">
        <v>2149</v>
      </c>
      <c r="E612" s="1961">
        <v>0</v>
      </c>
      <c r="F612" s="1961">
        <v>0</v>
      </c>
      <c r="G612" s="708">
        <f t="shared" si="33"/>
        <v>0</v>
      </c>
      <c r="H612" s="708">
        <f t="shared" si="34"/>
        <v>0</v>
      </c>
      <c r="I612" s="741"/>
      <c r="J612" s="742">
        <f>H612</f>
        <v>0</v>
      </c>
    </row>
    <row r="613" spans="1:15">
      <c r="A613" s="707">
        <v>245</v>
      </c>
      <c r="B613" s="1962">
        <v>24500023</v>
      </c>
      <c r="C613" s="1962"/>
      <c r="D613" s="1962" t="s">
        <v>2150</v>
      </c>
      <c r="E613" s="1961">
        <v>0</v>
      </c>
      <c r="F613" s="1961">
        <v>0</v>
      </c>
      <c r="G613" s="708">
        <f t="shared" si="33"/>
        <v>0</v>
      </c>
      <c r="H613" s="708">
        <f t="shared" si="34"/>
        <v>0</v>
      </c>
      <c r="I613" s="741"/>
      <c r="J613" s="742">
        <f>H613</f>
        <v>0</v>
      </c>
    </row>
    <row r="614" spans="1:15">
      <c r="A614" s="707">
        <v>245</v>
      </c>
      <c r="B614" s="1962">
        <v>24500031</v>
      </c>
      <c r="C614" s="1962"/>
      <c r="D614" s="1962" t="s">
        <v>2151</v>
      </c>
      <c r="E614" s="1961">
        <v>0</v>
      </c>
      <c r="F614" s="1961">
        <v>0</v>
      </c>
      <c r="G614" s="708">
        <f t="shared" si="33"/>
        <v>0</v>
      </c>
      <c r="H614" s="708">
        <f t="shared" si="34"/>
        <v>0</v>
      </c>
      <c r="I614" s="741">
        <f>H614</f>
        <v>0</v>
      </c>
      <c r="J614" s="742"/>
    </row>
    <row r="615" spans="1:15">
      <c r="A615" s="707">
        <v>245</v>
      </c>
      <c r="B615" s="1962">
        <v>24500032</v>
      </c>
      <c r="C615" s="1962"/>
      <c r="D615" s="1962" t="s">
        <v>2152</v>
      </c>
      <c r="E615" s="1961">
        <v>0</v>
      </c>
      <c r="F615" s="1961">
        <v>0</v>
      </c>
      <c r="G615" s="708">
        <f t="shared" si="33"/>
        <v>0</v>
      </c>
      <c r="H615" s="708">
        <f t="shared" si="34"/>
        <v>0</v>
      </c>
      <c r="I615" s="741">
        <f>H615</f>
        <v>0</v>
      </c>
      <c r="J615" s="742"/>
    </row>
    <row r="616" spans="1:15">
      <c r="A616" s="707">
        <v>245</v>
      </c>
      <c r="B616" s="1962">
        <v>24500051</v>
      </c>
      <c r="C616" s="1962"/>
      <c r="D616" s="1962" t="s">
        <v>2153</v>
      </c>
      <c r="E616" s="1961">
        <v>0</v>
      </c>
      <c r="F616" s="1961">
        <v>0</v>
      </c>
      <c r="G616" s="708">
        <f t="shared" si="33"/>
        <v>0</v>
      </c>
      <c r="H616" s="708">
        <f t="shared" si="34"/>
        <v>0</v>
      </c>
      <c r="I616" s="741"/>
      <c r="J616" s="742">
        <f>H616</f>
        <v>0</v>
      </c>
    </row>
    <row r="617" spans="1:15">
      <c r="A617" s="707">
        <v>245</v>
      </c>
      <c r="B617" s="1962">
        <v>24500061</v>
      </c>
      <c r="C617" s="1962"/>
      <c r="D617" s="1962" t="s">
        <v>2154</v>
      </c>
      <c r="E617" s="1961">
        <v>0</v>
      </c>
      <c r="F617" s="1961">
        <v>0</v>
      </c>
      <c r="G617" s="708">
        <f t="shared" si="33"/>
        <v>0</v>
      </c>
      <c r="H617" s="708">
        <f t="shared" si="34"/>
        <v>0</v>
      </c>
      <c r="I617" s="741">
        <f>H617</f>
        <v>0</v>
      </c>
      <c r="J617" s="742"/>
    </row>
    <row r="618" spans="1:15">
      <c r="A618" s="707">
        <v>245</v>
      </c>
      <c r="B618" s="1962">
        <v>24500111</v>
      </c>
      <c r="C618" s="1962"/>
      <c r="D618" s="1962" t="s">
        <v>2155</v>
      </c>
      <c r="E618" s="1961">
        <v>0</v>
      </c>
      <c r="F618" s="1961">
        <v>0</v>
      </c>
      <c r="G618" s="708">
        <f t="shared" si="33"/>
        <v>0</v>
      </c>
      <c r="H618" s="708">
        <f t="shared" si="34"/>
        <v>0</v>
      </c>
      <c r="I618" s="741"/>
      <c r="J618" s="742">
        <f>H618</f>
        <v>0</v>
      </c>
      <c r="L618" s="718"/>
    </row>
    <row r="619" spans="1:15">
      <c r="A619" s="707">
        <v>245</v>
      </c>
      <c r="B619" s="1962">
        <v>24500121</v>
      </c>
      <c r="C619" s="1962"/>
      <c r="D619" s="1962" t="s">
        <v>2156</v>
      </c>
      <c r="E619" s="1961">
        <v>0</v>
      </c>
      <c r="F619" s="1961">
        <v>0</v>
      </c>
      <c r="G619" s="708">
        <f t="shared" si="33"/>
        <v>0</v>
      </c>
      <c r="H619" s="708">
        <f t="shared" si="34"/>
        <v>0</v>
      </c>
      <c r="I619" s="741">
        <f>H619</f>
        <v>0</v>
      </c>
      <c r="J619" s="742"/>
      <c r="L619" s="718"/>
    </row>
    <row r="620" spans="1:15">
      <c r="A620" s="638"/>
      <c r="B620" s="709"/>
      <c r="C620" s="710"/>
      <c r="D620" s="711" t="s">
        <v>104</v>
      </c>
      <c r="E620" s="1958">
        <f t="shared" ref="E620:J620" si="35">SUM(E606:E619)</f>
        <v>0</v>
      </c>
      <c r="F620" s="1958">
        <f t="shared" si="35"/>
        <v>0</v>
      </c>
      <c r="G620" s="1958">
        <f t="shared" si="35"/>
        <v>0</v>
      </c>
      <c r="H620" s="2279">
        <f t="shared" si="35"/>
        <v>0</v>
      </c>
      <c r="I620" s="2279">
        <f t="shared" si="35"/>
        <v>0</v>
      </c>
      <c r="J620" s="1958">
        <f t="shared" si="35"/>
        <v>0</v>
      </c>
      <c r="K620" s="1957">
        <f>E620-G620-H620</f>
        <v>0</v>
      </c>
      <c r="L620" s="718" t="s">
        <v>929</v>
      </c>
      <c r="M620" s="706"/>
      <c r="N620" s="706"/>
      <c r="O620" s="706"/>
    </row>
    <row r="621" spans="1:15">
      <c r="B621" s="727"/>
      <c r="D621" s="1952" t="s">
        <v>2143</v>
      </c>
      <c r="E621" s="1956">
        <f>-'FERC p112-113 Liabilities'!D65-E620</f>
        <v>0</v>
      </c>
      <c r="F621" s="1956">
        <f>-'FERC p112-113 Liabilities'!E65-F620</f>
        <v>0</v>
      </c>
      <c r="K621" s="1964">
        <f>H620-I620-J620</f>
        <v>0</v>
      </c>
      <c r="L621" s="718" t="s">
        <v>929</v>
      </c>
    </row>
    <row r="622" spans="1:15" s="706" customFormat="1">
      <c r="A622" s="697" t="s">
        <v>922</v>
      </c>
      <c r="B622" s="719" t="s">
        <v>96</v>
      </c>
      <c r="C622" s="720" t="s">
        <v>924</v>
      </c>
      <c r="D622" s="697" t="s">
        <v>925</v>
      </c>
      <c r="E622" s="715">
        <f>E6</f>
        <v>45291</v>
      </c>
      <c r="F622" s="715">
        <f>F6</f>
        <v>44926</v>
      </c>
      <c r="L622" s="685"/>
      <c r="M622" s="685"/>
      <c r="N622" s="685"/>
      <c r="O622" s="685"/>
    </row>
    <row r="623" spans="1:15">
      <c r="A623" s="707">
        <v>252</v>
      </c>
      <c r="B623" s="1962">
        <v>25200001</v>
      </c>
      <c r="C623" s="1962"/>
      <c r="D623" s="1962" t="s">
        <v>2157</v>
      </c>
      <c r="E623" s="1961">
        <v>0</v>
      </c>
      <c r="F623" s="1961">
        <v>0</v>
      </c>
      <c r="G623" s="708">
        <f t="shared" ref="G623:G637" si="36">IF(MID(B623,8,1)="1",0,IF(MID(B623,8,1)="2",E623,E623*$F$3))</f>
        <v>0</v>
      </c>
      <c r="H623" s="708">
        <f t="shared" ref="H623:H637" si="37">E623-G623</f>
        <v>0</v>
      </c>
    </row>
    <row r="624" spans="1:15">
      <c r="A624" s="707">
        <v>252</v>
      </c>
      <c r="B624" s="1962">
        <v>25200121</v>
      </c>
      <c r="C624" s="1962"/>
      <c r="D624" s="1962" t="s">
        <v>2158</v>
      </c>
      <c r="E624" s="1961">
        <v>0</v>
      </c>
      <c r="F624" s="1961">
        <v>0</v>
      </c>
      <c r="G624" s="708">
        <f t="shared" si="36"/>
        <v>0</v>
      </c>
      <c r="H624" s="708">
        <f t="shared" si="37"/>
        <v>0</v>
      </c>
    </row>
    <row r="625" spans="1:15">
      <c r="A625" s="707">
        <v>252</v>
      </c>
      <c r="B625" s="1962">
        <v>25200122</v>
      </c>
      <c r="C625" s="1962"/>
      <c r="D625" s="1962" t="s">
        <v>2159</v>
      </c>
      <c r="E625" s="1961">
        <v>0</v>
      </c>
      <c r="F625" s="1961">
        <v>0</v>
      </c>
      <c r="G625" s="708">
        <f t="shared" si="36"/>
        <v>0</v>
      </c>
      <c r="H625" s="708">
        <f t="shared" si="37"/>
        <v>0</v>
      </c>
    </row>
    <row r="626" spans="1:15">
      <c r="A626" s="707">
        <v>252</v>
      </c>
      <c r="B626" s="1962">
        <v>25200152</v>
      </c>
      <c r="C626" s="1962"/>
      <c r="D626" s="1962" t="s">
        <v>2160</v>
      </c>
      <c r="E626" s="1961">
        <v>0</v>
      </c>
      <c r="F626" s="1961">
        <v>0</v>
      </c>
      <c r="G626" s="708">
        <f t="shared" si="36"/>
        <v>0</v>
      </c>
      <c r="H626" s="708">
        <f t="shared" si="37"/>
        <v>0</v>
      </c>
    </row>
    <row r="627" spans="1:15">
      <c r="A627" s="707">
        <v>252</v>
      </c>
      <c r="B627" s="1962">
        <v>25200161</v>
      </c>
      <c r="C627" s="1962"/>
      <c r="D627" s="1962" t="s">
        <v>2161</v>
      </c>
      <c r="E627" s="1961">
        <v>-13807658.34</v>
      </c>
      <c r="F627" s="1961">
        <v>-13717181.76</v>
      </c>
      <c r="G627" s="708">
        <f t="shared" si="36"/>
        <v>0</v>
      </c>
      <c r="H627" s="708">
        <f t="shared" si="37"/>
        <v>-13807658.34</v>
      </c>
    </row>
    <row r="628" spans="1:15">
      <c r="A628" s="707">
        <v>252</v>
      </c>
      <c r="B628" s="1962">
        <v>25200162</v>
      </c>
      <c r="C628" s="1962" t="s">
        <v>968</v>
      </c>
      <c r="D628" s="1962" t="s">
        <v>2162</v>
      </c>
      <c r="E628" s="1961">
        <v>-398555.87</v>
      </c>
      <c r="F628" s="1961">
        <v>-317942.62</v>
      </c>
      <c r="G628" s="708">
        <f t="shared" si="36"/>
        <v>-398555.87</v>
      </c>
      <c r="H628" s="708">
        <f t="shared" si="37"/>
        <v>0</v>
      </c>
    </row>
    <row r="629" spans="1:15">
      <c r="A629" s="707">
        <v>252</v>
      </c>
      <c r="B629" s="1962">
        <v>25200171</v>
      </c>
      <c r="C629" s="1962"/>
      <c r="D629" s="1962" t="s">
        <v>2163</v>
      </c>
      <c r="E629" s="1961">
        <v>-36775794.280000001</v>
      </c>
      <c r="F629" s="1961">
        <v>-34712921.090000004</v>
      </c>
      <c r="G629" s="708">
        <f t="shared" si="36"/>
        <v>0</v>
      </c>
      <c r="H629" s="708">
        <f t="shared" si="37"/>
        <v>-36775794.280000001</v>
      </c>
    </row>
    <row r="630" spans="1:15">
      <c r="A630" s="707">
        <v>252</v>
      </c>
      <c r="B630" s="1962">
        <v>25200181</v>
      </c>
      <c r="C630" s="1962"/>
      <c r="D630" s="1962" t="s">
        <v>2164</v>
      </c>
      <c r="E630" s="1961">
        <v>-90966036.780000001</v>
      </c>
      <c r="F630" s="1961">
        <v>-74762143.640000001</v>
      </c>
      <c r="G630" s="708">
        <f t="shared" si="36"/>
        <v>0</v>
      </c>
      <c r="H630" s="708">
        <f t="shared" si="37"/>
        <v>-90966036.780000001</v>
      </c>
    </row>
    <row r="631" spans="1:15">
      <c r="A631" s="707">
        <v>252</v>
      </c>
      <c r="B631" s="1962">
        <v>25200201</v>
      </c>
      <c r="C631" s="1962"/>
      <c r="D631" s="1962" t="s">
        <v>1472</v>
      </c>
      <c r="E631" s="1961">
        <v>0</v>
      </c>
      <c r="F631" s="1961">
        <v>0</v>
      </c>
      <c r="G631" s="708">
        <f t="shared" si="36"/>
        <v>0</v>
      </c>
      <c r="H631" s="708">
        <f t="shared" si="37"/>
        <v>0</v>
      </c>
    </row>
    <row r="632" spans="1:15">
      <c r="A632" s="707">
        <v>252</v>
      </c>
      <c r="B632" s="1962">
        <v>25200202</v>
      </c>
      <c r="C632" s="1962"/>
      <c r="D632" s="1962" t="s">
        <v>2165</v>
      </c>
      <c r="E632" s="1961">
        <v>0</v>
      </c>
      <c r="F632" s="1961">
        <v>-156849.79999999999</v>
      </c>
      <c r="G632" s="708">
        <f t="shared" si="36"/>
        <v>0</v>
      </c>
      <c r="H632" s="708">
        <f t="shared" si="37"/>
        <v>0</v>
      </c>
    </row>
    <row r="633" spans="1:15">
      <c r="A633" s="707">
        <v>252</v>
      </c>
      <c r="B633" s="1962">
        <v>25200212</v>
      </c>
      <c r="C633" s="1962"/>
      <c r="D633" s="1962" t="s">
        <v>2166</v>
      </c>
      <c r="E633" s="1961">
        <v>0</v>
      </c>
      <c r="F633" s="1961">
        <v>0</v>
      </c>
      <c r="G633" s="708">
        <f t="shared" si="36"/>
        <v>0</v>
      </c>
      <c r="H633" s="708">
        <f t="shared" si="37"/>
        <v>0</v>
      </c>
    </row>
    <row r="634" spans="1:15">
      <c r="A634" s="707">
        <v>252</v>
      </c>
      <c r="B634" s="1962">
        <v>25200222</v>
      </c>
      <c r="C634" s="1962"/>
      <c r="D634" s="1962" t="s">
        <v>2167</v>
      </c>
      <c r="E634" s="1961">
        <v>0</v>
      </c>
      <c r="F634" s="1961">
        <v>-41714</v>
      </c>
      <c r="G634" s="708">
        <f t="shared" si="36"/>
        <v>0</v>
      </c>
      <c r="H634" s="708">
        <f t="shared" si="37"/>
        <v>0</v>
      </c>
    </row>
    <row r="635" spans="1:15">
      <c r="A635" s="707">
        <v>252</v>
      </c>
      <c r="B635" s="1962">
        <v>25200232</v>
      </c>
      <c r="C635" s="1962"/>
      <c r="D635" s="1962" t="s">
        <v>2168</v>
      </c>
      <c r="E635" s="1961">
        <v>0</v>
      </c>
      <c r="F635" s="1961">
        <v>0</v>
      </c>
      <c r="G635" s="708">
        <f t="shared" si="36"/>
        <v>0</v>
      </c>
      <c r="H635" s="708">
        <f t="shared" si="37"/>
        <v>0</v>
      </c>
    </row>
    <row r="636" spans="1:15">
      <c r="A636" s="707">
        <v>252</v>
      </c>
      <c r="B636" s="1962">
        <v>25200262</v>
      </c>
      <c r="C636" s="1962"/>
      <c r="D636" s="1962" t="s">
        <v>2169</v>
      </c>
      <c r="E636" s="1961">
        <v>0</v>
      </c>
      <c r="F636" s="1961">
        <v>0</v>
      </c>
      <c r="G636" s="708">
        <f t="shared" si="36"/>
        <v>0</v>
      </c>
      <c r="H636" s="708">
        <f t="shared" si="37"/>
        <v>0</v>
      </c>
    </row>
    <row r="637" spans="1:15">
      <c r="A637" s="707">
        <v>252</v>
      </c>
      <c r="B637" s="1962">
        <v>25200272</v>
      </c>
      <c r="C637" s="1962"/>
      <c r="D637" s="1962" t="s">
        <v>2170</v>
      </c>
      <c r="E637" s="1961">
        <v>0</v>
      </c>
      <c r="F637" s="1961">
        <v>0</v>
      </c>
      <c r="G637" s="708">
        <f t="shared" si="36"/>
        <v>0</v>
      </c>
      <c r="H637" s="708">
        <f t="shared" si="37"/>
        <v>0</v>
      </c>
    </row>
    <row r="638" spans="1:15">
      <c r="A638" s="638"/>
      <c r="B638" s="709"/>
      <c r="C638" s="710"/>
      <c r="D638" s="711" t="s">
        <v>104</v>
      </c>
      <c r="E638" s="1958">
        <f>SUM(E623:E637)</f>
        <v>-141948045.27000001</v>
      </c>
      <c r="F638" s="1958">
        <f>SUM(F623:F637)</f>
        <v>-123708752.91</v>
      </c>
      <c r="G638" s="1958">
        <f>SUM(G623:G637)</f>
        <v>-398555.87</v>
      </c>
      <c r="H638" s="2279">
        <f>SUM(H623:H637)</f>
        <v>-141549489.40000001</v>
      </c>
      <c r="I638" s="1957">
        <f>E638-G638-H638</f>
        <v>0</v>
      </c>
      <c r="J638" s="718" t="s">
        <v>929</v>
      </c>
      <c r="L638" s="706"/>
      <c r="M638" s="706"/>
      <c r="N638" s="706"/>
      <c r="O638" s="706"/>
    </row>
    <row r="639" spans="1:15">
      <c r="B639" s="713"/>
      <c r="D639" s="1952" t="s">
        <v>2143</v>
      </c>
      <c r="E639" s="1956">
        <f>-'FERC p112-113 Liabilities'!D69-E638</f>
        <v>0.27000001072883606</v>
      </c>
      <c r="F639" s="1956">
        <f>-'FERC p112-113 Liabilities'!E69-F638</f>
        <v>-9.0000003576278687E-2</v>
      </c>
    </row>
    <row r="640" spans="1:15" s="706" customFormat="1">
      <c r="A640" s="697" t="s">
        <v>922</v>
      </c>
      <c r="B640" s="719" t="s">
        <v>96</v>
      </c>
      <c r="C640" s="720" t="s">
        <v>924</v>
      </c>
      <c r="D640" s="697" t="s">
        <v>925</v>
      </c>
      <c r="E640" s="715">
        <f>E6</f>
        <v>45291</v>
      </c>
      <c r="F640" s="715">
        <f>F6</f>
        <v>44926</v>
      </c>
      <c r="L640" s="685"/>
      <c r="M640" s="685"/>
      <c r="N640" s="685"/>
      <c r="O640" s="685"/>
    </row>
    <row r="641" spans="1:15">
      <c r="A641" s="707">
        <v>255</v>
      </c>
      <c r="B641" s="1962">
        <v>25500002</v>
      </c>
      <c r="C641" s="1962"/>
      <c r="D641" s="1962" t="s">
        <v>2171</v>
      </c>
      <c r="E641" s="1961">
        <v>0</v>
      </c>
      <c r="F641" s="1961">
        <v>-8165809</v>
      </c>
      <c r="G641" s="708">
        <f>IF(MID(B641,8,1)="1",0,IF(MID(B641,8,1)="2",E641,E641*$F$3))</f>
        <v>0</v>
      </c>
      <c r="H641" s="708">
        <f>E641-G641</f>
        <v>0</v>
      </c>
    </row>
    <row r="642" spans="1:15">
      <c r="A642" s="707">
        <v>255</v>
      </c>
      <c r="B642" s="1962">
        <v>25500022</v>
      </c>
      <c r="C642" s="1962"/>
      <c r="D642" s="1962" t="s">
        <v>2171</v>
      </c>
      <c r="E642" s="1961">
        <v>0</v>
      </c>
      <c r="F642" s="1961">
        <v>8165809</v>
      </c>
      <c r="G642" s="708">
        <f>IF(MID(B642,8,1)="1",0,IF(MID(B642,8,1)="2",E642,E642*$F$3))</f>
        <v>0</v>
      </c>
      <c r="H642" s="708">
        <f>E642-G642</f>
        <v>0</v>
      </c>
    </row>
    <row r="643" spans="1:15">
      <c r="A643" s="638"/>
      <c r="B643" s="709"/>
      <c r="C643" s="710"/>
      <c r="D643" s="711" t="s">
        <v>104</v>
      </c>
      <c r="E643" s="1958">
        <f>SUM(E641:E642)</f>
        <v>0</v>
      </c>
      <c r="F643" s="1958">
        <f>SUM(F641:F642)</f>
        <v>0</v>
      </c>
      <c r="G643" s="1958">
        <f>SUM(G641:G642)</f>
        <v>0</v>
      </c>
      <c r="H643" s="2279">
        <f>SUM(H641:H642)</f>
        <v>0</v>
      </c>
      <c r="I643" s="1957">
        <f>E643-G643-H643</f>
        <v>0</v>
      </c>
      <c r="J643" s="718" t="s">
        <v>929</v>
      </c>
      <c r="L643" s="706"/>
      <c r="M643" s="706"/>
      <c r="N643" s="706"/>
      <c r="O643" s="706"/>
    </row>
    <row r="644" spans="1:15">
      <c r="B644" s="713"/>
      <c r="D644" s="1952" t="s">
        <v>2143</v>
      </c>
      <c r="E644" s="1956">
        <f>-'FERC p112-113 Liabilities'!D70-E643</f>
        <v>0</v>
      </c>
      <c r="F644" s="1956">
        <f>-'FERC p112-113 Liabilities'!E70-F643</f>
        <v>0</v>
      </c>
    </row>
    <row r="645" spans="1:15" s="706" customFormat="1">
      <c r="A645" s="697" t="s">
        <v>922</v>
      </c>
      <c r="B645" s="719" t="s">
        <v>96</v>
      </c>
      <c r="C645" s="720" t="s">
        <v>924</v>
      </c>
      <c r="D645" s="697" t="s">
        <v>925</v>
      </c>
      <c r="E645" s="715">
        <f>E6</f>
        <v>45291</v>
      </c>
      <c r="F645" s="715">
        <f>F6</f>
        <v>44926</v>
      </c>
      <c r="L645" s="685"/>
      <c r="M645" s="685"/>
      <c r="N645" s="685"/>
      <c r="O645" s="685"/>
    </row>
    <row r="646" spans="1:15">
      <c r="A646" s="707">
        <v>257</v>
      </c>
      <c r="B646" s="1962">
        <v>25700013</v>
      </c>
      <c r="C646" s="1962"/>
      <c r="D646" s="1962" t="s">
        <v>2172</v>
      </c>
      <c r="E646" s="1961">
        <v>0</v>
      </c>
      <c r="F646" s="1961">
        <v>0</v>
      </c>
      <c r="G646" s="708">
        <f>IF(MID(B646,8,1)="1",0,IF(MID(B646,8,1)="2",E646,E646*$F$3))</f>
        <v>0</v>
      </c>
      <c r="H646" s="708">
        <f>E646-G646</f>
        <v>0</v>
      </c>
    </row>
    <row r="647" spans="1:15">
      <c r="A647" s="638"/>
      <c r="B647" s="709"/>
      <c r="C647" s="710"/>
      <c r="D647" s="711" t="s">
        <v>104</v>
      </c>
      <c r="E647" s="1958">
        <f>SUM(E646:E646)</f>
        <v>0</v>
      </c>
      <c r="F647" s="1958">
        <f>SUM(F646:F646)</f>
        <v>0</v>
      </c>
      <c r="G647" s="1958">
        <f>SUM(G646:G646)</f>
        <v>0</v>
      </c>
      <c r="H647" s="2279">
        <f>SUM(H646:H646)</f>
        <v>0</v>
      </c>
      <c r="I647" s="1957">
        <f>E647-G647-H647</f>
        <v>0</v>
      </c>
      <c r="J647" s="718" t="s">
        <v>929</v>
      </c>
      <c r="L647" s="706"/>
      <c r="M647" s="706"/>
      <c r="N647" s="706"/>
      <c r="O647" s="706"/>
    </row>
    <row r="648" spans="1:15">
      <c r="B648" s="713"/>
      <c r="D648" s="1952" t="s">
        <v>2143</v>
      </c>
      <c r="E648" s="1956">
        <f>-'FERC p112-113 Liabilities'!D74-E647</f>
        <v>0</v>
      </c>
      <c r="F648" s="1956">
        <f>-'FERC p112-113 Liabilities'!E74-F647</f>
        <v>0</v>
      </c>
    </row>
    <row r="649" spans="1:15" s="706" customFormat="1">
      <c r="A649" s="697" t="s">
        <v>922</v>
      </c>
      <c r="B649" s="719" t="s">
        <v>96</v>
      </c>
      <c r="C649" s="720" t="s">
        <v>924</v>
      </c>
      <c r="D649" s="697" t="s">
        <v>925</v>
      </c>
      <c r="E649" s="715">
        <f>E6</f>
        <v>45291</v>
      </c>
      <c r="F649" s="715">
        <f>F6</f>
        <v>44926</v>
      </c>
      <c r="L649" s="685"/>
      <c r="M649" s="685"/>
      <c r="N649" s="685"/>
      <c r="O649" s="685"/>
    </row>
    <row r="650" spans="1:15">
      <c r="A650" s="707">
        <v>282</v>
      </c>
      <c r="B650" s="1962">
        <v>28200002</v>
      </c>
      <c r="C650" s="1962" t="s">
        <v>2173</v>
      </c>
      <c r="D650" s="1962" t="s">
        <v>2174</v>
      </c>
      <c r="E650" s="1961">
        <v>-574524102.20000005</v>
      </c>
      <c r="F650" s="1961">
        <v>-578264756.66999996</v>
      </c>
      <c r="G650" s="708">
        <f t="shared" ref="G650:G659" si="38">IF(MID(B650,8,1)="1",0,IF(MID(B650,8,1)="2",E650,E650*$F$3))</f>
        <v>-574524102.20000005</v>
      </c>
      <c r="H650" s="708">
        <f t="shared" ref="H650:H659" si="39">E650-G650</f>
        <v>0</v>
      </c>
    </row>
    <row r="651" spans="1:15">
      <c r="A651" s="707">
        <v>282</v>
      </c>
      <c r="B651" s="1962">
        <v>28200013</v>
      </c>
      <c r="C651" s="1962"/>
      <c r="D651" s="1962" t="s">
        <v>2175</v>
      </c>
      <c r="E651" s="1961">
        <v>-53387984.359999999</v>
      </c>
      <c r="F651" s="1961">
        <v>-62040025.009999998</v>
      </c>
      <c r="G651" s="708">
        <f t="shared" si="38"/>
        <v>-18333433.640468709</v>
      </c>
      <c r="H651" s="708">
        <f t="shared" si="39"/>
        <v>-35054550.71953129</v>
      </c>
    </row>
    <row r="652" spans="1:15">
      <c r="A652" s="707">
        <v>282</v>
      </c>
      <c r="B652" s="1962">
        <v>28200033</v>
      </c>
      <c r="C652" s="1962" t="s">
        <v>968</v>
      </c>
      <c r="D652" s="1962" t="s">
        <v>2176</v>
      </c>
      <c r="E652" s="1961">
        <v>2487177.23</v>
      </c>
      <c r="F652" s="1961">
        <v>2687893.09</v>
      </c>
      <c r="G652" s="708">
        <f t="shared" si="38"/>
        <v>854096.65198848839</v>
      </c>
      <c r="H652" s="708">
        <f t="shared" si="39"/>
        <v>1633080.5780115116</v>
      </c>
      <c r="L652" s="743"/>
    </row>
    <row r="653" spans="1:15">
      <c r="A653" s="707">
        <v>282</v>
      </c>
      <c r="B653" s="1962">
        <v>28200042</v>
      </c>
      <c r="C653" s="1962"/>
      <c r="D653" s="1962" t="s">
        <v>2177</v>
      </c>
      <c r="E653" s="1961">
        <v>0</v>
      </c>
      <c r="F653" s="1961">
        <v>0</v>
      </c>
      <c r="G653" s="708">
        <f t="shared" si="38"/>
        <v>0</v>
      </c>
      <c r="H653" s="708">
        <f t="shared" si="39"/>
        <v>0</v>
      </c>
      <c r="L653" s="743"/>
    </row>
    <row r="654" spans="1:15">
      <c r="A654" s="707">
        <v>282</v>
      </c>
      <c r="B654" s="1962">
        <v>28200121</v>
      </c>
      <c r="C654" s="1962"/>
      <c r="D654" s="1962" t="s">
        <v>2178</v>
      </c>
      <c r="E654" s="1961">
        <v>-1171051255.9300001</v>
      </c>
      <c r="F654" s="1961">
        <v>-1215027000.7</v>
      </c>
      <c r="G654" s="708">
        <f t="shared" si="38"/>
        <v>0</v>
      </c>
      <c r="H654" s="708">
        <f t="shared" si="39"/>
        <v>-1171051255.9300001</v>
      </c>
      <c r="L654" s="743"/>
    </row>
    <row r="655" spans="1:15">
      <c r="A655" s="707">
        <v>282</v>
      </c>
      <c r="B655" s="1962">
        <v>28200171</v>
      </c>
      <c r="C655" s="1962"/>
      <c r="D655" s="1962" t="s">
        <v>2179</v>
      </c>
      <c r="E655" s="1961">
        <v>0</v>
      </c>
      <c r="F655" s="1961">
        <v>0</v>
      </c>
      <c r="G655" s="708">
        <f t="shared" si="38"/>
        <v>0</v>
      </c>
      <c r="H655" s="708">
        <f t="shared" si="39"/>
        <v>0</v>
      </c>
      <c r="L655" s="743"/>
    </row>
    <row r="656" spans="1:15">
      <c r="A656" s="707">
        <v>282</v>
      </c>
      <c r="B656" s="1978">
        <v>28200181</v>
      </c>
      <c r="C656" s="1978" t="s">
        <v>968</v>
      </c>
      <c r="D656" s="1978" t="s">
        <v>2180</v>
      </c>
      <c r="E656" s="1963">
        <v>441461247</v>
      </c>
      <c r="F656" s="1963">
        <v>464996895.86300611</v>
      </c>
      <c r="G656" s="708">
        <f t="shared" si="38"/>
        <v>0</v>
      </c>
      <c r="H656" s="708">
        <f t="shared" si="39"/>
        <v>441461247</v>
      </c>
    </row>
    <row r="657" spans="1:15">
      <c r="A657" s="707">
        <v>282</v>
      </c>
      <c r="B657" s="1978">
        <v>28200182</v>
      </c>
      <c r="C657" s="1978" t="s">
        <v>968</v>
      </c>
      <c r="D657" s="1978" t="s">
        <v>2181</v>
      </c>
      <c r="E657" s="1963">
        <v>206356094</v>
      </c>
      <c r="F657" s="1963">
        <v>210618286.03699395</v>
      </c>
      <c r="G657" s="708">
        <f t="shared" si="38"/>
        <v>206356094</v>
      </c>
      <c r="H657" s="708">
        <f t="shared" si="39"/>
        <v>0</v>
      </c>
    </row>
    <row r="658" spans="1:15">
      <c r="A658" s="707">
        <v>282</v>
      </c>
      <c r="B658" s="1962">
        <v>28200191</v>
      </c>
      <c r="C658" s="1962" t="s">
        <v>968</v>
      </c>
      <c r="D658" s="1962" t="s">
        <v>2182</v>
      </c>
      <c r="E658" s="1961">
        <v>0</v>
      </c>
      <c r="F658" s="1961">
        <v>0</v>
      </c>
      <c r="G658" s="708">
        <f t="shared" si="38"/>
        <v>0</v>
      </c>
      <c r="H658" s="708">
        <f t="shared" si="39"/>
        <v>0</v>
      </c>
    </row>
    <row r="659" spans="1:15">
      <c r="A659" s="707">
        <v>282</v>
      </c>
      <c r="B659" s="1962">
        <v>28200192</v>
      </c>
      <c r="C659" s="1962" t="s">
        <v>968</v>
      </c>
      <c r="D659" s="1962" t="s">
        <v>2183</v>
      </c>
      <c r="E659" s="1961">
        <v>0</v>
      </c>
      <c r="F659" s="1961">
        <v>0</v>
      </c>
      <c r="G659" s="708">
        <f t="shared" si="38"/>
        <v>0</v>
      </c>
      <c r="H659" s="708">
        <f t="shared" si="39"/>
        <v>0</v>
      </c>
    </row>
    <row r="660" spans="1:15">
      <c r="A660" s="638"/>
      <c r="B660" s="709"/>
      <c r="C660" s="710"/>
      <c r="D660" s="711" t="s">
        <v>104</v>
      </c>
      <c r="E660" s="1958">
        <f>SUM(E650:E659)</f>
        <v>-1148658824.2600002</v>
      </c>
      <c r="F660" s="1958">
        <f>SUM(F650:F659)</f>
        <v>-1177028707.3899999</v>
      </c>
      <c r="G660" s="1958">
        <f>SUM(G650:G659)</f>
        <v>-385647345.18848026</v>
      </c>
      <c r="H660" s="2279">
        <f>SUM(H650:H659)</f>
        <v>-763011479.07151985</v>
      </c>
      <c r="I660" s="1957">
        <f>E660-G660-H660</f>
        <v>0</v>
      </c>
      <c r="J660" s="718" t="s">
        <v>929</v>
      </c>
      <c r="L660" s="706"/>
      <c r="M660" s="706"/>
      <c r="N660" s="706"/>
      <c r="O660" s="706"/>
    </row>
    <row r="661" spans="1:15">
      <c r="B661" s="713"/>
      <c r="D661" s="1952" t="s">
        <v>2143</v>
      </c>
      <c r="E661" s="1956">
        <f>-'FERC p112-113 Liabilities'!D76-E660</f>
        <v>0.26000022888183594</v>
      </c>
      <c r="F661" s="1956">
        <f>-'FERC p112-113 Liabilities'!E76-F660</f>
        <v>0.3899998664855957</v>
      </c>
      <c r="L661" s="706"/>
      <c r="M661" s="706"/>
      <c r="N661" s="706"/>
      <c r="O661" s="706"/>
    </row>
    <row r="662" spans="1:15" s="706" customFormat="1">
      <c r="A662" s="697" t="s">
        <v>922</v>
      </c>
      <c r="B662" s="719" t="s">
        <v>96</v>
      </c>
      <c r="C662" s="720" t="s">
        <v>924</v>
      </c>
      <c r="D662" s="697" t="s">
        <v>925</v>
      </c>
      <c r="E662" s="715">
        <f>E6</f>
        <v>45291</v>
      </c>
      <c r="F662" s="715">
        <f>F6</f>
        <v>44926</v>
      </c>
      <c r="L662" s="685"/>
      <c r="M662" s="685"/>
      <c r="N662" s="685"/>
      <c r="O662" s="685"/>
    </row>
    <row r="663" spans="1:15" s="706" customFormat="1">
      <c r="A663" s="707">
        <v>283</v>
      </c>
      <c r="B663" s="1962">
        <v>28300001</v>
      </c>
      <c r="C663" s="1962"/>
      <c r="D663" s="1962" t="s">
        <v>2184</v>
      </c>
      <c r="E663" s="1961">
        <v>0</v>
      </c>
      <c r="F663" s="1961">
        <v>0</v>
      </c>
      <c r="G663" s="708">
        <f t="shared" ref="G663:G694" si="40">IF(MID(B663,8,1)="1",0,IF(MID(B663,8,1)="2",E663,E663*$F$3))</f>
        <v>0</v>
      </c>
      <c r="H663" s="708">
        <f t="shared" ref="H663:H694" si="41">E663-G663</f>
        <v>0</v>
      </c>
      <c r="L663" s="685"/>
      <c r="M663" s="685"/>
      <c r="N663" s="685"/>
      <c r="O663" s="685"/>
    </row>
    <row r="664" spans="1:15">
      <c r="A664" s="707">
        <v>283</v>
      </c>
      <c r="B664" s="1962">
        <v>28300031</v>
      </c>
      <c r="C664" s="1962"/>
      <c r="D664" s="1962" t="s">
        <v>2185</v>
      </c>
      <c r="E664" s="1961">
        <v>-13215029.34</v>
      </c>
      <c r="F664" s="1961">
        <v>-56240360.969999999</v>
      </c>
      <c r="G664" s="708">
        <f t="shared" si="40"/>
        <v>0</v>
      </c>
      <c r="H664" s="708">
        <f t="shared" si="41"/>
        <v>-13215029.34</v>
      </c>
    </row>
    <row r="665" spans="1:15">
      <c r="A665" s="707">
        <v>283</v>
      </c>
      <c r="B665" s="1962">
        <v>28300033</v>
      </c>
      <c r="C665" s="1962" t="s">
        <v>2022</v>
      </c>
      <c r="D665" s="1962" t="s">
        <v>2186</v>
      </c>
      <c r="E665" s="1961">
        <v>-57182892.670000002</v>
      </c>
      <c r="F665" s="1961">
        <v>-53440580.020000003</v>
      </c>
      <c r="G665" s="708">
        <f t="shared" si="40"/>
        <v>-19636605.140705664</v>
      </c>
      <c r="H665" s="708">
        <f t="shared" si="41"/>
        <v>-37546287.529294342</v>
      </c>
    </row>
    <row r="666" spans="1:15">
      <c r="A666" s="707">
        <v>283</v>
      </c>
      <c r="B666" s="1962">
        <v>28300041</v>
      </c>
      <c r="C666" s="1962"/>
      <c r="D666" s="1962" t="s">
        <v>2187</v>
      </c>
      <c r="E666" s="1961">
        <v>-6320752.7400000002</v>
      </c>
      <c r="F666" s="1961">
        <v>-14677282.16</v>
      </c>
      <c r="G666" s="708">
        <f t="shared" si="40"/>
        <v>0</v>
      </c>
      <c r="H666" s="708">
        <f t="shared" si="41"/>
        <v>-6320752.7400000002</v>
      </c>
    </row>
    <row r="667" spans="1:15">
      <c r="A667" s="707">
        <v>283</v>
      </c>
      <c r="B667" s="1962">
        <v>28300043</v>
      </c>
      <c r="C667" s="1962" t="s">
        <v>2022</v>
      </c>
      <c r="D667" s="1962" t="s">
        <v>2188</v>
      </c>
      <c r="E667" s="1961">
        <v>-6641354.9900000002</v>
      </c>
      <c r="F667" s="1961">
        <v>-7083645.5999999996</v>
      </c>
      <c r="G667" s="708">
        <f t="shared" si="40"/>
        <v>-2280641.2800852316</v>
      </c>
      <c r="H667" s="708">
        <f t="shared" si="41"/>
        <v>-4360713.7099147681</v>
      </c>
    </row>
    <row r="668" spans="1:15">
      <c r="A668" s="707">
        <v>283</v>
      </c>
      <c r="B668" s="1962">
        <v>28300053</v>
      </c>
      <c r="C668" s="1962"/>
      <c r="D668" s="1962" t="s">
        <v>2189</v>
      </c>
      <c r="E668" s="1961">
        <v>0</v>
      </c>
      <c r="F668" s="1961">
        <v>0</v>
      </c>
      <c r="G668" s="708">
        <f t="shared" si="40"/>
        <v>0</v>
      </c>
      <c r="H668" s="708">
        <f t="shared" si="41"/>
        <v>0</v>
      </c>
    </row>
    <row r="669" spans="1:15">
      <c r="A669" s="707">
        <v>283</v>
      </c>
      <c r="B669" s="1962">
        <v>28300073</v>
      </c>
      <c r="C669" s="1962"/>
      <c r="D669" s="1962" t="s">
        <v>2190</v>
      </c>
      <c r="E669" s="1961">
        <v>0</v>
      </c>
      <c r="F669" s="1961">
        <v>0</v>
      </c>
      <c r="G669" s="708">
        <f t="shared" si="40"/>
        <v>0</v>
      </c>
      <c r="H669" s="708">
        <f t="shared" si="41"/>
        <v>0</v>
      </c>
    </row>
    <row r="670" spans="1:15">
      <c r="A670" s="707">
        <v>283</v>
      </c>
      <c r="B670" s="1962">
        <v>28300081</v>
      </c>
      <c r="C670" s="1962"/>
      <c r="D670" s="1962" t="s">
        <v>2191</v>
      </c>
      <c r="E670" s="1961">
        <v>-1941426.2</v>
      </c>
      <c r="F670" s="1961">
        <v>-2085784.4</v>
      </c>
      <c r="G670" s="708">
        <f t="shared" si="40"/>
        <v>0</v>
      </c>
      <c r="H670" s="708">
        <f t="shared" si="41"/>
        <v>-1941426.2</v>
      </c>
    </row>
    <row r="671" spans="1:15">
      <c r="A671" s="707">
        <v>283</v>
      </c>
      <c r="B671" s="1962">
        <v>28300091</v>
      </c>
      <c r="C671" s="1962"/>
      <c r="D671" s="1962" t="s">
        <v>2192</v>
      </c>
      <c r="E671" s="1961">
        <v>0</v>
      </c>
      <c r="F671" s="1961">
        <v>0</v>
      </c>
      <c r="G671" s="708">
        <f t="shared" si="40"/>
        <v>0</v>
      </c>
      <c r="H671" s="708">
        <f t="shared" si="41"/>
        <v>0</v>
      </c>
    </row>
    <row r="672" spans="1:15">
      <c r="A672" s="707">
        <v>283</v>
      </c>
      <c r="B672" s="1962">
        <v>28300101</v>
      </c>
      <c r="C672" s="1962"/>
      <c r="D672" s="1962" t="s">
        <v>2193</v>
      </c>
      <c r="E672" s="1961">
        <v>-10863888.59</v>
      </c>
      <c r="F672" s="1961">
        <v>-11788379.630000001</v>
      </c>
      <c r="G672" s="708">
        <f t="shared" si="40"/>
        <v>0</v>
      </c>
      <c r="H672" s="708">
        <f t="shared" si="41"/>
        <v>-10863888.59</v>
      </c>
    </row>
    <row r="673" spans="1:9">
      <c r="A673" s="707">
        <v>283</v>
      </c>
      <c r="B673" s="1962">
        <v>28300111</v>
      </c>
      <c r="C673" s="1962"/>
      <c r="D673" s="1962" t="s">
        <v>2194</v>
      </c>
      <c r="E673" s="1961">
        <v>-683804.68</v>
      </c>
      <c r="F673" s="1961">
        <v>-2571926.59</v>
      </c>
      <c r="G673" s="708">
        <f t="shared" si="40"/>
        <v>0</v>
      </c>
      <c r="H673" s="708">
        <f t="shared" si="41"/>
        <v>-683804.68</v>
      </c>
    </row>
    <row r="674" spans="1:9">
      <c r="A674" s="707">
        <v>283</v>
      </c>
      <c r="B674" s="1962">
        <v>28300121</v>
      </c>
      <c r="C674" s="1962"/>
      <c r="D674" s="1962" t="s">
        <v>2195</v>
      </c>
      <c r="E674" s="1961">
        <v>3149693.61</v>
      </c>
      <c r="F674" s="1961">
        <v>4231937.22</v>
      </c>
      <c r="G674" s="708">
        <f t="shared" si="40"/>
        <v>0</v>
      </c>
      <c r="H674" s="708">
        <f t="shared" si="41"/>
        <v>3149693.61</v>
      </c>
    </row>
    <row r="675" spans="1:9">
      <c r="A675" s="707">
        <v>283</v>
      </c>
      <c r="B675" s="1962">
        <v>28300131</v>
      </c>
      <c r="C675" s="1962"/>
      <c r="D675" s="1962" t="s">
        <v>2196</v>
      </c>
      <c r="E675" s="1961">
        <v>0.01</v>
      </c>
      <c r="F675" s="1961">
        <v>-706620.16</v>
      </c>
      <c r="G675" s="708">
        <f t="shared" si="40"/>
        <v>0</v>
      </c>
      <c r="H675" s="708">
        <f t="shared" si="41"/>
        <v>0.01</v>
      </c>
    </row>
    <row r="676" spans="1:9">
      <c r="A676" s="707">
        <v>283</v>
      </c>
      <c r="B676" s="1962">
        <v>28300152</v>
      </c>
      <c r="C676" s="1962"/>
      <c r="D676" s="1962" t="s">
        <v>2197</v>
      </c>
      <c r="E676" s="1961">
        <v>-2372151.5</v>
      </c>
      <c r="F676" s="1961">
        <v>-67035854.140000001</v>
      </c>
      <c r="G676" s="708">
        <f t="shared" si="40"/>
        <v>-2372151.5</v>
      </c>
      <c r="H676" s="708">
        <f t="shared" si="41"/>
        <v>0</v>
      </c>
    </row>
    <row r="677" spans="1:9">
      <c r="A677" s="707">
        <v>283</v>
      </c>
      <c r="B677" s="1962">
        <v>28300162</v>
      </c>
      <c r="C677" s="1962"/>
      <c r="D677" s="1962" t="s">
        <v>2198</v>
      </c>
      <c r="E677" s="1961">
        <v>-1097282.4099999999</v>
      </c>
      <c r="F677" s="1961">
        <v>-5193167.05</v>
      </c>
      <c r="G677" s="708">
        <f t="shared" si="40"/>
        <v>-1097282.4099999999</v>
      </c>
      <c r="H677" s="708">
        <f t="shared" si="41"/>
        <v>0</v>
      </c>
    </row>
    <row r="678" spans="1:9">
      <c r="A678" s="707">
        <v>283</v>
      </c>
      <c r="B678" s="1962">
        <v>28300211</v>
      </c>
      <c r="C678" s="1962"/>
      <c r="D678" s="1962" t="s">
        <v>2199</v>
      </c>
      <c r="E678" s="1961">
        <v>0</v>
      </c>
      <c r="F678" s="1961">
        <v>0</v>
      </c>
      <c r="G678" s="708">
        <f t="shared" si="40"/>
        <v>0</v>
      </c>
      <c r="H678" s="708">
        <f t="shared" si="41"/>
        <v>0</v>
      </c>
    </row>
    <row r="679" spans="1:9">
      <c r="A679" s="707">
        <v>283</v>
      </c>
      <c r="B679" s="1962">
        <v>28300212</v>
      </c>
      <c r="C679" s="1962"/>
      <c r="D679" s="1962" t="s">
        <v>2200</v>
      </c>
      <c r="E679" s="1961">
        <v>0</v>
      </c>
      <c r="F679" s="1961">
        <v>0</v>
      </c>
      <c r="G679" s="708">
        <f t="shared" si="40"/>
        <v>0</v>
      </c>
      <c r="H679" s="708">
        <f t="shared" si="41"/>
        <v>0</v>
      </c>
    </row>
    <row r="680" spans="1:9">
      <c r="A680" s="707">
        <v>283</v>
      </c>
      <c r="B680" s="1962">
        <v>28300221</v>
      </c>
      <c r="C680" s="1962"/>
      <c r="D680" s="1962" t="s">
        <v>2201</v>
      </c>
      <c r="E680" s="1961">
        <v>0</v>
      </c>
      <c r="F680" s="1961">
        <v>0</v>
      </c>
      <c r="G680" s="708">
        <f t="shared" si="40"/>
        <v>0</v>
      </c>
      <c r="H680" s="708">
        <f t="shared" si="41"/>
        <v>0</v>
      </c>
    </row>
    <row r="681" spans="1:9">
      <c r="A681" s="707">
        <v>283</v>
      </c>
      <c r="B681" s="1962">
        <v>28300222</v>
      </c>
      <c r="C681" s="1962"/>
      <c r="D681" s="1962" t="s">
        <v>2202</v>
      </c>
      <c r="E681" s="1961">
        <v>1773366.63</v>
      </c>
      <c r="F681" s="1961">
        <v>2083934.79</v>
      </c>
      <c r="G681" s="708">
        <f t="shared" si="40"/>
        <v>1773366.63</v>
      </c>
      <c r="H681" s="708">
        <f t="shared" si="41"/>
        <v>0</v>
      </c>
    </row>
    <row r="682" spans="1:9">
      <c r="A682" s="707">
        <v>283</v>
      </c>
      <c r="B682" s="1962">
        <v>28300231</v>
      </c>
      <c r="C682" s="1962"/>
      <c r="D682" s="1962" t="s">
        <v>2203</v>
      </c>
      <c r="E682" s="1961">
        <v>0</v>
      </c>
      <c r="F682" s="1961">
        <v>0</v>
      </c>
      <c r="G682" s="708">
        <f t="shared" si="40"/>
        <v>0</v>
      </c>
      <c r="H682" s="708">
        <f t="shared" si="41"/>
        <v>0</v>
      </c>
    </row>
    <row r="683" spans="1:9">
      <c r="A683" s="707">
        <v>283</v>
      </c>
      <c r="B683" s="1962">
        <v>28300232</v>
      </c>
      <c r="C683" s="1962"/>
      <c r="D683" s="1962" t="s">
        <v>2204</v>
      </c>
      <c r="E683" s="1961">
        <v>-16879037.510000002</v>
      </c>
      <c r="F683" s="1961">
        <v>0</v>
      </c>
      <c r="G683" s="708">
        <f t="shared" si="40"/>
        <v>-16879037.510000002</v>
      </c>
      <c r="H683" s="708">
        <f t="shared" si="41"/>
        <v>0</v>
      </c>
    </row>
    <row r="684" spans="1:9">
      <c r="A684" s="707">
        <v>283</v>
      </c>
      <c r="B684" s="1962">
        <v>28300252</v>
      </c>
      <c r="C684" s="1962"/>
      <c r="D684" s="1962" t="s">
        <v>2205</v>
      </c>
      <c r="E684" s="1961">
        <v>-397033.23</v>
      </c>
      <c r="F684" s="1961">
        <v>-1269110.73</v>
      </c>
      <c r="G684" s="708">
        <f t="shared" si="40"/>
        <v>-397033.23</v>
      </c>
      <c r="H684" s="708">
        <f t="shared" si="41"/>
        <v>0</v>
      </c>
    </row>
    <row r="685" spans="1:9">
      <c r="A685" s="707">
        <v>283</v>
      </c>
      <c r="B685" s="1962">
        <v>28300262</v>
      </c>
      <c r="C685" s="1962"/>
      <c r="D685" s="1962" t="s">
        <v>2206</v>
      </c>
      <c r="E685" s="1961">
        <v>-2752608.97</v>
      </c>
      <c r="F685" s="1961">
        <v>-1804937.73</v>
      </c>
      <c r="G685" s="708">
        <f t="shared" si="40"/>
        <v>-2752608.97</v>
      </c>
      <c r="H685" s="708">
        <f t="shared" si="41"/>
        <v>0</v>
      </c>
    </row>
    <row r="686" spans="1:9">
      <c r="A686" s="707">
        <v>283</v>
      </c>
      <c r="B686" s="1962">
        <v>28300272</v>
      </c>
      <c r="C686" s="1962"/>
      <c r="D686" s="1962" t="s">
        <v>2207</v>
      </c>
      <c r="E686" s="1961">
        <v>0</v>
      </c>
      <c r="F686" s="1961">
        <v>-300494.81</v>
      </c>
      <c r="G686" s="708">
        <f t="shared" si="40"/>
        <v>0</v>
      </c>
      <c r="H686" s="708">
        <f t="shared" si="41"/>
        <v>0</v>
      </c>
    </row>
    <row r="687" spans="1:9">
      <c r="A687" s="707">
        <v>283</v>
      </c>
      <c r="B687" s="1962">
        <v>28300282</v>
      </c>
      <c r="C687" s="1962"/>
      <c r="D687" s="1962" t="s">
        <v>2208</v>
      </c>
      <c r="E687" s="1961">
        <v>-314060.96999999997</v>
      </c>
      <c r="F687" s="1961">
        <v>0</v>
      </c>
      <c r="G687" s="708">
        <f t="shared" si="40"/>
        <v>-314060.96999999997</v>
      </c>
      <c r="H687" s="708">
        <f t="shared" si="41"/>
        <v>0</v>
      </c>
    </row>
    <row r="688" spans="1:9">
      <c r="A688" s="1954">
        <v>283</v>
      </c>
      <c r="B688" s="1960">
        <v>28300292</v>
      </c>
      <c r="C688" s="1960"/>
      <c r="D688" s="1960" t="s">
        <v>2209</v>
      </c>
      <c r="E688" s="1959">
        <v>-4596772.24</v>
      </c>
      <c r="F688" s="1959">
        <v>-2096097.69</v>
      </c>
      <c r="G688" s="722">
        <f t="shared" si="40"/>
        <v>-4596772.24</v>
      </c>
      <c r="H688" s="722">
        <f t="shared" si="41"/>
        <v>0</v>
      </c>
      <c r="I688" s="1955" t="s">
        <v>973</v>
      </c>
    </row>
    <row r="689" spans="1:9">
      <c r="A689" s="1954">
        <v>283</v>
      </c>
      <c r="B689" s="1960">
        <v>28300302</v>
      </c>
      <c r="C689" s="1960"/>
      <c r="D689" s="1960" t="s">
        <v>2210</v>
      </c>
      <c r="E689" s="1959">
        <v>-7978230.0999999996</v>
      </c>
      <c r="F689" s="1959">
        <v>-3962785.8</v>
      </c>
      <c r="G689" s="722">
        <f t="shared" si="40"/>
        <v>-7978230.0999999996</v>
      </c>
      <c r="H689" s="722">
        <f t="shared" si="41"/>
        <v>0</v>
      </c>
      <c r="I689" s="1955" t="s">
        <v>973</v>
      </c>
    </row>
    <row r="690" spans="1:9">
      <c r="A690" s="707">
        <v>283</v>
      </c>
      <c r="B690" s="1962">
        <v>28300311</v>
      </c>
      <c r="C690" s="1962"/>
      <c r="D690" s="1962" t="s">
        <v>2211</v>
      </c>
      <c r="E690" s="1961">
        <v>0</v>
      </c>
      <c r="F690" s="1961">
        <v>0</v>
      </c>
      <c r="G690" s="708">
        <f t="shared" si="40"/>
        <v>0</v>
      </c>
      <c r="H690" s="708">
        <f t="shared" si="41"/>
        <v>0</v>
      </c>
    </row>
    <row r="691" spans="1:9">
      <c r="A691" s="707">
        <v>283</v>
      </c>
      <c r="B691" s="1962">
        <v>28300361</v>
      </c>
      <c r="C691" s="1962"/>
      <c r="D691" s="1962" t="s">
        <v>2212</v>
      </c>
      <c r="E691" s="1961">
        <v>0</v>
      </c>
      <c r="F691" s="1961">
        <v>0</v>
      </c>
      <c r="G691" s="708">
        <f t="shared" si="40"/>
        <v>0</v>
      </c>
      <c r="H691" s="708">
        <f t="shared" si="41"/>
        <v>0</v>
      </c>
    </row>
    <row r="692" spans="1:9">
      <c r="A692" s="707">
        <v>283</v>
      </c>
      <c r="B692" s="1962">
        <v>28300362</v>
      </c>
      <c r="C692" s="1962" t="s">
        <v>2173</v>
      </c>
      <c r="D692" s="1962" t="s">
        <v>2213</v>
      </c>
      <c r="E692" s="1961">
        <v>0</v>
      </c>
      <c r="F692" s="1961">
        <v>0</v>
      </c>
      <c r="G692" s="708">
        <f t="shared" si="40"/>
        <v>0</v>
      </c>
      <c r="H692" s="708">
        <f t="shared" si="41"/>
        <v>0</v>
      </c>
    </row>
    <row r="693" spans="1:9">
      <c r="A693" s="707">
        <v>283</v>
      </c>
      <c r="B693" s="1962">
        <v>28300431</v>
      </c>
      <c r="C693" s="1962"/>
      <c r="D693" s="1962" t="s">
        <v>2214</v>
      </c>
      <c r="E693" s="1961">
        <v>0</v>
      </c>
      <c r="F693" s="1961">
        <v>0</v>
      </c>
      <c r="G693" s="708">
        <f t="shared" si="40"/>
        <v>0</v>
      </c>
      <c r="H693" s="708">
        <f t="shared" si="41"/>
        <v>0</v>
      </c>
    </row>
    <row r="694" spans="1:9">
      <c r="A694" s="707">
        <v>283</v>
      </c>
      <c r="B694" s="1962">
        <v>28300441</v>
      </c>
      <c r="C694" s="1962"/>
      <c r="D694" s="1962" t="s">
        <v>2215</v>
      </c>
      <c r="E694" s="1961">
        <v>0</v>
      </c>
      <c r="F694" s="1961">
        <v>0</v>
      </c>
      <c r="G694" s="708">
        <f t="shared" si="40"/>
        <v>0</v>
      </c>
      <c r="H694" s="708">
        <f t="shared" si="41"/>
        <v>0</v>
      </c>
    </row>
    <row r="695" spans="1:9">
      <c r="A695" s="707">
        <v>283</v>
      </c>
      <c r="B695" s="1962">
        <v>28300471</v>
      </c>
      <c r="C695" s="1962"/>
      <c r="D695" s="1962" t="s">
        <v>2216</v>
      </c>
      <c r="E695" s="1961">
        <v>0</v>
      </c>
      <c r="F695" s="1961">
        <v>0</v>
      </c>
      <c r="G695" s="708">
        <f t="shared" ref="G695:G726" si="42">IF(MID(B695,8,1)="1",0,IF(MID(B695,8,1)="2",E695,E695*$F$3))</f>
        <v>0</v>
      </c>
      <c r="H695" s="708">
        <f t="shared" ref="H695:H726" si="43">E695-G695</f>
        <v>0</v>
      </c>
    </row>
    <row r="696" spans="1:9">
      <c r="A696" s="707">
        <v>283</v>
      </c>
      <c r="B696" s="1962">
        <v>28300501</v>
      </c>
      <c r="C696" s="1962" t="s">
        <v>2022</v>
      </c>
      <c r="D696" s="1962" t="s">
        <v>2217</v>
      </c>
      <c r="E696" s="1961">
        <v>216599.1</v>
      </c>
      <c r="F696" s="1961">
        <v>303546.63</v>
      </c>
      <c r="G696" s="708">
        <f t="shared" si="42"/>
        <v>0</v>
      </c>
      <c r="H696" s="708">
        <f t="shared" si="43"/>
        <v>216599.1</v>
      </c>
    </row>
    <row r="697" spans="1:9">
      <c r="A697" s="707">
        <v>283</v>
      </c>
      <c r="B697" s="1962">
        <v>28300503</v>
      </c>
      <c r="C697" s="1962"/>
      <c r="D697" s="1962" t="s">
        <v>2218</v>
      </c>
      <c r="E697" s="1961">
        <v>0</v>
      </c>
      <c r="F697" s="1961">
        <v>0</v>
      </c>
      <c r="G697" s="708">
        <f t="shared" si="42"/>
        <v>0</v>
      </c>
      <c r="H697" s="708">
        <f t="shared" si="43"/>
        <v>0</v>
      </c>
    </row>
    <row r="698" spans="1:9">
      <c r="A698" s="707">
        <v>283</v>
      </c>
      <c r="B698" s="1962">
        <v>28300511</v>
      </c>
      <c r="C698" s="1962"/>
      <c r="D698" s="1962" t="s">
        <v>2219</v>
      </c>
      <c r="E698" s="1961">
        <v>-8388937.9900000002</v>
      </c>
      <c r="F698" s="1961">
        <v>-22633490.629999999</v>
      </c>
      <c r="G698" s="708">
        <f t="shared" si="42"/>
        <v>0</v>
      </c>
      <c r="H698" s="708">
        <f t="shared" si="43"/>
        <v>-8388937.9900000002</v>
      </c>
    </row>
    <row r="699" spans="1:9">
      <c r="A699" s="707">
        <v>283</v>
      </c>
      <c r="B699" s="1962">
        <v>28300531</v>
      </c>
      <c r="C699" s="1962"/>
      <c r="D699" s="1962" t="s">
        <v>2220</v>
      </c>
      <c r="E699" s="1961">
        <v>0</v>
      </c>
      <c r="F699" s="1961">
        <v>0</v>
      </c>
      <c r="G699" s="708">
        <f t="shared" si="42"/>
        <v>0</v>
      </c>
      <c r="H699" s="708">
        <f t="shared" si="43"/>
        <v>0</v>
      </c>
    </row>
    <row r="700" spans="1:9">
      <c r="A700" s="707">
        <v>283</v>
      </c>
      <c r="B700" s="1962">
        <v>28300541</v>
      </c>
      <c r="C700" s="1962"/>
      <c r="D700" s="1962" t="s">
        <v>2221</v>
      </c>
      <c r="E700" s="1961">
        <v>0</v>
      </c>
      <c r="F700" s="1961">
        <v>0</v>
      </c>
      <c r="G700" s="708">
        <f t="shared" si="42"/>
        <v>0</v>
      </c>
      <c r="H700" s="708">
        <f t="shared" si="43"/>
        <v>0</v>
      </c>
    </row>
    <row r="701" spans="1:9">
      <c r="A701" s="707">
        <v>283</v>
      </c>
      <c r="B701" s="1962">
        <v>28300561</v>
      </c>
      <c r="C701" s="1962"/>
      <c r="D701" s="1962" t="s">
        <v>2222</v>
      </c>
      <c r="E701" s="1961">
        <v>-4339502.42</v>
      </c>
      <c r="F701" s="1961">
        <v>-4893496.2</v>
      </c>
      <c r="G701" s="708">
        <f t="shared" si="42"/>
        <v>0</v>
      </c>
      <c r="H701" s="708">
        <f t="shared" si="43"/>
        <v>-4339502.42</v>
      </c>
    </row>
    <row r="702" spans="1:9">
      <c r="A702" s="707">
        <v>283</v>
      </c>
      <c r="B702" s="1962">
        <v>28300581</v>
      </c>
      <c r="C702" s="1962"/>
      <c r="D702" s="1962" t="s">
        <v>2223</v>
      </c>
      <c r="E702" s="1961">
        <v>-5134912.76</v>
      </c>
      <c r="F702" s="1961">
        <v>-357198.8</v>
      </c>
      <c r="G702" s="708">
        <f t="shared" si="42"/>
        <v>0</v>
      </c>
      <c r="H702" s="708">
        <f t="shared" si="43"/>
        <v>-5134912.76</v>
      </c>
    </row>
    <row r="703" spans="1:9">
      <c r="A703" s="707">
        <v>283</v>
      </c>
      <c r="B703" s="1962">
        <v>28300591</v>
      </c>
      <c r="C703" s="1962"/>
      <c r="D703" s="1962" t="s">
        <v>2224</v>
      </c>
      <c r="E703" s="1961">
        <v>0</v>
      </c>
      <c r="F703" s="1961">
        <v>0</v>
      </c>
      <c r="G703" s="708">
        <f t="shared" si="42"/>
        <v>0</v>
      </c>
      <c r="H703" s="708">
        <f t="shared" si="43"/>
        <v>0</v>
      </c>
    </row>
    <row r="704" spans="1:9">
      <c r="A704" s="707">
        <v>283</v>
      </c>
      <c r="B704" s="1962">
        <v>28300651</v>
      </c>
      <c r="C704" s="1962"/>
      <c r="D704" s="1962" t="s">
        <v>2225</v>
      </c>
      <c r="E704" s="1961">
        <v>-929.04</v>
      </c>
      <c r="F704" s="1961">
        <v>-793.65</v>
      </c>
      <c r="G704" s="708">
        <f t="shared" si="42"/>
        <v>0</v>
      </c>
      <c r="H704" s="708">
        <f t="shared" si="43"/>
        <v>-929.04</v>
      </c>
    </row>
    <row r="705" spans="1:15">
      <c r="A705" s="707">
        <v>283</v>
      </c>
      <c r="B705" s="1962">
        <v>28300661</v>
      </c>
      <c r="C705" s="1962"/>
      <c r="D705" s="1962" t="s">
        <v>2226</v>
      </c>
      <c r="E705" s="1961">
        <v>-722415.93</v>
      </c>
      <c r="F705" s="1961">
        <v>-1328276.8500000001</v>
      </c>
      <c r="G705" s="708">
        <f t="shared" si="42"/>
        <v>0</v>
      </c>
      <c r="H705" s="708">
        <f t="shared" si="43"/>
        <v>-722415.93</v>
      </c>
    </row>
    <row r="706" spans="1:15">
      <c r="A706" s="707">
        <v>283</v>
      </c>
      <c r="B706" s="1962">
        <v>28300671</v>
      </c>
      <c r="C706" s="1962"/>
      <c r="D706" s="1962" t="s">
        <v>2227</v>
      </c>
      <c r="E706" s="1961">
        <v>0</v>
      </c>
      <c r="F706" s="1961">
        <v>0</v>
      </c>
      <c r="G706" s="708">
        <f t="shared" si="42"/>
        <v>0</v>
      </c>
      <c r="H706" s="708">
        <f t="shared" si="43"/>
        <v>0</v>
      </c>
    </row>
    <row r="707" spans="1:15">
      <c r="A707" s="707">
        <v>283</v>
      </c>
      <c r="B707" s="1962">
        <v>28300691</v>
      </c>
      <c r="C707" s="1962"/>
      <c r="D707" s="1962" t="s">
        <v>2228</v>
      </c>
      <c r="E707" s="1961">
        <v>0</v>
      </c>
      <c r="F707" s="1961">
        <v>0</v>
      </c>
      <c r="G707" s="708">
        <f t="shared" si="42"/>
        <v>0</v>
      </c>
      <c r="H707" s="708">
        <f t="shared" si="43"/>
        <v>0</v>
      </c>
    </row>
    <row r="708" spans="1:15">
      <c r="A708" s="707">
        <v>283</v>
      </c>
      <c r="B708" s="1962">
        <v>28300701</v>
      </c>
      <c r="C708" s="1962"/>
      <c r="D708" s="1962" t="s">
        <v>2229</v>
      </c>
      <c r="E708" s="1961">
        <v>0</v>
      </c>
      <c r="F708" s="1961">
        <v>0</v>
      </c>
      <c r="G708" s="708">
        <f t="shared" si="42"/>
        <v>0</v>
      </c>
      <c r="H708" s="708">
        <f t="shared" si="43"/>
        <v>0</v>
      </c>
    </row>
    <row r="709" spans="1:15">
      <c r="A709" s="707">
        <v>283</v>
      </c>
      <c r="B709" s="1962">
        <v>28300721</v>
      </c>
      <c r="C709" s="1962"/>
      <c r="D709" s="1962" t="s">
        <v>2230</v>
      </c>
      <c r="E709" s="1961">
        <v>0</v>
      </c>
      <c r="F709" s="1961">
        <v>0</v>
      </c>
      <c r="G709" s="708">
        <f t="shared" si="42"/>
        <v>0</v>
      </c>
      <c r="H709" s="708">
        <f t="shared" si="43"/>
        <v>0</v>
      </c>
    </row>
    <row r="710" spans="1:15">
      <c r="A710" s="707">
        <v>283</v>
      </c>
      <c r="B710" s="1962">
        <v>28300731</v>
      </c>
      <c r="C710" s="1962"/>
      <c r="D710" s="1962" t="s">
        <v>2231</v>
      </c>
      <c r="E710" s="1961">
        <v>-148686.79999999999</v>
      </c>
      <c r="F710" s="1961">
        <v>0</v>
      </c>
      <c r="G710" s="708">
        <f t="shared" si="42"/>
        <v>0</v>
      </c>
      <c r="H710" s="708">
        <f t="shared" si="43"/>
        <v>-148686.79999999999</v>
      </c>
    </row>
    <row r="711" spans="1:15">
      <c r="A711" s="707">
        <v>283</v>
      </c>
      <c r="B711" s="1962">
        <v>28300741</v>
      </c>
      <c r="C711" s="1962"/>
      <c r="D711" s="1962" t="s">
        <v>2232</v>
      </c>
      <c r="E711" s="1961">
        <v>0</v>
      </c>
      <c r="F711" s="1961">
        <v>0</v>
      </c>
      <c r="G711" s="708">
        <f t="shared" si="42"/>
        <v>0</v>
      </c>
      <c r="H711" s="708">
        <f t="shared" si="43"/>
        <v>0</v>
      </c>
    </row>
    <row r="712" spans="1:15">
      <c r="A712" s="707">
        <v>283</v>
      </c>
      <c r="B712" s="1962">
        <v>28300761</v>
      </c>
      <c r="C712" s="1962"/>
      <c r="D712" s="1962" t="s">
        <v>2108</v>
      </c>
      <c r="E712" s="1961">
        <v>-64274291.259999998</v>
      </c>
      <c r="F712" s="1961">
        <v>-64627704.649999999</v>
      </c>
      <c r="G712" s="708">
        <f t="shared" si="42"/>
        <v>0</v>
      </c>
      <c r="H712" s="708">
        <f t="shared" si="43"/>
        <v>-64274291.259999998</v>
      </c>
      <c r="L712" s="706"/>
      <c r="M712" s="706"/>
      <c r="N712" s="706"/>
      <c r="O712" s="706"/>
    </row>
    <row r="713" spans="1:15">
      <c r="A713" s="707">
        <v>283</v>
      </c>
      <c r="B713" s="1962">
        <v>28300791</v>
      </c>
      <c r="C713" s="1962"/>
      <c r="D713" s="1962" t="s">
        <v>2233</v>
      </c>
      <c r="E713" s="1961">
        <v>-779035.62</v>
      </c>
      <c r="F713" s="1961">
        <v>0</v>
      </c>
      <c r="G713" s="708">
        <f t="shared" si="42"/>
        <v>0</v>
      </c>
      <c r="H713" s="708">
        <f t="shared" si="43"/>
        <v>-779035.62</v>
      </c>
      <c r="L713" s="706"/>
      <c r="M713" s="706"/>
      <c r="N713" s="706"/>
      <c r="O713" s="706"/>
    </row>
    <row r="714" spans="1:15" s="706" customFormat="1">
      <c r="A714" s="707">
        <v>283</v>
      </c>
      <c r="B714" s="1962">
        <v>28300801</v>
      </c>
      <c r="C714" s="1962" t="s">
        <v>968</v>
      </c>
      <c r="D714" s="1962" t="s">
        <v>2234</v>
      </c>
      <c r="E714" s="1961">
        <v>0</v>
      </c>
      <c r="F714" s="1961">
        <v>-2455827.77</v>
      </c>
      <c r="G714" s="708">
        <f t="shared" si="42"/>
        <v>0</v>
      </c>
      <c r="H714" s="708">
        <f t="shared" si="43"/>
        <v>0</v>
      </c>
    </row>
    <row r="715" spans="1:15" s="706" customFormat="1">
      <c r="A715" s="707">
        <v>283</v>
      </c>
      <c r="B715" s="1962">
        <v>28300802</v>
      </c>
      <c r="C715" s="1962" t="s">
        <v>968</v>
      </c>
      <c r="D715" s="1962" t="s">
        <v>2235</v>
      </c>
      <c r="E715" s="1961">
        <v>0</v>
      </c>
      <c r="F715" s="1961">
        <v>-561880.41</v>
      </c>
      <c r="G715" s="708">
        <f t="shared" si="42"/>
        <v>0</v>
      </c>
      <c r="H715" s="708">
        <f t="shared" si="43"/>
        <v>0</v>
      </c>
    </row>
    <row r="716" spans="1:15" s="706" customFormat="1">
      <c r="A716" s="707">
        <v>283</v>
      </c>
      <c r="B716" s="1962">
        <v>28300811</v>
      </c>
      <c r="C716" s="1962" t="s">
        <v>968</v>
      </c>
      <c r="D716" s="1962" t="s">
        <v>2236</v>
      </c>
      <c r="E716" s="1961">
        <v>0</v>
      </c>
      <c r="F716" s="1961">
        <v>-5670914.1699999999</v>
      </c>
      <c r="G716" s="708">
        <f t="shared" si="42"/>
        <v>0</v>
      </c>
      <c r="H716" s="708">
        <f t="shared" si="43"/>
        <v>0</v>
      </c>
    </row>
    <row r="717" spans="1:15" s="706" customFormat="1">
      <c r="A717" s="707">
        <v>283</v>
      </c>
      <c r="B717" s="1962">
        <v>28300812</v>
      </c>
      <c r="C717" s="1962" t="s">
        <v>968</v>
      </c>
      <c r="D717" s="1962" t="s">
        <v>2237</v>
      </c>
      <c r="E717" s="1961">
        <v>0</v>
      </c>
      <c r="F717" s="1961">
        <v>561880.41</v>
      </c>
      <c r="G717" s="708">
        <f t="shared" si="42"/>
        <v>0</v>
      </c>
      <c r="H717" s="708">
        <f t="shared" si="43"/>
        <v>0</v>
      </c>
    </row>
    <row r="718" spans="1:15" s="706" customFormat="1">
      <c r="A718" s="707">
        <v>283</v>
      </c>
      <c r="B718" s="1962">
        <v>28300821</v>
      </c>
      <c r="C718" s="1962" t="s">
        <v>968</v>
      </c>
      <c r="D718" s="1962" t="s">
        <v>2238</v>
      </c>
      <c r="E718" s="1961">
        <v>0</v>
      </c>
      <c r="F718" s="1961">
        <v>2455827.77</v>
      </c>
      <c r="G718" s="708">
        <f t="shared" si="42"/>
        <v>0</v>
      </c>
      <c r="H718" s="708">
        <f t="shared" si="43"/>
        <v>0</v>
      </c>
    </row>
    <row r="719" spans="1:15" s="706" customFormat="1">
      <c r="A719" s="707">
        <v>283</v>
      </c>
      <c r="B719" s="1962">
        <v>28300831</v>
      </c>
      <c r="C719" s="1962" t="s">
        <v>968</v>
      </c>
      <c r="D719" s="1962" t="s">
        <v>2239</v>
      </c>
      <c r="E719" s="1961">
        <v>0</v>
      </c>
      <c r="F719" s="1961">
        <v>5670914.1699999999</v>
      </c>
      <c r="G719" s="708">
        <f t="shared" si="42"/>
        <v>0</v>
      </c>
      <c r="H719" s="708">
        <f t="shared" si="43"/>
        <v>0</v>
      </c>
    </row>
    <row r="720" spans="1:15" s="706" customFormat="1">
      <c r="A720" s="707">
        <v>283</v>
      </c>
      <c r="B720" s="1962">
        <v>28300841</v>
      </c>
      <c r="C720" s="1962"/>
      <c r="D720" s="1962" t="s">
        <v>2240</v>
      </c>
      <c r="E720" s="1961">
        <v>-1865552.01</v>
      </c>
      <c r="F720" s="1961">
        <v>-2014796.49</v>
      </c>
      <c r="G720" s="708">
        <f t="shared" si="42"/>
        <v>0</v>
      </c>
      <c r="H720" s="708">
        <f t="shared" si="43"/>
        <v>-1865552.01</v>
      </c>
    </row>
    <row r="721" spans="1:15" s="706" customFormat="1">
      <c r="A721" s="707">
        <v>283</v>
      </c>
      <c r="B721" s="1962">
        <v>28300851</v>
      </c>
      <c r="C721" s="1962"/>
      <c r="D721" s="1962" t="s">
        <v>2241</v>
      </c>
      <c r="E721" s="1961">
        <v>-1108843.58</v>
      </c>
      <c r="F721" s="1961">
        <v>-1508130.05</v>
      </c>
      <c r="G721" s="708">
        <f t="shared" si="42"/>
        <v>0</v>
      </c>
      <c r="H721" s="708">
        <f t="shared" si="43"/>
        <v>-1108843.58</v>
      </c>
    </row>
    <row r="722" spans="1:15" s="706" customFormat="1">
      <c r="A722" s="707">
        <v>283</v>
      </c>
      <c r="B722" s="1962">
        <v>28300861</v>
      </c>
      <c r="C722" s="1962"/>
      <c r="D722" s="1962" t="s">
        <v>2242</v>
      </c>
      <c r="E722" s="1961">
        <v>0</v>
      </c>
      <c r="F722" s="1961">
        <v>239763.79</v>
      </c>
      <c r="G722" s="708">
        <f t="shared" si="42"/>
        <v>0</v>
      </c>
      <c r="H722" s="708">
        <f t="shared" si="43"/>
        <v>0</v>
      </c>
      <c r="L722" s="685"/>
      <c r="M722" s="685"/>
      <c r="N722" s="685"/>
      <c r="O722" s="685"/>
    </row>
    <row r="723" spans="1:15" s="706" customFormat="1">
      <c r="A723" s="707">
        <v>283</v>
      </c>
      <c r="B723" s="1962">
        <v>28300862</v>
      </c>
      <c r="C723" s="1962"/>
      <c r="D723" s="1962" t="s">
        <v>2243</v>
      </c>
      <c r="E723" s="1961">
        <v>0</v>
      </c>
      <c r="F723" s="1961">
        <v>-14354</v>
      </c>
      <c r="G723" s="708">
        <f t="shared" si="42"/>
        <v>0</v>
      </c>
      <c r="H723" s="708">
        <f t="shared" si="43"/>
        <v>0</v>
      </c>
      <c r="L723" s="685"/>
      <c r="M723" s="685"/>
      <c r="N723" s="685"/>
      <c r="O723" s="685"/>
    </row>
    <row r="724" spans="1:15" s="706" customFormat="1">
      <c r="A724" s="1954">
        <v>283</v>
      </c>
      <c r="B724" s="1960">
        <v>28300871</v>
      </c>
      <c r="C724" s="1960"/>
      <c r="D724" s="1960" t="s">
        <v>2244</v>
      </c>
      <c r="E724" s="1959">
        <v>-2205821.63</v>
      </c>
      <c r="F724" s="1959">
        <v>-1108462.3999999999</v>
      </c>
      <c r="G724" s="722">
        <f t="shared" si="42"/>
        <v>0</v>
      </c>
      <c r="H724" s="722">
        <f t="shared" si="43"/>
        <v>-2205821.63</v>
      </c>
      <c r="I724" s="1955" t="s">
        <v>973</v>
      </c>
      <c r="L724" s="685"/>
      <c r="M724" s="685"/>
      <c r="N724" s="685"/>
      <c r="O724" s="685"/>
    </row>
    <row r="725" spans="1:15" s="706" customFormat="1">
      <c r="A725" s="1954">
        <v>283</v>
      </c>
      <c r="B725" s="1960">
        <v>28300872</v>
      </c>
      <c r="C725" s="1960"/>
      <c r="D725" s="1960" t="s">
        <v>2245</v>
      </c>
      <c r="E725" s="1959">
        <v>-740794.96</v>
      </c>
      <c r="F725" s="1959">
        <v>-478899.52</v>
      </c>
      <c r="G725" s="722">
        <f t="shared" si="42"/>
        <v>-740794.96</v>
      </c>
      <c r="H725" s="722">
        <f t="shared" si="43"/>
        <v>0</v>
      </c>
      <c r="I725" s="1955" t="s">
        <v>973</v>
      </c>
      <c r="L725" s="685"/>
      <c r="M725" s="685"/>
      <c r="N725" s="685"/>
      <c r="O725" s="685"/>
    </row>
    <row r="726" spans="1:15" s="706" customFormat="1">
      <c r="A726" s="1954">
        <v>283</v>
      </c>
      <c r="B726" s="1960">
        <v>28300891</v>
      </c>
      <c r="C726" s="1960"/>
      <c r="D726" s="1960" t="s">
        <v>6753</v>
      </c>
      <c r="E726" s="1959">
        <v>-769709.81</v>
      </c>
      <c r="F726" s="1959">
        <v>0</v>
      </c>
      <c r="G726" s="722">
        <f t="shared" si="42"/>
        <v>0</v>
      </c>
      <c r="H726" s="722">
        <f t="shared" si="43"/>
        <v>-769709.81</v>
      </c>
      <c r="I726" s="1955" t="s">
        <v>973</v>
      </c>
      <c r="L726" s="685"/>
      <c r="M726" s="685"/>
      <c r="N726" s="685"/>
      <c r="O726" s="685"/>
    </row>
    <row r="727" spans="1:15" s="706" customFormat="1">
      <c r="A727" s="1954">
        <v>283</v>
      </c>
      <c r="B727" s="1960">
        <v>28300911</v>
      </c>
      <c r="C727" s="1960"/>
      <c r="D727" s="1960" t="s">
        <v>6754</v>
      </c>
      <c r="E727" s="1959">
        <v>-1109530.55</v>
      </c>
      <c r="F727" s="1959">
        <v>0</v>
      </c>
      <c r="G727" s="722">
        <f t="shared" ref="G727:G758" si="44">IF(MID(B727,8,1)="1",0,IF(MID(B727,8,1)="2",E727,E727*$F$3))</f>
        <v>0</v>
      </c>
      <c r="H727" s="722">
        <f t="shared" ref="H727:H758" si="45">E727-G727</f>
        <v>-1109530.55</v>
      </c>
      <c r="I727" s="1955" t="s">
        <v>973</v>
      </c>
      <c r="L727" s="685"/>
      <c r="M727" s="685"/>
      <c r="N727" s="685"/>
      <c r="O727" s="685"/>
    </row>
    <row r="728" spans="1:15" s="706" customFormat="1">
      <c r="A728" s="1954">
        <v>283</v>
      </c>
      <c r="B728" s="1960">
        <v>28300912</v>
      </c>
      <c r="C728" s="1960"/>
      <c r="D728" s="1960" t="s">
        <v>6755</v>
      </c>
      <c r="E728" s="1959">
        <v>-470164.04</v>
      </c>
      <c r="F728" s="1959">
        <v>0</v>
      </c>
      <c r="G728" s="722">
        <f t="shared" si="44"/>
        <v>-470164.04</v>
      </c>
      <c r="H728" s="722">
        <f t="shared" si="45"/>
        <v>0</v>
      </c>
      <c r="I728" s="1955" t="s">
        <v>973</v>
      </c>
      <c r="L728" s="685"/>
      <c r="M728" s="685"/>
      <c r="N728" s="685"/>
      <c r="O728" s="685"/>
    </row>
    <row r="729" spans="1:15">
      <c r="A729" s="707">
        <v>283</v>
      </c>
      <c r="B729" s="1962">
        <v>28302001</v>
      </c>
      <c r="C729" s="1962"/>
      <c r="D729" s="1962" t="s">
        <v>2246</v>
      </c>
      <c r="E729" s="1961">
        <v>5584127.3399999999</v>
      </c>
      <c r="F729" s="1961">
        <v>4904679.2300000004</v>
      </c>
      <c r="G729" s="708">
        <f t="shared" si="44"/>
        <v>0</v>
      </c>
      <c r="H729" s="708">
        <f t="shared" si="45"/>
        <v>5584127.3399999999</v>
      </c>
    </row>
    <row r="730" spans="1:15">
      <c r="A730" s="707">
        <v>283</v>
      </c>
      <c r="B730" s="1962">
        <v>28302002</v>
      </c>
      <c r="C730" s="1962"/>
      <c r="D730" s="1962" t="s">
        <v>2247</v>
      </c>
      <c r="E730" s="1961">
        <v>-4951747.68</v>
      </c>
      <c r="F730" s="1961">
        <v>-1540776.25</v>
      </c>
      <c r="G730" s="708">
        <f t="shared" si="44"/>
        <v>-4951747.68</v>
      </c>
      <c r="H730" s="708">
        <f t="shared" si="45"/>
        <v>0</v>
      </c>
    </row>
    <row r="731" spans="1:15">
      <c r="A731" s="707">
        <v>283</v>
      </c>
      <c r="B731" s="1962">
        <v>28302011</v>
      </c>
      <c r="C731" s="1962"/>
      <c r="D731" s="1962" t="s">
        <v>2248</v>
      </c>
      <c r="E731" s="1961">
        <v>-407529.42</v>
      </c>
      <c r="F731" s="1961">
        <v>-3067558.75</v>
      </c>
      <c r="G731" s="708">
        <f t="shared" si="44"/>
        <v>0</v>
      </c>
      <c r="H731" s="708">
        <f t="shared" si="45"/>
        <v>-407529.42</v>
      </c>
    </row>
    <row r="732" spans="1:15">
      <c r="A732" s="707">
        <v>283</v>
      </c>
      <c r="B732" s="1962">
        <v>28302012</v>
      </c>
      <c r="C732" s="1962"/>
      <c r="D732" s="1962" t="s">
        <v>2249</v>
      </c>
      <c r="E732" s="1961">
        <v>592851.39</v>
      </c>
      <c r="F732" s="1961">
        <v>1284947.3</v>
      </c>
      <c r="G732" s="708">
        <f t="shared" si="44"/>
        <v>592851.39</v>
      </c>
      <c r="H732" s="708">
        <f t="shared" si="45"/>
        <v>0</v>
      </c>
    </row>
    <row r="733" spans="1:15">
      <c r="A733" s="707">
        <v>283</v>
      </c>
      <c r="B733" s="1962">
        <v>28302021</v>
      </c>
      <c r="C733" s="1962"/>
      <c r="D733" s="1962" t="s">
        <v>2250</v>
      </c>
      <c r="E733" s="1961">
        <v>2143678.4</v>
      </c>
      <c r="F733" s="1961">
        <v>-1541662.47</v>
      </c>
      <c r="G733" s="708">
        <f t="shared" si="44"/>
        <v>0</v>
      </c>
      <c r="H733" s="708">
        <f t="shared" si="45"/>
        <v>2143678.4</v>
      </c>
    </row>
    <row r="734" spans="1:15">
      <c r="A734" s="707">
        <v>283</v>
      </c>
      <c r="B734" s="1962">
        <v>28302022</v>
      </c>
      <c r="C734" s="1962"/>
      <c r="D734" s="1962" t="s">
        <v>2251</v>
      </c>
      <c r="E734" s="1961">
        <v>194702.13</v>
      </c>
      <c r="F734" s="1961">
        <v>-1061892.6299999999</v>
      </c>
      <c r="G734" s="708">
        <f t="shared" si="44"/>
        <v>194702.13</v>
      </c>
      <c r="H734" s="708">
        <f t="shared" si="45"/>
        <v>0</v>
      </c>
    </row>
    <row r="735" spans="1:15">
      <c r="A735" s="707">
        <v>283</v>
      </c>
      <c r="B735" s="1962">
        <v>28302031</v>
      </c>
      <c r="C735" s="1962"/>
      <c r="D735" s="1962" t="s">
        <v>2252</v>
      </c>
      <c r="E735" s="1961">
        <v>639320.87</v>
      </c>
      <c r="F735" s="1961">
        <v>-1395212.02</v>
      </c>
      <c r="G735" s="708">
        <f t="shared" si="44"/>
        <v>0</v>
      </c>
      <c r="H735" s="708">
        <f t="shared" si="45"/>
        <v>639320.87</v>
      </c>
    </row>
    <row r="736" spans="1:15">
      <c r="A736" s="707">
        <v>283</v>
      </c>
      <c r="B736" s="1962">
        <v>28302032</v>
      </c>
      <c r="C736" s="1962"/>
      <c r="D736" s="1962" t="s">
        <v>2253</v>
      </c>
      <c r="E736" s="1961">
        <v>0</v>
      </c>
      <c r="F736" s="1961">
        <v>0</v>
      </c>
      <c r="G736" s="708">
        <f t="shared" si="44"/>
        <v>0</v>
      </c>
      <c r="H736" s="708">
        <f t="shared" si="45"/>
        <v>0</v>
      </c>
    </row>
    <row r="737" spans="1:15">
      <c r="A737" s="707">
        <v>283</v>
      </c>
      <c r="B737" s="1962">
        <v>28302033</v>
      </c>
      <c r="C737" s="1962"/>
      <c r="D737" s="1962" t="s">
        <v>2254</v>
      </c>
      <c r="E737" s="1961">
        <v>0</v>
      </c>
      <c r="F737" s="1961">
        <v>0</v>
      </c>
      <c r="G737" s="708">
        <f t="shared" si="44"/>
        <v>0</v>
      </c>
      <c r="H737" s="708">
        <f t="shared" si="45"/>
        <v>0</v>
      </c>
    </row>
    <row r="738" spans="1:15">
      <c r="A738" s="707">
        <v>283</v>
      </c>
      <c r="B738" s="1962">
        <v>28302041</v>
      </c>
      <c r="C738" s="1962"/>
      <c r="D738" s="1962" t="s">
        <v>2255</v>
      </c>
      <c r="E738" s="1961">
        <v>-4877368.5999999996</v>
      </c>
      <c r="F738" s="1961">
        <v>-5735436.3099999996</v>
      </c>
      <c r="G738" s="708">
        <f t="shared" si="44"/>
        <v>0</v>
      </c>
      <c r="H738" s="708">
        <f t="shared" si="45"/>
        <v>-4877368.5999999996</v>
      </c>
    </row>
    <row r="739" spans="1:15">
      <c r="A739" s="707">
        <v>283</v>
      </c>
      <c r="B739" s="1962">
        <v>28302042</v>
      </c>
      <c r="C739" s="1962"/>
      <c r="D739" s="1962" t="s">
        <v>2256</v>
      </c>
      <c r="E739" s="1961">
        <v>0</v>
      </c>
      <c r="F739" s="1961">
        <v>0</v>
      </c>
      <c r="G739" s="708">
        <f t="shared" si="44"/>
        <v>0</v>
      </c>
      <c r="H739" s="708">
        <f t="shared" si="45"/>
        <v>0</v>
      </c>
    </row>
    <row r="740" spans="1:15">
      <c r="A740" s="707">
        <v>283</v>
      </c>
      <c r="B740" s="1962">
        <v>28302051</v>
      </c>
      <c r="C740" s="1962"/>
      <c r="D740" s="1962" t="s">
        <v>2257</v>
      </c>
      <c r="E740" s="1961">
        <v>-797928.33</v>
      </c>
      <c r="F740" s="1961">
        <v>-1220189.44</v>
      </c>
      <c r="G740" s="708">
        <f t="shared" si="44"/>
        <v>0</v>
      </c>
      <c r="H740" s="708">
        <f t="shared" si="45"/>
        <v>-797928.33</v>
      </c>
    </row>
    <row r="741" spans="1:15">
      <c r="A741" s="707">
        <v>283</v>
      </c>
      <c r="B741" s="1962">
        <v>28302061</v>
      </c>
      <c r="C741" s="1962"/>
      <c r="D741" s="1962" t="s">
        <v>2258</v>
      </c>
      <c r="E741" s="1961">
        <v>0</v>
      </c>
      <c r="F741" s="1961">
        <v>0</v>
      </c>
      <c r="G741" s="708">
        <f t="shared" si="44"/>
        <v>0</v>
      </c>
      <c r="H741" s="708">
        <f t="shared" si="45"/>
        <v>0</v>
      </c>
      <c r="L741" s="706"/>
      <c r="M741" s="706"/>
      <c r="N741" s="706"/>
      <c r="O741" s="706"/>
    </row>
    <row r="742" spans="1:15">
      <c r="A742" s="707">
        <v>283</v>
      </c>
      <c r="B742" s="1962">
        <v>28302071</v>
      </c>
      <c r="C742" s="1962"/>
      <c r="D742" s="1962" t="s">
        <v>2259</v>
      </c>
      <c r="E742" s="1961">
        <v>0</v>
      </c>
      <c r="F742" s="1961">
        <v>0</v>
      </c>
      <c r="G742" s="708">
        <f t="shared" si="44"/>
        <v>0</v>
      </c>
      <c r="H742" s="708">
        <f t="shared" si="45"/>
        <v>0</v>
      </c>
    </row>
    <row r="743" spans="1:15" s="706" customFormat="1">
      <c r="A743" s="707">
        <v>283</v>
      </c>
      <c r="B743" s="1962">
        <v>28302072</v>
      </c>
      <c r="C743" s="1962" t="s">
        <v>968</v>
      </c>
      <c r="D743" s="1962" t="s">
        <v>2260</v>
      </c>
      <c r="E743" s="1961">
        <v>0</v>
      </c>
      <c r="F743" s="1961">
        <v>0</v>
      </c>
      <c r="G743" s="708">
        <f t="shared" si="44"/>
        <v>0</v>
      </c>
      <c r="H743" s="708">
        <f t="shared" si="45"/>
        <v>0</v>
      </c>
      <c r="L743" s="685"/>
      <c r="M743" s="685"/>
      <c r="N743" s="685"/>
      <c r="O743" s="685"/>
    </row>
    <row r="744" spans="1:15">
      <c r="A744" s="707">
        <v>283</v>
      </c>
      <c r="B744" s="1962">
        <v>28302081</v>
      </c>
      <c r="C744" s="1962"/>
      <c r="D744" s="1962" t="s">
        <v>2261</v>
      </c>
      <c r="E744" s="1961">
        <v>-0.53</v>
      </c>
      <c r="F744" s="1961">
        <v>-2699629.34</v>
      </c>
      <c r="G744" s="708">
        <f t="shared" si="44"/>
        <v>0</v>
      </c>
      <c r="H744" s="708">
        <f t="shared" si="45"/>
        <v>-0.53</v>
      </c>
    </row>
    <row r="745" spans="1:15">
      <c r="A745" s="707">
        <v>283</v>
      </c>
      <c r="B745" s="1962">
        <v>28302082</v>
      </c>
      <c r="C745" s="1962"/>
      <c r="D745" s="1962" t="s">
        <v>2262</v>
      </c>
      <c r="E745" s="1961">
        <v>0</v>
      </c>
      <c r="F745" s="1961">
        <v>0</v>
      </c>
      <c r="G745" s="708">
        <f t="shared" si="44"/>
        <v>0</v>
      </c>
      <c r="H745" s="708">
        <f t="shared" si="45"/>
        <v>0</v>
      </c>
      <c r="L745" s="706"/>
      <c r="M745" s="706"/>
      <c r="N745" s="706"/>
      <c r="O745" s="706"/>
    </row>
    <row r="746" spans="1:15">
      <c r="A746" s="707">
        <v>283</v>
      </c>
      <c r="B746" s="1962">
        <v>28302091</v>
      </c>
      <c r="C746" s="1962"/>
      <c r="D746" s="1962" t="s">
        <v>2263</v>
      </c>
      <c r="E746" s="1961">
        <v>-5987829.2699999996</v>
      </c>
      <c r="F746" s="1961">
        <v>-5987829.2699999996</v>
      </c>
      <c r="G746" s="708">
        <f t="shared" si="44"/>
        <v>0</v>
      </c>
      <c r="H746" s="708">
        <f t="shared" si="45"/>
        <v>-5987829.2699999996</v>
      </c>
      <c r="L746" s="706"/>
      <c r="M746" s="706"/>
      <c r="N746" s="706"/>
      <c r="O746" s="706"/>
    </row>
    <row r="747" spans="1:15" s="706" customFormat="1">
      <c r="A747" s="707">
        <v>283</v>
      </c>
      <c r="B747" s="1962">
        <v>28302092</v>
      </c>
      <c r="C747" s="1962" t="s">
        <v>968</v>
      </c>
      <c r="D747" s="1962" t="s">
        <v>2264</v>
      </c>
      <c r="E747" s="1961">
        <v>0</v>
      </c>
      <c r="F747" s="1961">
        <v>-467322.67</v>
      </c>
      <c r="G747" s="708">
        <f t="shared" si="44"/>
        <v>0</v>
      </c>
      <c r="H747" s="708">
        <f t="shared" si="45"/>
        <v>0</v>
      </c>
    </row>
    <row r="748" spans="1:15" s="706" customFormat="1">
      <c r="A748" s="707">
        <v>283</v>
      </c>
      <c r="B748" s="1962">
        <v>28302121</v>
      </c>
      <c r="C748" s="1962" t="s">
        <v>968</v>
      </c>
      <c r="D748" s="1962" t="s">
        <v>2265</v>
      </c>
      <c r="E748" s="1961">
        <v>0.01</v>
      </c>
      <c r="F748" s="1961">
        <v>-2394112.7599999998</v>
      </c>
      <c r="G748" s="708">
        <f t="shared" si="44"/>
        <v>0</v>
      </c>
      <c r="H748" s="708">
        <f t="shared" si="45"/>
        <v>0.01</v>
      </c>
    </row>
    <row r="749" spans="1:15" s="706" customFormat="1">
      <c r="A749" s="707">
        <v>283</v>
      </c>
      <c r="B749" s="1962">
        <v>28302123</v>
      </c>
      <c r="C749" s="1962" t="s">
        <v>968</v>
      </c>
      <c r="D749" s="1962" t="s">
        <v>2266</v>
      </c>
      <c r="E749" s="1961">
        <v>0</v>
      </c>
      <c r="F749" s="1961">
        <v>-4535203.47</v>
      </c>
      <c r="G749" s="708">
        <f t="shared" si="44"/>
        <v>0</v>
      </c>
      <c r="H749" s="708">
        <f t="shared" si="45"/>
        <v>0</v>
      </c>
    </row>
    <row r="750" spans="1:15" s="706" customFormat="1">
      <c r="A750" s="707">
        <v>283</v>
      </c>
      <c r="B750" s="1962">
        <v>28302131</v>
      </c>
      <c r="C750" s="1962" t="s">
        <v>968</v>
      </c>
      <c r="D750" s="1962" t="s">
        <v>2267</v>
      </c>
      <c r="E750" s="1961">
        <v>0</v>
      </c>
      <c r="F750" s="1961">
        <v>-1153055.3999999999</v>
      </c>
      <c r="G750" s="708">
        <f t="shared" si="44"/>
        <v>0</v>
      </c>
      <c r="H750" s="708">
        <f t="shared" si="45"/>
        <v>0</v>
      </c>
    </row>
    <row r="751" spans="1:15" s="706" customFormat="1">
      <c r="A751" s="707">
        <v>283</v>
      </c>
      <c r="B751" s="1962">
        <v>28302133</v>
      </c>
      <c r="C751" s="1962" t="s">
        <v>968</v>
      </c>
      <c r="D751" s="1962" t="s">
        <v>2268</v>
      </c>
      <c r="E751" s="1961">
        <v>0</v>
      </c>
      <c r="F751" s="1961">
        <v>-190014.72</v>
      </c>
      <c r="G751" s="708">
        <f t="shared" si="44"/>
        <v>0</v>
      </c>
      <c r="H751" s="708">
        <f t="shared" si="45"/>
        <v>0</v>
      </c>
    </row>
    <row r="752" spans="1:15" s="706" customFormat="1">
      <c r="A752" s="707">
        <v>283</v>
      </c>
      <c r="B752" s="1962">
        <v>28302141</v>
      </c>
      <c r="C752" s="1962" t="s">
        <v>968</v>
      </c>
      <c r="D752" s="1962" t="s">
        <v>2269</v>
      </c>
      <c r="E752" s="1961">
        <v>0</v>
      </c>
      <c r="F752" s="1961">
        <v>0</v>
      </c>
      <c r="G752" s="708">
        <f t="shared" si="44"/>
        <v>0</v>
      </c>
      <c r="H752" s="708">
        <f t="shared" si="45"/>
        <v>0</v>
      </c>
    </row>
    <row r="753" spans="1:15" s="706" customFormat="1">
      <c r="A753" s="707">
        <v>283</v>
      </c>
      <c r="B753" s="1962">
        <v>28302143</v>
      </c>
      <c r="C753" s="1962" t="s">
        <v>968</v>
      </c>
      <c r="D753" s="1962" t="s">
        <v>2270</v>
      </c>
      <c r="E753" s="1961">
        <v>0</v>
      </c>
      <c r="F753" s="1961">
        <v>0</v>
      </c>
      <c r="G753" s="708">
        <f t="shared" si="44"/>
        <v>0</v>
      </c>
      <c r="H753" s="708">
        <f t="shared" si="45"/>
        <v>0</v>
      </c>
    </row>
    <row r="754" spans="1:15" s="706" customFormat="1">
      <c r="A754" s="707">
        <v>283</v>
      </c>
      <c r="B754" s="1962">
        <v>28302151</v>
      </c>
      <c r="C754" s="1962" t="s">
        <v>968</v>
      </c>
      <c r="D754" s="1962" t="s">
        <v>2271</v>
      </c>
      <c r="E754" s="1961">
        <v>-23304165.899999999</v>
      </c>
      <c r="F754" s="1961">
        <v>-23304165.899999999</v>
      </c>
      <c r="G754" s="708">
        <f t="shared" si="44"/>
        <v>0</v>
      </c>
      <c r="H754" s="708">
        <f t="shared" si="45"/>
        <v>-23304165.899999999</v>
      </c>
    </row>
    <row r="755" spans="1:15" s="706" customFormat="1">
      <c r="A755" s="707">
        <v>283</v>
      </c>
      <c r="B755" s="1962">
        <v>28302153</v>
      </c>
      <c r="C755" s="1962" t="s">
        <v>968</v>
      </c>
      <c r="D755" s="1962" t="s">
        <v>2272</v>
      </c>
      <c r="E755" s="1961">
        <v>0</v>
      </c>
      <c r="F755" s="1961">
        <v>0</v>
      </c>
      <c r="G755" s="708">
        <f t="shared" si="44"/>
        <v>0</v>
      </c>
      <c r="H755" s="708">
        <f t="shared" si="45"/>
        <v>0</v>
      </c>
    </row>
    <row r="756" spans="1:15" s="706" customFormat="1">
      <c r="A756" s="707">
        <v>283</v>
      </c>
      <c r="B756" s="1962">
        <v>28302161</v>
      </c>
      <c r="C756" s="1962" t="s">
        <v>968</v>
      </c>
      <c r="D756" s="1962" t="s">
        <v>2273</v>
      </c>
      <c r="E756" s="1961">
        <v>-73901.41</v>
      </c>
      <c r="F756" s="1961">
        <v>-131641.65</v>
      </c>
      <c r="G756" s="708">
        <f t="shared" si="44"/>
        <v>0</v>
      </c>
      <c r="H756" s="708">
        <f t="shared" si="45"/>
        <v>-73901.41</v>
      </c>
    </row>
    <row r="757" spans="1:15" s="706" customFormat="1">
      <c r="A757" s="707">
        <v>283</v>
      </c>
      <c r="B757" s="1962">
        <v>28302162</v>
      </c>
      <c r="C757" s="1962" t="s">
        <v>968</v>
      </c>
      <c r="D757" s="1962" t="s">
        <v>2274</v>
      </c>
      <c r="E757" s="1961">
        <v>0</v>
      </c>
      <c r="F757" s="1961">
        <v>-338039.73</v>
      </c>
      <c r="G757" s="708">
        <f t="shared" si="44"/>
        <v>0</v>
      </c>
      <c r="H757" s="708">
        <f t="shared" si="45"/>
        <v>0</v>
      </c>
    </row>
    <row r="758" spans="1:15" s="706" customFormat="1">
      <c r="A758" s="707">
        <v>283</v>
      </c>
      <c r="B758" s="1962">
        <v>28302171</v>
      </c>
      <c r="C758" s="1962" t="s">
        <v>968</v>
      </c>
      <c r="D758" s="1962" t="s">
        <v>2275</v>
      </c>
      <c r="E758" s="1961">
        <v>-1666025.3</v>
      </c>
      <c r="F758" s="1961">
        <v>-3724138.53</v>
      </c>
      <c r="G758" s="708">
        <f t="shared" si="44"/>
        <v>0</v>
      </c>
      <c r="H758" s="708">
        <f t="shared" si="45"/>
        <v>-1666025.3</v>
      </c>
    </row>
    <row r="759" spans="1:15" s="706" customFormat="1">
      <c r="A759" s="707">
        <v>283</v>
      </c>
      <c r="B759" s="1962">
        <v>28302172</v>
      </c>
      <c r="C759" s="1962" t="s">
        <v>968</v>
      </c>
      <c r="D759" s="1962" t="s">
        <v>2276</v>
      </c>
      <c r="E759" s="1961">
        <v>0</v>
      </c>
      <c r="F759" s="1961">
        <v>-984753.84</v>
      </c>
      <c r="G759" s="708">
        <f t="shared" ref="G759:G782" si="46">IF(MID(B759,8,1)="1",0,IF(MID(B759,8,1)="2",E759,E759*$F$3))</f>
        <v>0</v>
      </c>
      <c r="H759" s="708">
        <f t="shared" ref="H759:H782" si="47">E759-G759</f>
        <v>0</v>
      </c>
    </row>
    <row r="760" spans="1:15" s="706" customFormat="1">
      <c r="A760" s="707">
        <v>283</v>
      </c>
      <c r="B760" s="1962">
        <v>28302181</v>
      </c>
      <c r="C760" s="1962" t="s">
        <v>968</v>
      </c>
      <c r="D760" s="1962" t="s">
        <v>2277</v>
      </c>
      <c r="E760" s="1961">
        <v>0</v>
      </c>
      <c r="F760" s="1961">
        <v>-244797.18</v>
      </c>
      <c r="G760" s="708">
        <f t="shared" si="46"/>
        <v>0</v>
      </c>
      <c r="H760" s="708">
        <f t="shared" si="47"/>
        <v>0</v>
      </c>
    </row>
    <row r="761" spans="1:15" s="706" customFormat="1">
      <c r="A761" s="707">
        <v>283</v>
      </c>
      <c r="B761" s="1962">
        <v>28302182</v>
      </c>
      <c r="C761" s="1962" t="s">
        <v>968</v>
      </c>
      <c r="D761" s="1962" t="s">
        <v>2278</v>
      </c>
      <c r="E761" s="1961">
        <v>-40773.160000000003</v>
      </c>
      <c r="F761" s="1961">
        <v>-67649.820000000007</v>
      </c>
      <c r="G761" s="708">
        <f t="shared" si="46"/>
        <v>-40773.160000000003</v>
      </c>
      <c r="H761" s="708">
        <f t="shared" si="47"/>
        <v>0</v>
      </c>
    </row>
    <row r="762" spans="1:15" s="706" customFormat="1">
      <c r="A762" s="707">
        <v>283</v>
      </c>
      <c r="B762" s="1962">
        <v>28302191</v>
      </c>
      <c r="C762" s="1962" t="s">
        <v>968</v>
      </c>
      <c r="D762" s="1962" t="s">
        <v>2279</v>
      </c>
      <c r="E762" s="1961">
        <v>0</v>
      </c>
      <c r="F762" s="1961">
        <v>-125800.12</v>
      </c>
      <c r="G762" s="708">
        <f t="shared" si="46"/>
        <v>0</v>
      </c>
      <c r="H762" s="708">
        <f t="shared" si="47"/>
        <v>0</v>
      </c>
    </row>
    <row r="763" spans="1:15" s="706" customFormat="1">
      <c r="A763" s="707">
        <v>283</v>
      </c>
      <c r="B763" s="1962">
        <v>28302192</v>
      </c>
      <c r="C763" s="1962" t="s">
        <v>968</v>
      </c>
      <c r="D763" s="1962" t="s">
        <v>2275</v>
      </c>
      <c r="E763" s="1961">
        <v>-777208.09</v>
      </c>
      <c r="F763" s="1961">
        <v>-1768488.75</v>
      </c>
      <c r="G763" s="708">
        <f t="shared" si="46"/>
        <v>-777208.09</v>
      </c>
      <c r="H763" s="708">
        <f t="shared" si="47"/>
        <v>0</v>
      </c>
    </row>
    <row r="764" spans="1:15" s="706" customFormat="1">
      <c r="A764" s="707">
        <v>283</v>
      </c>
      <c r="B764" s="1962">
        <v>28302201</v>
      </c>
      <c r="C764" s="1962" t="s">
        <v>968</v>
      </c>
      <c r="D764" s="1962" t="s">
        <v>2280</v>
      </c>
      <c r="E764" s="1961">
        <v>-8486515.0399999991</v>
      </c>
      <c r="F764" s="1961">
        <v>-8626129.1300000008</v>
      </c>
      <c r="G764" s="708">
        <f t="shared" si="46"/>
        <v>0</v>
      </c>
      <c r="H764" s="708">
        <f t="shared" si="47"/>
        <v>-8486515.0399999991</v>
      </c>
      <c r="L764" s="685"/>
      <c r="M764" s="685"/>
      <c r="N764" s="685"/>
      <c r="O764" s="685"/>
    </row>
    <row r="765" spans="1:15" s="706" customFormat="1">
      <c r="A765" s="707">
        <v>283</v>
      </c>
      <c r="B765" s="1962">
        <v>28302202</v>
      </c>
      <c r="C765" s="1962" t="s">
        <v>968</v>
      </c>
      <c r="D765" s="1962" t="s">
        <v>2277</v>
      </c>
      <c r="E765" s="1961">
        <v>0.01</v>
      </c>
      <c r="F765" s="1961">
        <v>-112313.48</v>
      </c>
      <c r="G765" s="708">
        <f t="shared" si="46"/>
        <v>0.01</v>
      </c>
      <c r="H765" s="708">
        <f t="shared" si="47"/>
        <v>0</v>
      </c>
      <c r="L765" s="685"/>
      <c r="M765" s="685"/>
      <c r="N765" s="685"/>
      <c r="O765" s="685"/>
    </row>
    <row r="766" spans="1:15">
      <c r="A766" s="707">
        <v>283</v>
      </c>
      <c r="B766" s="1962">
        <v>28302211</v>
      </c>
      <c r="C766" s="1962"/>
      <c r="D766" s="1962" t="s">
        <v>2281</v>
      </c>
      <c r="E766" s="1961">
        <v>-2597480.31</v>
      </c>
      <c r="F766" s="1961">
        <v>-957277.07</v>
      </c>
      <c r="G766" s="708">
        <f t="shared" si="46"/>
        <v>0</v>
      </c>
      <c r="H766" s="708">
        <f t="shared" si="47"/>
        <v>-2597480.31</v>
      </c>
    </row>
    <row r="767" spans="1:15">
      <c r="A767" s="707">
        <v>283</v>
      </c>
      <c r="B767" s="1962">
        <v>28302212</v>
      </c>
      <c r="C767" s="1962"/>
      <c r="D767" s="1962" t="s">
        <v>2282</v>
      </c>
      <c r="E767" s="1961">
        <v>-992867.93</v>
      </c>
      <c r="F767" s="1961">
        <v>-523381.81</v>
      </c>
      <c r="G767" s="708">
        <f t="shared" si="46"/>
        <v>-992867.93</v>
      </c>
      <c r="H767" s="708">
        <f t="shared" si="47"/>
        <v>0</v>
      </c>
    </row>
    <row r="768" spans="1:15">
      <c r="A768" s="1954">
        <v>283</v>
      </c>
      <c r="B768" s="1960">
        <v>28302221</v>
      </c>
      <c r="C768" s="1960"/>
      <c r="D768" s="1960" t="s">
        <v>2283</v>
      </c>
      <c r="E768" s="1959">
        <v>-4950151.09</v>
      </c>
      <c r="F768" s="1959">
        <v>-4500450.3099999996</v>
      </c>
      <c r="G768" s="722">
        <f t="shared" si="46"/>
        <v>0</v>
      </c>
      <c r="H768" s="722">
        <f t="shared" si="47"/>
        <v>-4950151.09</v>
      </c>
      <c r="I768" s="1955" t="s">
        <v>973</v>
      </c>
    </row>
    <row r="769" spans="1:10">
      <c r="A769" s="1954">
        <v>283</v>
      </c>
      <c r="B769" s="1960">
        <v>28302231</v>
      </c>
      <c r="C769" s="1960"/>
      <c r="D769" s="1960" t="s">
        <v>6739</v>
      </c>
      <c r="E769" s="1959">
        <v>-71023.05</v>
      </c>
      <c r="F769" s="1959">
        <v>0</v>
      </c>
      <c r="G769" s="722">
        <f t="shared" si="46"/>
        <v>0</v>
      </c>
      <c r="H769" s="722">
        <f t="shared" si="47"/>
        <v>-71023.05</v>
      </c>
      <c r="I769" s="1955" t="s">
        <v>973</v>
      </c>
    </row>
    <row r="770" spans="1:10">
      <c r="A770" s="1954">
        <v>283</v>
      </c>
      <c r="B770" s="1960">
        <v>28302232</v>
      </c>
      <c r="C770" s="1960"/>
      <c r="D770" s="1960" t="s">
        <v>6740</v>
      </c>
      <c r="E770" s="1959">
        <v>-77696.639999999999</v>
      </c>
      <c r="F770" s="1959">
        <v>0</v>
      </c>
      <c r="G770" s="722">
        <f t="shared" si="46"/>
        <v>-77696.639999999999</v>
      </c>
      <c r="H770" s="722">
        <f t="shared" si="47"/>
        <v>0</v>
      </c>
      <c r="I770" s="1955" t="s">
        <v>973</v>
      </c>
    </row>
    <row r="771" spans="1:10">
      <c r="A771" s="1954">
        <v>283</v>
      </c>
      <c r="B771" s="1960">
        <v>28302241</v>
      </c>
      <c r="C771" s="1960"/>
      <c r="D771" s="1960" t="s">
        <v>6741</v>
      </c>
      <c r="E771" s="1959">
        <v>-1756574.61</v>
      </c>
      <c r="F771" s="1959">
        <v>0</v>
      </c>
      <c r="G771" s="722">
        <f t="shared" si="46"/>
        <v>0</v>
      </c>
      <c r="H771" s="722">
        <f t="shared" si="47"/>
        <v>-1756574.61</v>
      </c>
      <c r="I771" s="1955" t="s">
        <v>973</v>
      </c>
    </row>
    <row r="772" spans="1:10">
      <c r="A772" s="1954">
        <v>283</v>
      </c>
      <c r="B772" s="1960">
        <v>28302242</v>
      </c>
      <c r="C772" s="1960"/>
      <c r="D772" s="1960" t="s">
        <v>6742</v>
      </c>
      <c r="E772" s="1959">
        <v>-1665722.73</v>
      </c>
      <c r="F772" s="1959">
        <v>0</v>
      </c>
      <c r="G772" s="722">
        <f t="shared" si="46"/>
        <v>-1665722.73</v>
      </c>
      <c r="H772" s="722">
        <f t="shared" si="47"/>
        <v>0</v>
      </c>
      <c r="I772" s="1955" t="s">
        <v>973</v>
      </c>
    </row>
    <row r="773" spans="1:10">
      <c r="A773" s="1954">
        <v>283</v>
      </c>
      <c r="B773" s="1960">
        <v>28302251</v>
      </c>
      <c r="C773" s="1960"/>
      <c r="D773" s="1960" t="s">
        <v>6743</v>
      </c>
      <c r="E773" s="1959">
        <v>359158.5</v>
      </c>
      <c r="F773" s="1959">
        <v>0</v>
      </c>
      <c r="G773" s="722">
        <f t="shared" si="46"/>
        <v>0</v>
      </c>
      <c r="H773" s="722">
        <f t="shared" si="47"/>
        <v>359158.5</v>
      </c>
      <c r="I773" s="1955" t="s">
        <v>973</v>
      </c>
    </row>
    <row r="774" spans="1:10">
      <c r="A774" s="1954">
        <v>283</v>
      </c>
      <c r="B774" s="1960">
        <v>28302261</v>
      </c>
      <c r="C774" s="1960"/>
      <c r="D774" s="1960" t="s">
        <v>6744</v>
      </c>
      <c r="E774" s="1959">
        <v>403599.66</v>
      </c>
      <c r="F774" s="1959">
        <v>0</v>
      </c>
      <c r="G774" s="722">
        <f t="shared" si="46"/>
        <v>0</v>
      </c>
      <c r="H774" s="722">
        <f t="shared" si="47"/>
        <v>403599.66</v>
      </c>
      <c r="I774" s="1955" t="s">
        <v>973</v>
      </c>
    </row>
    <row r="775" spans="1:10">
      <c r="A775" s="1954">
        <v>283</v>
      </c>
      <c r="B775" s="1960">
        <v>28302281</v>
      </c>
      <c r="C775" s="1960"/>
      <c r="D775" s="1960" t="s">
        <v>6745</v>
      </c>
      <c r="E775" s="1959">
        <v>-147278.41</v>
      </c>
      <c r="F775" s="1959">
        <v>0</v>
      </c>
      <c r="G775" s="722">
        <f t="shared" si="46"/>
        <v>0</v>
      </c>
      <c r="H775" s="722">
        <f t="shared" si="47"/>
        <v>-147278.41</v>
      </c>
      <c r="I775" s="1955" t="s">
        <v>973</v>
      </c>
    </row>
    <row r="776" spans="1:10">
      <c r="A776" s="1954">
        <v>283</v>
      </c>
      <c r="B776" s="1960">
        <v>28302301</v>
      </c>
      <c r="C776" s="1960"/>
      <c r="D776" s="1960" t="s">
        <v>6746</v>
      </c>
      <c r="E776" s="1959">
        <v>-18472586.579999998</v>
      </c>
      <c r="F776" s="1959">
        <v>0</v>
      </c>
      <c r="G776" s="722">
        <f t="shared" si="46"/>
        <v>0</v>
      </c>
      <c r="H776" s="722">
        <f t="shared" si="47"/>
        <v>-18472586.579999998</v>
      </c>
      <c r="I776" s="1955" t="s">
        <v>973</v>
      </c>
    </row>
    <row r="777" spans="1:10">
      <c r="A777" s="1954">
        <v>283</v>
      </c>
      <c r="B777" s="1960">
        <v>28302302</v>
      </c>
      <c r="C777" s="1960"/>
      <c r="D777" s="1960" t="s">
        <v>6747</v>
      </c>
      <c r="E777" s="1959">
        <v>-5933829.2999999998</v>
      </c>
      <c r="F777" s="1959">
        <v>0</v>
      </c>
      <c r="G777" s="722">
        <f t="shared" si="46"/>
        <v>-5933829.2999999998</v>
      </c>
      <c r="H777" s="722">
        <f t="shared" si="47"/>
        <v>0</v>
      </c>
      <c r="I777" s="1955" t="s">
        <v>973</v>
      </c>
    </row>
    <row r="778" spans="1:10">
      <c r="A778" s="1954">
        <v>283</v>
      </c>
      <c r="B778" s="1960">
        <v>28302311</v>
      </c>
      <c r="C778" s="1960"/>
      <c r="D778" s="1960" t="s">
        <v>6748</v>
      </c>
      <c r="E778" s="1959">
        <v>-41725.300000000003</v>
      </c>
      <c r="F778" s="1959">
        <v>0</v>
      </c>
      <c r="G778" s="722">
        <f t="shared" si="46"/>
        <v>0</v>
      </c>
      <c r="H778" s="722">
        <f t="shared" si="47"/>
        <v>-41725.300000000003</v>
      </c>
      <c r="I778" s="1955" t="s">
        <v>973</v>
      </c>
    </row>
    <row r="779" spans="1:10">
      <c r="A779" s="1954">
        <v>283</v>
      </c>
      <c r="B779" s="1960">
        <v>28302312</v>
      </c>
      <c r="C779" s="1960"/>
      <c r="D779" s="1960" t="s">
        <v>6749</v>
      </c>
      <c r="E779" s="1959">
        <v>-19106.009999999998</v>
      </c>
      <c r="F779" s="1959">
        <v>0</v>
      </c>
      <c r="G779" s="722">
        <f t="shared" si="46"/>
        <v>-19106.009999999998</v>
      </c>
      <c r="H779" s="722">
        <f t="shared" si="47"/>
        <v>0</v>
      </c>
      <c r="I779" s="1955" t="s">
        <v>973</v>
      </c>
    </row>
    <row r="780" spans="1:10">
      <c r="A780" s="1954">
        <v>283</v>
      </c>
      <c r="B780" s="1960">
        <v>28302321</v>
      </c>
      <c r="C780" s="1960"/>
      <c r="D780" s="1960" t="s">
        <v>6750</v>
      </c>
      <c r="E780" s="1959">
        <v>634384.17000000004</v>
      </c>
      <c r="F780" s="1959">
        <v>0</v>
      </c>
      <c r="G780" s="722">
        <f t="shared" si="46"/>
        <v>0</v>
      </c>
      <c r="H780" s="722">
        <f t="shared" si="47"/>
        <v>634384.17000000004</v>
      </c>
      <c r="I780" s="1955" t="s">
        <v>973</v>
      </c>
    </row>
    <row r="781" spans="1:10">
      <c r="A781" s="1954">
        <v>283</v>
      </c>
      <c r="B781" s="1960">
        <v>28302322</v>
      </c>
      <c r="C781" s="1960"/>
      <c r="D781" s="1960" t="s">
        <v>6751</v>
      </c>
      <c r="E781" s="1959">
        <v>747112.38</v>
      </c>
      <c r="F781" s="1959">
        <v>0</v>
      </c>
      <c r="G781" s="722">
        <f t="shared" si="46"/>
        <v>747112.38</v>
      </c>
      <c r="H781" s="722">
        <f t="shared" si="47"/>
        <v>0</v>
      </c>
      <c r="I781" s="1955" t="s">
        <v>973</v>
      </c>
    </row>
    <row r="782" spans="1:10">
      <c r="A782" s="1954">
        <v>283</v>
      </c>
      <c r="B782" s="1960">
        <v>28302331</v>
      </c>
      <c r="C782" s="1960"/>
      <c r="D782" s="1960" t="s">
        <v>6752</v>
      </c>
      <c r="E782" s="1959">
        <v>-174011.46</v>
      </c>
      <c r="F782" s="1959">
        <v>0</v>
      </c>
      <c r="G782" s="722">
        <f t="shared" si="46"/>
        <v>0</v>
      </c>
      <c r="H782" s="722">
        <f t="shared" si="47"/>
        <v>-174011.46</v>
      </c>
      <c r="I782" s="1955" t="s">
        <v>973</v>
      </c>
    </row>
    <row r="783" spans="1:10">
      <c r="A783" s="638"/>
      <c r="B783" s="709"/>
      <c r="C783" s="710"/>
      <c r="D783" s="711" t="s">
        <v>104</v>
      </c>
      <c r="E783" s="1958">
        <f>SUM(E663:E782)</f>
        <v>-297127906.48000002</v>
      </c>
      <c r="F783" s="1958">
        <f>SUM(F663:F782)</f>
        <v>-394572744.57999986</v>
      </c>
      <c r="G783" s="1958">
        <f>SUM(G663:G782)</f>
        <v>-70666301.350790903</v>
      </c>
      <c r="H783" s="2279">
        <f>SUM(H663:H782)</f>
        <v>-226461605.12920922</v>
      </c>
      <c r="I783" s="1957">
        <f>E783-G783-H783</f>
        <v>0</v>
      </c>
      <c r="J783" s="718" t="s">
        <v>929</v>
      </c>
    </row>
    <row r="784" spans="1:10">
      <c r="B784" s="696"/>
      <c r="D784" s="1952" t="s">
        <v>2143</v>
      </c>
      <c r="E784" s="1956">
        <f>-'FERC p112-113 Liabilities'!D77-E783</f>
        <v>0.48000001907348633</v>
      </c>
      <c r="F784" s="1956">
        <f>-'FERC p112-113 Liabilities'!E77-F783</f>
        <v>-0.42000013589859009</v>
      </c>
    </row>
    <row r="785" spans="2:2">
      <c r="B785" s="696"/>
    </row>
    <row r="786" spans="2:2">
      <c r="B786" s="696"/>
    </row>
  </sheetData>
  <conditionalFormatting sqref="D5">
    <cfRule type="cellIs" dxfId="3" priority="1" stopIfTrue="1" operator="equal">
      <formula>"NOT OK!"</formula>
    </cfRule>
    <cfRule type="cellIs" dxfId="2" priority="2" stopIfTrue="1" operator="equal">
      <formula>"OK!"</formula>
    </cfRule>
  </conditionalFormatting>
  <pageMargins left="0.7" right="0.7" top="0.75" bottom="0.75" header="0.3" footer="0.3"/>
  <pageSetup scale="61" fitToHeight="10" orientation="portrait" r:id="rId1"/>
  <headerFooter>
    <oddHeader>&amp;CPSE_ASC_Filing_Appendix_1_CY_2018</oddHeader>
    <oddFooter>&amp;R&amp;F&amp;A</oddFooter>
  </headerFooter>
  <customProperties>
    <customPr name="_pios_id" r:id="rId2"/>
  </customProperties>
  <legacy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92D050"/>
  </sheetPr>
  <dimension ref="B2:AA109"/>
  <sheetViews>
    <sheetView zoomScaleNormal="100" workbookViewId="0">
      <pane ySplit="4" topLeftCell="A5" activePane="bottomLeft" state="frozen"/>
      <selection sqref="A1:XFD1048576"/>
      <selection pane="bottomLeft" sqref="A1:XFD1048576"/>
    </sheetView>
  </sheetViews>
  <sheetFormatPr defaultColWidth="9" defaultRowHeight="12" customHeight="1"/>
  <cols>
    <col min="1" max="1" width="3.75" style="546" customWidth="1"/>
    <col min="2" max="2" width="17.75" style="546" bestFit="1" customWidth="1"/>
    <col min="3" max="3" width="13.75" style="546" customWidth="1"/>
    <col min="4" max="4" width="17.125" style="546" customWidth="1"/>
    <col min="5" max="5" width="12.75" style="546" bestFit="1" customWidth="1"/>
    <col min="6" max="6" width="13.25" style="546" bestFit="1" customWidth="1"/>
    <col min="7" max="7" width="13.625" style="546" customWidth="1"/>
    <col min="8" max="8" width="12.5" style="546" bestFit="1" customWidth="1"/>
    <col min="9" max="9" width="13.75" style="546" customWidth="1"/>
    <col min="10" max="10" width="17.125" style="546" customWidth="1"/>
    <col min="11" max="11" width="8.25" style="546" bestFit="1" customWidth="1"/>
    <col min="12" max="17" width="9" style="546"/>
    <col min="18" max="18" width="13.75" style="546" bestFit="1" customWidth="1"/>
    <col min="19" max="19" width="17.125" style="546" bestFit="1" customWidth="1"/>
    <col min="20" max="16384" width="9" style="546"/>
  </cols>
  <sheetData>
    <row r="2" spans="2:27" ht="12" customHeight="1">
      <c r="B2" s="767" t="s">
        <v>2284</v>
      </c>
      <c r="C2" s="1942"/>
      <c r="D2" s="1942"/>
      <c r="E2" s="1942"/>
      <c r="F2" s="1942"/>
      <c r="G2" s="1942"/>
      <c r="H2" s="1942"/>
      <c r="I2" s="1942"/>
      <c r="J2" s="1942"/>
      <c r="K2" s="1942"/>
      <c r="L2" s="1942"/>
      <c r="M2" s="1942"/>
      <c r="N2" s="1942"/>
      <c r="O2" s="1942"/>
      <c r="P2" s="1942"/>
      <c r="Q2" s="1942"/>
      <c r="R2" s="1942"/>
      <c r="S2" s="1942"/>
      <c r="T2" s="1942"/>
      <c r="U2" s="1942"/>
      <c r="V2" s="1942"/>
      <c r="W2" s="1942"/>
      <c r="X2" s="1942"/>
      <c r="Y2" s="1942"/>
      <c r="Z2" s="1942"/>
      <c r="AA2" s="1942"/>
    </row>
    <row r="3" spans="2:27" ht="12" customHeight="1">
      <c r="G3" s="744" t="s">
        <v>2285</v>
      </c>
      <c r="H3" s="1941"/>
      <c r="I3" s="1941"/>
      <c r="J3" s="1941"/>
      <c r="K3" s="1930"/>
    </row>
    <row r="4" spans="2:27" ht="11.25">
      <c r="B4" s="3695" t="s">
        <v>2286</v>
      </c>
      <c r="C4" s="3695" t="s">
        <v>350</v>
      </c>
      <c r="D4" s="3696" t="s">
        <v>2287</v>
      </c>
      <c r="E4" s="1940" t="s">
        <v>2288</v>
      </c>
      <c r="F4" s="547" t="s">
        <v>196</v>
      </c>
      <c r="G4" s="1918" t="s">
        <v>104</v>
      </c>
      <c r="H4" s="560" t="s">
        <v>105</v>
      </c>
      <c r="I4" s="560" t="s">
        <v>106</v>
      </c>
      <c r="J4" s="560" t="s">
        <v>511</v>
      </c>
      <c r="K4" s="904" t="s">
        <v>2289</v>
      </c>
    </row>
    <row r="5" spans="2:27" ht="11.25">
      <c r="B5" s="3696" t="s">
        <v>2290</v>
      </c>
      <c r="C5" s="3696" t="s">
        <v>390</v>
      </c>
      <c r="D5" s="3697">
        <v>20280840.629999999</v>
      </c>
      <c r="E5" s="1939"/>
      <c r="F5" s="1938">
        <f t="shared" ref="F5:F25" si="0">SUM(D5:E5)</f>
        <v>20280840.629999999</v>
      </c>
      <c r="G5" s="1938">
        <f>F5*'Four Factor Allocator'!$C$5</f>
        <v>13316400.029361699</v>
      </c>
      <c r="H5" s="1938">
        <f t="shared" ref="H5:H25" si="1">$G5*VLOOKUP($C5,Ratio,2,FALSE)</f>
        <v>0</v>
      </c>
      <c r="I5" s="1938">
        <f t="shared" ref="I5:I25" si="2">$G5*VLOOKUP($C5,Ratio,3,FALSE)</f>
        <v>0</v>
      </c>
      <c r="J5" s="1938">
        <f t="shared" ref="J5:J25" si="3">$G5*VLOOKUP($C5,Ratio,4,FALSE)</f>
        <v>13316400.029361699</v>
      </c>
      <c r="K5" s="3662">
        <f t="shared" ref="K5:K26" si="4">G5-SUM(H5:J5)</f>
        <v>0</v>
      </c>
    </row>
    <row r="6" spans="2:27" ht="11.25">
      <c r="B6" s="3696"/>
      <c r="C6" s="3696" t="s">
        <v>99</v>
      </c>
      <c r="D6" s="3697">
        <v>33202487.290000003</v>
      </c>
      <c r="E6" s="1939"/>
      <c r="F6" s="1938">
        <f t="shared" si="0"/>
        <v>33202487.290000003</v>
      </c>
      <c r="G6" s="746">
        <f>F6*'Four Factor Allocator'!$C$5</f>
        <v>21800753.272002686</v>
      </c>
      <c r="H6" s="1938">
        <f t="shared" si="1"/>
        <v>7610456.8533406062</v>
      </c>
      <c r="I6" s="1938">
        <f t="shared" si="2"/>
        <v>0</v>
      </c>
      <c r="J6" s="1938">
        <f t="shared" si="3"/>
        <v>14190296.418662081</v>
      </c>
      <c r="K6" s="3662">
        <f t="shared" si="4"/>
        <v>0</v>
      </c>
    </row>
    <row r="7" spans="2:27" ht="11.25">
      <c r="B7" s="3696" t="s">
        <v>2291</v>
      </c>
      <c r="C7" s="3696" t="s">
        <v>390</v>
      </c>
      <c r="D7" s="3697">
        <v>62566270.470000036</v>
      </c>
      <c r="E7" s="1939"/>
      <c r="F7" s="1938">
        <f t="shared" si="0"/>
        <v>62566270.470000036</v>
      </c>
      <c r="G7" s="746">
        <f>F7*'Four Factor Allocator'!$C$5</f>
        <v>41081013.4118075</v>
      </c>
      <c r="H7" s="1938">
        <f t="shared" si="1"/>
        <v>0</v>
      </c>
      <c r="I7" s="1938">
        <f t="shared" si="2"/>
        <v>0</v>
      </c>
      <c r="J7" s="1938">
        <f t="shared" si="3"/>
        <v>41081013.4118075</v>
      </c>
      <c r="K7" s="3662">
        <f t="shared" si="4"/>
        <v>0</v>
      </c>
    </row>
    <row r="8" spans="2:27" ht="11.25">
      <c r="B8" s="3696"/>
      <c r="C8" s="3696" t="s">
        <v>95</v>
      </c>
      <c r="D8" s="3697">
        <v>2480540.7800000003</v>
      </c>
      <c r="E8" s="1939"/>
      <c r="F8" s="1938">
        <f t="shared" si="0"/>
        <v>2480540.7800000003</v>
      </c>
      <c r="G8" s="746">
        <f>F8*'Four Factor Allocator'!$C$5</f>
        <v>1628723.0849180485</v>
      </c>
      <c r="H8" s="1938">
        <f t="shared" si="1"/>
        <v>553489.18177872698</v>
      </c>
      <c r="I8" s="1938">
        <f t="shared" si="2"/>
        <v>0</v>
      </c>
      <c r="J8" s="1938">
        <f t="shared" si="3"/>
        <v>1075233.9031393214</v>
      </c>
      <c r="K8" s="3662">
        <f t="shared" si="4"/>
        <v>0</v>
      </c>
    </row>
    <row r="9" spans="2:27" ht="11.25">
      <c r="B9" s="3696"/>
      <c r="C9" s="3696" t="s">
        <v>99</v>
      </c>
      <c r="D9" s="3697">
        <v>111930927.25000003</v>
      </c>
      <c r="E9" s="1939"/>
      <c r="F9" s="1938">
        <f t="shared" si="0"/>
        <v>111930927.25000003</v>
      </c>
      <c r="G9" s="746">
        <f>F9*'Four Factor Allocator'!$C$5</f>
        <v>73493847.228086159</v>
      </c>
      <c r="H9" s="1938">
        <f t="shared" si="1"/>
        <v>25656074.647368126</v>
      </c>
      <c r="I9" s="1938">
        <f t="shared" si="2"/>
        <v>0</v>
      </c>
      <c r="J9" s="1938">
        <f t="shared" si="3"/>
        <v>47837772.58071804</v>
      </c>
      <c r="K9" s="3662">
        <f t="shared" si="4"/>
        <v>0</v>
      </c>
    </row>
    <row r="10" spans="2:27" ht="11.25">
      <c r="B10" s="3696" t="s">
        <v>2292</v>
      </c>
      <c r="C10" s="3696" t="s">
        <v>99</v>
      </c>
      <c r="D10" s="3697">
        <v>40462750.369999997</v>
      </c>
      <c r="E10" s="1939"/>
      <c r="F10" s="1938">
        <f t="shared" si="0"/>
        <v>40462750.369999997</v>
      </c>
      <c r="G10" s="746">
        <f>F10*'Four Factor Allocator'!$C$5</f>
        <v>26567842.035999622</v>
      </c>
      <c r="H10" s="1938">
        <f t="shared" si="1"/>
        <v>9274606.8440216724</v>
      </c>
      <c r="I10" s="1938">
        <f t="shared" si="2"/>
        <v>0</v>
      </c>
      <c r="J10" s="1938">
        <f t="shared" si="3"/>
        <v>17293235.191977952</v>
      </c>
      <c r="K10" s="3662">
        <f t="shared" si="4"/>
        <v>0</v>
      </c>
    </row>
    <row r="11" spans="2:27" ht="11.25">
      <c r="B11" s="3696" t="s">
        <v>2293</v>
      </c>
      <c r="C11" s="3696" t="s">
        <v>390</v>
      </c>
      <c r="D11" s="3697">
        <v>2217262.1</v>
      </c>
      <c r="E11" s="747"/>
      <c r="F11" s="1938">
        <f t="shared" si="0"/>
        <v>2217262.1</v>
      </c>
      <c r="G11" s="746">
        <f>F11*'Four Factor Allocator'!$C$5</f>
        <v>1455854.3026992164</v>
      </c>
      <c r="H11" s="1938">
        <f t="shared" si="1"/>
        <v>0</v>
      </c>
      <c r="I11" s="1938">
        <f t="shared" si="2"/>
        <v>0</v>
      </c>
      <c r="J11" s="1938">
        <f t="shared" si="3"/>
        <v>1455854.3026992164</v>
      </c>
      <c r="K11" s="3662">
        <f t="shared" si="4"/>
        <v>0</v>
      </c>
    </row>
    <row r="12" spans="2:27" ht="11.25">
      <c r="B12" s="3696"/>
      <c r="C12" s="3696" t="s">
        <v>95</v>
      </c>
      <c r="D12" s="3697">
        <v>94779115.670000017</v>
      </c>
      <c r="E12" s="747"/>
      <c r="F12" s="1938">
        <f t="shared" si="0"/>
        <v>94779115.670000017</v>
      </c>
      <c r="G12" s="746">
        <f>F12*'Four Factor Allocator'!$C$5</f>
        <v>62231967.684017256</v>
      </c>
      <c r="H12" s="1938">
        <f t="shared" si="1"/>
        <v>21148297.824758854</v>
      </c>
      <c r="I12" s="1938">
        <f t="shared" si="2"/>
        <v>0</v>
      </c>
      <c r="J12" s="1938">
        <f t="shared" si="3"/>
        <v>41083669.859258406</v>
      </c>
      <c r="K12" s="3662">
        <f t="shared" si="4"/>
        <v>0</v>
      </c>
    </row>
    <row r="13" spans="2:27" ht="11.25">
      <c r="B13" s="3696"/>
      <c r="C13" s="3696" t="s">
        <v>99</v>
      </c>
      <c r="D13" s="3697">
        <v>646808.22</v>
      </c>
      <c r="E13" s="747"/>
      <c r="F13" s="1938">
        <f t="shared" si="0"/>
        <v>646808.22</v>
      </c>
      <c r="G13" s="746">
        <f>F13*'Four Factor Allocator'!$C$5</f>
        <v>424694.27953881555</v>
      </c>
      <c r="H13" s="1938">
        <f t="shared" si="1"/>
        <v>148257.14735469859</v>
      </c>
      <c r="I13" s="1938">
        <f t="shared" si="2"/>
        <v>0</v>
      </c>
      <c r="J13" s="1938">
        <f t="shared" si="3"/>
        <v>276437.13218411698</v>
      </c>
      <c r="K13" s="3662">
        <f t="shared" si="4"/>
        <v>0</v>
      </c>
    </row>
    <row r="14" spans="2:27" ht="11.25">
      <c r="B14" s="3696" t="s">
        <v>2294</v>
      </c>
      <c r="C14" s="3696" t="s">
        <v>109</v>
      </c>
      <c r="D14" s="3697">
        <v>1469778.2400000002</v>
      </c>
      <c r="E14" s="1939"/>
      <c r="F14" s="1938">
        <f t="shared" si="0"/>
        <v>1469778.2400000002</v>
      </c>
      <c r="G14" s="746">
        <f>F14*'Four Factor Allocator'!$C$5</f>
        <v>965056.3975804582</v>
      </c>
      <c r="H14" s="1938">
        <f t="shared" si="1"/>
        <v>0</v>
      </c>
      <c r="I14" s="1938">
        <f t="shared" si="2"/>
        <v>0</v>
      </c>
      <c r="J14" s="1938">
        <f t="shared" si="3"/>
        <v>965056.3975804582</v>
      </c>
      <c r="K14" s="3662">
        <f t="shared" si="4"/>
        <v>0</v>
      </c>
    </row>
    <row r="15" spans="2:27" ht="11.25">
      <c r="B15" s="3696" t="s">
        <v>2295</v>
      </c>
      <c r="C15" s="3696" t="s">
        <v>99</v>
      </c>
      <c r="D15" s="3697">
        <v>92575.77</v>
      </c>
      <c r="E15" s="1939"/>
      <c r="F15" s="1938">
        <f t="shared" si="0"/>
        <v>92575.77</v>
      </c>
      <c r="G15" s="746">
        <f>F15*'Four Factor Allocator'!$C$5</f>
        <v>60785.250909305229</v>
      </c>
      <c r="H15" s="1938">
        <f t="shared" si="1"/>
        <v>21219.612166284292</v>
      </c>
      <c r="I15" s="1938">
        <f t="shared" si="2"/>
        <v>0</v>
      </c>
      <c r="J15" s="1938">
        <f t="shared" si="3"/>
        <v>39565.638743020943</v>
      </c>
      <c r="K15" s="3662">
        <f t="shared" si="4"/>
        <v>0</v>
      </c>
    </row>
    <row r="16" spans="2:27" ht="11.25">
      <c r="B16" s="3696" t="s">
        <v>2296</v>
      </c>
      <c r="C16" s="3696" t="s">
        <v>390</v>
      </c>
      <c r="D16" s="3697">
        <v>223861.44000000003</v>
      </c>
      <c r="E16" s="1939"/>
      <c r="F16" s="1938">
        <f t="shared" si="0"/>
        <v>223861.44000000003</v>
      </c>
      <c r="G16" s="746">
        <f>F16*'Four Factor Allocator'!$C$5</f>
        <v>146987.42229547084</v>
      </c>
      <c r="H16" s="1938">
        <f t="shared" si="1"/>
        <v>0</v>
      </c>
      <c r="I16" s="1938">
        <f t="shared" si="2"/>
        <v>0</v>
      </c>
      <c r="J16" s="1938">
        <f t="shared" si="3"/>
        <v>146987.42229547084</v>
      </c>
      <c r="K16" s="3662">
        <f t="shared" si="4"/>
        <v>0</v>
      </c>
    </row>
    <row r="17" spans="2:11" ht="11.25">
      <c r="B17" s="3696"/>
      <c r="C17" s="3696" t="s">
        <v>99</v>
      </c>
      <c r="D17" s="3697">
        <v>1288024.67</v>
      </c>
      <c r="E17" s="1939"/>
      <c r="F17" s="1938">
        <f t="shared" si="0"/>
        <v>1288024.67</v>
      </c>
      <c r="G17" s="746">
        <f>F17*'Four Factor Allocator'!$C$5</f>
        <v>845717.00287586113</v>
      </c>
      <c r="H17" s="1938">
        <f t="shared" si="1"/>
        <v>295232.58578358364</v>
      </c>
      <c r="I17" s="1938">
        <f t="shared" si="2"/>
        <v>0</v>
      </c>
      <c r="J17" s="1938">
        <f t="shared" si="3"/>
        <v>550484.41709227755</v>
      </c>
      <c r="K17" s="3662">
        <f t="shared" si="4"/>
        <v>0</v>
      </c>
    </row>
    <row r="18" spans="2:11" ht="11.25">
      <c r="B18" s="3696" t="s">
        <v>2297</v>
      </c>
      <c r="C18" s="3696" t="s">
        <v>109</v>
      </c>
      <c r="D18" s="3697">
        <v>578046.00999999989</v>
      </c>
      <c r="E18" s="1939"/>
      <c r="F18" s="1938">
        <f t="shared" si="0"/>
        <v>578046.00999999989</v>
      </c>
      <c r="G18" s="746">
        <f>F18*'Four Factor Allocator'!$C$5</f>
        <v>379545.01220970403</v>
      </c>
      <c r="H18" s="1938">
        <f t="shared" si="1"/>
        <v>0</v>
      </c>
      <c r="I18" s="1938">
        <f t="shared" si="2"/>
        <v>0</v>
      </c>
      <c r="J18" s="1938">
        <f t="shared" si="3"/>
        <v>379545.01220970403</v>
      </c>
      <c r="K18" s="3662">
        <f t="shared" si="4"/>
        <v>0</v>
      </c>
    </row>
    <row r="19" spans="2:11" ht="11.25">
      <c r="B19" s="3696" t="s">
        <v>2298</v>
      </c>
      <c r="C19" s="3696" t="s">
        <v>390</v>
      </c>
      <c r="D19" s="3697">
        <v>4576843.8499999996</v>
      </c>
      <c r="E19" s="1939"/>
      <c r="F19" s="1938">
        <f t="shared" si="0"/>
        <v>4576843.8499999996</v>
      </c>
      <c r="G19" s="746">
        <f>F19*'Four Factor Allocator'!$C$5</f>
        <v>3005155.6880916087</v>
      </c>
      <c r="H19" s="1938">
        <f t="shared" si="1"/>
        <v>0</v>
      </c>
      <c r="I19" s="1938">
        <f t="shared" si="2"/>
        <v>0</v>
      </c>
      <c r="J19" s="1938">
        <f t="shared" si="3"/>
        <v>3005155.6880916087</v>
      </c>
      <c r="K19" s="3662">
        <f t="shared" si="4"/>
        <v>0</v>
      </c>
    </row>
    <row r="20" spans="2:11" ht="11.25">
      <c r="B20" s="3696"/>
      <c r="C20" s="3696" t="s">
        <v>392</v>
      </c>
      <c r="D20" s="3697">
        <v>276345.02</v>
      </c>
      <c r="E20" s="1939"/>
      <c r="F20" s="1938">
        <f t="shared" si="0"/>
        <v>276345.02</v>
      </c>
      <c r="G20" s="746">
        <f>F20*'Four Factor Allocator'!$C$5</f>
        <v>181448.14110902857</v>
      </c>
      <c r="H20" s="1938">
        <f t="shared" si="1"/>
        <v>181448.14110902857</v>
      </c>
      <c r="I20" s="1938">
        <f t="shared" si="2"/>
        <v>0</v>
      </c>
      <c r="J20" s="1938">
        <f t="shared" si="3"/>
        <v>0</v>
      </c>
      <c r="K20" s="3662">
        <f t="shared" si="4"/>
        <v>0</v>
      </c>
    </row>
    <row r="21" spans="2:11" ht="11.25">
      <c r="B21" s="3696"/>
      <c r="C21" s="3696" t="s">
        <v>99</v>
      </c>
      <c r="D21" s="3697">
        <v>138947076.82000014</v>
      </c>
      <c r="E21" s="1939"/>
      <c r="F21" s="1938">
        <f t="shared" si="0"/>
        <v>138947076.82000014</v>
      </c>
      <c r="G21" s="746">
        <f>F21*'Four Factor Allocator'!$C$5</f>
        <v>91232651.13126488</v>
      </c>
      <c r="H21" s="1938">
        <f t="shared" si="1"/>
        <v>31848539.653078914</v>
      </c>
      <c r="I21" s="1938">
        <f t="shared" si="2"/>
        <v>0</v>
      </c>
      <c r="J21" s="1938">
        <f t="shared" si="3"/>
        <v>59384111.478185974</v>
      </c>
      <c r="K21" s="3662">
        <f t="shared" si="4"/>
        <v>0</v>
      </c>
    </row>
    <row r="22" spans="2:11" ht="11.25">
      <c r="B22" s="3696"/>
      <c r="C22" s="3696" t="s">
        <v>109</v>
      </c>
      <c r="D22" s="3697">
        <v>52971.19</v>
      </c>
      <c r="E22" s="1939"/>
      <c r="F22" s="1938">
        <f t="shared" si="0"/>
        <v>52971.19</v>
      </c>
      <c r="G22" s="746">
        <f>F22*'Four Factor Allocator'!$C$5</f>
        <v>34780.883541281699</v>
      </c>
      <c r="H22" s="1938">
        <f t="shared" si="1"/>
        <v>0</v>
      </c>
      <c r="I22" s="1938">
        <f t="shared" si="2"/>
        <v>0</v>
      </c>
      <c r="J22" s="1938">
        <f t="shared" si="3"/>
        <v>34780.883541281699</v>
      </c>
      <c r="K22" s="3662">
        <f t="shared" si="4"/>
        <v>0</v>
      </c>
    </row>
    <row r="23" spans="2:11" ht="11.25">
      <c r="B23" s="3696" t="s">
        <v>2299</v>
      </c>
      <c r="C23" s="3696" t="s">
        <v>390</v>
      </c>
      <c r="D23" s="3697">
        <v>71671.069999999992</v>
      </c>
      <c r="E23" s="1939"/>
      <c r="F23" s="1938">
        <f t="shared" si="0"/>
        <v>71671.069999999992</v>
      </c>
      <c r="G23" s="746">
        <f>F23*'Four Factor Allocator'!$C$5</f>
        <v>47059.224815395843</v>
      </c>
      <c r="H23" s="1938">
        <f t="shared" si="1"/>
        <v>0</v>
      </c>
      <c r="I23" s="1938">
        <f t="shared" si="2"/>
        <v>0</v>
      </c>
      <c r="J23" s="1938">
        <f t="shared" si="3"/>
        <v>47059.224815395843</v>
      </c>
      <c r="K23" s="3662">
        <f t="shared" si="4"/>
        <v>0</v>
      </c>
    </row>
    <row r="24" spans="2:11" ht="11.25">
      <c r="B24" s="3696"/>
      <c r="C24" s="3696" t="s">
        <v>99</v>
      </c>
      <c r="D24" s="3697">
        <v>560652.15999999992</v>
      </c>
      <c r="E24" s="1939"/>
      <c r="F24" s="1938">
        <f t="shared" si="0"/>
        <v>560652.15999999992</v>
      </c>
      <c r="G24" s="746">
        <f>F24*'Four Factor Allocator'!$C$5</f>
        <v>368124.21023820742</v>
      </c>
      <c r="H24" s="1938">
        <f t="shared" si="1"/>
        <v>128509.01910283399</v>
      </c>
      <c r="I24" s="1938">
        <f t="shared" si="2"/>
        <v>0</v>
      </c>
      <c r="J24" s="1938">
        <f t="shared" si="3"/>
        <v>239615.19113537346</v>
      </c>
      <c r="K24" s="3662">
        <f t="shared" si="4"/>
        <v>0</v>
      </c>
    </row>
    <row r="25" spans="2:11" ht="11.25">
      <c r="B25" s="3696" t="s">
        <v>2300</v>
      </c>
      <c r="C25" s="3696" t="s">
        <v>99</v>
      </c>
      <c r="D25" s="3697">
        <v>1258506.4300000002</v>
      </c>
      <c r="E25" s="1939"/>
      <c r="F25" s="1938">
        <f t="shared" si="0"/>
        <v>1258506.4300000002</v>
      </c>
      <c r="G25" s="746">
        <f>F25*'Four Factor Allocator'!$C$5</f>
        <v>826335.32638749841</v>
      </c>
      <c r="H25" s="1938">
        <f t="shared" si="1"/>
        <v>288466.60798365506</v>
      </c>
      <c r="I25" s="1938">
        <f t="shared" si="2"/>
        <v>0</v>
      </c>
      <c r="J25" s="1938">
        <f t="shared" si="3"/>
        <v>537868.71840384346</v>
      </c>
      <c r="K25" s="3662">
        <f t="shared" si="4"/>
        <v>0</v>
      </c>
    </row>
    <row r="26" spans="2:11" thickBot="1">
      <c r="B26" s="3696" t="s">
        <v>2301</v>
      </c>
      <c r="C26" s="3696"/>
      <c r="D26" s="3698">
        <v>517963355.45000029</v>
      </c>
      <c r="E26" s="748">
        <f t="shared" ref="E26:J26" si="5">SUM(E5:E25)</f>
        <v>0</v>
      </c>
      <c r="F26" s="748">
        <f t="shared" si="5"/>
        <v>517963355.45000029</v>
      </c>
      <c r="G26" s="748">
        <f t="shared" si="5"/>
        <v>340094741.0197497</v>
      </c>
      <c r="H26" s="748">
        <f t="shared" si="5"/>
        <v>97154598.117846966</v>
      </c>
      <c r="I26" s="748">
        <f t="shared" si="5"/>
        <v>0</v>
      </c>
      <c r="J26" s="748">
        <f t="shared" si="5"/>
        <v>242940142.90190274</v>
      </c>
      <c r="K26" s="3662">
        <f t="shared" si="4"/>
        <v>0</v>
      </c>
    </row>
    <row r="27" spans="2:11" thickTop="1">
      <c r="C27" s="3661" t="s">
        <v>3782</v>
      </c>
      <c r="D27" s="3659">
        <f>'FERC C389-399 Common'!K2081-D26</f>
        <v>-2.384185791015625E-6</v>
      </c>
      <c r="E27" s="3662">
        <f>E26-SUM('FERC CWIP Adjustments to Plant'!E2:E2)</f>
        <v>0</v>
      </c>
      <c r="G27" s="1926" t="s">
        <v>2302</v>
      </c>
      <c r="H27" s="1919">
        <f>(H26+'E Intangible_Summary'!G20)/($G26+'E Intangible_Summary'!$F$20)</f>
        <v>0.32914183268030545</v>
      </c>
      <c r="I27" s="1919">
        <f>(I26+'E Intangible_Summary'!H20)/($G26+'E Intangible_Summary'!$F$20)</f>
        <v>0</v>
      </c>
      <c r="J27" s="1919">
        <f>(J26+'E Intangible_Summary'!I20)/($G26+'E Intangible_Summary'!$F$20)</f>
        <v>0.6708581673196945</v>
      </c>
      <c r="K27" s="3663">
        <f>SUM(H27:J27)</f>
        <v>1</v>
      </c>
    </row>
    <row r="28" spans="2:11" ht="11.25">
      <c r="F28" s="1936" t="s">
        <v>2303</v>
      </c>
      <c r="G28" s="1928">
        <f>'FERC p200-201 Utility Plant'!$I$23*'Four Factor Allocator'!$C$5</f>
        <v>800158907.49414837</v>
      </c>
      <c r="H28" s="2277">
        <f>$G$28*H27</f>
        <v>263365769.24809498</v>
      </c>
      <c r="I28" s="2277">
        <f>$G$28*I27</f>
        <v>0</v>
      </c>
      <c r="J28" s="2277">
        <f>$G$28*J27</f>
        <v>536793138.24605334</v>
      </c>
      <c r="K28" s="1892">
        <f>G28-SUM(H28:J28)</f>
        <v>0</v>
      </c>
    </row>
    <row r="30" spans="2:11" ht="11.25"/>
    <row r="31" spans="2:11" ht="11.25">
      <c r="H31" s="3695" t="s">
        <v>2286</v>
      </c>
      <c r="I31" s="3695" t="s">
        <v>350</v>
      </c>
      <c r="J31" s="3696" t="s">
        <v>2304</v>
      </c>
    </row>
    <row r="32" spans="2:11" ht="11.25">
      <c r="H32" s="3696" t="s">
        <v>2292</v>
      </c>
      <c r="I32" s="3696" t="s">
        <v>99</v>
      </c>
      <c r="J32" s="3697">
        <v>37412811.529999986</v>
      </c>
    </row>
    <row r="33" spans="2:11" ht="11.25">
      <c r="H33" s="3696" t="s">
        <v>2301</v>
      </c>
      <c r="I33" s="3696"/>
      <c r="J33" s="3698">
        <v>37412811.529999986</v>
      </c>
    </row>
    <row r="34" spans="2:11" ht="11.25"/>
    <row r="35" spans="2:11" ht="11.25"/>
    <row r="36" spans="2:11" ht="11.25">
      <c r="E36" s="1939"/>
    </row>
    <row r="37" spans="2:11" ht="12" customHeight="1">
      <c r="B37" s="750" t="s">
        <v>2305</v>
      </c>
      <c r="D37" s="751" t="s">
        <v>2306</v>
      </c>
    </row>
    <row r="38" spans="2:11" ht="11.25">
      <c r="B38" s="3695" t="s">
        <v>2286</v>
      </c>
      <c r="C38" s="3695" t="s">
        <v>350</v>
      </c>
      <c r="D38" s="3696" t="s">
        <v>2304</v>
      </c>
      <c r="E38" s="1940" t="s">
        <v>2288</v>
      </c>
      <c r="F38" s="547" t="s">
        <v>196</v>
      </c>
      <c r="G38" s="752" t="s">
        <v>104</v>
      </c>
      <c r="H38" s="753" t="s">
        <v>105</v>
      </c>
      <c r="I38" s="753" t="s">
        <v>106</v>
      </c>
      <c r="J38" s="753" t="s">
        <v>511</v>
      </c>
      <c r="K38" s="904" t="s">
        <v>2289</v>
      </c>
    </row>
    <row r="39" spans="2:11" ht="11.25">
      <c r="B39" s="3696" t="s">
        <v>2290</v>
      </c>
      <c r="C39" s="3696" t="s">
        <v>390</v>
      </c>
      <c r="D39" s="3697">
        <v>0</v>
      </c>
      <c r="E39" s="1939"/>
      <c r="F39" s="1938">
        <f>SUM(D39:E39)</f>
        <v>0</v>
      </c>
      <c r="G39" s="754">
        <f>F39*'Four Factor Allocator'!$C$5</f>
        <v>0</v>
      </c>
      <c r="H39" s="746">
        <f t="shared" ref="H39:H58" si="6">$G39*VLOOKUP($C39,Ratio,2,FALSE)</f>
        <v>0</v>
      </c>
      <c r="I39" s="746">
        <f t="shared" ref="I39:I58" si="7">$G39*VLOOKUP($C39,Ratio,3,FALSE)</f>
        <v>0</v>
      </c>
      <c r="J39" s="746">
        <f t="shared" ref="J39:J58" si="8">$G39*VLOOKUP($C39,Ratio,4,FALSE)</f>
        <v>0</v>
      </c>
      <c r="K39" s="3662">
        <f t="shared" ref="K39:K58" si="9">G39-SUM(H39:J39)</f>
        <v>0</v>
      </c>
    </row>
    <row r="40" spans="2:11" ht="11.25">
      <c r="B40" s="3696"/>
      <c r="C40" s="3696" t="s">
        <v>99</v>
      </c>
      <c r="D40" s="3697">
        <v>3370490.3200000003</v>
      </c>
      <c r="E40" s="1939"/>
      <c r="F40" s="1938">
        <f t="shared" ref="F40:F58" si="10">SUM(D40:E40)</f>
        <v>3370490.3200000003</v>
      </c>
      <c r="G40" s="754">
        <f>F40*'Four Factor Allocator'!$C$5</f>
        <v>2213063.9560284996</v>
      </c>
      <c r="H40" s="746">
        <f t="shared" si="6"/>
        <v>772561.73403273278</v>
      </c>
      <c r="I40" s="746">
        <f t="shared" si="7"/>
        <v>0</v>
      </c>
      <c r="J40" s="746">
        <f t="shared" si="8"/>
        <v>1440502.221995767</v>
      </c>
      <c r="K40" s="3662">
        <f t="shared" si="9"/>
        <v>0</v>
      </c>
    </row>
    <row r="41" spans="2:11" ht="11.25">
      <c r="B41" s="3696" t="s">
        <v>2291</v>
      </c>
      <c r="C41" s="3696" t="s">
        <v>390</v>
      </c>
      <c r="D41" s="3697">
        <v>24687039.430000007</v>
      </c>
      <c r="E41" s="1939"/>
      <c r="F41" s="1938">
        <f t="shared" si="10"/>
        <v>24687039.430000007</v>
      </c>
      <c r="G41" s="754">
        <f>F41*'Four Factor Allocator'!$C$5</f>
        <v>16209510.177019991</v>
      </c>
      <c r="H41" s="746">
        <f t="shared" si="6"/>
        <v>0</v>
      </c>
      <c r="I41" s="746">
        <f t="shared" si="7"/>
        <v>0</v>
      </c>
      <c r="J41" s="746">
        <f t="shared" si="8"/>
        <v>16209510.177019991</v>
      </c>
      <c r="K41" s="3662">
        <f t="shared" si="9"/>
        <v>0</v>
      </c>
    </row>
    <row r="42" spans="2:11" ht="11.25">
      <c r="B42" s="3696"/>
      <c r="C42" s="3696" t="s">
        <v>95</v>
      </c>
      <c r="D42" s="3697">
        <v>886883.31</v>
      </c>
      <c r="E42" s="1939"/>
      <c r="F42" s="1938">
        <f t="shared" si="10"/>
        <v>886883.31</v>
      </c>
      <c r="G42" s="754">
        <f>F42*'Four Factor Allocator'!$C$5</f>
        <v>582327.58448161045</v>
      </c>
      <c r="H42" s="746">
        <f t="shared" si="6"/>
        <v>197892.46020180694</v>
      </c>
      <c r="I42" s="746">
        <f t="shared" si="7"/>
        <v>0</v>
      </c>
      <c r="J42" s="746">
        <f t="shared" si="8"/>
        <v>384435.12427980354</v>
      </c>
      <c r="K42" s="3662">
        <f t="shared" si="9"/>
        <v>0</v>
      </c>
    </row>
    <row r="43" spans="2:11" ht="11.25">
      <c r="B43" s="3696"/>
      <c r="C43" s="3696" t="s">
        <v>99</v>
      </c>
      <c r="D43" s="3697">
        <v>34760253.020000011</v>
      </c>
      <c r="E43" s="1939"/>
      <c r="F43" s="1938">
        <f t="shared" si="10"/>
        <v>34760253.020000011</v>
      </c>
      <c r="G43" s="754">
        <f>F43*'Four Factor Allocator'!$C$5</f>
        <v>22823582.255828232</v>
      </c>
      <c r="H43" s="746">
        <f t="shared" si="6"/>
        <v>7967517.7196615543</v>
      </c>
      <c r="I43" s="746">
        <f t="shared" si="7"/>
        <v>0</v>
      </c>
      <c r="J43" s="746">
        <f t="shared" si="8"/>
        <v>14856064.536166679</v>
      </c>
      <c r="K43" s="3662">
        <f t="shared" si="9"/>
        <v>0</v>
      </c>
    </row>
    <row r="44" spans="2:11" ht="11.25">
      <c r="B44" s="3696" t="s">
        <v>2293</v>
      </c>
      <c r="C44" s="3696" t="s">
        <v>390</v>
      </c>
      <c r="D44" s="3697">
        <v>354160.76</v>
      </c>
      <c r="E44" s="1939"/>
      <c r="F44" s="1938">
        <f t="shared" si="10"/>
        <v>354160.76</v>
      </c>
      <c r="G44" s="754">
        <f>F44*'Four Factor Allocator'!$C$5</f>
        <v>232541.95626814914</v>
      </c>
      <c r="H44" s="746">
        <f t="shared" si="6"/>
        <v>0</v>
      </c>
      <c r="I44" s="746">
        <f t="shared" si="7"/>
        <v>0</v>
      </c>
      <c r="J44" s="746">
        <f t="shared" si="8"/>
        <v>232541.95626814914</v>
      </c>
      <c r="K44" s="3662">
        <f t="shared" si="9"/>
        <v>0</v>
      </c>
    </row>
    <row r="45" spans="2:11" ht="11.25">
      <c r="B45" s="3696"/>
      <c r="C45" s="3696" t="s">
        <v>95</v>
      </c>
      <c r="D45" s="3697">
        <v>17579468.249999993</v>
      </c>
      <c r="E45" s="1939"/>
      <c r="F45" s="1938">
        <f t="shared" si="10"/>
        <v>17579468.249999993</v>
      </c>
      <c r="G45" s="754">
        <f>F45*'Four Factor Allocator'!$C$5</f>
        <v>11542678.915102888</v>
      </c>
      <c r="H45" s="746">
        <f t="shared" si="6"/>
        <v>3922550.1053030887</v>
      </c>
      <c r="I45" s="746">
        <f t="shared" si="7"/>
        <v>0</v>
      </c>
      <c r="J45" s="746">
        <f t="shared" si="8"/>
        <v>7620128.8097997997</v>
      </c>
      <c r="K45" s="3662">
        <f t="shared" si="9"/>
        <v>0</v>
      </c>
    </row>
    <row r="46" spans="2:11" ht="11.25">
      <c r="B46" s="3696"/>
      <c r="C46" s="3696" t="s">
        <v>99</v>
      </c>
      <c r="D46" s="3697">
        <v>389601.33</v>
      </c>
      <c r="E46" s="1939"/>
      <c r="F46" s="1938">
        <f t="shared" si="10"/>
        <v>389601.33</v>
      </c>
      <c r="G46" s="754">
        <f>F46*'Four Factor Allocator'!$C$5</f>
        <v>255812.23465545065</v>
      </c>
      <c r="H46" s="746">
        <f t="shared" si="6"/>
        <v>89301.867238787672</v>
      </c>
      <c r="I46" s="746">
        <f t="shared" si="7"/>
        <v>0</v>
      </c>
      <c r="J46" s="746">
        <f t="shared" si="8"/>
        <v>166510.36741666301</v>
      </c>
      <c r="K46" s="3662">
        <f t="shared" si="9"/>
        <v>0</v>
      </c>
    </row>
    <row r="47" spans="2:11" ht="11.25">
      <c r="B47" s="3696" t="s">
        <v>2294</v>
      </c>
      <c r="C47" s="3696" t="s">
        <v>109</v>
      </c>
      <c r="D47" s="3697">
        <v>2028380.1400000001</v>
      </c>
      <c r="E47" s="1939"/>
      <c r="F47" s="1938">
        <f t="shared" si="10"/>
        <v>2028380.1400000001</v>
      </c>
      <c r="G47" s="754">
        <f>F47*'Four Factor Allocator'!$C$5</f>
        <v>1331834.4070954169</v>
      </c>
      <c r="H47" s="746">
        <f t="shared" si="6"/>
        <v>0</v>
      </c>
      <c r="I47" s="746">
        <f t="shared" si="7"/>
        <v>0</v>
      </c>
      <c r="J47" s="746">
        <f t="shared" si="8"/>
        <v>1331834.4070954169</v>
      </c>
      <c r="K47" s="3662">
        <f t="shared" si="9"/>
        <v>0</v>
      </c>
    </row>
    <row r="48" spans="2:11" ht="11.25">
      <c r="B48" s="3696" t="s">
        <v>2295</v>
      </c>
      <c r="C48" s="3696" t="s">
        <v>99</v>
      </c>
      <c r="D48" s="3697">
        <v>49624.12</v>
      </c>
      <c r="E48" s="1939"/>
      <c r="F48" s="1938">
        <f t="shared" si="10"/>
        <v>49624.12</v>
      </c>
      <c r="G48" s="754">
        <f>F48*'Four Factor Allocator'!$C$5</f>
        <v>32583.197367448003</v>
      </c>
      <c r="H48" s="746">
        <f t="shared" si="6"/>
        <v>11374.516036897685</v>
      </c>
      <c r="I48" s="746">
        <f t="shared" si="7"/>
        <v>0</v>
      </c>
      <c r="J48" s="746">
        <f t="shared" si="8"/>
        <v>21208.68133055032</v>
      </c>
      <c r="K48" s="3662">
        <f t="shared" si="9"/>
        <v>0</v>
      </c>
    </row>
    <row r="49" spans="2:11" ht="11.25">
      <c r="B49" s="3696" t="s">
        <v>2296</v>
      </c>
      <c r="C49" s="3696" t="s">
        <v>390</v>
      </c>
      <c r="D49" s="3697">
        <v>202184.65999999997</v>
      </c>
      <c r="E49" s="1939"/>
      <c r="F49" s="1938">
        <f t="shared" si="10"/>
        <v>202184.65999999997</v>
      </c>
      <c r="G49" s="754">
        <f>F49*'Four Factor Allocator'!$C$5</f>
        <v>132754.4484708317</v>
      </c>
      <c r="H49" s="746">
        <f t="shared" si="6"/>
        <v>0</v>
      </c>
      <c r="I49" s="746">
        <f t="shared" si="7"/>
        <v>0</v>
      </c>
      <c r="J49" s="746">
        <f t="shared" si="8"/>
        <v>132754.4484708317</v>
      </c>
      <c r="K49" s="3662">
        <f t="shared" si="9"/>
        <v>0</v>
      </c>
    </row>
    <row r="50" spans="2:11" ht="11.25">
      <c r="B50" s="3696"/>
      <c r="C50" s="3696" t="s">
        <v>99</v>
      </c>
      <c r="D50" s="3697">
        <v>1034429.1900000001</v>
      </c>
      <c r="E50" s="1939"/>
      <c r="F50" s="1938">
        <f t="shared" si="10"/>
        <v>1034429.1900000001</v>
      </c>
      <c r="G50" s="754">
        <f>F50*'Four Factor Allocator'!$C$5</f>
        <v>679206.20981126465</v>
      </c>
      <c r="H50" s="746">
        <f t="shared" si="6"/>
        <v>237105.08943413172</v>
      </c>
      <c r="I50" s="746">
        <f t="shared" si="7"/>
        <v>0</v>
      </c>
      <c r="J50" s="746">
        <f t="shared" si="8"/>
        <v>442101.12037713296</v>
      </c>
      <c r="K50" s="3662">
        <f t="shared" si="9"/>
        <v>0</v>
      </c>
    </row>
    <row r="51" spans="2:11" ht="11.25">
      <c r="B51" s="3696" t="s">
        <v>2297</v>
      </c>
      <c r="C51" s="3696" t="s">
        <v>109</v>
      </c>
      <c r="D51" s="3697">
        <v>311349.54000000004</v>
      </c>
      <c r="E51" s="1939"/>
      <c r="F51" s="1938">
        <f t="shared" si="10"/>
        <v>311349.54000000004</v>
      </c>
      <c r="G51" s="754">
        <f>F51*'Four Factor Allocator'!$C$5</f>
        <v>204432.10906478841</v>
      </c>
      <c r="H51" s="746">
        <f t="shared" si="6"/>
        <v>0</v>
      </c>
      <c r="I51" s="746">
        <f t="shared" si="7"/>
        <v>0</v>
      </c>
      <c r="J51" s="746">
        <f t="shared" si="8"/>
        <v>204432.10906478841</v>
      </c>
      <c r="K51" s="3662">
        <f t="shared" si="9"/>
        <v>0</v>
      </c>
    </row>
    <row r="52" spans="2:11" ht="11.25">
      <c r="B52" s="3696" t="s">
        <v>2298</v>
      </c>
      <c r="C52" s="3696" t="s">
        <v>390</v>
      </c>
      <c r="D52" s="3697">
        <v>2045440.2799999996</v>
      </c>
      <c r="E52" s="1939"/>
      <c r="F52" s="1938">
        <f t="shared" si="10"/>
        <v>2045440.2799999996</v>
      </c>
      <c r="G52" s="754">
        <f>F52*'Four Factor Allocator'!$C$5</f>
        <v>1343036.0950797333</v>
      </c>
      <c r="H52" s="746">
        <f t="shared" si="6"/>
        <v>0</v>
      </c>
      <c r="I52" s="746">
        <f t="shared" si="7"/>
        <v>0</v>
      </c>
      <c r="J52" s="746">
        <f t="shared" si="8"/>
        <v>1343036.0950797333</v>
      </c>
      <c r="K52" s="3662">
        <f t="shared" si="9"/>
        <v>0</v>
      </c>
    </row>
    <row r="53" spans="2:11" ht="11.25">
      <c r="B53" s="3696"/>
      <c r="C53" s="3696" t="s">
        <v>392</v>
      </c>
      <c r="D53" s="3697">
        <v>133275.08999999997</v>
      </c>
      <c r="E53" s="1939"/>
      <c r="F53" s="1938">
        <f t="shared" si="10"/>
        <v>133275.08999999997</v>
      </c>
      <c r="G53" s="754">
        <f>F53*'Four Factor Allocator'!$C$5</f>
        <v>87508.424565199239</v>
      </c>
      <c r="H53" s="746">
        <f t="shared" si="6"/>
        <v>87508.424565199239</v>
      </c>
      <c r="I53" s="746">
        <f t="shared" si="7"/>
        <v>0</v>
      </c>
      <c r="J53" s="746">
        <f t="shared" si="8"/>
        <v>0</v>
      </c>
      <c r="K53" s="3662">
        <f t="shared" si="9"/>
        <v>0</v>
      </c>
    </row>
    <row r="54" spans="2:11" ht="11.25">
      <c r="B54" s="3696"/>
      <c r="C54" s="3696" t="s">
        <v>99</v>
      </c>
      <c r="D54" s="3697">
        <v>46113269.68</v>
      </c>
      <c r="E54" s="1939"/>
      <c r="F54" s="1938">
        <f t="shared" si="10"/>
        <v>46113269.68</v>
      </c>
      <c r="G54" s="754">
        <f>F54*'Four Factor Allocator'!$C$5</f>
        <v>30277973.034923255</v>
      </c>
      <c r="H54" s="746">
        <f t="shared" si="6"/>
        <v>10569781.902206987</v>
      </c>
      <c r="I54" s="746">
        <f t="shared" si="7"/>
        <v>0</v>
      </c>
      <c r="J54" s="746">
        <f t="shared" si="8"/>
        <v>19708191.132716268</v>
      </c>
      <c r="K54" s="3662">
        <f t="shared" si="9"/>
        <v>0</v>
      </c>
    </row>
    <row r="55" spans="2:11" ht="11.25">
      <c r="B55" s="3696"/>
      <c r="C55" s="3696" t="s">
        <v>109</v>
      </c>
      <c r="D55" s="3697">
        <v>17361.71</v>
      </c>
      <c r="E55" s="1939"/>
      <c r="F55" s="1938">
        <f t="shared" si="10"/>
        <v>17361.71</v>
      </c>
      <c r="G55" s="754">
        <f>F55*'Four Factor Allocator'!$C$5</f>
        <v>11399.698847382999</v>
      </c>
      <c r="H55" s="746">
        <f t="shared" si="6"/>
        <v>0</v>
      </c>
      <c r="I55" s="746">
        <f t="shared" si="7"/>
        <v>0</v>
      </c>
      <c r="J55" s="746">
        <f t="shared" si="8"/>
        <v>11399.698847382999</v>
      </c>
      <c r="K55" s="3662">
        <f t="shared" si="9"/>
        <v>0</v>
      </c>
    </row>
    <row r="56" spans="2:11" ht="11.25">
      <c r="B56" s="3696" t="s">
        <v>2299</v>
      </c>
      <c r="C56" s="3696" t="s">
        <v>390</v>
      </c>
      <c r="D56" s="3697">
        <v>328961.28000000003</v>
      </c>
      <c r="E56" s="1939"/>
      <c r="F56" s="1938">
        <f t="shared" si="10"/>
        <v>328961.28000000003</v>
      </c>
      <c r="G56" s="754">
        <f>F56*'Four Factor Allocator'!$C$5</f>
        <v>215995.97761105539</v>
      </c>
      <c r="H56" s="746">
        <f t="shared" si="6"/>
        <v>0</v>
      </c>
      <c r="I56" s="746">
        <f t="shared" si="7"/>
        <v>0</v>
      </c>
      <c r="J56" s="746">
        <f t="shared" si="8"/>
        <v>215995.97761105539</v>
      </c>
      <c r="K56" s="3662">
        <f t="shared" si="9"/>
        <v>0</v>
      </c>
    </row>
    <row r="57" spans="2:11" ht="11.25">
      <c r="B57" s="3696"/>
      <c r="C57" s="3696" t="s">
        <v>99</v>
      </c>
      <c r="D57" s="3697">
        <v>2489968.71</v>
      </c>
      <c r="E57" s="1939"/>
      <c r="F57" s="1938">
        <f t="shared" si="10"/>
        <v>2489968.71</v>
      </c>
      <c r="G57" s="754">
        <f>F57*'Four Factor Allocator'!$C$5</f>
        <v>1634913.4637893811</v>
      </c>
      <c r="H57" s="746">
        <f t="shared" si="6"/>
        <v>570734.33288627467</v>
      </c>
      <c r="I57" s="746">
        <f t="shared" si="7"/>
        <v>0</v>
      </c>
      <c r="J57" s="746">
        <f t="shared" si="8"/>
        <v>1064179.1309031064</v>
      </c>
      <c r="K57" s="3662">
        <f t="shared" si="9"/>
        <v>0</v>
      </c>
    </row>
    <row r="58" spans="2:11" ht="11.25">
      <c r="B58" s="3696" t="s">
        <v>2300</v>
      </c>
      <c r="C58" s="3696" t="s">
        <v>99</v>
      </c>
      <c r="D58" s="3697">
        <v>484282.91000000003</v>
      </c>
      <c r="E58" s="1939"/>
      <c r="F58" s="1938">
        <f t="shared" si="10"/>
        <v>484282.91000000003</v>
      </c>
      <c r="G58" s="754">
        <f>F58*'Four Factor Allocator'!$C$5</f>
        <v>317980.16041820106</v>
      </c>
      <c r="H58" s="746">
        <f t="shared" si="6"/>
        <v>111004.15939245833</v>
      </c>
      <c r="I58" s="746">
        <f t="shared" si="7"/>
        <v>0</v>
      </c>
      <c r="J58" s="746">
        <f t="shared" si="8"/>
        <v>206976.00102574276</v>
      </c>
      <c r="K58" s="749">
        <f t="shared" si="9"/>
        <v>0</v>
      </c>
    </row>
    <row r="59" spans="2:11" thickBot="1">
      <c r="B59" s="3696" t="s">
        <v>2301</v>
      </c>
      <c r="C59" s="3696"/>
      <c r="D59" s="3698">
        <v>137266423.72999999</v>
      </c>
      <c r="E59" s="755">
        <f>SUM(E36:E58)</f>
        <v>0</v>
      </c>
      <c r="F59" s="755">
        <f>SUM(F39:F58)</f>
        <v>137266423.72999999</v>
      </c>
      <c r="G59" s="755">
        <f>SUM(G39:G58)</f>
        <v>90129134.306428745</v>
      </c>
      <c r="H59" s="755">
        <f>SUM(H39:H58)</f>
        <v>24537332.31095992</v>
      </c>
      <c r="I59" s="755">
        <f>SUM(I39:I58)</f>
        <v>0</v>
      </c>
      <c r="J59" s="755">
        <f>SUM(J39:J58)</f>
        <v>65591801.99546887</v>
      </c>
      <c r="K59" s="755">
        <f>SUM(K36:K58)</f>
        <v>0</v>
      </c>
    </row>
    <row r="60" spans="2:11" thickTop="1">
      <c r="C60" s="3661" t="s">
        <v>3782</v>
      </c>
      <c r="D60" s="3659">
        <f>'FERC C389-399 Common'!L2081-D59-J33</f>
        <v>3.7252902984619141E-7</v>
      </c>
      <c r="G60" s="546" t="s">
        <v>2307</v>
      </c>
      <c r="H60" s="1920">
        <f>H59/$G$59</f>
        <v>0.27224639956637992</v>
      </c>
      <c r="I60" s="1920">
        <f>I59/$G$59</f>
        <v>0</v>
      </c>
      <c r="J60" s="1920">
        <f>J59/$G$59</f>
        <v>0.72775360043362058</v>
      </c>
      <c r="K60" s="3663">
        <f>SUM(H60:J60)</f>
        <v>1.0000000000000004</v>
      </c>
    </row>
    <row r="61" spans="2:11" ht="11.25">
      <c r="E61" s="1937"/>
      <c r="F61" s="1936" t="s">
        <v>2303</v>
      </c>
      <c r="G61" s="1935">
        <f>'FERC p200-201 Utility Plant'!I28*'Four Factor Allocator'!$C$5</f>
        <v>86358710.079808488</v>
      </c>
      <c r="H61" s="2073">
        <f>$G$61*H60</f>
        <v>23510847.890424702</v>
      </c>
      <c r="I61" s="2073">
        <f>$G$61*I60</f>
        <v>0</v>
      </c>
      <c r="J61" s="2073">
        <f>$G$61*J60</f>
        <v>62847862.189383827</v>
      </c>
      <c r="K61" s="3662">
        <f>G61-SUM(H61:J61)</f>
        <v>0</v>
      </c>
    </row>
    <row r="62" spans="2:11" ht="11.25">
      <c r="G62" s="1938"/>
    </row>
    <row r="64" spans="2:11" ht="12" customHeight="1">
      <c r="F64" s="746"/>
      <c r="G64" s="1930"/>
    </row>
    <row r="65" spans="2:19" ht="12" customHeight="1">
      <c r="C65" s="1934"/>
      <c r="D65" s="792"/>
    </row>
    <row r="67" spans="2:19" ht="12" customHeight="1">
      <c r="B67" s="750" t="s">
        <v>2308</v>
      </c>
      <c r="D67" s="746"/>
    </row>
    <row r="68" spans="2:19" ht="12" customHeight="1">
      <c r="B68" s="546" t="s">
        <v>2309</v>
      </c>
      <c r="D68" s="746"/>
      <c r="P68" s="1929"/>
      <c r="Q68" s="1929"/>
      <c r="R68" s="1929"/>
      <c r="S68" s="1929"/>
    </row>
    <row r="69" spans="2:19" ht="12" customHeight="1">
      <c r="C69" s="546" t="s">
        <v>2310</v>
      </c>
      <c r="D69" s="746"/>
      <c r="F69" s="791">
        <f>F26</f>
        <v>517963355.45000029</v>
      </c>
      <c r="G69" s="1931"/>
    </row>
    <row r="70" spans="2:19" ht="12" customHeight="1">
      <c r="C70" s="546" t="s">
        <v>2311</v>
      </c>
      <c r="D70" s="746"/>
      <c r="F70" s="1921">
        <f>'C Intangible_Summary'!$F$14+'C Intangible_Summary'!$O$7</f>
        <v>454286566.54000002</v>
      </c>
      <c r="G70" s="1930"/>
      <c r="K70" s="1929"/>
    </row>
    <row r="71" spans="2:19" ht="12" customHeight="1">
      <c r="C71" s="546" t="s">
        <v>2312</v>
      </c>
      <c r="D71" s="746"/>
      <c r="F71" s="1921">
        <f>'C Intangible_Summary'!$F$7</f>
        <v>485093.51999999996</v>
      </c>
      <c r="G71" s="1930"/>
      <c r="M71" s="1929"/>
    </row>
    <row r="72" spans="2:19" ht="12" customHeight="1" thickBot="1">
      <c r="C72" s="546" t="s">
        <v>2313</v>
      </c>
      <c r="D72" s="746"/>
      <c r="F72" s="1922">
        <f>SUM(F69:F71)</f>
        <v>972735015.51000023</v>
      </c>
      <c r="G72" s="1930"/>
    </row>
    <row r="73" spans="2:19" ht="12" customHeight="1" thickTop="1">
      <c r="C73" s="546" t="s">
        <v>2314</v>
      </c>
      <c r="D73" s="746"/>
      <c r="F73" s="1756">
        <f>(-194321100.21-55755935.23)*0</f>
        <v>0</v>
      </c>
      <c r="G73" s="1930"/>
    </row>
    <row r="74" spans="2:19" ht="12" customHeight="1">
      <c r="C74" s="546" t="s">
        <v>2315</v>
      </c>
      <c r="D74" s="746"/>
      <c r="F74" s="1756">
        <v>0</v>
      </c>
      <c r="G74" s="1930"/>
    </row>
    <row r="75" spans="2:19" ht="12" customHeight="1">
      <c r="C75" s="546" t="s">
        <v>2316</v>
      </c>
      <c r="D75" s="746"/>
      <c r="F75" s="1756">
        <v>-104973058.34999999</v>
      </c>
    </row>
    <row r="76" spans="2:19" ht="12" customHeight="1">
      <c r="C76" s="546" t="s">
        <v>2317</v>
      </c>
      <c r="D76" s="746"/>
      <c r="F76" s="1923">
        <v>0</v>
      </c>
      <c r="G76" s="1930"/>
    </row>
    <row r="77" spans="2:19" ht="12" customHeight="1">
      <c r="C77" s="546" t="s">
        <v>2318</v>
      </c>
      <c r="D77" s="746"/>
      <c r="F77" s="792">
        <f>0-SUM('FERC CWIP Adjustments to Plant'!E7)</f>
        <v>0</v>
      </c>
      <c r="G77" s="1933" t="s">
        <v>2319</v>
      </c>
    </row>
    <row r="78" spans="2:19" ht="12" customHeight="1" thickBot="1">
      <c r="D78" s="746"/>
      <c r="F78" s="1924">
        <f>SUM(F72:F77)</f>
        <v>867761957.16000021</v>
      </c>
      <c r="G78" s="1930"/>
    </row>
    <row r="79" spans="2:19" ht="12" customHeight="1" thickTop="1">
      <c r="D79" s="746"/>
      <c r="F79" s="1927">
        <f>'FERC p200-201 Utility Plant'!I13</f>
        <v>867761958</v>
      </c>
      <c r="G79" s="1932" t="s">
        <v>2320</v>
      </c>
    </row>
    <row r="80" spans="2:19" ht="12" customHeight="1">
      <c r="D80" s="1925"/>
      <c r="E80" s="1943" t="s">
        <v>927</v>
      </c>
      <c r="F80" s="1892">
        <f>F78-F79</f>
        <v>-0.83999979496002197</v>
      </c>
      <c r="G80" s="1930"/>
    </row>
    <row r="81" spans="2:7" ht="12" customHeight="1">
      <c r="B81" s="546" t="s">
        <v>790</v>
      </c>
      <c r="D81" s="746"/>
      <c r="F81" s="746"/>
      <c r="G81" s="1931"/>
    </row>
    <row r="82" spans="2:7" ht="12" customHeight="1">
      <c r="C82" s="546" t="s">
        <v>2321</v>
      </c>
      <c r="D82" s="746"/>
      <c r="F82" s="746">
        <f>F59</f>
        <v>137266423.72999999</v>
      </c>
      <c r="G82" s="1930"/>
    </row>
    <row r="83" spans="2:7" ht="12" customHeight="1">
      <c r="C83" s="1916" t="s">
        <v>8089</v>
      </c>
      <c r="D83" s="1916"/>
      <c r="E83" s="1926"/>
      <c r="F83" s="1756">
        <v>-5742346.25</v>
      </c>
      <c r="G83" s="1930"/>
    </row>
    <row r="84" spans="2:7" ht="12" customHeight="1">
      <c r="C84" s="1916" t="s">
        <v>8091</v>
      </c>
      <c r="D84" s="1916"/>
      <c r="E84" s="1926"/>
      <c r="F84" s="1756">
        <v>0</v>
      </c>
      <c r="G84" s="1930"/>
    </row>
    <row r="85" spans="2:7" ht="12" customHeight="1">
      <c r="C85" s="1916" t="s">
        <v>8090</v>
      </c>
      <c r="D85" s="1916"/>
      <c r="F85" s="1756">
        <v>0</v>
      </c>
      <c r="G85" s="1930"/>
    </row>
    <row r="86" spans="2:7" ht="12" customHeight="1" thickBot="1">
      <c r="D86" s="746"/>
      <c r="F86" s="1924">
        <f>SUM(F82:F85)</f>
        <v>131524077.47999999</v>
      </c>
      <c r="G86" s="1930"/>
    </row>
    <row r="87" spans="2:7" ht="12" customHeight="1" thickTop="1">
      <c r="D87" s="746"/>
      <c r="F87" s="1927">
        <f>'FERC p200-201 Utility Plant'!I28</f>
        <v>131524078</v>
      </c>
      <c r="G87" s="1932" t="s">
        <v>2322</v>
      </c>
    </row>
    <row r="88" spans="2:7" ht="12" customHeight="1">
      <c r="D88" s="1925"/>
      <c r="E88" s="1943" t="s">
        <v>927</v>
      </c>
      <c r="F88" s="1892">
        <f>F86-F87</f>
        <v>-0.52000001072883606</v>
      </c>
      <c r="G88" s="1930"/>
    </row>
    <row r="89" spans="2:7" ht="12" customHeight="1">
      <c r="D89" s="746"/>
      <c r="F89" s="746"/>
      <c r="G89" s="1930"/>
    </row>
    <row r="90" spans="2:7" ht="12" customHeight="1">
      <c r="B90" s="546" t="s">
        <v>2305</v>
      </c>
      <c r="D90" s="746"/>
      <c r="F90" s="746"/>
      <c r="G90" s="1930"/>
    </row>
    <row r="91" spans="2:7" ht="12" customHeight="1">
      <c r="C91" s="546" t="s">
        <v>2323</v>
      </c>
      <c r="D91" s="746"/>
      <c r="F91" s="1921">
        <f>'C Intangible_Summary'!F39+'C Intangible_Summary'!O33</f>
        <v>268740480.49999994</v>
      </c>
      <c r="G91" s="1930"/>
    </row>
    <row r="92" spans="2:7" ht="12" customHeight="1" thickBot="1">
      <c r="D92" s="746" t="s">
        <v>2324</v>
      </c>
      <c r="F92" s="1924">
        <f>SUM(F91:F91)</f>
        <v>268740480.49999994</v>
      </c>
      <c r="G92" s="1930"/>
    </row>
    <row r="93" spans="2:7" ht="12" customHeight="1" thickTop="1">
      <c r="D93" s="746"/>
      <c r="F93" s="1927">
        <f>'FERC p200-201 Utility Plant'!$I$31</f>
        <v>268740481</v>
      </c>
      <c r="G93" s="1932" t="s">
        <v>2325</v>
      </c>
    </row>
    <row r="94" spans="2:7" ht="12" customHeight="1">
      <c r="D94" s="1925"/>
      <c r="E94" s="1943" t="s">
        <v>927</v>
      </c>
      <c r="F94" s="1892">
        <f>F92-F93</f>
        <v>-0.50000005960464478</v>
      </c>
      <c r="G94" s="1930"/>
    </row>
    <row r="95" spans="2:7" ht="12" customHeight="1">
      <c r="D95" s="1925"/>
      <c r="E95" s="1925"/>
    </row>
    <row r="109" spans="5:8" ht="12" customHeight="1">
      <c r="E109" s="1929"/>
      <c r="F109" s="1929"/>
      <c r="G109" s="1929"/>
      <c r="H109" s="1929"/>
    </row>
  </sheetData>
  <pageMargins left="0.7" right="0.7" top="0.75" bottom="0.75" header="0.3" footer="0.3"/>
  <customProperties>
    <customPr name="_pios_id" r:id="rId4"/>
  </customProperties>
  <drawing r:id="rId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92D050"/>
  </sheetPr>
  <dimension ref="A1:BM2083"/>
  <sheetViews>
    <sheetView zoomScaleNormal="100" workbookViewId="0">
      <pane ySplit="1" topLeftCell="A2" activePane="bottomLeft" state="frozen"/>
      <selection sqref="A1:XFD1048576"/>
      <selection pane="bottomLeft" sqref="A1:XFD1048576"/>
    </sheetView>
  </sheetViews>
  <sheetFormatPr defaultColWidth="14" defaultRowHeight="11.25"/>
  <cols>
    <col min="1" max="1" width="14.875" style="761" bestFit="1" customWidth="1"/>
    <col min="2" max="2" width="14" style="761"/>
    <col min="3" max="3" width="23" style="761" customWidth="1"/>
    <col min="4" max="4" width="10.875" style="761" bestFit="1" customWidth="1"/>
    <col min="5" max="5" width="19.5" style="761" customWidth="1"/>
    <col min="6" max="6" width="10.5" style="761" customWidth="1"/>
    <col min="7" max="7" width="24.75" style="761" customWidth="1"/>
    <col min="8" max="8" width="26.375" style="761" customWidth="1"/>
    <col min="9" max="9" width="9.5" style="761" customWidth="1"/>
    <col min="10" max="10" width="7.375" style="761" customWidth="1"/>
    <col min="11" max="11" width="12.25" style="746" customWidth="1"/>
    <col min="12" max="12" width="14.5" style="746" customWidth="1"/>
    <col min="13" max="13" width="16.75" style="746" bestFit="1" customWidth="1"/>
    <col min="14" max="14" width="5" style="761" customWidth="1"/>
    <col min="15" max="15" width="14.5" style="761" customWidth="1"/>
    <col min="16" max="16" width="40.5" style="761" bestFit="1" customWidth="1"/>
    <col min="17" max="16384" width="14" style="761"/>
  </cols>
  <sheetData>
    <row r="1" spans="1:16" s="757" customFormat="1">
      <c r="A1" s="757" t="s">
        <v>2326</v>
      </c>
      <c r="B1" s="757" t="s">
        <v>2327</v>
      </c>
      <c r="C1" s="757" t="s">
        <v>2328</v>
      </c>
      <c r="D1" s="757" t="s">
        <v>2329</v>
      </c>
      <c r="E1" s="757" t="s">
        <v>2330</v>
      </c>
      <c r="F1" s="757" t="s">
        <v>2331</v>
      </c>
      <c r="G1" s="758" t="s">
        <v>2332</v>
      </c>
      <c r="H1" s="1693" t="s">
        <v>2333</v>
      </c>
      <c r="I1" s="757" t="s">
        <v>2334</v>
      </c>
      <c r="J1" s="757" t="s">
        <v>2335</v>
      </c>
      <c r="K1" s="1914" t="s">
        <v>2336</v>
      </c>
      <c r="L1" s="1914" t="s">
        <v>2337</v>
      </c>
      <c r="M1" s="1914" t="s">
        <v>2338</v>
      </c>
      <c r="N1" s="1694" t="s">
        <v>2286</v>
      </c>
      <c r="O1" s="1694" t="s">
        <v>350</v>
      </c>
      <c r="P1" s="1693" t="s">
        <v>8006</v>
      </c>
    </row>
    <row r="2" spans="1:16">
      <c r="A2" s="761" t="s">
        <v>2339</v>
      </c>
      <c r="B2" s="761" t="s">
        <v>2340</v>
      </c>
      <c r="C2" s="761" t="s">
        <v>2341</v>
      </c>
      <c r="D2" s="761">
        <v>8982248</v>
      </c>
      <c r="E2" s="761" t="s">
        <v>2342</v>
      </c>
      <c r="F2" s="761">
        <v>153001992</v>
      </c>
      <c r="G2" s="761" t="s">
        <v>2343</v>
      </c>
      <c r="H2" s="761" t="s">
        <v>7265</v>
      </c>
      <c r="I2" s="761" t="s">
        <v>6867</v>
      </c>
      <c r="J2" s="761">
        <v>1</v>
      </c>
      <c r="K2" s="746">
        <v>6618882.04</v>
      </c>
      <c r="L2" s="746">
        <v>1584148.47</v>
      </c>
      <c r="M2" s="746">
        <v>5034733.57</v>
      </c>
      <c r="N2" s="493" t="str">
        <f t="shared" ref="N2:N65" si="0">LEFT(E2,4)</f>
        <v>C389</v>
      </c>
      <c r="O2" s="493" t="s">
        <v>99</v>
      </c>
      <c r="P2" s="493"/>
    </row>
    <row r="3" spans="1:16">
      <c r="A3" s="761" t="s">
        <v>2339</v>
      </c>
      <c r="B3" s="761" t="s">
        <v>2340</v>
      </c>
      <c r="C3" s="761" t="s">
        <v>2344</v>
      </c>
      <c r="D3" s="761">
        <v>8982251</v>
      </c>
      <c r="E3" s="761" t="s">
        <v>2342</v>
      </c>
      <c r="F3" s="761">
        <v>153001992</v>
      </c>
      <c r="G3" s="761" t="s">
        <v>2343</v>
      </c>
      <c r="H3" s="761" t="s">
        <v>7265</v>
      </c>
      <c r="I3" s="761" t="s">
        <v>6867</v>
      </c>
      <c r="J3" s="761">
        <v>1</v>
      </c>
      <c r="K3" s="746">
        <v>7463685.54</v>
      </c>
      <c r="L3" s="746">
        <v>1786341.85</v>
      </c>
      <c r="M3" s="746">
        <v>5677343.6900000004</v>
      </c>
      <c r="N3" s="493" t="str">
        <f t="shared" si="0"/>
        <v>C389</v>
      </c>
      <c r="O3" s="493" t="s">
        <v>99</v>
      </c>
      <c r="P3" s="493"/>
    </row>
    <row r="4" spans="1:16">
      <c r="A4" s="761" t="s">
        <v>2339</v>
      </c>
      <c r="B4" s="761" t="s">
        <v>2340</v>
      </c>
      <c r="C4" s="761" t="s">
        <v>2364</v>
      </c>
      <c r="D4" s="761">
        <v>4992439</v>
      </c>
      <c r="E4" s="761" t="s">
        <v>2346</v>
      </c>
      <c r="F4" s="761" t="s">
        <v>2357</v>
      </c>
      <c r="I4" s="761" t="s">
        <v>6867</v>
      </c>
      <c r="J4" s="761">
        <v>1</v>
      </c>
      <c r="K4" s="746">
        <v>15972.710000000001</v>
      </c>
      <c r="L4" s="746">
        <v>0</v>
      </c>
      <c r="M4" s="746">
        <v>15972.710000000001</v>
      </c>
      <c r="N4" s="493" t="str">
        <f t="shared" si="0"/>
        <v>C389</v>
      </c>
      <c r="O4" s="493" t="s">
        <v>99</v>
      </c>
      <c r="P4" s="493"/>
    </row>
    <row r="5" spans="1:16">
      <c r="A5" s="761" t="s">
        <v>2339</v>
      </c>
      <c r="B5" s="761" t="s">
        <v>2340</v>
      </c>
      <c r="C5" s="761" t="s">
        <v>2366</v>
      </c>
      <c r="D5" s="761">
        <v>11406935</v>
      </c>
      <c r="E5" s="761" t="s">
        <v>2346</v>
      </c>
      <c r="F5" s="761" t="s">
        <v>2357</v>
      </c>
      <c r="I5" s="761" t="s">
        <v>6867</v>
      </c>
      <c r="J5" s="761">
        <v>1</v>
      </c>
      <c r="K5" s="746">
        <v>1401.8700000000001</v>
      </c>
      <c r="L5" s="746">
        <v>0</v>
      </c>
      <c r="M5" s="746">
        <v>1401.8700000000001</v>
      </c>
      <c r="N5" s="493" t="str">
        <f t="shared" si="0"/>
        <v>C389</v>
      </c>
      <c r="O5" s="493" t="s">
        <v>99</v>
      </c>
      <c r="P5" s="493"/>
    </row>
    <row r="6" spans="1:16">
      <c r="A6" s="761" t="s">
        <v>2339</v>
      </c>
      <c r="B6" s="761" t="s">
        <v>2340</v>
      </c>
      <c r="C6" s="761" t="s">
        <v>2362</v>
      </c>
      <c r="D6" s="761">
        <v>56006</v>
      </c>
      <c r="E6" s="761" t="s">
        <v>2346</v>
      </c>
      <c r="F6" s="761" t="s">
        <v>2357</v>
      </c>
      <c r="I6" s="761" t="s">
        <v>6867</v>
      </c>
      <c r="J6" s="761">
        <v>2</v>
      </c>
      <c r="K6" s="746">
        <v>14090.6</v>
      </c>
      <c r="L6" s="746">
        <v>0</v>
      </c>
      <c r="M6" s="746">
        <v>14090.6</v>
      </c>
      <c r="N6" s="493" t="str">
        <f t="shared" si="0"/>
        <v>C389</v>
      </c>
      <c r="O6" s="493" t="s">
        <v>390</v>
      </c>
      <c r="P6" s="493"/>
    </row>
    <row r="7" spans="1:16">
      <c r="A7" s="761" t="s">
        <v>2339</v>
      </c>
      <c r="B7" s="761" t="s">
        <v>2340</v>
      </c>
      <c r="C7" s="761" t="s">
        <v>2356</v>
      </c>
      <c r="D7" s="761">
        <v>33131</v>
      </c>
      <c r="E7" s="761" t="s">
        <v>2346</v>
      </c>
      <c r="F7" s="761" t="s">
        <v>2357</v>
      </c>
      <c r="I7" s="761" t="s">
        <v>6867</v>
      </c>
      <c r="J7" s="761">
        <v>1</v>
      </c>
      <c r="K7" s="746">
        <v>21380.95</v>
      </c>
      <c r="L7" s="746">
        <v>0</v>
      </c>
      <c r="M7" s="746">
        <v>21380.95</v>
      </c>
      <c r="N7" s="493" t="str">
        <f t="shared" si="0"/>
        <v>C389</v>
      </c>
      <c r="O7" s="493" t="s">
        <v>390</v>
      </c>
      <c r="P7" s="493"/>
    </row>
    <row r="8" spans="1:16">
      <c r="A8" s="761" t="s">
        <v>2339</v>
      </c>
      <c r="B8" s="761" t="s">
        <v>2340</v>
      </c>
      <c r="C8" s="761" t="s">
        <v>2362</v>
      </c>
      <c r="D8" s="761">
        <v>56007</v>
      </c>
      <c r="E8" s="761" t="s">
        <v>2346</v>
      </c>
      <c r="F8" s="761" t="s">
        <v>2357</v>
      </c>
      <c r="I8" s="761" t="s">
        <v>6867</v>
      </c>
      <c r="J8" s="761">
        <v>2</v>
      </c>
      <c r="K8" s="746">
        <v>6305.05</v>
      </c>
      <c r="L8" s="746">
        <v>0</v>
      </c>
      <c r="M8" s="746">
        <v>6305.05</v>
      </c>
      <c r="N8" s="493" t="str">
        <f t="shared" si="0"/>
        <v>C389</v>
      </c>
      <c r="O8" s="493" t="s">
        <v>390</v>
      </c>
      <c r="P8" s="493"/>
    </row>
    <row r="9" spans="1:16">
      <c r="A9" s="761" t="s">
        <v>2339</v>
      </c>
      <c r="B9" s="761" t="s">
        <v>2340</v>
      </c>
      <c r="C9" s="761" t="s">
        <v>2356</v>
      </c>
      <c r="D9" s="761">
        <v>33132</v>
      </c>
      <c r="E9" s="761" t="s">
        <v>2346</v>
      </c>
      <c r="F9" s="761" t="s">
        <v>2357</v>
      </c>
      <c r="I9" s="761" t="s">
        <v>6867</v>
      </c>
      <c r="J9" s="761">
        <v>1</v>
      </c>
      <c r="K9" s="746">
        <v>1457.14</v>
      </c>
      <c r="L9" s="746">
        <v>0</v>
      </c>
      <c r="M9" s="746">
        <v>1457.14</v>
      </c>
      <c r="N9" s="493" t="str">
        <f t="shared" si="0"/>
        <v>C389</v>
      </c>
      <c r="O9" s="493" t="s">
        <v>390</v>
      </c>
      <c r="P9" s="493"/>
    </row>
    <row r="10" spans="1:16">
      <c r="A10" s="761" t="s">
        <v>2339</v>
      </c>
      <c r="B10" s="761" t="s">
        <v>2340</v>
      </c>
      <c r="C10" s="761" t="s">
        <v>2360</v>
      </c>
      <c r="D10" s="761">
        <v>33139</v>
      </c>
      <c r="E10" s="761" t="s">
        <v>2346</v>
      </c>
      <c r="F10" s="761" t="s">
        <v>2357</v>
      </c>
      <c r="I10" s="761" t="s">
        <v>6867</v>
      </c>
      <c r="J10" s="761">
        <v>1</v>
      </c>
      <c r="K10" s="746">
        <v>54027.68</v>
      </c>
      <c r="L10" s="746">
        <v>0</v>
      </c>
      <c r="M10" s="746">
        <v>54027.68</v>
      </c>
      <c r="N10" s="493" t="str">
        <f t="shared" si="0"/>
        <v>C389</v>
      </c>
      <c r="O10" s="493" t="s">
        <v>390</v>
      </c>
      <c r="P10" s="493"/>
    </row>
    <row r="11" spans="1:16">
      <c r="A11" s="761" t="s">
        <v>2339</v>
      </c>
      <c r="B11" s="761" t="s">
        <v>2340</v>
      </c>
      <c r="C11" s="761" t="s">
        <v>2364</v>
      </c>
      <c r="D11" s="761">
        <v>4992438</v>
      </c>
      <c r="E11" s="761" t="s">
        <v>2346</v>
      </c>
      <c r="F11" s="761" t="s">
        <v>2357</v>
      </c>
      <c r="I11" s="761" t="s">
        <v>6867</v>
      </c>
      <c r="J11" s="761">
        <v>1</v>
      </c>
      <c r="K11" s="746">
        <v>383.83</v>
      </c>
      <c r="L11" s="746">
        <v>0</v>
      </c>
      <c r="M11" s="746">
        <v>383.83</v>
      </c>
      <c r="N11" s="493" t="str">
        <f t="shared" si="0"/>
        <v>C389</v>
      </c>
      <c r="O11" s="493" t="s">
        <v>99</v>
      </c>
      <c r="P11" s="493"/>
    </row>
    <row r="12" spans="1:16">
      <c r="A12" s="761" t="s">
        <v>2339</v>
      </c>
      <c r="B12" s="761" t="s">
        <v>2340</v>
      </c>
      <c r="C12" s="761" t="s">
        <v>2361</v>
      </c>
      <c r="D12" s="761">
        <v>33167</v>
      </c>
      <c r="E12" s="761" t="s">
        <v>2346</v>
      </c>
      <c r="F12" s="761" t="s">
        <v>2357</v>
      </c>
      <c r="I12" s="761" t="s">
        <v>6867</v>
      </c>
      <c r="J12" s="761">
        <v>2</v>
      </c>
      <c r="K12" s="746">
        <v>60002</v>
      </c>
      <c r="L12" s="746">
        <v>0</v>
      </c>
      <c r="M12" s="746">
        <v>60002</v>
      </c>
      <c r="N12" s="493" t="str">
        <f t="shared" si="0"/>
        <v>C389</v>
      </c>
      <c r="O12" s="493" t="s">
        <v>99</v>
      </c>
      <c r="P12" s="493"/>
    </row>
    <row r="13" spans="1:16">
      <c r="A13" s="761" t="s">
        <v>2339</v>
      </c>
      <c r="B13" s="761" t="s">
        <v>2340</v>
      </c>
      <c r="C13" s="761" t="s">
        <v>2361</v>
      </c>
      <c r="D13" s="761">
        <v>33168</v>
      </c>
      <c r="E13" s="761" t="s">
        <v>2346</v>
      </c>
      <c r="F13" s="761" t="s">
        <v>2357</v>
      </c>
      <c r="I13" s="761" t="s">
        <v>6867</v>
      </c>
      <c r="J13" s="761">
        <v>1</v>
      </c>
      <c r="K13" s="746">
        <v>24994</v>
      </c>
      <c r="L13" s="746">
        <v>0</v>
      </c>
      <c r="M13" s="746">
        <v>24994</v>
      </c>
      <c r="N13" s="493" t="str">
        <f t="shared" si="0"/>
        <v>C389</v>
      </c>
      <c r="O13" s="493" t="s">
        <v>99</v>
      </c>
      <c r="P13" s="493"/>
    </row>
    <row r="14" spans="1:16">
      <c r="A14" s="761" t="s">
        <v>2339</v>
      </c>
      <c r="B14" s="761" t="s">
        <v>2340</v>
      </c>
      <c r="C14" s="761" t="s">
        <v>2364</v>
      </c>
      <c r="D14" s="761">
        <v>4992440</v>
      </c>
      <c r="E14" s="761" t="s">
        <v>2346</v>
      </c>
      <c r="F14" s="761" t="s">
        <v>2357</v>
      </c>
      <c r="I14" s="761" t="s">
        <v>6867</v>
      </c>
      <c r="J14" s="761">
        <v>1</v>
      </c>
      <c r="K14" s="746">
        <v>1648</v>
      </c>
      <c r="L14" s="746">
        <v>0</v>
      </c>
      <c r="M14" s="746">
        <v>1648</v>
      </c>
      <c r="N14" s="493" t="str">
        <f t="shared" si="0"/>
        <v>C389</v>
      </c>
      <c r="O14" s="493" t="s">
        <v>99</v>
      </c>
      <c r="P14" s="493"/>
    </row>
    <row r="15" spans="1:16">
      <c r="A15" s="761" t="s">
        <v>2339</v>
      </c>
      <c r="B15" s="761" t="s">
        <v>2340</v>
      </c>
      <c r="C15" s="761" t="s">
        <v>2356</v>
      </c>
      <c r="D15" s="761">
        <v>33133</v>
      </c>
      <c r="E15" s="761" t="s">
        <v>2346</v>
      </c>
      <c r="F15" s="761" t="s">
        <v>2357</v>
      </c>
      <c r="I15" s="761" t="s">
        <v>6867</v>
      </c>
      <c r="J15" s="761">
        <v>1</v>
      </c>
      <c r="K15" s="746">
        <v>2714.4</v>
      </c>
      <c r="L15" s="746">
        <v>0</v>
      </c>
      <c r="M15" s="746">
        <v>2714.4</v>
      </c>
      <c r="N15" s="493" t="str">
        <f t="shared" si="0"/>
        <v>C389</v>
      </c>
      <c r="O15" s="493" t="s">
        <v>390</v>
      </c>
      <c r="P15" s="493"/>
    </row>
    <row r="16" spans="1:16">
      <c r="A16" s="761" t="s">
        <v>2339</v>
      </c>
      <c r="B16" s="761" t="s">
        <v>2340</v>
      </c>
      <c r="C16" s="761" t="s">
        <v>2364</v>
      </c>
      <c r="D16" s="761">
        <v>4992442</v>
      </c>
      <c r="E16" s="761" t="s">
        <v>2346</v>
      </c>
      <c r="F16" s="761" t="s">
        <v>2357</v>
      </c>
      <c r="I16" s="761" t="s">
        <v>6867</v>
      </c>
      <c r="J16" s="761">
        <v>1</v>
      </c>
      <c r="K16" s="746">
        <v>9858.44</v>
      </c>
      <c r="L16" s="746">
        <v>0</v>
      </c>
      <c r="M16" s="746">
        <v>9858.44</v>
      </c>
      <c r="N16" s="493" t="str">
        <f t="shared" si="0"/>
        <v>C389</v>
      </c>
      <c r="O16" s="493" t="s">
        <v>99</v>
      </c>
      <c r="P16" s="493"/>
    </row>
    <row r="17" spans="1:16">
      <c r="A17" s="761" t="s">
        <v>2339</v>
      </c>
      <c r="B17" s="761" t="s">
        <v>2340</v>
      </c>
      <c r="C17" s="761" t="s">
        <v>2364</v>
      </c>
      <c r="D17" s="761">
        <v>4992441</v>
      </c>
      <c r="E17" s="761" t="s">
        <v>2346</v>
      </c>
      <c r="F17" s="761" t="s">
        <v>2357</v>
      </c>
      <c r="I17" s="761" t="s">
        <v>6867</v>
      </c>
      <c r="J17" s="761">
        <v>1</v>
      </c>
      <c r="K17" s="746">
        <v>3304.21</v>
      </c>
      <c r="L17" s="746">
        <v>0</v>
      </c>
      <c r="M17" s="746">
        <v>3304.21</v>
      </c>
      <c r="N17" s="493" t="str">
        <f t="shared" si="0"/>
        <v>C389</v>
      </c>
      <c r="O17" s="493" t="s">
        <v>99</v>
      </c>
      <c r="P17" s="493"/>
    </row>
    <row r="18" spans="1:16">
      <c r="A18" s="761" t="s">
        <v>2339</v>
      </c>
      <c r="B18" s="761" t="s">
        <v>2340</v>
      </c>
      <c r="C18" s="761" t="s">
        <v>2361</v>
      </c>
      <c r="D18" s="761">
        <v>33209</v>
      </c>
      <c r="E18" s="761" t="s">
        <v>2346</v>
      </c>
      <c r="F18" s="761" t="s">
        <v>2357</v>
      </c>
      <c r="I18" s="761" t="s">
        <v>6867</v>
      </c>
      <c r="J18" s="761">
        <v>1</v>
      </c>
      <c r="K18" s="746">
        <v>831</v>
      </c>
      <c r="L18" s="746">
        <v>0</v>
      </c>
      <c r="M18" s="746">
        <v>831</v>
      </c>
      <c r="N18" s="493" t="str">
        <f t="shared" si="0"/>
        <v>C389</v>
      </c>
      <c r="O18" s="493" t="s">
        <v>99</v>
      </c>
      <c r="P18" s="493"/>
    </row>
    <row r="19" spans="1:16">
      <c r="A19" s="761" t="s">
        <v>2339</v>
      </c>
      <c r="B19" s="761" t="s">
        <v>2340</v>
      </c>
      <c r="C19" s="761" t="s">
        <v>2356</v>
      </c>
      <c r="D19" s="761">
        <v>33134</v>
      </c>
      <c r="E19" s="761" t="s">
        <v>2346</v>
      </c>
      <c r="F19" s="761" t="s">
        <v>2357</v>
      </c>
      <c r="I19" s="761" t="s">
        <v>6867</v>
      </c>
      <c r="J19" s="761">
        <v>1</v>
      </c>
      <c r="K19" s="746">
        <v>8027.3200000000006</v>
      </c>
      <c r="L19" s="746">
        <v>0</v>
      </c>
      <c r="M19" s="746">
        <v>8027.3200000000006</v>
      </c>
      <c r="N19" s="493" t="str">
        <f t="shared" si="0"/>
        <v>C389</v>
      </c>
      <c r="O19" s="493" t="s">
        <v>390</v>
      </c>
      <c r="P19" s="493"/>
    </row>
    <row r="20" spans="1:16">
      <c r="A20" s="761" t="s">
        <v>2339</v>
      </c>
      <c r="B20" s="761" t="s">
        <v>2340</v>
      </c>
      <c r="C20" s="761" t="s">
        <v>2364</v>
      </c>
      <c r="D20" s="761">
        <v>4992434</v>
      </c>
      <c r="E20" s="761" t="s">
        <v>2346</v>
      </c>
      <c r="F20" s="761" t="s">
        <v>2357</v>
      </c>
      <c r="I20" s="761" t="s">
        <v>6867</v>
      </c>
      <c r="J20" s="761">
        <v>1</v>
      </c>
      <c r="K20" s="746">
        <v>1.07</v>
      </c>
      <c r="L20" s="746">
        <v>0</v>
      </c>
      <c r="M20" s="746">
        <v>1.07</v>
      </c>
      <c r="N20" s="493" t="str">
        <f t="shared" si="0"/>
        <v>C389</v>
      </c>
      <c r="O20" s="493" t="s">
        <v>99</v>
      </c>
      <c r="P20" s="493"/>
    </row>
    <row r="21" spans="1:16">
      <c r="A21" s="761" t="s">
        <v>2339</v>
      </c>
      <c r="B21" s="761" t="s">
        <v>2340</v>
      </c>
      <c r="C21" s="761" t="s">
        <v>2360</v>
      </c>
      <c r="D21" s="761">
        <v>99517</v>
      </c>
      <c r="E21" s="761" t="s">
        <v>2346</v>
      </c>
      <c r="F21" s="761" t="s">
        <v>2357</v>
      </c>
      <c r="I21" s="761" t="s">
        <v>6867</v>
      </c>
      <c r="J21" s="761">
        <v>1</v>
      </c>
      <c r="K21" s="746">
        <v>14291.12</v>
      </c>
      <c r="L21" s="746">
        <v>0</v>
      </c>
      <c r="M21" s="746">
        <v>14291.12</v>
      </c>
      <c r="N21" s="493" t="str">
        <f t="shared" si="0"/>
        <v>C389</v>
      </c>
      <c r="O21" s="493" t="s">
        <v>390</v>
      </c>
      <c r="P21" s="493"/>
    </row>
    <row r="22" spans="1:16">
      <c r="A22" s="761" t="s">
        <v>2339</v>
      </c>
      <c r="B22" s="761" t="s">
        <v>2340</v>
      </c>
      <c r="C22" s="761" t="s">
        <v>2356</v>
      </c>
      <c r="D22" s="761">
        <v>33135</v>
      </c>
      <c r="E22" s="761" t="s">
        <v>2346</v>
      </c>
      <c r="F22" s="761" t="s">
        <v>2357</v>
      </c>
      <c r="I22" s="761" t="s">
        <v>6867</v>
      </c>
      <c r="J22" s="761">
        <v>1</v>
      </c>
      <c r="K22" s="746">
        <v>6620.87</v>
      </c>
      <c r="L22" s="746">
        <v>0</v>
      </c>
      <c r="M22" s="746">
        <v>6620.87</v>
      </c>
      <c r="N22" s="493" t="str">
        <f t="shared" si="0"/>
        <v>C389</v>
      </c>
      <c r="O22" s="493" t="s">
        <v>390</v>
      </c>
      <c r="P22" s="493"/>
    </row>
    <row r="23" spans="1:16">
      <c r="A23" s="761" t="s">
        <v>2339</v>
      </c>
      <c r="B23" s="761" t="s">
        <v>2340</v>
      </c>
      <c r="C23" s="761" t="s">
        <v>2367</v>
      </c>
      <c r="D23" s="761">
        <v>19965229</v>
      </c>
      <c r="E23" s="761" t="s">
        <v>2346</v>
      </c>
      <c r="F23" s="761" t="s">
        <v>2357</v>
      </c>
      <c r="I23" s="761" t="s">
        <v>6867</v>
      </c>
      <c r="J23" s="761">
        <v>1</v>
      </c>
      <c r="K23" s="746">
        <v>442183.63</v>
      </c>
      <c r="L23" s="746">
        <v>0</v>
      </c>
      <c r="M23" s="746">
        <v>442183.63</v>
      </c>
      <c r="N23" s="493" t="str">
        <f t="shared" si="0"/>
        <v>C389</v>
      </c>
      <c r="O23" s="493" t="s">
        <v>390</v>
      </c>
      <c r="P23" s="493"/>
    </row>
    <row r="24" spans="1:16">
      <c r="A24" s="761" t="s">
        <v>2339</v>
      </c>
      <c r="B24" s="761" t="s">
        <v>2340</v>
      </c>
      <c r="C24" s="761" t="s">
        <v>2367</v>
      </c>
      <c r="D24" s="761">
        <v>19965211</v>
      </c>
      <c r="E24" s="761" t="s">
        <v>2346</v>
      </c>
      <c r="F24" s="761" t="s">
        <v>2357</v>
      </c>
      <c r="I24" s="761" t="s">
        <v>6867</v>
      </c>
      <c r="J24" s="761">
        <v>1</v>
      </c>
      <c r="K24" s="746">
        <v>1132.9000000000001</v>
      </c>
      <c r="L24" s="746">
        <v>0</v>
      </c>
      <c r="M24" s="746">
        <v>1132.9000000000001</v>
      </c>
      <c r="N24" s="493" t="str">
        <f t="shared" si="0"/>
        <v>C389</v>
      </c>
      <c r="O24" s="493" t="s">
        <v>390</v>
      </c>
      <c r="P24" s="493"/>
    </row>
    <row r="25" spans="1:16">
      <c r="A25" s="761" t="s">
        <v>2339</v>
      </c>
      <c r="B25" s="761" t="s">
        <v>2340</v>
      </c>
      <c r="C25" s="761" t="s">
        <v>2367</v>
      </c>
      <c r="D25" s="761">
        <v>19965220</v>
      </c>
      <c r="E25" s="761" t="s">
        <v>2346</v>
      </c>
      <c r="F25" s="761" t="s">
        <v>2357</v>
      </c>
      <c r="I25" s="761" t="s">
        <v>6867</v>
      </c>
      <c r="J25" s="761">
        <v>1</v>
      </c>
      <c r="K25" s="746">
        <v>44001.89</v>
      </c>
      <c r="L25" s="746">
        <v>0</v>
      </c>
      <c r="M25" s="746">
        <v>44001.89</v>
      </c>
      <c r="N25" s="493" t="str">
        <f t="shared" si="0"/>
        <v>C389</v>
      </c>
      <c r="O25" s="493" t="s">
        <v>390</v>
      </c>
      <c r="P25" s="493"/>
    </row>
    <row r="26" spans="1:16">
      <c r="A26" s="761" t="s">
        <v>2339</v>
      </c>
      <c r="B26" s="761" t="s">
        <v>2340</v>
      </c>
      <c r="C26" s="761" t="s">
        <v>2361</v>
      </c>
      <c r="D26" s="761">
        <v>33212</v>
      </c>
      <c r="E26" s="761" t="s">
        <v>2346</v>
      </c>
      <c r="F26" s="761" t="s">
        <v>2357</v>
      </c>
      <c r="I26" s="761" t="s">
        <v>6867</v>
      </c>
      <c r="J26" s="761">
        <v>1</v>
      </c>
      <c r="K26" s="746">
        <v>179257.65</v>
      </c>
      <c r="L26" s="746">
        <v>0</v>
      </c>
      <c r="M26" s="746">
        <v>179257.65</v>
      </c>
      <c r="N26" s="493" t="str">
        <f t="shared" si="0"/>
        <v>C389</v>
      </c>
      <c r="O26" s="493" t="s">
        <v>99</v>
      </c>
      <c r="P26" s="493"/>
    </row>
    <row r="27" spans="1:16">
      <c r="A27" s="761" t="s">
        <v>2339</v>
      </c>
      <c r="B27" s="761" t="s">
        <v>2340</v>
      </c>
      <c r="C27" s="761" t="s">
        <v>2359</v>
      </c>
      <c r="D27" s="761">
        <v>33138</v>
      </c>
      <c r="E27" s="761" t="s">
        <v>2346</v>
      </c>
      <c r="F27" s="761" t="s">
        <v>2357</v>
      </c>
      <c r="I27" s="761" t="s">
        <v>6867</v>
      </c>
      <c r="J27" s="761">
        <v>1</v>
      </c>
      <c r="K27" s="746">
        <v>75866.37</v>
      </c>
      <c r="L27" s="746">
        <v>0</v>
      </c>
      <c r="M27" s="746">
        <v>75866.37</v>
      </c>
      <c r="N27" s="493" t="str">
        <f t="shared" si="0"/>
        <v>C389</v>
      </c>
      <c r="O27" s="493" t="s">
        <v>390</v>
      </c>
      <c r="P27" s="493"/>
    </row>
    <row r="28" spans="1:16">
      <c r="A28" s="761" t="s">
        <v>2339</v>
      </c>
      <c r="B28" s="761" t="s">
        <v>2340</v>
      </c>
      <c r="C28" s="761" t="s">
        <v>2361</v>
      </c>
      <c r="D28" s="761">
        <v>33210</v>
      </c>
      <c r="E28" s="761" t="s">
        <v>2346</v>
      </c>
      <c r="F28" s="761" t="s">
        <v>2357</v>
      </c>
      <c r="I28" s="761" t="s">
        <v>6867</v>
      </c>
      <c r="J28" s="761">
        <v>1</v>
      </c>
      <c r="K28" s="746">
        <v>29606</v>
      </c>
      <c r="L28" s="746">
        <v>0</v>
      </c>
      <c r="M28" s="746">
        <v>29606</v>
      </c>
      <c r="N28" s="493" t="str">
        <f t="shared" si="0"/>
        <v>C389</v>
      </c>
      <c r="O28" s="493" t="s">
        <v>99</v>
      </c>
      <c r="P28" s="493"/>
    </row>
    <row r="29" spans="1:16">
      <c r="A29" s="761" t="s">
        <v>2339</v>
      </c>
      <c r="B29" s="761" t="s">
        <v>2340</v>
      </c>
      <c r="C29" s="761" t="s">
        <v>2358</v>
      </c>
      <c r="D29" s="761">
        <v>57114</v>
      </c>
      <c r="E29" s="761" t="s">
        <v>2346</v>
      </c>
      <c r="F29" s="761" t="s">
        <v>2357</v>
      </c>
      <c r="I29" s="761" t="s">
        <v>6867</v>
      </c>
      <c r="J29" s="761">
        <v>0</v>
      </c>
      <c r="K29" s="746">
        <v>456629.3</v>
      </c>
      <c r="L29" s="746">
        <v>0</v>
      </c>
      <c r="M29" s="746">
        <v>456629.3</v>
      </c>
      <c r="N29" s="493" t="str">
        <f t="shared" si="0"/>
        <v>C389</v>
      </c>
      <c r="O29" s="493" t="s">
        <v>390</v>
      </c>
      <c r="P29" s="493"/>
    </row>
    <row r="30" spans="1:16">
      <c r="A30" s="761" t="s">
        <v>2339</v>
      </c>
      <c r="B30" s="761" t="s">
        <v>2340</v>
      </c>
      <c r="C30" s="761" t="s">
        <v>2358</v>
      </c>
      <c r="D30" s="761">
        <v>33136</v>
      </c>
      <c r="E30" s="761" t="s">
        <v>2346</v>
      </c>
      <c r="F30" s="761" t="s">
        <v>2357</v>
      </c>
      <c r="I30" s="761" t="s">
        <v>6867</v>
      </c>
      <c r="J30" s="761">
        <v>1</v>
      </c>
      <c r="K30" s="746">
        <v>542204.24</v>
      </c>
      <c r="L30" s="746">
        <v>0</v>
      </c>
      <c r="M30" s="746">
        <v>542204.24</v>
      </c>
      <c r="N30" s="493" t="str">
        <f t="shared" si="0"/>
        <v>C389</v>
      </c>
      <c r="O30" s="493" t="s">
        <v>390</v>
      </c>
      <c r="P30" s="493"/>
    </row>
    <row r="31" spans="1:16">
      <c r="A31" s="761" t="s">
        <v>2339</v>
      </c>
      <c r="B31" s="761" t="s">
        <v>2340</v>
      </c>
      <c r="C31" s="761" t="s">
        <v>2361</v>
      </c>
      <c r="D31" s="761">
        <v>59903</v>
      </c>
      <c r="E31" s="761" t="s">
        <v>2346</v>
      </c>
      <c r="F31" s="761" t="s">
        <v>2357</v>
      </c>
      <c r="I31" s="761" t="s">
        <v>6867</v>
      </c>
      <c r="J31" s="761">
        <v>1</v>
      </c>
      <c r="K31" s="746">
        <v>5175</v>
      </c>
      <c r="L31" s="746">
        <v>0</v>
      </c>
      <c r="M31" s="746">
        <v>5175</v>
      </c>
      <c r="N31" s="493" t="str">
        <f t="shared" si="0"/>
        <v>C389</v>
      </c>
      <c r="O31" s="493" t="s">
        <v>99</v>
      </c>
      <c r="P31" s="493"/>
    </row>
    <row r="32" spans="1:16">
      <c r="A32" s="761" t="s">
        <v>2339</v>
      </c>
      <c r="B32" s="761" t="s">
        <v>2340</v>
      </c>
      <c r="C32" s="761" t="s">
        <v>2361</v>
      </c>
      <c r="D32" s="761">
        <v>33211</v>
      </c>
      <c r="E32" s="761" t="s">
        <v>2346</v>
      </c>
      <c r="F32" s="761" t="s">
        <v>2357</v>
      </c>
      <c r="I32" s="761" t="s">
        <v>6867</v>
      </c>
      <c r="J32" s="761">
        <v>1</v>
      </c>
      <c r="K32" s="746">
        <v>70990</v>
      </c>
      <c r="L32" s="746">
        <v>0</v>
      </c>
      <c r="M32" s="746">
        <v>70990</v>
      </c>
      <c r="N32" s="493" t="str">
        <f t="shared" si="0"/>
        <v>C389</v>
      </c>
      <c r="O32" s="493" t="s">
        <v>99</v>
      </c>
      <c r="P32" s="493"/>
    </row>
    <row r="33" spans="1:16">
      <c r="A33" s="761" t="s">
        <v>2339</v>
      </c>
      <c r="B33" s="761" t="s">
        <v>2340</v>
      </c>
      <c r="C33" s="761" t="s">
        <v>2360</v>
      </c>
      <c r="D33" s="761">
        <v>33140</v>
      </c>
      <c r="E33" s="761" t="s">
        <v>2346</v>
      </c>
      <c r="F33" s="761" t="s">
        <v>2357</v>
      </c>
      <c r="I33" s="761" t="s">
        <v>6867</v>
      </c>
      <c r="J33" s="761">
        <v>1</v>
      </c>
      <c r="K33" s="746">
        <v>86606.82</v>
      </c>
      <c r="L33" s="746">
        <v>0</v>
      </c>
      <c r="M33" s="746">
        <v>86606.82</v>
      </c>
      <c r="N33" s="493" t="str">
        <f t="shared" si="0"/>
        <v>C389</v>
      </c>
      <c r="O33" s="493" t="s">
        <v>390</v>
      </c>
      <c r="P33" s="493"/>
    </row>
    <row r="34" spans="1:16">
      <c r="A34" s="761" t="s">
        <v>2339</v>
      </c>
      <c r="B34" s="761" t="s">
        <v>2340</v>
      </c>
      <c r="C34" s="761" t="s">
        <v>2363</v>
      </c>
      <c r="D34" s="761">
        <v>99524</v>
      </c>
      <c r="E34" s="761" t="s">
        <v>2346</v>
      </c>
      <c r="F34" s="761" t="s">
        <v>2357</v>
      </c>
      <c r="I34" s="761" t="s">
        <v>6867</v>
      </c>
      <c r="J34" s="761">
        <v>2</v>
      </c>
      <c r="K34" s="746">
        <v>203840</v>
      </c>
      <c r="L34" s="746">
        <v>0</v>
      </c>
      <c r="M34" s="746">
        <v>203840</v>
      </c>
      <c r="N34" s="493" t="str">
        <f t="shared" si="0"/>
        <v>C389</v>
      </c>
      <c r="O34" s="493" t="s">
        <v>99</v>
      </c>
      <c r="P34" s="493"/>
    </row>
    <row r="35" spans="1:16">
      <c r="A35" s="761" t="s">
        <v>2339</v>
      </c>
      <c r="B35" s="761" t="s">
        <v>2340</v>
      </c>
      <c r="C35" s="761" t="s">
        <v>2358</v>
      </c>
      <c r="D35" s="761">
        <v>57115</v>
      </c>
      <c r="E35" s="761" t="s">
        <v>2346</v>
      </c>
      <c r="F35" s="761" t="s">
        <v>2357</v>
      </c>
      <c r="I35" s="761" t="s">
        <v>6867</v>
      </c>
      <c r="J35" s="761">
        <v>0</v>
      </c>
      <c r="K35" s="746">
        <v>7049</v>
      </c>
      <c r="L35" s="746">
        <v>0</v>
      </c>
      <c r="M35" s="746">
        <v>7049</v>
      </c>
      <c r="N35" s="493" t="str">
        <f t="shared" si="0"/>
        <v>C389</v>
      </c>
      <c r="O35" s="493" t="s">
        <v>390</v>
      </c>
      <c r="P35" s="493"/>
    </row>
    <row r="36" spans="1:16">
      <c r="A36" s="761" t="s">
        <v>2339</v>
      </c>
      <c r="B36" s="761" t="s">
        <v>2340</v>
      </c>
      <c r="C36" s="761" t="s">
        <v>2358</v>
      </c>
      <c r="D36" s="761">
        <v>33137</v>
      </c>
      <c r="E36" s="761" t="s">
        <v>2346</v>
      </c>
      <c r="F36" s="761" t="s">
        <v>2357</v>
      </c>
      <c r="I36" s="761" t="s">
        <v>6867</v>
      </c>
      <c r="J36" s="761">
        <v>1</v>
      </c>
      <c r="K36" s="746">
        <v>9797.24</v>
      </c>
      <c r="L36" s="746">
        <v>0</v>
      </c>
      <c r="M36" s="746">
        <v>9797.24</v>
      </c>
      <c r="N36" s="493" t="str">
        <f t="shared" si="0"/>
        <v>C389</v>
      </c>
      <c r="O36" s="493" t="s">
        <v>390</v>
      </c>
      <c r="P36" s="493"/>
    </row>
    <row r="37" spans="1:16">
      <c r="A37" s="761" t="s">
        <v>2339</v>
      </c>
      <c r="B37" s="761" t="s">
        <v>2340</v>
      </c>
      <c r="C37" s="761" t="s">
        <v>2365</v>
      </c>
      <c r="D37" s="761">
        <v>6088582</v>
      </c>
      <c r="E37" s="761" t="s">
        <v>2346</v>
      </c>
      <c r="F37" s="761" t="s">
        <v>2357</v>
      </c>
      <c r="I37" s="761" t="s">
        <v>6867</v>
      </c>
      <c r="J37" s="761">
        <v>0</v>
      </c>
      <c r="K37" s="746">
        <v>17414.77</v>
      </c>
      <c r="L37" s="746">
        <v>0</v>
      </c>
      <c r="M37" s="746">
        <v>17414.77</v>
      </c>
      <c r="N37" s="493" t="str">
        <f t="shared" si="0"/>
        <v>C389</v>
      </c>
      <c r="O37" s="493" t="s">
        <v>99</v>
      </c>
      <c r="P37" s="493"/>
    </row>
    <row r="38" spans="1:16">
      <c r="A38" s="761" t="s">
        <v>2339</v>
      </c>
      <c r="B38" s="761" t="s">
        <v>2340</v>
      </c>
      <c r="C38" s="761" t="s">
        <v>2345</v>
      </c>
      <c r="D38" s="761">
        <v>9277563</v>
      </c>
      <c r="E38" s="761" t="s">
        <v>2346</v>
      </c>
      <c r="F38" s="761">
        <v>153002148</v>
      </c>
      <c r="G38" s="761" t="s">
        <v>2347</v>
      </c>
      <c r="H38" s="761" t="s">
        <v>7266</v>
      </c>
      <c r="I38" s="761" t="s">
        <v>6867</v>
      </c>
      <c r="J38" s="761">
        <v>1</v>
      </c>
      <c r="K38" s="746">
        <v>7524446.04</v>
      </c>
      <c r="L38" s="746">
        <v>0</v>
      </c>
      <c r="M38" s="746">
        <v>7524446.04</v>
      </c>
      <c r="N38" s="493" t="str">
        <f t="shared" si="0"/>
        <v>C389</v>
      </c>
      <c r="O38" s="493" t="s">
        <v>99</v>
      </c>
      <c r="P38" s="493"/>
    </row>
    <row r="39" spans="1:16">
      <c r="A39" s="761" t="s">
        <v>2339</v>
      </c>
      <c r="B39" s="761" t="s">
        <v>2340</v>
      </c>
      <c r="C39" s="761" t="s">
        <v>2348</v>
      </c>
      <c r="D39" s="761">
        <v>39529543</v>
      </c>
      <c r="E39" s="761" t="s">
        <v>2346</v>
      </c>
      <c r="F39" s="761">
        <v>153002528</v>
      </c>
      <c r="G39" s="761" t="s">
        <v>2349</v>
      </c>
      <c r="H39" s="761" t="s">
        <v>7267</v>
      </c>
      <c r="I39" s="761" t="s">
        <v>6867</v>
      </c>
      <c r="J39" s="761">
        <v>0</v>
      </c>
      <c r="K39" s="746">
        <v>3780338.31</v>
      </c>
      <c r="L39" s="746">
        <v>0</v>
      </c>
      <c r="M39" s="746">
        <v>3780338.31</v>
      </c>
      <c r="N39" s="493" t="str">
        <f t="shared" si="0"/>
        <v>C389</v>
      </c>
      <c r="O39" s="493" t="s">
        <v>99</v>
      </c>
      <c r="P39" s="493"/>
    </row>
    <row r="40" spans="1:16">
      <c r="A40" s="761" t="s">
        <v>2339</v>
      </c>
      <c r="B40" s="761" t="s">
        <v>2340</v>
      </c>
      <c r="C40" s="761" t="s">
        <v>2348</v>
      </c>
      <c r="D40" s="761">
        <v>39529552</v>
      </c>
      <c r="E40" s="761" t="s">
        <v>2346</v>
      </c>
      <c r="F40" s="761">
        <v>153002528</v>
      </c>
      <c r="G40" s="761" t="s">
        <v>2349</v>
      </c>
      <c r="H40" s="761" t="s">
        <v>7267</v>
      </c>
      <c r="I40" s="761" t="s">
        <v>6867</v>
      </c>
      <c r="J40" s="761">
        <v>0</v>
      </c>
      <c r="K40" s="746">
        <v>3581505.44</v>
      </c>
      <c r="L40" s="746">
        <v>0</v>
      </c>
      <c r="M40" s="746">
        <v>3581505.44</v>
      </c>
      <c r="N40" s="493" t="str">
        <f t="shared" si="0"/>
        <v>C389</v>
      </c>
      <c r="O40" s="493" t="s">
        <v>99</v>
      </c>
      <c r="P40" s="493"/>
    </row>
    <row r="41" spans="1:16">
      <c r="A41" s="761" t="s">
        <v>2339</v>
      </c>
      <c r="B41" s="761" t="s">
        <v>2340</v>
      </c>
      <c r="C41" s="761" t="s">
        <v>2350</v>
      </c>
      <c r="D41" s="761">
        <v>27568855</v>
      </c>
      <c r="E41" s="761" t="s">
        <v>2346</v>
      </c>
      <c r="F41" s="761">
        <v>153002948</v>
      </c>
      <c r="G41" s="761" t="s">
        <v>2351</v>
      </c>
      <c r="H41" s="761" t="s">
        <v>7268</v>
      </c>
      <c r="I41" s="761" t="s">
        <v>6867</v>
      </c>
      <c r="J41" s="761">
        <v>1</v>
      </c>
      <c r="K41" s="746">
        <v>18486454.109999999</v>
      </c>
      <c r="L41" s="746">
        <v>0</v>
      </c>
      <c r="M41" s="746">
        <v>18486454.109999999</v>
      </c>
      <c r="N41" s="493" t="str">
        <f t="shared" si="0"/>
        <v>C389</v>
      </c>
      <c r="O41" s="493" t="s">
        <v>390</v>
      </c>
      <c r="P41" s="493"/>
    </row>
    <row r="42" spans="1:16">
      <c r="A42" s="761" t="s">
        <v>2339</v>
      </c>
      <c r="B42" s="761" t="s">
        <v>2340</v>
      </c>
      <c r="C42" s="761" t="s">
        <v>2352</v>
      </c>
      <c r="D42" s="761">
        <v>30990188</v>
      </c>
      <c r="E42" s="761" t="s">
        <v>2346</v>
      </c>
      <c r="F42" s="761">
        <v>153003050</v>
      </c>
      <c r="G42" s="761" t="s">
        <v>2353</v>
      </c>
      <c r="H42" s="761" t="s">
        <v>7269</v>
      </c>
      <c r="I42" s="761" t="s">
        <v>6867</v>
      </c>
      <c r="J42" s="761">
        <v>1</v>
      </c>
      <c r="K42" s="746">
        <v>1892030.12</v>
      </c>
      <c r="L42" s="746">
        <v>0</v>
      </c>
      <c r="M42" s="746">
        <v>1892030.12</v>
      </c>
      <c r="N42" s="493" t="str">
        <f t="shared" si="0"/>
        <v>C389</v>
      </c>
      <c r="O42" s="493" t="s">
        <v>99</v>
      </c>
      <c r="P42" s="493"/>
    </row>
    <row r="43" spans="1:16">
      <c r="A43" s="761" t="s">
        <v>2339</v>
      </c>
      <c r="B43" s="761" t="s">
        <v>2340</v>
      </c>
      <c r="C43" s="761" t="s">
        <v>2354</v>
      </c>
      <c r="D43" s="761">
        <v>33900724</v>
      </c>
      <c r="E43" s="761" t="s">
        <v>2346</v>
      </c>
      <c r="F43" s="761">
        <v>153003148</v>
      </c>
      <c r="G43" s="761" t="s">
        <v>2355</v>
      </c>
      <c r="H43" s="761" t="s">
        <v>2355</v>
      </c>
      <c r="I43" s="761" t="s">
        <v>6867</v>
      </c>
      <c r="J43" s="761">
        <v>1</v>
      </c>
      <c r="K43" s="746">
        <v>15472.9</v>
      </c>
      <c r="L43" s="746">
        <v>0</v>
      </c>
      <c r="M43" s="746">
        <v>15472.9</v>
      </c>
      <c r="N43" s="493" t="str">
        <f t="shared" si="0"/>
        <v>C389</v>
      </c>
      <c r="O43" s="493" t="s">
        <v>99</v>
      </c>
      <c r="P43" s="493"/>
    </row>
    <row r="44" spans="1:16">
      <c r="A44" s="761" t="s">
        <v>2339</v>
      </c>
      <c r="B44" s="761" t="s">
        <v>2340</v>
      </c>
      <c r="C44" s="761" t="s">
        <v>2354</v>
      </c>
      <c r="D44" s="761">
        <v>35501844</v>
      </c>
      <c r="E44" s="761" t="s">
        <v>2346</v>
      </c>
      <c r="F44" s="761">
        <v>153003148</v>
      </c>
      <c r="G44" s="761" t="s">
        <v>2355</v>
      </c>
      <c r="H44" s="761" t="s">
        <v>2355</v>
      </c>
      <c r="I44" s="761" t="s">
        <v>6867</v>
      </c>
      <c r="J44" s="761">
        <v>1</v>
      </c>
      <c r="K44" s="746">
        <v>925448.26</v>
      </c>
      <c r="L44" s="746">
        <v>0</v>
      </c>
      <c r="M44" s="746">
        <v>925448.26</v>
      </c>
      <c r="N44" s="493" t="str">
        <f t="shared" si="0"/>
        <v>C389</v>
      </c>
      <c r="O44" s="493" t="s">
        <v>99</v>
      </c>
      <c r="P44" s="493"/>
    </row>
    <row r="45" spans="1:16">
      <c r="A45" s="761" t="s">
        <v>2339</v>
      </c>
      <c r="B45" s="761" t="s">
        <v>2340</v>
      </c>
      <c r="C45" s="761" t="s">
        <v>2354</v>
      </c>
      <c r="D45" s="761">
        <v>35501847</v>
      </c>
      <c r="E45" s="761" t="s">
        <v>2346</v>
      </c>
      <c r="F45" s="761">
        <v>153003148</v>
      </c>
      <c r="G45" s="761" t="s">
        <v>2355</v>
      </c>
      <c r="H45" s="761" t="s">
        <v>2355</v>
      </c>
      <c r="I45" s="761" t="s">
        <v>6867</v>
      </c>
      <c r="J45" s="761">
        <v>1</v>
      </c>
      <c r="K45" s="746">
        <v>775998.09</v>
      </c>
      <c r="L45" s="746">
        <v>0</v>
      </c>
      <c r="M45" s="746">
        <v>775998.09</v>
      </c>
      <c r="N45" s="493" t="str">
        <f t="shared" si="0"/>
        <v>C389</v>
      </c>
      <c r="O45" s="493" t="s">
        <v>99</v>
      </c>
      <c r="P45" s="493"/>
    </row>
    <row r="46" spans="1:16">
      <c r="A46" s="761" t="s">
        <v>2339</v>
      </c>
      <c r="B46" s="761" t="s">
        <v>2340</v>
      </c>
      <c r="C46" s="761" t="s">
        <v>2364</v>
      </c>
      <c r="D46" s="761">
        <v>4992474</v>
      </c>
      <c r="E46" s="761" t="s">
        <v>2368</v>
      </c>
      <c r="F46" s="761" t="s">
        <v>2357</v>
      </c>
      <c r="I46" s="761" t="s">
        <v>6867</v>
      </c>
      <c r="J46" s="761">
        <v>1</v>
      </c>
      <c r="K46" s="746">
        <v>4802</v>
      </c>
      <c r="L46" s="746">
        <v>5042.1000000000004</v>
      </c>
      <c r="M46" s="746">
        <v>-240.1</v>
      </c>
      <c r="N46" s="493" t="str">
        <f t="shared" si="0"/>
        <v>C390</v>
      </c>
      <c r="O46" s="493" t="s">
        <v>99</v>
      </c>
      <c r="P46" s="493"/>
    </row>
    <row r="47" spans="1:16">
      <c r="A47" s="761" t="s">
        <v>2339</v>
      </c>
      <c r="B47" s="761" t="s">
        <v>2340</v>
      </c>
      <c r="C47" s="761" t="s">
        <v>2364</v>
      </c>
      <c r="D47" s="761">
        <v>4992475</v>
      </c>
      <c r="E47" s="761" t="s">
        <v>2368</v>
      </c>
      <c r="F47" s="761" t="s">
        <v>2357</v>
      </c>
      <c r="I47" s="761" t="s">
        <v>6867</v>
      </c>
      <c r="J47" s="761">
        <v>1</v>
      </c>
      <c r="K47" s="746">
        <v>32822</v>
      </c>
      <c r="L47" s="746">
        <v>34463.1</v>
      </c>
      <c r="M47" s="746">
        <v>-1641.1000000000001</v>
      </c>
      <c r="N47" s="493" t="str">
        <f t="shared" si="0"/>
        <v>C390</v>
      </c>
      <c r="O47" s="493" t="s">
        <v>99</v>
      </c>
      <c r="P47" s="493"/>
    </row>
    <row r="48" spans="1:16">
      <c r="A48" s="761" t="s">
        <v>2339</v>
      </c>
      <c r="B48" s="761" t="s">
        <v>2340</v>
      </c>
      <c r="C48" s="761" t="s">
        <v>2364</v>
      </c>
      <c r="D48" s="761">
        <v>4992463</v>
      </c>
      <c r="E48" s="761" t="s">
        <v>2368</v>
      </c>
      <c r="F48" s="761" t="s">
        <v>2357</v>
      </c>
      <c r="I48" s="761" t="s">
        <v>6867</v>
      </c>
      <c r="J48" s="761">
        <v>1</v>
      </c>
      <c r="K48" s="746">
        <v>107839.03</v>
      </c>
      <c r="L48" s="746">
        <v>113230.98</v>
      </c>
      <c r="M48" s="746">
        <v>-5391.95</v>
      </c>
      <c r="N48" s="493" t="str">
        <f t="shared" si="0"/>
        <v>C390</v>
      </c>
      <c r="O48" s="493" t="s">
        <v>99</v>
      </c>
      <c r="P48" s="493"/>
    </row>
    <row r="49" spans="1:16">
      <c r="A49" s="761" t="s">
        <v>2339</v>
      </c>
      <c r="B49" s="761" t="s">
        <v>2340</v>
      </c>
      <c r="C49" s="761" t="s">
        <v>2364</v>
      </c>
      <c r="D49" s="761">
        <v>4992482</v>
      </c>
      <c r="E49" s="761" t="s">
        <v>2368</v>
      </c>
      <c r="F49" s="761" t="s">
        <v>2357</v>
      </c>
      <c r="I49" s="761" t="s">
        <v>6867</v>
      </c>
      <c r="J49" s="761">
        <v>1</v>
      </c>
      <c r="K49" s="746">
        <v>2667.2000000000003</v>
      </c>
      <c r="L49" s="746">
        <v>2800.56</v>
      </c>
      <c r="M49" s="746">
        <v>-133.36000000000001</v>
      </c>
      <c r="N49" s="493" t="str">
        <f t="shared" si="0"/>
        <v>C390</v>
      </c>
      <c r="O49" s="493" t="s">
        <v>99</v>
      </c>
      <c r="P49" s="493"/>
    </row>
    <row r="50" spans="1:16">
      <c r="A50" s="761" t="s">
        <v>2339</v>
      </c>
      <c r="B50" s="761" t="s">
        <v>2340</v>
      </c>
      <c r="C50" s="761" t="s">
        <v>2364</v>
      </c>
      <c r="D50" s="761">
        <v>4992476</v>
      </c>
      <c r="E50" s="761" t="s">
        <v>2368</v>
      </c>
      <c r="F50" s="761" t="s">
        <v>2357</v>
      </c>
      <c r="I50" s="761" t="s">
        <v>6867</v>
      </c>
      <c r="J50" s="761">
        <v>1</v>
      </c>
      <c r="K50" s="746">
        <v>6694</v>
      </c>
      <c r="L50" s="746">
        <v>7028.7</v>
      </c>
      <c r="M50" s="746">
        <v>-334.7</v>
      </c>
      <c r="N50" s="493" t="str">
        <f t="shared" si="0"/>
        <v>C390</v>
      </c>
      <c r="O50" s="493" t="s">
        <v>99</v>
      </c>
      <c r="P50" s="493"/>
    </row>
    <row r="51" spans="1:16">
      <c r="A51" s="761" t="s">
        <v>2339</v>
      </c>
      <c r="B51" s="761" t="s">
        <v>2340</v>
      </c>
      <c r="C51" s="761" t="s">
        <v>2364</v>
      </c>
      <c r="D51" s="761">
        <v>4992477</v>
      </c>
      <c r="E51" s="761" t="s">
        <v>2368</v>
      </c>
      <c r="F51" s="761" t="s">
        <v>2357</v>
      </c>
      <c r="I51" s="761" t="s">
        <v>6867</v>
      </c>
      <c r="J51" s="761">
        <v>1</v>
      </c>
      <c r="K51" s="746">
        <v>187</v>
      </c>
      <c r="L51" s="746">
        <v>196.35</v>
      </c>
      <c r="M51" s="746">
        <v>-9.35</v>
      </c>
      <c r="N51" s="493" t="str">
        <f t="shared" si="0"/>
        <v>C390</v>
      </c>
      <c r="O51" s="493" t="s">
        <v>99</v>
      </c>
      <c r="P51" s="493"/>
    </row>
    <row r="52" spans="1:16">
      <c r="A52" s="761" t="s">
        <v>2339</v>
      </c>
      <c r="B52" s="761" t="s">
        <v>2340</v>
      </c>
      <c r="C52" s="761" t="s">
        <v>2364</v>
      </c>
      <c r="D52" s="761">
        <v>4992479</v>
      </c>
      <c r="E52" s="761" t="s">
        <v>2368</v>
      </c>
      <c r="F52" s="761" t="s">
        <v>2357</v>
      </c>
      <c r="I52" s="761" t="s">
        <v>6867</v>
      </c>
      <c r="J52" s="761">
        <v>1</v>
      </c>
      <c r="K52" s="746">
        <v>3993.82</v>
      </c>
      <c r="L52" s="746">
        <v>4193.51</v>
      </c>
      <c r="M52" s="746">
        <v>-199.69</v>
      </c>
      <c r="N52" s="493" t="str">
        <f t="shared" si="0"/>
        <v>C390</v>
      </c>
      <c r="O52" s="493" t="s">
        <v>99</v>
      </c>
      <c r="P52" s="493"/>
    </row>
    <row r="53" spans="1:16">
      <c r="A53" s="761" t="s">
        <v>2339</v>
      </c>
      <c r="B53" s="761" t="s">
        <v>2340</v>
      </c>
      <c r="C53" s="761" t="s">
        <v>2364</v>
      </c>
      <c r="D53" s="761">
        <v>4992468</v>
      </c>
      <c r="E53" s="761" t="s">
        <v>2368</v>
      </c>
      <c r="F53" s="761" t="s">
        <v>2357</v>
      </c>
      <c r="I53" s="761" t="s">
        <v>6867</v>
      </c>
      <c r="J53" s="761">
        <v>1</v>
      </c>
      <c r="K53" s="746">
        <v>1091.29</v>
      </c>
      <c r="L53" s="746">
        <v>1145.8500000000001</v>
      </c>
      <c r="M53" s="746">
        <v>-54.56</v>
      </c>
      <c r="N53" s="493" t="str">
        <f t="shared" si="0"/>
        <v>C390</v>
      </c>
      <c r="O53" s="493" t="s">
        <v>99</v>
      </c>
      <c r="P53" s="493"/>
    </row>
    <row r="54" spans="1:16">
      <c r="A54" s="761" t="s">
        <v>2339</v>
      </c>
      <c r="B54" s="761" t="s">
        <v>2340</v>
      </c>
      <c r="C54" s="761" t="s">
        <v>2364</v>
      </c>
      <c r="D54" s="761">
        <v>4992480</v>
      </c>
      <c r="E54" s="761" t="s">
        <v>2368</v>
      </c>
      <c r="F54" s="761" t="s">
        <v>2357</v>
      </c>
      <c r="I54" s="761" t="s">
        <v>6867</v>
      </c>
      <c r="J54" s="761">
        <v>1</v>
      </c>
      <c r="K54" s="746">
        <v>80</v>
      </c>
      <c r="L54" s="746">
        <v>84</v>
      </c>
      <c r="M54" s="746">
        <v>-4</v>
      </c>
      <c r="N54" s="493" t="str">
        <f t="shared" si="0"/>
        <v>C390</v>
      </c>
      <c r="O54" s="493" t="s">
        <v>99</v>
      </c>
      <c r="P54" s="493"/>
    </row>
    <row r="55" spans="1:16">
      <c r="A55" s="761" t="s">
        <v>2339</v>
      </c>
      <c r="B55" s="761" t="s">
        <v>2340</v>
      </c>
      <c r="C55" s="761" t="s">
        <v>2364</v>
      </c>
      <c r="D55" s="761">
        <v>4992481</v>
      </c>
      <c r="E55" s="761" t="s">
        <v>2368</v>
      </c>
      <c r="F55" s="761" t="s">
        <v>2357</v>
      </c>
      <c r="I55" s="761" t="s">
        <v>6867</v>
      </c>
      <c r="J55" s="761">
        <v>1</v>
      </c>
      <c r="K55" s="746">
        <v>198849.21</v>
      </c>
      <c r="L55" s="746">
        <v>208791.15</v>
      </c>
      <c r="M55" s="746">
        <v>-9941.94</v>
      </c>
      <c r="N55" s="493" t="str">
        <f t="shared" si="0"/>
        <v>C390</v>
      </c>
      <c r="O55" s="493" t="s">
        <v>99</v>
      </c>
      <c r="P55" s="493"/>
    </row>
    <row r="56" spans="1:16">
      <c r="A56" s="761" t="s">
        <v>2339</v>
      </c>
      <c r="B56" s="761" t="s">
        <v>2340</v>
      </c>
      <c r="C56" s="761" t="s">
        <v>2364</v>
      </c>
      <c r="D56" s="761">
        <v>4992483</v>
      </c>
      <c r="E56" s="761" t="s">
        <v>2368</v>
      </c>
      <c r="F56" s="761" t="s">
        <v>2357</v>
      </c>
      <c r="I56" s="761" t="s">
        <v>6867</v>
      </c>
      <c r="J56" s="761">
        <v>1</v>
      </c>
      <c r="K56" s="746">
        <v>89.68</v>
      </c>
      <c r="L56" s="746">
        <v>94.16</v>
      </c>
      <c r="M56" s="746">
        <v>-4.4800000000000004</v>
      </c>
      <c r="N56" s="493" t="str">
        <f t="shared" si="0"/>
        <v>C390</v>
      </c>
      <c r="O56" s="493" t="s">
        <v>99</v>
      </c>
      <c r="P56" s="493"/>
    </row>
    <row r="57" spans="1:16">
      <c r="A57" s="761" t="s">
        <v>2339</v>
      </c>
      <c r="B57" s="761" t="s">
        <v>2340</v>
      </c>
      <c r="C57" s="761" t="s">
        <v>2364</v>
      </c>
      <c r="D57" s="761">
        <v>4992484</v>
      </c>
      <c r="E57" s="761" t="s">
        <v>2368</v>
      </c>
      <c r="F57" s="761" t="s">
        <v>2357</v>
      </c>
      <c r="I57" s="761" t="s">
        <v>6867</v>
      </c>
      <c r="J57" s="761">
        <v>1</v>
      </c>
      <c r="K57" s="746">
        <v>11459.94</v>
      </c>
      <c r="L57" s="746">
        <v>12032.87</v>
      </c>
      <c r="M57" s="746">
        <v>-572.93000000000006</v>
      </c>
      <c r="N57" s="493" t="str">
        <f t="shared" si="0"/>
        <v>C390</v>
      </c>
      <c r="O57" s="493" t="s">
        <v>99</v>
      </c>
      <c r="P57" s="493"/>
    </row>
    <row r="58" spans="1:16">
      <c r="A58" s="761" t="s">
        <v>2339</v>
      </c>
      <c r="B58" s="761" t="s">
        <v>2340</v>
      </c>
      <c r="C58" s="761" t="s">
        <v>2364</v>
      </c>
      <c r="D58" s="761">
        <v>4992485</v>
      </c>
      <c r="E58" s="761" t="s">
        <v>2368</v>
      </c>
      <c r="F58" s="761" t="s">
        <v>2357</v>
      </c>
      <c r="I58" s="761" t="s">
        <v>6867</v>
      </c>
      <c r="J58" s="761">
        <v>1</v>
      </c>
      <c r="K58" s="746">
        <v>7333.56</v>
      </c>
      <c r="L58" s="746">
        <v>7700.17</v>
      </c>
      <c r="M58" s="746">
        <v>-366.61</v>
      </c>
      <c r="N58" s="493" t="str">
        <f t="shared" si="0"/>
        <v>C390</v>
      </c>
      <c r="O58" s="493" t="s">
        <v>99</v>
      </c>
      <c r="P58" s="493"/>
    </row>
    <row r="59" spans="1:16">
      <c r="A59" s="761" t="s">
        <v>2339</v>
      </c>
      <c r="B59" s="761" t="s">
        <v>2340</v>
      </c>
      <c r="C59" s="761" t="s">
        <v>2364</v>
      </c>
      <c r="D59" s="761">
        <v>4992487</v>
      </c>
      <c r="E59" s="761" t="s">
        <v>2368</v>
      </c>
      <c r="F59" s="761" t="s">
        <v>2357</v>
      </c>
      <c r="I59" s="761" t="s">
        <v>6867</v>
      </c>
      <c r="J59" s="761">
        <v>1</v>
      </c>
      <c r="K59" s="746">
        <v>2640.42</v>
      </c>
      <c r="L59" s="746">
        <v>2772.4</v>
      </c>
      <c r="M59" s="746">
        <v>-131.97999999999999</v>
      </c>
      <c r="N59" s="493" t="str">
        <f t="shared" si="0"/>
        <v>C390</v>
      </c>
      <c r="O59" s="493" t="s">
        <v>99</v>
      </c>
      <c r="P59" s="493"/>
    </row>
    <row r="60" spans="1:16">
      <c r="A60" s="761" t="s">
        <v>2339</v>
      </c>
      <c r="B60" s="761" t="s">
        <v>2340</v>
      </c>
      <c r="C60" s="761" t="s">
        <v>2364</v>
      </c>
      <c r="D60" s="761">
        <v>4992488</v>
      </c>
      <c r="E60" s="761" t="s">
        <v>2368</v>
      </c>
      <c r="F60" s="761" t="s">
        <v>2357</v>
      </c>
      <c r="I60" s="761" t="s">
        <v>6867</v>
      </c>
      <c r="J60" s="761">
        <v>1</v>
      </c>
      <c r="K60" s="746">
        <v>523.93000000000006</v>
      </c>
      <c r="L60" s="746">
        <v>550.12</v>
      </c>
      <c r="M60" s="746">
        <v>-26.19</v>
      </c>
      <c r="N60" s="493" t="str">
        <f t="shared" si="0"/>
        <v>C390</v>
      </c>
      <c r="O60" s="493" t="s">
        <v>99</v>
      </c>
      <c r="P60" s="493"/>
    </row>
    <row r="61" spans="1:16">
      <c r="A61" s="761" t="s">
        <v>2339</v>
      </c>
      <c r="B61" s="761" t="s">
        <v>2340</v>
      </c>
      <c r="C61" s="761" t="s">
        <v>2364</v>
      </c>
      <c r="D61" s="761">
        <v>4992489</v>
      </c>
      <c r="E61" s="761" t="s">
        <v>2368</v>
      </c>
      <c r="F61" s="761" t="s">
        <v>2357</v>
      </c>
      <c r="I61" s="761" t="s">
        <v>6867</v>
      </c>
      <c r="J61" s="761">
        <v>1</v>
      </c>
      <c r="K61" s="746">
        <v>1747.18</v>
      </c>
      <c r="L61" s="746">
        <v>1834.48</v>
      </c>
      <c r="M61" s="746">
        <v>-87.3</v>
      </c>
      <c r="N61" s="493" t="str">
        <f t="shared" si="0"/>
        <v>C390</v>
      </c>
      <c r="O61" s="493" t="s">
        <v>99</v>
      </c>
      <c r="P61" s="493"/>
    </row>
    <row r="62" spans="1:16">
      <c r="A62" s="761" t="s">
        <v>2339</v>
      </c>
      <c r="B62" s="761" t="s">
        <v>2340</v>
      </c>
      <c r="C62" s="761" t="s">
        <v>2364</v>
      </c>
      <c r="D62" s="761">
        <v>4992490</v>
      </c>
      <c r="E62" s="761" t="s">
        <v>2368</v>
      </c>
      <c r="F62" s="761" t="s">
        <v>2357</v>
      </c>
      <c r="I62" s="761" t="s">
        <v>6867</v>
      </c>
      <c r="J62" s="761">
        <v>1</v>
      </c>
      <c r="K62" s="746">
        <v>7772.04</v>
      </c>
      <c r="L62" s="746">
        <v>8160.26</v>
      </c>
      <c r="M62" s="746">
        <v>-388.22</v>
      </c>
      <c r="N62" s="493" t="str">
        <f t="shared" si="0"/>
        <v>C390</v>
      </c>
      <c r="O62" s="493" t="s">
        <v>99</v>
      </c>
      <c r="P62" s="493"/>
    </row>
    <row r="63" spans="1:16">
      <c r="A63" s="761" t="s">
        <v>2339</v>
      </c>
      <c r="B63" s="761" t="s">
        <v>2340</v>
      </c>
      <c r="C63" s="761" t="s">
        <v>2364</v>
      </c>
      <c r="D63" s="761">
        <v>4992478</v>
      </c>
      <c r="E63" s="761" t="s">
        <v>2368</v>
      </c>
      <c r="F63" s="761" t="s">
        <v>2357</v>
      </c>
      <c r="I63" s="761" t="s">
        <v>6867</v>
      </c>
      <c r="J63" s="761">
        <v>1</v>
      </c>
      <c r="K63" s="746">
        <v>3741.34</v>
      </c>
      <c r="L63" s="746">
        <v>3928.13</v>
      </c>
      <c r="M63" s="746">
        <v>-186.79</v>
      </c>
      <c r="N63" s="493" t="str">
        <f t="shared" si="0"/>
        <v>C390</v>
      </c>
      <c r="O63" s="493" t="s">
        <v>99</v>
      </c>
      <c r="P63" s="493"/>
    </row>
    <row r="64" spans="1:16">
      <c r="A64" s="761" t="s">
        <v>2339</v>
      </c>
      <c r="B64" s="761" t="s">
        <v>2340</v>
      </c>
      <c r="C64" s="761" t="s">
        <v>2364</v>
      </c>
      <c r="D64" s="761">
        <v>4992491</v>
      </c>
      <c r="E64" s="761" t="s">
        <v>2368</v>
      </c>
      <c r="F64" s="761" t="s">
        <v>2357</v>
      </c>
      <c r="I64" s="761" t="s">
        <v>6867</v>
      </c>
      <c r="J64" s="761">
        <v>1</v>
      </c>
      <c r="K64" s="746">
        <v>550.64</v>
      </c>
      <c r="L64" s="746">
        <v>578.11</v>
      </c>
      <c r="M64" s="746">
        <v>-27.47</v>
      </c>
      <c r="N64" s="493" t="str">
        <f t="shared" si="0"/>
        <v>C390</v>
      </c>
      <c r="O64" s="493" t="s">
        <v>99</v>
      </c>
      <c r="P64" s="493"/>
    </row>
    <row r="65" spans="1:16">
      <c r="A65" s="761" t="s">
        <v>2339</v>
      </c>
      <c r="B65" s="761" t="s">
        <v>2340</v>
      </c>
      <c r="C65" s="761" t="s">
        <v>2364</v>
      </c>
      <c r="D65" s="761">
        <v>4992390</v>
      </c>
      <c r="E65" s="761" t="s">
        <v>2368</v>
      </c>
      <c r="F65" s="761" t="s">
        <v>2357</v>
      </c>
      <c r="I65" s="761" t="s">
        <v>6867</v>
      </c>
      <c r="J65" s="761">
        <v>1</v>
      </c>
      <c r="K65" s="746">
        <v>1455.17</v>
      </c>
      <c r="L65" s="746">
        <v>1527.7</v>
      </c>
      <c r="M65" s="746">
        <v>-72.53</v>
      </c>
      <c r="N65" s="493" t="str">
        <f t="shared" si="0"/>
        <v>C390</v>
      </c>
      <c r="O65" s="493" t="s">
        <v>99</v>
      </c>
      <c r="P65" s="493"/>
    </row>
    <row r="66" spans="1:16">
      <c r="A66" s="761" t="s">
        <v>2339</v>
      </c>
      <c r="B66" s="761" t="s">
        <v>2340</v>
      </c>
      <c r="C66" s="761" t="s">
        <v>2364</v>
      </c>
      <c r="D66" s="761">
        <v>4992492</v>
      </c>
      <c r="E66" s="761" t="s">
        <v>2368</v>
      </c>
      <c r="F66" s="761" t="s">
        <v>2357</v>
      </c>
      <c r="I66" s="761" t="s">
        <v>6867</v>
      </c>
      <c r="J66" s="761">
        <v>1</v>
      </c>
      <c r="K66" s="746">
        <v>16216.65</v>
      </c>
      <c r="L66" s="746">
        <v>17023.72</v>
      </c>
      <c r="M66" s="746">
        <v>-807.07</v>
      </c>
      <c r="N66" s="493" t="str">
        <f t="shared" ref="N66:N129" si="1">LEFT(E66,4)</f>
        <v>C390</v>
      </c>
      <c r="O66" s="493" t="s">
        <v>99</v>
      </c>
      <c r="P66" s="493"/>
    </row>
    <row r="67" spans="1:16">
      <c r="A67" s="761" t="s">
        <v>2339</v>
      </c>
      <c r="B67" s="761" t="s">
        <v>2340</v>
      </c>
      <c r="C67" s="761" t="s">
        <v>2364</v>
      </c>
      <c r="D67" s="761">
        <v>4992493</v>
      </c>
      <c r="E67" s="761" t="s">
        <v>2368</v>
      </c>
      <c r="F67" s="761" t="s">
        <v>2357</v>
      </c>
      <c r="I67" s="761" t="s">
        <v>6867</v>
      </c>
      <c r="J67" s="761">
        <v>1</v>
      </c>
      <c r="K67" s="746">
        <v>202240.42</v>
      </c>
      <c r="L67" s="746">
        <v>212254.29</v>
      </c>
      <c r="M67" s="746">
        <v>-10013.870000000001</v>
      </c>
      <c r="N67" s="493" t="str">
        <f t="shared" si="1"/>
        <v>C390</v>
      </c>
      <c r="O67" s="493" t="s">
        <v>99</v>
      </c>
      <c r="P67" s="493"/>
    </row>
    <row r="68" spans="1:16">
      <c r="A68" s="761" t="s">
        <v>2339</v>
      </c>
      <c r="B68" s="761" t="s">
        <v>2340</v>
      </c>
      <c r="C68" s="761" t="s">
        <v>2364</v>
      </c>
      <c r="D68" s="761">
        <v>4992495</v>
      </c>
      <c r="E68" s="761" t="s">
        <v>2368</v>
      </c>
      <c r="F68" s="761" t="s">
        <v>2357</v>
      </c>
      <c r="I68" s="761" t="s">
        <v>6867</v>
      </c>
      <c r="J68" s="761">
        <v>1</v>
      </c>
      <c r="K68" s="746">
        <v>3678078.67</v>
      </c>
      <c r="L68" s="746">
        <v>3858350.5700000003</v>
      </c>
      <c r="M68" s="746">
        <v>-180271.9</v>
      </c>
      <c r="N68" s="493" t="str">
        <f t="shared" si="1"/>
        <v>C390</v>
      </c>
      <c r="O68" s="493" t="s">
        <v>99</v>
      </c>
      <c r="P68" s="493"/>
    </row>
    <row r="69" spans="1:16">
      <c r="A69" s="761" t="s">
        <v>2339</v>
      </c>
      <c r="B69" s="761" t="s">
        <v>2340</v>
      </c>
      <c r="C69" s="761" t="s">
        <v>2364</v>
      </c>
      <c r="D69" s="761">
        <v>4992496</v>
      </c>
      <c r="E69" s="761" t="s">
        <v>2368</v>
      </c>
      <c r="F69" s="761" t="s">
        <v>2357</v>
      </c>
      <c r="I69" s="761" t="s">
        <v>6867</v>
      </c>
      <c r="J69" s="761">
        <v>1</v>
      </c>
      <c r="K69" s="746">
        <v>1351774.28</v>
      </c>
      <c r="L69" s="746">
        <v>1417478.63</v>
      </c>
      <c r="M69" s="746">
        <v>-65704.350000000006</v>
      </c>
      <c r="N69" s="493" t="str">
        <f t="shared" si="1"/>
        <v>C390</v>
      </c>
      <c r="O69" s="493" t="s">
        <v>99</v>
      </c>
      <c r="P69" s="493"/>
    </row>
    <row r="70" spans="1:16">
      <c r="A70" s="761" t="s">
        <v>2339</v>
      </c>
      <c r="B70" s="761" t="s">
        <v>2340</v>
      </c>
      <c r="C70" s="761" t="s">
        <v>2364</v>
      </c>
      <c r="D70" s="761">
        <v>4992497</v>
      </c>
      <c r="E70" s="761" t="s">
        <v>2368</v>
      </c>
      <c r="F70" s="761" t="s">
        <v>2357</v>
      </c>
      <c r="I70" s="761" t="s">
        <v>6867</v>
      </c>
      <c r="J70" s="761">
        <v>1</v>
      </c>
      <c r="K70" s="746">
        <v>4693.6900000000005</v>
      </c>
      <c r="L70" s="746">
        <v>4919.21</v>
      </c>
      <c r="M70" s="746">
        <v>-225.52</v>
      </c>
      <c r="N70" s="493" t="str">
        <f t="shared" si="1"/>
        <v>C390</v>
      </c>
      <c r="O70" s="493" t="s">
        <v>99</v>
      </c>
      <c r="P70" s="493"/>
    </row>
    <row r="71" spans="1:16">
      <c r="A71" s="761" t="s">
        <v>2339</v>
      </c>
      <c r="B71" s="761" t="s">
        <v>2340</v>
      </c>
      <c r="C71" s="761" t="s">
        <v>2364</v>
      </c>
      <c r="D71" s="761">
        <v>4992499</v>
      </c>
      <c r="E71" s="761" t="s">
        <v>2368</v>
      </c>
      <c r="F71" s="761" t="s">
        <v>2357</v>
      </c>
      <c r="I71" s="761" t="s">
        <v>6867</v>
      </c>
      <c r="J71" s="761">
        <v>1</v>
      </c>
      <c r="K71" s="746">
        <v>617818.44000000006</v>
      </c>
      <c r="L71" s="746">
        <v>647032.41</v>
      </c>
      <c r="M71" s="746">
        <v>-29213.97</v>
      </c>
      <c r="N71" s="493" t="str">
        <f t="shared" si="1"/>
        <v>C390</v>
      </c>
      <c r="O71" s="493" t="s">
        <v>99</v>
      </c>
      <c r="P71" s="493"/>
    </row>
    <row r="72" spans="1:16">
      <c r="A72" s="761" t="s">
        <v>2339</v>
      </c>
      <c r="B72" s="761" t="s">
        <v>2340</v>
      </c>
      <c r="C72" s="761" t="s">
        <v>2364</v>
      </c>
      <c r="D72" s="761">
        <v>4992472</v>
      </c>
      <c r="E72" s="761" t="s">
        <v>2368</v>
      </c>
      <c r="F72" s="761" t="s">
        <v>2357</v>
      </c>
      <c r="I72" s="761" t="s">
        <v>6867</v>
      </c>
      <c r="J72" s="761">
        <v>1</v>
      </c>
      <c r="K72" s="746">
        <v>70668.97</v>
      </c>
      <c r="L72" s="746">
        <v>73937.66</v>
      </c>
      <c r="M72" s="746">
        <v>-3268.69</v>
      </c>
      <c r="N72" s="493" t="str">
        <f t="shared" si="1"/>
        <v>C390</v>
      </c>
      <c r="O72" s="493" t="s">
        <v>99</v>
      </c>
      <c r="P72" s="493"/>
    </row>
    <row r="73" spans="1:16">
      <c r="A73" s="761" t="s">
        <v>2339</v>
      </c>
      <c r="B73" s="761" t="s">
        <v>2340</v>
      </c>
      <c r="C73" s="761" t="s">
        <v>2364</v>
      </c>
      <c r="D73" s="761">
        <v>4992494</v>
      </c>
      <c r="E73" s="761" t="s">
        <v>2368</v>
      </c>
      <c r="F73" s="761" t="s">
        <v>2357</v>
      </c>
      <c r="I73" s="761" t="s">
        <v>6867</v>
      </c>
      <c r="J73" s="761">
        <v>1</v>
      </c>
      <c r="K73" s="746">
        <v>3188.17</v>
      </c>
      <c r="L73" s="746">
        <v>3331.23</v>
      </c>
      <c r="M73" s="746">
        <v>-143.06</v>
      </c>
      <c r="N73" s="493" t="str">
        <f t="shared" si="1"/>
        <v>C390</v>
      </c>
      <c r="O73" s="493" t="s">
        <v>99</v>
      </c>
      <c r="P73" s="493"/>
    </row>
    <row r="74" spans="1:16">
      <c r="A74" s="761" t="s">
        <v>2339</v>
      </c>
      <c r="B74" s="761" t="s">
        <v>2340</v>
      </c>
      <c r="C74" s="761" t="s">
        <v>2364</v>
      </c>
      <c r="D74" s="761">
        <v>4992466</v>
      </c>
      <c r="E74" s="761" t="s">
        <v>2368</v>
      </c>
      <c r="F74" s="761" t="s">
        <v>2357</v>
      </c>
      <c r="I74" s="761" t="s">
        <v>6867</v>
      </c>
      <c r="J74" s="761">
        <v>1</v>
      </c>
      <c r="K74" s="746">
        <v>2326.7600000000002</v>
      </c>
      <c r="L74" s="746">
        <v>2426.89</v>
      </c>
      <c r="M74" s="746">
        <v>-100.13</v>
      </c>
      <c r="N74" s="493" t="str">
        <f t="shared" si="1"/>
        <v>C390</v>
      </c>
      <c r="O74" s="493" t="s">
        <v>99</v>
      </c>
      <c r="P74" s="493"/>
    </row>
    <row r="75" spans="1:16">
      <c r="A75" s="761" t="s">
        <v>2339</v>
      </c>
      <c r="B75" s="761" t="s">
        <v>2340</v>
      </c>
      <c r="C75" s="761" t="s">
        <v>2364</v>
      </c>
      <c r="D75" s="761">
        <v>4992375</v>
      </c>
      <c r="E75" s="761" t="s">
        <v>2368</v>
      </c>
      <c r="F75" s="761" t="s">
        <v>2357</v>
      </c>
      <c r="I75" s="761" t="s">
        <v>6867</v>
      </c>
      <c r="J75" s="761">
        <v>1</v>
      </c>
      <c r="K75" s="746">
        <v>74108.44</v>
      </c>
      <c r="L75" s="746">
        <v>77117.990000000005</v>
      </c>
      <c r="M75" s="746">
        <v>-3009.55</v>
      </c>
      <c r="N75" s="493" t="str">
        <f t="shared" si="1"/>
        <v>C390</v>
      </c>
      <c r="O75" s="493" t="s">
        <v>99</v>
      </c>
      <c r="P75" s="493"/>
    </row>
    <row r="76" spans="1:16">
      <c r="A76" s="761" t="s">
        <v>2339</v>
      </c>
      <c r="B76" s="761" t="s">
        <v>2340</v>
      </c>
      <c r="C76" s="761" t="s">
        <v>2364</v>
      </c>
      <c r="D76" s="761">
        <v>4992467</v>
      </c>
      <c r="E76" s="761" t="s">
        <v>2368</v>
      </c>
      <c r="F76" s="761" t="s">
        <v>2357</v>
      </c>
      <c r="I76" s="761" t="s">
        <v>6867</v>
      </c>
      <c r="J76" s="761">
        <v>1</v>
      </c>
      <c r="K76" s="746">
        <v>27344.41</v>
      </c>
      <c r="L76" s="746">
        <v>28368.32</v>
      </c>
      <c r="M76" s="746">
        <v>-1023.91</v>
      </c>
      <c r="N76" s="493" t="str">
        <f t="shared" si="1"/>
        <v>C390</v>
      </c>
      <c r="O76" s="493" t="s">
        <v>99</v>
      </c>
      <c r="P76" s="493"/>
    </row>
    <row r="77" spans="1:16">
      <c r="A77" s="761" t="s">
        <v>2339</v>
      </c>
      <c r="B77" s="761" t="s">
        <v>2340</v>
      </c>
      <c r="C77" s="761" t="s">
        <v>2364</v>
      </c>
      <c r="D77" s="761">
        <v>4992469</v>
      </c>
      <c r="E77" s="761" t="s">
        <v>2368</v>
      </c>
      <c r="F77" s="761" t="s">
        <v>2357</v>
      </c>
      <c r="I77" s="761" t="s">
        <v>6867</v>
      </c>
      <c r="J77" s="761">
        <v>1</v>
      </c>
      <c r="K77" s="746">
        <v>12168.300000000001</v>
      </c>
      <c r="L77" s="746">
        <v>12574.06</v>
      </c>
      <c r="M77" s="746">
        <v>-405.76</v>
      </c>
      <c r="N77" s="493" t="str">
        <f t="shared" si="1"/>
        <v>C390</v>
      </c>
      <c r="O77" s="493" t="s">
        <v>99</v>
      </c>
      <c r="P77" s="493"/>
    </row>
    <row r="78" spans="1:16">
      <c r="A78" s="761" t="s">
        <v>2339</v>
      </c>
      <c r="B78" s="761" t="s">
        <v>2340</v>
      </c>
      <c r="C78" s="761" t="s">
        <v>2364</v>
      </c>
      <c r="D78" s="761">
        <v>4992470</v>
      </c>
      <c r="E78" s="761" t="s">
        <v>2368</v>
      </c>
      <c r="F78" s="761" t="s">
        <v>2357</v>
      </c>
      <c r="I78" s="761" t="s">
        <v>6867</v>
      </c>
      <c r="J78" s="761">
        <v>1</v>
      </c>
      <c r="K78" s="746">
        <v>37181.230000000003</v>
      </c>
      <c r="L78" s="746">
        <v>38224.82</v>
      </c>
      <c r="M78" s="746">
        <v>-1043.5899999999999</v>
      </c>
      <c r="N78" s="493" t="str">
        <f t="shared" si="1"/>
        <v>C390</v>
      </c>
      <c r="O78" s="493" t="s">
        <v>99</v>
      </c>
      <c r="P78" s="493"/>
    </row>
    <row r="79" spans="1:16">
      <c r="A79" s="761" t="s">
        <v>2339</v>
      </c>
      <c r="B79" s="761" t="s">
        <v>2340</v>
      </c>
      <c r="C79" s="761" t="s">
        <v>2364</v>
      </c>
      <c r="D79" s="761">
        <v>4992465</v>
      </c>
      <c r="E79" s="761" t="s">
        <v>2368</v>
      </c>
      <c r="F79" s="761" t="s">
        <v>2357</v>
      </c>
      <c r="I79" s="761" t="s">
        <v>6867</v>
      </c>
      <c r="J79" s="761">
        <v>1</v>
      </c>
      <c r="K79" s="746">
        <v>23445.420000000002</v>
      </c>
      <c r="L79" s="746">
        <v>23945.89</v>
      </c>
      <c r="M79" s="746">
        <v>-500.47</v>
      </c>
      <c r="N79" s="493" t="str">
        <f t="shared" si="1"/>
        <v>C390</v>
      </c>
      <c r="O79" s="493" t="s">
        <v>99</v>
      </c>
      <c r="P79" s="493"/>
    </row>
    <row r="80" spans="1:16">
      <c r="A80" s="761" t="s">
        <v>2339</v>
      </c>
      <c r="B80" s="761" t="s">
        <v>2340</v>
      </c>
      <c r="C80" s="761" t="s">
        <v>2364</v>
      </c>
      <c r="D80" s="761">
        <v>4992471</v>
      </c>
      <c r="E80" s="761" t="s">
        <v>2368</v>
      </c>
      <c r="F80" s="761" t="s">
        <v>2357</v>
      </c>
      <c r="I80" s="761" t="s">
        <v>6867</v>
      </c>
      <c r="J80" s="761">
        <v>1</v>
      </c>
      <c r="K80" s="746">
        <v>1244018.5900000001</v>
      </c>
      <c r="L80" s="746">
        <v>1260013.9099999999</v>
      </c>
      <c r="M80" s="746">
        <v>-15995.32</v>
      </c>
      <c r="N80" s="493" t="str">
        <f t="shared" si="1"/>
        <v>C390</v>
      </c>
      <c r="O80" s="493" t="s">
        <v>99</v>
      </c>
      <c r="P80" s="493"/>
    </row>
    <row r="81" spans="1:16">
      <c r="A81" s="761" t="s">
        <v>2339</v>
      </c>
      <c r="B81" s="761" t="s">
        <v>2340</v>
      </c>
      <c r="C81" s="761" t="s">
        <v>2364</v>
      </c>
      <c r="D81" s="761">
        <v>4992486</v>
      </c>
      <c r="E81" s="761" t="s">
        <v>2368</v>
      </c>
      <c r="F81" s="761" t="s">
        <v>2357</v>
      </c>
      <c r="I81" s="761" t="s">
        <v>6867</v>
      </c>
      <c r="J81" s="761">
        <v>1</v>
      </c>
      <c r="K81" s="746">
        <v>63108.83</v>
      </c>
      <c r="L81" s="746">
        <v>63248.35</v>
      </c>
      <c r="M81" s="746">
        <v>-139.52000000000001</v>
      </c>
      <c r="N81" s="493" t="str">
        <f t="shared" si="1"/>
        <v>C390</v>
      </c>
      <c r="O81" s="493" t="s">
        <v>99</v>
      </c>
      <c r="P81" s="493"/>
    </row>
    <row r="82" spans="1:16">
      <c r="A82" s="761" t="s">
        <v>2339</v>
      </c>
      <c r="B82" s="761" t="s">
        <v>2340</v>
      </c>
      <c r="C82" s="761" t="s">
        <v>2364</v>
      </c>
      <c r="D82" s="761">
        <v>4992473</v>
      </c>
      <c r="E82" s="761" t="s">
        <v>2368</v>
      </c>
      <c r="F82" s="761" t="s">
        <v>2357</v>
      </c>
      <c r="I82" s="761" t="s">
        <v>6867</v>
      </c>
      <c r="J82" s="761">
        <v>1</v>
      </c>
      <c r="K82" s="746">
        <v>37807.81</v>
      </c>
      <c r="L82" s="746">
        <v>37392.129999999997</v>
      </c>
      <c r="M82" s="746">
        <v>415.68</v>
      </c>
      <c r="N82" s="493" t="str">
        <f t="shared" si="1"/>
        <v>C390</v>
      </c>
      <c r="O82" s="493" t="s">
        <v>99</v>
      </c>
      <c r="P82" s="493"/>
    </row>
    <row r="83" spans="1:16">
      <c r="A83" s="761" t="s">
        <v>2339</v>
      </c>
      <c r="B83" s="761" t="s">
        <v>2340</v>
      </c>
      <c r="C83" s="761" t="s">
        <v>2364</v>
      </c>
      <c r="D83" s="761">
        <v>4992498</v>
      </c>
      <c r="E83" s="761" t="s">
        <v>2368</v>
      </c>
      <c r="F83" s="761" t="s">
        <v>2357</v>
      </c>
      <c r="I83" s="761" t="s">
        <v>6867</v>
      </c>
      <c r="J83" s="761">
        <v>1</v>
      </c>
      <c r="K83" s="746">
        <v>797968.07000000007</v>
      </c>
      <c r="L83" s="746">
        <v>776262.13</v>
      </c>
      <c r="M83" s="746">
        <v>21705.94</v>
      </c>
      <c r="N83" s="493" t="str">
        <f t="shared" si="1"/>
        <v>C390</v>
      </c>
      <c r="O83" s="493" t="s">
        <v>99</v>
      </c>
      <c r="P83" s="493"/>
    </row>
    <row r="84" spans="1:16">
      <c r="A84" s="761" t="s">
        <v>2339</v>
      </c>
      <c r="B84" s="761" t="s">
        <v>2340</v>
      </c>
      <c r="C84" s="761" t="s">
        <v>2364</v>
      </c>
      <c r="D84" s="761">
        <v>4992500</v>
      </c>
      <c r="E84" s="761" t="s">
        <v>2368</v>
      </c>
      <c r="F84" s="761" t="s">
        <v>2357</v>
      </c>
      <c r="I84" s="761" t="s">
        <v>6867</v>
      </c>
      <c r="J84" s="761">
        <v>2</v>
      </c>
      <c r="K84" s="746">
        <v>778521.5</v>
      </c>
      <c r="L84" s="746">
        <v>741995.32000000007</v>
      </c>
      <c r="M84" s="746">
        <v>36526.18</v>
      </c>
      <c r="N84" s="493" t="str">
        <f t="shared" si="1"/>
        <v>C390</v>
      </c>
      <c r="O84" s="493" t="s">
        <v>99</v>
      </c>
      <c r="P84" s="493"/>
    </row>
    <row r="85" spans="1:16">
      <c r="A85" s="761" t="s">
        <v>2339</v>
      </c>
      <c r="B85" s="761" t="s">
        <v>2340</v>
      </c>
      <c r="C85" s="761" t="s">
        <v>2364</v>
      </c>
      <c r="D85" s="761">
        <v>4992380</v>
      </c>
      <c r="E85" s="761" t="s">
        <v>2368</v>
      </c>
      <c r="F85" s="761" t="s">
        <v>2357</v>
      </c>
      <c r="I85" s="761" t="s">
        <v>6867</v>
      </c>
      <c r="J85" s="761">
        <v>2</v>
      </c>
      <c r="K85" s="746">
        <v>5083.8100000000004</v>
      </c>
      <c r="L85" s="746">
        <v>4725.12</v>
      </c>
      <c r="M85" s="746">
        <v>358.69</v>
      </c>
      <c r="N85" s="493" t="str">
        <f t="shared" si="1"/>
        <v>C390</v>
      </c>
      <c r="O85" s="493" t="s">
        <v>99</v>
      </c>
      <c r="P85" s="493"/>
    </row>
    <row r="86" spans="1:16">
      <c r="A86" s="761" t="s">
        <v>2339</v>
      </c>
      <c r="B86" s="761" t="s">
        <v>2340</v>
      </c>
      <c r="C86" s="761" t="s">
        <v>2364</v>
      </c>
      <c r="D86" s="761">
        <v>4992383</v>
      </c>
      <c r="E86" s="761" t="s">
        <v>2368</v>
      </c>
      <c r="F86" s="761" t="s">
        <v>2357</v>
      </c>
      <c r="I86" s="761" t="s">
        <v>6867</v>
      </c>
      <c r="J86" s="761">
        <v>1</v>
      </c>
      <c r="K86" s="746">
        <v>33444.07</v>
      </c>
      <c r="L86" s="746">
        <v>30149.97</v>
      </c>
      <c r="M86" s="746">
        <v>3294.1</v>
      </c>
      <c r="N86" s="493" t="str">
        <f t="shared" si="1"/>
        <v>C390</v>
      </c>
      <c r="O86" s="493" t="s">
        <v>99</v>
      </c>
      <c r="P86" s="493"/>
    </row>
    <row r="87" spans="1:16">
      <c r="A87" s="761" t="s">
        <v>2339</v>
      </c>
      <c r="B87" s="761" t="s">
        <v>2340</v>
      </c>
      <c r="C87" s="761" t="s">
        <v>2364</v>
      </c>
      <c r="D87" s="761">
        <v>4992458</v>
      </c>
      <c r="E87" s="761" t="s">
        <v>2368</v>
      </c>
      <c r="F87" s="761" t="s">
        <v>2357</v>
      </c>
      <c r="I87" s="761" t="s">
        <v>6867</v>
      </c>
      <c r="J87" s="761">
        <v>1</v>
      </c>
      <c r="K87" s="746">
        <v>111484.31</v>
      </c>
      <c r="L87" s="746">
        <v>100503.59</v>
      </c>
      <c r="M87" s="746">
        <v>10980.72</v>
      </c>
      <c r="N87" s="493" t="str">
        <f t="shared" si="1"/>
        <v>C390</v>
      </c>
      <c r="O87" s="493" t="s">
        <v>99</v>
      </c>
      <c r="P87" s="493"/>
    </row>
    <row r="88" spans="1:16">
      <c r="A88" s="761" t="s">
        <v>2339</v>
      </c>
      <c r="B88" s="761" t="s">
        <v>2340</v>
      </c>
      <c r="C88" s="761" t="s">
        <v>2364</v>
      </c>
      <c r="D88" s="761">
        <v>4992459</v>
      </c>
      <c r="E88" s="761" t="s">
        <v>2368</v>
      </c>
      <c r="F88" s="761" t="s">
        <v>2357</v>
      </c>
      <c r="I88" s="761" t="s">
        <v>6867</v>
      </c>
      <c r="J88" s="761">
        <v>0</v>
      </c>
      <c r="K88" s="746">
        <v>36536.39</v>
      </c>
      <c r="L88" s="746">
        <v>31746.06</v>
      </c>
      <c r="M88" s="746">
        <v>4790.33</v>
      </c>
      <c r="N88" s="493" t="str">
        <f t="shared" si="1"/>
        <v>C390</v>
      </c>
      <c r="O88" s="493" t="s">
        <v>99</v>
      </c>
      <c r="P88" s="493"/>
    </row>
    <row r="89" spans="1:16">
      <c r="A89" s="761" t="s">
        <v>2339</v>
      </c>
      <c r="B89" s="761" t="s">
        <v>2340</v>
      </c>
      <c r="C89" s="761" t="s">
        <v>2364</v>
      </c>
      <c r="D89" s="761">
        <v>4992457</v>
      </c>
      <c r="E89" s="761" t="s">
        <v>2368</v>
      </c>
      <c r="F89" s="761" t="s">
        <v>2357</v>
      </c>
      <c r="I89" s="761" t="s">
        <v>6867</v>
      </c>
      <c r="J89" s="761">
        <v>1</v>
      </c>
      <c r="K89" s="746">
        <v>143904.09</v>
      </c>
      <c r="L89" s="746">
        <v>125036.64</v>
      </c>
      <c r="M89" s="746">
        <v>18867.45</v>
      </c>
      <c r="N89" s="493" t="str">
        <f t="shared" si="1"/>
        <v>C390</v>
      </c>
      <c r="O89" s="493" t="s">
        <v>99</v>
      </c>
      <c r="P89" s="493"/>
    </row>
    <row r="90" spans="1:16">
      <c r="A90" s="761" t="s">
        <v>2339</v>
      </c>
      <c r="B90" s="761" t="s">
        <v>2340</v>
      </c>
      <c r="C90" s="761" t="s">
        <v>2364</v>
      </c>
      <c r="D90" s="761">
        <v>4992456</v>
      </c>
      <c r="E90" s="761" t="s">
        <v>2368</v>
      </c>
      <c r="F90" s="761" t="s">
        <v>2357</v>
      </c>
      <c r="I90" s="761" t="s">
        <v>6867</v>
      </c>
      <c r="J90" s="761">
        <v>1</v>
      </c>
      <c r="K90" s="746">
        <v>11957.72</v>
      </c>
      <c r="L90" s="746">
        <v>9943.27</v>
      </c>
      <c r="M90" s="746">
        <v>2014.45</v>
      </c>
      <c r="N90" s="493" t="str">
        <f t="shared" si="1"/>
        <v>C390</v>
      </c>
      <c r="O90" s="493" t="s">
        <v>99</v>
      </c>
      <c r="P90" s="493"/>
    </row>
    <row r="91" spans="1:16">
      <c r="A91" s="761" t="s">
        <v>2339</v>
      </c>
      <c r="B91" s="761" t="s">
        <v>2340</v>
      </c>
      <c r="C91" s="761" t="s">
        <v>2364</v>
      </c>
      <c r="D91" s="761">
        <v>4992455</v>
      </c>
      <c r="E91" s="761" t="s">
        <v>2368</v>
      </c>
      <c r="F91" s="761" t="s">
        <v>2357</v>
      </c>
      <c r="I91" s="761" t="s">
        <v>6867</v>
      </c>
      <c r="J91" s="761">
        <v>1</v>
      </c>
      <c r="K91" s="746">
        <v>165748.66</v>
      </c>
      <c r="L91" s="746">
        <v>137825.93</v>
      </c>
      <c r="M91" s="746">
        <v>27922.73</v>
      </c>
      <c r="N91" s="493" t="str">
        <f t="shared" si="1"/>
        <v>C390</v>
      </c>
      <c r="O91" s="493" t="s">
        <v>99</v>
      </c>
      <c r="P91" s="493"/>
    </row>
    <row r="92" spans="1:16">
      <c r="A92" s="761" t="s">
        <v>2339</v>
      </c>
      <c r="B92" s="761" t="s">
        <v>2340</v>
      </c>
      <c r="C92" s="761" t="s">
        <v>2364</v>
      </c>
      <c r="D92" s="761">
        <v>4992460</v>
      </c>
      <c r="E92" s="761" t="s">
        <v>2368</v>
      </c>
      <c r="F92" s="761" t="s">
        <v>2357</v>
      </c>
      <c r="I92" s="761" t="s">
        <v>6867</v>
      </c>
      <c r="J92" s="761">
        <v>1</v>
      </c>
      <c r="K92" s="746">
        <v>37650.730000000003</v>
      </c>
      <c r="L92" s="746">
        <v>31307.93</v>
      </c>
      <c r="M92" s="746">
        <v>6342.8</v>
      </c>
      <c r="N92" s="493" t="str">
        <f t="shared" si="1"/>
        <v>C390</v>
      </c>
      <c r="O92" s="493" t="s">
        <v>99</v>
      </c>
      <c r="P92" s="493"/>
    </row>
    <row r="93" spans="1:16">
      <c r="A93" s="761" t="s">
        <v>2339</v>
      </c>
      <c r="B93" s="761" t="s">
        <v>2340</v>
      </c>
      <c r="C93" s="761" t="s">
        <v>2364</v>
      </c>
      <c r="D93" s="761">
        <v>4992462</v>
      </c>
      <c r="E93" s="761" t="s">
        <v>2368</v>
      </c>
      <c r="F93" s="761" t="s">
        <v>2357</v>
      </c>
      <c r="I93" s="761" t="s">
        <v>6867</v>
      </c>
      <c r="J93" s="761">
        <v>1</v>
      </c>
      <c r="K93" s="746">
        <v>919.82</v>
      </c>
      <c r="L93" s="746">
        <v>726.25</v>
      </c>
      <c r="M93" s="746">
        <v>193.57</v>
      </c>
      <c r="N93" s="493" t="str">
        <f t="shared" si="1"/>
        <v>C390</v>
      </c>
      <c r="O93" s="493" t="s">
        <v>99</v>
      </c>
      <c r="P93" s="493"/>
    </row>
    <row r="94" spans="1:16">
      <c r="A94" s="761" t="s">
        <v>2339</v>
      </c>
      <c r="B94" s="761" t="s">
        <v>2340</v>
      </c>
      <c r="C94" s="761" t="s">
        <v>2364</v>
      </c>
      <c r="D94" s="761">
        <v>4992412</v>
      </c>
      <c r="E94" s="761" t="s">
        <v>2368</v>
      </c>
      <c r="F94" s="761" t="s">
        <v>2357</v>
      </c>
      <c r="I94" s="761" t="s">
        <v>6867</v>
      </c>
      <c r="J94" s="761">
        <v>1</v>
      </c>
      <c r="K94" s="746">
        <v>20723.54</v>
      </c>
      <c r="L94" s="746">
        <v>16362.37</v>
      </c>
      <c r="M94" s="746">
        <v>4361.17</v>
      </c>
      <c r="N94" s="493" t="str">
        <f t="shared" si="1"/>
        <v>C390</v>
      </c>
      <c r="O94" s="493" t="s">
        <v>99</v>
      </c>
      <c r="P94" s="493"/>
    </row>
    <row r="95" spans="1:16">
      <c r="A95" s="761" t="s">
        <v>2339</v>
      </c>
      <c r="B95" s="761" t="s">
        <v>2340</v>
      </c>
      <c r="C95" s="761" t="s">
        <v>2364</v>
      </c>
      <c r="D95" s="761">
        <v>4992461</v>
      </c>
      <c r="E95" s="761" t="s">
        <v>2368</v>
      </c>
      <c r="F95" s="761" t="s">
        <v>2357</v>
      </c>
      <c r="I95" s="761" t="s">
        <v>6867</v>
      </c>
      <c r="J95" s="761">
        <v>1</v>
      </c>
      <c r="K95" s="746">
        <v>28871.78</v>
      </c>
      <c r="L95" s="746">
        <v>22795.850000000002</v>
      </c>
      <c r="M95" s="746">
        <v>6075.93</v>
      </c>
      <c r="N95" s="493" t="str">
        <f t="shared" si="1"/>
        <v>C390</v>
      </c>
      <c r="O95" s="493" t="s">
        <v>95</v>
      </c>
      <c r="P95" s="493"/>
    </row>
    <row r="96" spans="1:16">
      <c r="A96" s="761" t="s">
        <v>2339</v>
      </c>
      <c r="B96" s="761" t="s">
        <v>2340</v>
      </c>
      <c r="C96" s="761" t="s">
        <v>2364</v>
      </c>
      <c r="D96" s="761">
        <v>4992385</v>
      </c>
      <c r="E96" s="761" t="s">
        <v>2368</v>
      </c>
      <c r="F96" s="761" t="s">
        <v>2357</v>
      </c>
      <c r="I96" s="761" t="s">
        <v>6867</v>
      </c>
      <c r="J96" s="761">
        <v>0.98</v>
      </c>
      <c r="K96" s="746">
        <v>457212.89</v>
      </c>
      <c r="L96" s="746">
        <v>360994.56</v>
      </c>
      <c r="M96" s="746">
        <v>96218.33</v>
      </c>
      <c r="N96" s="493" t="str">
        <f t="shared" si="1"/>
        <v>C390</v>
      </c>
      <c r="O96" s="493" t="s">
        <v>99</v>
      </c>
      <c r="P96" s="493"/>
    </row>
    <row r="97" spans="1:16">
      <c r="A97" s="761" t="s">
        <v>2339</v>
      </c>
      <c r="B97" s="761" t="s">
        <v>2340</v>
      </c>
      <c r="C97" s="761" t="s">
        <v>2364</v>
      </c>
      <c r="D97" s="761">
        <v>4992464</v>
      </c>
      <c r="E97" s="761" t="s">
        <v>2368</v>
      </c>
      <c r="F97" s="761" t="s">
        <v>2357</v>
      </c>
      <c r="I97" s="761" t="s">
        <v>6867</v>
      </c>
      <c r="J97" s="761">
        <v>1</v>
      </c>
      <c r="K97" s="746">
        <v>357581.4</v>
      </c>
      <c r="L97" s="746">
        <v>282330.06</v>
      </c>
      <c r="M97" s="746">
        <v>75251.34</v>
      </c>
      <c r="N97" s="493" t="str">
        <f t="shared" si="1"/>
        <v>C390</v>
      </c>
      <c r="O97" s="493" t="s">
        <v>99</v>
      </c>
      <c r="P97" s="493"/>
    </row>
    <row r="98" spans="1:16">
      <c r="A98" s="761" t="s">
        <v>2339</v>
      </c>
      <c r="B98" s="761" t="s">
        <v>2340</v>
      </c>
      <c r="C98" s="761" t="s">
        <v>2364</v>
      </c>
      <c r="D98" s="761">
        <v>4992382</v>
      </c>
      <c r="E98" s="761" t="s">
        <v>2368</v>
      </c>
      <c r="F98" s="761" t="s">
        <v>2357</v>
      </c>
      <c r="I98" s="761" t="s">
        <v>6867</v>
      </c>
      <c r="J98" s="761">
        <v>0</v>
      </c>
      <c r="K98" s="746">
        <v>20491.93</v>
      </c>
      <c r="L98" s="746">
        <v>15227.75</v>
      </c>
      <c r="M98" s="746">
        <v>5264.18</v>
      </c>
      <c r="N98" s="493" t="str">
        <f t="shared" si="1"/>
        <v>C390</v>
      </c>
      <c r="O98" s="493" t="s">
        <v>99</v>
      </c>
      <c r="P98" s="493"/>
    </row>
    <row r="99" spans="1:16">
      <c r="A99" s="761" t="s">
        <v>2339</v>
      </c>
      <c r="B99" s="761" t="s">
        <v>2340</v>
      </c>
      <c r="C99" s="761" t="s">
        <v>2364</v>
      </c>
      <c r="D99" s="761">
        <v>4992389</v>
      </c>
      <c r="E99" s="761" t="s">
        <v>2368</v>
      </c>
      <c r="F99" s="761" t="s">
        <v>2357</v>
      </c>
      <c r="I99" s="761" t="s">
        <v>6867</v>
      </c>
      <c r="J99" s="761">
        <v>0</v>
      </c>
      <c r="K99" s="746">
        <v>12149.24</v>
      </c>
      <c r="L99" s="746">
        <v>9028.2199999999993</v>
      </c>
      <c r="M99" s="746">
        <v>3121.02</v>
      </c>
      <c r="N99" s="493" t="str">
        <f t="shared" si="1"/>
        <v>C390</v>
      </c>
      <c r="O99" s="493" t="s">
        <v>99</v>
      </c>
      <c r="P99" s="493"/>
    </row>
    <row r="100" spans="1:16">
      <c r="A100" s="761" t="s">
        <v>2339</v>
      </c>
      <c r="B100" s="761" t="s">
        <v>2340</v>
      </c>
      <c r="C100" s="761" t="s">
        <v>2364</v>
      </c>
      <c r="D100" s="761">
        <v>4992387</v>
      </c>
      <c r="E100" s="761" t="s">
        <v>2368</v>
      </c>
      <c r="F100" s="761" t="s">
        <v>2357</v>
      </c>
      <c r="I100" s="761" t="s">
        <v>6867</v>
      </c>
      <c r="J100" s="761">
        <v>0</v>
      </c>
      <c r="K100" s="746">
        <v>5560.07</v>
      </c>
      <c r="L100" s="746">
        <v>4131.74</v>
      </c>
      <c r="M100" s="746">
        <v>1428.33</v>
      </c>
      <c r="N100" s="493" t="str">
        <f t="shared" si="1"/>
        <v>C390</v>
      </c>
      <c r="O100" s="493" t="s">
        <v>99</v>
      </c>
      <c r="P100" s="493"/>
    </row>
    <row r="101" spans="1:16">
      <c r="A101" s="761" t="s">
        <v>2339</v>
      </c>
      <c r="B101" s="761" t="s">
        <v>2340</v>
      </c>
      <c r="C101" s="761" t="s">
        <v>2364</v>
      </c>
      <c r="D101" s="761">
        <v>4992447</v>
      </c>
      <c r="E101" s="761" t="s">
        <v>2368</v>
      </c>
      <c r="F101" s="761" t="s">
        <v>2357</v>
      </c>
      <c r="I101" s="761" t="s">
        <v>6867</v>
      </c>
      <c r="J101" s="761">
        <v>0</v>
      </c>
      <c r="K101" s="746">
        <v>10147.700000000001</v>
      </c>
      <c r="L101" s="746">
        <v>7540.8600000000006</v>
      </c>
      <c r="M101" s="746">
        <v>2606.84</v>
      </c>
      <c r="N101" s="493" t="str">
        <f t="shared" si="1"/>
        <v>C390</v>
      </c>
      <c r="O101" s="493" t="s">
        <v>99</v>
      </c>
      <c r="P101" s="493"/>
    </row>
    <row r="102" spans="1:16">
      <c r="A102" s="761" t="s">
        <v>2339</v>
      </c>
      <c r="B102" s="761" t="s">
        <v>2340</v>
      </c>
      <c r="C102" s="761" t="s">
        <v>2364</v>
      </c>
      <c r="D102" s="761">
        <v>4992454</v>
      </c>
      <c r="E102" s="761" t="s">
        <v>2368</v>
      </c>
      <c r="F102" s="761" t="s">
        <v>2357</v>
      </c>
      <c r="I102" s="761" t="s">
        <v>6867</v>
      </c>
      <c r="J102" s="761">
        <v>0</v>
      </c>
      <c r="K102" s="746">
        <v>9913.5400000000009</v>
      </c>
      <c r="L102" s="746">
        <v>6340.2300000000005</v>
      </c>
      <c r="M102" s="746">
        <v>3573.31</v>
      </c>
      <c r="N102" s="493" t="str">
        <f t="shared" si="1"/>
        <v>C390</v>
      </c>
      <c r="O102" s="493" t="s">
        <v>99</v>
      </c>
      <c r="P102" s="493"/>
    </row>
    <row r="103" spans="1:16">
      <c r="A103" s="761" t="s">
        <v>2339</v>
      </c>
      <c r="B103" s="761" t="s">
        <v>2340</v>
      </c>
      <c r="C103" s="761" t="s">
        <v>2364</v>
      </c>
      <c r="D103" s="761">
        <v>4992411</v>
      </c>
      <c r="E103" s="761" t="s">
        <v>2368</v>
      </c>
      <c r="F103" s="761">
        <v>131202040</v>
      </c>
      <c r="G103" s="761" t="s">
        <v>2370</v>
      </c>
      <c r="H103" s="761" t="s">
        <v>2370</v>
      </c>
      <c r="I103" s="761" t="s">
        <v>6867</v>
      </c>
      <c r="J103" s="761">
        <v>1</v>
      </c>
      <c r="K103" s="746">
        <v>276363.32</v>
      </c>
      <c r="L103" s="746">
        <v>161424.42000000001</v>
      </c>
      <c r="M103" s="746">
        <v>114938.90000000001</v>
      </c>
      <c r="N103" s="493" t="str">
        <f t="shared" si="1"/>
        <v>C390</v>
      </c>
      <c r="O103" s="493" t="s">
        <v>99</v>
      </c>
      <c r="P103" s="493"/>
    </row>
    <row r="104" spans="1:16">
      <c r="A104" s="761" t="s">
        <v>2339</v>
      </c>
      <c r="B104" s="761" t="s">
        <v>2340</v>
      </c>
      <c r="C104" s="761" t="s">
        <v>2364</v>
      </c>
      <c r="D104" s="761">
        <v>7622233</v>
      </c>
      <c r="E104" s="761" t="s">
        <v>2368</v>
      </c>
      <c r="F104" s="761">
        <v>131201100</v>
      </c>
      <c r="G104" s="761" t="s">
        <v>2369</v>
      </c>
      <c r="H104" s="761" t="s">
        <v>2369</v>
      </c>
      <c r="I104" s="761" t="s">
        <v>6867</v>
      </c>
      <c r="J104" s="761">
        <v>0</v>
      </c>
      <c r="K104" s="746">
        <v>1489994.08</v>
      </c>
      <c r="L104" s="746">
        <v>702192.19000000006</v>
      </c>
      <c r="M104" s="746">
        <v>787801.89</v>
      </c>
      <c r="N104" s="493" t="str">
        <f t="shared" si="1"/>
        <v>C390</v>
      </c>
      <c r="O104" s="493" t="s">
        <v>99</v>
      </c>
      <c r="P104" s="493"/>
    </row>
    <row r="105" spans="1:16">
      <c r="A105" s="761" t="s">
        <v>2339</v>
      </c>
      <c r="B105" s="761" t="s">
        <v>2340</v>
      </c>
      <c r="C105" s="761" t="s">
        <v>2364</v>
      </c>
      <c r="D105" s="761">
        <v>7670070</v>
      </c>
      <c r="E105" s="761" t="s">
        <v>2368</v>
      </c>
      <c r="F105" s="761">
        <v>131201100</v>
      </c>
      <c r="G105" s="761" t="s">
        <v>2369</v>
      </c>
      <c r="H105" s="761" t="s">
        <v>2369</v>
      </c>
      <c r="I105" s="761" t="s">
        <v>6867</v>
      </c>
      <c r="J105" s="761">
        <v>0</v>
      </c>
      <c r="K105" s="746">
        <v>49423.700000000004</v>
      </c>
      <c r="L105" s="746">
        <v>23292</v>
      </c>
      <c r="M105" s="746">
        <v>26131.7</v>
      </c>
      <c r="N105" s="493" t="str">
        <f t="shared" si="1"/>
        <v>C390</v>
      </c>
      <c r="O105" s="493" t="s">
        <v>99</v>
      </c>
      <c r="P105" s="493"/>
    </row>
    <row r="106" spans="1:16">
      <c r="A106" s="761" t="s">
        <v>2339</v>
      </c>
      <c r="B106" s="761" t="s">
        <v>2340</v>
      </c>
      <c r="C106" s="761" t="s">
        <v>2364</v>
      </c>
      <c r="D106" s="761">
        <v>7670075</v>
      </c>
      <c r="E106" s="761" t="s">
        <v>2368</v>
      </c>
      <c r="F106" s="761">
        <v>131201100</v>
      </c>
      <c r="G106" s="761" t="s">
        <v>2369</v>
      </c>
      <c r="H106" s="761" t="s">
        <v>2369</v>
      </c>
      <c r="I106" s="761" t="s">
        <v>6867</v>
      </c>
      <c r="J106" s="761">
        <v>0</v>
      </c>
      <c r="K106" s="746">
        <v>53270.270000000004</v>
      </c>
      <c r="L106" s="746">
        <v>25104.78</v>
      </c>
      <c r="M106" s="746">
        <v>28165.49</v>
      </c>
      <c r="N106" s="493" t="str">
        <f t="shared" si="1"/>
        <v>C390</v>
      </c>
      <c r="O106" s="493" t="s">
        <v>99</v>
      </c>
      <c r="P106" s="493"/>
    </row>
    <row r="107" spans="1:16">
      <c r="A107" s="761" t="s">
        <v>2339</v>
      </c>
      <c r="B107" s="761" t="s">
        <v>2340</v>
      </c>
      <c r="C107" s="761" t="s">
        <v>2364</v>
      </c>
      <c r="D107" s="761">
        <v>7670076</v>
      </c>
      <c r="E107" s="761" t="s">
        <v>2368</v>
      </c>
      <c r="F107" s="761">
        <v>131201100</v>
      </c>
      <c r="G107" s="761" t="s">
        <v>2369</v>
      </c>
      <c r="H107" s="761" t="s">
        <v>2369</v>
      </c>
      <c r="I107" s="761" t="s">
        <v>6867</v>
      </c>
      <c r="J107" s="761">
        <v>0</v>
      </c>
      <c r="K107" s="746">
        <v>76649.3</v>
      </c>
      <c r="L107" s="746">
        <v>36122.65</v>
      </c>
      <c r="M107" s="746">
        <v>40526.65</v>
      </c>
      <c r="N107" s="493" t="str">
        <f t="shared" si="1"/>
        <v>C390</v>
      </c>
      <c r="O107" s="493" t="s">
        <v>99</v>
      </c>
      <c r="P107" s="493"/>
    </row>
    <row r="108" spans="1:16">
      <c r="A108" s="761" t="s">
        <v>2339</v>
      </c>
      <c r="B108" s="761" t="s">
        <v>2340</v>
      </c>
      <c r="C108" s="761" t="s">
        <v>2364</v>
      </c>
      <c r="D108" s="761">
        <v>7670077</v>
      </c>
      <c r="E108" s="761" t="s">
        <v>2368</v>
      </c>
      <c r="F108" s="761">
        <v>131201100</v>
      </c>
      <c r="G108" s="761" t="s">
        <v>2369</v>
      </c>
      <c r="H108" s="761" t="s">
        <v>2369</v>
      </c>
      <c r="I108" s="761" t="s">
        <v>6867</v>
      </c>
      <c r="J108" s="761">
        <v>0</v>
      </c>
      <c r="K108" s="746">
        <v>78959.86</v>
      </c>
      <c r="L108" s="746">
        <v>37211.56</v>
      </c>
      <c r="M108" s="746">
        <v>41748.300000000003</v>
      </c>
      <c r="N108" s="493" t="str">
        <f t="shared" si="1"/>
        <v>C390</v>
      </c>
      <c r="O108" s="493" t="s">
        <v>99</v>
      </c>
      <c r="P108" s="493"/>
    </row>
    <row r="109" spans="1:16">
      <c r="A109" s="761" t="s">
        <v>2339</v>
      </c>
      <c r="B109" s="761" t="s">
        <v>2340</v>
      </c>
      <c r="C109" s="761" t="s">
        <v>2364</v>
      </c>
      <c r="D109" s="761">
        <v>7670078</v>
      </c>
      <c r="E109" s="761" t="s">
        <v>2368</v>
      </c>
      <c r="F109" s="761">
        <v>131201100</v>
      </c>
      <c r="G109" s="761" t="s">
        <v>2369</v>
      </c>
      <c r="H109" s="761" t="s">
        <v>2369</v>
      </c>
      <c r="I109" s="761" t="s">
        <v>6867</v>
      </c>
      <c r="J109" s="761">
        <v>0</v>
      </c>
      <c r="K109" s="746">
        <v>154735.5</v>
      </c>
      <c r="L109" s="746">
        <v>72922.48</v>
      </c>
      <c r="M109" s="746">
        <v>81813.02</v>
      </c>
      <c r="N109" s="493" t="str">
        <f t="shared" si="1"/>
        <v>C390</v>
      </c>
      <c r="O109" s="493" t="s">
        <v>99</v>
      </c>
      <c r="P109" s="493"/>
    </row>
    <row r="110" spans="1:16">
      <c r="A110" s="761" t="s">
        <v>2339</v>
      </c>
      <c r="B110" s="761" t="s">
        <v>2340</v>
      </c>
      <c r="C110" s="761" t="s">
        <v>2364</v>
      </c>
      <c r="D110" s="761">
        <v>7670079</v>
      </c>
      <c r="E110" s="761" t="s">
        <v>2368</v>
      </c>
      <c r="F110" s="761">
        <v>131201100</v>
      </c>
      <c r="G110" s="761" t="s">
        <v>2369</v>
      </c>
      <c r="H110" s="761" t="s">
        <v>2369</v>
      </c>
      <c r="I110" s="761" t="s">
        <v>6867</v>
      </c>
      <c r="J110" s="761">
        <v>0</v>
      </c>
      <c r="K110" s="746">
        <v>219749.49</v>
      </c>
      <c r="L110" s="746">
        <v>103561.74</v>
      </c>
      <c r="M110" s="746">
        <v>116187.75</v>
      </c>
      <c r="N110" s="493" t="str">
        <f t="shared" si="1"/>
        <v>C390</v>
      </c>
      <c r="O110" s="493" t="s">
        <v>99</v>
      </c>
      <c r="P110" s="493"/>
    </row>
    <row r="111" spans="1:16">
      <c r="A111" s="761" t="s">
        <v>2339</v>
      </c>
      <c r="B111" s="761" t="s">
        <v>2340</v>
      </c>
      <c r="C111" s="761" t="s">
        <v>2364</v>
      </c>
      <c r="D111" s="761">
        <v>7670080</v>
      </c>
      <c r="E111" s="761" t="s">
        <v>2368</v>
      </c>
      <c r="F111" s="761">
        <v>131201100</v>
      </c>
      <c r="G111" s="761" t="s">
        <v>2369</v>
      </c>
      <c r="H111" s="761" t="s">
        <v>2369</v>
      </c>
      <c r="I111" s="761" t="s">
        <v>6867</v>
      </c>
      <c r="J111" s="761">
        <v>0</v>
      </c>
      <c r="K111" s="746">
        <v>244758.24</v>
      </c>
      <c r="L111" s="746">
        <v>115347.66</v>
      </c>
      <c r="M111" s="746">
        <v>129410.58</v>
      </c>
      <c r="N111" s="493" t="str">
        <f t="shared" si="1"/>
        <v>C390</v>
      </c>
      <c r="O111" s="493" t="s">
        <v>99</v>
      </c>
      <c r="P111" s="493"/>
    </row>
    <row r="112" spans="1:16">
      <c r="A112" s="761" t="s">
        <v>2339</v>
      </c>
      <c r="B112" s="761" t="s">
        <v>2340</v>
      </c>
      <c r="C112" s="761" t="s">
        <v>2364</v>
      </c>
      <c r="D112" s="761">
        <v>7670081</v>
      </c>
      <c r="E112" s="761" t="s">
        <v>2368</v>
      </c>
      <c r="F112" s="761">
        <v>131201100</v>
      </c>
      <c r="G112" s="761" t="s">
        <v>2369</v>
      </c>
      <c r="H112" s="761" t="s">
        <v>2369</v>
      </c>
      <c r="I112" s="761" t="s">
        <v>6867</v>
      </c>
      <c r="J112" s="761">
        <v>0</v>
      </c>
      <c r="K112" s="746">
        <v>273979.82</v>
      </c>
      <c r="L112" s="746">
        <v>129118.96</v>
      </c>
      <c r="M112" s="746">
        <v>144860.86000000002</v>
      </c>
      <c r="N112" s="493" t="str">
        <f t="shared" si="1"/>
        <v>C390</v>
      </c>
      <c r="O112" s="493" t="s">
        <v>99</v>
      </c>
      <c r="P112" s="493"/>
    </row>
    <row r="113" spans="1:16">
      <c r="A113" s="761" t="s">
        <v>2339</v>
      </c>
      <c r="B113" s="761" t="s">
        <v>2340</v>
      </c>
      <c r="C113" s="761" t="s">
        <v>2364</v>
      </c>
      <c r="D113" s="761">
        <v>7670082</v>
      </c>
      <c r="E113" s="761" t="s">
        <v>2368</v>
      </c>
      <c r="F113" s="761">
        <v>131201100</v>
      </c>
      <c r="G113" s="761" t="s">
        <v>2369</v>
      </c>
      <c r="H113" s="761" t="s">
        <v>2369</v>
      </c>
      <c r="I113" s="761" t="s">
        <v>6867</v>
      </c>
      <c r="J113" s="761">
        <v>0</v>
      </c>
      <c r="K113" s="746">
        <v>580840.6</v>
      </c>
      <c r="L113" s="746">
        <v>273733.8</v>
      </c>
      <c r="M113" s="746">
        <v>307106.8</v>
      </c>
      <c r="N113" s="493" t="str">
        <f t="shared" si="1"/>
        <v>C390</v>
      </c>
      <c r="O113" s="493" t="s">
        <v>95</v>
      </c>
      <c r="P113" s="493"/>
    </row>
    <row r="114" spans="1:16">
      <c r="A114" s="761" t="s">
        <v>2339</v>
      </c>
      <c r="B114" s="761" t="s">
        <v>2340</v>
      </c>
      <c r="C114" s="761" t="s">
        <v>2364</v>
      </c>
      <c r="D114" s="761">
        <v>7670083</v>
      </c>
      <c r="E114" s="761" t="s">
        <v>2368</v>
      </c>
      <c r="F114" s="761">
        <v>131201100</v>
      </c>
      <c r="G114" s="761" t="s">
        <v>2369</v>
      </c>
      <c r="H114" s="761" t="s">
        <v>2369</v>
      </c>
      <c r="I114" s="761" t="s">
        <v>6867</v>
      </c>
      <c r="J114" s="761">
        <v>0</v>
      </c>
      <c r="K114" s="746">
        <v>1116806.58</v>
      </c>
      <c r="L114" s="746">
        <v>526319.44999999995</v>
      </c>
      <c r="M114" s="746">
        <v>590487.13</v>
      </c>
      <c r="N114" s="493" t="str">
        <f t="shared" si="1"/>
        <v>C390</v>
      </c>
      <c r="O114" s="493" t="s">
        <v>99</v>
      </c>
      <c r="P114" s="493"/>
    </row>
    <row r="115" spans="1:16">
      <c r="A115" s="761" t="s">
        <v>2339</v>
      </c>
      <c r="B115" s="761" t="s">
        <v>2340</v>
      </c>
      <c r="C115" s="761" t="s">
        <v>2364</v>
      </c>
      <c r="D115" s="761">
        <v>7670084</v>
      </c>
      <c r="E115" s="761" t="s">
        <v>2368</v>
      </c>
      <c r="F115" s="761">
        <v>131201100</v>
      </c>
      <c r="G115" s="761" t="s">
        <v>2369</v>
      </c>
      <c r="H115" s="761" t="s">
        <v>2369</v>
      </c>
      <c r="I115" s="761" t="s">
        <v>6867</v>
      </c>
      <c r="J115" s="761">
        <v>0</v>
      </c>
      <c r="K115" s="746">
        <v>1981059.6800000002</v>
      </c>
      <c r="L115" s="746">
        <v>933617.56</v>
      </c>
      <c r="M115" s="746">
        <v>1047442.12</v>
      </c>
      <c r="N115" s="493" t="str">
        <f t="shared" si="1"/>
        <v>C390</v>
      </c>
      <c r="O115" s="493" t="s">
        <v>99</v>
      </c>
      <c r="P115" s="493"/>
    </row>
    <row r="116" spans="1:16">
      <c r="A116" s="761" t="s">
        <v>2339</v>
      </c>
      <c r="B116" s="761" t="s">
        <v>2340</v>
      </c>
      <c r="C116" s="761" t="s">
        <v>2364</v>
      </c>
      <c r="D116" s="761">
        <v>7670085</v>
      </c>
      <c r="E116" s="761" t="s">
        <v>2368</v>
      </c>
      <c r="F116" s="761">
        <v>131201100</v>
      </c>
      <c r="G116" s="761" t="s">
        <v>2369</v>
      </c>
      <c r="H116" s="761" t="s">
        <v>2369</v>
      </c>
      <c r="I116" s="761" t="s">
        <v>6867</v>
      </c>
      <c r="J116" s="761">
        <v>0</v>
      </c>
      <c r="K116" s="746">
        <v>4500835.46</v>
      </c>
      <c r="L116" s="746">
        <v>2121116.83</v>
      </c>
      <c r="M116" s="746">
        <v>2379718.63</v>
      </c>
      <c r="N116" s="493" t="str">
        <f t="shared" si="1"/>
        <v>C390</v>
      </c>
      <c r="O116" s="493" t="s">
        <v>99</v>
      </c>
      <c r="P116" s="493"/>
    </row>
    <row r="117" spans="1:16">
      <c r="A117" s="761" t="s">
        <v>2339</v>
      </c>
      <c r="B117" s="761" t="s">
        <v>2340</v>
      </c>
      <c r="C117" s="761" t="s">
        <v>2364</v>
      </c>
      <c r="D117" s="761">
        <v>7670086</v>
      </c>
      <c r="E117" s="761" t="s">
        <v>2368</v>
      </c>
      <c r="F117" s="761">
        <v>131201100</v>
      </c>
      <c r="G117" s="761" t="s">
        <v>2369</v>
      </c>
      <c r="H117" s="761" t="s">
        <v>2369</v>
      </c>
      <c r="I117" s="761" t="s">
        <v>6867</v>
      </c>
      <c r="J117" s="761">
        <v>0</v>
      </c>
      <c r="K117" s="746">
        <v>14119.81</v>
      </c>
      <c r="L117" s="746">
        <v>6654.27</v>
      </c>
      <c r="M117" s="746">
        <v>7465.54</v>
      </c>
      <c r="N117" s="493" t="str">
        <f t="shared" si="1"/>
        <v>C390</v>
      </c>
      <c r="O117" s="493" t="s">
        <v>99</v>
      </c>
      <c r="P117" s="493"/>
    </row>
    <row r="118" spans="1:16">
      <c r="A118" s="761" t="s">
        <v>2339</v>
      </c>
      <c r="B118" s="761" t="s">
        <v>2340</v>
      </c>
      <c r="C118" s="761" t="s">
        <v>2364</v>
      </c>
      <c r="D118" s="761">
        <v>7670087</v>
      </c>
      <c r="E118" s="761" t="s">
        <v>2368</v>
      </c>
      <c r="F118" s="761">
        <v>131201100</v>
      </c>
      <c r="G118" s="761" t="s">
        <v>2369</v>
      </c>
      <c r="H118" s="761" t="s">
        <v>2369</v>
      </c>
      <c r="I118" s="761" t="s">
        <v>6867</v>
      </c>
      <c r="J118" s="761">
        <v>0</v>
      </c>
      <c r="K118" s="746">
        <v>22901.94</v>
      </c>
      <c r="L118" s="746">
        <v>10793.04</v>
      </c>
      <c r="M118" s="746">
        <v>12108.9</v>
      </c>
      <c r="N118" s="493" t="str">
        <f t="shared" si="1"/>
        <v>C390</v>
      </c>
      <c r="O118" s="493" t="s">
        <v>99</v>
      </c>
      <c r="P118" s="493"/>
    </row>
    <row r="119" spans="1:16">
      <c r="A119" s="761" t="s">
        <v>2339</v>
      </c>
      <c r="B119" s="761" t="s">
        <v>2340</v>
      </c>
      <c r="C119" s="761" t="s">
        <v>2364</v>
      </c>
      <c r="D119" s="761">
        <v>7684358</v>
      </c>
      <c r="E119" s="761" t="s">
        <v>2368</v>
      </c>
      <c r="F119" s="761">
        <v>131201100</v>
      </c>
      <c r="G119" s="761" t="s">
        <v>2369</v>
      </c>
      <c r="H119" s="761" t="s">
        <v>2369</v>
      </c>
      <c r="I119" s="761" t="s">
        <v>6867</v>
      </c>
      <c r="J119" s="761">
        <v>0</v>
      </c>
      <c r="K119" s="746">
        <v>1750.6100000000001</v>
      </c>
      <c r="L119" s="746">
        <v>825.01</v>
      </c>
      <c r="M119" s="746">
        <v>925.6</v>
      </c>
      <c r="N119" s="493" t="str">
        <f t="shared" si="1"/>
        <v>C390</v>
      </c>
      <c r="O119" s="493" t="s">
        <v>99</v>
      </c>
      <c r="P119" s="493"/>
    </row>
    <row r="120" spans="1:16">
      <c r="A120" s="761" t="s">
        <v>2339</v>
      </c>
      <c r="B120" s="761" t="s">
        <v>2340</v>
      </c>
      <c r="C120" s="761" t="s">
        <v>2364</v>
      </c>
      <c r="D120" s="761">
        <v>7807348</v>
      </c>
      <c r="E120" s="761" t="s">
        <v>2368</v>
      </c>
      <c r="F120" s="761">
        <v>131201100</v>
      </c>
      <c r="G120" s="761" t="s">
        <v>2369</v>
      </c>
      <c r="H120" s="761" t="s">
        <v>2369</v>
      </c>
      <c r="I120" s="761" t="s">
        <v>6867</v>
      </c>
      <c r="J120" s="761">
        <v>0</v>
      </c>
      <c r="K120" s="746">
        <v>34656.25</v>
      </c>
      <c r="L120" s="746">
        <v>16332.51</v>
      </c>
      <c r="M120" s="746">
        <v>18323.740000000002</v>
      </c>
      <c r="N120" s="493" t="str">
        <f t="shared" si="1"/>
        <v>C390</v>
      </c>
      <c r="O120" s="493" t="s">
        <v>99</v>
      </c>
      <c r="P120" s="493"/>
    </row>
    <row r="121" spans="1:16">
      <c r="A121" s="761" t="s">
        <v>2339</v>
      </c>
      <c r="B121" s="761" t="s">
        <v>2340</v>
      </c>
      <c r="C121" s="761" t="s">
        <v>2364</v>
      </c>
      <c r="D121" s="761">
        <v>8167983</v>
      </c>
      <c r="E121" s="761" t="s">
        <v>2368</v>
      </c>
      <c r="F121" s="761">
        <v>131201100</v>
      </c>
      <c r="G121" s="761" t="s">
        <v>2369</v>
      </c>
      <c r="H121" s="761" t="s">
        <v>2369</v>
      </c>
      <c r="I121" s="761" t="s">
        <v>6867</v>
      </c>
      <c r="J121" s="761">
        <v>0</v>
      </c>
      <c r="K121" s="746">
        <v>257077.31</v>
      </c>
      <c r="L121" s="746">
        <v>121153.29000000001</v>
      </c>
      <c r="M121" s="746">
        <v>135924.01999999999</v>
      </c>
      <c r="N121" s="493" t="str">
        <f t="shared" si="1"/>
        <v>C390</v>
      </c>
      <c r="O121" s="493" t="s">
        <v>99</v>
      </c>
      <c r="P121" s="493"/>
    </row>
    <row r="122" spans="1:16">
      <c r="A122" s="761" t="s">
        <v>2339</v>
      </c>
      <c r="B122" s="761" t="s">
        <v>2340</v>
      </c>
      <c r="C122" s="761" t="s">
        <v>2364</v>
      </c>
      <c r="D122" s="761">
        <v>8657688</v>
      </c>
      <c r="E122" s="761" t="s">
        <v>2368</v>
      </c>
      <c r="F122" s="761">
        <v>131204002</v>
      </c>
      <c r="G122" s="761" t="s">
        <v>2372</v>
      </c>
      <c r="H122" s="761" t="s">
        <v>2372</v>
      </c>
      <c r="I122" s="761" t="s">
        <v>6867</v>
      </c>
      <c r="J122" s="761">
        <v>0</v>
      </c>
      <c r="K122" s="746">
        <v>4471.3100000000004</v>
      </c>
      <c r="L122" s="746">
        <v>2107.1999999999998</v>
      </c>
      <c r="M122" s="746">
        <v>2364.11</v>
      </c>
      <c r="N122" s="493" t="str">
        <f t="shared" si="1"/>
        <v>C390</v>
      </c>
      <c r="O122" s="493" t="s">
        <v>99</v>
      </c>
      <c r="P122" s="493"/>
    </row>
    <row r="123" spans="1:16">
      <c r="A123" s="761" t="s">
        <v>2339</v>
      </c>
      <c r="B123" s="761" t="s">
        <v>2340</v>
      </c>
      <c r="C123" s="761" t="s">
        <v>2364</v>
      </c>
      <c r="D123" s="761">
        <v>10757951</v>
      </c>
      <c r="E123" s="761" t="s">
        <v>2368</v>
      </c>
      <c r="F123" s="761">
        <v>131203642</v>
      </c>
      <c r="G123" s="761" t="s">
        <v>2371</v>
      </c>
      <c r="H123" s="761" t="s">
        <v>2371</v>
      </c>
      <c r="I123" s="761" t="s">
        <v>6867</v>
      </c>
      <c r="J123" s="761">
        <v>1</v>
      </c>
      <c r="K123" s="746">
        <v>110254.8</v>
      </c>
      <c r="L123" s="746">
        <v>45862.57</v>
      </c>
      <c r="M123" s="746">
        <v>64392.23</v>
      </c>
      <c r="N123" s="493" t="str">
        <f t="shared" si="1"/>
        <v>C390</v>
      </c>
      <c r="O123" s="493" t="s">
        <v>99</v>
      </c>
      <c r="P123" s="493"/>
    </row>
    <row r="124" spans="1:16">
      <c r="A124" s="761" t="s">
        <v>2339</v>
      </c>
      <c r="B124" s="761" t="s">
        <v>2340</v>
      </c>
      <c r="C124" s="761" t="s">
        <v>2364</v>
      </c>
      <c r="D124" s="761">
        <v>10757955</v>
      </c>
      <c r="E124" s="761" t="s">
        <v>2368</v>
      </c>
      <c r="F124" s="761">
        <v>131203642</v>
      </c>
      <c r="G124" s="761" t="s">
        <v>2371</v>
      </c>
      <c r="H124" s="761" t="s">
        <v>2371</v>
      </c>
      <c r="I124" s="761" t="s">
        <v>6867</v>
      </c>
      <c r="J124" s="761">
        <v>1</v>
      </c>
      <c r="K124" s="746">
        <v>7136.35</v>
      </c>
      <c r="L124" s="746">
        <v>2968.5</v>
      </c>
      <c r="M124" s="746">
        <v>4167.8500000000004</v>
      </c>
      <c r="N124" s="493" t="str">
        <f t="shared" si="1"/>
        <v>C390</v>
      </c>
      <c r="O124" s="493" t="s">
        <v>99</v>
      </c>
      <c r="P124" s="493"/>
    </row>
    <row r="125" spans="1:16">
      <c r="A125" s="761" t="s">
        <v>2339</v>
      </c>
      <c r="B125" s="761" t="s">
        <v>2340</v>
      </c>
      <c r="C125" s="761" t="s">
        <v>2364</v>
      </c>
      <c r="D125" s="761">
        <v>10757956</v>
      </c>
      <c r="E125" s="761" t="s">
        <v>2368</v>
      </c>
      <c r="F125" s="761">
        <v>131203642</v>
      </c>
      <c r="G125" s="761" t="s">
        <v>2371</v>
      </c>
      <c r="H125" s="761" t="s">
        <v>2371</v>
      </c>
      <c r="I125" s="761" t="s">
        <v>6867</v>
      </c>
      <c r="J125" s="761">
        <v>1</v>
      </c>
      <c r="K125" s="746">
        <v>394355.99</v>
      </c>
      <c r="L125" s="746">
        <v>164039.83000000002</v>
      </c>
      <c r="M125" s="746">
        <v>230316.16</v>
      </c>
      <c r="N125" s="493" t="str">
        <f t="shared" si="1"/>
        <v>C390</v>
      </c>
      <c r="O125" s="493" t="s">
        <v>99</v>
      </c>
      <c r="P125" s="493"/>
    </row>
    <row r="126" spans="1:16">
      <c r="A126" s="761" t="s">
        <v>2339</v>
      </c>
      <c r="B126" s="761" t="s">
        <v>2340</v>
      </c>
      <c r="C126" s="761" t="s">
        <v>2364</v>
      </c>
      <c r="D126" s="761">
        <v>10757957</v>
      </c>
      <c r="E126" s="761" t="s">
        <v>2368</v>
      </c>
      <c r="F126" s="761">
        <v>131203642</v>
      </c>
      <c r="G126" s="761" t="s">
        <v>2371</v>
      </c>
      <c r="H126" s="761" t="s">
        <v>2371</v>
      </c>
      <c r="I126" s="761" t="s">
        <v>6867</v>
      </c>
      <c r="J126" s="761">
        <v>1</v>
      </c>
      <c r="K126" s="746">
        <v>7279.92</v>
      </c>
      <c r="L126" s="746">
        <v>3028.2200000000003</v>
      </c>
      <c r="M126" s="746">
        <v>4251.7</v>
      </c>
      <c r="N126" s="493" t="str">
        <f t="shared" si="1"/>
        <v>C390</v>
      </c>
      <c r="O126" s="493" t="s">
        <v>99</v>
      </c>
      <c r="P126" s="493"/>
    </row>
    <row r="127" spans="1:16">
      <c r="A127" s="761" t="s">
        <v>2339</v>
      </c>
      <c r="B127" s="761" t="s">
        <v>2340</v>
      </c>
      <c r="C127" s="761" t="s">
        <v>2364</v>
      </c>
      <c r="D127" s="761">
        <v>10757958</v>
      </c>
      <c r="E127" s="761" t="s">
        <v>2368</v>
      </c>
      <c r="F127" s="761">
        <v>131203642</v>
      </c>
      <c r="G127" s="761" t="s">
        <v>2371</v>
      </c>
      <c r="H127" s="761" t="s">
        <v>2371</v>
      </c>
      <c r="I127" s="761" t="s">
        <v>6867</v>
      </c>
      <c r="J127" s="761">
        <v>1</v>
      </c>
      <c r="K127" s="746">
        <v>686613.47</v>
      </c>
      <c r="L127" s="746">
        <v>285609.86</v>
      </c>
      <c r="M127" s="746">
        <v>401003.61</v>
      </c>
      <c r="N127" s="493" t="str">
        <f t="shared" si="1"/>
        <v>C390</v>
      </c>
      <c r="O127" s="493" t="s">
        <v>95</v>
      </c>
      <c r="P127" s="493"/>
    </row>
    <row r="128" spans="1:16">
      <c r="A128" s="761" t="s">
        <v>2339</v>
      </c>
      <c r="B128" s="761" t="s">
        <v>2340</v>
      </c>
      <c r="C128" s="761" t="s">
        <v>2364</v>
      </c>
      <c r="D128" s="761">
        <v>10757959</v>
      </c>
      <c r="E128" s="761" t="s">
        <v>2368</v>
      </c>
      <c r="F128" s="761">
        <v>131203642</v>
      </c>
      <c r="G128" s="761" t="s">
        <v>2371</v>
      </c>
      <c r="H128" s="761" t="s">
        <v>2371</v>
      </c>
      <c r="I128" s="761" t="s">
        <v>6867</v>
      </c>
      <c r="J128" s="761">
        <v>1</v>
      </c>
      <c r="K128" s="746">
        <v>622699.57000000007</v>
      </c>
      <c r="L128" s="746">
        <v>259023.66</v>
      </c>
      <c r="M128" s="746">
        <v>363675.91000000003</v>
      </c>
      <c r="N128" s="493" t="str">
        <f t="shared" si="1"/>
        <v>C390</v>
      </c>
      <c r="O128" s="493" t="s">
        <v>99</v>
      </c>
      <c r="P128" s="493"/>
    </row>
    <row r="129" spans="1:16">
      <c r="A129" s="761" t="s">
        <v>2339</v>
      </c>
      <c r="B129" s="761" t="s">
        <v>2340</v>
      </c>
      <c r="C129" s="761" t="s">
        <v>2364</v>
      </c>
      <c r="D129" s="761">
        <v>10757960</v>
      </c>
      <c r="E129" s="761" t="s">
        <v>2368</v>
      </c>
      <c r="F129" s="761">
        <v>131203642</v>
      </c>
      <c r="G129" s="761" t="s">
        <v>2371</v>
      </c>
      <c r="H129" s="761" t="s">
        <v>2371</v>
      </c>
      <c r="I129" s="761" t="s">
        <v>6867</v>
      </c>
      <c r="J129" s="761">
        <v>1</v>
      </c>
      <c r="K129" s="746">
        <v>11572.880000000001</v>
      </c>
      <c r="L129" s="746">
        <v>4813.96</v>
      </c>
      <c r="M129" s="746">
        <v>6758.92</v>
      </c>
      <c r="N129" s="493" t="str">
        <f t="shared" si="1"/>
        <v>C390</v>
      </c>
      <c r="O129" s="493" t="s">
        <v>99</v>
      </c>
      <c r="P129" s="493"/>
    </row>
    <row r="130" spans="1:16">
      <c r="A130" s="761" t="s">
        <v>2339</v>
      </c>
      <c r="B130" s="761" t="s">
        <v>2340</v>
      </c>
      <c r="C130" s="761" t="s">
        <v>2364</v>
      </c>
      <c r="D130" s="761">
        <v>10757961</v>
      </c>
      <c r="E130" s="761" t="s">
        <v>2368</v>
      </c>
      <c r="F130" s="761">
        <v>131203642</v>
      </c>
      <c r="G130" s="761" t="s">
        <v>2371</v>
      </c>
      <c r="H130" s="761" t="s">
        <v>2371</v>
      </c>
      <c r="I130" s="761" t="s">
        <v>6867</v>
      </c>
      <c r="J130" s="761">
        <v>1</v>
      </c>
      <c r="K130" s="746">
        <v>142060.79</v>
      </c>
      <c r="L130" s="746">
        <v>59092.87</v>
      </c>
      <c r="M130" s="746">
        <v>82967.92</v>
      </c>
      <c r="N130" s="493" t="str">
        <f t="shared" ref="N130:N193" si="2">LEFT(E130,4)</f>
        <v>C390</v>
      </c>
      <c r="O130" s="493" t="s">
        <v>99</v>
      </c>
      <c r="P130" s="493"/>
    </row>
    <row r="131" spans="1:16">
      <c r="A131" s="761" t="s">
        <v>2339</v>
      </c>
      <c r="B131" s="761" t="s">
        <v>2340</v>
      </c>
      <c r="C131" s="761" t="s">
        <v>2364</v>
      </c>
      <c r="D131" s="761">
        <v>10757962</v>
      </c>
      <c r="E131" s="761" t="s">
        <v>2368</v>
      </c>
      <c r="F131" s="761">
        <v>131203642</v>
      </c>
      <c r="G131" s="761" t="s">
        <v>2371</v>
      </c>
      <c r="H131" s="761" t="s">
        <v>2371</v>
      </c>
      <c r="I131" s="761" t="s">
        <v>6867</v>
      </c>
      <c r="J131" s="761">
        <v>1</v>
      </c>
      <c r="K131" s="746">
        <v>44737.15</v>
      </c>
      <c r="L131" s="746">
        <v>18609.260000000002</v>
      </c>
      <c r="M131" s="746">
        <v>26127.89</v>
      </c>
      <c r="N131" s="493" t="str">
        <f t="shared" si="2"/>
        <v>C390</v>
      </c>
      <c r="O131" s="493" t="s">
        <v>99</v>
      </c>
      <c r="P131" s="493"/>
    </row>
    <row r="132" spans="1:16">
      <c r="A132" s="761" t="s">
        <v>2339</v>
      </c>
      <c r="B132" s="761" t="s">
        <v>2340</v>
      </c>
      <c r="C132" s="761" t="s">
        <v>2364</v>
      </c>
      <c r="D132" s="761">
        <v>10757963</v>
      </c>
      <c r="E132" s="761" t="s">
        <v>2368</v>
      </c>
      <c r="F132" s="761">
        <v>131203642</v>
      </c>
      <c r="G132" s="761" t="s">
        <v>2371</v>
      </c>
      <c r="H132" s="761" t="s">
        <v>2371</v>
      </c>
      <c r="I132" s="761" t="s">
        <v>6867</v>
      </c>
      <c r="J132" s="761">
        <v>1</v>
      </c>
      <c r="K132" s="746">
        <v>721.39</v>
      </c>
      <c r="L132" s="746">
        <v>300.08</v>
      </c>
      <c r="M132" s="746">
        <v>421.31</v>
      </c>
      <c r="N132" s="493" t="str">
        <f t="shared" si="2"/>
        <v>C390</v>
      </c>
      <c r="O132" s="493" t="s">
        <v>99</v>
      </c>
      <c r="P132" s="493"/>
    </row>
    <row r="133" spans="1:16">
      <c r="A133" s="761" t="s">
        <v>2339</v>
      </c>
      <c r="B133" s="761" t="s">
        <v>2340</v>
      </c>
      <c r="C133" s="761" t="s">
        <v>2364</v>
      </c>
      <c r="D133" s="761">
        <v>10757964</v>
      </c>
      <c r="E133" s="761" t="s">
        <v>2368</v>
      </c>
      <c r="F133" s="761">
        <v>131203642</v>
      </c>
      <c r="G133" s="761" t="s">
        <v>2371</v>
      </c>
      <c r="H133" s="761" t="s">
        <v>2371</v>
      </c>
      <c r="I133" s="761" t="s">
        <v>6867</v>
      </c>
      <c r="J133" s="761">
        <v>1</v>
      </c>
      <c r="K133" s="746">
        <v>476842.68</v>
      </c>
      <c r="L133" s="746">
        <v>198351.73</v>
      </c>
      <c r="M133" s="746">
        <v>278490.95</v>
      </c>
      <c r="N133" s="493" t="str">
        <f t="shared" si="2"/>
        <v>C390</v>
      </c>
      <c r="O133" s="493" t="s">
        <v>99</v>
      </c>
      <c r="P133" s="493"/>
    </row>
    <row r="134" spans="1:16">
      <c r="A134" s="761" t="s">
        <v>2339</v>
      </c>
      <c r="B134" s="761" t="s">
        <v>2340</v>
      </c>
      <c r="C134" s="761" t="s">
        <v>2364</v>
      </c>
      <c r="D134" s="761">
        <v>10757965</v>
      </c>
      <c r="E134" s="761" t="s">
        <v>2368</v>
      </c>
      <c r="F134" s="761">
        <v>131203642</v>
      </c>
      <c r="G134" s="761" t="s">
        <v>2371</v>
      </c>
      <c r="H134" s="761" t="s">
        <v>2371</v>
      </c>
      <c r="I134" s="761" t="s">
        <v>6867</v>
      </c>
      <c r="J134" s="761">
        <v>1</v>
      </c>
      <c r="K134" s="746">
        <v>80216.009999999995</v>
      </c>
      <c r="L134" s="746">
        <v>33367.370000000003</v>
      </c>
      <c r="M134" s="746">
        <v>46848.639999999999</v>
      </c>
      <c r="N134" s="493" t="str">
        <f t="shared" si="2"/>
        <v>C390</v>
      </c>
      <c r="O134" s="493" t="s">
        <v>99</v>
      </c>
      <c r="P134" s="493"/>
    </row>
    <row r="135" spans="1:16">
      <c r="A135" s="761" t="s">
        <v>2339</v>
      </c>
      <c r="B135" s="761" t="s">
        <v>2340</v>
      </c>
      <c r="C135" s="761" t="s">
        <v>2364</v>
      </c>
      <c r="D135" s="761">
        <v>10757966</v>
      </c>
      <c r="E135" s="761" t="s">
        <v>2368</v>
      </c>
      <c r="F135" s="761">
        <v>131203642</v>
      </c>
      <c r="G135" s="761" t="s">
        <v>2371</v>
      </c>
      <c r="H135" s="761" t="s">
        <v>2371</v>
      </c>
      <c r="I135" s="761" t="s">
        <v>6867</v>
      </c>
      <c r="J135" s="761">
        <v>1</v>
      </c>
      <c r="K135" s="746">
        <v>391073.36</v>
      </c>
      <c r="L135" s="746">
        <v>162674.36000000002</v>
      </c>
      <c r="M135" s="746">
        <v>228399</v>
      </c>
      <c r="N135" s="493" t="str">
        <f t="shared" si="2"/>
        <v>C390</v>
      </c>
      <c r="O135" s="493" t="s">
        <v>99</v>
      </c>
      <c r="P135" s="493"/>
    </row>
    <row r="136" spans="1:16">
      <c r="A136" s="761" t="s">
        <v>2339</v>
      </c>
      <c r="B136" s="761" t="s">
        <v>2340</v>
      </c>
      <c r="C136" s="761" t="s">
        <v>2364</v>
      </c>
      <c r="D136" s="761">
        <v>10757967</v>
      </c>
      <c r="E136" s="761" t="s">
        <v>2368</v>
      </c>
      <c r="F136" s="761">
        <v>131203642</v>
      </c>
      <c r="G136" s="761" t="s">
        <v>2371</v>
      </c>
      <c r="H136" s="761" t="s">
        <v>2371</v>
      </c>
      <c r="I136" s="761" t="s">
        <v>6867</v>
      </c>
      <c r="J136" s="761">
        <v>1</v>
      </c>
      <c r="K136" s="746">
        <v>112939.36</v>
      </c>
      <c r="L136" s="746">
        <v>46979.26</v>
      </c>
      <c r="M136" s="746">
        <v>65960.100000000006</v>
      </c>
      <c r="N136" s="493" t="str">
        <f t="shared" si="2"/>
        <v>C390</v>
      </c>
      <c r="O136" s="493" t="s">
        <v>99</v>
      </c>
      <c r="P136" s="493"/>
    </row>
    <row r="137" spans="1:16">
      <c r="A137" s="761" t="s">
        <v>2339</v>
      </c>
      <c r="B137" s="761" t="s">
        <v>2340</v>
      </c>
      <c r="C137" s="761" t="s">
        <v>2364</v>
      </c>
      <c r="D137" s="761">
        <v>18908396</v>
      </c>
      <c r="E137" s="761" t="s">
        <v>2368</v>
      </c>
      <c r="F137" s="761">
        <v>143001546</v>
      </c>
      <c r="G137" s="761" t="s">
        <v>2375</v>
      </c>
      <c r="H137" s="761" t="s">
        <v>2375</v>
      </c>
      <c r="I137" s="761" t="s">
        <v>6867</v>
      </c>
      <c r="J137" s="761">
        <v>1</v>
      </c>
      <c r="K137" s="746">
        <v>190488.54</v>
      </c>
      <c r="L137" s="746">
        <v>59497.64</v>
      </c>
      <c r="M137" s="746">
        <v>130990.90000000001</v>
      </c>
      <c r="N137" s="493" t="str">
        <f t="shared" si="2"/>
        <v>C390</v>
      </c>
      <c r="O137" s="493" t="s">
        <v>99</v>
      </c>
      <c r="P137" s="493"/>
    </row>
    <row r="138" spans="1:16">
      <c r="A138" s="761" t="s">
        <v>2339</v>
      </c>
      <c r="B138" s="761" t="s">
        <v>2340</v>
      </c>
      <c r="C138" s="761" t="s">
        <v>2364</v>
      </c>
      <c r="D138" s="761">
        <v>25261466</v>
      </c>
      <c r="E138" s="761" t="s">
        <v>2368</v>
      </c>
      <c r="F138" s="761">
        <v>141002920</v>
      </c>
      <c r="G138" s="761" t="s">
        <v>2373</v>
      </c>
      <c r="H138" s="761" t="s">
        <v>2373</v>
      </c>
      <c r="I138" s="761" t="s">
        <v>6867</v>
      </c>
      <c r="J138" s="761">
        <v>1</v>
      </c>
      <c r="K138" s="746">
        <v>123766.58</v>
      </c>
      <c r="L138" s="746">
        <v>27482.68</v>
      </c>
      <c r="M138" s="746">
        <v>96283.900000000009</v>
      </c>
      <c r="N138" s="493" t="str">
        <f t="shared" si="2"/>
        <v>C390</v>
      </c>
      <c r="O138" s="493" t="s">
        <v>99</v>
      </c>
      <c r="P138" s="493"/>
    </row>
    <row r="139" spans="1:16">
      <c r="A139" s="761" t="s">
        <v>2339</v>
      </c>
      <c r="B139" s="761" t="s">
        <v>2340</v>
      </c>
      <c r="C139" s="761" t="s">
        <v>2364</v>
      </c>
      <c r="D139" s="761">
        <v>24882962</v>
      </c>
      <c r="E139" s="761" t="s">
        <v>2368</v>
      </c>
      <c r="F139" s="761">
        <v>143002312</v>
      </c>
      <c r="G139" s="761" t="s">
        <v>2378</v>
      </c>
      <c r="H139" s="761" t="s">
        <v>7270</v>
      </c>
      <c r="I139" s="761" t="s">
        <v>6867</v>
      </c>
      <c r="J139" s="761">
        <v>1</v>
      </c>
      <c r="K139" s="746">
        <v>31402.959999999999</v>
      </c>
      <c r="L139" s="746">
        <v>5738.57</v>
      </c>
      <c r="M139" s="746">
        <v>25664.39</v>
      </c>
      <c r="N139" s="493" t="str">
        <f t="shared" si="2"/>
        <v>C390</v>
      </c>
      <c r="O139" s="493" t="s">
        <v>99</v>
      </c>
      <c r="P139" s="493"/>
    </row>
    <row r="140" spans="1:16">
      <c r="A140" s="761" t="s">
        <v>2339</v>
      </c>
      <c r="B140" s="761" t="s">
        <v>2340</v>
      </c>
      <c r="C140" s="761" t="s">
        <v>2364</v>
      </c>
      <c r="D140" s="761">
        <v>25098592</v>
      </c>
      <c r="E140" s="761" t="s">
        <v>2368</v>
      </c>
      <c r="F140" s="761">
        <v>143002274</v>
      </c>
      <c r="G140" s="761" t="s">
        <v>2377</v>
      </c>
      <c r="H140" s="761" t="s">
        <v>7271</v>
      </c>
      <c r="I140" s="761" t="s">
        <v>6867</v>
      </c>
      <c r="J140" s="761">
        <v>1</v>
      </c>
      <c r="K140" s="746">
        <v>136612</v>
      </c>
      <c r="L140" s="746">
        <v>24964.45</v>
      </c>
      <c r="M140" s="746">
        <v>111647.55</v>
      </c>
      <c r="N140" s="493" t="str">
        <f t="shared" si="2"/>
        <v>C390</v>
      </c>
      <c r="O140" s="493" t="s">
        <v>99</v>
      </c>
      <c r="P140" s="493"/>
    </row>
    <row r="141" spans="1:16">
      <c r="A141" s="761" t="s">
        <v>2339</v>
      </c>
      <c r="B141" s="761" t="s">
        <v>2340</v>
      </c>
      <c r="C141" s="761" t="s">
        <v>2364</v>
      </c>
      <c r="D141" s="761">
        <v>25246649</v>
      </c>
      <c r="E141" s="761" t="s">
        <v>2368</v>
      </c>
      <c r="F141" s="761">
        <v>141002968</v>
      </c>
      <c r="G141" s="761" t="s">
        <v>2374</v>
      </c>
      <c r="H141" s="761" t="s">
        <v>2374</v>
      </c>
      <c r="I141" s="761" t="s">
        <v>6867</v>
      </c>
      <c r="J141" s="761">
        <v>1</v>
      </c>
      <c r="K141" s="746">
        <v>38392.770000000004</v>
      </c>
      <c r="L141" s="746">
        <v>7015.89</v>
      </c>
      <c r="M141" s="746">
        <v>31376.880000000001</v>
      </c>
      <c r="N141" s="493" t="str">
        <f t="shared" si="2"/>
        <v>C390</v>
      </c>
      <c r="O141" s="493" t="s">
        <v>99</v>
      </c>
      <c r="P141" s="493"/>
    </row>
    <row r="142" spans="1:16">
      <c r="A142" s="761" t="s">
        <v>2339</v>
      </c>
      <c r="B142" s="761" t="s">
        <v>2340</v>
      </c>
      <c r="C142" s="761" t="s">
        <v>2364</v>
      </c>
      <c r="D142" s="761">
        <v>31953909</v>
      </c>
      <c r="E142" s="761" t="s">
        <v>2368</v>
      </c>
      <c r="F142" s="761">
        <v>143002028</v>
      </c>
      <c r="G142" s="761" t="s">
        <v>2376</v>
      </c>
      <c r="H142" s="761" t="s">
        <v>7272</v>
      </c>
      <c r="I142" s="761" t="s">
        <v>6867</v>
      </c>
      <c r="J142" s="761">
        <v>1</v>
      </c>
      <c r="K142" s="746">
        <v>2805.94</v>
      </c>
      <c r="L142" s="746">
        <v>413.5</v>
      </c>
      <c r="M142" s="746">
        <v>2392.44</v>
      </c>
      <c r="N142" s="493" t="str">
        <f t="shared" si="2"/>
        <v>C390</v>
      </c>
      <c r="O142" s="493" t="s">
        <v>99</v>
      </c>
      <c r="P142" s="493"/>
    </row>
    <row r="143" spans="1:16">
      <c r="A143" s="761" t="s">
        <v>2339</v>
      </c>
      <c r="B143" s="761" t="s">
        <v>2340</v>
      </c>
      <c r="C143" s="761" t="s">
        <v>2364</v>
      </c>
      <c r="D143" s="761">
        <v>31953914</v>
      </c>
      <c r="E143" s="761" t="s">
        <v>2368</v>
      </c>
      <c r="F143" s="761">
        <v>143002028</v>
      </c>
      <c r="G143" s="761" t="s">
        <v>2376</v>
      </c>
      <c r="H143" s="761" t="s">
        <v>7272</v>
      </c>
      <c r="I143" s="761" t="s">
        <v>6867</v>
      </c>
      <c r="J143" s="761">
        <v>1</v>
      </c>
      <c r="K143" s="746">
        <v>50787.700000000004</v>
      </c>
      <c r="L143" s="746">
        <v>7484.38</v>
      </c>
      <c r="M143" s="746">
        <v>43303.32</v>
      </c>
      <c r="N143" s="493" t="str">
        <f t="shared" si="2"/>
        <v>C390</v>
      </c>
      <c r="O143" s="493" t="s">
        <v>99</v>
      </c>
      <c r="P143" s="493"/>
    </row>
    <row r="144" spans="1:16">
      <c r="A144" s="761" t="s">
        <v>2339</v>
      </c>
      <c r="B144" s="761" t="s">
        <v>2340</v>
      </c>
      <c r="C144" s="761" t="s">
        <v>2364</v>
      </c>
      <c r="D144" s="761">
        <v>29876740</v>
      </c>
      <c r="E144" s="761" t="s">
        <v>2368</v>
      </c>
      <c r="F144" s="761">
        <v>143002429</v>
      </c>
      <c r="G144" s="761" t="s">
        <v>2379</v>
      </c>
      <c r="H144" s="761" t="s">
        <v>7273</v>
      </c>
      <c r="I144" s="761" t="s">
        <v>6867</v>
      </c>
      <c r="J144" s="761">
        <v>1</v>
      </c>
      <c r="K144" s="746">
        <v>421490.7</v>
      </c>
      <c r="L144" s="746">
        <v>62113.39</v>
      </c>
      <c r="M144" s="746">
        <v>359377.31</v>
      </c>
      <c r="N144" s="493" t="str">
        <f t="shared" si="2"/>
        <v>C390</v>
      </c>
      <c r="O144" s="493" t="s">
        <v>95</v>
      </c>
      <c r="P144" s="493"/>
    </row>
    <row r="145" spans="1:16">
      <c r="A145" s="761" t="s">
        <v>2339</v>
      </c>
      <c r="B145" s="761" t="s">
        <v>2340</v>
      </c>
      <c r="C145" s="761" t="s">
        <v>2364</v>
      </c>
      <c r="D145" s="761">
        <v>31953917</v>
      </c>
      <c r="E145" s="761" t="s">
        <v>2368</v>
      </c>
      <c r="F145" s="761">
        <v>143002028</v>
      </c>
      <c r="G145" s="761" t="s">
        <v>2376</v>
      </c>
      <c r="H145" s="761" t="s">
        <v>7272</v>
      </c>
      <c r="I145" s="761" t="s">
        <v>6867</v>
      </c>
      <c r="J145" s="761">
        <v>1</v>
      </c>
      <c r="K145" s="746">
        <v>9540.23</v>
      </c>
      <c r="L145" s="746">
        <v>1405.91</v>
      </c>
      <c r="M145" s="746">
        <v>8134.3200000000006</v>
      </c>
      <c r="N145" s="493" t="str">
        <f t="shared" si="2"/>
        <v>C390</v>
      </c>
      <c r="O145" s="493" t="s">
        <v>99</v>
      </c>
      <c r="P145" s="493"/>
    </row>
    <row r="146" spans="1:16">
      <c r="A146" s="761" t="s">
        <v>2339</v>
      </c>
      <c r="B146" s="761" t="s">
        <v>2340</v>
      </c>
      <c r="C146" s="761" t="s">
        <v>2364</v>
      </c>
      <c r="D146" s="761">
        <v>31953920</v>
      </c>
      <c r="E146" s="761" t="s">
        <v>2368</v>
      </c>
      <c r="F146" s="761">
        <v>143002028</v>
      </c>
      <c r="G146" s="761" t="s">
        <v>2376</v>
      </c>
      <c r="H146" s="761" t="s">
        <v>7272</v>
      </c>
      <c r="I146" s="761" t="s">
        <v>6867</v>
      </c>
      <c r="J146" s="761">
        <v>1</v>
      </c>
      <c r="K146" s="746">
        <v>3367.14</v>
      </c>
      <c r="L146" s="746">
        <v>496.2</v>
      </c>
      <c r="M146" s="746">
        <v>2870.94</v>
      </c>
      <c r="N146" s="493" t="str">
        <f t="shared" si="2"/>
        <v>C390</v>
      </c>
      <c r="O146" s="493" t="s">
        <v>99</v>
      </c>
      <c r="P146" s="493"/>
    </row>
    <row r="147" spans="1:16">
      <c r="A147" s="761" t="s">
        <v>2339</v>
      </c>
      <c r="B147" s="761" t="s">
        <v>2340</v>
      </c>
      <c r="C147" s="761" t="s">
        <v>2364</v>
      </c>
      <c r="D147" s="761">
        <v>31953923</v>
      </c>
      <c r="E147" s="761" t="s">
        <v>2368</v>
      </c>
      <c r="F147" s="761">
        <v>143002028</v>
      </c>
      <c r="G147" s="761" t="s">
        <v>2376</v>
      </c>
      <c r="H147" s="761" t="s">
        <v>7272</v>
      </c>
      <c r="I147" s="761" t="s">
        <v>6867</v>
      </c>
      <c r="J147" s="761">
        <v>1</v>
      </c>
      <c r="K147" s="746">
        <v>17116.29</v>
      </c>
      <c r="L147" s="746">
        <v>2522.36</v>
      </c>
      <c r="M147" s="746">
        <v>14593.93</v>
      </c>
      <c r="N147" s="493" t="str">
        <f t="shared" si="2"/>
        <v>C390</v>
      </c>
      <c r="O147" s="493" t="s">
        <v>99</v>
      </c>
      <c r="P147" s="493"/>
    </row>
    <row r="148" spans="1:16">
      <c r="A148" s="761" t="s">
        <v>2339</v>
      </c>
      <c r="B148" s="761" t="s">
        <v>2340</v>
      </c>
      <c r="C148" s="761" t="s">
        <v>2364</v>
      </c>
      <c r="D148" s="761">
        <v>31953926</v>
      </c>
      <c r="E148" s="761" t="s">
        <v>2368</v>
      </c>
      <c r="F148" s="761">
        <v>143002028</v>
      </c>
      <c r="G148" s="761" t="s">
        <v>2376</v>
      </c>
      <c r="H148" s="761" t="s">
        <v>7272</v>
      </c>
      <c r="I148" s="761" t="s">
        <v>6867</v>
      </c>
      <c r="J148" s="761">
        <v>1</v>
      </c>
      <c r="K148" s="746">
        <v>7295.46</v>
      </c>
      <c r="L148" s="746">
        <v>1075.0999999999999</v>
      </c>
      <c r="M148" s="746">
        <v>6220.3600000000006</v>
      </c>
      <c r="N148" s="493" t="str">
        <f t="shared" si="2"/>
        <v>C390</v>
      </c>
      <c r="O148" s="493" t="s">
        <v>99</v>
      </c>
      <c r="P148" s="493"/>
    </row>
    <row r="149" spans="1:16">
      <c r="A149" s="761" t="s">
        <v>2339</v>
      </c>
      <c r="B149" s="761" t="s">
        <v>2340</v>
      </c>
      <c r="C149" s="761" t="s">
        <v>2364</v>
      </c>
      <c r="D149" s="761">
        <v>31953929</v>
      </c>
      <c r="E149" s="761" t="s">
        <v>2368</v>
      </c>
      <c r="F149" s="761">
        <v>143002028</v>
      </c>
      <c r="G149" s="761" t="s">
        <v>2376</v>
      </c>
      <c r="H149" s="761" t="s">
        <v>7272</v>
      </c>
      <c r="I149" s="761" t="s">
        <v>6867</v>
      </c>
      <c r="J149" s="761">
        <v>1</v>
      </c>
      <c r="K149" s="746">
        <v>46017.590000000004</v>
      </c>
      <c r="L149" s="746">
        <v>6781.43</v>
      </c>
      <c r="M149" s="746">
        <v>39236.160000000003</v>
      </c>
      <c r="N149" s="493" t="str">
        <f t="shared" si="2"/>
        <v>C390</v>
      </c>
      <c r="O149" s="493" t="s">
        <v>99</v>
      </c>
      <c r="P149" s="493"/>
    </row>
    <row r="150" spans="1:16">
      <c r="A150" s="761" t="s">
        <v>2339</v>
      </c>
      <c r="B150" s="761" t="s">
        <v>2340</v>
      </c>
      <c r="C150" s="761" t="s">
        <v>2364</v>
      </c>
      <c r="D150" s="761">
        <v>31953932</v>
      </c>
      <c r="E150" s="761" t="s">
        <v>2368</v>
      </c>
      <c r="F150" s="761">
        <v>143002028</v>
      </c>
      <c r="G150" s="761" t="s">
        <v>2376</v>
      </c>
      <c r="H150" s="761" t="s">
        <v>7272</v>
      </c>
      <c r="I150" s="761" t="s">
        <v>6867</v>
      </c>
      <c r="J150" s="761">
        <v>1</v>
      </c>
      <c r="K150" s="746">
        <v>3367.14</v>
      </c>
      <c r="L150" s="746">
        <v>496.2</v>
      </c>
      <c r="M150" s="746">
        <v>2870.94</v>
      </c>
      <c r="N150" s="493" t="str">
        <f t="shared" si="2"/>
        <v>C390</v>
      </c>
      <c r="O150" s="493" t="s">
        <v>99</v>
      </c>
      <c r="P150" s="493"/>
    </row>
    <row r="151" spans="1:16">
      <c r="A151" s="761" t="s">
        <v>2339</v>
      </c>
      <c r="B151" s="761" t="s">
        <v>2340</v>
      </c>
      <c r="C151" s="761" t="s">
        <v>2356</v>
      </c>
      <c r="D151" s="761">
        <v>78681</v>
      </c>
      <c r="E151" s="761" t="s">
        <v>2380</v>
      </c>
      <c r="F151" s="761" t="s">
        <v>2357</v>
      </c>
      <c r="I151" s="761" t="s">
        <v>6867</v>
      </c>
      <c r="J151" s="761">
        <v>1</v>
      </c>
      <c r="K151" s="746">
        <v>30490.21</v>
      </c>
      <c r="L151" s="746">
        <v>28579.91</v>
      </c>
      <c r="M151" s="746">
        <v>1910.3</v>
      </c>
      <c r="N151" s="493" t="str">
        <f t="shared" si="2"/>
        <v>C390</v>
      </c>
      <c r="O151" s="493" t="s">
        <v>390</v>
      </c>
      <c r="P151" s="493"/>
    </row>
    <row r="152" spans="1:16">
      <c r="A152" s="761" t="s">
        <v>2339</v>
      </c>
      <c r="B152" s="761" t="s">
        <v>2340</v>
      </c>
      <c r="C152" s="761" t="s">
        <v>2356</v>
      </c>
      <c r="D152" s="761">
        <v>56329</v>
      </c>
      <c r="E152" s="761" t="s">
        <v>2380</v>
      </c>
      <c r="F152" s="761" t="s">
        <v>2357</v>
      </c>
      <c r="I152" s="761" t="s">
        <v>6867</v>
      </c>
      <c r="J152" s="761">
        <v>1</v>
      </c>
      <c r="K152" s="746">
        <v>40525.15</v>
      </c>
      <c r="L152" s="746">
        <v>36947.18</v>
      </c>
      <c r="M152" s="746">
        <v>3577.9700000000003</v>
      </c>
      <c r="N152" s="493" t="str">
        <f t="shared" si="2"/>
        <v>C390</v>
      </c>
      <c r="O152" s="493" t="s">
        <v>390</v>
      </c>
      <c r="P152" s="493"/>
    </row>
    <row r="153" spans="1:16">
      <c r="A153" s="761" t="s">
        <v>2339</v>
      </c>
      <c r="B153" s="761" t="s">
        <v>2340</v>
      </c>
      <c r="C153" s="761" t="s">
        <v>2356</v>
      </c>
      <c r="D153" s="761">
        <v>7097450</v>
      </c>
      <c r="E153" s="761" t="s">
        <v>2380</v>
      </c>
      <c r="F153" s="761">
        <v>131200760</v>
      </c>
      <c r="G153" s="761" t="s">
        <v>2381</v>
      </c>
      <c r="H153" s="761" t="s">
        <v>7274</v>
      </c>
      <c r="I153" s="761" t="s">
        <v>6867</v>
      </c>
      <c r="J153" s="761">
        <v>1</v>
      </c>
      <c r="K153" s="746">
        <v>43602.39</v>
      </c>
      <c r="L153" s="746">
        <v>22257.9</v>
      </c>
      <c r="M153" s="746">
        <v>21344.49</v>
      </c>
      <c r="N153" s="493" t="str">
        <f t="shared" si="2"/>
        <v>C390</v>
      </c>
      <c r="O153" s="493" t="s">
        <v>390</v>
      </c>
      <c r="P153" s="493"/>
    </row>
    <row r="154" spans="1:16">
      <c r="A154" s="761" t="s">
        <v>2339</v>
      </c>
      <c r="B154" s="761" t="s">
        <v>2340</v>
      </c>
      <c r="C154" s="761" t="s">
        <v>2356</v>
      </c>
      <c r="D154" s="761">
        <v>7097453</v>
      </c>
      <c r="E154" s="761" t="s">
        <v>2380</v>
      </c>
      <c r="F154" s="761">
        <v>131200760</v>
      </c>
      <c r="G154" s="761" t="s">
        <v>2381</v>
      </c>
      <c r="H154" s="761" t="s">
        <v>7274</v>
      </c>
      <c r="I154" s="761" t="s">
        <v>6867</v>
      </c>
      <c r="J154" s="761">
        <v>1</v>
      </c>
      <c r="K154" s="746">
        <v>21762.100000000002</v>
      </c>
      <c r="L154" s="746">
        <v>11108.99</v>
      </c>
      <c r="M154" s="746">
        <v>10653.11</v>
      </c>
      <c r="N154" s="493" t="str">
        <f t="shared" si="2"/>
        <v>C390</v>
      </c>
      <c r="O154" s="493" t="s">
        <v>390</v>
      </c>
      <c r="P154" s="493"/>
    </row>
    <row r="155" spans="1:16">
      <c r="A155" s="761" t="s">
        <v>2339</v>
      </c>
      <c r="B155" s="761" t="s">
        <v>2340</v>
      </c>
      <c r="C155" s="761" t="s">
        <v>2356</v>
      </c>
      <c r="D155" s="761">
        <v>7097454</v>
      </c>
      <c r="E155" s="761" t="s">
        <v>2380</v>
      </c>
      <c r="F155" s="761">
        <v>131200760</v>
      </c>
      <c r="G155" s="761" t="s">
        <v>2381</v>
      </c>
      <c r="H155" s="761" t="s">
        <v>7274</v>
      </c>
      <c r="I155" s="761" t="s">
        <v>6867</v>
      </c>
      <c r="J155" s="761">
        <v>1</v>
      </c>
      <c r="K155" s="746">
        <v>490189.82</v>
      </c>
      <c r="L155" s="746">
        <v>250229.27000000002</v>
      </c>
      <c r="M155" s="746">
        <v>239960.55000000002</v>
      </c>
      <c r="N155" s="493" t="str">
        <f t="shared" si="2"/>
        <v>C390</v>
      </c>
      <c r="O155" s="493" t="s">
        <v>390</v>
      </c>
      <c r="P155" s="493"/>
    </row>
    <row r="156" spans="1:16">
      <c r="A156" s="761" t="s">
        <v>2339</v>
      </c>
      <c r="B156" s="761" t="s">
        <v>2340</v>
      </c>
      <c r="C156" s="761" t="s">
        <v>2356</v>
      </c>
      <c r="D156" s="761">
        <v>7097455</v>
      </c>
      <c r="E156" s="761" t="s">
        <v>2380</v>
      </c>
      <c r="F156" s="761">
        <v>131200760</v>
      </c>
      <c r="G156" s="761" t="s">
        <v>2381</v>
      </c>
      <c r="H156" s="761" t="s">
        <v>7274</v>
      </c>
      <c r="I156" s="761" t="s">
        <v>6867</v>
      </c>
      <c r="J156" s="761">
        <v>1</v>
      </c>
      <c r="K156" s="746">
        <v>1273505.03</v>
      </c>
      <c r="L156" s="746">
        <v>650091.5</v>
      </c>
      <c r="M156" s="746">
        <v>623413.53</v>
      </c>
      <c r="N156" s="493" t="str">
        <f t="shared" si="2"/>
        <v>C390</v>
      </c>
      <c r="O156" s="493" t="s">
        <v>390</v>
      </c>
      <c r="P156" s="493"/>
    </row>
    <row r="157" spans="1:16">
      <c r="A157" s="761" t="s">
        <v>2339</v>
      </c>
      <c r="B157" s="761" t="s">
        <v>2340</v>
      </c>
      <c r="C157" s="761" t="s">
        <v>2356</v>
      </c>
      <c r="D157" s="761">
        <v>7097456</v>
      </c>
      <c r="E157" s="761" t="s">
        <v>2380</v>
      </c>
      <c r="F157" s="761">
        <v>131200760</v>
      </c>
      <c r="G157" s="761" t="s">
        <v>2381</v>
      </c>
      <c r="H157" s="761" t="s">
        <v>7274</v>
      </c>
      <c r="I157" s="761" t="s">
        <v>6867</v>
      </c>
      <c r="J157" s="761">
        <v>1</v>
      </c>
      <c r="K157" s="746">
        <v>1527692.69</v>
      </c>
      <c r="L157" s="746">
        <v>779847.75</v>
      </c>
      <c r="M157" s="746">
        <v>747844.94000000006</v>
      </c>
      <c r="N157" s="493" t="str">
        <f t="shared" si="2"/>
        <v>C390</v>
      </c>
      <c r="O157" s="493" t="s">
        <v>390</v>
      </c>
      <c r="P157" s="493"/>
    </row>
    <row r="158" spans="1:16">
      <c r="A158" s="761" t="s">
        <v>2339</v>
      </c>
      <c r="B158" s="761" t="s">
        <v>2340</v>
      </c>
      <c r="C158" s="761" t="s">
        <v>2356</v>
      </c>
      <c r="D158" s="761">
        <v>7097457</v>
      </c>
      <c r="E158" s="761" t="s">
        <v>2380</v>
      </c>
      <c r="F158" s="761">
        <v>131200760</v>
      </c>
      <c r="G158" s="761" t="s">
        <v>2381</v>
      </c>
      <c r="H158" s="761" t="s">
        <v>7274</v>
      </c>
      <c r="I158" s="761" t="s">
        <v>6867</v>
      </c>
      <c r="J158" s="761">
        <v>1</v>
      </c>
      <c r="K158" s="746">
        <v>765218.12</v>
      </c>
      <c r="L158" s="746">
        <v>390624.13</v>
      </c>
      <c r="M158" s="746">
        <v>374593.99</v>
      </c>
      <c r="N158" s="493" t="str">
        <f t="shared" si="2"/>
        <v>C390</v>
      </c>
      <c r="O158" s="493" t="s">
        <v>390</v>
      </c>
      <c r="P158" s="493"/>
    </row>
    <row r="159" spans="1:16">
      <c r="A159" s="761" t="s">
        <v>2339</v>
      </c>
      <c r="B159" s="761" t="s">
        <v>2340</v>
      </c>
      <c r="C159" s="761" t="s">
        <v>2356</v>
      </c>
      <c r="D159" s="761">
        <v>7097458</v>
      </c>
      <c r="E159" s="761" t="s">
        <v>2380</v>
      </c>
      <c r="F159" s="761">
        <v>131200760</v>
      </c>
      <c r="G159" s="761" t="s">
        <v>2381</v>
      </c>
      <c r="H159" s="761" t="s">
        <v>7274</v>
      </c>
      <c r="I159" s="761" t="s">
        <v>6867</v>
      </c>
      <c r="J159" s="761">
        <v>1</v>
      </c>
      <c r="K159" s="746">
        <v>366741.60000000003</v>
      </c>
      <c r="L159" s="746">
        <v>187212.14</v>
      </c>
      <c r="M159" s="746">
        <v>179529.46</v>
      </c>
      <c r="N159" s="493" t="str">
        <f t="shared" si="2"/>
        <v>C390</v>
      </c>
      <c r="O159" s="493" t="s">
        <v>390</v>
      </c>
      <c r="P159" s="493"/>
    </row>
    <row r="160" spans="1:16">
      <c r="A160" s="761" t="s">
        <v>2339</v>
      </c>
      <c r="B160" s="761" t="s">
        <v>2340</v>
      </c>
      <c r="C160" s="761" t="s">
        <v>2356</v>
      </c>
      <c r="D160" s="761">
        <v>7097459</v>
      </c>
      <c r="E160" s="761" t="s">
        <v>2380</v>
      </c>
      <c r="F160" s="761">
        <v>131200760</v>
      </c>
      <c r="G160" s="761" t="s">
        <v>2381</v>
      </c>
      <c r="H160" s="761" t="s">
        <v>7274</v>
      </c>
      <c r="I160" s="761" t="s">
        <v>6867</v>
      </c>
      <c r="J160" s="761">
        <v>1</v>
      </c>
      <c r="K160" s="746">
        <v>127975.66</v>
      </c>
      <c r="L160" s="746">
        <v>65328.28</v>
      </c>
      <c r="M160" s="746">
        <v>62647.380000000005</v>
      </c>
      <c r="N160" s="493" t="str">
        <f t="shared" si="2"/>
        <v>C390</v>
      </c>
      <c r="O160" s="493" t="s">
        <v>390</v>
      </c>
      <c r="P160" s="493"/>
    </row>
    <row r="161" spans="1:16">
      <c r="A161" s="761" t="s">
        <v>2339</v>
      </c>
      <c r="B161" s="761" t="s">
        <v>2340</v>
      </c>
      <c r="C161" s="761" t="s">
        <v>2356</v>
      </c>
      <c r="D161" s="761">
        <v>7097460</v>
      </c>
      <c r="E161" s="761" t="s">
        <v>2380</v>
      </c>
      <c r="F161" s="761">
        <v>131200760</v>
      </c>
      <c r="G161" s="761" t="s">
        <v>2381</v>
      </c>
      <c r="H161" s="761" t="s">
        <v>7274</v>
      </c>
      <c r="I161" s="761" t="s">
        <v>6867</v>
      </c>
      <c r="J161" s="761">
        <v>1</v>
      </c>
      <c r="K161" s="746">
        <v>993456.24</v>
      </c>
      <c r="L161" s="746">
        <v>507133.81</v>
      </c>
      <c r="M161" s="746">
        <v>486322.43</v>
      </c>
      <c r="N161" s="493" t="str">
        <f t="shared" si="2"/>
        <v>C390</v>
      </c>
      <c r="O161" s="493" t="s">
        <v>390</v>
      </c>
      <c r="P161" s="493"/>
    </row>
    <row r="162" spans="1:16">
      <c r="A162" s="761" t="s">
        <v>2339</v>
      </c>
      <c r="B162" s="761" t="s">
        <v>2340</v>
      </c>
      <c r="C162" s="761" t="s">
        <v>2356</v>
      </c>
      <c r="D162" s="761">
        <v>7097461</v>
      </c>
      <c r="E162" s="761" t="s">
        <v>2380</v>
      </c>
      <c r="F162" s="761">
        <v>131200760</v>
      </c>
      <c r="G162" s="761" t="s">
        <v>2381</v>
      </c>
      <c r="H162" s="761" t="s">
        <v>7274</v>
      </c>
      <c r="I162" s="761" t="s">
        <v>6867</v>
      </c>
      <c r="J162" s="761">
        <v>1</v>
      </c>
      <c r="K162" s="746">
        <v>334974.22000000003</v>
      </c>
      <c r="L162" s="746">
        <v>170995.71</v>
      </c>
      <c r="M162" s="746">
        <v>163978.51</v>
      </c>
      <c r="N162" s="493" t="str">
        <f t="shared" si="2"/>
        <v>C390</v>
      </c>
      <c r="O162" s="493" t="s">
        <v>390</v>
      </c>
      <c r="P162" s="493"/>
    </row>
    <row r="163" spans="1:16">
      <c r="A163" s="761" t="s">
        <v>2339</v>
      </c>
      <c r="B163" s="761" t="s">
        <v>2340</v>
      </c>
      <c r="C163" s="761" t="s">
        <v>2356</v>
      </c>
      <c r="D163" s="761">
        <v>7097462</v>
      </c>
      <c r="E163" s="761" t="s">
        <v>2380</v>
      </c>
      <c r="F163" s="761">
        <v>131200760</v>
      </c>
      <c r="G163" s="761" t="s">
        <v>2381</v>
      </c>
      <c r="H163" s="761" t="s">
        <v>7274</v>
      </c>
      <c r="I163" s="761" t="s">
        <v>6867</v>
      </c>
      <c r="J163" s="761">
        <v>1</v>
      </c>
      <c r="K163" s="746">
        <v>262844.46000000002</v>
      </c>
      <c r="L163" s="746">
        <v>134175.32</v>
      </c>
      <c r="M163" s="746">
        <v>128669.14</v>
      </c>
      <c r="N163" s="493" t="str">
        <f t="shared" si="2"/>
        <v>C390</v>
      </c>
      <c r="O163" s="493" t="s">
        <v>390</v>
      </c>
      <c r="P163" s="493"/>
    </row>
    <row r="164" spans="1:16">
      <c r="A164" s="761" t="s">
        <v>2339</v>
      </c>
      <c r="B164" s="761" t="s">
        <v>2340</v>
      </c>
      <c r="C164" s="761" t="s">
        <v>2356</v>
      </c>
      <c r="D164" s="761">
        <v>7097463</v>
      </c>
      <c r="E164" s="761" t="s">
        <v>2380</v>
      </c>
      <c r="F164" s="761">
        <v>131200760</v>
      </c>
      <c r="G164" s="761" t="s">
        <v>2381</v>
      </c>
      <c r="H164" s="761" t="s">
        <v>7274</v>
      </c>
      <c r="I164" s="761" t="s">
        <v>6867</v>
      </c>
      <c r="J164" s="761">
        <v>1</v>
      </c>
      <c r="K164" s="746">
        <v>10582089.16</v>
      </c>
      <c r="L164" s="746">
        <v>5401883.8200000003</v>
      </c>
      <c r="M164" s="746">
        <v>5180205.34</v>
      </c>
      <c r="N164" s="493" t="str">
        <f t="shared" si="2"/>
        <v>C390</v>
      </c>
      <c r="O164" s="493" t="s">
        <v>390</v>
      </c>
      <c r="P164" s="493"/>
    </row>
    <row r="165" spans="1:16">
      <c r="A165" s="761" t="s">
        <v>2339</v>
      </c>
      <c r="B165" s="761" t="s">
        <v>2340</v>
      </c>
      <c r="C165" s="761" t="s">
        <v>2356</v>
      </c>
      <c r="D165" s="761">
        <v>7097466</v>
      </c>
      <c r="E165" s="761" t="s">
        <v>2380</v>
      </c>
      <c r="F165" s="761">
        <v>131200760</v>
      </c>
      <c r="G165" s="761" t="s">
        <v>2381</v>
      </c>
      <c r="H165" s="761" t="s">
        <v>7274</v>
      </c>
      <c r="I165" s="761" t="s">
        <v>6867</v>
      </c>
      <c r="J165" s="761">
        <v>1</v>
      </c>
      <c r="K165" s="746">
        <v>142719.17000000001</v>
      </c>
      <c r="L165" s="746">
        <v>72854.460000000006</v>
      </c>
      <c r="M165" s="746">
        <v>69864.710000000006</v>
      </c>
      <c r="N165" s="493" t="str">
        <f t="shared" si="2"/>
        <v>C390</v>
      </c>
      <c r="O165" s="493" t="s">
        <v>390</v>
      </c>
      <c r="P165" s="493"/>
    </row>
    <row r="166" spans="1:16">
      <c r="A166" s="761" t="s">
        <v>2339</v>
      </c>
      <c r="B166" s="761" t="s">
        <v>2340</v>
      </c>
      <c r="C166" s="761" t="s">
        <v>2356</v>
      </c>
      <c r="D166" s="761">
        <v>7097467</v>
      </c>
      <c r="E166" s="761" t="s">
        <v>2380</v>
      </c>
      <c r="F166" s="761">
        <v>131200760</v>
      </c>
      <c r="G166" s="761" t="s">
        <v>2381</v>
      </c>
      <c r="H166" s="761" t="s">
        <v>7274</v>
      </c>
      <c r="I166" s="761" t="s">
        <v>6867</v>
      </c>
      <c r="J166" s="761">
        <v>1</v>
      </c>
      <c r="K166" s="746">
        <v>444622.94</v>
      </c>
      <c r="L166" s="746">
        <v>226968.55000000002</v>
      </c>
      <c r="M166" s="746">
        <v>217654.39</v>
      </c>
      <c r="N166" s="493" t="str">
        <f t="shared" si="2"/>
        <v>C390</v>
      </c>
      <c r="O166" s="493" t="s">
        <v>390</v>
      </c>
      <c r="P166" s="493"/>
    </row>
    <row r="167" spans="1:16">
      <c r="A167" s="761" t="s">
        <v>2339</v>
      </c>
      <c r="B167" s="761" t="s">
        <v>2340</v>
      </c>
      <c r="C167" s="761" t="s">
        <v>2356</v>
      </c>
      <c r="D167" s="761">
        <v>7097468</v>
      </c>
      <c r="E167" s="761" t="s">
        <v>2380</v>
      </c>
      <c r="F167" s="761">
        <v>131200760</v>
      </c>
      <c r="G167" s="761" t="s">
        <v>2381</v>
      </c>
      <c r="H167" s="761" t="s">
        <v>7274</v>
      </c>
      <c r="I167" s="761" t="s">
        <v>6867</v>
      </c>
      <c r="J167" s="761">
        <v>1</v>
      </c>
      <c r="K167" s="746">
        <v>191938.04</v>
      </c>
      <c r="L167" s="746">
        <v>97979.42</v>
      </c>
      <c r="M167" s="746">
        <v>93958.62</v>
      </c>
      <c r="N167" s="493" t="str">
        <f t="shared" si="2"/>
        <v>C390</v>
      </c>
      <c r="O167" s="493" t="s">
        <v>390</v>
      </c>
      <c r="P167" s="493"/>
    </row>
    <row r="168" spans="1:16">
      <c r="A168" s="761" t="s">
        <v>2339</v>
      </c>
      <c r="B168" s="761" t="s">
        <v>2340</v>
      </c>
      <c r="C168" s="761" t="s">
        <v>2356</v>
      </c>
      <c r="D168" s="761">
        <v>7303336</v>
      </c>
      <c r="E168" s="761" t="s">
        <v>2380</v>
      </c>
      <c r="F168" s="761">
        <v>131203301</v>
      </c>
      <c r="G168" s="761" t="s">
        <v>2382</v>
      </c>
      <c r="H168" s="761" t="s">
        <v>2382</v>
      </c>
      <c r="I168" s="761" t="s">
        <v>6867</v>
      </c>
      <c r="J168" s="761">
        <v>1</v>
      </c>
      <c r="K168" s="746">
        <v>2925.54</v>
      </c>
      <c r="L168" s="746">
        <v>1493.41</v>
      </c>
      <c r="M168" s="746">
        <v>1432.13</v>
      </c>
      <c r="N168" s="493" t="str">
        <f t="shared" si="2"/>
        <v>C390</v>
      </c>
      <c r="O168" s="493" t="s">
        <v>390</v>
      </c>
      <c r="P168" s="493"/>
    </row>
    <row r="169" spans="1:16">
      <c r="A169" s="761" t="s">
        <v>2339</v>
      </c>
      <c r="B169" s="761" t="s">
        <v>2340</v>
      </c>
      <c r="C169" s="761" t="s">
        <v>2356</v>
      </c>
      <c r="D169" s="761">
        <v>7303338</v>
      </c>
      <c r="E169" s="761" t="s">
        <v>2380</v>
      </c>
      <c r="F169" s="761">
        <v>131203301</v>
      </c>
      <c r="G169" s="761" t="s">
        <v>2382</v>
      </c>
      <c r="H169" s="761" t="s">
        <v>2382</v>
      </c>
      <c r="I169" s="761" t="s">
        <v>6867</v>
      </c>
      <c r="J169" s="761">
        <v>1</v>
      </c>
      <c r="K169" s="746">
        <v>60070.29</v>
      </c>
      <c r="L169" s="746">
        <v>30664.34</v>
      </c>
      <c r="M169" s="746">
        <v>29405.95</v>
      </c>
      <c r="N169" s="493" t="str">
        <f t="shared" si="2"/>
        <v>C390</v>
      </c>
      <c r="O169" s="493" t="s">
        <v>390</v>
      </c>
      <c r="P169" s="493"/>
    </row>
    <row r="170" spans="1:16">
      <c r="A170" s="761" t="s">
        <v>2339</v>
      </c>
      <c r="B170" s="761" t="s">
        <v>2340</v>
      </c>
      <c r="C170" s="761" t="s">
        <v>2356</v>
      </c>
      <c r="D170" s="761">
        <v>7303339</v>
      </c>
      <c r="E170" s="761" t="s">
        <v>2380</v>
      </c>
      <c r="F170" s="761">
        <v>131203301</v>
      </c>
      <c r="G170" s="761" t="s">
        <v>2382</v>
      </c>
      <c r="H170" s="761" t="s">
        <v>2382</v>
      </c>
      <c r="I170" s="761" t="s">
        <v>6867</v>
      </c>
      <c r="J170" s="761">
        <v>1</v>
      </c>
      <c r="K170" s="746">
        <v>74746.53</v>
      </c>
      <c r="L170" s="746">
        <v>38156.18</v>
      </c>
      <c r="M170" s="746">
        <v>36590.35</v>
      </c>
      <c r="N170" s="493" t="str">
        <f t="shared" si="2"/>
        <v>C390</v>
      </c>
      <c r="O170" s="493" t="s">
        <v>390</v>
      </c>
      <c r="P170" s="493"/>
    </row>
    <row r="171" spans="1:16">
      <c r="A171" s="761" t="s">
        <v>2339</v>
      </c>
      <c r="B171" s="761" t="s">
        <v>2340</v>
      </c>
      <c r="C171" s="761" t="s">
        <v>2356</v>
      </c>
      <c r="D171" s="761">
        <v>7303340</v>
      </c>
      <c r="E171" s="761" t="s">
        <v>2380</v>
      </c>
      <c r="F171" s="761">
        <v>131203301</v>
      </c>
      <c r="G171" s="761" t="s">
        <v>2382</v>
      </c>
      <c r="H171" s="761" t="s">
        <v>2382</v>
      </c>
      <c r="I171" s="761" t="s">
        <v>6867</v>
      </c>
      <c r="J171" s="761">
        <v>1</v>
      </c>
      <c r="K171" s="746">
        <v>250594.67</v>
      </c>
      <c r="L171" s="746">
        <v>127922.12000000001</v>
      </c>
      <c r="M171" s="746">
        <v>122672.55</v>
      </c>
      <c r="N171" s="493" t="str">
        <f t="shared" si="2"/>
        <v>C390</v>
      </c>
      <c r="O171" s="493" t="s">
        <v>390</v>
      </c>
      <c r="P171" s="493"/>
    </row>
    <row r="172" spans="1:16">
      <c r="A172" s="761" t="s">
        <v>2339</v>
      </c>
      <c r="B172" s="761" t="s">
        <v>2340</v>
      </c>
      <c r="C172" s="761" t="s">
        <v>2356</v>
      </c>
      <c r="D172" s="761">
        <v>7303341</v>
      </c>
      <c r="E172" s="761" t="s">
        <v>2380</v>
      </c>
      <c r="F172" s="761">
        <v>131203301</v>
      </c>
      <c r="G172" s="761" t="s">
        <v>2382</v>
      </c>
      <c r="H172" s="761" t="s">
        <v>2382</v>
      </c>
      <c r="I172" s="761" t="s">
        <v>6867</v>
      </c>
      <c r="J172" s="761">
        <v>1</v>
      </c>
      <c r="K172" s="746">
        <v>15079.970000000001</v>
      </c>
      <c r="L172" s="746">
        <v>7697.9400000000005</v>
      </c>
      <c r="M172" s="746">
        <v>7382.03</v>
      </c>
      <c r="N172" s="493" t="str">
        <f t="shared" si="2"/>
        <v>C390</v>
      </c>
      <c r="O172" s="493" t="s">
        <v>390</v>
      </c>
      <c r="P172" s="493"/>
    </row>
    <row r="173" spans="1:16">
      <c r="A173" s="761" t="s">
        <v>2339</v>
      </c>
      <c r="B173" s="761" t="s">
        <v>2340</v>
      </c>
      <c r="C173" s="761" t="s">
        <v>2383</v>
      </c>
      <c r="D173" s="761">
        <v>99418</v>
      </c>
      <c r="E173" s="761" t="s">
        <v>2384</v>
      </c>
      <c r="F173" s="761" t="s">
        <v>2357</v>
      </c>
      <c r="I173" s="761" t="s">
        <v>6867</v>
      </c>
      <c r="J173" s="761">
        <v>1</v>
      </c>
      <c r="K173" s="746">
        <v>14417.43</v>
      </c>
      <c r="L173" s="746">
        <v>13190.35</v>
      </c>
      <c r="M173" s="746">
        <v>1227.08</v>
      </c>
      <c r="N173" s="493" t="str">
        <f t="shared" si="2"/>
        <v>C390</v>
      </c>
      <c r="O173" s="493" t="s">
        <v>390</v>
      </c>
      <c r="P173" s="493"/>
    </row>
    <row r="174" spans="1:16">
      <c r="A174" s="761" t="s">
        <v>2339</v>
      </c>
      <c r="B174" s="761" t="s">
        <v>2340</v>
      </c>
      <c r="C174" s="761" t="s">
        <v>2383</v>
      </c>
      <c r="D174" s="761">
        <v>81761</v>
      </c>
      <c r="E174" s="761" t="s">
        <v>2384</v>
      </c>
      <c r="F174" s="761" t="s">
        <v>2357</v>
      </c>
      <c r="I174" s="761" t="s">
        <v>6867</v>
      </c>
      <c r="J174" s="761">
        <v>0</v>
      </c>
      <c r="K174" s="746">
        <v>6820.8</v>
      </c>
      <c r="L174" s="746">
        <v>3738.58</v>
      </c>
      <c r="M174" s="746">
        <v>3082.2200000000003</v>
      </c>
      <c r="N174" s="493" t="str">
        <f t="shared" si="2"/>
        <v>C390</v>
      </c>
      <c r="O174" s="493" t="s">
        <v>390</v>
      </c>
      <c r="P174" s="493"/>
    </row>
    <row r="175" spans="1:16">
      <c r="A175" s="761" t="s">
        <v>2339</v>
      </c>
      <c r="B175" s="761" t="s">
        <v>2340</v>
      </c>
      <c r="C175" s="761" t="s">
        <v>2358</v>
      </c>
      <c r="D175" s="761">
        <v>33442</v>
      </c>
      <c r="E175" s="761" t="s">
        <v>2385</v>
      </c>
      <c r="F175" s="761" t="s">
        <v>2357</v>
      </c>
      <c r="I175" s="761" t="s">
        <v>6867</v>
      </c>
      <c r="J175" s="761">
        <v>1</v>
      </c>
      <c r="K175" s="746">
        <v>1001661.91</v>
      </c>
      <c r="L175" s="746">
        <v>923747.46</v>
      </c>
      <c r="M175" s="746">
        <v>77914.45</v>
      </c>
      <c r="N175" s="493" t="str">
        <f t="shared" si="2"/>
        <v>C390</v>
      </c>
      <c r="O175" s="493" t="s">
        <v>390</v>
      </c>
      <c r="P175" s="493"/>
    </row>
    <row r="176" spans="1:16">
      <c r="A176" s="761" t="s">
        <v>2339</v>
      </c>
      <c r="B176" s="761" t="s">
        <v>2340</v>
      </c>
      <c r="C176" s="761" t="s">
        <v>2358</v>
      </c>
      <c r="D176" s="761">
        <v>33443</v>
      </c>
      <c r="E176" s="761" t="s">
        <v>2385</v>
      </c>
      <c r="F176" s="761" t="s">
        <v>2357</v>
      </c>
      <c r="I176" s="761" t="s">
        <v>6867</v>
      </c>
      <c r="J176" s="761">
        <v>1</v>
      </c>
      <c r="K176" s="746">
        <v>1599747.29</v>
      </c>
      <c r="L176" s="746">
        <v>1452741.01</v>
      </c>
      <c r="M176" s="746">
        <v>147006.28</v>
      </c>
      <c r="N176" s="493" t="str">
        <f t="shared" si="2"/>
        <v>C390</v>
      </c>
      <c r="O176" s="493" t="s">
        <v>390</v>
      </c>
      <c r="P176" s="493"/>
    </row>
    <row r="177" spans="1:16">
      <c r="A177" s="761" t="s">
        <v>2339</v>
      </c>
      <c r="B177" s="761" t="s">
        <v>2340</v>
      </c>
      <c r="C177" s="761" t="s">
        <v>2358</v>
      </c>
      <c r="D177" s="761">
        <v>33444</v>
      </c>
      <c r="E177" s="761" t="s">
        <v>2385</v>
      </c>
      <c r="F177" s="761" t="s">
        <v>2357</v>
      </c>
      <c r="I177" s="761" t="s">
        <v>6867</v>
      </c>
      <c r="J177" s="761">
        <v>1</v>
      </c>
      <c r="K177" s="746">
        <v>3744.9700000000003</v>
      </c>
      <c r="L177" s="746">
        <v>3283.08</v>
      </c>
      <c r="M177" s="746">
        <v>461.89</v>
      </c>
      <c r="N177" s="493" t="str">
        <f t="shared" si="2"/>
        <v>C390</v>
      </c>
      <c r="O177" s="493" t="s">
        <v>390</v>
      </c>
      <c r="P177" s="493"/>
    </row>
    <row r="178" spans="1:16">
      <c r="A178" s="761" t="s">
        <v>2339</v>
      </c>
      <c r="B178" s="761" t="s">
        <v>2340</v>
      </c>
      <c r="C178" s="761" t="s">
        <v>2358</v>
      </c>
      <c r="D178" s="761">
        <v>93168</v>
      </c>
      <c r="E178" s="761" t="s">
        <v>2385</v>
      </c>
      <c r="F178" s="761" t="s">
        <v>2357</v>
      </c>
      <c r="I178" s="761" t="s">
        <v>6867</v>
      </c>
      <c r="J178" s="761">
        <v>1</v>
      </c>
      <c r="K178" s="746">
        <v>615192.72</v>
      </c>
      <c r="L178" s="746">
        <v>528629.49</v>
      </c>
      <c r="M178" s="746">
        <v>86563.23</v>
      </c>
      <c r="N178" s="493" t="str">
        <f t="shared" si="2"/>
        <v>C390</v>
      </c>
      <c r="O178" s="493" t="s">
        <v>390</v>
      </c>
      <c r="P178" s="493"/>
    </row>
    <row r="179" spans="1:16">
      <c r="A179" s="761" t="s">
        <v>2339</v>
      </c>
      <c r="B179" s="761" t="s">
        <v>2340</v>
      </c>
      <c r="C179" s="761" t="s">
        <v>2358</v>
      </c>
      <c r="D179" s="761">
        <v>33445</v>
      </c>
      <c r="E179" s="761" t="s">
        <v>2385</v>
      </c>
      <c r="F179" s="761" t="s">
        <v>2357</v>
      </c>
      <c r="I179" s="761" t="s">
        <v>6867</v>
      </c>
      <c r="J179" s="761">
        <v>1</v>
      </c>
      <c r="K179" s="746">
        <v>221817.27000000002</v>
      </c>
      <c r="L179" s="746">
        <v>186502.21</v>
      </c>
      <c r="M179" s="746">
        <v>35315.06</v>
      </c>
      <c r="N179" s="493" t="str">
        <f t="shared" si="2"/>
        <v>C390</v>
      </c>
      <c r="O179" s="493" t="s">
        <v>390</v>
      </c>
      <c r="P179" s="493"/>
    </row>
    <row r="180" spans="1:16">
      <c r="A180" s="761" t="s">
        <v>2339</v>
      </c>
      <c r="B180" s="761" t="s">
        <v>2340</v>
      </c>
      <c r="C180" s="761" t="s">
        <v>2358</v>
      </c>
      <c r="D180" s="761">
        <v>33446</v>
      </c>
      <c r="E180" s="761" t="s">
        <v>2385</v>
      </c>
      <c r="F180" s="761" t="s">
        <v>2357</v>
      </c>
      <c r="I180" s="761" t="s">
        <v>6867</v>
      </c>
      <c r="J180" s="761">
        <v>1</v>
      </c>
      <c r="K180" s="746">
        <v>78427.64</v>
      </c>
      <c r="L180" s="746">
        <v>64402.85</v>
      </c>
      <c r="M180" s="746">
        <v>14024.79</v>
      </c>
      <c r="N180" s="493" t="str">
        <f t="shared" si="2"/>
        <v>C390</v>
      </c>
      <c r="O180" s="493" t="s">
        <v>390</v>
      </c>
      <c r="P180" s="493"/>
    </row>
    <row r="181" spans="1:16">
      <c r="A181" s="761" t="s">
        <v>2339</v>
      </c>
      <c r="B181" s="761" t="s">
        <v>2340</v>
      </c>
      <c r="C181" s="761" t="s">
        <v>2358</v>
      </c>
      <c r="D181" s="761">
        <v>33447</v>
      </c>
      <c r="E181" s="761" t="s">
        <v>2385</v>
      </c>
      <c r="F181" s="761" t="s">
        <v>2357</v>
      </c>
      <c r="I181" s="761" t="s">
        <v>6867</v>
      </c>
      <c r="J181" s="761">
        <v>1</v>
      </c>
      <c r="K181" s="746">
        <v>13477.29</v>
      </c>
      <c r="L181" s="746">
        <v>10787.78</v>
      </c>
      <c r="M181" s="746">
        <v>2689.51</v>
      </c>
      <c r="N181" s="493" t="str">
        <f t="shared" si="2"/>
        <v>C390</v>
      </c>
      <c r="O181" s="493" t="s">
        <v>390</v>
      </c>
      <c r="P181" s="493"/>
    </row>
    <row r="182" spans="1:16">
      <c r="A182" s="761" t="s">
        <v>2339</v>
      </c>
      <c r="B182" s="761" t="s">
        <v>2340</v>
      </c>
      <c r="C182" s="761" t="s">
        <v>2358</v>
      </c>
      <c r="D182" s="761">
        <v>33448</v>
      </c>
      <c r="E182" s="761" t="s">
        <v>2385</v>
      </c>
      <c r="F182" s="761" t="s">
        <v>2357</v>
      </c>
      <c r="I182" s="761" t="s">
        <v>6867</v>
      </c>
      <c r="J182" s="761">
        <v>1</v>
      </c>
      <c r="K182" s="746">
        <v>5966.25</v>
      </c>
      <c r="L182" s="746">
        <v>4645.3500000000004</v>
      </c>
      <c r="M182" s="746">
        <v>1320.9</v>
      </c>
      <c r="N182" s="493" t="str">
        <f t="shared" si="2"/>
        <v>C390</v>
      </c>
      <c r="O182" s="493" t="s">
        <v>390</v>
      </c>
      <c r="P182" s="493"/>
    </row>
    <row r="183" spans="1:16">
      <c r="A183" s="761" t="s">
        <v>2339</v>
      </c>
      <c r="B183" s="761" t="s">
        <v>2340</v>
      </c>
      <c r="C183" s="761" t="s">
        <v>2358</v>
      </c>
      <c r="D183" s="761">
        <v>33449</v>
      </c>
      <c r="E183" s="761" t="s">
        <v>2385</v>
      </c>
      <c r="F183" s="761" t="s">
        <v>2357</v>
      </c>
      <c r="I183" s="761" t="s">
        <v>6867</v>
      </c>
      <c r="J183" s="761">
        <v>1</v>
      </c>
      <c r="K183" s="746">
        <v>11191.08</v>
      </c>
      <c r="L183" s="746">
        <v>8456.9699999999993</v>
      </c>
      <c r="M183" s="746">
        <v>2734.11</v>
      </c>
      <c r="N183" s="493" t="str">
        <f t="shared" si="2"/>
        <v>C390</v>
      </c>
      <c r="O183" s="493" t="s">
        <v>390</v>
      </c>
      <c r="P183" s="493"/>
    </row>
    <row r="184" spans="1:16">
      <c r="A184" s="761" t="s">
        <v>2339</v>
      </c>
      <c r="B184" s="761" t="s">
        <v>2340</v>
      </c>
      <c r="C184" s="761" t="s">
        <v>2358</v>
      </c>
      <c r="D184" s="761">
        <v>33450</v>
      </c>
      <c r="E184" s="761" t="s">
        <v>2385</v>
      </c>
      <c r="F184" s="761" t="s">
        <v>2357</v>
      </c>
      <c r="I184" s="761" t="s">
        <v>6867</v>
      </c>
      <c r="J184" s="761">
        <v>1</v>
      </c>
      <c r="K184" s="746">
        <v>16612.03</v>
      </c>
      <c r="L184" s="746">
        <v>12154.97</v>
      </c>
      <c r="M184" s="746">
        <v>4457.0600000000004</v>
      </c>
      <c r="N184" s="493" t="str">
        <f t="shared" si="2"/>
        <v>C390</v>
      </c>
      <c r="O184" s="493" t="s">
        <v>390</v>
      </c>
      <c r="P184" s="493"/>
    </row>
    <row r="185" spans="1:16">
      <c r="A185" s="761" t="s">
        <v>2339</v>
      </c>
      <c r="B185" s="761" t="s">
        <v>2340</v>
      </c>
      <c r="C185" s="761" t="s">
        <v>2358</v>
      </c>
      <c r="D185" s="761">
        <v>56330</v>
      </c>
      <c r="E185" s="761" t="s">
        <v>2385</v>
      </c>
      <c r="F185" s="761" t="s">
        <v>2357</v>
      </c>
      <c r="I185" s="761" t="s">
        <v>6867</v>
      </c>
      <c r="J185" s="761">
        <v>2</v>
      </c>
      <c r="K185" s="746">
        <v>5576.46</v>
      </c>
      <c r="L185" s="746">
        <v>3646.15</v>
      </c>
      <c r="M185" s="746">
        <v>1930.31</v>
      </c>
      <c r="N185" s="493" t="str">
        <f t="shared" si="2"/>
        <v>C390</v>
      </c>
      <c r="O185" s="493" t="s">
        <v>390</v>
      </c>
      <c r="P185" s="493"/>
    </row>
    <row r="186" spans="1:16">
      <c r="A186" s="761" t="s">
        <v>2339</v>
      </c>
      <c r="B186" s="761" t="s">
        <v>2340</v>
      </c>
      <c r="C186" s="761" t="s">
        <v>2358</v>
      </c>
      <c r="D186" s="761">
        <v>56655</v>
      </c>
      <c r="E186" s="761" t="s">
        <v>2385</v>
      </c>
      <c r="F186" s="761" t="s">
        <v>2357</v>
      </c>
      <c r="I186" s="761" t="s">
        <v>6867</v>
      </c>
      <c r="J186" s="761">
        <v>1</v>
      </c>
      <c r="K186" s="746">
        <v>152502.89000000001</v>
      </c>
      <c r="L186" s="746">
        <v>99713.430000000008</v>
      </c>
      <c r="M186" s="746">
        <v>52789.46</v>
      </c>
      <c r="N186" s="493" t="str">
        <f t="shared" si="2"/>
        <v>C390</v>
      </c>
      <c r="O186" s="493" t="s">
        <v>390</v>
      </c>
      <c r="P186" s="493"/>
    </row>
    <row r="187" spans="1:16">
      <c r="A187" s="761" t="s">
        <v>2339</v>
      </c>
      <c r="B187" s="761" t="s">
        <v>2340</v>
      </c>
      <c r="C187" s="761" t="s">
        <v>2358</v>
      </c>
      <c r="D187" s="761">
        <v>56819</v>
      </c>
      <c r="E187" s="761" t="s">
        <v>2385</v>
      </c>
      <c r="F187" s="761" t="s">
        <v>2357</v>
      </c>
      <c r="I187" s="761" t="s">
        <v>6867</v>
      </c>
      <c r="J187" s="761">
        <v>1</v>
      </c>
      <c r="K187" s="746">
        <v>8570.1200000000008</v>
      </c>
      <c r="L187" s="746">
        <v>5603.54</v>
      </c>
      <c r="M187" s="746">
        <v>2966.58</v>
      </c>
      <c r="N187" s="493" t="str">
        <f t="shared" si="2"/>
        <v>C390</v>
      </c>
      <c r="O187" s="493" t="s">
        <v>390</v>
      </c>
      <c r="P187" s="493"/>
    </row>
    <row r="188" spans="1:16">
      <c r="A188" s="761" t="s">
        <v>2339</v>
      </c>
      <c r="B188" s="761" t="s">
        <v>2340</v>
      </c>
      <c r="C188" s="761" t="s">
        <v>2358</v>
      </c>
      <c r="D188" s="761">
        <v>56656</v>
      </c>
      <c r="E188" s="761" t="s">
        <v>2385</v>
      </c>
      <c r="F188" s="761" t="s">
        <v>2357</v>
      </c>
      <c r="I188" s="761" t="s">
        <v>6867</v>
      </c>
      <c r="J188" s="761">
        <v>1</v>
      </c>
      <c r="K188" s="746">
        <v>14974.65</v>
      </c>
      <c r="L188" s="746">
        <v>9375.81</v>
      </c>
      <c r="M188" s="746">
        <v>5598.84</v>
      </c>
      <c r="N188" s="493" t="str">
        <f t="shared" si="2"/>
        <v>C390</v>
      </c>
      <c r="O188" s="493" t="s">
        <v>390</v>
      </c>
      <c r="P188" s="493"/>
    </row>
    <row r="189" spans="1:16">
      <c r="A189" s="761" t="s">
        <v>2339</v>
      </c>
      <c r="B189" s="761" t="s">
        <v>2340</v>
      </c>
      <c r="C189" s="761" t="s">
        <v>2358</v>
      </c>
      <c r="D189" s="761">
        <v>79198</v>
      </c>
      <c r="E189" s="761" t="s">
        <v>2385</v>
      </c>
      <c r="F189" s="761" t="s">
        <v>2357</v>
      </c>
      <c r="I189" s="761" t="s">
        <v>6867</v>
      </c>
      <c r="J189" s="761">
        <v>0</v>
      </c>
      <c r="K189" s="746">
        <v>9796.3000000000011</v>
      </c>
      <c r="L189" s="746">
        <v>5276.4000000000005</v>
      </c>
      <c r="M189" s="746">
        <v>4519.9000000000005</v>
      </c>
      <c r="N189" s="493" t="str">
        <f t="shared" si="2"/>
        <v>C390</v>
      </c>
      <c r="O189" s="493" t="s">
        <v>390</v>
      </c>
      <c r="P189" s="493"/>
    </row>
    <row r="190" spans="1:16">
      <c r="A190" s="761" t="s">
        <v>2339</v>
      </c>
      <c r="B190" s="761" t="s">
        <v>2340</v>
      </c>
      <c r="C190" s="761" t="s">
        <v>2358</v>
      </c>
      <c r="D190" s="761">
        <v>79868</v>
      </c>
      <c r="E190" s="761" t="s">
        <v>2385</v>
      </c>
      <c r="F190" s="761" t="s">
        <v>2357</v>
      </c>
      <c r="I190" s="761" t="s">
        <v>6867</v>
      </c>
      <c r="J190" s="761">
        <v>1</v>
      </c>
      <c r="K190" s="746">
        <v>4428.92</v>
      </c>
      <c r="L190" s="746">
        <v>2385.4700000000003</v>
      </c>
      <c r="M190" s="746">
        <v>2043.45</v>
      </c>
      <c r="N190" s="493" t="str">
        <f t="shared" si="2"/>
        <v>C390</v>
      </c>
      <c r="O190" s="493" t="s">
        <v>390</v>
      </c>
      <c r="P190" s="493"/>
    </row>
    <row r="191" spans="1:16">
      <c r="A191" s="761" t="s">
        <v>2339</v>
      </c>
      <c r="B191" s="761" t="s">
        <v>2340</v>
      </c>
      <c r="C191" s="761" t="s">
        <v>2358</v>
      </c>
      <c r="D191" s="761">
        <v>82868</v>
      </c>
      <c r="E191" s="761" t="s">
        <v>2385</v>
      </c>
      <c r="F191" s="761" t="s">
        <v>2357</v>
      </c>
      <c r="I191" s="761" t="s">
        <v>6867</v>
      </c>
      <c r="J191" s="761">
        <v>0</v>
      </c>
      <c r="K191" s="746">
        <v>16012.800000000001</v>
      </c>
      <c r="L191" s="746">
        <v>8139.63</v>
      </c>
      <c r="M191" s="746">
        <v>7873.17</v>
      </c>
      <c r="N191" s="493" t="str">
        <f t="shared" si="2"/>
        <v>C390</v>
      </c>
      <c r="O191" s="493" t="s">
        <v>390</v>
      </c>
      <c r="P191" s="493"/>
    </row>
    <row r="192" spans="1:16">
      <c r="A192" s="761" t="s">
        <v>2339</v>
      </c>
      <c r="B192" s="761" t="s">
        <v>2340</v>
      </c>
      <c r="C192" s="761" t="s">
        <v>2358</v>
      </c>
      <c r="D192" s="761">
        <v>83201</v>
      </c>
      <c r="E192" s="761" t="s">
        <v>2385</v>
      </c>
      <c r="F192" s="761" t="s">
        <v>2357</v>
      </c>
      <c r="I192" s="761" t="s">
        <v>6867</v>
      </c>
      <c r="J192" s="761">
        <v>0</v>
      </c>
      <c r="K192" s="746">
        <v>55.85</v>
      </c>
      <c r="L192" s="746">
        <v>26.68</v>
      </c>
      <c r="M192" s="746">
        <v>29.17</v>
      </c>
      <c r="N192" s="493" t="str">
        <f t="shared" si="2"/>
        <v>C390</v>
      </c>
      <c r="O192" s="493" t="s">
        <v>390</v>
      </c>
      <c r="P192" s="493"/>
    </row>
    <row r="193" spans="1:16">
      <c r="A193" s="761" t="s">
        <v>2339</v>
      </c>
      <c r="B193" s="761" t="s">
        <v>2340</v>
      </c>
      <c r="C193" s="761" t="s">
        <v>2358</v>
      </c>
      <c r="D193" s="761">
        <v>83669</v>
      </c>
      <c r="E193" s="761" t="s">
        <v>2385</v>
      </c>
      <c r="F193" s="761" t="s">
        <v>2357</v>
      </c>
      <c r="I193" s="761" t="s">
        <v>6867</v>
      </c>
      <c r="J193" s="761">
        <v>0</v>
      </c>
      <c r="K193" s="746">
        <v>9851.2900000000009</v>
      </c>
      <c r="L193" s="746">
        <v>4705.47</v>
      </c>
      <c r="M193" s="746">
        <v>5145.82</v>
      </c>
      <c r="N193" s="493" t="str">
        <f t="shared" si="2"/>
        <v>C390</v>
      </c>
      <c r="O193" s="493" t="s">
        <v>390</v>
      </c>
      <c r="P193" s="493"/>
    </row>
    <row r="194" spans="1:16">
      <c r="A194" s="761" t="s">
        <v>2339</v>
      </c>
      <c r="B194" s="761" t="s">
        <v>2340</v>
      </c>
      <c r="C194" s="761" t="s">
        <v>2358</v>
      </c>
      <c r="D194" s="761">
        <v>94001</v>
      </c>
      <c r="E194" s="761" t="s">
        <v>2385</v>
      </c>
      <c r="F194" s="761" t="s">
        <v>2357</v>
      </c>
      <c r="I194" s="761" t="s">
        <v>6867</v>
      </c>
      <c r="J194" s="761">
        <v>0</v>
      </c>
      <c r="K194" s="746">
        <v>10529.65</v>
      </c>
      <c r="L194" s="746">
        <v>4703.62</v>
      </c>
      <c r="M194" s="746">
        <v>5826.03</v>
      </c>
      <c r="N194" s="493" t="str">
        <f t="shared" ref="N194:N257" si="3">LEFT(E194,4)</f>
        <v>C390</v>
      </c>
      <c r="O194" s="493" t="s">
        <v>390</v>
      </c>
      <c r="P194" s="493"/>
    </row>
    <row r="195" spans="1:16">
      <c r="A195" s="761" t="s">
        <v>2339</v>
      </c>
      <c r="B195" s="761" t="s">
        <v>2340</v>
      </c>
      <c r="C195" s="761" t="s">
        <v>2358</v>
      </c>
      <c r="D195" s="761">
        <v>105956</v>
      </c>
      <c r="E195" s="761" t="s">
        <v>2385</v>
      </c>
      <c r="F195" s="761" t="s">
        <v>2357</v>
      </c>
      <c r="I195" s="761" t="s">
        <v>6867</v>
      </c>
      <c r="J195" s="761">
        <v>0</v>
      </c>
      <c r="K195" s="746">
        <v>45736.28</v>
      </c>
      <c r="L195" s="746">
        <v>20430.510000000002</v>
      </c>
      <c r="M195" s="746">
        <v>25305.77</v>
      </c>
      <c r="N195" s="493" t="str">
        <f t="shared" si="3"/>
        <v>C390</v>
      </c>
      <c r="O195" s="493" t="s">
        <v>390</v>
      </c>
      <c r="P195" s="493"/>
    </row>
    <row r="196" spans="1:16">
      <c r="A196" s="761" t="s">
        <v>2339</v>
      </c>
      <c r="B196" s="761" t="s">
        <v>2340</v>
      </c>
      <c r="C196" s="761" t="s">
        <v>2358</v>
      </c>
      <c r="D196" s="761">
        <v>87022</v>
      </c>
      <c r="E196" s="761" t="s">
        <v>2385</v>
      </c>
      <c r="F196" s="761" t="s">
        <v>2357</v>
      </c>
      <c r="I196" s="761" t="s">
        <v>6867</v>
      </c>
      <c r="J196" s="761">
        <v>1</v>
      </c>
      <c r="K196" s="746">
        <v>11607.65</v>
      </c>
      <c r="L196" s="746">
        <v>5185.16</v>
      </c>
      <c r="M196" s="746">
        <v>6422.49</v>
      </c>
      <c r="N196" s="493" t="str">
        <f t="shared" si="3"/>
        <v>C390</v>
      </c>
      <c r="O196" s="493" t="s">
        <v>390</v>
      </c>
      <c r="P196" s="493"/>
    </row>
    <row r="197" spans="1:16">
      <c r="A197" s="761" t="s">
        <v>2339</v>
      </c>
      <c r="B197" s="761" t="s">
        <v>2340</v>
      </c>
      <c r="C197" s="761" t="s">
        <v>2358</v>
      </c>
      <c r="D197" s="761">
        <v>87282</v>
      </c>
      <c r="E197" s="761" t="s">
        <v>2385</v>
      </c>
      <c r="F197" s="761" t="s">
        <v>2357</v>
      </c>
      <c r="I197" s="761" t="s">
        <v>6867</v>
      </c>
      <c r="J197" s="761">
        <v>0</v>
      </c>
      <c r="K197" s="746">
        <v>4944.7</v>
      </c>
      <c r="L197" s="746">
        <v>2208.81</v>
      </c>
      <c r="M197" s="746">
        <v>2735.89</v>
      </c>
      <c r="N197" s="493" t="str">
        <f t="shared" si="3"/>
        <v>C390</v>
      </c>
      <c r="O197" s="493" t="s">
        <v>390</v>
      </c>
      <c r="P197" s="493"/>
    </row>
    <row r="198" spans="1:16">
      <c r="A198" s="761" t="s">
        <v>2339</v>
      </c>
      <c r="B198" s="761" t="s">
        <v>2340</v>
      </c>
      <c r="C198" s="761" t="s">
        <v>2358</v>
      </c>
      <c r="D198" s="761">
        <v>9118342</v>
      </c>
      <c r="E198" s="761" t="s">
        <v>2385</v>
      </c>
      <c r="F198" s="761">
        <v>131203080</v>
      </c>
      <c r="G198" s="761" t="s">
        <v>2386</v>
      </c>
      <c r="H198" s="761" t="s">
        <v>2386</v>
      </c>
      <c r="I198" s="761" t="s">
        <v>6867</v>
      </c>
      <c r="J198" s="761">
        <v>0</v>
      </c>
      <c r="K198" s="746">
        <v>302763.37</v>
      </c>
      <c r="L198" s="746">
        <v>116390.56</v>
      </c>
      <c r="M198" s="746">
        <v>186372.81</v>
      </c>
      <c r="N198" s="493" t="str">
        <f t="shared" si="3"/>
        <v>C390</v>
      </c>
      <c r="O198" s="493" t="s">
        <v>390</v>
      </c>
      <c r="P198" s="493"/>
    </row>
    <row r="199" spans="1:16">
      <c r="A199" s="761" t="s">
        <v>2339</v>
      </c>
      <c r="B199" s="761" t="s">
        <v>2340</v>
      </c>
      <c r="C199" s="761" t="s">
        <v>2358</v>
      </c>
      <c r="D199" s="761">
        <v>9053379</v>
      </c>
      <c r="E199" s="761" t="s">
        <v>2385</v>
      </c>
      <c r="F199" s="761">
        <v>131204300</v>
      </c>
      <c r="G199" s="761" t="s">
        <v>2387</v>
      </c>
      <c r="H199" s="761" t="s">
        <v>2387</v>
      </c>
      <c r="I199" s="761" t="s">
        <v>6867</v>
      </c>
      <c r="J199" s="761">
        <v>4</v>
      </c>
      <c r="K199" s="746">
        <v>74372.89</v>
      </c>
      <c r="L199" s="746">
        <v>26281.010000000002</v>
      </c>
      <c r="M199" s="746">
        <v>48091.88</v>
      </c>
      <c r="N199" s="493" t="str">
        <f t="shared" si="3"/>
        <v>C390</v>
      </c>
      <c r="O199" s="493" t="s">
        <v>390</v>
      </c>
      <c r="P199" s="493"/>
    </row>
    <row r="200" spans="1:16">
      <c r="A200" s="761" t="s">
        <v>2339</v>
      </c>
      <c r="B200" s="761" t="s">
        <v>2340</v>
      </c>
      <c r="C200" s="761" t="s">
        <v>2358</v>
      </c>
      <c r="D200" s="761">
        <v>23758357</v>
      </c>
      <c r="E200" s="761" t="s">
        <v>2385</v>
      </c>
      <c r="F200" s="761">
        <v>143000760</v>
      </c>
      <c r="G200" s="761" t="s">
        <v>2388</v>
      </c>
      <c r="H200" s="761" t="s">
        <v>7275</v>
      </c>
      <c r="I200" s="761" t="s">
        <v>6867</v>
      </c>
      <c r="J200" s="761">
        <v>1</v>
      </c>
      <c r="K200" s="746">
        <v>363230.84</v>
      </c>
      <c r="L200" s="746">
        <v>73998.790000000008</v>
      </c>
      <c r="M200" s="746">
        <v>289232.05</v>
      </c>
      <c r="N200" s="493" t="str">
        <f t="shared" si="3"/>
        <v>C390</v>
      </c>
      <c r="O200" s="493" t="s">
        <v>390</v>
      </c>
      <c r="P200" s="493"/>
    </row>
    <row r="201" spans="1:16">
      <c r="A201" s="761" t="s">
        <v>2339</v>
      </c>
      <c r="B201" s="761" t="s">
        <v>2340</v>
      </c>
      <c r="C201" s="761" t="s">
        <v>2358</v>
      </c>
      <c r="D201" s="761">
        <v>24882957</v>
      </c>
      <c r="E201" s="761" t="s">
        <v>2385</v>
      </c>
      <c r="F201" s="761">
        <v>143002302</v>
      </c>
      <c r="G201" s="761" t="s">
        <v>2389</v>
      </c>
      <c r="H201" s="761" t="s">
        <v>7276</v>
      </c>
      <c r="I201" s="761" t="s">
        <v>6867</v>
      </c>
      <c r="J201" s="761">
        <v>1</v>
      </c>
      <c r="K201" s="746">
        <v>38120.239999999998</v>
      </c>
      <c r="L201" s="746">
        <v>6699.66</v>
      </c>
      <c r="M201" s="746">
        <v>31420.58</v>
      </c>
      <c r="N201" s="493" t="str">
        <f t="shared" si="3"/>
        <v>C390</v>
      </c>
      <c r="O201" s="493" t="s">
        <v>390</v>
      </c>
      <c r="P201" s="493"/>
    </row>
    <row r="202" spans="1:16">
      <c r="A202" s="761" t="s">
        <v>2339</v>
      </c>
      <c r="B202" s="761" t="s">
        <v>2340</v>
      </c>
      <c r="C202" s="761" t="s">
        <v>2358</v>
      </c>
      <c r="D202" s="761">
        <v>30850584</v>
      </c>
      <c r="E202" s="761" t="s">
        <v>2385</v>
      </c>
      <c r="F202" s="761">
        <v>143002549</v>
      </c>
      <c r="G202" s="761" t="s">
        <v>2390</v>
      </c>
      <c r="H202" s="761" t="s">
        <v>7277</v>
      </c>
      <c r="I202" s="761" t="s">
        <v>6867</v>
      </c>
      <c r="J202" s="761">
        <v>1</v>
      </c>
      <c r="K202" s="746">
        <v>91384.11</v>
      </c>
      <c r="L202" s="746">
        <v>13587.02</v>
      </c>
      <c r="M202" s="746">
        <v>77797.09</v>
      </c>
      <c r="N202" s="493" t="str">
        <f t="shared" si="3"/>
        <v>C390</v>
      </c>
      <c r="O202" s="493" t="s">
        <v>390</v>
      </c>
      <c r="P202" s="493"/>
    </row>
    <row r="203" spans="1:16">
      <c r="A203" s="761" t="s">
        <v>2339</v>
      </c>
      <c r="B203" s="761" t="s">
        <v>2340</v>
      </c>
      <c r="C203" s="761" t="s">
        <v>2363</v>
      </c>
      <c r="D203" s="761">
        <v>33035</v>
      </c>
      <c r="E203" s="761" t="s">
        <v>2391</v>
      </c>
      <c r="F203" s="761" t="s">
        <v>2357</v>
      </c>
      <c r="I203" s="761" t="s">
        <v>6867</v>
      </c>
      <c r="J203" s="761">
        <v>1</v>
      </c>
      <c r="K203" s="746">
        <v>803327</v>
      </c>
      <c r="L203" s="746">
        <v>665808.87</v>
      </c>
      <c r="M203" s="746">
        <v>137518.13</v>
      </c>
      <c r="N203" s="493" t="str">
        <f t="shared" si="3"/>
        <v>C390</v>
      </c>
      <c r="O203" s="493" t="s">
        <v>99</v>
      </c>
      <c r="P203" s="493"/>
    </row>
    <row r="204" spans="1:16">
      <c r="A204" s="761" t="s">
        <v>2339</v>
      </c>
      <c r="B204" s="761" t="s">
        <v>2340</v>
      </c>
      <c r="C204" s="761" t="s">
        <v>2363</v>
      </c>
      <c r="D204" s="761">
        <v>4924471</v>
      </c>
      <c r="E204" s="761" t="s">
        <v>2391</v>
      </c>
      <c r="F204" s="761">
        <v>131202480</v>
      </c>
      <c r="G204" s="761" t="s">
        <v>2392</v>
      </c>
      <c r="H204" s="761" t="s">
        <v>2392</v>
      </c>
      <c r="I204" s="761" t="s">
        <v>6867</v>
      </c>
      <c r="J204" s="761">
        <v>1</v>
      </c>
      <c r="K204" s="746">
        <v>39002.629999999997</v>
      </c>
      <c r="L204" s="746">
        <v>16418.37</v>
      </c>
      <c r="M204" s="746">
        <v>22584.260000000002</v>
      </c>
      <c r="N204" s="493" t="str">
        <f t="shared" si="3"/>
        <v>C390</v>
      </c>
      <c r="O204" s="493" t="s">
        <v>99</v>
      </c>
      <c r="P204" s="493"/>
    </row>
    <row r="205" spans="1:16">
      <c r="A205" s="761" t="s">
        <v>2339</v>
      </c>
      <c r="B205" s="761" t="s">
        <v>2340</v>
      </c>
      <c r="C205" s="761" t="s">
        <v>2363</v>
      </c>
      <c r="D205" s="761">
        <v>9459531</v>
      </c>
      <c r="E205" s="761" t="s">
        <v>2391</v>
      </c>
      <c r="F205" s="761">
        <v>131204603</v>
      </c>
      <c r="G205" s="761" t="s">
        <v>2393</v>
      </c>
      <c r="H205" s="761" t="s">
        <v>2393</v>
      </c>
      <c r="I205" s="761" t="s">
        <v>6867</v>
      </c>
      <c r="J205" s="761">
        <v>0</v>
      </c>
      <c r="K205" s="746">
        <v>69827.16</v>
      </c>
      <c r="L205" s="746">
        <v>22780.16</v>
      </c>
      <c r="M205" s="746">
        <v>47047</v>
      </c>
      <c r="N205" s="493" t="str">
        <f t="shared" si="3"/>
        <v>C390</v>
      </c>
      <c r="O205" s="493" t="s">
        <v>95</v>
      </c>
      <c r="P205" s="493"/>
    </row>
    <row r="206" spans="1:16">
      <c r="A206" s="761" t="s">
        <v>2339</v>
      </c>
      <c r="B206" s="761" t="s">
        <v>2340</v>
      </c>
      <c r="C206" s="761" t="s">
        <v>2363</v>
      </c>
      <c r="D206" s="761">
        <v>24952000</v>
      </c>
      <c r="E206" s="761" t="s">
        <v>2391</v>
      </c>
      <c r="F206" s="761">
        <v>143002256</v>
      </c>
      <c r="G206" s="761" t="s">
        <v>2394</v>
      </c>
      <c r="H206" s="761" t="s">
        <v>2394</v>
      </c>
      <c r="I206" s="761" t="s">
        <v>6867</v>
      </c>
      <c r="J206" s="761">
        <v>1</v>
      </c>
      <c r="K206" s="746">
        <v>55231.14</v>
      </c>
      <c r="L206" s="746">
        <v>9780.24</v>
      </c>
      <c r="M206" s="746">
        <v>45450.9</v>
      </c>
      <c r="N206" s="493" t="str">
        <f t="shared" si="3"/>
        <v>C390</v>
      </c>
      <c r="O206" s="493" t="s">
        <v>99</v>
      </c>
      <c r="P206" s="493"/>
    </row>
    <row r="207" spans="1:16">
      <c r="A207" s="761" t="s">
        <v>2339</v>
      </c>
      <c r="B207" s="761" t="s">
        <v>2340</v>
      </c>
      <c r="C207" s="761" t="s">
        <v>2359</v>
      </c>
      <c r="D207" s="761">
        <v>33385</v>
      </c>
      <c r="E207" s="761" t="s">
        <v>2395</v>
      </c>
      <c r="F207" s="761" t="s">
        <v>2357</v>
      </c>
      <c r="I207" s="761" t="s">
        <v>6867</v>
      </c>
      <c r="J207" s="761">
        <v>1</v>
      </c>
      <c r="K207" s="746">
        <v>1447952.1</v>
      </c>
      <c r="L207" s="746">
        <v>1379199.6400000001</v>
      </c>
      <c r="M207" s="746">
        <v>68752.460000000006</v>
      </c>
      <c r="N207" s="493" t="str">
        <f t="shared" si="3"/>
        <v>C390</v>
      </c>
      <c r="O207" s="493" t="s">
        <v>390</v>
      </c>
      <c r="P207" s="493"/>
    </row>
    <row r="208" spans="1:16">
      <c r="A208" s="761" t="s">
        <v>2339</v>
      </c>
      <c r="B208" s="761" t="s">
        <v>2340</v>
      </c>
      <c r="C208" s="761" t="s">
        <v>2359</v>
      </c>
      <c r="D208" s="761">
        <v>33386</v>
      </c>
      <c r="E208" s="761" t="s">
        <v>2395</v>
      </c>
      <c r="F208" s="761" t="s">
        <v>2357</v>
      </c>
      <c r="I208" s="761" t="s">
        <v>6867</v>
      </c>
      <c r="J208" s="761">
        <v>1</v>
      </c>
      <c r="K208" s="746">
        <v>1156.21</v>
      </c>
      <c r="L208" s="746">
        <v>1087.8399999999999</v>
      </c>
      <c r="M208" s="746">
        <v>68.37</v>
      </c>
      <c r="N208" s="493" t="str">
        <f t="shared" si="3"/>
        <v>C390</v>
      </c>
      <c r="O208" s="493" t="s">
        <v>390</v>
      </c>
      <c r="P208" s="493"/>
    </row>
    <row r="209" spans="1:16">
      <c r="A209" s="761" t="s">
        <v>2339</v>
      </c>
      <c r="B209" s="761" t="s">
        <v>2340</v>
      </c>
      <c r="C209" s="761" t="s">
        <v>2359</v>
      </c>
      <c r="D209" s="761">
        <v>33387</v>
      </c>
      <c r="E209" s="761" t="s">
        <v>2395</v>
      </c>
      <c r="F209" s="761" t="s">
        <v>2357</v>
      </c>
      <c r="I209" s="761" t="s">
        <v>6867</v>
      </c>
      <c r="J209" s="761">
        <v>1</v>
      </c>
      <c r="K209" s="746">
        <v>5981.97</v>
      </c>
      <c r="L209" s="746">
        <v>5552.35</v>
      </c>
      <c r="M209" s="746">
        <v>429.62</v>
      </c>
      <c r="N209" s="493" t="str">
        <f t="shared" si="3"/>
        <v>C390</v>
      </c>
      <c r="O209" s="493" t="s">
        <v>390</v>
      </c>
      <c r="P209" s="493"/>
    </row>
    <row r="210" spans="1:16">
      <c r="A210" s="761" t="s">
        <v>2339</v>
      </c>
      <c r="B210" s="761" t="s">
        <v>2340</v>
      </c>
      <c r="C210" s="761" t="s">
        <v>2359</v>
      </c>
      <c r="D210" s="761">
        <v>99400</v>
      </c>
      <c r="E210" s="761" t="s">
        <v>2395</v>
      </c>
      <c r="F210" s="761" t="s">
        <v>2357</v>
      </c>
      <c r="I210" s="761" t="s">
        <v>6867</v>
      </c>
      <c r="J210" s="761">
        <v>1</v>
      </c>
      <c r="K210" s="746">
        <v>32574.71</v>
      </c>
      <c r="L210" s="746">
        <v>29300.600000000002</v>
      </c>
      <c r="M210" s="746">
        <v>3274.11</v>
      </c>
      <c r="N210" s="493" t="str">
        <f t="shared" si="3"/>
        <v>C390</v>
      </c>
      <c r="O210" s="493" t="s">
        <v>390</v>
      </c>
      <c r="P210" s="493"/>
    </row>
    <row r="211" spans="1:16">
      <c r="A211" s="761" t="s">
        <v>2339</v>
      </c>
      <c r="B211" s="761" t="s">
        <v>2340</v>
      </c>
      <c r="C211" s="761" t="s">
        <v>2359</v>
      </c>
      <c r="D211" s="761">
        <v>33388</v>
      </c>
      <c r="E211" s="761" t="s">
        <v>2395</v>
      </c>
      <c r="F211" s="761" t="s">
        <v>2357</v>
      </c>
      <c r="I211" s="761" t="s">
        <v>6867</v>
      </c>
      <c r="J211" s="761">
        <v>1</v>
      </c>
      <c r="K211" s="746">
        <v>26012.100000000002</v>
      </c>
      <c r="L211" s="746">
        <v>22979.15</v>
      </c>
      <c r="M211" s="746">
        <v>3032.9500000000003</v>
      </c>
      <c r="N211" s="493" t="str">
        <f t="shared" si="3"/>
        <v>C390</v>
      </c>
      <c r="O211" s="493" t="s">
        <v>390</v>
      </c>
      <c r="P211" s="493"/>
    </row>
    <row r="212" spans="1:16">
      <c r="A212" s="761" t="s">
        <v>2339</v>
      </c>
      <c r="B212" s="761" t="s">
        <v>2340</v>
      </c>
      <c r="C212" s="761" t="s">
        <v>2359</v>
      </c>
      <c r="D212" s="761">
        <v>33389</v>
      </c>
      <c r="E212" s="761" t="s">
        <v>2395</v>
      </c>
      <c r="F212" s="761" t="s">
        <v>2357</v>
      </c>
      <c r="I212" s="761" t="s">
        <v>6867</v>
      </c>
      <c r="J212" s="761">
        <v>1</v>
      </c>
      <c r="K212" s="746">
        <v>55575.360000000001</v>
      </c>
      <c r="L212" s="746">
        <v>48133.75</v>
      </c>
      <c r="M212" s="746">
        <v>7441.6100000000006</v>
      </c>
      <c r="N212" s="493" t="str">
        <f t="shared" si="3"/>
        <v>C390</v>
      </c>
      <c r="O212" s="493" t="s">
        <v>390</v>
      </c>
      <c r="P212" s="493"/>
    </row>
    <row r="213" spans="1:16">
      <c r="A213" s="761" t="s">
        <v>2339</v>
      </c>
      <c r="B213" s="761" t="s">
        <v>2340</v>
      </c>
      <c r="C213" s="761" t="s">
        <v>2359</v>
      </c>
      <c r="D213" s="761">
        <v>33390</v>
      </c>
      <c r="E213" s="761" t="s">
        <v>2395</v>
      </c>
      <c r="F213" s="761" t="s">
        <v>2357</v>
      </c>
      <c r="I213" s="761" t="s">
        <v>6867</v>
      </c>
      <c r="J213" s="761">
        <v>1</v>
      </c>
      <c r="K213" s="746">
        <v>1423.89</v>
      </c>
      <c r="L213" s="746">
        <v>1178.6400000000001</v>
      </c>
      <c r="M213" s="746">
        <v>245.25</v>
      </c>
      <c r="N213" s="493" t="str">
        <f t="shared" si="3"/>
        <v>C390</v>
      </c>
      <c r="O213" s="493" t="s">
        <v>390</v>
      </c>
      <c r="P213" s="493"/>
    </row>
    <row r="214" spans="1:16">
      <c r="A214" s="761" t="s">
        <v>2339</v>
      </c>
      <c r="B214" s="761" t="s">
        <v>2340</v>
      </c>
      <c r="C214" s="761" t="s">
        <v>2359</v>
      </c>
      <c r="D214" s="761">
        <v>56332</v>
      </c>
      <c r="E214" s="761" t="s">
        <v>2395</v>
      </c>
      <c r="F214" s="761" t="s">
        <v>2357</v>
      </c>
      <c r="I214" s="761" t="s">
        <v>6867</v>
      </c>
      <c r="J214" s="761">
        <v>1</v>
      </c>
      <c r="K214" s="746">
        <v>92193.89</v>
      </c>
      <c r="L214" s="746">
        <v>65445.3</v>
      </c>
      <c r="M214" s="746">
        <v>26748.59</v>
      </c>
      <c r="N214" s="493" t="str">
        <f t="shared" si="3"/>
        <v>C390</v>
      </c>
      <c r="O214" s="493" t="s">
        <v>390</v>
      </c>
      <c r="P214" s="493"/>
    </row>
    <row r="215" spans="1:16">
      <c r="A215" s="761" t="s">
        <v>2339</v>
      </c>
      <c r="B215" s="761" t="s">
        <v>2340</v>
      </c>
      <c r="C215" s="761" t="s">
        <v>2359</v>
      </c>
      <c r="D215" s="761">
        <v>56333</v>
      </c>
      <c r="E215" s="761" t="s">
        <v>2395</v>
      </c>
      <c r="F215" s="761" t="s">
        <v>2357</v>
      </c>
      <c r="I215" s="761" t="s">
        <v>6867</v>
      </c>
      <c r="J215" s="761">
        <v>1</v>
      </c>
      <c r="K215" s="746">
        <v>45366.8</v>
      </c>
      <c r="L215" s="746">
        <v>30970.510000000002</v>
      </c>
      <c r="M215" s="746">
        <v>14396.29</v>
      </c>
      <c r="N215" s="493" t="str">
        <f t="shared" si="3"/>
        <v>C390</v>
      </c>
      <c r="O215" s="493" t="s">
        <v>390</v>
      </c>
      <c r="P215" s="493"/>
    </row>
    <row r="216" spans="1:16">
      <c r="A216" s="761" t="s">
        <v>2339</v>
      </c>
      <c r="B216" s="761" t="s">
        <v>2340</v>
      </c>
      <c r="C216" s="761" t="s">
        <v>2359</v>
      </c>
      <c r="D216" s="761">
        <v>56334</v>
      </c>
      <c r="E216" s="761" t="s">
        <v>2395</v>
      </c>
      <c r="F216" s="761" t="s">
        <v>2357</v>
      </c>
      <c r="I216" s="761" t="s">
        <v>6867</v>
      </c>
      <c r="J216" s="761">
        <v>2</v>
      </c>
      <c r="K216" s="746">
        <v>31807.33</v>
      </c>
      <c r="L216" s="746">
        <v>21713.88</v>
      </c>
      <c r="M216" s="746">
        <v>10093.450000000001</v>
      </c>
      <c r="N216" s="493" t="str">
        <f t="shared" si="3"/>
        <v>C390</v>
      </c>
      <c r="O216" s="493" t="s">
        <v>390</v>
      </c>
      <c r="P216" s="493"/>
    </row>
    <row r="217" spans="1:16">
      <c r="A217" s="761" t="s">
        <v>2339</v>
      </c>
      <c r="B217" s="761" t="s">
        <v>2340</v>
      </c>
      <c r="C217" s="761" t="s">
        <v>2359</v>
      </c>
      <c r="D217" s="761">
        <v>56495</v>
      </c>
      <c r="E217" s="761" t="s">
        <v>2395</v>
      </c>
      <c r="F217" s="761" t="s">
        <v>2357</v>
      </c>
      <c r="I217" s="761" t="s">
        <v>6867</v>
      </c>
      <c r="J217" s="761">
        <v>1</v>
      </c>
      <c r="K217" s="746">
        <v>10453.219999999999</v>
      </c>
      <c r="L217" s="746">
        <v>7136.09</v>
      </c>
      <c r="M217" s="746">
        <v>3317.13</v>
      </c>
      <c r="N217" s="493" t="str">
        <f t="shared" si="3"/>
        <v>C390</v>
      </c>
      <c r="O217" s="493" t="s">
        <v>390</v>
      </c>
      <c r="P217" s="493"/>
    </row>
    <row r="218" spans="1:16">
      <c r="A218" s="761" t="s">
        <v>2339</v>
      </c>
      <c r="B218" s="761" t="s">
        <v>2340</v>
      </c>
      <c r="C218" s="761" t="s">
        <v>2359</v>
      </c>
      <c r="D218" s="761">
        <v>57372</v>
      </c>
      <c r="E218" s="761" t="s">
        <v>2395</v>
      </c>
      <c r="F218" s="761" t="s">
        <v>2357</v>
      </c>
      <c r="I218" s="761" t="s">
        <v>6867</v>
      </c>
      <c r="J218" s="761">
        <v>1</v>
      </c>
      <c r="K218" s="746">
        <v>87.210000000000008</v>
      </c>
      <c r="L218" s="746">
        <v>57.07</v>
      </c>
      <c r="M218" s="746">
        <v>30.14</v>
      </c>
      <c r="N218" s="493" t="str">
        <f t="shared" si="3"/>
        <v>C390</v>
      </c>
      <c r="O218" s="493" t="s">
        <v>390</v>
      </c>
      <c r="P218" s="493"/>
    </row>
    <row r="219" spans="1:16">
      <c r="A219" s="761" t="s">
        <v>2339</v>
      </c>
      <c r="B219" s="761" t="s">
        <v>2340</v>
      </c>
      <c r="C219" s="761" t="s">
        <v>2359</v>
      </c>
      <c r="D219" s="761">
        <v>57379</v>
      </c>
      <c r="E219" s="761" t="s">
        <v>2395</v>
      </c>
      <c r="F219" s="761" t="s">
        <v>2357</v>
      </c>
      <c r="I219" s="761" t="s">
        <v>6867</v>
      </c>
      <c r="J219" s="761">
        <v>1</v>
      </c>
      <c r="K219" s="746">
        <v>1601.77</v>
      </c>
      <c r="L219" s="746">
        <v>1048.1600000000001</v>
      </c>
      <c r="M219" s="746">
        <v>553.61</v>
      </c>
      <c r="N219" s="493" t="str">
        <f t="shared" si="3"/>
        <v>C390</v>
      </c>
      <c r="O219" s="493" t="s">
        <v>390</v>
      </c>
      <c r="P219" s="493"/>
    </row>
    <row r="220" spans="1:16">
      <c r="A220" s="761" t="s">
        <v>2339</v>
      </c>
      <c r="B220" s="761" t="s">
        <v>2340</v>
      </c>
      <c r="C220" s="761" t="s">
        <v>2359</v>
      </c>
      <c r="D220" s="761">
        <v>58221</v>
      </c>
      <c r="E220" s="761" t="s">
        <v>2395</v>
      </c>
      <c r="F220" s="761" t="s">
        <v>2357</v>
      </c>
      <c r="I220" s="761" t="s">
        <v>6867</v>
      </c>
      <c r="J220" s="761">
        <v>1</v>
      </c>
      <c r="K220" s="746">
        <v>21653</v>
      </c>
      <c r="L220" s="746">
        <v>14169.2</v>
      </c>
      <c r="M220" s="746">
        <v>7483.8</v>
      </c>
      <c r="N220" s="493" t="str">
        <f t="shared" si="3"/>
        <v>C390</v>
      </c>
      <c r="O220" s="493" t="s">
        <v>390</v>
      </c>
      <c r="P220" s="493"/>
    </row>
    <row r="221" spans="1:16">
      <c r="A221" s="761" t="s">
        <v>2339</v>
      </c>
      <c r="B221" s="761" t="s">
        <v>2340</v>
      </c>
      <c r="C221" s="761" t="s">
        <v>2359</v>
      </c>
      <c r="D221" s="761">
        <v>79924</v>
      </c>
      <c r="E221" s="761" t="s">
        <v>2395</v>
      </c>
      <c r="F221" s="761" t="s">
        <v>2357</v>
      </c>
      <c r="I221" s="761" t="s">
        <v>6867</v>
      </c>
      <c r="J221" s="761">
        <v>1</v>
      </c>
      <c r="K221" s="746">
        <v>19511.810000000001</v>
      </c>
      <c r="L221" s="746">
        <v>11000.91</v>
      </c>
      <c r="M221" s="746">
        <v>8510.9</v>
      </c>
      <c r="N221" s="493" t="str">
        <f t="shared" si="3"/>
        <v>C390</v>
      </c>
      <c r="O221" s="493" t="s">
        <v>390</v>
      </c>
      <c r="P221" s="493"/>
    </row>
    <row r="222" spans="1:16">
      <c r="A222" s="761" t="s">
        <v>2339</v>
      </c>
      <c r="B222" s="761" t="s">
        <v>2340</v>
      </c>
      <c r="C222" s="761" t="s">
        <v>2359</v>
      </c>
      <c r="D222" s="761">
        <v>79925</v>
      </c>
      <c r="E222" s="761" t="s">
        <v>2395</v>
      </c>
      <c r="F222" s="761" t="s">
        <v>2357</v>
      </c>
      <c r="I222" s="761" t="s">
        <v>6867</v>
      </c>
      <c r="J222" s="761">
        <v>1</v>
      </c>
      <c r="K222" s="746">
        <v>34398.42</v>
      </c>
      <c r="L222" s="746">
        <v>19394.100000000002</v>
      </c>
      <c r="M222" s="746">
        <v>15004.32</v>
      </c>
      <c r="N222" s="493" t="str">
        <f t="shared" si="3"/>
        <v>C390</v>
      </c>
      <c r="O222" s="493" t="s">
        <v>390</v>
      </c>
      <c r="P222" s="493"/>
    </row>
    <row r="223" spans="1:16">
      <c r="A223" s="761" t="s">
        <v>2339</v>
      </c>
      <c r="B223" s="761" t="s">
        <v>2340</v>
      </c>
      <c r="C223" s="761" t="s">
        <v>2359</v>
      </c>
      <c r="D223" s="761">
        <v>80832</v>
      </c>
      <c r="E223" s="761" t="s">
        <v>2395</v>
      </c>
      <c r="F223" s="761" t="s">
        <v>2357</v>
      </c>
      <c r="I223" s="761" t="s">
        <v>6867</v>
      </c>
      <c r="J223" s="761">
        <v>0</v>
      </c>
      <c r="K223" s="746">
        <v>14.98</v>
      </c>
      <c r="L223" s="746">
        <v>7.97</v>
      </c>
      <c r="M223" s="746">
        <v>7.01</v>
      </c>
      <c r="N223" s="493" t="str">
        <f t="shared" si="3"/>
        <v>C390</v>
      </c>
      <c r="O223" s="493" t="s">
        <v>390</v>
      </c>
      <c r="P223" s="493"/>
    </row>
    <row r="224" spans="1:16">
      <c r="A224" s="761" t="s">
        <v>2339</v>
      </c>
      <c r="B224" s="761" t="s">
        <v>2340</v>
      </c>
      <c r="C224" s="761" t="s">
        <v>2359</v>
      </c>
      <c r="D224" s="761">
        <v>80833</v>
      </c>
      <c r="E224" s="761" t="s">
        <v>2395</v>
      </c>
      <c r="F224" s="761" t="s">
        <v>2357</v>
      </c>
      <c r="I224" s="761" t="s">
        <v>6867</v>
      </c>
      <c r="J224" s="761">
        <v>0</v>
      </c>
      <c r="K224" s="746">
        <v>78.05</v>
      </c>
      <c r="L224" s="746">
        <v>41.53</v>
      </c>
      <c r="M224" s="746">
        <v>36.520000000000003</v>
      </c>
      <c r="N224" s="493" t="str">
        <f t="shared" si="3"/>
        <v>C390</v>
      </c>
      <c r="O224" s="493" t="s">
        <v>390</v>
      </c>
      <c r="P224" s="493"/>
    </row>
    <row r="225" spans="1:16">
      <c r="A225" s="761" t="s">
        <v>2339</v>
      </c>
      <c r="B225" s="761" t="s">
        <v>2340</v>
      </c>
      <c r="C225" s="761" t="s">
        <v>2359</v>
      </c>
      <c r="D225" s="761">
        <v>7303329</v>
      </c>
      <c r="E225" s="761" t="s">
        <v>2395</v>
      </c>
      <c r="F225" s="761">
        <v>131203421</v>
      </c>
      <c r="G225" s="761" t="s">
        <v>2396</v>
      </c>
      <c r="H225" s="761" t="s">
        <v>2396</v>
      </c>
      <c r="I225" s="761" t="s">
        <v>6867</v>
      </c>
      <c r="J225" s="761">
        <v>0</v>
      </c>
      <c r="K225" s="746">
        <v>238207.43</v>
      </c>
      <c r="L225" s="746">
        <v>95547.87</v>
      </c>
      <c r="M225" s="746">
        <v>142659.56</v>
      </c>
      <c r="N225" s="493" t="str">
        <f t="shared" si="3"/>
        <v>C390</v>
      </c>
      <c r="O225" s="493" t="s">
        <v>390</v>
      </c>
      <c r="P225" s="493"/>
    </row>
    <row r="226" spans="1:16">
      <c r="A226" s="761" t="s">
        <v>2339</v>
      </c>
      <c r="B226" s="761" t="s">
        <v>2340</v>
      </c>
      <c r="C226" s="761" t="s">
        <v>2359</v>
      </c>
      <c r="D226" s="761">
        <v>11088704</v>
      </c>
      <c r="E226" s="761" t="s">
        <v>2395</v>
      </c>
      <c r="F226" s="761">
        <v>143000204</v>
      </c>
      <c r="G226" s="761" t="s">
        <v>2397</v>
      </c>
      <c r="H226" s="761" t="s">
        <v>7278</v>
      </c>
      <c r="I226" s="761" t="s">
        <v>6867</v>
      </c>
      <c r="J226" s="761">
        <v>1</v>
      </c>
      <c r="K226" s="746">
        <v>585132.75</v>
      </c>
      <c r="L226" s="746">
        <v>196227.7</v>
      </c>
      <c r="M226" s="746">
        <v>388905.05</v>
      </c>
      <c r="N226" s="493" t="str">
        <f t="shared" si="3"/>
        <v>C390</v>
      </c>
      <c r="O226" s="493" t="s">
        <v>390</v>
      </c>
      <c r="P226" s="493"/>
    </row>
    <row r="227" spans="1:16">
      <c r="A227" s="761" t="s">
        <v>2339</v>
      </c>
      <c r="B227" s="761" t="s">
        <v>2340</v>
      </c>
      <c r="C227" s="761" t="s">
        <v>2359</v>
      </c>
      <c r="D227" s="761">
        <v>19863572</v>
      </c>
      <c r="E227" s="761" t="s">
        <v>2395</v>
      </c>
      <c r="F227" s="761">
        <v>143001943</v>
      </c>
      <c r="G227" s="761" t="s">
        <v>2398</v>
      </c>
      <c r="H227" s="761" t="s">
        <v>7279</v>
      </c>
      <c r="I227" s="761" t="s">
        <v>6867</v>
      </c>
      <c r="J227" s="761">
        <v>1</v>
      </c>
      <c r="K227" s="746">
        <v>201921.12</v>
      </c>
      <c r="L227" s="746">
        <v>48459.51</v>
      </c>
      <c r="M227" s="746">
        <v>153461.61000000002</v>
      </c>
      <c r="N227" s="493" t="str">
        <f t="shared" si="3"/>
        <v>C390</v>
      </c>
      <c r="O227" s="493" t="s">
        <v>390</v>
      </c>
      <c r="P227" s="493"/>
    </row>
    <row r="228" spans="1:16">
      <c r="A228" s="761" t="s">
        <v>2339</v>
      </c>
      <c r="B228" s="761" t="s">
        <v>2340</v>
      </c>
      <c r="C228" s="761" t="s">
        <v>2359</v>
      </c>
      <c r="D228" s="761">
        <v>33566421</v>
      </c>
      <c r="E228" s="761" t="s">
        <v>2395</v>
      </c>
      <c r="F228" s="761">
        <v>143003703</v>
      </c>
      <c r="G228" s="761" t="s">
        <v>2399</v>
      </c>
      <c r="H228" s="761" t="s">
        <v>2399</v>
      </c>
      <c r="I228" s="761" t="s">
        <v>6867</v>
      </c>
      <c r="J228" s="761">
        <v>1</v>
      </c>
      <c r="K228" s="746">
        <v>114731.13</v>
      </c>
      <c r="L228" s="746">
        <v>17446.580000000002</v>
      </c>
      <c r="M228" s="746">
        <v>97284.55</v>
      </c>
      <c r="N228" s="493" t="str">
        <f t="shared" si="3"/>
        <v>C390</v>
      </c>
      <c r="O228" s="493" t="s">
        <v>390</v>
      </c>
      <c r="P228" s="493"/>
    </row>
    <row r="229" spans="1:16">
      <c r="A229" s="761" t="s">
        <v>2339</v>
      </c>
      <c r="B229" s="761" t="s">
        <v>2340</v>
      </c>
      <c r="C229" s="761" t="s">
        <v>2400</v>
      </c>
      <c r="D229" s="761">
        <v>99407</v>
      </c>
      <c r="E229" s="761" t="s">
        <v>2401</v>
      </c>
      <c r="F229" s="761" t="s">
        <v>2357</v>
      </c>
      <c r="I229" s="761" t="s">
        <v>6867</v>
      </c>
      <c r="J229" s="761">
        <v>1</v>
      </c>
      <c r="K229" s="746">
        <v>754.44</v>
      </c>
      <c r="L229" s="746">
        <v>772.03</v>
      </c>
      <c r="M229" s="746">
        <v>-17.59</v>
      </c>
      <c r="N229" s="493" t="str">
        <f t="shared" si="3"/>
        <v>C390</v>
      </c>
      <c r="O229" s="493" t="s">
        <v>99</v>
      </c>
      <c r="P229" s="493"/>
    </row>
    <row r="230" spans="1:16">
      <c r="A230" s="761" t="s">
        <v>2339</v>
      </c>
      <c r="B230" s="761" t="s">
        <v>2340</v>
      </c>
      <c r="C230" s="761" t="s">
        <v>2400</v>
      </c>
      <c r="D230" s="761">
        <v>33452</v>
      </c>
      <c r="E230" s="761" t="s">
        <v>2401</v>
      </c>
      <c r="F230" s="761" t="s">
        <v>2357</v>
      </c>
      <c r="I230" s="761" t="s">
        <v>6867</v>
      </c>
      <c r="J230" s="761">
        <v>1</v>
      </c>
      <c r="K230" s="746">
        <v>356.08</v>
      </c>
      <c r="L230" s="746">
        <v>359.48</v>
      </c>
      <c r="M230" s="746">
        <v>-3.4</v>
      </c>
      <c r="N230" s="493" t="str">
        <f t="shared" si="3"/>
        <v>C390</v>
      </c>
      <c r="O230" s="493" t="s">
        <v>99</v>
      </c>
      <c r="P230" s="493"/>
    </row>
    <row r="231" spans="1:16">
      <c r="A231" s="761" t="s">
        <v>2339</v>
      </c>
      <c r="B231" s="761" t="s">
        <v>2340</v>
      </c>
      <c r="C231" s="761" t="s">
        <v>2400</v>
      </c>
      <c r="D231" s="761">
        <v>33453</v>
      </c>
      <c r="E231" s="761" t="s">
        <v>2401</v>
      </c>
      <c r="F231" s="761" t="s">
        <v>2357</v>
      </c>
      <c r="I231" s="761" t="s">
        <v>6867</v>
      </c>
      <c r="J231" s="761">
        <v>1</v>
      </c>
      <c r="K231" s="746">
        <v>3117605.98</v>
      </c>
      <c r="L231" s="746">
        <v>2584486.44</v>
      </c>
      <c r="M231" s="746">
        <v>533119.54</v>
      </c>
      <c r="N231" s="493" t="str">
        <f t="shared" si="3"/>
        <v>C390</v>
      </c>
      <c r="O231" s="493" t="s">
        <v>99</v>
      </c>
      <c r="P231" s="493"/>
    </row>
    <row r="232" spans="1:16">
      <c r="A232" s="761" t="s">
        <v>2339</v>
      </c>
      <c r="B232" s="761" t="s">
        <v>2340</v>
      </c>
      <c r="C232" s="761" t="s">
        <v>2400</v>
      </c>
      <c r="D232" s="761">
        <v>83939</v>
      </c>
      <c r="E232" s="761" t="s">
        <v>2401</v>
      </c>
      <c r="F232" s="761" t="s">
        <v>2357</v>
      </c>
      <c r="I232" s="761" t="s">
        <v>6867</v>
      </c>
      <c r="J232" s="761">
        <v>0</v>
      </c>
      <c r="K232" s="746">
        <v>66294.55</v>
      </c>
      <c r="L232" s="746">
        <v>33201.199999999997</v>
      </c>
      <c r="M232" s="746">
        <v>33093.35</v>
      </c>
      <c r="N232" s="493" t="str">
        <f t="shared" si="3"/>
        <v>C390</v>
      </c>
      <c r="O232" s="493" t="s">
        <v>99</v>
      </c>
      <c r="P232" s="493"/>
    </row>
    <row r="233" spans="1:16">
      <c r="A233" s="761" t="s">
        <v>2339</v>
      </c>
      <c r="B233" s="761" t="s">
        <v>2340</v>
      </c>
      <c r="C233" s="761" t="s">
        <v>2400</v>
      </c>
      <c r="D233" s="761">
        <v>86270</v>
      </c>
      <c r="E233" s="761" t="s">
        <v>2401</v>
      </c>
      <c r="F233" s="761" t="s">
        <v>2357</v>
      </c>
      <c r="I233" s="761" t="s">
        <v>6867</v>
      </c>
      <c r="J233" s="761">
        <v>1</v>
      </c>
      <c r="K233" s="746">
        <v>50025.700000000004</v>
      </c>
      <c r="L233" s="746">
        <v>23414.600000000002</v>
      </c>
      <c r="M233" s="746">
        <v>26611.100000000002</v>
      </c>
      <c r="N233" s="493" t="str">
        <f t="shared" si="3"/>
        <v>C390</v>
      </c>
      <c r="O233" s="493" t="s">
        <v>99</v>
      </c>
      <c r="P233" s="493"/>
    </row>
    <row r="234" spans="1:16">
      <c r="A234" s="761" t="s">
        <v>2339</v>
      </c>
      <c r="B234" s="761" t="s">
        <v>2340</v>
      </c>
      <c r="C234" s="761" t="s">
        <v>2400</v>
      </c>
      <c r="D234" s="761">
        <v>7303344</v>
      </c>
      <c r="E234" s="761" t="s">
        <v>2401</v>
      </c>
      <c r="F234" s="761">
        <v>131203702</v>
      </c>
      <c r="G234" s="761" t="s">
        <v>2402</v>
      </c>
      <c r="H234" s="761" t="s">
        <v>2402</v>
      </c>
      <c r="I234" s="761" t="s">
        <v>6867</v>
      </c>
      <c r="J234" s="761">
        <v>0</v>
      </c>
      <c r="K234" s="746">
        <v>15189.220000000001</v>
      </c>
      <c r="L234" s="746">
        <v>6104.03</v>
      </c>
      <c r="M234" s="746">
        <v>9085.19</v>
      </c>
      <c r="N234" s="493" t="str">
        <f t="shared" si="3"/>
        <v>C390</v>
      </c>
      <c r="O234" s="493" t="s">
        <v>95</v>
      </c>
      <c r="P234" s="493"/>
    </row>
    <row r="235" spans="1:16">
      <c r="A235" s="761" t="s">
        <v>2339</v>
      </c>
      <c r="B235" s="761" t="s">
        <v>2340</v>
      </c>
      <c r="C235" s="761" t="s">
        <v>2400</v>
      </c>
      <c r="D235" s="761">
        <v>9589317</v>
      </c>
      <c r="E235" s="761" t="s">
        <v>2401</v>
      </c>
      <c r="F235" s="761">
        <v>131204620</v>
      </c>
      <c r="G235" s="761" t="s">
        <v>2403</v>
      </c>
      <c r="H235" s="761" t="s">
        <v>2403</v>
      </c>
      <c r="I235" s="761" t="s">
        <v>6867</v>
      </c>
      <c r="J235" s="761">
        <v>1</v>
      </c>
      <c r="K235" s="746">
        <v>208430.37</v>
      </c>
      <c r="L235" s="746">
        <v>70019.210000000006</v>
      </c>
      <c r="M235" s="746">
        <v>138411.16</v>
      </c>
      <c r="N235" s="493" t="str">
        <f t="shared" si="3"/>
        <v>C390</v>
      </c>
      <c r="O235" s="493" t="s">
        <v>95</v>
      </c>
      <c r="P235" s="493"/>
    </row>
    <row r="236" spans="1:16">
      <c r="A236" s="761" t="s">
        <v>2339</v>
      </c>
      <c r="B236" s="761" t="s">
        <v>2340</v>
      </c>
      <c r="C236" s="761" t="s">
        <v>2360</v>
      </c>
      <c r="D236" s="761">
        <v>33476</v>
      </c>
      <c r="E236" s="761" t="s">
        <v>2404</v>
      </c>
      <c r="F236" s="761" t="s">
        <v>2357</v>
      </c>
      <c r="I236" s="761" t="s">
        <v>6867</v>
      </c>
      <c r="J236" s="761">
        <v>1</v>
      </c>
      <c r="K236" s="746">
        <v>2734.06</v>
      </c>
      <c r="L236" s="746">
        <v>2870.17</v>
      </c>
      <c r="M236" s="746">
        <v>-136.11000000000001</v>
      </c>
      <c r="N236" s="493" t="str">
        <f t="shared" si="3"/>
        <v>C390</v>
      </c>
      <c r="O236" s="493" t="s">
        <v>390</v>
      </c>
      <c r="P236" s="493"/>
    </row>
    <row r="237" spans="1:16">
      <c r="A237" s="761" t="s">
        <v>2339</v>
      </c>
      <c r="B237" s="761" t="s">
        <v>2340</v>
      </c>
      <c r="C237" s="761" t="s">
        <v>2360</v>
      </c>
      <c r="D237" s="761">
        <v>33477</v>
      </c>
      <c r="E237" s="761" t="s">
        <v>2404</v>
      </c>
      <c r="F237" s="761" t="s">
        <v>2357</v>
      </c>
      <c r="I237" s="761" t="s">
        <v>6867</v>
      </c>
      <c r="J237" s="761">
        <v>1</v>
      </c>
      <c r="K237" s="746">
        <v>15455.51</v>
      </c>
      <c r="L237" s="746">
        <v>16208.16</v>
      </c>
      <c r="M237" s="746">
        <v>-752.65</v>
      </c>
      <c r="N237" s="493" t="str">
        <f t="shared" si="3"/>
        <v>C390</v>
      </c>
      <c r="O237" s="493" t="s">
        <v>390</v>
      </c>
      <c r="P237" s="493"/>
    </row>
    <row r="238" spans="1:16">
      <c r="A238" s="761" t="s">
        <v>2339</v>
      </c>
      <c r="B238" s="761" t="s">
        <v>2340</v>
      </c>
      <c r="C238" s="761" t="s">
        <v>2360</v>
      </c>
      <c r="D238" s="761">
        <v>33478</v>
      </c>
      <c r="E238" s="761" t="s">
        <v>2404</v>
      </c>
      <c r="F238" s="761" t="s">
        <v>2357</v>
      </c>
      <c r="I238" s="761" t="s">
        <v>6867</v>
      </c>
      <c r="J238" s="761">
        <v>1</v>
      </c>
      <c r="K238" s="746">
        <v>391224.83</v>
      </c>
      <c r="L238" s="746">
        <v>410184.58</v>
      </c>
      <c r="M238" s="746">
        <v>-18959.75</v>
      </c>
      <c r="N238" s="493" t="str">
        <f t="shared" si="3"/>
        <v>C390</v>
      </c>
      <c r="O238" s="493" t="s">
        <v>390</v>
      </c>
      <c r="P238" s="493"/>
    </row>
    <row r="239" spans="1:16">
      <c r="A239" s="761" t="s">
        <v>2339</v>
      </c>
      <c r="B239" s="761" t="s">
        <v>2340</v>
      </c>
      <c r="C239" s="761" t="s">
        <v>2360</v>
      </c>
      <c r="D239" s="761">
        <v>33522</v>
      </c>
      <c r="E239" s="761" t="s">
        <v>2404</v>
      </c>
      <c r="F239" s="761" t="s">
        <v>2357</v>
      </c>
      <c r="I239" s="761" t="s">
        <v>6867</v>
      </c>
      <c r="J239" s="761">
        <v>1</v>
      </c>
      <c r="K239" s="746">
        <v>3491.92</v>
      </c>
      <c r="L239" s="746">
        <v>3660.1800000000003</v>
      </c>
      <c r="M239" s="746">
        <v>-168.26</v>
      </c>
      <c r="N239" s="493" t="str">
        <f t="shared" si="3"/>
        <v>C390</v>
      </c>
      <c r="O239" s="493" t="s">
        <v>390</v>
      </c>
      <c r="P239" s="493"/>
    </row>
    <row r="240" spans="1:16">
      <c r="A240" s="761" t="s">
        <v>2339</v>
      </c>
      <c r="B240" s="761" t="s">
        <v>2340</v>
      </c>
      <c r="C240" s="761" t="s">
        <v>2360</v>
      </c>
      <c r="D240" s="761">
        <v>33523</v>
      </c>
      <c r="E240" s="761" t="s">
        <v>2404</v>
      </c>
      <c r="F240" s="761" t="s">
        <v>2357</v>
      </c>
      <c r="I240" s="761" t="s">
        <v>6867</v>
      </c>
      <c r="J240" s="761">
        <v>1</v>
      </c>
      <c r="K240" s="746">
        <v>613.89</v>
      </c>
      <c r="L240" s="746">
        <v>643.27</v>
      </c>
      <c r="M240" s="746">
        <v>-29.38</v>
      </c>
      <c r="N240" s="493" t="str">
        <f t="shared" si="3"/>
        <v>C390</v>
      </c>
      <c r="O240" s="493" t="s">
        <v>390</v>
      </c>
      <c r="P240" s="493"/>
    </row>
    <row r="241" spans="1:16">
      <c r="A241" s="761" t="s">
        <v>2339</v>
      </c>
      <c r="B241" s="761" t="s">
        <v>2340</v>
      </c>
      <c r="C241" s="761" t="s">
        <v>2360</v>
      </c>
      <c r="D241" s="761">
        <v>33524</v>
      </c>
      <c r="E241" s="761" t="s">
        <v>2404</v>
      </c>
      <c r="F241" s="761" t="s">
        <v>2357</v>
      </c>
      <c r="I241" s="761" t="s">
        <v>6867</v>
      </c>
      <c r="J241" s="761">
        <v>1</v>
      </c>
      <c r="K241" s="746">
        <v>559.07000000000005</v>
      </c>
      <c r="L241" s="746">
        <v>585.61</v>
      </c>
      <c r="M241" s="746">
        <v>-26.54</v>
      </c>
      <c r="N241" s="493" t="str">
        <f t="shared" si="3"/>
        <v>C390</v>
      </c>
      <c r="O241" s="493" t="s">
        <v>390</v>
      </c>
      <c r="P241" s="493"/>
    </row>
    <row r="242" spans="1:16">
      <c r="A242" s="761" t="s">
        <v>2339</v>
      </c>
      <c r="B242" s="761" t="s">
        <v>2340</v>
      </c>
      <c r="C242" s="761" t="s">
        <v>2360</v>
      </c>
      <c r="D242" s="761">
        <v>33525</v>
      </c>
      <c r="E242" s="761" t="s">
        <v>2404</v>
      </c>
      <c r="F242" s="761" t="s">
        <v>2357</v>
      </c>
      <c r="I242" s="761" t="s">
        <v>6867</v>
      </c>
      <c r="J242" s="761">
        <v>1</v>
      </c>
      <c r="K242" s="746">
        <v>2705.58</v>
      </c>
      <c r="L242" s="746">
        <v>2832.83</v>
      </c>
      <c r="M242" s="746">
        <v>-127.25</v>
      </c>
      <c r="N242" s="493" t="str">
        <f t="shared" si="3"/>
        <v>C390</v>
      </c>
      <c r="O242" s="493" t="s">
        <v>390</v>
      </c>
      <c r="P242" s="493"/>
    </row>
    <row r="243" spans="1:16">
      <c r="A243" s="761" t="s">
        <v>2339</v>
      </c>
      <c r="B243" s="761" t="s">
        <v>2340</v>
      </c>
      <c r="C243" s="761" t="s">
        <v>2360</v>
      </c>
      <c r="D243" s="761">
        <v>33526</v>
      </c>
      <c r="E243" s="761" t="s">
        <v>2404</v>
      </c>
      <c r="F243" s="761" t="s">
        <v>2357</v>
      </c>
      <c r="I243" s="761" t="s">
        <v>6867</v>
      </c>
      <c r="J243" s="761">
        <v>1</v>
      </c>
      <c r="K243" s="746">
        <v>17144.990000000002</v>
      </c>
      <c r="L243" s="746">
        <v>17942.350000000002</v>
      </c>
      <c r="M243" s="746">
        <v>-797.36</v>
      </c>
      <c r="N243" s="493" t="str">
        <f t="shared" si="3"/>
        <v>C390</v>
      </c>
      <c r="O243" s="493" t="s">
        <v>390</v>
      </c>
      <c r="P243" s="493"/>
    </row>
    <row r="244" spans="1:16">
      <c r="A244" s="761" t="s">
        <v>2339</v>
      </c>
      <c r="B244" s="761" t="s">
        <v>2340</v>
      </c>
      <c r="C244" s="761" t="s">
        <v>2360</v>
      </c>
      <c r="D244" s="761">
        <v>33527</v>
      </c>
      <c r="E244" s="761" t="s">
        <v>2404</v>
      </c>
      <c r="F244" s="761" t="s">
        <v>2357</v>
      </c>
      <c r="I244" s="761" t="s">
        <v>6867</v>
      </c>
      <c r="J244" s="761">
        <v>1</v>
      </c>
      <c r="K244" s="746">
        <v>177.72</v>
      </c>
      <c r="L244" s="746">
        <v>185.88</v>
      </c>
      <c r="M244" s="746">
        <v>-8.16</v>
      </c>
      <c r="N244" s="493" t="str">
        <f t="shared" si="3"/>
        <v>C390</v>
      </c>
      <c r="O244" s="493" t="s">
        <v>390</v>
      </c>
      <c r="P244" s="493"/>
    </row>
    <row r="245" spans="1:16">
      <c r="A245" s="761" t="s">
        <v>2339</v>
      </c>
      <c r="B245" s="761" t="s">
        <v>2340</v>
      </c>
      <c r="C245" s="761" t="s">
        <v>2360</v>
      </c>
      <c r="D245" s="761">
        <v>33528</v>
      </c>
      <c r="E245" s="761" t="s">
        <v>2404</v>
      </c>
      <c r="F245" s="761" t="s">
        <v>2357</v>
      </c>
      <c r="I245" s="761" t="s">
        <v>6867</v>
      </c>
      <c r="J245" s="761">
        <v>1</v>
      </c>
      <c r="K245" s="746">
        <v>4853.3100000000004</v>
      </c>
      <c r="L245" s="746">
        <v>5068.4800000000005</v>
      </c>
      <c r="M245" s="746">
        <v>-215.17000000000002</v>
      </c>
      <c r="N245" s="493" t="str">
        <f t="shared" si="3"/>
        <v>C390</v>
      </c>
      <c r="O245" s="493" t="s">
        <v>390</v>
      </c>
      <c r="P245" s="493"/>
    </row>
    <row r="246" spans="1:16">
      <c r="A246" s="761" t="s">
        <v>2339</v>
      </c>
      <c r="B246" s="761" t="s">
        <v>2340</v>
      </c>
      <c r="C246" s="761" t="s">
        <v>2360</v>
      </c>
      <c r="D246" s="761">
        <v>33529</v>
      </c>
      <c r="E246" s="761" t="s">
        <v>2404</v>
      </c>
      <c r="F246" s="761" t="s">
        <v>2357</v>
      </c>
      <c r="I246" s="761" t="s">
        <v>6867</v>
      </c>
      <c r="J246" s="761">
        <v>1</v>
      </c>
      <c r="K246" s="746">
        <v>2383.9</v>
      </c>
      <c r="L246" s="746">
        <v>2487.2600000000002</v>
      </c>
      <c r="M246" s="746">
        <v>-103.36</v>
      </c>
      <c r="N246" s="493" t="str">
        <f t="shared" si="3"/>
        <v>C390</v>
      </c>
      <c r="O246" s="493" t="s">
        <v>390</v>
      </c>
      <c r="P246" s="493"/>
    </row>
    <row r="247" spans="1:16">
      <c r="A247" s="761" t="s">
        <v>2339</v>
      </c>
      <c r="B247" s="761" t="s">
        <v>2340</v>
      </c>
      <c r="C247" s="761" t="s">
        <v>2360</v>
      </c>
      <c r="D247" s="761">
        <v>33530</v>
      </c>
      <c r="E247" s="761" t="s">
        <v>2404</v>
      </c>
      <c r="F247" s="761" t="s">
        <v>2357</v>
      </c>
      <c r="I247" s="761" t="s">
        <v>6867</v>
      </c>
      <c r="J247" s="761">
        <v>1</v>
      </c>
      <c r="K247" s="746">
        <v>9078.76</v>
      </c>
      <c r="L247" s="746">
        <v>9462.07</v>
      </c>
      <c r="M247" s="746">
        <v>-383.31</v>
      </c>
      <c r="N247" s="493" t="str">
        <f t="shared" si="3"/>
        <v>C390</v>
      </c>
      <c r="O247" s="493" t="s">
        <v>390</v>
      </c>
      <c r="P247" s="493"/>
    </row>
    <row r="248" spans="1:16">
      <c r="A248" s="761" t="s">
        <v>2339</v>
      </c>
      <c r="B248" s="761" t="s">
        <v>2340</v>
      </c>
      <c r="C248" s="761" t="s">
        <v>2360</v>
      </c>
      <c r="D248" s="761">
        <v>33531</v>
      </c>
      <c r="E248" s="761" t="s">
        <v>2404</v>
      </c>
      <c r="F248" s="761" t="s">
        <v>2357</v>
      </c>
      <c r="I248" s="761" t="s">
        <v>6867</v>
      </c>
      <c r="J248" s="761">
        <v>1</v>
      </c>
      <c r="K248" s="746">
        <v>5067.6900000000005</v>
      </c>
      <c r="L248" s="746">
        <v>5274.97</v>
      </c>
      <c r="M248" s="746">
        <v>-207.28</v>
      </c>
      <c r="N248" s="493" t="str">
        <f t="shared" si="3"/>
        <v>C390</v>
      </c>
      <c r="O248" s="493" t="s">
        <v>390</v>
      </c>
      <c r="P248" s="493"/>
    </row>
    <row r="249" spans="1:16">
      <c r="A249" s="761" t="s">
        <v>2339</v>
      </c>
      <c r="B249" s="761" t="s">
        <v>2340</v>
      </c>
      <c r="C249" s="761" t="s">
        <v>2360</v>
      </c>
      <c r="D249" s="761">
        <v>33532</v>
      </c>
      <c r="E249" s="761" t="s">
        <v>2404</v>
      </c>
      <c r="F249" s="761" t="s">
        <v>2357</v>
      </c>
      <c r="I249" s="761" t="s">
        <v>6867</v>
      </c>
      <c r="J249" s="761">
        <v>1</v>
      </c>
      <c r="K249" s="746">
        <v>176.41</v>
      </c>
      <c r="L249" s="746">
        <v>183.36</v>
      </c>
      <c r="M249" s="746">
        <v>-6.95</v>
      </c>
      <c r="N249" s="493" t="str">
        <f t="shared" si="3"/>
        <v>C390</v>
      </c>
      <c r="O249" s="493" t="s">
        <v>390</v>
      </c>
      <c r="P249" s="493"/>
    </row>
    <row r="250" spans="1:16">
      <c r="A250" s="761" t="s">
        <v>2339</v>
      </c>
      <c r="B250" s="761" t="s">
        <v>2340</v>
      </c>
      <c r="C250" s="761" t="s">
        <v>2360</v>
      </c>
      <c r="D250" s="761">
        <v>99416</v>
      </c>
      <c r="E250" s="761" t="s">
        <v>2404</v>
      </c>
      <c r="F250" s="761" t="s">
        <v>2357</v>
      </c>
      <c r="I250" s="761" t="s">
        <v>6867</v>
      </c>
      <c r="J250" s="761">
        <v>1</v>
      </c>
      <c r="K250" s="746">
        <v>141.47999999999999</v>
      </c>
      <c r="L250" s="746">
        <v>146.51</v>
      </c>
      <c r="M250" s="746">
        <v>-5.03</v>
      </c>
      <c r="N250" s="493" t="str">
        <f t="shared" si="3"/>
        <v>C390</v>
      </c>
      <c r="O250" s="493" t="s">
        <v>390</v>
      </c>
      <c r="P250" s="493"/>
    </row>
    <row r="251" spans="1:16">
      <c r="A251" s="761" t="s">
        <v>2339</v>
      </c>
      <c r="B251" s="761" t="s">
        <v>2340</v>
      </c>
      <c r="C251" s="761" t="s">
        <v>2360</v>
      </c>
      <c r="D251" s="761">
        <v>33533</v>
      </c>
      <c r="E251" s="761" t="s">
        <v>2404</v>
      </c>
      <c r="F251" s="761" t="s">
        <v>2357</v>
      </c>
      <c r="I251" s="761" t="s">
        <v>6867</v>
      </c>
      <c r="J251" s="761">
        <v>1</v>
      </c>
      <c r="K251" s="746">
        <v>2706.38</v>
      </c>
      <c r="L251" s="746">
        <v>2796.35</v>
      </c>
      <c r="M251" s="746">
        <v>-89.97</v>
      </c>
      <c r="N251" s="493" t="str">
        <f t="shared" si="3"/>
        <v>C390</v>
      </c>
      <c r="O251" s="493" t="s">
        <v>390</v>
      </c>
      <c r="P251" s="493"/>
    </row>
    <row r="252" spans="1:16">
      <c r="A252" s="761" t="s">
        <v>2339</v>
      </c>
      <c r="B252" s="761" t="s">
        <v>2340</v>
      </c>
      <c r="C252" s="761" t="s">
        <v>2360</v>
      </c>
      <c r="D252" s="761">
        <v>33534</v>
      </c>
      <c r="E252" s="761" t="s">
        <v>2404</v>
      </c>
      <c r="F252" s="761" t="s">
        <v>2357</v>
      </c>
      <c r="I252" s="761" t="s">
        <v>6867</v>
      </c>
      <c r="J252" s="761">
        <v>1</v>
      </c>
      <c r="K252" s="746">
        <v>49058.78</v>
      </c>
      <c r="L252" s="746">
        <v>50558.22</v>
      </c>
      <c r="M252" s="746">
        <v>-1499.44</v>
      </c>
      <c r="N252" s="493" t="str">
        <f t="shared" si="3"/>
        <v>C390</v>
      </c>
      <c r="O252" s="493" t="s">
        <v>390</v>
      </c>
      <c r="P252" s="493"/>
    </row>
    <row r="253" spans="1:16">
      <c r="A253" s="761" t="s">
        <v>2339</v>
      </c>
      <c r="B253" s="761" t="s">
        <v>2340</v>
      </c>
      <c r="C253" s="761" t="s">
        <v>2360</v>
      </c>
      <c r="D253" s="761">
        <v>33535</v>
      </c>
      <c r="E253" s="761" t="s">
        <v>2404</v>
      </c>
      <c r="F253" s="761" t="s">
        <v>2357</v>
      </c>
      <c r="I253" s="761" t="s">
        <v>6867</v>
      </c>
      <c r="J253" s="761">
        <v>1</v>
      </c>
      <c r="K253" s="746">
        <v>138.14000000000001</v>
      </c>
      <c r="L253" s="746">
        <v>141.94</v>
      </c>
      <c r="M253" s="746">
        <v>-3.8000000000000003</v>
      </c>
      <c r="N253" s="493" t="str">
        <f t="shared" si="3"/>
        <v>C390</v>
      </c>
      <c r="O253" s="493" t="s">
        <v>390</v>
      </c>
      <c r="P253" s="493"/>
    </row>
    <row r="254" spans="1:16">
      <c r="A254" s="761" t="s">
        <v>2339</v>
      </c>
      <c r="B254" s="761" t="s">
        <v>2340</v>
      </c>
      <c r="C254" s="761" t="s">
        <v>2360</v>
      </c>
      <c r="D254" s="761">
        <v>33536</v>
      </c>
      <c r="E254" s="761" t="s">
        <v>2404</v>
      </c>
      <c r="F254" s="761" t="s">
        <v>2357</v>
      </c>
      <c r="I254" s="761" t="s">
        <v>6867</v>
      </c>
      <c r="J254" s="761">
        <v>1</v>
      </c>
      <c r="K254" s="746">
        <v>18340.439999999999</v>
      </c>
      <c r="L254" s="746">
        <v>18780.689999999999</v>
      </c>
      <c r="M254" s="746">
        <v>-440.25</v>
      </c>
      <c r="N254" s="493" t="str">
        <f t="shared" si="3"/>
        <v>C390</v>
      </c>
      <c r="O254" s="493" t="s">
        <v>390</v>
      </c>
      <c r="P254" s="493"/>
    </row>
    <row r="255" spans="1:16">
      <c r="A255" s="761" t="s">
        <v>2339</v>
      </c>
      <c r="B255" s="761" t="s">
        <v>2340</v>
      </c>
      <c r="C255" s="761" t="s">
        <v>2360</v>
      </c>
      <c r="D255" s="761">
        <v>33537</v>
      </c>
      <c r="E255" s="761" t="s">
        <v>2404</v>
      </c>
      <c r="F255" s="761" t="s">
        <v>2357</v>
      </c>
      <c r="I255" s="761" t="s">
        <v>6867</v>
      </c>
      <c r="J255" s="761">
        <v>1</v>
      </c>
      <c r="K255" s="746">
        <v>47101.56</v>
      </c>
      <c r="L255" s="746">
        <v>48044.68</v>
      </c>
      <c r="M255" s="746">
        <v>-943.12</v>
      </c>
      <c r="N255" s="493" t="str">
        <f t="shared" si="3"/>
        <v>C390</v>
      </c>
      <c r="O255" s="493" t="s">
        <v>390</v>
      </c>
      <c r="P255" s="493"/>
    </row>
    <row r="256" spans="1:16">
      <c r="A256" s="761" t="s">
        <v>2339</v>
      </c>
      <c r="B256" s="761" t="s">
        <v>2340</v>
      </c>
      <c r="C256" s="761" t="s">
        <v>2360</v>
      </c>
      <c r="D256" s="761">
        <v>33538</v>
      </c>
      <c r="E256" s="761" t="s">
        <v>2404</v>
      </c>
      <c r="F256" s="761" t="s">
        <v>2357</v>
      </c>
      <c r="I256" s="761" t="s">
        <v>6867</v>
      </c>
      <c r="J256" s="761">
        <v>1</v>
      </c>
      <c r="K256" s="746">
        <v>6839.77</v>
      </c>
      <c r="L256" s="746">
        <v>6945.8</v>
      </c>
      <c r="M256" s="746">
        <v>-106.03</v>
      </c>
      <c r="N256" s="493" t="str">
        <f t="shared" si="3"/>
        <v>C390</v>
      </c>
      <c r="O256" s="493" t="s">
        <v>390</v>
      </c>
      <c r="P256" s="493"/>
    </row>
    <row r="257" spans="1:16">
      <c r="A257" s="761" t="s">
        <v>2339</v>
      </c>
      <c r="B257" s="761" t="s">
        <v>2340</v>
      </c>
      <c r="C257" s="761" t="s">
        <v>2360</v>
      </c>
      <c r="D257" s="761">
        <v>33539</v>
      </c>
      <c r="E257" s="761" t="s">
        <v>2404</v>
      </c>
      <c r="F257" s="761" t="s">
        <v>2357</v>
      </c>
      <c r="I257" s="761" t="s">
        <v>6867</v>
      </c>
      <c r="J257" s="761">
        <v>1</v>
      </c>
      <c r="K257" s="746">
        <v>35159.120000000003</v>
      </c>
      <c r="L257" s="746">
        <v>35524.11</v>
      </c>
      <c r="M257" s="746">
        <v>-364.99</v>
      </c>
      <c r="N257" s="493" t="str">
        <f t="shared" si="3"/>
        <v>C390</v>
      </c>
      <c r="O257" s="493" t="s">
        <v>390</v>
      </c>
      <c r="P257" s="493"/>
    </row>
    <row r="258" spans="1:16">
      <c r="A258" s="761" t="s">
        <v>2339</v>
      </c>
      <c r="B258" s="761" t="s">
        <v>2340</v>
      </c>
      <c r="C258" s="761" t="s">
        <v>2360</v>
      </c>
      <c r="D258" s="761">
        <v>33540</v>
      </c>
      <c r="E258" s="761" t="s">
        <v>2404</v>
      </c>
      <c r="F258" s="761" t="s">
        <v>2357</v>
      </c>
      <c r="I258" s="761" t="s">
        <v>6867</v>
      </c>
      <c r="J258" s="761">
        <v>1</v>
      </c>
      <c r="K258" s="746">
        <v>12874.82</v>
      </c>
      <c r="L258" s="746">
        <v>12934</v>
      </c>
      <c r="M258" s="746">
        <v>-59.18</v>
      </c>
      <c r="N258" s="493" t="str">
        <f t="shared" ref="N258:N321" si="4">LEFT(E258,4)</f>
        <v>C390</v>
      </c>
      <c r="O258" s="493" t="s">
        <v>390</v>
      </c>
      <c r="P258" s="493"/>
    </row>
    <row r="259" spans="1:16">
      <c r="A259" s="761" t="s">
        <v>2339</v>
      </c>
      <c r="B259" s="761" t="s">
        <v>2340</v>
      </c>
      <c r="C259" s="761" t="s">
        <v>2360</v>
      </c>
      <c r="D259" s="761">
        <v>33541</v>
      </c>
      <c r="E259" s="761" t="s">
        <v>2404</v>
      </c>
      <c r="F259" s="761" t="s">
        <v>2357</v>
      </c>
      <c r="I259" s="761" t="s">
        <v>6867</v>
      </c>
      <c r="J259" s="761">
        <v>1</v>
      </c>
      <c r="K259" s="746">
        <v>31474.25</v>
      </c>
      <c r="L259" s="746">
        <v>31413.8</v>
      </c>
      <c r="M259" s="746">
        <v>60.45</v>
      </c>
      <c r="N259" s="493" t="str">
        <f t="shared" si="4"/>
        <v>C390</v>
      </c>
      <c r="O259" s="493" t="s">
        <v>390</v>
      </c>
      <c r="P259" s="493"/>
    </row>
    <row r="260" spans="1:16">
      <c r="A260" s="761" t="s">
        <v>2339</v>
      </c>
      <c r="B260" s="761" t="s">
        <v>2340</v>
      </c>
      <c r="C260" s="761" t="s">
        <v>2360</v>
      </c>
      <c r="D260" s="761">
        <v>99417</v>
      </c>
      <c r="E260" s="761" t="s">
        <v>2404</v>
      </c>
      <c r="F260" s="761" t="s">
        <v>2357</v>
      </c>
      <c r="I260" s="761" t="s">
        <v>6867</v>
      </c>
      <c r="J260" s="761">
        <v>1</v>
      </c>
      <c r="K260" s="746">
        <v>360145.74</v>
      </c>
      <c r="L260" s="746">
        <v>353860.75</v>
      </c>
      <c r="M260" s="746">
        <v>6284.99</v>
      </c>
      <c r="N260" s="493" t="str">
        <f t="shared" si="4"/>
        <v>C390</v>
      </c>
      <c r="O260" s="493" t="s">
        <v>390</v>
      </c>
      <c r="P260" s="493"/>
    </row>
    <row r="261" spans="1:16">
      <c r="A261" s="761" t="s">
        <v>2339</v>
      </c>
      <c r="B261" s="761" t="s">
        <v>2340</v>
      </c>
      <c r="C261" s="761" t="s">
        <v>2360</v>
      </c>
      <c r="D261" s="761">
        <v>33542</v>
      </c>
      <c r="E261" s="761" t="s">
        <v>2404</v>
      </c>
      <c r="F261" s="761" t="s">
        <v>2357</v>
      </c>
      <c r="I261" s="761" t="s">
        <v>6867</v>
      </c>
      <c r="J261" s="761">
        <v>1</v>
      </c>
      <c r="K261" s="746">
        <v>77502.83</v>
      </c>
      <c r="L261" s="746">
        <v>75439.400000000009</v>
      </c>
      <c r="M261" s="746">
        <v>2063.4299999999998</v>
      </c>
      <c r="N261" s="493" t="str">
        <f t="shared" si="4"/>
        <v>C390</v>
      </c>
      <c r="O261" s="493" t="s">
        <v>390</v>
      </c>
      <c r="P261" s="493"/>
    </row>
    <row r="262" spans="1:16">
      <c r="A262" s="761" t="s">
        <v>2339</v>
      </c>
      <c r="B262" s="761" t="s">
        <v>2340</v>
      </c>
      <c r="C262" s="761" t="s">
        <v>2360</v>
      </c>
      <c r="D262" s="761">
        <v>33543</v>
      </c>
      <c r="E262" s="761" t="s">
        <v>2404</v>
      </c>
      <c r="F262" s="761" t="s">
        <v>2357</v>
      </c>
      <c r="I262" s="761" t="s">
        <v>6867</v>
      </c>
      <c r="J262" s="761">
        <v>1</v>
      </c>
      <c r="K262" s="746">
        <v>11541.24</v>
      </c>
      <c r="L262" s="746">
        <v>11116.050000000001</v>
      </c>
      <c r="M262" s="746">
        <v>425.19</v>
      </c>
      <c r="N262" s="493" t="str">
        <f t="shared" si="4"/>
        <v>C390</v>
      </c>
      <c r="O262" s="493" t="s">
        <v>390</v>
      </c>
      <c r="P262" s="493"/>
    </row>
    <row r="263" spans="1:16">
      <c r="A263" s="761" t="s">
        <v>2339</v>
      </c>
      <c r="B263" s="761" t="s">
        <v>2340</v>
      </c>
      <c r="C263" s="761" t="s">
        <v>2360</v>
      </c>
      <c r="D263" s="761">
        <v>94606</v>
      </c>
      <c r="E263" s="761" t="s">
        <v>2404</v>
      </c>
      <c r="F263" s="761" t="s">
        <v>2357</v>
      </c>
      <c r="I263" s="761" t="s">
        <v>6867</v>
      </c>
      <c r="J263" s="761">
        <v>1</v>
      </c>
      <c r="K263" s="746">
        <v>96897.25</v>
      </c>
      <c r="L263" s="746">
        <v>91011.76</v>
      </c>
      <c r="M263" s="746">
        <v>5885.49</v>
      </c>
      <c r="N263" s="493" t="str">
        <f t="shared" si="4"/>
        <v>C390</v>
      </c>
      <c r="O263" s="493" t="s">
        <v>390</v>
      </c>
      <c r="P263" s="493"/>
    </row>
    <row r="264" spans="1:16">
      <c r="A264" s="761" t="s">
        <v>2339</v>
      </c>
      <c r="B264" s="761" t="s">
        <v>2340</v>
      </c>
      <c r="C264" s="761" t="s">
        <v>2360</v>
      </c>
      <c r="D264" s="761">
        <v>33544</v>
      </c>
      <c r="E264" s="761" t="s">
        <v>2404</v>
      </c>
      <c r="F264" s="761" t="s">
        <v>2357</v>
      </c>
      <c r="I264" s="761" t="s">
        <v>6867</v>
      </c>
      <c r="J264" s="761">
        <v>1</v>
      </c>
      <c r="K264" s="746">
        <v>700659.17</v>
      </c>
      <c r="L264" s="746">
        <v>637735.46</v>
      </c>
      <c r="M264" s="746">
        <v>62923.71</v>
      </c>
      <c r="N264" s="493" t="str">
        <f t="shared" si="4"/>
        <v>C390</v>
      </c>
      <c r="O264" s="493" t="s">
        <v>390</v>
      </c>
      <c r="P264" s="493"/>
    </row>
    <row r="265" spans="1:16">
      <c r="A265" s="761" t="s">
        <v>2339</v>
      </c>
      <c r="B265" s="761" t="s">
        <v>2340</v>
      </c>
      <c r="C265" s="761" t="s">
        <v>2360</v>
      </c>
      <c r="D265" s="761">
        <v>33545</v>
      </c>
      <c r="E265" s="761" t="s">
        <v>2404</v>
      </c>
      <c r="F265" s="761" t="s">
        <v>2357</v>
      </c>
      <c r="I265" s="761" t="s">
        <v>6867</v>
      </c>
      <c r="J265" s="761">
        <v>2</v>
      </c>
      <c r="K265" s="746">
        <v>154244.34</v>
      </c>
      <c r="L265" s="746">
        <v>137822.49</v>
      </c>
      <c r="M265" s="746">
        <v>16421.849999999999</v>
      </c>
      <c r="N265" s="493" t="str">
        <f t="shared" si="4"/>
        <v>C390</v>
      </c>
      <c r="O265" s="493" t="s">
        <v>390</v>
      </c>
      <c r="P265" s="493"/>
    </row>
    <row r="266" spans="1:16">
      <c r="A266" s="761" t="s">
        <v>2339</v>
      </c>
      <c r="B266" s="761" t="s">
        <v>2340</v>
      </c>
      <c r="C266" s="761" t="s">
        <v>2360</v>
      </c>
      <c r="D266" s="761">
        <v>33546</v>
      </c>
      <c r="E266" s="761" t="s">
        <v>2404</v>
      </c>
      <c r="F266" s="761" t="s">
        <v>2357</v>
      </c>
      <c r="I266" s="761" t="s">
        <v>6867</v>
      </c>
      <c r="J266" s="761">
        <v>1</v>
      </c>
      <c r="K266" s="746">
        <v>478198.74</v>
      </c>
      <c r="L266" s="746">
        <v>418600.16000000003</v>
      </c>
      <c r="M266" s="746">
        <v>59598.58</v>
      </c>
      <c r="N266" s="493" t="str">
        <f t="shared" si="4"/>
        <v>C390</v>
      </c>
      <c r="O266" s="493" t="s">
        <v>390</v>
      </c>
      <c r="P266" s="493"/>
    </row>
    <row r="267" spans="1:16">
      <c r="A267" s="761" t="s">
        <v>2339</v>
      </c>
      <c r="B267" s="761" t="s">
        <v>2340</v>
      </c>
      <c r="C267" s="761" t="s">
        <v>2360</v>
      </c>
      <c r="D267" s="761">
        <v>33547</v>
      </c>
      <c r="E267" s="761" t="s">
        <v>2404</v>
      </c>
      <c r="F267" s="761" t="s">
        <v>2357</v>
      </c>
      <c r="I267" s="761" t="s">
        <v>6867</v>
      </c>
      <c r="J267" s="761">
        <v>1</v>
      </c>
      <c r="K267" s="746">
        <v>422556.78</v>
      </c>
      <c r="L267" s="746">
        <v>361560.25</v>
      </c>
      <c r="M267" s="746">
        <v>60996.53</v>
      </c>
      <c r="N267" s="493" t="str">
        <f t="shared" si="4"/>
        <v>C390</v>
      </c>
      <c r="O267" s="493" t="s">
        <v>390</v>
      </c>
      <c r="P267" s="493"/>
    </row>
    <row r="268" spans="1:16">
      <c r="A268" s="761" t="s">
        <v>2339</v>
      </c>
      <c r="B268" s="761" t="s">
        <v>2340</v>
      </c>
      <c r="C268" s="761" t="s">
        <v>2360</v>
      </c>
      <c r="D268" s="761">
        <v>33548</v>
      </c>
      <c r="E268" s="761" t="s">
        <v>2404</v>
      </c>
      <c r="F268" s="761" t="s">
        <v>2357</v>
      </c>
      <c r="I268" s="761" t="s">
        <v>6867</v>
      </c>
      <c r="J268" s="761">
        <v>1</v>
      </c>
      <c r="K268" s="746">
        <v>32668.07</v>
      </c>
      <c r="L268" s="746">
        <v>27256.2</v>
      </c>
      <c r="M268" s="746">
        <v>5411.87</v>
      </c>
      <c r="N268" s="493" t="str">
        <f t="shared" si="4"/>
        <v>C390</v>
      </c>
      <c r="O268" s="493" t="s">
        <v>390</v>
      </c>
      <c r="P268" s="493"/>
    </row>
    <row r="269" spans="1:16">
      <c r="A269" s="761" t="s">
        <v>2339</v>
      </c>
      <c r="B269" s="761" t="s">
        <v>2340</v>
      </c>
      <c r="C269" s="761" t="s">
        <v>2360</v>
      </c>
      <c r="D269" s="761">
        <v>33549</v>
      </c>
      <c r="E269" s="761" t="s">
        <v>2404</v>
      </c>
      <c r="F269" s="761" t="s">
        <v>2357</v>
      </c>
      <c r="I269" s="761" t="s">
        <v>6867</v>
      </c>
      <c r="J269" s="761">
        <v>2</v>
      </c>
      <c r="K269" s="746">
        <v>26163.81</v>
      </c>
      <c r="L269" s="746">
        <v>21228.97</v>
      </c>
      <c r="M269" s="746">
        <v>4934.84</v>
      </c>
      <c r="N269" s="493" t="str">
        <f t="shared" si="4"/>
        <v>C390</v>
      </c>
      <c r="O269" s="493" t="s">
        <v>390</v>
      </c>
      <c r="P269" s="493"/>
    </row>
    <row r="270" spans="1:16">
      <c r="A270" s="761" t="s">
        <v>2339</v>
      </c>
      <c r="B270" s="761" t="s">
        <v>2340</v>
      </c>
      <c r="C270" s="761" t="s">
        <v>2360</v>
      </c>
      <c r="D270" s="761">
        <v>92642</v>
      </c>
      <c r="E270" s="761" t="s">
        <v>2404</v>
      </c>
      <c r="F270" s="761" t="s">
        <v>2357</v>
      </c>
      <c r="I270" s="761" t="s">
        <v>6867</v>
      </c>
      <c r="J270" s="761">
        <v>2</v>
      </c>
      <c r="K270" s="746">
        <v>6899.28</v>
      </c>
      <c r="L270" s="746">
        <v>5247.87</v>
      </c>
      <c r="M270" s="746">
        <v>1651.41</v>
      </c>
      <c r="N270" s="493" t="str">
        <f t="shared" si="4"/>
        <v>C390</v>
      </c>
      <c r="O270" s="493" t="s">
        <v>390</v>
      </c>
      <c r="P270" s="493"/>
    </row>
    <row r="271" spans="1:16">
      <c r="A271" s="761" t="s">
        <v>2339</v>
      </c>
      <c r="B271" s="761" t="s">
        <v>2340</v>
      </c>
      <c r="C271" s="761" t="s">
        <v>2360</v>
      </c>
      <c r="D271" s="761">
        <v>56335</v>
      </c>
      <c r="E271" s="761" t="s">
        <v>2404</v>
      </c>
      <c r="F271" s="761" t="s">
        <v>2357</v>
      </c>
      <c r="I271" s="761" t="s">
        <v>6867</v>
      </c>
      <c r="J271" s="761">
        <v>2</v>
      </c>
      <c r="K271" s="746">
        <v>91271.3</v>
      </c>
      <c r="L271" s="746">
        <v>66891.899999999994</v>
      </c>
      <c r="M271" s="746">
        <v>24379.4</v>
      </c>
      <c r="N271" s="493" t="str">
        <f t="shared" si="4"/>
        <v>C390</v>
      </c>
      <c r="O271" s="493" t="s">
        <v>390</v>
      </c>
      <c r="P271" s="493"/>
    </row>
    <row r="272" spans="1:16">
      <c r="A272" s="761" t="s">
        <v>2339</v>
      </c>
      <c r="B272" s="761" t="s">
        <v>2340</v>
      </c>
      <c r="C272" s="761" t="s">
        <v>2360</v>
      </c>
      <c r="D272" s="761">
        <v>56490</v>
      </c>
      <c r="E272" s="761" t="s">
        <v>2404</v>
      </c>
      <c r="F272" s="761" t="s">
        <v>2357</v>
      </c>
      <c r="I272" s="761" t="s">
        <v>6867</v>
      </c>
      <c r="J272" s="761">
        <v>1</v>
      </c>
      <c r="K272" s="746">
        <v>10181.77</v>
      </c>
      <c r="L272" s="746">
        <v>7462.13</v>
      </c>
      <c r="M272" s="746">
        <v>2719.64</v>
      </c>
      <c r="N272" s="493" t="str">
        <f t="shared" si="4"/>
        <v>C390</v>
      </c>
      <c r="O272" s="493" t="s">
        <v>390</v>
      </c>
      <c r="P272" s="493"/>
    </row>
    <row r="273" spans="1:16">
      <c r="A273" s="761" t="s">
        <v>2339</v>
      </c>
      <c r="B273" s="761" t="s">
        <v>2340</v>
      </c>
      <c r="C273" s="761" t="s">
        <v>2360</v>
      </c>
      <c r="D273" s="761">
        <v>56791</v>
      </c>
      <c r="E273" s="761" t="s">
        <v>2404</v>
      </c>
      <c r="F273" s="761" t="s">
        <v>2357</v>
      </c>
      <c r="I273" s="761" t="s">
        <v>6867</v>
      </c>
      <c r="J273" s="761">
        <v>1</v>
      </c>
      <c r="K273" s="746">
        <v>66633.37</v>
      </c>
      <c r="L273" s="746">
        <v>48834.98</v>
      </c>
      <c r="M273" s="746">
        <v>17798.39</v>
      </c>
      <c r="N273" s="493" t="str">
        <f t="shared" si="4"/>
        <v>C390</v>
      </c>
      <c r="O273" s="493" t="s">
        <v>390</v>
      </c>
      <c r="P273" s="493"/>
    </row>
    <row r="274" spans="1:16">
      <c r="A274" s="761" t="s">
        <v>2339</v>
      </c>
      <c r="B274" s="761" t="s">
        <v>2340</v>
      </c>
      <c r="C274" s="761" t="s">
        <v>2360</v>
      </c>
      <c r="D274" s="761">
        <v>57385</v>
      </c>
      <c r="E274" s="761" t="s">
        <v>2404</v>
      </c>
      <c r="F274" s="761" t="s">
        <v>2357</v>
      </c>
      <c r="I274" s="761" t="s">
        <v>6867</v>
      </c>
      <c r="J274" s="761">
        <v>1</v>
      </c>
      <c r="K274" s="746">
        <v>5853.29</v>
      </c>
      <c r="L274" s="746">
        <v>4118.51</v>
      </c>
      <c r="M274" s="746">
        <v>1734.78</v>
      </c>
      <c r="N274" s="493" t="str">
        <f t="shared" si="4"/>
        <v>C390</v>
      </c>
      <c r="O274" s="493" t="s">
        <v>390</v>
      </c>
      <c r="P274" s="493"/>
    </row>
    <row r="275" spans="1:16">
      <c r="A275" s="761" t="s">
        <v>2339</v>
      </c>
      <c r="B275" s="761" t="s">
        <v>2340</v>
      </c>
      <c r="C275" s="761" t="s">
        <v>2360</v>
      </c>
      <c r="D275" s="761">
        <v>57378</v>
      </c>
      <c r="E275" s="761" t="s">
        <v>2404</v>
      </c>
      <c r="F275" s="761" t="s">
        <v>2357</v>
      </c>
      <c r="I275" s="761" t="s">
        <v>6867</v>
      </c>
      <c r="J275" s="761">
        <v>1</v>
      </c>
      <c r="K275" s="746">
        <v>6803.39</v>
      </c>
      <c r="L275" s="746">
        <v>4787.0200000000004</v>
      </c>
      <c r="M275" s="746">
        <v>2016.3700000000001</v>
      </c>
      <c r="N275" s="493" t="str">
        <f t="shared" si="4"/>
        <v>C390</v>
      </c>
      <c r="O275" s="493" t="s">
        <v>390</v>
      </c>
      <c r="P275" s="493"/>
    </row>
    <row r="276" spans="1:16">
      <c r="A276" s="761" t="s">
        <v>2339</v>
      </c>
      <c r="B276" s="761" t="s">
        <v>2340</v>
      </c>
      <c r="C276" s="761" t="s">
        <v>2360</v>
      </c>
      <c r="D276" s="761">
        <v>76093</v>
      </c>
      <c r="E276" s="761" t="s">
        <v>2404</v>
      </c>
      <c r="F276" s="761" t="s">
        <v>2357</v>
      </c>
      <c r="I276" s="761" t="s">
        <v>6867</v>
      </c>
      <c r="J276" s="761">
        <v>1</v>
      </c>
      <c r="K276" s="746">
        <v>22776.240000000002</v>
      </c>
      <c r="L276" s="746">
        <v>14597.45</v>
      </c>
      <c r="M276" s="746">
        <v>8178.79</v>
      </c>
      <c r="N276" s="493" t="str">
        <f t="shared" si="4"/>
        <v>C390</v>
      </c>
      <c r="O276" s="493" t="s">
        <v>390</v>
      </c>
      <c r="P276" s="493"/>
    </row>
    <row r="277" spans="1:16">
      <c r="A277" s="761" t="s">
        <v>2339</v>
      </c>
      <c r="B277" s="761" t="s">
        <v>2340</v>
      </c>
      <c r="C277" s="761" t="s">
        <v>2360</v>
      </c>
      <c r="D277" s="761">
        <v>78106</v>
      </c>
      <c r="E277" s="761" t="s">
        <v>2404</v>
      </c>
      <c r="F277" s="761" t="s">
        <v>2357</v>
      </c>
      <c r="I277" s="761" t="s">
        <v>6867</v>
      </c>
      <c r="J277" s="761">
        <v>1</v>
      </c>
      <c r="K277" s="746">
        <v>13403.67</v>
      </c>
      <c r="L277" s="746">
        <v>8145.54</v>
      </c>
      <c r="M277" s="746">
        <v>5258.13</v>
      </c>
      <c r="N277" s="493" t="str">
        <f t="shared" si="4"/>
        <v>C390</v>
      </c>
      <c r="O277" s="493" t="s">
        <v>390</v>
      </c>
      <c r="P277" s="493"/>
    </row>
    <row r="278" spans="1:16">
      <c r="A278" s="761" t="s">
        <v>2339</v>
      </c>
      <c r="B278" s="761" t="s">
        <v>2340</v>
      </c>
      <c r="C278" s="761" t="s">
        <v>2360</v>
      </c>
      <c r="D278" s="761">
        <v>78566</v>
      </c>
      <c r="E278" s="761" t="s">
        <v>2404</v>
      </c>
      <c r="F278" s="761" t="s">
        <v>2357</v>
      </c>
      <c r="I278" s="761" t="s">
        <v>6867</v>
      </c>
      <c r="J278" s="761">
        <v>1</v>
      </c>
      <c r="K278" s="746">
        <v>15905.27</v>
      </c>
      <c r="L278" s="746">
        <v>9665.7900000000009</v>
      </c>
      <c r="M278" s="746">
        <v>6239.4800000000005</v>
      </c>
      <c r="N278" s="493" t="str">
        <f t="shared" si="4"/>
        <v>C390</v>
      </c>
      <c r="O278" s="493" t="s">
        <v>390</v>
      </c>
      <c r="P278" s="493"/>
    </row>
    <row r="279" spans="1:16">
      <c r="A279" s="761" t="s">
        <v>2339</v>
      </c>
      <c r="B279" s="761" t="s">
        <v>2340</v>
      </c>
      <c r="C279" s="761" t="s">
        <v>2360</v>
      </c>
      <c r="D279" s="761">
        <v>79202</v>
      </c>
      <c r="E279" s="761" t="s">
        <v>2404</v>
      </c>
      <c r="F279" s="761" t="s">
        <v>2357</v>
      </c>
      <c r="I279" s="761" t="s">
        <v>6867</v>
      </c>
      <c r="J279" s="761">
        <v>0</v>
      </c>
      <c r="K279" s="746">
        <v>14517.31</v>
      </c>
      <c r="L279" s="746">
        <v>8822.31</v>
      </c>
      <c r="M279" s="746">
        <v>5695</v>
      </c>
      <c r="N279" s="493" t="str">
        <f t="shared" si="4"/>
        <v>C390</v>
      </c>
      <c r="O279" s="493" t="s">
        <v>390</v>
      </c>
      <c r="P279" s="493"/>
    </row>
    <row r="280" spans="1:16">
      <c r="A280" s="761" t="s">
        <v>2339</v>
      </c>
      <c r="B280" s="761" t="s">
        <v>2340</v>
      </c>
      <c r="C280" s="761" t="s">
        <v>2360</v>
      </c>
      <c r="D280" s="761">
        <v>9139956</v>
      </c>
      <c r="E280" s="761" t="s">
        <v>2404</v>
      </c>
      <c r="F280" s="761">
        <v>131204380</v>
      </c>
      <c r="G280" s="761" t="s">
        <v>2406</v>
      </c>
      <c r="H280" s="761" t="s">
        <v>2406</v>
      </c>
      <c r="I280" s="761" t="s">
        <v>6867</v>
      </c>
      <c r="J280" s="761">
        <v>1</v>
      </c>
      <c r="K280" s="746">
        <v>178353.56</v>
      </c>
      <c r="L280" s="746">
        <v>70241.31</v>
      </c>
      <c r="M280" s="746">
        <v>108112.25</v>
      </c>
      <c r="N280" s="493" t="str">
        <f t="shared" si="4"/>
        <v>C390</v>
      </c>
      <c r="O280" s="493" t="s">
        <v>390</v>
      </c>
      <c r="P280" s="493"/>
    </row>
    <row r="281" spans="1:16">
      <c r="A281" s="761" t="s">
        <v>2339</v>
      </c>
      <c r="B281" s="761" t="s">
        <v>2340</v>
      </c>
      <c r="C281" s="761" t="s">
        <v>2360</v>
      </c>
      <c r="D281" s="761">
        <v>10244719</v>
      </c>
      <c r="E281" s="761" t="s">
        <v>2404</v>
      </c>
      <c r="F281" s="761">
        <v>131204400</v>
      </c>
      <c r="G281" s="761" t="s">
        <v>2407</v>
      </c>
      <c r="H281" s="761" t="s">
        <v>2407</v>
      </c>
      <c r="I281" s="761" t="s">
        <v>6867</v>
      </c>
      <c r="J281" s="761">
        <v>1</v>
      </c>
      <c r="K281" s="746">
        <v>75872.25</v>
      </c>
      <c r="L281" s="746">
        <v>27141.100000000002</v>
      </c>
      <c r="M281" s="746">
        <v>48731.15</v>
      </c>
      <c r="N281" s="493" t="str">
        <f t="shared" si="4"/>
        <v>C390</v>
      </c>
      <c r="O281" s="493" t="s">
        <v>390</v>
      </c>
      <c r="P281" s="493"/>
    </row>
    <row r="282" spans="1:16">
      <c r="A282" s="761" t="s">
        <v>2339</v>
      </c>
      <c r="B282" s="761" t="s">
        <v>2340</v>
      </c>
      <c r="C282" s="761" t="s">
        <v>2360</v>
      </c>
      <c r="D282" s="761">
        <v>11869429</v>
      </c>
      <c r="E282" s="761" t="s">
        <v>2404</v>
      </c>
      <c r="F282" s="761">
        <v>143000880</v>
      </c>
      <c r="G282" s="761" t="s">
        <v>2409</v>
      </c>
      <c r="H282" s="761" t="s">
        <v>7280</v>
      </c>
      <c r="I282" s="761" t="s">
        <v>6867</v>
      </c>
      <c r="J282" s="761">
        <v>1</v>
      </c>
      <c r="K282" s="746">
        <v>79093.56</v>
      </c>
      <c r="L282" s="746">
        <v>25474.53</v>
      </c>
      <c r="M282" s="746">
        <v>53619.03</v>
      </c>
      <c r="N282" s="493" t="str">
        <f t="shared" si="4"/>
        <v>C390</v>
      </c>
      <c r="O282" s="493" t="s">
        <v>390</v>
      </c>
      <c r="P282" s="493"/>
    </row>
    <row r="283" spans="1:16">
      <c r="A283" s="761" t="s">
        <v>2339</v>
      </c>
      <c r="B283" s="761" t="s">
        <v>2340</v>
      </c>
      <c r="C283" s="761" t="s">
        <v>2360</v>
      </c>
      <c r="D283" s="761">
        <v>11952897</v>
      </c>
      <c r="E283" s="761" t="s">
        <v>2404</v>
      </c>
      <c r="F283" s="761">
        <v>143000840</v>
      </c>
      <c r="G283" s="761" t="s">
        <v>2408</v>
      </c>
      <c r="H283" s="761" t="s">
        <v>7281</v>
      </c>
      <c r="I283" s="761" t="s">
        <v>6867</v>
      </c>
      <c r="J283" s="761">
        <v>1</v>
      </c>
      <c r="K283" s="746">
        <v>59243.98</v>
      </c>
      <c r="L283" s="746">
        <v>19081.36</v>
      </c>
      <c r="M283" s="746">
        <v>40162.620000000003</v>
      </c>
      <c r="N283" s="493" t="str">
        <f t="shared" si="4"/>
        <v>C390</v>
      </c>
      <c r="O283" s="493" t="s">
        <v>390</v>
      </c>
      <c r="P283" s="493"/>
    </row>
    <row r="284" spans="1:16">
      <c r="A284" s="761" t="s">
        <v>2339</v>
      </c>
      <c r="B284" s="761" t="s">
        <v>2340</v>
      </c>
      <c r="C284" s="761" t="s">
        <v>2360</v>
      </c>
      <c r="D284" s="761">
        <v>18037352</v>
      </c>
      <c r="E284" s="761" t="s">
        <v>2404</v>
      </c>
      <c r="F284" s="761">
        <v>143001680</v>
      </c>
      <c r="G284" s="761" t="s">
        <v>2410</v>
      </c>
      <c r="H284" s="761" t="s">
        <v>7282</v>
      </c>
      <c r="I284" s="761" t="s">
        <v>6867</v>
      </c>
      <c r="J284" s="761">
        <v>1</v>
      </c>
      <c r="K284" s="746">
        <v>3956.26</v>
      </c>
      <c r="L284" s="746">
        <v>1001.1700000000001</v>
      </c>
      <c r="M284" s="746">
        <v>2955.09</v>
      </c>
      <c r="N284" s="493" t="str">
        <f t="shared" si="4"/>
        <v>C390</v>
      </c>
      <c r="O284" s="493" t="s">
        <v>390</v>
      </c>
      <c r="P284" s="493"/>
    </row>
    <row r="285" spans="1:16">
      <c r="A285" s="761" t="s">
        <v>2339</v>
      </c>
      <c r="B285" s="761" t="s">
        <v>2340</v>
      </c>
      <c r="C285" s="761" t="s">
        <v>2360</v>
      </c>
      <c r="D285" s="761">
        <v>23766496</v>
      </c>
      <c r="E285" s="761" t="s">
        <v>2404</v>
      </c>
      <c r="F285" s="761">
        <v>143001780</v>
      </c>
      <c r="G285" s="761" t="s">
        <v>2411</v>
      </c>
      <c r="H285" s="761" t="s">
        <v>7283</v>
      </c>
      <c r="I285" s="761" t="s">
        <v>6867</v>
      </c>
      <c r="J285" s="761">
        <v>1</v>
      </c>
      <c r="K285" s="746">
        <v>1314192.0900000001</v>
      </c>
      <c r="L285" s="746">
        <v>332567.78999999998</v>
      </c>
      <c r="M285" s="746">
        <v>981624.3</v>
      </c>
      <c r="N285" s="493" t="str">
        <f t="shared" si="4"/>
        <v>C390</v>
      </c>
      <c r="O285" s="493" t="s">
        <v>390</v>
      </c>
      <c r="P285" s="493"/>
    </row>
    <row r="286" spans="1:16">
      <c r="A286" s="761" t="s">
        <v>2339</v>
      </c>
      <c r="B286" s="761" t="s">
        <v>2340</v>
      </c>
      <c r="C286" s="761" t="s">
        <v>2360</v>
      </c>
      <c r="D286" s="761">
        <v>24243831</v>
      </c>
      <c r="E286" s="761" t="s">
        <v>2404</v>
      </c>
      <c r="F286" s="761">
        <v>131204180</v>
      </c>
      <c r="G286" s="761" t="s">
        <v>2405</v>
      </c>
      <c r="H286" s="761" t="s">
        <v>7284</v>
      </c>
      <c r="I286" s="761" t="s">
        <v>6867</v>
      </c>
      <c r="J286" s="761">
        <v>0</v>
      </c>
      <c r="K286" s="746">
        <v>390355.10000000003</v>
      </c>
      <c r="L286" s="746">
        <v>98782.77</v>
      </c>
      <c r="M286" s="746">
        <v>291572.33</v>
      </c>
      <c r="N286" s="493" t="str">
        <f t="shared" si="4"/>
        <v>C390</v>
      </c>
      <c r="O286" s="493" t="s">
        <v>390</v>
      </c>
      <c r="P286" s="493"/>
    </row>
    <row r="287" spans="1:16">
      <c r="A287" s="761" t="s">
        <v>2339</v>
      </c>
      <c r="B287" s="761" t="s">
        <v>2340</v>
      </c>
      <c r="C287" s="761" t="s">
        <v>2360</v>
      </c>
      <c r="D287" s="761">
        <v>20785199</v>
      </c>
      <c r="E287" s="761" t="s">
        <v>2404</v>
      </c>
      <c r="F287" s="761">
        <v>143001941</v>
      </c>
      <c r="G287" s="761" t="s">
        <v>2412</v>
      </c>
      <c r="H287" s="761" t="s">
        <v>2412</v>
      </c>
      <c r="I287" s="761" t="s">
        <v>6867</v>
      </c>
      <c r="J287" s="761">
        <v>0</v>
      </c>
      <c r="K287" s="746">
        <v>334168.23</v>
      </c>
      <c r="L287" s="746">
        <v>73541.990000000005</v>
      </c>
      <c r="M287" s="746">
        <v>260626.24000000002</v>
      </c>
      <c r="N287" s="493" t="str">
        <f t="shared" si="4"/>
        <v>C390</v>
      </c>
      <c r="O287" s="493" t="s">
        <v>390</v>
      </c>
      <c r="P287" s="493"/>
    </row>
    <row r="288" spans="1:16">
      <c r="A288" s="761" t="s">
        <v>2339</v>
      </c>
      <c r="B288" s="761" t="s">
        <v>2340</v>
      </c>
      <c r="C288" s="761" t="s">
        <v>2360</v>
      </c>
      <c r="D288" s="761">
        <v>30850590</v>
      </c>
      <c r="E288" s="761" t="s">
        <v>2404</v>
      </c>
      <c r="F288" s="761">
        <v>143002552</v>
      </c>
      <c r="G288" s="761" t="s">
        <v>2413</v>
      </c>
      <c r="H288" s="761" t="s">
        <v>7285</v>
      </c>
      <c r="I288" s="761" t="s">
        <v>6867</v>
      </c>
      <c r="J288" s="761">
        <v>1</v>
      </c>
      <c r="K288" s="746">
        <v>31367.99</v>
      </c>
      <c r="L288" s="746">
        <v>4954.96</v>
      </c>
      <c r="M288" s="746">
        <v>26413.03</v>
      </c>
      <c r="N288" s="493" t="str">
        <f t="shared" si="4"/>
        <v>C390</v>
      </c>
      <c r="O288" s="493" t="s">
        <v>390</v>
      </c>
      <c r="P288" s="493"/>
    </row>
    <row r="289" spans="1:16">
      <c r="A289" s="761" t="s">
        <v>2339</v>
      </c>
      <c r="B289" s="761" t="s">
        <v>2340</v>
      </c>
      <c r="C289" s="761" t="s">
        <v>2362</v>
      </c>
      <c r="D289" s="761">
        <v>93631</v>
      </c>
      <c r="E289" s="761" t="s">
        <v>2414</v>
      </c>
      <c r="F289" s="761" t="s">
        <v>2357</v>
      </c>
      <c r="I289" s="761" t="s">
        <v>6867</v>
      </c>
      <c r="J289" s="761">
        <v>2</v>
      </c>
      <c r="K289" s="746">
        <v>295556.69</v>
      </c>
      <c r="L289" s="746">
        <v>310334.52</v>
      </c>
      <c r="M289" s="746">
        <v>-14777.83</v>
      </c>
      <c r="N289" s="493" t="str">
        <f t="shared" si="4"/>
        <v>C390</v>
      </c>
      <c r="O289" s="493" t="s">
        <v>390</v>
      </c>
      <c r="P289" s="493"/>
    </row>
    <row r="290" spans="1:16">
      <c r="A290" s="761" t="s">
        <v>2339</v>
      </c>
      <c r="B290" s="761" t="s">
        <v>2340</v>
      </c>
      <c r="C290" s="761" t="s">
        <v>2362</v>
      </c>
      <c r="D290" s="761">
        <v>55978</v>
      </c>
      <c r="E290" s="761" t="s">
        <v>2414</v>
      </c>
      <c r="F290" s="761" t="s">
        <v>2357</v>
      </c>
      <c r="I290" s="761" t="s">
        <v>6867</v>
      </c>
      <c r="J290" s="761">
        <v>2</v>
      </c>
      <c r="K290" s="746">
        <v>1853.52</v>
      </c>
      <c r="L290" s="746">
        <v>1946.2</v>
      </c>
      <c r="M290" s="746">
        <v>-92.68</v>
      </c>
      <c r="N290" s="493" t="str">
        <f t="shared" si="4"/>
        <v>C390</v>
      </c>
      <c r="O290" s="493" t="s">
        <v>390</v>
      </c>
      <c r="P290" s="493"/>
    </row>
    <row r="291" spans="1:16">
      <c r="A291" s="761" t="s">
        <v>2339</v>
      </c>
      <c r="B291" s="761" t="s">
        <v>2340</v>
      </c>
      <c r="C291" s="761" t="s">
        <v>2362</v>
      </c>
      <c r="D291" s="761">
        <v>55979</v>
      </c>
      <c r="E291" s="761" t="s">
        <v>2414</v>
      </c>
      <c r="F291" s="761" t="s">
        <v>2357</v>
      </c>
      <c r="I291" s="761" t="s">
        <v>6867</v>
      </c>
      <c r="J291" s="761">
        <v>2</v>
      </c>
      <c r="K291" s="746">
        <v>2776.16</v>
      </c>
      <c r="L291" s="746">
        <v>2914.9700000000003</v>
      </c>
      <c r="M291" s="746">
        <v>-138.81</v>
      </c>
      <c r="N291" s="493" t="str">
        <f t="shared" si="4"/>
        <v>C390</v>
      </c>
      <c r="O291" s="493" t="s">
        <v>390</v>
      </c>
      <c r="P291" s="493"/>
    </row>
    <row r="292" spans="1:16">
      <c r="A292" s="761" t="s">
        <v>2339</v>
      </c>
      <c r="B292" s="761" t="s">
        <v>2340</v>
      </c>
      <c r="C292" s="761" t="s">
        <v>2362</v>
      </c>
      <c r="D292" s="761">
        <v>55980</v>
      </c>
      <c r="E292" s="761" t="s">
        <v>2414</v>
      </c>
      <c r="F292" s="761" t="s">
        <v>2357</v>
      </c>
      <c r="I292" s="761" t="s">
        <v>6867</v>
      </c>
      <c r="J292" s="761">
        <v>2</v>
      </c>
      <c r="K292" s="746">
        <v>31330.760000000002</v>
      </c>
      <c r="L292" s="746">
        <v>32897.300000000003</v>
      </c>
      <c r="M292" s="746">
        <v>-1566.54</v>
      </c>
      <c r="N292" s="493" t="str">
        <f t="shared" si="4"/>
        <v>C390</v>
      </c>
      <c r="O292" s="493" t="s">
        <v>390</v>
      </c>
      <c r="P292" s="493"/>
    </row>
    <row r="293" spans="1:16">
      <c r="A293" s="761" t="s">
        <v>2339</v>
      </c>
      <c r="B293" s="761" t="s">
        <v>2340</v>
      </c>
      <c r="C293" s="761" t="s">
        <v>2362</v>
      </c>
      <c r="D293" s="761">
        <v>55981</v>
      </c>
      <c r="E293" s="761" t="s">
        <v>2414</v>
      </c>
      <c r="F293" s="761" t="s">
        <v>2357</v>
      </c>
      <c r="I293" s="761" t="s">
        <v>6867</v>
      </c>
      <c r="J293" s="761">
        <v>2</v>
      </c>
      <c r="K293" s="746">
        <v>43.68</v>
      </c>
      <c r="L293" s="746">
        <v>45.86</v>
      </c>
      <c r="M293" s="746">
        <v>-2.1800000000000002</v>
      </c>
      <c r="N293" s="493" t="str">
        <f t="shared" si="4"/>
        <v>C390</v>
      </c>
      <c r="O293" s="493" t="s">
        <v>390</v>
      </c>
      <c r="P293" s="493"/>
    </row>
    <row r="294" spans="1:16">
      <c r="A294" s="761" t="s">
        <v>2339</v>
      </c>
      <c r="B294" s="761" t="s">
        <v>2340</v>
      </c>
      <c r="C294" s="761" t="s">
        <v>2362</v>
      </c>
      <c r="D294" s="761">
        <v>94877</v>
      </c>
      <c r="E294" s="761" t="s">
        <v>2414</v>
      </c>
      <c r="F294" s="761" t="s">
        <v>2357</v>
      </c>
      <c r="I294" s="761" t="s">
        <v>6867</v>
      </c>
      <c r="J294" s="761">
        <v>2</v>
      </c>
      <c r="K294" s="746">
        <v>405.55</v>
      </c>
      <c r="L294" s="746">
        <v>425.83</v>
      </c>
      <c r="M294" s="746">
        <v>-20.28</v>
      </c>
      <c r="N294" s="493" t="str">
        <f t="shared" si="4"/>
        <v>C390</v>
      </c>
      <c r="O294" s="493" t="s">
        <v>390</v>
      </c>
      <c r="P294" s="493"/>
    </row>
    <row r="295" spans="1:16">
      <c r="A295" s="761" t="s">
        <v>2339</v>
      </c>
      <c r="B295" s="761" t="s">
        <v>2340</v>
      </c>
      <c r="C295" s="761" t="s">
        <v>2362</v>
      </c>
      <c r="D295" s="761">
        <v>55982</v>
      </c>
      <c r="E295" s="761" t="s">
        <v>2414</v>
      </c>
      <c r="F295" s="761" t="s">
        <v>2357</v>
      </c>
      <c r="I295" s="761" t="s">
        <v>6867</v>
      </c>
      <c r="J295" s="761">
        <v>2</v>
      </c>
      <c r="K295" s="746">
        <v>1468.75</v>
      </c>
      <c r="L295" s="746">
        <v>1542.19</v>
      </c>
      <c r="M295" s="746">
        <v>-73.44</v>
      </c>
      <c r="N295" s="493" t="str">
        <f t="shared" si="4"/>
        <v>C390</v>
      </c>
      <c r="O295" s="493" t="s">
        <v>390</v>
      </c>
      <c r="P295" s="493"/>
    </row>
    <row r="296" spans="1:16">
      <c r="A296" s="761" t="s">
        <v>2339</v>
      </c>
      <c r="B296" s="761" t="s">
        <v>2340</v>
      </c>
      <c r="C296" s="761" t="s">
        <v>2362</v>
      </c>
      <c r="D296" s="761">
        <v>102211</v>
      </c>
      <c r="E296" s="761" t="s">
        <v>2414</v>
      </c>
      <c r="F296" s="761" t="s">
        <v>2357</v>
      </c>
      <c r="I296" s="761" t="s">
        <v>6867</v>
      </c>
      <c r="J296" s="761">
        <v>2</v>
      </c>
      <c r="K296" s="746">
        <v>2206.6799999999998</v>
      </c>
      <c r="L296" s="746">
        <v>2317.0100000000002</v>
      </c>
      <c r="M296" s="746">
        <v>-110.33</v>
      </c>
      <c r="N296" s="493" t="str">
        <f t="shared" si="4"/>
        <v>C390</v>
      </c>
      <c r="O296" s="493" t="s">
        <v>390</v>
      </c>
      <c r="P296" s="493"/>
    </row>
    <row r="297" spans="1:16">
      <c r="A297" s="761" t="s">
        <v>2339</v>
      </c>
      <c r="B297" s="761" t="s">
        <v>2340</v>
      </c>
      <c r="C297" s="761" t="s">
        <v>2362</v>
      </c>
      <c r="D297" s="761">
        <v>55983</v>
      </c>
      <c r="E297" s="761" t="s">
        <v>2414</v>
      </c>
      <c r="F297" s="761" t="s">
        <v>2357</v>
      </c>
      <c r="I297" s="761" t="s">
        <v>6867</v>
      </c>
      <c r="J297" s="761">
        <v>2</v>
      </c>
      <c r="K297" s="746">
        <v>904.86</v>
      </c>
      <c r="L297" s="746">
        <v>950.1</v>
      </c>
      <c r="M297" s="746">
        <v>-45.24</v>
      </c>
      <c r="N297" s="493" t="str">
        <f t="shared" si="4"/>
        <v>C390</v>
      </c>
      <c r="O297" s="493" t="s">
        <v>390</v>
      </c>
      <c r="P297" s="493"/>
    </row>
    <row r="298" spans="1:16">
      <c r="A298" s="761" t="s">
        <v>2339</v>
      </c>
      <c r="B298" s="761" t="s">
        <v>2340</v>
      </c>
      <c r="C298" s="761" t="s">
        <v>2362</v>
      </c>
      <c r="D298" s="761">
        <v>55984</v>
      </c>
      <c r="E298" s="761" t="s">
        <v>2414</v>
      </c>
      <c r="F298" s="761" t="s">
        <v>2357</v>
      </c>
      <c r="I298" s="761" t="s">
        <v>6867</v>
      </c>
      <c r="J298" s="761">
        <v>1</v>
      </c>
      <c r="K298" s="746">
        <v>3366.7400000000002</v>
      </c>
      <c r="L298" s="746">
        <v>3535.08</v>
      </c>
      <c r="M298" s="746">
        <v>-168.34</v>
      </c>
      <c r="N298" s="493" t="str">
        <f t="shared" si="4"/>
        <v>C390</v>
      </c>
      <c r="O298" s="493" t="s">
        <v>390</v>
      </c>
      <c r="P298" s="493"/>
    </row>
    <row r="299" spans="1:16">
      <c r="A299" s="761" t="s">
        <v>2339</v>
      </c>
      <c r="B299" s="761" t="s">
        <v>2340</v>
      </c>
      <c r="C299" s="761" t="s">
        <v>2362</v>
      </c>
      <c r="D299" s="761">
        <v>55985</v>
      </c>
      <c r="E299" s="761" t="s">
        <v>2414</v>
      </c>
      <c r="F299" s="761" t="s">
        <v>2357</v>
      </c>
      <c r="I299" s="761" t="s">
        <v>6867</v>
      </c>
      <c r="J299" s="761">
        <v>2</v>
      </c>
      <c r="K299" s="746">
        <v>702.49</v>
      </c>
      <c r="L299" s="746">
        <v>737.61</v>
      </c>
      <c r="M299" s="746">
        <v>-35.119999999999997</v>
      </c>
      <c r="N299" s="493" t="str">
        <f t="shared" si="4"/>
        <v>C390</v>
      </c>
      <c r="O299" s="493" t="s">
        <v>390</v>
      </c>
      <c r="P299" s="493"/>
    </row>
    <row r="300" spans="1:16">
      <c r="A300" s="761" t="s">
        <v>2339</v>
      </c>
      <c r="B300" s="761" t="s">
        <v>2340</v>
      </c>
      <c r="C300" s="761" t="s">
        <v>2362</v>
      </c>
      <c r="D300" s="761">
        <v>55986</v>
      </c>
      <c r="E300" s="761" t="s">
        <v>2414</v>
      </c>
      <c r="F300" s="761" t="s">
        <v>2357</v>
      </c>
      <c r="I300" s="761" t="s">
        <v>6867</v>
      </c>
      <c r="J300" s="761">
        <v>1</v>
      </c>
      <c r="K300" s="746">
        <v>3716.54</v>
      </c>
      <c r="L300" s="746">
        <v>3902.37</v>
      </c>
      <c r="M300" s="746">
        <v>-185.83</v>
      </c>
      <c r="N300" s="493" t="str">
        <f t="shared" si="4"/>
        <v>C390</v>
      </c>
      <c r="O300" s="493" t="s">
        <v>390</v>
      </c>
      <c r="P300" s="493"/>
    </row>
    <row r="301" spans="1:16">
      <c r="A301" s="761" t="s">
        <v>2339</v>
      </c>
      <c r="B301" s="761" t="s">
        <v>2340</v>
      </c>
      <c r="C301" s="761" t="s">
        <v>2362</v>
      </c>
      <c r="D301" s="761">
        <v>55987</v>
      </c>
      <c r="E301" s="761" t="s">
        <v>2414</v>
      </c>
      <c r="F301" s="761" t="s">
        <v>2357</v>
      </c>
      <c r="I301" s="761" t="s">
        <v>6867</v>
      </c>
      <c r="J301" s="761">
        <v>2</v>
      </c>
      <c r="K301" s="746">
        <v>6327.12</v>
      </c>
      <c r="L301" s="746">
        <v>6643.47</v>
      </c>
      <c r="M301" s="746">
        <v>-316.35000000000002</v>
      </c>
      <c r="N301" s="493" t="str">
        <f t="shared" si="4"/>
        <v>C390</v>
      </c>
      <c r="O301" s="493" t="s">
        <v>390</v>
      </c>
      <c r="P301" s="493"/>
    </row>
    <row r="302" spans="1:16">
      <c r="A302" s="761" t="s">
        <v>2339</v>
      </c>
      <c r="B302" s="761" t="s">
        <v>2340</v>
      </c>
      <c r="C302" s="761" t="s">
        <v>2362</v>
      </c>
      <c r="D302" s="761">
        <v>55988</v>
      </c>
      <c r="E302" s="761" t="s">
        <v>2414</v>
      </c>
      <c r="F302" s="761" t="s">
        <v>2357</v>
      </c>
      <c r="I302" s="761" t="s">
        <v>6867</v>
      </c>
      <c r="J302" s="761">
        <v>2</v>
      </c>
      <c r="K302" s="746">
        <v>2637.98</v>
      </c>
      <c r="L302" s="746">
        <v>2769.88</v>
      </c>
      <c r="M302" s="746">
        <v>-131.9</v>
      </c>
      <c r="N302" s="493" t="str">
        <f t="shared" si="4"/>
        <v>C390</v>
      </c>
      <c r="O302" s="493" t="s">
        <v>390</v>
      </c>
      <c r="P302" s="493"/>
    </row>
    <row r="303" spans="1:16">
      <c r="A303" s="761" t="s">
        <v>2339</v>
      </c>
      <c r="B303" s="761" t="s">
        <v>2340</v>
      </c>
      <c r="C303" s="761" t="s">
        <v>2362</v>
      </c>
      <c r="D303" s="761">
        <v>55989</v>
      </c>
      <c r="E303" s="761" t="s">
        <v>2414</v>
      </c>
      <c r="F303" s="761" t="s">
        <v>2357</v>
      </c>
      <c r="I303" s="761" t="s">
        <v>6867</v>
      </c>
      <c r="J303" s="761">
        <v>2</v>
      </c>
      <c r="K303" s="746">
        <v>18801.02</v>
      </c>
      <c r="L303" s="746">
        <v>19741.05</v>
      </c>
      <c r="M303" s="746">
        <v>-940.03</v>
      </c>
      <c r="N303" s="493" t="str">
        <f t="shared" si="4"/>
        <v>C390</v>
      </c>
      <c r="O303" s="493" t="s">
        <v>390</v>
      </c>
      <c r="P303" s="493"/>
    </row>
    <row r="304" spans="1:16">
      <c r="A304" s="761" t="s">
        <v>2339</v>
      </c>
      <c r="B304" s="761" t="s">
        <v>2340</v>
      </c>
      <c r="C304" s="761" t="s">
        <v>2362</v>
      </c>
      <c r="D304" s="761">
        <v>55990</v>
      </c>
      <c r="E304" s="761" t="s">
        <v>2414</v>
      </c>
      <c r="F304" s="761" t="s">
        <v>2357</v>
      </c>
      <c r="I304" s="761" t="s">
        <v>6867</v>
      </c>
      <c r="J304" s="761">
        <v>2</v>
      </c>
      <c r="K304" s="746">
        <v>7028.43</v>
      </c>
      <c r="L304" s="746">
        <v>7379.83</v>
      </c>
      <c r="M304" s="746">
        <v>-351.40000000000003</v>
      </c>
      <c r="N304" s="493" t="str">
        <f t="shared" si="4"/>
        <v>C390</v>
      </c>
      <c r="O304" s="493" t="s">
        <v>390</v>
      </c>
      <c r="P304" s="493"/>
    </row>
    <row r="305" spans="1:16">
      <c r="A305" s="761" t="s">
        <v>2339</v>
      </c>
      <c r="B305" s="761" t="s">
        <v>2340</v>
      </c>
      <c r="C305" s="761" t="s">
        <v>2362</v>
      </c>
      <c r="D305" s="761">
        <v>55991</v>
      </c>
      <c r="E305" s="761" t="s">
        <v>2414</v>
      </c>
      <c r="F305" s="761" t="s">
        <v>2357</v>
      </c>
      <c r="I305" s="761" t="s">
        <v>6867</v>
      </c>
      <c r="J305" s="761">
        <v>2</v>
      </c>
      <c r="K305" s="746">
        <v>6451.64</v>
      </c>
      <c r="L305" s="746">
        <v>6774.2</v>
      </c>
      <c r="M305" s="746">
        <v>-322.56</v>
      </c>
      <c r="N305" s="493" t="str">
        <f t="shared" si="4"/>
        <v>C390</v>
      </c>
      <c r="O305" s="493" t="s">
        <v>390</v>
      </c>
      <c r="P305" s="493"/>
    </row>
    <row r="306" spans="1:16">
      <c r="A306" s="761" t="s">
        <v>2339</v>
      </c>
      <c r="B306" s="761" t="s">
        <v>2340</v>
      </c>
      <c r="C306" s="761" t="s">
        <v>2362</v>
      </c>
      <c r="D306" s="761">
        <v>102212</v>
      </c>
      <c r="E306" s="761" t="s">
        <v>2414</v>
      </c>
      <c r="F306" s="761" t="s">
        <v>2357</v>
      </c>
      <c r="I306" s="761" t="s">
        <v>6867</v>
      </c>
      <c r="J306" s="761">
        <v>2</v>
      </c>
      <c r="K306" s="746">
        <v>56965.19</v>
      </c>
      <c r="L306" s="746">
        <v>59812.75</v>
      </c>
      <c r="M306" s="746">
        <v>-2847.56</v>
      </c>
      <c r="N306" s="493" t="str">
        <f t="shared" si="4"/>
        <v>C390</v>
      </c>
      <c r="O306" s="493" t="s">
        <v>390</v>
      </c>
      <c r="P306" s="493"/>
    </row>
    <row r="307" spans="1:16">
      <c r="A307" s="761" t="s">
        <v>2339</v>
      </c>
      <c r="B307" s="761" t="s">
        <v>2340</v>
      </c>
      <c r="C307" s="761" t="s">
        <v>2362</v>
      </c>
      <c r="D307" s="761">
        <v>90358</v>
      </c>
      <c r="E307" s="761" t="s">
        <v>2414</v>
      </c>
      <c r="F307" s="761" t="s">
        <v>2357</v>
      </c>
      <c r="I307" s="761" t="s">
        <v>6867</v>
      </c>
      <c r="J307" s="761">
        <v>2</v>
      </c>
      <c r="K307" s="746">
        <v>42113.72</v>
      </c>
      <c r="L307" s="746">
        <v>44218.53</v>
      </c>
      <c r="M307" s="746">
        <v>-2104.81</v>
      </c>
      <c r="N307" s="493" t="str">
        <f t="shared" si="4"/>
        <v>C390</v>
      </c>
      <c r="O307" s="493" t="s">
        <v>390</v>
      </c>
      <c r="P307" s="493"/>
    </row>
    <row r="308" spans="1:16">
      <c r="A308" s="761" t="s">
        <v>2339</v>
      </c>
      <c r="B308" s="761" t="s">
        <v>2340</v>
      </c>
      <c r="C308" s="761" t="s">
        <v>2362</v>
      </c>
      <c r="D308" s="761">
        <v>55992</v>
      </c>
      <c r="E308" s="761" t="s">
        <v>2414</v>
      </c>
      <c r="F308" s="761" t="s">
        <v>2357</v>
      </c>
      <c r="I308" s="761" t="s">
        <v>6867</v>
      </c>
      <c r="J308" s="761">
        <v>2</v>
      </c>
      <c r="K308" s="746">
        <v>16305.75</v>
      </c>
      <c r="L308" s="746">
        <v>17120.47</v>
      </c>
      <c r="M308" s="746">
        <v>-814.72</v>
      </c>
      <c r="N308" s="493" t="str">
        <f t="shared" si="4"/>
        <v>C390</v>
      </c>
      <c r="O308" s="493" t="s">
        <v>390</v>
      </c>
      <c r="P308" s="493"/>
    </row>
    <row r="309" spans="1:16">
      <c r="A309" s="761" t="s">
        <v>2339</v>
      </c>
      <c r="B309" s="761" t="s">
        <v>2340</v>
      </c>
      <c r="C309" s="761" t="s">
        <v>2362</v>
      </c>
      <c r="D309" s="761">
        <v>55993</v>
      </c>
      <c r="E309" s="761" t="s">
        <v>2414</v>
      </c>
      <c r="F309" s="761" t="s">
        <v>2357</v>
      </c>
      <c r="I309" s="761" t="s">
        <v>6867</v>
      </c>
      <c r="J309" s="761">
        <v>2</v>
      </c>
      <c r="K309" s="746">
        <v>6725.45</v>
      </c>
      <c r="L309" s="746">
        <v>7061.34</v>
      </c>
      <c r="M309" s="746">
        <v>-335.89</v>
      </c>
      <c r="N309" s="493" t="str">
        <f t="shared" si="4"/>
        <v>C390</v>
      </c>
      <c r="O309" s="493" t="s">
        <v>390</v>
      </c>
      <c r="P309" s="493"/>
    </row>
    <row r="310" spans="1:16">
      <c r="A310" s="761" t="s">
        <v>2339</v>
      </c>
      <c r="B310" s="761" t="s">
        <v>2340</v>
      </c>
      <c r="C310" s="761" t="s">
        <v>2362</v>
      </c>
      <c r="D310" s="761">
        <v>55994</v>
      </c>
      <c r="E310" s="761" t="s">
        <v>2414</v>
      </c>
      <c r="F310" s="761" t="s">
        <v>2357</v>
      </c>
      <c r="I310" s="761" t="s">
        <v>6867</v>
      </c>
      <c r="J310" s="761">
        <v>2</v>
      </c>
      <c r="K310" s="746">
        <v>23013.34</v>
      </c>
      <c r="L310" s="746">
        <v>24161.87</v>
      </c>
      <c r="M310" s="746">
        <v>-1148.53</v>
      </c>
      <c r="N310" s="493" t="str">
        <f t="shared" si="4"/>
        <v>C390</v>
      </c>
      <c r="O310" s="493" t="s">
        <v>390</v>
      </c>
      <c r="P310" s="493"/>
    </row>
    <row r="311" spans="1:16">
      <c r="A311" s="761" t="s">
        <v>2339</v>
      </c>
      <c r="B311" s="761" t="s">
        <v>2340</v>
      </c>
      <c r="C311" s="761" t="s">
        <v>2362</v>
      </c>
      <c r="D311" s="761">
        <v>55995</v>
      </c>
      <c r="E311" s="761" t="s">
        <v>2414</v>
      </c>
      <c r="F311" s="761" t="s">
        <v>2357</v>
      </c>
      <c r="I311" s="761" t="s">
        <v>6867</v>
      </c>
      <c r="J311" s="761">
        <v>2</v>
      </c>
      <c r="K311" s="746">
        <v>24479.600000000002</v>
      </c>
      <c r="L311" s="746">
        <v>25699.940000000002</v>
      </c>
      <c r="M311" s="746">
        <v>-1220.3399999999999</v>
      </c>
      <c r="N311" s="493" t="str">
        <f t="shared" si="4"/>
        <v>C390</v>
      </c>
      <c r="O311" s="493" t="s">
        <v>390</v>
      </c>
      <c r="P311" s="493"/>
    </row>
    <row r="312" spans="1:16">
      <c r="A312" s="761" t="s">
        <v>2339</v>
      </c>
      <c r="B312" s="761" t="s">
        <v>2340</v>
      </c>
      <c r="C312" s="761" t="s">
        <v>2362</v>
      </c>
      <c r="D312" s="761">
        <v>55996</v>
      </c>
      <c r="E312" s="761" t="s">
        <v>2414</v>
      </c>
      <c r="F312" s="761" t="s">
        <v>2357</v>
      </c>
      <c r="I312" s="761" t="s">
        <v>6867</v>
      </c>
      <c r="J312" s="761">
        <v>2</v>
      </c>
      <c r="K312" s="746">
        <v>191663</v>
      </c>
      <c r="L312" s="746">
        <v>201201.18</v>
      </c>
      <c r="M312" s="746">
        <v>-9538.18</v>
      </c>
      <c r="N312" s="493" t="str">
        <f t="shared" si="4"/>
        <v>C390</v>
      </c>
      <c r="O312" s="493" t="s">
        <v>390</v>
      </c>
      <c r="P312" s="493"/>
    </row>
    <row r="313" spans="1:16">
      <c r="A313" s="761" t="s">
        <v>2339</v>
      </c>
      <c r="B313" s="761" t="s">
        <v>2340</v>
      </c>
      <c r="C313" s="761" t="s">
        <v>2362</v>
      </c>
      <c r="D313" s="761">
        <v>55997</v>
      </c>
      <c r="E313" s="761" t="s">
        <v>2414</v>
      </c>
      <c r="F313" s="761" t="s">
        <v>2357</v>
      </c>
      <c r="I313" s="761" t="s">
        <v>6867</v>
      </c>
      <c r="J313" s="761">
        <v>2</v>
      </c>
      <c r="K313" s="746">
        <v>18267.07</v>
      </c>
      <c r="L313" s="746">
        <v>19173.75</v>
      </c>
      <c r="M313" s="746">
        <v>-906.68000000000006</v>
      </c>
      <c r="N313" s="493" t="str">
        <f t="shared" si="4"/>
        <v>C390</v>
      </c>
      <c r="O313" s="493" t="s">
        <v>390</v>
      </c>
      <c r="P313" s="493"/>
    </row>
    <row r="314" spans="1:16">
      <c r="A314" s="761" t="s">
        <v>2339</v>
      </c>
      <c r="B314" s="761" t="s">
        <v>2340</v>
      </c>
      <c r="C314" s="761" t="s">
        <v>2362</v>
      </c>
      <c r="D314" s="761">
        <v>55998</v>
      </c>
      <c r="E314" s="761" t="s">
        <v>2414</v>
      </c>
      <c r="F314" s="761" t="s">
        <v>2357</v>
      </c>
      <c r="I314" s="761" t="s">
        <v>6867</v>
      </c>
      <c r="J314" s="761">
        <v>2</v>
      </c>
      <c r="K314" s="746">
        <v>3755.75</v>
      </c>
      <c r="L314" s="746">
        <v>3941.4300000000003</v>
      </c>
      <c r="M314" s="746">
        <v>-185.68</v>
      </c>
      <c r="N314" s="493" t="str">
        <f t="shared" si="4"/>
        <v>C390</v>
      </c>
      <c r="O314" s="493" t="s">
        <v>390</v>
      </c>
      <c r="P314" s="493"/>
    </row>
    <row r="315" spans="1:16">
      <c r="A315" s="761" t="s">
        <v>2339</v>
      </c>
      <c r="B315" s="761" t="s">
        <v>2340</v>
      </c>
      <c r="C315" s="761" t="s">
        <v>2362</v>
      </c>
      <c r="D315" s="761">
        <v>55999</v>
      </c>
      <c r="E315" s="761" t="s">
        <v>2414</v>
      </c>
      <c r="F315" s="761" t="s">
        <v>2357</v>
      </c>
      <c r="I315" s="761" t="s">
        <v>6867</v>
      </c>
      <c r="J315" s="761">
        <v>2</v>
      </c>
      <c r="K315" s="746">
        <v>109322.2</v>
      </c>
      <c r="L315" s="746">
        <v>114695.35</v>
      </c>
      <c r="M315" s="746">
        <v>-5373.1500000000005</v>
      </c>
      <c r="N315" s="493" t="str">
        <f t="shared" si="4"/>
        <v>C390</v>
      </c>
      <c r="O315" s="493" t="s">
        <v>390</v>
      </c>
      <c r="P315" s="493"/>
    </row>
    <row r="316" spans="1:16">
      <c r="A316" s="761" t="s">
        <v>2339</v>
      </c>
      <c r="B316" s="761" t="s">
        <v>2340</v>
      </c>
      <c r="C316" s="761" t="s">
        <v>2362</v>
      </c>
      <c r="D316" s="761">
        <v>56000</v>
      </c>
      <c r="E316" s="761" t="s">
        <v>2414</v>
      </c>
      <c r="F316" s="761" t="s">
        <v>2357</v>
      </c>
      <c r="I316" s="761" t="s">
        <v>6867</v>
      </c>
      <c r="J316" s="761">
        <v>2</v>
      </c>
      <c r="K316" s="746">
        <v>2873.44</v>
      </c>
      <c r="L316" s="746">
        <v>3011.73</v>
      </c>
      <c r="M316" s="746">
        <v>-138.29</v>
      </c>
      <c r="N316" s="493" t="str">
        <f t="shared" si="4"/>
        <v>C390</v>
      </c>
      <c r="O316" s="493" t="s">
        <v>390</v>
      </c>
      <c r="P316" s="493"/>
    </row>
    <row r="317" spans="1:16">
      <c r="A317" s="761" t="s">
        <v>2339</v>
      </c>
      <c r="B317" s="761" t="s">
        <v>2340</v>
      </c>
      <c r="C317" s="761" t="s">
        <v>2362</v>
      </c>
      <c r="D317" s="761">
        <v>56001</v>
      </c>
      <c r="E317" s="761" t="s">
        <v>2414</v>
      </c>
      <c r="F317" s="761" t="s">
        <v>2357</v>
      </c>
      <c r="I317" s="761" t="s">
        <v>6867</v>
      </c>
      <c r="J317" s="761">
        <v>2</v>
      </c>
      <c r="K317" s="746">
        <v>2246.56</v>
      </c>
      <c r="L317" s="746">
        <v>2352.77</v>
      </c>
      <c r="M317" s="746">
        <v>-106.21000000000001</v>
      </c>
      <c r="N317" s="493" t="str">
        <f t="shared" si="4"/>
        <v>C390</v>
      </c>
      <c r="O317" s="493" t="s">
        <v>390</v>
      </c>
      <c r="P317" s="493"/>
    </row>
    <row r="318" spans="1:16">
      <c r="A318" s="761" t="s">
        <v>2339</v>
      </c>
      <c r="B318" s="761" t="s">
        <v>2340</v>
      </c>
      <c r="C318" s="761" t="s">
        <v>2362</v>
      </c>
      <c r="D318" s="761">
        <v>56002</v>
      </c>
      <c r="E318" s="761" t="s">
        <v>2414</v>
      </c>
      <c r="F318" s="761" t="s">
        <v>2357</v>
      </c>
      <c r="I318" s="761" t="s">
        <v>6867</v>
      </c>
      <c r="J318" s="761">
        <v>2</v>
      </c>
      <c r="K318" s="746">
        <v>502.21000000000004</v>
      </c>
      <c r="L318" s="746">
        <v>524.54</v>
      </c>
      <c r="M318" s="746">
        <v>-22.330000000000002</v>
      </c>
      <c r="N318" s="493" t="str">
        <f t="shared" si="4"/>
        <v>C390</v>
      </c>
      <c r="O318" s="493" t="s">
        <v>390</v>
      </c>
      <c r="P318" s="493"/>
    </row>
    <row r="319" spans="1:16">
      <c r="A319" s="761" t="s">
        <v>2339</v>
      </c>
      <c r="B319" s="761" t="s">
        <v>2340</v>
      </c>
      <c r="C319" s="761" t="s">
        <v>2362</v>
      </c>
      <c r="D319" s="761">
        <v>56003</v>
      </c>
      <c r="E319" s="761" t="s">
        <v>2414</v>
      </c>
      <c r="F319" s="761" t="s">
        <v>2357</v>
      </c>
      <c r="I319" s="761" t="s">
        <v>6867</v>
      </c>
      <c r="J319" s="761">
        <v>2</v>
      </c>
      <c r="K319" s="746">
        <v>976.67000000000007</v>
      </c>
      <c r="L319" s="746">
        <v>1017.9300000000001</v>
      </c>
      <c r="M319" s="746">
        <v>-41.26</v>
      </c>
      <c r="N319" s="493" t="str">
        <f t="shared" si="4"/>
        <v>C390</v>
      </c>
      <c r="O319" s="493" t="s">
        <v>390</v>
      </c>
      <c r="P319" s="493"/>
    </row>
    <row r="320" spans="1:16">
      <c r="A320" s="761" t="s">
        <v>2339</v>
      </c>
      <c r="B320" s="761" t="s">
        <v>2340</v>
      </c>
      <c r="C320" s="761" t="s">
        <v>2362</v>
      </c>
      <c r="D320" s="761">
        <v>56337</v>
      </c>
      <c r="E320" s="761" t="s">
        <v>2414</v>
      </c>
      <c r="F320" s="761" t="s">
        <v>2357</v>
      </c>
      <c r="I320" s="761" t="s">
        <v>6867</v>
      </c>
      <c r="J320" s="761">
        <v>3</v>
      </c>
      <c r="K320" s="746">
        <v>7642.1100000000006</v>
      </c>
      <c r="L320" s="746">
        <v>7669.96</v>
      </c>
      <c r="M320" s="746">
        <v>-27.85</v>
      </c>
      <c r="N320" s="493" t="str">
        <f t="shared" si="4"/>
        <v>C390</v>
      </c>
      <c r="O320" s="493" t="s">
        <v>390</v>
      </c>
      <c r="P320" s="493"/>
    </row>
    <row r="321" spans="1:16">
      <c r="A321" s="761" t="s">
        <v>2339</v>
      </c>
      <c r="B321" s="761" t="s">
        <v>2340</v>
      </c>
      <c r="C321" s="761" t="s">
        <v>2362</v>
      </c>
      <c r="D321" s="761">
        <v>102393</v>
      </c>
      <c r="E321" s="761" t="s">
        <v>2414</v>
      </c>
      <c r="F321" s="761" t="s">
        <v>2357</v>
      </c>
      <c r="I321" s="761" t="s">
        <v>6867</v>
      </c>
      <c r="J321" s="761">
        <v>2</v>
      </c>
      <c r="K321" s="746">
        <v>2751.92</v>
      </c>
      <c r="L321" s="746">
        <v>2761.9500000000003</v>
      </c>
      <c r="M321" s="746">
        <v>-10.029999999999999</v>
      </c>
      <c r="N321" s="493" t="str">
        <f t="shared" si="4"/>
        <v>C390</v>
      </c>
      <c r="O321" s="493" t="s">
        <v>390</v>
      </c>
      <c r="P321" s="493"/>
    </row>
    <row r="322" spans="1:16">
      <c r="A322" s="761" t="s">
        <v>2339</v>
      </c>
      <c r="B322" s="761" t="s">
        <v>2340</v>
      </c>
      <c r="C322" s="761" t="s">
        <v>2362</v>
      </c>
      <c r="D322" s="761">
        <v>56336</v>
      </c>
      <c r="E322" s="761" t="s">
        <v>2414</v>
      </c>
      <c r="F322" s="761" t="s">
        <v>2357</v>
      </c>
      <c r="I322" s="761" t="s">
        <v>6867</v>
      </c>
      <c r="J322" s="761">
        <v>2</v>
      </c>
      <c r="K322" s="746">
        <v>43604.17</v>
      </c>
      <c r="L322" s="746">
        <v>43154.700000000004</v>
      </c>
      <c r="M322" s="746">
        <v>449.47</v>
      </c>
      <c r="N322" s="493" t="str">
        <f t="shared" ref="N322:N385" si="5">LEFT(E322,4)</f>
        <v>C390</v>
      </c>
      <c r="O322" s="493" t="s">
        <v>390</v>
      </c>
      <c r="P322" s="493"/>
    </row>
    <row r="323" spans="1:16">
      <c r="A323" s="761" t="s">
        <v>2339</v>
      </c>
      <c r="B323" s="761" t="s">
        <v>2340</v>
      </c>
      <c r="C323" s="761" t="s">
        <v>2362</v>
      </c>
      <c r="D323" s="761">
        <v>56340</v>
      </c>
      <c r="E323" s="761" t="s">
        <v>2414</v>
      </c>
      <c r="F323" s="761" t="s">
        <v>2357</v>
      </c>
      <c r="I323" s="761" t="s">
        <v>6867</v>
      </c>
      <c r="J323" s="761">
        <v>2</v>
      </c>
      <c r="K323" s="746">
        <v>101414.46</v>
      </c>
      <c r="L323" s="746">
        <v>100369.08</v>
      </c>
      <c r="M323" s="746">
        <v>1045.3800000000001</v>
      </c>
      <c r="N323" s="493" t="str">
        <f t="shared" si="5"/>
        <v>C390</v>
      </c>
      <c r="O323" s="493" t="s">
        <v>390</v>
      </c>
      <c r="P323" s="493"/>
    </row>
    <row r="324" spans="1:16">
      <c r="A324" s="761" t="s">
        <v>2339</v>
      </c>
      <c r="B324" s="761" t="s">
        <v>2340</v>
      </c>
      <c r="C324" s="761" t="s">
        <v>2362</v>
      </c>
      <c r="D324" s="761">
        <v>57057</v>
      </c>
      <c r="E324" s="761" t="s">
        <v>2414</v>
      </c>
      <c r="F324" s="761" t="s">
        <v>2357</v>
      </c>
      <c r="I324" s="761" t="s">
        <v>6867</v>
      </c>
      <c r="J324" s="761">
        <v>1</v>
      </c>
      <c r="K324" s="746">
        <v>10176.25</v>
      </c>
      <c r="L324" s="746">
        <v>9894.34</v>
      </c>
      <c r="M324" s="746">
        <v>281.91000000000003</v>
      </c>
      <c r="N324" s="493" t="str">
        <f t="shared" si="5"/>
        <v>C390</v>
      </c>
      <c r="O324" s="493" t="s">
        <v>390</v>
      </c>
      <c r="P324" s="493"/>
    </row>
    <row r="325" spans="1:16">
      <c r="A325" s="761" t="s">
        <v>2339</v>
      </c>
      <c r="B325" s="761" t="s">
        <v>2340</v>
      </c>
      <c r="C325" s="761" t="s">
        <v>2362</v>
      </c>
      <c r="D325" s="761">
        <v>73527</v>
      </c>
      <c r="E325" s="761" t="s">
        <v>2414</v>
      </c>
      <c r="F325" s="761" t="s">
        <v>2357</v>
      </c>
      <c r="I325" s="761" t="s">
        <v>6867</v>
      </c>
      <c r="J325" s="761">
        <v>1</v>
      </c>
      <c r="K325" s="746">
        <v>8688.4699999999993</v>
      </c>
      <c r="L325" s="746">
        <v>8261.7999999999993</v>
      </c>
      <c r="M325" s="746">
        <v>426.67</v>
      </c>
      <c r="N325" s="493" t="str">
        <f t="shared" si="5"/>
        <v>C390</v>
      </c>
      <c r="O325" s="493" t="s">
        <v>390</v>
      </c>
      <c r="P325" s="493"/>
    </row>
    <row r="326" spans="1:16">
      <c r="A326" s="761" t="s">
        <v>2339</v>
      </c>
      <c r="B326" s="761" t="s">
        <v>2340</v>
      </c>
      <c r="C326" s="761" t="s">
        <v>2362</v>
      </c>
      <c r="D326" s="761">
        <v>78221</v>
      </c>
      <c r="E326" s="761" t="s">
        <v>2414</v>
      </c>
      <c r="F326" s="761" t="s">
        <v>2357</v>
      </c>
      <c r="I326" s="761" t="s">
        <v>6867</v>
      </c>
      <c r="J326" s="761">
        <v>1</v>
      </c>
      <c r="K326" s="746">
        <v>13756.31</v>
      </c>
      <c r="L326" s="746">
        <v>12297.03</v>
      </c>
      <c r="M326" s="746">
        <v>1459.28</v>
      </c>
      <c r="N326" s="493" t="str">
        <f t="shared" si="5"/>
        <v>C390</v>
      </c>
      <c r="O326" s="493" t="s">
        <v>390</v>
      </c>
      <c r="P326" s="493"/>
    </row>
    <row r="327" spans="1:16">
      <c r="A327" s="761" t="s">
        <v>2339</v>
      </c>
      <c r="B327" s="761" t="s">
        <v>2340</v>
      </c>
      <c r="C327" s="761" t="s">
        <v>2362</v>
      </c>
      <c r="D327" s="761">
        <v>78751</v>
      </c>
      <c r="E327" s="761" t="s">
        <v>2414</v>
      </c>
      <c r="F327" s="761" t="s">
        <v>2357</v>
      </c>
      <c r="I327" s="761" t="s">
        <v>6867</v>
      </c>
      <c r="J327" s="761">
        <v>0</v>
      </c>
      <c r="K327" s="746">
        <v>14887.54</v>
      </c>
      <c r="L327" s="746">
        <v>13308.25</v>
      </c>
      <c r="M327" s="746">
        <v>1579.29</v>
      </c>
      <c r="N327" s="493" t="str">
        <f t="shared" si="5"/>
        <v>C390</v>
      </c>
      <c r="O327" s="493" t="s">
        <v>390</v>
      </c>
      <c r="P327" s="493"/>
    </row>
    <row r="328" spans="1:16">
      <c r="A328" s="761" t="s">
        <v>2339</v>
      </c>
      <c r="B328" s="761" t="s">
        <v>2340</v>
      </c>
      <c r="C328" s="761" t="s">
        <v>2362</v>
      </c>
      <c r="D328" s="761">
        <v>79197</v>
      </c>
      <c r="E328" s="761" t="s">
        <v>2414</v>
      </c>
      <c r="F328" s="761" t="s">
        <v>2357</v>
      </c>
      <c r="I328" s="761" t="s">
        <v>6867</v>
      </c>
      <c r="J328" s="761">
        <v>0</v>
      </c>
      <c r="K328" s="746">
        <v>15124.62</v>
      </c>
      <c r="L328" s="746">
        <v>13520.19</v>
      </c>
      <c r="M328" s="746">
        <v>1604.43</v>
      </c>
      <c r="N328" s="493" t="str">
        <f t="shared" si="5"/>
        <v>C390</v>
      </c>
      <c r="O328" s="493" t="s">
        <v>390</v>
      </c>
      <c r="P328" s="493"/>
    </row>
    <row r="329" spans="1:16">
      <c r="A329" s="761" t="s">
        <v>2339</v>
      </c>
      <c r="B329" s="761" t="s">
        <v>2340</v>
      </c>
      <c r="C329" s="761" t="s">
        <v>2362</v>
      </c>
      <c r="D329" s="761">
        <v>81244</v>
      </c>
      <c r="E329" s="761" t="s">
        <v>2414</v>
      </c>
      <c r="F329" s="761" t="s">
        <v>2357</v>
      </c>
      <c r="I329" s="761" t="s">
        <v>6867</v>
      </c>
      <c r="J329" s="761">
        <v>0</v>
      </c>
      <c r="K329" s="746">
        <v>50459.61</v>
      </c>
      <c r="L329" s="746">
        <v>43271.48</v>
      </c>
      <c r="M329" s="746">
        <v>7188.13</v>
      </c>
      <c r="N329" s="493" t="str">
        <f t="shared" si="5"/>
        <v>C390</v>
      </c>
      <c r="O329" s="493" t="s">
        <v>390</v>
      </c>
      <c r="P329" s="493"/>
    </row>
    <row r="330" spans="1:16">
      <c r="A330" s="761" t="s">
        <v>2339</v>
      </c>
      <c r="B330" s="761" t="s">
        <v>2340</v>
      </c>
      <c r="C330" s="761" t="s">
        <v>2362</v>
      </c>
      <c r="D330" s="761">
        <v>86251</v>
      </c>
      <c r="E330" s="761" t="s">
        <v>2414</v>
      </c>
      <c r="F330" s="761" t="s">
        <v>2357</v>
      </c>
      <c r="I330" s="761" t="s">
        <v>6867</v>
      </c>
      <c r="J330" s="761">
        <v>0</v>
      </c>
      <c r="K330" s="746">
        <v>64197.8</v>
      </c>
      <c r="L330" s="746">
        <v>49337.03</v>
      </c>
      <c r="M330" s="746">
        <v>14860.77</v>
      </c>
      <c r="N330" s="493" t="str">
        <f t="shared" si="5"/>
        <v>C390</v>
      </c>
      <c r="O330" s="493" t="s">
        <v>390</v>
      </c>
      <c r="P330" s="493"/>
    </row>
    <row r="331" spans="1:16">
      <c r="A331" s="761" t="s">
        <v>2339</v>
      </c>
      <c r="B331" s="761" t="s">
        <v>2340</v>
      </c>
      <c r="C331" s="761" t="s">
        <v>2362</v>
      </c>
      <c r="D331" s="761">
        <v>86253</v>
      </c>
      <c r="E331" s="761" t="s">
        <v>2414</v>
      </c>
      <c r="F331" s="761" t="s">
        <v>2357</v>
      </c>
      <c r="I331" s="761" t="s">
        <v>6867</v>
      </c>
      <c r="J331" s="761">
        <v>0</v>
      </c>
      <c r="K331" s="746">
        <v>49086.18</v>
      </c>
      <c r="L331" s="746">
        <v>37723.51</v>
      </c>
      <c r="M331" s="746">
        <v>11362.67</v>
      </c>
      <c r="N331" s="493" t="str">
        <f t="shared" si="5"/>
        <v>C390</v>
      </c>
      <c r="O331" s="493" t="s">
        <v>390</v>
      </c>
      <c r="P331" s="493"/>
    </row>
    <row r="332" spans="1:16">
      <c r="A332" s="761" t="s">
        <v>2339</v>
      </c>
      <c r="B332" s="761" t="s">
        <v>2340</v>
      </c>
      <c r="C332" s="761" t="s">
        <v>2362</v>
      </c>
      <c r="D332" s="761">
        <v>87025</v>
      </c>
      <c r="E332" s="761" t="s">
        <v>2414</v>
      </c>
      <c r="F332" s="761" t="s">
        <v>2357</v>
      </c>
      <c r="I332" s="761" t="s">
        <v>6867</v>
      </c>
      <c r="J332" s="761">
        <v>0</v>
      </c>
      <c r="K332" s="746">
        <v>78391.839999999997</v>
      </c>
      <c r="L332" s="746">
        <v>60245.37</v>
      </c>
      <c r="M332" s="746">
        <v>18146.47</v>
      </c>
      <c r="N332" s="493" t="str">
        <f t="shared" si="5"/>
        <v>C390</v>
      </c>
      <c r="O332" s="493" t="s">
        <v>390</v>
      </c>
      <c r="P332" s="493"/>
    </row>
    <row r="333" spans="1:16">
      <c r="A333" s="761" t="s">
        <v>2339</v>
      </c>
      <c r="B333" s="761" t="s">
        <v>2340</v>
      </c>
      <c r="C333" s="761" t="s">
        <v>2362</v>
      </c>
      <c r="D333" s="761">
        <v>5338759</v>
      </c>
      <c r="E333" s="761" t="s">
        <v>2414</v>
      </c>
      <c r="F333" s="761">
        <v>131202880</v>
      </c>
      <c r="G333" s="761" t="s">
        <v>2415</v>
      </c>
      <c r="H333" s="761" t="s">
        <v>2415</v>
      </c>
      <c r="I333" s="761" t="s">
        <v>6867</v>
      </c>
      <c r="J333" s="761">
        <v>0</v>
      </c>
      <c r="K333" s="746">
        <v>11266.12</v>
      </c>
      <c r="L333" s="746">
        <v>8071.08</v>
      </c>
      <c r="M333" s="746">
        <v>3195.04</v>
      </c>
      <c r="N333" s="493" t="str">
        <f t="shared" si="5"/>
        <v>C390</v>
      </c>
      <c r="O333" s="493" t="s">
        <v>390</v>
      </c>
      <c r="P333" s="493"/>
    </row>
    <row r="334" spans="1:16">
      <c r="A334" s="761" t="s">
        <v>2339</v>
      </c>
      <c r="B334" s="761" t="s">
        <v>2340</v>
      </c>
      <c r="C334" s="761" t="s">
        <v>2362</v>
      </c>
      <c r="D334" s="761">
        <v>6793443</v>
      </c>
      <c r="E334" s="761" t="s">
        <v>2414</v>
      </c>
      <c r="F334" s="761">
        <v>131203441</v>
      </c>
      <c r="G334" s="761" t="s">
        <v>2416</v>
      </c>
      <c r="H334" s="761" t="s">
        <v>2416</v>
      </c>
      <c r="I334" s="761" t="s">
        <v>6867</v>
      </c>
      <c r="J334" s="761">
        <v>0</v>
      </c>
      <c r="K334" s="746">
        <v>15875.220000000001</v>
      </c>
      <c r="L334" s="746">
        <v>10480.630000000001</v>
      </c>
      <c r="M334" s="746">
        <v>5394.59</v>
      </c>
      <c r="N334" s="493" t="str">
        <f t="shared" si="5"/>
        <v>C390</v>
      </c>
      <c r="O334" s="493" t="s">
        <v>390</v>
      </c>
      <c r="P334" s="493"/>
    </row>
    <row r="335" spans="1:16">
      <c r="A335" s="761" t="s">
        <v>2339</v>
      </c>
      <c r="B335" s="761" t="s">
        <v>2340</v>
      </c>
      <c r="C335" s="761" t="s">
        <v>2362</v>
      </c>
      <c r="D335" s="761">
        <v>9467778</v>
      </c>
      <c r="E335" s="761" t="s">
        <v>2414</v>
      </c>
      <c r="F335" s="761">
        <v>131204340</v>
      </c>
      <c r="G335" s="761" t="s">
        <v>2417</v>
      </c>
      <c r="H335" s="761" t="s">
        <v>2417</v>
      </c>
      <c r="I335" s="761" t="s">
        <v>6867</v>
      </c>
      <c r="J335" s="761">
        <v>1</v>
      </c>
      <c r="K335" s="746">
        <v>14573.39</v>
      </c>
      <c r="L335" s="746">
        <v>7864.89</v>
      </c>
      <c r="M335" s="746">
        <v>6708.5</v>
      </c>
      <c r="N335" s="493" t="str">
        <f t="shared" si="5"/>
        <v>C390</v>
      </c>
      <c r="O335" s="493" t="s">
        <v>390</v>
      </c>
      <c r="P335" s="493"/>
    </row>
    <row r="336" spans="1:16">
      <c r="A336" s="761" t="s">
        <v>2339</v>
      </c>
      <c r="B336" s="761" t="s">
        <v>2340</v>
      </c>
      <c r="C336" s="761" t="s">
        <v>2362</v>
      </c>
      <c r="D336" s="761">
        <v>23945086</v>
      </c>
      <c r="E336" s="761" t="s">
        <v>2414</v>
      </c>
      <c r="F336" s="761">
        <v>143001000</v>
      </c>
      <c r="G336" s="761" t="s">
        <v>2418</v>
      </c>
      <c r="H336" s="761" t="s">
        <v>7286</v>
      </c>
      <c r="I336" s="761" t="s">
        <v>6867</v>
      </c>
      <c r="J336" s="761">
        <v>1</v>
      </c>
      <c r="K336" s="746">
        <v>1452.72</v>
      </c>
      <c r="L336" s="746">
        <v>438.94</v>
      </c>
      <c r="M336" s="746">
        <v>1013.78</v>
      </c>
      <c r="N336" s="493" t="str">
        <f t="shared" si="5"/>
        <v>C390</v>
      </c>
      <c r="O336" s="493" t="s">
        <v>390</v>
      </c>
      <c r="P336" s="493"/>
    </row>
    <row r="337" spans="1:16">
      <c r="A337" s="761" t="s">
        <v>2339</v>
      </c>
      <c r="B337" s="761" t="s">
        <v>2340</v>
      </c>
      <c r="C337" s="761" t="s">
        <v>2362</v>
      </c>
      <c r="D337" s="761">
        <v>23945093</v>
      </c>
      <c r="E337" s="761" t="s">
        <v>2414</v>
      </c>
      <c r="F337" s="761">
        <v>143001000</v>
      </c>
      <c r="G337" s="761" t="s">
        <v>2418</v>
      </c>
      <c r="H337" s="761" t="s">
        <v>7286</v>
      </c>
      <c r="I337" s="761" t="s">
        <v>6867</v>
      </c>
      <c r="J337" s="761">
        <v>1</v>
      </c>
      <c r="K337" s="746">
        <v>19300.48</v>
      </c>
      <c r="L337" s="746">
        <v>5831.63</v>
      </c>
      <c r="M337" s="746">
        <v>13468.85</v>
      </c>
      <c r="N337" s="493" t="str">
        <f t="shared" si="5"/>
        <v>C390</v>
      </c>
      <c r="O337" s="493" t="s">
        <v>390</v>
      </c>
      <c r="P337" s="493"/>
    </row>
    <row r="338" spans="1:16">
      <c r="A338" s="761" t="s">
        <v>2339</v>
      </c>
      <c r="B338" s="761" t="s">
        <v>2340</v>
      </c>
      <c r="C338" s="761" t="s">
        <v>2350</v>
      </c>
      <c r="D338" s="761">
        <v>27568834</v>
      </c>
      <c r="E338" s="761" t="s">
        <v>2419</v>
      </c>
      <c r="F338" s="761">
        <v>153002948</v>
      </c>
      <c r="G338" s="761" t="s">
        <v>2351</v>
      </c>
      <c r="H338" s="761" t="s">
        <v>7268</v>
      </c>
      <c r="I338" s="761" t="s">
        <v>6867</v>
      </c>
      <c r="J338" s="761">
        <v>0</v>
      </c>
      <c r="K338" s="746">
        <v>176151.6</v>
      </c>
      <c r="L338" s="746">
        <v>18643.79</v>
      </c>
      <c r="M338" s="746">
        <v>157507.81</v>
      </c>
      <c r="N338" s="493" t="str">
        <f t="shared" si="5"/>
        <v>C390</v>
      </c>
      <c r="O338" s="493" t="s">
        <v>390</v>
      </c>
      <c r="P338" s="493"/>
    </row>
    <row r="339" spans="1:16">
      <c r="A339" s="761" t="s">
        <v>2339</v>
      </c>
      <c r="B339" s="761" t="s">
        <v>2340</v>
      </c>
      <c r="C339" s="761" t="s">
        <v>2350</v>
      </c>
      <c r="D339" s="761">
        <v>27568837</v>
      </c>
      <c r="E339" s="761" t="s">
        <v>2419</v>
      </c>
      <c r="F339" s="761">
        <v>143002536</v>
      </c>
      <c r="G339" s="761" t="s">
        <v>2421</v>
      </c>
      <c r="H339" s="761" t="s">
        <v>7287</v>
      </c>
      <c r="I339" s="761" t="s">
        <v>6867</v>
      </c>
      <c r="J339" s="761">
        <v>1</v>
      </c>
      <c r="K339" s="746">
        <v>1349972.37</v>
      </c>
      <c r="L339" s="746">
        <v>142880.35</v>
      </c>
      <c r="M339" s="746">
        <v>1207092.02</v>
      </c>
      <c r="N339" s="493" t="str">
        <f t="shared" si="5"/>
        <v>C390</v>
      </c>
      <c r="O339" s="493" t="s">
        <v>390</v>
      </c>
      <c r="P339" s="493"/>
    </row>
    <row r="340" spans="1:16">
      <c r="A340" s="761" t="s">
        <v>2339</v>
      </c>
      <c r="B340" s="761" t="s">
        <v>2340</v>
      </c>
      <c r="C340" s="761" t="s">
        <v>2350</v>
      </c>
      <c r="D340" s="761">
        <v>27568840</v>
      </c>
      <c r="E340" s="761" t="s">
        <v>2419</v>
      </c>
      <c r="F340" s="761">
        <v>153002948</v>
      </c>
      <c r="G340" s="761" t="s">
        <v>2351</v>
      </c>
      <c r="H340" s="761" t="s">
        <v>7268</v>
      </c>
      <c r="I340" s="761" t="s">
        <v>6867</v>
      </c>
      <c r="J340" s="761">
        <v>0</v>
      </c>
      <c r="K340" s="746">
        <v>674235.15</v>
      </c>
      <c r="L340" s="746">
        <v>71360.680000000008</v>
      </c>
      <c r="M340" s="746">
        <v>602874.47</v>
      </c>
      <c r="N340" s="493" t="str">
        <f t="shared" si="5"/>
        <v>C390</v>
      </c>
      <c r="O340" s="493" t="s">
        <v>390</v>
      </c>
      <c r="P340" s="493"/>
    </row>
    <row r="341" spans="1:16">
      <c r="A341" s="761" t="s">
        <v>2339</v>
      </c>
      <c r="B341" s="761" t="s">
        <v>2340</v>
      </c>
      <c r="C341" s="761" t="s">
        <v>2350</v>
      </c>
      <c r="D341" s="761">
        <v>27568843</v>
      </c>
      <c r="E341" s="761" t="s">
        <v>2419</v>
      </c>
      <c r="F341" s="761">
        <v>153002948</v>
      </c>
      <c r="G341" s="761" t="s">
        <v>2351</v>
      </c>
      <c r="H341" s="761" t="s">
        <v>7268</v>
      </c>
      <c r="I341" s="761" t="s">
        <v>6867</v>
      </c>
      <c r="J341" s="761">
        <v>0</v>
      </c>
      <c r="K341" s="746">
        <v>294598.22000000003</v>
      </c>
      <c r="L341" s="746">
        <v>31180.12</v>
      </c>
      <c r="M341" s="746">
        <v>263418.09999999998</v>
      </c>
      <c r="N341" s="493" t="str">
        <f t="shared" si="5"/>
        <v>C390</v>
      </c>
      <c r="O341" s="493" t="s">
        <v>390</v>
      </c>
      <c r="P341" s="493"/>
    </row>
    <row r="342" spans="1:16">
      <c r="A342" s="761" t="s">
        <v>2339</v>
      </c>
      <c r="B342" s="761" t="s">
        <v>2340</v>
      </c>
      <c r="C342" s="761" t="s">
        <v>2350</v>
      </c>
      <c r="D342" s="761">
        <v>27568846</v>
      </c>
      <c r="E342" s="761" t="s">
        <v>2419</v>
      </c>
      <c r="F342" s="761">
        <v>153002948</v>
      </c>
      <c r="G342" s="761" t="s">
        <v>2351</v>
      </c>
      <c r="H342" s="761" t="s">
        <v>7268</v>
      </c>
      <c r="I342" s="761" t="s">
        <v>6867</v>
      </c>
      <c r="J342" s="761">
        <v>0</v>
      </c>
      <c r="K342" s="746">
        <v>118446.7</v>
      </c>
      <c r="L342" s="746">
        <v>12536.33</v>
      </c>
      <c r="M342" s="746">
        <v>105910.37</v>
      </c>
      <c r="N342" s="493" t="str">
        <f t="shared" si="5"/>
        <v>C390</v>
      </c>
      <c r="O342" s="493" t="s">
        <v>390</v>
      </c>
      <c r="P342" s="493"/>
    </row>
    <row r="343" spans="1:16">
      <c r="A343" s="761" t="s">
        <v>2339</v>
      </c>
      <c r="B343" s="761" t="s">
        <v>2340</v>
      </c>
      <c r="C343" s="761" t="s">
        <v>2350</v>
      </c>
      <c r="D343" s="761">
        <v>27568849</v>
      </c>
      <c r="E343" s="761" t="s">
        <v>2419</v>
      </c>
      <c r="F343" s="761">
        <v>153002948</v>
      </c>
      <c r="G343" s="761" t="s">
        <v>2351</v>
      </c>
      <c r="H343" s="761" t="s">
        <v>7268</v>
      </c>
      <c r="I343" s="761" t="s">
        <v>6867</v>
      </c>
      <c r="J343" s="761">
        <v>0</v>
      </c>
      <c r="K343" s="746">
        <v>236893.4</v>
      </c>
      <c r="L343" s="746">
        <v>25072.670000000002</v>
      </c>
      <c r="M343" s="746">
        <v>211820.73</v>
      </c>
      <c r="N343" s="493" t="str">
        <f t="shared" si="5"/>
        <v>C390</v>
      </c>
      <c r="O343" s="493" t="s">
        <v>390</v>
      </c>
      <c r="P343" s="493"/>
    </row>
    <row r="344" spans="1:16">
      <c r="A344" s="761" t="s">
        <v>2339</v>
      </c>
      <c r="B344" s="761" t="s">
        <v>2340</v>
      </c>
      <c r="C344" s="761" t="s">
        <v>2350</v>
      </c>
      <c r="D344" s="761">
        <v>27568852</v>
      </c>
      <c r="E344" s="761" t="s">
        <v>2419</v>
      </c>
      <c r="F344" s="761">
        <v>153002948</v>
      </c>
      <c r="G344" s="761" t="s">
        <v>2351</v>
      </c>
      <c r="H344" s="761" t="s">
        <v>7268</v>
      </c>
      <c r="I344" s="761" t="s">
        <v>6867</v>
      </c>
      <c r="J344" s="761">
        <v>0</v>
      </c>
      <c r="K344" s="746">
        <v>400896.58</v>
      </c>
      <c r="L344" s="746">
        <v>42430.68</v>
      </c>
      <c r="M344" s="746">
        <v>358465.9</v>
      </c>
      <c r="N344" s="493" t="str">
        <f t="shared" si="5"/>
        <v>C390</v>
      </c>
      <c r="O344" s="493" t="s">
        <v>390</v>
      </c>
      <c r="P344" s="493"/>
    </row>
    <row r="345" spans="1:16">
      <c r="A345" s="761" t="s">
        <v>2339</v>
      </c>
      <c r="B345" s="761" t="s">
        <v>2340</v>
      </c>
      <c r="C345" s="761" t="s">
        <v>2350</v>
      </c>
      <c r="D345" s="761">
        <v>27568858</v>
      </c>
      <c r="E345" s="761" t="s">
        <v>2419</v>
      </c>
      <c r="F345" s="761">
        <v>153002948</v>
      </c>
      <c r="G345" s="761" t="s">
        <v>2351</v>
      </c>
      <c r="H345" s="761" t="s">
        <v>7268</v>
      </c>
      <c r="I345" s="761" t="s">
        <v>6867</v>
      </c>
      <c r="J345" s="761">
        <v>0</v>
      </c>
      <c r="K345" s="746">
        <v>176151.52</v>
      </c>
      <c r="L345" s="746">
        <v>18643.78</v>
      </c>
      <c r="M345" s="746">
        <v>157507.74</v>
      </c>
      <c r="N345" s="493" t="str">
        <f t="shared" si="5"/>
        <v>C390</v>
      </c>
      <c r="O345" s="493" t="s">
        <v>390</v>
      </c>
      <c r="P345" s="493"/>
    </row>
    <row r="346" spans="1:16">
      <c r="A346" s="761" t="s">
        <v>2339</v>
      </c>
      <c r="B346" s="761" t="s">
        <v>2340</v>
      </c>
      <c r="C346" s="761" t="s">
        <v>2350</v>
      </c>
      <c r="D346" s="761">
        <v>27568861</v>
      </c>
      <c r="E346" s="761" t="s">
        <v>2419</v>
      </c>
      <c r="F346" s="761">
        <v>153002948</v>
      </c>
      <c r="G346" s="761" t="s">
        <v>2351</v>
      </c>
      <c r="H346" s="761" t="s">
        <v>7268</v>
      </c>
      <c r="I346" s="761" t="s">
        <v>6867</v>
      </c>
      <c r="J346" s="761">
        <v>0</v>
      </c>
      <c r="K346" s="746">
        <v>473786.89</v>
      </c>
      <c r="L346" s="746">
        <v>50145.35</v>
      </c>
      <c r="M346" s="746">
        <v>423641.54000000004</v>
      </c>
      <c r="N346" s="493" t="str">
        <f t="shared" si="5"/>
        <v>C390</v>
      </c>
      <c r="O346" s="493" t="s">
        <v>390</v>
      </c>
      <c r="P346" s="493"/>
    </row>
    <row r="347" spans="1:16">
      <c r="A347" s="761" t="s">
        <v>2339</v>
      </c>
      <c r="B347" s="761" t="s">
        <v>2340</v>
      </c>
      <c r="C347" s="761" t="s">
        <v>2350</v>
      </c>
      <c r="D347" s="761">
        <v>27568864</v>
      </c>
      <c r="E347" s="761" t="s">
        <v>2419</v>
      </c>
      <c r="F347" s="761">
        <v>153002948</v>
      </c>
      <c r="G347" s="761" t="s">
        <v>2351</v>
      </c>
      <c r="H347" s="761" t="s">
        <v>7268</v>
      </c>
      <c r="I347" s="761" t="s">
        <v>6867</v>
      </c>
      <c r="J347" s="761">
        <v>0</v>
      </c>
      <c r="K347" s="746">
        <v>1533733.1400000001</v>
      </c>
      <c r="L347" s="746">
        <v>162329.49</v>
      </c>
      <c r="M347" s="746">
        <v>1371403.65</v>
      </c>
      <c r="N347" s="493" t="str">
        <f t="shared" si="5"/>
        <v>C390</v>
      </c>
      <c r="O347" s="493" t="s">
        <v>390</v>
      </c>
      <c r="P347" s="493"/>
    </row>
    <row r="348" spans="1:16">
      <c r="A348" s="761" t="s">
        <v>2339</v>
      </c>
      <c r="B348" s="761" t="s">
        <v>2340</v>
      </c>
      <c r="C348" s="761" t="s">
        <v>2350</v>
      </c>
      <c r="D348" s="761">
        <v>27568867</v>
      </c>
      <c r="E348" s="761" t="s">
        <v>2419</v>
      </c>
      <c r="F348" s="761">
        <v>153002948</v>
      </c>
      <c r="G348" s="761" t="s">
        <v>2351</v>
      </c>
      <c r="H348" s="761" t="s">
        <v>7268</v>
      </c>
      <c r="I348" s="761" t="s">
        <v>6867</v>
      </c>
      <c r="J348" s="761">
        <v>0</v>
      </c>
      <c r="K348" s="746">
        <v>118446.7</v>
      </c>
      <c r="L348" s="746">
        <v>12536.33</v>
      </c>
      <c r="M348" s="746">
        <v>105910.37</v>
      </c>
      <c r="N348" s="493" t="str">
        <f t="shared" si="5"/>
        <v>C390</v>
      </c>
      <c r="O348" s="493" t="s">
        <v>390</v>
      </c>
      <c r="P348" s="493"/>
    </row>
    <row r="349" spans="1:16">
      <c r="A349" s="761" t="s">
        <v>2339</v>
      </c>
      <c r="B349" s="761" t="s">
        <v>2340</v>
      </c>
      <c r="C349" s="761" t="s">
        <v>2350</v>
      </c>
      <c r="D349" s="761">
        <v>27568870</v>
      </c>
      <c r="E349" s="761" t="s">
        <v>2419</v>
      </c>
      <c r="F349" s="761">
        <v>153002948</v>
      </c>
      <c r="G349" s="761" t="s">
        <v>2351</v>
      </c>
      <c r="H349" s="761" t="s">
        <v>7268</v>
      </c>
      <c r="I349" s="761" t="s">
        <v>6867</v>
      </c>
      <c r="J349" s="761">
        <v>0</v>
      </c>
      <c r="K349" s="746">
        <v>118446.7</v>
      </c>
      <c r="L349" s="746">
        <v>12536.33</v>
      </c>
      <c r="M349" s="746">
        <v>105910.37</v>
      </c>
      <c r="N349" s="493" t="str">
        <f t="shared" si="5"/>
        <v>C390</v>
      </c>
      <c r="O349" s="493" t="s">
        <v>390</v>
      </c>
      <c r="P349" s="493"/>
    </row>
    <row r="350" spans="1:16">
      <c r="A350" s="761" t="s">
        <v>2339</v>
      </c>
      <c r="B350" s="761" t="s">
        <v>2340</v>
      </c>
      <c r="C350" s="761" t="s">
        <v>2350</v>
      </c>
      <c r="D350" s="761">
        <v>27568873</v>
      </c>
      <c r="E350" s="761" t="s">
        <v>2419</v>
      </c>
      <c r="F350" s="761">
        <v>153002948</v>
      </c>
      <c r="G350" s="761" t="s">
        <v>2351</v>
      </c>
      <c r="H350" s="761" t="s">
        <v>7268</v>
      </c>
      <c r="I350" s="761" t="s">
        <v>6867</v>
      </c>
      <c r="J350" s="761">
        <v>0</v>
      </c>
      <c r="K350" s="746">
        <v>200448.27000000002</v>
      </c>
      <c r="L350" s="746">
        <v>21215.34</v>
      </c>
      <c r="M350" s="746">
        <v>179232.93</v>
      </c>
      <c r="N350" s="493" t="str">
        <f t="shared" si="5"/>
        <v>C390</v>
      </c>
      <c r="O350" s="493" t="s">
        <v>390</v>
      </c>
      <c r="P350" s="493"/>
    </row>
    <row r="351" spans="1:16">
      <c r="A351" s="761" t="s">
        <v>2339</v>
      </c>
      <c r="B351" s="761" t="s">
        <v>2340</v>
      </c>
      <c r="C351" s="761" t="s">
        <v>2350</v>
      </c>
      <c r="D351" s="761">
        <v>27568876</v>
      </c>
      <c r="E351" s="761" t="s">
        <v>2419</v>
      </c>
      <c r="F351" s="761">
        <v>153002948</v>
      </c>
      <c r="G351" s="761" t="s">
        <v>2351</v>
      </c>
      <c r="H351" s="761" t="s">
        <v>7268</v>
      </c>
      <c r="I351" s="761" t="s">
        <v>6867</v>
      </c>
      <c r="J351" s="761">
        <v>0</v>
      </c>
      <c r="K351" s="746">
        <v>118446.7</v>
      </c>
      <c r="L351" s="746">
        <v>12536.33</v>
      </c>
      <c r="M351" s="746">
        <v>105910.37</v>
      </c>
      <c r="N351" s="493" t="str">
        <f t="shared" si="5"/>
        <v>C390</v>
      </c>
      <c r="O351" s="493" t="s">
        <v>390</v>
      </c>
      <c r="P351" s="493"/>
    </row>
    <row r="352" spans="1:16">
      <c r="A352" s="761" t="s">
        <v>2339</v>
      </c>
      <c r="B352" s="761" t="s">
        <v>2340</v>
      </c>
      <c r="C352" s="761" t="s">
        <v>2350</v>
      </c>
      <c r="D352" s="761">
        <v>27568879</v>
      </c>
      <c r="E352" s="761" t="s">
        <v>2419</v>
      </c>
      <c r="F352" s="761">
        <v>153002948</v>
      </c>
      <c r="G352" s="761" t="s">
        <v>2351</v>
      </c>
      <c r="H352" s="761" t="s">
        <v>7268</v>
      </c>
      <c r="I352" s="761" t="s">
        <v>6867</v>
      </c>
      <c r="J352" s="761">
        <v>0</v>
      </c>
      <c r="K352" s="746">
        <v>425193.31</v>
      </c>
      <c r="L352" s="746">
        <v>45002.23</v>
      </c>
      <c r="M352" s="746">
        <v>380191.08</v>
      </c>
      <c r="N352" s="493" t="str">
        <f t="shared" si="5"/>
        <v>C390</v>
      </c>
      <c r="O352" s="493" t="s">
        <v>390</v>
      </c>
      <c r="P352" s="493"/>
    </row>
    <row r="353" spans="1:16">
      <c r="A353" s="761" t="s">
        <v>2339</v>
      </c>
      <c r="B353" s="761" t="s">
        <v>2340</v>
      </c>
      <c r="C353" s="761" t="s">
        <v>2350</v>
      </c>
      <c r="D353" s="761">
        <v>27568882</v>
      </c>
      <c r="E353" s="761" t="s">
        <v>2419</v>
      </c>
      <c r="F353" s="761">
        <v>153002948</v>
      </c>
      <c r="G353" s="761" t="s">
        <v>2351</v>
      </c>
      <c r="H353" s="761" t="s">
        <v>7268</v>
      </c>
      <c r="I353" s="761" t="s">
        <v>6867</v>
      </c>
      <c r="J353" s="761">
        <v>0</v>
      </c>
      <c r="K353" s="746">
        <v>1062983.3500000001</v>
      </c>
      <c r="L353" s="746">
        <v>112505.58</v>
      </c>
      <c r="M353" s="746">
        <v>950477.77</v>
      </c>
      <c r="N353" s="493" t="str">
        <f t="shared" si="5"/>
        <v>C390</v>
      </c>
      <c r="O353" s="493" t="s">
        <v>390</v>
      </c>
      <c r="P353" s="493"/>
    </row>
    <row r="354" spans="1:16">
      <c r="A354" s="761" t="s">
        <v>2339</v>
      </c>
      <c r="B354" s="761" t="s">
        <v>2340</v>
      </c>
      <c r="C354" s="761" t="s">
        <v>2350</v>
      </c>
      <c r="D354" s="761">
        <v>27568885</v>
      </c>
      <c r="E354" s="761" t="s">
        <v>2419</v>
      </c>
      <c r="F354" s="761">
        <v>153002948</v>
      </c>
      <c r="G354" s="761" t="s">
        <v>2351</v>
      </c>
      <c r="H354" s="761" t="s">
        <v>7268</v>
      </c>
      <c r="I354" s="761" t="s">
        <v>6867</v>
      </c>
      <c r="J354" s="761">
        <v>0</v>
      </c>
      <c r="K354" s="746">
        <v>1427434.78</v>
      </c>
      <c r="L354" s="746">
        <v>151078.93</v>
      </c>
      <c r="M354" s="746">
        <v>1276355.8500000001</v>
      </c>
      <c r="N354" s="493" t="str">
        <f t="shared" si="5"/>
        <v>C390</v>
      </c>
      <c r="O354" s="493" t="s">
        <v>390</v>
      </c>
      <c r="P354" s="493"/>
    </row>
    <row r="355" spans="1:16">
      <c r="A355" s="761" t="s">
        <v>2339</v>
      </c>
      <c r="B355" s="761" t="s">
        <v>2340</v>
      </c>
      <c r="C355" s="761" t="s">
        <v>2350</v>
      </c>
      <c r="D355" s="761">
        <v>27568888</v>
      </c>
      <c r="E355" s="761" t="s">
        <v>2419</v>
      </c>
      <c r="F355" s="761">
        <v>153002948</v>
      </c>
      <c r="G355" s="761" t="s">
        <v>2351</v>
      </c>
      <c r="H355" s="761" t="s">
        <v>7268</v>
      </c>
      <c r="I355" s="761" t="s">
        <v>6867</v>
      </c>
      <c r="J355" s="761">
        <v>0</v>
      </c>
      <c r="K355" s="746">
        <v>2183671.5099999998</v>
      </c>
      <c r="L355" s="746">
        <v>231118.61000000002</v>
      </c>
      <c r="M355" s="746">
        <v>1952552.9</v>
      </c>
      <c r="N355" s="493" t="str">
        <f t="shared" si="5"/>
        <v>C390</v>
      </c>
      <c r="O355" s="493" t="s">
        <v>390</v>
      </c>
      <c r="P355" s="493"/>
    </row>
    <row r="356" spans="1:16">
      <c r="A356" s="761" t="s">
        <v>2339</v>
      </c>
      <c r="B356" s="761" t="s">
        <v>2340</v>
      </c>
      <c r="C356" s="761" t="s">
        <v>2350</v>
      </c>
      <c r="D356" s="761">
        <v>27568891</v>
      </c>
      <c r="E356" s="761" t="s">
        <v>2419</v>
      </c>
      <c r="F356" s="761">
        <v>153002948</v>
      </c>
      <c r="G356" s="761" t="s">
        <v>2351</v>
      </c>
      <c r="H356" s="761" t="s">
        <v>7268</v>
      </c>
      <c r="I356" s="761" t="s">
        <v>6867</v>
      </c>
      <c r="J356" s="761">
        <v>0</v>
      </c>
      <c r="K356" s="746">
        <v>190073.4</v>
      </c>
      <c r="L356" s="746">
        <v>20117.27</v>
      </c>
      <c r="M356" s="746">
        <v>169956.13</v>
      </c>
      <c r="N356" s="493" t="str">
        <f t="shared" si="5"/>
        <v>C390</v>
      </c>
      <c r="O356" s="493" t="s">
        <v>390</v>
      </c>
      <c r="P356" s="493"/>
    </row>
    <row r="357" spans="1:16">
      <c r="A357" s="761" t="s">
        <v>2339</v>
      </c>
      <c r="B357" s="761" t="s">
        <v>2340</v>
      </c>
      <c r="C357" s="761" t="s">
        <v>2350</v>
      </c>
      <c r="D357" s="761">
        <v>27568894</v>
      </c>
      <c r="E357" s="761" t="s">
        <v>2419</v>
      </c>
      <c r="F357" s="761">
        <v>153002948</v>
      </c>
      <c r="G357" s="761" t="s">
        <v>2351</v>
      </c>
      <c r="H357" s="761" t="s">
        <v>7268</v>
      </c>
      <c r="I357" s="761" t="s">
        <v>6867</v>
      </c>
      <c r="J357" s="761">
        <v>0</v>
      </c>
      <c r="K357" s="746">
        <v>355340.13</v>
      </c>
      <c r="L357" s="746">
        <v>37609.01</v>
      </c>
      <c r="M357" s="746">
        <v>317731.12</v>
      </c>
      <c r="N357" s="493" t="str">
        <f t="shared" si="5"/>
        <v>C390</v>
      </c>
      <c r="O357" s="493" t="s">
        <v>390</v>
      </c>
      <c r="P357" s="493"/>
    </row>
    <row r="358" spans="1:16">
      <c r="A358" s="761" t="s">
        <v>2339</v>
      </c>
      <c r="B358" s="761" t="s">
        <v>2340</v>
      </c>
      <c r="C358" s="761" t="s">
        <v>2350</v>
      </c>
      <c r="D358" s="761">
        <v>27568897</v>
      </c>
      <c r="E358" s="761" t="s">
        <v>2419</v>
      </c>
      <c r="F358" s="761">
        <v>153002948</v>
      </c>
      <c r="G358" s="761" t="s">
        <v>2351</v>
      </c>
      <c r="H358" s="761" t="s">
        <v>7268</v>
      </c>
      <c r="I358" s="761" t="s">
        <v>6867</v>
      </c>
      <c r="J358" s="761">
        <v>0</v>
      </c>
      <c r="K358" s="746">
        <v>176151.52</v>
      </c>
      <c r="L358" s="746">
        <v>18643.78</v>
      </c>
      <c r="M358" s="746">
        <v>157507.74</v>
      </c>
      <c r="N358" s="493" t="str">
        <f t="shared" si="5"/>
        <v>C390</v>
      </c>
      <c r="O358" s="493" t="s">
        <v>390</v>
      </c>
      <c r="P358" s="493"/>
    </row>
    <row r="359" spans="1:16">
      <c r="A359" s="761" t="s">
        <v>2339</v>
      </c>
      <c r="B359" s="761" t="s">
        <v>2340</v>
      </c>
      <c r="C359" s="761" t="s">
        <v>2350</v>
      </c>
      <c r="D359" s="761">
        <v>30146482</v>
      </c>
      <c r="E359" s="761" t="s">
        <v>2419</v>
      </c>
      <c r="F359" s="761">
        <v>143002464</v>
      </c>
      <c r="G359" s="761" t="s">
        <v>2420</v>
      </c>
      <c r="H359" s="761" t="s">
        <v>7288</v>
      </c>
      <c r="I359" s="761" t="s">
        <v>6867</v>
      </c>
      <c r="J359" s="761">
        <v>0</v>
      </c>
      <c r="K359" s="746">
        <v>13149.67</v>
      </c>
      <c r="L359" s="746">
        <v>1391.75</v>
      </c>
      <c r="M359" s="746">
        <v>11757.92</v>
      </c>
      <c r="N359" s="493" t="str">
        <f t="shared" si="5"/>
        <v>C390</v>
      </c>
      <c r="O359" s="493" t="s">
        <v>390</v>
      </c>
      <c r="P359" s="493"/>
    </row>
    <row r="360" spans="1:16">
      <c r="A360" s="761" t="s">
        <v>2339</v>
      </c>
      <c r="B360" s="761" t="s">
        <v>2340</v>
      </c>
      <c r="C360" s="761" t="s">
        <v>2350</v>
      </c>
      <c r="D360" s="761">
        <v>33566353</v>
      </c>
      <c r="E360" s="761" t="s">
        <v>2419</v>
      </c>
      <c r="F360" s="761">
        <v>143003233</v>
      </c>
      <c r="G360" s="761" t="s">
        <v>2423</v>
      </c>
      <c r="H360" s="761" t="s">
        <v>2423</v>
      </c>
      <c r="I360" s="761" t="s">
        <v>6867</v>
      </c>
      <c r="J360" s="761">
        <v>1</v>
      </c>
      <c r="K360" s="746">
        <v>86037.57</v>
      </c>
      <c r="L360" s="746">
        <v>8156.51</v>
      </c>
      <c r="M360" s="746">
        <v>77881.06</v>
      </c>
      <c r="N360" s="493" t="str">
        <f t="shared" si="5"/>
        <v>C390</v>
      </c>
      <c r="O360" s="493" t="s">
        <v>390</v>
      </c>
      <c r="P360" s="493"/>
    </row>
    <row r="361" spans="1:16">
      <c r="A361" s="761" t="s">
        <v>2339</v>
      </c>
      <c r="B361" s="761" t="s">
        <v>2340</v>
      </c>
      <c r="C361" s="761" t="s">
        <v>2350</v>
      </c>
      <c r="D361" s="761">
        <v>33566358</v>
      </c>
      <c r="E361" s="761" t="s">
        <v>2419</v>
      </c>
      <c r="F361" s="761">
        <v>143003233</v>
      </c>
      <c r="G361" s="761" t="s">
        <v>2423</v>
      </c>
      <c r="H361" s="761" t="s">
        <v>2423</v>
      </c>
      <c r="I361" s="761" t="s">
        <v>6867</v>
      </c>
      <c r="J361" s="761">
        <v>1</v>
      </c>
      <c r="K361" s="746">
        <v>430187.84</v>
      </c>
      <c r="L361" s="746">
        <v>40782.53</v>
      </c>
      <c r="M361" s="746">
        <v>389405.31</v>
      </c>
      <c r="N361" s="493" t="str">
        <f t="shared" si="5"/>
        <v>C390</v>
      </c>
      <c r="O361" s="493" t="s">
        <v>390</v>
      </c>
      <c r="P361" s="493"/>
    </row>
    <row r="362" spans="1:16">
      <c r="A362" s="761" t="s">
        <v>2339</v>
      </c>
      <c r="B362" s="761" t="s">
        <v>2340</v>
      </c>
      <c r="C362" s="761" t="s">
        <v>2350</v>
      </c>
      <c r="D362" s="761">
        <v>33566361</v>
      </c>
      <c r="E362" s="761" t="s">
        <v>2419</v>
      </c>
      <c r="F362" s="761">
        <v>143003233</v>
      </c>
      <c r="G362" s="761" t="s">
        <v>2423</v>
      </c>
      <c r="H362" s="761" t="s">
        <v>2423</v>
      </c>
      <c r="I362" s="761" t="s">
        <v>6867</v>
      </c>
      <c r="J362" s="761">
        <v>1</v>
      </c>
      <c r="K362" s="746">
        <v>1301318.29</v>
      </c>
      <c r="L362" s="746">
        <v>123367.16</v>
      </c>
      <c r="M362" s="746">
        <v>1177951.1299999999</v>
      </c>
      <c r="N362" s="493" t="str">
        <f t="shared" si="5"/>
        <v>C390</v>
      </c>
      <c r="O362" s="493" t="s">
        <v>390</v>
      </c>
      <c r="P362" s="493"/>
    </row>
    <row r="363" spans="1:16">
      <c r="A363" s="761" t="s">
        <v>2339</v>
      </c>
      <c r="B363" s="761" t="s">
        <v>2340</v>
      </c>
      <c r="C363" s="761" t="s">
        <v>2350</v>
      </c>
      <c r="D363" s="761">
        <v>33566364</v>
      </c>
      <c r="E363" s="761" t="s">
        <v>2419</v>
      </c>
      <c r="F363" s="761">
        <v>143003233</v>
      </c>
      <c r="G363" s="761" t="s">
        <v>2423</v>
      </c>
      <c r="H363" s="761" t="s">
        <v>2423</v>
      </c>
      <c r="I363" s="761" t="s">
        <v>6867</v>
      </c>
      <c r="J363" s="761">
        <v>1</v>
      </c>
      <c r="K363" s="746">
        <v>279622.09000000003</v>
      </c>
      <c r="L363" s="746">
        <v>26508.639999999999</v>
      </c>
      <c r="M363" s="746">
        <v>253113.45</v>
      </c>
      <c r="N363" s="493" t="str">
        <f t="shared" si="5"/>
        <v>C390</v>
      </c>
      <c r="O363" s="493" t="s">
        <v>390</v>
      </c>
      <c r="P363" s="493"/>
    </row>
    <row r="364" spans="1:16">
      <c r="A364" s="761" t="s">
        <v>2339</v>
      </c>
      <c r="B364" s="761" t="s">
        <v>2340</v>
      </c>
      <c r="C364" s="761" t="s">
        <v>2350</v>
      </c>
      <c r="D364" s="761">
        <v>33566367</v>
      </c>
      <c r="E364" s="761" t="s">
        <v>2419</v>
      </c>
      <c r="F364" s="761">
        <v>143003233</v>
      </c>
      <c r="G364" s="761" t="s">
        <v>2423</v>
      </c>
      <c r="H364" s="761" t="s">
        <v>2423</v>
      </c>
      <c r="I364" s="761" t="s">
        <v>6867</v>
      </c>
      <c r="J364" s="761">
        <v>2</v>
      </c>
      <c r="K364" s="746">
        <v>4148198.16</v>
      </c>
      <c r="L364" s="746">
        <v>393256.15</v>
      </c>
      <c r="M364" s="746">
        <v>3754942.01</v>
      </c>
      <c r="N364" s="493" t="str">
        <f t="shared" si="5"/>
        <v>C390</v>
      </c>
      <c r="O364" s="493" t="s">
        <v>390</v>
      </c>
      <c r="P364" s="493"/>
    </row>
    <row r="365" spans="1:16">
      <c r="A365" s="761" t="s">
        <v>2339</v>
      </c>
      <c r="B365" s="761" t="s">
        <v>2340</v>
      </c>
      <c r="C365" s="761" t="s">
        <v>2350</v>
      </c>
      <c r="D365" s="761">
        <v>33566372</v>
      </c>
      <c r="E365" s="761" t="s">
        <v>2419</v>
      </c>
      <c r="F365" s="761">
        <v>143003233</v>
      </c>
      <c r="G365" s="761" t="s">
        <v>2423</v>
      </c>
      <c r="H365" s="761" t="s">
        <v>2423</v>
      </c>
      <c r="I365" s="761" t="s">
        <v>6867</v>
      </c>
      <c r="J365" s="761">
        <v>1</v>
      </c>
      <c r="K365" s="746">
        <v>301131.48</v>
      </c>
      <c r="L365" s="746">
        <v>28547.77</v>
      </c>
      <c r="M365" s="746">
        <v>272583.71000000002</v>
      </c>
      <c r="N365" s="493" t="str">
        <f t="shared" si="5"/>
        <v>C390</v>
      </c>
      <c r="O365" s="493" t="s">
        <v>390</v>
      </c>
      <c r="P365" s="493"/>
    </row>
    <row r="366" spans="1:16">
      <c r="A366" s="761" t="s">
        <v>2339</v>
      </c>
      <c r="B366" s="761" t="s">
        <v>2340</v>
      </c>
      <c r="C366" s="761" t="s">
        <v>2350</v>
      </c>
      <c r="D366" s="761">
        <v>31559975</v>
      </c>
      <c r="E366" s="761" t="s">
        <v>2419</v>
      </c>
      <c r="F366" s="761">
        <v>143002760</v>
      </c>
      <c r="G366" s="761" t="s">
        <v>2422</v>
      </c>
      <c r="H366" s="761" t="s">
        <v>7289</v>
      </c>
      <c r="I366" s="761" t="s">
        <v>6867</v>
      </c>
      <c r="J366" s="761">
        <v>1</v>
      </c>
      <c r="K366" s="746">
        <v>58352.29</v>
      </c>
      <c r="L366" s="746">
        <v>5531.9000000000005</v>
      </c>
      <c r="M366" s="746">
        <v>52820.39</v>
      </c>
      <c r="N366" s="493" t="str">
        <f t="shared" si="5"/>
        <v>C390</v>
      </c>
      <c r="O366" s="493" t="s">
        <v>390</v>
      </c>
      <c r="P366" s="493"/>
    </row>
    <row r="367" spans="1:16">
      <c r="A367" s="761" t="s">
        <v>2339</v>
      </c>
      <c r="B367" s="761" t="s">
        <v>2340</v>
      </c>
      <c r="C367" s="761" t="s">
        <v>2350</v>
      </c>
      <c r="D367" s="761">
        <v>33566375</v>
      </c>
      <c r="E367" s="761" t="s">
        <v>2419</v>
      </c>
      <c r="F367" s="761">
        <v>143003233</v>
      </c>
      <c r="G367" s="761" t="s">
        <v>2423</v>
      </c>
      <c r="H367" s="761" t="s">
        <v>2423</v>
      </c>
      <c r="I367" s="761" t="s">
        <v>6867</v>
      </c>
      <c r="J367" s="761">
        <v>1</v>
      </c>
      <c r="K367" s="746">
        <v>150564.75</v>
      </c>
      <c r="L367" s="746">
        <v>14273.79</v>
      </c>
      <c r="M367" s="746">
        <v>136290.96</v>
      </c>
      <c r="N367" s="493" t="str">
        <f t="shared" si="5"/>
        <v>C390</v>
      </c>
      <c r="O367" s="493" t="s">
        <v>390</v>
      </c>
      <c r="P367" s="493"/>
    </row>
    <row r="368" spans="1:16">
      <c r="A368" s="761" t="s">
        <v>2339</v>
      </c>
      <c r="B368" s="761" t="s">
        <v>2340</v>
      </c>
      <c r="C368" s="761" t="s">
        <v>2350</v>
      </c>
      <c r="D368" s="761">
        <v>33566378</v>
      </c>
      <c r="E368" s="761" t="s">
        <v>2419</v>
      </c>
      <c r="F368" s="761">
        <v>143003233</v>
      </c>
      <c r="G368" s="761" t="s">
        <v>2423</v>
      </c>
      <c r="H368" s="761" t="s">
        <v>2423</v>
      </c>
      <c r="I368" s="761" t="s">
        <v>6867</v>
      </c>
      <c r="J368" s="761">
        <v>1</v>
      </c>
      <c r="K368" s="746">
        <v>161319.35</v>
      </c>
      <c r="L368" s="746">
        <v>15293.35</v>
      </c>
      <c r="M368" s="746">
        <v>146026</v>
      </c>
      <c r="N368" s="493" t="str">
        <f t="shared" si="5"/>
        <v>C390</v>
      </c>
      <c r="O368" s="493" t="s">
        <v>390</v>
      </c>
      <c r="P368" s="493"/>
    </row>
    <row r="369" spans="1:16">
      <c r="A369" s="761" t="s">
        <v>2339</v>
      </c>
      <c r="B369" s="761" t="s">
        <v>2340</v>
      </c>
      <c r="C369" s="761" t="s">
        <v>2350</v>
      </c>
      <c r="D369" s="761">
        <v>33566381</v>
      </c>
      <c r="E369" s="761" t="s">
        <v>2419</v>
      </c>
      <c r="F369" s="761">
        <v>143003233</v>
      </c>
      <c r="G369" s="761" t="s">
        <v>2423</v>
      </c>
      <c r="H369" s="761" t="s">
        <v>2423</v>
      </c>
      <c r="I369" s="761" t="s">
        <v>6867</v>
      </c>
      <c r="J369" s="761">
        <v>1</v>
      </c>
      <c r="K369" s="746">
        <v>1419610.19</v>
      </c>
      <c r="L369" s="746">
        <v>134581.43</v>
      </c>
      <c r="M369" s="746">
        <v>1285028.76</v>
      </c>
      <c r="N369" s="493" t="str">
        <f t="shared" si="5"/>
        <v>C390</v>
      </c>
      <c r="O369" s="493" t="s">
        <v>390</v>
      </c>
      <c r="P369" s="493"/>
    </row>
    <row r="370" spans="1:16">
      <c r="A370" s="761" t="s">
        <v>2339</v>
      </c>
      <c r="B370" s="761" t="s">
        <v>2340</v>
      </c>
      <c r="C370" s="761" t="s">
        <v>2350</v>
      </c>
      <c r="D370" s="761">
        <v>33566384</v>
      </c>
      <c r="E370" s="761" t="s">
        <v>2419</v>
      </c>
      <c r="F370" s="761">
        <v>143003233</v>
      </c>
      <c r="G370" s="761" t="s">
        <v>2423</v>
      </c>
      <c r="H370" s="761" t="s">
        <v>2423</v>
      </c>
      <c r="I370" s="761" t="s">
        <v>6867</v>
      </c>
      <c r="J370" s="761">
        <v>1</v>
      </c>
      <c r="K370" s="746">
        <v>225846.99</v>
      </c>
      <c r="L370" s="746">
        <v>21410.670000000002</v>
      </c>
      <c r="M370" s="746">
        <v>204436.32</v>
      </c>
      <c r="N370" s="493" t="str">
        <f t="shared" si="5"/>
        <v>C390</v>
      </c>
      <c r="O370" s="493" t="s">
        <v>390</v>
      </c>
      <c r="P370" s="493"/>
    </row>
    <row r="371" spans="1:16">
      <c r="A371" s="761" t="s">
        <v>2339</v>
      </c>
      <c r="B371" s="761" t="s">
        <v>2340</v>
      </c>
      <c r="C371" s="761" t="s">
        <v>2350</v>
      </c>
      <c r="D371" s="761">
        <v>33566387</v>
      </c>
      <c r="E371" s="761" t="s">
        <v>2419</v>
      </c>
      <c r="F371" s="761">
        <v>143003233</v>
      </c>
      <c r="G371" s="761" t="s">
        <v>2423</v>
      </c>
      <c r="H371" s="761" t="s">
        <v>2423</v>
      </c>
      <c r="I371" s="761" t="s">
        <v>6867</v>
      </c>
      <c r="J371" s="761">
        <v>1</v>
      </c>
      <c r="K371" s="746">
        <v>451694.15</v>
      </c>
      <c r="L371" s="746">
        <v>42821.36</v>
      </c>
      <c r="M371" s="746">
        <v>408872.79000000004</v>
      </c>
      <c r="N371" s="493" t="str">
        <f t="shared" si="5"/>
        <v>C390</v>
      </c>
      <c r="O371" s="493" t="s">
        <v>390</v>
      </c>
      <c r="P371" s="493"/>
    </row>
    <row r="372" spans="1:16">
      <c r="A372" s="761" t="s">
        <v>2339</v>
      </c>
      <c r="B372" s="761" t="s">
        <v>2340</v>
      </c>
      <c r="C372" s="761" t="s">
        <v>2350</v>
      </c>
      <c r="D372" s="761">
        <v>33566390</v>
      </c>
      <c r="E372" s="761" t="s">
        <v>2419</v>
      </c>
      <c r="F372" s="761">
        <v>143003233</v>
      </c>
      <c r="G372" s="761" t="s">
        <v>2423</v>
      </c>
      <c r="H372" s="761" t="s">
        <v>2423</v>
      </c>
      <c r="I372" s="761" t="s">
        <v>6867</v>
      </c>
      <c r="J372" s="761">
        <v>1</v>
      </c>
      <c r="K372" s="746">
        <v>193583.2</v>
      </c>
      <c r="L372" s="746">
        <v>18352.010000000002</v>
      </c>
      <c r="M372" s="746">
        <v>175231.19</v>
      </c>
      <c r="N372" s="493" t="str">
        <f t="shared" si="5"/>
        <v>C390</v>
      </c>
      <c r="O372" s="493" t="s">
        <v>390</v>
      </c>
      <c r="P372" s="493"/>
    </row>
    <row r="373" spans="1:16">
      <c r="A373" s="761" t="s">
        <v>2339</v>
      </c>
      <c r="B373" s="761" t="s">
        <v>2340</v>
      </c>
      <c r="C373" s="761" t="s">
        <v>2350</v>
      </c>
      <c r="D373" s="761">
        <v>33566393</v>
      </c>
      <c r="E373" s="761" t="s">
        <v>2419</v>
      </c>
      <c r="F373" s="761">
        <v>143003233</v>
      </c>
      <c r="G373" s="761" t="s">
        <v>2423</v>
      </c>
      <c r="H373" s="761" t="s">
        <v>2423</v>
      </c>
      <c r="I373" s="761" t="s">
        <v>6867</v>
      </c>
      <c r="J373" s="761">
        <v>1</v>
      </c>
      <c r="K373" s="746">
        <v>53773.1</v>
      </c>
      <c r="L373" s="746">
        <v>5097.78</v>
      </c>
      <c r="M373" s="746">
        <v>48675.32</v>
      </c>
      <c r="N373" s="493" t="str">
        <f t="shared" si="5"/>
        <v>C390</v>
      </c>
      <c r="O373" s="493" t="s">
        <v>390</v>
      </c>
      <c r="P373" s="493"/>
    </row>
    <row r="374" spans="1:16">
      <c r="A374" s="761" t="s">
        <v>2339</v>
      </c>
      <c r="B374" s="761" t="s">
        <v>2340</v>
      </c>
      <c r="C374" s="761" t="s">
        <v>2350</v>
      </c>
      <c r="D374" s="761">
        <v>33566396</v>
      </c>
      <c r="E374" s="761" t="s">
        <v>2419</v>
      </c>
      <c r="F374" s="761">
        <v>143003233</v>
      </c>
      <c r="G374" s="761" t="s">
        <v>2423</v>
      </c>
      <c r="H374" s="761" t="s">
        <v>2423</v>
      </c>
      <c r="I374" s="761" t="s">
        <v>6867</v>
      </c>
      <c r="J374" s="761">
        <v>1</v>
      </c>
      <c r="K374" s="746">
        <v>451694.15</v>
      </c>
      <c r="L374" s="746">
        <v>42821.36</v>
      </c>
      <c r="M374" s="746">
        <v>408872.79000000004</v>
      </c>
      <c r="N374" s="493" t="str">
        <f t="shared" si="5"/>
        <v>C390</v>
      </c>
      <c r="O374" s="493" t="s">
        <v>390</v>
      </c>
      <c r="P374" s="493"/>
    </row>
    <row r="375" spans="1:16">
      <c r="A375" s="761" t="s">
        <v>2339</v>
      </c>
      <c r="B375" s="761" t="s">
        <v>2340</v>
      </c>
      <c r="C375" s="761" t="s">
        <v>2350</v>
      </c>
      <c r="D375" s="761">
        <v>33566399</v>
      </c>
      <c r="E375" s="761" t="s">
        <v>2419</v>
      </c>
      <c r="F375" s="761">
        <v>143003233</v>
      </c>
      <c r="G375" s="761" t="s">
        <v>2423</v>
      </c>
      <c r="H375" s="761" t="s">
        <v>2423</v>
      </c>
      <c r="I375" s="761" t="s">
        <v>6867</v>
      </c>
      <c r="J375" s="761">
        <v>1</v>
      </c>
      <c r="K375" s="746">
        <v>1462628.7</v>
      </c>
      <c r="L375" s="746">
        <v>138659.66</v>
      </c>
      <c r="M375" s="746">
        <v>1323969.04</v>
      </c>
      <c r="N375" s="493" t="str">
        <f t="shared" si="5"/>
        <v>C390</v>
      </c>
      <c r="O375" s="493" t="s">
        <v>390</v>
      </c>
      <c r="P375" s="493"/>
    </row>
    <row r="376" spans="1:16">
      <c r="A376" s="761" t="s">
        <v>2339</v>
      </c>
      <c r="B376" s="761" t="s">
        <v>2340</v>
      </c>
      <c r="C376" s="761" t="s">
        <v>2350</v>
      </c>
      <c r="D376" s="761">
        <v>33566402</v>
      </c>
      <c r="E376" s="761" t="s">
        <v>2419</v>
      </c>
      <c r="F376" s="761">
        <v>143003233</v>
      </c>
      <c r="G376" s="761" t="s">
        <v>2423</v>
      </c>
      <c r="H376" s="761" t="s">
        <v>2423</v>
      </c>
      <c r="I376" s="761" t="s">
        <v>6867</v>
      </c>
      <c r="J376" s="761">
        <v>1</v>
      </c>
      <c r="K376" s="746">
        <v>322638.68</v>
      </c>
      <c r="L376" s="746">
        <v>30586.690000000002</v>
      </c>
      <c r="M376" s="746">
        <v>292051.99</v>
      </c>
      <c r="N376" s="493" t="str">
        <f t="shared" si="5"/>
        <v>C390</v>
      </c>
      <c r="O376" s="493" t="s">
        <v>390</v>
      </c>
      <c r="P376" s="493"/>
    </row>
    <row r="377" spans="1:16">
      <c r="A377" s="761" t="s">
        <v>2339</v>
      </c>
      <c r="B377" s="761" t="s">
        <v>2340</v>
      </c>
      <c r="C377" s="761" t="s">
        <v>2350</v>
      </c>
      <c r="D377" s="761">
        <v>33566405</v>
      </c>
      <c r="E377" s="761" t="s">
        <v>2419</v>
      </c>
      <c r="F377" s="761">
        <v>143003233</v>
      </c>
      <c r="G377" s="761" t="s">
        <v>2423</v>
      </c>
      <c r="H377" s="761" t="s">
        <v>2423</v>
      </c>
      <c r="I377" s="761" t="s">
        <v>6867</v>
      </c>
      <c r="J377" s="761">
        <v>1</v>
      </c>
      <c r="K377" s="746">
        <v>1720739.73</v>
      </c>
      <c r="L377" s="746">
        <v>163129.01999999999</v>
      </c>
      <c r="M377" s="746">
        <v>1557610.71</v>
      </c>
      <c r="N377" s="493" t="str">
        <f t="shared" si="5"/>
        <v>C390</v>
      </c>
      <c r="O377" s="493" t="s">
        <v>390</v>
      </c>
      <c r="P377" s="493"/>
    </row>
    <row r="378" spans="1:16">
      <c r="A378" s="761" t="s">
        <v>2339</v>
      </c>
      <c r="B378" s="761" t="s">
        <v>2340</v>
      </c>
      <c r="C378" s="761" t="s">
        <v>2350</v>
      </c>
      <c r="D378" s="761">
        <v>33566408</v>
      </c>
      <c r="E378" s="761" t="s">
        <v>2419</v>
      </c>
      <c r="F378" s="761">
        <v>143003233</v>
      </c>
      <c r="G378" s="761" t="s">
        <v>2423</v>
      </c>
      <c r="H378" s="761" t="s">
        <v>2423</v>
      </c>
      <c r="I378" s="761" t="s">
        <v>6867</v>
      </c>
      <c r="J378" s="761">
        <v>1</v>
      </c>
      <c r="K378" s="746">
        <v>666786.59</v>
      </c>
      <c r="L378" s="746">
        <v>63212.49</v>
      </c>
      <c r="M378" s="746">
        <v>603574.1</v>
      </c>
      <c r="N378" s="493" t="str">
        <f t="shared" si="5"/>
        <v>C390</v>
      </c>
      <c r="O378" s="493" t="s">
        <v>390</v>
      </c>
      <c r="P378" s="493"/>
    </row>
    <row r="379" spans="1:16">
      <c r="A379" s="761" t="s">
        <v>2339</v>
      </c>
      <c r="B379" s="761" t="s">
        <v>2340</v>
      </c>
      <c r="C379" s="761" t="s">
        <v>2350</v>
      </c>
      <c r="D379" s="761">
        <v>33566411</v>
      </c>
      <c r="E379" s="761" t="s">
        <v>2419</v>
      </c>
      <c r="F379" s="761">
        <v>143003233</v>
      </c>
      <c r="G379" s="761" t="s">
        <v>2423</v>
      </c>
      <c r="H379" s="761" t="s">
        <v>2423</v>
      </c>
      <c r="I379" s="761" t="s">
        <v>6867</v>
      </c>
      <c r="J379" s="761">
        <v>1</v>
      </c>
      <c r="K379" s="746">
        <v>365657.21</v>
      </c>
      <c r="L379" s="746">
        <v>34664.92</v>
      </c>
      <c r="M379" s="746">
        <v>330992.28999999998</v>
      </c>
      <c r="N379" s="493" t="str">
        <f t="shared" si="5"/>
        <v>C390</v>
      </c>
      <c r="O379" s="493" t="s">
        <v>390</v>
      </c>
      <c r="P379" s="493"/>
    </row>
    <row r="380" spans="1:16">
      <c r="A380" s="761" t="s">
        <v>2339</v>
      </c>
      <c r="B380" s="761" t="s">
        <v>2340</v>
      </c>
      <c r="C380" s="761" t="s">
        <v>2350</v>
      </c>
      <c r="D380" s="761">
        <v>33566414</v>
      </c>
      <c r="E380" s="761" t="s">
        <v>2419</v>
      </c>
      <c r="F380" s="761">
        <v>143003233</v>
      </c>
      <c r="G380" s="761" t="s">
        <v>2423</v>
      </c>
      <c r="H380" s="761" t="s">
        <v>2423</v>
      </c>
      <c r="I380" s="761" t="s">
        <v>6867</v>
      </c>
      <c r="J380" s="761">
        <v>1</v>
      </c>
      <c r="K380" s="746">
        <v>247356.31</v>
      </c>
      <c r="L380" s="746">
        <v>23449.79</v>
      </c>
      <c r="M380" s="746">
        <v>223906.52000000002</v>
      </c>
      <c r="N380" s="493" t="str">
        <f t="shared" si="5"/>
        <v>C390</v>
      </c>
      <c r="O380" s="493" t="s">
        <v>390</v>
      </c>
      <c r="P380" s="493"/>
    </row>
    <row r="381" spans="1:16">
      <c r="A381" s="761" t="s">
        <v>2339</v>
      </c>
      <c r="B381" s="761" t="s">
        <v>2340</v>
      </c>
      <c r="C381" s="761" t="s">
        <v>2350</v>
      </c>
      <c r="D381" s="761">
        <v>33311035</v>
      </c>
      <c r="E381" s="761" t="s">
        <v>2419</v>
      </c>
      <c r="F381" s="761">
        <v>143003235</v>
      </c>
      <c r="G381" s="761" t="s">
        <v>2424</v>
      </c>
      <c r="H381" s="761" t="s">
        <v>7290</v>
      </c>
      <c r="I381" s="761" t="s">
        <v>6867</v>
      </c>
      <c r="J381" s="761">
        <v>1</v>
      </c>
      <c r="K381" s="746">
        <v>115655.57</v>
      </c>
      <c r="L381" s="746">
        <v>10964.34</v>
      </c>
      <c r="M381" s="746">
        <v>104691.23</v>
      </c>
      <c r="N381" s="493" t="str">
        <f t="shared" si="5"/>
        <v>C390</v>
      </c>
      <c r="O381" s="493" t="s">
        <v>390</v>
      </c>
      <c r="P381" s="493"/>
    </row>
    <row r="382" spans="1:16">
      <c r="A382" s="761" t="s">
        <v>2339</v>
      </c>
      <c r="B382" s="761" t="s">
        <v>2340</v>
      </c>
      <c r="C382" s="761" t="s">
        <v>2350</v>
      </c>
      <c r="D382" s="761">
        <v>51726728</v>
      </c>
      <c r="E382" s="761" t="s">
        <v>2419</v>
      </c>
      <c r="F382" s="761">
        <v>143003483</v>
      </c>
      <c r="G382" s="761" t="s">
        <v>2425</v>
      </c>
      <c r="H382" s="761" t="s">
        <v>7291</v>
      </c>
      <c r="I382" s="761" t="s">
        <v>6867</v>
      </c>
      <c r="J382" s="761">
        <v>0</v>
      </c>
      <c r="K382" s="746">
        <v>94847.17</v>
      </c>
      <c r="L382" s="746">
        <v>7874.81</v>
      </c>
      <c r="M382" s="746">
        <v>86972.36</v>
      </c>
      <c r="N382" s="493" t="str">
        <f t="shared" si="5"/>
        <v>C390</v>
      </c>
      <c r="O382" s="493" t="s">
        <v>99</v>
      </c>
      <c r="P382" s="493" t="s">
        <v>2501</v>
      </c>
    </row>
    <row r="383" spans="1:16">
      <c r="A383" s="761" t="s">
        <v>2339</v>
      </c>
      <c r="B383" s="761" t="s">
        <v>2340</v>
      </c>
      <c r="C383" s="761" t="s">
        <v>2350</v>
      </c>
      <c r="D383" s="761">
        <v>51726733</v>
      </c>
      <c r="E383" s="761" t="s">
        <v>2419</v>
      </c>
      <c r="F383" s="761">
        <v>143003483</v>
      </c>
      <c r="G383" s="761" t="s">
        <v>2425</v>
      </c>
      <c r="H383" s="761" t="s">
        <v>7291</v>
      </c>
      <c r="I383" s="761" t="s">
        <v>6867</v>
      </c>
      <c r="J383" s="761">
        <v>1</v>
      </c>
      <c r="K383" s="746">
        <v>951896.98</v>
      </c>
      <c r="L383" s="746">
        <v>79032.47</v>
      </c>
      <c r="M383" s="746">
        <v>872864.51</v>
      </c>
      <c r="N383" s="493" t="str">
        <f t="shared" si="5"/>
        <v>C390</v>
      </c>
      <c r="O383" s="493" t="s">
        <v>99</v>
      </c>
      <c r="P383" s="493" t="s">
        <v>2501</v>
      </c>
    </row>
    <row r="384" spans="1:16">
      <c r="A384" s="761" t="s">
        <v>2339</v>
      </c>
      <c r="B384" s="761" t="s">
        <v>2340</v>
      </c>
      <c r="C384" s="761" t="s">
        <v>2350</v>
      </c>
      <c r="D384" s="761">
        <v>51726736</v>
      </c>
      <c r="E384" s="761" t="s">
        <v>2419</v>
      </c>
      <c r="F384" s="761">
        <v>143003483</v>
      </c>
      <c r="G384" s="761" t="s">
        <v>2425</v>
      </c>
      <c r="H384" s="761" t="s">
        <v>7291</v>
      </c>
      <c r="I384" s="761" t="s">
        <v>6867</v>
      </c>
      <c r="J384" s="761">
        <v>0</v>
      </c>
      <c r="K384" s="746">
        <v>305781.5</v>
      </c>
      <c r="L384" s="746">
        <v>25387.9</v>
      </c>
      <c r="M384" s="746">
        <v>280393.60000000003</v>
      </c>
      <c r="N384" s="493" t="str">
        <f t="shared" si="5"/>
        <v>C390</v>
      </c>
      <c r="O384" s="493" t="s">
        <v>99</v>
      </c>
      <c r="P384" s="493" t="s">
        <v>2501</v>
      </c>
    </row>
    <row r="385" spans="1:16">
      <c r="A385" s="761" t="s">
        <v>2339</v>
      </c>
      <c r="B385" s="761" t="s">
        <v>2340</v>
      </c>
      <c r="C385" s="761" t="s">
        <v>2350</v>
      </c>
      <c r="D385" s="761">
        <v>51726739</v>
      </c>
      <c r="E385" s="761" t="s">
        <v>2419</v>
      </c>
      <c r="F385" s="761">
        <v>143003483</v>
      </c>
      <c r="G385" s="761" t="s">
        <v>2425</v>
      </c>
      <c r="H385" s="761" t="s">
        <v>7291</v>
      </c>
      <c r="I385" s="761" t="s">
        <v>6867</v>
      </c>
      <c r="J385" s="761">
        <v>0</v>
      </c>
      <c r="K385" s="746">
        <v>41015</v>
      </c>
      <c r="L385" s="746">
        <v>3405.32</v>
      </c>
      <c r="M385" s="746">
        <v>37609.68</v>
      </c>
      <c r="N385" s="493" t="str">
        <f t="shared" si="5"/>
        <v>C390</v>
      </c>
      <c r="O385" s="493" t="s">
        <v>99</v>
      </c>
      <c r="P385" s="493" t="s">
        <v>2501</v>
      </c>
    </row>
    <row r="386" spans="1:16">
      <c r="A386" s="761" t="s">
        <v>2339</v>
      </c>
      <c r="B386" s="761" t="s">
        <v>2340</v>
      </c>
      <c r="C386" s="761" t="s">
        <v>2350</v>
      </c>
      <c r="D386" s="761">
        <v>51726742</v>
      </c>
      <c r="E386" s="761" t="s">
        <v>2419</v>
      </c>
      <c r="F386" s="761">
        <v>143003483</v>
      </c>
      <c r="G386" s="761" t="s">
        <v>2425</v>
      </c>
      <c r="H386" s="761" t="s">
        <v>7291</v>
      </c>
      <c r="I386" s="761" t="s">
        <v>6867</v>
      </c>
      <c r="J386" s="761">
        <v>0</v>
      </c>
      <c r="K386" s="746">
        <v>192624</v>
      </c>
      <c r="L386" s="746">
        <v>15992.86</v>
      </c>
      <c r="M386" s="746">
        <v>176631.14</v>
      </c>
      <c r="N386" s="493" t="str">
        <f t="shared" ref="N386:N449" si="6">LEFT(E386,4)</f>
        <v>C390</v>
      </c>
      <c r="O386" s="493" t="s">
        <v>99</v>
      </c>
      <c r="P386" s="493" t="s">
        <v>2501</v>
      </c>
    </row>
    <row r="387" spans="1:16">
      <c r="A387" s="761" t="s">
        <v>2339</v>
      </c>
      <c r="B387" s="761" t="s">
        <v>2340</v>
      </c>
      <c r="C387" s="761" t="s">
        <v>2350</v>
      </c>
      <c r="D387" s="761">
        <v>51726745</v>
      </c>
      <c r="E387" s="761" t="s">
        <v>2419</v>
      </c>
      <c r="F387" s="761">
        <v>143003483</v>
      </c>
      <c r="G387" s="761" t="s">
        <v>2425</v>
      </c>
      <c r="H387" s="761" t="s">
        <v>7291</v>
      </c>
      <c r="I387" s="761" t="s">
        <v>6867</v>
      </c>
      <c r="J387" s="761">
        <v>0</v>
      </c>
      <c r="K387" s="746">
        <v>235470.05000000002</v>
      </c>
      <c r="L387" s="746">
        <v>19550.2</v>
      </c>
      <c r="M387" s="746">
        <v>215919.85</v>
      </c>
      <c r="N387" s="493" t="str">
        <f t="shared" si="6"/>
        <v>C390</v>
      </c>
      <c r="O387" s="493" t="s">
        <v>99</v>
      </c>
      <c r="P387" s="493" t="s">
        <v>2501</v>
      </c>
    </row>
    <row r="388" spans="1:16">
      <c r="A388" s="761" t="s">
        <v>2339</v>
      </c>
      <c r="B388" s="761" t="s">
        <v>2340</v>
      </c>
      <c r="C388" s="761" t="s">
        <v>2350</v>
      </c>
      <c r="D388" s="761">
        <v>51726748</v>
      </c>
      <c r="E388" s="761" t="s">
        <v>2419</v>
      </c>
      <c r="F388" s="761">
        <v>143003483</v>
      </c>
      <c r="G388" s="761" t="s">
        <v>2425</v>
      </c>
      <c r="H388" s="761" t="s">
        <v>7291</v>
      </c>
      <c r="I388" s="761" t="s">
        <v>6867</v>
      </c>
      <c r="J388" s="761">
        <v>0</v>
      </c>
      <c r="K388" s="746">
        <v>669057.19000000006</v>
      </c>
      <c r="L388" s="746">
        <v>55549.340000000004</v>
      </c>
      <c r="M388" s="746">
        <v>613507.85</v>
      </c>
      <c r="N388" s="493" t="str">
        <f t="shared" si="6"/>
        <v>C390</v>
      </c>
      <c r="O388" s="493" t="s">
        <v>99</v>
      </c>
      <c r="P388" s="493" t="s">
        <v>2501</v>
      </c>
    </row>
    <row r="389" spans="1:16">
      <c r="A389" s="761" t="s">
        <v>2339</v>
      </c>
      <c r="B389" s="761" t="s">
        <v>2340</v>
      </c>
      <c r="C389" s="761" t="s">
        <v>2350</v>
      </c>
      <c r="D389" s="761">
        <v>51726751</v>
      </c>
      <c r="E389" s="761" t="s">
        <v>2419</v>
      </c>
      <c r="F389" s="761">
        <v>143003483</v>
      </c>
      <c r="G389" s="761" t="s">
        <v>2425</v>
      </c>
      <c r="H389" s="761" t="s">
        <v>7291</v>
      </c>
      <c r="I389" s="761" t="s">
        <v>6867</v>
      </c>
      <c r="J389" s="761">
        <v>0</v>
      </c>
      <c r="K389" s="746">
        <v>154904.85</v>
      </c>
      <c r="L389" s="746">
        <v>12861.17</v>
      </c>
      <c r="M389" s="746">
        <v>142043.68</v>
      </c>
      <c r="N389" s="493" t="str">
        <f t="shared" si="6"/>
        <v>C390</v>
      </c>
      <c r="O389" s="493" t="s">
        <v>99</v>
      </c>
      <c r="P389" s="493" t="s">
        <v>2501</v>
      </c>
    </row>
    <row r="390" spans="1:16">
      <c r="A390" s="761" t="s">
        <v>2339</v>
      </c>
      <c r="B390" s="761" t="s">
        <v>2340</v>
      </c>
      <c r="C390" s="761" t="s">
        <v>2350</v>
      </c>
      <c r="D390" s="761">
        <v>51726754</v>
      </c>
      <c r="E390" s="761" t="s">
        <v>2419</v>
      </c>
      <c r="F390" s="761">
        <v>143003483</v>
      </c>
      <c r="G390" s="761" t="s">
        <v>2425</v>
      </c>
      <c r="H390" s="761" t="s">
        <v>7291</v>
      </c>
      <c r="I390" s="761" t="s">
        <v>6867</v>
      </c>
      <c r="J390" s="761">
        <v>0</v>
      </c>
      <c r="K390" s="746">
        <v>105100.96</v>
      </c>
      <c r="L390" s="746">
        <v>8726.14</v>
      </c>
      <c r="M390" s="746">
        <v>96374.82</v>
      </c>
      <c r="N390" s="493" t="str">
        <f t="shared" si="6"/>
        <v>C390</v>
      </c>
      <c r="O390" s="493" t="s">
        <v>99</v>
      </c>
      <c r="P390" s="493" t="s">
        <v>2501</v>
      </c>
    </row>
    <row r="391" spans="1:16">
      <c r="A391" s="761" t="s">
        <v>2339</v>
      </c>
      <c r="B391" s="761" t="s">
        <v>2340</v>
      </c>
      <c r="C391" s="761" t="s">
        <v>2350</v>
      </c>
      <c r="D391" s="761">
        <v>51726757</v>
      </c>
      <c r="E391" s="761" t="s">
        <v>2419</v>
      </c>
      <c r="F391" s="761">
        <v>143003483</v>
      </c>
      <c r="G391" s="761" t="s">
        <v>2425</v>
      </c>
      <c r="H391" s="761" t="s">
        <v>7291</v>
      </c>
      <c r="I391" s="761" t="s">
        <v>6867</v>
      </c>
      <c r="J391" s="761">
        <v>0</v>
      </c>
      <c r="K391" s="746">
        <v>10253.74</v>
      </c>
      <c r="L391" s="746">
        <v>851.33</v>
      </c>
      <c r="M391" s="746">
        <v>9402.41</v>
      </c>
      <c r="N391" s="493" t="str">
        <f t="shared" si="6"/>
        <v>C390</v>
      </c>
      <c r="O391" s="493" t="s">
        <v>99</v>
      </c>
      <c r="P391" s="493" t="s">
        <v>2501</v>
      </c>
    </row>
    <row r="392" spans="1:16">
      <c r="A392" s="761" t="s">
        <v>2339</v>
      </c>
      <c r="B392" s="761" t="s">
        <v>2340</v>
      </c>
      <c r="C392" s="761" t="s">
        <v>2350</v>
      </c>
      <c r="D392" s="761">
        <v>51726760</v>
      </c>
      <c r="E392" s="761" t="s">
        <v>2419</v>
      </c>
      <c r="F392" s="761">
        <v>143003483</v>
      </c>
      <c r="G392" s="761" t="s">
        <v>2425</v>
      </c>
      <c r="H392" s="761" t="s">
        <v>7291</v>
      </c>
      <c r="I392" s="761" t="s">
        <v>6867</v>
      </c>
      <c r="J392" s="761">
        <v>0</v>
      </c>
      <c r="K392" s="746">
        <v>328120.01</v>
      </c>
      <c r="L392" s="746">
        <v>27242.59</v>
      </c>
      <c r="M392" s="746">
        <v>300877.42</v>
      </c>
      <c r="N392" s="493" t="str">
        <f t="shared" si="6"/>
        <v>C390</v>
      </c>
      <c r="O392" s="493" t="s">
        <v>99</v>
      </c>
      <c r="P392" s="493" t="s">
        <v>2501</v>
      </c>
    </row>
    <row r="393" spans="1:16">
      <c r="A393" s="761" t="s">
        <v>2339</v>
      </c>
      <c r="B393" s="761" t="s">
        <v>2340</v>
      </c>
      <c r="C393" s="761" t="s">
        <v>2350</v>
      </c>
      <c r="D393" s="761">
        <v>51726763</v>
      </c>
      <c r="E393" s="761" t="s">
        <v>2419</v>
      </c>
      <c r="F393" s="761">
        <v>143003483</v>
      </c>
      <c r="G393" s="761" t="s">
        <v>2425</v>
      </c>
      <c r="H393" s="761" t="s">
        <v>7291</v>
      </c>
      <c r="I393" s="761" t="s">
        <v>6867</v>
      </c>
      <c r="J393" s="761">
        <v>0</v>
      </c>
      <c r="K393" s="746">
        <v>784778.01</v>
      </c>
      <c r="L393" s="746">
        <v>65157.21</v>
      </c>
      <c r="M393" s="746">
        <v>719620.8</v>
      </c>
      <c r="N393" s="493" t="str">
        <f t="shared" si="6"/>
        <v>C390</v>
      </c>
      <c r="O393" s="493" t="s">
        <v>99</v>
      </c>
      <c r="P393" s="493" t="s">
        <v>2501</v>
      </c>
    </row>
    <row r="394" spans="1:16">
      <c r="A394" s="761" t="s">
        <v>2339</v>
      </c>
      <c r="B394" s="761" t="s">
        <v>2340</v>
      </c>
      <c r="C394" s="761" t="s">
        <v>2350</v>
      </c>
      <c r="D394" s="761">
        <v>51726766</v>
      </c>
      <c r="E394" s="761" t="s">
        <v>2419</v>
      </c>
      <c r="F394" s="761">
        <v>143003483</v>
      </c>
      <c r="G394" s="761" t="s">
        <v>2425</v>
      </c>
      <c r="H394" s="761" t="s">
        <v>7291</v>
      </c>
      <c r="I394" s="761" t="s">
        <v>6867</v>
      </c>
      <c r="J394" s="761">
        <v>0</v>
      </c>
      <c r="K394" s="746">
        <v>21972.28</v>
      </c>
      <c r="L394" s="746">
        <v>1824.28</v>
      </c>
      <c r="M394" s="746">
        <v>20148</v>
      </c>
      <c r="N394" s="493" t="str">
        <f t="shared" si="6"/>
        <v>C390</v>
      </c>
      <c r="O394" s="493" t="s">
        <v>99</v>
      </c>
      <c r="P394" s="493" t="s">
        <v>2501</v>
      </c>
    </row>
    <row r="395" spans="1:16">
      <c r="A395" s="761" t="s">
        <v>2339</v>
      </c>
      <c r="B395" s="761" t="s">
        <v>2340</v>
      </c>
      <c r="C395" s="761" t="s">
        <v>2350</v>
      </c>
      <c r="D395" s="761">
        <v>51726769</v>
      </c>
      <c r="E395" s="761" t="s">
        <v>2419</v>
      </c>
      <c r="F395" s="761">
        <v>143003483</v>
      </c>
      <c r="G395" s="761" t="s">
        <v>2425</v>
      </c>
      <c r="H395" s="761" t="s">
        <v>7291</v>
      </c>
      <c r="I395" s="761" t="s">
        <v>6867</v>
      </c>
      <c r="J395" s="761">
        <v>0</v>
      </c>
      <c r="K395" s="746">
        <v>184567.49</v>
      </c>
      <c r="L395" s="746">
        <v>15323.95</v>
      </c>
      <c r="M395" s="746">
        <v>169243.54</v>
      </c>
      <c r="N395" s="493" t="str">
        <f t="shared" si="6"/>
        <v>C390</v>
      </c>
      <c r="O395" s="493" t="s">
        <v>99</v>
      </c>
      <c r="P395" s="493" t="s">
        <v>2501</v>
      </c>
    </row>
    <row r="396" spans="1:16">
      <c r="A396" s="761" t="s">
        <v>2339</v>
      </c>
      <c r="B396" s="761" t="s">
        <v>2340</v>
      </c>
      <c r="C396" s="761" t="s">
        <v>2350</v>
      </c>
      <c r="D396" s="761">
        <v>51726772</v>
      </c>
      <c r="E396" s="761" t="s">
        <v>2419</v>
      </c>
      <c r="F396" s="761">
        <v>143003483</v>
      </c>
      <c r="G396" s="761" t="s">
        <v>2425</v>
      </c>
      <c r="H396" s="761" t="s">
        <v>7291</v>
      </c>
      <c r="I396" s="761" t="s">
        <v>6867</v>
      </c>
      <c r="J396" s="761">
        <v>0</v>
      </c>
      <c r="K396" s="746">
        <v>54930.81</v>
      </c>
      <c r="L396" s="746">
        <v>4560.7</v>
      </c>
      <c r="M396" s="746">
        <v>50370.11</v>
      </c>
      <c r="N396" s="493" t="str">
        <f t="shared" si="6"/>
        <v>C390</v>
      </c>
      <c r="O396" s="493" t="s">
        <v>99</v>
      </c>
      <c r="P396" s="493" t="s">
        <v>2501</v>
      </c>
    </row>
    <row r="397" spans="1:16">
      <c r="A397" s="761" t="s">
        <v>2339</v>
      </c>
      <c r="B397" s="761" t="s">
        <v>2340</v>
      </c>
      <c r="C397" s="761" t="s">
        <v>2350</v>
      </c>
      <c r="D397" s="761">
        <v>51726775</v>
      </c>
      <c r="E397" s="761" t="s">
        <v>2419</v>
      </c>
      <c r="F397" s="761">
        <v>143003483</v>
      </c>
      <c r="G397" s="761" t="s">
        <v>2425</v>
      </c>
      <c r="H397" s="761" t="s">
        <v>7291</v>
      </c>
      <c r="I397" s="761" t="s">
        <v>6867</v>
      </c>
      <c r="J397" s="761">
        <v>0</v>
      </c>
      <c r="K397" s="746">
        <v>74339.7</v>
      </c>
      <c r="L397" s="746">
        <v>6172.1500000000005</v>
      </c>
      <c r="M397" s="746">
        <v>68167.55</v>
      </c>
      <c r="N397" s="493" t="str">
        <f t="shared" si="6"/>
        <v>C390</v>
      </c>
      <c r="O397" s="493" t="s">
        <v>99</v>
      </c>
      <c r="P397" s="493" t="s">
        <v>2501</v>
      </c>
    </row>
    <row r="398" spans="1:16">
      <c r="A398" s="761" t="s">
        <v>2339</v>
      </c>
      <c r="B398" s="761" t="s">
        <v>2340</v>
      </c>
      <c r="C398" s="761" t="s">
        <v>2350</v>
      </c>
      <c r="D398" s="761">
        <v>57971835</v>
      </c>
      <c r="E398" s="761" t="s">
        <v>2419</v>
      </c>
      <c r="F398" s="761">
        <v>143003508</v>
      </c>
      <c r="G398" s="761" t="s">
        <v>2426</v>
      </c>
      <c r="H398" s="761" t="s">
        <v>2426</v>
      </c>
      <c r="I398" s="761" t="s">
        <v>6867</v>
      </c>
      <c r="J398" s="761">
        <v>1</v>
      </c>
      <c r="K398" s="746">
        <v>68450.8</v>
      </c>
      <c r="L398" s="746">
        <v>5683.22</v>
      </c>
      <c r="M398" s="746">
        <v>62767.58</v>
      </c>
      <c r="N398" s="493" t="str">
        <f t="shared" si="6"/>
        <v>C390</v>
      </c>
      <c r="O398" s="493" t="s">
        <v>99</v>
      </c>
      <c r="P398" s="493" t="s">
        <v>2501</v>
      </c>
    </row>
    <row r="399" spans="1:16">
      <c r="A399" s="761" t="s">
        <v>2339</v>
      </c>
      <c r="B399" s="761" t="s">
        <v>2340</v>
      </c>
      <c r="C399" s="761" t="s">
        <v>2350</v>
      </c>
      <c r="D399" s="761">
        <v>57971838</v>
      </c>
      <c r="E399" s="761" t="s">
        <v>2419</v>
      </c>
      <c r="F399" s="761">
        <v>143003508</v>
      </c>
      <c r="G399" s="761" t="s">
        <v>2426</v>
      </c>
      <c r="H399" s="761" t="s">
        <v>2426</v>
      </c>
      <c r="I399" s="761" t="s">
        <v>6867</v>
      </c>
      <c r="J399" s="761">
        <v>2</v>
      </c>
      <c r="K399" s="746">
        <v>205352.36000000002</v>
      </c>
      <c r="L399" s="746">
        <v>17049.64</v>
      </c>
      <c r="M399" s="746">
        <v>188302.72</v>
      </c>
      <c r="N399" s="493" t="str">
        <f t="shared" si="6"/>
        <v>C390</v>
      </c>
      <c r="O399" s="493" t="s">
        <v>99</v>
      </c>
      <c r="P399" s="493" t="s">
        <v>2501</v>
      </c>
    </row>
    <row r="400" spans="1:16">
      <c r="A400" s="761" t="s">
        <v>2339</v>
      </c>
      <c r="B400" s="761" t="s">
        <v>2340</v>
      </c>
      <c r="C400" s="761" t="s">
        <v>2350</v>
      </c>
      <c r="D400" s="761">
        <v>57971841</v>
      </c>
      <c r="E400" s="761" t="s">
        <v>2419</v>
      </c>
      <c r="F400" s="761">
        <v>143003508</v>
      </c>
      <c r="G400" s="761" t="s">
        <v>2426</v>
      </c>
      <c r="H400" s="761" t="s">
        <v>2426</v>
      </c>
      <c r="I400" s="761" t="s">
        <v>6867</v>
      </c>
      <c r="J400" s="761">
        <v>1</v>
      </c>
      <c r="K400" s="746">
        <v>68450.8</v>
      </c>
      <c r="L400" s="746">
        <v>5683.22</v>
      </c>
      <c r="M400" s="746">
        <v>62767.58</v>
      </c>
      <c r="N400" s="493" t="str">
        <f t="shared" si="6"/>
        <v>C390</v>
      </c>
      <c r="O400" s="493" t="s">
        <v>99</v>
      </c>
      <c r="P400" s="493" t="s">
        <v>2501</v>
      </c>
    </row>
    <row r="401" spans="1:16">
      <c r="A401" s="761" t="s">
        <v>2339</v>
      </c>
      <c r="B401" s="761" t="s">
        <v>2340</v>
      </c>
      <c r="C401" s="761" t="s">
        <v>2350</v>
      </c>
      <c r="D401" s="761">
        <v>57971844</v>
      </c>
      <c r="E401" s="761" t="s">
        <v>2419</v>
      </c>
      <c r="F401" s="761">
        <v>143003508</v>
      </c>
      <c r="G401" s="761" t="s">
        <v>2426</v>
      </c>
      <c r="H401" s="761" t="s">
        <v>2426</v>
      </c>
      <c r="I401" s="761" t="s">
        <v>6867</v>
      </c>
      <c r="J401" s="761">
        <v>1</v>
      </c>
      <c r="K401" s="746">
        <v>136901.57</v>
      </c>
      <c r="L401" s="746">
        <v>11366.43</v>
      </c>
      <c r="M401" s="746">
        <v>125535.14</v>
      </c>
      <c r="N401" s="493" t="str">
        <f t="shared" si="6"/>
        <v>C390</v>
      </c>
      <c r="O401" s="493" t="s">
        <v>99</v>
      </c>
      <c r="P401" s="493" t="s">
        <v>2501</v>
      </c>
    </row>
    <row r="402" spans="1:16">
      <c r="A402" s="761" t="s">
        <v>2339</v>
      </c>
      <c r="B402" s="761" t="s">
        <v>2340</v>
      </c>
      <c r="C402" s="761" t="s">
        <v>2350</v>
      </c>
      <c r="D402" s="761">
        <v>57971847</v>
      </c>
      <c r="E402" s="761" t="s">
        <v>2419</v>
      </c>
      <c r="F402" s="761">
        <v>143003508</v>
      </c>
      <c r="G402" s="761" t="s">
        <v>2426</v>
      </c>
      <c r="H402" s="761" t="s">
        <v>2426</v>
      </c>
      <c r="I402" s="761" t="s">
        <v>6867</v>
      </c>
      <c r="J402" s="761">
        <v>1</v>
      </c>
      <c r="K402" s="746">
        <v>41070.46</v>
      </c>
      <c r="L402" s="746">
        <v>3409.9300000000003</v>
      </c>
      <c r="M402" s="746">
        <v>37660.53</v>
      </c>
      <c r="N402" s="493" t="str">
        <f t="shared" si="6"/>
        <v>C390</v>
      </c>
      <c r="O402" s="493" t="s">
        <v>99</v>
      </c>
      <c r="P402" s="493" t="s">
        <v>2501</v>
      </c>
    </row>
    <row r="403" spans="1:16">
      <c r="A403" s="761" t="s">
        <v>2339</v>
      </c>
      <c r="B403" s="761" t="s">
        <v>2340</v>
      </c>
      <c r="C403" s="761" t="s">
        <v>2350</v>
      </c>
      <c r="D403" s="761">
        <v>57971850</v>
      </c>
      <c r="E403" s="761" t="s">
        <v>2419</v>
      </c>
      <c r="F403" s="761">
        <v>143003508</v>
      </c>
      <c r="G403" s="761" t="s">
        <v>2426</v>
      </c>
      <c r="H403" s="761" t="s">
        <v>2426</v>
      </c>
      <c r="I403" s="761" t="s">
        <v>6867</v>
      </c>
      <c r="J403" s="761">
        <v>1</v>
      </c>
      <c r="K403" s="746">
        <v>136901.57</v>
      </c>
      <c r="L403" s="746">
        <v>11366.43</v>
      </c>
      <c r="M403" s="746">
        <v>125535.14</v>
      </c>
      <c r="N403" s="493" t="str">
        <f t="shared" si="6"/>
        <v>C390</v>
      </c>
      <c r="O403" s="493" t="s">
        <v>99</v>
      </c>
      <c r="P403" s="493" t="s">
        <v>2501</v>
      </c>
    </row>
    <row r="404" spans="1:16">
      <c r="A404" s="761" t="s">
        <v>2339</v>
      </c>
      <c r="B404" s="761" t="s">
        <v>2340</v>
      </c>
      <c r="C404" s="761" t="s">
        <v>2350</v>
      </c>
      <c r="D404" s="761">
        <v>57971853</v>
      </c>
      <c r="E404" s="761" t="s">
        <v>2419</v>
      </c>
      <c r="F404" s="761">
        <v>143003508</v>
      </c>
      <c r="G404" s="761" t="s">
        <v>2426</v>
      </c>
      <c r="H404" s="761" t="s">
        <v>2426</v>
      </c>
      <c r="I404" s="761" t="s">
        <v>6867</v>
      </c>
      <c r="J404" s="761">
        <v>1</v>
      </c>
      <c r="K404" s="746">
        <v>68450.8</v>
      </c>
      <c r="L404" s="746">
        <v>5683.22</v>
      </c>
      <c r="M404" s="746">
        <v>62767.58</v>
      </c>
      <c r="N404" s="493" t="str">
        <f t="shared" si="6"/>
        <v>C390</v>
      </c>
      <c r="O404" s="493" t="s">
        <v>99</v>
      </c>
      <c r="P404" s="493" t="s">
        <v>2501</v>
      </c>
    </row>
    <row r="405" spans="1:16">
      <c r="A405" s="761" t="s">
        <v>2339</v>
      </c>
      <c r="B405" s="761" t="s">
        <v>2340</v>
      </c>
      <c r="C405" s="761" t="s">
        <v>2350</v>
      </c>
      <c r="D405" s="761">
        <v>57971856</v>
      </c>
      <c r="E405" s="761" t="s">
        <v>2419</v>
      </c>
      <c r="F405" s="761">
        <v>143003508</v>
      </c>
      <c r="G405" s="761" t="s">
        <v>2426</v>
      </c>
      <c r="H405" s="761" t="s">
        <v>2426</v>
      </c>
      <c r="I405" s="761" t="s">
        <v>6867</v>
      </c>
      <c r="J405" s="761">
        <v>1</v>
      </c>
      <c r="K405" s="746">
        <v>27380.3</v>
      </c>
      <c r="L405" s="746">
        <v>2273.2800000000002</v>
      </c>
      <c r="M405" s="746">
        <v>25107.02</v>
      </c>
      <c r="N405" s="493" t="str">
        <f t="shared" si="6"/>
        <v>C390</v>
      </c>
      <c r="O405" s="493" t="s">
        <v>99</v>
      </c>
      <c r="P405" s="493" t="s">
        <v>2501</v>
      </c>
    </row>
    <row r="406" spans="1:16">
      <c r="A406" s="761" t="s">
        <v>2339</v>
      </c>
      <c r="B406" s="761" t="s">
        <v>2340</v>
      </c>
      <c r="C406" s="761" t="s">
        <v>2350</v>
      </c>
      <c r="D406" s="761">
        <v>57971859</v>
      </c>
      <c r="E406" s="761" t="s">
        <v>2419</v>
      </c>
      <c r="F406" s="761">
        <v>143003508</v>
      </c>
      <c r="G406" s="761" t="s">
        <v>2426</v>
      </c>
      <c r="H406" s="761" t="s">
        <v>2426</v>
      </c>
      <c r="I406" s="761" t="s">
        <v>6867</v>
      </c>
      <c r="J406" s="761">
        <v>1</v>
      </c>
      <c r="K406" s="746">
        <v>68450.8</v>
      </c>
      <c r="L406" s="746">
        <v>5683.22</v>
      </c>
      <c r="M406" s="746">
        <v>62767.58</v>
      </c>
      <c r="N406" s="493" t="str">
        <f t="shared" si="6"/>
        <v>C390</v>
      </c>
      <c r="O406" s="493" t="s">
        <v>99</v>
      </c>
      <c r="P406" s="493" t="s">
        <v>2501</v>
      </c>
    </row>
    <row r="407" spans="1:16">
      <c r="A407" s="761" t="s">
        <v>2339</v>
      </c>
      <c r="B407" s="761" t="s">
        <v>2340</v>
      </c>
      <c r="C407" s="761" t="s">
        <v>2361</v>
      </c>
      <c r="D407" s="761">
        <v>99503</v>
      </c>
      <c r="E407" s="761" t="s">
        <v>2427</v>
      </c>
      <c r="F407" s="761" t="s">
        <v>2357</v>
      </c>
      <c r="I407" s="761" t="s">
        <v>6867</v>
      </c>
      <c r="J407" s="761">
        <v>2</v>
      </c>
      <c r="K407" s="746">
        <v>5548057.8700000001</v>
      </c>
      <c r="L407" s="746">
        <v>4631355.5999999996</v>
      </c>
      <c r="M407" s="746">
        <v>916702.27</v>
      </c>
      <c r="N407" s="493" t="str">
        <f t="shared" si="6"/>
        <v>C390</v>
      </c>
      <c r="O407" s="493" t="s">
        <v>99</v>
      </c>
      <c r="P407" s="493"/>
    </row>
    <row r="408" spans="1:16">
      <c r="A408" s="761" t="s">
        <v>2339</v>
      </c>
      <c r="B408" s="761" t="s">
        <v>2340</v>
      </c>
      <c r="C408" s="761" t="s">
        <v>2361</v>
      </c>
      <c r="D408" s="761">
        <v>33030</v>
      </c>
      <c r="E408" s="761" t="s">
        <v>2427</v>
      </c>
      <c r="F408" s="761" t="s">
        <v>2357</v>
      </c>
      <c r="I408" s="761" t="s">
        <v>6867</v>
      </c>
      <c r="J408" s="761">
        <v>2</v>
      </c>
      <c r="K408" s="746">
        <v>61335.17</v>
      </c>
      <c r="L408" s="746">
        <v>47256.66</v>
      </c>
      <c r="M408" s="746">
        <v>14078.51</v>
      </c>
      <c r="N408" s="493" t="str">
        <f t="shared" si="6"/>
        <v>C390</v>
      </c>
      <c r="O408" s="493" t="s">
        <v>99</v>
      </c>
      <c r="P408" s="493"/>
    </row>
    <row r="409" spans="1:16">
      <c r="A409" s="761" t="s">
        <v>2339</v>
      </c>
      <c r="B409" s="761" t="s">
        <v>2340</v>
      </c>
      <c r="C409" s="761" t="s">
        <v>2361</v>
      </c>
      <c r="D409" s="761">
        <v>33031</v>
      </c>
      <c r="E409" s="761" t="s">
        <v>2427</v>
      </c>
      <c r="F409" s="761" t="s">
        <v>2357</v>
      </c>
      <c r="I409" s="761" t="s">
        <v>6867</v>
      </c>
      <c r="J409" s="761">
        <v>2</v>
      </c>
      <c r="K409" s="746">
        <v>27287.86</v>
      </c>
      <c r="L409" s="746">
        <v>20375.010000000002</v>
      </c>
      <c r="M409" s="746">
        <v>6912.85</v>
      </c>
      <c r="N409" s="493" t="str">
        <f t="shared" si="6"/>
        <v>C390</v>
      </c>
      <c r="O409" s="493" t="s">
        <v>99</v>
      </c>
      <c r="P409" s="493"/>
    </row>
    <row r="410" spans="1:16">
      <c r="A410" s="761" t="s">
        <v>2339</v>
      </c>
      <c r="B410" s="761" t="s">
        <v>2340</v>
      </c>
      <c r="C410" s="761" t="s">
        <v>2361</v>
      </c>
      <c r="D410" s="761">
        <v>33032</v>
      </c>
      <c r="E410" s="761" t="s">
        <v>2427</v>
      </c>
      <c r="F410" s="761" t="s">
        <v>2357</v>
      </c>
      <c r="I410" s="761" t="s">
        <v>6867</v>
      </c>
      <c r="J410" s="761">
        <v>1</v>
      </c>
      <c r="K410" s="746">
        <v>193123.05000000002</v>
      </c>
      <c r="L410" s="746">
        <v>139386.01999999999</v>
      </c>
      <c r="M410" s="746">
        <v>53737.03</v>
      </c>
      <c r="N410" s="493" t="str">
        <f t="shared" si="6"/>
        <v>C390</v>
      </c>
      <c r="O410" s="493" t="s">
        <v>99</v>
      </c>
      <c r="P410" s="493"/>
    </row>
    <row r="411" spans="1:16">
      <c r="A411" s="761" t="s">
        <v>2339</v>
      </c>
      <c r="B411" s="761" t="s">
        <v>2340</v>
      </c>
      <c r="C411" s="761" t="s">
        <v>2361</v>
      </c>
      <c r="D411" s="761">
        <v>33420</v>
      </c>
      <c r="E411" s="761" t="s">
        <v>2427</v>
      </c>
      <c r="F411" s="761" t="s">
        <v>2357</v>
      </c>
      <c r="I411" s="761" t="s">
        <v>6867</v>
      </c>
      <c r="J411" s="761">
        <v>0</v>
      </c>
      <c r="K411" s="746">
        <v>34750.78</v>
      </c>
      <c r="L411" s="746">
        <v>25081.279999999999</v>
      </c>
      <c r="M411" s="746">
        <v>9669.5</v>
      </c>
      <c r="N411" s="493" t="str">
        <f t="shared" si="6"/>
        <v>C390</v>
      </c>
      <c r="O411" s="493" t="s">
        <v>99</v>
      </c>
      <c r="P411" s="493"/>
    </row>
    <row r="412" spans="1:16">
      <c r="A412" s="761" t="s">
        <v>2339</v>
      </c>
      <c r="B412" s="761" t="s">
        <v>2340</v>
      </c>
      <c r="C412" s="761" t="s">
        <v>2361</v>
      </c>
      <c r="D412" s="761">
        <v>56324</v>
      </c>
      <c r="E412" s="761" t="s">
        <v>2427</v>
      </c>
      <c r="F412" s="761" t="s">
        <v>2357</v>
      </c>
      <c r="I412" s="761" t="s">
        <v>6867</v>
      </c>
      <c r="J412" s="761">
        <v>1</v>
      </c>
      <c r="K412" s="746">
        <v>73951.91</v>
      </c>
      <c r="L412" s="746">
        <v>51451.360000000001</v>
      </c>
      <c r="M412" s="746">
        <v>22500.55</v>
      </c>
      <c r="N412" s="493" t="str">
        <f t="shared" si="6"/>
        <v>C390</v>
      </c>
      <c r="O412" s="493" t="s">
        <v>99</v>
      </c>
      <c r="P412" s="493"/>
    </row>
    <row r="413" spans="1:16">
      <c r="A413" s="761" t="s">
        <v>2339</v>
      </c>
      <c r="B413" s="761" t="s">
        <v>2340</v>
      </c>
      <c r="C413" s="761" t="s">
        <v>2361</v>
      </c>
      <c r="D413" s="761">
        <v>56326</v>
      </c>
      <c r="E413" s="761" t="s">
        <v>2427</v>
      </c>
      <c r="F413" s="761" t="s">
        <v>2357</v>
      </c>
      <c r="I413" s="761" t="s">
        <v>6867</v>
      </c>
      <c r="J413" s="761">
        <v>3</v>
      </c>
      <c r="K413" s="746">
        <v>5919.03</v>
      </c>
      <c r="L413" s="746">
        <v>4118.1099999999997</v>
      </c>
      <c r="M413" s="746">
        <v>1800.92</v>
      </c>
      <c r="N413" s="493" t="str">
        <f t="shared" si="6"/>
        <v>C390</v>
      </c>
      <c r="O413" s="493" t="s">
        <v>99</v>
      </c>
      <c r="P413" s="493"/>
    </row>
    <row r="414" spans="1:16">
      <c r="A414" s="761" t="s">
        <v>2339</v>
      </c>
      <c r="B414" s="761" t="s">
        <v>2340</v>
      </c>
      <c r="C414" s="761" t="s">
        <v>2361</v>
      </c>
      <c r="D414" s="761">
        <v>56327</v>
      </c>
      <c r="E414" s="761" t="s">
        <v>2427</v>
      </c>
      <c r="F414" s="761" t="s">
        <v>2357</v>
      </c>
      <c r="I414" s="761" t="s">
        <v>6867</v>
      </c>
      <c r="J414" s="761">
        <v>1</v>
      </c>
      <c r="K414" s="746">
        <v>33472.14</v>
      </c>
      <c r="L414" s="746">
        <v>23287.93</v>
      </c>
      <c r="M414" s="746">
        <v>10184.210000000001</v>
      </c>
      <c r="N414" s="493" t="str">
        <f t="shared" si="6"/>
        <v>C390</v>
      </c>
      <c r="O414" s="493" t="s">
        <v>99</v>
      </c>
      <c r="P414" s="493"/>
    </row>
    <row r="415" spans="1:16">
      <c r="A415" s="761" t="s">
        <v>2339</v>
      </c>
      <c r="B415" s="761" t="s">
        <v>2340</v>
      </c>
      <c r="C415" s="761" t="s">
        <v>2361</v>
      </c>
      <c r="D415" s="761">
        <v>56325</v>
      </c>
      <c r="E415" s="761" t="s">
        <v>2427</v>
      </c>
      <c r="F415" s="761" t="s">
        <v>2357</v>
      </c>
      <c r="I415" s="761" t="s">
        <v>6867</v>
      </c>
      <c r="J415" s="761">
        <v>2</v>
      </c>
      <c r="K415" s="746">
        <v>88994.12</v>
      </c>
      <c r="L415" s="746">
        <v>59510.16</v>
      </c>
      <c r="M415" s="746">
        <v>29483.96</v>
      </c>
      <c r="N415" s="493" t="str">
        <f t="shared" si="6"/>
        <v>C390</v>
      </c>
      <c r="O415" s="493" t="s">
        <v>99</v>
      </c>
      <c r="P415" s="493"/>
    </row>
    <row r="416" spans="1:16">
      <c r="A416" s="761" t="s">
        <v>2339</v>
      </c>
      <c r="B416" s="761" t="s">
        <v>2340</v>
      </c>
      <c r="C416" s="761" t="s">
        <v>2361</v>
      </c>
      <c r="D416" s="761">
        <v>56474</v>
      </c>
      <c r="E416" s="761" t="s">
        <v>2427</v>
      </c>
      <c r="F416" s="761" t="s">
        <v>2357</v>
      </c>
      <c r="I416" s="761" t="s">
        <v>6867</v>
      </c>
      <c r="J416" s="761">
        <v>1</v>
      </c>
      <c r="K416" s="746">
        <v>6188.87</v>
      </c>
      <c r="L416" s="746">
        <v>4138.4800000000005</v>
      </c>
      <c r="M416" s="746">
        <v>2050.39</v>
      </c>
      <c r="N416" s="493" t="str">
        <f t="shared" si="6"/>
        <v>C390</v>
      </c>
      <c r="O416" s="493" t="s">
        <v>99</v>
      </c>
      <c r="P416" s="493"/>
    </row>
    <row r="417" spans="1:16">
      <c r="A417" s="761" t="s">
        <v>2339</v>
      </c>
      <c r="B417" s="761" t="s">
        <v>2340</v>
      </c>
      <c r="C417" s="761" t="s">
        <v>2361</v>
      </c>
      <c r="D417" s="761">
        <v>57116</v>
      </c>
      <c r="E417" s="761" t="s">
        <v>2427</v>
      </c>
      <c r="F417" s="761" t="s">
        <v>2357</v>
      </c>
      <c r="I417" s="761" t="s">
        <v>6867</v>
      </c>
      <c r="J417" s="761">
        <v>1</v>
      </c>
      <c r="K417" s="746">
        <v>263425.88</v>
      </c>
      <c r="L417" s="746">
        <v>168770.52</v>
      </c>
      <c r="M417" s="746">
        <v>94655.360000000001</v>
      </c>
      <c r="N417" s="493" t="str">
        <f t="shared" si="6"/>
        <v>C390</v>
      </c>
      <c r="O417" s="493" t="s">
        <v>99</v>
      </c>
      <c r="P417" s="493"/>
    </row>
    <row r="418" spans="1:16">
      <c r="A418" s="761" t="s">
        <v>2339</v>
      </c>
      <c r="B418" s="761" t="s">
        <v>2340</v>
      </c>
      <c r="C418" s="761" t="s">
        <v>2361</v>
      </c>
      <c r="D418" s="761">
        <v>57586</v>
      </c>
      <c r="E418" s="761" t="s">
        <v>2427</v>
      </c>
      <c r="F418" s="761" t="s">
        <v>2357</v>
      </c>
      <c r="I418" s="761" t="s">
        <v>6867</v>
      </c>
      <c r="J418" s="761">
        <v>1</v>
      </c>
      <c r="K418" s="746">
        <v>9723.31</v>
      </c>
      <c r="L418" s="746">
        <v>6229.49</v>
      </c>
      <c r="M418" s="746">
        <v>3493.82</v>
      </c>
      <c r="N418" s="493" t="str">
        <f t="shared" si="6"/>
        <v>C390</v>
      </c>
      <c r="O418" s="493" t="s">
        <v>99</v>
      </c>
      <c r="P418" s="493"/>
    </row>
    <row r="419" spans="1:16">
      <c r="A419" s="761" t="s">
        <v>2339</v>
      </c>
      <c r="B419" s="761" t="s">
        <v>2340</v>
      </c>
      <c r="C419" s="761" t="s">
        <v>2361</v>
      </c>
      <c r="D419" s="761">
        <v>58232</v>
      </c>
      <c r="E419" s="761" t="s">
        <v>2427</v>
      </c>
      <c r="F419" s="761" t="s">
        <v>2357</v>
      </c>
      <c r="I419" s="761" t="s">
        <v>6867</v>
      </c>
      <c r="J419" s="761">
        <v>1</v>
      </c>
      <c r="K419" s="746">
        <v>6710.59</v>
      </c>
      <c r="L419" s="746">
        <v>4299.3100000000004</v>
      </c>
      <c r="M419" s="746">
        <v>2411.2800000000002</v>
      </c>
      <c r="N419" s="493" t="str">
        <f t="shared" si="6"/>
        <v>C390</v>
      </c>
      <c r="O419" s="493" t="s">
        <v>99</v>
      </c>
      <c r="P419" s="493"/>
    </row>
    <row r="420" spans="1:16">
      <c r="A420" s="761" t="s">
        <v>2339</v>
      </c>
      <c r="B420" s="761" t="s">
        <v>2340</v>
      </c>
      <c r="C420" s="761" t="s">
        <v>2361</v>
      </c>
      <c r="D420" s="761">
        <v>73093</v>
      </c>
      <c r="E420" s="761" t="s">
        <v>2427</v>
      </c>
      <c r="F420" s="761" t="s">
        <v>2357</v>
      </c>
      <c r="I420" s="761" t="s">
        <v>6867</v>
      </c>
      <c r="J420" s="761">
        <v>1</v>
      </c>
      <c r="K420" s="746">
        <v>13266.12</v>
      </c>
      <c r="L420" s="746">
        <v>8115.64</v>
      </c>
      <c r="M420" s="746">
        <v>5150.4800000000005</v>
      </c>
      <c r="N420" s="493" t="str">
        <f t="shared" si="6"/>
        <v>C390</v>
      </c>
      <c r="O420" s="493" t="s">
        <v>99</v>
      </c>
      <c r="P420" s="493"/>
    </row>
    <row r="421" spans="1:16">
      <c r="A421" s="761" t="s">
        <v>2339</v>
      </c>
      <c r="B421" s="761" t="s">
        <v>2340</v>
      </c>
      <c r="C421" s="761" t="s">
        <v>2361</v>
      </c>
      <c r="D421" s="761">
        <v>78218</v>
      </c>
      <c r="E421" s="761" t="s">
        <v>2427</v>
      </c>
      <c r="F421" s="761" t="s">
        <v>2357</v>
      </c>
      <c r="I421" s="761" t="s">
        <v>6867</v>
      </c>
      <c r="J421" s="761">
        <v>1</v>
      </c>
      <c r="K421" s="746">
        <v>38062.620000000003</v>
      </c>
      <c r="L421" s="746">
        <v>20995.13</v>
      </c>
      <c r="M421" s="746">
        <v>17067.490000000002</v>
      </c>
      <c r="N421" s="493" t="str">
        <f t="shared" si="6"/>
        <v>C390</v>
      </c>
      <c r="O421" s="493" t="s">
        <v>95</v>
      </c>
      <c r="P421" s="493"/>
    </row>
    <row r="422" spans="1:16">
      <c r="A422" s="761" t="s">
        <v>2339</v>
      </c>
      <c r="B422" s="761" t="s">
        <v>2340</v>
      </c>
      <c r="C422" s="761" t="s">
        <v>2361</v>
      </c>
      <c r="D422" s="761">
        <v>79172</v>
      </c>
      <c r="E422" s="761" t="s">
        <v>2427</v>
      </c>
      <c r="F422" s="761" t="s">
        <v>2357</v>
      </c>
      <c r="I422" s="761" t="s">
        <v>6867</v>
      </c>
      <c r="J422" s="761">
        <v>0</v>
      </c>
      <c r="K422" s="746">
        <v>146507.01</v>
      </c>
      <c r="L422" s="746">
        <v>80812.44</v>
      </c>
      <c r="M422" s="746">
        <v>65694.570000000007</v>
      </c>
      <c r="N422" s="493" t="str">
        <f t="shared" si="6"/>
        <v>C390</v>
      </c>
      <c r="O422" s="493" t="s">
        <v>99</v>
      </c>
      <c r="P422" s="493"/>
    </row>
    <row r="423" spans="1:16">
      <c r="A423" s="761" t="s">
        <v>2339</v>
      </c>
      <c r="B423" s="761" t="s">
        <v>2340</v>
      </c>
      <c r="C423" s="761" t="s">
        <v>2361</v>
      </c>
      <c r="D423" s="761">
        <v>79174</v>
      </c>
      <c r="E423" s="761" t="s">
        <v>2427</v>
      </c>
      <c r="F423" s="761" t="s">
        <v>2357</v>
      </c>
      <c r="I423" s="761" t="s">
        <v>6867</v>
      </c>
      <c r="J423" s="761">
        <v>0</v>
      </c>
      <c r="K423" s="746">
        <v>67598.710000000006</v>
      </c>
      <c r="L423" s="746">
        <v>37287.07</v>
      </c>
      <c r="M423" s="746">
        <v>30311.64</v>
      </c>
      <c r="N423" s="493" t="str">
        <f t="shared" si="6"/>
        <v>C390</v>
      </c>
      <c r="O423" s="493" t="s">
        <v>99</v>
      </c>
      <c r="P423" s="493"/>
    </row>
    <row r="424" spans="1:16">
      <c r="A424" s="761" t="s">
        <v>2339</v>
      </c>
      <c r="B424" s="761" t="s">
        <v>2340</v>
      </c>
      <c r="C424" s="761" t="s">
        <v>2361</v>
      </c>
      <c r="D424" s="761">
        <v>82869</v>
      </c>
      <c r="E424" s="761" t="s">
        <v>2427</v>
      </c>
      <c r="F424" s="761" t="s">
        <v>2357</v>
      </c>
      <c r="I424" s="761" t="s">
        <v>6867</v>
      </c>
      <c r="J424" s="761">
        <v>0</v>
      </c>
      <c r="K424" s="746">
        <v>129885.07</v>
      </c>
      <c r="L424" s="746">
        <v>67613.48</v>
      </c>
      <c r="M424" s="746">
        <v>62271.590000000004</v>
      </c>
      <c r="N424" s="493" t="str">
        <f t="shared" si="6"/>
        <v>C390</v>
      </c>
      <c r="O424" s="493" t="s">
        <v>99</v>
      </c>
      <c r="P424" s="493"/>
    </row>
    <row r="425" spans="1:16">
      <c r="A425" s="761" t="s">
        <v>2339</v>
      </c>
      <c r="B425" s="761" t="s">
        <v>2340</v>
      </c>
      <c r="C425" s="761" t="s">
        <v>2361</v>
      </c>
      <c r="D425" s="761">
        <v>83200</v>
      </c>
      <c r="E425" s="761" t="s">
        <v>2427</v>
      </c>
      <c r="F425" s="761" t="s">
        <v>2357</v>
      </c>
      <c r="I425" s="761" t="s">
        <v>6867</v>
      </c>
      <c r="J425" s="761">
        <v>0</v>
      </c>
      <c r="K425" s="746">
        <v>450.69</v>
      </c>
      <c r="L425" s="746">
        <v>220.42000000000002</v>
      </c>
      <c r="M425" s="746">
        <v>230.27</v>
      </c>
      <c r="N425" s="493" t="str">
        <f t="shared" si="6"/>
        <v>C390</v>
      </c>
      <c r="O425" s="493" t="s">
        <v>99</v>
      </c>
      <c r="P425" s="493"/>
    </row>
    <row r="426" spans="1:16">
      <c r="A426" s="761" t="s">
        <v>2339</v>
      </c>
      <c r="B426" s="761" t="s">
        <v>2340</v>
      </c>
      <c r="C426" s="761" t="s">
        <v>2361</v>
      </c>
      <c r="D426" s="761">
        <v>84681</v>
      </c>
      <c r="E426" s="761" t="s">
        <v>2427</v>
      </c>
      <c r="F426" s="761" t="s">
        <v>2357</v>
      </c>
      <c r="I426" s="761" t="s">
        <v>6867</v>
      </c>
      <c r="J426" s="761">
        <v>0</v>
      </c>
      <c r="K426" s="746">
        <v>61162.91</v>
      </c>
      <c r="L426" s="746">
        <v>29912.920000000002</v>
      </c>
      <c r="M426" s="746">
        <v>31249.99</v>
      </c>
      <c r="N426" s="493" t="str">
        <f t="shared" si="6"/>
        <v>C390</v>
      </c>
      <c r="O426" s="493" t="s">
        <v>99</v>
      </c>
      <c r="P426" s="493"/>
    </row>
    <row r="427" spans="1:16">
      <c r="A427" s="761" t="s">
        <v>2339</v>
      </c>
      <c r="B427" s="761" t="s">
        <v>2340</v>
      </c>
      <c r="C427" s="761" t="s">
        <v>2361</v>
      </c>
      <c r="D427" s="761">
        <v>86030</v>
      </c>
      <c r="E427" s="761" t="s">
        <v>2427</v>
      </c>
      <c r="F427" s="761" t="s">
        <v>2357</v>
      </c>
      <c r="I427" s="761" t="s">
        <v>6867</v>
      </c>
      <c r="J427" s="761">
        <v>2</v>
      </c>
      <c r="K427" s="746">
        <v>6181.56</v>
      </c>
      <c r="L427" s="746">
        <v>3023.21</v>
      </c>
      <c r="M427" s="746">
        <v>3158.35</v>
      </c>
      <c r="N427" s="493" t="str">
        <f t="shared" si="6"/>
        <v>C390</v>
      </c>
      <c r="O427" s="493" t="s">
        <v>99</v>
      </c>
      <c r="P427" s="493"/>
    </row>
    <row r="428" spans="1:16">
      <c r="A428" s="761" t="s">
        <v>2339</v>
      </c>
      <c r="B428" s="761" t="s">
        <v>2340</v>
      </c>
      <c r="C428" s="761" t="s">
        <v>2361</v>
      </c>
      <c r="D428" s="761">
        <v>93989</v>
      </c>
      <c r="E428" s="761" t="s">
        <v>2427</v>
      </c>
      <c r="F428" s="761" t="s">
        <v>2357</v>
      </c>
      <c r="I428" s="761" t="s">
        <v>6867</v>
      </c>
      <c r="J428" s="761">
        <v>1</v>
      </c>
      <c r="K428" s="746">
        <v>10749.02</v>
      </c>
      <c r="L428" s="746">
        <v>4914.75</v>
      </c>
      <c r="M428" s="746">
        <v>5834.27</v>
      </c>
      <c r="N428" s="493" t="str">
        <f t="shared" si="6"/>
        <v>C390</v>
      </c>
      <c r="O428" s="493" t="s">
        <v>99</v>
      </c>
      <c r="P428" s="493"/>
    </row>
    <row r="429" spans="1:16">
      <c r="A429" s="761" t="s">
        <v>2339</v>
      </c>
      <c r="B429" s="761" t="s">
        <v>2340</v>
      </c>
      <c r="C429" s="761" t="s">
        <v>2361</v>
      </c>
      <c r="D429" s="761">
        <v>88673</v>
      </c>
      <c r="E429" s="761" t="s">
        <v>2427</v>
      </c>
      <c r="F429" s="761" t="s">
        <v>2357</v>
      </c>
      <c r="I429" s="761" t="s">
        <v>6867</v>
      </c>
      <c r="J429" s="761">
        <v>0</v>
      </c>
      <c r="K429" s="746">
        <v>3205.78</v>
      </c>
      <c r="L429" s="746">
        <v>1465.77</v>
      </c>
      <c r="M429" s="746">
        <v>1740.01</v>
      </c>
      <c r="N429" s="493" t="str">
        <f t="shared" si="6"/>
        <v>C390</v>
      </c>
      <c r="O429" s="493" t="s">
        <v>99</v>
      </c>
      <c r="P429" s="493"/>
    </row>
    <row r="430" spans="1:16">
      <c r="A430" s="761" t="s">
        <v>2339</v>
      </c>
      <c r="B430" s="761" t="s">
        <v>2340</v>
      </c>
      <c r="C430" s="761" t="s">
        <v>2361</v>
      </c>
      <c r="D430" s="761">
        <v>7093614</v>
      </c>
      <c r="E430" s="761" t="s">
        <v>2427</v>
      </c>
      <c r="F430" s="761">
        <v>131203520</v>
      </c>
      <c r="G430" s="761" t="s">
        <v>2428</v>
      </c>
      <c r="H430" s="761" t="s">
        <v>2428</v>
      </c>
      <c r="I430" s="761" t="s">
        <v>6867</v>
      </c>
      <c r="J430" s="761">
        <v>0</v>
      </c>
      <c r="K430" s="746">
        <v>2993.39</v>
      </c>
      <c r="L430" s="746">
        <v>1176.48</v>
      </c>
      <c r="M430" s="746">
        <v>1816.91</v>
      </c>
      <c r="N430" s="493" t="str">
        <f t="shared" si="6"/>
        <v>C390</v>
      </c>
      <c r="O430" s="493" t="s">
        <v>99</v>
      </c>
      <c r="P430" s="493"/>
    </row>
    <row r="431" spans="1:16">
      <c r="A431" s="761" t="s">
        <v>2339</v>
      </c>
      <c r="B431" s="761" t="s">
        <v>2340</v>
      </c>
      <c r="C431" s="761" t="s">
        <v>2361</v>
      </c>
      <c r="D431" s="761">
        <v>7303342</v>
      </c>
      <c r="E431" s="761" t="s">
        <v>2427</v>
      </c>
      <c r="F431" s="761">
        <v>131203640</v>
      </c>
      <c r="G431" s="761" t="s">
        <v>2429</v>
      </c>
      <c r="H431" s="761" t="s">
        <v>2429</v>
      </c>
      <c r="I431" s="761" t="s">
        <v>6867</v>
      </c>
      <c r="J431" s="761">
        <v>0</v>
      </c>
      <c r="K431" s="746">
        <v>26332.37</v>
      </c>
      <c r="L431" s="746">
        <v>10349.27</v>
      </c>
      <c r="M431" s="746">
        <v>15983.1</v>
      </c>
      <c r="N431" s="493" t="str">
        <f t="shared" si="6"/>
        <v>C390</v>
      </c>
      <c r="O431" s="493" t="s">
        <v>95</v>
      </c>
      <c r="P431" s="493"/>
    </row>
    <row r="432" spans="1:16">
      <c r="A432" s="761" t="s">
        <v>2339</v>
      </c>
      <c r="B432" s="761" t="s">
        <v>2340</v>
      </c>
      <c r="C432" s="761" t="s">
        <v>2361</v>
      </c>
      <c r="D432" s="761">
        <v>9459529</v>
      </c>
      <c r="E432" s="761" t="s">
        <v>2427</v>
      </c>
      <c r="F432" s="761">
        <v>131204602</v>
      </c>
      <c r="G432" s="761" t="s">
        <v>2432</v>
      </c>
      <c r="H432" s="761" t="s">
        <v>2432</v>
      </c>
      <c r="I432" s="761" t="s">
        <v>6867</v>
      </c>
      <c r="J432" s="761">
        <v>0</v>
      </c>
      <c r="K432" s="746">
        <v>116601.83</v>
      </c>
      <c r="L432" s="746">
        <v>38377.620000000003</v>
      </c>
      <c r="M432" s="746">
        <v>78224.210000000006</v>
      </c>
      <c r="N432" s="493" t="str">
        <f t="shared" si="6"/>
        <v>C390</v>
      </c>
      <c r="O432" s="493" t="s">
        <v>99</v>
      </c>
      <c r="P432" s="493"/>
    </row>
    <row r="433" spans="1:16">
      <c r="A433" s="761" t="s">
        <v>2339</v>
      </c>
      <c r="B433" s="761" t="s">
        <v>2340</v>
      </c>
      <c r="C433" s="761" t="s">
        <v>2361</v>
      </c>
      <c r="D433" s="761">
        <v>9585032</v>
      </c>
      <c r="E433" s="761" t="s">
        <v>2427</v>
      </c>
      <c r="F433" s="761">
        <v>131204585</v>
      </c>
      <c r="G433" s="761" t="s">
        <v>2431</v>
      </c>
      <c r="H433" s="761" t="s">
        <v>2431</v>
      </c>
      <c r="I433" s="761" t="s">
        <v>6867</v>
      </c>
      <c r="J433" s="761">
        <v>1</v>
      </c>
      <c r="K433" s="746">
        <v>7102.77</v>
      </c>
      <c r="L433" s="746">
        <v>2337.7600000000002</v>
      </c>
      <c r="M433" s="746">
        <v>4765.01</v>
      </c>
      <c r="N433" s="493" t="str">
        <f t="shared" si="6"/>
        <v>C390</v>
      </c>
      <c r="O433" s="493" t="s">
        <v>99</v>
      </c>
      <c r="P433" s="493"/>
    </row>
    <row r="434" spans="1:16">
      <c r="A434" s="761" t="s">
        <v>2339</v>
      </c>
      <c r="B434" s="761" t="s">
        <v>2340</v>
      </c>
      <c r="C434" s="761" t="s">
        <v>2361</v>
      </c>
      <c r="D434" s="761">
        <v>10911907</v>
      </c>
      <c r="E434" s="761" t="s">
        <v>2427</v>
      </c>
      <c r="F434" s="761">
        <v>143000481</v>
      </c>
      <c r="G434" s="761" t="s">
        <v>2434</v>
      </c>
      <c r="H434" s="761" t="s">
        <v>7292</v>
      </c>
      <c r="I434" s="761" t="s">
        <v>6867</v>
      </c>
      <c r="J434" s="761">
        <v>8</v>
      </c>
      <c r="K434" s="746">
        <v>23221.5</v>
      </c>
      <c r="L434" s="746">
        <v>7642.9800000000005</v>
      </c>
      <c r="M434" s="746">
        <v>15578.52</v>
      </c>
      <c r="N434" s="493" t="str">
        <f t="shared" si="6"/>
        <v>C390</v>
      </c>
      <c r="O434" s="493" t="s">
        <v>99</v>
      </c>
      <c r="P434" s="493"/>
    </row>
    <row r="435" spans="1:16">
      <c r="A435" s="761" t="s">
        <v>2339</v>
      </c>
      <c r="B435" s="761" t="s">
        <v>2340</v>
      </c>
      <c r="C435" s="761" t="s">
        <v>2361</v>
      </c>
      <c r="D435" s="761">
        <v>10961045</v>
      </c>
      <c r="E435" s="761" t="s">
        <v>2427</v>
      </c>
      <c r="F435" s="761">
        <v>131204480</v>
      </c>
      <c r="G435" s="761" t="s">
        <v>2430</v>
      </c>
      <c r="H435" s="761" t="s">
        <v>7293</v>
      </c>
      <c r="I435" s="761" t="s">
        <v>6867</v>
      </c>
      <c r="J435" s="761">
        <v>1</v>
      </c>
      <c r="K435" s="746">
        <v>124355.89</v>
      </c>
      <c r="L435" s="746">
        <v>37015.93</v>
      </c>
      <c r="M435" s="746">
        <v>87339.96</v>
      </c>
      <c r="N435" s="493" t="str">
        <f t="shared" si="6"/>
        <v>C390</v>
      </c>
      <c r="O435" s="493" t="s">
        <v>95</v>
      </c>
      <c r="P435" s="493"/>
    </row>
    <row r="436" spans="1:16">
      <c r="A436" s="761" t="s">
        <v>2339</v>
      </c>
      <c r="B436" s="761" t="s">
        <v>2340</v>
      </c>
      <c r="C436" s="761" t="s">
        <v>2361</v>
      </c>
      <c r="D436" s="761">
        <v>11033386</v>
      </c>
      <c r="E436" s="761" t="s">
        <v>2427</v>
      </c>
      <c r="F436" s="761">
        <v>143000280</v>
      </c>
      <c r="G436" s="761" t="s">
        <v>2433</v>
      </c>
      <c r="H436" s="761" t="s">
        <v>2433</v>
      </c>
      <c r="I436" s="761" t="s">
        <v>6867</v>
      </c>
      <c r="J436" s="761">
        <v>1</v>
      </c>
      <c r="K436" s="746">
        <v>46237.03</v>
      </c>
      <c r="L436" s="746">
        <v>15218.18</v>
      </c>
      <c r="M436" s="746">
        <v>31018.850000000002</v>
      </c>
      <c r="N436" s="493" t="str">
        <f t="shared" si="6"/>
        <v>C390</v>
      </c>
      <c r="O436" s="493" t="s">
        <v>99</v>
      </c>
      <c r="P436" s="493"/>
    </row>
    <row r="437" spans="1:16">
      <c r="A437" s="761" t="s">
        <v>2339</v>
      </c>
      <c r="B437" s="761" t="s">
        <v>2340</v>
      </c>
      <c r="C437" s="761" t="s">
        <v>2361</v>
      </c>
      <c r="D437" s="761">
        <v>11404076</v>
      </c>
      <c r="E437" s="761" t="s">
        <v>2427</v>
      </c>
      <c r="F437" s="761">
        <v>143000720</v>
      </c>
      <c r="G437" s="761" t="s">
        <v>2435</v>
      </c>
      <c r="H437" s="761" t="s">
        <v>7294</v>
      </c>
      <c r="I437" s="761" t="s">
        <v>6867</v>
      </c>
      <c r="J437" s="761">
        <v>1</v>
      </c>
      <c r="K437" s="746">
        <v>4022.03</v>
      </c>
      <c r="L437" s="746">
        <v>1197.2</v>
      </c>
      <c r="M437" s="746">
        <v>2824.83</v>
      </c>
      <c r="N437" s="493" t="str">
        <f t="shared" si="6"/>
        <v>C390</v>
      </c>
      <c r="O437" s="493" t="s">
        <v>99</v>
      </c>
      <c r="P437" s="493"/>
    </row>
    <row r="438" spans="1:16">
      <c r="A438" s="761" t="s">
        <v>2339</v>
      </c>
      <c r="B438" s="761" t="s">
        <v>2340</v>
      </c>
      <c r="C438" s="761" t="s">
        <v>2361</v>
      </c>
      <c r="D438" s="761">
        <v>11952901</v>
      </c>
      <c r="E438" s="761" t="s">
        <v>2427</v>
      </c>
      <c r="F438" s="761">
        <v>143000960</v>
      </c>
      <c r="G438" s="761" t="s">
        <v>2436</v>
      </c>
      <c r="H438" s="761" t="s">
        <v>7295</v>
      </c>
      <c r="I438" s="761" t="s">
        <v>6867</v>
      </c>
      <c r="J438" s="761">
        <v>1</v>
      </c>
      <c r="K438" s="746">
        <v>10068.460000000001</v>
      </c>
      <c r="L438" s="746">
        <v>2996.9900000000002</v>
      </c>
      <c r="M438" s="746">
        <v>7071.47</v>
      </c>
      <c r="N438" s="493" t="str">
        <f t="shared" si="6"/>
        <v>C390</v>
      </c>
      <c r="O438" s="493" t="s">
        <v>99</v>
      </c>
      <c r="P438" s="493"/>
    </row>
    <row r="439" spans="1:16">
      <c r="A439" s="761" t="s">
        <v>2339</v>
      </c>
      <c r="B439" s="761" t="s">
        <v>2340</v>
      </c>
      <c r="C439" s="761" t="s">
        <v>2361</v>
      </c>
      <c r="D439" s="761">
        <v>20785210</v>
      </c>
      <c r="E439" s="761" t="s">
        <v>2427</v>
      </c>
      <c r="F439" s="761">
        <v>143002023</v>
      </c>
      <c r="G439" s="761" t="s">
        <v>2437</v>
      </c>
      <c r="H439" s="761" t="s">
        <v>7296</v>
      </c>
      <c r="I439" s="761" t="s">
        <v>6867</v>
      </c>
      <c r="J439" s="761">
        <v>0</v>
      </c>
      <c r="K439" s="746">
        <v>29464.639999999999</v>
      </c>
      <c r="L439" s="746">
        <v>6093.17</v>
      </c>
      <c r="M439" s="746">
        <v>23371.47</v>
      </c>
      <c r="N439" s="493" t="str">
        <f t="shared" si="6"/>
        <v>C390</v>
      </c>
      <c r="O439" s="493" t="s">
        <v>99</v>
      </c>
      <c r="P439" s="493"/>
    </row>
    <row r="440" spans="1:16">
      <c r="A440" s="761" t="s">
        <v>2339</v>
      </c>
      <c r="B440" s="761" t="s">
        <v>2340</v>
      </c>
      <c r="C440" s="761" t="s">
        <v>2361</v>
      </c>
      <c r="D440" s="761">
        <v>25098585</v>
      </c>
      <c r="E440" s="761" t="s">
        <v>2427</v>
      </c>
      <c r="F440" s="761">
        <v>143002231</v>
      </c>
      <c r="G440" s="761" t="s">
        <v>2438</v>
      </c>
      <c r="H440" s="761" t="s">
        <v>2438</v>
      </c>
      <c r="I440" s="761" t="s">
        <v>6867</v>
      </c>
      <c r="J440" s="761">
        <v>1</v>
      </c>
      <c r="K440" s="746">
        <v>223424.46</v>
      </c>
      <c r="L440" s="746">
        <v>39794.910000000003</v>
      </c>
      <c r="M440" s="746">
        <v>183629.55000000002</v>
      </c>
      <c r="N440" s="493" t="str">
        <f t="shared" si="6"/>
        <v>C390</v>
      </c>
      <c r="O440" s="493" t="s">
        <v>99</v>
      </c>
      <c r="P440" s="493"/>
    </row>
    <row r="441" spans="1:16">
      <c r="A441" s="761" t="s">
        <v>2339</v>
      </c>
      <c r="B441" s="761" t="s">
        <v>2340</v>
      </c>
      <c r="C441" s="761" t="s">
        <v>2361</v>
      </c>
      <c r="D441" s="761">
        <v>30850587</v>
      </c>
      <c r="E441" s="761" t="s">
        <v>2427</v>
      </c>
      <c r="F441" s="761">
        <v>143002551</v>
      </c>
      <c r="G441" s="761" t="s">
        <v>2439</v>
      </c>
      <c r="H441" s="761" t="s">
        <v>7297</v>
      </c>
      <c r="I441" s="761" t="s">
        <v>6867</v>
      </c>
      <c r="J441" s="761">
        <v>1</v>
      </c>
      <c r="K441" s="746">
        <v>43174.23</v>
      </c>
      <c r="L441" s="746">
        <v>6494.45</v>
      </c>
      <c r="M441" s="746">
        <v>36679.78</v>
      </c>
      <c r="N441" s="493" t="str">
        <f t="shared" si="6"/>
        <v>C390</v>
      </c>
      <c r="O441" s="493" t="s">
        <v>99</v>
      </c>
      <c r="P441" s="493"/>
    </row>
    <row r="442" spans="1:16">
      <c r="A442" s="761" t="s">
        <v>2339</v>
      </c>
      <c r="B442" s="761" t="s">
        <v>2340</v>
      </c>
      <c r="C442" s="761" t="s">
        <v>2361</v>
      </c>
      <c r="D442" s="761">
        <v>31188926</v>
      </c>
      <c r="E442" s="761" t="s">
        <v>2427</v>
      </c>
      <c r="F442" s="761">
        <v>143002704</v>
      </c>
      <c r="G442" s="761" t="s">
        <v>2440</v>
      </c>
      <c r="H442" s="761" t="s">
        <v>7298</v>
      </c>
      <c r="I442" s="761" t="s">
        <v>6867</v>
      </c>
      <c r="J442" s="761">
        <v>1</v>
      </c>
      <c r="K442" s="746">
        <v>25871.260000000002</v>
      </c>
      <c r="L442" s="746">
        <v>3891.67</v>
      </c>
      <c r="M442" s="746">
        <v>21979.59</v>
      </c>
      <c r="N442" s="493" t="str">
        <f t="shared" si="6"/>
        <v>C390</v>
      </c>
      <c r="O442" s="493" t="s">
        <v>99</v>
      </c>
      <c r="P442" s="493"/>
    </row>
    <row r="443" spans="1:16">
      <c r="A443" s="761" t="s">
        <v>2339</v>
      </c>
      <c r="B443" s="761" t="s">
        <v>2340</v>
      </c>
      <c r="C443" s="761" t="s">
        <v>2361</v>
      </c>
      <c r="D443" s="761">
        <v>33566424</v>
      </c>
      <c r="E443" s="761" t="s">
        <v>2427</v>
      </c>
      <c r="F443" s="761">
        <v>143003704</v>
      </c>
      <c r="G443" s="761" t="s">
        <v>2441</v>
      </c>
      <c r="H443" s="761" t="s">
        <v>7299</v>
      </c>
      <c r="I443" s="761" t="s">
        <v>6867</v>
      </c>
      <c r="J443" s="761">
        <v>1</v>
      </c>
      <c r="K443" s="746">
        <v>125926.40000000001</v>
      </c>
      <c r="L443" s="746">
        <v>18942.39</v>
      </c>
      <c r="M443" s="746">
        <v>106984.01000000001</v>
      </c>
      <c r="N443" s="493" t="str">
        <f t="shared" si="6"/>
        <v>C390</v>
      </c>
      <c r="O443" s="493" t="s">
        <v>99</v>
      </c>
      <c r="P443" s="493"/>
    </row>
    <row r="444" spans="1:16">
      <c r="A444" s="761" t="s">
        <v>2339</v>
      </c>
      <c r="B444" s="761" t="s">
        <v>2340</v>
      </c>
      <c r="C444" s="761" t="s">
        <v>2361</v>
      </c>
      <c r="D444" s="761">
        <v>33702558</v>
      </c>
      <c r="E444" s="761" t="s">
        <v>2427</v>
      </c>
      <c r="F444" s="761">
        <v>143003822</v>
      </c>
      <c r="G444" s="761" t="s">
        <v>2442</v>
      </c>
      <c r="H444" s="761" t="s">
        <v>2442</v>
      </c>
      <c r="I444" s="761" t="s">
        <v>6867</v>
      </c>
      <c r="J444" s="761">
        <v>17</v>
      </c>
      <c r="K444" s="746">
        <v>897753.51</v>
      </c>
      <c r="L444" s="746">
        <v>135043.96</v>
      </c>
      <c r="M444" s="746">
        <v>762709.55</v>
      </c>
      <c r="N444" s="493" t="str">
        <f t="shared" si="6"/>
        <v>C390</v>
      </c>
      <c r="O444" s="493" t="s">
        <v>99</v>
      </c>
      <c r="P444" s="493"/>
    </row>
    <row r="445" spans="1:16">
      <c r="A445" s="761" t="s">
        <v>2339</v>
      </c>
      <c r="B445" s="761" t="s">
        <v>2340</v>
      </c>
      <c r="C445" s="761" t="s">
        <v>2366</v>
      </c>
      <c r="D445" s="761">
        <v>11406945</v>
      </c>
      <c r="E445" s="761" t="s">
        <v>2443</v>
      </c>
      <c r="F445" s="761" t="s">
        <v>2357</v>
      </c>
      <c r="I445" s="761" t="s">
        <v>6867</v>
      </c>
      <c r="J445" s="761">
        <v>1</v>
      </c>
      <c r="K445" s="746">
        <v>1452.69</v>
      </c>
      <c r="L445" s="746">
        <v>1398.53</v>
      </c>
      <c r="M445" s="746">
        <v>54.160000000000004</v>
      </c>
      <c r="N445" s="493" t="str">
        <f t="shared" si="6"/>
        <v>C390</v>
      </c>
      <c r="O445" s="493" t="s">
        <v>99</v>
      </c>
      <c r="P445" s="493"/>
    </row>
    <row r="446" spans="1:16">
      <c r="A446" s="761" t="s">
        <v>2339</v>
      </c>
      <c r="B446" s="761" t="s">
        <v>2340</v>
      </c>
      <c r="C446" s="761" t="s">
        <v>2366</v>
      </c>
      <c r="D446" s="761">
        <v>11406942</v>
      </c>
      <c r="E446" s="761" t="s">
        <v>2443</v>
      </c>
      <c r="F446" s="761" t="s">
        <v>2357</v>
      </c>
      <c r="I446" s="761" t="s">
        <v>6867</v>
      </c>
      <c r="J446" s="761">
        <v>1</v>
      </c>
      <c r="K446" s="746">
        <v>987.23</v>
      </c>
      <c r="L446" s="746">
        <v>910.33</v>
      </c>
      <c r="M446" s="746">
        <v>76.900000000000006</v>
      </c>
      <c r="N446" s="493" t="str">
        <f t="shared" si="6"/>
        <v>C390</v>
      </c>
      <c r="O446" s="493" t="s">
        <v>99</v>
      </c>
      <c r="P446" s="493"/>
    </row>
    <row r="447" spans="1:16">
      <c r="A447" s="761" t="s">
        <v>2339</v>
      </c>
      <c r="B447" s="761" t="s">
        <v>2340</v>
      </c>
      <c r="C447" s="761" t="s">
        <v>2447</v>
      </c>
      <c r="D447" s="761">
        <v>33353</v>
      </c>
      <c r="E447" s="761" t="s">
        <v>2443</v>
      </c>
      <c r="F447" s="761" t="s">
        <v>2357</v>
      </c>
      <c r="I447" s="761" t="s">
        <v>6867</v>
      </c>
      <c r="J447" s="761">
        <v>1</v>
      </c>
      <c r="K447" s="746">
        <v>385.79</v>
      </c>
      <c r="L447" s="746">
        <v>353.36</v>
      </c>
      <c r="M447" s="746">
        <v>32.43</v>
      </c>
      <c r="N447" s="493" t="str">
        <f t="shared" si="6"/>
        <v>C390</v>
      </c>
      <c r="O447" s="493" t="s">
        <v>99</v>
      </c>
      <c r="P447" s="493"/>
    </row>
    <row r="448" spans="1:16">
      <c r="A448" s="761" t="s">
        <v>2339</v>
      </c>
      <c r="B448" s="761" t="s">
        <v>2340</v>
      </c>
      <c r="C448" s="761" t="s">
        <v>2366</v>
      </c>
      <c r="D448" s="761">
        <v>11406939</v>
      </c>
      <c r="E448" s="761" t="s">
        <v>2443</v>
      </c>
      <c r="F448" s="761" t="s">
        <v>2357</v>
      </c>
      <c r="I448" s="761" t="s">
        <v>6867</v>
      </c>
      <c r="J448" s="761">
        <v>1</v>
      </c>
      <c r="K448" s="746">
        <v>10512.85</v>
      </c>
      <c r="L448" s="746">
        <v>9629.17</v>
      </c>
      <c r="M448" s="746">
        <v>883.68000000000006</v>
      </c>
      <c r="N448" s="493" t="str">
        <f t="shared" si="6"/>
        <v>C390</v>
      </c>
      <c r="O448" s="493" t="s">
        <v>99</v>
      </c>
      <c r="P448" s="493"/>
    </row>
    <row r="449" spans="1:16">
      <c r="A449" s="761" t="s">
        <v>2339</v>
      </c>
      <c r="B449" s="761" t="s">
        <v>2340</v>
      </c>
      <c r="C449" s="761" t="s">
        <v>2447</v>
      </c>
      <c r="D449" s="761">
        <v>33354</v>
      </c>
      <c r="E449" s="761" t="s">
        <v>2443</v>
      </c>
      <c r="F449" s="761" t="s">
        <v>2357</v>
      </c>
      <c r="I449" s="761" t="s">
        <v>6867</v>
      </c>
      <c r="J449" s="761">
        <v>1</v>
      </c>
      <c r="K449" s="746">
        <v>1901.99</v>
      </c>
      <c r="L449" s="746">
        <v>1729.79</v>
      </c>
      <c r="M449" s="746">
        <v>172.20000000000002</v>
      </c>
      <c r="N449" s="493" t="str">
        <f t="shared" si="6"/>
        <v>C390</v>
      </c>
      <c r="O449" s="493" t="s">
        <v>99</v>
      </c>
      <c r="P449" s="493"/>
    </row>
    <row r="450" spans="1:16">
      <c r="A450" s="761" t="s">
        <v>2339</v>
      </c>
      <c r="B450" s="761" t="s">
        <v>2340</v>
      </c>
      <c r="C450" s="761" t="s">
        <v>2366</v>
      </c>
      <c r="D450" s="761">
        <v>11406940</v>
      </c>
      <c r="E450" s="761" t="s">
        <v>2443</v>
      </c>
      <c r="F450" s="761" t="s">
        <v>2357</v>
      </c>
      <c r="I450" s="761" t="s">
        <v>6867</v>
      </c>
      <c r="J450" s="761">
        <v>1</v>
      </c>
      <c r="K450" s="746">
        <v>1973.52</v>
      </c>
      <c r="L450" s="746">
        <v>1794.8400000000001</v>
      </c>
      <c r="M450" s="746">
        <v>178.68</v>
      </c>
      <c r="N450" s="493" t="str">
        <f t="shared" ref="N450:N513" si="7">LEFT(E450,4)</f>
        <v>C390</v>
      </c>
      <c r="O450" s="493" t="s">
        <v>99</v>
      </c>
      <c r="P450" s="493"/>
    </row>
    <row r="451" spans="1:16">
      <c r="A451" s="761" t="s">
        <v>2339</v>
      </c>
      <c r="B451" s="761" t="s">
        <v>2340</v>
      </c>
      <c r="C451" s="761" t="s">
        <v>2447</v>
      </c>
      <c r="D451" s="761">
        <v>33459</v>
      </c>
      <c r="E451" s="761" t="s">
        <v>2443</v>
      </c>
      <c r="F451" s="761" t="s">
        <v>2357</v>
      </c>
      <c r="I451" s="761" t="s">
        <v>6867</v>
      </c>
      <c r="J451" s="761">
        <v>0</v>
      </c>
      <c r="K451" s="746">
        <v>3181.52</v>
      </c>
      <c r="L451" s="746">
        <v>2871.85</v>
      </c>
      <c r="M451" s="746">
        <v>309.67</v>
      </c>
      <c r="N451" s="493" t="str">
        <f t="shared" si="7"/>
        <v>C390</v>
      </c>
      <c r="O451" s="493" t="s">
        <v>99</v>
      </c>
      <c r="P451" s="493"/>
    </row>
    <row r="452" spans="1:16">
      <c r="A452" s="761" t="s">
        <v>2339</v>
      </c>
      <c r="B452" s="761" t="s">
        <v>2340</v>
      </c>
      <c r="C452" s="761" t="s">
        <v>2366</v>
      </c>
      <c r="D452" s="761">
        <v>11406937</v>
      </c>
      <c r="E452" s="761" t="s">
        <v>2443</v>
      </c>
      <c r="F452" s="761" t="s">
        <v>2357</v>
      </c>
      <c r="I452" s="761" t="s">
        <v>6867</v>
      </c>
      <c r="J452" s="761">
        <v>1</v>
      </c>
      <c r="K452" s="746">
        <v>2416.98</v>
      </c>
      <c r="L452" s="746">
        <v>2181.73</v>
      </c>
      <c r="M452" s="746">
        <v>235.25</v>
      </c>
      <c r="N452" s="493" t="str">
        <f t="shared" si="7"/>
        <v>C390</v>
      </c>
      <c r="O452" s="493" t="s">
        <v>99</v>
      </c>
      <c r="P452" s="493"/>
    </row>
    <row r="453" spans="1:16">
      <c r="A453" s="761" t="s">
        <v>2339</v>
      </c>
      <c r="B453" s="761" t="s">
        <v>2340</v>
      </c>
      <c r="C453" s="761" t="s">
        <v>2447</v>
      </c>
      <c r="D453" s="761">
        <v>33460</v>
      </c>
      <c r="E453" s="761" t="s">
        <v>2443</v>
      </c>
      <c r="F453" s="761" t="s">
        <v>2357</v>
      </c>
      <c r="I453" s="761" t="s">
        <v>6867</v>
      </c>
      <c r="J453" s="761">
        <v>1</v>
      </c>
      <c r="K453" s="746">
        <v>10552.29</v>
      </c>
      <c r="L453" s="746">
        <v>9371.33</v>
      </c>
      <c r="M453" s="746">
        <v>1180.96</v>
      </c>
      <c r="N453" s="493" t="str">
        <f t="shared" si="7"/>
        <v>C390</v>
      </c>
      <c r="O453" s="493" t="s">
        <v>99</v>
      </c>
      <c r="P453" s="493"/>
    </row>
    <row r="454" spans="1:16">
      <c r="A454" s="761" t="s">
        <v>2339</v>
      </c>
      <c r="B454" s="761" t="s">
        <v>2340</v>
      </c>
      <c r="C454" s="761" t="s">
        <v>2447</v>
      </c>
      <c r="D454" s="761">
        <v>33461</v>
      </c>
      <c r="E454" s="761" t="s">
        <v>2443</v>
      </c>
      <c r="F454" s="761" t="s">
        <v>2357</v>
      </c>
      <c r="I454" s="761" t="s">
        <v>6867</v>
      </c>
      <c r="J454" s="761">
        <v>1</v>
      </c>
      <c r="K454" s="746">
        <v>714.93000000000006</v>
      </c>
      <c r="L454" s="746">
        <v>629.34</v>
      </c>
      <c r="M454" s="746">
        <v>85.59</v>
      </c>
      <c r="N454" s="493" t="str">
        <f t="shared" si="7"/>
        <v>C390</v>
      </c>
      <c r="O454" s="493" t="s">
        <v>99</v>
      </c>
      <c r="P454" s="493"/>
    </row>
    <row r="455" spans="1:16">
      <c r="A455" s="761" t="s">
        <v>2339</v>
      </c>
      <c r="B455" s="761" t="s">
        <v>2340</v>
      </c>
      <c r="C455" s="761" t="s">
        <v>2447</v>
      </c>
      <c r="D455" s="761">
        <v>94605</v>
      </c>
      <c r="E455" s="761" t="s">
        <v>2443</v>
      </c>
      <c r="F455" s="761" t="s">
        <v>2357</v>
      </c>
      <c r="I455" s="761" t="s">
        <v>6867</v>
      </c>
      <c r="J455" s="761">
        <v>1</v>
      </c>
      <c r="K455" s="746">
        <v>3483.58</v>
      </c>
      <c r="L455" s="746">
        <v>3038.06</v>
      </c>
      <c r="M455" s="746">
        <v>445.52</v>
      </c>
      <c r="N455" s="493" t="str">
        <f t="shared" si="7"/>
        <v>C390</v>
      </c>
      <c r="O455" s="493" t="s">
        <v>99</v>
      </c>
      <c r="P455" s="493"/>
    </row>
    <row r="456" spans="1:16">
      <c r="A456" s="761" t="s">
        <v>2339</v>
      </c>
      <c r="B456" s="761" t="s">
        <v>2340</v>
      </c>
      <c r="C456" s="761" t="s">
        <v>2447</v>
      </c>
      <c r="D456" s="761">
        <v>33462</v>
      </c>
      <c r="E456" s="761" t="s">
        <v>2443</v>
      </c>
      <c r="F456" s="761" t="s">
        <v>2357</v>
      </c>
      <c r="I456" s="761" t="s">
        <v>6867</v>
      </c>
      <c r="J456" s="761">
        <v>1</v>
      </c>
      <c r="K456" s="746">
        <v>122.60000000000001</v>
      </c>
      <c r="L456" s="746">
        <v>105.87</v>
      </c>
      <c r="M456" s="746">
        <v>16.73</v>
      </c>
      <c r="N456" s="493" t="str">
        <f t="shared" si="7"/>
        <v>C390</v>
      </c>
      <c r="O456" s="493" t="s">
        <v>99</v>
      </c>
      <c r="P456" s="493"/>
    </row>
    <row r="457" spans="1:16">
      <c r="A457" s="761" t="s">
        <v>2339</v>
      </c>
      <c r="B457" s="761" t="s">
        <v>2340</v>
      </c>
      <c r="C457" s="761" t="s">
        <v>2366</v>
      </c>
      <c r="D457" s="761">
        <v>11406946</v>
      </c>
      <c r="E457" s="761" t="s">
        <v>2443</v>
      </c>
      <c r="F457" s="761" t="s">
        <v>2357</v>
      </c>
      <c r="I457" s="761" t="s">
        <v>6867</v>
      </c>
      <c r="J457" s="761">
        <v>1</v>
      </c>
      <c r="K457" s="746">
        <v>363.73</v>
      </c>
      <c r="L457" s="746">
        <v>314.11</v>
      </c>
      <c r="M457" s="746">
        <v>49.620000000000005</v>
      </c>
      <c r="N457" s="493" t="str">
        <f t="shared" si="7"/>
        <v>C390</v>
      </c>
      <c r="O457" s="493" t="s">
        <v>99</v>
      </c>
      <c r="P457" s="493"/>
    </row>
    <row r="458" spans="1:16">
      <c r="A458" s="761" t="s">
        <v>2339</v>
      </c>
      <c r="B458" s="761" t="s">
        <v>2340</v>
      </c>
      <c r="C458" s="761" t="s">
        <v>2447</v>
      </c>
      <c r="D458" s="761">
        <v>33463</v>
      </c>
      <c r="E458" s="761" t="s">
        <v>2443</v>
      </c>
      <c r="F458" s="761" t="s">
        <v>2357</v>
      </c>
      <c r="I458" s="761" t="s">
        <v>6867</v>
      </c>
      <c r="J458" s="761">
        <v>1</v>
      </c>
      <c r="K458" s="746">
        <v>1136.29</v>
      </c>
      <c r="L458" s="746">
        <v>971.14</v>
      </c>
      <c r="M458" s="746">
        <v>165.15</v>
      </c>
      <c r="N458" s="493" t="str">
        <f t="shared" si="7"/>
        <v>C390</v>
      </c>
      <c r="O458" s="493" t="s">
        <v>99</v>
      </c>
      <c r="P458" s="493"/>
    </row>
    <row r="459" spans="1:16">
      <c r="A459" s="761" t="s">
        <v>2339</v>
      </c>
      <c r="B459" s="761" t="s">
        <v>2340</v>
      </c>
      <c r="C459" s="761" t="s">
        <v>2447</v>
      </c>
      <c r="D459" s="761">
        <v>78532</v>
      </c>
      <c r="E459" s="761" t="s">
        <v>2443</v>
      </c>
      <c r="F459" s="761" t="s">
        <v>2357</v>
      </c>
      <c r="I459" s="761" t="s">
        <v>6867</v>
      </c>
      <c r="J459" s="761">
        <v>1</v>
      </c>
      <c r="K459" s="746">
        <v>48712.21</v>
      </c>
      <c r="L459" s="746">
        <v>41180.33</v>
      </c>
      <c r="M459" s="746">
        <v>7531.88</v>
      </c>
      <c r="N459" s="493" t="str">
        <f t="shared" si="7"/>
        <v>C390</v>
      </c>
      <c r="O459" s="493" t="s">
        <v>99</v>
      </c>
      <c r="P459" s="493"/>
    </row>
    <row r="460" spans="1:16">
      <c r="A460" s="761" t="s">
        <v>2339</v>
      </c>
      <c r="B460" s="761" t="s">
        <v>2340</v>
      </c>
      <c r="C460" s="761" t="s">
        <v>2447</v>
      </c>
      <c r="D460" s="761">
        <v>78533</v>
      </c>
      <c r="E460" s="761" t="s">
        <v>2443</v>
      </c>
      <c r="F460" s="761" t="s">
        <v>2357</v>
      </c>
      <c r="I460" s="761" t="s">
        <v>6867</v>
      </c>
      <c r="J460" s="761">
        <v>2</v>
      </c>
      <c r="K460" s="746">
        <v>16303.18</v>
      </c>
      <c r="L460" s="746">
        <v>13782.380000000001</v>
      </c>
      <c r="M460" s="746">
        <v>2520.8000000000002</v>
      </c>
      <c r="N460" s="493" t="str">
        <f t="shared" si="7"/>
        <v>C390</v>
      </c>
      <c r="O460" s="493" t="s">
        <v>99</v>
      </c>
      <c r="P460" s="493"/>
    </row>
    <row r="461" spans="1:16">
      <c r="A461" s="761" t="s">
        <v>2339</v>
      </c>
      <c r="B461" s="761" t="s">
        <v>2340</v>
      </c>
      <c r="C461" s="761" t="s">
        <v>2447</v>
      </c>
      <c r="D461" s="761">
        <v>78534</v>
      </c>
      <c r="E461" s="761" t="s">
        <v>2443</v>
      </c>
      <c r="F461" s="761" t="s">
        <v>2357</v>
      </c>
      <c r="I461" s="761" t="s">
        <v>6867</v>
      </c>
      <c r="J461" s="761">
        <v>1</v>
      </c>
      <c r="K461" s="746">
        <v>14952.5</v>
      </c>
      <c r="L461" s="746">
        <v>12640.54</v>
      </c>
      <c r="M461" s="746">
        <v>2311.96</v>
      </c>
      <c r="N461" s="493" t="str">
        <f t="shared" si="7"/>
        <v>C390</v>
      </c>
      <c r="O461" s="493" t="s">
        <v>99</v>
      </c>
      <c r="P461" s="493"/>
    </row>
    <row r="462" spans="1:16">
      <c r="A462" s="761" t="s">
        <v>2339</v>
      </c>
      <c r="B462" s="761" t="s">
        <v>2340</v>
      </c>
      <c r="C462" s="761" t="s">
        <v>2447</v>
      </c>
      <c r="D462" s="761">
        <v>99408</v>
      </c>
      <c r="E462" s="761" t="s">
        <v>2443</v>
      </c>
      <c r="F462" s="761" t="s">
        <v>2357</v>
      </c>
      <c r="I462" s="761" t="s">
        <v>6867</v>
      </c>
      <c r="J462" s="761">
        <v>8</v>
      </c>
      <c r="K462" s="746">
        <v>72149.45</v>
      </c>
      <c r="L462" s="746">
        <v>60993.700000000004</v>
      </c>
      <c r="M462" s="746">
        <v>11155.75</v>
      </c>
      <c r="N462" s="493" t="str">
        <f t="shared" si="7"/>
        <v>C390</v>
      </c>
      <c r="O462" s="493" t="s">
        <v>99</v>
      </c>
      <c r="P462" s="493"/>
    </row>
    <row r="463" spans="1:16">
      <c r="A463" s="761" t="s">
        <v>2339</v>
      </c>
      <c r="B463" s="761" t="s">
        <v>2340</v>
      </c>
      <c r="C463" s="761" t="s">
        <v>2447</v>
      </c>
      <c r="D463" s="761">
        <v>104916</v>
      </c>
      <c r="E463" s="761" t="s">
        <v>2443</v>
      </c>
      <c r="F463" s="761" t="s">
        <v>2357</v>
      </c>
      <c r="I463" s="761" t="s">
        <v>6867</v>
      </c>
      <c r="J463" s="761">
        <v>1</v>
      </c>
      <c r="K463" s="746">
        <v>19262.61</v>
      </c>
      <c r="L463" s="746">
        <v>16098.32</v>
      </c>
      <c r="M463" s="746">
        <v>3164.29</v>
      </c>
      <c r="N463" s="493" t="str">
        <f t="shared" si="7"/>
        <v>C390</v>
      </c>
      <c r="O463" s="493" t="s">
        <v>99</v>
      </c>
      <c r="P463" s="493"/>
    </row>
    <row r="464" spans="1:16">
      <c r="A464" s="761" t="s">
        <v>2339</v>
      </c>
      <c r="B464" s="761" t="s">
        <v>2340</v>
      </c>
      <c r="C464" s="761" t="s">
        <v>2447</v>
      </c>
      <c r="D464" s="761">
        <v>33464</v>
      </c>
      <c r="E464" s="761" t="s">
        <v>2443</v>
      </c>
      <c r="F464" s="761" t="s">
        <v>2357</v>
      </c>
      <c r="I464" s="761" t="s">
        <v>6867</v>
      </c>
      <c r="J464" s="761">
        <v>1</v>
      </c>
      <c r="K464" s="746">
        <v>5449.1500000000005</v>
      </c>
      <c r="L464" s="746">
        <v>4554.01</v>
      </c>
      <c r="M464" s="746">
        <v>895.14</v>
      </c>
      <c r="N464" s="493" t="str">
        <f t="shared" si="7"/>
        <v>C390</v>
      </c>
      <c r="O464" s="493" t="s">
        <v>99</v>
      </c>
      <c r="P464" s="493"/>
    </row>
    <row r="465" spans="1:16">
      <c r="A465" s="761" t="s">
        <v>2339</v>
      </c>
      <c r="B465" s="761" t="s">
        <v>2340</v>
      </c>
      <c r="C465" s="761" t="s">
        <v>2447</v>
      </c>
      <c r="D465" s="761">
        <v>33465</v>
      </c>
      <c r="E465" s="761" t="s">
        <v>2443</v>
      </c>
      <c r="F465" s="761" t="s">
        <v>2357</v>
      </c>
      <c r="I465" s="761" t="s">
        <v>6867</v>
      </c>
      <c r="J465" s="761">
        <v>1</v>
      </c>
      <c r="K465" s="746">
        <v>181.17000000000002</v>
      </c>
      <c r="L465" s="746">
        <v>149.59</v>
      </c>
      <c r="M465" s="746">
        <v>31.580000000000002</v>
      </c>
      <c r="N465" s="493" t="str">
        <f t="shared" si="7"/>
        <v>C390</v>
      </c>
      <c r="O465" s="493" t="s">
        <v>99</v>
      </c>
      <c r="P465" s="493"/>
    </row>
    <row r="466" spans="1:16">
      <c r="A466" s="761" t="s">
        <v>2339</v>
      </c>
      <c r="B466" s="761" t="s">
        <v>2340</v>
      </c>
      <c r="C466" s="761" t="s">
        <v>2447</v>
      </c>
      <c r="D466" s="761">
        <v>33466</v>
      </c>
      <c r="E466" s="761" t="s">
        <v>2443</v>
      </c>
      <c r="F466" s="761" t="s">
        <v>2357</v>
      </c>
      <c r="I466" s="761" t="s">
        <v>6867</v>
      </c>
      <c r="J466" s="761">
        <v>0</v>
      </c>
      <c r="K466" s="746">
        <v>50.64</v>
      </c>
      <c r="L466" s="746">
        <v>40.18</v>
      </c>
      <c r="M466" s="746">
        <v>10.46</v>
      </c>
      <c r="N466" s="493" t="str">
        <f t="shared" si="7"/>
        <v>C390</v>
      </c>
      <c r="O466" s="493" t="s">
        <v>99</v>
      </c>
      <c r="P466" s="493"/>
    </row>
    <row r="467" spans="1:16">
      <c r="A467" s="761" t="s">
        <v>2339</v>
      </c>
      <c r="B467" s="761" t="s">
        <v>2340</v>
      </c>
      <c r="C467" s="761" t="s">
        <v>2609</v>
      </c>
      <c r="D467" s="761">
        <v>84968</v>
      </c>
      <c r="E467" s="761" t="s">
        <v>2443</v>
      </c>
      <c r="F467" s="761" t="s">
        <v>2357</v>
      </c>
      <c r="I467" s="761" t="s">
        <v>6867</v>
      </c>
      <c r="J467" s="761">
        <v>0</v>
      </c>
      <c r="K467" s="746">
        <v>53738.3</v>
      </c>
      <c r="L467" s="746">
        <v>41376.86</v>
      </c>
      <c r="M467" s="746">
        <v>12361.44</v>
      </c>
      <c r="N467" s="493" t="str">
        <f t="shared" si="7"/>
        <v>C390</v>
      </c>
      <c r="O467" s="493" t="s">
        <v>390</v>
      </c>
      <c r="P467" s="493"/>
    </row>
    <row r="468" spans="1:16">
      <c r="A468" s="761" t="s">
        <v>2339</v>
      </c>
      <c r="B468" s="761" t="s">
        <v>2340</v>
      </c>
      <c r="C468" s="761" t="s">
        <v>2447</v>
      </c>
      <c r="D468" s="761">
        <v>33467</v>
      </c>
      <c r="E468" s="761" t="s">
        <v>2443</v>
      </c>
      <c r="F468" s="761" t="s">
        <v>2357</v>
      </c>
      <c r="I468" s="761" t="s">
        <v>6867</v>
      </c>
      <c r="J468" s="761">
        <v>1</v>
      </c>
      <c r="K468" s="746">
        <v>21678.720000000001</v>
      </c>
      <c r="L468" s="746">
        <v>16691.96</v>
      </c>
      <c r="M468" s="746">
        <v>4986.76</v>
      </c>
      <c r="N468" s="493" t="str">
        <f t="shared" si="7"/>
        <v>C390</v>
      </c>
      <c r="O468" s="493" t="s">
        <v>99</v>
      </c>
      <c r="P468" s="493"/>
    </row>
    <row r="469" spans="1:16">
      <c r="A469" s="761" t="s">
        <v>2339</v>
      </c>
      <c r="B469" s="761" t="s">
        <v>2340</v>
      </c>
      <c r="C469" s="761" t="s">
        <v>2366</v>
      </c>
      <c r="D469" s="761">
        <v>11406943</v>
      </c>
      <c r="E469" s="761" t="s">
        <v>2443</v>
      </c>
      <c r="F469" s="761" t="s">
        <v>2357</v>
      </c>
      <c r="I469" s="761" t="s">
        <v>6867</v>
      </c>
      <c r="J469" s="761">
        <v>1</v>
      </c>
      <c r="K469" s="746">
        <v>73.540000000000006</v>
      </c>
      <c r="L469" s="746">
        <v>56.620000000000005</v>
      </c>
      <c r="M469" s="746">
        <v>16.920000000000002</v>
      </c>
      <c r="N469" s="493" t="str">
        <f t="shared" si="7"/>
        <v>C390</v>
      </c>
      <c r="O469" s="493" t="s">
        <v>99</v>
      </c>
      <c r="P469" s="493"/>
    </row>
    <row r="470" spans="1:16">
      <c r="A470" s="761" t="s">
        <v>2339</v>
      </c>
      <c r="B470" s="761" t="s">
        <v>2340</v>
      </c>
      <c r="C470" s="761" t="s">
        <v>2367</v>
      </c>
      <c r="D470" s="761">
        <v>19965316</v>
      </c>
      <c r="E470" s="761" t="s">
        <v>2443</v>
      </c>
      <c r="F470" s="761" t="s">
        <v>2357</v>
      </c>
      <c r="I470" s="761" t="s">
        <v>6867</v>
      </c>
      <c r="J470" s="761">
        <v>1</v>
      </c>
      <c r="K470" s="746">
        <v>1789015.49</v>
      </c>
      <c r="L470" s="746">
        <v>1377487.52</v>
      </c>
      <c r="M470" s="746">
        <v>411527.97000000003</v>
      </c>
      <c r="N470" s="493" t="str">
        <f t="shared" si="7"/>
        <v>C390</v>
      </c>
      <c r="O470" s="493" t="s">
        <v>390</v>
      </c>
      <c r="P470" s="493"/>
    </row>
    <row r="471" spans="1:16">
      <c r="A471" s="761" t="s">
        <v>2339</v>
      </c>
      <c r="B471" s="761" t="s">
        <v>2340</v>
      </c>
      <c r="C471" s="761" t="s">
        <v>2447</v>
      </c>
      <c r="D471" s="761">
        <v>33468</v>
      </c>
      <c r="E471" s="761" t="s">
        <v>2443</v>
      </c>
      <c r="F471" s="761" t="s">
        <v>2357</v>
      </c>
      <c r="I471" s="761" t="s">
        <v>6867</v>
      </c>
      <c r="J471" s="761">
        <v>0</v>
      </c>
      <c r="K471" s="746">
        <v>10418.32</v>
      </c>
      <c r="L471" s="746">
        <v>7894.3200000000006</v>
      </c>
      <c r="M471" s="746">
        <v>2524</v>
      </c>
      <c r="N471" s="493" t="str">
        <f t="shared" si="7"/>
        <v>C390</v>
      </c>
      <c r="O471" s="493" t="s">
        <v>99</v>
      </c>
      <c r="P471" s="493"/>
    </row>
    <row r="472" spans="1:16">
      <c r="A472" s="761" t="s">
        <v>2339</v>
      </c>
      <c r="B472" s="761" t="s">
        <v>2340</v>
      </c>
      <c r="C472" s="761" t="s">
        <v>2367</v>
      </c>
      <c r="D472" s="761">
        <v>19965329</v>
      </c>
      <c r="E472" s="761" t="s">
        <v>2443</v>
      </c>
      <c r="F472" s="761" t="s">
        <v>2357</v>
      </c>
      <c r="I472" s="761" t="s">
        <v>6867</v>
      </c>
      <c r="J472" s="761">
        <v>1</v>
      </c>
      <c r="K472" s="746">
        <v>397585.15</v>
      </c>
      <c r="L472" s="746">
        <v>301264.16000000003</v>
      </c>
      <c r="M472" s="746">
        <v>96320.99</v>
      </c>
      <c r="N472" s="493" t="str">
        <f t="shared" si="7"/>
        <v>C390</v>
      </c>
      <c r="O472" s="493" t="s">
        <v>390</v>
      </c>
      <c r="P472" s="493"/>
    </row>
    <row r="473" spans="1:16">
      <c r="A473" s="761" t="s">
        <v>2339</v>
      </c>
      <c r="B473" s="761" t="s">
        <v>2340</v>
      </c>
      <c r="C473" s="761" t="s">
        <v>2367</v>
      </c>
      <c r="D473" s="761">
        <v>19965342</v>
      </c>
      <c r="E473" s="761" t="s">
        <v>2443</v>
      </c>
      <c r="F473" s="761" t="s">
        <v>2357</v>
      </c>
      <c r="I473" s="761" t="s">
        <v>6867</v>
      </c>
      <c r="J473" s="761">
        <v>1</v>
      </c>
      <c r="K473" s="746">
        <v>26393.09</v>
      </c>
      <c r="L473" s="746">
        <v>19666.78</v>
      </c>
      <c r="M473" s="746">
        <v>6726.31</v>
      </c>
      <c r="N473" s="493" t="str">
        <f t="shared" si="7"/>
        <v>C390</v>
      </c>
      <c r="O473" s="493" t="s">
        <v>390</v>
      </c>
      <c r="P473" s="493"/>
    </row>
    <row r="474" spans="1:16">
      <c r="A474" s="761" t="s">
        <v>2339</v>
      </c>
      <c r="B474" s="761" t="s">
        <v>2340</v>
      </c>
      <c r="C474" s="761" t="s">
        <v>2366</v>
      </c>
      <c r="D474" s="761">
        <v>11406941</v>
      </c>
      <c r="E474" s="761" t="s">
        <v>2443</v>
      </c>
      <c r="F474" s="761" t="s">
        <v>2357</v>
      </c>
      <c r="I474" s="761" t="s">
        <v>6867</v>
      </c>
      <c r="J474" s="761">
        <v>1</v>
      </c>
      <c r="K474" s="746">
        <v>20338.189999999999</v>
      </c>
      <c r="L474" s="746">
        <v>14892.09</v>
      </c>
      <c r="M474" s="746">
        <v>5446.1</v>
      </c>
      <c r="N474" s="493" t="str">
        <f t="shared" si="7"/>
        <v>C390</v>
      </c>
      <c r="O474" s="493" t="s">
        <v>99</v>
      </c>
      <c r="P474" s="493"/>
    </row>
    <row r="475" spans="1:16">
      <c r="A475" s="761" t="s">
        <v>2339</v>
      </c>
      <c r="B475" s="761" t="s">
        <v>2340</v>
      </c>
      <c r="C475" s="761" t="s">
        <v>2367</v>
      </c>
      <c r="D475" s="761">
        <v>19965238</v>
      </c>
      <c r="E475" s="761" t="s">
        <v>2443</v>
      </c>
      <c r="F475" s="761" t="s">
        <v>2357</v>
      </c>
      <c r="I475" s="761" t="s">
        <v>6867</v>
      </c>
      <c r="J475" s="761">
        <v>1</v>
      </c>
      <c r="K475" s="746">
        <v>32872.92</v>
      </c>
      <c r="L475" s="746">
        <v>24070.3</v>
      </c>
      <c r="M475" s="746">
        <v>8802.6200000000008</v>
      </c>
      <c r="N475" s="493" t="str">
        <f t="shared" si="7"/>
        <v>C390</v>
      </c>
      <c r="O475" s="493" t="s">
        <v>390</v>
      </c>
      <c r="P475" s="493"/>
    </row>
    <row r="476" spans="1:16">
      <c r="A476" s="761" t="s">
        <v>2339</v>
      </c>
      <c r="B476" s="761" t="s">
        <v>2340</v>
      </c>
      <c r="C476" s="761" t="s">
        <v>2447</v>
      </c>
      <c r="D476" s="761">
        <v>33469</v>
      </c>
      <c r="E476" s="761" t="s">
        <v>2443</v>
      </c>
      <c r="F476" s="761" t="s">
        <v>2357</v>
      </c>
      <c r="I476" s="761" t="s">
        <v>6867</v>
      </c>
      <c r="J476" s="761">
        <v>1</v>
      </c>
      <c r="K476" s="746">
        <v>973.30000000000007</v>
      </c>
      <c r="L476" s="746">
        <v>699.77</v>
      </c>
      <c r="M476" s="746">
        <v>273.53000000000003</v>
      </c>
      <c r="N476" s="493" t="str">
        <f t="shared" si="7"/>
        <v>C390</v>
      </c>
      <c r="O476" s="493" t="s">
        <v>99</v>
      </c>
      <c r="P476" s="493"/>
    </row>
    <row r="477" spans="1:16">
      <c r="A477" s="761" t="s">
        <v>2339</v>
      </c>
      <c r="B477" s="761" t="s">
        <v>2340</v>
      </c>
      <c r="C477" s="761" t="s">
        <v>2366</v>
      </c>
      <c r="D477" s="761">
        <v>11406947</v>
      </c>
      <c r="E477" s="761" t="s">
        <v>2443</v>
      </c>
      <c r="F477" s="761" t="s">
        <v>2357</v>
      </c>
      <c r="I477" s="761" t="s">
        <v>6867</v>
      </c>
      <c r="J477" s="761">
        <v>1</v>
      </c>
      <c r="K477" s="746">
        <v>8408.880000000001</v>
      </c>
      <c r="L477" s="746">
        <v>6045.67</v>
      </c>
      <c r="M477" s="746">
        <v>2363.21</v>
      </c>
      <c r="N477" s="493" t="str">
        <f t="shared" si="7"/>
        <v>C390</v>
      </c>
      <c r="O477" s="493" t="s">
        <v>99</v>
      </c>
      <c r="P477" s="493"/>
    </row>
    <row r="478" spans="1:16">
      <c r="A478" s="761" t="s">
        <v>2339</v>
      </c>
      <c r="B478" s="761" t="s">
        <v>2340</v>
      </c>
      <c r="C478" s="761" t="s">
        <v>2447</v>
      </c>
      <c r="D478" s="761">
        <v>33470</v>
      </c>
      <c r="E478" s="761" t="s">
        <v>2443</v>
      </c>
      <c r="F478" s="761" t="s">
        <v>2357</v>
      </c>
      <c r="I478" s="761" t="s">
        <v>6867</v>
      </c>
      <c r="J478" s="761">
        <v>1</v>
      </c>
      <c r="K478" s="746">
        <v>14166.48</v>
      </c>
      <c r="L478" s="746">
        <v>9992.65</v>
      </c>
      <c r="M478" s="746">
        <v>4173.83</v>
      </c>
      <c r="N478" s="493" t="str">
        <f t="shared" si="7"/>
        <v>C390</v>
      </c>
      <c r="O478" s="493" t="s">
        <v>99</v>
      </c>
      <c r="P478" s="493"/>
    </row>
    <row r="479" spans="1:16">
      <c r="A479" s="761" t="s">
        <v>2339</v>
      </c>
      <c r="B479" s="761" t="s">
        <v>2340</v>
      </c>
      <c r="C479" s="761" t="s">
        <v>2366</v>
      </c>
      <c r="D479" s="761">
        <v>11406944</v>
      </c>
      <c r="E479" s="761" t="s">
        <v>2443</v>
      </c>
      <c r="F479" s="761" t="s">
        <v>2357</v>
      </c>
      <c r="I479" s="761" t="s">
        <v>6867</v>
      </c>
      <c r="J479" s="761">
        <v>1</v>
      </c>
      <c r="K479" s="746">
        <v>2533.15</v>
      </c>
      <c r="L479" s="746">
        <v>1786.82</v>
      </c>
      <c r="M479" s="746">
        <v>746.33</v>
      </c>
      <c r="N479" s="493" t="str">
        <f t="shared" si="7"/>
        <v>C390</v>
      </c>
      <c r="O479" s="493" t="s">
        <v>99</v>
      </c>
      <c r="P479" s="493"/>
    </row>
    <row r="480" spans="1:16">
      <c r="A480" s="761" t="s">
        <v>2339</v>
      </c>
      <c r="B480" s="761" t="s">
        <v>2340</v>
      </c>
      <c r="C480" s="761" t="s">
        <v>2367</v>
      </c>
      <c r="D480" s="761">
        <v>19965251</v>
      </c>
      <c r="E480" s="761" t="s">
        <v>2443</v>
      </c>
      <c r="F480" s="761" t="s">
        <v>2357</v>
      </c>
      <c r="I480" s="761" t="s">
        <v>6867</v>
      </c>
      <c r="J480" s="761">
        <v>1</v>
      </c>
      <c r="K480" s="746">
        <v>5109.3500000000004</v>
      </c>
      <c r="L480" s="746">
        <v>3604</v>
      </c>
      <c r="M480" s="746">
        <v>1505.3500000000001</v>
      </c>
      <c r="N480" s="493" t="str">
        <f t="shared" si="7"/>
        <v>C390</v>
      </c>
      <c r="O480" s="493" t="s">
        <v>390</v>
      </c>
      <c r="P480" s="493"/>
    </row>
    <row r="481" spans="1:16">
      <c r="A481" s="761" t="s">
        <v>2339</v>
      </c>
      <c r="B481" s="761" t="s">
        <v>2340</v>
      </c>
      <c r="C481" s="761" t="s">
        <v>2367</v>
      </c>
      <c r="D481" s="761">
        <v>19965264</v>
      </c>
      <c r="E481" s="761" t="s">
        <v>2443</v>
      </c>
      <c r="F481" s="761" t="s">
        <v>2357</v>
      </c>
      <c r="I481" s="761" t="s">
        <v>6867</v>
      </c>
      <c r="J481" s="761">
        <v>1</v>
      </c>
      <c r="K481" s="746">
        <v>3574.16</v>
      </c>
      <c r="L481" s="746">
        <v>2471.42</v>
      </c>
      <c r="M481" s="746">
        <v>1102.74</v>
      </c>
      <c r="N481" s="493" t="str">
        <f t="shared" si="7"/>
        <v>C390</v>
      </c>
      <c r="O481" s="493" t="s">
        <v>390</v>
      </c>
      <c r="P481" s="493"/>
    </row>
    <row r="482" spans="1:16">
      <c r="A482" s="761" t="s">
        <v>2339</v>
      </c>
      <c r="B482" s="761" t="s">
        <v>2340</v>
      </c>
      <c r="C482" s="761" t="s">
        <v>2447</v>
      </c>
      <c r="D482" s="761">
        <v>33471</v>
      </c>
      <c r="E482" s="761" t="s">
        <v>2443</v>
      </c>
      <c r="F482" s="761" t="s">
        <v>2357</v>
      </c>
      <c r="I482" s="761" t="s">
        <v>6867</v>
      </c>
      <c r="J482" s="761">
        <v>1</v>
      </c>
      <c r="K482" s="746">
        <v>150891.51999999999</v>
      </c>
      <c r="L482" s="746">
        <v>102189.49</v>
      </c>
      <c r="M482" s="746">
        <v>48702.03</v>
      </c>
      <c r="N482" s="493" t="str">
        <f t="shared" si="7"/>
        <v>C390</v>
      </c>
      <c r="O482" s="493" t="s">
        <v>99</v>
      </c>
      <c r="P482" s="493"/>
    </row>
    <row r="483" spans="1:16">
      <c r="A483" s="761" t="s">
        <v>2339</v>
      </c>
      <c r="B483" s="761" t="s">
        <v>2340</v>
      </c>
      <c r="C483" s="761" t="s">
        <v>2447</v>
      </c>
      <c r="D483" s="761">
        <v>33552</v>
      </c>
      <c r="E483" s="761" t="s">
        <v>2443</v>
      </c>
      <c r="F483" s="761" t="s">
        <v>2357</v>
      </c>
      <c r="I483" s="761" t="s">
        <v>6867</v>
      </c>
      <c r="J483" s="761">
        <v>1</v>
      </c>
      <c r="K483" s="746">
        <v>1029.3600000000001</v>
      </c>
      <c r="L483" s="746">
        <v>697.12</v>
      </c>
      <c r="M483" s="746">
        <v>332.24</v>
      </c>
      <c r="N483" s="493" t="str">
        <f t="shared" si="7"/>
        <v>C390</v>
      </c>
      <c r="O483" s="493" t="s">
        <v>99</v>
      </c>
      <c r="P483" s="493"/>
    </row>
    <row r="484" spans="1:16">
      <c r="A484" s="761" t="s">
        <v>2339</v>
      </c>
      <c r="B484" s="761" t="s">
        <v>2340</v>
      </c>
      <c r="C484" s="761" t="s">
        <v>2367</v>
      </c>
      <c r="D484" s="761">
        <v>19965277</v>
      </c>
      <c r="E484" s="761" t="s">
        <v>2443</v>
      </c>
      <c r="F484" s="761" t="s">
        <v>2357</v>
      </c>
      <c r="I484" s="761" t="s">
        <v>6867</v>
      </c>
      <c r="J484" s="761">
        <v>1</v>
      </c>
      <c r="K484" s="746">
        <v>103621.04000000001</v>
      </c>
      <c r="L484" s="746">
        <v>70176.12</v>
      </c>
      <c r="M484" s="746">
        <v>33444.92</v>
      </c>
      <c r="N484" s="493" t="str">
        <f t="shared" si="7"/>
        <v>C390</v>
      </c>
      <c r="O484" s="493" t="s">
        <v>390</v>
      </c>
      <c r="P484" s="493"/>
    </row>
    <row r="485" spans="1:16">
      <c r="A485" s="761" t="s">
        <v>2339</v>
      </c>
      <c r="B485" s="761" t="s">
        <v>2340</v>
      </c>
      <c r="C485" s="761" t="s">
        <v>2447</v>
      </c>
      <c r="D485" s="761">
        <v>33553</v>
      </c>
      <c r="E485" s="761" t="s">
        <v>2443</v>
      </c>
      <c r="F485" s="761" t="s">
        <v>2357</v>
      </c>
      <c r="I485" s="761" t="s">
        <v>6867</v>
      </c>
      <c r="J485" s="761">
        <v>1</v>
      </c>
      <c r="K485" s="746">
        <v>486.81</v>
      </c>
      <c r="L485" s="746">
        <v>322.61</v>
      </c>
      <c r="M485" s="746">
        <v>164.20000000000002</v>
      </c>
      <c r="N485" s="493" t="str">
        <f t="shared" si="7"/>
        <v>C390</v>
      </c>
      <c r="O485" s="493" t="s">
        <v>99</v>
      </c>
      <c r="P485" s="493"/>
    </row>
    <row r="486" spans="1:16">
      <c r="A486" s="761" t="s">
        <v>2339</v>
      </c>
      <c r="B486" s="761" t="s">
        <v>2340</v>
      </c>
      <c r="C486" s="761" t="s">
        <v>2455</v>
      </c>
      <c r="D486" s="761">
        <v>11406956</v>
      </c>
      <c r="E486" s="761" t="s">
        <v>2443</v>
      </c>
      <c r="F486" s="761" t="s">
        <v>2357</v>
      </c>
      <c r="I486" s="761" t="s">
        <v>6867</v>
      </c>
      <c r="J486" s="761">
        <v>1</v>
      </c>
      <c r="K486" s="746">
        <v>60937.66</v>
      </c>
      <c r="L486" s="746">
        <v>40383.5</v>
      </c>
      <c r="M486" s="746">
        <v>20554.16</v>
      </c>
      <c r="N486" s="493" t="str">
        <f t="shared" si="7"/>
        <v>C390</v>
      </c>
      <c r="O486" s="493" t="s">
        <v>99</v>
      </c>
      <c r="P486" s="493"/>
    </row>
    <row r="487" spans="1:16">
      <c r="A487" s="761" t="s">
        <v>2339</v>
      </c>
      <c r="B487" s="761" t="s">
        <v>2340</v>
      </c>
      <c r="C487" s="761" t="s">
        <v>2367</v>
      </c>
      <c r="D487" s="761">
        <v>19965290</v>
      </c>
      <c r="E487" s="761" t="s">
        <v>2443</v>
      </c>
      <c r="F487" s="761" t="s">
        <v>2357</v>
      </c>
      <c r="I487" s="761" t="s">
        <v>6867</v>
      </c>
      <c r="J487" s="761">
        <v>1</v>
      </c>
      <c r="K487" s="746">
        <v>54536.19</v>
      </c>
      <c r="L487" s="746">
        <v>36141.230000000003</v>
      </c>
      <c r="M487" s="746">
        <v>18394.96</v>
      </c>
      <c r="N487" s="493" t="str">
        <f t="shared" si="7"/>
        <v>C390</v>
      </c>
      <c r="O487" s="493" t="s">
        <v>390</v>
      </c>
      <c r="P487" s="493"/>
    </row>
    <row r="488" spans="1:16">
      <c r="A488" s="761" t="s">
        <v>2339</v>
      </c>
      <c r="B488" s="761" t="s">
        <v>2340</v>
      </c>
      <c r="C488" s="761" t="s">
        <v>2447</v>
      </c>
      <c r="D488" s="761">
        <v>90052</v>
      </c>
      <c r="E488" s="761" t="s">
        <v>2443</v>
      </c>
      <c r="F488" s="761" t="s">
        <v>2357</v>
      </c>
      <c r="I488" s="761" t="s">
        <v>6867</v>
      </c>
      <c r="J488" s="761">
        <v>1</v>
      </c>
      <c r="K488" s="746">
        <v>30676.560000000001</v>
      </c>
      <c r="L488" s="746">
        <v>19874.330000000002</v>
      </c>
      <c r="M488" s="746">
        <v>10802.23</v>
      </c>
      <c r="N488" s="493" t="str">
        <f t="shared" si="7"/>
        <v>C390</v>
      </c>
      <c r="O488" s="493" t="s">
        <v>99</v>
      </c>
      <c r="P488" s="493"/>
    </row>
    <row r="489" spans="1:16">
      <c r="A489" s="761" t="s">
        <v>2339</v>
      </c>
      <c r="B489" s="761" t="s">
        <v>2340</v>
      </c>
      <c r="C489" s="761" t="s">
        <v>2367</v>
      </c>
      <c r="D489" s="761">
        <v>19965303</v>
      </c>
      <c r="E489" s="761" t="s">
        <v>2443</v>
      </c>
      <c r="F489" s="761" t="s">
        <v>2357</v>
      </c>
      <c r="I489" s="761" t="s">
        <v>6867</v>
      </c>
      <c r="J489" s="761">
        <v>1</v>
      </c>
      <c r="K489" s="746">
        <v>43575.88</v>
      </c>
      <c r="L489" s="746">
        <v>28231.37</v>
      </c>
      <c r="M489" s="746">
        <v>15344.51</v>
      </c>
      <c r="N489" s="493" t="str">
        <f t="shared" si="7"/>
        <v>C390</v>
      </c>
      <c r="O489" s="493" t="s">
        <v>390</v>
      </c>
      <c r="P489" s="493"/>
    </row>
    <row r="490" spans="1:16">
      <c r="A490" s="761" t="s">
        <v>2339</v>
      </c>
      <c r="B490" s="761" t="s">
        <v>2340</v>
      </c>
      <c r="C490" s="761" t="s">
        <v>2367</v>
      </c>
      <c r="D490" s="761">
        <v>19965355</v>
      </c>
      <c r="E490" s="761" t="s">
        <v>2443</v>
      </c>
      <c r="F490" s="761" t="s">
        <v>2357</v>
      </c>
      <c r="I490" s="761" t="s">
        <v>6867</v>
      </c>
      <c r="J490" s="761">
        <v>1</v>
      </c>
      <c r="K490" s="746">
        <v>69463.55</v>
      </c>
      <c r="L490" s="746">
        <v>45003.14</v>
      </c>
      <c r="M490" s="746">
        <v>24460.41</v>
      </c>
      <c r="N490" s="493" t="str">
        <f t="shared" si="7"/>
        <v>C390</v>
      </c>
      <c r="O490" s="493" t="s">
        <v>390</v>
      </c>
      <c r="P490" s="493"/>
    </row>
    <row r="491" spans="1:16">
      <c r="A491" s="761" t="s">
        <v>2339</v>
      </c>
      <c r="B491" s="761" t="s">
        <v>2340</v>
      </c>
      <c r="C491" s="761" t="s">
        <v>2517</v>
      </c>
      <c r="D491" s="761">
        <v>33384</v>
      </c>
      <c r="E491" s="761" t="s">
        <v>2443</v>
      </c>
      <c r="F491" s="761" t="s">
        <v>2357</v>
      </c>
      <c r="I491" s="761" t="s">
        <v>6867</v>
      </c>
      <c r="J491" s="761">
        <v>1</v>
      </c>
      <c r="K491" s="746">
        <v>43637.18</v>
      </c>
      <c r="L491" s="746">
        <v>27611</v>
      </c>
      <c r="M491" s="746">
        <v>16026.18</v>
      </c>
      <c r="N491" s="493" t="str">
        <f t="shared" si="7"/>
        <v>C390</v>
      </c>
      <c r="O491" s="493" t="s">
        <v>99</v>
      </c>
      <c r="P491" s="493"/>
    </row>
    <row r="492" spans="1:16">
      <c r="A492" s="761" t="s">
        <v>2339</v>
      </c>
      <c r="B492" s="761" t="s">
        <v>2340</v>
      </c>
      <c r="C492" s="761" t="s">
        <v>2460</v>
      </c>
      <c r="D492" s="761">
        <v>11406968</v>
      </c>
      <c r="E492" s="761" t="s">
        <v>2443</v>
      </c>
      <c r="F492" s="761" t="s">
        <v>2357</v>
      </c>
      <c r="I492" s="761" t="s">
        <v>6867</v>
      </c>
      <c r="J492" s="761">
        <v>1</v>
      </c>
      <c r="K492" s="746">
        <v>80910.62</v>
      </c>
      <c r="L492" s="746">
        <v>51195.4</v>
      </c>
      <c r="M492" s="746">
        <v>29715.22</v>
      </c>
      <c r="N492" s="493" t="str">
        <f t="shared" si="7"/>
        <v>C390</v>
      </c>
      <c r="O492" s="493" t="s">
        <v>99</v>
      </c>
      <c r="P492" s="493"/>
    </row>
    <row r="493" spans="1:16">
      <c r="A493" s="761" t="s">
        <v>2339</v>
      </c>
      <c r="B493" s="761" t="s">
        <v>2340</v>
      </c>
      <c r="C493" s="761" t="s">
        <v>2447</v>
      </c>
      <c r="D493" s="761">
        <v>33472</v>
      </c>
      <c r="E493" s="761" t="s">
        <v>2443</v>
      </c>
      <c r="F493" s="761" t="s">
        <v>2357</v>
      </c>
      <c r="I493" s="761" t="s">
        <v>6867</v>
      </c>
      <c r="J493" s="761">
        <v>1</v>
      </c>
      <c r="K493" s="746">
        <v>15083.33</v>
      </c>
      <c r="L493" s="746">
        <v>9311.3700000000008</v>
      </c>
      <c r="M493" s="746">
        <v>5771.96</v>
      </c>
      <c r="N493" s="493" t="str">
        <f t="shared" si="7"/>
        <v>C390</v>
      </c>
      <c r="O493" s="493" t="s">
        <v>99</v>
      </c>
      <c r="P493" s="493"/>
    </row>
    <row r="494" spans="1:16">
      <c r="A494" s="761" t="s">
        <v>2339</v>
      </c>
      <c r="B494" s="761" t="s">
        <v>2340</v>
      </c>
      <c r="C494" s="761" t="s">
        <v>2367</v>
      </c>
      <c r="D494" s="761">
        <v>19965368</v>
      </c>
      <c r="E494" s="761" t="s">
        <v>2443</v>
      </c>
      <c r="F494" s="761" t="s">
        <v>2357</v>
      </c>
      <c r="I494" s="761" t="s">
        <v>6867</v>
      </c>
      <c r="J494" s="761">
        <v>1</v>
      </c>
      <c r="K494" s="746">
        <v>52181.599999999999</v>
      </c>
      <c r="L494" s="746">
        <v>32213.190000000002</v>
      </c>
      <c r="M494" s="746">
        <v>19968.41</v>
      </c>
      <c r="N494" s="493" t="str">
        <f t="shared" si="7"/>
        <v>C390</v>
      </c>
      <c r="O494" s="493" t="s">
        <v>390</v>
      </c>
      <c r="P494" s="493"/>
    </row>
    <row r="495" spans="1:16">
      <c r="A495" s="761" t="s">
        <v>2339</v>
      </c>
      <c r="B495" s="761" t="s">
        <v>2340</v>
      </c>
      <c r="C495" s="761" t="s">
        <v>2367</v>
      </c>
      <c r="D495" s="761">
        <v>19965381</v>
      </c>
      <c r="E495" s="761" t="s">
        <v>2443</v>
      </c>
      <c r="F495" s="761" t="s">
        <v>2357</v>
      </c>
      <c r="I495" s="761" t="s">
        <v>6867</v>
      </c>
      <c r="J495" s="761">
        <v>1</v>
      </c>
      <c r="K495" s="746">
        <v>2876.13</v>
      </c>
      <c r="L495" s="746">
        <v>1730.39</v>
      </c>
      <c r="M495" s="746">
        <v>1145.74</v>
      </c>
      <c r="N495" s="493" t="str">
        <f t="shared" si="7"/>
        <v>C390</v>
      </c>
      <c r="O495" s="493" t="s">
        <v>390</v>
      </c>
      <c r="P495" s="493"/>
    </row>
    <row r="496" spans="1:16">
      <c r="A496" s="761" t="s">
        <v>2339</v>
      </c>
      <c r="B496" s="761" t="s">
        <v>2340</v>
      </c>
      <c r="C496" s="761" t="s">
        <v>2367</v>
      </c>
      <c r="D496" s="761">
        <v>19965394</v>
      </c>
      <c r="E496" s="761" t="s">
        <v>2443</v>
      </c>
      <c r="F496" s="761" t="s">
        <v>2357</v>
      </c>
      <c r="I496" s="761" t="s">
        <v>6867</v>
      </c>
      <c r="J496" s="761">
        <v>1</v>
      </c>
      <c r="K496" s="746">
        <v>7034.29</v>
      </c>
      <c r="L496" s="746">
        <v>4005.56</v>
      </c>
      <c r="M496" s="746">
        <v>3028.73</v>
      </c>
      <c r="N496" s="493" t="str">
        <f t="shared" si="7"/>
        <v>C390</v>
      </c>
      <c r="O496" s="493" t="s">
        <v>390</v>
      </c>
      <c r="P496" s="493"/>
    </row>
    <row r="497" spans="1:16">
      <c r="A497" s="761" t="s">
        <v>2339</v>
      </c>
      <c r="B497" s="761" t="s">
        <v>2340</v>
      </c>
      <c r="C497" s="761" t="s">
        <v>2447</v>
      </c>
      <c r="D497" s="761">
        <v>78606</v>
      </c>
      <c r="E497" s="761" t="s">
        <v>2443</v>
      </c>
      <c r="F497" s="761" t="s">
        <v>2357</v>
      </c>
      <c r="I497" s="761" t="s">
        <v>6867</v>
      </c>
      <c r="J497" s="761">
        <v>1</v>
      </c>
      <c r="K497" s="746">
        <v>188047.56</v>
      </c>
      <c r="L497" s="746">
        <v>100830.52</v>
      </c>
      <c r="M497" s="746">
        <v>87217.040000000008</v>
      </c>
      <c r="N497" s="493" t="str">
        <f t="shared" si="7"/>
        <v>C390</v>
      </c>
      <c r="O497" s="493" t="s">
        <v>99</v>
      </c>
      <c r="P497" s="493"/>
    </row>
    <row r="498" spans="1:16">
      <c r="A498" s="761" t="s">
        <v>2339</v>
      </c>
      <c r="B498" s="761" t="s">
        <v>2340</v>
      </c>
      <c r="C498" s="761" t="s">
        <v>2447</v>
      </c>
      <c r="D498" s="761">
        <v>78607</v>
      </c>
      <c r="E498" s="761" t="s">
        <v>2443</v>
      </c>
      <c r="F498" s="761" t="s">
        <v>2357</v>
      </c>
      <c r="I498" s="761" t="s">
        <v>6867</v>
      </c>
      <c r="J498" s="761">
        <v>1</v>
      </c>
      <c r="K498" s="746">
        <v>566309.18000000005</v>
      </c>
      <c r="L498" s="746">
        <v>303653.22000000003</v>
      </c>
      <c r="M498" s="746">
        <v>262655.96000000002</v>
      </c>
      <c r="N498" s="493" t="str">
        <f t="shared" si="7"/>
        <v>C390</v>
      </c>
      <c r="O498" s="493" t="s">
        <v>99</v>
      </c>
      <c r="P498" s="493"/>
    </row>
    <row r="499" spans="1:16">
      <c r="A499" s="761" t="s">
        <v>2339</v>
      </c>
      <c r="B499" s="761" t="s">
        <v>2340</v>
      </c>
      <c r="C499" s="761" t="s">
        <v>2447</v>
      </c>
      <c r="D499" s="761">
        <v>99409</v>
      </c>
      <c r="E499" s="761" t="s">
        <v>2443</v>
      </c>
      <c r="F499" s="761" t="s">
        <v>2357</v>
      </c>
      <c r="I499" s="761" t="s">
        <v>6867</v>
      </c>
      <c r="J499" s="761">
        <v>1</v>
      </c>
      <c r="K499" s="746">
        <v>72782.150000000009</v>
      </c>
      <c r="L499" s="746">
        <v>39025.56</v>
      </c>
      <c r="M499" s="746">
        <v>33756.590000000004</v>
      </c>
      <c r="N499" s="493" t="str">
        <f t="shared" si="7"/>
        <v>C390</v>
      </c>
      <c r="O499" s="493" t="s">
        <v>99</v>
      </c>
      <c r="P499" s="493"/>
    </row>
    <row r="500" spans="1:16">
      <c r="A500" s="761" t="s">
        <v>2339</v>
      </c>
      <c r="B500" s="761" t="s">
        <v>2340</v>
      </c>
      <c r="C500" s="761" t="s">
        <v>2367</v>
      </c>
      <c r="D500" s="761">
        <v>19965407</v>
      </c>
      <c r="E500" s="761" t="s">
        <v>2443</v>
      </c>
      <c r="F500" s="761" t="s">
        <v>2357</v>
      </c>
      <c r="I500" s="761" t="s">
        <v>6867</v>
      </c>
      <c r="J500" s="761">
        <v>1</v>
      </c>
      <c r="K500" s="746">
        <v>12978.34</v>
      </c>
      <c r="L500" s="746">
        <v>6958.95</v>
      </c>
      <c r="M500" s="746">
        <v>6019.39</v>
      </c>
      <c r="N500" s="493" t="str">
        <f t="shared" si="7"/>
        <v>C390</v>
      </c>
      <c r="O500" s="493" t="s">
        <v>390</v>
      </c>
      <c r="P500" s="493"/>
    </row>
    <row r="501" spans="1:16">
      <c r="A501" s="761" t="s">
        <v>2339</v>
      </c>
      <c r="B501" s="761" t="s">
        <v>2340</v>
      </c>
      <c r="C501" s="761" t="s">
        <v>2608</v>
      </c>
      <c r="D501" s="761">
        <v>56321</v>
      </c>
      <c r="E501" s="761" t="s">
        <v>2443</v>
      </c>
      <c r="F501" s="761" t="s">
        <v>2357</v>
      </c>
      <c r="I501" s="761" t="s">
        <v>6867</v>
      </c>
      <c r="J501" s="761">
        <v>1</v>
      </c>
      <c r="K501" s="746">
        <v>135138.41</v>
      </c>
      <c r="L501" s="746">
        <v>63089.26</v>
      </c>
      <c r="M501" s="746">
        <v>72049.150000000009</v>
      </c>
      <c r="N501" s="493" t="str">
        <f t="shared" si="7"/>
        <v>C390</v>
      </c>
      <c r="O501" s="493" t="s">
        <v>99</v>
      </c>
      <c r="P501" s="493"/>
    </row>
    <row r="502" spans="1:16">
      <c r="A502" s="761" t="s">
        <v>2339</v>
      </c>
      <c r="B502" s="761" t="s">
        <v>2340</v>
      </c>
      <c r="C502" s="761" t="s">
        <v>2447</v>
      </c>
      <c r="D502" s="761">
        <v>102391</v>
      </c>
      <c r="E502" s="761" t="s">
        <v>2443</v>
      </c>
      <c r="F502" s="761" t="s">
        <v>2357</v>
      </c>
      <c r="I502" s="761" t="s">
        <v>6867</v>
      </c>
      <c r="J502" s="761">
        <v>3</v>
      </c>
      <c r="K502" s="746">
        <v>223361.32</v>
      </c>
      <c r="L502" s="746">
        <v>104276.05</v>
      </c>
      <c r="M502" s="746">
        <v>119085.27</v>
      </c>
      <c r="N502" s="493" t="str">
        <f t="shared" si="7"/>
        <v>C390</v>
      </c>
      <c r="O502" s="493" t="s">
        <v>99</v>
      </c>
      <c r="P502" s="493"/>
    </row>
    <row r="503" spans="1:16">
      <c r="A503" s="761" t="s">
        <v>2339</v>
      </c>
      <c r="B503" s="761" t="s">
        <v>2340</v>
      </c>
      <c r="C503" s="761" t="s">
        <v>2455</v>
      </c>
      <c r="D503" s="761">
        <v>11406955</v>
      </c>
      <c r="E503" s="761" t="s">
        <v>2443</v>
      </c>
      <c r="F503" s="761" t="s">
        <v>2357</v>
      </c>
      <c r="I503" s="761" t="s">
        <v>6867</v>
      </c>
      <c r="J503" s="761">
        <v>2</v>
      </c>
      <c r="K503" s="746">
        <v>5965.1</v>
      </c>
      <c r="L503" s="746">
        <v>2784.8</v>
      </c>
      <c r="M503" s="746">
        <v>3180.3</v>
      </c>
      <c r="N503" s="493" t="str">
        <f t="shared" si="7"/>
        <v>C390</v>
      </c>
      <c r="O503" s="493" t="s">
        <v>99</v>
      </c>
      <c r="P503" s="493"/>
    </row>
    <row r="504" spans="1:16">
      <c r="A504" s="761" t="s">
        <v>2339</v>
      </c>
      <c r="B504" s="761" t="s">
        <v>2340</v>
      </c>
      <c r="C504" s="761" t="s">
        <v>2608</v>
      </c>
      <c r="D504" s="761">
        <v>57581</v>
      </c>
      <c r="E504" s="761" t="s">
        <v>2443</v>
      </c>
      <c r="F504" s="761" t="s">
        <v>2357</v>
      </c>
      <c r="I504" s="761" t="s">
        <v>6867</v>
      </c>
      <c r="J504" s="761">
        <v>2</v>
      </c>
      <c r="K504" s="746">
        <v>3434.51</v>
      </c>
      <c r="L504" s="746">
        <v>1541.99</v>
      </c>
      <c r="M504" s="746">
        <v>1892.52</v>
      </c>
      <c r="N504" s="493" t="str">
        <f t="shared" si="7"/>
        <v>C390</v>
      </c>
      <c r="O504" s="493" t="s">
        <v>99</v>
      </c>
      <c r="P504" s="493"/>
    </row>
    <row r="505" spans="1:16">
      <c r="A505" s="761" t="s">
        <v>2339</v>
      </c>
      <c r="B505" s="761" t="s">
        <v>2340</v>
      </c>
      <c r="C505" s="761" t="s">
        <v>2367</v>
      </c>
      <c r="D505" s="761">
        <v>19965420</v>
      </c>
      <c r="E505" s="761" t="s">
        <v>2443</v>
      </c>
      <c r="F505" s="761" t="s">
        <v>2357</v>
      </c>
      <c r="I505" s="761" t="s">
        <v>6867</v>
      </c>
      <c r="J505" s="761">
        <v>0</v>
      </c>
      <c r="K505" s="746">
        <v>64417.380000000005</v>
      </c>
      <c r="L505" s="746">
        <v>28921.360000000001</v>
      </c>
      <c r="M505" s="746">
        <v>35496.020000000004</v>
      </c>
      <c r="N505" s="493" t="str">
        <f t="shared" si="7"/>
        <v>C390</v>
      </c>
      <c r="O505" s="493" t="s">
        <v>390</v>
      </c>
      <c r="P505" s="493"/>
    </row>
    <row r="506" spans="1:16">
      <c r="A506" s="761" t="s">
        <v>2339</v>
      </c>
      <c r="B506" s="761" t="s">
        <v>2340</v>
      </c>
      <c r="C506" s="761" t="s">
        <v>2447</v>
      </c>
      <c r="D506" s="761">
        <v>56318</v>
      </c>
      <c r="E506" s="761" t="s">
        <v>2443</v>
      </c>
      <c r="F506" s="761" t="s">
        <v>2357</v>
      </c>
      <c r="I506" s="761" t="s">
        <v>6867</v>
      </c>
      <c r="J506" s="761">
        <v>0</v>
      </c>
      <c r="K506" s="746">
        <v>2472.12</v>
      </c>
      <c r="L506" s="746">
        <v>1109.9000000000001</v>
      </c>
      <c r="M506" s="746">
        <v>1362.22</v>
      </c>
      <c r="N506" s="493" t="str">
        <f t="shared" si="7"/>
        <v>C390</v>
      </c>
      <c r="O506" s="493" t="s">
        <v>99</v>
      </c>
      <c r="P506" s="493"/>
    </row>
    <row r="507" spans="1:16">
      <c r="A507" s="761" t="s">
        <v>2339</v>
      </c>
      <c r="B507" s="761" t="s">
        <v>2340</v>
      </c>
      <c r="C507" s="761" t="s">
        <v>2455</v>
      </c>
      <c r="D507" s="761">
        <v>11406954</v>
      </c>
      <c r="E507" s="761" t="s">
        <v>2443</v>
      </c>
      <c r="F507" s="761" t="s">
        <v>2357</v>
      </c>
      <c r="I507" s="761" t="s">
        <v>6867</v>
      </c>
      <c r="J507" s="761">
        <v>2</v>
      </c>
      <c r="K507" s="746">
        <v>529.78</v>
      </c>
      <c r="L507" s="746">
        <v>237.85</v>
      </c>
      <c r="M507" s="746">
        <v>291.93</v>
      </c>
      <c r="N507" s="493" t="str">
        <f t="shared" si="7"/>
        <v>C390</v>
      </c>
      <c r="O507" s="493" t="s">
        <v>99</v>
      </c>
      <c r="P507" s="493"/>
    </row>
    <row r="508" spans="1:16">
      <c r="A508" s="761" t="s">
        <v>2339</v>
      </c>
      <c r="B508" s="761" t="s">
        <v>2340</v>
      </c>
      <c r="C508" s="761" t="s">
        <v>2367</v>
      </c>
      <c r="D508" s="761">
        <v>19965433</v>
      </c>
      <c r="E508" s="761" t="s">
        <v>2443</v>
      </c>
      <c r="F508" s="761" t="s">
        <v>2357</v>
      </c>
      <c r="I508" s="761" t="s">
        <v>6867</v>
      </c>
      <c r="J508" s="761">
        <v>1</v>
      </c>
      <c r="K508" s="746">
        <v>83897.86</v>
      </c>
      <c r="L508" s="746">
        <v>36150.230000000003</v>
      </c>
      <c r="M508" s="746">
        <v>47747.63</v>
      </c>
      <c r="N508" s="493" t="str">
        <f t="shared" si="7"/>
        <v>C390</v>
      </c>
      <c r="O508" s="493" t="s">
        <v>390</v>
      </c>
      <c r="P508" s="493"/>
    </row>
    <row r="509" spans="1:16">
      <c r="A509" s="761" t="s">
        <v>2339</v>
      </c>
      <c r="B509" s="761" t="s">
        <v>2340</v>
      </c>
      <c r="C509" s="761" t="s">
        <v>2447</v>
      </c>
      <c r="D509" s="761">
        <v>58231</v>
      </c>
      <c r="E509" s="761" t="s">
        <v>2443</v>
      </c>
      <c r="F509" s="761" t="s">
        <v>2357</v>
      </c>
      <c r="I509" s="761" t="s">
        <v>6867</v>
      </c>
      <c r="J509" s="761">
        <v>1</v>
      </c>
      <c r="K509" s="746">
        <v>40724.800000000003</v>
      </c>
      <c r="L509" s="746">
        <v>17547.66</v>
      </c>
      <c r="M509" s="746">
        <v>23177.14</v>
      </c>
      <c r="N509" s="493" t="str">
        <f t="shared" si="7"/>
        <v>C390</v>
      </c>
      <c r="O509" s="493" t="s">
        <v>99</v>
      </c>
      <c r="P509" s="493"/>
    </row>
    <row r="510" spans="1:16">
      <c r="A510" s="761" t="s">
        <v>2339</v>
      </c>
      <c r="B510" s="761" t="s">
        <v>2340</v>
      </c>
      <c r="C510" s="761" t="s">
        <v>2367</v>
      </c>
      <c r="D510" s="761">
        <v>19965446</v>
      </c>
      <c r="E510" s="761" t="s">
        <v>2443</v>
      </c>
      <c r="F510" s="761" t="s">
        <v>2357</v>
      </c>
      <c r="I510" s="761" t="s">
        <v>6867</v>
      </c>
      <c r="J510" s="761">
        <v>1</v>
      </c>
      <c r="K510" s="746">
        <v>146.26</v>
      </c>
      <c r="L510" s="746">
        <v>60.35</v>
      </c>
      <c r="M510" s="746">
        <v>85.91</v>
      </c>
      <c r="N510" s="493" t="str">
        <f t="shared" si="7"/>
        <v>C390</v>
      </c>
      <c r="O510" s="493" t="s">
        <v>390</v>
      </c>
      <c r="P510" s="493"/>
    </row>
    <row r="511" spans="1:16">
      <c r="A511" s="761" t="s">
        <v>2339</v>
      </c>
      <c r="B511" s="761" t="s">
        <v>2340</v>
      </c>
      <c r="C511" s="761" t="s">
        <v>2365</v>
      </c>
      <c r="D511" s="761">
        <v>6088356</v>
      </c>
      <c r="E511" s="761" t="s">
        <v>2443</v>
      </c>
      <c r="F511" s="761" t="s">
        <v>2357</v>
      </c>
      <c r="I511" s="761" t="s">
        <v>6867</v>
      </c>
      <c r="J511" s="761">
        <v>2</v>
      </c>
      <c r="K511" s="746">
        <v>1391.79</v>
      </c>
      <c r="L511" s="746">
        <v>574.27</v>
      </c>
      <c r="M511" s="746">
        <v>817.52</v>
      </c>
      <c r="N511" s="493" t="str">
        <f t="shared" si="7"/>
        <v>C390</v>
      </c>
      <c r="O511" s="493" t="s">
        <v>99</v>
      </c>
      <c r="P511" s="493"/>
    </row>
    <row r="512" spans="1:16">
      <c r="A512" s="761" t="s">
        <v>2339</v>
      </c>
      <c r="B512" s="761" t="s">
        <v>2340</v>
      </c>
      <c r="C512" s="761" t="s">
        <v>2365</v>
      </c>
      <c r="D512" s="761">
        <v>6088357</v>
      </c>
      <c r="E512" s="761" t="s">
        <v>2443</v>
      </c>
      <c r="F512" s="761" t="s">
        <v>2357</v>
      </c>
      <c r="I512" s="761" t="s">
        <v>6867</v>
      </c>
      <c r="J512" s="761">
        <v>1</v>
      </c>
      <c r="K512" s="746">
        <v>3481.56</v>
      </c>
      <c r="L512" s="746">
        <v>1436.53</v>
      </c>
      <c r="M512" s="746">
        <v>2045.03</v>
      </c>
      <c r="N512" s="493" t="str">
        <f t="shared" si="7"/>
        <v>C390</v>
      </c>
      <c r="O512" s="493" t="s">
        <v>99</v>
      </c>
      <c r="P512" s="493"/>
    </row>
    <row r="513" spans="1:16">
      <c r="A513" s="761" t="s">
        <v>2339</v>
      </c>
      <c r="B513" s="761" t="s">
        <v>2340</v>
      </c>
      <c r="C513" s="761" t="s">
        <v>2365</v>
      </c>
      <c r="D513" s="761">
        <v>6088777</v>
      </c>
      <c r="E513" s="761" t="s">
        <v>2443</v>
      </c>
      <c r="F513" s="761" t="s">
        <v>2357</v>
      </c>
      <c r="I513" s="761" t="s">
        <v>6867</v>
      </c>
      <c r="J513" s="761">
        <v>1</v>
      </c>
      <c r="K513" s="746">
        <v>1069.96</v>
      </c>
      <c r="L513" s="746">
        <v>441.48</v>
      </c>
      <c r="M513" s="746">
        <v>628.48</v>
      </c>
      <c r="N513" s="493" t="str">
        <f t="shared" si="7"/>
        <v>C390</v>
      </c>
      <c r="O513" s="493" t="s">
        <v>99</v>
      </c>
      <c r="P513" s="493"/>
    </row>
    <row r="514" spans="1:16">
      <c r="A514" s="761" t="s">
        <v>2339</v>
      </c>
      <c r="B514" s="761" t="s">
        <v>2340</v>
      </c>
      <c r="C514" s="761" t="s">
        <v>2365</v>
      </c>
      <c r="D514" s="761">
        <v>6088778</v>
      </c>
      <c r="E514" s="761" t="s">
        <v>2443</v>
      </c>
      <c r="F514" s="761" t="s">
        <v>2357</v>
      </c>
      <c r="I514" s="761" t="s">
        <v>6867</v>
      </c>
      <c r="J514" s="761">
        <v>1</v>
      </c>
      <c r="K514" s="746">
        <v>4288.21</v>
      </c>
      <c r="L514" s="746">
        <v>1769.3600000000001</v>
      </c>
      <c r="M514" s="746">
        <v>2518.85</v>
      </c>
      <c r="N514" s="493" t="str">
        <f t="shared" ref="N514:N577" si="8">LEFT(E514,4)</f>
        <v>C390</v>
      </c>
      <c r="O514" s="493" t="s">
        <v>99</v>
      </c>
      <c r="P514" s="493"/>
    </row>
    <row r="515" spans="1:16">
      <c r="A515" s="761" t="s">
        <v>2339</v>
      </c>
      <c r="B515" s="761" t="s">
        <v>2340</v>
      </c>
      <c r="C515" s="761" t="s">
        <v>2365</v>
      </c>
      <c r="D515" s="761">
        <v>6088779</v>
      </c>
      <c r="E515" s="761" t="s">
        <v>2443</v>
      </c>
      <c r="F515" s="761" t="s">
        <v>2357</v>
      </c>
      <c r="I515" s="761" t="s">
        <v>6867</v>
      </c>
      <c r="J515" s="761">
        <v>1</v>
      </c>
      <c r="K515" s="746">
        <v>697.98</v>
      </c>
      <c r="L515" s="746">
        <v>287.99</v>
      </c>
      <c r="M515" s="746">
        <v>409.99</v>
      </c>
      <c r="N515" s="493" t="str">
        <f t="shared" si="8"/>
        <v>C390</v>
      </c>
      <c r="O515" s="493" t="s">
        <v>99</v>
      </c>
      <c r="P515" s="493"/>
    </row>
    <row r="516" spans="1:16">
      <c r="A516" s="761" t="s">
        <v>2339</v>
      </c>
      <c r="B516" s="761" t="s">
        <v>2340</v>
      </c>
      <c r="C516" s="761" t="s">
        <v>2609</v>
      </c>
      <c r="D516" s="761">
        <v>104851</v>
      </c>
      <c r="E516" s="761" t="s">
        <v>2443</v>
      </c>
      <c r="F516" s="761" t="s">
        <v>2357</v>
      </c>
      <c r="I516" s="761" t="s">
        <v>6867</v>
      </c>
      <c r="J516" s="761">
        <v>0</v>
      </c>
      <c r="K516" s="746">
        <v>5588.7300000000005</v>
      </c>
      <c r="L516" s="746">
        <v>2098.7800000000002</v>
      </c>
      <c r="M516" s="746">
        <v>3489.9500000000003</v>
      </c>
      <c r="N516" s="493" t="str">
        <f t="shared" si="8"/>
        <v>C390</v>
      </c>
      <c r="O516" s="493" t="s">
        <v>390</v>
      </c>
      <c r="P516" s="493"/>
    </row>
    <row r="517" spans="1:16">
      <c r="A517" s="761" t="s">
        <v>2339</v>
      </c>
      <c r="B517" s="761" t="s">
        <v>2340</v>
      </c>
      <c r="C517" s="761" t="s">
        <v>2447</v>
      </c>
      <c r="D517" s="761">
        <v>81249</v>
      </c>
      <c r="E517" s="761" t="s">
        <v>2443</v>
      </c>
      <c r="F517" s="761" t="s">
        <v>2357</v>
      </c>
      <c r="I517" s="761" t="s">
        <v>6867</v>
      </c>
      <c r="J517" s="761">
        <v>0</v>
      </c>
      <c r="K517" s="746">
        <v>8767.69</v>
      </c>
      <c r="L517" s="746">
        <v>3128</v>
      </c>
      <c r="M517" s="746">
        <v>5639.6900000000005</v>
      </c>
      <c r="N517" s="493" t="str">
        <f t="shared" si="8"/>
        <v>C390</v>
      </c>
      <c r="O517" s="493" t="s">
        <v>99</v>
      </c>
      <c r="P517" s="493"/>
    </row>
    <row r="518" spans="1:16">
      <c r="A518" s="761" t="s">
        <v>2339</v>
      </c>
      <c r="B518" s="761" t="s">
        <v>2340</v>
      </c>
      <c r="C518" s="761" t="s">
        <v>2447</v>
      </c>
      <c r="D518" s="761">
        <v>81250</v>
      </c>
      <c r="E518" s="761" t="s">
        <v>2443</v>
      </c>
      <c r="F518" s="761" t="s">
        <v>2357</v>
      </c>
      <c r="I518" s="761" t="s">
        <v>6867</v>
      </c>
      <c r="J518" s="761">
        <v>0</v>
      </c>
      <c r="K518" s="746">
        <v>9726.85</v>
      </c>
      <c r="L518" s="746">
        <v>3470.19</v>
      </c>
      <c r="M518" s="746">
        <v>6256.66</v>
      </c>
      <c r="N518" s="493" t="str">
        <f t="shared" si="8"/>
        <v>C390</v>
      </c>
      <c r="O518" s="493" t="s">
        <v>99</v>
      </c>
      <c r="P518" s="493"/>
    </row>
    <row r="519" spans="1:16">
      <c r="A519" s="761" t="s">
        <v>2339</v>
      </c>
      <c r="B519" s="761" t="s">
        <v>2340</v>
      </c>
      <c r="C519" s="761" t="s">
        <v>2447</v>
      </c>
      <c r="D519" s="761">
        <v>81251</v>
      </c>
      <c r="E519" s="761" t="s">
        <v>2443</v>
      </c>
      <c r="F519" s="761" t="s">
        <v>2357</v>
      </c>
      <c r="I519" s="761" t="s">
        <v>6867</v>
      </c>
      <c r="J519" s="761">
        <v>0</v>
      </c>
      <c r="K519" s="746">
        <v>60005.760000000002</v>
      </c>
      <c r="L519" s="746">
        <v>21407.91</v>
      </c>
      <c r="M519" s="746">
        <v>38597.85</v>
      </c>
      <c r="N519" s="493" t="str">
        <f t="shared" si="8"/>
        <v>C390</v>
      </c>
      <c r="O519" s="493" t="s">
        <v>99</v>
      </c>
      <c r="P519" s="493"/>
    </row>
    <row r="520" spans="1:16">
      <c r="A520" s="761" t="s">
        <v>2339</v>
      </c>
      <c r="B520" s="761" t="s">
        <v>2340</v>
      </c>
      <c r="C520" s="761" t="s">
        <v>2447</v>
      </c>
      <c r="D520" s="761">
        <v>105248</v>
      </c>
      <c r="E520" s="761" t="s">
        <v>2443</v>
      </c>
      <c r="F520" s="761" t="s">
        <v>2357</v>
      </c>
      <c r="I520" s="761" t="s">
        <v>6867</v>
      </c>
      <c r="J520" s="761">
        <v>0</v>
      </c>
      <c r="K520" s="746">
        <v>9592.99</v>
      </c>
      <c r="L520" s="746">
        <v>3422.44</v>
      </c>
      <c r="M520" s="746">
        <v>6170.55</v>
      </c>
      <c r="N520" s="493" t="str">
        <f t="shared" si="8"/>
        <v>C390</v>
      </c>
      <c r="O520" s="493" t="s">
        <v>99</v>
      </c>
      <c r="P520" s="493"/>
    </row>
    <row r="521" spans="1:16">
      <c r="A521" s="761" t="s">
        <v>2339</v>
      </c>
      <c r="B521" s="761" t="s">
        <v>2340</v>
      </c>
      <c r="C521" s="761" t="s">
        <v>2367</v>
      </c>
      <c r="D521" s="761">
        <v>19965472</v>
      </c>
      <c r="E521" s="761" t="s">
        <v>2443</v>
      </c>
      <c r="F521" s="761" t="s">
        <v>2357</v>
      </c>
      <c r="I521" s="761" t="s">
        <v>6867</v>
      </c>
      <c r="J521" s="761">
        <v>0</v>
      </c>
      <c r="K521" s="746">
        <v>13501.01</v>
      </c>
      <c r="L521" s="746">
        <v>4816.68</v>
      </c>
      <c r="M521" s="746">
        <v>8684.33</v>
      </c>
      <c r="N521" s="493" t="str">
        <f t="shared" si="8"/>
        <v>C390</v>
      </c>
      <c r="O521" s="493" t="s">
        <v>390</v>
      </c>
      <c r="P521" s="493"/>
    </row>
    <row r="522" spans="1:16">
      <c r="A522" s="761" t="s">
        <v>2339</v>
      </c>
      <c r="B522" s="761" t="s">
        <v>2340</v>
      </c>
      <c r="C522" s="761" t="s">
        <v>2365</v>
      </c>
      <c r="D522" s="761">
        <v>6088781</v>
      </c>
      <c r="E522" s="761" t="s">
        <v>2443</v>
      </c>
      <c r="F522" s="761" t="s">
        <v>2357</v>
      </c>
      <c r="I522" s="761" t="s">
        <v>6867</v>
      </c>
      <c r="J522" s="761">
        <v>0</v>
      </c>
      <c r="K522" s="746">
        <v>7340.9800000000005</v>
      </c>
      <c r="L522" s="746">
        <v>2480.2000000000003</v>
      </c>
      <c r="M522" s="746">
        <v>4860.78</v>
      </c>
      <c r="N522" s="493" t="str">
        <f t="shared" si="8"/>
        <v>C390</v>
      </c>
      <c r="O522" s="493" t="s">
        <v>99</v>
      </c>
      <c r="P522" s="493"/>
    </row>
    <row r="523" spans="1:16">
      <c r="A523" s="761" t="s">
        <v>2339</v>
      </c>
      <c r="B523" s="761" t="s">
        <v>2340</v>
      </c>
      <c r="C523" s="761" t="s">
        <v>2367</v>
      </c>
      <c r="D523" s="761">
        <v>19965459</v>
      </c>
      <c r="E523" s="761" t="s">
        <v>2443</v>
      </c>
      <c r="F523" s="761" t="s">
        <v>2357</v>
      </c>
      <c r="I523" s="761" t="s">
        <v>6867</v>
      </c>
      <c r="J523" s="761">
        <v>1</v>
      </c>
      <c r="K523" s="746">
        <v>72587.06</v>
      </c>
      <c r="L523" s="746">
        <v>23142.28</v>
      </c>
      <c r="M523" s="746">
        <v>49444.78</v>
      </c>
      <c r="N523" s="493" t="str">
        <f t="shared" si="8"/>
        <v>C390</v>
      </c>
      <c r="O523" s="493" t="s">
        <v>390</v>
      </c>
      <c r="P523" s="493"/>
    </row>
    <row r="524" spans="1:16">
      <c r="A524" s="761" t="s">
        <v>2339</v>
      </c>
      <c r="B524" s="761" t="s">
        <v>2340</v>
      </c>
      <c r="C524" s="761" t="s">
        <v>2451</v>
      </c>
      <c r="D524" s="761">
        <v>6040146</v>
      </c>
      <c r="E524" s="761" t="s">
        <v>2443</v>
      </c>
      <c r="F524" s="761">
        <v>131202841</v>
      </c>
      <c r="G524" s="761" t="s">
        <v>2452</v>
      </c>
      <c r="H524" s="761" t="s">
        <v>7300</v>
      </c>
      <c r="I524" s="761" t="s">
        <v>6867</v>
      </c>
      <c r="J524" s="761">
        <v>1</v>
      </c>
      <c r="K524" s="746">
        <v>30334.25</v>
      </c>
      <c r="L524" s="746">
        <v>9089.9</v>
      </c>
      <c r="M524" s="746">
        <v>21244.350000000002</v>
      </c>
      <c r="N524" s="493" t="str">
        <f t="shared" si="8"/>
        <v>C390</v>
      </c>
      <c r="O524" s="493" t="s">
        <v>95</v>
      </c>
      <c r="P524" s="493"/>
    </row>
    <row r="525" spans="1:16">
      <c r="A525" s="761" t="s">
        <v>2339</v>
      </c>
      <c r="B525" s="761" t="s">
        <v>2340</v>
      </c>
      <c r="C525" s="761" t="s">
        <v>2449</v>
      </c>
      <c r="D525" s="761">
        <v>6040155</v>
      </c>
      <c r="E525" s="761" t="s">
        <v>2443</v>
      </c>
      <c r="F525" s="761">
        <v>131202840</v>
      </c>
      <c r="G525" s="761" t="s">
        <v>2450</v>
      </c>
      <c r="H525" s="761" t="s">
        <v>7301</v>
      </c>
      <c r="I525" s="761" t="s">
        <v>6867</v>
      </c>
      <c r="J525" s="761">
        <v>1</v>
      </c>
      <c r="K525" s="746">
        <v>31306.39</v>
      </c>
      <c r="L525" s="746">
        <v>9381.2100000000009</v>
      </c>
      <c r="M525" s="746">
        <v>21925.18</v>
      </c>
      <c r="N525" s="493" t="str">
        <f t="shared" si="8"/>
        <v>C390</v>
      </c>
      <c r="O525" s="493" t="s">
        <v>95</v>
      </c>
      <c r="P525" s="493"/>
    </row>
    <row r="526" spans="1:16">
      <c r="A526" s="761" t="s">
        <v>2339</v>
      </c>
      <c r="B526" s="761" t="s">
        <v>2340</v>
      </c>
      <c r="C526" s="761" t="s">
        <v>2367</v>
      </c>
      <c r="D526" s="761">
        <v>19965108</v>
      </c>
      <c r="E526" s="761" t="s">
        <v>2443</v>
      </c>
      <c r="F526" s="761">
        <v>131102322</v>
      </c>
      <c r="G526" s="761" t="s">
        <v>2444</v>
      </c>
      <c r="H526" s="761" t="s">
        <v>2444</v>
      </c>
      <c r="I526" s="761" t="s">
        <v>6867</v>
      </c>
      <c r="J526" s="761">
        <v>1</v>
      </c>
      <c r="K526" s="746">
        <v>6980.1900000000005</v>
      </c>
      <c r="L526" s="746">
        <v>2091.67</v>
      </c>
      <c r="M526" s="746">
        <v>4888.5200000000004</v>
      </c>
      <c r="N526" s="493" t="str">
        <f t="shared" si="8"/>
        <v>C390</v>
      </c>
      <c r="O526" s="493" t="s">
        <v>390</v>
      </c>
      <c r="P526" s="493"/>
    </row>
    <row r="527" spans="1:16">
      <c r="A527" s="761" t="s">
        <v>2339</v>
      </c>
      <c r="B527" s="761" t="s">
        <v>2340</v>
      </c>
      <c r="C527" s="761" t="s">
        <v>2365</v>
      </c>
      <c r="D527" s="761">
        <v>6922116</v>
      </c>
      <c r="E527" s="761" t="s">
        <v>2443</v>
      </c>
      <c r="F527" s="761">
        <v>131203340</v>
      </c>
      <c r="G527" s="761" t="s">
        <v>2453</v>
      </c>
      <c r="H527" s="761" t="s">
        <v>7302</v>
      </c>
      <c r="I527" s="761" t="s">
        <v>6867</v>
      </c>
      <c r="J527" s="761">
        <v>0</v>
      </c>
      <c r="K527" s="746">
        <v>12425.61</v>
      </c>
      <c r="L527" s="746">
        <v>3484.23</v>
      </c>
      <c r="M527" s="746">
        <v>8941.380000000001</v>
      </c>
      <c r="N527" s="493" t="str">
        <f t="shared" si="8"/>
        <v>C390</v>
      </c>
      <c r="O527" s="493" t="s">
        <v>99</v>
      </c>
      <c r="P527" s="493"/>
    </row>
    <row r="528" spans="1:16">
      <c r="A528" s="761" t="s">
        <v>2339</v>
      </c>
      <c r="B528" s="761" t="s">
        <v>2340</v>
      </c>
      <c r="C528" s="761" t="s">
        <v>2447</v>
      </c>
      <c r="D528" s="761">
        <v>7303351</v>
      </c>
      <c r="E528" s="761" t="s">
        <v>2443</v>
      </c>
      <c r="F528" s="761">
        <v>131202060</v>
      </c>
      <c r="G528" s="761" t="s">
        <v>2448</v>
      </c>
      <c r="H528" s="761" t="s">
        <v>2448</v>
      </c>
      <c r="I528" s="761" t="s">
        <v>6867</v>
      </c>
      <c r="J528" s="761">
        <v>0</v>
      </c>
      <c r="K528" s="746">
        <v>463736.06</v>
      </c>
      <c r="L528" s="746">
        <v>121068.75</v>
      </c>
      <c r="M528" s="746">
        <v>342667.31</v>
      </c>
      <c r="N528" s="493" t="str">
        <f t="shared" si="8"/>
        <v>C390</v>
      </c>
      <c r="O528" s="493" t="s">
        <v>99</v>
      </c>
      <c r="P528" s="493"/>
    </row>
    <row r="529" spans="1:16">
      <c r="A529" s="761" t="s">
        <v>2339</v>
      </c>
      <c r="B529" s="761" t="s">
        <v>2340</v>
      </c>
      <c r="C529" s="761" t="s">
        <v>2447</v>
      </c>
      <c r="D529" s="761">
        <v>8504647</v>
      </c>
      <c r="E529" s="761" t="s">
        <v>2443</v>
      </c>
      <c r="F529" s="761">
        <v>131203540</v>
      </c>
      <c r="G529" s="761" t="s">
        <v>2454</v>
      </c>
      <c r="H529" s="761" t="s">
        <v>2454</v>
      </c>
      <c r="I529" s="761" t="s">
        <v>6867</v>
      </c>
      <c r="J529" s="761">
        <v>1</v>
      </c>
      <c r="K529" s="746">
        <v>6022.22</v>
      </c>
      <c r="L529" s="746">
        <v>1572.24</v>
      </c>
      <c r="M529" s="746">
        <v>4449.9800000000005</v>
      </c>
      <c r="N529" s="493" t="str">
        <f t="shared" si="8"/>
        <v>C390</v>
      </c>
      <c r="O529" s="493" t="s">
        <v>99</v>
      </c>
      <c r="P529" s="493"/>
    </row>
    <row r="530" spans="1:16">
      <c r="A530" s="761" t="s">
        <v>2339</v>
      </c>
      <c r="B530" s="761" t="s">
        <v>2340</v>
      </c>
      <c r="C530" s="761" t="s">
        <v>2447</v>
      </c>
      <c r="D530" s="761">
        <v>8504652</v>
      </c>
      <c r="E530" s="761" t="s">
        <v>2443</v>
      </c>
      <c r="F530" s="761">
        <v>131203540</v>
      </c>
      <c r="G530" s="761" t="s">
        <v>2454</v>
      </c>
      <c r="H530" s="761" t="s">
        <v>2454</v>
      </c>
      <c r="I530" s="761" t="s">
        <v>6867</v>
      </c>
      <c r="J530" s="761">
        <v>1</v>
      </c>
      <c r="K530" s="746">
        <v>135658.43</v>
      </c>
      <c r="L530" s="746">
        <v>35416.69</v>
      </c>
      <c r="M530" s="746">
        <v>100241.74</v>
      </c>
      <c r="N530" s="493" t="str">
        <f t="shared" si="8"/>
        <v>C390</v>
      </c>
      <c r="O530" s="493" t="s">
        <v>99</v>
      </c>
      <c r="P530" s="493"/>
    </row>
    <row r="531" spans="1:16">
      <c r="A531" s="761" t="s">
        <v>2339</v>
      </c>
      <c r="B531" s="761" t="s">
        <v>2340</v>
      </c>
      <c r="C531" s="761" t="s">
        <v>2447</v>
      </c>
      <c r="D531" s="761">
        <v>8504653</v>
      </c>
      <c r="E531" s="761" t="s">
        <v>2443</v>
      </c>
      <c r="F531" s="761">
        <v>131203540</v>
      </c>
      <c r="G531" s="761" t="s">
        <v>2454</v>
      </c>
      <c r="H531" s="761" t="s">
        <v>2454</v>
      </c>
      <c r="I531" s="761" t="s">
        <v>6867</v>
      </c>
      <c r="J531" s="761">
        <v>1</v>
      </c>
      <c r="K531" s="746">
        <v>4998.4400000000005</v>
      </c>
      <c r="L531" s="746">
        <v>1304.96</v>
      </c>
      <c r="M531" s="746">
        <v>3693.48</v>
      </c>
      <c r="N531" s="493" t="str">
        <f t="shared" si="8"/>
        <v>C390</v>
      </c>
      <c r="O531" s="493" t="s">
        <v>99</v>
      </c>
      <c r="P531" s="493"/>
    </row>
    <row r="532" spans="1:16">
      <c r="A532" s="761" t="s">
        <v>2339</v>
      </c>
      <c r="B532" s="761" t="s">
        <v>2340</v>
      </c>
      <c r="C532" s="761" t="s">
        <v>2447</v>
      </c>
      <c r="D532" s="761">
        <v>8504654</v>
      </c>
      <c r="E532" s="761" t="s">
        <v>2443</v>
      </c>
      <c r="F532" s="761">
        <v>131203540</v>
      </c>
      <c r="G532" s="761" t="s">
        <v>2454</v>
      </c>
      <c r="H532" s="761" t="s">
        <v>2454</v>
      </c>
      <c r="I532" s="761" t="s">
        <v>6867</v>
      </c>
      <c r="J532" s="761">
        <v>1</v>
      </c>
      <c r="K532" s="746">
        <v>10417.33</v>
      </c>
      <c r="L532" s="746">
        <v>2719.68</v>
      </c>
      <c r="M532" s="746">
        <v>7697.6500000000005</v>
      </c>
      <c r="N532" s="493" t="str">
        <f t="shared" si="8"/>
        <v>C390</v>
      </c>
      <c r="O532" s="493" t="s">
        <v>99</v>
      </c>
      <c r="P532" s="493"/>
    </row>
    <row r="533" spans="1:16">
      <c r="A533" s="761" t="s">
        <v>2339</v>
      </c>
      <c r="B533" s="761" t="s">
        <v>2340</v>
      </c>
      <c r="C533" s="761" t="s">
        <v>2447</v>
      </c>
      <c r="D533" s="761">
        <v>8504655</v>
      </c>
      <c r="E533" s="761" t="s">
        <v>2443</v>
      </c>
      <c r="F533" s="761">
        <v>131203540</v>
      </c>
      <c r="G533" s="761" t="s">
        <v>2454</v>
      </c>
      <c r="H533" s="761" t="s">
        <v>2454</v>
      </c>
      <c r="I533" s="761" t="s">
        <v>6867</v>
      </c>
      <c r="J533" s="761">
        <v>1</v>
      </c>
      <c r="K533" s="746">
        <v>437.86</v>
      </c>
      <c r="L533" s="746">
        <v>114.31</v>
      </c>
      <c r="M533" s="746">
        <v>323.55</v>
      </c>
      <c r="N533" s="493" t="str">
        <f t="shared" si="8"/>
        <v>C390</v>
      </c>
      <c r="O533" s="493" t="s">
        <v>99</v>
      </c>
      <c r="P533" s="493"/>
    </row>
    <row r="534" spans="1:16">
      <c r="A534" s="761" t="s">
        <v>2339</v>
      </c>
      <c r="B534" s="761" t="s">
        <v>2340</v>
      </c>
      <c r="C534" s="761" t="s">
        <v>2447</v>
      </c>
      <c r="D534" s="761">
        <v>7857716</v>
      </c>
      <c r="E534" s="761" t="s">
        <v>2443</v>
      </c>
      <c r="F534" s="761">
        <v>131202060</v>
      </c>
      <c r="G534" s="761" t="s">
        <v>2448</v>
      </c>
      <c r="H534" s="761" t="s">
        <v>2448</v>
      </c>
      <c r="I534" s="761" t="s">
        <v>6867</v>
      </c>
      <c r="J534" s="761">
        <v>0</v>
      </c>
      <c r="K534" s="746">
        <v>107417.23</v>
      </c>
      <c r="L534" s="746">
        <v>30120.59</v>
      </c>
      <c r="M534" s="746">
        <v>77296.639999999999</v>
      </c>
      <c r="N534" s="493" t="str">
        <f t="shared" si="8"/>
        <v>C390</v>
      </c>
      <c r="O534" s="493" t="s">
        <v>99</v>
      </c>
      <c r="P534" s="493"/>
    </row>
    <row r="535" spans="1:16">
      <c r="A535" s="761" t="s">
        <v>2339</v>
      </c>
      <c r="B535" s="761" t="s">
        <v>2340</v>
      </c>
      <c r="C535" s="761" t="s">
        <v>2455</v>
      </c>
      <c r="D535" s="761">
        <v>11406933</v>
      </c>
      <c r="E535" s="761" t="s">
        <v>2443</v>
      </c>
      <c r="F535" s="761">
        <v>131204280</v>
      </c>
      <c r="G535" s="761" t="s">
        <v>2456</v>
      </c>
      <c r="H535" s="761" t="s">
        <v>2456</v>
      </c>
      <c r="I535" s="761" t="s">
        <v>6867</v>
      </c>
      <c r="J535" s="761">
        <v>0</v>
      </c>
      <c r="K535" s="746">
        <v>212464.28</v>
      </c>
      <c r="L535" s="746">
        <v>55468.590000000004</v>
      </c>
      <c r="M535" s="746">
        <v>156995.69</v>
      </c>
      <c r="N535" s="493" t="str">
        <f t="shared" si="8"/>
        <v>C390</v>
      </c>
      <c r="O535" s="493" t="s">
        <v>95</v>
      </c>
      <c r="P535" s="493"/>
    </row>
    <row r="536" spans="1:16">
      <c r="A536" s="761" t="s">
        <v>2339</v>
      </c>
      <c r="B536" s="761" t="s">
        <v>2340</v>
      </c>
      <c r="C536" s="761" t="s">
        <v>2367</v>
      </c>
      <c r="D536" s="761">
        <v>19965147</v>
      </c>
      <c r="E536" s="761" t="s">
        <v>2443</v>
      </c>
      <c r="F536" s="761">
        <v>131104440</v>
      </c>
      <c r="G536" s="761" t="s">
        <v>2446</v>
      </c>
      <c r="H536" s="761" t="s">
        <v>7303</v>
      </c>
      <c r="I536" s="761" t="s">
        <v>6867</v>
      </c>
      <c r="J536" s="761">
        <v>3</v>
      </c>
      <c r="K536" s="746">
        <v>51604.58</v>
      </c>
      <c r="L536" s="746">
        <v>12471.18</v>
      </c>
      <c r="M536" s="746">
        <v>39133.4</v>
      </c>
      <c r="N536" s="493" t="str">
        <f t="shared" si="8"/>
        <v>C390</v>
      </c>
      <c r="O536" s="493" t="s">
        <v>390</v>
      </c>
      <c r="P536" s="493"/>
    </row>
    <row r="537" spans="1:16">
      <c r="A537" s="761" t="s">
        <v>2339</v>
      </c>
      <c r="B537" s="761" t="s">
        <v>2340</v>
      </c>
      <c r="C537" s="761" t="s">
        <v>2367</v>
      </c>
      <c r="D537" s="761">
        <v>19965134</v>
      </c>
      <c r="E537" s="761" t="s">
        <v>2443</v>
      </c>
      <c r="F537" s="761">
        <v>131104401</v>
      </c>
      <c r="G537" s="761" t="s">
        <v>2445</v>
      </c>
      <c r="H537" s="761" t="s">
        <v>2445</v>
      </c>
      <c r="I537" s="761" t="s">
        <v>6867</v>
      </c>
      <c r="J537" s="761">
        <v>1</v>
      </c>
      <c r="K537" s="746">
        <v>42403.55</v>
      </c>
      <c r="L537" s="746">
        <v>10247.59</v>
      </c>
      <c r="M537" s="746">
        <v>32155.96</v>
      </c>
      <c r="N537" s="493" t="str">
        <f t="shared" si="8"/>
        <v>C390</v>
      </c>
      <c r="O537" s="493" t="s">
        <v>390</v>
      </c>
      <c r="P537" s="493"/>
    </row>
    <row r="538" spans="1:16">
      <c r="A538" s="761" t="s">
        <v>2339</v>
      </c>
      <c r="B538" s="761" t="s">
        <v>2340</v>
      </c>
      <c r="C538" s="761" t="s">
        <v>2460</v>
      </c>
      <c r="D538" s="761">
        <v>11414799</v>
      </c>
      <c r="E538" s="761" t="s">
        <v>2443</v>
      </c>
      <c r="F538" s="761">
        <v>143000881</v>
      </c>
      <c r="G538" s="761" t="s">
        <v>2461</v>
      </c>
      <c r="H538" s="761" t="s">
        <v>7304</v>
      </c>
      <c r="I538" s="761" t="s">
        <v>6867</v>
      </c>
      <c r="J538" s="761">
        <v>2</v>
      </c>
      <c r="K538" s="746">
        <v>20564.95</v>
      </c>
      <c r="L538" s="746">
        <v>4569.78</v>
      </c>
      <c r="M538" s="746">
        <v>15995.17</v>
      </c>
      <c r="N538" s="493" t="str">
        <f t="shared" si="8"/>
        <v>C390</v>
      </c>
      <c r="O538" s="493" t="s">
        <v>99</v>
      </c>
      <c r="P538" s="493"/>
    </row>
    <row r="539" spans="1:16" s="763" customFormat="1">
      <c r="A539" s="761" t="s">
        <v>2339</v>
      </c>
      <c r="B539" s="761" t="s">
        <v>2340</v>
      </c>
      <c r="C539" s="761" t="s">
        <v>2447</v>
      </c>
      <c r="D539" s="761">
        <v>14228738</v>
      </c>
      <c r="E539" s="761" t="s">
        <v>2443</v>
      </c>
      <c r="F539" s="761">
        <v>143001042</v>
      </c>
      <c r="G539" s="761" t="s">
        <v>2462</v>
      </c>
      <c r="H539" s="761" t="s">
        <v>7305</v>
      </c>
      <c r="I539" s="761" t="s">
        <v>6867</v>
      </c>
      <c r="J539" s="761">
        <v>1</v>
      </c>
      <c r="K539" s="746">
        <v>6421.68</v>
      </c>
      <c r="L539" s="746">
        <v>1426.98</v>
      </c>
      <c r="M539" s="746">
        <v>4994.7</v>
      </c>
      <c r="N539" s="493" t="str">
        <f t="shared" si="8"/>
        <v>C390</v>
      </c>
      <c r="O539" s="493" t="s">
        <v>95</v>
      </c>
      <c r="P539" s="493"/>
    </row>
    <row r="540" spans="1:16">
      <c r="A540" s="761" t="s">
        <v>2339</v>
      </c>
      <c r="B540" s="761" t="s">
        <v>2340</v>
      </c>
      <c r="C540" s="761" t="s">
        <v>2483</v>
      </c>
      <c r="D540" s="761">
        <v>39529561</v>
      </c>
      <c r="E540" s="761" t="s">
        <v>2443</v>
      </c>
      <c r="F540" s="761">
        <v>153002528</v>
      </c>
      <c r="G540" s="761" t="s">
        <v>2349</v>
      </c>
      <c r="H540" s="761" t="s">
        <v>7267</v>
      </c>
      <c r="I540" s="761" t="s">
        <v>6867</v>
      </c>
      <c r="J540" s="761">
        <v>0</v>
      </c>
      <c r="K540" s="746">
        <v>1875043.47</v>
      </c>
      <c r="L540" s="746">
        <v>380104.57</v>
      </c>
      <c r="M540" s="746">
        <v>1494938.9</v>
      </c>
      <c r="N540" s="493" t="str">
        <f t="shared" si="8"/>
        <v>C390</v>
      </c>
      <c r="O540" s="493" t="s">
        <v>99</v>
      </c>
      <c r="P540" s="493"/>
    </row>
    <row r="541" spans="1:16" s="763" customFormat="1">
      <c r="A541" s="761" t="s">
        <v>2339</v>
      </c>
      <c r="B541" s="761" t="s">
        <v>2340</v>
      </c>
      <c r="C541" s="761" t="s">
        <v>2367</v>
      </c>
      <c r="D541" s="761">
        <v>19965172</v>
      </c>
      <c r="E541" s="761" t="s">
        <v>2443</v>
      </c>
      <c r="F541" s="761">
        <v>141001580</v>
      </c>
      <c r="G541" s="761" t="s">
        <v>2457</v>
      </c>
      <c r="H541" s="761" t="s">
        <v>7306</v>
      </c>
      <c r="I541" s="761" t="s">
        <v>6867</v>
      </c>
      <c r="J541" s="761">
        <v>2</v>
      </c>
      <c r="K541" s="746">
        <v>178288.82</v>
      </c>
      <c r="L541" s="746">
        <v>36142.31</v>
      </c>
      <c r="M541" s="746">
        <v>142146.51</v>
      </c>
      <c r="N541" s="493" t="str">
        <f t="shared" si="8"/>
        <v>C390</v>
      </c>
      <c r="O541" s="493" t="s">
        <v>390</v>
      </c>
      <c r="P541" s="493"/>
    </row>
    <row r="542" spans="1:16">
      <c r="A542" s="761" t="s">
        <v>2339</v>
      </c>
      <c r="B542" s="761" t="s">
        <v>2340</v>
      </c>
      <c r="C542" s="761" t="s">
        <v>2367</v>
      </c>
      <c r="D542" s="761">
        <v>19965185</v>
      </c>
      <c r="E542" s="761" t="s">
        <v>2443</v>
      </c>
      <c r="F542" s="761">
        <v>141001580</v>
      </c>
      <c r="G542" s="761" t="s">
        <v>2457</v>
      </c>
      <c r="H542" s="761" t="s">
        <v>7306</v>
      </c>
      <c r="I542" s="761" t="s">
        <v>6867</v>
      </c>
      <c r="J542" s="761">
        <v>2</v>
      </c>
      <c r="K542" s="746">
        <v>19809.88</v>
      </c>
      <c r="L542" s="746">
        <v>4015.81</v>
      </c>
      <c r="M542" s="746">
        <v>15794.07</v>
      </c>
      <c r="N542" s="493" t="str">
        <f t="shared" si="8"/>
        <v>C390</v>
      </c>
      <c r="O542" s="493" t="s">
        <v>390</v>
      </c>
      <c r="P542" s="493"/>
    </row>
    <row r="543" spans="1:16" s="763" customFormat="1">
      <c r="A543" s="761" t="s">
        <v>2339</v>
      </c>
      <c r="B543" s="761" t="s">
        <v>2340</v>
      </c>
      <c r="C543" s="761" t="s">
        <v>2367</v>
      </c>
      <c r="D543" s="761">
        <v>19917960</v>
      </c>
      <c r="E543" s="761" t="s">
        <v>2443</v>
      </c>
      <c r="F543" s="761">
        <v>143001942</v>
      </c>
      <c r="G543" s="761" t="s">
        <v>2465</v>
      </c>
      <c r="H543" s="761" t="s">
        <v>7307</v>
      </c>
      <c r="I543" s="761" t="s">
        <v>6867</v>
      </c>
      <c r="J543" s="761">
        <v>1</v>
      </c>
      <c r="K543" s="746">
        <v>2026.5900000000001</v>
      </c>
      <c r="L543" s="746">
        <v>371.28000000000003</v>
      </c>
      <c r="M543" s="746">
        <v>1655.31</v>
      </c>
      <c r="N543" s="493" t="str">
        <f t="shared" si="8"/>
        <v>C390</v>
      </c>
      <c r="O543" s="493" t="s">
        <v>390</v>
      </c>
      <c r="P543" s="493"/>
    </row>
    <row r="544" spans="1:16" s="763" customFormat="1">
      <c r="A544" s="761" t="s">
        <v>2339</v>
      </c>
      <c r="B544" s="761" t="s">
        <v>2340</v>
      </c>
      <c r="C544" s="761" t="s">
        <v>2367</v>
      </c>
      <c r="D544" s="761">
        <v>19965198</v>
      </c>
      <c r="E544" s="761" t="s">
        <v>2443</v>
      </c>
      <c r="F544" s="761">
        <v>141002480</v>
      </c>
      <c r="G544" s="761" t="s">
        <v>2458</v>
      </c>
      <c r="H544" s="761" t="s">
        <v>7308</v>
      </c>
      <c r="I544" s="761" t="s">
        <v>6867</v>
      </c>
      <c r="J544" s="761">
        <v>3</v>
      </c>
      <c r="K544" s="746">
        <v>11108.12</v>
      </c>
      <c r="L544" s="746">
        <v>2035.07</v>
      </c>
      <c r="M544" s="746">
        <v>9073.0500000000011</v>
      </c>
      <c r="N544" s="493" t="str">
        <f t="shared" si="8"/>
        <v>C390</v>
      </c>
      <c r="O544" s="493" t="s">
        <v>390</v>
      </c>
      <c r="P544" s="493"/>
    </row>
    <row r="545" spans="1:16" s="763" customFormat="1">
      <c r="A545" s="761" t="s">
        <v>2339</v>
      </c>
      <c r="B545" s="761" t="s">
        <v>2340</v>
      </c>
      <c r="C545" s="761" t="s">
        <v>2463</v>
      </c>
      <c r="D545" s="761">
        <v>20970249</v>
      </c>
      <c r="E545" s="761" t="s">
        <v>2443</v>
      </c>
      <c r="F545" s="761">
        <v>143001940</v>
      </c>
      <c r="G545" s="761" t="s">
        <v>2464</v>
      </c>
      <c r="H545" s="761" t="s">
        <v>2464</v>
      </c>
      <c r="I545" s="761" t="s">
        <v>6867</v>
      </c>
      <c r="J545" s="761">
        <v>0</v>
      </c>
      <c r="K545" s="746">
        <v>426729.5</v>
      </c>
      <c r="L545" s="746">
        <v>69852.59</v>
      </c>
      <c r="M545" s="746">
        <v>356876.91000000003</v>
      </c>
      <c r="N545" s="493" t="str">
        <f t="shared" si="8"/>
        <v>C390</v>
      </c>
      <c r="O545" s="493" t="s">
        <v>99</v>
      </c>
      <c r="P545" s="493"/>
    </row>
    <row r="546" spans="1:16" s="763" customFormat="1">
      <c r="A546" s="761" t="s">
        <v>2339</v>
      </c>
      <c r="B546" s="761" t="s">
        <v>2340</v>
      </c>
      <c r="C546" s="761" t="s">
        <v>2367</v>
      </c>
      <c r="D546" s="761">
        <v>25018697</v>
      </c>
      <c r="E546" s="761" t="s">
        <v>2443</v>
      </c>
      <c r="F546" s="761">
        <v>141002896</v>
      </c>
      <c r="G546" s="761" t="s">
        <v>2459</v>
      </c>
      <c r="H546" s="761" t="s">
        <v>7309</v>
      </c>
      <c r="I546" s="761" t="s">
        <v>6867</v>
      </c>
      <c r="J546" s="761">
        <v>1</v>
      </c>
      <c r="K546" s="746">
        <v>6805.99</v>
      </c>
      <c r="L546" s="746">
        <v>981.35</v>
      </c>
      <c r="M546" s="746">
        <v>5824.64</v>
      </c>
      <c r="N546" s="493" t="str">
        <f t="shared" si="8"/>
        <v>C390</v>
      </c>
      <c r="O546" s="493" t="s">
        <v>390</v>
      </c>
      <c r="P546" s="493"/>
    </row>
    <row r="547" spans="1:16">
      <c r="A547" s="761" t="s">
        <v>2339</v>
      </c>
      <c r="B547" s="761" t="s">
        <v>2340</v>
      </c>
      <c r="C547" s="761" t="s">
        <v>2366</v>
      </c>
      <c r="D547" s="761">
        <v>27906467</v>
      </c>
      <c r="E547" s="761" t="s">
        <v>2443</v>
      </c>
      <c r="F547" s="761">
        <v>143002255</v>
      </c>
      <c r="G547" s="761" t="s">
        <v>2466</v>
      </c>
      <c r="H547" s="761" t="s">
        <v>7310</v>
      </c>
      <c r="I547" s="761" t="s">
        <v>6867</v>
      </c>
      <c r="J547" s="761">
        <v>1</v>
      </c>
      <c r="K547" s="746">
        <v>10146.36</v>
      </c>
      <c r="L547" s="746">
        <v>1463</v>
      </c>
      <c r="M547" s="746">
        <v>8683.36</v>
      </c>
      <c r="N547" s="493" t="str">
        <f t="shared" si="8"/>
        <v>C390</v>
      </c>
      <c r="O547" s="493" t="s">
        <v>99</v>
      </c>
      <c r="P547" s="493"/>
    </row>
    <row r="548" spans="1:16" s="763" customFormat="1">
      <c r="A548" s="761" t="s">
        <v>2339</v>
      </c>
      <c r="B548" s="761" t="s">
        <v>2340</v>
      </c>
      <c r="C548" s="761" t="s">
        <v>2467</v>
      </c>
      <c r="D548" s="761">
        <v>35070322</v>
      </c>
      <c r="E548" s="761" t="s">
        <v>2443</v>
      </c>
      <c r="F548" s="761">
        <v>143002333</v>
      </c>
      <c r="G548" s="761" t="s">
        <v>2468</v>
      </c>
      <c r="H548" s="761" t="s">
        <v>7311</v>
      </c>
      <c r="I548" s="761" t="s">
        <v>6867</v>
      </c>
      <c r="J548" s="761">
        <v>1</v>
      </c>
      <c r="K548" s="746">
        <v>214809.92</v>
      </c>
      <c r="L548" s="746">
        <v>26790.22</v>
      </c>
      <c r="M548" s="746">
        <v>188019.7</v>
      </c>
      <c r="N548" s="493" t="str">
        <f t="shared" si="8"/>
        <v>C390</v>
      </c>
      <c r="O548" s="493" t="s">
        <v>99</v>
      </c>
      <c r="P548" s="493"/>
    </row>
    <row r="549" spans="1:16" s="763" customFormat="1">
      <c r="A549" s="761" t="s">
        <v>2339</v>
      </c>
      <c r="B549" s="761" t="s">
        <v>2340</v>
      </c>
      <c r="C549" s="761" t="s">
        <v>2467</v>
      </c>
      <c r="D549" s="761">
        <v>35070327</v>
      </c>
      <c r="E549" s="761" t="s">
        <v>2443</v>
      </c>
      <c r="F549" s="761">
        <v>143002333</v>
      </c>
      <c r="G549" s="761" t="s">
        <v>2468</v>
      </c>
      <c r="H549" s="761" t="s">
        <v>7311</v>
      </c>
      <c r="I549" s="761" t="s">
        <v>6867</v>
      </c>
      <c r="J549" s="761">
        <v>2</v>
      </c>
      <c r="K549" s="746">
        <v>717660.39</v>
      </c>
      <c r="L549" s="746">
        <v>89503.680000000008</v>
      </c>
      <c r="M549" s="746">
        <v>628156.71</v>
      </c>
      <c r="N549" s="493" t="str">
        <f t="shared" si="8"/>
        <v>C390</v>
      </c>
      <c r="O549" s="493" t="s">
        <v>99</v>
      </c>
      <c r="P549" s="493"/>
    </row>
    <row r="550" spans="1:16" s="763" customFormat="1">
      <c r="A550" s="761" t="s">
        <v>2339</v>
      </c>
      <c r="B550" s="761" t="s">
        <v>2340</v>
      </c>
      <c r="C550" s="761" t="s">
        <v>2471</v>
      </c>
      <c r="D550" s="761">
        <v>35070348</v>
      </c>
      <c r="E550" s="761" t="s">
        <v>2443</v>
      </c>
      <c r="F550" s="761">
        <v>143003443</v>
      </c>
      <c r="G550" s="761" t="s">
        <v>2475</v>
      </c>
      <c r="H550" s="761" t="s">
        <v>2475</v>
      </c>
      <c r="I550" s="761" t="s">
        <v>6867</v>
      </c>
      <c r="J550" s="761">
        <v>1</v>
      </c>
      <c r="K550" s="746">
        <v>286354.95</v>
      </c>
      <c r="L550" s="746">
        <v>35713.020000000004</v>
      </c>
      <c r="M550" s="746">
        <v>250641.93</v>
      </c>
      <c r="N550" s="493" t="str">
        <f t="shared" si="8"/>
        <v>C390</v>
      </c>
      <c r="O550" s="493" t="s">
        <v>99</v>
      </c>
      <c r="P550" s="493"/>
    </row>
    <row r="551" spans="1:16" s="763" customFormat="1">
      <c r="A551" s="761" t="s">
        <v>2339</v>
      </c>
      <c r="B551" s="761" t="s">
        <v>2340</v>
      </c>
      <c r="C551" s="761" t="s">
        <v>2471</v>
      </c>
      <c r="D551" s="761">
        <v>36001883</v>
      </c>
      <c r="E551" s="761" t="s">
        <v>2443</v>
      </c>
      <c r="F551" s="761">
        <v>143003067</v>
      </c>
      <c r="G551" s="761" t="s">
        <v>2472</v>
      </c>
      <c r="H551" s="761" t="s">
        <v>2472</v>
      </c>
      <c r="I551" s="761" t="s">
        <v>6867</v>
      </c>
      <c r="J551" s="761">
        <v>1</v>
      </c>
      <c r="K551" s="746">
        <v>621818.57000000007</v>
      </c>
      <c r="L551" s="746">
        <v>77550.680000000008</v>
      </c>
      <c r="M551" s="746">
        <v>544267.89</v>
      </c>
      <c r="N551" s="493" t="str">
        <f t="shared" si="8"/>
        <v>C390</v>
      </c>
      <c r="O551" s="493" t="s">
        <v>99</v>
      </c>
      <c r="P551" s="493"/>
    </row>
    <row r="552" spans="1:16" s="763" customFormat="1">
      <c r="A552" s="761" t="s">
        <v>2339</v>
      </c>
      <c r="B552" s="761" t="s">
        <v>2340</v>
      </c>
      <c r="C552" s="761" t="s">
        <v>2471</v>
      </c>
      <c r="D552" s="761">
        <v>36001888</v>
      </c>
      <c r="E552" s="761" t="s">
        <v>2443</v>
      </c>
      <c r="F552" s="761">
        <v>143003067</v>
      </c>
      <c r="G552" s="761" t="s">
        <v>2472</v>
      </c>
      <c r="H552" s="761" t="s">
        <v>2472</v>
      </c>
      <c r="I552" s="761" t="s">
        <v>6867</v>
      </c>
      <c r="J552" s="761">
        <v>1</v>
      </c>
      <c r="K552" s="746">
        <v>88831.23</v>
      </c>
      <c r="L552" s="746">
        <v>11078.67</v>
      </c>
      <c r="M552" s="746">
        <v>77752.56</v>
      </c>
      <c r="N552" s="493" t="str">
        <f t="shared" si="8"/>
        <v>C390</v>
      </c>
      <c r="O552" s="493" t="s">
        <v>99</v>
      </c>
      <c r="P552" s="493"/>
    </row>
    <row r="553" spans="1:16" s="763" customFormat="1">
      <c r="A553" s="761" t="s">
        <v>2339</v>
      </c>
      <c r="B553" s="761" t="s">
        <v>2340</v>
      </c>
      <c r="C553" s="761" t="s">
        <v>2473</v>
      </c>
      <c r="D553" s="761">
        <v>52234871</v>
      </c>
      <c r="E553" s="761" t="s">
        <v>2443</v>
      </c>
      <c r="F553" s="761">
        <v>143003720</v>
      </c>
      <c r="G553" s="761" t="s">
        <v>2486</v>
      </c>
      <c r="H553" s="761" t="s">
        <v>2486</v>
      </c>
      <c r="I553" s="761" t="s">
        <v>6867</v>
      </c>
      <c r="J553" s="761">
        <v>1</v>
      </c>
      <c r="K553" s="746">
        <v>53864.79</v>
      </c>
      <c r="L553" s="746">
        <v>6717.8</v>
      </c>
      <c r="M553" s="746">
        <v>47146.99</v>
      </c>
      <c r="N553" s="493" t="str">
        <f t="shared" si="8"/>
        <v>C390</v>
      </c>
      <c r="O553" s="493" t="s">
        <v>99</v>
      </c>
      <c r="P553" s="493" t="s">
        <v>2501</v>
      </c>
    </row>
    <row r="554" spans="1:16">
      <c r="A554" s="761" t="s">
        <v>2339</v>
      </c>
      <c r="B554" s="761" t="s">
        <v>2340</v>
      </c>
      <c r="C554" s="761" t="s">
        <v>2352</v>
      </c>
      <c r="D554" s="761">
        <v>30990191</v>
      </c>
      <c r="E554" s="761" t="s">
        <v>2443</v>
      </c>
      <c r="F554" s="761">
        <v>153003050</v>
      </c>
      <c r="G554" s="761" t="s">
        <v>2353</v>
      </c>
      <c r="H554" s="761" t="s">
        <v>7269</v>
      </c>
      <c r="I554" s="761" t="s">
        <v>6867</v>
      </c>
      <c r="J554" s="761">
        <v>1</v>
      </c>
      <c r="K554" s="746">
        <v>1839473.8</v>
      </c>
      <c r="L554" s="746">
        <v>229411.69</v>
      </c>
      <c r="M554" s="746">
        <v>1610062.1099999999</v>
      </c>
      <c r="N554" s="493" t="str">
        <f t="shared" si="8"/>
        <v>C390</v>
      </c>
      <c r="O554" s="493" t="s">
        <v>99</v>
      </c>
      <c r="P554" s="493"/>
    </row>
    <row r="555" spans="1:16" s="763" customFormat="1">
      <c r="A555" s="761" t="s">
        <v>2339</v>
      </c>
      <c r="B555" s="761" t="s">
        <v>2340</v>
      </c>
      <c r="C555" s="761" t="s">
        <v>2352</v>
      </c>
      <c r="D555" s="761">
        <v>32787780</v>
      </c>
      <c r="E555" s="761" t="s">
        <v>2443</v>
      </c>
      <c r="F555" s="761">
        <v>153003050</v>
      </c>
      <c r="G555" s="761" t="s">
        <v>2353</v>
      </c>
      <c r="H555" s="761" t="s">
        <v>7269</v>
      </c>
      <c r="I555" s="761" t="s">
        <v>6867</v>
      </c>
      <c r="J555" s="761">
        <v>1</v>
      </c>
      <c r="K555" s="746">
        <v>364292.97000000003</v>
      </c>
      <c r="L555" s="746">
        <v>45433.14</v>
      </c>
      <c r="M555" s="746">
        <v>318859.83</v>
      </c>
      <c r="N555" s="493" t="str">
        <f t="shared" si="8"/>
        <v>C390</v>
      </c>
      <c r="O555" s="493" t="s">
        <v>99</v>
      </c>
      <c r="P555" s="493"/>
    </row>
    <row r="556" spans="1:16" s="763" customFormat="1">
      <c r="A556" s="761" t="s">
        <v>2339</v>
      </c>
      <c r="B556" s="761" t="s">
        <v>2340</v>
      </c>
      <c r="C556" s="761" t="s">
        <v>2352</v>
      </c>
      <c r="D556" s="761">
        <v>32787787</v>
      </c>
      <c r="E556" s="761" t="s">
        <v>2443</v>
      </c>
      <c r="F556" s="761">
        <v>153003050</v>
      </c>
      <c r="G556" s="761" t="s">
        <v>2353</v>
      </c>
      <c r="H556" s="761" t="s">
        <v>7269</v>
      </c>
      <c r="I556" s="761" t="s">
        <v>6867</v>
      </c>
      <c r="J556" s="761">
        <v>1</v>
      </c>
      <c r="K556" s="746">
        <v>291434.38</v>
      </c>
      <c r="L556" s="746">
        <v>36346.51</v>
      </c>
      <c r="M556" s="746">
        <v>255087.87</v>
      </c>
      <c r="N556" s="493" t="str">
        <f t="shared" si="8"/>
        <v>C390</v>
      </c>
      <c r="O556" s="493" t="s">
        <v>99</v>
      </c>
      <c r="P556" s="493"/>
    </row>
    <row r="557" spans="1:16" s="763" customFormat="1">
      <c r="A557" s="761" t="s">
        <v>2339</v>
      </c>
      <c r="B557" s="761" t="s">
        <v>2340</v>
      </c>
      <c r="C557" s="761" t="s">
        <v>2352</v>
      </c>
      <c r="D557" s="761">
        <v>32787794</v>
      </c>
      <c r="E557" s="761" t="s">
        <v>2443</v>
      </c>
      <c r="F557" s="761">
        <v>153003050</v>
      </c>
      <c r="G557" s="761" t="s">
        <v>2353</v>
      </c>
      <c r="H557" s="761" t="s">
        <v>7269</v>
      </c>
      <c r="I557" s="761" t="s">
        <v>6867</v>
      </c>
      <c r="J557" s="761">
        <v>1</v>
      </c>
      <c r="K557" s="746">
        <v>874303.13</v>
      </c>
      <c r="L557" s="746">
        <v>109039.53</v>
      </c>
      <c r="M557" s="746">
        <v>765263.6</v>
      </c>
      <c r="N557" s="493" t="str">
        <f t="shared" si="8"/>
        <v>C390</v>
      </c>
      <c r="O557" s="493" t="s">
        <v>99</v>
      </c>
      <c r="P557" s="493"/>
    </row>
    <row r="558" spans="1:16" s="763" customFormat="1">
      <c r="A558" s="761" t="s">
        <v>2339</v>
      </c>
      <c r="B558" s="761" t="s">
        <v>2340</v>
      </c>
      <c r="C558" s="761" t="s">
        <v>2352</v>
      </c>
      <c r="D558" s="761">
        <v>32787801</v>
      </c>
      <c r="E558" s="761" t="s">
        <v>2443</v>
      </c>
      <c r="F558" s="761">
        <v>153003050</v>
      </c>
      <c r="G558" s="761" t="s">
        <v>2353</v>
      </c>
      <c r="H558" s="761" t="s">
        <v>7269</v>
      </c>
      <c r="I558" s="761" t="s">
        <v>6867</v>
      </c>
      <c r="J558" s="761">
        <v>1</v>
      </c>
      <c r="K558" s="746">
        <v>728585.94000000006</v>
      </c>
      <c r="L558" s="746">
        <v>90866.27</v>
      </c>
      <c r="M558" s="746">
        <v>637719.67000000004</v>
      </c>
      <c r="N558" s="493" t="str">
        <f t="shared" si="8"/>
        <v>C390</v>
      </c>
      <c r="O558" s="493" t="s">
        <v>99</v>
      </c>
      <c r="P558" s="493"/>
    </row>
    <row r="559" spans="1:16" s="763" customFormat="1">
      <c r="A559" s="761" t="s">
        <v>2339</v>
      </c>
      <c r="B559" s="761" t="s">
        <v>2340</v>
      </c>
      <c r="C559" s="761" t="s">
        <v>2352</v>
      </c>
      <c r="D559" s="761">
        <v>32787808</v>
      </c>
      <c r="E559" s="761" t="s">
        <v>2443</v>
      </c>
      <c r="F559" s="761">
        <v>153003050</v>
      </c>
      <c r="G559" s="761" t="s">
        <v>2353</v>
      </c>
      <c r="H559" s="761" t="s">
        <v>7269</v>
      </c>
      <c r="I559" s="761" t="s">
        <v>6867</v>
      </c>
      <c r="J559" s="761">
        <v>1</v>
      </c>
      <c r="K559" s="746">
        <v>218575.78</v>
      </c>
      <c r="L559" s="746">
        <v>27259.88</v>
      </c>
      <c r="M559" s="746">
        <v>191315.9</v>
      </c>
      <c r="N559" s="493" t="str">
        <f t="shared" si="8"/>
        <v>C390</v>
      </c>
      <c r="O559" s="493" t="s">
        <v>99</v>
      </c>
      <c r="P559" s="493"/>
    </row>
    <row r="560" spans="1:16" s="763" customFormat="1">
      <c r="A560" s="761" t="s">
        <v>2339</v>
      </c>
      <c r="B560" s="761" t="s">
        <v>2340</v>
      </c>
      <c r="C560" s="761" t="s">
        <v>2352</v>
      </c>
      <c r="D560" s="761">
        <v>32787815</v>
      </c>
      <c r="E560" s="761" t="s">
        <v>2443</v>
      </c>
      <c r="F560" s="761">
        <v>153003050</v>
      </c>
      <c r="G560" s="761" t="s">
        <v>2353</v>
      </c>
      <c r="H560" s="761" t="s">
        <v>7269</v>
      </c>
      <c r="I560" s="761" t="s">
        <v>6867</v>
      </c>
      <c r="J560" s="761">
        <v>1</v>
      </c>
      <c r="K560" s="746">
        <v>291434.38</v>
      </c>
      <c r="L560" s="746">
        <v>36346.51</v>
      </c>
      <c r="M560" s="746">
        <v>255087.87</v>
      </c>
      <c r="N560" s="493" t="str">
        <f t="shared" si="8"/>
        <v>C390</v>
      </c>
      <c r="O560" s="493" t="s">
        <v>99</v>
      </c>
      <c r="P560" s="493"/>
    </row>
    <row r="561" spans="1:16" s="763" customFormat="1">
      <c r="A561" s="761" t="s">
        <v>2339</v>
      </c>
      <c r="B561" s="761" t="s">
        <v>2340</v>
      </c>
      <c r="C561" s="761" t="s">
        <v>2352</v>
      </c>
      <c r="D561" s="761">
        <v>32787822</v>
      </c>
      <c r="E561" s="761" t="s">
        <v>2443</v>
      </c>
      <c r="F561" s="761">
        <v>153003050</v>
      </c>
      <c r="G561" s="761" t="s">
        <v>2353</v>
      </c>
      <c r="H561" s="761" t="s">
        <v>7269</v>
      </c>
      <c r="I561" s="761" t="s">
        <v>6867</v>
      </c>
      <c r="J561" s="761">
        <v>1</v>
      </c>
      <c r="K561" s="746">
        <v>582868.75</v>
      </c>
      <c r="L561" s="746">
        <v>72693.02</v>
      </c>
      <c r="M561" s="746">
        <v>510175.73000000004</v>
      </c>
      <c r="N561" s="493" t="str">
        <f t="shared" si="8"/>
        <v>C390</v>
      </c>
      <c r="O561" s="493" t="s">
        <v>99</v>
      </c>
      <c r="P561" s="493"/>
    </row>
    <row r="562" spans="1:16" s="763" customFormat="1">
      <c r="A562" s="761" t="s">
        <v>2339</v>
      </c>
      <c r="B562" s="761" t="s">
        <v>2340</v>
      </c>
      <c r="C562" s="761" t="s">
        <v>2352</v>
      </c>
      <c r="D562" s="761">
        <v>32787829</v>
      </c>
      <c r="E562" s="761" t="s">
        <v>2443</v>
      </c>
      <c r="F562" s="761">
        <v>153003050</v>
      </c>
      <c r="G562" s="761" t="s">
        <v>2353</v>
      </c>
      <c r="H562" s="761" t="s">
        <v>7269</v>
      </c>
      <c r="I562" s="761" t="s">
        <v>6867</v>
      </c>
      <c r="J562" s="761">
        <v>1</v>
      </c>
      <c r="K562" s="746">
        <v>364292.97000000003</v>
      </c>
      <c r="L562" s="746">
        <v>45433.14</v>
      </c>
      <c r="M562" s="746">
        <v>318859.83</v>
      </c>
      <c r="N562" s="493" t="str">
        <f t="shared" si="8"/>
        <v>C390</v>
      </c>
      <c r="O562" s="493" t="s">
        <v>99</v>
      </c>
      <c r="P562" s="493"/>
    </row>
    <row r="563" spans="1:16" s="763" customFormat="1">
      <c r="A563" s="761" t="s">
        <v>2339</v>
      </c>
      <c r="B563" s="761" t="s">
        <v>2340</v>
      </c>
      <c r="C563" s="761" t="s">
        <v>2352</v>
      </c>
      <c r="D563" s="761">
        <v>32787836</v>
      </c>
      <c r="E563" s="761" t="s">
        <v>2443</v>
      </c>
      <c r="F563" s="761">
        <v>153003050</v>
      </c>
      <c r="G563" s="761" t="s">
        <v>2353</v>
      </c>
      <c r="H563" s="761" t="s">
        <v>7269</v>
      </c>
      <c r="I563" s="761" t="s">
        <v>6867</v>
      </c>
      <c r="J563" s="761">
        <v>1</v>
      </c>
      <c r="K563" s="746">
        <v>218575.78</v>
      </c>
      <c r="L563" s="746">
        <v>27259.88</v>
      </c>
      <c r="M563" s="746">
        <v>191315.9</v>
      </c>
      <c r="N563" s="493" t="str">
        <f t="shared" si="8"/>
        <v>C390</v>
      </c>
      <c r="O563" s="493" t="s">
        <v>99</v>
      </c>
      <c r="P563" s="493"/>
    </row>
    <row r="564" spans="1:16" s="763" customFormat="1">
      <c r="A564" s="761" t="s">
        <v>2339</v>
      </c>
      <c r="B564" s="761" t="s">
        <v>2340</v>
      </c>
      <c r="C564" s="761" t="s">
        <v>2352</v>
      </c>
      <c r="D564" s="761">
        <v>32787843</v>
      </c>
      <c r="E564" s="761" t="s">
        <v>2443</v>
      </c>
      <c r="F564" s="761">
        <v>153003050</v>
      </c>
      <c r="G564" s="761" t="s">
        <v>2353</v>
      </c>
      <c r="H564" s="761" t="s">
        <v>7269</v>
      </c>
      <c r="I564" s="761" t="s">
        <v>6867</v>
      </c>
      <c r="J564" s="761">
        <v>1</v>
      </c>
      <c r="K564" s="746">
        <v>218575.78</v>
      </c>
      <c r="L564" s="746">
        <v>27259.88</v>
      </c>
      <c r="M564" s="746">
        <v>191315.9</v>
      </c>
      <c r="N564" s="493" t="str">
        <f t="shared" si="8"/>
        <v>C390</v>
      </c>
      <c r="O564" s="493" t="s">
        <v>99</v>
      </c>
      <c r="P564" s="493"/>
    </row>
    <row r="565" spans="1:16" s="763" customFormat="1">
      <c r="A565" s="761" t="s">
        <v>2339</v>
      </c>
      <c r="B565" s="761" t="s">
        <v>2340</v>
      </c>
      <c r="C565" s="761" t="s">
        <v>2352</v>
      </c>
      <c r="D565" s="761">
        <v>32787850</v>
      </c>
      <c r="E565" s="761" t="s">
        <v>2443</v>
      </c>
      <c r="F565" s="761">
        <v>153003050</v>
      </c>
      <c r="G565" s="761" t="s">
        <v>2353</v>
      </c>
      <c r="H565" s="761" t="s">
        <v>7269</v>
      </c>
      <c r="I565" s="761" t="s">
        <v>6867</v>
      </c>
      <c r="J565" s="761">
        <v>1</v>
      </c>
      <c r="K565" s="746">
        <v>145717.19</v>
      </c>
      <c r="L565" s="746">
        <v>18173.25</v>
      </c>
      <c r="M565" s="746">
        <v>127543.94</v>
      </c>
      <c r="N565" s="493" t="str">
        <f t="shared" si="8"/>
        <v>C390</v>
      </c>
      <c r="O565" s="493" t="s">
        <v>99</v>
      </c>
      <c r="P565" s="493"/>
    </row>
    <row r="566" spans="1:16" s="763" customFormat="1">
      <c r="A566" s="761" t="s">
        <v>2339</v>
      </c>
      <c r="B566" s="761" t="s">
        <v>2340</v>
      </c>
      <c r="C566" s="761" t="s">
        <v>2352</v>
      </c>
      <c r="D566" s="761">
        <v>32787857</v>
      </c>
      <c r="E566" s="761" t="s">
        <v>2443</v>
      </c>
      <c r="F566" s="761">
        <v>153003050</v>
      </c>
      <c r="G566" s="761" t="s">
        <v>2353</v>
      </c>
      <c r="H566" s="761" t="s">
        <v>7269</v>
      </c>
      <c r="I566" s="761" t="s">
        <v>6867</v>
      </c>
      <c r="J566" s="761">
        <v>1</v>
      </c>
      <c r="K566" s="746">
        <v>218575.78</v>
      </c>
      <c r="L566" s="746">
        <v>27259.88</v>
      </c>
      <c r="M566" s="746">
        <v>191315.9</v>
      </c>
      <c r="N566" s="493" t="str">
        <f t="shared" si="8"/>
        <v>C390</v>
      </c>
      <c r="O566" s="493" t="s">
        <v>99</v>
      </c>
      <c r="P566" s="493"/>
    </row>
    <row r="567" spans="1:16" s="763" customFormat="1">
      <c r="A567" s="761" t="s">
        <v>2339</v>
      </c>
      <c r="B567" s="761" t="s">
        <v>2340</v>
      </c>
      <c r="C567" s="761" t="s">
        <v>2352</v>
      </c>
      <c r="D567" s="761">
        <v>32787864</v>
      </c>
      <c r="E567" s="761" t="s">
        <v>2443</v>
      </c>
      <c r="F567" s="761">
        <v>153003050</v>
      </c>
      <c r="G567" s="761" t="s">
        <v>2353</v>
      </c>
      <c r="H567" s="761" t="s">
        <v>7269</v>
      </c>
      <c r="I567" s="761" t="s">
        <v>6867</v>
      </c>
      <c r="J567" s="761">
        <v>1</v>
      </c>
      <c r="K567" s="746">
        <v>655727.35</v>
      </c>
      <c r="L567" s="746">
        <v>81779.650000000009</v>
      </c>
      <c r="M567" s="746">
        <v>573947.70000000007</v>
      </c>
      <c r="N567" s="493" t="str">
        <f t="shared" si="8"/>
        <v>C390</v>
      </c>
      <c r="O567" s="493" t="s">
        <v>99</v>
      </c>
      <c r="P567" s="493"/>
    </row>
    <row r="568" spans="1:16" s="763" customFormat="1">
      <c r="A568" s="761" t="s">
        <v>2339</v>
      </c>
      <c r="B568" s="761" t="s">
        <v>2340</v>
      </c>
      <c r="C568" s="761" t="s">
        <v>2352</v>
      </c>
      <c r="D568" s="761">
        <v>32787871</v>
      </c>
      <c r="E568" s="761" t="s">
        <v>2443</v>
      </c>
      <c r="F568" s="761">
        <v>153003050</v>
      </c>
      <c r="G568" s="761" t="s">
        <v>2353</v>
      </c>
      <c r="H568" s="761" t="s">
        <v>7269</v>
      </c>
      <c r="I568" s="761" t="s">
        <v>6867</v>
      </c>
      <c r="J568" s="761">
        <v>1</v>
      </c>
      <c r="K568" s="746">
        <v>72858.59</v>
      </c>
      <c r="L568" s="746">
        <v>9086.630000000001</v>
      </c>
      <c r="M568" s="746">
        <v>63771.96</v>
      </c>
      <c r="N568" s="493" t="str">
        <f t="shared" si="8"/>
        <v>C390</v>
      </c>
      <c r="O568" s="493" t="s">
        <v>99</v>
      </c>
      <c r="P568" s="493"/>
    </row>
    <row r="569" spans="1:16" s="763" customFormat="1">
      <c r="A569" s="761" t="s">
        <v>2339</v>
      </c>
      <c r="B569" s="761" t="s">
        <v>2340</v>
      </c>
      <c r="C569" s="761" t="s">
        <v>2352</v>
      </c>
      <c r="D569" s="761">
        <v>32787878</v>
      </c>
      <c r="E569" s="761" t="s">
        <v>2443</v>
      </c>
      <c r="F569" s="761">
        <v>153003050</v>
      </c>
      <c r="G569" s="761" t="s">
        <v>2353</v>
      </c>
      <c r="H569" s="761" t="s">
        <v>7269</v>
      </c>
      <c r="I569" s="761" t="s">
        <v>6867</v>
      </c>
      <c r="J569" s="761">
        <v>1</v>
      </c>
      <c r="K569" s="746">
        <v>145717.19</v>
      </c>
      <c r="L569" s="746">
        <v>18173.25</v>
      </c>
      <c r="M569" s="746">
        <v>127543.94</v>
      </c>
      <c r="N569" s="493" t="str">
        <f t="shared" si="8"/>
        <v>C390</v>
      </c>
      <c r="O569" s="493" t="s">
        <v>99</v>
      </c>
      <c r="P569" s="493"/>
    </row>
    <row r="570" spans="1:16" s="763" customFormat="1">
      <c r="A570" s="761" t="s">
        <v>2339</v>
      </c>
      <c r="B570" s="761" t="s">
        <v>2340</v>
      </c>
      <c r="C570" s="761" t="s">
        <v>2352</v>
      </c>
      <c r="D570" s="761">
        <v>32794014</v>
      </c>
      <c r="E570" s="761" t="s">
        <v>2443</v>
      </c>
      <c r="F570" s="761">
        <v>153003050</v>
      </c>
      <c r="G570" s="761" t="s">
        <v>2353</v>
      </c>
      <c r="H570" s="761" t="s">
        <v>7269</v>
      </c>
      <c r="I570" s="761" t="s">
        <v>6867</v>
      </c>
      <c r="J570" s="761">
        <v>1</v>
      </c>
      <c r="K570" s="746">
        <v>72858.59</v>
      </c>
      <c r="L570" s="746">
        <v>9086.630000000001</v>
      </c>
      <c r="M570" s="746">
        <v>63771.96</v>
      </c>
      <c r="N570" s="493" t="str">
        <f t="shared" si="8"/>
        <v>C390</v>
      </c>
      <c r="O570" s="493" t="s">
        <v>99</v>
      </c>
      <c r="P570" s="493"/>
    </row>
    <row r="571" spans="1:16" s="763" customFormat="1">
      <c r="A571" s="761" t="s">
        <v>2339</v>
      </c>
      <c r="B571" s="761" t="s">
        <v>2340</v>
      </c>
      <c r="C571" s="761" t="s">
        <v>2471</v>
      </c>
      <c r="D571" s="761">
        <v>36001891</v>
      </c>
      <c r="E571" s="761" t="s">
        <v>2443</v>
      </c>
      <c r="F571" s="761">
        <v>143003067</v>
      </c>
      <c r="G571" s="761" t="s">
        <v>2472</v>
      </c>
      <c r="H571" s="761" t="s">
        <v>2472</v>
      </c>
      <c r="I571" s="761" t="s">
        <v>6867</v>
      </c>
      <c r="J571" s="761">
        <v>1</v>
      </c>
      <c r="K571" s="746">
        <v>53298.73</v>
      </c>
      <c r="L571" s="746">
        <v>6647.2</v>
      </c>
      <c r="M571" s="746">
        <v>46651.53</v>
      </c>
      <c r="N571" s="493" t="str">
        <f t="shared" si="8"/>
        <v>C390</v>
      </c>
      <c r="O571" s="493" t="s">
        <v>99</v>
      </c>
      <c r="P571" s="493"/>
    </row>
    <row r="572" spans="1:16" s="763" customFormat="1">
      <c r="A572" s="761" t="s">
        <v>2339</v>
      </c>
      <c r="B572" s="761" t="s">
        <v>2340</v>
      </c>
      <c r="C572" s="761" t="s">
        <v>2471</v>
      </c>
      <c r="D572" s="761">
        <v>36001894</v>
      </c>
      <c r="E572" s="761" t="s">
        <v>2443</v>
      </c>
      <c r="F572" s="761">
        <v>143003067</v>
      </c>
      <c r="G572" s="761" t="s">
        <v>2472</v>
      </c>
      <c r="H572" s="761" t="s">
        <v>2472</v>
      </c>
      <c r="I572" s="761" t="s">
        <v>6867</v>
      </c>
      <c r="J572" s="761">
        <v>1</v>
      </c>
      <c r="K572" s="746">
        <v>142129.99</v>
      </c>
      <c r="L572" s="746">
        <v>17725.87</v>
      </c>
      <c r="M572" s="746">
        <v>124404.12</v>
      </c>
      <c r="N572" s="493" t="str">
        <f t="shared" si="8"/>
        <v>C390</v>
      </c>
      <c r="O572" s="493" t="s">
        <v>99</v>
      </c>
      <c r="P572" s="493"/>
    </row>
    <row r="573" spans="1:16" s="763" customFormat="1">
      <c r="A573" s="761" t="s">
        <v>2339</v>
      </c>
      <c r="B573" s="761" t="s">
        <v>2340</v>
      </c>
      <c r="C573" s="761" t="s">
        <v>2471</v>
      </c>
      <c r="D573" s="761">
        <v>36001897</v>
      </c>
      <c r="E573" s="761" t="s">
        <v>2443</v>
      </c>
      <c r="F573" s="761">
        <v>143003067</v>
      </c>
      <c r="G573" s="761" t="s">
        <v>2472</v>
      </c>
      <c r="H573" s="761" t="s">
        <v>2472</v>
      </c>
      <c r="I573" s="761" t="s">
        <v>6867</v>
      </c>
      <c r="J573" s="761">
        <v>1</v>
      </c>
      <c r="K573" s="746">
        <v>621818.56000000006</v>
      </c>
      <c r="L573" s="746">
        <v>77550.680000000008</v>
      </c>
      <c r="M573" s="746">
        <v>544267.88</v>
      </c>
      <c r="N573" s="493" t="str">
        <f t="shared" si="8"/>
        <v>C390</v>
      </c>
      <c r="O573" s="493" t="s">
        <v>99</v>
      </c>
      <c r="P573" s="493"/>
    </row>
    <row r="574" spans="1:16" s="763" customFormat="1">
      <c r="A574" s="761" t="s">
        <v>2339</v>
      </c>
      <c r="B574" s="761" t="s">
        <v>2340</v>
      </c>
      <c r="C574" s="761" t="s">
        <v>2471</v>
      </c>
      <c r="D574" s="761">
        <v>36001900</v>
      </c>
      <c r="E574" s="761" t="s">
        <v>2443</v>
      </c>
      <c r="F574" s="761">
        <v>143003067</v>
      </c>
      <c r="G574" s="761" t="s">
        <v>2472</v>
      </c>
      <c r="H574" s="761" t="s">
        <v>2472</v>
      </c>
      <c r="I574" s="761" t="s">
        <v>6867</v>
      </c>
      <c r="J574" s="761">
        <v>1</v>
      </c>
      <c r="K574" s="746">
        <v>159896.22</v>
      </c>
      <c r="L574" s="746">
        <v>19941.61</v>
      </c>
      <c r="M574" s="746">
        <v>139954.61000000002</v>
      </c>
      <c r="N574" s="493" t="str">
        <f t="shared" si="8"/>
        <v>C390</v>
      </c>
      <c r="O574" s="493" t="s">
        <v>99</v>
      </c>
      <c r="P574" s="493"/>
    </row>
    <row r="575" spans="1:16" s="763" customFormat="1">
      <c r="A575" s="761" t="s">
        <v>2339</v>
      </c>
      <c r="B575" s="761" t="s">
        <v>2340</v>
      </c>
      <c r="C575" s="761" t="s">
        <v>2471</v>
      </c>
      <c r="D575" s="761">
        <v>36001903</v>
      </c>
      <c r="E575" s="761" t="s">
        <v>2443</v>
      </c>
      <c r="F575" s="761">
        <v>143003067</v>
      </c>
      <c r="G575" s="761" t="s">
        <v>2472</v>
      </c>
      <c r="H575" s="761" t="s">
        <v>2472</v>
      </c>
      <c r="I575" s="761" t="s">
        <v>6867</v>
      </c>
      <c r="J575" s="761">
        <v>1</v>
      </c>
      <c r="K575" s="746">
        <v>88831.23</v>
      </c>
      <c r="L575" s="746">
        <v>11078.67</v>
      </c>
      <c r="M575" s="746">
        <v>77752.56</v>
      </c>
      <c r="N575" s="493" t="str">
        <f t="shared" si="8"/>
        <v>C390</v>
      </c>
      <c r="O575" s="493" t="s">
        <v>99</v>
      </c>
      <c r="P575" s="493"/>
    </row>
    <row r="576" spans="1:16" s="763" customFormat="1">
      <c r="A576" s="761" t="s">
        <v>2339</v>
      </c>
      <c r="B576" s="761" t="s">
        <v>2340</v>
      </c>
      <c r="C576" s="761" t="s">
        <v>2367</v>
      </c>
      <c r="D576" s="761">
        <v>34959935</v>
      </c>
      <c r="E576" s="761" t="s">
        <v>2443</v>
      </c>
      <c r="F576" s="761">
        <v>143002684</v>
      </c>
      <c r="G576" s="761" t="s">
        <v>2469</v>
      </c>
      <c r="H576" s="761" t="s">
        <v>7312</v>
      </c>
      <c r="I576" s="761" t="s">
        <v>6867</v>
      </c>
      <c r="J576" s="761">
        <v>0</v>
      </c>
      <c r="K576" s="746">
        <v>26276.11</v>
      </c>
      <c r="L576" s="746">
        <v>3277.05</v>
      </c>
      <c r="M576" s="746">
        <v>22999.06</v>
      </c>
      <c r="N576" s="493" t="str">
        <f t="shared" si="8"/>
        <v>C390</v>
      </c>
      <c r="O576" s="493" t="s">
        <v>99</v>
      </c>
      <c r="P576" s="493"/>
    </row>
    <row r="577" spans="1:16" s="763" customFormat="1">
      <c r="A577" s="761" t="s">
        <v>2339</v>
      </c>
      <c r="B577" s="761" t="s">
        <v>2340</v>
      </c>
      <c r="C577" s="761" t="s">
        <v>2467</v>
      </c>
      <c r="D577" s="761">
        <v>35070330</v>
      </c>
      <c r="E577" s="761" t="s">
        <v>2443</v>
      </c>
      <c r="F577" s="761">
        <v>143002333</v>
      </c>
      <c r="G577" s="761" t="s">
        <v>2468</v>
      </c>
      <c r="H577" s="761" t="s">
        <v>7311</v>
      </c>
      <c r="I577" s="761" t="s">
        <v>6867</v>
      </c>
      <c r="J577" s="761">
        <v>1</v>
      </c>
      <c r="K577" s="746">
        <v>248984.24</v>
      </c>
      <c r="L577" s="746">
        <v>31052.3</v>
      </c>
      <c r="M577" s="746">
        <v>217931.94</v>
      </c>
      <c r="N577" s="493" t="str">
        <f t="shared" si="8"/>
        <v>C390</v>
      </c>
      <c r="O577" s="493" t="s">
        <v>99</v>
      </c>
      <c r="P577" s="493"/>
    </row>
    <row r="578" spans="1:16" s="763" customFormat="1">
      <c r="A578" s="761" t="s">
        <v>2339</v>
      </c>
      <c r="B578" s="761" t="s">
        <v>2340</v>
      </c>
      <c r="C578" s="761" t="s">
        <v>2467</v>
      </c>
      <c r="D578" s="761">
        <v>35070333</v>
      </c>
      <c r="E578" s="761" t="s">
        <v>2443</v>
      </c>
      <c r="F578" s="761">
        <v>143002333</v>
      </c>
      <c r="G578" s="761" t="s">
        <v>2468</v>
      </c>
      <c r="H578" s="761" t="s">
        <v>7311</v>
      </c>
      <c r="I578" s="761" t="s">
        <v>6867</v>
      </c>
      <c r="J578" s="761">
        <v>1</v>
      </c>
      <c r="K578" s="746">
        <v>1754281.03</v>
      </c>
      <c r="L578" s="746">
        <v>218786.79</v>
      </c>
      <c r="M578" s="746">
        <v>1535494.24</v>
      </c>
      <c r="N578" s="493" t="str">
        <f t="shared" ref="N578:N641" si="9">LEFT(E578,4)</f>
        <v>C390</v>
      </c>
      <c r="O578" s="493" t="s">
        <v>99</v>
      </c>
      <c r="P578" s="493"/>
    </row>
    <row r="579" spans="1:16" s="763" customFormat="1">
      <c r="A579" s="761" t="s">
        <v>2339</v>
      </c>
      <c r="B579" s="761" t="s">
        <v>2340</v>
      </c>
      <c r="C579" s="761" t="s">
        <v>2467</v>
      </c>
      <c r="D579" s="761">
        <v>35070336</v>
      </c>
      <c r="E579" s="761" t="s">
        <v>2443</v>
      </c>
      <c r="F579" s="761">
        <v>143002333</v>
      </c>
      <c r="G579" s="761" t="s">
        <v>2468</v>
      </c>
      <c r="H579" s="761" t="s">
        <v>7311</v>
      </c>
      <c r="I579" s="761" t="s">
        <v>6867</v>
      </c>
      <c r="J579" s="761">
        <v>1</v>
      </c>
      <c r="K579" s="746">
        <v>3349081.96</v>
      </c>
      <c r="L579" s="746">
        <v>417683.87</v>
      </c>
      <c r="M579" s="746">
        <v>2931398.09</v>
      </c>
      <c r="N579" s="493" t="str">
        <f t="shared" si="9"/>
        <v>C390</v>
      </c>
      <c r="O579" s="493" t="s">
        <v>99</v>
      </c>
      <c r="P579" s="493"/>
    </row>
    <row r="580" spans="1:16" s="763" customFormat="1">
      <c r="A580" s="761" t="s">
        <v>2339</v>
      </c>
      <c r="B580" s="761" t="s">
        <v>2340</v>
      </c>
      <c r="C580" s="761" t="s">
        <v>2467</v>
      </c>
      <c r="D580" s="761">
        <v>35070339</v>
      </c>
      <c r="E580" s="761" t="s">
        <v>2443</v>
      </c>
      <c r="F580" s="761">
        <v>143002333</v>
      </c>
      <c r="G580" s="761" t="s">
        <v>2468</v>
      </c>
      <c r="H580" s="761" t="s">
        <v>7311</v>
      </c>
      <c r="I580" s="761" t="s">
        <v>6867</v>
      </c>
      <c r="J580" s="761">
        <v>1</v>
      </c>
      <c r="K580" s="746">
        <v>179008.27</v>
      </c>
      <c r="L580" s="746">
        <v>22325.18</v>
      </c>
      <c r="M580" s="746">
        <v>156683.09</v>
      </c>
      <c r="N580" s="493" t="str">
        <f t="shared" si="9"/>
        <v>C390</v>
      </c>
      <c r="O580" s="493" t="s">
        <v>99</v>
      </c>
      <c r="P580" s="493"/>
    </row>
    <row r="581" spans="1:16" s="763" customFormat="1">
      <c r="A581" s="761" t="s">
        <v>2339</v>
      </c>
      <c r="B581" s="761" t="s">
        <v>2340</v>
      </c>
      <c r="C581" s="761" t="s">
        <v>2467</v>
      </c>
      <c r="D581" s="761">
        <v>35070342</v>
      </c>
      <c r="E581" s="761" t="s">
        <v>2443</v>
      </c>
      <c r="F581" s="761">
        <v>143002333</v>
      </c>
      <c r="G581" s="761" t="s">
        <v>2468</v>
      </c>
      <c r="H581" s="761" t="s">
        <v>7311</v>
      </c>
      <c r="I581" s="761" t="s">
        <v>6867</v>
      </c>
      <c r="J581" s="761">
        <v>1</v>
      </c>
      <c r="K581" s="746">
        <v>9630644.7799999993</v>
      </c>
      <c r="L581" s="746">
        <v>1201094.82</v>
      </c>
      <c r="M581" s="746">
        <v>8429549.9600000009</v>
      </c>
      <c r="N581" s="493" t="str">
        <f t="shared" si="9"/>
        <v>C390</v>
      </c>
      <c r="O581" s="493" t="s">
        <v>99</v>
      </c>
      <c r="P581" s="493"/>
    </row>
    <row r="582" spans="1:16" s="763" customFormat="1">
      <c r="A582" s="761" t="s">
        <v>2339</v>
      </c>
      <c r="B582" s="761" t="s">
        <v>2340</v>
      </c>
      <c r="C582" s="761" t="s">
        <v>2467</v>
      </c>
      <c r="D582" s="761">
        <v>35070345</v>
      </c>
      <c r="E582" s="761" t="s">
        <v>2443</v>
      </c>
      <c r="F582" s="761">
        <v>143002333</v>
      </c>
      <c r="G582" s="761" t="s">
        <v>2468</v>
      </c>
      <c r="H582" s="761" t="s">
        <v>7311</v>
      </c>
      <c r="I582" s="761" t="s">
        <v>6867</v>
      </c>
      <c r="J582" s="761">
        <v>1</v>
      </c>
      <c r="K582" s="746">
        <v>179008.27</v>
      </c>
      <c r="L582" s="746">
        <v>22325.18</v>
      </c>
      <c r="M582" s="746">
        <v>156683.09</v>
      </c>
      <c r="N582" s="493" t="str">
        <f t="shared" si="9"/>
        <v>C390</v>
      </c>
      <c r="O582" s="493" t="s">
        <v>99</v>
      </c>
      <c r="P582" s="493"/>
    </row>
    <row r="583" spans="1:16" s="763" customFormat="1">
      <c r="A583" s="761" t="s">
        <v>2339</v>
      </c>
      <c r="B583" s="761" t="s">
        <v>2340</v>
      </c>
      <c r="C583" s="761" t="s">
        <v>2471</v>
      </c>
      <c r="D583" s="761">
        <v>35070353</v>
      </c>
      <c r="E583" s="761" t="s">
        <v>2443</v>
      </c>
      <c r="F583" s="761">
        <v>143003443</v>
      </c>
      <c r="G583" s="761" t="s">
        <v>2475</v>
      </c>
      <c r="H583" s="761" t="s">
        <v>2475</v>
      </c>
      <c r="I583" s="761" t="s">
        <v>6867</v>
      </c>
      <c r="J583" s="761">
        <v>1</v>
      </c>
      <c r="K583" s="746">
        <v>1859582.22</v>
      </c>
      <c r="L583" s="746">
        <v>231919.53</v>
      </c>
      <c r="M583" s="746">
        <v>1627662.69</v>
      </c>
      <c r="N583" s="493" t="str">
        <f t="shared" si="9"/>
        <v>C390</v>
      </c>
      <c r="O583" s="493" t="s">
        <v>99</v>
      </c>
      <c r="P583" s="493"/>
    </row>
    <row r="584" spans="1:16" s="763" customFormat="1">
      <c r="A584" s="761" t="s">
        <v>2339</v>
      </c>
      <c r="B584" s="761" t="s">
        <v>2340</v>
      </c>
      <c r="C584" s="761" t="s">
        <v>2471</v>
      </c>
      <c r="D584" s="761">
        <v>35070356</v>
      </c>
      <c r="E584" s="761" t="s">
        <v>2443</v>
      </c>
      <c r="F584" s="761">
        <v>143003443</v>
      </c>
      <c r="G584" s="761" t="s">
        <v>2475</v>
      </c>
      <c r="H584" s="761" t="s">
        <v>2475</v>
      </c>
      <c r="I584" s="761" t="s">
        <v>6867</v>
      </c>
      <c r="J584" s="761">
        <v>1</v>
      </c>
      <c r="K584" s="746">
        <v>25875.46</v>
      </c>
      <c r="L584" s="746">
        <v>3227.08</v>
      </c>
      <c r="M584" s="746">
        <v>22648.38</v>
      </c>
      <c r="N584" s="493" t="str">
        <f t="shared" si="9"/>
        <v>C390</v>
      </c>
      <c r="O584" s="493" t="s">
        <v>99</v>
      </c>
      <c r="P584" s="493"/>
    </row>
    <row r="585" spans="1:16" s="763" customFormat="1">
      <c r="A585" s="761" t="s">
        <v>2339</v>
      </c>
      <c r="B585" s="761" t="s">
        <v>2340</v>
      </c>
      <c r="C585" s="761" t="s">
        <v>2471</v>
      </c>
      <c r="D585" s="761">
        <v>35070359</v>
      </c>
      <c r="E585" s="761" t="s">
        <v>2443</v>
      </c>
      <c r="F585" s="761">
        <v>143003443</v>
      </c>
      <c r="G585" s="761" t="s">
        <v>2475</v>
      </c>
      <c r="H585" s="761" t="s">
        <v>2475</v>
      </c>
      <c r="I585" s="761" t="s">
        <v>6867</v>
      </c>
      <c r="J585" s="761">
        <v>1</v>
      </c>
      <c r="K585" s="746">
        <v>1328273.03</v>
      </c>
      <c r="L585" s="746">
        <v>165656.81</v>
      </c>
      <c r="M585" s="746">
        <v>1162616.22</v>
      </c>
      <c r="N585" s="493" t="str">
        <f t="shared" si="9"/>
        <v>C390</v>
      </c>
      <c r="O585" s="493" t="s">
        <v>99</v>
      </c>
      <c r="P585" s="493"/>
    </row>
    <row r="586" spans="1:16" s="763" customFormat="1">
      <c r="A586" s="761" t="s">
        <v>2339</v>
      </c>
      <c r="B586" s="761" t="s">
        <v>2340</v>
      </c>
      <c r="C586" s="761" t="s">
        <v>2471</v>
      </c>
      <c r="D586" s="761">
        <v>35070362</v>
      </c>
      <c r="E586" s="761" t="s">
        <v>2443</v>
      </c>
      <c r="F586" s="761">
        <v>143003443</v>
      </c>
      <c r="G586" s="761" t="s">
        <v>2475</v>
      </c>
      <c r="H586" s="761" t="s">
        <v>2475</v>
      </c>
      <c r="I586" s="761" t="s">
        <v>6867</v>
      </c>
      <c r="J586" s="761">
        <v>1</v>
      </c>
      <c r="K586" s="746">
        <v>13118852.35</v>
      </c>
      <c r="L586" s="746">
        <v>1636129.87</v>
      </c>
      <c r="M586" s="746">
        <v>11482722.48</v>
      </c>
      <c r="N586" s="493" t="str">
        <f t="shared" si="9"/>
        <v>C390</v>
      </c>
      <c r="O586" s="493" t="s">
        <v>99</v>
      </c>
      <c r="P586" s="493"/>
    </row>
    <row r="587" spans="1:16" s="763" customFormat="1">
      <c r="A587" s="761" t="s">
        <v>2339</v>
      </c>
      <c r="B587" s="761" t="s">
        <v>2340</v>
      </c>
      <c r="C587" s="761" t="s">
        <v>2471</v>
      </c>
      <c r="D587" s="761">
        <v>35070365</v>
      </c>
      <c r="E587" s="761" t="s">
        <v>2443</v>
      </c>
      <c r="F587" s="761">
        <v>143003443</v>
      </c>
      <c r="G587" s="761" t="s">
        <v>2475</v>
      </c>
      <c r="H587" s="761" t="s">
        <v>2475</v>
      </c>
      <c r="I587" s="761" t="s">
        <v>6867</v>
      </c>
      <c r="J587" s="761">
        <v>2</v>
      </c>
      <c r="K587" s="746">
        <v>631360.93000000005</v>
      </c>
      <c r="L587" s="746">
        <v>78740.77</v>
      </c>
      <c r="M587" s="746">
        <v>552620.16</v>
      </c>
      <c r="N587" s="493" t="str">
        <f t="shared" si="9"/>
        <v>C390</v>
      </c>
      <c r="O587" s="493" t="s">
        <v>99</v>
      </c>
      <c r="P587" s="493"/>
    </row>
    <row r="588" spans="1:16" s="763" customFormat="1">
      <c r="A588" s="761" t="s">
        <v>2339</v>
      </c>
      <c r="B588" s="761" t="s">
        <v>2340</v>
      </c>
      <c r="C588" s="761" t="s">
        <v>2473</v>
      </c>
      <c r="D588" s="761">
        <v>52234876</v>
      </c>
      <c r="E588" s="761" t="s">
        <v>2443</v>
      </c>
      <c r="F588" s="761">
        <v>143003720</v>
      </c>
      <c r="G588" s="761" t="s">
        <v>2486</v>
      </c>
      <c r="H588" s="761" t="s">
        <v>2486</v>
      </c>
      <c r="I588" s="761" t="s">
        <v>6867</v>
      </c>
      <c r="J588" s="761">
        <v>1</v>
      </c>
      <c r="K588" s="746">
        <v>53864.75</v>
      </c>
      <c r="L588" s="746">
        <v>6717.79</v>
      </c>
      <c r="M588" s="746">
        <v>47146.96</v>
      </c>
      <c r="N588" s="493" t="str">
        <f t="shared" si="9"/>
        <v>C390</v>
      </c>
      <c r="O588" s="493" t="s">
        <v>99</v>
      </c>
      <c r="P588" s="493" t="s">
        <v>2501</v>
      </c>
    </row>
    <row r="589" spans="1:16" s="763" customFormat="1">
      <c r="A589" s="493" t="s">
        <v>2339</v>
      </c>
      <c r="B589" s="493" t="s">
        <v>2340</v>
      </c>
      <c r="C589" s="493" t="s">
        <v>2476</v>
      </c>
      <c r="D589" s="493">
        <v>51217710</v>
      </c>
      <c r="E589" s="493" t="s">
        <v>2443</v>
      </c>
      <c r="F589" s="493">
        <v>143003563</v>
      </c>
      <c r="G589" s="493" t="s">
        <v>2482</v>
      </c>
      <c r="H589" s="761" t="s">
        <v>2482</v>
      </c>
      <c r="I589" s="493" t="s">
        <v>6867</v>
      </c>
      <c r="J589" s="493">
        <v>1</v>
      </c>
      <c r="K589" s="746">
        <v>-66737.02</v>
      </c>
      <c r="L589" s="746">
        <v>-7026.4000000000005</v>
      </c>
      <c r="M589" s="746">
        <v>-59710.62</v>
      </c>
      <c r="N589" s="493" t="str">
        <f t="shared" si="9"/>
        <v>C390</v>
      </c>
      <c r="O589" s="493" t="s">
        <v>99</v>
      </c>
      <c r="P589" s="493" t="s">
        <v>2501</v>
      </c>
    </row>
    <row r="590" spans="1:16" s="763" customFormat="1">
      <c r="A590" s="761" t="s">
        <v>2339</v>
      </c>
      <c r="B590" s="761" t="s">
        <v>2340</v>
      </c>
      <c r="C590" s="761" t="s">
        <v>2483</v>
      </c>
      <c r="D590" s="761">
        <v>57971862</v>
      </c>
      <c r="E590" s="761" t="s">
        <v>2443</v>
      </c>
      <c r="F590" s="761">
        <v>143003580</v>
      </c>
      <c r="G590" s="761" t="s">
        <v>2484</v>
      </c>
      <c r="H590" s="761" t="s">
        <v>2484</v>
      </c>
      <c r="I590" s="761" t="s">
        <v>6867</v>
      </c>
      <c r="J590" s="761">
        <v>1</v>
      </c>
      <c r="K590" s="746">
        <v>212571.57</v>
      </c>
      <c r="L590" s="746">
        <v>22380.57</v>
      </c>
      <c r="M590" s="746">
        <v>190191</v>
      </c>
      <c r="N590" s="493" t="str">
        <f t="shared" si="9"/>
        <v>C390</v>
      </c>
      <c r="O590" s="493" t="s">
        <v>99</v>
      </c>
      <c r="P590" s="493" t="s">
        <v>2501</v>
      </c>
    </row>
    <row r="591" spans="1:16" s="763" customFormat="1">
      <c r="A591" s="761" t="s">
        <v>2339</v>
      </c>
      <c r="B591" s="761" t="s">
        <v>2340</v>
      </c>
      <c r="C591" s="761" t="s">
        <v>2483</v>
      </c>
      <c r="D591" s="761">
        <v>57971867</v>
      </c>
      <c r="E591" s="761" t="s">
        <v>2443</v>
      </c>
      <c r="F591" s="761">
        <v>143003580</v>
      </c>
      <c r="G591" s="761" t="s">
        <v>2484</v>
      </c>
      <c r="H591" s="761" t="s">
        <v>2484</v>
      </c>
      <c r="I591" s="761" t="s">
        <v>6867</v>
      </c>
      <c r="J591" s="761">
        <v>1</v>
      </c>
      <c r="K591" s="746">
        <v>177142.98</v>
      </c>
      <c r="L591" s="746">
        <v>18650.47</v>
      </c>
      <c r="M591" s="746">
        <v>158492.51</v>
      </c>
      <c r="N591" s="493" t="str">
        <f t="shared" si="9"/>
        <v>C390</v>
      </c>
      <c r="O591" s="493" t="s">
        <v>99</v>
      </c>
      <c r="P591" s="493" t="s">
        <v>2501</v>
      </c>
    </row>
    <row r="592" spans="1:16" s="763" customFormat="1">
      <c r="A592" s="761" t="s">
        <v>2339</v>
      </c>
      <c r="B592" s="761" t="s">
        <v>2340</v>
      </c>
      <c r="C592" s="761" t="s">
        <v>2483</v>
      </c>
      <c r="D592" s="761">
        <v>57971870</v>
      </c>
      <c r="E592" s="761" t="s">
        <v>2443</v>
      </c>
      <c r="F592" s="761">
        <v>143003580</v>
      </c>
      <c r="G592" s="761" t="s">
        <v>2484</v>
      </c>
      <c r="H592" s="761" t="s">
        <v>2484</v>
      </c>
      <c r="I592" s="761" t="s">
        <v>6867</v>
      </c>
      <c r="J592" s="761">
        <v>1</v>
      </c>
      <c r="K592" s="746">
        <v>708571.85</v>
      </c>
      <c r="L592" s="746">
        <v>74601.88</v>
      </c>
      <c r="M592" s="746">
        <v>633969.97</v>
      </c>
      <c r="N592" s="493" t="str">
        <f t="shared" si="9"/>
        <v>C390</v>
      </c>
      <c r="O592" s="493" t="s">
        <v>99</v>
      </c>
      <c r="P592" s="493" t="s">
        <v>2501</v>
      </c>
    </row>
    <row r="593" spans="1:16" s="763" customFormat="1">
      <c r="A593" s="761" t="s">
        <v>2339</v>
      </c>
      <c r="B593" s="761" t="s">
        <v>2340</v>
      </c>
      <c r="C593" s="761" t="s">
        <v>2487</v>
      </c>
      <c r="D593" s="761">
        <v>36901949</v>
      </c>
      <c r="E593" s="761" t="s">
        <v>2443</v>
      </c>
      <c r="F593" s="761">
        <v>143003880</v>
      </c>
      <c r="G593" s="761" t="s">
        <v>2488</v>
      </c>
      <c r="H593" s="761" t="s">
        <v>7313</v>
      </c>
      <c r="I593" s="761" t="s">
        <v>6867</v>
      </c>
      <c r="J593" s="761">
        <v>1</v>
      </c>
      <c r="K593" s="746">
        <v>26370.7</v>
      </c>
      <c r="L593" s="746">
        <v>2776.44</v>
      </c>
      <c r="M593" s="746">
        <v>23594.260000000002</v>
      </c>
      <c r="N593" s="493" t="str">
        <f t="shared" si="9"/>
        <v>C390</v>
      </c>
      <c r="O593" s="493" t="s">
        <v>99</v>
      </c>
      <c r="P593" s="493"/>
    </row>
    <row r="594" spans="1:16" s="763" customFormat="1">
      <c r="A594" s="761" t="s">
        <v>2339</v>
      </c>
      <c r="B594" s="761" t="s">
        <v>2340</v>
      </c>
      <c r="C594" s="761" t="s">
        <v>2487</v>
      </c>
      <c r="D594" s="761">
        <v>36901952</v>
      </c>
      <c r="E594" s="761" t="s">
        <v>2443</v>
      </c>
      <c r="F594" s="761">
        <v>143003880</v>
      </c>
      <c r="G594" s="761" t="s">
        <v>2488</v>
      </c>
      <c r="H594" s="761" t="s">
        <v>7313</v>
      </c>
      <c r="I594" s="761" t="s">
        <v>6867</v>
      </c>
      <c r="J594" s="761">
        <v>1</v>
      </c>
      <c r="K594" s="746">
        <v>43951.11</v>
      </c>
      <c r="L594" s="746">
        <v>4627.3900000000003</v>
      </c>
      <c r="M594" s="746">
        <v>39323.72</v>
      </c>
      <c r="N594" s="493" t="str">
        <f t="shared" si="9"/>
        <v>C390</v>
      </c>
      <c r="O594" s="493" t="s">
        <v>99</v>
      </c>
      <c r="P594" s="493"/>
    </row>
    <row r="595" spans="1:16" s="763" customFormat="1">
      <c r="A595" s="761" t="s">
        <v>2339</v>
      </c>
      <c r="B595" s="761" t="s">
        <v>2340</v>
      </c>
      <c r="C595" s="761" t="s">
        <v>2487</v>
      </c>
      <c r="D595" s="761">
        <v>36901955</v>
      </c>
      <c r="E595" s="761" t="s">
        <v>2443</v>
      </c>
      <c r="F595" s="761">
        <v>143003880</v>
      </c>
      <c r="G595" s="761" t="s">
        <v>2488</v>
      </c>
      <c r="H595" s="761" t="s">
        <v>7313</v>
      </c>
      <c r="I595" s="761" t="s">
        <v>6867</v>
      </c>
      <c r="J595" s="761">
        <v>1</v>
      </c>
      <c r="K595" s="746">
        <v>105482.68000000001</v>
      </c>
      <c r="L595" s="746">
        <v>11105.73</v>
      </c>
      <c r="M595" s="746">
        <v>94376.95</v>
      </c>
      <c r="N595" s="493" t="str">
        <f t="shared" si="9"/>
        <v>C390</v>
      </c>
      <c r="O595" s="493" t="s">
        <v>99</v>
      </c>
      <c r="P595" s="493"/>
    </row>
    <row r="596" spans="1:16" s="763" customFormat="1">
      <c r="A596" s="493" t="s">
        <v>2339</v>
      </c>
      <c r="B596" s="493" t="s">
        <v>2340</v>
      </c>
      <c r="C596" s="493" t="s">
        <v>2476</v>
      </c>
      <c r="D596" s="493">
        <v>51217715</v>
      </c>
      <c r="E596" s="493" t="s">
        <v>2443</v>
      </c>
      <c r="F596" s="493">
        <v>143003563</v>
      </c>
      <c r="G596" s="493" t="s">
        <v>2482</v>
      </c>
      <c r="H596" s="761" t="s">
        <v>2482</v>
      </c>
      <c r="I596" s="493" t="s">
        <v>6867</v>
      </c>
      <c r="J596" s="493">
        <v>1</v>
      </c>
      <c r="K596" s="746">
        <v>-66810.42</v>
      </c>
      <c r="L596" s="746">
        <v>-7034.13</v>
      </c>
      <c r="M596" s="746">
        <v>-59776.29</v>
      </c>
      <c r="N596" s="493" t="str">
        <f t="shared" si="9"/>
        <v>C390</v>
      </c>
      <c r="O596" s="493" t="s">
        <v>99</v>
      </c>
      <c r="P596" s="493" t="s">
        <v>2501</v>
      </c>
    </row>
    <row r="597" spans="1:16" s="763" customFormat="1">
      <c r="A597" s="493" t="s">
        <v>2339</v>
      </c>
      <c r="B597" s="493" t="s">
        <v>2340</v>
      </c>
      <c r="C597" s="493" t="s">
        <v>2476</v>
      </c>
      <c r="D597" s="493">
        <v>51217718</v>
      </c>
      <c r="E597" s="493" t="s">
        <v>2443</v>
      </c>
      <c r="F597" s="493">
        <v>143003563</v>
      </c>
      <c r="G597" s="493" t="s">
        <v>2482</v>
      </c>
      <c r="H597" s="761" t="s">
        <v>2482</v>
      </c>
      <c r="I597" s="493" t="s">
        <v>6867</v>
      </c>
      <c r="J597" s="493">
        <v>1</v>
      </c>
      <c r="K597" s="746">
        <v>-66737.02</v>
      </c>
      <c r="L597" s="746">
        <v>-7026.4000000000005</v>
      </c>
      <c r="M597" s="746">
        <v>-59710.62</v>
      </c>
      <c r="N597" s="493" t="str">
        <f t="shared" si="9"/>
        <v>C390</v>
      </c>
      <c r="O597" s="493" t="s">
        <v>99</v>
      </c>
      <c r="P597" s="493" t="s">
        <v>2501</v>
      </c>
    </row>
    <row r="598" spans="1:16" s="763" customFormat="1">
      <c r="A598" s="493" t="s">
        <v>2339</v>
      </c>
      <c r="B598" s="493" t="s">
        <v>2340</v>
      </c>
      <c r="C598" s="493" t="s">
        <v>2476</v>
      </c>
      <c r="D598" s="493">
        <v>51217721</v>
      </c>
      <c r="E598" s="493" t="s">
        <v>2443</v>
      </c>
      <c r="F598" s="493">
        <v>143003563</v>
      </c>
      <c r="G598" s="493" t="s">
        <v>2482</v>
      </c>
      <c r="H598" s="761" t="s">
        <v>2482</v>
      </c>
      <c r="I598" s="493" t="s">
        <v>6867</v>
      </c>
      <c r="J598" s="493">
        <v>1</v>
      </c>
      <c r="K598" s="746">
        <v>-66737.02</v>
      </c>
      <c r="L598" s="746">
        <v>-7026.4000000000005</v>
      </c>
      <c r="M598" s="746">
        <v>-59710.62</v>
      </c>
      <c r="N598" s="493" t="str">
        <f t="shared" si="9"/>
        <v>C390</v>
      </c>
      <c r="O598" s="493" t="s">
        <v>99</v>
      </c>
      <c r="P598" s="493" t="s">
        <v>2501</v>
      </c>
    </row>
    <row r="599" spans="1:16" s="763" customFormat="1">
      <c r="A599" s="493" t="s">
        <v>2339</v>
      </c>
      <c r="B599" s="493" t="s">
        <v>2340</v>
      </c>
      <c r="C599" s="493" t="s">
        <v>2476</v>
      </c>
      <c r="D599" s="493">
        <v>51217724</v>
      </c>
      <c r="E599" s="493" t="s">
        <v>2443</v>
      </c>
      <c r="F599" s="493">
        <v>143003563</v>
      </c>
      <c r="G599" s="493" t="s">
        <v>2482</v>
      </c>
      <c r="H599" s="761" t="s">
        <v>2482</v>
      </c>
      <c r="I599" s="493" t="s">
        <v>6867</v>
      </c>
      <c r="J599" s="493">
        <v>1</v>
      </c>
      <c r="K599" s="746">
        <v>-66737.02</v>
      </c>
      <c r="L599" s="746">
        <v>-7026.4000000000005</v>
      </c>
      <c r="M599" s="746">
        <v>-59710.62</v>
      </c>
      <c r="N599" s="493" t="str">
        <f t="shared" si="9"/>
        <v>C390</v>
      </c>
      <c r="O599" s="493" t="s">
        <v>99</v>
      </c>
      <c r="P599" s="493" t="s">
        <v>2501</v>
      </c>
    </row>
    <row r="600" spans="1:16" s="763" customFormat="1">
      <c r="A600" s="493" t="s">
        <v>2339</v>
      </c>
      <c r="B600" s="493" t="s">
        <v>2340</v>
      </c>
      <c r="C600" s="493" t="s">
        <v>2476</v>
      </c>
      <c r="D600" s="493">
        <v>51217727</v>
      </c>
      <c r="E600" s="493" t="s">
        <v>2443</v>
      </c>
      <c r="F600" s="493">
        <v>143003563</v>
      </c>
      <c r="G600" s="493" t="s">
        <v>2482</v>
      </c>
      <c r="H600" s="761" t="s">
        <v>2482</v>
      </c>
      <c r="I600" s="493" t="s">
        <v>6867</v>
      </c>
      <c r="J600" s="493">
        <v>1</v>
      </c>
      <c r="K600" s="746">
        <v>-66736.98</v>
      </c>
      <c r="L600" s="746">
        <v>-7026.39</v>
      </c>
      <c r="M600" s="746">
        <v>-59710.590000000004</v>
      </c>
      <c r="N600" s="493" t="str">
        <f t="shared" si="9"/>
        <v>C390</v>
      </c>
      <c r="O600" s="493" t="s">
        <v>99</v>
      </c>
      <c r="P600" s="493" t="s">
        <v>2501</v>
      </c>
    </row>
    <row r="601" spans="1:16" s="763" customFormat="1">
      <c r="A601" s="493" t="s">
        <v>2339</v>
      </c>
      <c r="B601" s="493" t="s">
        <v>2340</v>
      </c>
      <c r="C601" s="493" t="s">
        <v>2476</v>
      </c>
      <c r="D601" s="493">
        <v>51217730</v>
      </c>
      <c r="E601" s="493" t="s">
        <v>2443</v>
      </c>
      <c r="F601" s="493">
        <v>143003563</v>
      </c>
      <c r="G601" s="493" t="s">
        <v>2482</v>
      </c>
      <c r="H601" s="761" t="s">
        <v>2482</v>
      </c>
      <c r="I601" s="493" t="s">
        <v>6867</v>
      </c>
      <c r="J601" s="493">
        <v>1</v>
      </c>
      <c r="K601" s="746">
        <v>-66737.02</v>
      </c>
      <c r="L601" s="746">
        <v>-7026.4000000000005</v>
      </c>
      <c r="M601" s="746">
        <v>-59710.62</v>
      </c>
      <c r="N601" s="493" t="str">
        <f t="shared" si="9"/>
        <v>C390</v>
      </c>
      <c r="O601" s="493" t="s">
        <v>99</v>
      </c>
      <c r="P601" s="493" t="s">
        <v>2501</v>
      </c>
    </row>
    <row r="602" spans="1:16" s="763" customFormat="1">
      <c r="A602" s="493" t="s">
        <v>2339</v>
      </c>
      <c r="B602" s="493" t="s">
        <v>2340</v>
      </c>
      <c r="C602" s="493" t="s">
        <v>2476</v>
      </c>
      <c r="D602" s="493">
        <v>51217733</v>
      </c>
      <c r="E602" s="493" t="s">
        <v>2443</v>
      </c>
      <c r="F602" s="493">
        <v>143003563</v>
      </c>
      <c r="G602" s="493" t="s">
        <v>2482</v>
      </c>
      <c r="H602" s="761" t="s">
        <v>2482</v>
      </c>
      <c r="I602" s="493" t="s">
        <v>6867</v>
      </c>
      <c r="J602" s="493">
        <v>1</v>
      </c>
      <c r="K602" s="746">
        <v>-66737.02</v>
      </c>
      <c r="L602" s="746">
        <v>-7026.4000000000005</v>
      </c>
      <c r="M602" s="746">
        <v>-59710.62</v>
      </c>
      <c r="N602" s="493" t="str">
        <f t="shared" si="9"/>
        <v>C390</v>
      </c>
      <c r="O602" s="493" t="s">
        <v>99</v>
      </c>
      <c r="P602" s="493" t="s">
        <v>2501</v>
      </c>
    </row>
    <row r="603" spans="1:16" s="763" customFormat="1">
      <c r="A603" s="493" t="s">
        <v>2339</v>
      </c>
      <c r="B603" s="493" t="s">
        <v>2340</v>
      </c>
      <c r="C603" s="493" t="s">
        <v>2476</v>
      </c>
      <c r="D603" s="493">
        <v>51217736</v>
      </c>
      <c r="E603" s="493" t="s">
        <v>2443</v>
      </c>
      <c r="F603" s="493">
        <v>143003563</v>
      </c>
      <c r="G603" s="493" t="s">
        <v>2482</v>
      </c>
      <c r="H603" s="761" t="s">
        <v>2482</v>
      </c>
      <c r="I603" s="493" t="s">
        <v>6867</v>
      </c>
      <c r="J603" s="493">
        <v>1</v>
      </c>
      <c r="K603" s="746">
        <v>-66737.02</v>
      </c>
      <c r="L603" s="746">
        <v>-7026.4000000000005</v>
      </c>
      <c r="M603" s="746">
        <v>-59710.62</v>
      </c>
      <c r="N603" s="493" t="str">
        <f t="shared" si="9"/>
        <v>C390</v>
      </c>
      <c r="O603" s="493" t="s">
        <v>99</v>
      </c>
      <c r="P603" s="493" t="s">
        <v>2501</v>
      </c>
    </row>
    <row r="604" spans="1:16" s="763" customFormat="1">
      <c r="A604" s="493" t="s">
        <v>2339</v>
      </c>
      <c r="B604" s="493" t="s">
        <v>2340</v>
      </c>
      <c r="C604" s="493" t="s">
        <v>2476</v>
      </c>
      <c r="D604" s="493">
        <v>51217739</v>
      </c>
      <c r="E604" s="493" t="s">
        <v>2443</v>
      </c>
      <c r="F604" s="493">
        <v>143003563</v>
      </c>
      <c r="G604" s="493" t="s">
        <v>2482</v>
      </c>
      <c r="H604" s="761" t="s">
        <v>2482</v>
      </c>
      <c r="I604" s="493" t="s">
        <v>6867</v>
      </c>
      <c r="J604" s="493">
        <v>1</v>
      </c>
      <c r="K604" s="746">
        <v>-66737.02</v>
      </c>
      <c r="L604" s="746">
        <v>-7026.4000000000005</v>
      </c>
      <c r="M604" s="746">
        <v>-59710.62</v>
      </c>
      <c r="N604" s="493" t="str">
        <f t="shared" si="9"/>
        <v>C390</v>
      </c>
      <c r="O604" s="493" t="s">
        <v>99</v>
      </c>
      <c r="P604" s="493" t="s">
        <v>2501</v>
      </c>
    </row>
    <row r="605" spans="1:16" s="763" customFormat="1">
      <c r="A605" s="493" t="s">
        <v>2339</v>
      </c>
      <c r="B605" s="493" t="s">
        <v>2340</v>
      </c>
      <c r="C605" s="493" t="s">
        <v>2476</v>
      </c>
      <c r="D605" s="493">
        <v>51217742</v>
      </c>
      <c r="E605" s="493" t="s">
        <v>2443</v>
      </c>
      <c r="F605" s="493">
        <v>143003563</v>
      </c>
      <c r="G605" s="493" t="s">
        <v>2482</v>
      </c>
      <c r="H605" s="761" t="s">
        <v>2482</v>
      </c>
      <c r="I605" s="493" t="s">
        <v>6867</v>
      </c>
      <c r="J605" s="493">
        <v>1</v>
      </c>
      <c r="K605" s="746">
        <v>-66737.02</v>
      </c>
      <c r="L605" s="746">
        <v>-7026.4000000000005</v>
      </c>
      <c r="M605" s="746">
        <v>-59710.62</v>
      </c>
      <c r="N605" s="493" t="str">
        <f t="shared" si="9"/>
        <v>C390</v>
      </c>
      <c r="O605" s="493" t="s">
        <v>99</v>
      </c>
      <c r="P605" s="493" t="s">
        <v>2501</v>
      </c>
    </row>
    <row r="606" spans="1:16" s="763" customFormat="1">
      <c r="A606" s="761" t="s">
        <v>2339</v>
      </c>
      <c r="B606" s="761" t="s">
        <v>2340</v>
      </c>
      <c r="C606" s="761" t="s">
        <v>2476</v>
      </c>
      <c r="D606" s="761">
        <v>37737024</v>
      </c>
      <c r="E606" s="761" t="s">
        <v>2443</v>
      </c>
      <c r="F606" s="761">
        <v>143004526</v>
      </c>
      <c r="G606" s="761" t="s">
        <v>2493</v>
      </c>
      <c r="H606" s="761" t="s">
        <v>7314</v>
      </c>
      <c r="I606" s="761" t="s">
        <v>6867</v>
      </c>
      <c r="J606" s="761">
        <v>1</v>
      </c>
      <c r="K606" s="746">
        <v>4180.54</v>
      </c>
      <c r="L606" s="746">
        <v>440.15000000000003</v>
      </c>
      <c r="M606" s="746">
        <v>3740.39</v>
      </c>
      <c r="N606" s="493" t="str">
        <f t="shared" si="9"/>
        <v>C390</v>
      </c>
      <c r="O606" s="493" t="s">
        <v>99</v>
      </c>
      <c r="P606" s="493"/>
    </row>
    <row r="607" spans="1:16" s="763" customFormat="1">
      <c r="A607" s="761" t="s">
        <v>2339</v>
      </c>
      <c r="B607" s="761" t="s">
        <v>2340</v>
      </c>
      <c r="C607" s="761" t="s">
        <v>2476</v>
      </c>
      <c r="D607" s="761">
        <v>38929256</v>
      </c>
      <c r="E607" s="761" t="s">
        <v>2443</v>
      </c>
      <c r="F607" s="761">
        <v>143003509</v>
      </c>
      <c r="G607" s="761" t="s">
        <v>2478</v>
      </c>
      <c r="H607" s="761" t="s">
        <v>7315</v>
      </c>
      <c r="I607" s="761" t="s">
        <v>6867</v>
      </c>
      <c r="J607" s="761">
        <v>2</v>
      </c>
      <c r="K607" s="746">
        <v>388.92</v>
      </c>
      <c r="L607" s="746">
        <v>40.950000000000003</v>
      </c>
      <c r="M607" s="746">
        <v>347.97</v>
      </c>
      <c r="N607" s="493" t="str">
        <f t="shared" si="9"/>
        <v>C390</v>
      </c>
      <c r="O607" s="493" t="s">
        <v>99</v>
      </c>
      <c r="P607" s="493"/>
    </row>
    <row r="608" spans="1:16" s="763" customFormat="1">
      <c r="A608" s="761" t="s">
        <v>2339</v>
      </c>
      <c r="B608" s="761" t="s">
        <v>2340</v>
      </c>
      <c r="C608" s="761" t="s">
        <v>2476</v>
      </c>
      <c r="D608" s="761">
        <v>38929261</v>
      </c>
      <c r="E608" s="761" t="s">
        <v>2443</v>
      </c>
      <c r="F608" s="761">
        <v>143003561</v>
      </c>
      <c r="G608" s="761" t="s">
        <v>2481</v>
      </c>
      <c r="H608" s="761" t="s">
        <v>2481</v>
      </c>
      <c r="I608" s="761" t="s">
        <v>6867</v>
      </c>
      <c r="J608" s="761">
        <v>3</v>
      </c>
      <c r="K608" s="746">
        <v>150115.39000000001</v>
      </c>
      <c r="L608" s="746">
        <v>15804.880000000001</v>
      </c>
      <c r="M608" s="746">
        <v>134310.51</v>
      </c>
      <c r="N608" s="493" t="str">
        <f t="shared" si="9"/>
        <v>C390</v>
      </c>
      <c r="O608" s="493" t="s">
        <v>99</v>
      </c>
      <c r="P608" s="493"/>
    </row>
    <row r="609" spans="1:16" s="763" customFormat="1">
      <c r="A609" s="761" t="s">
        <v>2339</v>
      </c>
      <c r="B609" s="761" t="s">
        <v>2340</v>
      </c>
      <c r="C609" s="761" t="s">
        <v>2476</v>
      </c>
      <c r="D609" s="761">
        <v>38929303</v>
      </c>
      <c r="E609" s="761" t="s">
        <v>2443</v>
      </c>
      <c r="F609" s="761">
        <v>143004400</v>
      </c>
      <c r="G609" s="761" t="s">
        <v>2492</v>
      </c>
      <c r="H609" s="761" t="s">
        <v>2492</v>
      </c>
      <c r="I609" s="761" t="s">
        <v>6867</v>
      </c>
      <c r="J609" s="761">
        <v>3</v>
      </c>
      <c r="K609" s="746">
        <v>26681.78</v>
      </c>
      <c r="L609" s="746">
        <v>2809.19</v>
      </c>
      <c r="M609" s="746">
        <v>23872.59</v>
      </c>
      <c r="N609" s="493" t="str">
        <f t="shared" si="9"/>
        <v>C390</v>
      </c>
      <c r="O609" s="493" t="s">
        <v>99</v>
      </c>
      <c r="P609" s="493"/>
    </row>
    <row r="610" spans="1:16" s="763" customFormat="1">
      <c r="A610" s="761" t="s">
        <v>2339</v>
      </c>
      <c r="B610" s="761" t="s">
        <v>2340</v>
      </c>
      <c r="C610" s="761" t="s">
        <v>2476</v>
      </c>
      <c r="D610" s="761">
        <v>39045331</v>
      </c>
      <c r="E610" s="761" t="s">
        <v>2443</v>
      </c>
      <c r="F610" s="761">
        <v>143003502</v>
      </c>
      <c r="G610" s="761" t="s">
        <v>2477</v>
      </c>
      <c r="H610" s="761" t="s">
        <v>2477</v>
      </c>
      <c r="I610" s="761" t="s">
        <v>6867</v>
      </c>
      <c r="J610" s="761">
        <v>24</v>
      </c>
      <c r="K610" s="746">
        <v>132718.64000000001</v>
      </c>
      <c r="L610" s="746">
        <v>13973.26</v>
      </c>
      <c r="M610" s="746">
        <v>118745.38</v>
      </c>
      <c r="N610" s="493" t="str">
        <f t="shared" si="9"/>
        <v>C390</v>
      </c>
      <c r="O610" s="493" t="s">
        <v>99</v>
      </c>
      <c r="P610" s="493"/>
    </row>
    <row r="611" spans="1:16" s="763" customFormat="1">
      <c r="A611" s="761" t="s">
        <v>2339</v>
      </c>
      <c r="B611" s="761" t="s">
        <v>2340</v>
      </c>
      <c r="C611" s="761" t="s">
        <v>2352</v>
      </c>
      <c r="D611" s="761">
        <v>45469072</v>
      </c>
      <c r="E611" s="761" t="s">
        <v>2443</v>
      </c>
      <c r="F611" s="761">
        <v>143003062</v>
      </c>
      <c r="G611" s="761" t="s">
        <v>2470</v>
      </c>
      <c r="H611" s="761" t="s">
        <v>7316</v>
      </c>
      <c r="I611" s="761" t="s">
        <v>6867</v>
      </c>
      <c r="J611" s="761">
        <v>1</v>
      </c>
      <c r="K611" s="746">
        <v>2069.5</v>
      </c>
      <c r="L611" s="746">
        <v>217.89000000000001</v>
      </c>
      <c r="M611" s="746">
        <v>1851.6100000000001</v>
      </c>
      <c r="N611" s="493" t="str">
        <f t="shared" si="9"/>
        <v>C390</v>
      </c>
      <c r="O611" s="493" t="s">
        <v>99</v>
      </c>
      <c r="P611" s="493" t="s">
        <v>2501</v>
      </c>
    </row>
    <row r="612" spans="1:16" s="763" customFormat="1">
      <c r="A612" s="761" t="s">
        <v>2339</v>
      </c>
      <c r="B612" s="761" t="s">
        <v>2340</v>
      </c>
      <c r="C612" s="761" t="s">
        <v>2483</v>
      </c>
      <c r="D612" s="761">
        <v>57971873</v>
      </c>
      <c r="E612" s="761" t="s">
        <v>2443</v>
      </c>
      <c r="F612" s="761">
        <v>143003580</v>
      </c>
      <c r="G612" s="761" t="s">
        <v>2484</v>
      </c>
      <c r="H612" s="761" t="s">
        <v>2484</v>
      </c>
      <c r="I612" s="761" t="s">
        <v>6867</v>
      </c>
      <c r="J612" s="761">
        <v>1</v>
      </c>
      <c r="K612" s="746">
        <v>177142.98</v>
      </c>
      <c r="L612" s="746">
        <v>18650.47</v>
      </c>
      <c r="M612" s="746">
        <v>158492.51</v>
      </c>
      <c r="N612" s="493" t="str">
        <f t="shared" si="9"/>
        <v>C390</v>
      </c>
      <c r="O612" s="493" t="s">
        <v>99</v>
      </c>
      <c r="P612" s="493" t="s">
        <v>2501</v>
      </c>
    </row>
    <row r="613" spans="1:16" s="763" customFormat="1">
      <c r="A613" s="761" t="s">
        <v>2339</v>
      </c>
      <c r="B613" s="761" t="s">
        <v>2340</v>
      </c>
      <c r="C613" s="761" t="s">
        <v>2483</v>
      </c>
      <c r="D613" s="761">
        <v>57971876</v>
      </c>
      <c r="E613" s="761" t="s">
        <v>2443</v>
      </c>
      <c r="F613" s="761">
        <v>143003580</v>
      </c>
      <c r="G613" s="761" t="s">
        <v>2484</v>
      </c>
      <c r="H613" s="761" t="s">
        <v>2484</v>
      </c>
      <c r="I613" s="761" t="s">
        <v>6867</v>
      </c>
      <c r="J613" s="761">
        <v>1</v>
      </c>
      <c r="K613" s="746">
        <v>708571.85</v>
      </c>
      <c r="L613" s="746">
        <v>74601.88</v>
      </c>
      <c r="M613" s="746">
        <v>633969.97</v>
      </c>
      <c r="N613" s="493" t="str">
        <f t="shared" si="9"/>
        <v>C390</v>
      </c>
      <c r="O613" s="493" t="s">
        <v>99</v>
      </c>
      <c r="P613" s="493" t="s">
        <v>2501</v>
      </c>
    </row>
    <row r="614" spans="1:16" s="763" customFormat="1">
      <c r="A614" s="761" t="s">
        <v>2339</v>
      </c>
      <c r="B614" s="761" t="s">
        <v>2340</v>
      </c>
      <c r="C614" s="761" t="s">
        <v>2483</v>
      </c>
      <c r="D614" s="761">
        <v>57971879</v>
      </c>
      <c r="E614" s="761" t="s">
        <v>2443</v>
      </c>
      <c r="F614" s="761">
        <v>143003580</v>
      </c>
      <c r="G614" s="761" t="s">
        <v>2484</v>
      </c>
      <c r="H614" s="761" t="s">
        <v>2484</v>
      </c>
      <c r="I614" s="761" t="s">
        <v>6867</v>
      </c>
      <c r="J614" s="761">
        <v>1</v>
      </c>
      <c r="K614" s="746">
        <v>177142.98</v>
      </c>
      <c r="L614" s="746">
        <v>18650.47</v>
      </c>
      <c r="M614" s="746">
        <v>158492.51</v>
      </c>
      <c r="N614" s="493" t="str">
        <f t="shared" si="9"/>
        <v>C390</v>
      </c>
      <c r="O614" s="493" t="s">
        <v>99</v>
      </c>
      <c r="P614" s="493" t="s">
        <v>2501</v>
      </c>
    </row>
    <row r="615" spans="1:16" s="763" customFormat="1">
      <c r="A615" s="761" t="s">
        <v>2339</v>
      </c>
      <c r="B615" s="761" t="s">
        <v>2340</v>
      </c>
      <c r="C615" s="761" t="s">
        <v>2483</v>
      </c>
      <c r="D615" s="761">
        <v>57971882</v>
      </c>
      <c r="E615" s="761" t="s">
        <v>2443</v>
      </c>
      <c r="F615" s="761">
        <v>143003580</v>
      </c>
      <c r="G615" s="761" t="s">
        <v>2484</v>
      </c>
      <c r="H615" s="761" t="s">
        <v>2484</v>
      </c>
      <c r="I615" s="761" t="s">
        <v>6867</v>
      </c>
      <c r="J615" s="761">
        <v>1</v>
      </c>
      <c r="K615" s="746">
        <v>354285.86</v>
      </c>
      <c r="L615" s="746">
        <v>37300.93</v>
      </c>
      <c r="M615" s="746">
        <v>316984.93</v>
      </c>
      <c r="N615" s="493" t="str">
        <f t="shared" si="9"/>
        <v>C390</v>
      </c>
      <c r="O615" s="493" t="s">
        <v>99</v>
      </c>
      <c r="P615" s="493" t="s">
        <v>2501</v>
      </c>
    </row>
    <row r="616" spans="1:16" s="763" customFormat="1">
      <c r="A616" s="761" t="s">
        <v>2339</v>
      </c>
      <c r="B616" s="761" t="s">
        <v>2340</v>
      </c>
      <c r="C616" s="761" t="s">
        <v>2483</v>
      </c>
      <c r="D616" s="761">
        <v>57971885</v>
      </c>
      <c r="E616" s="761" t="s">
        <v>2443</v>
      </c>
      <c r="F616" s="761">
        <v>143003580</v>
      </c>
      <c r="G616" s="761" t="s">
        <v>2484</v>
      </c>
      <c r="H616" s="761" t="s">
        <v>2484</v>
      </c>
      <c r="I616" s="761" t="s">
        <v>6867</v>
      </c>
      <c r="J616" s="761">
        <v>1</v>
      </c>
      <c r="K616" s="746">
        <v>354285.93</v>
      </c>
      <c r="L616" s="746">
        <v>37300.94</v>
      </c>
      <c r="M616" s="746">
        <v>316984.99</v>
      </c>
      <c r="N616" s="493" t="str">
        <f t="shared" si="9"/>
        <v>C390</v>
      </c>
      <c r="O616" s="493" t="s">
        <v>99</v>
      </c>
      <c r="P616" s="493" t="s">
        <v>2501</v>
      </c>
    </row>
    <row r="617" spans="1:16" s="763" customFormat="1">
      <c r="A617" s="761" t="s">
        <v>2339</v>
      </c>
      <c r="B617" s="761" t="s">
        <v>2340</v>
      </c>
      <c r="C617" s="761" t="s">
        <v>2483</v>
      </c>
      <c r="D617" s="761">
        <v>57971888</v>
      </c>
      <c r="E617" s="761" t="s">
        <v>2443</v>
      </c>
      <c r="F617" s="761">
        <v>143003580</v>
      </c>
      <c r="G617" s="761" t="s">
        <v>2484</v>
      </c>
      <c r="H617" s="761" t="s">
        <v>2484</v>
      </c>
      <c r="I617" s="761" t="s">
        <v>6867</v>
      </c>
      <c r="J617" s="761">
        <v>1</v>
      </c>
      <c r="K617" s="746">
        <v>283428.74</v>
      </c>
      <c r="L617" s="746">
        <v>29840.75</v>
      </c>
      <c r="M617" s="746">
        <v>253587.99000000002</v>
      </c>
      <c r="N617" s="493" t="str">
        <f t="shared" si="9"/>
        <v>C390</v>
      </c>
      <c r="O617" s="493" t="s">
        <v>99</v>
      </c>
      <c r="P617" s="493" t="s">
        <v>2501</v>
      </c>
    </row>
    <row r="618" spans="1:16" s="763" customFormat="1">
      <c r="A618" s="761" t="s">
        <v>2339</v>
      </c>
      <c r="B618" s="761" t="s">
        <v>2340</v>
      </c>
      <c r="C618" s="761" t="s">
        <v>2483</v>
      </c>
      <c r="D618" s="761">
        <v>57971891</v>
      </c>
      <c r="E618" s="761" t="s">
        <v>2443</v>
      </c>
      <c r="F618" s="761">
        <v>143003580</v>
      </c>
      <c r="G618" s="761" t="s">
        <v>2484</v>
      </c>
      <c r="H618" s="761" t="s">
        <v>2484</v>
      </c>
      <c r="I618" s="761" t="s">
        <v>6867</v>
      </c>
      <c r="J618" s="761">
        <v>1</v>
      </c>
      <c r="K618" s="746">
        <v>177142.98</v>
      </c>
      <c r="L618" s="746">
        <v>18650.47</v>
      </c>
      <c r="M618" s="746">
        <v>158492.51</v>
      </c>
      <c r="N618" s="493" t="str">
        <f t="shared" si="9"/>
        <v>C390</v>
      </c>
      <c r="O618" s="493" t="s">
        <v>99</v>
      </c>
      <c r="P618" s="493" t="s">
        <v>2501</v>
      </c>
    </row>
    <row r="619" spans="1:16" s="763" customFormat="1">
      <c r="A619" s="761" t="s">
        <v>2339</v>
      </c>
      <c r="B619" s="761" t="s">
        <v>2340</v>
      </c>
      <c r="C619" s="761" t="s">
        <v>2483</v>
      </c>
      <c r="D619" s="761">
        <v>57971894</v>
      </c>
      <c r="E619" s="761" t="s">
        <v>2443</v>
      </c>
      <c r="F619" s="761">
        <v>143003580</v>
      </c>
      <c r="G619" s="761" t="s">
        <v>2484</v>
      </c>
      <c r="H619" s="761" t="s">
        <v>2484</v>
      </c>
      <c r="I619" s="761" t="s">
        <v>6867</v>
      </c>
      <c r="J619" s="761">
        <v>1</v>
      </c>
      <c r="K619" s="746">
        <v>212571.57</v>
      </c>
      <c r="L619" s="746">
        <v>22380.57</v>
      </c>
      <c r="M619" s="746">
        <v>190191</v>
      </c>
      <c r="N619" s="493" t="str">
        <f t="shared" si="9"/>
        <v>C390</v>
      </c>
      <c r="O619" s="493" t="s">
        <v>99</v>
      </c>
      <c r="P619" s="493" t="s">
        <v>2501</v>
      </c>
    </row>
    <row r="620" spans="1:16" s="763" customFormat="1">
      <c r="A620" s="761" t="s">
        <v>2339</v>
      </c>
      <c r="B620" s="761" t="s">
        <v>2340</v>
      </c>
      <c r="C620" s="761" t="s">
        <v>2497</v>
      </c>
      <c r="D620" s="761">
        <v>51556526</v>
      </c>
      <c r="E620" s="761" t="s">
        <v>2443</v>
      </c>
      <c r="F620" s="761">
        <v>143004587</v>
      </c>
      <c r="G620" s="761" t="s">
        <v>2498</v>
      </c>
      <c r="H620" s="761" t="s">
        <v>2498</v>
      </c>
      <c r="I620" s="761" t="s">
        <v>6867</v>
      </c>
      <c r="J620" s="761">
        <v>1</v>
      </c>
      <c r="K620" s="746">
        <v>126620.51000000001</v>
      </c>
      <c r="L620" s="746">
        <v>10879.36</v>
      </c>
      <c r="M620" s="746">
        <v>115741.15000000001</v>
      </c>
      <c r="N620" s="493" t="str">
        <f t="shared" si="9"/>
        <v>C390</v>
      </c>
      <c r="O620" s="493" t="s">
        <v>99</v>
      </c>
      <c r="P620" s="493" t="s">
        <v>2501</v>
      </c>
    </row>
    <row r="621" spans="1:16" s="763" customFormat="1">
      <c r="A621" s="761" t="s">
        <v>2339</v>
      </c>
      <c r="B621" s="761" t="s">
        <v>2340</v>
      </c>
      <c r="C621" s="761" t="s">
        <v>2497</v>
      </c>
      <c r="D621" s="761">
        <v>51556531</v>
      </c>
      <c r="E621" s="761" t="s">
        <v>2443</v>
      </c>
      <c r="F621" s="761">
        <v>143004587</v>
      </c>
      <c r="G621" s="761" t="s">
        <v>2498</v>
      </c>
      <c r="H621" s="761" t="s">
        <v>2498</v>
      </c>
      <c r="I621" s="761" t="s">
        <v>6867</v>
      </c>
      <c r="J621" s="761">
        <v>1</v>
      </c>
      <c r="K621" s="746">
        <v>126620.51000000001</v>
      </c>
      <c r="L621" s="746">
        <v>10879.36</v>
      </c>
      <c r="M621" s="746">
        <v>115741.15000000001</v>
      </c>
      <c r="N621" s="493" t="str">
        <f t="shared" si="9"/>
        <v>C390</v>
      </c>
      <c r="O621" s="493" t="s">
        <v>99</v>
      </c>
      <c r="P621" s="493" t="s">
        <v>2501</v>
      </c>
    </row>
    <row r="622" spans="1:16" s="763" customFormat="1">
      <c r="A622" s="761" t="s">
        <v>2339</v>
      </c>
      <c r="B622" s="761" t="s">
        <v>2340</v>
      </c>
      <c r="C622" s="761" t="s">
        <v>2494</v>
      </c>
      <c r="D622" s="761">
        <v>53040042</v>
      </c>
      <c r="E622" s="761" t="s">
        <v>2443</v>
      </c>
      <c r="F622" s="761">
        <v>143004529</v>
      </c>
      <c r="G622" s="761" t="s">
        <v>2495</v>
      </c>
      <c r="H622" s="761" t="s">
        <v>7317</v>
      </c>
      <c r="I622" s="761" t="s">
        <v>6867</v>
      </c>
      <c r="J622" s="761">
        <v>1</v>
      </c>
      <c r="K622" s="746">
        <v>340896.5</v>
      </c>
      <c r="L622" s="746">
        <v>29290.170000000002</v>
      </c>
      <c r="M622" s="746">
        <v>311606.33</v>
      </c>
      <c r="N622" s="493" t="str">
        <f t="shared" si="9"/>
        <v>C390</v>
      </c>
      <c r="O622" s="493" t="s">
        <v>99</v>
      </c>
      <c r="P622" s="493" t="s">
        <v>2501</v>
      </c>
    </row>
    <row r="623" spans="1:16" s="763" customFormat="1">
      <c r="A623" s="761" t="s">
        <v>2339</v>
      </c>
      <c r="B623" s="761" t="s">
        <v>2340</v>
      </c>
      <c r="C623" s="761" t="s">
        <v>2494</v>
      </c>
      <c r="D623" s="761">
        <v>53040047</v>
      </c>
      <c r="E623" s="761" t="s">
        <v>2443</v>
      </c>
      <c r="F623" s="761">
        <v>143004529</v>
      </c>
      <c r="G623" s="761" t="s">
        <v>2495</v>
      </c>
      <c r="H623" s="761" t="s">
        <v>7317</v>
      </c>
      <c r="I623" s="761" t="s">
        <v>6867</v>
      </c>
      <c r="J623" s="761">
        <v>1</v>
      </c>
      <c r="K623" s="746">
        <v>795425.16</v>
      </c>
      <c r="L623" s="746">
        <v>68343.73</v>
      </c>
      <c r="M623" s="746">
        <v>727081.43</v>
      </c>
      <c r="N623" s="493" t="str">
        <f t="shared" si="9"/>
        <v>C390</v>
      </c>
      <c r="O623" s="493" t="s">
        <v>99</v>
      </c>
      <c r="P623" s="493" t="s">
        <v>2501</v>
      </c>
    </row>
    <row r="624" spans="1:16" s="763" customFormat="1">
      <c r="A624" s="761" t="s">
        <v>2339</v>
      </c>
      <c r="B624" s="761" t="s">
        <v>2340</v>
      </c>
      <c r="C624" s="761" t="s">
        <v>2476</v>
      </c>
      <c r="D624" s="761">
        <v>53040050</v>
      </c>
      <c r="E624" s="761" t="s">
        <v>2443</v>
      </c>
      <c r="F624" s="761">
        <v>143005140</v>
      </c>
      <c r="G624" s="761" t="s">
        <v>2499</v>
      </c>
      <c r="H624" s="761" t="s">
        <v>2499</v>
      </c>
      <c r="I624" s="761" t="s">
        <v>6867</v>
      </c>
      <c r="J624" s="761">
        <v>15</v>
      </c>
      <c r="K624" s="746">
        <v>74268.479999999996</v>
      </c>
      <c r="L624" s="746">
        <v>4949.4000000000005</v>
      </c>
      <c r="M624" s="746">
        <v>69319.08</v>
      </c>
      <c r="N624" s="493" t="str">
        <f t="shared" si="9"/>
        <v>C390</v>
      </c>
      <c r="O624" s="493" t="s">
        <v>99</v>
      </c>
      <c r="P624" s="493" t="s">
        <v>2501</v>
      </c>
    </row>
    <row r="625" spans="1:65" s="763" customFormat="1">
      <c r="A625" s="761" t="s">
        <v>2339</v>
      </c>
      <c r="B625" s="761" t="s">
        <v>2340</v>
      </c>
      <c r="C625" s="761" t="s">
        <v>2476</v>
      </c>
      <c r="D625" s="761">
        <v>57971962</v>
      </c>
      <c r="E625" s="761" t="s">
        <v>2443</v>
      </c>
      <c r="F625" s="761">
        <v>143004564</v>
      </c>
      <c r="G625" s="761" t="s">
        <v>2496</v>
      </c>
      <c r="H625" s="761" t="s">
        <v>2496</v>
      </c>
      <c r="I625" s="761" t="s">
        <v>6867</v>
      </c>
      <c r="J625" s="761">
        <v>1</v>
      </c>
      <c r="K625" s="746">
        <v>10976.58</v>
      </c>
      <c r="L625" s="746">
        <v>731.5</v>
      </c>
      <c r="M625" s="746">
        <v>10245.08</v>
      </c>
      <c r="N625" s="493" t="str">
        <f t="shared" si="9"/>
        <v>C390</v>
      </c>
      <c r="O625" s="493" t="s">
        <v>99</v>
      </c>
      <c r="P625" s="493" t="s">
        <v>2501</v>
      </c>
    </row>
    <row r="626" spans="1:65" s="763" customFormat="1">
      <c r="A626" s="761" t="s">
        <v>2339</v>
      </c>
      <c r="B626" s="761" t="s">
        <v>2340</v>
      </c>
      <c r="C626" s="761" t="s">
        <v>2476</v>
      </c>
      <c r="D626" s="761">
        <v>47865911</v>
      </c>
      <c r="E626" s="761" t="s">
        <v>2443</v>
      </c>
      <c r="F626" s="761">
        <v>143003600</v>
      </c>
      <c r="G626" s="761" t="s">
        <v>2485</v>
      </c>
      <c r="H626" s="761" t="s">
        <v>7318</v>
      </c>
      <c r="I626" s="761" t="s">
        <v>6867</v>
      </c>
      <c r="J626" s="761">
        <v>8</v>
      </c>
      <c r="K626" s="746">
        <v>68246.63</v>
      </c>
      <c r="L626" s="746">
        <v>4548.09</v>
      </c>
      <c r="M626" s="746">
        <v>63698.54</v>
      </c>
      <c r="N626" s="493" t="str">
        <f t="shared" si="9"/>
        <v>C390</v>
      </c>
      <c r="O626" s="493" t="s">
        <v>99</v>
      </c>
      <c r="P626" s="493" t="s">
        <v>2501</v>
      </c>
    </row>
    <row r="627" spans="1:65" s="763" customFormat="1">
      <c r="A627" s="761" t="s">
        <v>2339</v>
      </c>
      <c r="B627" s="761" t="s">
        <v>2340</v>
      </c>
      <c r="C627" s="761" t="s">
        <v>2473</v>
      </c>
      <c r="D627" s="761">
        <v>47865923</v>
      </c>
      <c r="E627" s="761" t="s">
        <v>2443</v>
      </c>
      <c r="F627" s="761">
        <v>143004008</v>
      </c>
      <c r="G627" s="761" t="s">
        <v>2489</v>
      </c>
      <c r="H627" s="761" t="s">
        <v>7319</v>
      </c>
      <c r="I627" s="761" t="s">
        <v>6867</v>
      </c>
      <c r="J627" s="761">
        <v>5</v>
      </c>
      <c r="K627" s="746">
        <v>567917.80000000005</v>
      </c>
      <c r="L627" s="746">
        <v>37847.160000000003</v>
      </c>
      <c r="M627" s="746">
        <v>530070.64</v>
      </c>
      <c r="N627" s="493" t="str">
        <f t="shared" si="9"/>
        <v>C390</v>
      </c>
      <c r="O627" s="493" t="s">
        <v>99</v>
      </c>
      <c r="P627" s="493" t="s">
        <v>2501</v>
      </c>
    </row>
    <row r="628" spans="1:65" s="763" customFormat="1">
      <c r="A628" s="761" t="s">
        <v>2339</v>
      </c>
      <c r="B628" s="761" t="s">
        <v>2340</v>
      </c>
      <c r="C628" s="761" t="s">
        <v>2476</v>
      </c>
      <c r="D628" s="761">
        <v>53040055</v>
      </c>
      <c r="E628" s="761" t="s">
        <v>2443</v>
      </c>
      <c r="F628" s="761">
        <v>143005140</v>
      </c>
      <c r="G628" s="761" t="s">
        <v>2499</v>
      </c>
      <c r="H628" s="761" t="s">
        <v>2499</v>
      </c>
      <c r="I628" s="761" t="s">
        <v>6867</v>
      </c>
      <c r="J628" s="761">
        <v>23</v>
      </c>
      <c r="K628" s="746">
        <v>114497.21</v>
      </c>
      <c r="L628" s="746">
        <v>7630.32</v>
      </c>
      <c r="M628" s="746">
        <v>106866.89</v>
      </c>
      <c r="N628" s="493" t="str">
        <f t="shared" si="9"/>
        <v>C390</v>
      </c>
      <c r="O628" s="493" t="s">
        <v>99</v>
      </c>
      <c r="P628" s="493" t="s">
        <v>2501</v>
      </c>
    </row>
    <row r="629" spans="1:65" s="763" customFormat="1">
      <c r="A629" s="761" t="s">
        <v>2339</v>
      </c>
      <c r="B629" s="761" t="s">
        <v>2340</v>
      </c>
      <c r="C629" s="761" t="s">
        <v>2476</v>
      </c>
      <c r="D629" s="761">
        <v>53040058</v>
      </c>
      <c r="E629" s="761" t="s">
        <v>2443</v>
      </c>
      <c r="F629" s="761">
        <v>143005140</v>
      </c>
      <c r="G629" s="761" t="s">
        <v>2499</v>
      </c>
      <c r="H629" s="761" t="s">
        <v>2499</v>
      </c>
      <c r="I629" s="761" t="s">
        <v>6867</v>
      </c>
      <c r="J629" s="761">
        <v>1</v>
      </c>
      <c r="K629" s="746">
        <v>9283.5500000000011</v>
      </c>
      <c r="L629" s="746">
        <v>618.66999999999996</v>
      </c>
      <c r="M629" s="746">
        <v>8664.880000000001</v>
      </c>
      <c r="N629" s="493" t="str">
        <f t="shared" si="9"/>
        <v>C390</v>
      </c>
      <c r="O629" s="493" t="s">
        <v>99</v>
      </c>
      <c r="P629" s="493" t="s">
        <v>2501</v>
      </c>
    </row>
    <row r="630" spans="1:65" s="763" customFormat="1">
      <c r="A630" s="761" t="s">
        <v>2339</v>
      </c>
      <c r="B630" s="761" t="s">
        <v>2340</v>
      </c>
      <c r="C630" s="761" t="s">
        <v>2476</v>
      </c>
      <c r="D630" s="761">
        <v>53040061</v>
      </c>
      <c r="E630" s="761" t="s">
        <v>2443</v>
      </c>
      <c r="F630" s="761">
        <v>143005140</v>
      </c>
      <c r="G630" s="761" t="s">
        <v>2499</v>
      </c>
      <c r="H630" s="761" t="s">
        <v>2499</v>
      </c>
      <c r="I630" s="761" t="s">
        <v>6867</v>
      </c>
      <c r="J630" s="761">
        <v>11</v>
      </c>
      <c r="K630" s="746">
        <v>52606.82</v>
      </c>
      <c r="L630" s="746">
        <v>3505.82</v>
      </c>
      <c r="M630" s="746">
        <v>49101</v>
      </c>
      <c r="N630" s="493" t="str">
        <f t="shared" si="9"/>
        <v>C390</v>
      </c>
      <c r="O630" s="493" t="s">
        <v>99</v>
      </c>
      <c r="P630" s="493" t="s">
        <v>2501</v>
      </c>
    </row>
    <row r="631" spans="1:65" s="763" customFormat="1">
      <c r="A631" s="761" t="s">
        <v>2339</v>
      </c>
      <c r="B631" s="761" t="s">
        <v>2340</v>
      </c>
      <c r="C631" s="761" t="s">
        <v>2476</v>
      </c>
      <c r="D631" s="761">
        <v>53040064</v>
      </c>
      <c r="E631" s="761" t="s">
        <v>2443</v>
      </c>
      <c r="F631" s="761">
        <v>143005140</v>
      </c>
      <c r="G631" s="761" t="s">
        <v>2499</v>
      </c>
      <c r="H631" s="761" t="s">
        <v>2499</v>
      </c>
      <c r="I631" s="761" t="s">
        <v>6867</v>
      </c>
      <c r="J631" s="761">
        <v>12</v>
      </c>
      <c r="K631" s="746">
        <v>58795.86</v>
      </c>
      <c r="L631" s="746">
        <v>3918.27</v>
      </c>
      <c r="M631" s="746">
        <v>54877.590000000004</v>
      </c>
      <c r="N631" s="493" t="str">
        <f t="shared" si="9"/>
        <v>C390</v>
      </c>
      <c r="O631" s="493" t="s">
        <v>99</v>
      </c>
      <c r="P631" s="493" t="s">
        <v>2501</v>
      </c>
    </row>
    <row r="632" spans="1:65" s="763" customFormat="1">
      <c r="A632" s="761" t="s">
        <v>2339</v>
      </c>
      <c r="B632" s="761" t="s">
        <v>2340</v>
      </c>
      <c r="C632" s="761" t="s">
        <v>2476</v>
      </c>
      <c r="D632" s="761">
        <v>48746594</v>
      </c>
      <c r="E632" s="761" t="s">
        <v>2443</v>
      </c>
      <c r="F632" s="761">
        <v>143003540</v>
      </c>
      <c r="G632" s="761" t="s">
        <v>2480</v>
      </c>
      <c r="H632" s="761" t="s">
        <v>7320</v>
      </c>
      <c r="I632" s="761" t="s">
        <v>6867</v>
      </c>
      <c r="J632" s="761">
        <v>39</v>
      </c>
      <c r="K632" s="746">
        <v>41310.68</v>
      </c>
      <c r="L632" s="746">
        <v>2753.02</v>
      </c>
      <c r="M632" s="746">
        <v>38557.660000000003</v>
      </c>
      <c r="N632" s="493" t="str">
        <f t="shared" si="9"/>
        <v>C390</v>
      </c>
      <c r="O632" s="493" t="s">
        <v>99</v>
      </c>
      <c r="P632" s="493" t="s">
        <v>2501</v>
      </c>
    </row>
    <row r="633" spans="1:65" s="763" customFormat="1">
      <c r="A633" s="761" t="s">
        <v>2339</v>
      </c>
      <c r="B633" s="761" t="s">
        <v>2340</v>
      </c>
      <c r="C633" s="761" t="s">
        <v>2476</v>
      </c>
      <c r="D633" s="761">
        <v>49828474</v>
      </c>
      <c r="E633" s="761" t="s">
        <v>2443</v>
      </c>
      <c r="F633" s="761">
        <v>143005584</v>
      </c>
      <c r="G633" s="761" t="s">
        <v>2504</v>
      </c>
      <c r="H633" s="761" t="s">
        <v>2504</v>
      </c>
      <c r="I633" s="761" t="s">
        <v>6867</v>
      </c>
      <c r="J633" s="761">
        <v>2</v>
      </c>
      <c r="K633" s="746">
        <v>24330.080000000002</v>
      </c>
      <c r="L633" s="746">
        <v>1621.4</v>
      </c>
      <c r="M633" s="746">
        <v>22708.68</v>
      </c>
      <c r="N633" s="493" t="str">
        <f t="shared" si="9"/>
        <v>C390</v>
      </c>
      <c r="O633" s="493" t="s">
        <v>99</v>
      </c>
      <c r="P633" s="493" t="s">
        <v>2501</v>
      </c>
    </row>
    <row r="634" spans="1:65" s="763" customFormat="1">
      <c r="A634" s="761" t="s">
        <v>2339</v>
      </c>
      <c r="B634" s="761" t="s">
        <v>2340</v>
      </c>
      <c r="C634" s="761" t="s">
        <v>2490</v>
      </c>
      <c r="D634" s="761">
        <v>51353681</v>
      </c>
      <c r="E634" s="761" t="s">
        <v>2443</v>
      </c>
      <c r="F634" s="761">
        <v>143004343</v>
      </c>
      <c r="G634" s="761" t="s">
        <v>2491</v>
      </c>
      <c r="H634" s="761" t="s">
        <v>2491</v>
      </c>
      <c r="I634" s="761" t="s">
        <v>6867</v>
      </c>
      <c r="J634" s="761">
        <v>1</v>
      </c>
      <c r="K634" s="746">
        <v>4483.0600000000004</v>
      </c>
      <c r="L634" s="746">
        <v>212.73000000000002</v>
      </c>
      <c r="M634" s="746">
        <v>4270.33</v>
      </c>
      <c r="N634" s="493" t="str">
        <f t="shared" si="9"/>
        <v>C390</v>
      </c>
      <c r="O634" s="493" t="s">
        <v>99</v>
      </c>
      <c r="P634" s="493" t="s">
        <v>2501</v>
      </c>
    </row>
    <row r="635" spans="1:65" s="763" customFormat="1">
      <c r="A635" s="761" t="s">
        <v>2339</v>
      </c>
      <c r="B635" s="761" t="s">
        <v>2340</v>
      </c>
      <c r="C635" s="761" t="s">
        <v>2476</v>
      </c>
      <c r="D635" s="761">
        <v>53009575</v>
      </c>
      <c r="E635" s="761" t="s">
        <v>2443</v>
      </c>
      <c r="F635" s="761">
        <v>143003510</v>
      </c>
      <c r="G635" s="761" t="s">
        <v>2479</v>
      </c>
      <c r="H635" s="761" t="s">
        <v>2479</v>
      </c>
      <c r="I635" s="761" t="s">
        <v>6867</v>
      </c>
      <c r="J635" s="761">
        <v>1</v>
      </c>
      <c r="K635" s="746">
        <v>1149.1400000000001</v>
      </c>
      <c r="L635" s="746">
        <v>54.53</v>
      </c>
      <c r="M635" s="746">
        <v>1094.6100000000001</v>
      </c>
      <c r="N635" s="493" t="str">
        <f t="shared" si="9"/>
        <v>C390</v>
      </c>
      <c r="O635" s="493" t="s">
        <v>99</v>
      </c>
      <c r="P635" s="493" t="s">
        <v>2501</v>
      </c>
    </row>
    <row r="636" spans="1:65">
      <c r="A636" s="761" t="s">
        <v>2339</v>
      </c>
      <c r="B636" s="761" t="s">
        <v>2340</v>
      </c>
      <c r="C636" s="761" t="s">
        <v>2473</v>
      </c>
      <c r="D636" s="761">
        <v>53319910</v>
      </c>
      <c r="E636" s="761" t="s">
        <v>2443</v>
      </c>
      <c r="F636" s="761">
        <v>143003361</v>
      </c>
      <c r="G636" s="761" t="s">
        <v>2474</v>
      </c>
      <c r="H636" s="761" t="s">
        <v>2474</v>
      </c>
      <c r="I636" s="761" t="s">
        <v>6867</v>
      </c>
      <c r="J636" s="761">
        <v>30</v>
      </c>
      <c r="K636" s="746">
        <v>620925.70000000007</v>
      </c>
      <c r="L636" s="746">
        <v>29463.58</v>
      </c>
      <c r="M636" s="746">
        <v>591462.12</v>
      </c>
      <c r="N636" s="493" t="str">
        <f t="shared" si="9"/>
        <v>C390</v>
      </c>
      <c r="O636" s="493" t="s">
        <v>99</v>
      </c>
      <c r="P636" s="493" t="s">
        <v>2501</v>
      </c>
    </row>
    <row r="637" spans="1:65">
      <c r="A637" s="761" t="s">
        <v>2339</v>
      </c>
      <c r="B637" s="761" t="s">
        <v>2340</v>
      </c>
      <c r="C637" s="761" t="s">
        <v>2509</v>
      </c>
      <c r="D637" s="761">
        <v>53824355</v>
      </c>
      <c r="E637" s="761" t="s">
        <v>2443</v>
      </c>
      <c r="F637" s="761">
        <v>143006019</v>
      </c>
      <c r="G637" s="761" t="s">
        <v>2510</v>
      </c>
      <c r="H637" s="761" t="s">
        <v>2510</v>
      </c>
      <c r="I637" s="761" t="s">
        <v>6867</v>
      </c>
      <c r="J637" s="761">
        <v>6</v>
      </c>
      <c r="K637" s="746">
        <v>34200.770000000004</v>
      </c>
      <c r="L637" s="746">
        <v>1622.8600000000001</v>
      </c>
      <c r="M637" s="746">
        <v>32577.91</v>
      </c>
      <c r="N637" s="493" t="str">
        <f t="shared" si="9"/>
        <v>C390</v>
      </c>
      <c r="O637" s="493" t="s">
        <v>99</v>
      </c>
      <c r="P637" s="493" t="s">
        <v>2501</v>
      </c>
    </row>
    <row r="638" spans="1:65">
      <c r="A638" s="761" t="s">
        <v>2339</v>
      </c>
      <c r="B638" s="761" t="s">
        <v>2340</v>
      </c>
      <c r="C638" s="761" t="s">
        <v>2476</v>
      </c>
      <c r="D638" s="761">
        <v>57971999</v>
      </c>
      <c r="E638" s="761" t="s">
        <v>2443</v>
      </c>
      <c r="F638" s="761">
        <v>143005314</v>
      </c>
      <c r="G638" s="761" t="s">
        <v>2502</v>
      </c>
      <c r="H638" s="761" t="s">
        <v>2502</v>
      </c>
      <c r="I638" s="761" t="s">
        <v>6867</v>
      </c>
      <c r="J638" s="761">
        <v>1</v>
      </c>
      <c r="K638" s="746">
        <v>2821071.48</v>
      </c>
      <c r="L638" s="746">
        <v>133862.79999999999</v>
      </c>
      <c r="M638" s="746">
        <v>2687208.68</v>
      </c>
      <c r="N638" s="493" t="str">
        <f t="shared" si="9"/>
        <v>C390</v>
      </c>
      <c r="O638" s="493" t="s">
        <v>99</v>
      </c>
      <c r="P638" s="493" t="s">
        <v>2501</v>
      </c>
    </row>
    <row r="639" spans="1:65">
      <c r="A639" s="761" t="s">
        <v>2339</v>
      </c>
      <c r="B639" s="761" t="s">
        <v>2340</v>
      </c>
      <c r="C639" s="761" t="s">
        <v>2509</v>
      </c>
      <c r="D639" s="761">
        <v>58131293</v>
      </c>
      <c r="E639" s="761" t="s">
        <v>2443</v>
      </c>
      <c r="F639" s="761">
        <v>143006200</v>
      </c>
      <c r="G639" s="761" t="s">
        <v>2519</v>
      </c>
      <c r="H639" s="761" t="s">
        <v>2519</v>
      </c>
      <c r="I639" s="761" t="s">
        <v>6867</v>
      </c>
      <c r="J639" s="761">
        <v>6</v>
      </c>
      <c r="K639" s="746">
        <v>39197.370000000003</v>
      </c>
      <c r="L639" s="746">
        <v>1859.96</v>
      </c>
      <c r="M639" s="746">
        <v>37337.410000000003</v>
      </c>
      <c r="N639" s="493" t="str">
        <f t="shared" si="9"/>
        <v>C390</v>
      </c>
      <c r="O639" s="493" t="s">
        <v>99</v>
      </c>
      <c r="P639" s="493" t="s">
        <v>2501</v>
      </c>
    </row>
    <row r="640" spans="1:65" s="1691" customFormat="1">
      <c r="A640" s="762" t="s">
        <v>2339</v>
      </c>
      <c r="B640" s="762" t="s">
        <v>2340</v>
      </c>
      <c r="C640" s="762" t="s">
        <v>2476</v>
      </c>
      <c r="D640" s="762">
        <v>67206440</v>
      </c>
      <c r="E640" s="762" t="s">
        <v>2443</v>
      </c>
      <c r="F640" s="762">
        <v>143005251</v>
      </c>
      <c r="G640" s="762" t="s">
        <v>3562</v>
      </c>
      <c r="H640" s="1917" t="s">
        <v>8003</v>
      </c>
      <c r="I640" s="762" t="s">
        <v>6867</v>
      </c>
      <c r="J640" s="762">
        <v>8</v>
      </c>
      <c r="K640" s="1911">
        <v>6623.76</v>
      </c>
      <c r="L640" s="1911">
        <v>187.91</v>
      </c>
      <c r="M640" s="1911">
        <v>6435.85</v>
      </c>
      <c r="N640" s="1752" t="str">
        <f t="shared" si="9"/>
        <v>C390</v>
      </c>
      <c r="O640" s="1752" t="s">
        <v>99</v>
      </c>
      <c r="P640" s="1752" t="s">
        <v>2501</v>
      </c>
      <c r="Q640" s="761"/>
      <c r="R640" s="761"/>
      <c r="S640" s="761"/>
      <c r="T640" s="761"/>
      <c r="U640" s="761"/>
      <c r="V640" s="761"/>
      <c r="W640" s="761"/>
      <c r="X640" s="761"/>
      <c r="Y640" s="761"/>
      <c r="Z640" s="761"/>
      <c r="AA640" s="761"/>
      <c r="AB640" s="761"/>
      <c r="AC640" s="761"/>
      <c r="AD640" s="761"/>
      <c r="AE640" s="761"/>
      <c r="AF640" s="761"/>
      <c r="AG640" s="761"/>
      <c r="AH640" s="761"/>
      <c r="AI640" s="761"/>
      <c r="AJ640" s="761"/>
      <c r="AK640" s="761"/>
      <c r="AL640" s="761"/>
      <c r="AM640" s="761"/>
      <c r="AN640" s="761"/>
      <c r="AO640" s="761"/>
      <c r="AP640" s="761"/>
      <c r="AQ640" s="761"/>
      <c r="AR640" s="761"/>
      <c r="AS640" s="761"/>
      <c r="AT640" s="761"/>
      <c r="AU640" s="761"/>
      <c r="AV640" s="761"/>
      <c r="AW640" s="761"/>
      <c r="AX640" s="761"/>
      <c r="AY640" s="761"/>
      <c r="AZ640" s="761"/>
      <c r="BA640" s="761"/>
      <c r="BB640" s="761"/>
      <c r="BC640" s="761"/>
      <c r="BD640" s="761"/>
      <c r="BE640" s="761"/>
      <c r="BF640" s="761"/>
      <c r="BG640" s="761"/>
      <c r="BH640" s="761"/>
      <c r="BI640" s="761"/>
      <c r="BJ640" s="761"/>
      <c r="BK640" s="761"/>
      <c r="BL640" s="761"/>
      <c r="BM640" s="761"/>
    </row>
    <row r="641" spans="1:65" s="1691" customFormat="1">
      <c r="A641" s="762" t="s">
        <v>2339</v>
      </c>
      <c r="B641" s="762" t="s">
        <v>2340</v>
      </c>
      <c r="C641" s="762" t="s">
        <v>2476</v>
      </c>
      <c r="D641" s="762">
        <v>67206445</v>
      </c>
      <c r="E641" s="762" t="s">
        <v>2443</v>
      </c>
      <c r="F641" s="762">
        <v>143005251</v>
      </c>
      <c r="G641" s="762" t="s">
        <v>3562</v>
      </c>
      <c r="H641" s="1917" t="s">
        <v>8003</v>
      </c>
      <c r="I641" s="762" t="s">
        <v>6867</v>
      </c>
      <c r="J641" s="762">
        <v>21</v>
      </c>
      <c r="K641" s="1911">
        <v>26495.03</v>
      </c>
      <c r="L641" s="1911">
        <v>751.65</v>
      </c>
      <c r="M641" s="1911">
        <v>25743.38</v>
      </c>
      <c r="N641" s="1752" t="str">
        <f t="shared" si="9"/>
        <v>C390</v>
      </c>
      <c r="O641" s="1752" t="s">
        <v>99</v>
      </c>
      <c r="P641" s="1752" t="s">
        <v>2501</v>
      </c>
      <c r="Q641" s="761"/>
      <c r="R641" s="761"/>
      <c r="S641" s="761"/>
      <c r="T641" s="761"/>
      <c r="U641" s="761"/>
      <c r="V641" s="761"/>
      <c r="W641" s="761"/>
      <c r="X641" s="761"/>
      <c r="Y641" s="761"/>
      <c r="Z641" s="761"/>
      <c r="AA641" s="761"/>
      <c r="AB641" s="761"/>
      <c r="AC641" s="761"/>
      <c r="AD641" s="761"/>
      <c r="AE641" s="761"/>
      <c r="AF641" s="761"/>
      <c r="AG641" s="761"/>
      <c r="AH641" s="761"/>
      <c r="AI641" s="761"/>
      <c r="AJ641" s="761"/>
      <c r="AK641" s="761"/>
      <c r="AL641" s="761"/>
      <c r="AM641" s="761"/>
      <c r="AN641" s="761"/>
      <c r="AO641" s="761"/>
      <c r="AP641" s="761"/>
      <c r="AQ641" s="761"/>
      <c r="AR641" s="761"/>
      <c r="AS641" s="761"/>
      <c r="AT641" s="761"/>
      <c r="AU641" s="761"/>
      <c r="AV641" s="761"/>
      <c r="AW641" s="761"/>
      <c r="AX641" s="761"/>
      <c r="AY641" s="761"/>
      <c r="AZ641" s="761"/>
      <c r="BA641" s="761"/>
      <c r="BB641" s="761"/>
      <c r="BC641" s="761"/>
      <c r="BD641" s="761"/>
      <c r="BE641" s="761"/>
      <c r="BF641" s="761"/>
      <c r="BG641" s="761"/>
      <c r="BH641" s="761"/>
      <c r="BI641" s="761"/>
      <c r="BJ641" s="761"/>
      <c r="BK641" s="761"/>
      <c r="BL641" s="761"/>
      <c r="BM641" s="761"/>
    </row>
    <row r="642" spans="1:65" s="1691" customFormat="1">
      <c r="A642" s="762" t="s">
        <v>2339</v>
      </c>
      <c r="B642" s="762" t="s">
        <v>2340</v>
      </c>
      <c r="C642" s="762" t="s">
        <v>2476</v>
      </c>
      <c r="D642" s="762">
        <v>67206448</v>
      </c>
      <c r="E642" s="762" t="s">
        <v>2443</v>
      </c>
      <c r="F642" s="762">
        <v>143005251</v>
      </c>
      <c r="G642" s="762" t="s">
        <v>3562</v>
      </c>
      <c r="H642" s="1917" t="s">
        <v>8003</v>
      </c>
      <c r="I642" s="762" t="s">
        <v>6867</v>
      </c>
      <c r="J642" s="762">
        <v>22</v>
      </c>
      <c r="K642" s="1911">
        <v>26495.03</v>
      </c>
      <c r="L642" s="1911">
        <v>751.65</v>
      </c>
      <c r="M642" s="1911">
        <v>25743.38</v>
      </c>
      <c r="N642" s="1752" t="str">
        <f t="shared" ref="N642:N705" si="10">LEFT(E642,4)</f>
        <v>C390</v>
      </c>
      <c r="O642" s="1752" t="s">
        <v>99</v>
      </c>
      <c r="P642" s="1752" t="s">
        <v>2501</v>
      </c>
      <c r="Q642" s="761"/>
      <c r="R642" s="761"/>
      <c r="S642" s="761"/>
      <c r="T642" s="761"/>
      <c r="U642" s="761"/>
      <c r="V642" s="761"/>
      <c r="W642" s="761"/>
      <c r="X642" s="761"/>
      <c r="Y642" s="761"/>
      <c r="Z642" s="761"/>
      <c r="AA642" s="761"/>
      <c r="AB642" s="761"/>
      <c r="AC642" s="761"/>
      <c r="AD642" s="761"/>
      <c r="AE642" s="761"/>
      <c r="AF642" s="761"/>
      <c r="AG642" s="761"/>
      <c r="AH642" s="761"/>
      <c r="AI642" s="761"/>
      <c r="AJ642" s="761"/>
      <c r="AK642" s="761"/>
      <c r="AL642" s="761"/>
      <c r="AM642" s="761"/>
      <c r="AN642" s="761"/>
      <c r="AO642" s="761"/>
      <c r="AP642" s="761"/>
      <c r="AQ642" s="761"/>
      <c r="AR642" s="761"/>
      <c r="AS642" s="761"/>
      <c r="AT642" s="761"/>
      <c r="AU642" s="761"/>
      <c r="AV642" s="761"/>
      <c r="AW642" s="761"/>
      <c r="AX642" s="761"/>
      <c r="AY642" s="761"/>
      <c r="AZ642" s="761"/>
      <c r="BA642" s="761"/>
      <c r="BB642" s="761"/>
      <c r="BC642" s="761"/>
      <c r="BD642" s="761"/>
      <c r="BE642" s="761"/>
      <c r="BF642" s="761"/>
      <c r="BG642" s="761"/>
      <c r="BH642" s="761"/>
      <c r="BI642" s="761"/>
      <c r="BJ642" s="761"/>
      <c r="BK642" s="761"/>
      <c r="BL642" s="761"/>
      <c r="BM642" s="761"/>
    </row>
    <row r="643" spans="1:65" s="1720" customFormat="1">
      <c r="A643" s="762" t="s">
        <v>2339</v>
      </c>
      <c r="B643" s="762" t="s">
        <v>2340</v>
      </c>
      <c r="C643" s="762" t="s">
        <v>2476</v>
      </c>
      <c r="D643" s="762">
        <v>58680926</v>
      </c>
      <c r="E643" s="762" t="s">
        <v>2443</v>
      </c>
      <c r="F643" s="762">
        <v>143005203</v>
      </c>
      <c r="G643" s="762" t="s">
        <v>2500</v>
      </c>
      <c r="H643" s="762" t="s">
        <v>2500</v>
      </c>
      <c r="I643" s="762" t="s">
        <v>6867</v>
      </c>
      <c r="J643" s="762">
        <v>2</v>
      </c>
      <c r="K643" s="1911">
        <v>416353.13</v>
      </c>
      <c r="L643" s="1911">
        <v>11811.74</v>
      </c>
      <c r="M643" s="1911">
        <v>404541.39</v>
      </c>
      <c r="N643" s="1752" t="str">
        <f t="shared" si="10"/>
        <v>C390</v>
      </c>
      <c r="O643" s="1752" t="s">
        <v>99</v>
      </c>
      <c r="P643" s="762" t="s">
        <v>2501</v>
      </c>
      <c r="Q643" s="761"/>
      <c r="R643" s="761"/>
      <c r="S643" s="761"/>
      <c r="T643" s="761"/>
      <c r="U643" s="761"/>
      <c r="V643" s="761"/>
      <c r="W643" s="761"/>
      <c r="X643" s="761"/>
      <c r="Y643" s="761"/>
      <c r="Z643" s="761"/>
      <c r="AA643" s="761"/>
      <c r="AB643" s="761"/>
      <c r="AC643" s="761"/>
      <c r="AD643" s="761"/>
      <c r="AE643" s="761"/>
      <c r="AF643" s="761"/>
      <c r="AG643" s="761"/>
      <c r="AH643" s="761"/>
      <c r="AI643" s="761"/>
      <c r="AJ643" s="761"/>
      <c r="AK643" s="761"/>
      <c r="AL643" s="761"/>
      <c r="AM643" s="761"/>
      <c r="AN643" s="761"/>
      <c r="AO643" s="761"/>
      <c r="AP643" s="761"/>
      <c r="AQ643" s="761"/>
      <c r="AR643" s="761"/>
      <c r="AS643" s="761"/>
      <c r="AT643" s="761"/>
      <c r="AU643" s="761"/>
      <c r="AV643" s="761"/>
      <c r="AW643" s="761"/>
      <c r="AX643" s="761"/>
      <c r="AY643" s="761"/>
      <c r="AZ643" s="761"/>
      <c r="BA643" s="761"/>
      <c r="BB643" s="761"/>
      <c r="BC643" s="761"/>
      <c r="BD643" s="761"/>
      <c r="BE643" s="761"/>
      <c r="BF643" s="761"/>
      <c r="BG643" s="761"/>
      <c r="BH643" s="761"/>
      <c r="BI643" s="761"/>
      <c r="BJ643" s="761"/>
      <c r="BK643" s="761"/>
      <c r="BL643" s="761"/>
      <c r="BM643" s="761"/>
    </row>
    <row r="644" spans="1:65" s="1720" customFormat="1">
      <c r="A644" s="762" t="s">
        <v>2339</v>
      </c>
      <c r="B644" s="762" t="s">
        <v>2340</v>
      </c>
      <c r="C644" s="762" t="s">
        <v>2476</v>
      </c>
      <c r="D644" s="762">
        <v>59041363</v>
      </c>
      <c r="E644" s="762" t="s">
        <v>2443</v>
      </c>
      <c r="F644" s="762">
        <v>143005930</v>
      </c>
      <c r="G644" s="762" t="s">
        <v>2505</v>
      </c>
      <c r="H644" s="762" t="s">
        <v>2505</v>
      </c>
      <c r="I644" s="762" t="s">
        <v>6867</v>
      </c>
      <c r="J644" s="762">
        <v>3</v>
      </c>
      <c r="K644" s="1911">
        <v>8334.7999999999993</v>
      </c>
      <c r="L644" s="1911">
        <v>236.45000000000002</v>
      </c>
      <c r="M644" s="1911">
        <v>8098.35</v>
      </c>
      <c r="N644" s="1752" t="str">
        <f t="shared" si="10"/>
        <v>C390</v>
      </c>
      <c r="O644" s="1752" t="s">
        <v>99</v>
      </c>
      <c r="P644" s="762" t="s">
        <v>2501</v>
      </c>
      <c r="Q644" s="761"/>
      <c r="R644" s="761"/>
      <c r="S644" s="761"/>
      <c r="T644" s="761"/>
      <c r="U644" s="761"/>
      <c r="V644" s="761"/>
      <c r="W644" s="761"/>
      <c r="X644" s="761"/>
      <c r="Y644" s="761"/>
      <c r="Z644" s="761"/>
      <c r="AA644" s="761"/>
      <c r="AB644" s="761"/>
      <c r="AC644" s="761"/>
      <c r="AD644" s="761"/>
      <c r="AE644" s="761"/>
      <c r="AF644" s="761"/>
      <c r="AG644" s="761"/>
      <c r="AH644" s="761"/>
      <c r="AI644" s="761"/>
      <c r="AJ644" s="761"/>
      <c r="AK644" s="761"/>
      <c r="AL644" s="761"/>
      <c r="AM644" s="761"/>
      <c r="AN644" s="761"/>
      <c r="AO644" s="761"/>
      <c r="AP644" s="761"/>
      <c r="AQ644" s="761"/>
      <c r="AR644" s="761"/>
      <c r="AS644" s="761"/>
      <c r="AT644" s="761"/>
      <c r="AU644" s="761"/>
      <c r="AV644" s="761"/>
      <c r="AW644" s="761"/>
      <c r="AX644" s="761"/>
      <c r="AY644" s="761"/>
      <c r="AZ644" s="761"/>
      <c r="BA644" s="761"/>
      <c r="BB644" s="761"/>
      <c r="BC644" s="761"/>
      <c r="BD644" s="761"/>
      <c r="BE644" s="761"/>
      <c r="BF644" s="761"/>
      <c r="BG644" s="761"/>
      <c r="BH644" s="761"/>
      <c r="BI644" s="761"/>
      <c r="BJ644" s="761"/>
      <c r="BK644" s="761"/>
      <c r="BL644" s="761"/>
      <c r="BM644" s="761"/>
    </row>
    <row r="645" spans="1:65" s="1720" customFormat="1">
      <c r="A645" s="762" t="s">
        <v>2339</v>
      </c>
      <c r="B645" s="762" t="s">
        <v>2340</v>
      </c>
      <c r="C645" s="762" t="s">
        <v>2476</v>
      </c>
      <c r="D645" s="762">
        <v>60414601</v>
      </c>
      <c r="E645" s="762" t="s">
        <v>2443</v>
      </c>
      <c r="F645" s="762">
        <v>143005997</v>
      </c>
      <c r="G645" s="762" t="s">
        <v>2508</v>
      </c>
      <c r="H645" s="762" t="s">
        <v>2508</v>
      </c>
      <c r="I645" s="762" t="s">
        <v>6867</v>
      </c>
      <c r="J645" s="762">
        <v>2</v>
      </c>
      <c r="K645" s="1911">
        <v>25402.97</v>
      </c>
      <c r="L645" s="1911">
        <v>720.67</v>
      </c>
      <c r="M645" s="1911">
        <v>24682.3</v>
      </c>
      <c r="N645" s="1752" t="str">
        <f t="shared" si="10"/>
        <v>C390</v>
      </c>
      <c r="O645" s="1752" t="s">
        <v>99</v>
      </c>
      <c r="P645" s="762" t="s">
        <v>2501</v>
      </c>
      <c r="Q645" s="761"/>
      <c r="R645" s="761"/>
      <c r="S645" s="761"/>
      <c r="T645" s="761"/>
      <c r="U645" s="761"/>
      <c r="V645" s="761"/>
      <c r="W645" s="761"/>
      <c r="X645" s="761"/>
      <c r="Y645" s="761"/>
      <c r="Z645" s="761"/>
      <c r="AA645" s="761"/>
      <c r="AB645" s="761"/>
      <c r="AC645" s="761"/>
      <c r="AD645" s="761"/>
      <c r="AE645" s="761"/>
      <c r="AF645" s="761"/>
      <c r="AG645" s="761"/>
      <c r="AH645" s="761"/>
      <c r="AI645" s="761"/>
      <c r="AJ645" s="761"/>
      <c r="AK645" s="761"/>
      <c r="AL645" s="761"/>
      <c r="AM645" s="761"/>
      <c r="AN645" s="761"/>
      <c r="AO645" s="761"/>
      <c r="AP645" s="761"/>
      <c r="AQ645" s="761"/>
      <c r="AR645" s="761"/>
      <c r="AS645" s="761"/>
      <c r="AT645" s="761"/>
      <c r="AU645" s="761"/>
      <c r="AV645" s="761"/>
      <c r="AW645" s="761"/>
      <c r="AX645" s="761"/>
      <c r="AY645" s="761"/>
      <c r="AZ645" s="761"/>
      <c r="BA645" s="761"/>
      <c r="BB645" s="761"/>
      <c r="BC645" s="761"/>
      <c r="BD645" s="761"/>
      <c r="BE645" s="761"/>
      <c r="BF645" s="761"/>
      <c r="BG645" s="761"/>
      <c r="BH645" s="761"/>
      <c r="BI645" s="761"/>
      <c r="BJ645" s="761"/>
      <c r="BK645" s="761"/>
      <c r="BL645" s="761"/>
      <c r="BM645" s="761"/>
    </row>
    <row r="646" spans="1:65" s="1720" customFormat="1">
      <c r="A646" s="762" t="s">
        <v>2339</v>
      </c>
      <c r="B646" s="762" t="s">
        <v>2340</v>
      </c>
      <c r="C646" s="762" t="s">
        <v>2512</v>
      </c>
      <c r="D646" s="762">
        <v>60414612</v>
      </c>
      <c r="E646" s="762" t="s">
        <v>2443</v>
      </c>
      <c r="F646" s="762">
        <v>143006064</v>
      </c>
      <c r="G646" s="762" t="s">
        <v>2513</v>
      </c>
      <c r="H646" s="762" t="s">
        <v>2513</v>
      </c>
      <c r="I646" s="762" t="s">
        <v>6867</v>
      </c>
      <c r="J646" s="762">
        <v>2</v>
      </c>
      <c r="K646" s="1911">
        <v>176412.92</v>
      </c>
      <c r="L646" s="1911">
        <v>5004.75</v>
      </c>
      <c r="M646" s="1911">
        <v>171408.17</v>
      </c>
      <c r="N646" s="1752" t="str">
        <f t="shared" si="10"/>
        <v>C390</v>
      </c>
      <c r="O646" s="1752" t="s">
        <v>99</v>
      </c>
      <c r="P646" s="762" t="s">
        <v>2501</v>
      </c>
      <c r="Q646" s="761"/>
      <c r="R646" s="761"/>
      <c r="S646" s="761"/>
      <c r="T646" s="761"/>
      <c r="U646" s="761"/>
      <c r="V646" s="761"/>
      <c r="W646" s="761"/>
      <c r="X646" s="761"/>
      <c r="Y646" s="761"/>
      <c r="Z646" s="761"/>
      <c r="AA646" s="761"/>
      <c r="AB646" s="761"/>
      <c r="AC646" s="761"/>
      <c r="AD646" s="761"/>
      <c r="AE646" s="761"/>
      <c r="AF646" s="761"/>
      <c r="AG646" s="761"/>
      <c r="AH646" s="761"/>
      <c r="AI646" s="761"/>
      <c r="AJ646" s="761"/>
      <c r="AK646" s="761"/>
      <c r="AL646" s="761"/>
      <c r="AM646" s="761"/>
      <c r="AN646" s="761"/>
      <c r="AO646" s="761"/>
      <c r="AP646" s="761"/>
      <c r="AQ646" s="761"/>
      <c r="AR646" s="761"/>
      <c r="AS646" s="761"/>
      <c r="AT646" s="761"/>
      <c r="AU646" s="761"/>
      <c r="AV646" s="761"/>
      <c r="AW646" s="761"/>
      <c r="AX646" s="761"/>
      <c r="AY646" s="761"/>
      <c r="AZ646" s="761"/>
      <c r="BA646" s="761"/>
      <c r="BB646" s="761"/>
      <c r="BC646" s="761"/>
      <c r="BD646" s="761"/>
      <c r="BE646" s="761"/>
      <c r="BF646" s="761"/>
      <c r="BG646" s="761"/>
      <c r="BH646" s="761"/>
      <c r="BI646" s="761"/>
      <c r="BJ646" s="761"/>
      <c r="BK646" s="761"/>
      <c r="BL646" s="761"/>
      <c r="BM646" s="761"/>
    </row>
    <row r="647" spans="1:65" s="1720" customFormat="1">
      <c r="A647" s="762" t="s">
        <v>2339</v>
      </c>
      <c r="B647" s="762" t="s">
        <v>2340</v>
      </c>
      <c r="C647" s="762" t="s">
        <v>2476</v>
      </c>
      <c r="D647" s="762">
        <v>61702511</v>
      </c>
      <c r="E647" s="762" t="s">
        <v>2443</v>
      </c>
      <c r="F647" s="762">
        <v>143005935</v>
      </c>
      <c r="G647" s="762" t="s">
        <v>2506</v>
      </c>
      <c r="H647" s="762" t="s">
        <v>2506</v>
      </c>
      <c r="I647" s="762" t="s">
        <v>6867</v>
      </c>
      <c r="J647" s="762">
        <v>2</v>
      </c>
      <c r="K647" s="1911">
        <v>52656.160000000003</v>
      </c>
      <c r="L647" s="1911">
        <v>1493.83</v>
      </c>
      <c r="M647" s="1911">
        <v>51162.33</v>
      </c>
      <c r="N647" s="1752" t="str">
        <f t="shared" si="10"/>
        <v>C390</v>
      </c>
      <c r="O647" s="1752" t="s">
        <v>99</v>
      </c>
      <c r="P647" s="762" t="s">
        <v>2501</v>
      </c>
      <c r="Q647" s="761"/>
      <c r="R647" s="761"/>
      <c r="S647" s="761"/>
      <c r="T647" s="761"/>
      <c r="U647" s="761"/>
      <c r="V647" s="761"/>
      <c r="W647" s="761"/>
      <c r="X647" s="761"/>
      <c r="Y647" s="761"/>
      <c r="Z647" s="761"/>
      <c r="AA647" s="761"/>
      <c r="AB647" s="761"/>
      <c r="AC647" s="761"/>
      <c r="AD647" s="761"/>
      <c r="AE647" s="761"/>
      <c r="AF647" s="761"/>
      <c r="AG647" s="761"/>
      <c r="AH647" s="761"/>
      <c r="AI647" s="761"/>
      <c r="AJ647" s="761"/>
      <c r="AK647" s="761"/>
      <c r="AL647" s="761"/>
      <c r="AM647" s="761"/>
      <c r="AN647" s="761"/>
      <c r="AO647" s="761"/>
      <c r="AP647" s="761"/>
      <c r="AQ647" s="761"/>
      <c r="AR647" s="761"/>
      <c r="AS647" s="761"/>
      <c r="AT647" s="761"/>
      <c r="AU647" s="761"/>
      <c r="AV647" s="761"/>
      <c r="AW647" s="761"/>
      <c r="AX647" s="761"/>
      <c r="AY647" s="761"/>
      <c r="AZ647" s="761"/>
      <c r="BA647" s="761"/>
      <c r="BB647" s="761"/>
      <c r="BC647" s="761"/>
      <c r="BD647" s="761"/>
      <c r="BE647" s="761"/>
      <c r="BF647" s="761"/>
      <c r="BG647" s="761"/>
      <c r="BH647" s="761"/>
      <c r="BI647" s="761"/>
      <c r="BJ647" s="761"/>
      <c r="BK647" s="761"/>
      <c r="BL647" s="761"/>
      <c r="BM647" s="761"/>
    </row>
    <row r="648" spans="1:65" s="1720" customFormat="1">
      <c r="A648" s="762" t="s">
        <v>2339</v>
      </c>
      <c r="B648" s="762" t="s">
        <v>2340</v>
      </c>
      <c r="C648" s="762" t="s">
        <v>2476</v>
      </c>
      <c r="D648" s="762">
        <v>61702514</v>
      </c>
      <c r="E648" s="762" t="s">
        <v>2443</v>
      </c>
      <c r="F648" s="762">
        <v>143005938</v>
      </c>
      <c r="G648" s="762" t="s">
        <v>2507</v>
      </c>
      <c r="H648" s="762" t="s">
        <v>7321</v>
      </c>
      <c r="I648" s="762" t="s">
        <v>6867</v>
      </c>
      <c r="J648" s="762">
        <v>2</v>
      </c>
      <c r="K648" s="1911">
        <v>244088.46</v>
      </c>
      <c r="L648" s="1911">
        <v>6924.67</v>
      </c>
      <c r="M648" s="1911">
        <v>237163.79</v>
      </c>
      <c r="N648" s="1752" t="str">
        <f t="shared" si="10"/>
        <v>C390</v>
      </c>
      <c r="O648" s="1752" t="s">
        <v>99</v>
      </c>
      <c r="P648" s="762" t="s">
        <v>2501</v>
      </c>
      <c r="Q648" s="761"/>
      <c r="R648" s="761"/>
      <c r="S648" s="761"/>
      <c r="T648" s="761"/>
      <c r="U648" s="761"/>
      <c r="V648" s="761"/>
      <c r="W648" s="761"/>
      <c r="X648" s="761"/>
      <c r="Y648" s="761"/>
      <c r="Z648" s="761"/>
      <c r="AA648" s="761"/>
      <c r="AB648" s="761"/>
      <c r="AC648" s="761"/>
      <c r="AD648" s="761"/>
      <c r="AE648" s="761"/>
      <c r="AF648" s="761"/>
      <c r="AG648" s="761"/>
      <c r="AH648" s="761"/>
      <c r="AI648" s="761"/>
      <c r="AJ648" s="761"/>
      <c r="AK648" s="761"/>
      <c r="AL648" s="761"/>
      <c r="AM648" s="761"/>
      <c r="AN648" s="761"/>
      <c r="AO648" s="761"/>
      <c r="AP648" s="761"/>
      <c r="AQ648" s="761"/>
      <c r="AR648" s="761"/>
      <c r="AS648" s="761"/>
      <c r="AT648" s="761"/>
      <c r="AU648" s="761"/>
      <c r="AV648" s="761"/>
      <c r="AW648" s="761"/>
      <c r="AX648" s="761"/>
      <c r="AY648" s="761"/>
      <c r="AZ648" s="761"/>
      <c r="BA648" s="761"/>
      <c r="BB648" s="761"/>
      <c r="BC648" s="761"/>
      <c r="BD648" s="761"/>
      <c r="BE648" s="761"/>
      <c r="BF648" s="761"/>
      <c r="BG648" s="761"/>
      <c r="BH648" s="761"/>
      <c r="BI648" s="761"/>
      <c r="BJ648" s="761"/>
      <c r="BK648" s="761"/>
      <c r="BL648" s="761"/>
      <c r="BM648" s="761"/>
    </row>
    <row r="649" spans="1:65" s="1720" customFormat="1">
      <c r="A649" s="762" t="s">
        <v>2339</v>
      </c>
      <c r="B649" s="762" t="s">
        <v>2340</v>
      </c>
      <c r="C649" s="762" t="s">
        <v>2512</v>
      </c>
      <c r="D649" s="762">
        <v>61702520</v>
      </c>
      <c r="E649" s="762" t="s">
        <v>2443</v>
      </c>
      <c r="F649" s="762">
        <v>143006065</v>
      </c>
      <c r="G649" s="762" t="s">
        <v>2514</v>
      </c>
      <c r="H649" s="762" t="s">
        <v>2514</v>
      </c>
      <c r="I649" s="762" t="s">
        <v>6867</v>
      </c>
      <c r="J649" s="762">
        <v>2</v>
      </c>
      <c r="K649" s="1911">
        <v>595218.62</v>
      </c>
      <c r="L649" s="1911">
        <v>16886.07</v>
      </c>
      <c r="M649" s="1911">
        <v>578332.55000000005</v>
      </c>
      <c r="N649" s="1752" t="str">
        <f t="shared" si="10"/>
        <v>C390</v>
      </c>
      <c r="O649" s="1752" t="s">
        <v>99</v>
      </c>
      <c r="P649" s="762" t="s">
        <v>2501</v>
      </c>
      <c r="Q649" s="761"/>
      <c r="R649" s="761"/>
      <c r="S649" s="761"/>
      <c r="T649" s="761"/>
      <c r="U649" s="761"/>
      <c r="V649" s="761"/>
      <c r="W649" s="761"/>
      <c r="X649" s="761"/>
      <c r="Y649" s="761"/>
      <c r="Z649" s="761"/>
      <c r="AA649" s="761"/>
      <c r="AB649" s="761"/>
      <c r="AC649" s="761"/>
      <c r="AD649" s="761"/>
      <c r="AE649" s="761"/>
      <c r="AF649" s="761"/>
      <c r="AG649" s="761"/>
      <c r="AH649" s="761"/>
      <c r="AI649" s="761"/>
      <c r="AJ649" s="761"/>
      <c r="AK649" s="761"/>
      <c r="AL649" s="761"/>
      <c r="AM649" s="761"/>
      <c r="AN649" s="761"/>
      <c r="AO649" s="761"/>
      <c r="AP649" s="761"/>
      <c r="AQ649" s="761"/>
      <c r="AR649" s="761"/>
      <c r="AS649" s="761"/>
      <c r="AT649" s="761"/>
      <c r="AU649" s="761"/>
      <c r="AV649" s="761"/>
      <c r="AW649" s="761"/>
      <c r="AX649" s="761"/>
      <c r="AY649" s="761"/>
      <c r="AZ649" s="761"/>
      <c r="BA649" s="761"/>
      <c r="BB649" s="761"/>
      <c r="BC649" s="761"/>
      <c r="BD649" s="761"/>
      <c r="BE649" s="761"/>
      <c r="BF649" s="761"/>
      <c r="BG649" s="761"/>
      <c r="BH649" s="761"/>
      <c r="BI649" s="761"/>
      <c r="BJ649" s="761"/>
      <c r="BK649" s="761"/>
      <c r="BL649" s="761"/>
      <c r="BM649" s="761"/>
    </row>
    <row r="650" spans="1:65" s="1720" customFormat="1">
      <c r="A650" s="762" t="s">
        <v>2339</v>
      </c>
      <c r="B650" s="762" t="s">
        <v>2340</v>
      </c>
      <c r="C650" s="762" t="s">
        <v>2476</v>
      </c>
      <c r="D650" s="762">
        <v>61702523</v>
      </c>
      <c r="E650" s="762" t="s">
        <v>2443</v>
      </c>
      <c r="F650" s="762">
        <v>143006180</v>
      </c>
      <c r="G650" s="762" t="s">
        <v>2515</v>
      </c>
      <c r="H650" s="762" t="s">
        <v>7322</v>
      </c>
      <c r="I650" s="762" t="s">
        <v>6867</v>
      </c>
      <c r="J650" s="762">
        <v>2</v>
      </c>
      <c r="K650" s="1911">
        <v>78731.72</v>
      </c>
      <c r="L650" s="1911">
        <v>2233.58</v>
      </c>
      <c r="M650" s="1911">
        <v>76498.14</v>
      </c>
      <c r="N650" s="1752" t="str">
        <f t="shared" si="10"/>
        <v>C390</v>
      </c>
      <c r="O650" s="1752" t="s">
        <v>99</v>
      </c>
      <c r="P650" s="762" t="s">
        <v>2501</v>
      </c>
      <c r="Q650" s="761"/>
      <c r="R650" s="761"/>
      <c r="S650" s="761"/>
      <c r="T650" s="761"/>
      <c r="U650" s="761"/>
      <c r="V650" s="761"/>
      <c r="W650" s="761"/>
      <c r="X650" s="761"/>
      <c r="Y650" s="761"/>
      <c r="Z650" s="761"/>
      <c r="AA650" s="761"/>
      <c r="AB650" s="761"/>
      <c r="AC650" s="761"/>
      <c r="AD650" s="761"/>
      <c r="AE650" s="761"/>
      <c r="AF650" s="761"/>
      <c r="AG650" s="761"/>
      <c r="AH650" s="761"/>
      <c r="AI650" s="761"/>
      <c r="AJ650" s="761"/>
      <c r="AK650" s="761"/>
      <c r="AL650" s="761"/>
      <c r="AM650" s="761"/>
      <c r="AN650" s="761"/>
      <c r="AO650" s="761"/>
      <c r="AP650" s="761"/>
      <c r="AQ650" s="761"/>
      <c r="AR650" s="761"/>
      <c r="AS650" s="761"/>
      <c r="AT650" s="761"/>
      <c r="AU650" s="761"/>
      <c r="AV650" s="761"/>
      <c r="AW650" s="761"/>
      <c r="AX650" s="761"/>
      <c r="AY650" s="761"/>
      <c r="AZ650" s="761"/>
      <c r="BA650" s="761"/>
      <c r="BB650" s="761"/>
      <c r="BC650" s="761"/>
      <c r="BD650" s="761"/>
      <c r="BE650" s="761"/>
      <c r="BF650" s="761"/>
      <c r="BG650" s="761"/>
      <c r="BH650" s="761"/>
      <c r="BI650" s="761"/>
      <c r="BJ650" s="761"/>
      <c r="BK650" s="761"/>
      <c r="BL650" s="761"/>
      <c r="BM650" s="761"/>
    </row>
    <row r="651" spans="1:65" s="1720" customFormat="1">
      <c r="A651" s="762" t="s">
        <v>2339</v>
      </c>
      <c r="B651" s="762" t="s">
        <v>2340</v>
      </c>
      <c r="C651" s="762" t="s">
        <v>2476</v>
      </c>
      <c r="D651" s="762">
        <v>61702541</v>
      </c>
      <c r="E651" s="762" t="s">
        <v>2443</v>
      </c>
      <c r="F651" s="762">
        <v>143006428</v>
      </c>
      <c r="G651" s="762" t="s">
        <v>2520</v>
      </c>
      <c r="H651" s="762" t="s">
        <v>7323</v>
      </c>
      <c r="I651" s="762" t="s">
        <v>6867</v>
      </c>
      <c r="J651" s="762">
        <v>9</v>
      </c>
      <c r="K651" s="1911">
        <v>281915.5</v>
      </c>
      <c r="L651" s="1911">
        <v>7997.81</v>
      </c>
      <c r="M651" s="1911">
        <v>273917.69</v>
      </c>
      <c r="N651" s="1752" t="str">
        <f t="shared" si="10"/>
        <v>C390</v>
      </c>
      <c r="O651" s="1752" t="s">
        <v>99</v>
      </c>
      <c r="P651" s="762" t="s">
        <v>2501</v>
      </c>
      <c r="Q651" s="761"/>
      <c r="R651" s="761"/>
      <c r="S651" s="761"/>
      <c r="T651" s="761"/>
      <c r="U651" s="761"/>
      <c r="V651" s="761"/>
      <c r="W651" s="761"/>
      <c r="X651" s="761"/>
      <c r="Y651" s="761"/>
      <c r="Z651" s="761"/>
      <c r="AA651" s="761"/>
      <c r="AB651" s="761"/>
      <c r="AC651" s="761"/>
      <c r="AD651" s="761"/>
      <c r="AE651" s="761"/>
      <c r="AF651" s="761"/>
      <c r="AG651" s="761"/>
      <c r="AH651" s="761"/>
      <c r="AI651" s="761"/>
      <c r="AJ651" s="761"/>
      <c r="AK651" s="761"/>
      <c r="AL651" s="761"/>
      <c r="AM651" s="761"/>
      <c r="AN651" s="761"/>
      <c r="AO651" s="761"/>
      <c r="AP651" s="761"/>
      <c r="AQ651" s="761"/>
      <c r="AR651" s="761"/>
      <c r="AS651" s="761"/>
      <c r="AT651" s="761"/>
      <c r="AU651" s="761"/>
      <c r="AV651" s="761"/>
      <c r="AW651" s="761"/>
      <c r="AX651" s="761"/>
      <c r="AY651" s="761"/>
      <c r="AZ651" s="761"/>
      <c r="BA651" s="761"/>
      <c r="BB651" s="761"/>
      <c r="BC651" s="761"/>
      <c r="BD651" s="761"/>
      <c r="BE651" s="761"/>
      <c r="BF651" s="761"/>
      <c r="BG651" s="761"/>
      <c r="BH651" s="761"/>
      <c r="BI651" s="761"/>
      <c r="BJ651" s="761"/>
      <c r="BK651" s="761"/>
      <c r="BL651" s="761"/>
      <c r="BM651" s="761"/>
    </row>
    <row r="652" spans="1:65" s="1720" customFormat="1">
      <c r="A652" s="762" t="s">
        <v>2339</v>
      </c>
      <c r="B652" s="762" t="s">
        <v>2340</v>
      </c>
      <c r="C652" s="762" t="s">
        <v>2476</v>
      </c>
      <c r="D652" s="762">
        <v>61702544</v>
      </c>
      <c r="E652" s="762" t="s">
        <v>2443</v>
      </c>
      <c r="F652" s="762">
        <v>143006429</v>
      </c>
      <c r="G652" s="762" t="s">
        <v>2521</v>
      </c>
      <c r="H652" s="762" t="s">
        <v>2521</v>
      </c>
      <c r="I652" s="762" t="s">
        <v>6867</v>
      </c>
      <c r="J652" s="762">
        <v>2</v>
      </c>
      <c r="K652" s="1911">
        <v>6423.16</v>
      </c>
      <c r="L652" s="1911">
        <v>182.22</v>
      </c>
      <c r="M652" s="1911">
        <v>6240.9400000000005</v>
      </c>
      <c r="N652" s="1752" t="str">
        <f t="shared" si="10"/>
        <v>C390</v>
      </c>
      <c r="O652" s="1752" t="s">
        <v>99</v>
      </c>
      <c r="P652" s="762" t="s">
        <v>2501</v>
      </c>
      <c r="Q652" s="761"/>
      <c r="R652" s="761"/>
      <c r="S652" s="761"/>
      <c r="T652" s="761"/>
      <c r="U652" s="761"/>
      <c r="V652" s="761"/>
      <c r="W652" s="761"/>
      <c r="X652" s="761"/>
      <c r="Y652" s="761"/>
      <c r="Z652" s="761"/>
      <c r="AA652" s="761"/>
      <c r="AB652" s="761"/>
      <c r="AC652" s="761"/>
      <c r="AD652" s="761"/>
      <c r="AE652" s="761"/>
      <c r="AF652" s="761"/>
      <c r="AG652" s="761"/>
      <c r="AH652" s="761"/>
      <c r="AI652" s="761"/>
      <c r="AJ652" s="761"/>
      <c r="AK652" s="761"/>
      <c r="AL652" s="761"/>
      <c r="AM652" s="761"/>
      <c r="AN652" s="761"/>
      <c r="AO652" s="761"/>
      <c r="AP652" s="761"/>
      <c r="AQ652" s="761"/>
      <c r="AR652" s="761"/>
      <c r="AS652" s="761"/>
      <c r="AT652" s="761"/>
      <c r="AU652" s="761"/>
      <c r="AV652" s="761"/>
      <c r="AW652" s="761"/>
      <c r="AX652" s="761"/>
      <c r="AY652" s="761"/>
      <c r="AZ652" s="761"/>
      <c r="BA652" s="761"/>
      <c r="BB652" s="761"/>
      <c r="BC652" s="761"/>
      <c r="BD652" s="761"/>
      <c r="BE652" s="761"/>
      <c r="BF652" s="761"/>
      <c r="BG652" s="761"/>
      <c r="BH652" s="761"/>
      <c r="BI652" s="761"/>
      <c r="BJ652" s="761"/>
      <c r="BK652" s="761"/>
      <c r="BL652" s="761"/>
      <c r="BM652" s="761"/>
    </row>
    <row r="653" spans="1:65" s="1720" customFormat="1">
      <c r="A653" s="762" t="s">
        <v>2339</v>
      </c>
      <c r="B653" s="762" t="s">
        <v>2340</v>
      </c>
      <c r="C653" s="762" t="s">
        <v>2476</v>
      </c>
      <c r="D653" s="762">
        <v>61702547</v>
      </c>
      <c r="E653" s="762" t="s">
        <v>2443</v>
      </c>
      <c r="F653" s="762">
        <v>143006430</v>
      </c>
      <c r="G653" s="762" t="s">
        <v>2522</v>
      </c>
      <c r="H653" s="762" t="s">
        <v>2522</v>
      </c>
      <c r="I653" s="762" t="s">
        <v>6867</v>
      </c>
      <c r="J653" s="762">
        <v>2</v>
      </c>
      <c r="K653" s="1911">
        <v>580943.74</v>
      </c>
      <c r="L653" s="1911">
        <v>16481.099999999999</v>
      </c>
      <c r="M653" s="1911">
        <v>564462.64</v>
      </c>
      <c r="N653" s="1752" t="str">
        <f t="shared" si="10"/>
        <v>C390</v>
      </c>
      <c r="O653" s="1752" t="s">
        <v>99</v>
      </c>
      <c r="P653" s="762" t="s">
        <v>2501</v>
      </c>
      <c r="Q653" s="761"/>
      <c r="R653" s="761"/>
      <c r="S653" s="761"/>
      <c r="T653" s="761"/>
      <c r="U653" s="761"/>
      <c r="V653" s="761"/>
      <c r="W653" s="761"/>
      <c r="X653" s="761"/>
      <c r="Y653" s="761"/>
      <c r="Z653" s="761"/>
      <c r="AA653" s="761"/>
      <c r="AB653" s="761"/>
      <c r="AC653" s="761"/>
      <c r="AD653" s="761"/>
      <c r="AE653" s="761"/>
      <c r="AF653" s="761"/>
      <c r="AG653" s="761"/>
      <c r="AH653" s="761"/>
      <c r="AI653" s="761"/>
      <c r="AJ653" s="761"/>
      <c r="AK653" s="761"/>
      <c r="AL653" s="761"/>
      <c r="AM653" s="761"/>
      <c r="AN653" s="761"/>
      <c r="AO653" s="761"/>
      <c r="AP653" s="761"/>
      <c r="AQ653" s="761"/>
      <c r="AR653" s="761"/>
      <c r="AS653" s="761"/>
      <c r="AT653" s="761"/>
      <c r="AU653" s="761"/>
      <c r="AV653" s="761"/>
      <c r="AW653" s="761"/>
      <c r="AX653" s="761"/>
      <c r="AY653" s="761"/>
      <c r="AZ653" s="761"/>
      <c r="BA653" s="761"/>
      <c r="BB653" s="761"/>
      <c r="BC653" s="761"/>
      <c r="BD653" s="761"/>
      <c r="BE653" s="761"/>
      <c r="BF653" s="761"/>
      <c r="BG653" s="761"/>
      <c r="BH653" s="761"/>
      <c r="BI653" s="761"/>
      <c r="BJ653" s="761"/>
      <c r="BK653" s="761"/>
      <c r="BL653" s="761"/>
      <c r="BM653" s="761"/>
    </row>
    <row r="654" spans="1:65" s="1691" customFormat="1">
      <c r="A654" s="762" t="s">
        <v>2339</v>
      </c>
      <c r="B654" s="762" t="s">
        <v>2340</v>
      </c>
      <c r="C654" s="762" t="s">
        <v>2476</v>
      </c>
      <c r="D654" s="762">
        <v>67206451</v>
      </c>
      <c r="E654" s="762" t="s">
        <v>2443</v>
      </c>
      <c r="F654" s="762">
        <v>143005251</v>
      </c>
      <c r="G654" s="762" t="s">
        <v>3562</v>
      </c>
      <c r="H654" s="1917" t="s">
        <v>8003</v>
      </c>
      <c r="I654" s="762" t="s">
        <v>6867</v>
      </c>
      <c r="J654" s="762">
        <v>12</v>
      </c>
      <c r="K654" s="1911">
        <v>6623.76</v>
      </c>
      <c r="L654" s="1911">
        <v>187.91</v>
      </c>
      <c r="M654" s="1911">
        <v>6435.85</v>
      </c>
      <c r="N654" s="1752" t="str">
        <f t="shared" si="10"/>
        <v>C390</v>
      </c>
      <c r="O654" s="1752" t="s">
        <v>99</v>
      </c>
      <c r="P654" s="1752" t="s">
        <v>2501</v>
      </c>
      <c r="Q654" s="761"/>
      <c r="R654" s="761"/>
      <c r="S654" s="761"/>
      <c r="T654" s="761"/>
      <c r="U654" s="761"/>
      <c r="V654" s="761"/>
      <c r="W654" s="761"/>
      <c r="X654" s="761"/>
      <c r="Y654" s="761"/>
      <c r="Z654" s="761"/>
      <c r="AA654" s="761"/>
      <c r="AB654" s="761"/>
      <c r="AC654" s="761"/>
      <c r="AD654" s="761"/>
      <c r="AE654" s="761"/>
      <c r="AF654" s="761"/>
      <c r="AG654" s="761"/>
      <c r="AH654" s="761"/>
      <c r="AI654" s="761"/>
      <c r="AJ654" s="761"/>
      <c r="AK654" s="761"/>
      <c r="AL654" s="761"/>
      <c r="AM654" s="761"/>
      <c r="AN654" s="761"/>
      <c r="AO654" s="761"/>
      <c r="AP654" s="761"/>
      <c r="AQ654" s="761"/>
      <c r="AR654" s="761"/>
      <c r="AS654" s="761"/>
      <c r="AT654" s="761"/>
      <c r="AU654" s="761"/>
      <c r="AV654" s="761"/>
      <c r="AW654" s="761"/>
      <c r="AX654" s="761"/>
      <c r="AY654" s="761"/>
      <c r="AZ654" s="761"/>
      <c r="BA654" s="761"/>
      <c r="BB654" s="761"/>
      <c r="BC654" s="761"/>
      <c r="BD654" s="761"/>
      <c r="BE654" s="761"/>
      <c r="BF654" s="761"/>
      <c r="BG654" s="761"/>
      <c r="BH654" s="761"/>
      <c r="BI654" s="761"/>
      <c r="BJ654" s="761"/>
      <c r="BK654" s="761"/>
      <c r="BL654" s="761"/>
      <c r="BM654" s="761"/>
    </row>
    <row r="655" spans="1:65" s="1691" customFormat="1">
      <c r="A655" s="762" t="s">
        <v>2339</v>
      </c>
      <c r="B655" s="762" t="s">
        <v>2340</v>
      </c>
      <c r="C655" s="762" t="s">
        <v>2476</v>
      </c>
      <c r="D655" s="762">
        <v>67206454</v>
      </c>
      <c r="E655" s="762" t="s">
        <v>2443</v>
      </c>
      <c r="F655" s="762">
        <v>143005251</v>
      </c>
      <c r="G655" s="762" t="s">
        <v>3562</v>
      </c>
      <c r="H655" s="1917" t="s">
        <v>8003</v>
      </c>
      <c r="I655" s="762" t="s">
        <v>6867</v>
      </c>
      <c r="J655" s="762">
        <v>14</v>
      </c>
      <c r="K655" s="1911">
        <v>6623.76</v>
      </c>
      <c r="L655" s="1911">
        <v>187.91</v>
      </c>
      <c r="M655" s="1911">
        <v>6435.85</v>
      </c>
      <c r="N655" s="1752" t="str">
        <f t="shared" si="10"/>
        <v>C390</v>
      </c>
      <c r="O655" s="1752" t="s">
        <v>99</v>
      </c>
      <c r="P655" s="1752" t="s">
        <v>2501</v>
      </c>
      <c r="Q655" s="761"/>
      <c r="R655" s="761"/>
      <c r="S655" s="761"/>
      <c r="T655" s="761"/>
      <c r="U655" s="761"/>
      <c r="V655" s="761"/>
      <c r="W655" s="761"/>
      <c r="X655" s="761"/>
      <c r="Y655" s="761"/>
      <c r="Z655" s="761"/>
      <c r="AA655" s="761"/>
      <c r="AB655" s="761"/>
      <c r="AC655" s="761"/>
      <c r="AD655" s="761"/>
      <c r="AE655" s="761"/>
      <c r="AF655" s="761"/>
      <c r="AG655" s="761"/>
      <c r="AH655" s="761"/>
      <c r="AI655" s="761"/>
      <c r="AJ655" s="761"/>
      <c r="AK655" s="761"/>
      <c r="AL655" s="761"/>
      <c r="AM655" s="761"/>
      <c r="AN655" s="761"/>
      <c r="AO655" s="761"/>
      <c r="AP655" s="761"/>
      <c r="AQ655" s="761"/>
      <c r="AR655" s="761"/>
      <c r="AS655" s="761"/>
      <c r="AT655" s="761"/>
      <c r="AU655" s="761"/>
      <c r="AV655" s="761"/>
      <c r="AW655" s="761"/>
      <c r="AX655" s="761"/>
      <c r="AY655" s="761"/>
      <c r="AZ655" s="761"/>
      <c r="BA655" s="761"/>
      <c r="BB655" s="761"/>
      <c r="BC655" s="761"/>
      <c r="BD655" s="761"/>
      <c r="BE655" s="761"/>
      <c r="BF655" s="761"/>
      <c r="BG655" s="761"/>
      <c r="BH655" s="761"/>
      <c r="BI655" s="761"/>
      <c r="BJ655" s="761"/>
      <c r="BK655" s="761"/>
      <c r="BL655" s="761"/>
      <c r="BM655" s="761"/>
    </row>
    <row r="656" spans="1:65" s="1691" customFormat="1">
      <c r="A656" s="762" t="s">
        <v>2339</v>
      </c>
      <c r="B656" s="762" t="s">
        <v>2340</v>
      </c>
      <c r="C656" s="762" t="s">
        <v>2476</v>
      </c>
      <c r="D656" s="762">
        <v>67206457</v>
      </c>
      <c r="E656" s="762" t="s">
        <v>2443</v>
      </c>
      <c r="F656" s="762">
        <v>143005251</v>
      </c>
      <c r="G656" s="762" t="s">
        <v>3562</v>
      </c>
      <c r="H656" s="1917" t="s">
        <v>8003</v>
      </c>
      <c r="I656" s="762" t="s">
        <v>6867</v>
      </c>
      <c r="J656" s="762">
        <v>19</v>
      </c>
      <c r="K656" s="1911">
        <v>26495.03</v>
      </c>
      <c r="L656" s="1911">
        <v>751.65</v>
      </c>
      <c r="M656" s="1911">
        <v>25743.38</v>
      </c>
      <c r="N656" s="1752" t="str">
        <f t="shared" si="10"/>
        <v>C390</v>
      </c>
      <c r="O656" s="1752" t="s">
        <v>99</v>
      </c>
      <c r="P656" s="1752" t="s">
        <v>2501</v>
      </c>
      <c r="Q656" s="761"/>
      <c r="R656" s="761"/>
      <c r="S656" s="761"/>
      <c r="T656" s="761"/>
      <c r="U656" s="761"/>
      <c r="V656" s="761"/>
      <c r="W656" s="761"/>
      <c r="X656" s="761"/>
      <c r="Y656" s="761"/>
      <c r="Z656" s="761"/>
      <c r="AA656" s="761"/>
      <c r="AB656" s="761"/>
      <c r="AC656" s="761"/>
      <c r="AD656" s="761"/>
      <c r="AE656" s="761"/>
      <c r="AF656" s="761"/>
      <c r="AG656" s="761"/>
      <c r="AH656" s="761"/>
      <c r="AI656" s="761"/>
      <c r="AJ656" s="761"/>
      <c r="AK656" s="761"/>
      <c r="AL656" s="761"/>
      <c r="AM656" s="761"/>
      <c r="AN656" s="761"/>
      <c r="AO656" s="761"/>
      <c r="AP656" s="761"/>
      <c r="AQ656" s="761"/>
      <c r="AR656" s="761"/>
      <c r="AS656" s="761"/>
      <c r="AT656" s="761"/>
      <c r="AU656" s="761"/>
      <c r="AV656" s="761"/>
      <c r="AW656" s="761"/>
      <c r="AX656" s="761"/>
      <c r="AY656" s="761"/>
      <c r="AZ656" s="761"/>
      <c r="BA656" s="761"/>
      <c r="BB656" s="761"/>
      <c r="BC656" s="761"/>
      <c r="BD656" s="761"/>
      <c r="BE656" s="761"/>
      <c r="BF656" s="761"/>
      <c r="BG656" s="761"/>
      <c r="BH656" s="761"/>
      <c r="BI656" s="761"/>
      <c r="BJ656" s="761"/>
      <c r="BK656" s="761"/>
      <c r="BL656" s="761"/>
      <c r="BM656" s="761"/>
    </row>
    <row r="657" spans="1:65" s="1691" customFormat="1">
      <c r="A657" s="762" t="s">
        <v>2339</v>
      </c>
      <c r="B657" s="762" t="s">
        <v>2340</v>
      </c>
      <c r="C657" s="762" t="s">
        <v>2476</v>
      </c>
      <c r="D657" s="762">
        <v>67206460</v>
      </c>
      <c r="E657" s="762" t="s">
        <v>2443</v>
      </c>
      <c r="F657" s="762">
        <v>143005251</v>
      </c>
      <c r="G657" s="762" t="s">
        <v>3562</v>
      </c>
      <c r="H657" s="1917" t="s">
        <v>8003</v>
      </c>
      <c r="I657" s="762" t="s">
        <v>6867</v>
      </c>
      <c r="J657" s="762">
        <v>6</v>
      </c>
      <c r="K657" s="1911">
        <v>6623.72</v>
      </c>
      <c r="L657" s="1911">
        <v>187.91</v>
      </c>
      <c r="M657" s="1911">
        <v>6435.81</v>
      </c>
      <c r="N657" s="1752" t="str">
        <f t="shared" si="10"/>
        <v>C390</v>
      </c>
      <c r="O657" s="1752" t="s">
        <v>99</v>
      </c>
      <c r="P657" s="1752" t="s">
        <v>2501</v>
      </c>
      <c r="Q657" s="761"/>
      <c r="R657" s="761"/>
      <c r="S657" s="761"/>
      <c r="T657" s="761"/>
      <c r="U657" s="761"/>
      <c r="V657" s="761"/>
      <c r="W657" s="761"/>
      <c r="X657" s="761"/>
      <c r="Y657" s="761"/>
      <c r="Z657" s="761"/>
      <c r="AA657" s="761"/>
      <c r="AB657" s="761"/>
      <c r="AC657" s="761"/>
      <c r="AD657" s="761"/>
      <c r="AE657" s="761"/>
      <c r="AF657" s="761"/>
      <c r="AG657" s="761"/>
      <c r="AH657" s="761"/>
      <c r="AI657" s="761"/>
      <c r="AJ657" s="761"/>
      <c r="AK657" s="761"/>
      <c r="AL657" s="761"/>
      <c r="AM657" s="761"/>
      <c r="AN657" s="761"/>
      <c r="AO657" s="761"/>
      <c r="AP657" s="761"/>
      <c r="AQ657" s="761"/>
      <c r="AR657" s="761"/>
      <c r="AS657" s="761"/>
      <c r="AT657" s="761"/>
      <c r="AU657" s="761"/>
      <c r="AV657" s="761"/>
      <c r="AW657" s="761"/>
      <c r="AX657" s="761"/>
      <c r="AY657" s="761"/>
      <c r="AZ657" s="761"/>
      <c r="BA657" s="761"/>
      <c r="BB657" s="761"/>
      <c r="BC657" s="761"/>
      <c r="BD657" s="761"/>
      <c r="BE657" s="761"/>
      <c r="BF657" s="761"/>
      <c r="BG657" s="761"/>
      <c r="BH657" s="761"/>
      <c r="BI657" s="761"/>
      <c r="BJ657" s="761"/>
      <c r="BK657" s="761"/>
      <c r="BL657" s="761"/>
      <c r="BM657" s="761"/>
    </row>
    <row r="658" spans="1:65" s="1691" customFormat="1">
      <c r="A658" s="762" t="s">
        <v>2339</v>
      </c>
      <c r="B658" s="762" t="s">
        <v>2340</v>
      </c>
      <c r="C658" s="762" t="s">
        <v>2476</v>
      </c>
      <c r="D658" s="762">
        <v>67206463</v>
      </c>
      <c r="E658" s="762" t="s">
        <v>2443</v>
      </c>
      <c r="F658" s="762">
        <v>143005251</v>
      </c>
      <c r="G658" s="762" t="s">
        <v>3562</v>
      </c>
      <c r="H658" s="1917" t="s">
        <v>8003</v>
      </c>
      <c r="I658" s="762" t="s">
        <v>6867</v>
      </c>
      <c r="J658" s="762">
        <v>20</v>
      </c>
      <c r="K658" s="1911">
        <v>26495.03</v>
      </c>
      <c r="L658" s="1911">
        <v>751.65</v>
      </c>
      <c r="M658" s="1911">
        <v>25743.38</v>
      </c>
      <c r="N658" s="1752" t="str">
        <f t="shared" si="10"/>
        <v>C390</v>
      </c>
      <c r="O658" s="1752" t="s">
        <v>99</v>
      </c>
      <c r="P658" s="1752" t="s">
        <v>2501</v>
      </c>
      <c r="Q658" s="761"/>
      <c r="R658" s="761"/>
      <c r="S658" s="761"/>
      <c r="T658" s="761"/>
      <c r="U658" s="761"/>
      <c r="V658" s="761"/>
      <c r="W658" s="761"/>
      <c r="X658" s="761"/>
      <c r="Y658" s="761"/>
      <c r="Z658" s="761"/>
      <c r="AA658" s="761"/>
      <c r="AB658" s="761"/>
      <c r="AC658" s="761"/>
      <c r="AD658" s="761"/>
      <c r="AE658" s="761"/>
      <c r="AF658" s="761"/>
      <c r="AG658" s="761"/>
      <c r="AH658" s="761"/>
      <c r="AI658" s="761"/>
      <c r="AJ658" s="761"/>
      <c r="AK658" s="761"/>
      <c r="AL658" s="761"/>
      <c r="AM658" s="761"/>
      <c r="AN658" s="761"/>
      <c r="AO658" s="761"/>
      <c r="AP658" s="761"/>
      <c r="AQ658" s="761"/>
      <c r="AR658" s="761"/>
      <c r="AS658" s="761"/>
      <c r="AT658" s="761"/>
      <c r="AU658" s="761"/>
      <c r="AV658" s="761"/>
      <c r="AW658" s="761"/>
      <c r="AX658" s="761"/>
      <c r="AY658" s="761"/>
      <c r="AZ658" s="761"/>
      <c r="BA658" s="761"/>
      <c r="BB658" s="761"/>
      <c r="BC658" s="761"/>
      <c r="BD658" s="761"/>
      <c r="BE658" s="761"/>
      <c r="BF658" s="761"/>
      <c r="BG658" s="761"/>
      <c r="BH658" s="761"/>
      <c r="BI658" s="761"/>
      <c r="BJ658" s="761"/>
      <c r="BK658" s="761"/>
      <c r="BL658" s="761"/>
      <c r="BM658" s="761"/>
    </row>
    <row r="659" spans="1:65" s="1691" customFormat="1">
      <c r="A659" s="762" t="s">
        <v>2339</v>
      </c>
      <c r="B659" s="762" t="s">
        <v>2340</v>
      </c>
      <c r="C659" s="762" t="s">
        <v>2473</v>
      </c>
      <c r="D659" s="762">
        <v>67206466</v>
      </c>
      <c r="E659" s="762" t="s">
        <v>2443</v>
      </c>
      <c r="F659" s="762">
        <v>143005318</v>
      </c>
      <c r="G659" s="762" t="s">
        <v>2503</v>
      </c>
      <c r="H659" s="1917" t="s">
        <v>7259</v>
      </c>
      <c r="I659" s="762" t="s">
        <v>6867</v>
      </c>
      <c r="J659" s="762">
        <v>1</v>
      </c>
      <c r="K659" s="1911">
        <v>15449.880000000001</v>
      </c>
      <c r="L659" s="1911">
        <v>438.31</v>
      </c>
      <c r="M659" s="1911">
        <v>15011.57</v>
      </c>
      <c r="N659" s="1752" t="str">
        <f t="shared" si="10"/>
        <v>C390</v>
      </c>
      <c r="O659" s="1752" t="s">
        <v>99</v>
      </c>
      <c r="P659" s="1752" t="s">
        <v>2501</v>
      </c>
      <c r="Q659" s="761"/>
      <c r="R659" s="761"/>
      <c r="S659" s="761"/>
      <c r="T659" s="761"/>
      <c r="U659" s="761"/>
      <c r="V659" s="761"/>
      <c r="W659" s="761"/>
      <c r="X659" s="761"/>
      <c r="Y659" s="761"/>
      <c r="Z659" s="761"/>
      <c r="AA659" s="761"/>
      <c r="AB659" s="761"/>
      <c r="AC659" s="761"/>
      <c r="AD659" s="761"/>
      <c r="AE659" s="761"/>
      <c r="AF659" s="761"/>
      <c r="AG659" s="761"/>
      <c r="AH659" s="761"/>
      <c r="AI659" s="761"/>
      <c r="AJ659" s="761"/>
      <c r="AK659" s="761"/>
      <c r="AL659" s="761"/>
      <c r="AM659" s="761"/>
      <c r="AN659" s="761"/>
      <c r="AO659" s="761"/>
      <c r="AP659" s="761"/>
      <c r="AQ659" s="761"/>
      <c r="AR659" s="761"/>
      <c r="AS659" s="761"/>
      <c r="AT659" s="761"/>
      <c r="AU659" s="761"/>
      <c r="AV659" s="761"/>
      <c r="AW659" s="761"/>
      <c r="AX659" s="761"/>
      <c r="AY659" s="761"/>
      <c r="AZ659" s="761"/>
      <c r="BA659" s="761"/>
      <c r="BB659" s="761"/>
      <c r="BC659" s="761"/>
      <c r="BD659" s="761"/>
      <c r="BE659" s="761"/>
      <c r="BF659" s="761"/>
      <c r="BG659" s="761"/>
      <c r="BH659" s="761"/>
      <c r="BI659" s="761"/>
      <c r="BJ659" s="761"/>
      <c r="BK659" s="761"/>
      <c r="BL659" s="761"/>
      <c r="BM659" s="761"/>
    </row>
    <row r="660" spans="1:65" s="1720" customFormat="1">
      <c r="A660" s="762" t="s">
        <v>2339</v>
      </c>
      <c r="B660" s="762" t="s">
        <v>2340</v>
      </c>
      <c r="C660" s="762" t="s">
        <v>2517</v>
      </c>
      <c r="D660" s="762">
        <v>62433294</v>
      </c>
      <c r="E660" s="762" t="s">
        <v>2443</v>
      </c>
      <c r="F660" s="762">
        <v>143006183</v>
      </c>
      <c r="G660" s="762" t="s">
        <v>2518</v>
      </c>
      <c r="H660" s="762" t="s">
        <v>2518</v>
      </c>
      <c r="I660" s="762" t="s">
        <v>6867</v>
      </c>
      <c r="J660" s="762">
        <v>2</v>
      </c>
      <c r="K660" s="1911">
        <v>142165.15</v>
      </c>
      <c r="L660" s="1911">
        <v>4033.1600000000003</v>
      </c>
      <c r="M660" s="1911">
        <v>138131.99</v>
      </c>
      <c r="N660" s="1752" t="str">
        <f t="shared" si="10"/>
        <v>C390</v>
      </c>
      <c r="O660" s="1752" t="s">
        <v>99</v>
      </c>
      <c r="P660" s="1752" t="s">
        <v>2501</v>
      </c>
      <c r="Q660" s="761"/>
      <c r="R660" s="761"/>
      <c r="S660" s="761"/>
      <c r="T660" s="761"/>
      <c r="U660" s="761"/>
      <c r="V660" s="761"/>
      <c r="W660" s="761"/>
      <c r="X660" s="761"/>
      <c r="Y660" s="761"/>
      <c r="Z660" s="761"/>
      <c r="AA660" s="761"/>
      <c r="AB660" s="761"/>
      <c r="AC660" s="761"/>
      <c r="AD660" s="761"/>
      <c r="AE660" s="761"/>
      <c r="AF660" s="761"/>
      <c r="AG660" s="761"/>
      <c r="AH660" s="761"/>
      <c r="AI660" s="761"/>
      <c r="AJ660" s="761"/>
      <c r="AK660" s="761"/>
      <c r="AL660" s="761"/>
      <c r="AM660" s="761"/>
      <c r="AN660" s="761"/>
      <c r="AO660" s="761"/>
      <c r="AP660" s="761"/>
      <c r="AQ660" s="761"/>
      <c r="AR660" s="761"/>
      <c r="AS660" s="761"/>
      <c r="AT660" s="761"/>
      <c r="AU660" s="761"/>
      <c r="AV660" s="761"/>
      <c r="AW660" s="761"/>
      <c r="AX660" s="761"/>
      <c r="AY660" s="761"/>
      <c r="AZ660" s="761"/>
      <c r="BA660" s="761"/>
      <c r="BB660" s="761"/>
      <c r="BC660" s="761"/>
      <c r="BD660" s="761"/>
      <c r="BE660" s="761"/>
      <c r="BF660" s="761"/>
      <c r="BG660" s="761"/>
      <c r="BH660" s="761"/>
      <c r="BI660" s="761"/>
      <c r="BJ660" s="761"/>
      <c r="BK660" s="761"/>
      <c r="BL660" s="761"/>
      <c r="BM660" s="761"/>
    </row>
    <row r="661" spans="1:65" s="1720" customFormat="1">
      <c r="A661" s="762" t="s">
        <v>2339</v>
      </c>
      <c r="B661" s="762" t="s">
        <v>2340</v>
      </c>
      <c r="C661" s="762" t="s">
        <v>2476</v>
      </c>
      <c r="D661" s="762">
        <v>62782991</v>
      </c>
      <c r="E661" s="762" t="s">
        <v>2443</v>
      </c>
      <c r="F661" s="762">
        <v>143006182</v>
      </c>
      <c r="G661" s="762" t="s">
        <v>2516</v>
      </c>
      <c r="H661" s="762" t="s">
        <v>7324</v>
      </c>
      <c r="I661" s="762" t="s">
        <v>6867</v>
      </c>
      <c r="J661" s="762">
        <v>2</v>
      </c>
      <c r="K661" s="1911">
        <v>2393125.17</v>
      </c>
      <c r="L661" s="1911">
        <v>67891.839999999997</v>
      </c>
      <c r="M661" s="1911">
        <v>2325233.33</v>
      </c>
      <c r="N661" s="1752" t="str">
        <f t="shared" si="10"/>
        <v>C390</v>
      </c>
      <c r="O661" s="1752" t="s">
        <v>99</v>
      </c>
      <c r="P661" s="1752" t="s">
        <v>2501</v>
      </c>
      <c r="Q661" s="761"/>
      <c r="R661" s="761"/>
      <c r="S661" s="761"/>
      <c r="T661" s="761"/>
      <c r="U661" s="761"/>
      <c r="V661" s="761"/>
      <c r="W661" s="761"/>
      <c r="X661" s="761"/>
      <c r="Y661" s="761"/>
      <c r="Z661" s="761"/>
      <c r="AA661" s="761"/>
      <c r="AB661" s="761"/>
      <c r="AC661" s="761"/>
      <c r="AD661" s="761"/>
      <c r="AE661" s="761"/>
      <c r="AF661" s="761"/>
      <c r="AG661" s="761"/>
      <c r="AH661" s="761"/>
      <c r="AI661" s="761"/>
      <c r="AJ661" s="761"/>
      <c r="AK661" s="761"/>
      <c r="AL661" s="761"/>
      <c r="AM661" s="761"/>
      <c r="AN661" s="761"/>
      <c r="AO661" s="761"/>
      <c r="AP661" s="761"/>
      <c r="AQ661" s="761"/>
      <c r="AR661" s="761"/>
      <c r="AS661" s="761"/>
      <c r="AT661" s="761"/>
      <c r="AU661" s="761"/>
      <c r="AV661" s="761"/>
      <c r="AW661" s="761"/>
      <c r="AX661" s="761"/>
      <c r="AY661" s="761"/>
      <c r="AZ661" s="761"/>
      <c r="BA661" s="761"/>
      <c r="BB661" s="761"/>
      <c r="BC661" s="761"/>
      <c r="BD661" s="761"/>
      <c r="BE661" s="761"/>
      <c r="BF661" s="761"/>
      <c r="BG661" s="761"/>
      <c r="BH661" s="761"/>
      <c r="BI661" s="761"/>
      <c r="BJ661" s="761"/>
      <c r="BK661" s="761"/>
      <c r="BL661" s="761"/>
      <c r="BM661" s="761"/>
    </row>
    <row r="662" spans="1:65" s="1720" customFormat="1">
      <c r="A662" s="762" t="s">
        <v>2339</v>
      </c>
      <c r="B662" s="762" t="s">
        <v>2340</v>
      </c>
      <c r="C662" s="762" t="s">
        <v>2476</v>
      </c>
      <c r="D662" s="762">
        <v>63116590</v>
      </c>
      <c r="E662" s="762" t="s">
        <v>2443</v>
      </c>
      <c r="F662" s="762">
        <v>143006032</v>
      </c>
      <c r="G662" s="762" t="s">
        <v>2511</v>
      </c>
      <c r="H662" s="762" t="s">
        <v>7325</v>
      </c>
      <c r="I662" s="762" t="s">
        <v>6867</v>
      </c>
      <c r="J662" s="762">
        <v>6</v>
      </c>
      <c r="K662" s="1911">
        <v>184373.08000000002</v>
      </c>
      <c r="L662" s="1911">
        <v>5230.58</v>
      </c>
      <c r="M662" s="1911">
        <v>179142.5</v>
      </c>
      <c r="N662" s="1752" t="str">
        <f t="shared" si="10"/>
        <v>C390</v>
      </c>
      <c r="O662" s="1752" t="s">
        <v>99</v>
      </c>
      <c r="P662" s="1752" t="s">
        <v>2501</v>
      </c>
      <c r="Q662" s="761"/>
      <c r="R662" s="761"/>
      <c r="S662" s="761"/>
      <c r="T662" s="761"/>
      <c r="U662" s="761"/>
      <c r="V662" s="761"/>
      <c r="W662" s="761"/>
      <c r="X662" s="761"/>
      <c r="Y662" s="761"/>
      <c r="Z662" s="761"/>
      <c r="AA662" s="761"/>
      <c r="AB662" s="761"/>
      <c r="AC662" s="761"/>
      <c r="AD662" s="761"/>
      <c r="AE662" s="761"/>
      <c r="AF662" s="761"/>
      <c r="AG662" s="761"/>
      <c r="AH662" s="761"/>
      <c r="AI662" s="761"/>
      <c r="AJ662" s="761"/>
      <c r="AK662" s="761"/>
      <c r="AL662" s="761"/>
      <c r="AM662" s="761"/>
      <c r="AN662" s="761"/>
      <c r="AO662" s="761"/>
      <c r="AP662" s="761"/>
      <c r="AQ662" s="761"/>
      <c r="AR662" s="761"/>
      <c r="AS662" s="761"/>
      <c r="AT662" s="761"/>
      <c r="AU662" s="761"/>
      <c r="AV662" s="761"/>
      <c r="AW662" s="761"/>
      <c r="AX662" s="761"/>
      <c r="AY662" s="761"/>
      <c r="AZ662" s="761"/>
      <c r="BA662" s="761"/>
      <c r="BB662" s="761"/>
      <c r="BC662" s="761"/>
      <c r="BD662" s="761"/>
      <c r="BE662" s="761"/>
      <c r="BF662" s="761"/>
      <c r="BG662" s="761"/>
      <c r="BH662" s="761"/>
      <c r="BI662" s="761"/>
      <c r="BJ662" s="761"/>
      <c r="BK662" s="761"/>
      <c r="BL662" s="761"/>
      <c r="BM662" s="761"/>
    </row>
    <row r="663" spans="1:65" s="1720" customFormat="1">
      <c r="A663" s="762" t="s">
        <v>2339</v>
      </c>
      <c r="B663" s="762" t="s">
        <v>2340</v>
      </c>
      <c r="C663" s="762" t="s">
        <v>2476</v>
      </c>
      <c r="D663" s="762">
        <v>63116616</v>
      </c>
      <c r="E663" s="762" t="s">
        <v>2443</v>
      </c>
      <c r="F663" s="762">
        <v>143006434</v>
      </c>
      <c r="G663" s="762" t="s">
        <v>2523</v>
      </c>
      <c r="H663" s="762" t="s">
        <v>2523</v>
      </c>
      <c r="I663" s="762" t="s">
        <v>6867</v>
      </c>
      <c r="J663" s="762">
        <v>1</v>
      </c>
      <c r="K663" s="1911">
        <v>23681.29</v>
      </c>
      <c r="L663" s="1911">
        <v>671.83</v>
      </c>
      <c r="M663" s="1911">
        <v>23009.46</v>
      </c>
      <c r="N663" s="1752" t="str">
        <f t="shared" si="10"/>
        <v>C390</v>
      </c>
      <c r="O663" s="1752" t="s">
        <v>99</v>
      </c>
      <c r="P663" s="1752" t="s">
        <v>2501</v>
      </c>
      <c r="Q663" s="761"/>
      <c r="R663" s="761"/>
      <c r="S663" s="761"/>
      <c r="T663" s="761"/>
      <c r="U663" s="761"/>
      <c r="V663" s="761"/>
      <c r="W663" s="761"/>
      <c r="X663" s="761"/>
      <c r="Y663" s="761"/>
      <c r="Z663" s="761"/>
      <c r="AA663" s="761"/>
      <c r="AB663" s="761"/>
      <c r="AC663" s="761"/>
      <c r="AD663" s="761"/>
      <c r="AE663" s="761"/>
      <c r="AF663" s="761"/>
      <c r="AG663" s="761"/>
      <c r="AH663" s="761"/>
      <c r="AI663" s="761"/>
      <c r="AJ663" s="761"/>
      <c r="AK663" s="761"/>
      <c r="AL663" s="761"/>
      <c r="AM663" s="761"/>
      <c r="AN663" s="761"/>
      <c r="AO663" s="761"/>
      <c r="AP663" s="761"/>
      <c r="AQ663" s="761"/>
      <c r="AR663" s="761"/>
      <c r="AS663" s="761"/>
      <c r="AT663" s="761"/>
      <c r="AU663" s="761"/>
      <c r="AV663" s="761"/>
      <c r="AW663" s="761"/>
      <c r="AX663" s="761"/>
      <c r="AY663" s="761"/>
      <c r="AZ663" s="761"/>
      <c r="BA663" s="761"/>
      <c r="BB663" s="761"/>
      <c r="BC663" s="761"/>
      <c r="BD663" s="761"/>
      <c r="BE663" s="761"/>
      <c r="BF663" s="761"/>
      <c r="BG663" s="761"/>
      <c r="BH663" s="761"/>
      <c r="BI663" s="761"/>
      <c r="BJ663" s="761"/>
      <c r="BK663" s="761"/>
      <c r="BL663" s="761"/>
      <c r="BM663" s="761"/>
    </row>
    <row r="664" spans="1:65" s="1720" customFormat="1">
      <c r="A664" s="762" t="s">
        <v>2339</v>
      </c>
      <c r="B664" s="762" t="s">
        <v>2340</v>
      </c>
      <c r="C664" s="762" t="s">
        <v>2524</v>
      </c>
      <c r="D664" s="762">
        <v>63116619</v>
      </c>
      <c r="E664" s="762" t="s">
        <v>2443</v>
      </c>
      <c r="F664" s="762">
        <v>143006436</v>
      </c>
      <c r="G664" s="762" t="s">
        <v>2525</v>
      </c>
      <c r="H664" s="762" t="s">
        <v>2525</v>
      </c>
      <c r="I664" s="762" t="s">
        <v>6867</v>
      </c>
      <c r="J664" s="762">
        <v>1</v>
      </c>
      <c r="K664" s="1911">
        <v>24356.99</v>
      </c>
      <c r="L664" s="1911">
        <v>691</v>
      </c>
      <c r="M664" s="1911">
        <v>23665.99</v>
      </c>
      <c r="N664" s="1752" t="str">
        <f t="shared" si="10"/>
        <v>C390</v>
      </c>
      <c r="O664" s="1752" t="s">
        <v>99</v>
      </c>
      <c r="P664" s="1752" t="s">
        <v>2501</v>
      </c>
      <c r="Q664" s="761"/>
      <c r="R664" s="761"/>
      <c r="S664" s="761"/>
      <c r="T664" s="761"/>
      <c r="U664" s="761"/>
      <c r="V664" s="761"/>
      <c r="W664" s="761"/>
      <c r="X664" s="761"/>
      <c r="Y664" s="761"/>
      <c r="Z664" s="761"/>
      <c r="AA664" s="761"/>
      <c r="AB664" s="761"/>
      <c r="AC664" s="761"/>
      <c r="AD664" s="761"/>
      <c r="AE664" s="761"/>
      <c r="AF664" s="761"/>
      <c r="AG664" s="761"/>
      <c r="AH664" s="761"/>
      <c r="AI664" s="761"/>
      <c r="AJ664" s="761"/>
      <c r="AK664" s="761"/>
      <c r="AL664" s="761"/>
      <c r="AM664" s="761"/>
      <c r="AN664" s="761"/>
      <c r="AO664" s="761"/>
      <c r="AP664" s="761"/>
      <c r="AQ664" s="761"/>
      <c r="AR664" s="761"/>
      <c r="AS664" s="761"/>
      <c r="AT664" s="761"/>
      <c r="AU664" s="761"/>
      <c r="AV664" s="761"/>
      <c r="AW664" s="761"/>
      <c r="AX664" s="761"/>
      <c r="AY664" s="761"/>
      <c r="AZ664" s="761"/>
      <c r="BA664" s="761"/>
      <c r="BB664" s="761"/>
      <c r="BC664" s="761"/>
      <c r="BD664" s="761"/>
      <c r="BE664" s="761"/>
      <c r="BF664" s="761"/>
      <c r="BG664" s="761"/>
      <c r="BH664" s="761"/>
      <c r="BI664" s="761"/>
      <c r="BJ664" s="761"/>
      <c r="BK664" s="761"/>
      <c r="BL664" s="761"/>
      <c r="BM664" s="761"/>
    </row>
    <row r="665" spans="1:65" s="1720" customFormat="1">
      <c r="A665" s="762" t="s">
        <v>2339</v>
      </c>
      <c r="B665" s="762" t="s">
        <v>2340</v>
      </c>
      <c r="C665" s="762" t="s">
        <v>2524</v>
      </c>
      <c r="D665" s="762">
        <v>63116700</v>
      </c>
      <c r="E665" s="762" t="s">
        <v>2443</v>
      </c>
      <c r="F665" s="762">
        <v>143006540</v>
      </c>
      <c r="G665" s="762" t="s">
        <v>2526</v>
      </c>
      <c r="H665" s="762" t="s">
        <v>2526</v>
      </c>
      <c r="I665" s="762" t="s">
        <v>6867</v>
      </c>
      <c r="J665" s="762">
        <v>1</v>
      </c>
      <c r="K665" s="1911">
        <v>94349.42</v>
      </c>
      <c r="L665" s="1911">
        <v>2676.65</v>
      </c>
      <c r="M665" s="1911">
        <v>91672.77</v>
      </c>
      <c r="N665" s="1752" t="str">
        <f t="shared" si="10"/>
        <v>C390</v>
      </c>
      <c r="O665" s="1752" t="s">
        <v>99</v>
      </c>
      <c r="P665" s="1752" t="s">
        <v>2501</v>
      </c>
      <c r="Q665" s="761"/>
      <c r="R665" s="761"/>
      <c r="S665" s="761"/>
      <c r="T665" s="761"/>
      <c r="U665" s="761"/>
      <c r="V665" s="761"/>
      <c r="W665" s="761"/>
      <c r="X665" s="761"/>
      <c r="Y665" s="761"/>
      <c r="Z665" s="761"/>
      <c r="AA665" s="761"/>
      <c r="AB665" s="761"/>
      <c r="AC665" s="761"/>
      <c r="AD665" s="761"/>
      <c r="AE665" s="761"/>
      <c r="AF665" s="761"/>
      <c r="AG665" s="761"/>
      <c r="AH665" s="761"/>
      <c r="AI665" s="761"/>
      <c r="AJ665" s="761"/>
      <c r="AK665" s="761"/>
      <c r="AL665" s="761"/>
      <c r="AM665" s="761"/>
      <c r="AN665" s="761"/>
      <c r="AO665" s="761"/>
      <c r="AP665" s="761"/>
      <c r="AQ665" s="761"/>
      <c r="AR665" s="761"/>
      <c r="AS665" s="761"/>
      <c r="AT665" s="761"/>
      <c r="AU665" s="761"/>
      <c r="AV665" s="761"/>
      <c r="AW665" s="761"/>
      <c r="AX665" s="761"/>
      <c r="AY665" s="761"/>
      <c r="AZ665" s="761"/>
      <c r="BA665" s="761"/>
      <c r="BB665" s="761"/>
      <c r="BC665" s="761"/>
      <c r="BD665" s="761"/>
      <c r="BE665" s="761"/>
      <c r="BF665" s="761"/>
      <c r="BG665" s="761"/>
      <c r="BH665" s="761"/>
      <c r="BI665" s="761"/>
      <c r="BJ665" s="761"/>
      <c r="BK665" s="761"/>
      <c r="BL665" s="761"/>
      <c r="BM665" s="761"/>
    </row>
    <row r="666" spans="1:65" s="1720" customFormat="1">
      <c r="A666" s="762" t="s">
        <v>2339</v>
      </c>
      <c r="B666" s="762" t="s">
        <v>2340</v>
      </c>
      <c r="C666" s="762" t="s">
        <v>2527</v>
      </c>
      <c r="D666" s="762">
        <v>63116703</v>
      </c>
      <c r="E666" s="762" t="s">
        <v>2443</v>
      </c>
      <c r="F666" s="762">
        <v>143006541</v>
      </c>
      <c r="G666" s="762" t="s">
        <v>2528</v>
      </c>
      <c r="H666" s="762" t="s">
        <v>2528</v>
      </c>
      <c r="I666" s="762" t="s">
        <v>6867</v>
      </c>
      <c r="J666" s="762">
        <v>1</v>
      </c>
      <c r="K666" s="1911">
        <v>56492.67</v>
      </c>
      <c r="L666" s="1911">
        <v>1602.67</v>
      </c>
      <c r="M666" s="1911">
        <v>54890</v>
      </c>
      <c r="N666" s="1752" t="str">
        <f t="shared" si="10"/>
        <v>C390</v>
      </c>
      <c r="O666" s="1752" t="s">
        <v>99</v>
      </c>
      <c r="P666" s="1752" t="s">
        <v>2501</v>
      </c>
      <c r="Q666" s="761"/>
      <c r="R666" s="761"/>
      <c r="S666" s="761"/>
      <c r="T666" s="761"/>
      <c r="U666" s="761"/>
      <c r="V666" s="761"/>
      <c r="W666" s="761"/>
      <c r="X666" s="761"/>
      <c r="Y666" s="761"/>
      <c r="Z666" s="761"/>
      <c r="AA666" s="761"/>
      <c r="AB666" s="761"/>
      <c r="AC666" s="761"/>
      <c r="AD666" s="761"/>
      <c r="AE666" s="761"/>
      <c r="AF666" s="761"/>
      <c r="AG666" s="761"/>
      <c r="AH666" s="761"/>
      <c r="AI666" s="761"/>
      <c r="AJ666" s="761"/>
      <c r="AK666" s="761"/>
      <c r="AL666" s="761"/>
      <c r="AM666" s="761"/>
      <c r="AN666" s="761"/>
      <c r="AO666" s="761"/>
      <c r="AP666" s="761"/>
      <c r="AQ666" s="761"/>
      <c r="AR666" s="761"/>
      <c r="AS666" s="761"/>
      <c r="AT666" s="761"/>
      <c r="AU666" s="761"/>
      <c r="AV666" s="761"/>
      <c r="AW666" s="761"/>
      <c r="AX666" s="761"/>
      <c r="AY666" s="761"/>
      <c r="AZ666" s="761"/>
      <c r="BA666" s="761"/>
      <c r="BB666" s="761"/>
      <c r="BC666" s="761"/>
      <c r="BD666" s="761"/>
      <c r="BE666" s="761"/>
      <c r="BF666" s="761"/>
      <c r="BG666" s="761"/>
      <c r="BH666" s="761"/>
      <c r="BI666" s="761"/>
      <c r="BJ666" s="761"/>
      <c r="BK666" s="761"/>
      <c r="BL666" s="761"/>
      <c r="BM666" s="761"/>
    </row>
    <row r="667" spans="1:65" s="1720" customFormat="1">
      <c r="A667" s="762" t="s">
        <v>2339</v>
      </c>
      <c r="B667" s="762" t="s">
        <v>2340</v>
      </c>
      <c r="C667" s="762" t="s">
        <v>2527</v>
      </c>
      <c r="D667" s="762">
        <v>63116706</v>
      </c>
      <c r="E667" s="762" t="s">
        <v>2443</v>
      </c>
      <c r="F667" s="762">
        <v>143006542</v>
      </c>
      <c r="G667" s="762" t="s">
        <v>2529</v>
      </c>
      <c r="H667" s="762" t="s">
        <v>2529</v>
      </c>
      <c r="I667" s="762" t="s">
        <v>6867</v>
      </c>
      <c r="J667" s="762">
        <v>2</v>
      </c>
      <c r="K667" s="1911">
        <v>155922.80000000002</v>
      </c>
      <c r="L667" s="1911">
        <v>4423.46</v>
      </c>
      <c r="M667" s="1911">
        <v>151499.34</v>
      </c>
      <c r="N667" s="1752" t="str">
        <f t="shared" si="10"/>
        <v>C390</v>
      </c>
      <c r="O667" s="1752" t="s">
        <v>99</v>
      </c>
      <c r="P667" s="1752" t="s">
        <v>2501</v>
      </c>
      <c r="Q667" s="761"/>
      <c r="R667" s="761"/>
      <c r="S667" s="761"/>
      <c r="T667" s="761"/>
      <c r="U667" s="761"/>
      <c r="V667" s="761"/>
      <c r="W667" s="761"/>
      <c r="X667" s="761"/>
      <c r="Y667" s="761"/>
      <c r="Z667" s="761"/>
      <c r="AA667" s="761"/>
      <c r="AB667" s="761"/>
      <c r="AC667" s="761"/>
      <c r="AD667" s="761"/>
      <c r="AE667" s="761"/>
      <c r="AF667" s="761"/>
      <c r="AG667" s="761"/>
      <c r="AH667" s="761"/>
      <c r="AI667" s="761"/>
      <c r="AJ667" s="761"/>
      <c r="AK667" s="761"/>
      <c r="AL667" s="761"/>
      <c r="AM667" s="761"/>
      <c r="AN667" s="761"/>
      <c r="AO667" s="761"/>
      <c r="AP667" s="761"/>
      <c r="AQ667" s="761"/>
      <c r="AR667" s="761"/>
      <c r="AS667" s="761"/>
      <c r="AT667" s="761"/>
      <c r="AU667" s="761"/>
      <c r="AV667" s="761"/>
      <c r="AW667" s="761"/>
      <c r="AX667" s="761"/>
      <c r="AY667" s="761"/>
      <c r="AZ667" s="761"/>
      <c r="BA667" s="761"/>
      <c r="BB667" s="761"/>
      <c r="BC667" s="761"/>
      <c r="BD667" s="761"/>
      <c r="BE667" s="761"/>
      <c r="BF667" s="761"/>
      <c r="BG667" s="761"/>
      <c r="BH667" s="761"/>
      <c r="BI667" s="761"/>
      <c r="BJ667" s="761"/>
      <c r="BK667" s="761"/>
      <c r="BL667" s="761"/>
      <c r="BM667" s="761"/>
    </row>
    <row r="668" spans="1:65" s="1720" customFormat="1">
      <c r="A668" s="762" t="s">
        <v>2339</v>
      </c>
      <c r="B668" s="762" t="s">
        <v>2340</v>
      </c>
      <c r="C668" s="762" t="s">
        <v>2509</v>
      </c>
      <c r="D668" s="762">
        <v>63116709</v>
      </c>
      <c r="E668" s="762" t="s">
        <v>2443</v>
      </c>
      <c r="F668" s="762">
        <v>143006543</v>
      </c>
      <c r="G668" s="762" t="s">
        <v>2530</v>
      </c>
      <c r="H668" s="762" t="s">
        <v>2530</v>
      </c>
      <c r="I668" s="762" t="s">
        <v>6867</v>
      </c>
      <c r="J668" s="762">
        <v>1</v>
      </c>
      <c r="K668" s="1911">
        <v>145635.49</v>
      </c>
      <c r="L668" s="1911">
        <v>4131.6099999999997</v>
      </c>
      <c r="M668" s="1911">
        <v>141503.88</v>
      </c>
      <c r="N668" s="1752" t="str">
        <f t="shared" si="10"/>
        <v>C390</v>
      </c>
      <c r="O668" s="1752" t="s">
        <v>99</v>
      </c>
      <c r="P668" s="1752" t="s">
        <v>2501</v>
      </c>
      <c r="Q668" s="761"/>
      <c r="R668" s="761"/>
      <c r="S668" s="761"/>
      <c r="T668" s="761"/>
      <c r="U668" s="761"/>
      <c r="V668" s="761"/>
      <c r="W668" s="761"/>
      <c r="X668" s="761"/>
      <c r="Y668" s="761"/>
      <c r="Z668" s="761"/>
      <c r="AA668" s="761"/>
      <c r="AB668" s="761"/>
      <c r="AC668" s="761"/>
      <c r="AD668" s="761"/>
      <c r="AE668" s="761"/>
      <c r="AF668" s="761"/>
      <c r="AG668" s="761"/>
      <c r="AH668" s="761"/>
      <c r="AI668" s="761"/>
      <c r="AJ668" s="761"/>
      <c r="AK668" s="761"/>
      <c r="AL668" s="761"/>
      <c r="AM668" s="761"/>
      <c r="AN668" s="761"/>
      <c r="AO668" s="761"/>
      <c r="AP668" s="761"/>
      <c r="AQ668" s="761"/>
      <c r="AR668" s="761"/>
      <c r="AS668" s="761"/>
      <c r="AT668" s="761"/>
      <c r="AU668" s="761"/>
      <c r="AV668" s="761"/>
      <c r="AW668" s="761"/>
      <c r="AX668" s="761"/>
      <c r="AY668" s="761"/>
      <c r="AZ668" s="761"/>
      <c r="BA668" s="761"/>
      <c r="BB668" s="761"/>
      <c r="BC668" s="761"/>
      <c r="BD668" s="761"/>
      <c r="BE668" s="761"/>
      <c r="BF668" s="761"/>
      <c r="BG668" s="761"/>
      <c r="BH668" s="761"/>
      <c r="BI668" s="761"/>
      <c r="BJ668" s="761"/>
      <c r="BK668" s="761"/>
      <c r="BL668" s="761"/>
      <c r="BM668" s="761"/>
    </row>
    <row r="669" spans="1:65" s="1720" customFormat="1">
      <c r="A669" s="762" t="s">
        <v>2339</v>
      </c>
      <c r="B669" s="762" t="s">
        <v>2340</v>
      </c>
      <c r="C669" s="762" t="s">
        <v>2531</v>
      </c>
      <c r="D669" s="762">
        <v>63116712</v>
      </c>
      <c r="E669" s="762" t="s">
        <v>2443</v>
      </c>
      <c r="F669" s="762">
        <v>143006544</v>
      </c>
      <c r="G669" s="762" t="s">
        <v>2532</v>
      </c>
      <c r="H669" s="762" t="s">
        <v>2532</v>
      </c>
      <c r="I669" s="762" t="s">
        <v>6867</v>
      </c>
      <c r="J669" s="762">
        <v>1</v>
      </c>
      <c r="K669" s="1911">
        <v>23195.38</v>
      </c>
      <c r="L669" s="1911">
        <v>658.04</v>
      </c>
      <c r="M669" s="1911">
        <v>22537.34</v>
      </c>
      <c r="N669" s="1752" t="str">
        <f t="shared" si="10"/>
        <v>C390</v>
      </c>
      <c r="O669" s="1752" t="s">
        <v>99</v>
      </c>
      <c r="P669" s="1752" t="s">
        <v>2501</v>
      </c>
      <c r="Q669" s="761"/>
      <c r="R669" s="761"/>
      <c r="S669" s="761"/>
      <c r="T669" s="761"/>
      <c r="U669" s="761"/>
      <c r="V669" s="761"/>
      <c r="W669" s="761"/>
      <c r="X669" s="761"/>
      <c r="Y669" s="761"/>
      <c r="Z669" s="761"/>
      <c r="AA669" s="761"/>
      <c r="AB669" s="761"/>
      <c r="AC669" s="761"/>
      <c r="AD669" s="761"/>
      <c r="AE669" s="761"/>
      <c r="AF669" s="761"/>
      <c r="AG669" s="761"/>
      <c r="AH669" s="761"/>
      <c r="AI669" s="761"/>
      <c r="AJ669" s="761"/>
      <c r="AK669" s="761"/>
      <c r="AL669" s="761"/>
      <c r="AM669" s="761"/>
      <c r="AN669" s="761"/>
      <c r="AO669" s="761"/>
      <c r="AP669" s="761"/>
      <c r="AQ669" s="761"/>
      <c r="AR669" s="761"/>
      <c r="AS669" s="761"/>
      <c r="AT669" s="761"/>
      <c r="AU669" s="761"/>
      <c r="AV669" s="761"/>
      <c r="AW669" s="761"/>
      <c r="AX669" s="761"/>
      <c r="AY669" s="761"/>
      <c r="AZ669" s="761"/>
      <c r="BA669" s="761"/>
      <c r="BB669" s="761"/>
      <c r="BC669" s="761"/>
      <c r="BD669" s="761"/>
      <c r="BE669" s="761"/>
      <c r="BF669" s="761"/>
      <c r="BG669" s="761"/>
      <c r="BH669" s="761"/>
      <c r="BI669" s="761"/>
      <c r="BJ669" s="761"/>
      <c r="BK669" s="761"/>
      <c r="BL669" s="761"/>
      <c r="BM669" s="761"/>
    </row>
    <row r="670" spans="1:65" s="1720" customFormat="1">
      <c r="A670" s="762" t="s">
        <v>2339</v>
      </c>
      <c r="B670" s="762" t="s">
        <v>2340</v>
      </c>
      <c r="C670" s="762" t="s">
        <v>2490</v>
      </c>
      <c r="D670" s="762">
        <v>63116715</v>
      </c>
      <c r="E670" s="762" t="s">
        <v>2443</v>
      </c>
      <c r="F670" s="762">
        <v>143006545</v>
      </c>
      <c r="G670" s="762" t="s">
        <v>2533</v>
      </c>
      <c r="H670" s="762" t="s">
        <v>2533</v>
      </c>
      <c r="I670" s="762" t="s">
        <v>6867</v>
      </c>
      <c r="J670" s="762">
        <v>1</v>
      </c>
      <c r="K670" s="1911">
        <v>22712.79</v>
      </c>
      <c r="L670" s="1911">
        <v>644.35</v>
      </c>
      <c r="M670" s="1911">
        <v>22068.44</v>
      </c>
      <c r="N670" s="1752" t="str">
        <f t="shared" si="10"/>
        <v>C390</v>
      </c>
      <c r="O670" s="1752" t="s">
        <v>99</v>
      </c>
      <c r="P670" s="1752" t="s">
        <v>2501</v>
      </c>
      <c r="Q670" s="761"/>
      <c r="R670" s="761"/>
      <c r="S670" s="761"/>
      <c r="T670" s="761"/>
      <c r="U670" s="761"/>
      <c r="V670" s="761"/>
      <c r="W670" s="761"/>
      <c r="X670" s="761"/>
      <c r="Y670" s="761"/>
      <c r="Z670" s="761"/>
      <c r="AA670" s="761"/>
      <c r="AB670" s="761"/>
      <c r="AC670" s="761"/>
      <c r="AD670" s="761"/>
      <c r="AE670" s="761"/>
      <c r="AF670" s="761"/>
      <c r="AG670" s="761"/>
      <c r="AH670" s="761"/>
      <c r="AI670" s="761"/>
      <c r="AJ670" s="761"/>
      <c r="AK670" s="761"/>
      <c r="AL670" s="761"/>
      <c r="AM670" s="761"/>
      <c r="AN670" s="761"/>
      <c r="AO670" s="761"/>
      <c r="AP670" s="761"/>
      <c r="AQ670" s="761"/>
      <c r="AR670" s="761"/>
      <c r="AS670" s="761"/>
      <c r="AT670" s="761"/>
      <c r="AU670" s="761"/>
      <c r="AV670" s="761"/>
      <c r="AW670" s="761"/>
      <c r="AX670" s="761"/>
      <c r="AY670" s="761"/>
      <c r="AZ670" s="761"/>
      <c r="BA670" s="761"/>
      <c r="BB670" s="761"/>
      <c r="BC670" s="761"/>
      <c r="BD670" s="761"/>
      <c r="BE670" s="761"/>
      <c r="BF670" s="761"/>
      <c r="BG670" s="761"/>
      <c r="BH670" s="761"/>
      <c r="BI670" s="761"/>
      <c r="BJ670" s="761"/>
      <c r="BK670" s="761"/>
      <c r="BL670" s="761"/>
      <c r="BM670" s="761"/>
    </row>
    <row r="671" spans="1:65" s="1720" customFormat="1">
      <c r="A671" s="762" t="s">
        <v>2339</v>
      </c>
      <c r="B671" s="762" t="s">
        <v>2340</v>
      </c>
      <c r="C671" s="762" t="s">
        <v>2490</v>
      </c>
      <c r="D671" s="762">
        <v>63116718</v>
      </c>
      <c r="E671" s="762" t="s">
        <v>2443</v>
      </c>
      <c r="F671" s="762">
        <v>143006546</v>
      </c>
      <c r="G671" s="762" t="s">
        <v>2534</v>
      </c>
      <c r="H671" s="762" t="s">
        <v>2534</v>
      </c>
      <c r="I671" s="762" t="s">
        <v>6867</v>
      </c>
      <c r="J671" s="762">
        <v>1</v>
      </c>
      <c r="K671" s="1911">
        <v>71400.290000000008</v>
      </c>
      <c r="L671" s="1911">
        <v>2025.5900000000001</v>
      </c>
      <c r="M671" s="1911">
        <v>69374.7</v>
      </c>
      <c r="N671" s="1752" t="str">
        <f t="shared" si="10"/>
        <v>C390</v>
      </c>
      <c r="O671" s="1752" t="s">
        <v>99</v>
      </c>
      <c r="P671" s="1752" t="s">
        <v>2501</v>
      </c>
      <c r="Q671" s="761"/>
      <c r="R671" s="761"/>
      <c r="S671" s="761"/>
      <c r="T671" s="761"/>
      <c r="U671" s="761"/>
      <c r="V671" s="761"/>
      <c r="W671" s="761"/>
      <c r="X671" s="761"/>
      <c r="Y671" s="761"/>
      <c r="Z671" s="761"/>
      <c r="AA671" s="761"/>
      <c r="AB671" s="761"/>
      <c r="AC671" s="761"/>
      <c r="AD671" s="761"/>
      <c r="AE671" s="761"/>
      <c r="AF671" s="761"/>
      <c r="AG671" s="761"/>
      <c r="AH671" s="761"/>
      <c r="AI671" s="761"/>
      <c r="AJ671" s="761"/>
      <c r="AK671" s="761"/>
      <c r="AL671" s="761"/>
      <c r="AM671" s="761"/>
      <c r="AN671" s="761"/>
      <c r="AO671" s="761"/>
      <c r="AP671" s="761"/>
      <c r="AQ671" s="761"/>
      <c r="AR671" s="761"/>
      <c r="AS671" s="761"/>
      <c r="AT671" s="761"/>
      <c r="AU671" s="761"/>
      <c r="AV671" s="761"/>
      <c r="AW671" s="761"/>
      <c r="AX671" s="761"/>
      <c r="AY671" s="761"/>
      <c r="AZ671" s="761"/>
      <c r="BA671" s="761"/>
      <c r="BB671" s="761"/>
      <c r="BC671" s="761"/>
      <c r="BD671" s="761"/>
      <c r="BE671" s="761"/>
      <c r="BF671" s="761"/>
      <c r="BG671" s="761"/>
      <c r="BH671" s="761"/>
      <c r="BI671" s="761"/>
      <c r="BJ671" s="761"/>
      <c r="BK671" s="761"/>
      <c r="BL671" s="761"/>
      <c r="BM671" s="761"/>
    </row>
    <row r="672" spans="1:65" s="1720" customFormat="1">
      <c r="A672" s="762" t="s">
        <v>2339</v>
      </c>
      <c r="B672" s="762" t="s">
        <v>2340</v>
      </c>
      <c r="C672" s="762" t="s">
        <v>2490</v>
      </c>
      <c r="D672" s="762">
        <v>63116721</v>
      </c>
      <c r="E672" s="762" t="s">
        <v>2443</v>
      </c>
      <c r="F672" s="762">
        <v>143006547</v>
      </c>
      <c r="G672" s="762" t="s">
        <v>2535</v>
      </c>
      <c r="H672" s="762" t="s">
        <v>2535</v>
      </c>
      <c r="I672" s="762" t="s">
        <v>6867</v>
      </c>
      <c r="J672" s="762">
        <v>1</v>
      </c>
      <c r="K672" s="1911">
        <v>58195.25</v>
      </c>
      <c r="L672" s="1911">
        <v>1650.97</v>
      </c>
      <c r="M672" s="1911">
        <v>56544.28</v>
      </c>
      <c r="N672" s="1752" t="str">
        <f t="shared" si="10"/>
        <v>C390</v>
      </c>
      <c r="O672" s="1752" t="s">
        <v>99</v>
      </c>
      <c r="P672" s="1752" t="s">
        <v>2501</v>
      </c>
      <c r="Q672" s="761"/>
      <c r="R672" s="761"/>
      <c r="S672" s="761"/>
      <c r="T672" s="761"/>
      <c r="U672" s="761"/>
      <c r="V672" s="761"/>
      <c r="W672" s="761"/>
      <c r="X672" s="761"/>
      <c r="Y672" s="761"/>
      <c r="Z672" s="761"/>
      <c r="AA672" s="761"/>
      <c r="AB672" s="761"/>
      <c r="AC672" s="761"/>
      <c r="AD672" s="761"/>
      <c r="AE672" s="761"/>
      <c r="AF672" s="761"/>
      <c r="AG672" s="761"/>
      <c r="AH672" s="761"/>
      <c r="AI672" s="761"/>
      <c r="AJ672" s="761"/>
      <c r="AK672" s="761"/>
      <c r="AL672" s="761"/>
      <c r="AM672" s="761"/>
      <c r="AN672" s="761"/>
      <c r="AO672" s="761"/>
      <c r="AP672" s="761"/>
      <c r="AQ672" s="761"/>
      <c r="AR672" s="761"/>
      <c r="AS672" s="761"/>
      <c r="AT672" s="761"/>
      <c r="AU672" s="761"/>
      <c r="AV672" s="761"/>
      <c r="AW672" s="761"/>
      <c r="AX672" s="761"/>
      <c r="AY672" s="761"/>
      <c r="AZ672" s="761"/>
      <c r="BA672" s="761"/>
      <c r="BB672" s="761"/>
      <c r="BC672" s="761"/>
      <c r="BD672" s="761"/>
      <c r="BE672" s="761"/>
      <c r="BF672" s="761"/>
      <c r="BG672" s="761"/>
      <c r="BH672" s="761"/>
      <c r="BI672" s="761"/>
      <c r="BJ672" s="761"/>
      <c r="BK672" s="761"/>
      <c r="BL672" s="761"/>
      <c r="BM672" s="761"/>
    </row>
    <row r="673" spans="1:65" s="1720" customFormat="1">
      <c r="A673" s="762" t="s">
        <v>2339</v>
      </c>
      <c r="B673" s="762" t="s">
        <v>2340</v>
      </c>
      <c r="C673" s="762" t="s">
        <v>2490</v>
      </c>
      <c r="D673" s="762">
        <v>63116724</v>
      </c>
      <c r="E673" s="762" t="s">
        <v>2443</v>
      </c>
      <c r="F673" s="762">
        <v>143006548</v>
      </c>
      <c r="G673" s="762" t="s">
        <v>2536</v>
      </c>
      <c r="H673" s="762" t="s">
        <v>2536</v>
      </c>
      <c r="I673" s="762" t="s">
        <v>6867</v>
      </c>
      <c r="J673" s="762">
        <v>1</v>
      </c>
      <c r="K673" s="1911">
        <v>40044.559999999998</v>
      </c>
      <c r="L673" s="1911">
        <v>1136.05</v>
      </c>
      <c r="M673" s="1911">
        <v>38908.51</v>
      </c>
      <c r="N673" s="1752" t="str">
        <f t="shared" si="10"/>
        <v>C390</v>
      </c>
      <c r="O673" s="1752" t="s">
        <v>99</v>
      </c>
      <c r="P673" s="1752" t="s">
        <v>2501</v>
      </c>
      <c r="Q673" s="761"/>
      <c r="R673" s="761"/>
      <c r="S673" s="761"/>
      <c r="T673" s="761"/>
      <c r="U673" s="761"/>
      <c r="V673" s="761"/>
      <c r="W673" s="761"/>
      <c r="X673" s="761"/>
      <c r="Y673" s="761"/>
      <c r="Z673" s="761"/>
      <c r="AA673" s="761"/>
      <c r="AB673" s="761"/>
      <c r="AC673" s="761"/>
      <c r="AD673" s="761"/>
      <c r="AE673" s="761"/>
      <c r="AF673" s="761"/>
      <c r="AG673" s="761"/>
      <c r="AH673" s="761"/>
      <c r="AI673" s="761"/>
      <c r="AJ673" s="761"/>
      <c r="AK673" s="761"/>
      <c r="AL673" s="761"/>
      <c r="AM673" s="761"/>
      <c r="AN673" s="761"/>
      <c r="AO673" s="761"/>
      <c r="AP673" s="761"/>
      <c r="AQ673" s="761"/>
      <c r="AR673" s="761"/>
      <c r="AS673" s="761"/>
      <c r="AT673" s="761"/>
      <c r="AU673" s="761"/>
      <c r="AV673" s="761"/>
      <c r="AW673" s="761"/>
      <c r="AX673" s="761"/>
      <c r="AY673" s="761"/>
      <c r="AZ673" s="761"/>
      <c r="BA673" s="761"/>
      <c r="BB673" s="761"/>
      <c r="BC673" s="761"/>
      <c r="BD673" s="761"/>
      <c r="BE673" s="761"/>
      <c r="BF673" s="761"/>
      <c r="BG673" s="761"/>
      <c r="BH673" s="761"/>
      <c r="BI673" s="761"/>
      <c r="BJ673" s="761"/>
      <c r="BK673" s="761"/>
      <c r="BL673" s="761"/>
      <c r="BM673" s="761"/>
    </row>
    <row r="674" spans="1:65" s="1720" customFormat="1">
      <c r="A674" s="762" t="s">
        <v>2339</v>
      </c>
      <c r="B674" s="762" t="s">
        <v>2340</v>
      </c>
      <c r="C674" s="762" t="s">
        <v>2490</v>
      </c>
      <c r="D674" s="762">
        <v>63116727</v>
      </c>
      <c r="E674" s="762" t="s">
        <v>2443</v>
      </c>
      <c r="F674" s="762">
        <v>143006549</v>
      </c>
      <c r="G674" s="762" t="s">
        <v>2537</v>
      </c>
      <c r="H674" s="762" t="s">
        <v>2537</v>
      </c>
      <c r="I674" s="762" t="s">
        <v>6867</v>
      </c>
      <c r="J674" s="762">
        <v>1</v>
      </c>
      <c r="K674" s="1911">
        <v>69783.41</v>
      </c>
      <c r="L674" s="1911">
        <v>1979.72</v>
      </c>
      <c r="M674" s="1911">
        <v>67803.69</v>
      </c>
      <c r="N674" s="1752" t="str">
        <f t="shared" si="10"/>
        <v>C390</v>
      </c>
      <c r="O674" s="1752" t="s">
        <v>99</v>
      </c>
      <c r="P674" s="1752" t="s">
        <v>2501</v>
      </c>
      <c r="Q674" s="761"/>
      <c r="R674" s="761"/>
      <c r="S674" s="761"/>
      <c r="T674" s="761"/>
      <c r="U674" s="761"/>
      <c r="V674" s="761"/>
      <c r="W674" s="761"/>
      <c r="X674" s="761"/>
      <c r="Y674" s="761"/>
      <c r="Z674" s="761"/>
      <c r="AA674" s="761"/>
      <c r="AB674" s="761"/>
      <c r="AC674" s="761"/>
      <c r="AD674" s="761"/>
      <c r="AE674" s="761"/>
      <c r="AF674" s="761"/>
      <c r="AG674" s="761"/>
      <c r="AH674" s="761"/>
      <c r="AI674" s="761"/>
      <c r="AJ674" s="761"/>
      <c r="AK674" s="761"/>
      <c r="AL674" s="761"/>
      <c r="AM674" s="761"/>
      <c r="AN674" s="761"/>
      <c r="AO674" s="761"/>
      <c r="AP674" s="761"/>
      <c r="AQ674" s="761"/>
      <c r="AR674" s="761"/>
      <c r="AS674" s="761"/>
      <c r="AT674" s="761"/>
      <c r="AU674" s="761"/>
      <c r="AV674" s="761"/>
      <c r="AW674" s="761"/>
      <c r="AX674" s="761"/>
      <c r="AY674" s="761"/>
      <c r="AZ674" s="761"/>
      <c r="BA674" s="761"/>
      <c r="BB674" s="761"/>
      <c r="BC674" s="761"/>
      <c r="BD674" s="761"/>
      <c r="BE674" s="761"/>
      <c r="BF674" s="761"/>
      <c r="BG674" s="761"/>
      <c r="BH674" s="761"/>
      <c r="BI674" s="761"/>
      <c r="BJ674" s="761"/>
      <c r="BK674" s="761"/>
      <c r="BL674" s="761"/>
      <c r="BM674" s="761"/>
    </row>
    <row r="675" spans="1:65" s="1720" customFormat="1">
      <c r="A675" s="762" t="s">
        <v>2339</v>
      </c>
      <c r="B675" s="762" t="s">
        <v>2340</v>
      </c>
      <c r="C675" s="762" t="s">
        <v>2517</v>
      </c>
      <c r="D675" s="762">
        <v>63116730</v>
      </c>
      <c r="E675" s="762" t="s">
        <v>2443</v>
      </c>
      <c r="F675" s="762">
        <v>143006550</v>
      </c>
      <c r="G675" s="762" t="s">
        <v>2538</v>
      </c>
      <c r="H675" s="762" t="s">
        <v>2538</v>
      </c>
      <c r="I675" s="762" t="s">
        <v>6867</v>
      </c>
      <c r="J675" s="762">
        <v>1</v>
      </c>
      <c r="K675" s="1911">
        <v>35547.43</v>
      </c>
      <c r="L675" s="1911">
        <v>1008.46</v>
      </c>
      <c r="M675" s="1911">
        <v>34538.97</v>
      </c>
      <c r="N675" s="1752" t="str">
        <f t="shared" si="10"/>
        <v>C390</v>
      </c>
      <c r="O675" s="1752" t="s">
        <v>99</v>
      </c>
      <c r="P675" s="1752" t="s">
        <v>2501</v>
      </c>
      <c r="Q675" s="761"/>
      <c r="R675" s="761"/>
      <c r="S675" s="761"/>
      <c r="T675" s="761"/>
      <c r="U675" s="761"/>
      <c r="V675" s="761"/>
      <c r="W675" s="761"/>
      <c r="X675" s="761"/>
      <c r="Y675" s="761"/>
      <c r="Z675" s="761"/>
      <c r="AA675" s="761"/>
      <c r="AB675" s="761"/>
      <c r="AC675" s="761"/>
      <c r="AD675" s="761"/>
      <c r="AE675" s="761"/>
      <c r="AF675" s="761"/>
      <c r="AG675" s="761"/>
      <c r="AH675" s="761"/>
      <c r="AI675" s="761"/>
      <c r="AJ675" s="761"/>
      <c r="AK675" s="761"/>
      <c r="AL675" s="761"/>
      <c r="AM675" s="761"/>
      <c r="AN675" s="761"/>
      <c r="AO675" s="761"/>
      <c r="AP675" s="761"/>
      <c r="AQ675" s="761"/>
      <c r="AR675" s="761"/>
      <c r="AS675" s="761"/>
      <c r="AT675" s="761"/>
      <c r="AU675" s="761"/>
      <c r="AV675" s="761"/>
      <c r="AW675" s="761"/>
      <c r="AX675" s="761"/>
      <c r="AY675" s="761"/>
      <c r="AZ675" s="761"/>
      <c r="BA675" s="761"/>
      <c r="BB675" s="761"/>
      <c r="BC675" s="761"/>
      <c r="BD675" s="761"/>
      <c r="BE675" s="761"/>
      <c r="BF675" s="761"/>
      <c r="BG675" s="761"/>
      <c r="BH675" s="761"/>
      <c r="BI675" s="761"/>
      <c r="BJ675" s="761"/>
      <c r="BK675" s="761"/>
      <c r="BL675" s="761"/>
      <c r="BM675" s="761"/>
    </row>
    <row r="676" spans="1:65" s="1720" customFormat="1">
      <c r="A676" s="762" t="s">
        <v>2339</v>
      </c>
      <c r="B676" s="762" t="s">
        <v>2340</v>
      </c>
      <c r="C676" s="762" t="s">
        <v>2517</v>
      </c>
      <c r="D676" s="762">
        <v>63116733</v>
      </c>
      <c r="E676" s="762" t="s">
        <v>2443</v>
      </c>
      <c r="F676" s="762">
        <v>143006551</v>
      </c>
      <c r="G676" s="762" t="s">
        <v>2539</v>
      </c>
      <c r="H676" s="762" t="s">
        <v>2539</v>
      </c>
      <c r="I676" s="762" t="s">
        <v>6867</v>
      </c>
      <c r="J676" s="762">
        <v>1</v>
      </c>
      <c r="K676" s="1911">
        <v>51526.48</v>
      </c>
      <c r="L676" s="1911">
        <v>1461.78</v>
      </c>
      <c r="M676" s="1911">
        <v>50064.700000000004</v>
      </c>
      <c r="N676" s="1752" t="str">
        <f t="shared" si="10"/>
        <v>C390</v>
      </c>
      <c r="O676" s="1752" t="s">
        <v>99</v>
      </c>
      <c r="P676" s="1752" t="s">
        <v>2501</v>
      </c>
      <c r="Q676" s="761"/>
      <c r="R676" s="761"/>
      <c r="S676" s="761"/>
      <c r="T676" s="761"/>
      <c r="U676" s="761"/>
      <c r="V676" s="761"/>
      <c r="W676" s="761"/>
      <c r="X676" s="761"/>
      <c r="Y676" s="761"/>
      <c r="Z676" s="761"/>
      <c r="AA676" s="761"/>
      <c r="AB676" s="761"/>
      <c r="AC676" s="761"/>
      <c r="AD676" s="761"/>
      <c r="AE676" s="761"/>
      <c r="AF676" s="761"/>
      <c r="AG676" s="761"/>
      <c r="AH676" s="761"/>
      <c r="AI676" s="761"/>
      <c r="AJ676" s="761"/>
      <c r="AK676" s="761"/>
      <c r="AL676" s="761"/>
      <c r="AM676" s="761"/>
      <c r="AN676" s="761"/>
      <c r="AO676" s="761"/>
      <c r="AP676" s="761"/>
      <c r="AQ676" s="761"/>
      <c r="AR676" s="761"/>
      <c r="AS676" s="761"/>
      <c r="AT676" s="761"/>
      <c r="AU676" s="761"/>
      <c r="AV676" s="761"/>
      <c r="AW676" s="761"/>
      <c r="AX676" s="761"/>
      <c r="AY676" s="761"/>
      <c r="AZ676" s="761"/>
      <c r="BA676" s="761"/>
      <c r="BB676" s="761"/>
      <c r="BC676" s="761"/>
      <c r="BD676" s="761"/>
      <c r="BE676" s="761"/>
      <c r="BF676" s="761"/>
      <c r="BG676" s="761"/>
      <c r="BH676" s="761"/>
      <c r="BI676" s="761"/>
      <c r="BJ676" s="761"/>
      <c r="BK676" s="761"/>
      <c r="BL676" s="761"/>
      <c r="BM676" s="761"/>
    </row>
    <row r="677" spans="1:65" s="1720" customFormat="1">
      <c r="A677" s="762" t="s">
        <v>2339</v>
      </c>
      <c r="B677" s="762" t="s">
        <v>2340</v>
      </c>
      <c r="C677" s="762" t="s">
        <v>2476</v>
      </c>
      <c r="D677" s="762">
        <v>63116736</v>
      </c>
      <c r="E677" s="762" t="s">
        <v>2443</v>
      </c>
      <c r="F677" s="762">
        <v>143006552</v>
      </c>
      <c r="G677" s="762" t="s">
        <v>2540</v>
      </c>
      <c r="H677" s="762" t="s">
        <v>2540</v>
      </c>
      <c r="I677" s="762" t="s">
        <v>6867</v>
      </c>
      <c r="J677" s="762">
        <v>1</v>
      </c>
      <c r="K677" s="1911">
        <v>188582.55000000002</v>
      </c>
      <c r="L677" s="1911">
        <v>5350</v>
      </c>
      <c r="M677" s="1911">
        <v>183232.55000000002</v>
      </c>
      <c r="N677" s="1752" t="str">
        <f t="shared" si="10"/>
        <v>C390</v>
      </c>
      <c r="O677" s="1752" t="s">
        <v>99</v>
      </c>
      <c r="P677" s="1752" t="s">
        <v>2501</v>
      </c>
      <c r="Q677" s="761"/>
      <c r="R677" s="761"/>
      <c r="S677" s="761"/>
      <c r="T677" s="761"/>
      <c r="U677" s="761"/>
      <c r="V677" s="761"/>
      <c r="W677" s="761"/>
      <c r="X677" s="761"/>
      <c r="Y677" s="761"/>
      <c r="Z677" s="761"/>
      <c r="AA677" s="761"/>
      <c r="AB677" s="761"/>
      <c r="AC677" s="761"/>
      <c r="AD677" s="761"/>
      <c r="AE677" s="761"/>
      <c r="AF677" s="761"/>
      <c r="AG677" s="761"/>
      <c r="AH677" s="761"/>
      <c r="AI677" s="761"/>
      <c r="AJ677" s="761"/>
      <c r="AK677" s="761"/>
      <c r="AL677" s="761"/>
      <c r="AM677" s="761"/>
      <c r="AN677" s="761"/>
      <c r="AO677" s="761"/>
      <c r="AP677" s="761"/>
      <c r="AQ677" s="761"/>
      <c r="AR677" s="761"/>
      <c r="AS677" s="761"/>
      <c r="AT677" s="761"/>
      <c r="AU677" s="761"/>
      <c r="AV677" s="761"/>
      <c r="AW677" s="761"/>
      <c r="AX677" s="761"/>
      <c r="AY677" s="761"/>
      <c r="AZ677" s="761"/>
      <c r="BA677" s="761"/>
      <c r="BB677" s="761"/>
      <c r="BC677" s="761"/>
      <c r="BD677" s="761"/>
      <c r="BE677" s="761"/>
      <c r="BF677" s="761"/>
      <c r="BG677" s="761"/>
      <c r="BH677" s="761"/>
      <c r="BI677" s="761"/>
      <c r="BJ677" s="761"/>
      <c r="BK677" s="761"/>
      <c r="BL677" s="761"/>
      <c r="BM677" s="761"/>
    </row>
    <row r="678" spans="1:65" s="1720" customFormat="1">
      <c r="A678" s="762" t="s">
        <v>2339</v>
      </c>
      <c r="B678" s="762" t="s">
        <v>2340</v>
      </c>
      <c r="C678" s="762" t="s">
        <v>2473</v>
      </c>
      <c r="D678" s="762">
        <v>63116739</v>
      </c>
      <c r="E678" s="762" t="s">
        <v>2443</v>
      </c>
      <c r="F678" s="762">
        <v>143006553</v>
      </c>
      <c r="G678" s="762" t="s">
        <v>2541</v>
      </c>
      <c r="H678" s="762" t="s">
        <v>2541</v>
      </c>
      <c r="I678" s="762" t="s">
        <v>6867</v>
      </c>
      <c r="J678" s="762">
        <v>1</v>
      </c>
      <c r="K678" s="1911">
        <v>55459.98</v>
      </c>
      <c r="L678" s="1911">
        <v>1573.3700000000001</v>
      </c>
      <c r="M678" s="1911">
        <v>53886.61</v>
      </c>
      <c r="N678" s="1752" t="str">
        <f t="shared" si="10"/>
        <v>C390</v>
      </c>
      <c r="O678" s="1752" t="s">
        <v>99</v>
      </c>
      <c r="P678" s="1752" t="s">
        <v>2501</v>
      </c>
      <c r="Q678" s="761"/>
      <c r="R678" s="761"/>
      <c r="S678" s="761"/>
      <c r="T678" s="761"/>
      <c r="U678" s="761"/>
      <c r="V678" s="761"/>
      <c r="W678" s="761"/>
      <c r="X678" s="761"/>
      <c r="Y678" s="761"/>
      <c r="Z678" s="761"/>
      <c r="AA678" s="761"/>
      <c r="AB678" s="761"/>
      <c r="AC678" s="761"/>
      <c r="AD678" s="761"/>
      <c r="AE678" s="761"/>
      <c r="AF678" s="761"/>
      <c r="AG678" s="761"/>
      <c r="AH678" s="761"/>
      <c r="AI678" s="761"/>
      <c r="AJ678" s="761"/>
      <c r="AK678" s="761"/>
      <c r="AL678" s="761"/>
      <c r="AM678" s="761"/>
      <c r="AN678" s="761"/>
      <c r="AO678" s="761"/>
      <c r="AP678" s="761"/>
      <c r="AQ678" s="761"/>
      <c r="AR678" s="761"/>
      <c r="AS678" s="761"/>
      <c r="AT678" s="761"/>
      <c r="AU678" s="761"/>
      <c r="AV678" s="761"/>
      <c r="AW678" s="761"/>
      <c r="AX678" s="761"/>
      <c r="AY678" s="761"/>
      <c r="AZ678" s="761"/>
      <c r="BA678" s="761"/>
      <c r="BB678" s="761"/>
      <c r="BC678" s="761"/>
      <c r="BD678" s="761"/>
      <c r="BE678" s="761"/>
      <c r="BF678" s="761"/>
      <c r="BG678" s="761"/>
      <c r="BH678" s="761"/>
      <c r="BI678" s="761"/>
      <c r="BJ678" s="761"/>
      <c r="BK678" s="761"/>
      <c r="BL678" s="761"/>
      <c r="BM678" s="761"/>
    </row>
    <row r="679" spans="1:65" s="1720" customFormat="1">
      <c r="A679" s="762" t="s">
        <v>2339</v>
      </c>
      <c r="B679" s="762" t="s">
        <v>2340</v>
      </c>
      <c r="C679" s="762" t="s">
        <v>2542</v>
      </c>
      <c r="D679" s="762">
        <v>63116742</v>
      </c>
      <c r="E679" s="762" t="s">
        <v>2443</v>
      </c>
      <c r="F679" s="762">
        <v>143006554</v>
      </c>
      <c r="G679" s="762" t="s">
        <v>2543</v>
      </c>
      <c r="H679" s="762" t="s">
        <v>2543</v>
      </c>
      <c r="I679" s="762" t="s">
        <v>6867</v>
      </c>
      <c r="J679" s="762">
        <v>1</v>
      </c>
      <c r="K679" s="1911">
        <v>51149.55</v>
      </c>
      <c r="L679" s="1911">
        <v>1451.09</v>
      </c>
      <c r="M679" s="1911">
        <v>49698.46</v>
      </c>
      <c r="N679" s="1752" t="str">
        <f t="shared" si="10"/>
        <v>C390</v>
      </c>
      <c r="O679" s="1752" t="s">
        <v>99</v>
      </c>
      <c r="P679" s="1752" t="s">
        <v>2501</v>
      </c>
      <c r="Q679" s="761"/>
      <c r="R679" s="761"/>
      <c r="S679" s="761"/>
      <c r="T679" s="761"/>
      <c r="U679" s="761"/>
      <c r="V679" s="761"/>
      <c r="W679" s="761"/>
      <c r="X679" s="761"/>
      <c r="Y679" s="761"/>
      <c r="Z679" s="761"/>
      <c r="AA679" s="761"/>
      <c r="AB679" s="761"/>
      <c r="AC679" s="761"/>
      <c r="AD679" s="761"/>
      <c r="AE679" s="761"/>
      <c r="AF679" s="761"/>
      <c r="AG679" s="761"/>
      <c r="AH679" s="761"/>
      <c r="AI679" s="761"/>
      <c r="AJ679" s="761"/>
      <c r="AK679" s="761"/>
      <c r="AL679" s="761"/>
      <c r="AM679" s="761"/>
      <c r="AN679" s="761"/>
      <c r="AO679" s="761"/>
      <c r="AP679" s="761"/>
      <c r="AQ679" s="761"/>
      <c r="AR679" s="761"/>
      <c r="AS679" s="761"/>
      <c r="AT679" s="761"/>
      <c r="AU679" s="761"/>
      <c r="AV679" s="761"/>
      <c r="AW679" s="761"/>
      <c r="AX679" s="761"/>
      <c r="AY679" s="761"/>
      <c r="AZ679" s="761"/>
      <c r="BA679" s="761"/>
      <c r="BB679" s="761"/>
      <c r="BC679" s="761"/>
      <c r="BD679" s="761"/>
      <c r="BE679" s="761"/>
      <c r="BF679" s="761"/>
      <c r="BG679" s="761"/>
      <c r="BH679" s="761"/>
      <c r="BI679" s="761"/>
      <c r="BJ679" s="761"/>
      <c r="BK679" s="761"/>
      <c r="BL679" s="761"/>
      <c r="BM679" s="761"/>
    </row>
    <row r="680" spans="1:65" s="1720" customFormat="1">
      <c r="A680" s="762" t="s">
        <v>2339</v>
      </c>
      <c r="B680" s="762" t="s">
        <v>2340</v>
      </c>
      <c r="C680" s="762" t="s">
        <v>2487</v>
      </c>
      <c r="D680" s="762">
        <v>63116745</v>
      </c>
      <c r="E680" s="762" t="s">
        <v>2443</v>
      </c>
      <c r="F680" s="762">
        <v>143006555</v>
      </c>
      <c r="G680" s="762" t="s">
        <v>2544</v>
      </c>
      <c r="H680" s="762" t="s">
        <v>2544</v>
      </c>
      <c r="I680" s="762" t="s">
        <v>6867</v>
      </c>
      <c r="J680" s="762">
        <v>1</v>
      </c>
      <c r="K680" s="1911">
        <v>204729.4</v>
      </c>
      <c r="L680" s="1911">
        <v>5808.08</v>
      </c>
      <c r="M680" s="1911">
        <v>198921.32</v>
      </c>
      <c r="N680" s="1752" t="str">
        <f t="shared" si="10"/>
        <v>C390</v>
      </c>
      <c r="O680" s="1752" t="s">
        <v>99</v>
      </c>
      <c r="P680" s="1752" t="s">
        <v>2501</v>
      </c>
      <c r="Q680" s="761"/>
      <c r="R680" s="761"/>
      <c r="S680" s="761"/>
      <c r="T680" s="761"/>
      <c r="U680" s="761"/>
      <c r="V680" s="761"/>
      <c r="W680" s="761"/>
      <c r="X680" s="761"/>
      <c r="Y680" s="761"/>
      <c r="Z680" s="761"/>
      <c r="AA680" s="761"/>
      <c r="AB680" s="761"/>
      <c r="AC680" s="761"/>
      <c r="AD680" s="761"/>
      <c r="AE680" s="761"/>
      <c r="AF680" s="761"/>
      <c r="AG680" s="761"/>
      <c r="AH680" s="761"/>
      <c r="AI680" s="761"/>
      <c r="AJ680" s="761"/>
      <c r="AK680" s="761"/>
      <c r="AL680" s="761"/>
      <c r="AM680" s="761"/>
      <c r="AN680" s="761"/>
      <c r="AO680" s="761"/>
      <c r="AP680" s="761"/>
      <c r="AQ680" s="761"/>
      <c r="AR680" s="761"/>
      <c r="AS680" s="761"/>
      <c r="AT680" s="761"/>
      <c r="AU680" s="761"/>
      <c r="AV680" s="761"/>
      <c r="AW680" s="761"/>
      <c r="AX680" s="761"/>
      <c r="AY680" s="761"/>
      <c r="AZ680" s="761"/>
      <c r="BA680" s="761"/>
      <c r="BB680" s="761"/>
      <c r="BC680" s="761"/>
      <c r="BD680" s="761"/>
      <c r="BE680" s="761"/>
      <c r="BF680" s="761"/>
      <c r="BG680" s="761"/>
      <c r="BH680" s="761"/>
      <c r="BI680" s="761"/>
      <c r="BJ680" s="761"/>
      <c r="BK680" s="761"/>
      <c r="BL680" s="761"/>
      <c r="BM680" s="761"/>
    </row>
    <row r="681" spans="1:65" s="1720" customFormat="1">
      <c r="A681" s="762" t="s">
        <v>2339</v>
      </c>
      <c r="B681" s="762" t="s">
        <v>2340</v>
      </c>
      <c r="C681" s="762" t="s">
        <v>2527</v>
      </c>
      <c r="D681" s="762">
        <v>63116748</v>
      </c>
      <c r="E681" s="762" t="s">
        <v>2443</v>
      </c>
      <c r="F681" s="762">
        <v>143006556</v>
      </c>
      <c r="G681" s="762" t="s">
        <v>2545</v>
      </c>
      <c r="H681" s="762" t="s">
        <v>2545</v>
      </c>
      <c r="I681" s="762" t="s">
        <v>6867</v>
      </c>
      <c r="J681" s="762">
        <v>1</v>
      </c>
      <c r="K681" s="1911">
        <v>53354.41</v>
      </c>
      <c r="L681" s="1911">
        <v>1513.64</v>
      </c>
      <c r="M681" s="1911">
        <v>51840.770000000004</v>
      </c>
      <c r="N681" s="1752" t="str">
        <f t="shared" si="10"/>
        <v>C390</v>
      </c>
      <c r="O681" s="1752" t="s">
        <v>99</v>
      </c>
      <c r="P681" s="1752" t="s">
        <v>2501</v>
      </c>
      <c r="Q681" s="761"/>
      <c r="R681" s="761"/>
      <c r="S681" s="761"/>
      <c r="T681" s="761"/>
      <c r="U681" s="761"/>
      <c r="V681" s="761"/>
      <c r="W681" s="761"/>
      <c r="X681" s="761"/>
      <c r="Y681" s="761"/>
      <c r="Z681" s="761"/>
      <c r="AA681" s="761"/>
      <c r="AB681" s="761"/>
      <c r="AC681" s="761"/>
      <c r="AD681" s="761"/>
      <c r="AE681" s="761"/>
      <c r="AF681" s="761"/>
      <c r="AG681" s="761"/>
      <c r="AH681" s="761"/>
      <c r="AI681" s="761"/>
      <c r="AJ681" s="761"/>
      <c r="AK681" s="761"/>
      <c r="AL681" s="761"/>
      <c r="AM681" s="761"/>
      <c r="AN681" s="761"/>
      <c r="AO681" s="761"/>
      <c r="AP681" s="761"/>
      <c r="AQ681" s="761"/>
      <c r="AR681" s="761"/>
      <c r="AS681" s="761"/>
      <c r="AT681" s="761"/>
      <c r="AU681" s="761"/>
      <c r="AV681" s="761"/>
      <c r="AW681" s="761"/>
      <c r="AX681" s="761"/>
      <c r="AY681" s="761"/>
      <c r="AZ681" s="761"/>
      <c r="BA681" s="761"/>
      <c r="BB681" s="761"/>
      <c r="BC681" s="761"/>
      <c r="BD681" s="761"/>
      <c r="BE681" s="761"/>
      <c r="BF681" s="761"/>
      <c r="BG681" s="761"/>
      <c r="BH681" s="761"/>
      <c r="BI681" s="761"/>
      <c r="BJ681" s="761"/>
      <c r="BK681" s="761"/>
      <c r="BL681" s="761"/>
      <c r="BM681" s="761"/>
    </row>
    <row r="682" spans="1:65" s="1720" customFormat="1">
      <c r="A682" s="762" t="s">
        <v>2339</v>
      </c>
      <c r="B682" s="762" t="s">
        <v>2340</v>
      </c>
      <c r="C682" s="762" t="s">
        <v>2473</v>
      </c>
      <c r="D682" s="762">
        <v>63116751</v>
      </c>
      <c r="E682" s="762" t="s">
        <v>2443</v>
      </c>
      <c r="F682" s="762">
        <v>143006557</v>
      </c>
      <c r="G682" s="762" t="s">
        <v>2546</v>
      </c>
      <c r="H682" s="762" t="s">
        <v>2546</v>
      </c>
      <c r="I682" s="762" t="s">
        <v>6867</v>
      </c>
      <c r="J682" s="762">
        <v>1</v>
      </c>
      <c r="K682" s="1911">
        <v>156007.55000000002</v>
      </c>
      <c r="L682" s="1911">
        <v>4425.8599999999997</v>
      </c>
      <c r="M682" s="1911">
        <v>151581.69</v>
      </c>
      <c r="N682" s="1752" t="str">
        <f t="shared" si="10"/>
        <v>C390</v>
      </c>
      <c r="O682" s="1752" t="s">
        <v>99</v>
      </c>
      <c r="P682" s="1752" t="s">
        <v>2501</v>
      </c>
      <c r="Q682" s="761"/>
      <c r="R682" s="761"/>
      <c r="S682" s="761"/>
      <c r="T682" s="761"/>
      <c r="U682" s="761"/>
      <c r="V682" s="761"/>
      <c r="W682" s="761"/>
      <c r="X682" s="761"/>
      <c r="Y682" s="761"/>
      <c r="Z682" s="761"/>
      <c r="AA682" s="761"/>
      <c r="AB682" s="761"/>
      <c r="AC682" s="761"/>
      <c r="AD682" s="761"/>
      <c r="AE682" s="761"/>
      <c r="AF682" s="761"/>
      <c r="AG682" s="761"/>
      <c r="AH682" s="761"/>
      <c r="AI682" s="761"/>
      <c r="AJ682" s="761"/>
      <c r="AK682" s="761"/>
      <c r="AL682" s="761"/>
      <c r="AM682" s="761"/>
      <c r="AN682" s="761"/>
      <c r="AO682" s="761"/>
      <c r="AP682" s="761"/>
      <c r="AQ682" s="761"/>
      <c r="AR682" s="761"/>
      <c r="AS682" s="761"/>
      <c r="AT682" s="761"/>
      <c r="AU682" s="761"/>
      <c r="AV682" s="761"/>
      <c r="AW682" s="761"/>
      <c r="AX682" s="761"/>
      <c r="AY682" s="761"/>
      <c r="AZ682" s="761"/>
      <c r="BA682" s="761"/>
      <c r="BB682" s="761"/>
      <c r="BC682" s="761"/>
      <c r="BD682" s="761"/>
      <c r="BE682" s="761"/>
      <c r="BF682" s="761"/>
      <c r="BG682" s="761"/>
      <c r="BH682" s="761"/>
      <c r="BI682" s="761"/>
      <c r="BJ682" s="761"/>
      <c r="BK682" s="761"/>
      <c r="BL682" s="761"/>
      <c r="BM682" s="761"/>
    </row>
    <row r="683" spans="1:65" s="1720" customFormat="1">
      <c r="A683" s="762" t="s">
        <v>2339</v>
      </c>
      <c r="B683" s="762" t="s">
        <v>2340</v>
      </c>
      <c r="C683" s="762" t="s">
        <v>2476</v>
      </c>
      <c r="D683" s="762">
        <v>63116754</v>
      </c>
      <c r="E683" s="762" t="s">
        <v>2443</v>
      </c>
      <c r="F683" s="762">
        <v>143006558</v>
      </c>
      <c r="G683" s="762" t="s">
        <v>2547</v>
      </c>
      <c r="H683" s="762" t="s">
        <v>2547</v>
      </c>
      <c r="I683" s="762" t="s">
        <v>6867</v>
      </c>
      <c r="J683" s="762">
        <v>1</v>
      </c>
      <c r="K683" s="1911">
        <v>62360.04</v>
      </c>
      <c r="L683" s="1911">
        <v>1769.13</v>
      </c>
      <c r="M683" s="1911">
        <v>60590.91</v>
      </c>
      <c r="N683" s="1752" t="str">
        <f t="shared" si="10"/>
        <v>C390</v>
      </c>
      <c r="O683" s="1752" t="s">
        <v>99</v>
      </c>
      <c r="P683" s="1752" t="s">
        <v>2501</v>
      </c>
      <c r="Q683" s="761"/>
      <c r="R683" s="761"/>
      <c r="S683" s="761"/>
      <c r="T683" s="761"/>
      <c r="U683" s="761"/>
      <c r="V683" s="761"/>
      <c r="W683" s="761"/>
      <c r="X683" s="761"/>
      <c r="Y683" s="761"/>
      <c r="Z683" s="761"/>
      <c r="AA683" s="761"/>
      <c r="AB683" s="761"/>
      <c r="AC683" s="761"/>
      <c r="AD683" s="761"/>
      <c r="AE683" s="761"/>
      <c r="AF683" s="761"/>
      <c r="AG683" s="761"/>
      <c r="AH683" s="761"/>
      <c r="AI683" s="761"/>
      <c r="AJ683" s="761"/>
      <c r="AK683" s="761"/>
      <c r="AL683" s="761"/>
      <c r="AM683" s="761"/>
      <c r="AN683" s="761"/>
      <c r="AO683" s="761"/>
      <c r="AP683" s="761"/>
      <c r="AQ683" s="761"/>
      <c r="AR683" s="761"/>
      <c r="AS683" s="761"/>
      <c r="AT683" s="761"/>
      <c r="AU683" s="761"/>
      <c r="AV683" s="761"/>
      <c r="AW683" s="761"/>
      <c r="AX683" s="761"/>
      <c r="AY683" s="761"/>
      <c r="AZ683" s="761"/>
      <c r="BA683" s="761"/>
      <c r="BB683" s="761"/>
      <c r="BC683" s="761"/>
      <c r="BD683" s="761"/>
      <c r="BE683" s="761"/>
      <c r="BF683" s="761"/>
      <c r="BG683" s="761"/>
      <c r="BH683" s="761"/>
      <c r="BI683" s="761"/>
      <c r="BJ683" s="761"/>
      <c r="BK683" s="761"/>
      <c r="BL683" s="761"/>
      <c r="BM683" s="761"/>
    </row>
    <row r="684" spans="1:65" s="1720" customFormat="1">
      <c r="A684" s="762" t="s">
        <v>2339</v>
      </c>
      <c r="B684" s="762" t="s">
        <v>2340</v>
      </c>
      <c r="C684" s="762" t="s">
        <v>2476</v>
      </c>
      <c r="D684" s="762">
        <v>63116757</v>
      </c>
      <c r="E684" s="762" t="s">
        <v>2443</v>
      </c>
      <c r="F684" s="762">
        <v>143006559</v>
      </c>
      <c r="G684" s="762" t="s">
        <v>2548</v>
      </c>
      <c r="H684" s="762" t="s">
        <v>2548</v>
      </c>
      <c r="I684" s="762" t="s">
        <v>6867</v>
      </c>
      <c r="J684" s="762">
        <v>1</v>
      </c>
      <c r="K684" s="1911">
        <v>82286.259999999995</v>
      </c>
      <c r="L684" s="1911">
        <v>2334.42</v>
      </c>
      <c r="M684" s="1911">
        <v>79951.839999999997</v>
      </c>
      <c r="N684" s="1752" t="str">
        <f t="shared" si="10"/>
        <v>C390</v>
      </c>
      <c r="O684" s="1752" t="s">
        <v>99</v>
      </c>
      <c r="P684" s="1752" t="s">
        <v>2501</v>
      </c>
      <c r="Q684" s="761"/>
      <c r="R684" s="761"/>
      <c r="S684" s="761"/>
      <c r="T684" s="761"/>
      <c r="U684" s="761"/>
      <c r="V684" s="761"/>
      <c r="W684" s="761"/>
      <c r="X684" s="761"/>
      <c r="Y684" s="761"/>
      <c r="Z684" s="761"/>
      <c r="AA684" s="761"/>
      <c r="AB684" s="761"/>
      <c r="AC684" s="761"/>
      <c r="AD684" s="761"/>
      <c r="AE684" s="761"/>
      <c r="AF684" s="761"/>
      <c r="AG684" s="761"/>
      <c r="AH684" s="761"/>
      <c r="AI684" s="761"/>
      <c r="AJ684" s="761"/>
      <c r="AK684" s="761"/>
      <c r="AL684" s="761"/>
      <c r="AM684" s="761"/>
      <c r="AN684" s="761"/>
      <c r="AO684" s="761"/>
      <c r="AP684" s="761"/>
      <c r="AQ684" s="761"/>
      <c r="AR684" s="761"/>
      <c r="AS684" s="761"/>
      <c r="AT684" s="761"/>
      <c r="AU684" s="761"/>
      <c r="AV684" s="761"/>
      <c r="AW684" s="761"/>
      <c r="AX684" s="761"/>
      <c r="AY684" s="761"/>
      <c r="AZ684" s="761"/>
      <c r="BA684" s="761"/>
      <c r="BB684" s="761"/>
      <c r="BC684" s="761"/>
      <c r="BD684" s="761"/>
      <c r="BE684" s="761"/>
      <c r="BF684" s="761"/>
      <c r="BG684" s="761"/>
      <c r="BH684" s="761"/>
      <c r="BI684" s="761"/>
      <c r="BJ684" s="761"/>
      <c r="BK684" s="761"/>
      <c r="BL684" s="761"/>
      <c r="BM684" s="761"/>
    </row>
    <row r="685" spans="1:65" s="1720" customFormat="1">
      <c r="A685" s="762" t="s">
        <v>2339</v>
      </c>
      <c r="B685" s="762" t="s">
        <v>2340</v>
      </c>
      <c r="C685" s="762" t="s">
        <v>2476</v>
      </c>
      <c r="D685" s="762">
        <v>63116760</v>
      </c>
      <c r="E685" s="762" t="s">
        <v>2443</v>
      </c>
      <c r="F685" s="762">
        <v>143006560</v>
      </c>
      <c r="G685" s="762" t="s">
        <v>2549</v>
      </c>
      <c r="H685" s="762" t="s">
        <v>2549</v>
      </c>
      <c r="I685" s="762" t="s">
        <v>6867</v>
      </c>
      <c r="J685" s="762">
        <v>1</v>
      </c>
      <c r="K685" s="1911">
        <v>55943.93</v>
      </c>
      <c r="L685" s="1911">
        <v>1587.1000000000001</v>
      </c>
      <c r="M685" s="1911">
        <v>54356.83</v>
      </c>
      <c r="N685" s="1752" t="str">
        <f t="shared" si="10"/>
        <v>C390</v>
      </c>
      <c r="O685" s="1752" t="s">
        <v>99</v>
      </c>
      <c r="P685" s="1752" t="s">
        <v>2501</v>
      </c>
      <c r="Q685" s="761"/>
      <c r="R685" s="761"/>
      <c r="S685" s="761"/>
      <c r="T685" s="761"/>
      <c r="U685" s="761"/>
      <c r="V685" s="761"/>
      <c r="W685" s="761"/>
      <c r="X685" s="761"/>
      <c r="Y685" s="761"/>
      <c r="Z685" s="761"/>
      <c r="AA685" s="761"/>
      <c r="AB685" s="761"/>
      <c r="AC685" s="761"/>
      <c r="AD685" s="761"/>
      <c r="AE685" s="761"/>
      <c r="AF685" s="761"/>
      <c r="AG685" s="761"/>
      <c r="AH685" s="761"/>
      <c r="AI685" s="761"/>
      <c r="AJ685" s="761"/>
      <c r="AK685" s="761"/>
      <c r="AL685" s="761"/>
      <c r="AM685" s="761"/>
      <c r="AN685" s="761"/>
      <c r="AO685" s="761"/>
      <c r="AP685" s="761"/>
      <c r="AQ685" s="761"/>
      <c r="AR685" s="761"/>
      <c r="AS685" s="761"/>
      <c r="AT685" s="761"/>
      <c r="AU685" s="761"/>
      <c r="AV685" s="761"/>
      <c r="AW685" s="761"/>
      <c r="AX685" s="761"/>
      <c r="AY685" s="761"/>
      <c r="AZ685" s="761"/>
      <c r="BA685" s="761"/>
      <c r="BB685" s="761"/>
      <c r="BC685" s="761"/>
      <c r="BD685" s="761"/>
      <c r="BE685" s="761"/>
      <c r="BF685" s="761"/>
      <c r="BG685" s="761"/>
      <c r="BH685" s="761"/>
      <c r="BI685" s="761"/>
      <c r="BJ685" s="761"/>
      <c r="BK685" s="761"/>
      <c r="BL685" s="761"/>
      <c r="BM685" s="761"/>
    </row>
    <row r="686" spans="1:65" s="1720" customFormat="1">
      <c r="A686" s="762" t="s">
        <v>2339</v>
      </c>
      <c r="B686" s="762" t="s">
        <v>2340</v>
      </c>
      <c r="C686" s="762" t="s">
        <v>2476</v>
      </c>
      <c r="D686" s="762">
        <v>63116763</v>
      </c>
      <c r="E686" s="762" t="s">
        <v>2443</v>
      </c>
      <c r="F686" s="762">
        <v>143006561</v>
      </c>
      <c r="G686" s="762" t="s">
        <v>2550</v>
      </c>
      <c r="H686" s="762" t="s">
        <v>7326</v>
      </c>
      <c r="I686" s="762" t="s">
        <v>6867</v>
      </c>
      <c r="J686" s="762">
        <v>1</v>
      </c>
      <c r="K686" s="1911">
        <v>146537.75</v>
      </c>
      <c r="L686" s="1911">
        <v>4157.21</v>
      </c>
      <c r="M686" s="1911">
        <v>142380.54</v>
      </c>
      <c r="N686" s="1752" t="str">
        <f t="shared" si="10"/>
        <v>C390</v>
      </c>
      <c r="O686" s="1752" t="s">
        <v>99</v>
      </c>
      <c r="P686" s="1752" t="s">
        <v>2501</v>
      </c>
      <c r="Q686" s="761"/>
      <c r="R686" s="761"/>
      <c r="S686" s="761"/>
      <c r="T686" s="761"/>
      <c r="U686" s="761"/>
      <c r="V686" s="761"/>
      <c r="W686" s="761"/>
      <c r="X686" s="761"/>
      <c r="Y686" s="761"/>
      <c r="Z686" s="761"/>
      <c r="AA686" s="761"/>
      <c r="AB686" s="761"/>
      <c r="AC686" s="761"/>
      <c r="AD686" s="761"/>
      <c r="AE686" s="761"/>
      <c r="AF686" s="761"/>
      <c r="AG686" s="761"/>
      <c r="AH686" s="761"/>
      <c r="AI686" s="761"/>
      <c r="AJ686" s="761"/>
      <c r="AK686" s="761"/>
      <c r="AL686" s="761"/>
      <c r="AM686" s="761"/>
      <c r="AN686" s="761"/>
      <c r="AO686" s="761"/>
      <c r="AP686" s="761"/>
      <c r="AQ686" s="761"/>
      <c r="AR686" s="761"/>
      <c r="AS686" s="761"/>
      <c r="AT686" s="761"/>
      <c r="AU686" s="761"/>
      <c r="AV686" s="761"/>
      <c r="AW686" s="761"/>
      <c r="AX686" s="761"/>
      <c r="AY686" s="761"/>
      <c r="AZ686" s="761"/>
      <c r="BA686" s="761"/>
      <c r="BB686" s="761"/>
      <c r="BC686" s="761"/>
      <c r="BD686" s="761"/>
      <c r="BE686" s="761"/>
      <c r="BF686" s="761"/>
      <c r="BG686" s="761"/>
      <c r="BH686" s="761"/>
      <c r="BI686" s="761"/>
      <c r="BJ686" s="761"/>
      <c r="BK686" s="761"/>
      <c r="BL686" s="761"/>
      <c r="BM686" s="761"/>
    </row>
    <row r="687" spans="1:65" s="1720" customFormat="1">
      <c r="A687" s="762" t="s">
        <v>2339</v>
      </c>
      <c r="B687" s="762" t="s">
        <v>2340</v>
      </c>
      <c r="C687" s="762" t="s">
        <v>2517</v>
      </c>
      <c r="D687" s="762">
        <v>63116766</v>
      </c>
      <c r="E687" s="762" t="s">
        <v>2443</v>
      </c>
      <c r="F687" s="762">
        <v>143006562</v>
      </c>
      <c r="G687" s="762" t="s">
        <v>2551</v>
      </c>
      <c r="H687" s="762" t="s">
        <v>7327</v>
      </c>
      <c r="I687" s="762" t="s">
        <v>6867</v>
      </c>
      <c r="J687" s="762">
        <v>1</v>
      </c>
      <c r="K687" s="1911">
        <v>49290.020000000004</v>
      </c>
      <c r="L687" s="1911">
        <v>1398.33</v>
      </c>
      <c r="M687" s="1911">
        <v>47891.69</v>
      </c>
      <c r="N687" s="1752" t="str">
        <f t="shared" si="10"/>
        <v>C390</v>
      </c>
      <c r="O687" s="1752" t="s">
        <v>99</v>
      </c>
      <c r="P687" s="1752" t="s">
        <v>2501</v>
      </c>
      <c r="Q687" s="761"/>
      <c r="R687" s="761"/>
      <c r="S687" s="761"/>
      <c r="T687" s="761"/>
      <c r="U687" s="761"/>
      <c r="V687" s="761"/>
      <c r="W687" s="761"/>
      <c r="X687" s="761"/>
      <c r="Y687" s="761"/>
      <c r="Z687" s="761"/>
      <c r="AA687" s="761"/>
      <c r="AB687" s="761"/>
      <c r="AC687" s="761"/>
      <c r="AD687" s="761"/>
      <c r="AE687" s="761"/>
      <c r="AF687" s="761"/>
      <c r="AG687" s="761"/>
      <c r="AH687" s="761"/>
      <c r="AI687" s="761"/>
      <c r="AJ687" s="761"/>
      <c r="AK687" s="761"/>
      <c r="AL687" s="761"/>
      <c r="AM687" s="761"/>
      <c r="AN687" s="761"/>
      <c r="AO687" s="761"/>
      <c r="AP687" s="761"/>
      <c r="AQ687" s="761"/>
      <c r="AR687" s="761"/>
      <c r="AS687" s="761"/>
      <c r="AT687" s="761"/>
      <c r="AU687" s="761"/>
      <c r="AV687" s="761"/>
      <c r="AW687" s="761"/>
      <c r="AX687" s="761"/>
      <c r="AY687" s="761"/>
      <c r="AZ687" s="761"/>
      <c r="BA687" s="761"/>
      <c r="BB687" s="761"/>
      <c r="BC687" s="761"/>
      <c r="BD687" s="761"/>
      <c r="BE687" s="761"/>
      <c r="BF687" s="761"/>
      <c r="BG687" s="761"/>
      <c r="BH687" s="761"/>
      <c r="BI687" s="761"/>
      <c r="BJ687" s="761"/>
      <c r="BK687" s="761"/>
      <c r="BL687" s="761"/>
      <c r="BM687" s="761"/>
    </row>
    <row r="688" spans="1:65" s="1720" customFormat="1">
      <c r="A688" s="762" t="s">
        <v>2339</v>
      </c>
      <c r="B688" s="762" t="s">
        <v>2340</v>
      </c>
      <c r="C688" s="762" t="s">
        <v>2517</v>
      </c>
      <c r="D688" s="762">
        <v>63116769</v>
      </c>
      <c r="E688" s="762" t="s">
        <v>2443</v>
      </c>
      <c r="F688" s="762">
        <v>143006563</v>
      </c>
      <c r="G688" s="762" t="s">
        <v>2552</v>
      </c>
      <c r="H688" s="762" t="s">
        <v>2552</v>
      </c>
      <c r="I688" s="762" t="s">
        <v>6867</v>
      </c>
      <c r="J688" s="762">
        <v>1</v>
      </c>
      <c r="K688" s="1911">
        <v>69287.45</v>
      </c>
      <c r="L688" s="1911">
        <v>1965.65</v>
      </c>
      <c r="M688" s="1911">
        <v>67321.8</v>
      </c>
      <c r="N688" s="1752" t="str">
        <f t="shared" si="10"/>
        <v>C390</v>
      </c>
      <c r="O688" s="1752" t="s">
        <v>99</v>
      </c>
      <c r="P688" s="1752" t="s">
        <v>2501</v>
      </c>
      <c r="Q688" s="761"/>
      <c r="R688" s="761"/>
      <c r="S688" s="761"/>
      <c r="T688" s="761"/>
      <c r="U688" s="761"/>
      <c r="V688" s="761"/>
      <c r="W688" s="761"/>
      <c r="X688" s="761"/>
      <c r="Y688" s="761"/>
      <c r="Z688" s="761"/>
      <c r="AA688" s="761"/>
      <c r="AB688" s="761"/>
      <c r="AC688" s="761"/>
      <c r="AD688" s="761"/>
      <c r="AE688" s="761"/>
      <c r="AF688" s="761"/>
      <c r="AG688" s="761"/>
      <c r="AH688" s="761"/>
      <c r="AI688" s="761"/>
      <c r="AJ688" s="761"/>
      <c r="AK688" s="761"/>
      <c r="AL688" s="761"/>
      <c r="AM688" s="761"/>
      <c r="AN688" s="761"/>
      <c r="AO688" s="761"/>
      <c r="AP688" s="761"/>
      <c r="AQ688" s="761"/>
      <c r="AR688" s="761"/>
      <c r="AS688" s="761"/>
      <c r="AT688" s="761"/>
      <c r="AU688" s="761"/>
      <c r="AV688" s="761"/>
      <c r="AW688" s="761"/>
      <c r="AX688" s="761"/>
      <c r="AY688" s="761"/>
      <c r="AZ688" s="761"/>
      <c r="BA688" s="761"/>
      <c r="BB688" s="761"/>
      <c r="BC688" s="761"/>
      <c r="BD688" s="761"/>
      <c r="BE688" s="761"/>
      <c r="BF688" s="761"/>
      <c r="BG688" s="761"/>
      <c r="BH688" s="761"/>
      <c r="BI688" s="761"/>
      <c r="BJ688" s="761"/>
      <c r="BK688" s="761"/>
      <c r="BL688" s="761"/>
      <c r="BM688" s="761"/>
    </row>
    <row r="689" spans="1:65" s="1720" customFormat="1">
      <c r="A689" s="762" t="s">
        <v>2339</v>
      </c>
      <c r="B689" s="762" t="s">
        <v>2340</v>
      </c>
      <c r="C689" s="762" t="s">
        <v>2473</v>
      </c>
      <c r="D689" s="762">
        <v>63116772</v>
      </c>
      <c r="E689" s="762" t="s">
        <v>2443</v>
      </c>
      <c r="F689" s="762">
        <v>143006564</v>
      </c>
      <c r="G689" s="762" t="s">
        <v>2553</v>
      </c>
      <c r="H689" s="762" t="s">
        <v>2553</v>
      </c>
      <c r="I689" s="762" t="s">
        <v>6867</v>
      </c>
      <c r="J689" s="762">
        <v>1</v>
      </c>
      <c r="K689" s="1911">
        <v>41355.64</v>
      </c>
      <c r="L689" s="1911">
        <v>1173.24</v>
      </c>
      <c r="M689" s="1911">
        <v>40182.400000000001</v>
      </c>
      <c r="N689" s="1752" t="str">
        <f t="shared" si="10"/>
        <v>C390</v>
      </c>
      <c r="O689" s="1752" t="s">
        <v>99</v>
      </c>
      <c r="P689" s="1752" t="s">
        <v>2501</v>
      </c>
      <c r="Q689" s="761"/>
      <c r="R689" s="761"/>
      <c r="S689" s="761"/>
      <c r="T689" s="761"/>
      <c r="U689" s="761"/>
      <c r="V689" s="761"/>
      <c r="W689" s="761"/>
      <c r="X689" s="761"/>
      <c r="Y689" s="761"/>
      <c r="Z689" s="761"/>
      <c r="AA689" s="761"/>
      <c r="AB689" s="761"/>
      <c r="AC689" s="761"/>
      <c r="AD689" s="761"/>
      <c r="AE689" s="761"/>
      <c r="AF689" s="761"/>
      <c r="AG689" s="761"/>
      <c r="AH689" s="761"/>
      <c r="AI689" s="761"/>
      <c r="AJ689" s="761"/>
      <c r="AK689" s="761"/>
      <c r="AL689" s="761"/>
      <c r="AM689" s="761"/>
      <c r="AN689" s="761"/>
      <c r="AO689" s="761"/>
      <c r="AP689" s="761"/>
      <c r="AQ689" s="761"/>
      <c r="AR689" s="761"/>
      <c r="AS689" s="761"/>
      <c r="AT689" s="761"/>
      <c r="AU689" s="761"/>
      <c r="AV689" s="761"/>
      <c r="AW689" s="761"/>
      <c r="AX689" s="761"/>
      <c r="AY689" s="761"/>
      <c r="AZ689" s="761"/>
      <c r="BA689" s="761"/>
      <c r="BB689" s="761"/>
      <c r="BC689" s="761"/>
      <c r="BD689" s="761"/>
      <c r="BE689" s="761"/>
      <c r="BF689" s="761"/>
      <c r="BG689" s="761"/>
      <c r="BH689" s="761"/>
      <c r="BI689" s="761"/>
      <c r="BJ689" s="761"/>
      <c r="BK689" s="761"/>
      <c r="BL689" s="761"/>
      <c r="BM689" s="761"/>
    </row>
    <row r="690" spans="1:65" s="1720" customFormat="1">
      <c r="A690" s="762" t="s">
        <v>2339</v>
      </c>
      <c r="B690" s="762" t="s">
        <v>2340</v>
      </c>
      <c r="C690" s="762" t="s">
        <v>2473</v>
      </c>
      <c r="D690" s="762">
        <v>63116775</v>
      </c>
      <c r="E690" s="762" t="s">
        <v>2443</v>
      </c>
      <c r="F690" s="762">
        <v>143006565</v>
      </c>
      <c r="G690" s="762" t="s">
        <v>2554</v>
      </c>
      <c r="H690" s="762" t="s">
        <v>2554</v>
      </c>
      <c r="I690" s="762" t="s">
        <v>6867</v>
      </c>
      <c r="J690" s="762">
        <v>1</v>
      </c>
      <c r="K690" s="1911">
        <v>121280.46</v>
      </c>
      <c r="L690" s="1911">
        <v>3440.67</v>
      </c>
      <c r="M690" s="1911">
        <v>117839.79000000001</v>
      </c>
      <c r="N690" s="1752" t="str">
        <f t="shared" si="10"/>
        <v>C390</v>
      </c>
      <c r="O690" s="1752" t="s">
        <v>99</v>
      </c>
      <c r="P690" s="1752" t="s">
        <v>2501</v>
      </c>
      <c r="Q690" s="761"/>
      <c r="R690" s="761"/>
      <c r="S690" s="761"/>
      <c r="T690" s="761"/>
      <c r="U690" s="761"/>
      <c r="V690" s="761"/>
      <c r="W690" s="761"/>
      <c r="X690" s="761"/>
      <c r="Y690" s="761"/>
      <c r="Z690" s="761"/>
      <c r="AA690" s="761"/>
      <c r="AB690" s="761"/>
      <c r="AC690" s="761"/>
      <c r="AD690" s="761"/>
      <c r="AE690" s="761"/>
      <c r="AF690" s="761"/>
      <c r="AG690" s="761"/>
      <c r="AH690" s="761"/>
      <c r="AI690" s="761"/>
      <c r="AJ690" s="761"/>
      <c r="AK690" s="761"/>
      <c r="AL690" s="761"/>
      <c r="AM690" s="761"/>
      <c r="AN690" s="761"/>
      <c r="AO690" s="761"/>
      <c r="AP690" s="761"/>
      <c r="AQ690" s="761"/>
      <c r="AR690" s="761"/>
      <c r="AS690" s="761"/>
      <c r="AT690" s="761"/>
      <c r="AU690" s="761"/>
      <c r="AV690" s="761"/>
      <c r="AW690" s="761"/>
      <c r="AX690" s="761"/>
      <c r="AY690" s="761"/>
      <c r="AZ690" s="761"/>
      <c r="BA690" s="761"/>
      <c r="BB690" s="761"/>
      <c r="BC690" s="761"/>
      <c r="BD690" s="761"/>
      <c r="BE690" s="761"/>
      <c r="BF690" s="761"/>
      <c r="BG690" s="761"/>
      <c r="BH690" s="761"/>
      <c r="BI690" s="761"/>
      <c r="BJ690" s="761"/>
      <c r="BK690" s="761"/>
      <c r="BL690" s="761"/>
      <c r="BM690" s="761"/>
    </row>
    <row r="691" spans="1:65" s="1720" customFormat="1">
      <c r="A691" s="762" t="s">
        <v>2339</v>
      </c>
      <c r="B691" s="762" t="s">
        <v>2340</v>
      </c>
      <c r="C691" s="762" t="s">
        <v>2527</v>
      </c>
      <c r="D691" s="762">
        <v>63116778</v>
      </c>
      <c r="E691" s="762" t="s">
        <v>2443</v>
      </c>
      <c r="F691" s="762">
        <v>143006566</v>
      </c>
      <c r="G691" s="762" t="s">
        <v>2555</v>
      </c>
      <c r="H691" s="762" t="s">
        <v>2555</v>
      </c>
      <c r="I691" s="762" t="s">
        <v>6867</v>
      </c>
      <c r="J691" s="762">
        <v>1</v>
      </c>
      <c r="K691" s="1911">
        <v>65645.850000000006</v>
      </c>
      <c r="L691" s="1911">
        <v>1862.3400000000001</v>
      </c>
      <c r="M691" s="1911">
        <v>63783.51</v>
      </c>
      <c r="N691" s="1752" t="str">
        <f t="shared" si="10"/>
        <v>C390</v>
      </c>
      <c r="O691" s="1752" t="s">
        <v>99</v>
      </c>
      <c r="P691" s="1752" t="s">
        <v>2501</v>
      </c>
      <c r="Q691" s="761"/>
      <c r="R691" s="761"/>
      <c r="S691" s="761"/>
      <c r="T691" s="761"/>
      <c r="U691" s="761"/>
      <c r="V691" s="761"/>
      <c r="W691" s="761"/>
      <c r="X691" s="761"/>
      <c r="Y691" s="761"/>
      <c r="Z691" s="761"/>
      <c r="AA691" s="761"/>
      <c r="AB691" s="761"/>
      <c r="AC691" s="761"/>
      <c r="AD691" s="761"/>
      <c r="AE691" s="761"/>
      <c r="AF691" s="761"/>
      <c r="AG691" s="761"/>
      <c r="AH691" s="761"/>
      <c r="AI691" s="761"/>
      <c r="AJ691" s="761"/>
      <c r="AK691" s="761"/>
      <c r="AL691" s="761"/>
      <c r="AM691" s="761"/>
      <c r="AN691" s="761"/>
      <c r="AO691" s="761"/>
      <c r="AP691" s="761"/>
      <c r="AQ691" s="761"/>
      <c r="AR691" s="761"/>
      <c r="AS691" s="761"/>
      <c r="AT691" s="761"/>
      <c r="AU691" s="761"/>
      <c r="AV691" s="761"/>
      <c r="AW691" s="761"/>
      <c r="AX691" s="761"/>
      <c r="AY691" s="761"/>
      <c r="AZ691" s="761"/>
      <c r="BA691" s="761"/>
      <c r="BB691" s="761"/>
      <c r="BC691" s="761"/>
      <c r="BD691" s="761"/>
      <c r="BE691" s="761"/>
      <c r="BF691" s="761"/>
      <c r="BG691" s="761"/>
      <c r="BH691" s="761"/>
      <c r="BI691" s="761"/>
      <c r="BJ691" s="761"/>
      <c r="BK691" s="761"/>
      <c r="BL691" s="761"/>
      <c r="BM691" s="761"/>
    </row>
    <row r="692" spans="1:65" s="1720" customFormat="1">
      <c r="A692" s="762" t="s">
        <v>2339</v>
      </c>
      <c r="B692" s="762" t="s">
        <v>2340</v>
      </c>
      <c r="C692" s="762" t="s">
        <v>2517</v>
      </c>
      <c r="D692" s="762">
        <v>63116781</v>
      </c>
      <c r="E692" s="762" t="s">
        <v>2443</v>
      </c>
      <c r="F692" s="762">
        <v>143006567</v>
      </c>
      <c r="G692" s="762" t="s">
        <v>2556</v>
      </c>
      <c r="H692" s="762" t="s">
        <v>2556</v>
      </c>
      <c r="I692" s="762" t="s">
        <v>6867</v>
      </c>
      <c r="J692" s="762">
        <v>1</v>
      </c>
      <c r="K692" s="1911">
        <v>51062.76</v>
      </c>
      <c r="L692" s="1911">
        <v>1448.63</v>
      </c>
      <c r="M692" s="1911">
        <v>49614.130000000005</v>
      </c>
      <c r="N692" s="1752" t="str">
        <f t="shared" si="10"/>
        <v>C390</v>
      </c>
      <c r="O692" s="1752" t="s">
        <v>99</v>
      </c>
      <c r="P692" s="1752" t="s">
        <v>2501</v>
      </c>
      <c r="Q692" s="761"/>
      <c r="R692" s="761"/>
      <c r="S692" s="761"/>
      <c r="T692" s="761"/>
      <c r="U692" s="761"/>
      <c r="V692" s="761"/>
      <c r="W692" s="761"/>
      <c r="X692" s="761"/>
      <c r="Y692" s="761"/>
      <c r="Z692" s="761"/>
      <c r="AA692" s="761"/>
      <c r="AB692" s="761"/>
      <c r="AC692" s="761"/>
      <c r="AD692" s="761"/>
      <c r="AE692" s="761"/>
      <c r="AF692" s="761"/>
      <c r="AG692" s="761"/>
      <c r="AH692" s="761"/>
      <c r="AI692" s="761"/>
      <c r="AJ692" s="761"/>
      <c r="AK692" s="761"/>
      <c r="AL692" s="761"/>
      <c r="AM692" s="761"/>
      <c r="AN692" s="761"/>
      <c r="AO692" s="761"/>
      <c r="AP692" s="761"/>
      <c r="AQ692" s="761"/>
      <c r="AR692" s="761"/>
      <c r="AS692" s="761"/>
      <c r="AT692" s="761"/>
      <c r="AU692" s="761"/>
      <c r="AV692" s="761"/>
      <c r="AW692" s="761"/>
      <c r="AX692" s="761"/>
      <c r="AY692" s="761"/>
      <c r="AZ692" s="761"/>
      <c r="BA692" s="761"/>
      <c r="BB692" s="761"/>
      <c r="BC692" s="761"/>
      <c r="BD692" s="761"/>
      <c r="BE692" s="761"/>
      <c r="BF692" s="761"/>
      <c r="BG692" s="761"/>
      <c r="BH692" s="761"/>
      <c r="BI692" s="761"/>
      <c r="BJ692" s="761"/>
      <c r="BK692" s="761"/>
      <c r="BL692" s="761"/>
      <c r="BM692" s="761"/>
    </row>
    <row r="693" spans="1:65" s="1720" customFormat="1">
      <c r="A693" s="762" t="s">
        <v>2339</v>
      </c>
      <c r="B693" s="762" t="s">
        <v>2340</v>
      </c>
      <c r="C693" s="762" t="s">
        <v>2512</v>
      </c>
      <c r="D693" s="762">
        <v>63116784</v>
      </c>
      <c r="E693" s="762" t="s">
        <v>2443</v>
      </c>
      <c r="F693" s="762">
        <v>143006568</v>
      </c>
      <c r="G693" s="762" t="s">
        <v>2557</v>
      </c>
      <c r="H693" s="762" t="s">
        <v>2557</v>
      </c>
      <c r="I693" s="762" t="s">
        <v>6867</v>
      </c>
      <c r="J693" s="762">
        <v>4</v>
      </c>
      <c r="K693" s="1911">
        <v>95190.05</v>
      </c>
      <c r="L693" s="1911">
        <v>2700.5</v>
      </c>
      <c r="M693" s="1911">
        <v>92489.55</v>
      </c>
      <c r="N693" s="1752" t="str">
        <f t="shared" si="10"/>
        <v>C390</v>
      </c>
      <c r="O693" s="1752" t="s">
        <v>99</v>
      </c>
      <c r="P693" s="1752" t="s">
        <v>2501</v>
      </c>
      <c r="Q693" s="761"/>
      <c r="R693" s="761"/>
      <c r="S693" s="761"/>
      <c r="T693" s="761"/>
      <c r="U693" s="761"/>
      <c r="V693" s="761"/>
      <c r="W693" s="761"/>
      <c r="X693" s="761"/>
      <c r="Y693" s="761"/>
      <c r="Z693" s="761"/>
      <c r="AA693" s="761"/>
      <c r="AB693" s="761"/>
      <c r="AC693" s="761"/>
      <c r="AD693" s="761"/>
      <c r="AE693" s="761"/>
      <c r="AF693" s="761"/>
      <c r="AG693" s="761"/>
      <c r="AH693" s="761"/>
      <c r="AI693" s="761"/>
      <c r="AJ693" s="761"/>
      <c r="AK693" s="761"/>
      <c r="AL693" s="761"/>
      <c r="AM693" s="761"/>
      <c r="AN693" s="761"/>
      <c r="AO693" s="761"/>
      <c r="AP693" s="761"/>
      <c r="AQ693" s="761"/>
      <c r="AR693" s="761"/>
      <c r="AS693" s="761"/>
      <c r="AT693" s="761"/>
      <c r="AU693" s="761"/>
      <c r="AV693" s="761"/>
      <c r="AW693" s="761"/>
      <c r="AX693" s="761"/>
      <c r="AY693" s="761"/>
      <c r="AZ693" s="761"/>
      <c r="BA693" s="761"/>
      <c r="BB693" s="761"/>
      <c r="BC693" s="761"/>
      <c r="BD693" s="761"/>
      <c r="BE693" s="761"/>
      <c r="BF693" s="761"/>
      <c r="BG693" s="761"/>
      <c r="BH693" s="761"/>
      <c r="BI693" s="761"/>
      <c r="BJ693" s="761"/>
      <c r="BK693" s="761"/>
      <c r="BL693" s="761"/>
      <c r="BM693" s="761"/>
    </row>
    <row r="694" spans="1:65" s="1720" customFormat="1">
      <c r="A694" s="762" t="s">
        <v>2339</v>
      </c>
      <c r="B694" s="762" t="s">
        <v>2340</v>
      </c>
      <c r="C694" s="762" t="s">
        <v>2487</v>
      </c>
      <c r="D694" s="762">
        <v>63116787</v>
      </c>
      <c r="E694" s="762" t="s">
        <v>2443</v>
      </c>
      <c r="F694" s="762">
        <v>143006569</v>
      </c>
      <c r="G694" s="762" t="s">
        <v>2558</v>
      </c>
      <c r="H694" s="762" t="s">
        <v>2558</v>
      </c>
      <c r="I694" s="762" t="s">
        <v>6867</v>
      </c>
      <c r="J694" s="762">
        <v>1</v>
      </c>
      <c r="K694" s="1911">
        <v>99659.74</v>
      </c>
      <c r="L694" s="1911">
        <v>2827.3</v>
      </c>
      <c r="M694" s="1911">
        <v>96832.44</v>
      </c>
      <c r="N694" s="1752" t="str">
        <f t="shared" si="10"/>
        <v>C390</v>
      </c>
      <c r="O694" s="1752" t="s">
        <v>99</v>
      </c>
      <c r="P694" s="1752" t="s">
        <v>2501</v>
      </c>
      <c r="Q694" s="761"/>
      <c r="R694" s="761"/>
      <c r="S694" s="761"/>
      <c r="T694" s="761"/>
      <c r="U694" s="761"/>
      <c r="V694" s="761"/>
      <c r="W694" s="761"/>
      <c r="X694" s="761"/>
      <c r="Y694" s="761"/>
      <c r="Z694" s="761"/>
      <c r="AA694" s="761"/>
      <c r="AB694" s="761"/>
      <c r="AC694" s="761"/>
      <c r="AD694" s="761"/>
      <c r="AE694" s="761"/>
      <c r="AF694" s="761"/>
      <c r="AG694" s="761"/>
      <c r="AH694" s="761"/>
      <c r="AI694" s="761"/>
      <c r="AJ694" s="761"/>
      <c r="AK694" s="761"/>
      <c r="AL694" s="761"/>
      <c r="AM694" s="761"/>
      <c r="AN694" s="761"/>
      <c r="AO694" s="761"/>
      <c r="AP694" s="761"/>
      <c r="AQ694" s="761"/>
      <c r="AR694" s="761"/>
      <c r="AS694" s="761"/>
      <c r="AT694" s="761"/>
      <c r="AU694" s="761"/>
      <c r="AV694" s="761"/>
      <c r="AW694" s="761"/>
      <c r="AX694" s="761"/>
      <c r="AY694" s="761"/>
      <c r="AZ694" s="761"/>
      <c r="BA694" s="761"/>
      <c r="BB694" s="761"/>
      <c r="BC694" s="761"/>
      <c r="BD694" s="761"/>
      <c r="BE694" s="761"/>
      <c r="BF694" s="761"/>
      <c r="BG694" s="761"/>
      <c r="BH694" s="761"/>
      <c r="BI694" s="761"/>
      <c r="BJ694" s="761"/>
      <c r="BK694" s="761"/>
      <c r="BL694" s="761"/>
      <c r="BM694" s="761"/>
    </row>
    <row r="695" spans="1:65" s="1720" customFormat="1">
      <c r="A695" s="762" t="s">
        <v>2339</v>
      </c>
      <c r="B695" s="762" t="s">
        <v>2340</v>
      </c>
      <c r="C695" s="762" t="s">
        <v>2527</v>
      </c>
      <c r="D695" s="762">
        <v>63116790</v>
      </c>
      <c r="E695" s="762" t="s">
        <v>2443</v>
      </c>
      <c r="F695" s="762">
        <v>143006570</v>
      </c>
      <c r="G695" s="762" t="s">
        <v>2559</v>
      </c>
      <c r="H695" s="762" t="s">
        <v>2559</v>
      </c>
      <c r="I695" s="762" t="s">
        <v>6867</v>
      </c>
      <c r="J695" s="762">
        <v>1</v>
      </c>
      <c r="K695" s="1911">
        <v>20579.82</v>
      </c>
      <c r="L695" s="1911">
        <v>583.84</v>
      </c>
      <c r="M695" s="1911">
        <v>19995.98</v>
      </c>
      <c r="N695" s="1752" t="str">
        <f t="shared" si="10"/>
        <v>C390</v>
      </c>
      <c r="O695" s="1752" t="s">
        <v>99</v>
      </c>
      <c r="P695" s="1752" t="s">
        <v>2501</v>
      </c>
      <c r="Q695" s="761"/>
      <c r="R695" s="761"/>
      <c r="S695" s="761"/>
      <c r="T695" s="761"/>
      <c r="U695" s="761"/>
      <c r="V695" s="761"/>
      <c r="W695" s="761"/>
      <c r="X695" s="761"/>
      <c r="Y695" s="761"/>
      <c r="Z695" s="761"/>
      <c r="AA695" s="761"/>
      <c r="AB695" s="761"/>
      <c r="AC695" s="761"/>
      <c r="AD695" s="761"/>
      <c r="AE695" s="761"/>
      <c r="AF695" s="761"/>
      <c r="AG695" s="761"/>
      <c r="AH695" s="761"/>
      <c r="AI695" s="761"/>
      <c r="AJ695" s="761"/>
      <c r="AK695" s="761"/>
      <c r="AL695" s="761"/>
      <c r="AM695" s="761"/>
      <c r="AN695" s="761"/>
      <c r="AO695" s="761"/>
      <c r="AP695" s="761"/>
      <c r="AQ695" s="761"/>
      <c r="AR695" s="761"/>
      <c r="AS695" s="761"/>
      <c r="AT695" s="761"/>
      <c r="AU695" s="761"/>
      <c r="AV695" s="761"/>
      <c r="AW695" s="761"/>
      <c r="AX695" s="761"/>
      <c r="AY695" s="761"/>
      <c r="AZ695" s="761"/>
      <c r="BA695" s="761"/>
      <c r="BB695" s="761"/>
      <c r="BC695" s="761"/>
      <c r="BD695" s="761"/>
      <c r="BE695" s="761"/>
      <c r="BF695" s="761"/>
      <c r="BG695" s="761"/>
      <c r="BH695" s="761"/>
      <c r="BI695" s="761"/>
      <c r="BJ695" s="761"/>
      <c r="BK695" s="761"/>
      <c r="BL695" s="761"/>
      <c r="BM695" s="761"/>
    </row>
    <row r="696" spans="1:65" s="1720" customFormat="1">
      <c r="A696" s="762" t="s">
        <v>2339</v>
      </c>
      <c r="B696" s="762" t="s">
        <v>2340</v>
      </c>
      <c r="C696" s="762" t="s">
        <v>2531</v>
      </c>
      <c r="D696" s="762">
        <v>63116793</v>
      </c>
      <c r="E696" s="762" t="s">
        <v>2443</v>
      </c>
      <c r="F696" s="762">
        <v>143006571</v>
      </c>
      <c r="G696" s="762" t="s">
        <v>2560</v>
      </c>
      <c r="H696" s="762" t="s">
        <v>2560</v>
      </c>
      <c r="I696" s="762" t="s">
        <v>6867</v>
      </c>
      <c r="J696" s="762">
        <v>1</v>
      </c>
      <c r="K696" s="1911">
        <v>16428.98</v>
      </c>
      <c r="L696" s="1911">
        <v>466.08</v>
      </c>
      <c r="M696" s="1911">
        <v>15962.9</v>
      </c>
      <c r="N696" s="1752" t="str">
        <f t="shared" si="10"/>
        <v>C390</v>
      </c>
      <c r="O696" s="1752" t="s">
        <v>99</v>
      </c>
      <c r="P696" s="1752" t="s">
        <v>2501</v>
      </c>
      <c r="Q696" s="761"/>
      <c r="R696" s="761"/>
      <c r="S696" s="761"/>
      <c r="T696" s="761"/>
      <c r="U696" s="761"/>
      <c r="V696" s="761"/>
      <c r="W696" s="761"/>
      <c r="X696" s="761"/>
      <c r="Y696" s="761"/>
      <c r="Z696" s="761"/>
      <c r="AA696" s="761"/>
      <c r="AB696" s="761"/>
      <c r="AC696" s="761"/>
      <c r="AD696" s="761"/>
      <c r="AE696" s="761"/>
      <c r="AF696" s="761"/>
      <c r="AG696" s="761"/>
      <c r="AH696" s="761"/>
      <c r="AI696" s="761"/>
      <c r="AJ696" s="761"/>
      <c r="AK696" s="761"/>
      <c r="AL696" s="761"/>
      <c r="AM696" s="761"/>
      <c r="AN696" s="761"/>
      <c r="AO696" s="761"/>
      <c r="AP696" s="761"/>
      <c r="AQ696" s="761"/>
      <c r="AR696" s="761"/>
      <c r="AS696" s="761"/>
      <c r="AT696" s="761"/>
      <c r="AU696" s="761"/>
      <c r="AV696" s="761"/>
      <c r="AW696" s="761"/>
      <c r="AX696" s="761"/>
      <c r="AY696" s="761"/>
      <c r="AZ696" s="761"/>
      <c r="BA696" s="761"/>
      <c r="BB696" s="761"/>
      <c r="BC696" s="761"/>
      <c r="BD696" s="761"/>
      <c r="BE696" s="761"/>
      <c r="BF696" s="761"/>
      <c r="BG696" s="761"/>
      <c r="BH696" s="761"/>
      <c r="BI696" s="761"/>
      <c r="BJ696" s="761"/>
      <c r="BK696" s="761"/>
      <c r="BL696" s="761"/>
      <c r="BM696" s="761"/>
    </row>
    <row r="697" spans="1:65" s="1720" customFormat="1">
      <c r="A697" s="762" t="s">
        <v>2339</v>
      </c>
      <c r="B697" s="762" t="s">
        <v>2340</v>
      </c>
      <c r="C697" s="762" t="s">
        <v>2531</v>
      </c>
      <c r="D697" s="762">
        <v>63116796</v>
      </c>
      <c r="E697" s="762" t="s">
        <v>2443</v>
      </c>
      <c r="F697" s="762">
        <v>143006572</v>
      </c>
      <c r="G697" s="762" t="s">
        <v>2561</v>
      </c>
      <c r="H697" s="762" t="s">
        <v>2561</v>
      </c>
      <c r="I697" s="762" t="s">
        <v>6867</v>
      </c>
      <c r="J697" s="762">
        <v>1</v>
      </c>
      <c r="K697" s="1911">
        <v>14870.67</v>
      </c>
      <c r="L697" s="1911">
        <v>421.87</v>
      </c>
      <c r="M697" s="1911">
        <v>14448.800000000001</v>
      </c>
      <c r="N697" s="1752" t="str">
        <f t="shared" si="10"/>
        <v>C390</v>
      </c>
      <c r="O697" s="1752" t="s">
        <v>99</v>
      </c>
      <c r="P697" s="1752" t="s">
        <v>2501</v>
      </c>
      <c r="Q697" s="761"/>
      <c r="R697" s="761"/>
      <c r="S697" s="761"/>
      <c r="T697" s="761"/>
      <c r="U697" s="761"/>
      <c r="V697" s="761"/>
      <c r="W697" s="761"/>
      <c r="X697" s="761"/>
      <c r="Y697" s="761"/>
      <c r="Z697" s="761"/>
      <c r="AA697" s="761"/>
      <c r="AB697" s="761"/>
      <c r="AC697" s="761"/>
      <c r="AD697" s="761"/>
      <c r="AE697" s="761"/>
      <c r="AF697" s="761"/>
      <c r="AG697" s="761"/>
      <c r="AH697" s="761"/>
      <c r="AI697" s="761"/>
      <c r="AJ697" s="761"/>
      <c r="AK697" s="761"/>
      <c r="AL697" s="761"/>
      <c r="AM697" s="761"/>
      <c r="AN697" s="761"/>
      <c r="AO697" s="761"/>
      <c r="AP697" s="761"/>
      <c r="AQ697" s="761"/>
      <c r="AR697" s="761"/>
      <c r="AS697" s="761"/>
      <c r="AT697" s="761"/>
      <c r="AU697" s="761"/>
      <c r="AV697" s="761"/>
      <c r="AW697" s="761"/>
      <c r="AX697" s="761"/>
      <c r="AY697" s="761"/>
      <c r="AZ697" s="761"/>
      <c r="BA697" s="761"/>
      <c r="BB697" s="761"/>
      <c r="BC697" s="761"/>
      <c r="BD697" s="761"/>
      <c r="BE697" s="761"/>
      <c r="BF697" s="761"/>
      <c r="BG697" s="761"/>
      <c r="BH697" s="761"/>
      <c r="BI697" s="761"/>
      <c r="BJ697" s="761"/>
      <c r="BK697" s="761"/>
      <c r="BL697" s="761"/>
      <c r="BM697" s="761"/>
    </row>
    <row r="698" spans="1:65" s="1720" customFormat="1">
      <c r="A698" s="762" t="s">
        <v>2339</v>
      </c>
      <c r="B698" s="762" t="s">
        <v>2340</v>
      </c>
      <c r="C698" s="762" t="s">
        <v>2490</v>
      </c>
      <c r="D698" s="762">
        <v>63116799</v>
      </c>
      <c r="E698" s="762" t="s">
        <v>2443</v>
      </c>
      <c r="F698" s="762">
        <v>143006573</v>
      </c>
      <c r="G698" s="762" t="s">
        <v>2562</v>
      </c>
      <c r="H698" s="762" t="s">
        <v>2562</v>
      </c>
      <c r="I698" s="762" t="s">
        <v>6867</v>
      </c>
      <c r="J698" s="762">
        <v>1</v>
      </c>
      <c r="K698" s="1911">
        <v>60175.41</v>
      </c>
      <c r="L698" s="1911">
        <v>1707.15</v>
      </c>
      <c r="M698" s="1911">
        <v>58468.26</v>
      </c>
      <c r="N698" s="1752" t="str">
        <f t="shared" si="10"/>
        <v>C390</v>
      </c>
      <c r="O698" s="1752" t="s">
        <v>99</v>
      </c>
      <c r="P698" s="1752" t="s">
        <v>2501</v>
      </c>
      <c r="Q698" s="761"/>
      <c r="R698" s="761"/>
      <c r="S698" s="761"/>
      <c r="T698" s="761"/>
      <c r="U698" s="761"/>
      <c r="V698" s="761"/>
      <c r="W698" s="761"/>
      <c r="X698" s="761"/>
      <c r="Y698" s="761"/>
      <c r="Z698" s="761"/>
      <c r="AA698" s="761"/>
      <c r="AB698" s="761"/>
      <c r="AC698" s="761"/>
      <c r="AD698" s="761"/>
      <c r="AE698" s="761"/>
      <c r="AF698" s="761"/>
      <c r="AG698" s="761"/>
      <c r="AH698" s="761"/>
      <c r="AI698" s="761"/>
      <c r="AJ698" s="761"/>
      <c r="AK698" s="761"/>
      <c r="AL698" s="761"/>
      <c r="AM698" s="761"/>
      <c r="AN698" s="761"/>
      <c r="AO698" s="761"/>
      <c r="AP698" s="761"/>
      <c r="AQ698" s="761"/>
      <c r="AR698" s="761"/>
      <c r="AS698" s="761"/>
      <c r="AT698" s="761"/>
      <c r="AU698" s="761"/>
      <c r="AV698" s="761"/>
      <c r="AW698" s="761"/>
      <c r="AX698" s="761"/>
      <c r="AY698" s="761"/>
      <c r="AZ698" s="761"/>
      <c r="BA698" s="761"/>
      <c r="BB698" s="761"/>
      <c r="BC698" s="761"/>
      <c r="BD698" s="761"/>
      <c r="BE698" s="761"/>
      <c r="BF698" s="761"/>
      <c r="BG698" s="761"/>
      <c r="BH698" s="761"/>
      <c r="BI698" s="761"/>
      <c r="BJ698" s="761"/>
      <c r="BK698" s="761"/>
      <c r="BL698" s="761"/>
      <c r="BM698" s="761"/>
    </row>
    <row r="699" spans="1:65" s="1720" customFormat="1">
      <c r="A699" s="762" t="s">
        <v>2339</v>
      </c>
      <c r="B699" s="762" t="s">
        <v>2340</v>
      </c>
      <c r="C699" s="762" t="s">
        <v>2509</v>
      </c>
      <c r="D699" s="762">
        <v>63116802</v>
      </c>
      <c r="E699" s="762" t="s">
        <v>2443</v>
      </c>
      <c r="F699" s="762">
        <v>143006574</v>
      </c>
      <c r="G699" s="762" t="s">
        <v>2563</v>
      </c>
      <c r="H699" s="762" t="s">
        <v>2563</v>
      </c>
      <c r="I699" s="762" t="s">
        <v>6867</v>
      </c>
      <c r="J699" s="762">
        <v>1</v>
      </c>
      <c r="K699" s="1911">
        <v>3774.11</v>
      </c>
      <c r="L699" s="1911">
        <v>107.07000000000001</v>
      </c>
      <c r="M699" s="1911">
        <v>3667.04</v>
      </c>
      <c r="N699" s="1752" t="str">
        <f t="shared" si="10"/>
        <v>C390</v>
      </c>
      <c r="O699" s="1752" t="s">
        <v>99</v>
      </c>
      <c r="P699" s="1752" t="s">
        <v>2501</v>
      </c>
      <c r="Q699" s="761"/>
      <c r="R699" s="761"/>
      <c r="S699" s="761"/>
      <c r="T699" s="761"/>
      <c r="U699" s="761"/>
      <c r="V699" s="761"/>
      <c r="W699" s="761"/>
      <c r="X699" s="761"/>
      <c r="Y699" s="761"/>
      <c r="Z699" s="761"/>
      <c r="AA699" s="761"/>
      <c r="AB699" s="761"/>
      <c r="AC699" s="761"/>
      <c r="AD699" s="761"/>
      <c r="AE699" s="761"/>
      <c r="AF699" s="761"/>
      <c r="AG699" s="761"/>
      <c r="AH699" s="761"/>
      <c r="AI699" s="761"/>
      <c r="AJ699" s="761"/>
      <c r="AK699" s="761"/>
      <c r="AL699" s="761"/>
      <c r="AM699" s="761"/>
      <c r="AN699" s="761"/>
      <c r="AO699" s="761"/>
      <c r="AP699" s="761"/>
      <c r="AQ699" s="761"/>
      <c r="AR699" s="761"/>
      <c r="AS699" s="761"/>
      <c r="AT699" s="761"/>
      <c r="AU699" s="761"/>
      <c r="AV699" s="761"/>
      <c r="AW699" s="761"/>
      <c r="AX699" s="761"/>
      <c r="AY699" s="761"/>
      <c r="AZ699" s="761"/>
      <c r="BA699" s="761"/>
      <c r="BB699" s="761"/>
      <c r="BC699" s="761"/>
      <c r="BD699" s="761"/>
      <c r="BE699" s="761"/>
      <c r="BF699" s="761"/>
      <c r="BG699" s="761"/>
      <c r="BH699" s="761"/>
      <c r="BI699" s="761"/>
      <c r="BJ699" s="761"/>
      <c r="BK699" s="761"/>
      <c r="BL699" s="761"/>
      <c r="BM699" s="761"/>
    </row>
    <row r="700" spans="1:65" s="1720" customFormat="1">
      <c r="A700" s="762" t="s">
        <v>2339</v>
      </c>
      <c r="B700" s="762" t="s">
        <v>2340</v>
      </c>
      <c r="C700" s="762" t="s">
        <v>2509</v>
      </c>
      <c r="D700" s="762">
        <v>63116805</v>
      </c>
      <c r="E700" s="762" t="s">
        <v>2443</v>
      </c>
      <c r="F700" s="762">
        <v>143006575</v>
      </c>
      <c r="G700" s="762" t="s">
        <v>2564</v>
      </c>
      <c r="H700" s="762" t="s">
        <v>2564</v>
      </c>
      <c r="I700" s="762" t="s">
        <v>6867</v>
      </c>
      <c r="J700" s="762">
        <v>1</v>
      </c>
      <c r="K700" s="1911">
        <v>130.06</v>
      </c>
      <c r="L700" s="1911">
        <v>3.69</v>
      </c>
      <c r="M700" s="1911">
        <v>126.37</v>
      </c>
      <c r="N700" s="1752" t="str">
        <f t="shared" si="10"/>
        <v>C390</v>
      </c>
      <c r="O700" s="1752" t="s">
        <v>99</v>
      </c>
      <c r="P700" s="1752" t="s">
        <v>2501</v>
      </c>
      <c r="Q700" s="761"/>
      <c r="R700" s="761"/>
      <c r="S700" s="761"/>
      <c r="T700" s="761"/>
      <c r="U700" s="761"/>
      <c r="V700" s="761"/>
      <c r="W700" s="761"/>
      <c r="X700" s="761"/>
      <c r="Y700" s="761"/>
      <c r="Z700" s="761"/>
      <c r="AA700" s="761"/>
      <c r="AB700" s="761"/>
      <c r="AC700" s="761"/>
      <c r="AD700" s="761"/>
      <c r="AE700" s="761"/>
      <c r="AF700" s="761"/>
      <c r="AG700" s="761"/>
      <c r="AH700" s="761"/>
      <c r="AI700" s="761"/>
      <c r="AJ700" s="761"/>
      <c r="AK700" s="761"/>
      <c r="AL700" s="761"/>
      <c r="AM700" s="761"/>
      <c r="AN700" s="761"/>
      <c r="AO700" s="761"/>
      <c r="AP700" s="761"/>
      <c r="AQ700" s="761"/>
      <c r="AR700" s="761"/>
      <c r="AS700" s="761"/>
      <c r="AT700" s="761"/>
      <c r="AU700" s="761"/>
      <c r="AV700" s="761"/>
      <c r="AW700" s="761"/>
      <c r="AX700" s="761"/>
      <c r="AY700" s="761"/>
      <c r="AZ700" s="761"/>
      <c r="BA700" s="761"/>
      <c r="BB700" s="761"/>
      <c r="BC700" s="761"/>
      <c r="BD700" s="761"/>
      <c r="BE700" s="761"/>
      <c r="BF700" s="761"/>
      <c r="BG700" s="761"/>
      <c r="BH700" s="761"/>
      <c r="BI700" s="761"/>
      <c r="BJ700" s="761"/>
      <c r="BK700" s="761"/>
      <c r="BL700" s="761"/>
      <c r="BM700" s="761"/>
    </row>
    <row r="701" spans="1:65" s="1720" customFormat="1">
      <c r="A701" s="762" t="s">
        <v>2339</v>
      </c>
      <c r="B701" s="762" t="s">
        <v>2340</v>
      </c>
      <c r="C701" s="762" t="s">
        <v>2509</v>
      </c>
      <c r="D701" s="762">
        <v>63116808</v>
      </c>
      <c r="E701" s="762" t="s">
        <v>2443</v>
      </c>
      <c r="F701" s="762">
        <v>143006576</v>
      </c>
      <c r="G701" s="762" t="s">
        <v>2565</v>
      </c>
      <c r="H701" s="762" t="s">
        <v>2565</v>
      </c>
      <c r="I701" s="762" t="s">
        <v>6867</v>
      </c>
      <c r="J701" s="762">
        <v>1</v>
      </c>
      <c r="K701" s="1911">
        <v>3580.9</v>
      </c>
      <c r="L701" s="1911">
        <v>101.59</v>
      </c>
      <c r="M701" s="1911">
        <v>3479.31</v>
      </c>
      <c r="N701" s="1752" t="str">
        <f t="shared" si="10"/>
        <v>C390</v>
      </c>
      <c r="O701" s="1752" t="s">
        <v>99</v>
      </c>
      <c r="P701" s="1752" t="s">
        <v>2501</v>
      </c>
      <c r="Q701" s="761"/>
      <c r="R701" s="761"/>
      <c r="S701" s="761"/>
      <c r="T701" s="761"/>
      <c r="U701" s="761"/>
      <c r="V701" s="761"/>
      <c r="W701" s="761"/>
      <c r="X701" s="761"/>
      <c r="Y701" s="761"/>
      <c r="Z701" s="761"/>
      <c r="AA701" s="761"/>
      <c r="AB701" s="761"/>
      <c r="AC701" s="761"/>
      <c r="AD701" s="761"/>
      <c r="AE701" s="761"/>
      <c r="AF701" s="761"/>
      <c r="AG701" s="761"/>
      <c r="AH701" s="761"/>
      <c r="AI701" s="761"/>
      <c r="AJ701" s="761"/>
      <c r="AK701" s="761"/>
      <c r="AL701" s="761"/>
      <c r="AM701" s="761"/>
      <c r="AN701" s="761"/>
      <c r="AO701" s="761"/>
      <c r="AP701" s="761"/>
      <c r="AQ701" s="761"/>
      <c r="AR701" s="761"/>
      <c r="AS701" s="761"/>
      <c r="AT701" s="761"/>
      <c r="AU701" s="761"/>
      <c r="AV701" s="761"/>
      <c r="AW701" s="761"/>
      <c r="AX701" s="761"/>
      <c r="AY701" s="761"/>
      <c r="AZ701" s="761"/>
      <c r="BA701" s="761"/>
      <c r="BB701" s="761"/>
      <c r="BC701" s="761"/>
      <c r="BD701" s="761"/>
      <c r="BE701" s="761"/>
      <c r="BF701" s="761"/>
      <c r="BG701" s="761"/>
      <c r="BH701" s="761"/>
      <c r="BI701" s="761"/>
      <c r="BJ701" s="761"/>
      <c r="BK701" s="761"/>
      <c r="BL701" s="761"/>
      <c r="BM701" s="761"/>
    </row>
    <row r="702" spans="1:65" s="1720" customFormat="1">
      <c r="A702" s="762" t="s">
        <v>2339</v>
      </c>
      <c r="B702" s="762" t="s">
        <v>2340</v>
      </c>
      <c r="C702" s="762" t="s">
        <v>2509</v>
      </c>
      <c r="D702" s="762">
        <v>63116811</v>
      </c>
      <c r="E702" s="762" t="s">
        <v>2443</v>
      </c>
      <c r="F702" s="762">
        <v>143006577</v>
      </c>
      <c r="G702" s="762" t="s">
        <v>2566</v>
      </c>
      <c r="H702" s="762" t="s">
        <v>2566</v>
      </c>
      <c r="I702" s="762" t="s">
        <v>6867</v>
      </c>
      <c r="J702" s="762">
        <v>1</v>
      </c>
      <c r="K702" s="1911">
        <v>20178.3</v>
      </c>
      <c r="L702" s="1911">
        <v>572.45000000000005</v>
      </c>
      <c r="M702" s="1911">
        <v>19605.850000000002</v>
      </c>
      <c r="N702" s="1752" t="str">
        <f t="shared" si="10"/>
        <v>C390</v>
      </c>
      <c r="O702" s="1752" t="s">
        <v>99</v>
      </c>
      <c r="P702" s="1752" t="s">
        <v>2501</v>
      </c>
      <c r="Q702" s="761"/>
      <c r="R702" s="761"/>
      <c r="S702" s="761"/>
      <c r="T702" s="761"/>
      <c r="U702" s="761"/>
      <c r="V702" s="761"/>
      <c r="W702" s="761"/>
      <c r="X702" s="761"/>
      <c r="Y702" s="761"/>
      <c r="Z702" s="761"/>
      <c r="AA702" s="761"/>
      <c r="AB702" s="761"/>
      <c r="AC702" s="761"/>
      <c r="AD702" s="761"/>
      <c r="AE702" s="761"/>
      <c r="AF702" s="761"/>
      <c r="AG702" s="761"/>
      <c r="AH702" s="761"/>
      <c r="AI702" s="761"/>
      <c r="AJ702" s="761"/>
      <c r="AK702" s="761"/>
      <c r="AL702" s="761"/>
      <c r="AM702" s="761"/>
      <c r="AN702" s="761"/>
      <c r="AO702" s="761"/>
      <c r="AP702" s="761"/>
      <c r="AQ702" s="761"/>
      <c r="AR702" s="761"/>
      <c r="AS702" s="761"/>
      <c r="AT702" s="761"/>
      <c r="AU702" s="761"/>
      <c r="AV702" s="761"/>
      <c r="AW702" s="761"/>
      <c r="AX702" s="761"/>
      <c r="AY702" s="761"/>
      <c r="AZ702" s="761"/>
      <c r="BA702" s="761"/>
      <c r="BB702" s="761"/>
      <c r="BC702" s="761"/>
      <c r="BD702" s="761"/>
      <c r="BE702" s="761"/>
      <c r="BF702" s="761"/>
      <c r="BG702" s="761"/>
      <c r="BH702" s="761"/>
      <c r="BI702" s="761"/>
      <c r="BJ702" s="761"/>
      <c r="BK702" s="761"/>
      <c r="BL702" s="761"/>
      <c r="BM702" s="761"/>
    </row>
    <row r="703" spans="1:65" s="1720" customFormat="1">
      <c r="A703" s="762" t="s">
        <v>2339</v>
      </c>
      <c r="B703" s="762" t="s">
        <v>2340</v>
      </c>
      <c r="C703" s="762" t="s">
        <v>2509</v>
      </c>
      <c r="D703" s="762">
        <v>63116814</v>
      </c>
      <c r="E703" s="762" t="s">
        <v>2443</v>
      </c>
      <c r="F703" s="762">
        <v>143006578</v>
      </c>
      <c r="G703" s="762" t="s">
        <v>2567</v>
      </c>
      <c r="H703" s="762" t="s">
        <v>2567</v>
      </c>
      <c r="I703" s="762" t="s">
        <v>6867</v>
      </c>
      <c r="J703" s="762">
        <v>1</v>
      </c>
      <c r="K703" s="1911">
        <v>38294.85</v>
      </c>
      <c r="L703" s="1911">
        <v>1086.4100000000001</v>
      </c>
      <c r="M703" s="1911">
        <v>37208.44</v>
      </c>
      <c r="N703" s="1752" t="str">
        <f t="shared" si="10"/>
        <v>C390</v>
      </c>
      <c r="O703" s="1752" t="s">
        <v>99</v>
      </c>
      <c r="P703" s="1752" t="s">
        <v>2501</v>
      </c>
      <c r="Q703" s="761"/>
      <c r="R703" s="761"/>
      <c r="S703" s="761"/>
      <c r="T703" s="761"/>
      <c r="U703" s="761"/>
      <c r="V703" s="761"/>
      <c r="W703" s="761"/>
      <c r="X703" s="761"/>
      <c r="Y703" s="761"/>
      <c r="Z703" s="761"/>
      <c r="AA703" s="761"/>
      <c r="AB703" s="761"/>
      <c r="AC703" s="761"/>
      <c r="AD703" s="761"/>
      <c r="AE703" s="761"/>
      <c r="AF703" s="761"/>
      <c r="AG703" s="761"/>
      <c r="AH703" s="761"/>
      <c r="AI703" s="761"/>
      <c r="AJ703" s="761"/>
      <c r="AK703" s="761"/>
      <c r="AL703" s="761"/>
      <c r="AM703" s="761"/>
      <c r="AN703" s="761"/>
      <c r="AO703" s="761"/>
      <c r="AP703" s="761"/>
      <c r="AQ703" s="761"/>
      <c r="AR703" s="761"/>
      <c r="AS703" s="761"/>
      <c r="AT703" s="761"/>
      <c r="AU703" s="761"/>
      <c r="AV703" s="761"/>
      <c r="AW703" s="761"/>
      <c r="AX703" s="761"/>
      <c r="AY703" s="761"/>
      <c r="AZ703" s="761"/>
      <c r="BA703" s="761"/>
      <c r="BB703" s="761"/>
      <c r="BC703" s="761"/>
      <c r="BD703" s="761"/>
      <c r="BE703" s="761"/>
      <c r="BF703" s="761"/>
      <c r="BG703" s="761"/>
      <c r="BH703" s="761"/>
      <c r="BI703" s="761"/>
      <c r="BJ703" s="761"/>
      <c r="BK703" s="761"/>
      <c r="BL703" s="761"/>
      <c r="BM703" s="761"/>
    </row>
    <row r="704" spans="1:65" s="1720" customFormat="1">
      <c r="A704" s="762" t="s">
        <v>2339</v>
      </c>
      <c r="B704" s="762" t="s">
        <v>2340</v>
      </c>
      <c r="C704" s="762" t="s">
        <v>2509</v>
      </c>
      <c r="D704" s="762">
        <v>63116817</v>
      </c>
      <c r="E704" s="762" t="s">
        <v>2443</v>
      </c>
      <c r="F704" s="762">
        <v>143006579</v>
      </c>
      <c r="G704" s="762" t="s">
        <v>2568</v>
      </c>
      <c r="H704" s="762" t="s">
        <v>2568</v>
      </c>
      <c r="I704" s="762" t="s">
        <v>6867</v>
      </c>
      <c r="J704" s="762">
        <v>1</v>
      </c>
      <c r="K704" s="1911">
        <v>17292.52</v>
      </c>
      <c r="L704" s="1911">
        <v>490.58</v>
      </c>
      <c r="M704" s="1911">
        <v>16801.939999999999</v>
      </c>
      <c r="N704" s="1752" t="str">
        <f t="shared" si="10"/>
        <v>C390</v>
      </c>
      <c r="O704" s="1752" t="s">
        <v>99</v>
      </c>
      <c r="P704" s="1752" t="s">
        <v>2501</v>
      </c>
      <c r="Q704" s="761"/>
      <c r="R704" s="761"/>
      <c r="S704" s="761"/>
      <c r="T704" s="761"/>
      <c r="U704" s="761"/>
      <c r="V704" s="761"/>
      <c r="W704" s="761"/>
      <c r="X704" s="761"/>
      <c r="Y704" s="761"/>
      <c r="Z704" s="761"/>
      <c r="AA704" s="761"/>
      <c r="AB704" s="761"/>
      <c r="AC704" s="761"/>
      <c r="AD704" s="761"/>
      <c r="AE704" s="761"/>
      <c r="AF704" s="761"/>
      <c r="AG704" s="761"/>
      <c r="AH704" s="761"/>
      <c r="AI704" s="761"/>
      <c r="AJ704" s="761"/>
      <c r="AK704" s="761"/>
      <c r="AL704" s="761"/>
      <c r="AM704" s="761"/>
      <c r="AN704" s="761"/>
      <c r="AO704" s="761"/>
      <c r="AP704" s="761"/>
      <c r="AQ704" s="761"/>
      <c r="AR704" s="761"/>
      <c r="AS704" s="761"/>
      <c r="AT704" s="761"/>
      <c r="AU704" s="761"/>
      <c r="AV704" s="761"/>
      <c r="AW704" s="761"/>
      <c r="AX704" s="761"/>
      <c r="AY704" s="761"/>
      <c r="AZ704" s="761"/>
      <c r="BA704" s="761"/>
      <c r="BB704" s="761"/>
      <c r="BC704" s="761"/>
      <c r="BD704" s="761"/>
      <c r="BE704" s="761"/>
      <c r="BF704" s="761"/>
      <c r="BG704" s="761"/>
      <c r="BH704" s="761"/>
      <c r="BI704" s="761"/>
      <c r="BJ704" s="761"/>
      <c r="BK704" s="761"/>
      <c r="BL704" s="761"/>
      <c r="BM704" s="761"/>
    </row>
    <row r="705" spans="1:65" s="1720" customFormat="1">
      <c r="A705" s="762" t="s">
        <v>2339</v>
      </c>
      <c r="B705" s="762" t="s">
        <v>2340</v>
      </c>
      <c r="C705" s="762" t="s">
        <v>2509</v>
      </c>
      <c r="D705" s="762">
        <v>63116820</v>
      </c>
      <c r="E705" s="762" t="s">
        <v>2443</v>
      </c>
      <c r="F705" s="762">
        <v>143006580</v>
      </c>
      <c r="G705" s="762" t="s">
        <v>2569</v>
      </c>
      <c r="H705" s="762" t="s">
        <v>2569</v>
      </c>
      <c r="I705" s="762" t="s">
        <v>6867</v>
      </c>
      <c r="J705" s="762">
        <v>1</v>
      </c>
      <c r="K705" s="1911">
        <v>17486.34</v>
      </c>
      <c r="L705" s="1911">
        <v>496.08</v>
      </c>
      <c r="M705" s="1911">
        <v>16990.260000000002</v>
      </c>
      <c r="N705" s="1752" t="str">
        <f t="shared" si="10"/>
        <v>C390</v>
      </c>
      <c r="O705" s="1752" t="s">
        <v>99</v>
      </c>
      <c r="P705" s="1752" t="s">
        <v>2501</v>
      </c>
      <c r="Q705" s="761"/>
      <c r="R705" s="761"/>
      <c r="S705" s="761"/>
      <c r="T705" s="761"/>
      <c r="U705" s="761"/>
      <c r="V705" s="761"/>
      <c r="W705" s="761"/>
      <c r="X705" s="761"/>
      <c r="Y705" s="761"/>
      <c r="Z705" s="761"/>
      <c r="AA705" s="761"/>
      <c r="AB705" s="761"/>
      <c r="AC705" s="761"/>
      <c r="AD705" s="761"/>
      <c r="AE705" s="761"/>
      <c r="AF705" s="761"/>
      <c r="AG705" s="761"/>
      <c r="AH705" s="761"/>
      <c r="AI705" s="761"/>
      <c r="AJ705" s="761"/>
      <c r="AK705" s="761"/>
      <c r="AL705" s="761"/>
      <c r="AM705" s="761"/>
      <c r="AN705" s="761"/>
      <c r="AO705" s="761"/>
      <c r="AP705" s="761"/>
      <c r="AQ705" s="761"/>
      <c r="AR705" s="761"/>
      <c r="AS705" s="761"/>
      <c r="AT705" s="761"/>
      <c r="AU705" s="761"/>
      <c r="AV705" s="761"/>
      <c r="AW705" s="761"/>
      <c r="AX705" s="761"/>
      <c r="AY705" s="761"/>
      <c r="AZ705" s="761"/>
      <c r="BA705" s="761"/>
      <c r="BB705" s="761"/>
      <c r="BC705" s="761"/>
      <c r="BD705" s="761"/>
      <c r="BE705" s="761"/>
      <c r="BF705" s="761"/>
      <c r="BG705" s="761"/>
      <c r="BH705" s="761"/>
      <c r="BI705" s="761"/>
      <c r="BJ705" s="761"/>
      <c r="BK705" s="761"/>
      <c r="BL705" s="761"/>
      <c r="BM705" s="761"/>
    </row>
    <row r="706" spans="1:65" s="1720" customFormat="1">
      <c r="A706" s="762" t="s">
        <v>2339</v>
      </c>
      <c r="B706" s="762" t="s">
        <v>2340</v>
      </c>
      <c r="C706" s="762" t="s">
        <v>2509</v>
      </c>
      <c r="D706" s="762">
        <v>63116823</v>
      </c>
      <c r="E706" s="762" t="s">
        <v>2443</v>
      </c>
      <c r="F706" s="762">
        <v>143006581</v>
      </c>
      <c r="G706" s="762" t="s">
        <v>2570</v>
      </c>
      <c r="H706" s="762" t="s">
        <v>2570</v>
      </c>
      <c r="I706" s="762" t="s">
        <v>6867</v>
      </c>
      <c r="J706" s="762">
        <v>1</v>
      </c>
      <c r="K706" s="1911">
        <v>17268.39</v>
      </c>
      <c r="L706" s="1911">
        <v>489.90000000000003</v>
      </c>
      <c r="M706" s="1911">
        <v>16778.490000000002</v>
      </c>
      <c r="N706" s="1752" t="str">
        <f t="shared" ref="N706:N760" si="11">LEFT(E706,4)</f>
        <v>C390</v>
      </c>
      <c r="O706" s="1752" t="s">
        <v>99</v>
      </c>
      <c r="P706" s="1752" t="s">
        <v>2501</v>
      </c>
      <c r="Q706" s="761"/>
      <c r="R706" s="761"/>
      <c r="S706" s="761"/>
      <c r="T706" s="761"/>
      <c r="U706" s="761"/>
      <c r="V706" s="761"/>
      <c r="W706" s="761"/>
      <c r="X706" s="761"/>
      <c r="Y706" s="761"/>
      <c r="Z706" s="761"/>
      <c r="AA706" s="761"/>
      <c r="AB706" s="761"/>
      <c r="AC706" s="761"/>
      <c r="AD706" s="761"/>
      <c r="AE706" s="761"/>
      <c r="AF706" s="761"/>
      <c r="AG706" s="761"/>
      <c r="AH706" s="761"/>
      <c r="AI706" s="761"/>
      <c r="AJ706" s="761"/>
      <c r="AK706" s="761"/>
      <c r="AL706" s="761"/>
      <c r="AM706" s="761"/>
      <c r="AN706" s="761"/>
      <c r="AO706" s="761"/>
      <c r="AP706" s="761"/>
      <c r="AQ706" s="761"/>
      <c r="AR706" s="761"/>
      <c r="AS706" s="761"/>
      <c r="AT706" s="761"/>
      <c r="AU706" s="761"/>
      <c r="AV706" s="761"/>
      <c r="AW706" s="761"/>
      <c r="AX706" s="761"/>
      <c r="AY706" s="761"/>
      <c r="AZ706" s="761"/>
      <c r="BA706" s="761"/>
      <c r="BB706" s="761"/>
      <c r="BC706" s="761"/>
      <c r="BD706" s="761"/>
      <c r="BE706" s="761"/>
      <c r="BF706" s="761"/>
      <c r="BG706" s="761"/>
      <c r="BH706" s="761"/>
      <c r="BI706" s="761"/>
      <c r="BJ706" s="761"/>
      <c r="BK706" s="761"/>
      <c r="BL706" s="761"/>
      <c r="BM706" s="761"/>
    </row>
    <row r="707" spans="1:65" s="1720" customFormat="1">
      <c r="A707" s="762" t="s">
        <v>2339</v>
      </c>
      <c r="B707" s="762" t="s">
        <v>2340</v>
      </c>
      <c r="C707" s="762" t="s">
        <v>2490</v>
      </c>
      <c r="D707" s="762">
        <v>63116826</v>
      </c>
      <c r="E707" s="762" t="s">
        <v>2443</v>
      </c>
      <c r="F707" s="762">
        <v>143006582</v>
      </c>
      <c r="G707" s="762" t="s">
        <v>2571</v>
      </c>
      <c r="H707" s="762" t="s">
        <v>2571</v>
      </c>
      <c r="I707" s="762" t="s">
        <v>6867</v>
      </c>
      <c r="J707" s="762">
        <v>1</v>
      </c>
      <c r="K707" s="1911">
        <v>30538.95</v>
      </c>
      <c r="L707" s="1911">
        <v>866.38</v>
      </c>
      <c r="M707" s="1911">
        <v>29672.57</v>
      </c>
      <c r="N707" s="1752" t="str">
        <f t="shared" si="11"/>
        <v>C390</v>
      </c>
      <c r="O707" s="1752" t="s">
        <v>99</v>
      </c>
      <c r="P707" s="1752" t="s">
        <v>2501</v>
      </c>
      <c r="Q707" s="761"/>
      <c r="R707" s="761"/>
      <c r="S707" s="761"/>
      <c r="T707" s="761"/>
      <c r="U707" s="761"/>
      <c r="V707" s="761"/>
      <c r="W707" s="761"/>
      <c r="X707" s="761"/>
      <c r="Y707" s="761"/>
      <c r="Z707" s="761"/>
      <c r="AA707" s="761"/>
      <c r="AB707" s="761"/>
      <c r="AC707" s="761"/>
      <c r="AD707" s="761"/>
      <c r="AE707" s="761"/>
      <c r="AF707" s="761"/>
      <c r="AG707" s="761"/>
      <c r="AH707" s="761"/>
      <c r="AI707" s="761"/>
      <c r="AJ707" s="761"/>
      <c r="AK707" s="761"/>
      <c r="AL707" s="761"/>
      <c r="AM707" s="761"/>
      <c r="AN707" s="761"/>
      <c r="AO707" s="761"/>
      <c r="AP707" s="761"/>
      <c r="AQ707" s="761"/>
      <c r="AR707" s="761"/>
      <c r="AS707" s="761"/>
      <c r="AT707" s="761"/>
      <c r="AU707" s="761"/>
      <c r="AV707" s="761"/>
      <c r="AW707" s="761"/>
      <c r="AX707" s="761"/>
      <c r="AY707" s="761"/>
      <c r="AZ707" s="761"/>
      <c r="BA707" s="761"/>
      <c r="BB707" s="761"/>
      <c r="BC707" s="761"/>
      <c r="BD707" s="761"/>
      <c r="BE707" s="761"/>
      <c r="BF707" s="761"/>
      <c r="BG707" s="761"/>
      <c r="BH707" s="761"/>
      <c r="BI707" s="761"/>
      <c r="BJ707" s="761"/>
      <c r="BK707" s="761"/>
      <c r="BL707" s="761"/>
      <c r="BM707" s="761"/>
    </row>
    <row r="708" spans="1:65" s="1720" customFormat="1">
      <c r="A708" s="762" t="s">
        <v>2339</v>
      </c>
      <c r="B708" s="762" t="s">
        <v>2340</v>
      </c>
      <c r="C708" s="762" t="s">
        <v>2490</v>
      </c>
      <c r="D708" s="762">
        <v>63116829</v>
      </c>
      <c r="E708" s="762" t="s">
        <v>2443</v>
      </c>
      <c r="F708" s="762">
        <v>143006583</v>
      </c>
      <c r="G708" s="762" t="s">
        <v>2572</v>
      </c>
      <c r="H708" s="762" t="s">
        <v>2572</v>
      </c>
      <c r="I708" s="762" t="s">
        <v>6867</v>
      </c>
      <c r="J708" s="762">
        <v>1</v>
      </c>
      <c r="K708" s="1911">
        <v>4019.4</v>
      </c>
      <c r="L708" s="1911">
        <v>114.03</v>
      </c>
      <c r="M708" s="1911">
        <v>3905.37</v>
      </c>
      <c r="N708" s="1752" t="str">
        <f t="shared" si="11"/>
        <v>C390</v>
      </c>
      <c r="O708" s="1752" t="s">
        <v>99</v>
      </c>
      <c r="P708" s="1752" t="s">
        <v>2501</v>
      </c>
      <c r="Q708" s="761"/>
      <c r="R708" s="761"/>
      <c r="S708" s="761"/>
      <c r="T708" s="761"/>
      <c r="U708" s="761"/>
      <c r="V708" s="761"/>
      <c r="W708" s="761"/>
      <c r="X708" s="761"/>
      <c r="Y708" s="761"/>
      <c r="Z708" s="761"/>
      <c r="AA708" s="761"/>
      <c r="AB708" s="761"/>
      <c r="AC708" s="761"/>
      <c r="AD708" s="761"/>
      <c r="AE708" s="761"/>
      <c r="AF708" s="761"/>
      <c r="AG708" s="761"/>
      <c r="AH708" s="761"/>
      <c r="AI708" s="761"/>
      <c r="AJ708" s="761"/>
      <c r="AK708" s="761"/>
      <c r="AL708" s="761"/>
      <c r="AM708" s="761"/>
      <c r="AN708" s="761"/>
      <c r="AO708" s="761"/>
      <c r="AP708" s="761"/>
      <c r="AQ708" s="761"/>
      <c r="AR708" s="761"/>
      <c r="AS708" s="761"/>
      <c r="AT708" s="761"/>
      <c r="AU708" s="761"/>
      <c r="AV708" s="761"/>
      <c r="AW708" s="761"/>
      <c r="AX708" s="761"/>
      <c r="AY708" s="761"/>
      <c r="AZ708" s="761"/>
      <c r="BA708" s="761"/>
      <c r="BB708" s="761"/>
      <c r="BC708" s="761"/>
      <c r="BD708" s="761"/>
      <c r="BE708" s="761"/>
      <c r="BF708" s="761"/>
      <c r="BG708" s="761"/>
      <c r="BH708" s="761"/>
      <c r="BI708" s="761"/>
      <c r="BJ708" s="761"/>
      <c r="BK708" s="761"/>
      <c r="BL708" s="761"/>
      <c r="BM708" s="761"/>
    </row>
    <row r="709" spans="1:65" s="1720" customFormat="1">
      <c r="A709" s="762" t="s">
        <v>2339</v>
      </c>
      <c r="B709" s="762" t="s">
        <v>2340</v>
      </c>
      <c r="C709" s="762" t="s">
        <v>2490</v>
      </c>
      <c r="D709" s="762">
        <v>63116832</v>
      </c>
      <c r="E709" s="762" t="s">
        <v>2443</v>
      </c>
      <c r="F709" s="762">
        <v>143006584</v>
      </c>
      <c r="G709" s="762" t="s">
        <v>2573</v>
      </c>
      <c r="H709" s="762" t="s">
        <v>2573</v>
      </c>
      <c r="I709" s="762" t="s">
        <v>6867</v>
      </c>
      <c r="J709" s="762">
        <v>1</v>
      </c>
      <c r="K709" s="1911">
        <v>19167.59</v>
      </c>
      <c r="L709" s="1911">
        <v>543.78</v>
      </c>
      <c r="M709" s="1911">
        <v>18623.810000000001</v>
      </c>
      <c r="N709" s="1752" t="str">
        <f t="shared" si="11"/>
        <v>C390</v>
      </c>
      <c r="O709" s="1752" t="s">
        <v>99</v>
      </c>
      <c r="P709" s="1752" t="s">
        <v>2501</v>
      </c>
      <c r="Q709" s="761"/>
      <c r="R709" s="761"/>
      <c r="S709" s="761"/>
      <c r="T709" s="761"/>
      <c r="U709" s="761"/>
      <c r="V709" s="761"/>
      <c r="W709" s="761"/>
      <c r="X709" s="761"/>
      <c r="Y709" s="761"/>
      <c r="Z709" s="761"/>
      <c r="AA709" s="761"/>
      <c r="AB709" s="761"/>
      <c r="AC709" s="761"/>
      <c r="AD709" s="761"/>
      <c r="AE709" s="761"/>
      <c r="AF709" s="761"/>
      <c r="AG709" s="761"/>
      <c r="AH709" s="761"/>
      <c r="AI709" s="761"/>
      <c r="AJ709" s="761"/>
      <c r="AK709" s="761"/>
      <c r="AL709" s="761"/>
      <c r="AM709" s="761"/>
      <c r="AN709" s="761"/>
      <c r="AO709" s="761"/>
      <c r="AP709" s="761"/>
      <c r="AQ709" s="761"/>
      <c r="AR709" s="761"/>
      <c r="AS709" s="761"/>
      <c r="AT709" s="761"/>
      <c r="AU709" s="761"/>
      <c r="AV709" s="761"/>
      <c r="AW709" s="761"/>
      <c r="AX709" s="761"/>
      <c r="AY709" s="761"/>
      <c r="AZ709" s="761"/>
      <c r="BA709" s="761"/>
      <c r="BB709" s="761"/>
      <c r="BC709" s="761"/>
      <c r="BD709" s="761"/>
      <c r="BE709" s="761"/>
      <c r="BF709" s="761"/>
      <c r="BG709" s="761"/>
      <c r="BH709" s="761"/>
      <c r="BI709" s="761"/>
      <c r="BJ709" s="761"/>
      <c r="BK709" s="761"/>
      <c r="BL709" s="761"/>
      <c r="BM709" s="761"/>
    </row>
    <row r="710" spans="1:65" s="1720" customFormat="1">
      <c r="A710" s="762" t="s">
        <v>2339</v>
      </c>
      <c r="B710" s="762" t="s">
        <v>2340</v>
      </c>
      <c r="C710" s="762" t="s">
        <v>2490</v>
      </c>
      <c r="D710" s="762">
        <v>63116835</v>
      </c>
      <c r="E710" s="762" t="s">
        <v>2443</v>
      </c>
      <c r="F710" s="762">
        <v>143006585</v>
      </c>
      <c r="G710" s="762" t="s">
        <v>2574</v>
      </c>
      <c r="H710" s="762" t="s">
        <v>2574</v>
      </c>
      <c r="I710" s="762" t="s">
        <v>6867</v>
      </c>
      <c r="J710" s="762">
        <v>1</v>
      </c>
      <c r="K710" s="1911">
        <v>18778.240000000002</v>
      </c>
      <c r="L710" s="1911">
        <v>532.73</v>
      </c>
      <c r="M710" s="1911">
        <v>18245.510000000002</v>
      </c>
      <c r="N710" s="1752" t="str">
        <f t="shared" si="11"/>
        <v>C390</v>
      </c>
      <c r="O710" s="1752" t="s">
        <v>99</v>
      </c>
      <c r="P710" s="1752" t="s">
        <v>2501</v>
      </c>
      <c r="Q710" s="761"/>
      <c r="R710" s="761"/>
      <c r="S710" s="761"/>
      <c r="T710" s="761"/>
      <c r="U710" s="761"/>
      <c r="V710" s="761"/>
      <c r="W710" s="761"/>
      <c r="X710" s="761"/>
      <c r="Y710" s="761"/>
      <c r="Z710" s="761"/>
      <c r="AA710" s="761"/>
      <c r="AB710" s="761"/>
      <c r="AC710" s="761"/>
      <c r="AD710" s="761"/>
      <c r="AE710" s="761"/>
      <c r="AF710" s="761"/>
      <c r="AG710" s="761"/>
      <c r="AH710" s="761"/>
      <c r="AI710" s="761"/>
      <c r="AJ710" s="761"/>
      <c r="AK710" s="761"/>
      <c r="AL710" s="761"/>
      <c r="AM710" s="761"/>
      <c r="AN710" s="761"/>
      <c r="AO710" s="761"/>
      <c r="AP710" s="761"/>
      <c r="AQ710" s="761"/>
      <c r="AR710" s="761"/>
      <c r="AS710" s="761"/>
      <c r="AT710" s="761"/>
      <c r="AU710" s="761"/>
      <c r="AV710" s="761"/>
      <c r="AW710" s="761"/>
      <c r="AX710" s="761"/>
      <c r="AY710" s="761"/>
      <c r="AZ710" s="761"/>
      <c r="BA710" s="761"/>
      <c r="BB710" s="761"/>
      <c r="BC710" s="761"/>
      <c r="BD710" s="761"/>
      <c r="BE710" s="761"/>
      <c r="BF710" s="761"/>
      <c r="BG710" s="761"/>
      <c r="BH710" s="761"/>
      <c r="BI710" s="761"/>
      <c r="BJ710" s="761"/>
      <c r="BK710" s="761"/>
      <c r="BL710" s="761"/>
      <c r="BM710" s="761"/>
    </row>
    <row r="711" spans="1:65" s="1720" customFormat="1">
      <c r="A711" s="762" t="s">
        <v>2339</v>
      </c>
      <c r="B711" s="762" t="s">
        <v>2340</v>
      </c>
      <c r="C711" s="762" t="s">
        <v>2490</v>
      </c>
      <c r="D711" s="762">
        <v>63116838</v>
      </c>
      <c r="E711" s="762" t="s">
        <v>2443</v>
      </c>
      <c r="F711" s="762">
        <v>143006586</v>
      </c>
      <c r="G711" s="762" t="s">
        <v>2575</v>
      </c>
      <c r="H711" s="762" t="s">
        <v>2575</v>
      </c>
      <c r="I711" s="762" t="s">
        <v>6867</v>
      </c>
      <c r="J711" s="762">
        <v>1</v>
      </c>
      <c r="K711" s="1911">
        <v>21014.58</v>
      </c>
      <c r="L711" s="1911">
        <v>596.16999999999996</v>
      </c>
      <c r="M711" s="1911">
        <v>20418.41</v>
      </c>
      <c r="N711" s="1752" t="str">
        <f t="shared" si="11"/>
        <v>C390</v>
      </c>
      <c r="O711" s="1752" t="s">
        <v>99</v>
      </c>
      <c r="P711" s="1752" t="s">
        <v>2501</v>
      </c>
      <c r="Q711" s="761"/>
      <c r="R711" s="761"/>
      <c r="S711" s="761"/>
      <c r="T711" s="761"/>
      <c r="U711" s="761"/>
      <c r="V711" s="761"/>
      <c r="W711" s="761"/>
      <c r="X711" s="761"/>
      <c r="Y711" s="761"/>
      <c r="Z711" s="761"/>
      <c r="AA711" s="761"/>
      <c r="AB711" s="761"/>
      <c r="AC711" s="761"/>
      <c r="AD711" s="761"/>
      <c r="AE711" s="761"/>
      <c r="AF711" s="761"/>
      <c r="AG711" s="761"/>
      <c r="AH711" s="761"/>
      <c r="AI711" s="761"/>
      <c r="AJ711" s="761"/>
      <c r="AK711" s="761"/>
      <c r="AL711" s="761"/>
      <c r="AM711" s="761"/>
      <c r="AN711" s="761"/>
      <c r="AO711" s="761"/>
      <c r="AP711" s="761"/>
      <c r="AQ711" s="761"/>
      <c r="AR711" s="761"/>
      <c r="AS711" s="761"/>
      <c r="AT711" s="761"/>
      <c r="AU711" s="761"/>
      <c r="AV711" s="761"/>
      <c r="AW711" s="761"/>
      <c r="AX711" s="761"/>
      <c r="AY711" s="761"/>
      <c r="AZ711" s="761"/>
      <c r="BA711" s="761"/>
      <c r="BB711" s="761"/>
      <c r="BC711" s="761"/>
      <c r="BD711" s="761"/>
      <c r="BE711" s="761"/>
      <c r="BF711" s="761"/>
      <c r="BG711" s="761"/>
      <c r="BH711" s="761"/>
      <c r="BI711" s="761"/>
      <c r="BJ711" s="761"/>
      <c r="BK711" s="761"/>
      <c r="BL711" s="761"/>
      <c r="BM711" s="761"/>
    </row>
    <row r="712" spans="1:65" s="1720" customFormat="1">
      <c r="A712" s="762" t="s">
        <v>2339</v>
      </c>
      <c r="B712" s="762" t="s">
        <v>2340</v>
      </c>
      <c r="C712" s="762" t="s">
        <v>2490</v>
      </c>
      <c r="D712" s="762">
        <v>63116841</v>
      </c>
      <c r="E712" s="762" t="s">
        <v>2443</v>
      </c>
      <c r="F712" s="762">
        <v>143006587</v>
      </c>
      <c r="G712" s="762" t="s">
        <v>2576</v>
      </c>
      <c r="H712" s="762" t="s">
        <v>2576</v>
      </c>
      <c r="I712" s="762" t="s">
        <v>6867</v>
      </c>
      <c r="J712" s="762">
        <v>1</v>
      </c>
      <c r="K712" s="1911">
        <v>6756.9800000000005</v>
      </c>
      <c r="L712" s="1911">
        <v>191.69</v>
      </c>
      <c r="M712" s="1911">
        <v>6565.29</v>
      </c>
      <c r="N712" s="1752" t="str">
        <f t="shared" si="11"/>
        <v>C390</v>
      </c>
      <c r="O712" s="1752" t="s">
        <v>99</v>
      </c>
      <c r="P712" s="1752" t="s">
        <v>2501</v>
      </c>
      <c r="Q712" s="761"/>
      <c r="R712" s="761"/>
      <c r="S712" s="761"/>
      <c r="T712" s="761"/>
      <c r="U712" s="761"/>
      <c r="V712" s="761"/>
      <c r="W712" s="761"/>
      <c r="X712" s="761"/>
      <c r="Y712" s="761"/>
      <c r="Z712" s="761"/>
      <c r="AA712" s="761"/>
      <c r="AB712" s="761"/>
      <c r="AC712" s="761"/>
      <c r="AD712" s="761"/>
      <c r="AE712" s="761"/>
      <c r="AF712" s="761"/>
      <c r="AG712" s="761"/>
      <c r="AH712" s="761"/>
      <c r="AI712" s="761"/>
      <c r="AJ712" s="761"/>
      <c r="AK712" s="761"/>
      <c r="AL712" s="761"/>
      <c r="AM712" s="761"/>
      <c r="AN712" s="761"/>
      <c r="AO712" s="761"/>
      <c r="AP712" s="761"/>
      <c r="AQ712" s="761"/>
      <c r="AR712" s="761"/>
      <c r="AS712" s="761"/>
      <c r="AT712" s="761"/>
      <c r="AU712" s="761"/>
      <c r="AV712" s="761"/>
      <c r="AW712" s="761"/>
      <c r="AX712" s="761"/>
      <c r="AY712" s="761"/>
      <c r="AZ712" s="761"/>
      <c r="BA712" s="761"/>
      <c r="BB712" s="761"/>
      <c r="BC712" s="761"/>
      <c r="BD712" s="761"/>
      <c r="BE712" s="761"/>
      <c r="BF712" s="761"/>
      <c r="BG712" s="761"/>
      <c r="BH712" s="761"/>
      <c r="BI712" s="761"/>
      <c r="BJ712" s="761"/>
      <c r="BK712" s="761"/>
      <c r="BL712" s="761"/>
      <c r="BM712" s="761"/>
    </row>
    <row r="713" spans="1:65" s="1720" customFormat="1">
      <c r="A713" s="762" t="s">
        <v>2339</v>
      </c>
      <c r="B713" s="762" t="s">
        <v>2340</v>
      </c>
      <c r="C713" s="762" t="s">
        <v>2490</v>
      </c>
      <c r="D713" s="762">
        <v>63116844</v>
      </c>
      <c r="E713" s="762" t="s">
        <v>2443</v>
      </c>
      <c r="F713" s="762">
        <v>143006588</v>
      </c>
      <c r="G713" s="762" t="s">
        <v>2577</v>
      </c>
      <c r="H713" s="762" t="s">
        <v>2577</v>
      </c>
      <c r="I713" s="762" t="s">
        <v>6867</v>
      </c>
      <c r="J713" s="762">
        <v>1</v>
      </c>
      <c r="K713" s="1911">
        <v>35640.18</v>
      </c>
      <c r="L713" s="1911">
        <v>1011.1</v>
      </c>
      <c r="M713" s="1911">
        <v>34629.08</v>
      </c>
      <c r="N713" s="1752" t="str">
        <f t="shared" si="11"/>
        <v>C390</v>
      </c>
      <c r="O713" s="1752" t="s">
        <v>99</v>
      </c>
      <c r="P713" s="1752" t="s">
        <v>2501</v>
      </c>
      <c r="Q713" s="761"/>
      <c r="R713" s="761"/>
      <c r="S713" s="761"/>
      <c r="T713" s="761"/>
      <c r="U713" s="761"/>
      <c r="V713" s="761"/>
      <c r="W713" s="761"/>
      <c r="X713" s="761"/>
      <c r="Y713" s="761"/>
      <c r="Z713" s="761"/>
      <c r="AA713" s="761"/>
      <c r="AB713" s="761"/>
      <c r="AC713" s="761"/>
      <c r="AD713" s="761"/>
      <c r="AE713" s="761"/>
      <c r="AF713" s="761"/>
      <c r="AG713" s="761"/>
      <c r="AH713" s="761"/>
      <c r="AI713" s="761"/>
      <c r="AJ713" s="761"/>
      <c r="AK713" s="761"/>
      <c r="AL713" s="761"/>
      <c r="AM713" s="761"/>
      <c r="AN713" s="761"/>
      <c r="AO713" s="761"/>
      <c r="AP713" s="761"/>
      <c r="AQ713" s="761"/>
      <c r="AR713" s="761"/>
      <c r="AS713" s="761"/>
      <c r="AT713" s="761"/>
      <c r="AU713" s="761"/>
      <c r="AV713" s="761"/>
      <c r="AW713" s="761"/>
      <c r="AX713" s="761"/>
      <c r="AY713" s="761"/>
      <c r="AZ713" s="761"/>
      <c r="BA713" s="761"/>
      <c r="BB713" s="761"/>
      <c r="BC713" s="761"/>
      <c r="BD713" s="761"/>
      <c r="BE713" s="761"/>
      <c r="BF713" s="761"/>
      <c r="BG713" s="761"/>
      <c r="BH713" s="761"/>
      <c r="BI713" s="761"/>
      <c r="BJ713" s="761"/>
      <c r="BK713" s="761"/>
      <c r="BL713" s="761"/>
      <c r="BM713" s="761"/>
    </row>
    <row r="714" spans="1:65" s="1720" customFormat="1">
      <c r="A714" s="762" t="s">
        <v>2339</v>
      </c>
      <c r="B714" s="762" t="s">
        <v>2340</v>
      </c>
      <c r="C714" s="762" t="s">
        <v>2517</v>
      </c>
      <c r="D714" s="762">
        <v>63116847</v>
      </c>
      <c r="E714" s="762" t="s">
        <v>2443</v>
      </c>
      <c r="F714" s="762">
        <v>143006589</v>
      </c>
      <c r="G714" s="762" t="s">
        <v>2578</v>
      </c>
      <c r="H714" s="762" t="s">
        <v>2578</v>
      </c>
      <c r="I714" s="762" t="s">
        <v>6867</v>
      </c>
      <c r="J714" s="762">
        <v>1</v>
      </c>
      <c r="K714" s="1911">
        <v>17051.240000000002</v>
      </c>
      <c r="L714" s="1911">
        <v>483.74</v>
      </c>
      <c r="M714" s="1911">
        <v>16567.5</v>
      </c>
      <c r="N714" s="1752" t="str">
        <f t="shared" si="11"/>
        <v>C390</v>
      </c>
      <c r="O714" s="1752" t="s">
        <v>99</v>
      </c>
      <c r="P714" s="1752" t="s">
        <v>2501</v>
      </c>
      <c r="Q714" s="761"/>
      <c r="R714" s="761"/>
      <c r="S714" s="761"/>
      <c r="T714" s="761"/>
      <c r="U714" s="761"/>
      <c r="V714" s="761"/>
      <c r="W714" s="761"/>
      <c r="X714" s="761"/>
      <c r="Y714" s="761"/>
      <c r="Z714" s="761"/>
      <c r="AA714" s="761"/>
      <c r="AB714" s="761"/>
      <c r="AC714" s="761"/>
      <c r="AD714" s="761"/>
      <c r="AE714" s="761"/>
      <c r="AF714" s="761"/>
      <c r="AG714" s="761"/>
      <c r="AH714" s="761"/>
      <c r="AI714" s="761"/>
      <c r="AJ714" s="761"/>
      <c r="AK714" s="761"/>
      <c r="AL714" s="761"/>
      <c r="AM714" s="761"/>
      <c r="AN714" s="761"/>
      <c r="AO714" s="761"/>
      <c r="AP714" s="761"/>
      <c r="AQ714" s="761"/>
      <c r="AR714" s="761"/>
      <c r="AS714" s="761"/>
      <c r="AT714" s="761"/>
      <c r="AU714" s="761"/>
      <c r="AV714" s="761"/>
      <c r="AW714" s="761"/>
      <c r="AX714" s="761"/>
      <c r="AY714" s="761"/>
      <c r="AZ714" s="761"/>
      <c r="BA714" s="761"/>
      <c r="BB714" s="761"/>
      <c r="BC714" s="761"/>
      <c r="BD714" s="761"/>
      <c r="BE714" s="761"/>
      <c r="BF714" s="761"/>
      <c r="BG714" s="761"/>
      <c r="BH714" s="761"/>
      <c r="BI714" s="761"/>
      <c r="BJ714" s="761"/>
      <c r="BK714" s="761"/>
      <c r="BL714" s="761"/>
      <c r="BM714" s="761"/>
    </row>
    <row r="715" spans="1:65" s="1720" customFormat="1">
      <c r="A715" s="762" t="s">
        <v>2339</v>
      </c>
      <c r="B715" s="762" t="s">
        <v>2340</v>
      </c>
      <c r="C715" s="762" t="s">
        <v>2517</v>
      </c>
      <c r="D715" s="762">
        <v>63116850</v>
      </c>
      <c r="E715" s="762" t="s">
        <v>2443</v>
      </c>
      <c r="F715" s="762">
        <v>143006590</v>
      </c>
      <c r="G715" s="762" t="s">
        <v>2579</v>
      </c>
      <c r="H715" s="762" t="s">
        <v>2579</v>
      </c>
      <c r="I715" s="762" t="s">
        <v>6867</v>
      </c>
      <c r="J715" s="762">
        <v>1</v>
      </c>
      <c r="K715" s="1911">
        <v>34121.699999999997</v>
      </c>
      <c r="L715" s="1911">
        <v>968.02</v>
      </c>
      <c r="M715" s="1911">
        <v>33153.68</v>
      </c>
      <c r="N715" s="1752" t="str">
        <f t="shared" si="11"/>
        <v>C390</v>
      </c>
      <c r="O715" s="1752" t="s">
        <v>99</v>
      </c>
      <c r="P715" s="1752" t="s">
        <v>2501</v>
      </c>
      <c r="Q715" s="761"/>
      <c r="R715" s="761"/>
      <c r="S715" s="761"/>
      <c r="T715" s="761"/>
      <c r="U715" s="761"/>
      <c r="V715" s="761"/>
      <c r="W715" s="761"/>
      <c r="X715" s="761"/>
      <c r="Y715" s="761"/>
      <c r="Z715" s="761"/>
      <c r="AA715" s="761"/>
      <c r="AB715" s="761"/>
      <c r="AC715" s="761"/>
      <c r="AD715" s="761"/>
      <c r="AE715" s="761"/>
      <c r="AF715" s="761"/>
      <c r="AG715" s="761"/>
      <c r="AH715" s="761"/>
      <c r="AI715" s="761"/>
      <c r="AJ715" s="761"/>
      <c r="AK715" s="761"/>
      <c r="AL715" s="761"/>
      <c r="AM715" s="761"/>
      <c r="AN715" s="761"/>
      <c r="AO715" s="761"/>
      <c r="AP715" s="761"/>
      <c r="AQ715" s="761"/>
      <c r="AR715" s="761"/>
      <c r="AS715" s="761"/>
      <c r="AT715" s="761"/>
      <c r="AU715" s="761"/>
      <c r="AV715" s="761"/>
      <c r="AW715" s="761"/>
      <c r="AX715" s="761"/>
      <c r="AY715" s="761"/>
      <c r="AZ715" s="761"/>
      <c r="BA715" s="761"/>
      <c r="BB715" s="761"/>
      <c r="BC715" s="761"/>
      <c r="BD715" s="761"/>
      <c r="BE715" s="761"/>
      <c r="BF715" s="761"/>
      <c r="BG715" s="761"/>
      <c r="BH715" s="761"/>
      <c r="BI715" s="761"/>
      <c r="BJ715" s="761"/>
      <c r="BK715" s="761"/>
      <c r="BL715" s="761"/>
      <c r="BM715" s="761"/>
    </row>
    <row r="716" spans="1:65" s="1720" customFormat="1">
      <c r="A716" s="762" t="s">
        <v>2339</v>
      </c>
      <c r="B716" s="762" t="s">
        <v>2340</v>
      </c>
      <c r="C716" s="762" t="s">
        <v>2517</v>
      </c>
      <c r="D716" s="762">
        <v>63116853</v>
      </c>
      <c r="E716" s="762" t="s">
        <v>2443</v>
      </c>
      <c r="F716" s="762">
        <v>143006591</v>
      </c>
      <c r="G716" s="762" t="s">
        <v>2580</v>
      </c>
      <c r="H716" s="762" t="s">
        <v>2580</v>
      </c>
      <c r="I716" s="762" t="s">
        <v>6867</v>
      </c>
      <c r="J716" s="762">
        <v>1</v>
      </c>
      <c r="K716" s="1911">
        <v>22427.27</v>
      </c>
      <c r="L716" s="1911">
        <v>636.25</v>
      </c>
      <c r="M716" s="1911">
        <v>21791.02</v>
      </c>
      <c r="N716" s="1752" t="str">
        <f t="shared" si="11"/>
        <v>C390</v>
      </c>
      <c r="O716" s="1752" t="s">
        <v>99</v>
      </c>
      <c r="P716" s="1752" t="s">
        <v>2501</v>
      </c>
      <c r="Q716" s="761"/>
      <c r="R716" s="761"/>
      <c r="S716" s="761"/>
      <c r="T716" s="761"/>
      <c r="U716" s="761"/>
      <c r="V716" s="761"/>
      <c r="W716" s="761"/>
      <c r="X716" s="761"/>
      <c r="Y716" s="761"/>
      <c r="Z716" s="761"/>
      <c r="AA716" s="761"/>
      <c r="AB716" s="761"/>
      <c r="AC716" s="761"/>
      <c r="AD716" s="761"/>
      <c r="AE716" s="761"/>
      <c r="AF716" s="761"/>
      <c r="AG716" s="761"/>
      <c r="AH716" s="761"/>
      <c r="AI716" s="761"/>
      <c r="AJ716" s="761"/>
      <c r="AK716" s="761"/>
      <c r="AL716" s="761"/>
      <c r="AM716" s="761"/>
      <c r="AN716" s="761"/>
      <c r="AO716" s="761"/>
      <c r="AP716" s="761"/>
      <c r="AQ716" s="761"/>
      <c r="AR716" s="761"/>
      <c r="AS716" s="761"/>
      <c r="AT716" s="761"/>
      <c r="AU716" s="761"/>
      <c r="AV716" s="761"/>
      <c r="AW716" s="761"/>
      <c r="AX716" s="761"/>
      <c r="AY716" s="761"/>
      <c r="AZ716" s="761"/>
      <c r="BA716" s="761"/>
      <c r="BB716" s="761"/>
      <c r="BC716" s="761"/>
      <c r="BD716" s="761"/>
      <c r="BE716" s="761"/>
      <c r="BF716" s="761"/>
      <c r="BG716" s="761"/>
      <c r="BH716" s="761"/>
      <c r="BI716" s="761"/>
      <c r="BJ716" s="761"/>
      <c r="BK716" s="761"/>
      <c r="BL716" s="761"/>
      <c r="BM716" s="761"/>
    </row>
    <row r="717" spans="1:65" s="1720" customFormat="1">
      <c r="A717" s="762" t="s">
        <v>2339</v>
      </c>
      <c r="B717" s="762" t="s">
        <v>2340</v>
      </c>
      <c r="C717" s="762" t="s">
        <v>2512</v>
      </c>
      <c r="D717" s="762">
        <v>63116856</v>
      </c>
      <c r="E717" s="762" t="s">
        <v>2443</v>
      </c>
      <c r="F717" s="762">
        <v>143006592</v>
      </c>
      <c r="G717" s="762" t="s">
        <v>2581</v>
      </c>
      <c r="H717" s="762" t="s">
        <v>2581</v>
      </c>
      <c r="I717" s="762" t="s">
        <v>6867</v>
      </c>
      <c r="J717" s="762">
        <v>1</v>
      </c>
      <c r="K717" s="1911">
        <v>17000.010000000002</v>
      </c>
      <c r="L717" s="1911">
        <v>482.28000000000003</v>
      </c>
      <c r="M717" s="1911">
        <v>16517.73</v>
      </c>
      <c r="N717" s="1752" t="str">
        <f t="shared" si="11"/>
        <v>C390</v>
      </c>
      <c r="O717" s="1752" t="s">
        <v>99</v>
      </c>
      <c r="P717" s="1752" t="s">
        <v>2501</v>
      </c>
      <c r="Q717" s="761"/>
      <c r="R717" s="761"/>
      <c r="S717" s="761"/>
      <c r="T717" s="761"/>
      <c r="U717" s="761"/>
      <c r="V717" s="761"/>
      <c r="W717" s="761"/>
      <c r="X717" s="761"/>
      <c r="Y717" s="761"/>
      <c r="Z717" s="761"/>
      <c r="AA717" s="761"/>
      <c r="AB717" s="761"/>
      <c r="AC717" s="761"/>
      <c r="AD717" s="761"/>
      <c r="AE717" s="761"/>
      <c r="AF717" s="761"/>
      <c r="AG717" s="761"/>
      <c r="AH717" s="761"/>
      <c r="AI717" s="761"/>
      <c r="AJ717" s="761"/>
      <c r="AK717" s="761"/>
      <c r="AL717" s="761"/>
      <c r="AM717" s="761"/>
      <c r="AN717" s="761"/>
      <c r="AO717" s="761"/>
      <c r="AP717" s="761"/>
      <c r="AQ717" s="761"/>
      <c r="AR717" s="761"/>
      <c r="AS717" s="761"/>
      <c r="AT717" s="761"/>
      <c r="AU717" s="761"/>
      <c r="AV717" s="761"/>
      <c r="AW717" s="761"/>
      <c r="AX717" s="761"/>
      <c r="AY717" s="761"/>
      <c r="AZ717" s="761"/>
      <c r="BA717" s="761"/>
      <c r="BB717" s="761"/>
      <c r="BC717" s="761"/>
      <c r="BD717" s="761"/>
      <c r="BE717" s="761"/>
      <c r="BF717" s="761"/>
      <c r="BG717" s="761"/>
      <c r="BH717" s="761"/>
      <c r="BI717" s="761"/>
      <c r="BJ717" s="761"/>
      <c r="BK717" s="761"/>
      <c r="BL717" s="761"/>
      <c r="BM717" s="761"/>
    </row>
    <row r="718" spans="1:65" s="1720" customFormat="1">
      <c r="A718" s="762" t="s">
        <v>2339</v>
      </c>
      <c r="B718" s="762" t="s">
        <v>2340</v>
      </c>
      <c r="C718" s="762" t="s">
        <v>2582</v>
      </c>
      <c r="D718" s="762">
        <v>63116859</v>
      </c>
      <c r="E718" s="762" t="s">
        <v>2443</v>
      </c>
      <c r="F718" s="762">
        <v>143006593</v>
      </c>
      <c r="G718" s="762" t="s">
        <v>2583</v>
      </c>
      <c r="H718" s="762" t="s">
        <v>2583</v>
      </c>
      <c r="I718" s="762" t="s">
        <v>6867</v>
      </c>
      <c r="J718" s="762">
        <v>1</v>
      </c>
      <c r="K718" s="1911">
        <v>21494.600000000002</v>
      </c>
      <c r="L718" s="1911">
        <v>609.79</v>
      </c>
      <c r="M718" s="1911">
        <v>20884.810000000001</v>
      </c>
      <c r="N718" s="1752" t="str">
        <f t="shared" si="11"/>
        <v>C390</v>
      </c>
      <c r="O718" s="1752" t="s">
        <v>99</v>
      </c>
      <c r="P718" s="1752" t="s">
        <v>2501</v>
      </c>
      <c r="Q718" s="761"/>
      <c r="R718" s="761"/>
      <c r="S718" s="761"/>
      <c r="T718" s="761"/>
      <c r="U718" s="761"/>
      <c r="V718" s="761"/>
      <c r="W718" s="761"/>
      <c r="X718" s="761"/>
      <c r="Y718" s="761"/>
      <c r="Z718" s="761"/>
      <c r="AA718" s="761"/>
      <c r="AB718" s="761"/>
      <c r="AC718" s="761"/>
      <c r="AD718" s="761"/>
      <c r="AE718" s="761"/>
      <c r="AF718" s="761"/>
      <c r="AG718" s="761"/>
      <c r="AH718" s="761"/>
      <c r="AI718" s="761"/>
      <c r="AJ718" s="761"/>
      <c r="AK718" s="761"/>
      <c r="AL718" s="761"/>
      <c r="AM718" s="761"/>
      <c r="AN718" s="761"/>
      <c r="AO718" s="761"/>
      <c r="AP718" s="761"/>
      <c r="AQ718" s="761"/>
      <c r="AR718" s="761"/>
      <c r="AS718" s="761"/>
      <c r="AT718" s="761"/>
      <c r="AU718" s="761"/>
      <c r="AV718" s="761"/>
      <c r="AW718" s="761"/>
      <c r="AX718" s="761"/>
      <c r="AY718" s="761"/>
      <c r="AZ718" s="761"/>
      <c r="BA718" s="761"/>
      <c r="BB718" s="761"/>
      <c r="BC718" s="761"/>
      <c r="BD718" s="761"/>
      <c r="BE718" s="761"/>
      <c r="BF718" s="761"/>
      <c r="BG718" s="761"/>
      <c r="BH718" s="761"/>
      <c r="BI718" s="761"/>
      <c r="BJ718" s="761"/>
      <c r="BK718" s="761"/>
      <c r="BL718" s="761"/>
      <c r="BM718" s="761"/>
    </row>
    <row r="719" spans="1:65" s="1720" customFormat="1">
      <c r="A719" s="762" t="s">
        <v>2339</v>
      </c>
      <c r="B719" s="762" t="s">
        <v>2340</v>
      </c>
      <c r="C719" s="762" t="s">
        <v>2512</v>
      </c>
      <c r="D719" s="762">
        <v>63116862</v>
      </c>
      <c r="E719" s="762" t="s">
        <v>2443</v>
      </c>
      <c r="F719" s="762">
        <v>143006594</v>
      </c>
      <c r="G719" s="762" t="s">
        <v>2584</v>
      </c>
      <c r="H719" s="762" t="s">
        <v>2584</v>
      </c>
      <c r="I719" s="762" t="s">
        <v>6867</v>
      </c>
      <c r="J719" s="762">
        <v>1</v>
      </c>
      <c r="K719" s="1911">
        <v>24965.23</v>
      </c>
      <c r="L719" s="1911">
        <v>708.25</v>
      </c>
      <c r="M719" s="1911">
        <v>24256.98</v>
      </c>
      <c r="N719" s="1752" t="str">
        <f t="shared" si="11"/>
        <v>C390</v>
      </c>
      <c r="O719" s="1752" t="s">
        <v>99</v>
      </c>
      <c r="P719" s="1752" t="s">
        <v>2501</v>
      </c>
      <c r="Q719" s="761"/>
      <c r="R719" s="761"/>
      <c r="S719" s="761"/>
      <c r="T719" s="761"/>
      <c r="U719" s="761"/>
      <c r="V719" s="761"/>
      <c r="W719" s="761"/>
      <c r="X719" s="761"/>
      <c r="Y719" s="761"/>
      <c r="Z719" s="761"/>
      <c r="AA719" s="761"/>
      <c r="AB719" s="761"/>
      <c r="AC719" s="761"/>
      <c r="AD719" s="761"/>
      <c r="AE719" s="761"/>
      <c r="AF719" s="761"/>
      <c r="AG719" s="761"/>
      <c r="AH719" s="761"/>
      <c r="AI719" s="761"/>
      <c r="AJ719" s="761"/>
      <c r="AK719" s="761"/>
      <c r="AL719" s="761"/>
      <c r="AM719" s="761"/>
      <c r="AN719" s="761"/>
      <c r="AO719" s="761"/>
      <c r="AP719" s="761"/>
      <c r="AQ719" s="761"/>
      <c r="AR719" s="761"/>
      <c r="AS719" s="761"/>
      <c r="AT719" s="761"/>
      <c r="AU719" s="761"/>
      <c r="AV719" s="761"/>
      <c r="AW719" s="761"/>
      <c r="AX719" s="761"/>
      <c r="AY719" s="761"/>
      <c r="AZ719" s="761"/>
      <c r="BA719" s="761"/>
      <c r="BB719" s="761"/>
      <c r="BC719" s="761"/>
      <c r="BD719" s="761"/>
      <c r="BE719" s="761"/>
      <c r="BF719" s="761"/>
      <c r="BG719" s="761"/>
      <c r="BH719" s="761"/>
      <c r="BI719" s="761"/>
      <c r="BJ719" s="761"/>
      <c r="BK719" s="761"/>
      <c r="BL719" s="761"/>
      <c r="BM719" s="761"/>
    </row>
    <row r="720" spans="1:65" s="1720" customFormat="1">
      <c r="A720" s="762" t="s">
        <v>2339</v>
      </c>
      <c r="B720" s="762" t="s">
        <v>2340</v>
      </c>
      <c r="C720" s="762" t="s">
        <v>2473</v>
      </c>
      <c r="D720" s="762">
        <v>63116865</v>
      </c>
      <c r="E720" s="762" t="s">
        <v>2443</v>
      </c>
      <c r="F720" s="762">
        <v>143006595</v>
      </c>
      <c r="G720" s="762" t="s">
        <v>2585</v>
      </c>
      <c r="H720" s="762" t="s">
        <v>2585</v>
      </c>
      <c r="I720" s="762" t="s">
        <v>6867</v>
      </c>
      <c r="J720" s="762">
        <v>1</v>
      </c>
      <c r="K720" s="1911">
        <v>2928.37</v>
      </c>
      <c r="L720" s="1911">
        <v>83.08</v>
      </c>
      <c r="M720" s="1911">
        <v>2845.29</v>
      </c>
      <c r="N720" s="1752" t="str">
        <f t="shared" si="11"/>
        <v>C390</v>
      </c>
      <c r="O720" s="1752" t="s">
        <v>99</v>
      </c>
      <c r="P720" s="1752" t="s">
        <v>2501</v>
      </c>
      <c r="Q720" s="761"/>
      <c r="R720" s="761"/>
      <c r="S720" s="761"/>
      <c r="T720" s="761"/>
      <c r="U720" s="761"/>
      <c r="V720" s="761"/>
      <c r="W720" s="761"/>
      <c r="X720" s="761"/>
      <c r="Y720" s="761"/>
      <c r="Z720" s="761"/>
      <c r="AA720" s="761"/>
      <c r="AB720" s="761"/>
      <c r="AC720" s="761"/>
      <c r="AD720" s="761"/>
      <c r="AE720" s="761"/>
      <c r="AF720" s="761"/>
      <c r="AG720" s="761"/>
      <c r="AH720" s="761"/>
      <c r="AI720" s="761"/>
      <c r="AJ720" s="761"/>
      <c r="AK720" s="761"/>
      <c r="AL720" s="761"/>
      <c r="AM720" s="761"/>
      <c r="AN720" s="761"/>
      <c r="AO720" s="761"/>
      <c r="AP720" s="761"/>
      <c r="AQ720" s="761"/>
      <c r="AR720" s="761"/>
      <c r="AS720" s="761"/>
      <c r="AT720" s="761"/>
      <c r="AU720" s="761"/>
      <c r="AV720" s="761"/>
      <c r="AW720" s="761"/>
      <c r="AX720" s="761"/>
      <c r="AY720" s="761"/>
      <c r="AZ720" s="761"/>
      <c r="BA720" s="761"/>
      <c r="BB720" s="761"/>
      <c r="BC720" s="761"/>
      <c r="BD720" s="761"/>
      <c r="BE720" s="761"/>
      <c r="BF720" s="761"/>
      <c r="BG720" s="761"/>
      <c r="BH720" s="761"/>
      <c r="BI720" s="761"/>
      <c r="BJ720" s="761"/>
      <c r="BK720" s="761"/>
      <c r="BL720" s="761"/>
      <c r="BM720" s="761"/>
    </row>
    <row r="721" spans="1:65" s="1720" customFormat="1">
      <c r="A721" s="762" t="s">
        <v>2339</v>
      </c>
      <c r="B721" s="762" t="s">
        <v>2340</v>
      </c>
      <c r="C721" s="762" t="s">
        <v>2509</v>
      </c>
      <c r="D721" s="762">
        <v>63116868</v>
      </c>
      <c r="E721" s="762" t="s">
        <v>2443</v>
      </c>
      <c r="F721" s="762">
        <v>143006597</v>
      </c>
      <c r="G721" s="762" t="s">
        <v>2586</v>
      </c>
      <c r="H721" s="762" t="s">
        <v>2586</v>
      </c>
      <c r="I721" s="762" t="s">
        <v>6867</v>
      </c>
      <c r="J721" s="762">
        <v>1</v>
      </c>
      <c r="K721" s="1911">
        <v>18399.580000000002</v>
      </c>
      <c r="L721" s="1911">
        <v>521.99</v>
      </c>
      <c r="M721" s="1911">
        <v>17877.59</v>
      </c>
      <c r="N721" s="1752" t="str">
        <f t="shared" si="11"/>
        <v>C390</v>
      </c>
      <c r="O721" s="1752" t="s">
        <v>99</v>
      </c>
      <c r="P721" s="1752" t="s">
        <v>2501</v>
      </c>
      <c r="Q721" s="761"/>
      <c r="R721" s="761"/>
      <c r="S721" s="761"/>
      <c r="T721" s="761"/>
      <c r="U721" s="761"/>
      <c r="V721" s="761"/>
      <c r="W721" s="761"/>
      <c r="X721" s="761"/>
      <c r="Y721" s="761"/>
      <c r="Z721" s="761"/>
      <c r="AA721" s="761"/>
      <c r="AB721" s="761"/>
      <c r="AC721" s="761"/>
      <c r="AD721" s="761"/>
      <c r="AE721" s="761"/>
      <c r="AF721" s="761"/>
      <c r="AG721" s="761"/>
      <c r="AH721" s="761"/>
      <c r="AI721" s="761"/>
      <c r="AJ721" s="761"/>
      <c r="AK721" s="761"/>
      <c r="AL721" s="761"/>
      <c r="AM721" s="761"/>
      <c r="AN721" s="761"/>
      <c r="AO721" s="761"/>
      <c r="AP721" s="761"/>
      <c r="AQ721" s="761"/>
      <c r="AR721" s="761"/>
      <c r="AS721" s="761"/>
      <c r="AT721" s="761"/>
      <c r="AU721" s="761"/>
      <c r="AV721" s="761"/>
      <c r="AW721" s="761"/>
      <c r="AX721" s="761"/>
      <c r="AY721" s="761"/>
      <c r="AZ721" s="761"/>
      <c r="BA721" s="761"/>
      <c r="BB721" s="761"/>
      <c r="BC721" s="761"/>
      <c r="BD721" s="761"/>
      <c r="BE721" s="761"/>
      <c r="BF721" s="761"/>
      <c r="BG721" s="761"/>
      <c r="BH721" s="761"/>
      <c r="BI721" s="761"/>
      <c r="BJ721" s="761"/>
      <c r="BK721" s="761"/>
      <c r="BL721" s="761"/>
      <c r="BM721" s="761"/>
    </row>
    <row r="722" spans="1:65" s="1720" customFormat="1">
      <c r="A722" s="762" t="s">
        <v>2339</v>
      </c>
      <c r="B722" s="762" t="s">
        <v>2340</v>
      </c>
      <c r="C722" s="762" t="s">
        <v>2517</v>
      </c>
      <c r="D722" s="762">
        <v>63116871</v>
      </c>
      <c r="E722" s="762" t="s">
        <v>2443</v>
      </c>
      <c r="F722" s="762">
        <v>143006598</v>
      </c>
      <c r="G722" s="762" t="s">
        <v>2587</v>
      </c>
      <c r="H722" s="762" t="s">
        <v>2587</v>
      </c>
      <c r="I722" s="762" t="s">
        <v>6867</v>
      </c>
      <c r="J722" s="762">
        <v>1</v>
      </c>
      <c r="K722" s="1911">
        <v>20223.170000000002</v>
      </c>
      <c r="L722" s="1911">
        <v>573.72</v>
      </c>
      <c r="M722" s="1911">
        <v>19649.45</v>
      </c>
      <c r="N722" s="1752" t="str">
        <f t="shared" si="11"/>
        <v>C390</v>
      </c>
      <c r="O722" s="1752" t="s">
        <v>99</v>
      </c>
      <c r="P722" s="1752" t="s">
        <v>2501</v>
      </c>
      <c r="Q722" s="761"/>
      <c r="R722" s="761"/>
      <c r="S722" s="761"/>
      <c r="T722" s="761"/>
      <c r="U722" s="761"/>
      <c r="V722" s="761"/>
      <c r="W722" s="761"/>
      <c r="X722" s="761"/>
      <c r="Y722" s="761"/>
      <c r="Z722" s="761"/>
      <c r="AA722" s="761"/>
      <c r="AB722" s="761"/>
      <c r="AC722" s="761"/>
      <c r="AD722" s="761"/>
      <c r="AE722" s="761"/>
      <c r="AF722" s="761"/>
      <c r="AG722" s="761"/>
      <c r="AH722" s="761"/>
      <c r="AI722" s="761"/>
      <c r="AJ722" s="761"/>
      <c r="AK722" s="761"/>
      <c r="AL722" s="761"/>
      <c r="AM722" s="761"/>
      <c r="AN722" s="761"/>
      <c r="AO722" s="761"/>
      <c r="AP722" s="761"/>
      <c r="AQ722" s="761"/>
      <c r="AR722" s="761"/>
      <c r="AS722" s="761"/>
      <c r="AT722" s="761"/>
      <c r="AU722" s="761"/>
      <c r="AV722" s="761"/>
      <c r="AW722" s="761"/>
      <c r="AX722" s="761"/>
      <c r="AY722" s="761"/>
      <c r="AZ722" s="761"/>
      <c r="BA722" s="761"/>
      <c r="BB722" s="761"/>
      <c r="BC722" s="761"/>
      <c r="BD722" s="761"/>
      <c r="BE722" s="761"/>
      <c r="BF722" s="761"/>
      <c r="BG722" s="761"/>
      <c r="BH722" s="761"/>
      <c r="BI722" s="761"/>
      <c r="BJ722" s="761"/>
      <c r="BK722" s="761"/>
      <c r="BL722" s="761"/>
      <c r="BM722" s="761"/>
    </row>
    <row r="723" spans="1:65" s="1720" customFormat="1">
      <c r="A723" s="762" t="s">
        <v>2339</v>
      </c>
      <c r="B723" s="762" t="s">
        <v>2340</v>
      </c>
      <c r="C723" s="762" t="s">
        <v>2542</v>
      </c>
      <c r="D723" s="762">
        <v>63116874</v>
      </c>
      <c r="E723" s="762" t="s">
        <v>2443</v>
      </c>
      <c r="F723" s="762">
        <v>143006599</v>
      </c>
      <c r="G723" s="762" t="s">
        <v>2588</v>
      </c>
      <c r="H723" s="762" t="s">
        <v>2588</v>
      </c>
      <c r="I723" s="762" t="s">
        <v>6867</v>
      </c>
      <c r="J723" s="762">
        <v>1</v>
      </c>
      <c r="K723" s="1911">
        <v>3657.4</v>
      </c>
      <c r="L723" s="1911">
        <v>103.76</v>
      </c>
      <c r="M723" s="1911">
        <v>3553.64</v>
      </c>
      <c r="N723" s="1752" t="str">
        <f t="shared" si="11"/>
        <v>C390</v>
      </c>
      <c r="O723" s="1752" t="s">
        <v>99</v>
      </c>
      <c r="P723" s="1752" t="s">
        <v>2501</v>
      </c>
      <c r="Q723" s="761"/>
      <c r="R723" s="761"/>
      <c r="S723" s="761"/>
      <c r="T723" s="761"/>
      <c r="U723" s="761"/>
      <c r="V723" s="761"/>
      <c r="W723" s="761"/>
      <c r="X723" s="761"/>
      <c r="Y723" s="761"/>
      <c r="Z723" s="761"/>
      <c r="AA723" s="761"/>
      <c r="AB723" s="761"/>
      <c r="AC723" s="761"/>
      <c r="AD723" s="761"/>
      <c r="AE723" s="761"/>
      <c r="AF723" s="761"/>
      <c r="AG723" s="761"/>
      <c r="AH723" s="761"/>
      <c r="AI723" s="761"/>
      <c r="AJ723" s="761"/>
      <c r="AK723" s="761"/>
      <c r="AL723" s="761"/>
      <c r="AM723" s="761"/>
      <c r="AN723" s="761"/>
      <c r="AO723" s="761"/>
      <c r="AP723" s="761"/>
      <c r="AQ723" s="761"/>
      <c r="AR723" s="761"/>
      <c r="AS723" s="761"/>
      <c r="AT723" s="761"/>
      <c r="AU723" s="761"/>
      <c r="AV723" s="761"/>
      <c r="AW723" s="761"/>
      <c r="AX723" s="761"/>
      <c r="AY723" s="761"/>
      <c r="AZ723" s="761"/>
      <c r="BA723" s="761"/>
      <c r="BB723" s="761"/>
      <c r="BC723" s="761"/>
      <c r="BD723" s="761"/>
      <c r="BE723" s="761"/>
      <c r="BF723" s="761"/>
      <c r="BG723" s="761"/>
      <c r="BH723" s="761"/>
      <c r="BI723" s="761"/>
      <c r="BJ723" s="761"/>
      <c r="BK723" s="761"/>
      <c r="BL723" s="761"/>
      <c r="BM723" s="761"/>
    </row>
    <row r="724" spans="1:65" s="1720" customFormat="1">
      <c r="A724" s="762" t="s">
        <v>2339</v>
      </c>
      <c r="B724" s="762" t="s">
        <v>2340</v>
      </c>
      <c r="C724" s="762" t="s">
        <v>2487</v>
      </c>
      <c r="D724" s="762">
        <v>63116877</v>
      </c>
      <c r="E724" s="762" t="s">
        <v>2443</v>
      </c>
      <c r="F724" s="762">
        <v>143006600</v>
      </c>
      <c r="G724" s="762" t="s">
        <v>2589</v>
      </c>
      <c r="H724" s="762" t="s">
        <v>2589</v>
      </c>
      <c r="I724" s="762" t="s">
        <v>6867</v>
      </c>
      <c r="J724" s="762">
        <v>1</v>
      </c>
      <c r="K724" s="1911">
        <v>2239.9299999999998</v>
      </c>
      <c r="L724" s="1911">
        <v>63.550000000000004</v>
      </c>
      <c r="M724" s="1911">
        <v>2176.38</v>
      </c>
      <c r="N724" s="1752" t="str">
        <f t="shared" si="11"/>
        <v>C390</v>
      </c>
      <c r="O724" s="1752" t="s">
        <v>99</v>
      </c>
      <c r="P724" s="1752" t="s">
        <v>2501</v>
      </c>
      <c r="Q724" s="761"/>
      <c r="R724" s="761"/>
      <c r="S724" s="761"/>
      <c r="T724" s="761"/>
      <c r="U724" s="761"/>
      <c r="V724" s="761"/>
      <c r="W724" s="761"/>
      <c r="X724" s="761"/>
      <c r="Y724" s="761"/>
      <c r="Z724" s="761"/>
      <c r="AA724" s="761"/>
      <c r="AB724" s="761"/>
      <c r="AC724" s="761"/>
      <c r="AD724" s="761"/>
      <c r="AE724" s="761"/>
      <c r="AF724" s="761"/>
      <c r="AG724" s="761"/>
      <c r="AH724" s="761"/>
      <c r="AI724" s="761"/>
      <c r="AJ724" s="761"/>
      <c r="AK724" s="761"/>
      <c r="AL724" s="761"/>
      <c r="AM724" s="761"/>
      <c r="AN724" s="761"/>
      <c r="AO724" s="761"/>
      <c r="AP724" s="761"/>
      <c r="AQ724" s="761"/>
      <c r="AR724" s="761"/>
      <c r="AS724" s="761"/>
      <c r="AT724" s="761"/>
      <c r="AU724" s="761"/>
      <c r="AV724" s="761"/>
      <c r="AW724" s="761"/>
      <c r="AX724" s="761"/>
      <c r="AY724" s="761"/>
      <c r="AZ724" s="761"/>
      <c r="BA724" s="761"/>
      <c r="BB724" s="761"/>
      <c r="BC724" s="761"/>
      <c r="BD724" s="761"/>
      <c r="BE724" s="761"/>
      <c r="BF724" s="761"/>
      <c r="BG724" s="761"/>
      <c r="BH724" s="761"/>
      <c r="BI724" s="761"/>
      <c r="BJ724" s="761"/>
      <c r="BK724" s="761"/>
      <c r="BL724" s="761"/>
      <c r="BM724" s="761"/>
    </row>
    <row r="725" spans="1:65" s="1720" customFormat="1">
      <c r="A725" s="762" t="s">
        <v>2339</v>
      </c>
      <c r="B725" s="762" t="s">
        <v>2340</v>
      </c>
      <c r="C725" s="762" t="s">
        <v>2487</v>
      </c>
      <c r="D725" s="762">
        <v>63116880</v>
      </c>
      <c r="E725" s="762" t="s">
        <v>2443</v>
      </c>
      <c r="F725" s="762">
        <v>143006601</v>
      </c>
      <c r="G725" s="762" t="s">
        <v>2590</v>
      </c>
      <c r="H725" s="762" t="s">
        <v>2590</v>
      </c>
      <c r="I725" s="762" t="s">
        <v>6867</v>
      </c>
      <c r="J725" s="762">
        <v>1</v>
      </c>
      <c r="K725" s="1911">
        <v>3370.71</v>
      </c>
      <c r="L725" s="1911">
        <v>95.63</v>
      </c>
      <c r="M725" s="1911">
        <v>3275.08</v>
      </c>
      <c r="N725" s="1752" t="str">
        <f t="shared" si="11"/>
        <v>C390</v>
      </c>
      <c r="O725" s="1752" t="s">
        <v>99</v>
      </c>
      <c r="P725" s="1752" t="s">
        <v>2501</v>
      </c>
      <c r="Q725" s="761"/>
      <c r="R725" s="761"/>
      <c r="S725" s="761"/>
      <c r="T725" s="761"/>
      <c r="U725" s="761"/>
      <c r="V725" s="761"/>
      <c r="W725" s="761"/>
      <c r="X725" s="761"/>
      <c r="Y725" s="761"/>
      <c r="Z725" s="761"/>
      <c r="AA725" s="761"/>
      <c r="AB725" s="761"/>
      <c r="AC725" s="761"/>
      <c r="AD725" s="761"/>
      <c r="AE725" s="761"/>
      <c r="AF725" s="761"/>
      <c r="AG725" s="761"/>
      <c r="AH725" s="761"/>
      <c r="AI725" s="761"/>
      <c r="AJ725" s="761"/>
      <c r="AK725" s="761"/>
      <c r="AL725" s="761"/>
      <c r="AM725" s="761"/>
      <c r="AN725" s="761"/>
      <c r="AO725" s="761"/>
      <c r="AP725" s="761"/>
      <c r="AQ725" s="761"/>
      <c r="AR725" s="761"/>
      <c r="AS725" s="761"/>
      <c r="AT725" s="761"/>
      <c r="AU725" s="761"/>
      <c r="AV725" s="761"/>
      <c r="AW725" s="761"/>
      <c r="AX725" s="761"/>
      <c r="AY725" s="761"/>
      <c r="AZ725" s="761"/>
      <c r="BA725" s="761"/>
      <c r="BB725" s="761"/>
      <c r="BC725" s="761"/>
      <c r="BD725" s="761"/>
      <c r="BE725" s="761"/>
      <c r="BF725" s="761"/>
      <c r="BG725" s="761"/>
      <c r="BH725" s="761"/>
      <c r="BI725" s="761"/>
      <c r="BJ725" s="761"/>
      <c r="BK725" s="761"/>
      <c r="BL725" s="761"/>
      <c r="BM725" s="761"/>
    </row>
    <row r="726" spans="1:65" s="1720" customFormat="1">
      <c r="A726" s="762" t="s">
        <v>2339</v>
      </c>
      <c r="B726" s="762" t="s">
        <v>2340</v>
      </c>
      <c r="C726" s="762" t="s">
        <v>2487</v>
      </c>
      <c r="D726" s="762">
        <v>63116883</v>
      </c>
      <c r="E726" s="762" t="s">
        <v>2443</v>
      </c>
      <c r="F726" s="762">
        <v>143006602</v>
      </c>
      <c r="G726" s="762" t="s">
        <v>2591</v>
      </c>
      <c r="H726" s="762" t="s">
        <v>2591</v>
      </c>
      <c r="I726" s="762" t="s">
        <v>6867</v>
      </c>
      <c r="J726" s="762">
        <v>1</v>
      </c>
      <c r="K726" s="1911">
        <v>3370.71</v>
      </c>
      <c r="L726" s="1911">
        <v>95.63</v>
      </c>
      <c r="M726" s="1911">
        <v>3275.08</v>
      </c>
      <c r="N726" s="1752" t="str">
        <f t="shared" si="11"/>
        <v>C390</v>
      </c>
      <c r="O726" s="1752" t="s">
        <v>99</v>
      </c>
      <c r="P726" s="1752" t="s">
        <v>2501</v>
      </c>
      <c r="Q726" s="761"/>
      <c r="R726" s="761"/>
      <c r="S726" s="761"/>
      <c r="T726" s="761"/>
      <c r="U726" s="761"/>
      <c r="V726" s="761"/>
      <c r="W726" s="761"/>
      <c r="X726" s="761"/>
      <c r="Y726" s="761"/>
      <c r="Z726" s="761"/>
      <c r="AA726" s="761"/>
      <c r="AB726" s="761"/>
      <c r="AC726" s="761"/>
      <c r="AD726" s="761"/>
      <c r="AE726" s="761"/>
      <c r="AF726" s="761"/>
      <c r="AG726" s="761"/>
      <c r="AH726" s="761"/>
      <c r="AI726" s="761"/>
      <c r="AJ726" s="761"/>
      <c r="AK726" s="761"/>
      <c r="AL726" s="761"/>
      <c r="AM726" s="761"/>
      <c r="AN726" s="761"/>
      <c r="AO726" s="761"/>
      <c r="AP726" s="761"/>
      <c r="AQ726" s="761"/>
      <c r="AR726" s="761"/>
      <c r="AS726" s="761"/>
      <c r="AT726" s="761"/>
      <c r="AU726" s="761"/>
      <c r="AV726" s="761"/>
      <c r="AW726" s="761"/>
      <c r="AX726" s="761"/>
      <c r="AY726" s="761"/>
      <c r="AZ726" s="761"/>
      <c r="BA726" s="761"/>
      <c r="BB726" s="761"/>
      <c r="BC726" s="761"/>
      <c r="BD726" s="761"/>
      <c r="BE726" s="761"/>
      <c r="BF726" s="761"/>
      <c r="BG726" s="761"/>
      <c r="BH726" s="761"/>
      <c r="BI726" s="761"/>
      <c r="BJ726" s="761"/>
      <c r="BK726" s="761"/>
      <c r="BL726" s="761"/>
      <c r="BM726" s="761"/>
    </row>
    <row r="727" spans="1:65" s="1720" customFormat="1">
      <c r="A727" s="762" t="s">
        <v>2339</v>
      </c>
      <c r="B727" s="762" t="s">
        <v>2340</v>
      </c>
      <c r="C727" s="762" t="s">
        <v>2487</v>
      </c>
      <c r="D727" s="762">
        <v>63116886</v>
      </c>
      <c r="E727" s="762" t="s">
        <v>2443</v>
      </c>
      <c r="F727" s="762">
        <v>143006603</v>
      </c>
      <c r="G727" s="762" t="s">
        <v>2592</v>
      </c>
      <c r="H727" s="762" t="s">
        <v>2592</v>
      </c>
      <c r="I727" s="762" t="s">
        <v>6867</v>
      </c>
      <c r="J727" s="762">
        <v>1</v>
      </c>
      <c r="K727" s="1911">
        <v>33848.94</v>
      </c>
      <c r="L727" s="1911">
        <v>960.28</v>
      </c>
      <c r="M727" s="1911">
        <v>32888.660000000003</v>
      </c>
      <c r="N727" s="1752" t="str">
        <f t="shared" si="11"/>
        <v>C390</v>
      </c>
      <c r="O727" s="1752" t="s">
        <v>99</v>
      </c>
      <c r="P727" s="1752" t="s">
        <v>2501</v>
      </c>
      <c r="Q727" s="761"/>
      <c r="R727" s="761"/>
      <c r="S727" s="761"/>
      <c r="T727" s="761"/>
      <c r="U727" s="761"/>
      <c r="V727" s="761"/>
      <c r="W727" s="761"/>
      <c r="X727" s="761"/>
      <c r="Y727" s="761"/>
      <c r="Z727" s="761"/>
      <c r="AA727" s="761"/>
      <c r="AB727" s="761"/>
      <c r="AC727" s="761"/>
      <c r="AD727" s="761"/>
      <c r="AE727" s="761"/>
      <c r="AF727" s="761"/>
      <c r="AG727" s="761"/>
      <c r="AH727" s="761"/>
      <c r="AI727" s="761"/>
      <c r="AJ727" s="761"/>
      <c r="AK727" s="761"/>
      <c r="AL727" s="761"/>
      <c r="AM727" s="761"/>
      <c r="AN727" s="761"/>
      <c r="AO727" s="761"/>
      <c r="AP727" s="761"/>
      <c r="AQ727" s="761"/>
      <c r="AR727" s="761"/>
      <c r="AS727" s="761"/>
      <c r="AT727" s="761"/>
      <c r="AU727" s="761"/>
      <c r="AV727" s="761"/>
      <c r="AW727" s="761"/>
      <c r="AX727" s="761"/>
      <c r="AY727" s="761"/>
      <c r="AZ727" s="761"/>
      <c r="BA727" s="761"/>
      <c r="BB727" s="761"/>
      <c r="BC727" s="761"/>
      <c r="BD727" s="761"/>
      <c r="BE727" s="761"/>
      <c r="BF727" s="761"/>
      <c r="BG727" s="761"/>
      <c r="BH727" s="761"/>
      <c r="BI727" s="761"/>
      <c r="BJ727" s="761"/>
      <c r="BK727" s="761"/>
      <c r="BL727" s="761"/>
      <c r="BM727" s="761"/>
    </row>
    <row r="728" spans="1:65" s="1720" customFormat="1">
      <c r="A728" s="762" t="s">
        <v>2339</v>
      </c>
      <c r="B728" s="762" t="s">
        <v>2340</v>
      </c>
      <c r="C728" s="762" t="s">
        <v>2487</v>
      </c>
      <c r="D728" s="762">
        <v>63116889</v>
      </c>
      <c r="E728" s="762" t="s">
        <v>2443</v>
      </c>
      <c r="F728" s="762">
        <v>143006604</v>
      </c>
      <c r="G728" s="762" t="s">
        <v>2593</v>
      </c>
      <c r="H728" s="762" t="s">
        <v>2593</v>
      </c>
      <c r="I728" s="762" t="s">
        <v>6867</v>
      </c>
      <c r="J728" s="762">
        <v>1</v>
      </c>
      <c r="K728" s="1911">
        <v>3764.1800000000003</v>
      </c>
      <c r="L728" s="1911">
        <v>106.79</v>
      </c>
      <c r="M728" s="1911">
        <v>3657.39</v>
      </c>
      <c r="N728" s="1752" t="str">
        <f t="shared" si="11"/>
        <v>C390</v>
      </c>
      <c r="O728" s="1752" t="s">
        <v>99</v>
      </c>
      <c r="P728" s="1752" t="s">
        <v>2501</v>
      </c>
      <c r="Q728" s="761"/>
      <c r="R728" s="761"/>
      <c r="S728" s="761"/>
      <c r="T728" s="761"/>
      <c r="U728" s="761"/>
      <c r="V728" s="761"/>
      <c r="W728" s="761"/>
      <c r="X728" s="761"/>
      <c r="Y728" s="761"/>
      <c r="Z728" s="761"/>
      <c r="AA728" s="761"/>
      <c r="AB728" s="761"/>
      <c r="AC728" s="761"/>
      <c r="AD728" s="761"/>
      <c r="AE728" s="761"/>
      <c r="AF728" s="761"/>
      <c r="AG728" s="761"/>
      <c r="AH728" s="761"/>
      <c r="AI728" s="761"/>
      <c r="AJ728" s="761"/>
      <c r="AK728" s="761"/>
      <c r="AL728" s="761"/>
      <c r="AM728" s="761"/>
      <c r="AN728" s="761"/>
      <c r="AO728" s="761"/>
      <c r="AP728" s="761"/>
      <c r="AQ728" s="761"/>
      <c r="AR728" s="761"/>
      <c r="AS728" s="761"/>
      <c r="AT728" s="761"/>
      <c r="AU728" s="761"/>
      <c r="AV728" s="761"/>
      <c r="AW728" s="761"/>
      <c r="AX728" s="761"/>
      <c r="AY728" s="761"/>
      <c r="AZ728" s="761"/>
      <c r="BA728" s="761"/>
      <c r="BB728" s="761"/>
      <c r="BC728" s="761"/>
      <c r="BD728" s="761"/>
      <c r="BE728" s="761"/>
      <c r="BF728" s="761"/>
      <c r="BG728" s="761"/>
      <c r="BH728" s="761"/>
      <c r="BI728" s="761"/>
      <c r="BJ728" s="761"/>
      <c r="BK728" s="761"/>
      <c r="BL728" s="761"/>
      <c r="BM728" s="761"/>
    </row>
    <row r="729" spans="1:65" s="1720" customFormat="1">
      <c r="A729" s="762" t="s">
        <v>2339</v>
      </c>
      <c r="B729" s="762" t="s">
        <v>2340</v>
      </c>
      <c r="C729" s="762" t="s">
        <v>2473</v>
      </c>
      <c r="D729" s="762">
        <v>63116892</v>
      </c>
      <c r="E729" s="762" t="s">
        <v>2443</v>
      </c>
      <c r="F729" s="762">
        <v>143006605</v>
      </c>
      <c r="G729" s="762" t="s">
        <v>2594</v>
      </c>
      <c r="H729" s="762" t="s">
        <v>2594</v>
      </c>
      <c r="I729" s="762" t="s">
        <v>6867</v>
      </c>
      <c r="J729" s="762">
        <v>1</v>
      </c>
      <c r="K729" s="1911">
        <v>12357.94</v>
      </c>
      <c r="L729" s="1911">
        <v>350.59000000000003</v>
      </c>
      <c r="M729" s="1911">
        <v>12007.35</v>
      </c>
      <c r="N729" s="1752" t="str">
        <f t="shared" si="11"/>
        <v>C390</v>
      </c>
      <c r="O729" s="1752" t="s">
        <v>99</v>
      </c>
      <c r="P729" s="1752" t="s">
        <v>2501</v>
      </c>
      <c r="Q729" s="761"/>
      <c r="R729" s="761"/>
      <c r="S729" s="761"/>
      <c r="T729" s="761"/>
      <c r="U729" s="761"/>
      <c r="V729" s="761"/>
      <c r="W729" s="761"/>
      <c r="X729" s="761"/>
      <c r="Y729" s="761"/>
      <c r="Z729" s="761"/>
      <c r="AA729" s="761"/>
      <c r="AB729" s="761"/>
      <c r="AC729" s="761"/>
      <c r="AD729" s="761"/>
      <c r="AE729" s="761"/>
      <c r="AF729" s="761"/>
      <c r="AG729" s="761"/>
      <c r="AH729" s="761"/>
      <c r="AI729" s="761"/>
      <c r="AJ729" s="761"/>
      <c r="AK729" s="761"/>
      <c r="AL729" s="761"/>
      <c r="AM729" s="761"/>
      <c r="AN729" s="761"/>
      <c r="AO729" s="761"/>
      <c r="AP729" s="761"/>
      <c r="AQ729" s="761"/>
      <c r="AR729" s="761"/>
      <c r="AS729" s="761"/>
      <c r="AT729" s="761"/>
      <c r="AU729" s="761"/>
      <c r="AV729" s="761"/>
      <c r="AW729" s="761"/>
      <c r="AX729" s="761"/>
      <c r="AY729" s="761"/>
      <c r="AZ729" s="761"/>
      <c r="BA729" s="761"/>
      <c r="BB729" s="761"/>
      <c r="BC729" s="761"/>
      <c r="BD729" s="761"/>
      <c r="BE729" s="761"/>
      <c r="BF729" s="761"/>
      <c r="BG729" s="761"/>
      <c r="BH729" s="761"/>
      <c r="BI729" s="761"/>
      <c r="BJ729" s="761"/>
      <c r="BK729" s="761"/>
      <c r="BL729" s="761"/>
      <c r="BM729" s="761"/>
    </row>
    <row r="730" spans="1:65" s="1720" customFormat="1">
      <c r="A730" s="762" t="s">
        <v>2339</v>
      </c>
      <c r="B730" s="762" t="s">
        <v>2340</v>
      </c>
      <c r="C730" s="762" t="s">
        <v>2582</v>
      </c>
      <c r="D730" s="762">
        <v>63116895</v>
      </c>
      <c r="E730" s="762" t="s">
        <v>2443</v>
      </c>
      <c r="F730" s="762">
        <v>143006606</v>
      </c>
      <c r="G730" s="762" t="s">
        <v>2595</v>
      </c>
      <c r="H730" s="762" t="s">
        <v>2595</v>
      </c>
      <c r="I730" s="762" t="s">
        <v>6867</v>
      </c>
      <c r="J730" s="762">
        <v>1</v>
      </c>
      <c r="K730" s="1911">
        <v>9341.58</v>
      </c>
      <c r="L730" s="1911">
        <v>265.02</v>
      </c>
      <c r="M730" s="1911">
        <v>9076.56</v>
      </c>
      <c r="N730" s="1752" t="str">
        <f t="shared" si="11"/>
        <v>C390</v>
      </c>
      <c r="O730" s="1752" t="s">
        <v>99</v>
      </c>
      <c r="P730" s="1752" t="s">
        <v>2501</v>
      </c>
      <c r="Q730" s="761"/>
      <c r="R730" s="761"/>
      <c r="S730" s="761"/>
      <c r="T730" s="761"/>
      <c r="U730" s="761"/>
      <c r="V730" s="761"/>
      <c r="W730" s="761"/>
      <c r="X730" s="761"/>
      <c r="Y730" s="761"/>
      <c r="Z730" s="761"/>
      <c r="AA730" s="761"/>
      <c r="AB730" s="761"/>
      <c r="AC730" s="761"/>
      <c r="AD730" s="761"/>
      <c r="AE730" s="761"/>
      <c r="AF730" s="761"/>
      <c r="AG730" s="761"/>
      <c r="AH730" s="761"/>
      <c r="AI730" s="761"/>
      <c r="AJ730" s="761"/>
      <c r="AK730" s="761"/>
      <c r="AL730" s="761"/>
      <c r="AM730" s="761"/>
      <c r="AN730" s="761"/>
      <c r="AO730" s="761"/>
      <c r="AP730" s="761"/>
      <c r="AQ730" s="761"/>
      <c r="AR730" s="761"/>
      <c r="AS730" s="761"/>
      <c r="AT730" s="761"/>
      <c r="AU730" s="761"/>
      <c r="AV730" s="761"/>
      <c r="AW730" s="761"/>
      <c r="AX730" s="761"/>
      <c r="AY730" s="761"/>
      <c r="AZ730" s="761"/>
      <c r="BA730" s="761"/>
      <c r="BB730" s="761"/>
      <c r="BC730" s="761"/>
      <c r="BD730" s="761"/>
      <c r="BE730" s="761"/>
      <c r="BF730" s="761"/>
      <c r="BG730" s="761"/>
      <c r="BH730" s="761"/>
      <c r="BI730" s="761"/>
      <c r="BJ730" s="761"/>
      <c r="BK730" s="761"/>
      <c r="BL730" s="761"/>
      <c r="BM730" s="761"/>
    </row>
    <row r="731" spans="1:65" s="1720" customFormat="1">
      <c r="A731" s="762" t="s">
        <v>2339</v>
      </c>
      <c r="B731" s="762" t="s">
        <v>2340</v>
      </c>
      <c r="C731" s="762" t="s">
        <v>2596</v>
      </c>
      <c r="D731" s="762">
        <v>63116898</v>
      </c>
      <c r="E731" s="762" t="s">
        <v>2443</v>
      </c>
      <c r="F731" s="762">
        <v>143006607</v>
      </c>
      <c r="G731" s="762" t="s">
        <v>2597</v>
      </c>
      <c r="H731" s="762" t="s">
        <v>2597</v>
      </c>
      <c r="I731" s="762" t="s">
        <v>6867</v>
      </c>
      <c r="J731" s="762">
        <v>1</v>
      </c>
      <c r="K731" s="1911">
        <v>43149.64</v>
      </c>
      <c r="L731" s="1911">
        <v>1224.1400000000001</v>
      </c>
      <c r="M731" s="1911">
        <v>41925.5</v>
      </c>
      <c r="N731" s="1752" t="str">
        <f t="shared" si="11"/>
        <v>C390</v>
      </c>
      <c r="O731" s="1752" t="s">
        <v>99</v>
      </c>
      <c r="P731" s="1752" t="s">
        <v>2501</v>
      </c>
      <c r="Q731" s="761"/>
      <c r="R731" s="761"/>
      <c r="S731" s="761"/>
      <c r="T731" s="761"/>
      <c r="U731" s="761"/>
      <c r="V731" s="761"/>
      <c r="W731" s="761"/>
      <c r="X731" s="761"/>
      <c r="Y731" s="761"/>
      <c r="Z731" s="761"/>
      <c r="AA731" s="761"/>
      <c r="AB731" s="761"/>
      <c r="AC731" s="761"/>
      <c r="AD731" s="761"/>
      <c r="AE731" s="761"/>
      <c r="AF731" s="761"/>
      <c r="AG731" s="761"/>
      <c r="AH731" s="761"/>
      <c r="AI731" s="761"/>
      <c r="AJ731" s="761"/>
      <c r="AK731" s="761"/>
      <c r="AL731" s="761"/>
      <c r="AM731" s="761"/>
      <c r="AN731" s="761"/>
      <c r="AO731" s="761"/>
      <c r="AP731" s="761"/>
      <c r="AQ731" s="761"/>
      <c r="AR731" s="761"/>
      <c r="AS731" s="761"/>
      <c r="AT731" s="761"/>
      <c r="AU731" s="761"/>
      <c r="AV731" s="761"/>
      <c r="AW731" s="761"/>
      <c r="AX731" s="761"/>
      <c r="AY731" s="761"/>
      <c r="AZ731" s="761"/>
      <c r="BA731" s="761"/>
      <c r="BB731" s="761"/>
      <c r="BC731" s="761"/>
      <c r="BD731" s="761"/>
      <c r="BE731" s="761"/>
      <c r="BF731" s="761"/>
      <c r="BG731" s="761"/>
      <c r="BH731" s="761"/>
      <c r="BI731" s="761"/>
      <c r="BJ731" s="761"/>
      <c r="BK731" s="761"/>
      <c r="BL731" s="761"/>
      <c r="BM731" s="761"/>
    </row>
    <row r="732" spans="1:65" s="1720" customFormat="1">
      <c r="A732" s="762" t="s">
        <v>2339</v>
      </c>
      <c r="B732" s="762" t="s">
        <v>2340</v>
      </c>
      <c r="C732" s="762" t="s">
        <v>2527</v>
      </c>
      <c r="D732" s="762">
        <v>63116901</v>
      </c>
      <c r="E732" s="762" t="s">
        <v>2443</v>
      </c>
      <c r="F732" s="762">
        <v>143006608</v>
      </c>
      <c r="G732" s="762" t="s">
        <v>2598</v>
      </c>
      <c r="H732" s="762" t="s">
        <v>2598</v>
      </c>
      <c r="I732" s="762" t="s">
        <v>6867</v>
      </c>
      <c r="J732" s="762">
        <v>1</v>
      </c>
      <c r="K732" s="1911">
        <v>18660.400000000001</v>
      </c>
      <c r="L732" s="1911">
        <v>529.39</v>
      </c>
      <c r="M732" s="1911">
        <v>18131.010000000002</v>
      </c>
      <c r="N732" s="1752" t="str">
        <f t="shared" si="11"/>
        <v>C390</v>
      </c>
      <c r="O732" s="1752" t="s">
        <v>99</v>
      </c>
      <c r="P732" s="1752" t="s">
        <v>2501</v>
      </c>
      <c r="Q732" s="761"/>
      <c r="R732" s="761"/>
      <c r="S732" s="761"/>
      <c r="T732" s="761"/>
      <c r="U732" s="761"/>
      <c r="V732" s="761"/>
      <c r="W732" s="761"/>
      <c r="X732" s="761"/>
      <c r="Y732" s="761"/>
      <c r="Z732" s="761"/>
      <c r="AA732" s="761"/>
      <c r="AB732" s="761"/>
      <c r="AC732" s="761"/>
      <c r="AD732" s="761"/>
      <c r="AE732" s="761"/>
      <c r="AF732" s="761"/>
      <c r="AG732" s="761"/>
      <c r="AH732" s="761"/>
      <c r="AI732" s="761"/>
      <c r="AJ732" s="761"/>
      <c r="AK732" s="761"/>
      <c r="AL732" s="761"/>
      <c r="AM732" s="761"/>
      <c r="AN732" s="761"/>
      <c r="AO732" s="761"/>
      <c r="AP732" s="761"/>
      <c r="AQ732" s="761"/>
      <c r="AR732" s="761"/>
      <c r="AS732" s="761"/>
      <c r="AT732" s="761"/>
      <c r="AU732" s="761"/>
      <c r="AV732" s="761"/>
      <c r="AW732" s="761"/>
      <c r="AX732" s="761"/>
      <c r="AY732" s="761"/>
      <c r="AZ732" s="761"/>
      <c r="BA732" s="761"/>
      <c r="BB732" s="761"/>
      <c r="BC732" s="761"/>
      <c r="BD732" s="761"/>
      <c r="BE732" s="761"/>
      <c r="BF732" s="761"/>
      <c r="BG732" s="761"/>
      <c r="BH732" s="761"/>
      <c r="BI732" s="761"/>
      <c r="BJ732" s="761"/>
      <c r="BK732" s="761"/>
      <c r="BL732" s="761"/>
      <c r="BM732" s="761"/>
    </row>
    <row r="733" spans="1:65" s="1720" customFormat="1">
      <c r="A733" s="762" t="s">
        <v>2339</v>
      </c>
      <c r="B733" s="762" t="s">
        <v>2340</v>
      </c>
      <c r="C733" s="762" t="s">
        <v>2476</v>
      </c>
      <c r="D733" s="762">
        <v>63116904</v>
      </c>
      <c r="E733" s="762" t="s">
        <v>2443</v>
      </c>
      <c r="F733" s="762">
        <v>143006609</v>
      </c>
      <c r="G733" s="762" t="s">
        <v>2599</v>
      </c>
      <c r="H733" s="762" t="s">
        <v>2599</v>
      </c>
      <c r="I733" s="762" t="s">
        <v>6867</v>
      </c>
      <c r="J733" s="762">
        <v>10</v>
      </c>
      <c r="K733" s="1911">
        <v>27611.95</v>
      </c>
      <c r="L733" s="1911">
        <v>783.34</v>
      </c>
      <c r="M733" s="1911">
        <v>26828.61</v>
      </c>
      <c r="N733" s="1752" t="str">
        <f t="shared" si="11"/>
        <v>C390</v>
      </c>
      <c r="O733" s="1752" t="s">
        <v>99</v>
      </c>
      <c r="P733" s="1752" t="s">
        <v>2501</v>
      </c>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1"/>
      <c r="AY733" s="761"/>
      <c r="AZ733" s="761"/>
      <c r="BA733" s="761"/>
      <c r="BB733" s="761"/>
      <c r="BC733" s="761"/>
      <c r="BD733" s="761"/>
      <c r="BE733" s="761"/>
      <c r="BF733" s="761"/>
      <c r="BG733" s="761"/>
      <c r="BH733" s="761"/>
      <c r="BI733" s="761"/>
      <c r="BJ733" s="761"/>
      <c r="BK733" s="761"/>
      <c r="BL733" s="761"/>
      <c r="BM733" s="761"/>
    </row>
    <row r="734" spans="1:65" s="1720" customFormat="1">
      <c r="A734" s="762" t="s">
        <v>2339</v>
      </c>
      <c r="B734" s="762" t="s">
        <v>2340</v>
      </c>
      <c r="C734" s="762" t="s">
        <v>2476</v>
      </c>
      <c r="D734" s="762">
        <v>63116907</v>
      </c>
      <c r="E734" s="762" t="s">
        <v>2443</v>
      </c>
      <c r="F734" s="762">
        <v>143006610</v>
      </c>
      <c r="G734" s="762" t="s">
        <v>2600</v>
      </c>
      <c r="H734" s="762" t="s">
        <v>2600</v>
      </c>
      <c r="I734" s="762" t="s">
        <v>6867</v>
      </c>
      <c r="J734" s="762">
        <v>1</v>
      </c>
      <c r="K734" s="1911">
        <v>18842.37</v>
      </c>
      <c r="L734" s="1911">
        <v>534.54999999999995</v>
      </c>
      <c r="M734" s="1911">
        <v>18307.82</v>
      </c>
      <c r="N734" s="1752" t="str">
        <f t="shared" si="11"/>
        <v>C390</v>
      </c>
      <c r="O734" s="1752" t="s">
        <v>99</v>
      </c>
      <c r="P734" s="1752" t="s">
        <v>2501</v>
      </c>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1"/>
      <c r="AY734" s="761"/>
      <c r="AZ734" s="761"/>
      <c r="BA734" s="761"/>
      <c r="BB734" s="761"/>
      <c r="BC734" s="761"/>
      <c r="BD734" s="761"/>
      <c r="BE734" s="761"/>
      <c r="BF734" s="761"/>
      <c r="BG734" s="761"/>
      <c r="BH734" s="761"/>
      <c r="BI734" s="761"/>
      <c r="BJ734" s="761"/>
      <c r="BK734" s="761"/>
      <c r="BL734" s="761"/>
      <c r="BM734" s="761"/>
    </row>
    <row r="735" spans="1:65" s="1720" customFormat="1">
      <c r="A735" s="762" t="s">
        <v>2339</v>
      </c>
      <c r="B735" s="762" t="s">
        <v>2340</v>
      </c>
      <c r="C735" s="762" t="s">
        <v>2476</v>
      </c>
      <c r="D735" s="762">
        <v>63116910</v>
      </c>
      <c r="E735" s="762" t="s">
        <v>2443</v>
      </c>
      <c r="F735" s="762">
        <v>143006612</v>
      </c>
      <c r="G735" s="762" t="s">
        <v>2601</v>
      </c>
      <c r="H735" s="762" t="s">
        <v>2601</v>
      </c>
      <c r="I735" s="762" t="s">
        <v>6867</v>
      </c>
      <c r="J735" s="762">
        <v>1</v>
      </c>
      <c r="K735" s="1911">
        <v>88828.37</v>
      </c>
      <c r="L735" s="1911">
        <v>2520.02</v>
      </c>
      <c r="M735" s="1911">
        <v>86308.35</v>
      </c>
      <c r="N735" s="1752" t="str">
        <f t="shared" si="11"/>
        <v>C390</v>
      </c>
      <c r="O735" s="1752" t="s">
        <v>99</v>
      </c>
      <c r="P735" s="1752" t="s">
        <v>2501</v>
      </c>
      <c r="Q735" s="761"/>
      <c r="R735" s="761"/>
      <c r="S735" s="761"/>
      <c r="T735" s="761"/>
      <c r="U735" s="761"/>
      <c r="V735" s="761"/>
      <c r="W735" s="761"/>
      <c r="X735" s="761"/>
      <c r="Y735" s="761"/>
      <c r="Z735" s="761"/>
      <c r="AA735" s="761"/>
      <c r="AB735" s="761"/>
      <c r="AC735" s="761"/>
      <c r="AD735" s="761"/>
      <c r="AE735" s="761"/>
      <c r="AF735" s="761"/>
      <c r="AG735" s="761"/>
      <c r="AH735" s="761"/>
      <c r="AI735" s="761"/>
      <c r="AJ735" s="761"/>
      <c r="AK735" s="761"/>
      <c r="AL735" s="761"/>
      <c r="AM735" s="761"/>
      <c r="AN735" s="761"/>
      <c r="AO735" s="761"/>
      <c r="AP735" s="761"/>
      <c r="AQ735" s="761"/>
      <c r="AR735" s="761"/>
      <c r="AS735" s="761"/>
      <c r="AT735" s="761"/>
      <c r="AU735" s="761"/>
      <c r="AV735" s="761"/>
      <c r="AW735" s="761"/>
      <c r="AX735" s="761"/>
      <c r="AY735" s="761"/>
      <c r="AZ735" s="761"/>
      <c r="BA735" s="761"/>
      <c r="BB735" s="761"/>
      <c r="BC735" s="761"/>
      <c r="BD735" s="761"/>
      <c r="BE735" s="761"/>
      <c r="BF735" s="761"/>
      <c r="BG735" s="761"/>
      <c r="BH735" s="761"/>
      <c r="BI735" s="761"/>
      <c r="BJ735" s="761"/>
      <c r="BK735" s="761"/>
      <c r="BL735" s="761"/>
      <c r="BM735" s="761"/>
    </row>
    <row r="736" spans="1:65" s="1720" customFormat="1">
      <c r="A736" s="762" t="s">
        <v>2339</v>
      </c>
      <c r="B736" s="762" t="s">
        <v>2340</v>
      </c>
      <c r="C736" s="762" t="s">
        <v>2473</v>
      </c>
      <c r="D736" s="762">
        <v>63116913</v>
      </c>
      <c r="E736" s="762" t="s">
        <v>2443</v>
      </c>
      <c r="F736" s="762">
        <v>143006613</v>
      </c>
      <c r="G736" s="762" t="s">
        <v>2602</v>
      </c>
      <c r="H736" s="762" t="s">
        <v>2602</v>
      </c>
      <c r="I736" s="762" t="s">
        <v>6867</v>
      </c>
      <c r="J736" s="762">
        <v>1</v>
      </c>
      <c r="K736" s="1911">
        <v>2815.63</v>
      </c>
      <c r="L736" s="1911">
        <v>79.88</v>
      </c>
      <c r="M736" s="1911">
        <v>2735.75</v>
      </c>
      <c r="N736" s="1752" t="str">
        <f t="shared" si="11"/>
        <v>C390</v>
      </c>
      <c r="O736" s="1752" t="s">
        <v>99</v>
      </c>
      <c r="P736" s="1752" t="s">
        <v>2501</v>
      </c>
      <c r="Q736" s="761"/>
      <c r="R736" s="761"/>
      <c r="S736" s="761"/>
      <c r="T736" s="761"/>
      <c r="U736" s="761"/>
      <c r="V736" s="761"/>
      <c r="W736" s="761"/>
      <c r="X736" s="761"/>
      <c r="Y736" s="761"/>
      <c r="Z736" s="761"/>
      <c r="AA736" s="761"/>
      <c r="AB736" s="761"/>
      <c r="AC736" s="761"/>
      <c r="AD736" s="761"/>
      <c r="AE736" s="761"/>
      <c r="AF736" s="761"/>
      <c r="AG736" s="761"/>
      <c r="AH736" s="761"/>
      <c r="AI736" s="761"/>
      <c r="AJ736" s="761"/>
      <c r="AK736" s="761"/>
      <c r="AL736" s="761"/>
      <c r="AM736" s="761"/>
      <c r="AN736" s="761"/>
      <c r="AO736" s="761"/>
      <c r="AP736" s="761"/>
      <c r="AQ736" s="761"/>
      <c r="AR736" s="761"/>
      <c r="AS736" s="761"/>
      <c r="AT736" s="761"/>
      <c r="AU736" s="761"/>
      <c r="AV736" s="761"/>
      <c r="AW736" s="761"/>
      <c r="AX736" s="761"/>
      <c r="AY736" s="761"/>
      <c r="AZ736" s="761"/>
      <c r="BA736" s="761"/>
      <c r="BB736" s="761"/>
      <c r="BC736" s="761"/>
      <c r="BD736" s="761"/>
      <c r="BE736" s="761"/>
      <c r="BF736" s="761"/>
      <c r="BG736" s="761"/>
      <c r="BH736" s="761"/>
      <c r="BI736" s="761"/>
      <c r="BJ736" s="761"/>
      <c r="BK736" s="761"/>
      <c r="BL736" s="761"/>
      <c r="BM736" s="761"/>
    </row>
    <row r="737" spans="1:65" s="1720" customFormat="1">
      <c r="A737" s="762" t="s">
        <v>2339</v>
      </c>
      <c r="B737" s="762" t="s">
        <v>2340</v>
      </c>
      <c r="C737" s="762" t="s">
        <v>2527</v>
      </c>
      <c r="D737" s="762">
        <v>63116916</v>
      </c>
      <c r="E737" s="762" t="s">
        <v>2443</v>
      </c>
      <c r="F737" s="762">
        <v>143006614</v>
      </c>
      <c r="G737" s="762" t="s">
        <v>2603</v>
      </c>
      <c r="H737" s="762" t="s">
        <v>2603</v>
      </c>
      <c r="I737" s="762" t="s">
        <v>6867</v>
      </c>
      <c r="J737" s="762">
        <v>1</v>
      </c>
      <c r="K737" s="1911">
        <v>35586.15</v>
      </c>
      <c r="L737" s="1911">
        <v>1009.5600000000001</v>
      </c>
      <c r="M737" s="1911">
        <v>34576.590000000004</v>
      </c>
      <c r="N737" s="1752" t="str">
        <f t="shared" si="11"/>
        <v>C390</v>
      </c>
      <c r="O737" s="1752" t="s">
        <v>99</v>
      </c>
      <c r="P737" s="1752" t="s">
        <v>2501</v>
      </c>
      <c r="Q737" s="761"/>
      <c r="R737" s="761"/>
      <c r="S737" s="761"/>
      <c r="T737" s="761"/>
      <c r="U737" s="761"/>
      <c r="V737" s="761"/>
      <c r="W737" s="761"/>
      <c r="X737" s="761"/>
      <c r="Y737" s="761"/>
      <c r="Z737" s="761"/>
      <c r="AA737" s="761"/>
      <c r="AB737" s="761"/>
      <c r="AC737" s="761"/>
      <c r="AD737" s="761"/>
      <c r="AE737" s="761"/>
      <c r="AF737" s="761"/>
      <c r="AG737" s="761"/>
      <c r="AH737" s="761"/>
      <c r="AI737" s="761"/>
      <c r="AJ737" s="761"/>
      <c r="AK737" s="761"/>
      <c r="AL737" s="761"/>
      <c r="AM737" s="761"/>
      <c r="AN737" s="761"/>
      <c r="AO737" s="761"/>
      <c r="AP737" s="761"/>
      <c r="AQ737" s="761"/>
      <c r="AR737" s="761"/>
      <c r="AS737" s="761"/>
      <c r="AT737" s="761"/>
      <c r="AU737" s="761"/>
      <c r="AV737" s="761"/>
      <c r="AW737" s="761"/>
      <c r="AX737" s="761"/>
      <c r="AY737" s="761"/>
      <c r="AZ737" s="761"/>
      <c r="BA737" s="761"/>
      <c r="BB737" s="761"/>
      <c r="BC737" s="761"/>
      <c r="BD737" s="761"/>
      <c r="BE737" s="761"/>
      <c r="BF737" s="761"/>
      <c r="BG737" s="761"/>
      <c r="BH737" s="761"/>
      <c r="BI737" s="761"/>
      <c r="BJ737" s="761"/>
      <c r="BK737" s="761"/>
      <c r="BL737" s="761"/>
      <c r="BM737" s="761"/>
    </row>
    <row r="738" spans="1:65" s="1720" customFormat="1">
      <c r="A738" s="762" t="s">
        <v>2339</v>
      </c>
      <c r="B738" s="762" t="s">
        <v>2340</v>
      </c>
      <c r="C738" s="762" t="s">
        <v>2517</v>
      </c>
      <c r="D738" s="762">
        <v>63116919</v>
      </c>
      <c r="E738" s="762" t="s">
        <v>2443</v>
      </c>
      <c r="F738" s="762">
        <v>143006615</v>
      </c>
      <c r="G738" s="762" t="s">
        <v>2604</v>
      </c>
      <c r="H738" s="762" t="s">
        <v>2604</v>
      </c>
      <c r="I738" s="762" t="s">
        <v>6867</v>
      </c>
      <c r="J738" s="762">
        <v>1</v>
      </c>
      <c r="K738" s="1911">
        <v>2755.87</v>
      </c>
      <c r="L738" s="1911">
        <v>78.180000000000007</v>
      </c>
      <c r="M738" s="1911">
        <v>2677.69</v>
      </c>
      <c r="N738" s="1752" t="str">
        <f t="shared" si="11"/>
        <v>C390</v>
      </c>
      <c r="O738" s="1752" t="s">
        <v>99</v>
      </c>
      <c r="P738" s="1752" t="s">
        <v>2501</v>
      </c>
      <c r="Q738" s="761"/>
      <c r="R738" s="761"/>
      <c r="S738" s="761"/>
      <c r="T738" s="761"/>
      <c r="U738" s="761"/>
      <c r="V738" s="761"/>
      <c r="W738" s="761"/>
      <c r="X738" s="761"/>
      <c r="Y738" s="761"/>
      <c r="Z738" s="761"/>
      <c r="AA738" s="761"/>
      <c r="AB738" s="761"/>
      <c r="AC738" s="761"/>
      <c r="AD738" s="761"/>
      <c r="AE738" s="761"/>
      <c r="AF738" s="761"/>
      <c r="AG738" s="761"/>
      <c r="AH738" s="761"/>
      <c r="AI738" s="761"/>
      <c r="AJ738" s="761"/>
      <c r="AK738" s="761"/>
      <c r="AL738" s="761"/>
      <c r="AM738" s="761"/>
      <c r="AN738" s="761"/>
      <c r="AO738" s="761"/>
      <c r="AP738" s="761"/>
      <c r="AQ738" s="761"/>
      <c r="AR738" s="761"/>
      <c r="AS738" s="761"/>
      <c r="AT738" s="761"/>
      <c r="AU738" s="761"/>
      <c r="AV738" s="761"/>
      <c r="AW738" s="761"/>
      <c r="AX738" s="761"/>
      <c r="AY738" s="761"/>
      <c r="AZ738" s="761"/>
      <c r="BA738" s="761"/>
      <c r="BB738" s="761"/>
      <c r="BC738" s="761"/>
      <c r="BD738" s="761"/>
      <c r="BE738" s="761"/>
      <c r="BF738" s="761"/>
      <c r="BG738" s="761"/>
      <c r="BH738" s="761"/>
      <c r="BI738" s="761"/>
      <c r="BJ738" s="761"/>
      <c r="BK738" s="761"/>
      <c r="BL738" s="761"/>
      <c r="BM738" s="761"/>
    </row>
    <row r="739" spans="1:65" s="1720" customFormat="1">
      <c r="A739" s="762" t="s">
        <v>2339</v>
      </c>
      <c r="B739" s="762" t="s">
        <v>2340</v>
      </c>
      <c r="C739" s="762" t="s">
        <v>2605</v>
      </c>
      <c r="D739" s="762">
        <v>63116922</v>
      </c>
      <c r="E739" s="762" t="s">
        <v>2443</v>
      </c>
      <c r="F739" s="762">
        <v>143006616</v>
      </c>
      <c r="G739" s="762" t="s">
        <v>2606</v>
      </c>
      <c r="H739" s="762" t="s">
        <v>2606</v>
      </c>
      <c r="I739" s="762" t="s">
        <v>6867</v>
      </c>
      <c r="J739" s="762">
        <v>1</v>
      </c>
      <c r="K739" s="1911">
        <v>20675.170000000002</v>
      </c>
      <c r="L739" s="1911">
        <v>586.54</v>
      </c>
      <c r="M739" s="1911">
        <v>20088.63</v>
      </c>
      <c r="N739" s="1752" t="str">
        <f t="shared" si="11"/>
        <v>C390</v>
      </c>
      <c r="O739" s="1752" t="s">
        <v>99</v>
      </c>
      <c r="P739" s="1752" t="s">
        <v>2501</v>
      </c>
      <c r="Q739" s="761"/>
      <c r="R739" s="761"/>
      <c r="S739" s="761"/>
      <c r="T739" s="761"/>
      <c r="U739" s="761"/>
      <c r="V739" s="761"/>
      <c r="W739" s="761"/>
      <c r="X739" s="761"/>
      <c r="Y739" s="761"/>
      <c r="Z739" s="761"/>
      <c r="AA739" s="761"/>
      <c r="AB739" s="761"/>
      <c r="AC739" s="761"/>
      <c r="AD739" s="761"/>
      <c r="AE739" s="761"/>
      <c r="AF739" s="761"/>
      <c r="AG739" s="761"/>
      <c r="AH739" s="761"/>
      <c r="AI739" s="761"/>
      <c r="AJ739" s="761"/>
      <c r="AK739" s="761"/>
      <c r="AL739" s="761"/>
      <c r="AM739" s="761"/>
      <c r="AN739" s="761"/>
      <c r="AO739" s="761"/>
      <c r="AP739" s="761"/>
      <c r="AQ739" s="761"/>
      <c r="AR739" s="761"/>
      <c r="AS739" s="761"/>
      <c r="AT739" s="761"/>
      <c r="AU739" s="761"/>
      <c r="AV739" s="761"/>
      <c r="AW739" s="761"/>
      <c r="AX739" s="761"/>
      <c r="AY739" s="761"/>
      <c r="AZ739" s="761"/>
      <c r="BA739" s="761"/>
      <c r="BB739" s="761"/>
      <c r="BC739" s="761"/>
      <c r="BD739" s="761"/>
      <c r="BE739" s="761"/>
      <c r="BF739" s="761"/>
      <c r="BG739" s="761"/>
      <c r="BH739" s="761"/>
      <c r="BI739" s="761"/>
      <c r="BJ739" s="761"/>
      <c r="BK739" s="761"/>
      <c r="BL739" s="761"/>
      <c r="BM739" s="761"/>
    </row>
    <row r="740" spans="1:65" s="1720" customFormat="1">
      <c r="A740" s="762" t="s">
        <v>2339</v>
      </c>
      <c r="B740" s="762" t="s">
        <v>2340</v>
      </c>
      <c r="C740" s="762" t="s">
        <v>2487</v>
      </c>
      <c r="D740" s="762">
        <v>63116925</v>
      </c>
      <c r="E740" s="762" t="s">
        <v>2443</v>
      </c>
      <c r="F740" s="762">
        <v>143006617</v>
      </c>
      <c r="G740" s="762" t="s">
        <v>2607</v>
      </c>
      <c r="H740" s="762" t="s">
        <v>2607</v>
      </c>
      <c r="I740" s="762" t="s">
        <v>6867</v>
      </c>
      <c r="J740" s="762">
        <v>1</v>
      </c>
      <c r="K740" s="1911">
        <v>4785.3500000000004</v>
      </c>
      <c r="L740" s="1911">
        <v>135.76</v>
      </c>
      <c r="M740" s="1911">
        <v>4649.59</v>
      </c>
      <c r="N740" s="1752" t="str">
        <f t="shared" si="11"/>
        <v>C390</v>
      </c>
      <c r="O740" s="1752" t="s">
        <v>99</v>
      </c>
      <c r="P740" s="1752" t="s">
        <v>2501</v>
      </c>
      <c r="Q740" s="761"/>
      <c r="R740" s="761"/>
      <c r="S740" s="761"/>
      <c r="T740" s="761"/>
      <c r="U740" s="761"/>
      <c r="V740" s="761"/>
      <c r="W740" s="761"/>
      <c r="X740" s="761"/>
      <c r="Y740" s="761"/>
      <c r="Z740" s="761"/>
      <c r="AA740" s="761"/>
      <c r="AB740" s="761"/>
      <c r="AC740" s="761"/>
      <c r="AD740" s="761"/>
      <c r="AE740" s="761"/>
      <c r="AF740" s="761"/>
      <c r="AG740" s="761"/>
      <c r="AH740" s="761"/>
      <c r="AI740" s="761"/>
      <c r="AJ740" s="761"/>
      <c r="AK740" s="761"/>
      <c r="AL740" s="761"/>
      <c r="AM740" s="761"/>
      <c r="AN740" s="761"/>
      <c r="AO740" s="761"/>
      <c r="AP740" s="761"/>
      <c r="AQ740" s="761"/>
      <c r="AR740" s="761"/>
      <c r="AS740" s="761"/>
      <c r="AT740" s="761"/>
      <c r="AU740" s="761"/>
      <c r="AV740" s="761"/>
      <c r="AW740" s="761"/>
      <c r="AX740" s="761"/>
      <c r="AY740" s="761"/>
      <c r="AZ740" s="761"/>
      <c r="BA740" s="761"/>
      <c r="BB740" s="761"/>
      <c r="BC740" s="761"/>
      <c r="BD740" s="761"/>
      <c r="BE740" s="761"/>
      <c r="BF740" s="761"/>
      <c r="BG740" s="761"/>
      <c r="BH740" s="761"/>
      <c r="BI740" s="761"/>
      <c r="BJ740" s="761"/>
      <c r="BK740" s="761"/>
      <c r="BL740" s="761"/>
      <c r="BM740" s="761"/>
    </row>
    <row r="741" spans="1:65" s="1691" customFormat="1">
      <c r="A741" s="762" t="s">
        <v>2339</v>
      </c>
      <c r="B741" s="762" t="s">
        <v>2340</v>
      </c>
      <c r="C741" s="762" t="s">
        <v>2476</v>
      </c>
      <c r="D741" s="762">
        <v>63355641</v>
      </c>
      <c r="E741" s="762" t="s">
        <v>2443</v>
      </c>
      <c r="F741" s="762">
        <v>143006527</v>
      </c>
      <c r="G741" s="762" t="s">
        <v>6847</v>
      </c>
      <c r="H741" s="1917" t="s">
        <v>7328</v>
      </c>
      <c r="I741" s="762" t="s">
        <v>6867</v>
      </c>
      <c r="J741" s="762">
        <v>2</v>
      </c>
      <c r="K741" s="1911">
        <v>111069.81</v>
      </c>
      <c r="L741" s="1911">
        <v>1047.01</v>
      </c>
      <c r="M741" s="1911">
        <v>110022.8</v>
      </c>
      <c r="N741" s="1752" t="str">
        <f t="shared" si="11"/>
        <v>C390</v>
      </c>
      <c r="O741" s="1752" t="s">
        <v>99</v>
      </c>
      <c r="P741" s="1752" t="s">
        <v>2501</v>
      </c>
      <c r="Q741" s="761"/>
      <c r="R741" s="761"/>
      <c r="S741" s="761"/>
      <c r="T741" s="761"/>
      <c r="U741" s="761"/>
      <c r="V741" s="761"/>
      <c r="W741" s="761"/>
      <c r="X741" s="761"/>
      <c r="Y741" s="761"/>
      <c r="Z741" s="761"/>
      <c r="AA741" s="761"/>
      <c r="AB741" s="761"/>
      <c r="AC741" s="761"/>
      <c r="AD741" s="761"/>
      <c r="AE741" s="761"/>
      <c r="AF741" s="761"/>
      <c r="AG741" s="761"/>
      <c r="AH741" s="761"/>
      <c r="AI741" s="761"/>
      <c r="AJ741" s="761"/>
      <c r="AK741" s="761"/>
      <c r="AL741" s="761"/>
      <c r="AM741" s="761"/>
      <c r="AN741" s="761"/>
      <c r="AO741" s="761"/>
      <c r="AP741" s="761"/>
      <c r="AQ741" s="761"/>
      <c r="AR741" s="761"/>
      <c r="AS741" s="761"/>
      <c r="AT741" s="761"/>
      <c r="AU741" s="761"/>
      <c r="AV741" s="761"/>
      <c r="AW741" s="761"/>
      <c r="AX741" s="761"/>
      <c r="AY741" s="761"/>
      <c r="AZ741" s="761"/>
      <c r="BA741" s="761"/>
      <c r="BB741" s="761"/>
      <c r="BC741" s="761"/>
      <c r="BD741" s="761"/>
      <c r="BE741" s="761"/>
      <c r="BF741" s="761"/>
      <c r="BG741" s="761"/>
      <c r="BH741" s="761"/>
      <c r="BI741" s="761"/>
      <c r="BJ741" s="761"/>
      <c r="BK741" s="761"/>
      <c r="BL741" s="761"/>
      <c r="BM741" s="761"/>
    </row>
    <row r="742" spans="1:65" s="1691" customFormat="1">
      <c r="A742" s="762" t="s">
        <v>2339</v>
      </c>
      <c r="B742" s="762" t="s">
        <v>2340</v>
      </c>
      <c r="C742" s="762" t="s">
        <v>2476</v>
      </c>
      <c r="D742" s="762">
        <v>67206483</v>
      </c>
      <c r="E742" s="762" t="s">
        <v>2443</v>
      </c>
      <c r="F742" s="762">
        <v>143006982</v>
      </c>
      <c r="G742" s="762" t="s">
        <v>6848</v>
      </c>
      <c r="H742" s="1917" t="s">
        <v>7329</v>
      </c>
      <c r="I742" s="762" t="s">
        <v>6867</v>
      </c>
      <c r="J742" s="762">
        <v>2</v>
      </c>
      <c r="K742" s="1911">
        <v>78764.25</v>
      </c>
      <c r="L742" s="1911">
        <v>742.48</v>
      </c>
      <c r="M742" s="1911">
        <v>78021.77</v>
      </c>
      <c r="N742" s="1752" t="str">
        <f t="shared" si="11"/>
        <v>C390</v>
      </c>
      <c r="O742" s="1752" t="s">
        <v>99</v>
      </c>
      <c r="P742" s="1752" t="s">
        <v>2501</v>
      </c>
      <c r="Q742" s="761"/>
      <c r="R742" s="761"/>
      <c r="S742" s="761"/>
      <c r="T742" s="761"/>
      <c r="U742" s="761"/>
      <c r="V742" s="761"/>
      <c r="W742" s="761"/>
      <c r="X742" s="761"/>
      <c r="Y742" s="761"/>
      <c r="Z742" s="761"/>
      <c r="AA742" s="761"/>
      <c r="AB742" s="761"/>
      <c r="AC742" s="761"/>
      <c r="AD742" s="761"/>
      <c r="AE742" s="761"/>
      <c r="AF742" s="761"/>
      <c r="AG742" s="761"/>
      <c r="AH742" s="761"/>
      <c r="AI742" s="761"/>
      <c r="AJ742" s="761"/>
      <c r="AK742" s="761"/>
      <c r="AL742" s="761"/>
      <c r="AM742" s="761"/>
      <c r="AN742" s="761"/>
      <c r="AO742" s="761"/>
      <c r="AP742" s="761"/>
      <c r="AQ742" s="761"/>
      <c r="AR742" s="761"/>
      <c r="AS742" s="761"/>
      <c r="AT742" s="761"/>
      <c r="AU742" s="761"/>
      <c r="AV742" s="761"/>
      <c r="AW742" s="761"/>
      <c r="AX742" s="761"/>
      <c r="AY742" s="761"/>
      <c r="AZ742" s="761"/>
      <c r="BA742" s="761"/>
      <c r="BB742" s="761"/>
      <c r="BC742" s="761"/>
      <c r="BD742" s="761"/>
      <c r="BE742" s="761"/>
      <c r="BF742" s="761"/>
      <c r="BG742" s="761"/>
      <c r="BH742" s="761"/>
      <c r="BI742" s="761"/>
      <c r="BJ742" s="761"/>
      <c r="BK742" s="761"/>
      <c r="BL742" s="761"/>
      <c r="BM742" s="761"/>
    </row>
    <row r="743" spans="1:65" s="1691" customFormat="1">
      <c r="A743" s="762" t="s">
        <v>2339</v>
      </c>
      <c r="B743" s="762" t="s">
        <v>2340</v>
      </c>
      <c r="C743" s="762" t="s">
        <v>2476</v>
      </c>
      <c r="D743" s="762">
        <v>64102458</v>
      </c>
      <c r="E743" s="762" t="s">
        <v>2443</v>
      </c>
      <c r="F743" s="762">
        <v>143006805</v>
      </c>
      <c r="G743" s="762" t="s">
        <v>6850</v>
      </c>
      <c r="H743" s="1917" t="s">
        <v>7330</v>
      </c>
      <c r="I743" s="762" t="s">
        <v>6867</v>
      </c>
      <c r="J743" s="762">
        <v>5</v>
      </c>
      <c r="K743" s="1911">
        <v>203943.38</v>
      </c>
      <c r="L743" s="1911">
        <v>1922.48</v>
      </c>
      <c r="M743" s="1911">
        <v>202020.9</v>
      </c>
      <c r="N743" s="1752" t="str">
        <f t="shared" si="11"/>
        <v>C390</v>
      </c>
      <c r="O743" s="1752" t="s">
        <v>99</v>
      </c>
      <c r="P743" s="1752" t="s">
        <v>2501</v>
      </c>
      <c r="Q743" s="761"/>
      <c r="R743" s="761"/>
      <c r="S743" s="761"/>
      <c r="T743" s="761"/>
      <c r="U743" s="761"/>
      <c r="V743" s="761"/>
      <c r="W743" s="761"/>
      <c r="X743" s="761"/>
      <c r="Y743" s="761"/>
      <c r="Z743" s="761"/>
      <c r="AA743" s="761"/>
      <c r="AB743" s="761"/>
      <c r="AC743" s="761"/>
      <c r="AD743" s="761"/>
      <c r="AE743" s="761"/>
      <c r="AF743" s="761"/>
      <c r="AG743" s="761"/>
      <c r="AH743" s="761"/>
      <c r="AI743" s="761"/>
      <c r="AJ743" s="761"/>
      <c r="AK743" s="761"/>
      <c r="AL743" s="761"/>
      <c r="AM743" s="761"/>
      <c r="AN743" s="761"/>
      <c r="AO743" s="761"/>
      <c r="AP743" s="761"/>
      <c r="AQ743" s="761"/>
      <c r="AR743" s="761"/>
      <c r="AS743" s="761"/>
      <c r="AT743" s="761"/>
      <c r="AU743" s="761"/>
      <c r="AV743" s="761"/>
      <c r="AW743" s="761"/>
      <c r="AX743" s="761"/>
      <c r="AY743" s="761"/>
      <c r="AZ743" s="761"/>
      <c r="BA743" s="761"/>
      <c r="BB743" s="761"/>
      <c r="BC743" s="761"/>
      <c r="BD743" s="761"/>
      <c r="BE743" s="761"/>
      <c r="BF743" s="761"/>
      <c r="BG743" s="761"/>
      <c r="BH743" s="761"/>
      <c r="BI743" s="761"/>
      <c r="BJ743" s="761"/>
      <c r="BK743" s="761"/>
      <c r="BL743" s="761"/>
      <c r="BM743" s="761"/>
    </row>
    <row r="744" spans="1:65" s="1691" customFormat="1">
      <c r="A744" s="762" t="s">
        <v>2339</v>
      </c>
      <c r="B744" s="762" t="s">
        <v>2340</v>
      </c>
      <c r="C744" s="762" t="s">
        <v>2476</v>
      </c>
      <c r="D744" s="762">
        <v>64102464</v>
      </c>
      <c r="E744" s="762" t="s">
        <v>2443</v>
      </c>
      <c r="F744" s="762">
        <v>143006881</v>
      </c>
      <c r="G744" s="762" t="s">
        <v>6851</v>
      </c>
      <c r="H744" s="1917" t="s">
        <v>7330</v>
      </c>
      <c r="I744" s="762" t="s">
        <v>6867</v>
      </c>
      <c r="J744" s="762">
        <v>2</v>
      </c>
      <c r="K744" s="1911">
        <v>1238023.77</v>
      </c>
      <c r="L744" s="1911">
        <v>11670.29</v>
      </c>
      <c r="M744" s="1911">
        <v>1226353.48</v>
      </c>
      <c r="N744" s="1752" t="str">
        <f t="shared" si="11"/>
        <v>C390</v>
      </c>
      <c r="O744" s="1752" t="s">
        <v>99</v>
      </c>
      <c r="P744" s="1752" t="s">
        <v>2501</v>
      </c>
      <c r="Q744" s="761"/>
      <c r="R744" s="761"/>
      <c r="S744" s="761"/>
      <c r="T744" s="761"/>
      <c r="U744" s="761"/>
      <c r="V744" s="761"/>
      <c r="W744" s="761"/>
      <c r="X744" s="761"/>
      <c r="Y744" s="761"/>
      <c r="Z744" s="761"/>
      <c r="AA744" s="761"/>
      <c r="AB744" s="761"/>
      <c r="AC744" s="761"/>
      <c r="AD744" s="761"/>
      <c r="AE744" s="761"/>
      <c r="AF744" s="761"/>
      <c r="AG744" s="761"/>
      <c r="AH744" s="761"/>
      <c r="AI744" s="761"/>
      <c r="AJ744" s="761"/>
      <c r="AK744" s="761"/>
      <c r="AL744" s="761"/>
      <c r="AM744" s="761"/>
      <c r="AN744" s="761"/>
      <c r="AO744" s="761"/>
      <c r="AP744" s="761"/>
      <c r="AQ744" s="761"/>
      <c r="AR744" s="761"/>
      <c r="AS744" s="761"/>
      <c r="AT744" s="761"/>
      <c r="AU744" s="761"/>
      <c r="AV744" s="761"/>
      <c r="AW744" s="761"/>
      <c r="AX744" s="761"/>
      <c r="AY744" s="761"/>
      <c r="AZ744" s="761"/>
      <c r="BA744" s="761"/>
      <c r="BB744" s="761"/>
      <c r="BC744" s="761"/>
      <c r="BD744" s="761"/>
      <c r="BE744" s="761"/>
      <c r="BF744" s="761"/>
      <c r="BG744" s="761"/>
      <c r="BH744" s="761"/>
      <c r="BI744" s="761"/>
      <c r="BJ744" s="761"/>
      <c r="BK744" s="761"/>
      <c r="BL744" s="761"/>
      <c r="BM744" s="761"/>
    </row>
    <row r="745" spans="1:65" s="1691" customFormat="1">
      <c r="A745" s="762" t="s">
        <v>2339</v>
      </c>
      <c r="B745" s="762" t="s">
        <v>2340</v>
      </c>
      <c r="C745" s="762" t="s">
        <v>2476</v>
      </c>
      <c r="D745" s="762">
        <v>64102477</v>
      </c>
      <c r="E745" s="762" t="s">
        <v>2443</v>
      </c>
      <c r="F745" s="762">
        <v>143006966</v>
      </c>
      <c r="G745" s="762" t="s">
        <v>6849</v>
      </c>
      <c r="H745" s="1917" t="s">
        <v>7331</v>
      </c>
      <c r="I745" s="762" t="s">
        <v>6867</v>
      </c>
      <c r="J745" s="762">
        <v>2</v>
      </c>
      <c r="K745" s="1911">
        <v>95495.41</v>
      </c>
      <c r="L745" s="1911">
        <v>900.19</v>
      </c>
      <c r="M745" s="1911">
        <v>94595.22</v>
      </c>
      <c r="N745" s="1752" t="str">
        <f t="shared" si="11"/>
        <v>C390</v>
      </c>
      <c r="O745" s="1752" t="s">
        <v>99</v>
      </c>
      <c r="P745" s="1752" t="s">
        <v>2501</v>
      </c>
      <c r="Q745" s="761"/>
      <c r="R745" s="761"/>
      <c r="S745" s="761"/>
      <c r="T745" s="761"/>
      <c r="U745" s="761"/>
      <c r="V745" s="761"/>
      <c r="W745" s="761"/>
      <c r="X745" s="761"/>
      <c r="Y745" s="761"/>
      <c r="Z745" s="761"/>
      <c r="AA745" s="761"/>
      <c r="AB745" s="761"/>
      <c r="AC745" s="761"/>
      <c r="AD745" s="761"/>
      <c r="AE745" s="761"/>
      <c r="AF745" s="761"/>
      <c r="AG745" s="761"/>
      <c r="AH745" s="761"/>
      <c r="AI745" s="761"/>
      <c r="AJ745" s="761"/>
      <c r="AK745" s="761"/>
      <c r="AL745" s="761"/>
      <c r="AM745" s="761"/>
      <c r="AN745" s="761"/>
      <c r="AO745" s="761"/>
      <c r="AP745" s="761"/>
      <c r="AQ745" s="761"/>
      <c r="AR745" s="761"/>
      <c r="AS745" s="761"/>
      <c r="AT745" s="761"/>
      <c r="AU745" s="761"/>
      <c r="AV745" s="761"/>
      <c r="AW745" s="761"/>
      <c r="AX745" s="761"/>
      <c r="AY745" s="761"/>
      <c r="AZ745" s="761"/>
      <c r="BA745" s="761"/>
      <c r="BB745" s="761"/>
      <c r="BC745" s="761"/>
      <c r="BD745" s="761"/>
      <c r="BE745" s="761"/>
      <c r="BF745" s="761"/>
      <c r="BG745" s="761"/>
      <c r="BH745" s="761"/>
      <c r="BI745" s="761"/>
      <c r="BJ745" s="761"/>
      <c r="BK745" s="761"/>
      <c r="BL745" s="761"/>
      <c r="BM745" s="761"/>
    </row>
    <row r="746" spans="1:65" s="1691" customFormat="1">
      <c r="A746" s="762" t="s">
        <v>2339</v>
      </c>
      <c r="B746" s="762" t="s">
        <v>2340</v>
      </c>
      <c r="C746" s="762" t="s">
        <v>2527</v>
      </c>
      <c r="D746" s="762">
        <v>66946122</v>
      </c>
      <c r="E746" s="762" t="s">
        <v>2443</v>
      </c>
      <c r="F746" s="762">
        <v>143007583</v>
      </c>
      <c r="G746" s="762" t="s">
        <v>6852</v>
      </c>
      <c r="H746" s="1917"/>
      <c r="I746" s="762" t="s">
        <v>6867</v>
      </c>
      <c r="J746" s="762">
        <v>4</v>
      </c>
      <c r="K746" s="1911">
        <v>25743.46</v>
      </c>
      <c r="L746" s="1911">
        <v>242.67000000000002</v>
      </c>
      <c r="M746" s="1911">
        <v>25500.79</v>
      </c>
      <c r="N746" s="1752" t="str">
        <f t="shared" si="11"/>
        <v>C390</v>
      </c>
      <c r="O746" s="1752" t="s">
        <v>99</v>
      </c>
      <c r="P746" s="1752" t="s">
        <v>2501</v>
      </c>
      <c r="Q746" s="761"/>
      <c r="R746" s="761"/>
      <c r="S746" s="761"/>
      <c r="T746" s="761"/>
      <c r="U746" s="761"/>
      <c r="V746" s="761"/>
      <c r="W746" s="761"/>
      <c r="X746" s="761"/>
      <c r="Y746" s="761"/>
      <c r="Z746" s="761"/>
      <c r="AA746" s="761"/>
      <c r="AB746" s="761"/>
      <c r="AC746" s="761"/>
      <c r="AD746" s="761"/>
      <c r="AE746" s="761"/>
      <c r="AF746" s="761"/>
      <c r="AG746" s="761"/>
      <c r="AH746" s="761"/>
      <c r="AI746" s="761"/>
      <c r="AJ746" s="761"/>
      <c r="AK746" s="761"/>
      <c r="AL746" s="761"/>
      <c r="AM746" s="761"/>
      <c r="AN746" s="761"/>
      <c r="AO746" s="761"/>
      <c r="AP746" s="761"/>
      <c r="AQ746" s="761"/>
      <c r="AR746" s="761"/>
      <c r="AS746" s="761"/>
      <c r="AT746" s="761"/>
      <c r="AU746" s="761"/>
      <c r="AV746" s="761"/>
      <c r="AW746" s="761"/>
      <c r="AX746" s="761"/>
      <c r="AY746" s="761"/>
      <c r="AZ746" s="761"/>
      <c r="BA746" s="761"/>
      <c r="BB746" s="761"/>
      <c r="BC746" s="761"/>
      <c r="BD746" s="761"/>
      <c r="BE746" s="761"/>
      <c r="BF746" s="761"/>
      <c r="BG746" s="761"/>
      <c r="BH746" s="761"/>
      <c r="BI746" s="761"/>
      <c r="BJ746" s="761"/>
      <c r="BK746" s="761"/>
      <c r="BL746" s="761"/>
      <c r="BM746" s="761"/>
    </row>
    <row r="747" spans="1:65" s="1691" customFormat="1">
      <c r="A747" s="762" t="s">
        <v>2339</v>
      </c>
      <c r="B747" s="762" t="s">
        <v>2340</v>
      </c>
      <c r="C747" s="762" t="s">
        <v>2476</v>
      </c>
      <c r="D747" s="762">
        <v>67959758</v>
      </c>
      <c r="E747" s="762" t="s">
        <v>2443</v>
      </c>
      <c r="F747" s="762">
        <v>143007385</v>
      </c>
      <c r="G747" s="762" t="s">
        <v>6853</v>
      </c>
      <c r="H747" s="1917"/>
      <c r="I747" s="762" t="s">
        <v>6867</v>
      </c>
      <c r="J747" s="762">
        <v>2</v>
      </c>
      <c r="K747" s="1911">
        <v>57501.06</v>
      </c>
      <c r="L747" s="1911">
        <v>542.04</v>
      </c>
      <c r="M747" s="1911">
        <v>56959.020000000004</v>
      </c>
      <c r="N747" s="1752" t="str">
        <f t="shared" si="11"/>
        <v>C390</v>
      </c>
      <c r="O747" s="1752" t="s">
        <v>99</v>
      </c>
      <c r="P747" s="1752" t="s">
        <v>2501</v>
      </c>
      <c r="Q747" s="761"/>
      <c r="R747" s="761"/>
      <c r="S747" s="761"/>
      <c r="T747" s="761"/>
      <c r="U747" s="761"/>
      <c r="V747" s="761"/>
      <c r="W747" s="761"/>
      <c r="X747" s="761"/>
      <c r="Y747" s="761"/>
      <c r="Z747" s="761"/>
      <c r="AA747" s="761"/>
      <c r="AB747" s="761"/>
      <c r="AC747" s="761"/>
      <c r="AD747" s="761"/>
      <c r="AE747" s="761"/>
      <c r="AF747" s="761"/>
      <c r="AG747" s="761"/>
      <c r="AH747" s="761"/>
      <c r="AI747" s="761"/>
      <c r="AJ747" s="761"/>
      <c r="AK747" s="761"/>
      <c r="AL747" s="761"/>
      <c r="AM747" s="761"/>
      <c r="AN747" s="761"/>
      <c r="AO747" s="761"/>
      <c r="AP747" s="761"/>
      <c r="AQ747" s="761"/>
      <c r="AR747" s="761"/>
      <c r="AS747" s="761"/>
      <c r="AT747" s="761"/>
      <c r="AU747" s="761"/>
      <c r="AV747" s="761"/>
      <c r="AW747" s="761"/>
      <c r="AX747" s="761"/>
      <c r="AY747" s="761"/>
      <c r="AZ747" s="761"/>
      <c r="BA747" s="761"/>
      <c r="BB747" s="761"/>
      <c r="BC747" s="761"/>
      <c r="BD747" s="761"/>
      <c r="BE747" s="761"/>
      <c r="BF747" s="761"/>
      <c r="BG747" s="761"/>
      <c r="BH747" s="761"/>
      <c r="BI747" s="761"/>
      <c r="BJ747" s="761"/>
      <c r="BK747" s="761"/>
      <c r="BL747" s="761"/>
      <c r="BM747" s="761"/>
    </row>
    <row r="748" spans="1:65" s="1691" customFormat="1">
      <c r="A748" s="762" t="s">
        <v>2339</v>
      </c>
      <c r="B748" s="762" t="s">
        <v>2340</v>
      </c>
      <c r="C748" s="762" t="s">
        <v>2512</v>
      </c>
      <c r="D748" s="762">
        <v>67959761</v>
      </c>
      <c r="E748" s="762" t="s">
        <v>2443</v>
      </c>
      <c r="F748" s="762">
        <v>143007386</v>
      </c>
      <c r="G748" s="762" t="s">
        <v>6854</v>
      </c>
      <c r="H748" s="1917"/>
      <c r="I748" s="762" t="s">
        <v>6867</v>
      </c>
      <c r="J748" s="762">
        <v>2</v>
      </c>
      <c r="K748" s="1911">
        <v>37215.86</v>
      </c>
      <c r="L748" s="1911">
        <v>350.82</v>
      </c>
      <c r="M748" s="1911">
        <v>36865.040000000001</v>
      </c>
      <c r="N748" s="1752" t="str">
        <f t="shared" si="11"/>
        <v>C390</v>
      </c>
      <c r="O748" s="1752" t="s">
        <v>99</v>
      </c>
      <c r="P748" s="1752" t="s">
        <v>2501</v>
      </c>
      <c r="Q748" s="761"/>
      <c r="R748" s="761"/>
      <c r="S748" s="761"/>
      <c r="T748" s="761"/>
      <c r="U748" s="761"/>
      <c r="V748" s="761"/>
      <c r="W748" s="761"/>
      <c r="X748" s="761"/>
      <c r="Y748" s="761"/>
      <c r="Z748" s="761"/>
      <c r="AA748" s="761"/>
      <c r="AB748" s="761"/>
      <c r="AC748" s="761"/>
      <c r="AD748" s="761"/>
      <c r="AE748" s="761"/>
      <c r="AF748" s="761"/>
      <c r="AG748" s="761"/>
      <c r="AH748" s="761"/>
      <c r="AI748" s="761"/>
      <c r="AJ748" s="761"/>
      <c r="AK748" s="761"/>
      <c r="AL748" s="761"/>
      <c r="AM748" s="761"/>
      <c r="AN748" s="761"/>
      <c r="AO748" s="761"/>
      <c r="AP748" s="761"/>
      <c r="AQ748" s="761"/>
      <c r="AR748" s="761"/>
      <c r="AS748" s="761"/>
      <c r="AT748" s="761"/>
      <c r="AU748" s="761"/>
      <c r="AV748" s="761"/>
      <c r="AW748" s="761"/>
      <c r="AX748" s="761"/>
      <c r="AY748" s="761"/>
      <c r="AZ748" s="761"/>
      <c r="BA748" s="761"/>
      <c r="BB748" s="761"/>
      <c r="BC748" s="761"/>
      <c r="BD748" s="761"/>
      <c r="BE748" s="761"/>
      <c r="BF748" s="761"/>
      <c r="BG748" s="761"/>
      <c r="BH748" s="761"/>
      <c r="BI748" s="761"/>
      <c r="BJ748" s="761"/>
      <c r="BK748" s="761"/>
      <c r="BL748" s="761"/>
      <c r="BM748" s="761"/>
    </row>
    <row r="749" spans="1:65" s="1691" customFormat="1">
      <c r="A749" s="762" t="s">
        <v>2339</v>
      </c>
      <c r="B749" s="762" t="s">
        <v>2340</v>
      </c>
      <c r="C749" s="762" t="s">
        <v>2473</v>
      </c>
      <c r="D749" s="762">
        <v>67959764</v>
      </c>
      <c r="E749" s="762" t="s">
        <v>2443</v>
      </c>
      <c r="F749" s="762">
        <v>143007390</v>
      </c>
      <c r="G749" s="762" t="s">
        <v>6855</v>
      </c>
      <c r="H749" s="1917"/>
      <c r="I749" s="762" t="s">
        <v>6867</v>
      </c>
      <c r="J749" s="762">
        <v>2</v>
      </c>
      <c r="K749" s="1911">
        <v>18688.59</v>
      </c>
      <c r="L749" s="1911">
        <v>176.17000000000002</v>
      </c>
      <c r="M749" s="1911">
        <v>18512.420000000002</v>
      </c>
      <c r="N749" s="1752" t="str">
        <f t="shared" si="11"/>
        <v>C390</v>
      </c>
      <c r="O749" s="1752" t="s">
        <v>99</v>
      </c>
      <c r="P749" s="1752" t="s">
        <v>2501</v>
      </c>
      <c r="Q749" s="761"/>
      <c r="R749" s="761"/>
      <c r="S749" s="761"/>
      <c r="T749" s="761"/>
      <c r="U749" s="761"/>
      <c r="V749" s="761"/>
      <c r="W749" s="761"/>
      <c r="X749" s="761"/>
      <c r="Y749" s="761"/>
      <c r="Z749" s="761"/>
      <c r="AA749" s="761"/>
      <c r="AB749" s="761"/>
      <c r="AC749" s="761"/>
      <c r="AD749" s="761"/>
      <c r="AE749" s="761"/>
      <c r="AF749" s="761"/>
      <c r="AG749" s="761"/>
      <c r="AH749" s="761"/>
      <c r="AI749" s="761"/>
      <c r="AJ749" s="761"/>
      <c r="AK749" s="761"/>
      <c r="AL749" s="761"/>
      <c r="AM749" s="761"/>
      <c r="AN749" s="761"/>
      <c r="AO749" s="761"/>
      <c r="AP749" s="761"/>
      <c r="AQ749" s="761"/>
      <c r="AR749" s="761"/>
      <c r="AS749" s="761"/>
      <c r="AT749" s="761"/>
      <c r="AU749" s="761"/>
      <c r="AV749" s="761"/>
      <c r="AW749" s="761"/>
      <c r="AX749" s="761"/>
      <c r="AY749" s="761"/>
      <c r="AZ749" s="761"/>
      <c r="BA749" s="761"/>
      <c r="BB749" s="761"/>
      <c r="BC749" s="761"/>
      <c r="BD749" s="761"/>
      <c r="BE749" s="761"/>
      <c r="BF749" s="761"/>
      <c r="BG749" s="761"/>
      <c r="BH749" s="761"/>
      <c r="BI749" s="761"/>
      <c r="BJ749" s="761"/>
      <c r="BK749" s="761"/>
      <c r="BL749" s="761"/>
      <c r="BM749" s="761"/>
    </row>
    <row r="750" spans="1:65" s="1691" customFormat="1">
      <c r="A750" s="762" t="s">
        <v>2339</v>
      </c>
      <c r="B750" s="762" t="s">
        <v>2340</v>
      </c>
      <c r="C750" s="762" t="s">
        <v>2828</v>
      </c>
      <c r="D750" s="762">
        <v>67959767</v>
      </c>
      <c r="E750" s="762" t="s">
        <v>2443</v>
      </c>
      <c r="F750" s="762">
        <v>143007391</v>
      </c>
      <c r="G750" s="762" t="s">
        <v>6856</v>
      </c>
      <c r="H750" s="1917"/>
      <c r="I750" s="762" t="s">
        <v>6867</v>
      </c>
      <c r="J750" s="762">
        <v>2</v>
      </c>
      <c r="K750" s="1911">
        <v>41351.25</v>
      </c>
      <c r="L750" s="1911">
        <v>389.8</v>
      </c>
      <c r="M750" s="1911">
        <v>40961.450000000004</v>
      </c>
      <c r="N750" s="1752" t="str">
        <f t="shared" si="11"/>
        <v>C390</v>
      </c>
      <c r="O750" s="1752" t="s">
        <v>99</v>
      </c>
      <c r="P750" s="1752" t="s">
        <v>2501</v>
      </c>
      <c r="Q750" s="761"/>
      <c r="R750" s="761"/>
      <c r="S750" s="761"/>
      <c r="T750" s="761"/>
      <c r="U750" s="761"/>
      <c r="V750" s="761"/>
      <c r="W750" s="761"/>
      <c r="X750" s="761"/>
      <c r="Y750" s="761"/>
      <c r="Z750" s="761"/>
      <c r="AA750" s="761"/>
      <c r="AB750" s="761"/>
      <c r="AC750" s="761"/>
      <c r="AD750" s="761"/>
      <c r="AE750" s="761"/>
      <c r="AF750" s="761"/>
      <c r="AG750" s="761"/>
      <c r="AH750" s="761"/>
      <c r="AI750" s="761"/>
      <c r="AJ750" s="761"/>
      <c r="AK750" s="761"/>
      <c r="AL750" s="761"/>
      <c r="AM750" s="761"/>
      <c r="AN750" s="761"/>
      <c r="AO750" s="761"/>
      <c r="AP750" s="761"/>
      <c r="AQ750" s="761"/>
      <c r="AR750" s="761"/>
      <c r="AS750" s="761"/>
      <c r="AT750" s="761"/>
      <c r="AU750" s="761"/>
      <c r="AV750" s="761"/>
      <c r="AW750" s="761"/>
      <c r="AX750" s="761"/>
      <c r="AY750" s="761"/>
      <c r="AZ750" s="761"/>
      <c r="BA750" s="761"/>
      <c r="BB750" s="761"/>
      <c r="BC750" s="761"/>
      <c r="BD750" s="761"/>
      <c r="BE750" s="761"/>
      <c r="BF750" s="761"/>
      <c r="BG750" s="761"/>
      <c r="BH750" s="761"/>
      <c r="BI750" s="761"/>
      <c r="BJ750" s="761"/>
      <c r="BK750" s="761"/>
      <c r="BL750" s="761"/>
      <c r="BM750" s="761"/>
    </row>
    <row r="751" spans="1:65" s="1691" customFormat="1">
      <c r="A751" s="762" t="s">
        <v>2339</v>
      </c>
      <c r="B751" s="762" t="s">
        <v>2340</v>
      </c>
      <c r="C751" s="762" t="s">
        <v>2596</v>
      </c>
      <c r="D751" s="762">
        <v>67959770</v>
      </c>
      <c r="E751" s="762" t="s">
        <v>2443</v>
      </c>
      <c r="F751" s="762">
        <v>143007392</v>
      </c>
      <c r="G751" s="762" t="s">
        <v>6857</v>
      </c>
      <c r="H751" s="1917"/>
      <c r="I751" s="762" t="s">
        <v>6867</v>
      </c>
      <c r="J751" s="762">
        <v>2</v>
      </c>
      <c r="K751" s="1911">
        <v>10626.37</v>
      </c>
      <c r="L751" s="1911">
        <v>100.17</v>
      </c>
      <c r="M751" s="1911">
        <v>10526.2</v>
      </c>
      <c r="N751" s="1752" t="str">
        <f t="shared" si="11"/>
        <v>C390</v>
      </c>
      <c r="O751" s="1752" t="s">
        <v>99</v>
      </c>
      <c r="P751" s="1752" t="s">
        <v>2501</v>
      </c>
      <c r="Q751" s="761"/>
      <c r="R751" s="761"/>
      <c r="S751" s="761"/>
      <c r="T751" s="761"/>
      <c r="U751" s="761"/>
      <c r="V751" s="761"/>
      <c r="W751" s="761"/>
      <c r="X751" s="761"/>
      <c r="Y751" s="761"/>
      <c r="Z751" s="761"/>
      <c r="AA751" s="761"/>
      <c r="AB751" s="761"/>
      <c r="AC751" s="761"/>
      <c r="AD751" s="761"/>
      <c r="AE751" s="761"/>
      <c r="AF751" s="761"/>
      <c r="AG751" s="761"/>
      <c r="AH751" s="761"/>
      <c r="AI751" s="761"/>
      <c r="AJ751" s="761"/>
      <c r="AK751" s="761"/>
      <c r="AL751" s="761"/>
      <c r="AM751" s="761"/>
      <c r="AN751" s="761"/>
      <c r="AO751" s="761"/>
      <c r="AP751" s="761"/>
      <c r="AQ751" s="761"/>
      <c r="AR751" s="761"/>
      <c r="AS751" s="761"/>
      <c r="AT751" s="761"/>
      <c r="AU751" s="761"/>
      <c r="AV751" s="761"/>
      <c r="AW751" s="761"/>
      <c r="AX751" s="761"/>
      <c r="AY751" s="761"/>
      <c r="AZ751" s="761"/>
      <c r="BA751" s="761"/>
      <c r="BB751" s="761"/>
      <c r="BC751" s="761"/>
      <c r="BD751" s="761"/>
      <c r="BE751" s="761"/>
      <c r="BF751" s="761"/>
      <c r="BG751" s="761"/>
      <c r="BH751" s="761"/>
      <c r="BI751" s="761"/>
      <c r="BJ751" s="761"/>
      <c r="BK751" s="761"/>
      <c r="BL751" s="761"/>
      <c r="BM751" s="761"/>
    </row>
    <row r="752" spans="1:65" s="1691" customFormat="1">
      <c r="A752" s="762" t="s">
        <v>2339</v>
      </c>
      <c r="B752" s="762" t="s">
        <v>2340</v>
      </c>
      <c r="C752" s="762" t="s">
        <v>2490</v>
      </c>
      <c r="D752" s="762">
        <v>67959773</v>
      </c>
      <c r="E752" s="762" t="s">
        <v>2443</v>
      </c>
      <c r="F752" s="762">
        <v>143007393</v>
      </c>
      <c r="G752" s="762" t="s">
        <v>6858</v>
      </c>
      <c r="H752" s="1917"/>
      <c r="I752" s="762" t="s">
        <v>6867</v>
      </c>
      <c r="J752" s="762">
        <v>2</v>
      </c>
      <c r="K752" s="1911">
        <v>67905.42</v>
      </c>
      <c r="L752" s="1911">
        <v>640.11</v>
      </c>
      <c r="M752" s="1911">
        <v>67265.31</v>
      </c>
      <c r="N752" s="1752" t="str">
        <f t="shared" si="11"/>
        <v>C390</v>
      </c>
      <c r="O752" s="1752" t="s">
        <v>99</v>
      </c>
      <c r="P752" s="1752" t="s">
        <v>2501</v>
      </c>
      <c r="Q752" s="761"/>
      <c r="R752" s="761"/>
      <c r="S752" s="761"/>
      <c r="T752" s="761"/>
      <c r="U752" s="761"/>
      <c r="V752" s="761"/>
      <c r="W752" s="761"/>
      <c r="X752" s="761"/>
      <c r="Y752" s="761"/>
      <c r="Z752" s="761"/>
      <c r="AA752" s="761"/>
      <c r="AB752" s="761"/>
      <c r="AC752" s="761"/>
      <c r="AD752" s="761"/>
      <c r="AE752" s="761"/>
      <c r="AF752" s="761"/>
      <c r="AG752" s="761"/>
      <c r="AH752" s="761"/>
      <c r="AI752" s="761"/>
      <c r="AJ752" s="761"/>
      <c r="AK752" s="761"/>
      <c r="AL752" s="761"/>
      <c r="AM752" s="761"/>
      <c r="AN752" s="761"/>
      <c r="AO752" s="761"/>
      <c r="AP752" s="761"/>
      <c r="AQ752" s="761"/>
      <c r="AR752" s="761"/>
      <c r="AS752" s="761"/>
      <c r="AT752" s="761"/>
      <c r="AU752" s="761"/>
      <c r="AV752" s="761"/>
      <c r="AW752" s="761"/>
      <c r="AX752" s="761"/>
      <c r="AY752" s="761"/>
      <c r="AZ752" s="761"/>
      <c r="BA752" s="761"/>
      <c r="BB752" s="761"/>
      <c r="BC752" s="761"/>
      <c r="BD752" s="761"/>
      <c r="BE752" s="761"/>
      <c r="BF752" s="761"/>
      <c r="BG752" s="761"/>
      <c r="BH752" s="761"/>
      <c r="BI752" s="761"/>
      <c r="BJ752" s="761"/>
      <c r="BK752" s="761"/>
      <c r="BL752" s="761"/>
      <c r="BM752" s="761"/>
    </row>
    <row r="753" spans="1:65" s="1691" customFormat="1">
      <c r="A753" s="762" t="s">
        <v>2339</v>
      </c>
      <c r="B753" s="762" t="s">
        <v>2340</v>
      </c>
      <c r="C753" s="762" t="s">
        <v>2582</v>
      </c>
      <c r="D753" s="762">
        <v>67959776</v>
      </c>
      <c r="E753" s="762" t="s">
        <v>2443</v>
      </c>
      <c r="F753" s="762">
        <v>143007394</v>
      </c>
      <c r="G753" s="762" t="s">
        <v>6859</v>
      </c>
      <c r="H753" s="1917"/>
      <c r="I753" s="762" t="s">
        <v>6867</v>
      </c>
      <c r="J753" s="762">
        <v>2</v>
      </c>
      <c r="K753" s="1911">
        <v>42348.340000000004</v>
      </c>
      <c r="L753" s="1911">
        <v>399.2</v>
      </c>
      <c r="M753" s="1911">
        <v>41949.14</v>
      </c>
      <c r="N753" s="1752" t="str">
        <f t="shared" si="11"/>
        <v>C390</v>
      </c>
      <c r="O753" s="1752" t="s">
        <v>99</v>
      </c>
      <c r="P753" s="1752" t="s">
        <v>2501</v>
      </c>
      <c r="Q753" s="761"/>
      <c r="R753" s="761"/>
      <c r="S753" s="761"/>
      <c r="T753" s="761"/>
      <c r="U753" s="761"/>
      <c r="V753" s="761"/>
      <c r="W753" s="761"/>
      <c r="X753" s="761"/>
      <c r="Y753" s="761"/>
      <c r="Z753" s="761"/>
      <c r="AA753" s="761"/>
      <c r="AB753" s="761"/>
      <c r="AC753" s="761"/>
      <c r="AD753" s="761"/>
      <c r="AE753" s="761"/>
      <c r="AF753" s="761"/>
      <c r="AG753" s="761"/>
      <c r="AH753" s="761"/>
      <c r="AI753" s="761"/>
      <c r="AJ753" s="761"/>
      <c r="AK753" s="761"/>
      <c r="AL753" s="761"/>
      <c r="AM753" s="761"/>
      <c r="AN753" s="761"/>
      <c r="AO753" s="761"/>
      <c r="AP753" s="761"/>
      <c r="AQ753" s="761"/>
      <c r="AR753" s="761"/>
      <c r="AS753" s="761"/>
      <c r="AT753" s="761"/>
      <c r="AU753" s="761"/>
      <c r="AV753" s="761"/>
      <c r="AW753" s="761"/>
      <c r="AX753" s="761"/>
      <c r="AY753" s="761"/>
      <c r="AZ753" s="761"/>
      <c r="BA753" s="761"/>
      <c r="BB753" s="761"/>
      <c r="BC753" s="761"/>
      <c r="BD753" s="761"/>
      <c r="BE753" s="761"/>
      <c r="BF753" s="761"/>
      <c r="BG753" s="761"/>
      <c r="BH753" s="761"/>
      <c r="BI753" s="761"/>
      <c r="BJ753" s="761"/>
      <c r="BK753" s="761"/>
      <c r="BL753" s="761"/>
      <c r="BM753" s="761"/>
    </row>
    <row r="754" spans="1:65" s="1691" customFormat="1">
      <c r="A754" s="762" t="s">
        <v>2339</v>
      </c>
      <c r="B754" s="762" t="s">
        <v>2340</v>
      </c>
      <c r="C754" s="762" t="s">
        <v>2490</v>
      </c>
      <c r="D754" s="762">
        <v>67959779</v>
      </c>
      <c r="E754" s="762" t="s">
        <v>2443</v>
      </c>
      <c r="F754" s="762">
        <v>143007395</v>
      </c>
      <c r="G754" s="762" t="s">
        <v>6860</v>
      </c>
      <c r="H754" s="1917"/>
      <c r="I754" s="762" t="s">
        <v>6867</v>
      </c>
      <c r="J754" s="762">
        <v>2</v>
      </c>
      <c r="K754" s="1911">
        <v>55822.380000000005</v>
      </c>
      <c r="L754" s="1911">
        <v>526.21</v>
      </c>
      <c r="M754" s="1911">
        <v>55296.17</v>
      </c>
      <c r="N754" s="1752" t="str">
        <f t="shared" si="11"/>
        <v>C390</v>
      </c>
      <c r="O754" s="1752" t="s">
        <v>99</v>
      </c>
      <c r="P754" s="1752" t="s">
        <v>2501</v>
      </c>
      <c r="Q754" s="761"/>
      <c r="R754" s="761"/>
      <c r="S754" s="761"/>
      <c r="T754" s="761"/>
      <c r="U754" s="761"/>
      <c r="V754" s="761"/>
      <c r="W754" s="761"/>
      <c r="X754" s="761"/>
      <c r="Y754" s="761"/>
      <c r="Z754" s="761"/>
      <c r="AA754" s="761"/>
      <c r="AB754" s="761"/>
      <c r="AC754" s="761"/>
      <c r="AD754" s="761"/>
      <c r="AE754" s="761"/>
      <c r="AF754" s="761"/>
      <c r="AG754" s="761"/>
      <c r="AH754" s="761"/>
      <c r="AI754" s="761"/>
      <c r="AJ754" s="761"/>
      <c r="AK754" s="761"/>
      <c r="AL754" s="761"/>
      <c r="AM754" s="761"/>
      <c r="AN754" s="761"/>
      <c r="AO754" s="761"/>
      <c r="AP754" s="761"/>
      <c r="AQ754" s="761"/>
      <c r="AR754" s="761"/>
      <c r="AS754" s="761"/>
      <c r="AT754" s="761"/>
      <c r="AU754" s="761"/>
      <c r="AV754" s="761"/>
      <c r="AW754" s="761"/>
      <c r="AX754" s="761"/>
      <c r="AY754" s="761"/>
      <c r="AZ754" s="761"/>
      <c r="BA754" s="761"/>
      <c r="BB754" s="761"/>
      <c r="BC754" s="761"/>
      <c r="BD754" s="761"/>
      <c r="BE754" s="761"/>
      <c r="BF754" s="761"/>
      <c r="BG754" s="761"/>
      <c r="BH754" s="761"/>
      <c r="BI754" s="761"/>
      <c r="BJ754" s="761"/>
      <c r="BK754" s="761"/>
      <c r="BL754" s="761"/>
      <c r="BM754" s="761"/>
    </row>
    <row r="755" spans="1:65" s="1691" customFormat="1">
      <c r="A755" s="762" t="s">
        <v>2339</v>
      </c>
      <c r="B755" s="762" t="s">
        <v>2340</v>
      </c>
      <c r="C755" s="762" t="s">
        <v>2487</v>
      </c>
      <c r="D755" s="762">
        <v>67959782</v>
      </c>
      <c r="E755" s="762" t="s">
        <v>2443</v>
      </c>
      <c r="F755" s="762">
        <v>143007396</v>
      </c>
      <c r="G755" s="762" t="s">
        <v>6861</v>
      </c>
      <c r="H755" s="1917"/>
      <c r="I755" s="762" t="s">
        <v>6867</v>
      </c>
      <c r="J755" s="762">
        <v>2</v>
      </c>
      <c r="K755" s="1911">
        <v>70532.19</v>
      </c>
      <c r="L755" s="1911">
        <v>664.88</v>
      </c>
      <c r="M755" s="1911">
        <v>69867.31</v>
      </c>
      <c r="N755" s="1752" t="str">
        <f t="shared" si="11"/>
        <v>C390</v>
      </c>
      <c r="O755" s="1752" t="s">
        <v>99</v>
      </c>
      <c r="P755" s="1752" t="s">
        <v>2501</v>
      </c>
      <c r="Q755" s="761"/>
      <c r="R755" s="761"/>
      <c r="S755" s="761"/>
      <c r="T755" s="761"/>
      <c r="U755" s="761"/>
      <c r="V755" s="761"/>
      <c r="W755" s="761"/>
      <c r="X755" s="761"/>
      <c r="Y755" s="761"/>
      <c r="Z755" s="761"/>
      <c r="AA755" s="761"/>
      <c r="AB755" s="761"/>
      <c r="AC755" s="761"/>
      <c r="AD755" s="761"/>
      <c r="AE755" s="761"/>
      <c r="AF755" s="761"/>
      <c r="AG755" s="761"/>
      <c r="AH755" s="761"/>
      <c r="AI755" s="761"/>
      <c r="AJ755" s="761"/>
      <c r="AK755" s="761"/>
      <c r="AL755" s="761"/>
      <c r="AM755" s="761"/>
      <c r="AN755" s="761"/>
      <c r="AO755" s="761"/>
      <c r="AP755" s="761"/>
      <c r="AQ755" s="761"/>
      <c r="AR755" s="761"/>
      <c r="AS755" s="761"/>
      <c r="AT755" s="761"/>
      <c r="AU755" s="761"/>
      <c r="AV755" s="761"/>
      <c r="AW755" s="761"/>
      <c r="AX755" s="761"/>
      <c r="AY755" s="761"/>
      <c r="AZ755" s="761"/>
      <c r="BA755" s="761"/>
      <c r="BB755" s="761"/>
      <c r="BC755" s="761"/>
      <c r="BD755" s="761"/>
      <c r="BE755" s="761"/>
      <c r="BF755" s="761"/>
      <c r="BG755" s="761"/>
      <c r="BH755" s="761"/>
      <c r="BI755" s="761"/>
      <c r="BJ755" s="761"/>
      <c r="BK755" s="761"/>
      <c r="BL755" s="761"/>
      <c r="BM755" s="761"/>
    </row>
    <row r="756" spans="1:65" s="1691" customFormat="1">
      <c r="A756" s="762" t="s">
        <v>2339</v>
      </c>
      <c r="B756" s="762" t="s">
        <v>2340</v>
      </c>
      <c r="C756" s="762" t="s">
        <v>2476</v>
      </c>
      <c r="D756" s="762">
        <v>67959785</v>
      </c>
      <c r="E756" s="762" t="s">
        <v>2443</v>
      </c>
      <c r="F756" s="762">
        <v>143007399</v>
      </c>
      <c r="G756" s="762" t="s">
        <v>6862</v>
      </c>
      <c r="H756" s="1917"/>
      <c r="I756" s="762" t="s">
        <v>6867</v>
      </c>
      <c r="J756" s="762">
        <v>2</v>
      </c>
      <c r="K756" s="1911">
        <v>55640.380000000005</v>
      </c>
      <c r="L756" s="1911">
        <v>524.5</v>
      </c>
      <c r="M756" s="1911">
        <v>55115.880000000005</v>
      </c>
      <c r="N756" s="1752" t="str">
        <f t="shared" si="11"/>
        <v>C390</v>
      </c>
      <c r="O756" s="1752" t="s">
        <v>99</v>
      </c>
      <c r="P756" s="1752" t="s">
        <v>2501</v>
      </c>
      <c r="Q756" s="761"/>
      <c r="R756" s="761"/>
      <c r="S756" s="761"/>
      <c r="T756" s="761"/>
      <c r="U756" s="761"/>
      <c r="V756" s="761"/>
      <c r="W756" s="761"/>
      <c r="X756" s="761"/>
      <c r="Y756" s="761"/>
      <c r="Z756" s="761"/>
      <c r="AA756" s="761"/>
      <c r="AB756" s="761"/>
      <c r="AC756" s="761"/>
      <c r="AD756" s="761"/>
      <c r="AE756" s="761"/>
      <c r="AF756" s="761"/>
      <c r="AG756" s="761"/>
      <c r="AH756" s="761"/>
      <c r="AI756" s="761"/>
      <c r="AJ756" s="761"/>
      <c r="AK756" s="761"/>
      <c r="AL756" s="761"/>
      <c r="AM756" s="761"/>
      <c r="AN756" s="761"/>
      <c r="AO756" s="761"/>
      <c r="AP756" s="761"/>
      <c r="AQ756" s="761"/>
      <c r="AR756" s="761"/>
      <c r="AS756" s="761"/>
      <c r="AT756" s="761"/>
      <c r="AU756" s="761"/>
      <c r="AV756" s="761"/>
      <c r="AW756" s="761"/>
      <c r="AX756" s="761"/>
      <c r="AY756" s="761"/>
      <c r="AZ756" s="761"/>
      <c r="BA756" s="761"/>
      <c r="BB756" s="761"/>
      <c r="BC756" s="761"/>
      <c r="BD756" s="761"/>
      <c r="BE756" s="761"/>
      <c r="BF756" s="761"/>
      <c r="BG756" s="761"/>
      <c r="BH756" s="761"/>
      <c r="BI756" s="761"/>
      <c r="BJ756" s="761"/>
      <c r="BK756" s="761"/>
      <c r="BL756" s="761"/>
      <c r="BM756" s="761"/>
    </row>
    <row r="757" spans="1:65" s="1691" customFormat="1">
      <c r="A757" s="762" t="s">
        <v>2339</v>
      </c>
      <c r="B757" s="762" t="s">
        <v>2340</v>
      </c>
      <c r="C757" s="762" t="s">
        <v>2476</v>
      </c>
      <c r="D757" s="762">
        <v>67959788</v>
      </c>
      <c r="E757" s="762" t="s">
        <v>2443</v>
      </c>
      <c r="F757" s="762">
        <v>143007400</v>
      </c>
      <c r="G757" s="762" t="s">
        <v>6864</v>
      </c>
      <c r="H757" s="1917"/>
      <c r="I757" s="762" t="s">
        <v>6867</v>
      </c>
      <c r="J757" s="762">
        <v>2</v>
      </c>
      <c r="K757" s="1911">
        <v>94563.5</v>
      </c>
      <c r="L757" s="1911">
        <v>891.41</v>
      </c>
      <c r="M757" s="1911">
        <v>93672.09</v>
      </c>
      <c r="N757" s="1752" t="str">
        <f t="shared" si="11"/>
        <v>C390</v>
      </c>
      <c r="O757" s="1752" t="s">
        <v>99</v>
      </c>
      <c r="P757" s="1752" t="s">
        <v>2501</v>
      </c>
      <c r="Q757" s="761"/>
      <c r="R757" s="761"/>
      <c r="S757" s="761"/>
      <c r="T757" s="761"/>
      <c r="U757" s="761"/>
      <c r="V757" s="761"/>
      <c r="W757" s="761"/>
      <c r="X757" s="761"/>
      <c r="Y757" s="761"/>
      <c r="Z757" s="761"/>
      <c r="AA757" s="761"/>
      <c r="AB757" s="761"/>
      <c r="AC757" s="761"/>
      <c r="AD757" s="761"/>
      <c r="AE757" s="761"/>
      <c r="AF757" s="761"/>
      <c r="AG757" s="761"/>
      <c r="AH757" s="761"/>
      <c r="AI757" s="761"/>
      <c r="AJ757" s="761"/>
      <c r="AK757" s="761"/>
      <c r="AL757" s="761"/>
      <c r="AM757" s="761"/>
      <c r="AN757" s="761"/>
      <c r="AO757" s="761"/>
      <c r="AP757" s="761"/>
      <c r="AQ757" s="761"/>
      <c r="AR757" s="761"/>
      <c r="AS757" s="761"/>
      <c r="AT757" s="761"/>
      <c r="AU757" s="761"/>
      <c r="AV757" s="761"/>
      <c r="AW757" s="761"/>
      <c r="AX757" s="761"/>
      <c r="AY757" s="761"/>
      <c r="AZ757" s="761"/>
      <c r="BA757" s="761"/>
      <c r="BB757" s="761"/>
      <c r="BC757" s="761"/>
      <c r="BD757" s="761"/>
      <c r="BE757" s="761"/>
      <c r="BF757" s="761"/>
      <c r="BG757" s="761"/>
      <c r="BH757" s="761"/>
      <c r="BI757" s="761"/>
      <c r="BJ757" s="761"/>
      <c r="BK757" s="761"/>
      <c r="BL757" s="761"/>
      <c r="BM757" s="761"/>
    </row>
    <row r="758" spans="1:65" s="1691" customFormat="1">
      <c r="A758" s="762" t="s">
        <v>2339</v>
      </c>
      <c r="B758" s="762" t="s">
        <v>2340</v>
      </c>
      <c r="C758" s="762" t="s">
        <v>2476</v>
      </c>
      <c r="D758" s="762">
        <v>67959791</v>
      </c>
      <c r="E758" s="762" t="s">
        <v>2443</v>
      </c>
      <c r="F758" s="762">
        <v>143007401</v>
      </c>
      <c r="G758" s="762" t="s">
        <v>6863</v>
      </c>
      <c r="H758" s="1917"/>
      <c r="I758" s="762" t="s">
        <v>6867</v>
      </c>
      <c r="J758" s="762">
        <v>2</v>
      </c>
      <c r="K758" s="1911">
        <v>48534.61</v>
      </c>
      <c r="L758" s="1911">
        <v>457.51</v>
      </c>
      <c r="M758" s="1911">
        <v>48077.1</v>
      </c>
      <c r="N758" s="1752" t="str">
        <f t="shared" si="11"/>
        <v>C390</v>
      </c>
      <c r="O758" s="1752" t="s">
        <v>99</v>
      </c>
      <c r="P758" s="1752" t="s">
        <v>2501</v>
      </c>
      <c r="Q758" s="761"/>
      <c r="R758" s="761"/>
      <c r="S758" s="761"/>
      <c r="T758" s="761"/>
      <c r="U758" s="761"/>
      <c r="V758" s="761"/>
      <c r="W758" s="761"/>
      <c r="X758" s="761"/>
      <c r="Y758" s="761"/>
      <c r="Z758" s="761"/>
      <c r="AA758" s="761"/>
      <c r="AB758" s="761"/>
      <c r="AC758" s="761"/>
      <c r="AD758" s="761"/>
      <c r="AE758" s="761"/>
      <c r="AF758" s="761"/>
      <c r="AG758" s="761"/>
      <c r="AH758" s="761"/>
      <c r="AI758" s="761"/>
      <c r="AJ758" s="761"/>
      <c r="AK758" s="761"/>
      <c r="AL758" s="761"/>
      <c r="AM758" s="761"/>
      <c r="AN758" s="761"/>
      <c r="AO758" s="761"/>
      <c r="AP758" s="761"/>
      <c r="AQ758" s="761"/>
      <c r="AR758" s="761"/>
      <c r="AS758" s="761"/>
      <c r="AT758" s="761"/>
      <c r="AU758" s="761"/>
      <c r="AV758" s="761"/>
      <c r="AW758" s="761"/>
      <c r="AX758" s="761"/>
      <c r="AY758" s="761"/>
      <c r="AZ758" s="761"/>
      <c r="BA758" s="761"/>
      <c r="BB758" s="761"/>
      <c r="BC758" s="761"/>
      <c r="BD758" s="761"/>
      <c r="BE758" s="761"/>
      <c r="BF758" s="761"/>
      <c r="BG758" s="761"/>
      <c r="BH758" s="761"/>
      <c r="BI758" s="761"/>
      <c r="BJ758" s="761"/>
      <c r="BK758" s="761"/>
      <c r="BL758" s="761"/>
      <c r="BM758" s="761"/>
    </row>
    <row r="759" spans="1:65" s="1691" customFormat="1">
      <c r="A759" s="762" t="s">
        <v>2339</v>
      </c>
      <c r="B759" s="762" t="s">
        <v>2340</v>
      </c>
      <c r="C759" s="762" t="s">
        <v>2476</v>
      </c>
      <c r="D759" s="762">
        <v>68173516</v>
      </c>
      <c r="E759" s="762" t="s">
        <v>2443</v>
      </c>
      <c r="F759" s="762">
        <v>143007293</v>
      </c>
      <c r="G759" s="762" t="s">
        <v>6866</v>
      </c>
      <c r="H759" s="1917" t="s">
        <v>8004</v>
      </c>
      <c r="I759" s="762" t="s">
        <v>6867</v>
      </c>
      <c r="J759" s="762">
        <v>1</v>
      </c>
      <c r="K759" s="1911">
        <v>1613778.46</v>
      </c>
      <c r="L759" s="1911">
        <v>15212.36</v>
      </c>
      <c r="M759" s="1911">
        <v>1598566.1</v>
      </c>
      <c r="N759" s="1752" t="str">
        <f t="shared" si="11"/>
        <v>C390</v>
      </c>
      <c r="O759" s="1752" t="s">
        <v>99</v>
      </c>
      <c r="P759" s="1752" t="s">
        <v>2501</v>
      </c>
      <c r="Q759" s="761"/>
      <c r="R759" s="761"/>
      <c r="S759" s="761"/>
      <c r="T759" s="761"/>
      <c r="U759" s="761"/>
      <c r="V759" s="761"/>
      <c r="W759" s="761"/>
      <c r="X759" s="761"/>
      <c r="Y759" s="761"/>
      <c r="Z759" s="761"/>
      <c r="AA759" s="761"/>
      <c r="AB759" s="761"/>
      <c r="AC759" s="761"/>
      <c r="AD759" s="761"/>
      <c r="AE759" s="761"/>
      <c r="AF759" s="761"/>
      <c r="AG759" s="761"/>
      <c r="AH759" s="761"/>
      <c r="AI759" s="761"/>
      <c r="AJ759" s="761"/>
      <c r="AK759" s="761"/>
      <c r="AL759" s="761"/>
      <c r="AM759" s="761"/>
      <c r="AN759" s="761"/>
      <c r="AO759" s="761"/>
      <c r="AP759" s="761"/>
      <c r="AQ759" s="761"/>
      <c r="AR759" s="761"/>
      <c r="AS759" s="761"/>
      <c r="AT759" s="761"/>
      <c r="AU759" s="761"/>
      <c r="AV759" s="761"/>
      <c r="AW759" s="761"/>
      <c r="AX759" s="761"/>
      <c r="AY759" s="761"/>
      <c r="AZ759" s="761"/>
      <c r="BA759" s="761"/>
      <c r="BB759" s="761"/>
      <c r="BC759" s="761"/>
      <c r="BD759" s="761"/>
      <c r="BE759" s="761"/>
      <c r="BF759" s="761"/>
      <c r="BG759" s="761"/>
      <c r="BH759" s="761"/>
      <c r="BI759" s="761"/>
      <c r="BJ759" s="761"/>
      <c r="BK759" s="761"/>
      <c r="BL759" s="761"/>
      <c r="BM759" s="761"/>
    </row>
    <row r="760" spans="1:65" s="1691" customFormat="1">
      <c r="A760" s="1752" t="s">
        <v>2339</v>
      </c>
      <c r="B760" s="1752" t="s">
        <v>2340</v>
      </c>
      <c r="C760" s="1752" t="s">
        <v>2509</v>
      </c>
      <c r="D760" s="1752">
        <v>68173543</v>
      </c>
      <c r="E760" s="1752" t="s">
        <v>2443</v>
      </c>
      <c r="F760" s="1752">
        <v>143007380</v>
      </c>
      <c r="G760" s="1752" t="s">
        <v>6865</v>
      </c>
      <c r="H760" s="1917"/>
      <c r="I760" s="1752" t="s">
        <v>6867</v>
      </c>
      <c r="J760" s="1752">
        <v>1</v>
      </c>
      <c r="K760" s="1911">
        <v>-147339.87</v>
      </c>
      <c r="L760" s="1911">
        <v>-1388.91</v>
      </c>
      <c r="M760" s="1911">
        <v>-145950.96</v>
      </c>
      <c r="N760" s="1752" t="str">
        <f t="shared" si="11"/>
        <v>C390</v>
      </c>
      <c r="O760" s="1752" t="s">
        <v>99</v>
      </c>
      <c r="P760" s="1752" t="s">
        <v>2501</v>
      </c>
      <c r="Q760" s="761"/>
      <c r="R760" s="761"/>
      <c r="S760" s="761"/>
      <c r="T760" s="761"/>
      <c r="U760" s="761"/>
      <c r="V760" s="761"/>
      <c r="W760" s="761"/>
      <c r="X760" s="761"/>
      <c r="Y760" s="761"/>
      <c r="Z760" s="761"/>
      <c r="AA760" s="761"/>
      <c r="AB760" s="761"/>
      <c r="AC760" s="761"/>
      <c r="AD760" s="761"/>
      <c r="AE760" s="761"/>
      <c r="AF760" s="761"/>
      <c r="AG760" s="761"/>
      <c r="AH760" s="761"/>
      <c r="AI760" s="761"/>
      <c r="AJ760" s="761"/>
      <c r="AK760" s="761"/>
      <c r="AL760" s="761"/>
      <c r="AM760" s="761"/>
      <c r="AN760" s="761"/>
      <c r="AO760" s="761"/>
      <c r="AP760" s="761"/>
      <c r="AQ760" s="761"/>
      <c r="AR760" s="761"/>
      <c r="AS760" s="761"/>
      <c r="AT760" s="761"/>
      <c r="AU760" s="761"/>
      <c r="AV760" s="761"/>
      <c r="AW760" s="761"/>
      <c r="AX760" s="761"/>
      <c r="AY760" s="761"/>
      <c r="AZ760" s="761"/>
      <c r="BA760" s="761"/>
      <c r="BB760" s="761"/>
      <c r="BC760" s="761"/>
      <c r="BD760" s="761"/>
      <c r="BE760" s="761"/>
      <c r="BF760" s="761"/>
      <c r="BG760" s="761"/>
      <c r="BH760" s="761"/>
      <c r="BI760" s="761"/>
      <c r="BJ760" s="761"/>
      <c r="BK760" s="761"/>
      <c r="BL760" s="761"/>
      <c r="BM760" s="761"/>
    </row>
    <row r="761" spans="1:65">
      <c r="A761" s="761" t="s">
        <v>2339</v>
      </c>
      <c r="B761" s="761" t="s">
        <v>2340</v>
      </c>
      <c r="C761" s="761" t="s">
        <v>2610</v>
      </c>
      <c r="D761" s="761">
        <v>16230523</v>
      </c>
      <c r="E761" s="761" t="s">
        <v>2611</v>
      </c>
      <c r="F761" s="761">
        <v>143001544</v>
      </c>
      <c r="G761" s="761" t="s">
        <v>2612</v>
      </c>
      <c r="H761" s="761" t="s">
        <v>2612</v>
      </c>
      <c r="I761" s="761" t="s">
        <v>6867</v>
      </c>
      <c r="J761" s="761">
        <v>1</v>
      </c>
      <c r="K761" s="746">
        <v>248063.69</v>
      </c>
      <c r="L761" s="746">
        <v>248063.69</v>
      </c>
      <c r="M761" s="746">
        <v>0</v>
      </c>
      <c r="N761" s="493" t="str">
        <f t="shared" ref="N761:N792" si="12">LEFT(E761,5)</f>
        <v>C3901</v>
      </c>
      <c r="O761" s="493" t="s">
        <v>99</v>
      </c>
      <c r="P761" s="493"/>
    </row>
    <row r="762" spans="1:65">
      <c r="A762" s="761" t="s">
        <v>2339</v>
      </c>
      <c r="B762" s="761" t="s">
        <v>2340</v>
      </c>
      <c r="C762" s="761" t="s">
        <v>2610</v>
      </c>
      <c r="D762" s="761">
        <v>22922726</v>
      </c>
      <c r="E762" s="761" t="s">
        <v>2611</v>
      </c>
      <c r="F762" s="761">
        <v>143001660</v>
      </c>
      <c r="G762" s="761" t="s">
        <v>2613</v>
      </c>
      <c r="H762" s="761" t="s">
        <v>2614</v>
      </c>
      <c r="I762" s="761" t="s">
        <v>6867</v>
      </c>
      <c r="J762" s="761">
        <v>0</v>
      </c>
      <c r="K762" s="746">
        <v>926619.01</v>
      </c>
      <c r="L762" s="746">
        <v>926619.01</v>
      </c>
      <c r="M762" s="746">
        <v>0</v>
      </c>
      <c r="N762" s="493" t="str">
        <f t="shared" si="12"/>
        <v>C3901</v>
      </c>
      <c r="O762" s="493" t="s">
        <v>99</v>
      </c>
      <c r="P762" s="493"/>
    </row>
    <row r="763" spans="1:65">
      <c r="A763" s="761" t="s">
        <v>2339</v>
      </c>
      <c r="B763" s="761" t="s">
        <v>2340</v>
      </c>
      <c r="C763" s="761" t="s">
        <v>2494</v>
      </c>
      <c r="D763" s="761">
        <v>9404534</v>
      </c>
      <c r="E763" s="761" t="s">
        <v>2615</v>
      </c>
      <c r="F763" s="761">
        <v>131204320</v>
      </c>
      <c r="G763" s="761" t="s">
        <v>2618</v>
      </c>
      <c r="H763" s="761" t="s">
        <v>2619</v>
      </c>
      <c r="I763" s="761" t="s">
        <v>6867</v>
      </c>
      <c r="J763" s="761">
        <v>0</v>
      </c>
      <c r="K763" s="746">
        <v>103600.09</v>
      </c>
      <c r="L763" s="746">
        <v>103600.09</v>
      </c>
      <c r="M763" s="746">
        <v>0</v>
      </c>
      <c r="N763" s="493" t="str">
        <f t="shared" si="12"/>
        <v>C3901</v>
      </c>
      <c r="O763" s="493" t="s">
        <v>99</v>
      </c>
      <c r="P763" s="493"/>
    </row>
    <row r="764" spans="1:65">
      <c r="A764" s="761" t="s">
        <v>2339</v>
      </c>
      <c r="B764" s="761" t="s">
        <v>2340</v>
      </c>
      <c r="C764" s="761" t="s">
        <v>2494</v>
      </c>
      <c r="D764" s="761">
        <v>9404538</v>
      </c>
      <c r="E764" s="761" t="s">
        <v>2615</v>
      </c>
      <c r="F764" s="761">
        <v>131204320</v>
      </c>
      <c r="G764" s="761" t="s">
        <v>2618</v>
      </c>
      <c r="H764" s="761" t="s">
        <v>2619</v>
      </c>
      <c r="I764" s="761" t="s">
        <v>6867</v>
      </c>
      <c r="J764" s="761">
        <v>0</v>
      </c>
      <c r="K764" s="746">
        <v>388666.57</v>
      </c>
      <c r="L764" s="746">
        <v>388666.57</v>
      </c>
      <c r="M764" s="746">
        <v>0</v>
      </c>
      <c r="N764" s="493" t="str">
        <f t="shared" si="12"/>
        <v>C3901</v>
      </c>
      <c r="O764" s="493" t="s">
        <v>99</v>
      </c>
      <c r="P764" s="493"/>
    </row>
    <row r="765" spans="1:65">
      <c r="A765" s="761" t="s">
        <v>2339</v>
      </c>
      <c r="B765" s="761" t="s">
        <v>2340</v>
      </c>
      <c r="C765" s="761" t="s">
        <v>2494</v>
      </c>
      <c r="D765" s="761">
        <v>9404540</v>
      </c>
      <c r="E765" s="761" t="s">
        <v>2615</v>
      </c>
      <c r="F765" s="761">
        <v>131204320</v>
      </c>
      <c r="G765" s="761" t="s">
        <v>2618</v>
      </c>
      <c r="H765" s="761" t="s">
        <v>2619</v>
      </c>
      <c r="I765" s="761" t="s">
        <v>6867</v>
      </c>
      <c r="J765" s="761">
        <v>0</v>
      </c>
      <c r="K765" s="746">
        <v>1366470.6400000001</v>
      </c>
      <c r="L765" s="746">
        <v>1366470.6400000001</v>
      </c>
      <c r="M765" s="746">
        <v>0</v>
      </c>
      <c r="N765" s="493" t="str">
        <f t="shared" si="12"/>
        <v>C3901</v>
      </c>
      <c r="O765" s="493" t="s">
        <v>99</v>
      </c>
      <c r="P765" s="493"/>
    </row>
    <row r="766" spans="1:65">
      <c r="A766" s="761" t="s">
        <v>2339</v>
      </c>
      <c r="B766" s="761" t="s">
        <v>2340</v>
      </c>
      <c r="C766" s="761" t="s">
        <v>2494</v>
      </c>
      <c r="D766" s="761">
        <v>9404541</v>
      </c>
      <c r="E766" s="761" t="s">
        <v>2615</v>
      </c>
      <c r="F766" s="761">
        <v>131204320</v>
      </c>
      <c r="G766" s="761" t="s">
        <v>2618</v>
      </c>
      <c r="H766" s="761" t="s">
        <v>2619</v>
      </c>
      <c r="I766" s="761" t="s">
        <v>6867</v>
      </c>
      <c r="J766" s="761">
        <v>0</v>
      </c>
      <c r="K766" s="746">
        <v>26434.9</v>
      </c>
      <c r="L766" s="746">
        <v>26434.9</v>
      </c>
      <c r="M766" s="746">
        <v>0</v>
      </c>
      <c r="N766" s="493" t="str">
        <f t="shared" si="12"/>
        <v>C3901</v>
      </c>
      <c r="O766" s="493" t="s">
        <v>99</v>
      </c>
      <c r="P766" s="493"/>
    </row>
    <row r="767" spans="1:65">
      <c r="A767" s="761" t="s">
        <v>2339</v>
      </c>
      <c r="B767" s="761" t="s">
        <v>2340</v>
      </c>
      <c r="C767" s="761" t="s">
        <v>2494</v>
      </c>
      <c r="D767" s="761">
        <v>9404542</v>
      </c>
      <c r="E767" s="761" t="s">
        <v>2615</v>
      </c>
      <c r="F767" s="761">
        <v>131204320</v>
      </c>
      <c r="G767" s="761" t="s">
        <v>2618</v>
      </c>
      <c r="H767" s="761" t="s">
        <v>2619</v>
      </c>
      <c r="I767" s="761" t="s">
        <v>6867</v>
      </c>
      <c r="J767" s="761">
        <v>0</v>
      </c>
      <c r="K767" s="746">
        <v>23810.66</v>
      </c>
      <c r="L767" s="746">
        <v>23810.66</v>
      </c>
      <c r="M767" s="746">
        <v>0</v>
      </c>
      <c r="N767" s="493" t="str">
        <f t="shared" si="12"/>
        <v>C3901</v>
      </c>
      <c r="O767" s="493" t="s">
        <v>99</v>
      </c>
      <c r="P767" s="493"/>
    </row>
    <row r="768" spans="1:65">
      <c r="A768" s="761" t="s">
        <v>2339</v>
      </c>
      <c r="B768" s="761" t="s">
        <v>2340</v>
      </c>
      <c r="C768" s="761" t="s">
        <v>2494</v>
      </c>
      <c r="D768" s="761">
        <v>9404543</v>
      </c>
      <c r="E768" s="761" t="s">
        <v>2615</v>
      </c>
      <c r="F768" s="761">
        <v>131204320</v>
      </c>
      <c r="G768" s="761" t="s">
        <v>2618</v>
      </c>
      <c r="H768" s="761" t="s">
        <v>2619</v>
      </c>
      <c r="I768" s="761" t="s">
        <v>6867</v>
      </c>
      <c r="J768" s="761">
        <v>0</v>
      </c>
      <c r="K768" s="746">
        <v>1433000.62</v>
      </c>
      <c r="L768" s="746">
        <v>1433000.62</v>
      </c>
      <c r="M768" s="746">
        <v>0</v>
      </c>
      <c r="N768" s="493" t="str">
        <f t="shared" si="12"/>
        <v>C3901</v>
      </c>
      <c r="O768" s="493" t="s">
        <v>99</v>
      </c>
      <c r="P768" s="493"/>
    </row>
    <row r="769" spans="1:16">
      <c r="A769" s="761" t="s">
        <v>2339</v>
      </c>
      <c r="B769" s="761" t="s">
        <v>2340</v>
      </c>
      <c r="C769" s="761" t="s">
        <v>2494</v>
      </c>
      <c r="D769" s="761">
        <v>9404544</v>
      </c>
      <c r="E769" s="761" t="s">
        <v>2615</v>
      </c>
      <c r="F769" s="761">
        <v>131204320</v>
      </c>
      <c r="G769" s="761" t="s">
        <v>2618</v>
      </c>
      <c r="H769" s="761" t="s">
        <v>2619</v>
      </c>
      <c r="I769" s="761" t="s">
        <v>6867</v>
      </c>
      <c r="J769" s="761">
        <v>0</v>
      </c>
      <c r="K769" s="746">
        <v>157393.06</v>
      </c>
      <c r="L769" s="746">
        <v>157393.06</v>
      </c>
      <c r="M769" s="746">
        <v>0</v>
      </c>
      <c r="N769" s="493" t="str">
        <f t="shared" si="12"/>
        <v>C3901</v>
      </c>
      <c r="O769" s="493" t="s">
        <v>99</v>
      </c>
      <c r="P769" s="493"/>
    </row>
    <row r="770" spans="1:16">
      <c r="A770" s="761" t="s">
        <v>2339</v>
      </c>
      <c r="B770" s="761" t="s">
        <v>2340</v>
      </c>
      <c r="C770" s="761" t="s">
        <v>2494</v>
      </c>
      <c r="D770" s="761">
        <v>9404545</v>
      </c>
      <c r="E770" s="761" t="s">
        <v>2615</v>
      </c>
      <c r="F770" s="761">
        <v>131204320</v>
      </c>
      <c r="G770" s="761" t="s">
        <v>2618</v>
      </c>
      <c r="H770" s="761" t="s">
        <v>2619</v>
      </c>
      <c r="I770" s="761" t="s">
        <v>6867</v>
      </c>
      <c r="J770" s="761">
        <v>0</v>
      </c>
      <c r="K770" s="746">
        <v>62792.42</v>
      </c>
      <c r="L770" s="746">
        <v>62792.42</v>
      </c>
      <c r="M770" s="746">
        <v>0</v>
      </c>
      <c r="N770" s="493" t="str">
        <f t="shared" si="12"/>
        <v>C3901</v>
      </c>
      <c r="O770" s="493" t="s">
        <v>99</v>
      </c>
      <c r="P770" s="493"/>
    </row>
    <row r="771" spans="1:16">
      <c r="A771" s="761" t="s">
        <v>2339</v>
      </c>
      <c r="B771" s="761" t="s">
        <v>2340</v>
      </c>
      <c r="C771" s="761" t="s">
        <v>2494</v>
      </c>
      <c r="D771" s="761">
        <v>9404546</v>
      </c>
      <c r="E771" s="761" t="s">
        <v>2615</v>
      </c>
      <c r="F771" s="761">
        <v>131204320</v>
      </c>
      <c r="G771" s="761" t="s">
        <v>2618</v>
      </c>
      <c r="H771" s="761" t="s">
        <v>2619</v>
      </c>
      <c r="I771" s="761" t="s">
        <v>6867</v>
      </c>
      <c r="J771" s="761">
        <v>0</v>
      </c>
      <c r="K771" s="746">
        <v>4312.8</v>
      </c>
      <c r="L771" s="746">
        <v>4312.8</v>
      </c>
      <c r="M771" s="746">
        <v>0</v>
      </c>
      <c r="N771" s="493" t="str">
        <f t="shared" si="12"/>
        <v>C3901</v>
      </c>
      <c r="O771" s="493" t="s">
        <v>99</v>
      </c>
      <c r="P771" s="493"/>
    </row>
    <row r="772" spans="1:16">
      <c r="A772" s="761" t="s">
        <v>2339</v>
      </c>
      <c r="B772" s="761" t="s">
        <v>2340</v>
      </c>
      <c r="C772" s="761" t="s">
        <v>2494</v>
      </c>
      <c r="D772" s="761">
        <v>9404547</v>
      </c>
      <c r="E772" s="761" t="s">
        <v>2615</v>
      </c>
      <c r="F772" s="761">
        <v>131204320</v>
      </c>
      <c r="G772" s="761" t="s">
        <v>2618</v>
      </c>
      <c r="H772" s="761" t="s">
        <v>2619</v>
      </c>
      <c r="I772" s="761" t="s">
        <v>6867</v>
      </c>
      <c r="J772" s="761">
        <v>0</v>
      </c>
      <c r="K772" s="746">
        <v>31767.24</v>
      </c>
      <c r="L772" s="746">
        <v>31767.24</v>
      </c>
      <c r="M772" s="746">
        <v>0</v>
      </c>
      <c r="N772" s="493" t="str">
        <f t="shared" si="12"/>
        <v>C3901</v>
      </c>
      <c r="O772" s="493" t="s">
        <v>99</v>
      </c>
      <c r="P772" s="493"/>
    </row>
    <row r="773" spans="1:16">
      <c r="A773" s="761" t="s">
        <v>2339</v>
      </c>
      <c r="B773" s="761" t="s">
        <v>2340</v>
      </c>
      <c r="C773" s="761" t="s">
        <v>2494</v>
      </c>
      <c r="D773" s="761">
        <v>9404548</v>
      </c>
      <c r="E773" s="761" t="s">
        <v>2615</v>
      </c>
      <c r="F773" s="761">
        <v>131204320</v>
      </c>
      <c r="G773" s="761" t="s">
        <v>2618</v>
      </c>
      <c r="H773" s="761" t="s">
        <v>2619</v>
      </c>
      <c r="I773" s="761" t="s">
        <v>6867</v>
      </c>
      <c r="J773" s="761">
        <v>0</v>
      </c>
      <c r="K773" s="746">
        <v>593121.4</v>
      </c>
      <c r="L773" s="746">
        <v>593121.4</v>
      </c>
      <c r="M773" s="746">
        <v>0</v>
      </c>
      <c r="N773" s="493" t="str">
        <f t="shared" si="12"/>
        <v>C3901</v>
      </c>
      <c r="O773" s="493" t="s">
        <v>99</v>
      </c>
      <c r="P773" s="493"/>
    </row>
    <row r="774" spans="1:16">
      <c r="A774" s="761" t="s">
        <v>2339</v>
      </c>
      <c r="B774" s="761" t="s">
        <v>2340</v>
      </c>
      <c r="C774" s="761" t="s">
        <v>2494</v>
      </c>
      <c r="D774" s="761">
        <v>9404549</v>
      </c>
      <c r="E774" s="761" t="s">
        <v>2615</v>
      </c>
      <c r="F774" s="761">
        <v>131204320</v>
      </c>
      <c r="G774" s="761" t="s">
        <v>2618</v>
      </c>
      <c r="H774" s="761" t="s">
        <v>2619</v>
      </c>
      <c r="I774" s="761" t="s">
        <v>6867</v>
      </c>
      <c r="J774" s="761">
        <v>0</v>
      </c>
      <c r="K774" s="746">
        <v>156709.94</v>
      </c>
      <c r="L774" s="746">
        <v>156709.94</v>
      </c>
      <c r="M774" s="746">
        <v>0</v>
      </c>
      <c r="N774" s="493" t="str">
        <f t="shared" si="12"/>
        <v>C3901</v>
      </c>
      <c r="O774" s="493" t="s">
        <v>99</v>
      </c>
      <c r="P774" s="493"/>
    </row>
    <row r="775" spans="1:16">
      <c r="A775" s="761" t="s">
        <v>2339</v>
      </c>
      <c r="B775" s="761" t="s">
        <v>2340</v>
      </c>
      <c r="C775" s="761" t="s">
        <v>2494</v>
      </c>
      <c r="D775" s="761">
        <v>9404550</v>
      </c>
      <c r="E775" s="761" t="s">
        <v>2615</v>
      </c>
      <c r="F775" s="761">
        <v>131204320</v>
      </c>
      <c r="G775" s="761" t="s">
        <v>2618</v>
      </c>
      <c r="H775" s="761" t="s">
        <v>2619</v>
      </c>
      <c r="I775" s="761" t="s">
        <v>6867</v>
      </c>
      <c r="J775" s="761">
        <v>0</v>
      </c>
      <c r="K775" s="746">
        <v>224017.32</v>
      </c>
      <c r="L775" s="746">
        <v>224017.32</v>
      </c>
      <c r="M775" s="746">
        <v>0</v>
      </c>
      <c r="N775" s="493" t="str">
        <f t="shared" si="12"/>
        <v>C3901</v>
      </c>
      <c r="O775" s="493" t="s">
        <v>99</v>
      </c>
      <c r="P775" s="493"/>
    </row>
    <row r="776" spans="1:16">
      <c r="A776" s="761" t="s">
        <v>2339</v>
      </c>
      <c r="B776" s="761" t="s">
        <v>2340</v>
      </c>
      <c r="C776" s="761" t="s">
        <v>2494</v>
      </c>
      <c r="D776" s="761">
        <v>9404551</v>
      </c>
      <c r="E776" s="761" t="s">
        <v>2615</v>
      </c>
      <c r="F776" s="761">
        <v>131204320</v>
      </c>
      <c r="G776" s="761" t="s">
        <v>2618</v>
      </c>
      <c r="H776" s="761" t="s">
        <v>2619</v>
      </c>
      <c r="I776" s="761" t="s">
        <v>6867</v>
      </c>
      <c r="J776" s="761">
        <v>0</v>
      </c>
      <c r="K776" s="746">
        <v>418606.55</v>
      </c>
      <c r="L776" s="746">
        <v>418606.55</v>
      </c>
      <c r="M776" s="746">
        <v>0</v>
      </c>
      <c r="N776" s="493" t="str">
        <f t="shared" si="12"/>
        <v>C3901</v>
      </c>
      <c r="O776" s="493" t="s">
        <v>99</v>
      </c>
      <c r="P776" s="493"/>
    </row>
    <row r="777" spans="1:16">
      <c r="A777" s="761" t="s">
        <v>2339</v>
      </c>
      <c r="B777" s="761" t="s">
        <v>2340</v>
      </c>
      <c r="C777" s="761" t="s">
        <v>2494</v>
      </c>
      <c r="D777" s="761">
        <v>9404552</v>
      </c>
      <c r="E777" s="761" t="s">
        <v>2615</v>
      </c>
      <c r="F777" s="761">
        <v>131204320</v>
      </c>
      <c r="G777" s="761" t="s">
        <v>2618</v>
      </c>
      <c r="H777" s="761" t="s">
        <v>2619</v>
      </c>
      <c r="I777" s="761" t="s">
        <v>6867</v>
      </c>
      <c r="J777" s="761">
        <v>0</v>
      </c>
      <c r="K777" s="746">
        <v>41665.26</v>
      </c>
      <c r="L777" s="746">
        <v>41665.26</v>
      </c>
      <c r="M777" s="746">
        <v>0</v>
      </c>
      <c r="N777" s="493" t="str">
        <f t="shared" si="12"/>
        <v>C3901</v>
      </c>
      <c r="O777" s="493" t="s">
        <v>99</v>
      </c>
      <c r="P777" s="493"/>
    </row>
    <row r="778" spans="1:16">
      <c r="A778" s="761" t="s">
        <v>2339</v>
      </c>
      <c r="B778" s="761" t="s">
        <v>2340</v>
      </c>
      <c r="C778" s="761" t="s">
        <v>2494</v>
      </c>
      <c r="D778" s="761">
        <v>9404554</v>
      </c>
      <c r="E778" s="761" t="s">
        <v>2615</v>
      </c>
      <c r="F778" s="761">
        <v>131203703</v>
      </c>
      <c r="G778" s="761" t="s">
        <v>2616</v>
      </c>
      <c r="H778" s="761" t="s">
        <v>2617</v>
      </c>
      <c r="I778" s="761" t="s">
        <v>6867</v>
      </c>
      <c r="J778" s="761">
        <v>0</v>
      </c>
      <c r="K778" s="746">
        <v>27579.62</v>
      </c>
      <c r="L778" s="746">
        <v>27579.62</v>
      </c>
      <c r="M778" s="746">
        <v>0</v>
      </c>
      <c r="N778" s="493" t="str">
        <f t="shared" si="12"/>
        <v>C3901</v>
      </c>
      <c r="O778" s="493" t="s">
        <v>99</v>
      </c>
      <c r="P778" s="493"/>
    </row>
    <row r="779" spans="1:16">
      <c r="A779" s="761" t="s">
        <v>2339</v>
      </c>
      <c r="B779" s="761" t="s">
        <v>2340</v>
      </c>
      <c r="C779" s="761" t="s">
        <v>2494</v>
      </c>
      <c r="D779" s="761">
        <v>9404555</v>
      </c>
      <c r="E779" s="761" t="s">
        <v>2615</v>
      </c>
      <c r="F779" s="761">
        <v>131203703</v>
      </c>
      <c r="G779" s="761" t="s">
        <v>2616</v>
      </c>
      <c r="H779" s="761" t="s">
        <v>2617</v>
      </c>
      <c r="I779" s="761" t="s">
        <v>6867</v>
      </c>
      <c r="J779" s="761">
        <v>0</v>
      </c>
      <c r="K779" s="746">
        <v>24841.7</v>
      </c>
      <c r="L779" s="746">
        <v>24841.7</v>
      </c>
      <c r="M779" s="746">
        <v>0</v>
      </c>
      <c r="N779" s="493" t="str">
        <f t="shared" si="12"/>
        <v>C3901</v>
      </c>
      <c r="O779" s="493" t="s">
        <v>99</v>
      </c>
      <c r="P779" s="493"/>
    </row>
    <row r="780" spans="1:16">
      <c r="A780" s="761" t="s">
        <v>2339</v>
      </c>
      <c r="B780" s="761" t="s">
        <v>2340</v>
      </c>
      <c r="C780" s="761" t="s">
        <v>2494</v>
      </c>
      <c r="D780" s="761">
        <v>9404556</v>
      </c>
      <c r="E780" s="761" t="s">
        <v>2615</v>
      </c>
      <c r="F780" s="761">
        <v>131203703</v>
      </c>
      <c r="G780" s="761" t="s">
        <v>2616</v>
      </c>
      <c r="H780" s="761" t="s">
        <v>2617</v>
      </c>
      <c r="I780" s="761" t="s">
        <v>6867</v>
      </c>
      <c r="J780" s="761">
        <v>0</v>
      </c>
      <c r="K780" s="746">
        <v>1495051.7</v>
      </c>
      <c r="L780" s="746">
        <v>1495051.7</v>
      </c>
      <c r="M780" s="746">
        <v>0</v>
      </c>
      <c r="N780" s="493" t="str">
        <f t="shared" si="12"/>
        <v>C3901</v>
      </c>
      <c r="O780" s="493" t="s">
        <v>99</v>
      </c>
      <c r="P780" s="493"/>
    </row>
    <row r="781" spans="1:16">
      <c r="A781" s="761" t="s">
        <v>2339</v>
      </c>
      <c r="B781" s="761" t="s">
        <v>2340</v>
      </c>
      <c r="C781" s="761" t="s">
        <v>2494</v>
      </c>
      <c r="D781" s="761">
        <v>9404557</v>
      </c>
      <c r="E781" s="761" t="s">
        <v>2615</v>
      </c>
      <c r="F781" s="761">
        <v>131203703</v>
      </c>
      <c r="G781" s="761" t="s">
        <v>2616</v>
      </c>
      <c r="H781" s="761" t="s">
        <v>2617</v>
      </c>
      <c r="I781" s="761" t="s">
        <v>6867</v>
      </c>
      <c r="J781" s="761">
        <v>0</v>
      </c>
      <c r="K781" s="746">
        <v>164208.35</v>
      </c>
      <c r="L781" s="746">
        <v>164208.35</v>
      </c>
      <c r="M781" s="746">
        <v>0</v>
      </c>
      <c r="N781" s="493" t="str">
        <f t="shared" si="12"/>
        <v>C3901</v>
      </c>
      <c r="O781" s="493" t="s">
        <v>99</v>
      </c>
      <c r="P781" s="493"/>
    </row>
    <row r="782" spans="1:16">
      <c r="A782" s="761" t="s">
        <v>2339</v>
      </c>
      <c r="B782" s="761" t="s">
        <v>2340</v>
      </c>
      <c r="C782" s="761" t="s">
        <v>2494</v>
      </c>
      <c r="D782" s="761">
        <v>9404558</v>
      </c>
      <c r="E782" s="761" t="s">
        <v>2615</v>
      </c>
      <c r="F782" s="761">
        <v>131203703</v>
      </c>
      <c r="G782" s="761" t="s">
        <v>2616</v>
      </c>
      <c r="H782" s="761" t="s">
        <v>2617</v>
      </c>
      <c r="I782" s="761" t="s">
        <v>6867</v>
      </c>
      <c r="J782" s="761">
        <v>0</v>
      </c>
      <c r="K782" s="746">
        <v>65511.43</v>
      </c>
      <c r="L782" s="746">
        <v>65511.43</v>
      </c>
      <c r="M782" s="746">
        <v>0</v>
      </c>
      <c r="N782" s="493" t="str">
        <f t="shared" si="12"/>
        <v>C3901</v>
      </c>
      <c r="O782" s="493" t="s">
        <v>99</v>
      </c>
      <c r="P782" s="493"/>
    </row>
    <row r="783" spans="1:16">
      <c r="A783" s="761" t="s">
        <v>2339</v>
      </c>
      <c r="B783" s="761" t="s">
        <v>2340</v>
      </c>
      <c r="C783" s="761" t="s">
        <v>2494</v>
      </c>
      <c r="D783" s="761">
        <v>9404559</v>
      </c>
      <c r="E783" s="761" t="s">
        <v>2615</v>
      </c>
      <c r="F783" s="761">
        <v>131203703</v>
      </c>
      <c r="G783" s="761" t="s">
        <v>2616</v>
      </c>
      <c r="H783" s="761" t="s">
        <v>2617</v>
      </c>
      <c r="I783" s="761" t="s">
        <v>6867</v>
      </c>
      <c r="J783" s="761">
        <v>0</v>
      </c>
      <c r="K783" s="746">
        <v>4499.5600000000004</v>
      </c>
      <c r="L783" s="746">
        <v>4499.5600000000004</v>
      </c>
      <c r="M783" s="746">
        <v>0</v>
      </c>
      <c r="N783" s="493" t="str">
        <f t="shared" si="12"/>
        <v>C3901</v>
      </c>
      <c r="O783" s="493" t="s">
        <v>99</v>
      </c>
      <c r="P783" s="493"/>
    </row>
    <row r="784" spans="1:16">
      <c r="A784" s="761" t="s">
        <v>2339</v>
      </c>
      <c r="B784" s="761" t="s">
        <v>2340</v>
      </c>
      <c r="C784" s="761" t="s">
        <v>2494</v>
      </c>
      <c r="D784" s="761">
        <v>9404560</v>
      </c>
      <c r="E784" s="761" t="s">
        <v>2615</v>
      </c>
      <c r="F784" s="761">
        <v>131203703</v>
      </c>
      <c r="G784" s="761" t="s">
        <v>2616</v>
      </c>
      <c r="H784" s="761" t="s">
        <v>2617</v>
      </c>
      <c r="I784" s="761" t="s">
        <v>6867</v>
      </c>
      <c r="J784" s="761">
        <v>0</v>
      </c>
      <c r="K784" s="746">
        <v>38316.42</v>
      </c>
      <c r="L784" s="746">
        <v>38316.42</v>
      </c>
      <c r="M784" s="746">
        <v>0</v>
      </c>
      <c r="N784" s="493" t="str">
        <f t="shared" si="12"/>
        <v>C3901</v>
      </c>
      <c r="O784" s="493" t="s">
        <v>99</v>
      </c>
      <c r="P784" s="493"/>
    </row>
    <row r="785" spans="1:16">
      <c r="A785" s="761" t="s">
        <v>2339</v>
      </c>
      <c r="B785" s="761" t="s">
        <v>2340</v>
      </c>
      <c r="C785" s="761" t="s">
        <v>2494</v>
      </c>
      <c r="D785" s="761">
        <v>9404561</v>
      </c>
      <c r="E785" s="761" t="s">
        <v>2615</v>
      </c>
      <c r="F785" s="761">
        <v>131203703</v>
      </c>
      <c r="G785" s="761" t="s">
        <v>2616</v>
      </c>
      <c r="H785" s="761" t="s">
        <v>2617</v>
      </c>
      <c r="I785" s="761" t="s">
        <v>6867</v>
      </c>
      <c r="J785" s="761">
        <v>0</v>
      </c>
      <c r="K785" s="746">
        <v>618804.31000000006</v>
      </c>
      <c r="L785" s="746">
        <v>618804.31000000006</v>
      </c>
      <c r="M785" s="746">
        <v>0</v>
      </c>
      <c r="N785" s="493" t="str">
        <f t="shared" si="12"/>
        <v>C3901</v>
      </c>
      <c r="O785" s="493" t="s">
        <v>99</v>
      </c>
      <c r="P785" s="493"/>
    </row>
    <row r="786" spans="1:16">
      <c r="A786" s="761" t="s">
        <v>2339</v>
      </c>
      <c r="B786" s="761" t="s">
        <v>2340</v>
      </c>
      <c r="C786" s="761" t="s">
        <v>2494</v>
      </c>
      <c r="D786" s="761">
        <v>9404562</v>
      </c>
      <c r="E786" s="761" t="s">
        <v>2615</v>
      </c>
      <c r="F786" s="761">
        <v>131203703</v>
      </c>
      <c r="G786" s="761" t="s">
        <v>2616</v>
      </c>
      <c r="H786" s="761" t="s">
        <v>2617</v>
      </c>
      <c r="I786" s="761" t="s">
        <v>6867</v>
      </c>
      <c r="J786" s="761">
        <v>0</v>
      </c>
      <c r="K786" s="746">
        <v>163495.66</v>
      </c>
      <c r="L786" s="746">
        <v>163495.66</v>
      </c>
      <c r="M786" s="746">
        <v>0</v>
      </c>
      <c r="N786" s="493" t="str">
        <f t="shared" si="12"/>
        <v>C3901</v>
      </c>
      <c r="O786" s="493" t="s">
        <v>99</v>
      </c>
      <c r="P786" s="493"/>
    </row>
    <row r="787" spans="1:16">
      <c r="A787" s="761" t="s">
        <v>2339</v>
      </c>
      <c r="B787" s="761" t="s">
        <v>2340</v>
      </c>
      <c r="C787" s="761" t="s">
        <v>2494</v>
      </c>
      <c r="D787" s="761">
        <v>9404563</v>
      </c>
      <c r="E787" s="761" t="s">
        <v>2615</v>
      </c>
      <c r="F787" s="761">
        <v>131203703</v>
      </c>
      <c r="G787" s="761" t="s">
        <v>2616</v>
      </c>
      <c r="H787" s="761" t="s">
        <v>2617</v>
      </c>
      <c r="I787" s="761" t="s">
        <v>6867</v>
      </c>
      <c r="J787" s="761">
        <v>0</v>
      </c>
      <c r="K787" s="746">
        <v>233717.55000000002</v>
      </c>
      <c r="L787" s="746">
        <v>233717.55000000002</v>
      </c>
      <c r="M787" s="746">
        <v>0</v>
      </c>
      <c r="N787" s="493" t="str">
        <f t="shared" si="12"/>
        <v>C3901</v>
      </c>
      <c r="O787" s="493" t="s">
        <v>99</v>
      </c>
      <c r="P787" s="493"/>
    </row>
    <row r="788" spans="1:16">
      <c r="A788" s="761" t="s">
        <v>2339</v>
      </c>
      <c r="B788" s="761" t="s">
        <v>2340</v>
      </c>
      <c r="C788" s="761" t="s">
        <v>2494</v>
      </c>
      <c r="D788" s="761">
        <v>9404564</v>
      </c>
      <c r="E788" s="761" t="s">
        <v>2615</v>
      </c>
      <c r="F788" s="761">
        <v>131203703</v>
      </c>
      <c r="G788" s="761" t="s">
        <v>2616</v>
      </c>
      <c r="H788" s="761" t="s">
        <v>2617</v>
      </c>
      <c r="I788" s="761" t="s">
        <v>6867</v>
      </c>
      <c r="J788" s="761">
        <v>0</v>
      </c>
      <c r="K788" s="746">
        <v>436732.82</v>
      </c>
      <c r="L788" s="746">
        <v>436732.82</v>
      </c>
      <c r="M788" s="746">
        <v>0</v>
      </c>
      <c r="N788" s="493" t="str">
        <f t="shared" si="12"/>
        <v>C3901</v>
      </c>
      <c r="O788" s="493" t="s">
        <v>99</v>
      </c>
      <c r="P788" s="493"/>
    </row>
    <row r="789" spans="1:16">
      <c r="A789" s="761" t="s">
        <v>2339</v>
      </c>
      <c r="B789" s="761" t="s">
        <v>2340</v>
      </c>
      <c r="C789" s="761" t="s">
        <v>2494</v>
      </c>
      <c r="D789" s="761">
        <v>9404565</v>
      </c>
      <c r="E789" s="761" t="s">
        <v>2615</v>
      </c>
      <c r="F789" s="761">
        <v>131203703</v>
      </c>
      <c r="G789" s="761" t="s">
        <v>2616</v>
      </c>
      <c r="H789" s="761" t="s">
        <v>2617</v>
      </c>
      <c r="I789" s="761" t="s">
        <v>6867</v>
      </c>
      <c r="J789" s="761">
        <v>0</v>
      </c>
      <c r="K789" s="746">
        <v>38295.74</v>
      </c>
      <c r="L789" s="746">
        <v>38295.74</v>
      </c>
      <c r="M789" s="746">
        <v>0</v>
      </c>
      <c r="N789" s="493" t="str">
        <f t="shared" si="12"/>
        <v>C3901</v>
      </c>
      <c r="O789" s="493" t="s">
        <v>99</v>
      </c>
      <c r="P789" s="493"/>
    </row>
    <row r="790" spans="1:16">
      <c r="A790" s="761" t="s">
        <v>2339</v>
      </c>
      <c r="B790" s="761" t="s">
        <v>2340</v>
      </c>
      <c r="C790" s="761" t="s">
        <v>2494</v>
      </c>
      <c r="D790" s="761">
        <v>11853781</v>
      </c>
      <c r="E790" s="761" t="s">
        <v>2615</v>
      </c>
      <c r="F790" s="761">
        <v>131204882</v>
      </c>
      <c r="G790" s="761" t="s">
        <v>2620</v>
      </c>
      <c r="H790" s="761" t="s">
        <v>2620</v>
      </c>
      <c r="I790" s="761" t="s">
        <v>6867</v>
      </c>
      <c r="J790" s="761">
        <v>1</v>
      </c>
      <c r="K790" s="746">
        <v>6139.52</v>
      </c>
      <c r="L790" s="746">
        <v>6139.52</v>
      </c>
      <c r="M790" s="746">
        <v>0</v>
      </c>
      <c r="N790" s="493" t="str">
        <f t="shared" si="12"/>
        <v>C3901</v>
      </c>
      <c r="O790" s="493" t="s">
        <v>99</v>
      </c>
      <c r="P790" s="493"/>
    </row>
    <row r="791" spans="1:16">
      <c r="A791" s="761" t="s">
        <v>2339</v>
      </c>
      <c r="B791" s="761" t="s">
        <v>2340</v>
      </c>
      <c r="C791" s="761" t="s">
        <v>2494</v>
      </c>
      <c r="D791" s="761">
        <v>25928415</v>
      </c>
      <c r="E791" s="761" t="s">
        <v>2615</v>
      </c>
      <c r="F791" s="761">
        <v>143002319</v>
      </c>
      <c r="G791" s="761" t="s">
        <v>2621</v>
      </c>
      <c r="H791" s="761" t="s">
        <v>2622</v>
      </c>
      <c r="I791" s="761" t="s">
        <v>6867</v>
      </c>
      <c r="J791" s="761">
        <v>1</v>
      </c>
      <c r="K791" s="746">
        <v>526508.94000000006</v>
      </c>
      <c r="L791" s="746">
        <v>526508.94000000006</v>
      </c>
      <c r="M791" s="746">
        <v>0</v>
      </c>
      <c r="N791" s="493" t="str">
        <f t="shared" si="12"/>
        <v>C3901</v>
      </c>
      <c r="O791" s="493" t="s">
        <v>99</v>
      </c>
      <c r="P791" s="493"/>
    </row>
    <row r="792" spans="1:16">
      <c r="A792" s="761" t="s">
        <v>2339</v>
      </c>
      <c r="B792" s="761" t="s">
        <v>2340</v>
      </c>
      <c r="C792" s="761" t="s">
        <v>2623</v>
      </c>
      <c r="D792" s="761">
        <v>5258809</v>
      </c>
      <c r="E792" s="761" t="s">
        <v>2624</v>
      </c>
      <c r="F792" s="761">
        <v>131202540</v>
      </c>
      <c r="G792" s="761" t="s">
        <v>2625</v>
      </c>
      <c r="H792" s="761" t="s">
        <v>2626</v>
      </c>
      <c r="I792" s="761" t="s">
        <v>6867</v>
      </c>
      <c r="J792" s="761">
        <v>0</v>
      </c>
      <c r="K792" s="746">
        <v>76881.61</v>
      </c>
      <c r="L792" s="746">
        <v>73677.81</v>
      </c>
      <c r="M792" s="746">
        <v>3203.8</v>
      </c>
      <c r="N792" s="493" t="str">
        <f t="shared" si="12"/>
        <v>C3901</v>
      </c>
      <c r="O792" s="493" t="s">
        <v>99</v>
      </c>
      <c r="P792" s="493"/>
    </row>
    <row r="793" spans="1:16">
      <c r="A793" s="761" t="s">
        <v>2339</v>
      </c>
      <c r="B793" s="761" t="s">
        <v>2340</v>
      </c>
      <c r="C793" s="761" t="s">
        <v>2623</v>
      </c>
      <c r="D793" s="761">
        <v>6040148</v>
      </c>
      <c r="E793" s="761" t="s">
        <v>2624</v>
      </c>
      <c r="F793" s="761">
        <v>131202540</v>
      </c>
      <c r="G793" s="761" t="s">
        <v>2625</v>
      </c>
      <c r="H793" s="761" t="s">
        <v>2626</v>
      </c>
      <c r="I793" s="761" t="s">
        <v>6867</v>
      </c>
      <c r="J793" s="761">
        <v>0</v>
      </c>
      <c r="K793" s="746">
        <v>56256.28</v>
      </c>
      <c r="L793" s="746">
        <v>53911.98</v>
      </c>
      <c r="M793" s="746">
        <v>2344.3000000000002</v>
      </c>
      <c r="N793" s="493" t="str">
        <f t="shared" ref="N793:N824" si="13">LEFT(E793,5)</f>
        <v>C3901</v>
      </c>
      <c r="O793" s="493" t="s">
        <v>99</v>
      </c>
      <c r="P793" s="493"/>
    </row>
    <row r="794" spans="1:16">
      <c r="A794" s="761" t="s">
        <v>2339</v>
      </c>
      <c r="B794" s="761" t="s">
        <v>2340</v>
      </c>
      <c r="C794" s="761" t="s">
        <v>2623</v>
      </c>
      <c r="D794" s="761">
        <v>6040150</v>
      </c>
      <c r="E794" s="761" t="s">
        <v>2624</v>
      </c>
      <c r="F794" s="761">
        <v>131202540</v>
      </c>
      <c r="G794" s="761" t="s">
        <v>2625</v>
      </c>
      <c r="H794" s="761" t="s">
        <v>2626</v>
      </c>
      <c r="I794" s="761" t="s">
        <v>6867</v>
      </c>
      <c r="J794" s="761">
        <v>0</v>
      </c>
      <c r="K794" s="746">
        <v>36596.590000000004</v>
      </c>
      <c r="L794" s="746">
        <v>35071.54</v>
      </c>
      <c r="M794" s="746">
        <v>1525.05</v>
      </c>
      <c r="N794" s="493" t="str">
        <f t="shared" si="13"/>
        <v>C3901</v>
      </c>
      <c r="O794" s="493" t="s">
        <v>99</v>
      </c>
      <c r="P794" s="493"/>
    </row>
    <row r="795" spans="1:16">
      <c r="A795" s="761" t="s">
        <v>2339</v>
      </c>
      <c r="B795" s="761" t="s">
        <v>2340</v>
      </c>
      <c r="C795" s="761" t="s">
        <v>2623</v>
      </c>
      <c r="D795" s="761">
        <v>6040151</v>
      </c>
      <c r="E795" s="761" t="s">
        <v>2624</v>
      </c>
      <c r="F795" s="761">
        <v>131202540</v>
      </c>
      <c r="G795" s="761" t="s">
        <v>2625</v>
      </c>
      <c r="H795" s="761" t="s">
        <v>2626</v>
      </c>
      <c r="I795" s="761" t="s">
        <v>6867</v>
      </c>
      <c r="J795" s="761">
        <v>0</v>
      </c>
      <c r="K795" s="746">
        <v>109789.78</v>
      </c>
      <c r="L795" s="746">
        <v>105214.64</v>
      </c>
      <c r="M795" s="746">
        <v>4575.1400000000003</v>
      </c>
      <c r="N795" s="493" t="str">
        <f t="shared" si="13"/>
        <v>C3901</v>
      </c>
      <c r="O795" s="493" t="s">
        <v>99</v>
      </c>
      <c r="P795" s="493"/>
    </row>
    <row r="796" spans="1:16">
      <c r="A796" s="761" t="s">
        <v>2339</v>
      </c>
      <c r="B796" s="761" t="s">
        <v>2340</v>
      </c>
      <c r="C796" s="761" t="s">
        <v>2623</v>
      </c>
      <c r="D796" s="761">
        <v>6040152</v>
      </c>
      <c r="E796" s="761" t="s">
        <v>2624</v>
      </c>
      <c r="F796" s="761">
        <v>131202540</v>
      </c>
      <c r="G796" s="761" t="s">
        <v>2625</v>
      </c>
      <c r="H796" s="761" t="s">
        <v>2626</v>
      </c>
      <c r="I796" s="761" t="s">
        <v>6867</v>
      </c>
      <c r="J796" s="761">
        <v>0</v>
      </c>
      <c r="K796" s="746">
        <v>7319.32</v>
      </c>
      <c r="L796" s="746">
        <v>7014.31</v>
      </c>
      <c r="M796" s="746">
        <v>305.01</v>
      </c>
      <c r="N796" s="493" t="str">
        <f t="shared" si="13"/>
        <v>C3901</v>
      </c>
      <c r="O796" s="493" t="s">
        <v>99</v>
      </c>
      <c r="P796" s="493"/>
    </row>
    <row r="797" spans="1:16">
      <c r="A797" s="761" t="s">
        <v>2339</v>
      </c>
      <c r="B797" s="761" t="s">
        <v>2340</v>
      </c>
      <c r="C797" s="761" t="s">
        <v>2623</v>
      </c>
      <c r="D797" s="761">
        <v>6040153</v>
      </c>
      <c r="E797" s="761" t="s">
        <v>2624</v>
      </c>
      <c r="F797" s="761">
        <v>131202540</v>
      </c>
      <c r="G797" s="761" t="s">
        <v>2625</v>
      </c>
      <c r="H797" s="761" t="s">
        <v>2626</v>
      </c>
      <c r="I797" s="761" t="s">
        <v>6867</v>
      </c>
      <c r="J797" s="761">
        <v>0</v>
      </c>
      <c r="K797" s="746">
        <v>45621.31</v>
      </c>
      <c r="L797" s="746">
        <v>43720.19</v>
      </c>
      <c r="M797" s="746">
        <v>1901.1200000000001</v>
      </c>
      <c r="N797" s="493" t="str">
        <f t="shared" si="13"/>
        <v>C3901</v>
      </c>
      <c r="O797" s="493" t="s">
        <v>99</v>
      </c>
      <c r="P797" s="493"/>
    </row>
    <row r="798" spans="1:16">
      <c r="A798" s="761" t="s">
        <v>2339</v>
      </c>
      <c r="B798" s="761" t="s">
        <v>2340</v>
      </c>
      <c r="C798" s="761" t="s">
        <v>2623</v>
      </c>
      <c r="D798" s="761">
        <v>6040154</v>
      </c>
      <c r="E798" s="761" t="s">
        <v>2624</v>
      </c>
      <c r="F798" s="761">
        <v>131202540</v>
      </c>
      <c r="G798" s="761" t="s">
        <v>2625</v>
      </c>
      <c r="H798" s="761" t="s">
        <v>2626</v>
      </c>
      <c r="I798" s="761" t="s">
        <v>6867</v>
      </c>
      <c r="J798" s="761">
        <v>0</v>
      </c>
      <c r="K798" s="746">
        <v>36596.590000000004</v>
      </c>
      <c r="L798" s="746">
        <v>35071.54</v>
      </c>
      <c r="M798" s="746">
        <v>1525.05</v>
      </c>
      <c r="N798" s="493" t="str">
        <f t="shared" si="13"/>
        <v>C3901</v>
      </c>
      <c r="O798" s="493" t="s">
        <v>99</v>
      </c>
      <c r="P798" s="493"/>
    </row>
    <row r="799" spans="1:16">
      <c r="A799" s="761" t="s">
        <v>2339</v>
      </c>
      <c r="B799" s="761" t="s">
        <v>2340</v>
      </c>
      <c r="C799" s="761" t="s">
        <v>2627</v>
      </c>
      <c r="D799" s="761">
        <v>25098597</v>
      </c>
      <c r="E799" s="761" t="s">
        <v>2628</v>
      </c>
      <c r="F799" s="761">
        <v>143002366</v>
      </c>
      <c r="G799" s="761" t="s">
        <v>2629</v>
      </c>
      <c r="H799" s="761" t="s">
        <v>2630</v>
      </c>
      <c r="I799" s="761" t="s">
        <v>6867</v>
      </c>
      <c r="J799" s="761">
        <v>1</v>
      </c>
      <c r="K799" s="746">
        <v>38904.090000000004</v>
      </c>
      <c r="L799" s="746">
        <v>38904.090000000004</v>
      </c>
      <c r="M799" s="746">
        <v>0</v>
      </c>
      <c r="N799" s="493" t="str">
        <f t="shared" si="13"/>
        <v>C3901</v>
      </c>
      <c r="O799" s="493" t="s">
        <v>99</v>
      </c>
      <c r="P799" s="493"/>
    </row>
    <row r="800" spans="1:16">
      <c r="A800" s="761" t="s">
        <v>2339</v>
      </c>
      <c r="B800" s="761" t="s">
        <v>2340</v>
      </c>
      <c r="C800" s="761" t="s">
        <v>2627</v>
      </c>
      <c r="D800" s="761">
        <v>25098602</v>
      </c>
      <c r="E800" s="761" t="s">
        <v>2628</v>
      </c>
      <c r="F800" s="761">
        <v>143002366</v>
      </c>
      <c r="G800" s="761" t="s">
        <v>2629</v>
      </c>
      <c r="H800" s="761" t="s">
        <v>2630</v>
      </c>
      <c r="I800" s="761" t="s">
        <v>6867</v>
      </c>
      <c r="J800" s="761">
        <v>1</v>
      </c>
      <c r="K800" s="746">
        <v>73967.25</v>
      </c>
      <c r="L800" s="746">
        <v>73967.25</v>
      </c>
      <c r="M800" s="746">
        <v>0</v>
      </c>
      <c r="N800" s="493" t="str">
        <f t="shared" si="13"/>
        <v>C3901</v>
      </c>
      <c r="O800" s="493" t="s">
        <v>99</v>
      </c>
      <c r="P800" s="493"/>
    </row>
    <row r="801" spans="1:16">
      <c r="A801" s="761" t="s">
        <v>2339</v>
      </c>
      <c r="B801" s="761" t="s">
        <v>2340</v>
      </c>
      <c r="C801" s="761" t="s">
        <v>2631</v>
      </c>
      <c r="D801" s="761">
        <v>51295307</v>
      </c>
      <c r="E801" s="761" t="s">
        <v>2632</v>
      </c>
      <c r="F801" s="761">
        <v>143003500</v>
      </c>
      <c r="G801" s="761" t="s">
        <v>2633</v>
      </c>
      <c r="H801" s="761" t="s">
        <v>2633</v>
      </c>
      <c r="I801" s="761" t="s">
        <v>6867</v>
      </c>
      <c r="J801" s="761">
        <v>1</v>
      </c>
      <c r="K801" s="746">
        <v>54456.37</v>
      </c>
      <c r="L801" s="746">
        <v>17386.04</v>
      </c>
      <c r="M801" s="746">
        <v>37070.33</v>
      </c>
      <c r="N801" s="493" t="str">
        <f t="shared" si="13"/>
        <v>C3901</v>
      </c>
      <c r="O801" s="493" t="s">
        <v>99</v>
      </c>
      <c r="P801" s="493" t="s">
        <v>2501</v>
      </c>
    </row>
    <row r="802" spans="1:16">
      <c r="A802" s="761" t="s">
        <v>2339</v>
      </c>
      <c r="B802" s="761" t="s">
        <v>2340</v>
      </c>
      <c r="C802" s="761" t="s">
        <v>2631</v>
      </c>
      <c r="D802" s="761">
        <v>51295318</v>
      </c>
      <c r="E802" s="761" t="s">
        <v>2632</v>
      </c>
      <c r="F802" s="761">
        <v>143003500</v>
      </c>
      <c r="G802" s="761" t="s">
        <v>2633</v>
      </c>
      <c r="H802" s="761" t="s">
        <v>2633</v>
      </c>
      <c r="I802" s="761" t="s">
        <v>6867</v>
      </c>
      <c r="J802" s="761">
        <v>2</v>
      </c>
      <c r="K802" s="746">
        <v>1169919.45</v>
      </c>
      <c r="L802" s="746">
        <v>373514.96</v>
      </c>
      <c r="M802" s="746">
        <v>796404.49</v>
      </c>
      <c r="N802" s="493" t="str">
        <f t="shared" si="13"/>
        <v>C3901</v>
      </c>
      <c r="O802" s="493" t="s">
        <v>99</v>
      </c>
      <c r="P802" s="493" t="s">
        <v>2501</v>
      </c>
    </row>
    <row r="803" spans="1:16">
      <c r="A803" s="761" t="s">
        <v>2339</v>
      </c>
      <c r="B803" s="761" t="s">
        <v>2340</v>
      </c>
      <c r="C803" s="761" t="s">
        <v>2631</v>
      </c>
      <c r="D803" s="761">
        <v>57971931</v>
      </c>
      <c r="E803" s="761" t="s">
        <v>2632</v>
      </c>
      <c r="F803" s="761">
        <v>143004527</v>
      </c>
      <c r="G803" s="761" t="s">
        <v>2634</v>
      </c>
      <c r="H803" s="761" t="s">
        <v>2635</v>
      </c>
      <c r="I803" s="761" t="s">
        <v>6867</v>
      </c>
      <c r="J803" s="761">
        <v>1</v>
      </c>
      <c r="K803" s="746">
        <v>139432.87</v>
      </c>
      <c r="L803" s="746">
        <v>44516.11</v>
      </c>
      <c r="M803" s="746">
        <v>94916.76</v>
      </c>
      <c r="N803" s="493" t="str">
        <f t="shared" si="13"/>
        <v>C3901</v>
      </c>
      <c r="O803" s="493" t="s">
        <v>99</v>
      </c>
      <c r="P803" s="493" t="s">
        <v>2501</v>
      </c>
    </row>
    <row r="804" spans="1:16">
      <c r="A804" s="761" t="s">
        <v>2339</v>
      </c>
      <c r="B804" s="761" t="s">
        <v>2340</v>
      </c>
      <c r="C804" s="761" t="s">
        <v>2631</v>
      </c>
      <c r="D804" s="761">
        <v>57971938</v>
      </c>
      <c r="E804" s="761" t="s">
        <v>2632</v>
      </c>
      <c r="F804" s="761">
        <v>143004527</v>
      </c>
      <c r="G804" s="761" t="s">
        <v>2634</v>
      </c>
      <c r="H804" s="761" t="s">
        <v>2635</v>
      </c>
      <c r="I804" s="761" t="s">
        <v>6867</v>
      </c>
      <c r="J804" s="761">
        <v>1</v>
      </c>
      <c r="K804" s="746">
        <v>278865.77</v>
      </c>
      <c r="L804" s="746">
        <v>89032.23</v>
      </c>
      <c r="M804" s="746">
        <v>189833.54</v>
      </c>
      <c r="N804" s="493" t="str">
        <f t="shared" si="13"/>
        <v>C3901</v>
      </c>
      <c r="O804" s="493" t="s">
        <v>99</v>
      </c>
      <c r="P804" s="493" t="s">
        <v>2501</v>
      </c>
    </row>
    <row r="805" spans="1:16">
      <c r="A805" s="761" t="s">
        <v>2339</v>
      </c>
      <c r="B805" s="761" t="s">
        <v>2340</v>
      </c>
      <c r="C805" s="761" t="s">
        <v>2631</v>
      </c>
      <c r="D805" s="761">
        <v>57971941</v>
      </c>
      <c r="E805" s="761" t="s">
        <v>2632</v>
      </c>
      <c r="F805" s="761">
        <v>143004527</v>
      </c>
      <c r="G805" s="761" t="s">
        <v>2634</v>
      </c>
      <c r="H805" s="761" t="s">
        <v>2635</v>
      </c>
      <c r="I805" s="761" t="s">
        <v>6867</v>
      </c>
      <c r="J805" s="761">
        <v>1</v>
      </c>
      <c r="K805" s="746">
        <v>278865.77</v>
      </c>
      <c r="L805" s="746">
        <v>89032.23</v>
      </c>
      <c r="M805" s="746">
        <v>189833.54</v>
      </c>
      <c r="N805" s="493" t="str">
        <f t="shared" si="13"/>
        <v>C3901</v>
      </c>
      <c r="O805" s="493" t="s">
        <v>99</v>
      </c>
      <c r="P805" s="493" t="s">
        <v>2501</v>
      </c>
    </row>
    <row r="806" spans="1:16">
      <c r="A806" s="761" t="s">
        <v>2339</v>
      </c>
      <c r="B806" s="761" t="s">
        <v>2340</v>
      </c>
      <c r="C806" s="761" t="s">
        <v>2631</v>
      </c>
      <c r="D806" s="761">
        <v>57971944</v>
      </c>
      <c r="E806" s="761" t="s">
        <v>2632</v>
      </c>
      <c r="F806" s="761">
        <v>143004527</v>
      </c>
      <c r="G806" s="761" t="s">
        <v>2634</v>
      </c>
      <c r="H806" s="761" t="s">
        <v>2635</v>
      </c>
      <c r="I806" s="761" t="s">
        <v>6867</v>
      </c>
      <c r="J806" s="761">
        <v>1</v>
      </c>
      <c r="K806" s="746">
        <v>139432.87</v>
      </c>
      <c r="L806" s="746">
        <v>44516.11</v>
      </c>
      <c r="M806" s="746">
        <v>94916.76</v>
      </c>
      <c r="N806" s="493" t="str">
        <f t="shared" si="13"/>
        <v>C3901</v>
      </c>
      <c r="O806" s="493" t="s">
        <v>99</v>
      </c>
      <c r="P806" s="493" t="s">
        <v>2501</v>
      </c>
    </row>
    <row r="807" spans="1:16">
      <c r="A807" s="761" t="s">
        <v>2339</v>
      </c>
      <c r="B807" s="761" t="s">
        <v>2340</v>
      </c>
      <c r="C807" s="761" t="s">
        <v>2631</v>
      </c>
      <c r="D807" s="761">
        <v>57971947</v>
      </c>
      <c r="E807" s="761" t="s">
        <v>2632</v>
      </c>
      <c r="F807" s="761">
        <v>143004527</v>
      </c>
      <c r="G807" s="761" t="s">
        <v>2634</v>
      </c>
      <c r="H807" s="761" t="s">
        <v>2635</v>
      </c>
      <c r="I807" s="761" t="s">
        <v>6867</v>
      </c>
      <c r="J807" s="761">
        <v>1</v>
      </c>
      <c r="K807" s="746">
        <v>139432.87</v>
      </c>
      <c r="L807" s="746">
        <v>44516.11</v>
      </c>
      <c r="M807" s="746">
        <v>94916.76</v>
      </c>
      <c r="N807" s="493" t="str">
        <f t="shared" si="13"/>
        <v>C3901</v>
      </c>
      <c r="O807" s="493" t="s">
        <v>99</v>
      </c>
      <c r="P807" s="493" t="s">
        <v>2501</v>
      </c>
    </row>
    <row r="808" spans="1:16">
      <c r="A808" s="761" t="s">
        <v>2339</v>
      </c>
      <c r="B808" s="761" t="s">
        <v>2340</v>
      </c>
      <c r="C808" s="761" t="s">
        <v>2631</v>
      </c>
      <c r="D808" s="761">
        <v>57971950</v>
      </c>
      <c r="E808" s="761" t="s">
        <v>2632</v>
      </c>
      <c r="F808" s="761">
        <v>143004527</v>
      </c>
      <c r="G808" s="761" t="s">
        <v>2634</v>
      </c>
      <c r="H808" s="761" t="s">
        <v>2635</v>
      </c>
      <c r="I808" s="761" t="s">
        <v>6867</v>
      </c>
      <c r="J808" s="761">
        <v>1</v>
      </c>
      <c r="K808" s="746">
        <v>139432.87</v>
      </c>
      <c r="L808" s="746">
        <v>44516.11</v>
      </c>
      <c r="M808" s="746">
        <v>94916.76</v>
      </c>
      <c r="N808" s="493" t="str">
        <f t="shared" si="13"/>
        <v>C3901</v>
      </c>
      <c r="O808" s="493" t="s">
        <v>99</v>
      </c>
      <c r="P808" s="493" t="s">
        <v>2501</v>
      </c>
    </row>
    <row r="809" spans="1:16">
      <c r="A809" s="761" t="s">
        <v>2339</v>
      </c>
      <c r="B809" s="761" t="s">
        <v>2340</v>
      </c>
      <c r="C809" s="761" t="s">
        <v>2631</v>
      </c>
      <c r="D809" s="761">
        <v>57971953</v>
      </c>
      <c r="E809" s="761" t="s">
        <v>2632</v>
      </c>
      <c r="F809" s="761">
        <v>143004527</v>
      </c>
      <c r="G809" s="761" t="s">
        <v>2634</v>
      </c>
      <c r="H809" s="761" t="s">
        <v>2635</v>
      </c>
      <c r="I809" s="761" t="s">
        <v>6867</v>
      </c>
      <c r="J809" s="761">
        <v>1</v>
      </c>
      <c r="K809" s="746">
        <v>278865.88</v>
      </c>
      <c r="L809" s="746">
        <v>89032.27</v>
      </c>
      <c r="M809" s="746">
        <v>189833.61000000002</v>
      </c>
      <c r="N809" s="493" t="str">
        <f t="shared" si="13"/>
        <v>C3901</v>
      </c>
      <c r="O809" s="493" t="s">
        <v>99</v>
      </c>
      <c r="P809" s="493" t="s">
        <v>2501</v>
      </c>
    </row>
    <row r="810" spans="1:16">
      <c r="A810" s="761" t="s">
        <v>2339</v>
      </c>
      <c r="B810" s="761" t="s">
        <v>2340</v>
      </c>
      <c r="C810" s="761" t="s">
        <v>2631</v>
      </c>
      <c r="D810" s="761">
        <v>57971956</v>
      </c>
      <c r="E810" s="761" t="s">
        <v>2632</v>
      </c>
      <c r="F810" s="761">
        <v>143004527</v>
      </c>
      <c r="G810" s="761" t="s">
        <v>2634</v>
      </c>
      <c r="H810" s="761" t="s">
        <v>2635</v>
      </c>
      <c r="I810" s="761" t="s">
        <v>6867</v>
      </c>
      <c r="J810" s="761">
        <v>1</v>
      </c>
      <c r="K810" s="746">
        <v>139432.87</v>
      </c>
      <c r="L810" s="746">
        <v>44516.11</v>
      </c>
      <c r="M810" s="746">
        <v>94916.76</v>
      </c>
      <c r="N810" s="493" t="str">
        <f t="shared" si="13"/>
        <v>C3901</v>
      </c>
      <c r="O810" s="493" t="s">
        <v>99</v>
      </c>
      <c r="P810" s="493" t="s">
        <v>2501</v>
      </c>
    </row>
    <row r="811" spans="1:16">
      <c r="A811" s="761" t="s">
        <v>2339</v>
      </c>
      <c r="B811" s="761" t="s">
        <v>2340</v>
      </c>
      <c r="C811" s="761" t="s">
        <v>2631</v>
      </c>
      <c r="D811" s="761">
        <v>57971959</v>
      </c>
      <c r="E811" s="761" t="s">
        <v>2632</v>
      </c>
      <c r="F811" s="761">
        <v>143004527</v>
      </c>
      <c r="G811" s="761" t="s">
        <v>2634</v>
      </c>
      <c r="H811" s="761" t="s">
        <v>2635</v>
      </c>
      <c r="I811" s="761" t="s">
        <v>6867</v>
      </c>
      <c r="J811" s="761">
        <v>1</v>
      </c>
      <c r="K811" s="746">
        <v>139432.87</v>
      </c>
      <c r="L811" s="746">
        <v>44516.11</v>
      </c>
      <c r="M811" s="746">
        <v>94916.76</v>
      </c>
      <c r="N811" s="493" t="str">
        <f t="shared" si="13"/>
        <v>C3901</v>
      </c>
      <c r="O811" s="493" t="s">
        <v>99</v>
      </c>
      <c r="P811" s="493" t="s">
        <v>2501</v>
      </c>
    </row>
    <row r="812" spans="1:16">
      <c r="A812" s="761" t="s">
        <v>2339</v>
      </c>
      <c r="B812" s="761" t="s">
        <v>2340</v>
      </c>
      <c r="C812" s="761" t="s">
        <v>2631</v>
      </c>
      <c r="D812" s="761">
        <v>51295212</v>
      </c>
      <c r="E812" s="761" t="s">
        <v>2632</v>
      </c>
      <c r="F812" s="761">
        <v>143003500</v>
      </c>
      <c r="G812" s="761" t="s">
        <v>2633</v>
      </c>
      <c r="H812" s="761" t="s">
        <v>2633</v>
      </c>
      <c r="I812" s="761" t="s">
        <v>6867</v>
      </c>
      <c r="J812" s="761">
        <v>1</v>
      </c>
      <c r="K812" s="746">
        <v>54456.37</v>
      </c>
      <c r="L812" s="746">
        <v>17386.04</v>
      </c>
      <c r="M812" s="746">
        <v>37070.33</v>
      </c>
      <c r="N812" s="493" t="str">
        <f t="shared" si="13"/>
        <v>C3901</v>
      </c>
      <c r="O812" s="493" t="s">
        <v>99</v>
      </c>
      <c r="P812" s="493" t="s">
        <v>2501</v>
      </c>
    </row>
    <row r="813" spans="1:16">
      <c r="A813" s="761" t="s">
        <v>2339</v>
      </c>
      <c r="B813" s="761" t="s">
        <v>2340</v>
      </c>
      <c r="C813" s="761" t="s">
        <v>2631</v>
      </c>
      <c r="D813" s="761">
        <v>51295223</v>
      </c>
      <c r="E813" s="761" t="s">
        <v>2632</v>
      </c>
      <c r="F813" s="761">
        <v>143003500</v>
      </c>
      <c r="G813" s="761" t="s">
        <v>2633</v>
      </c>
      <c r="H813" s="761" t="s">
        <v>2633</v>
      </c>
      <c r="I813" s="761" t="s">
        <v>6867</v>
      </c>
      <c r="J813" s="761">
        <v>1</v>
      </c>
      <c r="K813" s="746">
        <v>54456.37</v>
      </c>
      <c r="L813" s="746">
        <v>17386.04</v>
      </c>
      <c r="M813" s="746">
        <v>37070.33</v>
      </c>
      <c r="N813" s="493" t="str">
        <f t="shared" si="13"/>
        <v>C3901</v>
      </c>
      <c r="O813" s="493" t="s">
        <v>99</v>
      </c>
      <c r="P813" s="493" t="s">
        <v>2501</v>
      </c>
    </row>
    <row r="814" spans="1:16">
      <c r="A814" s="761" t="s">
        <v>2339</v>
      </c>
      <c r="B814" s="761" t="s">
        <v>2340</v>
      </c>
      <c r="C814" s="761" t="s">
        <v>2631</v>
      </c>
      <c r="D814" s="761">
        <v>51295234</v>
      </c>
      <c r="E814" s="761" t="s">
        <v>2632</v>
      </c>
      <c r="F814" s="761">
        <v>143003500</v>
      </c>
      <c r="G814" s="761" t="s">
        <v>2633</v>
      </c>
      <c r="H814" s="761" t="s">
        <v>2633</v>
      </c>
      <c r="I814" s="761" t="s">
        <v>6867</v>
      </c>
      <c r="J814" s="761">
        <v>1</v>
      </c>
      <c r="K814" s="746">
        <v>54456.37</v>
      </c>
      <c r="L814" s="746">
        <v>17386.04</v>
      </c>
      <c r="M814" s="746">
        <v>37070.33</v>
      </c>
      <c r="N814" s="493" t="str">
        <f t="shared" si="13"/>
        <v>C3901</v>
      </c>
      <c r="O814" s="493" t="s">
        <v>99</v>
      </c>
      <c r="P814" s="493" t="s">
        <v>2501</v>
      </c>
    </row>
    <row r="815" spans="1:16">
      <c r="A815" s="761" t="s">
        <v>2339</v>
      </c>
      <c r="B815" s="761" t="s">
        <v>2340</v>
      </c>
      <c r="C815" s="761" t="s">
        <v>2631</v>
      </c>
      <c r="D815" s="761">
        <v>51295245</v>
      </c>
      <c r="E815" s="761" t="s">
        <v>2632</v>
      </c>
      <c r="F815" s="761">
        <v>143003500</v>
      </c>
      <c r="G815" s="761" t="s">
        <v>2633</v>
      </c>
      <c r="H815" s="761" t="s">
        <v>2633</v>
      </c>
      <c r="I815" s="761" t="s">
        <v>6867</v>
      </c>
      <c r="J815" s="761">
        <v>1</v>
      </c>
      <c r="K815" s="746">
        <v>54456.37</v>
      </c>
      <c r="L815" s="746">
        <v>17386.04</v>
      </c>
      <c r="M815" s="746">
        <v>37070.33</v>
      </c>
      <c r="N815" s="493" t="str">
        <f t="shared" si="13"/>
        <v>C3901</v>
      </c>
      <c r="O815" s="493" t="s">
        <v>99</v>
      </c>
      <c r="P815" s="493" t="s">
        <v>2501</v>
      </c>
    </row>
    <row r="816" spans="1:16">
      <c r="A816" s="761" t="s">
        <v>2339</v>
      </c>
      <c r="B816" s="761" t="s">
        <v>2340</v>
      </c>
      <c r="C816" s="761" t="s">
        <v>2631</v>
      </c>
      <c r="D816" s="761">
        <v>51295256</v>
      </c>
      <c r="E816" s="761" t="s">
        <v>2632</v>
      </c>
      <c r="F816" s="761">
        <v>143003500</v>
      </c>
      <c r="G816" s="761" t="s">
        <v>2633</v>
      </c>
      <c r="H816" s="761" t="s">
        <v>2633</v>
      </c>
      <c r="I816" s="761" t="s">
        <v>6867</v>
      </c>
      <c r="J816" s="761">
        <v>1</v>
      </c>
      <c r="K816" s="746">
        <v>54456.37</v>
      </c>
      <c r="L816" s="746">
        <v>17386.04</v>
      </c>
      <c r="M816" s="746">
        <v>37070.33</v>
      </c>
      <c r="N816" s="493" t="str">
        <f t="shared" si="13"/>
        <v>C3901</v>
      </c>
      <c r="O816" s="493" t="s">
        <v>99</v>
      </c>
      <c r="P816" s="493" t="s">
        <v>2501</v>
      </c>
    </row>
    <row r="817" spans="1:16">
      <c r="A817" s="761" t="s">
        <v>2339</v>
      </c>
      <c r="B817" s="761" t="s">
        <v>2340</v>
      </c>
      <c r="C817" s="761" t="s">
        <v>2631</v>
      </c>
      <c r="D817" s="761">
        <v>51295267</v>
      </c>
      <c r="E817" s="761" t="s">
        <v>2632</v>
      </c>
      <c r="F817" s="761">
        <v>143003500</v>
      </c>
      <c r="G817" s="761" t="s">
        <v>2633</v>
      </c>
      <c r="H817" s="761" t="s">
        <v>2633</v>
      </c>
      <c r="I817" s="761" t="s">
        <v>6867</v>
      </c>
      <c r="J817" s="761">
        <v>5</v>
      </c>
      <c r="K817" s="746">
        <v>271873.59999999998</v>
      </c>
      <c r="L817" s="746">
        <v>86799.87</v>
      </c>
      <c r="M817" s="746">
        <v>185073.73</v>
      </c>
      <c r="N817" s="493" t="str">
        <f t="shared" si="13"/>
        <v>C3901</v>
      </c>
      <c r="O817" s="493" t="s">
        <v>99</v>
      </c>
      <c r="P817" s="493" t="s">
        <v>2501</v>
      </c>
    </row>
    <row r="818" spans="1:16">
      <c r="A818" s="761" t="s">
        <v>2339</v>
      </c>
      <c r="B818" s="761" t="s">
        <v>2340</v>
      </c>
      <c r="C818" s="761" t="s">
        <v>2631</v>
      </c>
      <c r="D818" s="761">
        <v>51295276</v>
      </c>
      <c r="E818" s="761" t="s">
        <v>2632</v>
      </c>
      <c r="F818" s="761">
        <v>143003500</v>
      </c>
      <c r="G818" s="761" t="s">
        <v>2633</v>
      </c>
      <c r="H818" s="761" t="s">
        <v>2633</v>
      </c>
      <c r="I818" s="761" t="s">
        <v>6867</v>
      </c>
      <c r="J818" s="761">
        <v>1</v>
      </c>
      <c r="K818" s="746">
        <v>54456.37</v>
      </c>
      <c r="L818" s="746">
        <v>17386.04</v>
      </c>
      <c r="M818" s="746">
        <v>37070.33</v>
      </c>
      <c r="N818" s="493" t="str">
        <f t="shared" si="13"/>
        <v>C3901</v>
      </c>
      <c r="O818" s="493" t="s">
        <v>99</v>
      </c>
      <c r="P818" s="493" t="s">
        <v>2501</v>
      </c>
    </row>
    <row r="819" spans="1:16">
      <c r="A819" s="761" t="s">
        <v>2339</v>
      </c>
      <c r="B819" s="761" t="s">
        <v>2340</v>
      </c>
      <c r="C819" s="761" t="s">
        <v>2631</v>
      </c>
      <c r="D819" s="761">
        <v>51295287</v>
      </c>
      <c r="E819" s="761" t="s">
        <v>2632</v>
      </c>
      <c r="F819" s="761">
        <v>143003500</v>
      </c>
      <c r="G819" s="761" t="s">
        <v>2633</v>
      </c>
      <c r="H819" s="761" t="s">
        <v>2633</v>
      </c>
      <c r="I819" s="761" t="s">
        <v>6867</v>
      </c>
      <c r="J819" s="761">
        <v>1</v>
      </c>
      <c r="K819" s="746">
        <v>54456.33</v>
      </c>
      <c r="L819" s="746">
        <v>17386.03</v>
      </c>
      <c r="M819" s="746">
        <v>37070.300000000003</v>
      </c>
      <c r="N819" s="493" t="str">
        <f t="shared" si="13"/>
        <v>C3901</v>
      </c>
      <c r="O819" s="493" t="s">
        <v>99</v>
      </c>
      <c r="P819" s="493" t="s">
        <v>2501</v>
      </c>
    </row>
    <row r="820" spans="1:16">
      <c r="A820" s="761" t="s">
        <v>2339</v>
      </c>
      <c r="B820" s="761" t="s">
        <v>2340</v>
      </c>
      <c r="C820" s="761" t="s">
        <v>2631</v>
      </c>
      <c r="D820" s="761">
        <v>51295296</v>
      </c>
      <c r="E820" s="761" t="s">
        <v>2632</v>
      </c>
      <c r="F820" s="761">
        <v>143003500</v>
      </c>
      <c r="G820" s="761" t="s">
        <v>2633</v>
      </c>
      <c r="H820" s="761" t="s">
        <v>2633</v>
      </c>
      <c r="I820" s="761" t="s">
        <v>6867</v>
      </c>
      <c r="J820" s="761">
        <v>1</v>
      </c>
      <c r="K820" s="746">
        <v>54456.37</v>
      </c>
      <c r="L820" s="746">
        <v>17386.04</v>
      </c>
      <c r="M820" s="746">
        <v>37070.33</v>
      </c>
      <c r="N820" s="493" t="str">
        <f t="shared" si="13"/>
        <v>C3901</v>
      </c>
      <c r="O820" s="493" t="s">
        <v>99</v>
      </c>
      <c r="P820" s="493" t="s">
        <v>2501</v>
      </c>
    </row>
    <row r="821" spans="1:16">
      <c r="A821" s="761" t="s">
        <v>2339</v>
      </c>
      <c r="B821" s="761" t="s">
        <v>2340</v>
      </c>
      <c r="C821" s="761" t="s">
        <v>2497</v>
      </c>
      <c r="D821" s="761">
        <v>81541</v>
      </c>
      <c r="E821" s="761" t="s">
        <v>2636</v>
      </c>
      <c r="F821" s="761" t="s">
        <v>2357</v>
      </c>
      <c r="I821" s="761" t="s">
        <v>6867</v>
      </c>
      <c r="J821" s="761">
        <v>0</v>
      </c>
      <c r="K821" s="746">
        <v>470048.94</v>
      </c>
      <c r="L821" s="746">
        <v>470048.94</v>
      </c>
      <c r="M821" s="746">
        <v>0</v>
      </c>
      <c r="N821" s="493" t="str">
        <f t="shared" si="13"/>
        <v>C3901</v>
      </c>
      <c r="O821" s="493" t="s">
        <v>99</v>
      </c>
      <c r="P821" s="493"/>
    </row>
    <row r="822" spans="1:16">
      <c r="A822" s="761" t="s">
        <v>2339</v>
      </c>
      <c r="B822" s="761" t="s">
        <v>2340</v>
      </c>
      <c r="C822" s="761" t="s">
        <v>2497</v>
      </c>
      <c r="D822" s="761">
        <v>81543</v>
      </c>
      <c r="E822" s="761" t="s">
        <v>2636</v>
      </c>
      <c r="F822" s="761" t="s">
        <v>2357</v>
      </c>
      <c r="I822" s="761" t="s">
        <v>6867</v>
      </c>
      <c r="J822" s="761">
        <v>0</v>
      </c>
      <c r="K822" s="746">
        <v>3714589.91</v>
      </c>
      <c r="L822" s="746">
        <v>3714589.91</v>
      </c>
      <c r="M822" s="746">
        <v>0</v>
      </c>
      <c r="N822" s="493" t="str">
        <f t="shared" si="13"/>
        <v>C3901</v>
      </c>
      <c r="O822" s="493" t="s">
        <v>99</v>
      </c>
      <c r="P822" s="493"/>
    </row>
    <row r="823" spans="1:16">
      <c r="A823" s="761" t="s">
        <v>2339</v>
      </c>
      <c r="B823" s="761" t="s">
        <v>2340</v>
      </c>
      <c r="C823" s="761" t="s">
        <v>2497</v>
      </c>
      <c r="D823" s="761">
        <v>81547</v>
      </c>
      <c r="E823" s="761" t="s">
        <v>2636</v>
      </c>
      <c r="F823" s="761" t="s">
        <v>2357</v>
      </c>
      <c r="I823" s="761" t="s">
        <v>6867</v>
      </c>
      <c r="J823" s="761">
        <v>0</v>
      </c>
      <c r="K823" s="746">
        <v>11248000</v>
      </c>
      <c r="L823" s="746">
        <v>11248000</v>
      </c>
      <c r="M823" s="746">
        <v>0</v>
      </c>
      <c r="N823" s="493" t="str">
        <f t="shared" si="13"/>
        <v>C3901</v>
      </c>
      <c r="O823" s="493" t="s">
        <v>99</v>
      </c>
      <c r="P823" s="493"/>
    </row>
    <row r="824" spans="1:16">
      <c r="A824" s="761" t="s">
        <v>2339</v>
      </c>
      <c r="B824" s="761" t="s">
        <v>2340</v>
      </c>
      <c r="C824" s="761" t="s">
        <v>2497</v>
      </c>
      <c r="D824" s="761">
        <v>81550</v>
      </c>
      <c r="E824" s="761" t="s">
        <v>2636</v>
      </c>
      <c r="F824" s="761" t="s">
        <v>2357</v>
      </c>
      <c r="I824" s="761" t="s">
        <v>6867</v>
      </c>
      <c r="J824" s="761">
        <v>0</v>
      </c>
      <c r="K824" s="746">
        <v>5628705.3399999999</v>
      </c>
      <c r="L824" s="746">
        <v>5628705.3399999999</v>
      </c>
      <c r="M824" s="746">
        <v>0</v>
      </c>
      <c r="N824" s="493" t="str">
        <f t="shared" si="13"/>
        <v>C3901</v>
      </c>
      <c r="O824" s="493" t="s">
        <v>99</v>
      </c>
      <c r="P824" s="493"/>
    </row>
    <row r="825" spans="1:16">
      <c r="A825" s="761" t="s">
        <v>2339</v>
      </c>
      <c r="B825" s="761" t="s">
        <v>2340</v>
      </c>
      <c r="C825" s="761" t="s">
        <v>2497</v>
      </c>
      <c r="D825" s="761">
        <v>83198</v>
      </c>
      <c r="E825" s="761" t="s">
        <v>2636</v>
      </c>
      <c r="F825" s="761" t="s">
        <v>2357</v>
      </c>
      <c r="I825" s="761" t="s">
        <v>6867</v>
      </c>
      <c r="J825" s="761">
        <v>0</v>
      </c>
      <c r="K825" s="746">
        <v>18141.900000000001</v>
      </c>
      <c r="L825" s="746">
        <v>18141.900000000001</v>
      </c>
      <c r="M825" s="746">
        <v>0</v>
      </c>
      <c r="N825" s="493" t="str">
        <f t="shared" ref="N825:N848" si="14">LEFT(E825,5)</f>
        <v>C3901</v>
      </c>
      <c r="O825" s="493" t="s">
        <v>99</v>
      </c>
      <c r="P825" s="493"/>
    </row>
    <row r="826" spans="1:16">
      <c r="A826" s="761" t="s">
        <v>2339</v>
      </c>
      <c r="B826" s="761" t="s">
        <v>2340</v>
      </c>
      <c r="C826" s="761" t="s">
        <v>2497</v>
      </c>
      <c r="D826" s="761">
        <v>105478</v>
      </c>
      <c r="E826" s="761" t="s">
        <v>2636</v>
      </c>
      <c r="F826" s="761" t="s">
        <v>2357</v>
      </c>
      <c r="I826" s="761" t="s">
        <v>6867</v>
      </c>
      <c r="J826" s="761">
        <v>0</v>
      </c>
      <c r="K826" s="746">
        <v>112630.27</v>
      </c>
      <c r="L826" s="746">
        <v>112630.27</v>
      </c>
      <c r="M826" s="746">
        <v>0</v>
      </c>
      <c r="N826" s="493" t="str">
        <f t="shared" si="14"/>
        <v>C3901</v>
      </c>
      <c r="O826" s="493" t="s">
        <v>99</v>
      </c>
      <c r="P826" s="493"/>
    </row>
    <row r="827" spans="1:16">
      <c r="A827" s="761" t="s">
        <v>2339</v>
      </c>
      <c r="B827" s="761" t="s">
        <v>2340</v>
      </c>
      <c r="C827" s="761" t="s">
        <v>2497</v>
      </c>
      <c r="D827" s="761">
        <v>86317</v>
      </c>
      <c r="E827" s="761" t="s">
        <v>2636</v>
      </c>
      <c r="F827" s="761" t="s">
        <v>2357</v>
      </c>
      <c r="I827" s="761" t="s">
        <v>6867</v>
      </c>
      <c r="J827" s="761">
        <v>0</v>
      </c>
      <c r="K827" s="746">
        <v>3518.62</v>
      </c>
      <c r="L827" s="746">
        <v>3518.62</v>
      </c>
      <c r="M827" s="746">
        <v>0</v>
      </c>
      <c r="N827" s="493" t="str">
        <f t="shared" si="14"/>
        <v>C3901</v>
      </c>
      <c r="O827" s="493" t="s">
        <v>99</v>
      </c>
      <c r="P827" s="493"/>
    </row>
    <row r="828" spans="1:16">
      <c r="A828" s="761" t="s">
        <v>2339</v>
      </c>
      <c r="B828" s="761" t="s">
        <v>2340</v>
      </c>
      <c r="C828" s="761" t="s">
        <v>2497</v>
      </c>
      <c r="D828" s="761">
        <v>3241785</v>
      </c>
      <c r="E828" s="761" t="s">
        <v>2636</v>
      </c>
      <c r="F828" s="761">
        <v>131202140</v>
      </c>
      <c r="G828" s="761" t="s">
        <v>2637</v>
      </c>
      <c r="H828" s="761" t="s">
        <v>2638</v>
      </c>
      <c r="I828" s="761" t="s">
        <v>6867</v>
      </c>
      <c r="J828" s="761">
        <v>1</v>
      </c>
      <c r="K828" s="746">
        <v>11285.53</v>
      </c>
      <c r="L828" s="746">
        <v>11285.53</v>
      </c>
      <c r="M828" s="746">
        <v>0</v>
      </c>
      <c r="N828" s="493" t="str">
        <f t="shared" si="14"/>
        <v>C3901</v>
      </c>
      <c r="O828" s="493" t="s">
        <v>99</v>
      </c>
      <c r="P828" s="493"/>
    </row>
    <row r="829" spans="1:16">
      <c r="A829" s="761" t="s">
        <v>2339</v>
      </c>
      <c r="B829" s="761" t="s">
        <v>2340</v>
      </c>
      <c r="C829" s="761" t="s">
        <v>2497</v>
      </c>
      <c r="D829" s="761">
        <v>6529628</v>
      </c>
      <c r="E829" s="761" t="s">
        <v>2636</v>
      </c>
      <c r="F829" s="761">
        <v>131203200</v>
      </c>
      <c r="G829" s="761" t="s">
        <v>2639</v>
      </c>
      <c r="H829" s="761" t="s">
        <v>2640</v>
      </c>
      <c r="I829" s="761" t="s">
        <v>6867</v>
      </c>
      <c r="J829" s="761">
        <v>0</v>
      </c>
      <c r="K829" s="746">
        <v>29627.600000000002</v>
      </c>
      <c r="L829" s="746">
        <v>29627.600000000002</v>
      </c>
      <c r="M829" s="746">
        <v>0</v>
      </c>
      <c r="N829" s="493" t="str">
        <f t="shared" si="14"/>
        <v>C3901</v>
      </c>
      <c r="O829" s="493" t="s">
        <v>99</v>
      </c>
      <c r="P829" s="493"/>
    </row>
    <row r="830" spans="1:16">
      <c r="A830" s="761" t="s">
        <v>2339</v>
      </c>
      <c r="B830" s="761" t="s">
        <v>2340</v>
      </c>
      <c r="C830" s="761" t="s">
        <v>2497</v>
      </c>
      <c r="D830" s="761">
        <v>11853806</v>
      </c>
      <c r="E830" s="761" t="s">
        <v>2636</v>
      </c>
      <c r="F830" s="761">
        <v>143000360</v>
      </c>
      <c r="G830" s="761" t="s">
        <v>2641</v>
      </c>
      <c r="H830" s="761" t="s">
        <v>2642</v>
      </c>
      <c r="I830" s="761" t="s">
        <v>6867</v>
      </c>
      <c r="J830" s="761">
        <v>1</v>
      </c>
      <c r="K830" s="746">
        <v>712740.67</v>
      </c>
      <c r="L830" s="746">
        <v>712740.67</v>
      </c>
      <c r="M830" s="746">
        <v>0</v>
      </c>
      <c r="N830" s="493" t="str">
        <f t="shared" si="14"/>
        <v>C3901</v>
      </c>
      <c r="O830" s="493" t="s">
        <v>99</v>
      </c>
      <c r="P830" s="493"/>
    </row>
    <row r="831" spans="1:16">
      <c r="A831" s="761" t="s">
        <v>2339</v>
      </c>
      <c r="B831" s="761" t="s">
        <v>2340</v>
      </c>
      <c r="C831" s="761" t="s">
        <v>2497</v>
      </c>
      <c r="D831" s="761">
        <v>22922684</v>
      </c>
      <c r="E831" s="761" t="s">
        <v>2636</v>
      </c>
      <c r="F831" s="761">
        <v>143001660</v>
      </c>
      <c r="G831" s="761" t="s">
        <v>2613</v>
      </c>
      <c r="H831" s="761" t="s">
        <v>2614</v>
      </c>
      <c r="I831" s="761" t="s">
        <v>6867</v>
      </c>
      <c r="J831" s="761">
        <v>0</v>
      </c>
      <c r="K831" s="746">
        <v>930255.84</v>
      </c>
      <c r="L831" s="746">
        <v>930255.84</v>
      </c>
      <c r="M831" s="746">
        <v>0</v>
      </c>
      <c r="N831" s="493" t="str">
        <f t="shared" si="14"/>
        <v>C3901</v>
      </c>
      <c r="O831" s="493" t="s">
        <v>99</v>
      </c>
      <c r="P831" s="493"/>
    </row>
    <row r="832" spans="1:16">
      <c r="A832" s="761" t="s">
        <v>2339</v>
      </c>
      <c r="B832" s="761" t="s">
        <v>2340</v>
      </c>
      <c r="C832" s="761" t="s">
        <v>2497</v>
      </c>
      <c r="D832" s="761">
        <v>24726034</v>
      </c>
      <c r="E832" s="761" t="s">
        <v>2636</v>
      </c>
      <c r="F832" s="761">
        <v>143002168</v>
      </c>
      <c r="G832" s="761" t="s">
        <v>2643</v>
      </c>
      <c r="H832" s="761" t="s">
        <v>2644</v>
      </c>
      <c r="I832" s="761" t="s">
        <v>6867</v>
      </c>
      <c r="J832" s="761">
        <v>1</v>
      </c>
      <c r="K832" s="746">
        <v>13278.67</v>
      </c>
      <c r="L832" s="746">
        <v>13278.67</v>
      </c>
      <c r="M832" s="746">
        <v>0</v>
      </c>
      <c r="N832" s="493" t="str">
        <f t="shared" si="14"/>
        <v>C3901</v>
      </c>
      <c r="O832" s="493" t="s">
        <v>99</v>
      </c>
      <c r="P832" s="493"/>
    </row>
    <row r="833" spans="1:16">
      <c r="A833" s="761" t="s">
        <v>2339</v>
      </c>
      <c r="B833" s="761" t="s">
        <v>2340</v>
      </c>
      <c r="C833" s="761" t="s">
        <v>2497</v>
      </c>
      <c r="D833" s="761">
        <v>28368905</v>
      </c>
      <c r="E833" s="761" t="s">
        <v>2636</v>
      </c>
      <c r="F833" s="761">
        <v>143002680</v>
      </c>
      <c r="G833" s="761" t="s">
        <v>2645</v>
      </c>
      <c r="H833" s="761" t="s">
        <v>2646</v>
      </c>
      <c r="I833" s="761" t="s">
        <v>6867</v>
      </c>
      <c r="J833" s="761">
        <v>1</v>
      </c>
      <c r="K833" s="746">
        <v>11211.81</v>
      </c>
      <c r="L833" s="746">
        <v>11211.81</v>
      </c>
      <c r="M833" s="746">
        <v>0</v>
      </c>
      <c r="N833" s="493" t="str">
        <f t="shared" si="14"/>
        <v>C3901</v>
      </c>
      <c r="O833" s="493" t="s">
        <v>99</v>
      </c>
      <c r="P833" s="493"/>
    </row>
    <row r="834" spans="1:16">
      <c r="A834" s="761" t="s">
        <v>2339</v>
      </c>
      <c r="B834" s="761" t="s">
        <v>2340</v>
      </c>
      <c r="C834" s="761" t="s">
        <v>2647</v>
      </c>
      <c r="D834" s="761">
        <v>4822226</v>
      </c>
      <c r="E834" s="761" t="s">
        <v>2648</v>
      </c>
      <c r="F834" s="761">
        <v>131201501</v>
      </c>
      <c r="G834" s="761" t="s">
        <v>2652</v>
      </c>
      <c r="H834" s="761" t="s">
        <v>2653</v>
      </c>
      <c r="I834" s="761" t="s">
        <v>6867</v>
      </c>
      <c r="J834" s="761">
        <v>1</v>
      </c>
      <c r="K834" s="746">
        <v>176997.4</v>
      </c>
      <c r="L834" s="746">
        <v>149493.12</v>
      </c>
      <c r="M834" s="746">
        <v>27504.28</v>
      </c>
      <c r="N834" s="493" t="str">
        <f t="shared" si="14"/>
        <v>C3901</v>
      </c>
      <c r="O834" s="493" t="s">
        <v>99</v>
      </c>
      <c r="P834" s="493"/>
    </row>
    <row r="835" spans="1:16">
      <c r="A835" s="761" t="s">
        <v>2339</v>
      </c>
      <c r="B835" s="761" t="s">
        <v>2340</v>
      </c>
      <c r="C835" s="761" t="s">
        <v>2647</v>
      </c>
      <c r="D835" s="761">
        <v>3260089</v>
      </c>
      <c r="E835" s="761" t="s">
        <v>2648</v>
      </c>
      <c r="F835" s="761">
        <v>130003341</v>
      </c>
      <c r="G835" s="761" t="s">
        <v>2649</v>
      </c>
      <c r="H835" s="761" t="s">
        <v>2650</v>
      </c>
      <c r="I835" s="761" t="s">
        <v>6867</v>
      </c>
      <c r="J835" s="761">
        <v>1</v>
      </c>
      <c r="K835" s="746">
        <v>731500</v>
      </c>
      <c r="L835" s="746">
        <v>625476.13</v>
      </c>
      <c r="M835" s="746">
        <v>106023.87</v>
      </c>
      <c r="N835" s="493" t="str">
        <f t="shared" si="14"/>
        <v>C3901</v>
      </c>
      <c r="O835" s="493" t="s">
        <v>99</v>
      </c>
      <c r="P835" s="493"/>
    </row>
    <row r="836" spans="1:16">
      <c r="A836" s="761" t="s">
        <v>2339</v>
      </c>
      <c r="B836" s="761" t="s">
        <v>2340</v>
      </c>
      <c r="C836" s="761" t="s">
        <v>2647</v>
      </c>
      <c r="D836" s="761">
        <v>4822229</v>
      </c>
      <c r="E836" s="761" t="s">
        <v>2648</v>
      </c>
      <c r="F836" s="761">
        <v>131201501</v>
      </c>
      <c r="G836" s="761" t="s">
        <v>2652</v>
      </c>
      <c r="H836" s="761" t="s">
        <v>2653</v>
      </c>
      <c r="I836" s="761" t="s">
        <v>6867</v>
      </c>
      <c r="J836" s="761">
        <v>0</v>
      </c>
      <c r="K836" s="746">
        <v>1197034.02</v>
      </c>
      <c r="L836" s="746">
        <v>1011022.51</v>
      </c>
      <c r="M836" s="746">
        <v>186011.51</v>
      </c>
      <c r="N836" s="493" t="str">
        <f t="shared" si="14"/>
        <v>C3901</v>
      </c>
      <c r="O836" s="493" t="s">
        <v>99</v>
      </c>
      <c r="P836" s="493"/>
    </row>
    <row r="837" spans="1:16">
      <c r="A837" s="761" t="s">
        <v>2339</v>
      </c>
      <c r="B837" s="761" t="s">
        <v>2340</v>
      </c>
      <c r="C837" s="761" t="s">
        <v>2647</v>
      </c>
      <c r="D837" s="761">
        <v>5286682</v>
      </c>
      <c r="E837" s="761" t="s">
        <v>2648</v>
      </c>
      <c r="F837" s="761">
        <v>131201501</v>
      </c>
      <c r="G837" s="761" t="s">
        <v>2652</v>
      </c>
      <c r="H837" s="761" t="s">
        <v>2653</v>
      </c>
      <c r="I837" s="761" t="s">
        <v>6867</v>
      </c>
      <c r="J837" s="761">
        <v>0</v>
      </c>
      <c r="K837" s="746">
        <v>227935.31</v>
      </c>
      <c r="L837" s="746">
        <v>192515.61000000002</v>
      </c>
      <c r="M837" s="746">
        <v>35419.700000000004</v>
      </c>
      <c r="N837" s="493" t="str">
        <f t="shared" si="14"/>
        <v>C3901</v>
      </c>
      <c r="O837" s="493" t="s">
        <v>99</v>
      </c>
      <c r="P837" s="493"/>
    </row>
    <row r="838" spans="1:16">
      <c r="A838" s="761" t="s">
        <v>2339</v>
      </c>
      <c r="B838" s="761" t="s">
        <v>2340</v>
      </c>
      <c r="C838" s="761" t="s">
        <v>2647</v>
      </c>
      <c r="D838" s="761">
        <v>7141021</v>
      </c>
      <c r="E838" s="761" t="s">
        <v>2648</v>
      </c>
      <c r="F838" s="761">
        <v>131203260</v>
      </c>
      <c r="G838" s="761" t="s">
        <v>2654</v>
      </c>
      <c r="H838" s="761" t="s">
        <v>2655</v>
      </c>
      <c r="I838" s="761" t="s">
        <v>6867</v>
      </c>
      <c r="J838" s="761">
        <v>0</v>
      </c>
      <c r="K838" s="746">
        <v>59053.440000000002</v>
      </c>
      <c r="L838" s="746">
        <v>49192.57</v>
      </c>
      <c r="M838" s="746">
        <v>9860.8700000000008</v>
      </c>
      <c r="N838" s="493" t="str">
        <f t="shared" si="14"/>
        <v>C3901</v>
      </c>
      <c r="O838" s="493" t="s">
        <v>99</v>
      </c>
      <c r="P838" s="493"/>
    </row>
    <row r="839" spans="1:16">
      <c r="A839" s="761" t="s">
        <v>2339</v>
      </c>
      <c r="B839" s="761" t="s">
        <v>2340</v>
      </c>
      <c r="C839" s="761" t="s">
        <v>2647</v>
      </c>
      <c r="D839" s="761">
        <v>7300058</v>
      </c>
      <c r="E839" s="761" t="s">
        <v>2648</v>
      </c>
      <c r="F839" s="761">
        <v>131203600</v>
      </c>
      <c r="G839" s="761" t="s">
        <v>2658</v>
      </c>
      <c r="H839" s="761" t="s">
        <v>2659</v>
      </c>
      <c r="I839" s="761" t="s">
        <v>6867</v>
      </c>
      <c r="J839" s="761">
        <v>0</v>
      </c>
      <c r="K839" s="746">
        <v>43897.03</v>
      </c>
      <c r="L839" s="746">
        <v>36567.01</v>
      </c>
      <c r="M839" s="746">
        <v>7330.02</v>
      </c>
      <c r="N839" s="493" t="str">
        <f t="shared" si="14"/>
        <v>C3901</v>
      </c>
      <c r="O839" s="493" t="s">
        <v>99</v>
      </c>
      <c r="P839" s="493"/>
    </row>
    <row r="840" spans="1:16">
      <c r="A840" s="761" t="s">
        <v>2339</v>
      </c>
      <c r="B840" s="761" t="s">
        <v>2340</v>
      </c>
      <c r="C840" s="761" t="s">
        <v>2647</v>
      </c>
      <c r="D840" s="761">
        <v>7303332</v>
      </c>
      <c r="E840" s="761" t="s">
        <v>2648</v>
      </c>
      <c r="F840" s="761">
        <v>131203400</v>
      </c>
      <c r="G840" s="761" t="s">
        <v>2656</v>
      </c>
      <c r="H840" s="761" t="s">
        <v>2657</v>
      </c>
      <c r="I840" s="761" t="s">
        <v>6867</v>
      </c>
      <c r="J840" s="761">
        <v>0</v>
      </c>
      <c r="K840" s="746">
        <v>213736.41</v>
      </c>
      <c r="L840" s="746">
        <v>178046.23</v>
      </c>
      <c r="M840" s="746">
        <v>35690.18</v>
      </c>
      <c r="N840" s="493" t="str">
        <f t="shared" si="14"/>
        <v>C3901</v>
      </c>
      <c r="O840" s="493" t="s">
        <v>99</v>
      </c>
      <c r="P840" s="493"/>
    </row>
    <row r="841" spans="1:16">
      <c r="A841" s="761" t="s">
        <v>2339</v>
      </c>
      <c r="B841" s="761" t="s">
        <v>2340</v>
      </c>
      <c r="C841" s="761" t="s">
        <v>2647</v>
      </c>
      <c r="D841" s="761">
        <v>7304028</v>
      </c>
      <c r="E841" s="761" t="s">
        <v>2648</v>
      </c>
      <c r="F841" s="761">
        <v>130004981</v>
      </c>
      <c r="G841" s="761" t="s">
        <v>2651</v>
      </c>
      <c r="H841" s="761" t="s">
        <v>2651</v>
      </c>
      <c r="I841" s="761" t="s">
        <v>6867</v>
      </c>
      <c r="J841" s="761">
        <v>0</v>
      </c>
      <c r="K841" s="746">
        <v>159000</v>
      </c>
      <c r="L841" s="746">
        <v>132449.83000000002</v>
      </c>
      <c r="M841" s="746">
        <v>26550.170000000002</v>
      </c>
      <c r="N841" s="493" t="str">
        <f t="shared" si="14"/>
        <v>C3901</v>
      </c>
      <c r="O841" s="493" t="s">
        <v>99</v>
      </c>
      <c r="P841" s="493"/>
    </row>
    <row r="842" spans="1:16">
      <c r="A842" s="761" t="s">
        <v>2339</v>
      </c>
      <c r="B842" s="761" t="s">
        <v>2340</v>
      </c>
      <c r="C842" s="761" t="s">
        <v>2647</v>
      </c>
      <c r="D842" s="761">
        <v>12233140</v>
      </c>
      <c r="E842" s="761" t="s">
        <v>2648</v>
      </c>
      <c r="F842" s="761">
        <v>143001041</v>
      </c>
      <c r="G842" s="761" t="s">
        <v>2662</v>
      </c>
      <c r="H842" s="761" t="s">
        <v>2663</v>
      </c>
      <c r="I842" s="761" t="s">
        <v>6867</v>
      </c>
      <c r="J842" s="761">
        <v>0</v>
      </c>
      <c r="K842" s="746">
        <v>1890.45</v>
      </c>
      <c r="L842" s="746">
        <v>1492</v>
      </c>
      <c r="M842" s="746">
        <v>398.45</v>
      </c>
      <c r="N842" s="493" t="str">
        <f t="shared" si="14"/>
        <v>C3901</v>
      </c>
      <c r="O842" s="493" t="s">
        <v>99</v>
      </c>
      <c r="P842" s="493"/>
    </row>
    <row r="843" spans="1:16">
      <c r="A843" s="761" t="s">
        <v>2339</v>
      </c>
      <c r="B843" s="761" t="s">
        <v>2340</v>
      </c>
      <c r="C843" s="761" t="s">
        <v>2647</v>
      </c>
      <c r="D843" s="761">
        <v>12233137</v>
      </c>
      <c r="E843" s="761" t="s">
        <v>2648</v>
      </c>
      <c r="F843" s="761">
        <v>143001040</v>
      </c>
      <c r="G843" s="761" t="s">
        <v>2660</v>
      </c>
      <c r="H843" s="761" t="s">
        <v>2661</v>
      </c>
      <c r="I843" s="761" t="s">
        <v>6867</v>
      </c>
      <c r="J843" s="761">
        <v>1</v>
      </c>
      <c r="K843" s="746">
        <v>299284.33</v>
      </c>
      <c r="L843" s="746">
        <v>236204.76</v>
      </c>
      <c r="M843" s="746">
        <v>63079.57</v>
      </c>
      <c r="N843" s="493" t="str">
        <f t="shared" si="14"/>
        <v>C3901</v>
      </c>
      <c r="O843" s="493" t="s">
        <v>99</v>
      </c>
      <c r="P843" s="493"/>
    </row>
    <row r="844" spans="1:16">
      <c r="A844" s="761" t="s">
        <v>2339</v>
      </c>
      <c r="B844" s="761" t="s">
        <v>2340</v>
      </c>
      <c r="C844" s="761" t="s">
        <v>2647</v>
      </c>
      <c r="D844" s="761">
        <v>17563693</v>
      </c>
      <c r="E844" s="761" t="s">
        <v>2648</v>
      </c>
      <c r="F844" s="761">
        <v>143001061</v>
      </c>
      <c r="G844" s="761" t="s">
        <v>2664</v>
      </c>
      <c r="H844" s="761" t="s">
        <v>2665</v>
      </c>
      <c r="I844" s="761" t="s">
        <v>6867</v>
      </c>
      <c r="J844" s="761">
        <v>0</v>
      </c>
      <c r="K844" s="746">
        <v>232145</v>
      </c>
      <c r="L844" s="746">
        <v>173914.43</v>
      </c>
      <c r="M844" s="746">
        <v>58230.57</v>
      </c>
      <c r="N844" s="493" t="str">
        <f t="shared" si="14"/>
        <v>C3901</v>
      </c>
      <c r="O844" s="493" t="s">
        <v>99</v>
      </c>
      <c r="P844" s="493"/>
    </row>
    <row r="845" spans="1:16">
      <c r="A845" s="493" t="s">
        <v>2339</v>
      </c>
      <c r="B845" s="493" t="s">
        <v>2340</v>
      </c>
      <c r="C845" s="493" t="s">
        <v>2647</v>
      </c>
      <c r="D845" s="493">
        <v>20821257</v>
      </c>
      <c r="E845" s="493" t="s">
        <v>2648</v>
      </c>
      <c r="F845" s="493">
        <v>143001543</v>
      </c>
      <c r="G845" s="493" t="s">
        <v>2666</v>
      </c>
      <c r="H845" s="761" t="s">
        <v>2667</v>
      </c>
      <c r="I845" s="493" t="s">
        <v>6867</v>
      </c>
      <c r="J845" s="493">
        <v>0</v>
      </c>
      <c r="K845" s="746">
        <v>-5589.96</v>
      </c>
      <c r="L845" s="746">
        <v>-4307.55</v>
      </c>
      <c r="M845" s="746">
        <v>-1282.4100000000001</v>
      </c>
      <c r="N845" s="493" t="str">
        <f t="shared" si="14"/>
        <v>C3901</v>
      </c>
      <c r="O845" s="493" t="s">
        <v>99</v>
      </c>
      <c r="P845" s="493"/>
    </row>
    <row r="846" spans="1:16">
      <c r="A846" s="761" t="s">
        <v>2339</v>
      </c>
      <c r="B846" s="761" t="s">
        <v>2340</v>
      </c>
      <c r="C846" s="761" t="s">
        <v>2647</v>
      </c>
      <c r="D846" s="761">
        <v>25942234</v>
      </c>
      <c r="E846" s="761" t="s">
        <v>2648</v>
      </c>
      <c r="F846" s="761">
        <v>143002151</v>
      </c>
      <c r="G846" s="761" t="s">
        <v>2668</v>
      </c>
      <c r="H846" s="761" t="s">
        <v>2669</v>
      </c>
      <c r="I846" s="761" t="s">
        <v>6867</v>
      </c>
      <c r="J846" s="761">
        <v>1</v>
      </c>
      <c r="K846" s="746">
        <v>46983.15</v>
      </c>
      <c r="L846" s="746">
        <v>32655.88</v>
      </c>
      <c r="M846" s="746">
        <v>14327.27</v>
      </c>
      <c r="N846" s="493" t="str">
        <f t="shared" si="14"/>
        <v>C3901</v>
      </c>
      <c r="O846" s="493" t="s">
        <v>99</v>
      </c>
      <c r="P846" s="493"/>
    </row>
    <row r="847" spans="1:16">
      <c r="A847" s="761" t="s">
        <v>2339</v>
      </c>
      <c r="B847" s="761" t="s">
        <v>2340</v>
      </c>
      <c r="C847" s="761" t="s">
        <v>2647</v>
      </c>
      <c r="D847" s="761">
        <v>25942239</v>
      </c>
      <c r="E847" s="761" t="s">
        <v>2648</v>
      </c>
      <c r="F847" s="761">
        <v>143002151</v>
      </c>
      <c r="G847" s="761" t="s">
        <v>2668</v>
      </c>
      <c r="H847" s="761" t="s">
        <v>2669</v>
      </c>
      <c r="I847" s="761" t="s">
        <v>6867</v>
      </c>
      <c r="J847" s="761">
        <v>1</v>
      </c>
      <c r="K847" s="746">
        <v>32442.74</v>
      </c>
      <c r="L847" s="746">
        <v>22549.49</v>
      </c>
      <c r="M847" s="746">
        <v>9893.25</v>
      </c>
      <c r="N847" s="493" t="str">
        <f t="shared" si="14"/>
        <v>C3901</v>
      </c>
      <c r="O847" s="493" t="s">
        <v>99</v>
      </c>
      <c r="P847" s="493"/>
    </row>
    <row r="848" spans="1:16">
      <c r="A848" s="761" t="s">
        <v>2339</v>
      </c>
      <c r="B848" s="761" t="s">
        <v>2340</v>
      </c>
      <c r="C848" s="761" t="s">
        <v>2647</v>
      </c>
      <c r="D848" s="761">
        <v>25942242</v>
      </c>
      <c r="E848" s="761" t="s">
        <v>2648</v>
      </c>
      <c r="F848" s="761">
        <v>143002151</v>
      </c>
      <c r="G848" s="761" t="s">
        <v>2668</v>
      </c>
      <c r="H848" s="761" t="s">
        <v>2669</v>
      </c>
      <c r="I848" s="761" t="s">
        <v>6867</v>
      </c>
      <c r="J848" s="761">
        <v>1</v>
      </c>
      <c r="K848" s="746">
        <v>4622.66</v>
      </c>
      <c r="L848" s="746">
        <v>3213</v>
      </c>
      <c r="M848" s="746">
        <v>1409.66</v>
      </c>
      <c r="N848" s="493" t="str">
        <f t="shared" si="14"/>
        <v>C3901</v>
      </c>
      <c r="O848" s="493" t="s">
        <v>99</v>
      </c>
      <c r="P848" s="493"/>
    </row>
    <row r="849" spans="1:16">
      <c r="A849" s="761" t="s">
        <v>2339</v>
      </c>
      <c r="B849" s="761" t="s">
        <v>2340</v>
      </c>
      <c r="C849" s="761" t="s">
        <v>2517</v>
      </c>
      <c r="D849" s="761">
        <v>36542534</v>
      </c>
      <c r="E849" s="761" t="s">
        <v>2670</v>
      </c>
      <c r="F849" s="761" t="s">
        <v>2357</v>
      </c>
      <c r="I849" s="761" t="s">
        <v>6867</v>
      </c>
      <c r="J849" s="761">
        <v>0</v>
      </c>
      <c r="K849" s="746">
        <v>197635.35</v>
      </c>
      <c r="L849" s="746">
        <v>103938.17</v>
      </c>
      <c r="M849" s="746">
        <v>93697.180000000008</v>
      </c>
      <c r="N849" s="493" t="str">
        <f t="shared" ref="N849:N912" si="15">LEFT(E849,4)</f>
        <v>C391</v>
      </c>
      <c r="O849" s="493" t="s">
        <v>95</v>
      </c>
      <c r="P849" s="493"/>
    </row>
    <row r="850" spans="1:16">
      <c r="A850" s="761" t="s">
        <v>2339</v>
      </c>
      <c r="B850" s="761" t="s">
        <v>2340</v>
      </c>
      <c r="C850" s="761" t="s">
        <v>2517</v>
      </c>
      <c r="D850" s="761">
        <v>36542543</v>
      </c>
      <c r="E850" s="761" t="s">
        <v>2670</v>
      </c>
      <c r="F850" s="761" t="s">
        <v>2357</v>
      </c>
      <c r="I850" s="761" t="s">
        <v>6867</v>
      </c>
      <c r="J850" s="761">
        <v>0</v>
      </c>
      <c r="K850" s="746">
        <v>19859.88</v>
      </c>
      <c r="L850" s="746">
        <v>10444.49</v>
      </c>
      <c r="M850" s="746">
        <v>9415.39</v>
      </c>
      <c r="N850" s="493" t="str">
        <f t="shared" si="15"/>
        <v>C391</v>
      </c>
      <c r="O850" s="493" t="s">
        <v>95</v>
      </c>
      <c r="P850" s="493"/>
    </row>
    <row r="851" spans="1:16">
      <c r="A851" s="761" t="s">
        <v>2339</v>
      </c>
      <c r="B851" s="761" t="s">
        <v>2340</v>
      </c>
      <c r="C851" s="761" t="s">
        <v>2517</v>
      </c>
      <c r="D851" s="761">
        <v>36542552</v>
      </c>
      <c r="E851" s="761" t="s">
        <v>2670</v>
      </c>
      <c r="F851" s="761" t="s">
        <v>2357</v>
      </c>
      <c r="I851" s="761" t="s">
        <v>6867</v>
      </c>
      <c r="J851" s="761">
        <v>0</v>
      </c>
      <c r="K851" s="746">
        <v>8377.43</v>
      </c>
      <c r="L851" s="746">
        <v>4405.76</v>
      </c>
      <c r="M851" s="746">
        <v>3971.67</v>
      </c>
      <c r="N851" s="493" t="str">
        <f t="shared" si="15"/>
        <v>C391</v>
      </c>
      <c r="O851" s="493" t="s">
        <v>95</v>
      </c>
      <c r="P851" s="493"/>
    </row>
    <row r="852" spans="1:16">
      <c r="A852" s="761" t="s">
        <v>2339</v>
      </c>
      <c r="B852" s="761" t="s">
        <v>2340</v>
      </c>
      <c r="C852" s="761" t="s">
        <v>2517</v>
      </c>
      <c r="D852" s="761">
        <v>36542563</v>
      </c>
      <c r="E852" s="761" t="s">
        <v>2670</v>
      </c>
      <c r="F852" s="761" t="s">
        <v>2357</v>
      </c>
      <c r="I852" s="761" t="s">
        <v>6867</v>
      </c>
      <c r="J852" s="761">
        <v>0</v>
      </c>
      <c r="K852" s="746">
        <v>2459533.08</v>
      </c>
      <c r="L852" s="746">
        <v>812369.63</v>
      </c>
      <c r="M852" s="746">
        <v>1647163.4500000002</v>
      </c>
      <c r="N852" s="493" t="str">
        <f t="shared" si="15"/>
        <v>C391</v>
      </c>
      <c r="O852" s="493" t="s">
        <v>95</v>
      </c>
      <c r="P852" s="493"/>
    </row>
    <row r="853" spans="1:16">
      <c r="A853" s="761" t="s">
        <v>2339</v>
      </c>
      <c r="B853" s="761" t="s">
        <v>2340</v>
      </c>
      <c r="C853" s="761" t="s">
        <v>2517</v>
      </c>
      <c r="D853" s="761">
        <v>36542572</v>
      </c>
      <c r="E853" s="761" t="s">
        <v>2670</v>
      </c>
      <c r="F853" s="761" t="s">
        <v>2357</v>
      </c>
      <c r="I853" s="761" t="s">
        <v>6867</v>
      </c>
      <c r="J853" s="761">
        <v>0</v>
      </c>
      <c r="K853" s="746">
        <v>32160.87</v>
      </c>
      <c r="L853" s="746">
        <v>10622.550000000001</v>
      </c>
      <c r="M853" s="746">
        <v>21538.32</v>
      </c>
      <c r="N853" s="493" t="str">
        <f t="shared" si="15"/>
        <v>C391</v>
      </c>
      <c r="O853" s="493" t="s">
        <v>95</v>
      </c>
      <c r="P853" s="493"/>
    </row>
    <row r="854" spans="1:16">
      <c r="A854" s="761" t="s">
        <v>2339</v>
      </c>
      <c r="B854" s="761" t="s">
        <v>2340</v>
      </c>
      <c r="C854" s="761" t="s">
        <v>2497</v>
      </c>
      <c r="D854" s="761">
        <v>36542581</v>
      </c>
      <c r="E854" s="761" t="s">
        <v>2670</v>
      </c>
      <c r="F854" s="761" t="s">
        <v>2357</v>
      </c>
      <c r="I854" s="761" t="s">
        <v>6867</v>
      </c>
      <c r="J854" s="761">
        <v>0</v>
      </c>
      <c r="K854" s="746">
        <v>27763.32</v>
      </c>
      <c r="L854" s="746">
        <v>9170.06</v>
      </c>
      <c r="M854" s="746">
        <v>18593.260000000002</v>
      </c>
      <c r="N854" s="493" t="str">
        <f t="shared" si="15"/>
        <v>C391</v>
      </c>
      <c r="O854" s="493" t="s">
        <v>95</v>
      </c>
      <c r="P854" s="493"/>
    </row>
    <row r="855" spans="1:16">
      <c r="A855" s="761" t="s">
        <v>2339</v>
      </c>
      <c r="B855" s="761" t="s">
        <v>2340</v>
      </c>
      <c r="C855" s="761" t="s">
        <v>2517</v>
      </c>
      <c r="D855" s="761">
        <v>36542590</v>
      </c>
      <c r="E855" s="761" t="s">
        <v>2670</v>
      </c>
      <c r="F855" s="761" t="s">
        <v>2357</v>
      </c>
      <c r="I855" s="761" t="s">
        <v>6867</v>
      </c>
      <c r="J855" s="761">
        <v>0</v>
      </c>
      <c r="K855" s="746">
        <v>1775003.63</v>
      </c>
      <c r="L855" s="746">
        <v>586273.49</v>
      </c>
      <c r="M855" s="746">
        <v>1188730.1400000001</v>
      </c>
      <c r="N855" s="493" t="str">
        <f t="shared" si="15"/>
        <v>C391</v>
      </c>
      <c r="O855" s="493" t="s">
        <v>95</v>
      </c>
      <c r="P855" s="493"/>
    </row>
    <row r="856" spans="1:16">
      <c r="A856" s="761" t="s">
        <v>2339</v>
      </c>
      <c r="B856" s="761" t="s">
        <v>2340</v>
      </c>
      <c r="C856" s="761" t="s">
        <v>2683</v>
      </c>
      <c r="D856" s="761">
        <v>36543734</v>
      </c>
      <c r="E856" s="761" t="s">
        <v>2670</v>
      </c>
      <c r="F856" s="761" t="s">
        <v>2357</v>
      </c>
      <c r="I856" s="761" t="s">
        <v>6867</v>
      </c>
      <c r="J856" s="761">
        <v>1</v>
      </c>
      <c r="K856" s="746">
        <v>25559.95</v>
      </c>
      <c r="L856" s="746">
        <v>8442.2999999999993</v>
      </c>
      <c r="M856" s="746">
        <v>17117.650000000001</v>
      </c>
      <c r="N856" s="493" t="str">
        <f t="shared" si="15"/>
        <v>C391</v>
      </c>
      <c r="O856" s="493" t="s">
        <v>95</v>
      </c>
      <c r="P856" s="493"/>
    </row>
    <row r="857" spans="1:16">
      <c r="A857" s="761" t="s">
        <v>2339</v>
      </c>
      <c r="B857" s="761" t="s">
        <v>2340</v>
      </c>
      <c r="C857" s="761" t="s">
        <v>2517</v>
      </c>
      <c r="D857" s="761">
        <v>36543743</v>
      </c>
      <c r="E857" s="761" t="s">
        <v>2670</v>
      </c>
      <c r="F857" s="761" t="s">
        <v>2357</v>
      </c>
      <c r="I857" s="761" t="s">
        <v>6867</v>
      </c>
      <c r="J857" s="761">
        <v>0</v>
      </c>
      <c r="K857" s="746">
        <v>328920.69</v>
      </c>
      <c r="L857" s="746">
        <v>88233.2</v>
      </c>
      <c r="M857" s="746">
        <v>240687.49</v>
      </c>
      <c r="N857" s="493" t="str">
        <f t="shared" si="15"/>
        <v>C391</v>
      </c>
      <c r="O857" s="493" t="s">
        <v>95</v>
      </c>
      <c r="P857" s="493"/>
    </row>
    <row r="858" spans="1:16">
      <c r="A858" s="761" t="s">
        <v>2339</v>
      </c>
      <c r="B858" s="761" t="s">
        <v>2340</v>
      </c>
      <c r="C858" s="761" t="s">
        <v>2517</v>
      </c>
      <c r="D858" s="761">
        <v>36543754</v>
      </c>
      <c r="E858" s="761" t="s">
        <v>2670</v>
      </c>
      <c r="F858" s="761" t="s">
        <v>2357</v>
      </c>
      <c r="I858" s="761" t="s">
        <v>6867</v>
      </c>
      <c r="J858" s="761">
        <v>0</v>
      </c>
      <c r="K858" s="746">
        <v>19154.02</v>
      </c>
      <c r="L858" s="746">
        <v>5138.08</v>
      </c>
      <c r="M858" s="746">
        <v>14015.94</v>
      </c>
      <c r="N858" s="493" t="str">
        <f t="shared" si="15"/>
        <v>C391</v>
      </c>
      <c r="O858" s="493" t="s">
        <v>95</v>
      </c>
      <c r="P858" s="493"/>
    </row>
    <row r="859" spans="1:16">
      <c r="A859" s="761" t="s">
        <v>2339</v>
      </c>
      <c r="B859" s="761" t="s">
        <v>2340</v>
      </c>
      <c r="C859" s="761" t="s">
        <v>2364</v>
      </c>
      <c r="D859" s="761">
        <v>36543763</v>
      </c>
      <c r="E859" s="761" t="s">
        <v>2670</v>
      </c>
      <c r="F859" s="761" t="s">
        <v>2357</v>
      </c>
      <c r="I859" s="761" t="s">
        <v>6867</v>
      </c>
      <c r="J859" s="761">
        <v>1</v>
      </c>
      <c r="K859" s="746">
        <v>34605.93</v>
      </c>
      <c r="L859" s="746">
        <v>9283.06</v>
      </c>
      <c r="M859" s="746">
        <v>25322.87</v>
      </c>
      <c r="N859" s="493" t="str">
        <f t="shared" si="15"/>
        <v>C391</v>
      </c>
      <c r="O859" s="493" t="s">
        <v>95</v>
      </c>
      <c r="P859" s="493"/>
    </row>
    <row r="860" spans="1:16">
      <c r="A860" s="761" t="s">
        <v>2339</v>
      </c>
      <c r="B860" s="761" t="s">
        <v>2340</v>
      </c>
      <c r="C860" s="761" t="s">
        <v>2364</v>
      </c>
      <c r="D860" s="761">
        <v>36541060</v>
      </c>
      <c r="E860" s="761" t="s">
        <v>2670</v>
      </c>
      <c r="F860" s="761">
        <v>130002961</v>
      </c>
      <c r="G860" s="761" t="s">
        <v>2671</v>
      </c>
      <c r="H860" s="761" t="s">
        <v>2671</v>
      </c>
      <c r="I860" s="761" t="s">
        <v>6867</v>
      </c>
      <c r="J860" s="761">
        <v>0</v>
      </c>
      <c r="K860" s="746">
        <v>51268.07</v>
      </c>
      <c r="L860" s="746">
        <v>12067.94</v>
      </c>
      <c r="M860" s="746">
        <v>39200.129999999997</v>
      </c>
      <c r="N860" s="493" t="str">
        <f t="shared" si="15"/>
        <v>C391</v>
      </c>
      <c r="O860" s="493" t="s">
        <v>95</v>
      </c>
      <c r="P860" s="493"/>
    </row>
    <row r="861" spans="1:16">
      <c r="A861" s="761" t="s">
        <v>2339</v>
      </c>
      <c r="B861" s="761" t="s">
        <v>2340</v>
      </c>
      <c r="C861" s="761" t="s">
        <v>2517</v>
      </c>
      <c r="D861" s="761">
        <v>36543772</v>
      </c>
      <c r="E861" s="761" t="s">
        <v>2670</v>
      </c>
      <c r="F861" s="761" t="s">
        <v>2357</v>
      </c>
      <c r="I861" s="761" t="s">
        <v>6867</v>
      </c>
      <c r="J861" s="761">
        <v>0</v>
      </c>
      <c r="K861" s="746">
        <v>11305.67</v>
      </c>
      <c r="L861" s="746">
        <v>2661.23</v>
      </c>
      <c r="M861" s="746">
        <v>8644.44</v>
      </c>
      <c r="N861" s="493" t="str">
        <f t="shared" si="15"/>
        <v>C391</v>
      </c>
      <c r="O861" s="493" t="s">
        <v>95</v>
      </c>
      <c r="P861" s="493"/>
    </row>
    <row r="862" spans="1:16">
      <c r="A862" s="761" t="s">
        <v>2339</v>
      </c>
      <c r="B862" s="761" t="s">
        <v>2340</v>
      </c>
      <c r="C862" s="761" t="s">
        <v>2517</v>
      </c>
      <c r="D862" s="761">
        <v>36543781</v>
      </c>
      <c r="E862" s="761" t="s">
        <v>2670</v>
      </c>
      <c r="F862" s="761" t="s">
        <v>2357</v>
      </c>
      <c r="I862" s="761" t="s">
        <v>6867</v>
      </c>
      <c r="J862" s="761">
        <v>1</v>
      </c>
      <c r="K862" s="746">
        <v>51922.39</v>
      </c>
      <c r="L862" s="746">
        <v>12221.960000000001</v>
      </c>
      <c r="M862" s="746">
        <v>39700.43</v>
      </c>
      <c r="N862" s="493" t="str">
        <f t="shared" si="15"/>
        <v>C391</v>
      </c>
      <c r="O862" s="493" t="s">
        <v>95</v>
      </c>
      <c r="P862" s="493"/>
    </row>
    <row r="863" spans="1:16">
      <c r="A863" s="761" t="s">
        <v>2339</v>
      </c>
      <c r="B863" s="761" t="s">
        <v>2340</v>
      </c>
      <c r="C863" s="761" t="s">
        <v>2623</v>
      </c>
      <c r="D863" s="761">
        <v>5256430</v>
      </c>
      <c r="E863" s="761" t="s">
        <v>2670</v>
      </c>
      <c r="F863" s="761">
        <v>130003801</v>
      </c>
      <c r="G863" s="761" t="s">
        <v>2677</v>
      </c>
      <c r="H863" s="761" t="s">
        <v>2677</v>
      </c>
      <c r="I863" s="761" t="s">
        <v>6867</v>
      </c>
      <c r="J863" s="761">
        <v>0</v>
      </c>
      <c r="K863" s="746">
        <v>66652.430000000008</v>
      </c>
      <c r="L863" s="746">
        <v>14254.26</v>
      </c>
      <c r="M863" s="746">
        <v>52398.17</v>
      </c>
      <c r="N863" s="493" t="str">
        <f t="shared" si="15"/>
        <v>C391</v>
      </c>
      <c r="O863" s="493" t="s">
        <v>95</v>
      </c>
      <c r="P863" s="493"/>
    </row>
    <row r="864" spans="1:16">
      <c r="A864" s="761" t="s">
        <v>2339</v>
      </c>
      <c r="B864" s="761" t="s">
        <v>2340</v>
      </c>
      <c r="C864" s="761" t="s">
        <v>2400</v>
      </c>
      <c r="D864" s="761">
        <v>7040293</v>
      </c>
      <c r="E864" s="761" t="s">
        <v>2670</v>
      </c>
      <c r="F864" s="761">
        <v>130003941</v>
      </c>
      <c r="G864" s="761" t="s">
        <v>2681</v>
      </c>
      <c r="H864" s="761" t="s">
        <v>2681</v>
      </c>
      <c r="I864" s="761" t="s">
        <v>6867</v>
      </c>
      <c r="J864" s="761">
        <v>1</v>
      </c>
      <c r="K864" s="746">
        <v>4448.59</v>
      </c>
      <c r="L864" s="746">
        <v>951.37</v>
      </c>
      <c r="M864" s="746">
        <v>3497.2200000000003</v>
      </c>
      <c r="N864" s="493" t="str">
        <f t="shared" si="15"/>
        <v>C391</v>
      </c>
      <c r="O864" s="493" t="s">
        <v>95</v>
      </c>
      <c r="P864" s="493"/>
    </row>
    <row r="865" spans="1:16">
      <c r="A865" s="761" t="s">
        <v>2339</v>
      </c>
      <c r="B865" s="761" t="s">
        <v>2340</v>
      </c>
      <c r="C865" s="761" t="s">
        <v>2517</v>
      </c>
      <c r="D865" s="761">
        <v>9414158</v>
      </c>
      <c r="E865" s="761" t="s">
        <v>2670</v>
      </c>
      <c r="F865" s="761">
        <v>130003067</v>
      </c>
      <c r="G865" s="761" t="s">
        <v>2673</v>
      </c>
      <c r="H865" s="761" t="s">
        <v>2673</v>
      </c>
      <c r="I865" s="761" t="s">
        <v>6867</v>
      </c>
      <c r="J865" s="761">
        <v>0</v>
      </c>
      <c r="K865" s="746">
        <v>9121.9500000000007</v>
      </c>
      <c r="L865" s="746">
        <v>1806.14</v>
      </c>
      <c r="M865" s="746">
        <v>7315.81</v>
      </c>
      <c r="N865" s="493" t="str">
        <f t="shared" si="15"/>
        <v>C391</v>
      </c>
      <c r="O865" s="493" t="s">
        <v>95</v>
      </c>
      <c r="P865" s="493"/>
    </row>
    <row r="866" spans="1:16">
      <c r="A866" s="761" t="s">
        <v>2339</v>
      </c>
      <c r="B866" s="761" t="s">
        <v>2340</v>
      </c>
      <c r="C866" s="761" t="s">
        <v>2647</v>
      </c>
      <c r="D866" s="761">
        <v>36541499</v>
      </c>
      <c r="E866" s="761" t="s">
        <v>2670</v>
      </c>
      <c r="F866" s="761">
        <v>130003340</v>
      </c>
      <c r="G866" s="761" t="s">
        <v>2675</v>
      </c>
      <c r="H866" s="761" t="s">
        <v>2675</v>
      </c>
      <c r="I866" s="761" t="s">
        <v>6867</v>
      </c>
      <c r="J866" s="761">
        <v>0</v>
      </c>
      <c r="K866" s="746">
        <v>178381.19</v>
      </c>
      <c r="L866" s="746">
        <v>38148.520000000004</v>
      </c>
      <c r="M866" s="746">
        <v>140232.67000000001</v>
      </c>
      <c r="N866" s="493" t="str">
        <f t="shared" si="15"/>
        <v>C391</v>
      </c>
      <c r="O866" s="493" t="s">
        <v>95</v>
      </c>
      <c r="P866" s="493"/>
    </row>
    <row r="867" spans="1:16">
      <c r="A867" s="761" t="s">
        <v>2339</v>
      </c>
      <c r="B867" s="761" t="s">
        <v>2340</v>
      </c>
      <c r="C867" s="761" t="s">
        <v>2517</v>
      </c>
      <c r="D867" s="761">
        <v>36541519</v>
      </c>
      <c r="E867" s="761" t="s">
        <v>2670</v>
      </c>
      <c r="F867" s="761">
        <v>130003721</v>
      </c>
      <c r="G867" s="761" t="s">
        <v>2676</v>
      </c>
      <c r="H867" s="761" t="s">
        <v>2676</v>
      </c>
      <c r="I867" s="761" t="s">
        <v>6867</v>
      </c>
      <c r="J867" s="761">
        <v>1</v>
      </c>
      <c r="K867" s="746">
        <v>47348.86</v>
      </c>
      <c r="L867" s="746">
        <v>10126.01</v>
      </c>
      <c r="M867" s="746">
        <v>37222.85</v>
      </c>
      <c r="N867" s="493" t="str">
        <f t="shared" si="15"/>
        <v>C391</v>
      </c>
      <c r="O867" s="493" t="s">
        <v>95</v>
      </c>
      <c r="P867" s="493"/>
    </row>
    <row r="868" spans="1:16">
      <c r="A868" s="761" t="s">
        <v>2339</v>
      </c>
      <c r="B868" s="761" t="s">
        <v>2340</v>
      </c>
      <c r="C868" s="761" t="s">
        <v>2696</v>
      </c>
      <c r="D868" s="761">
        <v>36542230</v>
      </c>
      <c r="E868" s="761" t="s">
        <v>2670</v>
      </c>
      <c r="F868" s="761">
        <v>131201861</v>
      </c>
      <c r="G868" s="761" t="s">
        <v>2701</v>
      </c>
      <c r="H868" s="761" t="s">
        <v>2701</v>
      </c>
      <c r="I868" s="761" t="s">
        <v>6867</v>
      </c>
      <c r="J868" s="761">
        <v>2</v>
      </c>
      <c r="K868" s="746">
        <v>443205.15</v>
      </c>
      <c r="L868" s="746">
        <v>104325.66</v>
      </c>
      <c r="M868" s="746">
        <v>338879.49</v>
      </c>
      <c r="N868" s="493" t="str">
        <f t="shared" si="15"/>
        <v>C391</v>
      </c>
      <c r="O868" s="493" t="s">
        <v>95</v>
      </c>
      <c r="P868" s="493"/>
    </row>
    <row r="869" spans="1:16">
      <c r="A869" s="761" t="s">
        <v>2339</v>
      </c>
      <c r="B869" s="761" t="s">
        <v>2340</v>
      </c>
      <c r="C869" s="761" t="s">
        <v>2358</v>
      </c>
      <c r="D869" s="761">
        <v>5633552</v>
      </c>
      <c r="E869" s="761" t="s">
        <v>2670</v>
      </c>
      <c r="F869" s="761">
        <v>130004002</v>
      </c>
      <c r="G869" s="761" t="s">
        <v>2682</v>
      </c>
      <c r="H869" s="761" t="s">
        <v>7332</v>
      </c>
      <c r="I869" s="761" t="s">
        <v>6867</v>
      </c>
      <c r="J869" s="761">
        <v>0</v>
      </c>
      <c r="K869" s="746">
        <v>5563.95</v>
      </c>
      <c r="L869" s="746">
        <v>1189.9000000000001</v>
      </c>
      <c r="M869" s="746">
        <v>4374.05</v>
      </c>
      <c r="N869" s="493" t="str">
        <f t="shared" si="15"/>
        <v>C391</v>
      </c>
      <c r="O869" s="493" t="s">
        <v>390</v>
      </c>
      <c r="P869" s="493"/>
    </row>
    <row r="870" spans="1:16">
      <c r="A870" s="761" t="s">
        <v>2339</v>
      </c>
      <c r="B870" s="761" t="s">
        <v>2340</v>
      </c>
      <c r="C870" s="761" t="s">
        <v>2683</v>
      </c>
      <c r="D870" s="761">
        <v>5891703</v>
      </c>
      <c r="E870" s="761" t="s">
        <v>2670</v>
      </c>
      <c r="F870" s="761">
        <v>130004081</v>
      </c>
      <c r="G870" s="761" t="s">
        <v>2684</v>
      </c>
      <c r="H870" s="761" t="s">
        <v>2684</v>
      </c>
      <c r="I870" s="761" t="s">
        <v>6867</v>
      </c>
      <c r="J870" s="761">
        <v>1</v>
      </c>
      <c r="K870" s="746">
        <v>692695.36</v>
      </c>
      <c r="L870" s="746">
        <v>137153.13</v>
      </c>
      <c r="M870" s="746">
        <v>555542.23</v>
      </c>
      <c r="N870" s="493" t="str">
        <f t="shared" si="15"/>
        <v>C391</v>
      </c>
      <c r="O870" s="493" t="s">
        <v>95</v>
      </c>
      <c r="P870" s="493"/>
    </row>
    <row r="871" spans="1:16">
      <c r="A871" s="761" t="s">
        <v>2339</v>
      </c>
      <c r="B871" s="761" t="s">
        <v>2340</v>
      </c>
      <c r="C871" s="761" t="s">
        <v>2497</v>
      </c>
      <c r="D871" s="761">
        <v>5932822</v>
      </c>
      <c r="E871" s="761" t="s">
        <v>2670</v>
      </c>
      <c r="F871" s="761">
        <v>130003281</v>
      </c>
      <c r="G871" s="761" t="s">
        <v>2674</v>
      </c>
      <c r="H871" s="761" t="s">
        <v>2674</v>
      </c>
      <c r="I871" s="761" t="s">
        <v>6867</v>
      </c>
      <c r="J871" s="761">
        <v>0</v>
      </c>
      <c r="K871" s="746">
        <v>200749.2</v>
      </c>
      <c r="L871" s="746">
        <v>39748.18</v>
      </c>
      <c r="M871" s="746">
        <v>161001.01999999999</v>
      </c>
      <c r="N871" s="493" t="str">
        <f t="shared" si="15"/>
        <v>C391</v>
      </c>
      <c r="O871" s="493" t="s">
        <v>95</v>
      </c>
      <c r="P871" s="493"/>
    </row>
    <row r="872" spans="1:16">
      <c r="A872" s="761" t="s">
        <v>2339</v>
      </c>
      <c r="B872" s="761" t="s">
        <v>2340</v>
      </c>
      <c r="C872" s="761" t="s">
        <v>2356</v>
      </c>
      <c r="D872" s="761">
        <v>7054843</v>
      </c>
      <c r="E872" s="761" t="s">
        <v>2670</v>
      </c>
      <c r="F872" s="761">
        <v>130004721</v>
      </c>
      <c r="G872" s="761" t="s">
        <v>2686</v>
      </c>
      <c r="H872" s="761" t="s">
        <v>2686</v>
      </c>
      <c r="I872" s="761" t="s">
        <v>6867</v>
      </c>
      <c r="J872" s="761">
        <v>1</v>
      </c>
      <c r="K872" s="746">
        <v>824882.15</v>
      </c>
      <c r="L872" s="746">
        <v>163326.01</v>
      </c>
      <c r="M872" s="746">
        <v>661556.14</v>
      </c>
      <c r="N872" s="493" t="str">
        <f t="shared" si="15"/>
        <v>C391</v>
      </c>
      <c r="O872" s="493" t="s">
        <v>390</v>
      </c>
      <c r="P872" s="493"/>
    </row>
    <row r="873" spans="1:16">
      <c r="A873" s="761" t="s">
        <v>2339</v>
      </c>
      <c r="B873" s="761" t="s">
        <v>2340</v>
      </c>
      <c r="C873" s="761" t="s">
        <v>2647</v>
      </c>
      <c r="D873" s="761">
        <v>7168717</v>
      </c>
      <c r="E873" s="761" t="s">
        <v>2670</v>
      </c>
      <c r="F873" s="761">
        <v>130004801</v>
      </c>
      <c r="G873" s="761" t="s">
        <v>2687</v>
      </c>
      <c r="H873" s="761" t="s">
        <v>7333</v>
      </c>
      <c r="I873" s="761" t="s">
        <v>6867</v>
      </c>
      <c r="J873" s="761">
        <v>0</v>
      </c>
      <c r="K873" s="746">
        <v>289953.52</v>
      </c>
      <c r="L873" s="746">
        <v>57410.57</v>
      </c>
      <c r="M873" s="746">
        <v>232542.95</v>
      </c>
      <c r="N873" s="493" t="str">
        <f t="shared" si="15"/>
        <v>C391</v>
      </c>
      <c r="O873" s="493" t="s">
        <v>95</v>
      </c>
      <c r="P873" s="493"/>
    </row>
    <row r="874" spans="1:16">
      <c r="A874" s="761" t="s">
        <v>2339</v>
      </c>
      <c r="B874" s="761" t="s">
        <v>2340</v>
      </c>
      <c r="C874" s="761" t="s">
        <v>2517</v>
      </c>
      <c r="D874" s="761">
        <v>9414159</v>
      </c>
      <c r="E874" s="761" t="s">
        <v>2670</v>
      </c>
      <c r="F874" s="761">
        <v>130003062</v>
      </c>
      <c r="G874" s="761" t="s">
        <v>2672</v>
      </c>
      <c r="H874" s="761" t="s">
        <v>2672</v>
      </c>
      <c r="I874" s="761" t="s">
        <v>6867</v>
      </c>
      <c r="J874" s="761">
        <v>0</v>
      </c>
      <c r="K874" s="746">
        <v>535670.84</v>
      </c>
      <c r="L874" s="746">
        <v>106062.40000000001</v>
      </c>
      <c r="M874" s="746">
        <v>429608.44</v>
      </c>
      <c r="N874" s="493" t="str">
        <f t="shared" si="15"/>
        <v>C391</v>
      </c>
      <c r="O874" s="493" t="s">
        <v>95</v>
      </c>
      <c r="P874" s="493"/>
    </row>
    <row r="875" spans="1:16">
      <c r="A875" s="761" t="s">
        <v>2339</v>
      </c>
      <c r="B875" s="761" t="s">
        <v>2340</v>
      </c>
      <c r="C875" s="761" t="s">
        <v>2350</v>
      </c>
      <c r="D875" s="761">
        <v>27792517</v>
      </c>
      <c r="E875" s="761" t="s">
        <v>2670</v>
      </c>
      <c r="F875" s="761">
        <v>130003802</v>
      </c>
      <c r="G875" s="761" t="s">
        <v>2678</v>
      </c>
      <c r="H875" s="761" t="s">
        <v>2678</v>
      </c>
      <c r="I875" s="761" t="s">
        <v>6867</v>
      </c>
      <c r="J875" s="761">
        <v>0</v>
      </c>
      <c r="K875" s="746">
        <v>199083.72</v>
      </c>
      <c r="L875" s="746">
        <v>39418.42</v>
      </c>
      <c r="M875" s="746">
        <v>159665.30000000002</v>
      </c>
      <c r="N875" s="493" t="str">
        <f t="shared" si="15"/>
        <v>C391</v>
      </c>
      <c r="O875" s="493" t="s">
        <v>390</v>
      </c>
      <c r="P875" s="493"/>
    </row>
    <row r="876" spans="1:16">
      <c r="A876" s="761" t="s">
        <v>2339</v>
      </c>
      <c r="B876" s="761" t="s">
        <v>2340</v>
      </c>
      <c r="C876" s="761" t="s">
        <v>2497</v>
      </c>
      <c r="D876" s="761">
        <v>7601096</v>
      </c>
      <c r="E876" s="761" t="s">
        <v>2670</v>
      </c>
      <c r="F876" s="761">
        <v>130005361</v>
      </c>
      <c r="G876" s="761" t="s">
        <v>2690</v>
      </c>
      <c r="H876" s="761" t="s">
        <v>2690</v>
      </c>
      <c r="I876" s="761" t="s">
        <v>6867</v>
      </c>
      <c r="J876" s="761">
        <v>0</v>
      </c>
      <c r="K876" s="746">
        <v>7625.53</v>
      </c>
      <c r="L876" s="746">
        <v>1413.7</v>
      </c>
      <c r="M876" s="746">
        <v>6211.83</v>
      </c>
      <c r="N876" s="493" t="str">
        <f t="shared" si="15"/>
        <v>C391</v>
      </c>
      <c r="O876" s="493" t="s">
        <v>95</v>
      </c>
      <c r="P876" s="493"/>
    </row>
    <row r="877" spans="1:16">
      <c r="A877" s="761" t="s">
        <v>2339</v>
      </c>
      <c r="B877" s="761" t="s">
        <v>2340</v>
      </c>
      <c r="C877" s="761" t="s">
        <v>2691</v>
      </c>
      <c r="D877" s="761">
        <v>8192791</v>
      </c>
      <c r="E877" s="761" t="s">
        <v>2670</v>
      </c>
      <c r="F877" s="761">
        <v>130005401</v>
      </c>
      <c r="G877" s="761" t="s">
        <v>2692</v>
      </c>
      <c r="H877" s="761" t="s">
        <v>2692</v>
      </c>
      <c r="I877" s="761" t="s">
        <v>6867</v>
      </c>
      <c r="J877" s="761">
        <v>0</v>
      </c>
      <c r="K877" s="746">
        <v>27867.83</v>
      </c>
      <c r="L877" s="746">
        <v>5166.42</v>
      </c>
      <c r="M877" s="746">
        <v>22701.41</v>
      </c>
      <c r="N877" s="493" t="str">
        <f t="shared" si="15"/>
        <v>C391</v>
      </c>
      <c r="O877" s="493" t="s">
        <v>95</v>
      </c>
      <c r="P877" s="493"/>
    </row>
    <row r="878" spans="1:16">
      <c r="A878" s="761" t="s">
        <v>2339</v>
      </c>
      <c r="B878" s="761" t="s">
        <v>2340</v>
      </c>
      <c r="C878" s="761" t="s">
        <v>2447</v>
      </c>
      <c r="D878" s="761">
        <v>8361531</v>
      </c>
      <c r="E878" s="761" t="s">
        <v>2670</v>
      </c>
      <c r="F878" s="761">
        <v>130005661</v>
      </c>
      <c r="G878" s="761" t="s">
        <v>2694</v>
      </c>
      <c r="H878" s="761" t="s">
        <v>2694</v>
      </c>
      <c r="I878" s="761" t="s">
        <v>6867</v>
      </c>
      <c r="J878" s="761">
        <v>0</v>
      </c>
      <c r="K878" s="746">
        <v>8951.8000000000011</v>
      </c>
      <c r="L878" s="746">
        <v>1659.58</v>
      </c>
      <c r="M878" s="746">
        <v>7292.22</v>
      </c>
      <c r="N878" s="493" t="str">
        <f t="shared" si="15"/>
        <v>C391</v>
      </c>
      <c r="O878" s="493" t="s">
        <v>95</v>
      </c>
      <c r="P878" s="493"/>
    </row>
    <row r="879" spans="1:16">
      <c r="A879" s="761" t="s">
        <v>2339</v>
      </c>
      <c r="B879" s="761" t="s">
        <v>2340</v>
      </c>
      <c r="C879" s="761" t="s">
        <v>2679</v>
      </c>
      <c r="D879" s="761">
        <v>8943669</v>
      </c>
      <c r="E879" s="761" t="s">
        <v>2670</v>
      </c>
      <c r="F879" s="761">
        <v>130003861</v>
      </c>
      <c r="G879" s="761" t="s">
        <v>2680</v>
      </c>
      <c r="H879" s="761" t="s">
        <v>2680</v>
      </c>
      <c r="I879" s="761" t="s">
        <v>6867</v>
      </c>
      <c r="J879" s="761">
        <v>1</v>
      </c>
      <c r="K879" s="746">
        <v>1152331.5</v>
      </c>
      <c r="L879" s="746">
        <v>213630.88</v>
      </c>
      <c r="M879" s="746">
        <v>938700.62</v>
      </c>
      <c r="N879" s="493" t="str">
        <f t="shared" si="15"/>
        <v>C391</v>
      </c>
      <c r="O879" s="493" t="s">
        <v>95</v>
      </c>
      <c r="P879" s="493"/>
    </row>
    <row r="880" spans="1:16">
      <c r="A880" s="761" t="s">
        <v>2339</v>
      </c>
      <c r="B880" s="761" t="s">
        <v>2340</v>
      </c>
      <c r="C880" s="761" t="s">
        <v>2517</v>
      </c>
      <c r="D880" s="761">
        <v>9414160</v>
      </c>
      <c r="E880" s="761" t="s">
        <v>2670</v>
      </c>
      <c r="F880" s="761">
        <v>130004505</v>
      </c>
      <c r="G880" s="761" t="s">
        <v>2685</v>
      </c>
      <c r="H880" s="761" t="s">
        <v>2685</v>
      </c>
      <c r="I880" s="761" t="s">
        <v>6867</v>
      </c>
      <c r="J880" s="761">
        <v>0</v>
      </c>
      <c r="K880" s="746">
        <v>380994.25</v>
      </c>
      <c r="L880" s="746">
        <v>70632.570000000007</v>
      </c>
      <c r="M880" s="746">
        <v>310361.68</v>
      </c>
      <c r="N880" s="493" t="str">
        <f t="shared" si="15"/>
        <v>C391</v>
      </c>
      <c r="O880" s="493" t="s">
        <v>95</v>
      </c>
      <c r="P880" s="493"/>
    </row>
    <row r="881" spans="1:16">
      <c r="A881" s="761" t="s">
        <v>2339</v>
      </c>
      <c r="B881" s="761" t="s">
        <v>2340</v>
      </c>
      <c r="C881" s="761" t="s">
        <v>2696</v>
      </c>
      <c r="D881" s="761">
        <v>9292533</v>
      </c>
      <c r="E881" s="761" t="s">
        <v>2670</v>
      </c>
      <c r="F881" s="761">
        <v>130006005</v>
      </c>
      <c r="G881" s="761" t="s">
        <v>2697</v>
      </c>
      <c r="H881" s="761" t="s">
        <v>7334</v>
      </c>
      <c r="I881" s="761" t="s">
        <v>6867</v>
      </c>
      <c r="J881" s="761">
        <v>0</v>
      </c>
      <c r="K881" s="746">
        <v>199322.80000000002</v>
      </c>
      <c r="L881" s="746">
        <v>34840.35</v>
      </c>
      <c r="M881" s="746">
        <v>164482.45000000001</v>
      </c>
      <c r="N881" s="493" t="str">
        <f t="shared" si="15"/>
        <v>C391</v>
      </c>
      <c r="O881" s="493" t="s">
        <v>95</v>
      </c>
      <c r="P881" s="493"/>
    </row>
    <row r="882" spans="1:16">
      <c r="A882" s="761" t="s">
        <v>2339</v>
      </c>
      <c r="B882" s="761" t="s">
        <v>2340</v>
      </c>
      <c r="C882" s="761" t="s">
        <v>2364</v>
      </c>
      <c r="D882" s="761">
        <v>9418858</v>
      </c>
      <c r="E882" s="761" t="s">
        <v>2670</v>
      </c>
      <c r="F882" s="761">
        <v>130005541</v>
      </c>
      <c r="G882" s="761" t="s">
        <v>2693</v>
      </c>
      <c r="H882" s="761" t="s">
        <v>7335</v>
      </c>
      <c r="I882" s="761" t="s">
        <v>6867</v>
      </c>
      <c r="J882" s="761">
        <v>0</v>
      </c>
      <c r="K882" s="746">
        <v>195740.03</v>
      </c>
      <c r="L882" s="746">
        <v>34214.1</v>
      </c>
      <c r="M882" s="746">
        <v>161525.93</v>
      </c>
      <c r="N882" s="493" t="str">
        <f t="shared" si="15"/>
        <v>C391</v>
      </c>
      <c r="O882" s="493" t="s">
        <v>95</v>
      </c>
      <c r="P882" s="493"/>
    </row>
    <row r="883" spans="1:16">
      <c r="A883" s="761" t="s">
        <v>2339</v>
      </c>
      <c r="B883" s="761" t="s">
        <v>2340</v>
      </c>
      <c r="C883" s="761" t="s">
        <v>2356</v>
      </c>
      <c r="D883" s="761">
        <v>9722066</v>
      </c>
      <c r="E883" s="761" t="s">
        <v>2670</v>
      </c>
      <c r="F883" s="761">
        <v>130006141</v>
      </c>
      <c r="G883" s="761" t="s">
        <v>2698</v>
      </c>
      <c r="H883" s="761" t="s">
        <v>7336</v>
      </c>
      <c r="I883" s="761" t="s">
        <v>6867</v>
      </c>
      <c r="J883" s="761">
        <v>1</v>
      </c>
      <c r="K883" s="746">
        <v>8293.52</v>
      </c>
      <c r="L883" s="746">
        <v>1449.65</v>
      </c>
      <c r="M883" s="746">
        <v>6843.87</v>
      </c>
      <c r="N883" s="493" t="str">
        <f t="shared" si="15"/>
        <v>C391</v>
      </c>
      <c r="O883" s="493" t="s">
        <v>390</v>
      </c>
      <c r="P883" s="493"/>
    </row>
    <row r="884" spans="1:16">
      <c r="A884" s="761" t="s">
        <v>2339</v>
      </c>
      <c r="B884" s="761" t="s">
        <v>2340</v>
      </c>
      <c r="C884" s="761" t="s">
        <v>2517</v>
      </c>
      <c r="D884" s="761">
        <v>10232608</v>
      </c>
      <c r="E884" s="761" t="s">
        <v>2670</v>
      </c>
      <c r="F884" s="761">
        <v>130005235</v>
      </c>
      <c r="G884" s="761" t="s">
        <v>2689</v>
      </c>
      <c r="H884" s="761" t="s">
        <v>2689</v>
      </c>
      <c r="I884" s="761" t="s">
        <v>6867</v>
      </c>
      <c r="J884" s="761">
        <v>0</v>
      </c>
      <c r="K884" s="746">
        <v>213633.64</v>
      </c>
      <c r="L884" s="746">
        <v>37341.79</v>
      </c>
      <c r="M884" s="746">
        <v>176291.85</v>
      </c>
      <c r="N884" s="493" t="str">
        <f t="shared" si="15"/>
        <v>C391</v>
      </c>
      <c r="O884" s="493" t="s">
        <v>95</v>
      </c>
      <c r="P884" s="493"/>
    </row>
    <row r="885" spans="1:16">
      <c r="A885" s="761" t="s">
        <v>2339</v>
      </c>
      <c r="B885" s="761" t="s">
        <v>2340</v>
      </c>
      <c r="C885" s="761" t="s">
        <v>2476</v>
      </c>
      <c r="D885" s="761">
        <v>10238342</v>
      </c>
      <c r="E885" s="761" t="s">
        <v>2670</v>
      </c>
      <c r="F885" s="761">
        <v>130005227</v>
      </c>
      <c r="G885" s="761" t="s">
        <v>2688</v>
      </c>
      <c r="H885" s="761" t="s">
        <v>2688</v>
      </c>
      <c r="I885" s="761" t="s">
        <v>6867</v>
      </c>
      <c r="J885" s="761">
        <v>2</v>
      </c>
      <c r="K885" s="746">
        <v>292824.03000000003</v>
      </c>
      <c r="L885" s="746">
        <v>51183.76</v>
      </c>
      <c r="M885" s="746">
        <v>241640.27000000002</v>
      </c>
      <c r="N885" s="493" t="str">
        <f t="shared" si="15"/>
        <v>C391</v>
      </c>
      <c r="O885" s="493" t="s">
        <v>95</v>
      </c>
      <c r="P885" s="493"/>
    </row>
    <row r="886" spans="1:16">
      <c r="A886" s="761" t="s">
        <v>2339</v>
      </c>
      <c r="B886" s="761" t="s">
        <v>2340</v>
      </c>
      <c r="C886" s="761" t="s">
        <v>2497</v>
      </c>
      <c r="D886" s="761">
        <v>10335885</v>
      </c>
      <c r="E886" s="761" t="s">
        <v>2670</v>
      </c>
      <c r="F886" s="761">
        <v>130006382</v>
      </c>
      <c r="G886" s="761" t="s">
        <v>2699</v>
      </c>
      <c r="H886" s="761" t="s">
        <v>2699</v>
      </c>
      <c r="I886" s="761" t="s">
        <v>6867</v>
      </c>
      <c r="J886" s="761">
        <v>1</v>
      </c>
      <c r="K886" s="746">
        <v>11101.53</v>
      </c>
      <c r="L886" s="746">
        <v>1940.48</v>
      </c>
      <c r="M886" s="746">
        <v>9161.0500000000011</v>
      </c>
      <c r="N886" s="493" t="str">
        <f t="shared" si="15"/>
        <v>C391</v>
      </c>
      <c r="O886" s="493" t="s">
        <v>95</v>
      </c>
      <c r="P886" s="493"/>
    </row>
    <row r="887" spans="1:16">
      <c r="A887" s="761" t="s">
        <v>2339</v>
      </c>
      <c r="B887" s="761" t="s">
        <v>2340</v>
      </c>
      <c r="C887" s="761" t="s">
        <v>2683</v>
      </c>
      <c r="D887" s="761">
        <v>10529637</v>
      </c>
      <c r="E887" s="761" t="s">
        <v>2670</v>
      </c>
      <c r="F887" s="761">
        <v>130006403</v>
      </c>
      <c r="G887" s="761" t="s">
        <v>2700</v>
      </c>
      <c r="H887" s="761" t="s">
        <v>2700</v>
      </c>
      <c r="I887" s="761" t="s">
        <v>6867</v>
      </c>
      <c r="J887" s="761">
        <v>1</v>
      </c>
      <c r="K887" s="746">
        <v>8614.35</v>
      </c>
      <c r="L887" s="746">
        <v>1505.73</v>
      </c>
      <c r="M887" s="746">
        <v>7108.62</v>
      </c>
      <c r="N887" s="493" t="str">
        <f t="shared" si="15"/>
        <v>C391</v>
      </c>
      <c r="O887" s="493" t="s">
        <v>95</v>
      </c>
      <c r="P887" s="493"/>
    </row>
    <row r="888" spans="1:16">
      <c r="A888" s="761" t="s">
        <v>2339</v>
      </c>
      <c r="B888" s="761" t="s">
        <v>2340</v>
      </c>
      <c r="C888" s="761" t="s">
        <v>2476</v>
      </c>
      <c r="D888" s="761">
        <v>10814781</v>
      </c>
      <c r="E888" s="761" t="s">
        <v>2670</v>
      </c>
      <c r="F888" s="761">
        <v>130005919</v>
      </c>
      <c r="G888" s="761" t="s">
        <v>2695</v>
      </c>
      <c r="H888" s="761" t="s">
        <v>2695</v>
      </c>
      <c r="I888" s="761" t="s">
        <v>6867</v>
      </c>
      <c r="J888" s="761">
        <v>1</v>
      </c>
      <c r="K888" s="746">
        <v>2689.26</v>
      </c>
      <c r="L888" s="746">
        <v>470.07</v>
      </c>
      <c r="M888" s="746">
        <v>2219.19</v>
      </c>
      <c r="N888" s="493" t="str">
        <f t="shared" si="15"/>
        <v>C391</v>
      </c>
      <c r="O888" s="493" t="s">
        <v>95</v>
      </c>
      <c r="P888" s="493"/>
    </row>
    <row r="889" spans="1:16">
      <c r="A889" s="761" t="s">
        <v>2339</v>
      </c>
      <c r="B889" s="761" t="s">
        <v>2340</v>
      </c>
      <c r="C889" s="761" t="s">
        <v>2647</v>
      </c>
      <c r="D889" s="761">
        <v>13327236</v>
      </c>
      <c r="E889" s="761" t="s">
        <v>2670</v>
      </c>
      <c r="F889" s="761">
        <v>143001041</v>
      </c>
      <c r="G889" s="761" t="s">
        <v>2662</v>
      </c>
      <c r="H889" s="761" t="s">
        <v>2663</v>
      </c>
      <c r="I889" s="761" t="s">
        <v>6867</v>
      </c>
      <c r="J889" s="761">
        <v>1</v>
      </c>
      <c r="K889" s="746">
        <v>359602.91000000003</v>
      </c>
      <c r="L889" s="746">
        <v>59508.75</v>
      </c>
      <c r="M889" s="746">
        <v>300094.16000000003</v>
      </c>
      <c r="N889" s="493" t="str">
        <f t="shared" si="15"/>
        <v>C391</v>
      </c>
      <c r="O889" s="493" t="s">
        <v>95</v>
      </c>
      <c r="P889" s="493"/>
    </row>
    <row r="890" spans="1:16">
      <c r="A890" s="761" t="s">
        <v>2339</v>
      </c>
      <c r="B890" s="761" t="s">
        <v>2340</v>
      </c>
      <c r="C890" s="761" t="s">
        <v>2497</v>
      </c>
      <c r="D890" s="761">
        <v>18037358</v>
      </c>
      <c r="E890" s="761" t="s">
        <v>2670</v>
      </c>
      <c r="F890" s="761">
        <v>141002414</v>
      </c>
      <c r="G890" s="761" t="s">
        <v>2704</v>
      </c>
      <c r="H890" s="761" t="s">
        <v>2704</v>
      </c>
      <c r="I890" s="761" t="s">
        <v>6867</v>
      </c>
      <c r="J890" s="761">
        <v>2</v>
      </c>
      <c r="K890" s="746">
        <v>7960.76</v>
      </c>
      <c r="L890" s="746">
        <v>1185.74</v>
      </c>
      <c r="M890" s="746">
        <v>6775.02</v>
      </c>
      <c r="N890" s="493" t="str">
        <f t="shared" si="15"/>
        <v>C391</v>
      </c>
      <c r="O890" s="493" t="s">
        <v>95</v>
      </c>
      <c r="P890" s="493"/>
    </row>
    <row r="891" spans="1:16">
      <c r="A891" s="761" t="s">
        <v>2339</v>
      </c>
      <c r="B891" s="761" t="s">
        <v>2340</v>
      </c>
      <c r="C891" s="761" t="s">
        <v>2712</v>
      </c>
      <c r="D891" s="761">
        <v>18037361</v>
      </c>
      <c r="E891" s="761" t="s">
        <v>2670</v>
      </c>
      <c r="F891" s="761">
        <v>143001781</v>
      </c>
      <c r="G891" s="761" t="s">
        <v>2713</v>
      </c>
      <c r="H891" s="761" t="s">
        <v>7337</v>
      </c>
      <c r="I891" s="761" t="s">
        <v>6867</v>
      </c>
      <c r="J891" s="761">
        <v>1</v>
      </c>
      <c r="K891" s="746">
        <v>7129.14</v>
      </c>
      <c r="L891" s="746">
        <v>1061.8700000000001</v>
      </c>
      <c r="M891" s="746">
        <v>6067.27</v>
      </c>
      <c r="N891" s="493" t="str">
        <f t="shared" si="15"/>
        <v>C391</v>
      </c>
      <c r="O891" s="493" t="s">
        <v>390</v>
      </c>
      <c r="P891" s="493"/>
    </row>
    <row r="892" spans="1:16">
      <c r="A892" s="761" t="s">
        <v>2339</v>
      </c>
      <c r="B892" s="761" t="s">
        <v>2340</v>
      </c>
      <c r="C892" s="761" t="s">
        <v>2497</v>
      </c>
      <c r="D892" s="761">
        <v>18161177</v>
      </c>
      <c r="E892" s="761" t="s">
        <v>2670</v>
      </c>
      <c r="F892" s="761">
        <v>143001623</v>
      </c>
      <c r="G892" s="761" t="s">
        <v>2711</v>
      </c>
      <c r="H892" s="761" t="s">
        <v>7338</v>
      </c>
      <c r="I892" s="761" t="s">
        <v>6867</v>
      </c>
      <c r="J892" s="761">
        <v>1</v>
      </c>
      <c r="K892" s="746">
        <v>10932.98</v>
      </c>
      <c r="L892" s="746">
        <v>1716.33</v>
      </c>
      <c r="M892" s="746">
        <v>9216.65</v>
      </c>
      <c r="N892" s="493" t="str">
        <f t="shared" si="15"/>
        <v>C391</v>
      </c>
      <c r="O892" s="493" t="s">
        <v>95</v>
      </c>
      <c r="P892" s="493"/>
    </row>
    <row r="893" spans="1:16">
      <c r="A893" s="761" t="s">
        <v>2339</v>
      </c>
      <c r="B893" s="761" t="s">
        <v>2340</v>
      </c>
      <c r="C893" s="761" t="s">
        <v>2517</v>
      </c>
      <c r="D893" s="761">
        <v>19964046</v>
      </c>
      <c r="E893" s="761" t="s">
        <v>2670</v>
      </c>
      <c r="F893" s="761">
        <v>143000603</v>
      </c>
      <c r="G893" s="761" t="s">
        <v>2708</v>
      </c>
      <c r="H893" s="761" t="s">
        <v>7339</v>
      </c>
      <c r="I893" s="761" t="s">
        <v>6867</v>
      </c>
      <c r="J893" s="761">
        <v>1</v>
      </c>
      <c r="K893" s="746">
        <v>1442967.46</v>
      </c>
      <c r="L893" s="746">
        <v>214926.66</v>
      </c>
      <c r="M893" s="746">
        <v>1228040.8</v>
      </c>
      <c r="N893" s="493" t="str">
        <f t="shared" si="15"/>
        <v>C391</v>
      </c>
      <c r="O893" s="493" t="s">
        <v>95</v>
      </c>
      <c r="P893" s="493"/>
    </row>
    <row r="894" spans="1:16">
      <c r="A894" s="761" t="s">
        <v>2339</v>
      </c>
      <c r="B894" s="761" t="s">
        <v>2340</v>
      </c>
      <c r="C894" s="761" t="s">
        <v>2683</v>
      </c>
      <c r="D894" s="761">
        <v>20287436</v>
      </c>
      <c r="E894" s="761" t="s">
        <v>2670</v>
      </c>
      <c r="F894" s="761">
        <v>143001932</v>
      </c>
      <c r="G894" s="761" t="s">
        <v>2714</v>
      </c>
      <c r="H894" s="761" t="s">
        <v>7340</v>
      </c>
      <c r="I894" s="761" t="s">
        <v>6867</v>
      </c>
      <c r="J894" s="761">
        <v>1</v>
      </c>
      <c r="K894" s="746">
        <v>4834.42</v>
      </c>
      <c r="L894" s="746">
        <v>720.08</v>
      </c>
      <c r="M894" s="746">
        <v>4114.34</v>
      </c>
      <c r="N894" s="493" t="str">
        <f t="shared" si="15"/>
        <v>C391</v>
      </c>
      <c r="O894" s="493" t="s">
        <v>95</v>
      </c>
      <c r="P894" s="493"/>
    </row>
    <row r="895" spans="1:16">
      <c r="A895" s="761" t="s">
        <v>2339</v>
      </c>
      <c r="B895" s="761" t="s">
        <v>2340</v>
      </c>
      <c r="C895" s="761" t="s">
        <v>2359</v>
      </c>
      <c r="D895" s="761">
        <v>21574921</v>
      </c>
      <c r="E895" s="761" t="s">
        <v>2670</v>
      </c>
      <c r="F895" s="761">
        <v>141002042</v>
      </c>
      <c r="G895" s="761" t="s">
        <v>2702</v>
      </c>
      <c r="H895" s="761" t="s">
        <v>7341</v>
      </c>
      <c r="I895" s="761" t="s">
        <v>6867</v>
      </c>
      <c r="J895" s="761">
        <v>1</v>
      </c>
      <c r="K895" s="746">
        <v>8959.59</v>
      </c>
      <c r="L895" s="746">
        <v>1406.54</v>
      </c>
      <c r="M895" s="746">
        <v>7553.05</v>
      </c>
      <c r="N895" s="493" t="str">
        <f t="shared" si="15"/>
        <v>C391</v>
      </c>
      <c r="O895" s="493" t="s">
        <v>390</v>
      </c>
      <c r="P895" s="493"/>
    </row>
    <row r="896" spans="1:16">
      <c r="A896" s="761" t="s">
        <v>2339</v>
      </c>
      <c r="B896" s="761" t="s">
        <v>2340</v>
      </c>
      <c r="C896" s="761" t="s">
        <v>2361</v>
      </c>
      <c r="D896" s="761">
        <v>21574934</v>
      </c>
      <c r="E896" s="761" t="s">
        <v>2670</v>
      </c>
      <c r="F896" s="761">
        <v>141002161</v>
      </c>
      <c r="G896" s="761" t="s">
        <v>2703</v>
      </c>
      <c r="H896" s="761" t="s">
        <v>7342</v>
      </c>
      <c r="I896" s="761" t="s">
        <v>6867</v>
      </c>
      <c r="J896" s="761">
        <v>1</v>
      </c>
      <c r="K896" s="746">
        <v>10114.69</v>
      </c>
      <c r="L896" s="746">
        <v>1587.8700000000001</v>
      </c>
      <c r="M896" s="746">
        <v>8526.82</v>
      </c>
      <c r="N896" s="493" t="str">
        <f t="shared" si="15"/>
        <v>C391</v>
      </c>
      <c r="O896" s="493" t="s">
        <v>95</v>
      </c>
      <c r="P896" s="493"/>
    </row>
    <row r="897" spans="1:16">
      <c r="A897" s="761" t="s">
        <v>2339</v>
      </c>
      <c r="B897" s="761" t="s">
        <v>2340</v>
      </c>
      <c r="C897" s="761" t="s">
        <v>2497</v>
      </c>
      <c r="D897" s="761">
        <v>21376253</v>
      </c>
      <c r="E897" s="761" t="s">
        <v>2670</v>
      </c>
      <c r="F897" s="761">
        <v>141002813</v>
      </c>
      <c r="G897" s="761" t="s">
        <v>2705</v>
      </c>
      <c r="H897" s="761" t="s">
        <v>2705</v>
      </c>
      <c r="I897" s="761" t="s">
        <v>6867</v>
      </c>
      <c r="J897" s="761">
        <v>0</v>
      </c>
      <c r="K897" s="746">
        <v>21551.87</v>
      </c>
      <c r="L897" s="746">
        <v>3040.32</v>
      </c>
      <c r="M897" s="746">
        <v>18511.55</v>
      </c>
      <c r="N897" s="493" t="str">
        <f t="shared" si="15"/>
        <v>C391</v>
      </c>
      <c r="O897" s="493" t="s">
        <v>95</v>
      </c>
      <c r="P897" s="493"/>
    </row>
    <row r="898" spans="1:16">
      <c r="A898" s="761" t="s">
        <v>2339</v>
      </c>
      <c r="B898" s="761" t="s">
        <v>2340</v>
      </c>
      <c r="C898" s="761" t="s">
        <v>2356</v>
      </c>
      <c r="D898" s="761">
        <v>22930129</v>
      </c>
      <c r="E898" s="761" t="s">
        <v>2670</v>
      </c>
      <c r="F898" s="761">
        <v>143002131</v>
      </c>
      <c r="G898" s="761" t="s">
        <v>2718</v>
      </c>
      <c r="H898" s="761" t="s">
        <v>7343</v>
      </c>
      <c r="I898" s="761" t="s">
        <v>6867</v>
      </c>
      <c r="J898" s="761">
        <v>0</v>
      </c>
      <c r="K898" s="746">
        <v>27062.77</v>
      </c>
      <c r="L898" s="746">
        <v>3817.7400000000002</v>
      </c>
      <c r="M898" s="746">
        <v>23245.03</v>
      </c>
      <c r="N898" s="493" t="str">
        <f t="shared" si="15"/>
        <v>C391</v>
      </c>
      <c r="O898" s="493" t="s">
        <v>390</v>
      </c>
      <c r="P898" s="493"/>
    </row>
    <row r="899" spans="1:16">
      <c r="A899" s="761" t="s">
        <v>2339</v>
      </c>
      <c r="B899" s="761" t="s">
        <v>2340</v>
      </c>
      <c r="C899" s="761" t="s">
        <v>2400</v>
      </c>
      <c r="D899" s="761">
        <v>22930134</v>
      </c>
      <c r="E899" s="761" t="s">
        <v>2670</v>
      </c>
      <c r="F899" s="761">
        <v>143002132</v>
      </c>
      <c r="G899" s="761" t="s">
        <v>2718</v>
      </c>
      <c r="H899" s="761" t="s">
        <v>7343</v>
      </c>
      <c r="I899" s="761" t="s">
        <v>6867</v>
      </c>
      <c r="J899" s="761">
        <v>0</v>
      </c>
      <c r="K899" s="746">
        <v>26889.77</v>
      </c>
      <c r="L899" s="746">
        <v>3793.34</v>
      </c>
      <c r="M899" s="746">
        <v>23096.43</v>
      </c>
      <c r="N899" s="493" t="str">
        <f t="shared" si="15"/>
        <v>C391</v>
      </c>
      <c r="O899" s="493" t="s">
        <v>95</v>
      </c>
      <c r="P899" s="493"/>
    </row>
    <row r="900" spans="1:16">
      <c r="A900" s="761" t="s">
        <v>2339</v>
      </c>
      <c r="B900" s="761" t="s">
        <v>2340</v>
      </c>
      <c r="C900" s="761" t="s">
        <v>2627</v>
      </c>
      <c r="D900" s="761">
        <v>23668119</v>
      </c>
      <c r="E900" s="761" t="s">
        <v>2670</v>
      </c>
      <c r="F900" s="761">
        <v>143002060</v>
      </c>
      <c r="G900" s="761" t="s">
        <v>2717</v>
      </c>
      <c r="H900" s="761" t="s">
        <v>2717</v>
      </c>
      <c r="I900" s="761" t="s">
        <v>6867</v>
      </c>
      <c r="J900" s="761">
        <v>0</v>
      </c>
      <c r="K900" s="746">
        <v>25489.41</v>
      </c>
      <c r="L900" s="746">
        <v>3595.79</v>
      </c>
      <c r="M900" s="746">
        <v>21893.62</v>
      </c>
      <c r="N900" s="493" t="str">
        <f t="shared" si="15"/>
        <v>C391</v>
      </c>
      <c r="O900" s="493" t="s">
        <v>95</v>
      </c>
      <c r="P900" s="493"/>
    </row>
    <row r="901" spans="1:16">
      <c r="A901" s="761" t="s">
        <v>2339</v>
      </c>
      <c r="B901" s="761" t="s">
        <v>2340</v>
      </c>
      <c r="C901" s="761" t="s">
        <v>2517</v>
      </c>
      <c r="D901" s="761">
        <v>23721649</v>
      </c>
      <c r="E901" s="761" t="s">
        <v>2670</v>
      </c>
      <c r="F901" s="761">
        <v>143000642</v>
      </c>
      <c r="G901" s="761" t="s">
        <v>2710</v>
      </c>
      <c r="H901" s="761" t="s">
        <v>7344</v>
      </c>
      <c r="I901" s="761" t="s">
        <v>6867</v>
      </c>
      <c r="J901" s="761">
        <v>0</v>
      </c>
      <c r="K901" s="746">
        <v>13284.87</v>
      </c>
      <c r="L901" s="746">
        <v>1874.1000000000001</v>
      </c>
      <c r="M901" s="746">
        <v>11410.77</v>
      </c>
      <c r="N901" s="493" t="str">
        <f t="shared" si="15"/>
        <v>C391</v>
      </c>
      <c r="O901" s="493" t="s">
        <v>95</v>
      </c>
      <c r="P901" s="493"/>
    </row>
    <row r="902" spans="1:16">
      <c r="A902" s="761" t="s">
        <v>2339</v>
      </c>
      <c r="B902" s="761" t="s">
        <v>2340</v>
      </c>
      <c r="C902" s="761" t="s">
        <v>2364</v>
      </c>
      <c r="D902" s="761">
        <v>26624005</v>
      </c>
      <c r="E902" s="761" t="s">
        <v>2670</v>
      </c>
      <c r="F902" s="761">
        <v>142000742</v>
      </c>
      <c r="G902" s="761" t="s">
        <v>2706</v>
      </c>
      <c r="H902" s="761" t="s">
        <v>2706</v>
      </c>
      <c r="I902" s="761" t="s">
        <v>6867</v>
      </c>
      <c r="J902" s="761">
        <v>0</v>
      </c>
      <c r="K902" s="746">
        <v>17000.260000000002</v>
      </c>
      <c r="L902" s="746">
        <v>2398.23</v>
      </c>
      <c r="M902" s="746">
        <v>14602.03</v>
      </c>
      <c r="N902" s="493" t="str">
        <f t="shared" si="15"/>
        <v>C391</v>
      </c>
      <c r="O902" s="493" t="s">
        <v>95</v>
      </c>
      <c r="P902" s="493"/>
    </row>
    <row r="903" spans="1:16" s="763" customFormat="1">
      <c r="A903" s="761" t="s">
        <v>2339</v>
      </c>
      <c r="B903" s="761" t="s">
        <v>2340</v>
      </c>
      <c r="C903" s="761" t="s">
        <v>2696</v>
      </c>
      <c r="D903" s="761">
        <v>26624016</v>
      </c>
      <c r="E903" s="761" t="s">
        <v>2670</v>
      </c>
      <c r="F903" s="761">
        <v>142000780</v>
      </c>
      <c r="G903" s="761" t="s">
        <v>2707</v>
      </c>
      <c r="H903" s="761" t="s">
        <v>7345</v>
      </c>
      <c r="I903" s="761" t="s">
        <v>6867</v>
      </c>
      <c r="J903" s="761">
        <v>2</v>
      </c>
      <c r="K903" s="746">
        <v>23226.9</v>
      </c>
      <c r="L903" s="746">
        <v>3276.62</v>
      </c>
      <c r="M903" s="746">
        <v>19950.28</v>
      </c>
      <c r="N903" s="493" t="str">
        <f t="shared" si="15"/>
        <v>C391</v>
      </c>
      <c r="O903" s="493" t="s">
        <v>95</v>
      </c>
      <c r="P903" s="493"/>
    </row>
    <row r="904" spans="1:16">
      <c r="A904" s="761" t="s">
        <v>2339</v>
      </c>
      <c r="B904" s="761" t="s">
        <v>2340</v>
      </c>
      <c r="C904" s="761" t="s">
        <v>2350</v>
      </c>
      <c r="D904" s="761">
        <v>27792566</v>
      </c>
      <c r="E904" s="761" t="s">
        <v>2670</v>
      </c>
      <c r="F904" s="761">
        <v>143002133</v>
      </c>
      <c r="G904" s="761" t="s">
        <v>2719</v>
      </c>
      <c r="H904" s="761" t="s">
        <v>7346</v>
      </c>
      <c r="I904" s="761" t="s">
        <v>6867</v>
      </c>
      <c r="J904" s="761">
        <v>0</v>
      </c>
      <c r="K904" s="746">
        <v>54125.520000000004</v>
      </c>
      <c r="L904" s="746">
        <v>7635.4800000000005</v>
      </c>
      <c r="M904" s="746">
        <v>46490.04</v>
      </c>
      <c r="N904" s="493" t="str">
        <f t="shared" si="15"/>
        <v>C391</v>
      </c>
      <c r="O904" s="493" t="s">
        <v>390</v>
      </c>
      <c r="P904" s="493"/>
    </row>
    <row r="905" spans="1:16" s="763" customFormat="1">
      <c r="A905" s="761" t="s">
        <v>2339</v>
      </c>
      <c r="B905" s="761" t="s">
        <v>2340</v>
      </c>
      <c r="C905" s="761" t="s">
        <v>2497</v>
      </c>
      <c r="D905" s="761">
        <v>25389308</v>
      </c>
      <c r="E905" s="761" t="s">
        <v>2670</v>
      </c>
      <c r="F905" s="761">
        <v>143002020</v>
      </c>
      <c r="G905" s="761" t="s">
        <v>2715</v>
      </c>
      <c r="H905" s="761" t="s">
        <v>7347</v>
      </c>
      <c r="I905" s="761" t="s">
        <v>6867</v>
      </c>
      <c r="J905" s="761">
        <v>1</v>
      </c>
      <c r="K905" s="746">
        <v>16405.260000000002</v>
      </c>
      <c r="L905" s="746">
        <v>2182.98</v>
      </c>
      <c r="M905" s="746">
        <v>14222.28</v>
      </c>
      <c r="N905" s="493" t="str">
        <f t="shared" si="15"/>
        <v>C391</v>
      </c>
      <c r="O905" s="493" t="s">
        <v>95</v>
      </c>
      <c r="P905" s="493"/>
    </row>
    <row r="906" spans="1:16" s="763" customFormat="1">
      <c r="A906" s="761" t="s">
        <v>2339</v>
      </c>
      <c r="B906" s="761" t="s">
        <v>2340</v>
      </c>
      <c r="C906" s="761" t="s">
        <v>2709</v>
      </c>
      <c r="D906" s="761">
        <v>26234333</v>
      </c>
      <c r="E906" s="761" t="s">
        <v>2670</v>
      </c>
      <c r="F906" s="761">
        <v>143000603</v>
      </c>
      <c r="G906" s="761" t="s">
        <v>2708</v>
      </c>
      <c r="H906" s="761" t="s">
        <v>7339</v>
      </c>
      <c r="I906" s="761" t="s">
        <v>6867</v>
      </c>
      <c r="J906" s="761">
        <v>0</v>
      </c>
      <c r="K906" s="746">
        <v>640503.34</v>
      </c>
      <c r="L906" s="746">
        <v>85228.97</v>
      </c>
      <c r="M906" s="746">
        <v>555274.37</v>
      </c>
      <c r="N906" s="493" t="str">
        <f t="shared" si="15"/>
        <v>C391</v>
      </c>
      <c r="O906" s="493" t="s">
        <v>95</v>
      </c>
      <c r="P906" s="493"/>
    </row>
    <row r="907" spans="1:16" s="763" customFormat="1">
      <c r="A907" s="761" t="s">
        <v>2339</v>
      </c>
      <c r="B907" s="761" t="s">
        <v>2340</v>
      </c>
      <c r="C907" s="761" t="s">
        <v>2709</v>
      </c>
      <c r="D907" s="761">
        <v>27568824</v>
      </c>
      <c r="E907" s="761" t="s">
        <v>2670</v>
      </c>
      <c r="F907" s="761">
        <v>143002189</v>
      </c>
      <c r="G907" s="761" t="s">
        <v>2720</v>
      </c>
      <c r="H907" s="761" t="s">
        <v>2720</v>
      </c>
      <c r="I907" s="761" t="s">
        <v>6867</v>
      </c>
      <c r="J907" s="761">
        <v>1</v>
      </c>
      <c r="K907" s="746">
        <v>1466.19</v>
      </c>
      <c r="L907" s="746">
        <v>195.1</v>
      </c>
      <c r="M907" s="746">
        <v>1271.0899999999999</v>
      </c>
      <c r="N907" s="493" t="str">
        <f t="shared" si="15"/>
        <v>C391</v>
      </c>
      <c r="O907" s="493" t="s">
        <v>95</v>
      </c>
      <c r="P907" s="493"/>
    </row>
    <row r="908" spans="1:16" s="763" customFormat="1">
      <c r="A908" s="761" t="s">
        <v>2339</v>
      </c>
      <c r="B908" s="761" t="s">
        <v>2340</v>
      </c>
      <c r="C908" s="761" t="s">
        <v>2364</v>
      </c>
      <c r="D908" s="761">
        <v>28676575</v>
      </c>
      <c r="E908" s="761" t="s">
        <v>2670</v>
      </c>
      <c r="F908" s="761">
        <v>143002051</v>
      </c>
      <c r="G908" s="761" t="s">
        <v>2716</v>
      </c>
      <c r="H908" s="761" t="s">
        <v>7348</v>
      </c>
      <c r="I908" s="761" t="s">
        <v>6867</v>
      </c>
      <c r="J908" s="761">
        <v>1</v>
      </c>
      <c r="K908" s="746">
        <v>1497449.1099999999</v>
      </c>
      <c r="L908" s="746">
        <v>199258.99</v>
      </c>
      <c r="M908" s="746">
        <v>1298190.1200000001</v>
      </c>
      <c r="N908" s="493" t="str">
        <f t="shared" si="15"/>
        <v>C391</v>
      </c>
      <c r="O908" s="493" t="s">
        <v>95</v>
      </c>
      <c r="P908" s="493"/>
    </row>
    <row r="909" spans="1:16">
      <c r="A909" s="761" t="s">
        <v>2339</v>
      </c>
      <c r="B909" s="761" t="s">
        <v>2340</v>
      </c>
      <c r="C909" s="761" t="s">
        <v>2350</v>
      </c>
      <c r="D909" s="761">
        <v>31152288</v>
      </c>
      <c r="E909" s="761" t="s">
        <v>2670</v>
      </c>
      <c r="F909" s="761">
        <v>143002560</v>
      </c>
      <c r="G909" s="761" t="s">
        <v>2721</v>
      </c>
      <c r="H909" s="761" t="s">
        <v>7349</v>
      </c>
      <c r="I909" s="761" t="s">
        <v>6867</v>
      </c>
      <c r="J909" s="761">
        <v>1</v>
      </c>
      <c r="K909" s="746">
        <v>38011.94</v>
      </c>
      <c r="L909" s="746">
        <v>4736.91</v>
      </c>
      <c r="M909" s="746">
        <v>33275.03</v>
      </c>
      <c r="N909" s="493" t="str">
        <f t="shared" si="15"/>
        <v>C391</v>
      </c>
      <c r="O909" s="493" t="s">
        <v>390</v>
      </c>
      <c r="P909" s="493"/>
    </row>
    <row r="910" spans="1:16">
      <c r="A910" s="761" t="s">
        <v>2339</v>
      </c>
      <c r="B910" s="761" t="s">
        <v>2340</v>
      </c>
      <c r="C910" s="761" t="s">
        <v>2497</v>
      </c>
      <c r="D910" s="761">
        <v>31152308</v>
      </c>
      <c r="E910" s="761" t="s">
        <v>2670</v>
      </c>
      <c r="F910" s="761">
        <v>143002698</v>
      </c>
      <c r="G910" s="761" t="s">
        <v>2722</v>
      </c>
      <c r="H910" s="761" t="s">
        <v>7350</v>
      </c>
      <c r="I910" s="761" t="s">
        <v>6867</v>
      </c>
      <c r="J910" s="761">
        <v>1</v>
      </c>
      <c r="K910" s="746">
        <v>50932.93</v>
      </c>
      <c r="L910" s="746">
        <v>6347.08</v>
      </c>
      <c r="M910" s="746">
        <v>44585.85</v>
      </c>
      <c r="N910" s="493" t="str">
        <f t="shared" si="15"/>
        <v>C391</v>
      </c>
      <c r="O910" s="493" t="s">
        <v>95</v>
      </c>
      <c r="P910" s="493"/>
    </row>
    <row r="911" spans="1:16">
      <c r="A911" s="761" t="s">
        <v>2339</v>
      </c>
      <c r="B911" s="761" t="s">
        <v>2340</v>
      </c>
      <c r="C911" s="761" t="s">
        <v>2352</v>
      </c>
      <c r="D911" s="761">
        <v>32788896</v>
      </c>
      <c r="E911" s="761" t="s">
        <v>2670</v>
      </c>
      <c r="F911" s="761">
        <v>143003066</v>
      </c>
      <c r="G911" s="761" t="s">
        <v>2725</v>
      </c>
      <c r="H911" s="761" t="s">
        <v>2725</v>
      </c>
      <c r="I911" s="761" t="s">
        <v>6867</v>
      </c>
      <c r="J911" s="761">
        <v>1</v>
      </c>
      <c r="K911" s="746">
        <v>794766.78</v>
      </c>
      <c r="L911" s="746">
        <v>99041.010000000009</v>
      </c>
      <c r="M911" s="746">
        <v>695725.77</v>
      </c>
      <c r="N911" s="493" t="str">
        <f t="shared" si="15"/>
        <v>C391</v>
      </c>
      <c r="O911" s="493" t="s">
        <v>95</v>
      </c>
      <c r="P911" s="493"/>
    </row>
    <row r="912" spans="1:16">
      <c r="A912" s="761" t="s">
        <v>2339</v>
      </c>
      <c r="B912" s="761" t="s">
        <v>2340</v>
      </c>
      <c r="C912" s="761" t="s">
        <v>2709</v>
      </c>
      <c r="D912" s="761">
        <v>33169045</v>
      </c>
      <c r="E912" s="761" t="s">
        <v>2670</v>
      </c>
      <c r="F912" s="761">
        <v>143002864</v>
      </c>
      <c r="G912" s="761" t="s">
        <v>2723</v>
      </c>
      <c r="H912" s="761" t="s">
        <v>7351</v>
      </c>
      <c r="I912" s="761" t="s">
        <v>6867</v>
      </c>
      <c r="J912" s="761">
        <v>0</v>
      </c>
      <c r="K912" s="746">
        <v>947802.26</v>
      </c>
      <c r="L912" s="746">
        <v>118111.75</v>
      </c>
      <c r="M912" s="746">
        <v>829690.51</v>
      </c>
      <c r="N912" s="493" t="str">
        <f t="shared" si="15"/>
        <v>C391</v>
      </c>
      <c r="O912" s="493" t="s">
        <v>95</v>
      </c>
      <c r="P912" s="493"/>
    </row>
    <row r="913" spans="1:65">
      <c r="A913" s="761" t="s">
        <v>2339</v>
      </c>
      <c r="B913" s="761" t="s">
        <v>2340</v>
      </c>
      <c r="C913" s="761" t="s">
        <v>2683</v>
      </c>
      <c r="D913" s="761">
        <v>33310989</v>
      </c>
      <c r="E913" s="761" t="s">
        <v>2670</v>
      </c>
      <c r="F913" s="761">
        <v>143002865</v>
      </c>
      <c r="G913" s="761" t="s">
        <v>2724</v>
      </c>
      <c r="H913" s="761" t="s">
        <v>2724</v>
      </c>
      <c r="I913" s="761" t="s">
        <v>6867</v>
      </c>
      <c r="J913" s="761">
        <v>0</v>
      </c>
      <c r="K913" s="746">
        <v>7677.85</v>
      </c>
      <c r="L913" s="746">
        <v>956.79</v>
      </c>
      <c r="M913" s="746">
        <v>6721.06</v>
      </c>
      <c r="N913" s="493" t="str">
        <f t="shared" ref="N913:N976" si="16">LEFT(E913,4)</f>
        <v>C391</v>
      </c>
      <c r="O913" s="493" t="s">
        <v>95</v>
      </c>
      <c r="P913" s="493"/>
    </row>
    <row r="914" spans="1:65">
      <c r="A914" s="761" t="s">
        <v>2339</v>
      </c>
      <c r="B914" s="761" t="s">
        <v>2340</v>
      </c>
      <c r="C914" s="761" t="s">
        <v>2350</v>
      </c>
      <c r="D914" s="761">
        <v>33311030</v>
      </c>
      <c r="E914" s="761" t="s">
        <v>2670</v>
      </c>
      <c r="F914" s="761">
        <v>143003234</v>
      </c>
      <c r="G914" s="761" t="s">
        <v>2726</v>
      </c>
      <c r="H914" s="761" t="s">
        <v>2726</v>
      </c>
      <c r="I914" s="761" t="s">
        <v>6867</v>
      </c>
      <c r="J914" s="761">
        <v>0</v>
      </c>
      <c r="K914" s="746">
        <v>1044149.8</v>
      </c>
      <c r="L914" s="746">
        <v>130118.24</v>
      </c>
      <c r="M914" s="746">
        <v>914031.56</v>
      </c>
      <c r="N914" s="493" t="str">
        <f t="shared" si="16"/>
        <v>C391</v>
      </c>
      <c r="O914" s="493" t="s">
        <v>390</v>
      </c>
      <c r="P914" s="493"/>
    </row>
    <row r="915" spans="1:65">
      <c r="A915" s="761" t="s">
        <v>2339</v>
      </c>
      <c r="B915" s="761" t="s">
        <v>2340</v>
      </c>
      <c r="C915" s="761" t="s">
        <v>2696</v>
      </c>
      <c r="D915" s="761">
        <v>41166496</v>
      </c>
      <c r="E915" s="761" t="s">
        <v>2670</v>
      </c>
      <c r="F915" s="761">
        <v>143003562</v>
      </c>
      <c r="G915" s="761" t="s">
        <v>2727</v>
      </c>
      <c r="H915" s="761" t="s">
        <v>2727</v>
      </c>
      <c r="I915" s="761" t="s">
        <v>6867</v>
      </c>
      <c r="J915" s="761">
        <v>0</v>
      </c>
      <c r="K915" s="746">
        <v>4209523.22</v>
      </c>
      <c r="L915" s="746">
        <v>485479.72000000003</v>
      </c>
      <c r="M915" s="746">
        <v>3724043.5</v>
      </c>
      <c r="N915" s="493" t="str">
        <f t="shared" si="16"/>
        <v>C391</v>
      </c>
      <c r="O915" s="493" t="s">
        <v>95</v>
      </c>
      <c r="P915" s="493"/>
    </row>
    <row r="916" spans="1:65">
      <c r="A916" s="761" t="s">
        <v>2339</v>
      </c>
      <c r="B916" s="761" t="s">
        <v>2340</v>
      </c>
      <c r="C916" s="761" t="s">
        <v>2483</v>
      </c>
      <c r="D916" s="761">
        <v>44445716</v>
      </c>
      <c r="E916" s="761" t="s">
        <v>2670</v>
      </c>
      <c r="F916" s="761">
        <v>143003581</v>
      </c>
      <c r="G916" s="761" t="s">
        <v>2728</v>
      </c>
      <c r="H916" s="761" t="s">
        <v>2728</v>
      </c>
      <c r="I916" s="761" t="s">
        <v>6867</v>
      </c>
      <c r="J916" s="761">
        <v>0</v>
      </c>
      <c r="K916" s="746">
        <v>669732.32999999996</v>
      </c>
      <c r="L916" s="746">
        <v>70099.98</v>
      </c>
      <c r="M916" s="746">
        <v>599632.35</v>
      </c>
      <c r="N916" s="493" t="str">
        <f t="shared" si="16"/>
        <v>C391</v>
      </c>
      <c r="O916" s="493" t="s">
        <v>95</v>
      </c>
      <c r="P916" s="493"/>
    </row>
    <row r="917" spans="1:65">
      <c r="A917" s="761" t="s">
        <v>2339</v>
      </c>
      <c r="B917" s="761" t="s">
        <v>2340</v>
      </c>
      <c r="C917" s="761" t="s">
        <v>2497</v>
      </c>
      <c r="D917" s="761">
        <v>44445744</v>
      </c>
      <c r="E917" s="761" t="s">
        <v>2670</v>
      </c>
      <c r="F917" s="761">
        <v>143003904</v>
      </c>
      <c r="G917" s="761" t="s">
        <v>2733</v>
      </c>
      <c r="H917" s="761" t="s">
        <v>7352</v>
      </c>
      <c r="I917" s="761" t="s">
        <v>6867</v>
      </c>
      <c r="J917" s="761">
        <v>0</v>
      </c>
      <c r="K917" s="791">
        <v>537853.26</v>
      </c>
      <c r="L917" s="791">
        <v>56296.37</v>
      </c>
      <c r="M917" s="791">
        <v>481556.89</v>
      </c>
      <c r="N917" s="493" t="str">
        <f t="shared" si="16"/>
        <v>C391</v>
      </c>
      <c r="O917" s="493" t="s">
        <v>95</v>
      </c>
      <c r="P917" s="493"/>
    </row>
    <row r="918" spans="1:65">
      <c r="A918" s="762" t="s">
        <v>2339</v>
      </c>
      <c r="B918" s="762" t="s">
        <v>2340</v>
      </c>
      <c r="C918" s="762" t="s">
        <v>2476</v>
      </c>
      <c r="D918" s="762">
        <v>47000030</v>
      </c>
      <c r="E918" s="762" t="s">
        <v>2670</v>
      </c>
      <c r="F918" s="762">
        <v>143004772</v>
      </c>
      <c r="G918" s="762" t="s">
        <v>2734</v>
      </c>
      <c r="H918" s="762" t="s">
        <v>7353</v>
      </c>
      <c r="I918" s="762" t="s">
        <v>6867</v>
      </c>
      <c r="J918" s="762">
        <v>0</v>
      </c>
      <c r="K918" s="1911">
        <v>729888.44000000006</v>
      </c>
      <c r="L918" s="1911">
        <v>76396.44</v>
      </c>
      <c r="M918" s="1911">
        <v>653492</v>
      </c>
      <c r="N918" s="1752" t="str">
        <f t="shared" si="16"/>
        <v>C391</v>
      </c>
      <c r="O918" s="1752" t="s">
        <v>95</v>
      </c>
      <c r="P918" s="1752" t="s">
        <v>2736</v>
      </c>
    </row>
    <row r="919" spans="1:65">
      <c r="A919" s="762" t="s">
        <v>2339</v>
      </c>
      <c r="B919" s="762" t="s">
        <v>2340</v>
      </c>
      <c r="C919" s="762" t="s">
        <v>2473</v>
      </c>
      <c r="D919" s="762">
        <v>47865914</v>
      </c>
      <c r="E919" s="762" t="s">
        <v>2670</v>
      </c>
      <c r="F919" s="762">
        <v>143003823</v>
      </c>
      <c r="G919" s="762" t="s">
        <v>2730</v>
      </c>
      <c r="H919" s="762" t="s">
        <v>2730</v>
      </c>
      <c r="I919" s="762" t="s">
        <v>6867</v>
      </c>
      <c r="J919" s="762">
        <v>1</v>
      </c>
      <c r="K919" s="1911">
        <v>6411.6</v>
      </c>
      <c r="L919" s="1911">
        <v>588.89</v>
      </c>
      <c r="M919" s="1911">
        <v>5822.71</v>
      </c>
      <c r="N919" s="1752" t="str">
        <f t="shared" si="16"/>
        <v>C391</v>
      </c>
      <c r="O919" s="1752" t="s">
        <v>95</v>
      </c>
      <c r="P919" s="1752" t="s">
        <v>2736</v>
      </c>
    </row>
    <row r="920" spans="1:65">
      <c r="A920" s="762" t="s">
        <v>2339</v>
      </c>
      <c r="B920" s="762" t="s">
        <v>2340</v>
      </c>
      <c r="C920" s="762" t="s">
        <v>2476</v>
      </c>
      <c r="D920" s="762">
        <v>47865917</v>
      </c>
      <c r="E920" s="762" t="s">
        <v>2670</v>
      </c>
      <c r="F920" s="762">
        <v>143003824</v>
      </c>
      <c r="G920" s="762" t="s">
        <v>2731</v>
      </c>
      <c r="H920" s="762" t="s">
        <v>7354</v>
      </c>
      <c r="I920" s="762" t="s">
        <v>6867</v>
      </c>
      <c r="J920" s="762">
        <v>1</v>
      </c>
      <c r="K920" s="1911">
        <v>16741.47</v>
      </c>
      <c r="L920" s="1911">
        <v>1537.67</v>
      </c>
      <c r="M920" s="1911">
        <v>15203.800000000001</v>
      </c>
      <c r="N920" s="1752" t="str">
        <f t="shared" si="16"/>
        <v>C391</v>
      </c>
      <c r="O920" s="1752" t="s">
        <v>95</v>
      </c>
      <c r="P920" s="1752" t="s">
        <v>2736</v>
      </c>
    </row>
    <row r="921" spans="1:65">
      <c r="A921" s="762" t="s">
        <v>2339</v>
      </c>
      <c r="B921" s="762" t="s">
        <v>2340</v>
      </c>
      <c r="C921" s="762" t="s">
        <v>2487</v>
      </c>
      <c r="D921" s="762">
        <v>47865920</v>
      </c>
      <c r="E921" s="762" t="s">
        <v>2670</v>
      </c>
      <c r="F921" s="762">
        <v>143003883</v>
      </c>
      <c r="G921" s="762" t="s">
        <v>2732</v>
      </c>
      <c r="H921" s="762" t="s">
        <v>2732</v>
      </c>
      <c r="I921" s="762" t="s">
        <v>6867</v>
      </c>
      <c r="J921" s="762">
        <v>1</v>
      </c>
      <c r="K921" s="1911">
        <v>18967.91</v>
      </c>
      <c r="L921" s="1911">
        <v>1742.16</v>
      </c>
      <c r="M921" s="1911">
        <v>17225.75</v>
      </c>
      <c r="N921" s="1752" t="str">
        <f t="shared" si="16"/>
        <v>C391</v>
      </c>
      <c r="O921" s="1752" t="s">
        <v>95</v>
      </c>
      <c r="P921" s="1752" t="s">
        <v>2736</v>
      </c>
    </row>
    <row r="922" spans="1:65" s="1691" customFormat="1">
      <c r="A922" s="762" t="s">
        <v>2339</v>
      </c>
      <c r="B922" s="762" t="s">
        <v>2340</v>
      </c>
      <c r="C922" s="762" t="s">
        <v>2473</v>
      </c>
      <c r="D922" s="762">
        <v>66362715</v>
      </c>
      <c r="E922" s="762" t="s">
        <v>2670</v>
      </c>
      <c r="F922" s="762">
        <v>143005321</v>
      </c>
      <c r="G922" s="762" t="s">
        <v>2735</v>
      </c>
      <c r="H922" s="1917" t="s">
        <v>7355</v>
      </c>
      <c r="I922" s="762" t="s">
        <v>6867</v>
      </c>
      <c r="J922" s="762">
        <v>0</v>
      </c>
      <c r="K922" s="1911">
        <v>128278.81</v>
      </c>
      <c r="L922" s="1911">
        <v>9699.07</v>
      </c>
      <c r="M922" s="1911">
        <v>118579.74</v>
      </c>
      <c r="N922" s="1752" t="str">
        <f t="shared" si="16"/>
        <v>C391</v>
      </c>
      <c r="O922" s="1752" t="s">
        <v>95</v>
      </c>
      <c r="P922" s="1752" t="s">
        <v>2736</v>
      </c>
      <c r="Q922" s="761"/>
      <c r="R922" s="761"/>
      <c r="S922" s="761"/>
      <c r="T922" s="761"/>
      <c r="U922" s="761"/>
      <c r="V922" s="761"/>
      <c r="W922" s="761"/>
      <c r="X922" s="761"/>
      <c r="Y922" s="761"/>
      <c r="Z922" s="761"/>
      <c r="AA922" s="761"/>
      <c r="AB922" s="761"/>
      <c r="AC922" s="761"/>
      <c r="AD922" s="761"/>
      <c r="AE922" s="761"/>
      <c r="AF922" s="761"/>
      <c r="AG922" s="761"/>
      <c r="AH922" s="761"/>
      <c r="AI922" s="761"/>
      <c r="AJ922" s="761"/>
      <c r="AK922" s="761"/>
      <c r="AL922" s="761"/>
      <c r="AM922" s="761"/>
      <c r="AN922" s="761"/>
      <c r="AO922" s="761"/>
      <c r="AP922" s="761"/>
      <c r="AQ922" s="761"/>
      <c r="AR922" s="761"/>
      <c r="AS922" s="761"/>
      <c r="AT922" s="761"/>
      <c r="AU922" s="761"/>
      <c r="AV922" s="761"/>
      <c r="AW922" s="761"/>
      <c r="AX922" s="761"/>
      <c r="AY922" s="761"/>
      <c r="AZ922" s="761"/>
      <c r="BA922" s="761"/>
      <c r="BB922" s="761"/>
      <c r="BC922" s="761"/>
      <c r="BD922" s="761"/>
      <c r="BE922" s="761"/>
      <c r="BF922" s="761"/>
      <c r="BG922" s="761"/>
      <c r="BH922" s="761"/>
      <c r="BI922" s="761"/>
      <c r="BJ922" s="761"/>
      <c r="BK922" s="761"/>
      <c r="BL922" s="761"/>
      <c r="BM922" s="761"/>
    </row>
    <row r="923" spans="1:65">
      <c r="A923" s="762" t="s">
        <v>2339</v>
      </c>
      <c r="B923" s="762" t="s">
        <v>2340</v>
      </c>
      <c r="C923" s="762" t="s">
        <v>2476</v>
      </c>
      <c r="D923" s="762">
        <v>53319913</v>
      </c>
      <c r="E923" s="762" t="s">
        <v>2670</v>
      </c>
      <c r="F923" s="762">
        <v>143003702</v>
      </c>
      <c r="G923" s="762" t="s">
        <v>2729</v>
      </c>
      <c r="H923" s="762" t="s">
        <v>2729</v>
      </c>
      <c r="I923" s="762" t="s">
        <v>6867</v>
      </c>
      <c r="J923" s="762">
        <v>1</v>
      </c>
      <c r="K923" s="1911">
        <v>23197.7</v>
      </c>
      <c r="L923" s="1911">
        <v>1753.96</v>
      </c>
      <c r="M923" s="1911">
        <v>21443.74</v>
      </c>
      <c r="N923" s="1752" t="str">
        <f t="shared" si="16"/>
        <v>C391</v>
      </c>
      <c r="O923" s="1752" t="s">
        <v>95</v>
      </c>
      <c r="P923" s="1752" t="s">
        <v>2736</v>
      </c>
    </row>
    <row r="924" spans="1:65">
      <c r="A924" s="762" t="s">
        <v>2339</v>
      </c>
      <c r="B924" s="762" t="s">
        <v>2340</v>
      </c>
      <c r="C924" s="762" t="s">
        <v>2476</v>
      </c>
      <c r="D924" s="762">
        <v>53319954</v>
      </c>
      <c r="E924" s="762" t="s">
        <v>2670</v>
      </c>
      <c r="F924" s="762">
        <v>143005680</v>
      </c>
      <c r="G924" s="762" t="s">
        <v>2737</v>
      </c>
      <c r="H924" s="762" t="s">
        <v>2737</v>
      </c>
      <c r="I924" s="762" t="s">
        <v>6867</v>
      </c>
      <c r="J924" s="762">
        <v>17</v>
      </c>
      <c r="K924" s="1911">
        <v>63546.07</v>
      </c>
      <c r="L924" s="1911">
        <v>4804.67</v>
      </c>
      <c r="M924" s="1911">
        <v>58741.4</v>
      </c>
      <c r="N924" s="1752" t="str">
        <f t="shared" si="16"/>
        <v>C391</v>
      </c>
      <c r="O924" s="1752" t="s">
        <v>95</v>
      </c>
      <c r="P924" s="1752" t="s">
        <v>2736</v>
      </c>
    </row>
    <row r="925" spans="1:65" s="1691" customFormat="1">
      <c r="A925" s="762" t="s">
        <v>2339</v>
      </c>
      <c r="B925" s="762" t="s">
        <v>2340</v>
      </c>
      <c r="C925" s="762" t="s">
        <v>2476</v>
      </c>
      <c r="D925" s="762">
        <v>66072357</v>
      </c>
      <c r="E925" s="762" t="s">
        <v>2670</v>
      </c>
      <c r="F925" s="762">
        <v>143006181</v>
      </c>
      <c r="G925" s="762" t="s">
        <v>2739</v>
      </c>
      <c r="H925" s="1917" t="s">
        <v>7356</v>
      </c>
      <c r="I925" s="762" t="s">
        <v>6867</v>
      </c>
      <c r="J925" s="762">
        <v>0</v>
      </c>
      <c r="K925" s="1911">
        <v>4190341.64</v>
      </c>
      <c r="L925" s="1911">
        <v>225285.09</v>
      </c>
      <c r="M925" s="1911">
        <v>3965056.55</v>
      </c>
      <c r="N925" s="1752" t="str">
        <f t="shared" si="16"/>
        <v>C391</v>
      </c>
      <c r="O925" s="1752" t="s">
        <v>95</v>
      </c>
      <c r="P925" s="1752" t="s">
        <v>2736</v>
      </c>
      <c r="Q925" s="761"/>
      <c r="R925" s="761"/>
      <c r="S925" s="761"/>
      <c r="T925" s="761"/>
      <c r="U925" s="761"/>
      <c r="V925" s="761"/>
      <c r="W925" s="761"/>
      <c r="X925" s="761"/>
      <c r="Y925" s="761"/>
      <c r="Z925" s="761"/>
      <c r="AA925" s="761"/>
      <c r="AB925" s="761"/>
      <c r="AC925" s="761"/>
      <c r="AD925" s="761"/>
      <c r="AE925" s="761"/>
      <c r="AF925" s="761"/>
      <c r="AG925" s="761"/>
      <c r="AH925" s="761"/>
      <c r="AI925" s="761"/>
      <c r="AJ925" s="761"/>
      <c r="AK925" s="761"/>
      <c r="AL925" s="761"/>
      <c r="AM925" s="761"/>
      <c r="AN925" s="761"/>
      <c r="AO925" s="761"/>
      <c r="AP925" s="761"/>
      <c r="AQ925" s="761"/>
      <c r="AR925" s="761"/>
      <c r="AS925" s="761"/>
      <c r="AT925" s="761"/>
      <c r="AU925" s="761"/>
      <c r="AV925" s="761"/>
      <c r="AW925" s="761"/>
      <c r="AX925" s="761"/>
      <c r="AY925" s="761"/>
      <c r="AZ925" s="761"/>
      <c r="BA925" s="761"/>
      <c r="BB925" s="761"/>
      <c r="BC925" s="761"/>
      <c r="BD925" s="761"/>
      <c r="BE925" s="761"/>
      <c r="BF925" s="761"/>
      <c r="BG925" s="761"/>
      <c r="BH925" s="761"/>
      <c r="BI925" s="761"/>
      <c r="BJ925" s="761"/>
      <c r="BK925" s="761"/>
      <c r="BL925" s="761"/>
      <c r="BM925" s="761"/>
    </row>
    <row r="926" spans="1:65" s="1720" customFormat="1">
      <c r="A926" s="762" t="s">
        <v>2339</v>
      </c>
      <c r="B926" s="762" t="s">
        <v>2340</v>
      </c>
      <c r="C926" s="762" t="s">
        <v>2476</v>
      </c>
      <c r="D926" s="762">
        <v>61702497</v>
      </c>
      <c r="E926" s="762" t="s">
        <v>2670</v>
      </c>
      <c r="F926" s="762">
        <v>143005740</v>
      </c>
      <c r="G926" s="762" t="s">
        <v>2738</v>
      </c>
      <c r="H926" s="762" t="s">
        <v>2738</v>
      </c>
      <c r="I926" s="762" t="s">
        <v>6867</v>
      </c>
      <c r="J926" s="762">
        <v>1</v>
      </c>
      <c r="K926" s="1911">
        <v>77912.790000000008</v>
      </c>
      <c r="L926" s="1911">
        <v>4188.82</v>
      </c>
      <c r="M926" s="1911">
        <v>73723.97</v>
      </c>
      <c r="N926" s="1752" t="str">
        <f t="shared" si="16"/>
        <v>C391</v>
      </c>
      <c r="O926" s="1752" t="s">
        <v>95</v>
      </c>
      <c r="P926" s="1752" t="s">
        <v>2736</v>
      </c>
      <c r="Q926" s="761"/>
      <c r="R926" s="761"/>
      <c r="S926" s="761"/>
      <c r="T926" s="761"/>
      <c r="U926" s="761"/>
      <c r="V926" s="761"/>
      <c r="W926" s="761"/>
      <c r="X926" s="761"/>
      <c r="Y926" s="761"/>
      <c r="Z926" s="761"/>
      <c r="AA926" s="761"/>
      <c r="AB926" s="761"/>
      <c r="AC926" s="761"/>
      <c r="AD926" s="761"/>
      <c r="AE926" s="761"/>
      <c r="AF926" s="761"/>
      <c r="AG926" s="761"/>
      <c r="AH926" s="761"/>
      <c r="AI926" s="761"/>
      <c r="AJ926" s="761"/>
      <c r="AK926" s="761"/>
      <c r="AL926" s="761"/>
      <c r="AM926" s="761"/>
      <c r="AN926" s="761"/>
      <c r="AO926" s="761"/>
      <c r="AP926" s="761"/>
      <c r="AQ926" s="761"/>
      <c r="AR926" s="761"/>
      <c r="AS926" s="761"/>
      <c r="AT926" s="761"/>
      <c r="AU926" s="761"/>
      <c r="AV926" s="761"/>
      <c r="AW926" s="761"/>
      <c r="AX926" s="761"/>
      <c r="AY926" s="761"/>
      <c r="AZ926" s="761"/>
      <c r="BA926" s="761"/>
      <c r="BB926" s="761"/>
      <c r="BC926" s="761"/>
      <c r="BD926" s="761"/>
      <c r="BE926" s="761"/>
      <c r="BF926" s="761"/>
      <c r="BG926" s="761"/>
      <c r="BH926" s="761"/>
      <c r="BI926" s="761"/>
      <c r="BJ926" s="761"/>
      <c r="BK926" s="761"/>
      <c r="BL926" s="761"/>
      <c r="BM926" s="761"/>
    </row>
    <row r="927" spans="1:65" s="1691" customFormat="1">
      <c r="A927" s="762" t="s">
        <v>2339</v>
      </c>
      <c r="B927" s="762" t="s">
        <v>2340</v>
      </c>
      <c r="C927" s="762" t="s">
        <v>2517</v>
      </c>
      <c r="D927" s="762">
        <v>67206478</v>
      </c>
      <c r="E927" s="762" t="s">
        <v>2670</v>
      </c>
      <c r="F927" s="762">
        <v>143006763</v>
      </c>
      <c r="G927" s="762" t="s">
        <v>6868</v>
      </c>
      <c r="H927" s="1917" t="s">
        <v>7357</v>
      </c>
      <c r="I927" s="762" t="s">
        <v>6867</v>
      </c>
      <c r="J927" s="762">
        <v>0</v>
      </c>
      <c r="K927" s="1911">
        <v>866992.46</v>
      </c>
      <c r="L927" s="1911">
        <v>19141.23</v>
      </c>
      <c r="M927" s="1911">
        <v>847851.23</v>
      </c>
      <c r="N927" s="1752" t="str">
        <f t="shared" si="16"/>
        <v>C391</v>
      </c>
      <c r="O927" s="1752" t="s">
        <v>95</v>
      </c>
      <c r="P927" s="1752" t="s">
        <v>2736</v>
      </c>
      <c r="Q927" s="761"/>
      <c r="R927" s="761"/>
      <c r="S927" s="761"/>
      <c r="T927" s="761"/>
      <c r="U927" s="761"/>
      <c r="V927" s="761"/>
      <c r="W927" s="761"/>
      <c r="X927" s="761"/>
      <c r="Y927" s="761"/>
      <c r="Z927" s="761"/>
      <c r="AA927" s="761"/>
      <c r="AB927" s="761"/>
      <c r="AC927" s="761"/>
      <c r="AD927" s="761"/>
      <c r="AE927" s="761"/>
      <c r="AF927" s="761"/>
      <c r="AG927" s="761"/>
      <c r="AH927" s="761"/>
      <c r="AI927" s="761"/>
      <c r="AJ927" s="761"/>
      <c r="AK927" s="761"/>
      <c r="AL927" s="761"/>
      <c r="AM927" s="761"/>
      <c r="AN927" s="761"/>
      <c r="AO927" s="761"/>
      <c r="AP927" s="761"/>
      <c r="AQ927" s="761"/>
      <c r="AR927" s="761"/>
      <c r="AS927" s="761"/>
      <c r="AT927" s="761"/>
      <c r="AU927" s="761"/>
      <c r="AV927" s="761"/>
      <c r="AW927" s="761"/>
      <c r="AX927" s="761"/>
      <c r="AY927" s="761"/>
      <c r="AZ927" s="761"/>
      <c r="BA927" s="761"/>
      <c r="BB927" s="761"/>
      <c r="BC927" s="761"/>
      <c r="BD927" s="761"/>
      <c r="BE927" s="761"/>
      <c r="BF927" s="761"/>
      <c r="BG927" s="761"/>
      <c r="BH927" s="761"/>
      <c r="BI927" s="761"/>
      <c r="BJ927" s="761"/>
      <c r="BK927" s="761"/>
      <c r="BL927" s="761"/>
      <c r="BM927" s="761"/>
    </row>
    <row r="928" spans="1:65" s="1691" customFormat="1">
      <c r="A928" s="762" t="s">
        <v>2339</v>
      </c>
      <c r="B928" s="762" t="s">
        <v>2340</v>
      </c>
      <c r="C928" s="762" t="s">
        <v>2476</v>
      </c>
      <c r="D928" s="762">
        <v>64102461</v>
      </c>
      <c r="E928" s="762" t="s">
        <v>2670</v>
      </c>
      <c r="F928" s="762">
        <v>143006880</v>
      </c>
      <c r="G928" s="762" t="s">
        <v>6870</v>
      </c>
      <c r="H928" s="1917" t="s">
        <v>7330</v>
      </c>
      <c r="I928" s="762" t="s">
        <v>6867</v>
      </c>
      <c r="J928" s="762">
        <v>1</v>
      </c>
      <c r="K928" s="1911">
        <v>1434731.75</v>
      </c>
      <c r="L928" s="1911">
        <v>31675.62</v>
      </c>
      <c r="M928" s="1911">
        <v>1403056.13</v>
      </c>
      <c r="N928" s="1752" t="str">
        <f t="shared" si="16"/>
        <v>C391</v>
      </c>
      <c r="O928" s="1752" t="s">
        <v>95</v>
      </c>
      <c r="P928" s="1752" t="s">
        <v>2736</v>
      </c>
      <c r="Q928" s="761"/>
      <c r="R928" s="761"/>
      <c r="S928" s="761"/>
      <c r="T928" s="761"/>
      <c r="U928" s="761"/>
      <c r="V928" s="761"/>
      <c r="W928" s="761"/>
      <c r="X928" s="761"/>
      <c r="Y928" s="761"/>
      <c r="Z928" s="761"/>
      <c r="AA928" s="761"/>
      <c r="AB928" s="761"/>
      <c r="AC928" s="761"/>
      <c r="AD928" s="761"/>
      <c r="AE928" s="761"/>
      <c r="AF928" s="761"/>
      <c r="AG928" s="761"/>
      <c r="AH928" s="761"/>
      <c r="AI928" s="761"/>
      <c r="AJ928" s="761"/>
      <c r="AK928" s="761"/>
      <c r="AL928" s="761"/>
      <c r="AM928" s="761"/>
      <c r="AN928" s="761"/>
      <c r="AO928" s="761"/>
      <c r="AP928" s="761"/>
      <c r="AQ928" s="761"/>
      <c r="AR928" s="761"/>
      <c r="AS928" s="761"/>
      <c r="AT928" s="761"/>
      <c r="AU928" s="761"/>
      <c r="AV928" s="761"/>
      <c r="AW928" s="761"/>
      <c r="AX928" s="761"/>
      <c r="AY928" s="761"/>
      <c r="AZ928" s="761"/>
      <c r="BA928" s="761"/>
      <c r="BB928" s="761"/>
      <c r="BC928" s="761"/>
      <c r="BD928" s="761"/>
      <c r="BE928" s="761"/>
      <c r="BF928" s="761"/>
      <c r="BG928" s="761"/>
      <c r="BH928" s="761"/>
      <c r="BI928" s="761"/>
      <c r="BJ928" s="761"/>
      <c r="BK928" s="761"/>
      <c r="BL928" s="761"/>
      <c r="BM928" s="761"/>
    </row>
    <row r="929" spans="1:65" s="1691" customFormat="1">
      <c r="A929" s="762" t="s">
        <v>2339</v>
      </c>
      <c r="B929" s="762" t="s">
        <v>2340</v>
      </c>
      <c r="C929" s="762" t="s">
        <v>2476</v>
      </c>
      <c r="D929" s="762">
        <v>64102480</v>
      </c>
      <c r="E929" s="762" t="s">
        <v>2670</v>
      </c>
      <c r="F929" s="762">
        <v>143006967</v>
      </c>
      <c r="G929" s="762" t="s">
        <v>6869</v>
      </c>
      <c r="H929" s="1917" t="s">
        <v>7358</v>
      </c>
      <c r="I929" s="762" t="s">
        <v>6867</v>
      </c>
      <c r="J929" s="762">
        <v>1</v>
      </c>
      <c r="K929" s="1911">
        <v>8514.0499999999993</v>
      </c>
      <c r="L929" s="1911">
        <v>187.97</v>
      </c>
      <c r="M929" s="1911">
        <v>8326.08</v>
      </c>
      <c r="N929" s="1752" t="str">
        <f t="shared" si="16"/>
        <v>C391</v>
      </c>
      <c r="O929" s="1752" t="s">
        <v>95</v>
      </c>
      <c r="P929" s="1752" t="s">
        <v>2736</v>
      </c>
      <c r="Q929" s="761"/>
      <c r="R929" s="761"/>
      <c r="S929" s="761"/>
      <c r="T929" s="761"/>
      <c r="U929" s="761"/>
      <c r="V929" s="761"/>
      <c r="W929" s="761"/>
      <c r="X929" s="761"/>
      <c r="Y929" s="761"/>
      <c r="Z929" s="761"/>
      <c r="AA929" s="761"/>
      <c r="AB929" s="761"/>
      <c r="AC929" s="761"/>
      <c r="AD929" s="761"/>
      <c r="AE929" s="761"/>
      <c r="AF929" s="761"/>
      <c r="AG929" s="761"/>
      <c r="AH929" s="761"/>
      <c r="AI929" s="761"/>
      <c r="AJ929" s="761"/>
      <c r="AK929" s="761"/>
      <c r="AL929" s="761"/>
      <c r="AM929" s="761"/>
      <c r="AN929" s="761"/>
      <c r="AO929" s="761"/>
      <c r="AP929" s="761"/>
      <c r="AQ929" s="761"/>
      <c r="AR929" s="761"/>
      <c r="AS929" s="761"/>
      <c r="AT929" s="761"/>
      <c r="AU929" s="761"/>
      <c r="AV929" s="761"/>
      <c r="AW929" s="761"/>
      <c r="AX929" s="761"/>
      <c r="AY929" s="761"/>
      <c r="AZ929" s="761"/>
      <c r="BA929" s="761"/>
      <c r="BB929" s="761"/>
      <c r="BC929" s="761"/>
      <c r="BD929" s="761"/>
      <c r="BE929" s="761"/>
      <c r="BF929" s="761"/>
      <c r="BG929" s="761"/>
      <c r="BH929" s="761"/>
      <c r="BI929" s="761"/>
      <c r="BJ929" s="761"/>
      <c r="BK929" s="761"/>
      <c r="BL929" s="761"/>
      <c r="BM929" s="761"/>
    </row>
    <row r="930" spans="1:65" s="1691" customFormat="1">
      <c r="A930" s="762" t="s">
        <v>2339</v>
      </c>
      <c r="B930" s="762" t="s">
        <v>2340</v>
      </c>
      <c r="C930" s="762" t="s">
        <v>2476</v>
      </c>
      <c r="D930" s="762">
        <v>67515279</v>
      </c>
      <c r="E930" s="762" t="s">
        <v>2670</v>
      </c>
      <c r="F930" s="762">
        <v>143005339</v>
      </c>
      <c r="G930" s="762" t="s">
        <v>6871</v>
      </c>
      <c r="H930" s="1917" t="s">
        <v>7359</v>
      </c>
      <c r="I930" s="762" t="s">
        <v>6867</v>
      </c>
      <c r="J930" s="762">
        <v>1</v>
      </c>
      <c r="K930" s="1911">
        <v>221052.99</v>
      </c>
      <c r="L930" s="1911">
        <v>4880.3500000000004</v>
      </c>
      <c r="M930" s="1911">
        <v>216172.64</v>
      </c>
      <c r="N930" s="1752" t="str">
        <f t="shared" si="16"/>
        <v>C391</v>
      </c>
      <c r="O930" s="1752" t="s">
        <v>95</v>
      </c>
      <c r="P930" s="1752" t="s">
        <v>2736</v>
      </c>
      <c r="Q930" s="761"/>
      <c r="R930" s="761"/>
      <c r="S930" s="761"/>
      <c r="T930" s="761"/>
      <c r="U930" s="761"/>
      <c r="V930" s="761"/>
      <c r="W930" s="761"/>
      <c r="X930" s="761"/>
      <c r="Y930" s="761"/>
      <c r="Z930" s="761"/>
      <c r="AA930" s="761"/>
      <c r="AB930" s="761"/>
      <c r="AC930" s="761"/>
      <c r="AD930" s="761"/>
      <c r="AE930" s="761"/>
      <c r="AF930" s="761"/>
      <c r="AG930" s="761"/>
      <c r="AH930" s="761"/>
      <c r="AI930" s="761"/>
      <c r="AJ930" s="761"/>
      <c r="AK930" s="761"/>
      <c r="AL930" s="761"/>
      <c r="AM930" s="761"/>
      <c r="AN930" s="761"/>
      <c r="AO930" s="761"/>
      <c r="AP930" s="761"/>
      <c r="AQ930" s="761"/>
      <c r="AR930" s="761"/>
      <c r="AS930" s="761"/>
      <c r="AT930" s="761"/>
      <c r="AU930" s="761"/>
      <c r="AV930" s="761"/>
      <c r="AW930" s="761"/>
      <c r="AX930" s="761"/>
      <c r="AY930" s="761"/>
      <c r="AZ930" s="761"/>
      <c r="BA930" s="761"/>
      <c r="BB930" s="761"/>
      <c r="BC930" s="761"/>
      <c r="BD930" s="761"/>
      <c r="BE930" s="761"/>
      <c r="BF930" s="761"/>
      <c r="BG930" s="761"/>
      <c r="BH930" s="761"/>
      <c r="BI930" s="761"/>
      <c r="BJ930" s="761"/>
      <c r="BK930" s="761"/>
      <c r="BL930" s="761"/>
      <c r="BM930" s="761"/>
    </row>
    <row r="931" spans="1:65" s="1691" customFormat="1">
      <c r="A931" s="762" t="s">
        <v>2339</v>
      </c>
      <c r="B931" s="762" t="s">
        <v>2340</v>
      </c>
      <c r="C931" s="762" t="s">
        <v>2476</v>
      </c>
      <c r="D931" s="762">
        <v>68173510</v>
      </c>
      <c r="E931" s="762" t="s">
        <v>2670</v>
      </c>
      <c r="F931" s="762">
        <v>143007291</v>
      </c>
      <c r="G931" s="762" t="s">
        <v>6872</v>
      </c>
      <c r="H931" s="1917"/>
      <c r="I931" s="762" t="s">
        <v>6867</v>
      </c>
      <c r="J931" s="762">
        <v>1</v>
      </c>
      <c r="K931" s="1911">
        <v>260410.62</v>
      </c>
      <c r="L931" s="1911">
        <v>5749.28</v>
      </c>
      <c r="M931" s="1911">
        <v>254661.34</v>
      </c>
      <c r="N931" s="1752" t="str">
        <f t="shared" si="16"/>
        <v>C391</v>
      </c>
      <c r="O931" s="1752" t="s">
        <v>95</v>
      </c>
      <c r="P931" s="1752" t="s">
        <v>2736</v>
      </c>
      <c r="Q931" s="761"/>
      <c r="R931" s="761"/>
      <c r="S931" s="761"/>
      <c r="T931" s="761"/>
      <c r="U931" s="761"/>
      <c r="V931" s="761"/>
      <c r="W931" s="761"/>
      <c r="X931" s="761"/>
      <c r="Y931" s="761"/>
      <c r="Z931" s="761"/>
      <c r="AA931" s="761"/>
      <c r="AB931" s="761"/>
      <c r="AC931" s="761"/>
      <c r="AD931" s="761"/>
      <c r="AE931" s="761"/>
      <c r="AF931" s="761"/>
      <c r="AG931" s="761"/>
      <c r="AH931" s="761"/>
      <c r="AI931" s="761"/>
      <c r="AJ931" s="761"/>
      <c r="AK931" s="761"/>
      <c r="AL931" s="761"/>
      <c r="AM931" s="761"/>
      <c r="AN931" s="761"/>
      <c r="AO931" s="761"/>
      <c r="AP931" s="761"/>
      <c r="AQ931" s="761"/>
      <c r="AR931" s="761"/>
      <c r="AS931" s="761"/>
      <c r="AT931" s="761"/>
      <c r="AU931" s="761"/>
      <c r="AV931" s="761"/>
      <c r="AW931" s="761"/>
      <c r="AX931" s="761"/>
      <c r="AY931" s="761"/>
      <c r="AZ931" s="761"/>
      <c r="BA931" s="761"/>
      <c r="BB931" s="761"/>
      <c r="BC931" s="761"/>
      <c r="BD931" s="761"/>
      <c r="BE931" s="761"/>
      <c r="BF931" s="761"/>
      <c r="BG931" s="761"/>
      <c r="BH931" s="761"/>
      <c r="BI931" s="761"/>
      <c r="BJ931" s="761"/>
      <c r="BK931" s="761"/>
      <c r="BL931" s="761"/>
      <c r="BM931" s="761"/>
    </row>
    <row r="932" spans="1:65" s="1691" customFormat="1">
      <c r="A932" s="762" t="s">
        <v>2339</v>
      </c>
      <c r="B932" s="762" t="s">
        <v>2340</v>
      </c>
      <c r="C932" s="762" t="s">
        <v>2476</v>
      </c>
      <c r="D932" s="762">
        <v>68173513</v>
      </c>
      <c r="E932" s="762" t="s">
        <v>2670</v>
      </c>
      <c r="F932" s="762">
        <v>143007292</v>
      </c>
      <c r="G932" s="762" t="s">
        <v>6873</v>
      </c>
      <c r="H932" s="1917"/>
      <c r="I932" s="762" t="s">
        <v>6867</v>
      </c>
      <c r="J932" s="762">
        <v>1</v>
      </c>
      <c r="K932" s="1911">
        <v>14525.210000000001</v>
      </c>
      <c r="L932" s="1911">
        <v>320.68</v>
      </c>
      <c r="M932" s="1911">
        <v>14204.53</v>
      </c>
      <c r="N932" s="1752" t="str">
        <f t="shared" si="16"/>
        <v>C391</v>
      </c>
      <c r="O932" s="1752" t="s">
        <v>95</v>
      </c>
      <c r="P932" s="1752" t="s">
        <v>2736</v>
      </c>
      <c r="Q932" s="761"/>
      <c r="R932" s="761"/>
      <c r="S932" s="761"/>
      <c r="T932" s="761"/>
      <c r="U932" s="761"/>
      <c r="V932" s="761"/>
      <c r="W932" s="761"/>
      <c r="X932" s="761"/>
      <c r="Y932" s="761"/>
      <c r="Z932" s="761"/>
      <c r="AA932" s="761"/>
      <c r="AB932" s="761"/>
      <c r="AC932" s="761"/>
      <c r="AD932" s="761"/>
      <c r="AE932" s="761"/>
      <c r="AF932" s="761"/>
      <c r="AG932" s="761"/>
      <c r="AH932" s="761"/>
      <c r="AI932" s="761"/>
      <c r="AJ932" s="761"/>
      <c r="AK932" s="761"/>
      <c r="AL932" s="761"/>
      <c r="AM932" s="761"/>
      <c r="AN932" s="761"/>
      <c r="AO932" s="761"/>
      <c r="AP932" s="761"/>
      <c r="AQ932" s="761"/>
      <c r="AR932" s="761"/>
      <c r="AS932" s="761"/>
      <c r="AT932" s="761"/>
      <c r="AU932" s="761"/>
      <c r="AV932" s="761"/>
      <c r="AW932" s="761"/>
      <c r="AX932" s="761"/>
      <c r="AY932" s="761"/>
      <c r="AZ932" s="761"/>
      <c r="BA932" s="761"/>
      <c r="BB932" s="761"/>
      <c r="BC932" s="761"/>
      <c r="BD932" s="761"/>
      <c r="BE932" s="761"/>
      <c r="BF932" s="761"/>
      <c r="BG932" s="761"/>
      <c r="BH932" s="761"/>
      <c r="BI932" s="761"/>
      <c r="BJ932" s="761"/>
      <c r="BK932" s="761"/>
      <c r="BL932" s="761"/>
      <c r="BM932" s="761"/>
    </row>
    <row r="933" spans="1:65" s="1691" customFormat="1">
      <c r="A933" s="762" t="s">
        <v>2339</v>
      </c>
      <c r="B933" s="762" t="s">
        <v>2340</v>
      </c>
      <c r="C933" s="762" t="s">
        <v>2476</v>
      </c>
      <c r="D933" s="762">
        <v>68173519</v>
      </c>
      <c r="E933" s="762" t="s">
        <v>2670</v>
      </c>
      <c r="F933" s="762">
        <v>143007295</v>
      </c>
      <c r="G933" s="762" t="s">
        <v>6874</v>
      </c>
      <c r="H933" s="1917"/>
      <c r="I933" s="762" t="s">
        <v>6867</v>
      </c>
      <c r="J933" s="762">
        <v>1</v>
      </c>
      <c r="K933" s="1911">
        <v>226541.13</v>
      </c>
      <c r="L933" s="1911">
        <v>5001.51</v>
      </c>
      <c r="M933" s="1911">
        <v>221539.62</v>
      </c>
      <c r="N933" s="1752" t="str">
        <f t="shared" si="16"/>
        <v>C391</v>
      </c>
      <c r="O933" s="1752" t="s">
        <v>95</v>
      </c>
      <c r="P933" s="1752" t="s">
        <v>2736</v>
      </c>
      <c r="Q933" s="761"/>
      <c r="R933" s="761"/>
      <c r="S933" s="761"/>
      <c r="T933" s="761"/>
      <c r="U933" s="761"/>
      <c r="V933" s="761"/>
      <c r="W933" s="761"/>
      <c r="X933" s="761"/>
      <c r="Y933" s="761"/>
      <c r="Z933" s="761"/>
      <c r="AA933" s="761"/>
      <c r="AB933" s="761"/>
      <c r="AC933" s="761"/>
      <c r="AD933" s="761"/>
      <c r="AE933" s="761"/>
      <c r="AF933" s="761"/>
      <c r="AG933" s="761"/>
      <c r="AH933" s="761"/>
      <c r="AI933" s="761"/>
      <c r="AJ933" s="761"/>
      <c r="AK933" s="761"/>
      <c r="AL933" s="761"/>
      <c r="AM933" s="761"/>
      <c r="AN933" s="761"/>
      <c r="AO933" s="761"/>
      <c r="AP933" s="761"/>
      <c r="AQ933" s="761"/>
      <c r="AR933" s="761"/>
      <c r="AS933" s="761"/>
      <c r="AT933" s="761"/>
      <c r="AU933" s="761"/>
      <c r="AV933" s="761"/>
      <c r="AW933" s="761"/>
      <c r="AX933" s="761"/>
      <c r="AY933" s="761"/>
      <c r="AZ933" s="761"/>
      <c r="BA933" s="761"/>
      <c r="BB933" s="761"/>
      <c r="BC933" s="761"/>
      <c r="BD933" s="761"/>
      <c r="BE933" s="761"/>
      <c r="BF933" s="761"/>
      <c r="BG933" s="761"/>
      <c r="BH933" s="761"/>
      <c r="BI933" s="761"/>
      <c r="BJ933" s="761"/>
      <c r="BK933" s="761"/>
      <c r="BL933" s="761"/>
      <c r="BM933" s="761"/>
    </row>
    <row r="934" spans="1:65" s="1691" customFormat="1">
      <c r="A934" s="762" t="s">
        <v>2339</v>
      </c>
      <c r="B934" s="762" t="s">
        <v>2340</v>
      </c>
      <c r="C934" s="762" t="s">
        <v>2476</v>
      </c>
      <c r="D934" s="762">
        <v>68173535</v>
      </c>
      <c r="E934" s="762" t="s">
        <v>2670</v>
      </c>
      <c r="F934" s="762">
        <v>143007344</v>
      </c>
      <c r="G934" s="762" t="s">
        <v>6875</v>
      </c>
      <c r="H934" s="1917"/>
      <c r="I934" s="762" t="s">
        <v>6867</v>
      </c>
      <c r="J934" s="762">
        <v>1</v>
      </c>
      <c r="K934" s="1911">
        <v>899690.24</v>
      </c>
      <c r="L934" s="1911">
        <v>19863.12</v>
      </c>
      <c r="M934" s="1911">
        <v>879827.12</v>
      </c>
      <c r="N934" s="1752" t="str">
        <f t="shared" si="16"/>
        <v>C391</v>
      </c>
      <c r="O934" s="1752" t="s">
        <v>95</v>
      </c>
      <c r="P934" s="1752" t="s">
        <v>2736</v>
      </c>
      <c r="Q934" s="761"/>
      <c r="R934" s="761"/>
      <c r="S934" s="761"/>
      <c r="T934" s="761"/>
      <c r="U934" s="761"/>
      <c r="V934" s="761"/>
      <c r="W934" s="761"/>
      <c r="X934" s="761"/>
      <c r="Y934" s="761"/>
      <c r="Z934" s="761"/>
      <c r="AA934" s="761"/>
      <c r="AB934" s="761"/>
      <c r="AC934" s="761"/>
      <c r="AD934" s="761"/>
      <c r="AE934" s="761"/>
      <c r="AF934" s="761"/>
      <c r="AG934" s="761"/>
      <c r="AH934" s="761"/>
      <c r="AI934" s="761"/>
      <c r="AJ934" s="761"/>
      <c r="AK934" s="761"/>
      <c r="AL934" s="761"/>
      <c r="AM934" s="761"/>
      <c r="AN934" s="761"/>
      <c r="AO934" s="761"/>
      <c r="AP934" s="761"/>
      <c r="AQ934" s="761"/>
      <c r="AR934" s="761"/>
      <c r="AS934" s="761"/>
      <c r="AT934" s="761"/>
      <c r="AU934" s="761"/>
      <c r="AV934" s="761"/>
      <c r="AW934" s="761"/>
      <c r="AX934" s="761"/>
      <c r="AY934" s="761"/>
      <c r="AZ934" s="761"/>
      <c r="BA934" s="761"/>
      <c r="BB934" s="761"/>
      <c r="BC934" s="761"/>
      <c r="BD934" s="761"/>
      <c r="BE934" s="761"/>
      <c r="BF934" s="761"/>
      <c r="BG934" s="761"/>
      <c r="BH934" s="761"/>
      <c r="BI934" s="761"/>
      <c r="BJ934" s="761"/>
      <c r="BK934" s="761"/>
      <c r="BL934" s="761"/>
      <c r="BM934" s="761"/>
    </row>
    <row r="935" spans="1:65" s="1691" customFormat="1">
      <c r="A935" s="762" t="s">
        <v>2339</v>
      </c>
      <c r="B935" s="762" t="s">
        <v>2340</v>
      </c>
      <c r="C935" s="762" t="s">
        <v>2476</v>
      </c>
      <c r="D935" s="762">
        <v>68173607</v>
      </c>
      <c r="E935" s="762" t="s">
        <v>2670</v>
      </c>
      <c r="F935" s="762">
        <v>143007661</v>
      </c>
      <c r="G935" s="762" t="s">
        <v>6876</v>
      </c>
      <c r="H935" s="1917"/>
      <c r="I935" s="762" t="s">
        <v>6867</v>
      </c>
      <c r="J935" s="762">
        <v>1</v>
      </c>
      <c r="K935" s="1911">
        <v>244595.79</v>
      </c>
      <c r="L935" s="1911">
        <v>5400.12</v>
      </c>
      <c r="M935" s="1911">
        <v>239195.67</v>
      </c>
      <c r="N935" s="1752" t="str">
        <f t="shared" si="16"/>
        <v>C391</v>
      </c>
      <c r="O935" s="1752" t="s">
        <v>95</v>
      </c>
      <c r="P935" s="1752" t="s">
        <v>2736</v>
      </c>
      <c r="Q935" s="761"/>
      <c r="R935" s="761"/>
      <c r="S935" s="761"/>
      <c r="T935" s="761"/>
      <c r="U935" s="761"/>
      <c r="V935" s="761"/>
      <c r="W935" s="761"/>
      <c r="X935" s="761"/>
      <c r="Y935" s="761"/>
      <c r="Z935" s="761"/>
      <c r="AA935" s="761"/>
      <c r="AB935" s="761"/>
      <c r="AC935" s="761"/>
      <c r="AD935" s="761"/>
      <c r="AE935" s="761"/>
      <c r="AF935" s="761"/>
      <c r="AG935" s="761"/>
      <c r="AH935" s="761"/>
      <c r="AI935" s="761"/>
      <c r="AJ935" s="761"/>
      <c r="AK935" s="761"/>
      <c r="AL935" s="761"/>
      <c r="AM935" s="761"/>
      <c r="AN935" s="761"/>
      <c r="AO935" s="761"/>
      <c r="AP935" s="761"/>
      <c r="AQ935" s="761"/>
      <c r="AR935" s="761"/>
      <c r="AS935" s="761"/>
      <c r="AT935" s="761"/>
      <c r="AU935" s="761"/>
      <c r="AV935" s="761"/>
      <c r="AW935" s="761"/>
      <c r="AX935" s="761"/>
      <c r="AY935" s="761"/>
      <c r="AZ935" s="761"/>
      <c r="BA935" s="761"/>
      <c r="BB935" s="761"/>
      <c r="BC935" s="761"/>
      <c r="BD935" s="761"/>
      <c r="BE935" s="761"/>
      <c r="BF935" s="761"/>
      <c r="BG935" s="761"/>
      <c r="BH935" s="761"/>
      <c r="BI935" s="761"/>
      <c r="BJ935" s="761"/>
      <c r="BK935" s="761"/>
      <c r="BL935" s="761"/>
      <c r="BM935" s="761"/>
    </row>
    <row r="936" spans="1:65" s="1691" customFormat="1">
      <c r="A936" s="762" t="s">
        <v>2339</v>
      </c>
      <c r="B936" s="762" t="s">
        <v>2340</v>
      </c>
      <c r="C936" s="762" t="s">
        <v>2476</v>
      </c>
      <c r="D936" s="762">
        <v>68173610</v>
      </c>
      <c r="E936" s="762" t="s">
        <v>2670</v>
      </c>
      <c r="F936" s="762">
        <v>143007662</v>
      </c>
      <c r="G936" s="762" t="s">
        <v>6877</v>
      </c>
      <c r="H936" s="1917"/>
      <c r="I936" s="762" t="s">
        <v>6867</v>
      </c>
      <c r="J936" s="762">
        <v>1</v>
      </c>
      <c r="K936" s="1911">
        <v>189246.76</v>
      </c>
      <c r="L936" s="1911">
        <v>4178.1400000000003</v>
      </c>
      <c r="M936" s="1911">
        <v>185068.62</v>
      </c>
      <c r="N936" s="1752" t="str">
        <f t="shared" si="16"/>
        <v>C391</v>
      </c>
      <c r="O936" s="1752" t="s">
        <v>95</v>
      </c>
      <c r="P936" s="1752" t="s">
        <v>2736</v>
      </c>
      <c r="Q936" s="761"/>
      <c r="R936" s="761"/>
      <c r="S936" s="761"/>
      <c r="T936" s="761"/>
      <c r="U936" s="761"/>
      <c r="V936" s="761"/>
      <c r="W936" s="761"/>
      <c r="X936" s="761"/>
      <c r="Y936" s="761"/>
      <c r="Z936" s="761"/>
      <c r="AA936" s="761"/>
      <c r="AB936" s="761"/>
      <c r="AC936" s="761"/>
      <c r="AD936" s="761"/>
      <c r="AE936" s="761"/>
      <c r="AF936" s="761"/>
      <c r="AG936" s="761"/>
      <c r="AH936" s="761"/>
      <c r="AI936" s="761"/>
      <c r="AJ936" s="761"/>
      <c r="AK936" s="761"/>
      <c r="AL936" s="761"/>
      <c r="AM936" s="761"/>
      <c r="AN936" s="761"/>
      <c r="AO936" s="761"/>
      <c r="AP936" s="761"/>
      <c r="AQ936" s="761"/>
      <c r="AR936" s="761"/>
      <c r="AS936" s="761"/>
      <c r="AT936" s="761"/>
      <c r="AU936" s="761"/>
      <c r="AV936" s="761"/>
      <c r="AW936" s="761"/>
      <c r="AX936" s="761"/>
      <c r="AY936" s="761"/>
      <c r="AZ936" s="761"/>
      <c r="BA936" s="761"/>
      <c r="BB936" s="761"/>
      <c r="BC936" s="761"/>
      <c r="BD936" s="761"/>
      <c r="BE936" s="761"/>
      <c r="BF936" s="761"/>
      <c r="BG936" s="761"/>
      <c r="BH936" s="761"/>
      <c r="BI936" s="761"/>
      <c r="BJ936" s="761"/>
      <c r="BK936" s="761"/>
      <c r="BL936" s="761"/>
      <c r="BM936" s="761"/>
    </row>
    <row r="937" spans="1:65" s="1691" customFormat="1">
      <c r="A937" s="762" t="s">
        <v>2339</v>
      </c>
      <c r="B937" s="762" t="s">
        <v>2340</v>
      </c>
      <c r="C937" s="762" t="s">
        <v>2476</v>
      </c>
      <c r="D937" s="762">
        <v>68173613</v>
      </c>
      <c r="E937" s="762" t="s">
        <v>2670</v>
      </c>
      <c r="F937" s="762">
        <v>143007663</v>
      </c>
      <c r="G937" s="762" t="s">
        <v>6878</v>
      </c>
      <c r="H937" s="1917"/>
      <c r="I937" s="762" t="s">
        <v>6867</v>
      </c>
      <c r="J937" s="762">
        <v>1</v>
      </c>
      <c r="K937" s="1911">
        <v>611983.03</v>
      </c>
      <c r="L937" s="1911">
        <v>13511.2</v>
      </c>
      <c r="M937" s="1911">
        <v>598471.82999999996</v>
      </c>
      <c r="N937" s="1752" t="str">
        <f t="shared" si="16"/>
        <v>C391</v>
      </c>
      <c r="O937" s="1752" t="s">
        <v>95</v>
      </c>
      <c r="P937" s="1752" t="s">
        <v>2736</v>
      </c>
      <c r="Q937" s="761"/>
      <c r="R937" s="761"/>
      <c r="S937" s="761"/>
      <c r="T937" s="761"/>
      <c r="U937" s="761"/>
      <c r="V937" s="761"/>
      <c r="W937" s="761"/>
      <c r="X937" s="761"/>
      <c r="Y937" s="761"/>
      <c r="Z937" s="761"/>
      <c r="AA937" s="761"/>
      <c r="AB937" s="761"/>
      <c r="AC937" s="761"/>
      <c r="AD937" s="761"/>
      <c r="AE937" s="761"/>
      <c r="AF937" s="761"/>
      <c r="AG937" s="761"/>
      <c r="AH937" s="761"/>
      <c r="AI937" s="761"/>
      <c r="AJ937" s="761"/>
      <c r="AK937" s="761"/>
      <c r="AL937" s="761"/>
      <c r="AM937" s="761"/>
      <c r="AN937" s="761"/>
      <c r="AO937" s="761"/>
      <c r="AP937" s="761"/>
      <c r="AQ937" s="761"/>
      <c r="AR937" s="761"/>
      <c r="AS937" s="761"/>
      <c r="AT937" s="761"/>
      <c r="AU937" s="761"/>
      <c r="AV937" s="761"/>
      <c r="AW937" s="761"/>
      <c r="AX937" s="761"/>
      <c r="AY937" s="761"/>
      <c r="AZ937" s="761"/>
      <c r="BA937" s="761"/>
      <c r="BB937" s="761"/>
      <c r="BC937" s="761"/>
      <c r="BD937" s="761"/>
      <c r="BE937" s="761"/>
      <c r="BF937" s="761"/>
      <c r="BG937" s="761"/>
      <c r="BH937" s="761"/>
      <c r="BI937" s="761"/>
      <c r="BJ937" s="761"/>
      <c r="BK937" s="761"/>
      <c r="BL937" s="761"/>
      <c r="BM937" s="761"/>
    </row>
    <row r="938" spans="1:65">
      <c r="A938" s="761" t="s">
        <v>2339</v>
      </c>
      <c r="B938" s="761" t="s">
        <v>2340</v>
      </c>
      <c r="C938" s="761" t="s">
        <v>2709</v>
      </c>
      <c r="D938" s="761">
        <v>33531629</v>
      </c>
      <c r="E938" s="761" t="s">
        <v>2740</v>
      </c>
      <c r="F938" s="761">
        <v>143002943</v>
      </c>
      <c r="G938" s="761" t="s">
        <v>2742</v>
      </c>
      <c r="H938" s="761" t="s">
        <v>7360</v>
      </c>
      <c r="I938" s="761" t="s">
        <v>6867</v>
      </c>
      <c r="J938" s="761">
        <v>1</v>
      </c>
      <c r="K938" s="746">
        <v>362.34000000000003</v>
      </c>
      <c r="L938" s="746">
        <v>362.34000000000003</v>
      </c>
      <c r="M938" s="746">
        <v>0</v>
      </c>
      <c r="N938" s="493" t="str">
        <f t="shared" si="16"/>
        <v>C391</v>
      </c>
      <c r="O938" s="493" t="s">
        <v>95</v>
      </c>
      <c r="P938" s="493"/>
    </row>
    <row r="939" spans="1:65">
      <c r="A939" s="761" t="s">
        <v>2339</v>
      </c>
      <c r="B939" s="761" t="s">
        <v>2340</v>
      </c>
      <c r="C939" s="761" t="s">
        <v>2476</v>
      </c>
      <c r="D939" s="761">
        <v>39960190</v>
      </c>
      <c r="E939" s="761" t="s">
        <v>2740</v>
      </c>
      <c r="F939" s="761">
        <v>143004079</v>
      </c>
      <c r="G939" s="761" t="s">
        <v>2747</v>
      </c>
      <c r="H939" s="761" t="s">
        <v>2747</v>
      </c>
      <c r="I939" s="761" t="s">
        <v>6867</v>
      </c>
      <c r="J939" s="761">
        <v>1</v>
      </c>
      <c r="K939" s="746">
        <v>88615.05</v>
      </c>
      <c r="L939" s="746">
        <v>53376.78</v>
      </c>
      <c r="M939" s="746">
        <v>35238.270000000004</v>
      </c>
      <c r="N939" s="493" t="str">
        <f t="shared" si="16"/>
        <v>C391</v>
      </c>
      <c r="O939" s="493" t="s">
        <v>95</v>
      </c>
      <c r="P939" s="493"/>
    </row>
    <row r="940" spans="1:65">
      <c r="A940" s="761" t="s">
        <v>2339</v>
      </c>
      <c r="B940" s="761" t="s">
        <v>2340</v>
      </c>
      <c r="C940" s="761" t="s">
        <v>2476</v>
      </c>
      <c r="D940" s="761">
        <v>39960210</v>
      </c>
      <c r="E940" s="761" t="s">
        <v>2740</v>
      </c>
      <c r="F940" s="761">
        <v>143004552</v>
      </c>
      <c r="G940" s="761" t="s">
        <v>2760</v>
      </c>
      <c r="H940" s="761" t="s">
        <v>2760</v>
      </c>
      <c r="I940" s="761" t="s">
        <v>6867</v>
      </c>
      <c r="J940" s="761">
        <v>1</v>
      </c>
      <c r="K940" s="746">
        <v>85433.82</v>
      </c>
      <c r="L940" s="746">
        <v>51460.590000000004</v>
      </c>
      <c r="M940" s="746">
        <v>33973.230000000003</v>
      </c>
      <c r="N940" s="493" t="str">
        <f t="shared" si="16"/>
        <v>C391</v>
      </c>
      <c r="O940" s="493" t="s">
        <v>99</v>
      </c>
      <c r="P940" s="493"/>
    </row>
    <row r="941" spans="1:65">
      <c r="A941" s="761" t="s">
        <v>2339</v>
      </c>
      <c r="B941" s="761" t="s">
        <v>2340</v>
      </c>
      <c r="C941" s="761" t="s">
        <v>2517</v>
      </c>
      <c r="D941" s="761">
        <v>40839809</v>
      </c>
      <c r="E941" s="761" t="s">
        <v>2740</v>
      </c>
      <c r="F941" s="761">
        <v>143004786</v>
      </c>
      <c r="G941" s="761" t="s">
        <v>2764</v>
      </c>
      <c r="H941" s="761" t="s">
        <v>2764</v>
      </c>
      <c r="I941" s="761" t="s">
        <v>6867</v>
      </c>
      <c r="J941" s="761">
        <v>1</v>
      </c>
      <c r="K941" s="746">
        <v>11932.31</v>
      </c>
      <c r="L941" s="746">
        <v>7187.3600000000006</v>
      </c>
      <c r="M941" s="746">
        <v>4744.95</v>
      </c>
      <c r="N941" s="493" t="str">
        <f t="shared" si="16"/>
        <v>C391</v>
      </c>
      <c r="O941" s="493" t="s">
        <v>95</v>
      </c>
      <c r="P941" s="493"/>
    </row>
    <row r="942" spans="1:65">
      <c r="A942" s="761" t="s">
        <v>2339</v>
      </c>
      <c r="B942" s="761" t="s">
        <v>2340</v>
      </c>
      <c r="C942" s="761" t="s">
        <v>2512</v>
      </c>
      <c r="D942" s="761">
        <v>41266123</v>
      </c>
      <c r="E942" s="761" t="s">
        <v>2740</v>
      </c>
      <c r="F942" s="761">
        <v>143004460</v>
      </c>
      <c r="G942" s="761" t="s">
        <v>2749</v>
      </c>
      <c r="H942" s="761" t="s">
        <v>7361</v>
      </c>
      <c r="I942" s="761" t="s">
        <v>6867</v>
      </c>
      <c r="J942" s="761">
        <v>1</v>
      </c>
      <c r="K942" s="746">
        <v>42864.15</v>
      </c>
      <c r="L942" s="746">
        <v>25818.98</v>
      </c>
      <c r="M942" s="746">
        <v>17045.170000000002</v>
      </c>
      <c r="N942" s="493" t="str">
        <f t="shared" si="16"/>
        <v>C391</v>
      </c>
      <c r="O942" s="493" t="s">
        <v>95</v>
      </c>
      <c r="P942" s="493"/>
    </row>
    <row r="943" spans="1:65">
      <c r="A943" s="761" t="s">
        <v>2339</v>
      </c>
      <c r="B943" s="761" t="s">
        <v>2340</v>
      </c>
      <c r="C943" s="761" t="s">
        <v>2476</v>
      </c>
      <c r="D943" s="761">
        <v>41266126</v>
      </c>
      <c r="E943" s="761" t="s">
        <v>2740</v>
      </c>
      <c r="F943" s="761">
        <v>143004461</v>
      </c>
      <c r="G943" s="761" t="s">
        <v>2750</v>
      </c>
      <c r="H943" s="761" t="s">
        <v>7362</v>
      </c>
      <c r="I943" s="761" t="s">
        <v>6867</v>
      </c>
      <c r="J943" s="761">
        <v>1</v>
      </c>
      <c r="K943" s="746">
        <v>47498.590000000004</v>
      </c>
      <c r="L943" s="746">
        <v>28610.510000000002</v>
      </c>
      <c r="M943" s="746">
        <v>18888.080000000002</v>
      </c>
      <c r="N943" s="493" t="str">
        <f t="shared" si="16"/>
        <v>C391</v>
      </c>
      <c r="O943" s="493" t="s">
        <v>95</v>
      </c>
      <c r="P943" s="493"/>
    </row>
    <row r="944" spans="1:65">
      <c r="A944" s="761" t="s">
        <v>2339</v>
      </c>
      <c r="B944" s="761" t="s">
        <v>2340</v>
      </c>
      <c r="C944" s="761" t="s">
        <v>2509</v>
      </c>
      <c r="D944" s="761">
        <v>41266129</v>
      </c>
      <c r="E944" s="761" t="s">
        <v>2740</v>
      </c>
      <c r="F944" s="761">
        <v>143004462</v>
      </c>
      <c r="G944" s="761" t="s">
        <v>2751</v>
      </c>
      <c r="H944" s="761" t="s">
        <v>7363</v>
      </c>
      <c r="I944" s="761" t="s">
        <v>6867</v>
      </c>
      <c r="J944" s="761">
        <v>1</v>
      </c>
      <c r="K944" s="746">
        <v>47509.29</v>
      </c>
      <c r="L944" s="746">
        <v>28616.959999999999</v>
      </c>
      <c r="M944" s="746">
        <v>18892.330000000002</v>
      </c>
      <c r="N944" s="493" t="str">
        <f t="shared" si="16"/>
        <v>C391</v>
      </c>
      <c r="O944" s="493" t="s">
        <v>95</v>
      </c>
      <c r="P944" s="493"/>
    </row>
    <row r="945" spans="1:16">
      <c r="A945" s="761" t="s">
        <v>2339</v>
      </c>
      <c r="B945" s="761" t="s">
        <v>2340</v>
      </c>
      <c r="C945" s="761" t="s">
        <v>2487</v>
      </c>
      <c r="D945" s="761">
        <v>41266132</v>
      </c>
      <c r="E945" s="761" t="s">
        <v>2740</v>
      </c>
      <c r="F945" s="761">
        <v>143004480</v>
      </c>
      <c r="G945" s="761" t="s">
        <v>2752</v>
      </c>
      <c r="H945" s="761" t="s">
        <v>7364</v>
      </c>
      <c r="I945" s="761" t="s">
        <v>6867</v>
      </c>
      <c r="J945" s="761">
        <v>1</v>
      </c>
      <c r="K945" s="746">
        <v>12422.16</v>
      </c>
      <c r="L945" s="746">
        <v>7482.42</v>
      </c>
      <c r="M945" s="746">
        <v>4939.74</v>
      </c>
      <c r="N945" s="493" t="str">
        <f t="shared" si="16"/>
        <v>C391</v>
      </c>
      <c r="O945" s="493" t="s">
        <v>95</v>
      </c>
      <c r="P945" s="493"/>
    </row>
    <row r="946" spans="1:16">
      <c r="A946" s="761" t="s">
        <v>2339</v>
      </c>
      <c r="B946" s="761" t="s">
        <v>2340</v>
      </c>
      <c r="C946" s="761" t="s">
        <v>2473</v>
      </c>
      <c r="D946" s="761">
        <v>41266137</v>
      </c>
      <c r="E946" s="761" t="s">
        <v>2740</v>
      </c>
      <c r="F946" s="761">
        <v>143004500</v>
      </c>
      <c r="G946" s="761" t="s">
        <v>2753</v>
      </c>
      <c r="H946" s="761" t="s">
        <v>7365</v>
      </c>
      <c r="I946" s="761" t="s">
        <v>6867</v>
      </c>
      <c r="J946" s="761">
        <v>1</v>
      </c>
      <c r="K946" s="746">
        <v>16601.45</v>
      </c>
      <c r="L946" s="746">
        <v>9999.7900000000009</v>
      </c>
      <c r="M946" s="746">
        <v>6601.66</v>
      </c>
      <c r="N946" s="493" t="str">
        <f t="shared" si="16"/>
        <v>C391</v>
      </c>
      <c r="O946" s="493" t="s">
        <v>95</v>
      </c>
      <c r="P946" s="493"/>
    </row>
    <row r="947" spans="1:16">
      <c r="A947" s="761" t="s">
        <v>2339</v>
      </c>
      <c r="B947" s="761" t="s">
        <v>2340</v>
      </c>
      <c r="C947" s="761" t="s">
        <v>2527</v>
      </c>
      <c r="D947" s="761">
        <v>41266140</v>
      </c>
      <c r="E947" s="761" t="s">
        <v>2740</v>
      </c>
      <c r="F947" s="761">
        <v>143004501</v>
      </c>
      <c r="G947" s="761" t="s">
        <v>2754</v>
      </c>
      <c r="H947" s="761" t="s">
        <v>7366</v>
      </c>
      <c r="I947" s="761" t="s">
        <v>6867</v>
      </c>
      <c r="J947" s="761">
        <v>1</v>
      </c>
      <c r="K947" s="746">
        <v>11740.78</v>
      </c>
      <c r="L947" s="746">
        <v>7071.99</v>
      </c>
      <c r="M947" s="746">
        <v>4668.79</v>
      </c>
      <c r="N947" s="493" t="str">
        <f t="shared" si="16"/>
        <v>C391</v>
      </c>
      <c r="O947" s="493" t="s">
        <v>95</v>
      </c>
      <c r="P947" s="493"/>
    </row>
    <row r="948" spans="1:16">
      <c r="A948" s="761" t="s">
        <v>2339</v>
      </c>
      <c r="B948" s="761" t="s">
        <v>2340</v>
      </c>
      <c r="C948" s="761" t="s">
        <v>2527</v>
      </c>
      <c r="D948" s="761">
        <v>41266143</v>
      </c>
      <c r="E948" s="761" t="s">
        <v>2740</v>
      </c>
      <c r="F948" s="761">
        <v>143004502</v>
      </c>
      <c r="G948" s="761" t="s">
        <v>2755</v>
      </c>
      <c r="H948" s="761" t="s">
        <v>7367</v>
      </c>
      <c r="I948" s="761" t="s">
        <v>6867</v>
      </c>
      <c r="J948" s="761">
        <v>1</v>
      </c>
      <c r="K948" s="746">
        <v>18547.560000000001</v>
      </c>
      <c r="L948" s="746">
        <v>11172.02</v>
      </c>
      <c r="M948" s="746">
        <v>7375.54</v>
      </c>
      <c r="N948" s="493" t="str">
        <f t="shared" si="16"/>
        <v>C391</v>
      </c>
      <c r="O948" s="493" t="s">
        <v>95</v>
      </c>
      <c r="P948" s="493"/>
    </row>
    <row r="949" spans="1:16">
      <c r="A949" s="761" t="s">
        <v>2339</v>
      </c>
      <c r="B949" s="761" t="s">
        <v>2340</v>
      </c>
      <c r="C949" s="761" t="s">
        <v>2476</v>
      </c>
      <c r="D949" s="761">
        <v>59148311</v>
      </c>
      <c r="E949" s="761" t="s">
        <v>2740</v>
      </c>
      <c r="F949" s="761">
        <v>143003924</v>
      </c>
      <c r="G949" s="761" t="s">
        <v>2746</v>
      </c>
      <c r="H949" s="761" t="s">
        <v>2746</v>
      </c>
      <c r="I949" s="761" t="s">
        <v>6867</v>
      </c>
      <c r="J949" s="761">
        <v>1</v>
      </c>
      <c r="K949" s="746">
        <v>26176.9</v>
      </c>
      <c r="L949" s="746">
        <v>15767.51</v>
      </c>
      <c r="M949" s="746">
        <v>10409.39</v>
      </c>
      <c r="N949" s="493" t="str">
        <f t="shared" si="16"/>
        <v>C391</v>
      </c>
      <c r="O949" s="493" t="s">
        <v>95</v>
      </c>
      <c r="P949" s="493" t="s">
        <v>2736</v>
      </c>
    </row>
    <row r="950" spans="1:16">
      <c r="A950" s="761" t="s">
        <v>2339</v>
      </c>
      <c r="B950" s="761" t="s">
        <v>2340</v>
      </c>
      <c r="C950" s="761" t="s">
        <v>2476</v>
      </c>
      <c r="D950" s="761">
        <v>42607543</v>
      </c>
      <c r="E950" s="761" t="s">
        <v>2740</v>
      </c>
      <c r="F950" s="761">
        <v>143004242</v>
      </c>
      <c r="G950" s="761" t="s">
        <v>2748</v>
      </c>
      <c r="H950" s="761" t="s">
        <v>2748</v>
      </c>
      <c r="I950" s="761" t="s">
        <v>6867</v>
      </c>
      <c r="J950" s="761">
        <v>1</v>
      </c>
      <c r="K950" s="746">
        <v>7271.95</v>
      </c>
      <c r="L950" s="746">
        <v>4380.22</v>
      </c>
      <c r="M950" s="746">
        <v>2891.73</v>
      </c>
      <c r="N950" s="493" t="str">
        <f t="shared" si="16"/>
        <v>C391</v>
      </c>
      <c r="O950" s="493" t="s">
        <v>95</v>
      </c>
      <c r="P950" s="493"/>
    </row>
    <row r="951" spans="1:16">
      <c r="A951" s="761" t="s">
        <v>2339</v>
      </c>
      <c r="B951" s="761" t="s">
        <v>2340</v>
      </c>
      <c r="C951" s="761" t="s">
        <v>2476</v>
      </c>
      <c r="D951" s="761">
        <v>42607564</v>
      </c>
      <c r="E951" s="761" t="s">
        <v>2740</v>
      </c>
      <c r="F951" s="761">
        <v>143004807</v>
      </c>
      <c r="G951" s="761" t="s">
        <v>2770</v>
      </c>
      <c r="H951" s="761" t="s">
        <v>2770</v>
      </c>
      <c r="I951" s="761" t="s">
        <v>6867</v>
      </c>
      <c r="J951" s="761">
        <v>1</v>
      </c>
      <c r="K951" s="746">
        <v>88666.930000000008</v>
      </c>
      <c r="L951" s="746">
        <v>53408.03</v>
      </c>
      <c r="M951" s="746">
        <v>35258.9</v>
      </c>
      <c r="N951" s="493" t="str">
        <f t="shared" si="16"/>
        <v>C391</v>
      </c>
      <c r="O951" s="493" t="s">
        <v>95</v>
      </c>
      <c r="P951" s="493"/>
    </row>
    <row r="952" spans="1:16">
      <c r="A952" s="761" t="s">
        <v>2339</v>
      </c>
      <c r="B952" s="761" t="s">
        <v>2340</v>
      </c>
      <c r="C952" s="761" t="s">
        <v>2509</v>
      </c>
      <c r="D952" s="761">
        <v>42832344</v>
      </c>
      <c r="E952" s="761" t="s">
        <v>2740</v>
      </c>
      <c r="F952" s="761">
        <v>143004853</v>
      </c>
      <c r="G952" s="761" t="s">
        <v>2782</v>
      </c>
      <c r="H952" s="761" t="s">
        <v>2782</v>
      </c>
      <c r="I952" s="761" t="s">
        <v>6867</v>
      </c>
      <c r="J952" s="761">
        <v>1</v>
      </c>
      <c r="K952" s="746">
        <v>85795.38</v>
      </c>
      <c r="L952" s="746">
        <v>51678.37</v>
      </c>
      <c r="M952" s="746">
        <v>34117.01</v>
      </c>
      <c r="N952" s="493" t="str">
        <f t="shared" si="16"/>
        <v>C391</v>
      </c>
      <c r="O952" s="493" t="s">
        <v>95</v>
      </c>
      <c r="P952" s="493"/>
    </row>
    <row r="953" spans="1:16">
      <c r="A953" s="761" t="s">
        <v>2339</v>
      </c>
      <c r="B953" s="761" t="s">
        <v>2340</v>
      </c>
      <c r="C953" s="761" t="s">
        <v>2476</v>
      </c>
      <c r="D953" s="761">
        <v>59148320</v>
      </c>
      <c r="E953" s="761" t="s">
        <v>2740</v>
      </c>
      <c r="F953" s="761">
        <v>143004864</v>
      </c>
      <c r="G953" s="761" t="s">
        <v>2784</v>
      </c>
      <c r="H953" s="761" t="s">
        <v>7368</v>
      </c>
      <c r="I953" s="761" t="s">
        <v>6867</v>
      </c>
      <c r="J953" s="761">
        <v>1</v>
      </c>
      <c r="K953" s="746">
        <v>6940.53</v>
      </c>
      <c r="L953" s="746">
        <v>4180.59</v>
      </c>
      <c r="M953" s="746">
        <v>2759.94</v>
      </c>
      <c r="N953" s="493" t="str">
        <f t="shared" si="16"/>
        <v>C391</v>
      </c>
      <c r="O953" s="493" t="s">
        <v>95</v>
      </c>
      <c r="P953" s="493" t="s">
        <v>2736</v>
      </c>
    </row>
    <row r="954" spans="1:16">
      <c r="A954" s="761" t="s">
        <v>2339</v>
      </c>
      <c r="B954" s="761" t="s">
        <v>2340</v>
      </c>
      <c r="C954" s="761" t="s">
        <v>2476</v>
      </c>
      <c r="D954" s="761">
        <v>43080592</v>
      </c>
      <c r="E954" s="761" t="s">
        <v>2740</v>
      </c>
      <c r="F954" s="761">
        <v>143004828</v>
      </c>
      <c r="G954" s="761" t="s">
        <v>2774</v>
      </c>
      <c r="H954" s="761" t="s">
        <v>2774</v>
      </c>
      <c r="I954" s="761" t="s">
        <v>6867</v>
      </c>
      <c r="J954" s="761">
        <v>1</v>
      </c>
      <c r="K954" s="746">
        <v>3692.36</v>
      </c>
      <c r="L954" s="746">
        <v>2224.0700000000002</v>
      </c>
      <c r="M954" s="746">
        <v>1468.29</v>
      </c>
      <c r="N954" s="493" t="str">
        <f t="shared" si="16"/>
        <v>C391</v>
      </c>
      <c r="O954" s="493" t="s">
        <v>95</v>
      </c>
      <c r="P954" s="493"/>
    </row>
    <row r="955" spans="1:16">
      <c r="A955" s="761" t="s">
        <v>2339</v>
      </c>
      <c r="B955" s="761" t="s">
        <v>2340</v>
      </c>
      <c r="C955" s="761" t="s">
        <v>2476</v>
      </c>
      <c r="D955" s="761">
        <v>43566341</v>
      </c>
      <c r="E955" s="761" t="s">
        <v>2740</v>
      </c>
      <c r="F955" s="761">
        <v>143004505</v>
      </c>
      <c r="G955" s="761" t="s">
        <v>2756</v>
      </c>
      <c r="H955" s="761" t="s">
        <v>2756</v>
      </c>
      <c r="I955" s="761" t="s">
        <v>6867</v>
      </c>
      <c r="J955" s="761">
        <v>1</v>
      </c>
      <c r="K955" s="746">
        <v>371610.79</v>
      </c>
      <c r="L955" s="746">
        <v>223837.69</v>
      </c>
      <c r="M955" s="746">
        <v>147773.1</v>
      </c>
      <c r="N955" s="493" t="str">
        <f t="shared" si="16"/>
        <v>C391</v>
      </c>
      <c r="O955" s="493" t="s">
        <v>95</v>
      </c>
      <c r="P955" s="493"/>
    </row>
    <row r="956" spans="1:16">
      <c r="A956" s="761" t="s">
        <v>2339</v>
      </c>
      <c r="B956" s="761" t="s">
        <v>2340</v>
      </c>
      <c r="C956" s="761" t="s">
        <v>2517</v>
      </c>
      <c r="D956" s="761">
        <v>43566366</v>
      </c>
      <c r="E956" s="761" t="s">
        <v>2740</v>
      </c>
      <c r="F956" s="761">
        <v>143004882</v>
      </c>
      <c r="G956" s="761" t="s">
        <v>2787</v>
      </c>
      <c r="H956" s="761" t="s">
        <v>7369</v>
      </c>
      <c r="I956" s="761" t="s">
        <v>6867</v>
      </c>
      <c r="J956" s="761">
        <v>1</v>
      </c>
      <c r="K956" s="746">
        <v>94168.37</v>
      </c>
      <c r="L956" s="746">
        <v>56721.79</v>
      </c>
      <c r="M956" s="746">
        <v>37446.58</v>
      </c>
      <c r="N956" s="493" t="str">
        <f t="shared" si="16"/>
        <v>C391</v>
      </c>
      <c r="O956" s="493" t="s">
        <v>95</v>
      </c>
      <c r="P956" s="493"/>
    </row>
    <row r="957" spans="1:16">
      <c r="A957" s="761" t="s">
        <v>2339</v>
      </c>
      <c r="B957" s="761" t="s">
        <v>2340</v>
      </c>
      <c r="C957" s="761" t="s">
        <v>2487</v>
      </c>
      <c r="D957" s="761">
        <v>43566373</v>
      </c>
      <c r="E957" s="761" t="s">
        <v>2740</v>
      </c>
      <c r="F957" s="761">
        <v>143004927</v>
      </c>
      <c r="G957" s="761" t="s">
        <v>2791</v>
      </c>
      <c r="H957" s="761" t="s">
        <v>7370</v>
      </c>
      <c r="I957" s="761" t="s">
        <v>6867</v>
      </c>
      <c r="J957" s="761">
        <v>1</v>
      </c>
      <c r="K957" s="746">
        <v>63824.58</v>
      </c>
      <c r="L957" s="746">
        <v>38444.379999999997</v>
      </c>
      <c r="M957" s="746">
        <v>25380.2</v>
      </c>
      <c r="N957" s="493" t="str">
        <f t="shared" si="16"/>
        <v>C391</v>
      </c>
      <c r="O957" s="493" t="s">
        <v>95</v>
      </c>
      <c r="P957" s="493"/>
    </row>
    <row r="958" spans="1:16">
      <c r="A958" s="761" t="s">
        <v>2339</v>
      </c>
      <c r="B958" s="761" t="s">
        <v>2340</v>
      </c>
      <c r="C958" s="761" t="s">
        <v>2490</v>
      </c>
      <c r="D958" s="761">
        <v>43986599</v>
      </c>
      <c r="E958" s="761" t="s">
        <v>2740</v>
      </c>
      <c r="F958" s="761">
        <v>143004838</v>
      </c>
      <c r="G958" s="761" t="s">
        <v>2779</v>
      </c>
      <c r="H958" s="761" t="s">
        <v>2779</v>
      </c>
      <c r="I958" s="761" t="s">
        <v>6867</v>
      </c>
      <c r="J958" s="761">
        <v>1</v>
      </c>
      <c r="K958" s="746">
        <v>2507.71</v>
      </c>
      <c r="L958" s="746">
        <v>1510.51</v>
      </c>
      <c r="M958" s="746">
        <v>997.2</v>
      </c>
      <c r="N958" s="493" t="str">
        <f t="shared" si="16"/>
        <v>C391</v>
      </c>
      <c r="O958" s="493" t="s">
        <v>95</v>
      </c>
      <c r="P958" s="493"/>
    </row>
    <row r="959" spans="1:16">
      <c r="A959" s="761" t="s">
        <v>2339</v>
      </c>
      <c r="B959" s="761" t="s">
        <v>2340</v>
      </c>
      <c r="C959" s="761" t="s">
        <v>2517</v>
      </c>
      <c r="D959" s="761">
        <v>43986607</v>
      </c>
      <c r="E959" s="761" t="s">
        <v>2740</v>
      </c>
      <c r="F959" s="761">
        <v>143004880</v>
      </c>
      <c r="G959" s="761" t="s">
        <v>2785</v>
      </c>
      <c r="H959" s="761" t="s">
        <v>2785</v>
      </c>
      <c r="I959" s="761" t="s">
        <v>6867</v>
      </c>
      <c r="J959" s="761">
        <v>1</v>
      </c>
      <c r="K959" s="746">
        <v>3232.51</v>
      </c>
      <c r="L959" s="746">
        <v>1947.08</v>
      </c>
      <c r="M959" s="746">
        <v>1285.43</v>
      </c>
      <c r="N959" s="493" t="str">
        <f t="shared" si="16"/>
        <v>C391</v>
      </c>
      <c r="O959" s="493" t="s">
        <v>95</v>
      </c>
      <c r="P959" s="493"/>
    </row>
    <row r="960" spans="1:16">
      <c r="A960" s="761" t="s">
        <v>2339</v>
      </c>
      <c r="B960" s="761" t="s">
        <v>2340</v>
      </c>
      <c r="C960" s="761" t="s">
        <v>2476</v>
      </c>
      <c r="D960" s="761">
        <v>43986615</v>
      </c>
      <c r="E960" s="761" t="s">
        <v>2740</v>
      </c>
      <c r="F960" s="761">
        <v>143004980</v>
      </c>
      <c r="G960" s="761" t="s">
        <v>2804</v>
      </c>
      <c r="H960" s="761" t="s">
        <v>7371</v>
      </c>
      <c r="I960" s="761" t="s">
        <v>6867</v>
      </c>
      <c r="J960" s="761">
        <v>1</v>
      </c>
      <c r="K960" s="746">
        <v>15209.57</v>
      </c>
      <c r="L960" s="746">
        <v>9161.4</v>
      </c>
      <c r="M960" s="746">
        <v>6048.17</v>
      </c>
      <c r="N960" s="493" t="str">
        <f t="shared" si="16"/>
        <v>C391</v>
      </c>
      <c r="O960" s="493" t="s">
        <v>95</v>
      </c>
      <c r="P960" s="493"/>
    </row>
    <row r="961" spans="1:16">
      <c r="A961" s="761" t="s">
        <v>2339</v>
      </c>
      <c r="B961" s="761" t="s">
        <v>2340</v>
      </c>
      <c r="C961" s="761" t="s">
        <v>2476</v>
      </c>
      <c r="D961" s="761">
        <v>44534529</v>
      </c>
      <c r="E961" s="761" t="s">
        <v>2740</v>
      </c>
      <c r="F961" s="761">
        <v>143004640</v>
      </c>
      <c r="G961" s="761" t="s">
        <v>2761</v>
      </c>
      <c r="H961" s="761" t="s">
        <v>7372</v>
      </c>
      <c r="I961" s="761" t="s">
        <v>6867</v>
      </c>
      <c r="J961" s="761">
        <v>1</v>
      </c>
      <c r="K961" s="746">
        <v>221682.5</v>
      </c>
      <c r="L961" s="746">
        <v>133529.22</v>
      </c>
      <c r="M961" s="746">
        <v>88153.279999999999</v>
      </c>
      <c r="N961" s="493" t="str">
        <f t="shared" si="16"/>
        <v>C391</v>
      </c>
      <c r="O961" s="493" t="s">
        <v>95</v>
      </c>
      <c r="P961" s="493"/>
    </row>
    <row r="962" spans="1:16">
      <c r="A962" s="761" t="s">
        <v>2339</v>
      </c>
      <c r="B962" s="761" t="s">
        <v>2340</v>
      </c>
      <c r="C962" s="761" t="s">
        <v>2517</v>
      </c>
      <c r="D962" s="761">
        <v>44534560</v>
      </c>
      <c r="E962" s="761" t="s">
        <v>2740</v>
      </c>
      <c r="F962" s="761">
        <v>143004783</v>
      </c>
      <c r="G962" s="761" t="s">
        <v>2763</v>
      </c>
      <c r="H962" s="761" t="s">
        <v>2763</v>
      </c>
      <c r="I962" s="761" t="s">
        <v>6867</v>
      </c>
      <c r="J962" s="761">
        <v>1</v>
      </c>
      <c r="K962" s="746">
        <v>74089.03</v>
      </c>
      <c r="L962" s="746">
        <v>44627.11</v>
      </c>
      <c r="M962" s="746">
        <v>29461.920000000002</v>
      </c>
      <c r="N962" s="493" t="str">
        <f t="shared" si="16"/>
        <v>C391</v>
      </c>
      <c r="O962" s="493" t="s">
        <v>95</v>
      </c>
      <c r="P962" s="493"/>
    </row>
    <row r="963" spans="1:16">
      <c r="A963" s="761" t="s">
        <v>2339</v>
      </c>
      <c r="B963" s="761" t="s">
        <v>2340</v>
      </c>
      <c r="C963" s="761" t="s">
        <v>2476</v>
      </c>
      <c r="D963" s="761">
        <v>44534573</v>
      </c>
      <c r="E963" s="761" t="s">
        <v>2740</v>
      </c>
      <c r="F963" s="761">
        <v>143004788</v>
      </c>
      <c r="G963" s="761" t="s">
        <v>2765</v>
      </c>
      <c r="H963" s="761" t="s">
        <v>7373</v>
      </c>
      <c r="I963" s="761" t="s">
        <v>6867</v>
      </c>
      <c r="J963" s="761">
        <v>1</v>
      </c>
      <c r="K963" s="746">
        <v>71300.88</v>
      </c>
      <c r="L963" s="746">
        <v>42947.69</v>
      </c>
      <c r="M963" s="746">
        <v>28353.190000000002</v>
      </c>
      <c r="N963" s="493" t="str">
        <f t="shared" si="16"/>
        <v>C391</v>
      </c>
      <c r="O963" s="493" t="s">
        <v>95</v>
      </c>
      <c r="P963" s="493"/>
    </row>
    <row r="964" spans="1:16">
      <c r="A964" s="761" t="s">
        <v>2339</v>
      </c>
      <c r="B964" s="761" t="s">
        <v>2340</v>
      </c>
      <c r="C964" s="761" t="s">
        <v>2476</v>
      </c>
      <c r="D964" s="761">
        <v>44534578</v>
      </c>
      <c r="E964" s="761" t="s">
        <v>2740</v>
      </c>
      <c r="F964" s="761">
        <v>143004793</v>
      </c>
      <c r="G964" s="761" t="s">
        <v>2766</v>
      </c>
      <c r="H964" s="761" t="s">
        <v>2766</v>
      </c>
      <c r="I964" s="761" t="s">
        <v>6867</v>
      </c>
      <c r="J964" s="761">
        <v>1</v>
      </c>
      <c r="K964" s="746">
        <v>714592.5</v>
      </c>
      <c r="L964" s="746">
        <v>430430.81</v>
      </c>
      <c r="M964" s="746">
        <v>284161.69</v>
      </c>
      <c r="N964" s="493" t="str">
        <f t="shared" si="16"/>
        <v>C391</v>
      </c>
      <c r="O964" s="493" t="s">
        <v>95</v>
      </c>
      <c r="P964" s="493"/>
    </row>
    <row r="965" spans="1:16">
      <c r="A965" s="761" t="s">
        <v>2339</v>
      </c>
      <c r="B965" s="761" t="s">
        <v>2340</v>
      </c>
      <c r="C965" s="761" t="s">
        <v>2476</v>
      </c>
      <c r="D965" s="761">
        <v>44534585</v>
      </c>
      <c r="E965" s="761" t="s">
        <v>2740</v>
      </c>
      <c r="F965" s="761">
        <v>143004797</v>
      </c>
      <c r="G965" s="761" t="s">
        <v>2767</v>
      </c>
      <c r="H965" s="761" t="s">
        <v>2767</v>
      </c>
      <c r="I965" s="761" t="s">
        <v>6867</v>
      </c>
      <c r="J965" s="761">
        <v>1</v>
      </c>
      <c r="K965" s="746">
        <v>10348.94</v>
      </c>
      <c r="L965" s="746">
        <v>6233.63</v>
      </c>
      <c r="M965" s="746">
        <v>4115.3100000000004</v>
      </c>
      <c r="N965" s="493" t="str">
        <f t="shared" si="16"/>
        <v>C391</v>
      </c>
      <c r="O965" s="493" t="s">
        <v>95</v>
      </c>
      <c r="P965" s="493"/>
    </row>
    <row r="966" spans="1:16">
      <c r="A966" s="761" t="s">
        <v>2339</v>
      </c>
      <c r="B966" s="761" t="s">
        <v>2340</v>
      </c>
      <c r="C966" s="761" t="s">
        <v>2476</v>
      </c>
      <c r="D966" s="761">
        <v>44534608</v>
      </c>
      <c r="E966" s="761" t="s">
        <v>2740</v>
      </c>
      <c r="F966" s="761">
        <v>143004806</v>
      </c>
      <c r="G966" s="761" t="s">
        <v>2769</v>
      </c>
      <c r="H966" s="761" t="s">
        <v>7374</v>
      </c>
      <c r="I966" s="761" t="s">
        <v>6867</v>
      </c>
      <c r="J966" s="761">
        <v>1</v>
      </c>
      <c r="K966" s="746">
        <v>681259.24</v>
      </c>
      <c r="L966" s="746">
        <v>410352.71</v>
      </c>
      <c r="M966" s="746">
        <v>270906.53000000003</v>
      </c>
      <c r="N966" s="493" t="str">
        <f t="shared" si="16"/>
        <v>C391</v>
      </c>
      <c r="O966" s="493" t="s">
        <v>95</v>
      </c>
      <c r="P966" s="493"/>
    </row>
    <row r="967" spans="1:16">
      <c r="A967" s="761" t="s">
        <v>2339</v>
      </c>
      <c r="B967" s="761" t="s">
        <v>2340</v>
      </c>
      <c r="C967" s="761" t="s">
        <v>2476</v>
      </c>
      <c r="D967" s="761">
        <v>44534611</v>
      </c>
      <c r="E967" s="761" t="s">
        <v>2740</v>
      </c>
      <c r="F967" s="761">
        <v>143004810</v>
      </c>
      <c r="G967" s="761" t="s">
        <v>2771</v>
      </c>
      <c r="H967" s="761" t="s">
        <v>7375</v>
      </c>
      <c r="I967" s="761" t="s">
        <v>6867</v>
      </c>
      <c r="J967" s="761">
        <v>1</v>
      </c>
      <c r="K967" s="746">
        <v>331873.53000000003</v>
      </c>
      <c r="L967" s="746">
        <v>199902.17</v>
      </c>
      <c r="M967" s="746">
        <v>131971.36000000002</v>
      </c>
      <c r="N967" s="493" t="str">
        <f t="shared" si="16"/>
        <v>C391</v>
      </c>
      <c r="O967" s="493" t="s">
        <v>95</v>
      </c>
      <c r="P967" s="493"/>
    </row>
    <row r="968" spans="1:16">
      <c r="A968" s="761" t="s">
        <v>2339</v>
      </c>
      <c r="B968" s="761" t="s">
        <v>2340</v>
      </c>
      <c r="C968" s="761" t="s">
        <v>2517</v>
      </c>
      <c r="D968" s="761">
        <v>44534616</v>
      </c>
      <c r="E968" s="761" t="s">
        <v>2740</v>
      </c>
      <c r="F968" s="761">
        <v>143004813</v>
      </c>
      <c r="G968" s="761" t="s">
        <v>2773</v>
      </c>
      <c r="H968" s="761" t="s">
        <v>7376</v>
      </c>
      <c r="I968" s="761" t="s">
        <v>6867</v>
      </c>
      <c r="J968" s="761">
        <v>1</v>
      </c>
      <c r="K968" s="746">
        <v>683951.09</v>
      </c>
      <c r="L968" s="746">
        <v>411974.13</v>
      </c>
      <c r="M968" s="746">
        <v>271976.96000000002</v>
      </c>
      <c r="N968" s="493" t="str">
        <f t="shared" si="16"/>
        <v>C391</v>
      </c>
      <c r="O968" s="493" t="s">
        <v>95</v>
      </c>
      <c r="P968" s="493"/>
    </row>
    <row r="969" spans="1:16">
      <c r="A969" s="761" t="s">
        <v>2339</v>
      </c>
      <c r="B969" s="761" t="s">
        <v>2340</v>
      </c>
      <c r="C969" s="761" t="s">
        <v>2476</v>
      </c>
      <c r="D969" s="761">
        <v>44534625</v>
      </c>
      <c r="E969" s="761" t="s">
        <v>2740</v>
      </c>
      <c r="F969" s="761">
        <v>143004829</v>
      </c>
      <c r="G969" s="761" t="s">
        <v>2775</v>
      </c>
      <c r="H969" s="761" t="s">
        <v>2775</v>
      </c>
      <c r="I969" s="761" t="s">
        <v>6867</v>
      </c>
      <c r="J969" s="761">
        <v>1</v>
      </c>
      <c r="K969" s="746">
        <v>13535.380000000001</v>
      </c>
      <c r="L969" s="746">
        <v>8152.96</v>
      </c>
      <c r="M969" s="746">
        <v>5382.42</v>
      </c>
      <c r="N969" s="493" t="str">
        <f t="shared" si="16"/>
        <v>C391</v>
      </c>
      <c r="O969" s="493" t="s">
        <v>95</v>
      </c>
      <c r="P969" s="493"/>
    </row>
    <row r="970" spans="1:16">
      <c r="A970" s="761" t="s">
        <v>2339</v>
      </c>
      <c r="B970" s="761" t="s">
        <v>2340</v>
      </c>
      <c r="C970" s="761" t="s">
        <v>2476</v>
      </c>
      <c r="D970" s="761">
        <v>44534630</v>
      </c>
      <c r="E970" s="761" t="s">
        <v>2740</v>
      </c>
      <c r="F970" s="761">
        <v>143004830</v>
      </c>
      <c r="G970" s="761" t="s">
        <v>2776</v>
      </c>
      <c r="H970" s="761" t="s">
        <v>2776</v>
      </c>
      <c r="I970" s="761" t="s">
        <v>6867</v>
      </c>
      <c r="J970" s="761">
        <v>1</v>
      </c>
      <c r="K970" s="746">
        <v>6167.4000000000005</v>
      </c>
      <c r="L970" s="746">
        <v>3714.9</v>
      </c>
      <c r="M970" s="746">
        <v>2452.5</v>
      </c>
      <c r="N970" s="493" t="str">
        <f t="shared" si="16"/>
        <v>C391</v>
      </c>
      <c r="O970" s="493" t="s">
        <v>95</v>
      </c>
      <c r="P970" s="493"/>
    </row>
    <row r="971" spans="1:16">
      <c r="A971" s="761" t="s">
        <v>2339</v>
      </c>
      <c r="B971" s="761" t="s">
        <v>2340</v>
      </c>
      <c r="C971" s="761" t="s">
        <v>2517</v>
      </c>
      <c r="D971" s="761">
        <v>44534637</v>
      </c>
      <c r="E971" s="761" t="s">
        <v>2740</v>
      </c>
      <c r="F971" s="761">
        <v>143004834</v>
      </c>
      <c r="G971" s="761" t="s">
        <v>2777</v>
      </c>
      <c r="H971" s="761" t="s">
        <v>2777</v>
      </c>
      <c r="I971" s="761" t="s">
        <v>6867</v>
      </c>
      <c r="J971" s="761">
        <v>1</v>
      </c>
      <c r="K971" s="746">
        <v>60162.12</v>
      </c>
      <c r="L971" s="746">
        <v>36238.32</v>
      </c>
      <c r="M971" s="746">
        <v>23923.8</v>
      </c>
      <c r="N971" s="493" t="str">
        <f t="shared" si="16"/>
        <v>C391</v>
      </c>
      <c r="O971" s="493" t="s">
        <v>95</v>
      </c>
      <c r="P971" s="493"/>
    </row>
    <row r="972" spans="1:16">
      <c r="A972" s="761" t="s">
        <v>2339</v>
      </c>
      <c r="B972" s="761" t="s">
        <v>2340</v>
      </c>
      <c r="C972" s="761" t="s">
        <v>2490</v>
      </c>
      <c r="D972" s="761">
        <v>44534642</v>
      </c>
      <c r="E972" s="761" t="s">
        <v>2740</v>
      </c>
      <c r="F972" s="761">
        <v>143004835</v>
      </c>
      <c r="G972" s="761" t="s">
        <v>2778</v>
      </c>
      <c r="H972" s="761" t="s">
        <v>2778</v>
      </c>
      <c r="I972" s="761" t="s">
        <v>6867</v>
      </c>
      <c r="J972" s="761">
        <v>1</v>
      </c>
      <c r="K972" s="746">
        <v>76812.84</v>
      </c>
      <c r="L972" s="746">
        <v>46267.79</v>
      </c>
      <c r="M972" s="746">
        <v>30545.05</v>
      </c>
      <c r="N972" s="493" t="str">
        <f t="shared" si="16"/>
        <v>C391</v>
      </c>
      <c r="O972" s="493" t="s">
        <v>95</v>
      </c>
      <c r="P972" s="493"/>
    </row>
    <row r="973" spans="1:16">
      <c r="A973" s="761" t="s">
        <v>2339</v>
      </c>
      <c r="B973" s="761" t="s">
        <v>2340</v>
      </c>
      <c r="C973" s="761" t="s">
        <v>2512</v>
      </c>
      <c r="D973" s="761">
        <v>44534647</v>
      </c>
      <c r="E973" s="761" t="s">
        <v>2740</v>
      </c>
      <c r="F973" s="761">
        <v>143004851</v>
      </c>
      <c r="G973" s="761" t="s">
        <v>2780</v>
      </c>
      <c r="H973" s="761" t="s">
        <v>2780</v>
      </c>
      <c r="I973" s="761" t="s">
        <v>6867</v>
      </c>
      <c r="J973" s="761">
        <v>1</v>
      </c>
      <c r="K973" s="746">
        <v>149025.61000000002</v>
      </c>
      <c r="L973" s="746">
        <v>89764.75</v>
      </c>
      <c r="M973" s="746">
        <v>59260.86</v>
      </c>
      <c r="N973" s="493" t="str">
        <f t="shared" si="16"/>
        <v>C391</v>
      </c>
      <c r="O973" s="493" t="s">
        <v>95</v>
      </c>
      <c r="P973" s="493"/>
    </row>
    <row r="974" spans="1:16">
      <c r="A974" s="761" t="s">
        <v>2339</v>
      </c>
      <c r="B974" s="761" t="s">
        <v>2340</v>
      </c>
      <c r="C974" s="761" t="s">
        <v>2517</v>
      </c>
      <c r="D974" s="761">
        <v>44534652</v>
      </c>
      <c r="E974" s="761" t="s">
        <v>2740</v>
      </c>
      <c r="F974" s="761">
        <v>143004852</v>
      </c>
      <c r="G974" s="761" t="s">
        <v>2781</v>
      </c>
      <c r="H974" s="761" t="s">
        <v>2781</v>
      </c>
      <c r="I974" s="761" t="s">
        <v>6867</v>
      </c>
      <c r="J974" s="761">
        <v>1</v>
      </c>
      <c r="K974" s="746">
        <v>72593</v>
      </c>
      <c r="L974" s="746">
        <v>43725.99</v>
      </c>
      <c r="M974" s="746">
        <v>28867.010000000002</v>
      </c>
      <c r="N974" s="493" t="str">
        <f t="shared" si="16"/>
        <v>C391</v>
      </c>
      <c r="O974" s="493" t="s">
        <v>95</v>
      </c>
      <c r="P974" s="493"/>
    </row>
    <row r="975" spans="1:16">
      <c r="A975" s="761" t="s">
        <v>2339</v>
      </c>
      <c r="B975" s="761" t="s">
        <v>2340</v>
      </c>
      <c r="C975" s="761" t="s">
        <v>2476</v>
      </c>
      <c r="D975" s="761">
        <v>44534657</v>
      </c>
      <c r="E975" s="761" t="s">
        <v>2740</v>
      </c>
      <c r="F975" s="761">
        <v>143004861</v>
      </c>
      <c r="G975" s="761" t="s">
        <v>2783</v>
      </c>
      <c r="H975" s="761" t="s">
        <v>2783</v>
      </c>
      <c r="I975" s="761" t="s">
        <v>6867</v>
      </c>
      <c r="J975" s="761">
        <v>1</v>
      </c>
      <c r="K975" s="746">
        <v>561374.4</v>
      </c>
      <c r="L975" s="746">
        <v>338140.74</v>
      </c>
      <c r="M975" s="746">
        <v>223233.66</v>
      </c>
      <c r="N975" s="493" t="str">
        <f t="shared" si="16"/>
        <v>C391</v>
      </c>
      <c r="O975" s="493" t="s">
        <v>99</v>
      </c>
      <c r="P975" s="493"/>
    </row>
    <row r="976" spans="1:16">
      <c r="A976" s="761" t="s">
        <v>2339</v>
      </c>
      <c r="B976" s="761" t="s">
        <v>2340</v>
      </c>
      <c r="C976" s="761" t="s">
        <v>2490</v>
      </c>
      <c r="D976" s="761">
        <v>44534668</v>
      </c>
      <c r="E976" s="761" t="s">
        <v>2740</v>
      </c>
      <c r="F976" s="761">
        <v>143004881</v>
      </c>
      <c r="G976" s="761" t="s">
        <v>2786</v>
      </c>
      <c r="H976" s="761" t="s">
        <v>2786</v>
      </c>
      <c r="I976" s="761" t="s">
        <v>6867</v>
      </c>
      <c r="J976" s="761">
        <v>1</v>
      </c>
      <c r="K976" s="746">
        <v>72629.31</v>
      </c>
      <c r="L976" s="746">
        <v>43747.86</v>
      </c>
      <c r="M976" s="746">
        <v>28881.45</v>
      </c>
      <c r="N976" s="493" t="str">
        <f t="shared" si="16"/>
        <v>C391</v>
      </c>
      <c r="O976" s="493" t="s">
        <v>95</v>
      </c>
      <c r="P976" s="493"/>
    </row>
    <row r="977" spans="1:16">
      <c r="A977" s="761" t="s">
        <v>2339</v>
      </c>
      <c r="B977" s="761" t="s">
        <v>2340</v>
      </c>
      <c r="C977" s="761" t="s">
        <v>2473</v>
      </c>
      <c r="D977" s="761">
        <v>44534676</v>
      </c>
      <c r="E977" s="761" t="s">
        <v>2740</v>
      </c>
      <c r="F977" s="761">
        <v>143004926</v>
      </c>
      <c r="G977" s="761" t="s">
        <v>2790</v>
      </c>
      <c r="H977" s="761" t="s">
        <v>7377</v>
      </c>
      <c r="I977" s="761" t="s">
        <v>6867</v>
      </c>
      <c r="J977" s="761">
        <v>1</v>
      </c>
      <c r="K977" s="746">
        <v>71497.59</v>
      </c>
      <c r="L977" s="746">
        <v>43066.18</v>
      </c>
      <c r="M977" s="746">
        <v>28431.41</v>
      </c>
      <c r="N977" s="493" t="str">
        <f t="shared" ref="N977:N1040" si="17">LEFT(E977,4)</f>
        <v>C391</v>
      </c>
      <c r="O977" s="493" t="s">
        <v>95</v>
      </c>
      <c r="P977" s="493"/>
    </row>
    <row r="978" spans="1:16">
      <c r="A978" s="761" t="s">
        <v>2339</v>
      </c>
      <c r="B978" s="761" t="s">
        <v>2340</v>
      </c>
      <c r="C978" s="761" t="s">
        <v>2524</v>
      </c>
      <c r="D978" s="761">
        <v>44534681</v>
      </c>
      <c r="E978" s="761" t="s">
        <v>2740</v>
      </c>
      <c r="F978" s="761">
        <v>143004940</v>
      </c>
      <c r="G978" s="761" t="s">
        <v>2795</v>
      </c>
      <c r="H978" s="761" t="s">
        <v>7378</v>
      </c>
      <c r="I978" s="761" t="s">
        <v>6867</v>
      </c>
      <c r="J978" s="761">
        <v>1</v>
      </c>
      <c r="K978" s="746">
        <v>47036.340000000004</v>
      </c>
      <c r="L978" s="746">
        <v>28332.080000000002</v>
      </c>
      <c r="M978" s="746">
        <v>18704.260000000002</v>
      </c>
      <c r="N978" s="493" t="str">
        <f t="shared" si="17"/>
        <v>C391</v>
      </c>
      <c r="O978" s="493" t="s">
        <v>95</v>
      </c>
      <c r="P978" s="493"/>
    </row>
    <row r="979" spans="1:16">
      <c r="A979" s="761" t="s">
        <v>2339</v>
      </c>
      <c r="B979" s="761" t="s">
        <v>2340</v>
      </c>
      <c r="C979" s="761" t="s">
        <v>2476</v>
      </c>
      <c r="D979" s="761">
        <v>44534692</v>
      </c>
      <c r="E979" s="761" t="s">
        <v>2740</v>
      </c>
      <c r="F979" s="761">
        <v>143005025</v>
      </c>
      <c r="G979" s="761" t="s">
        <v>2805</v>
      </c>
      <c r="H979" s="761" t="s">
        <v>2805</v>
      </c>
      <c r="I979" s="761" t="s">
        <v>6867</v>
      </c>
      <c r="J979" s="761">
        <v>1</v>
      </c>
      <c r="K979" s="746">
        <v>24394.54</v>
      </c>
      <c r="L979" s="746">
        <v>14693.92</v>
      </c>
      <c r="M979" s="746">
        <v>9700.6200000000008</v>
      </c>
      <c r="N979" s="493" t="str">
        <f t="shared" si="17"/>
        <v>C391</v>
      </c>
      <c r="O979" s="493" t="s">
        <v>95</v>
      </c>
      <c r="P979" s="493"/>
    </row>
    <row r="980" spans="1:16">
      <c r="A980" s="761" t="s">
        <v>2339</v>
      </c>
      <c r="B980" s="761" t="s">
        <v>2340</v>
      </c>
      <c r="C980" s="761" t="s">
        <v>2476</v>
      </c>
      <c r="D980" s="761">
        <v>44534711</v>
      </c>
      <c r="E980" s="761" t="s">
        <v>2740</v>
      </c>
      <c r="F980" s="761">
        <v>143005170</v>
      </c>
      <c r="G980" s="761" t="s">
        <v>2807</v>
      </c>
      <c r="H980" s="761" t="s">
        <v>2807</v>
      </c>
      <c r="I980" s="761" t="s">
        <v>6867</v>
      </c>
      <c r="J980" s="761">
        <v>1</v>
      </c>
      <c r="K980" s="746">
        <v>11350.03</v>
      </c>
      <c r="L980" s="746">
        <v>6836.63</v>
      </c>
      <c r="M980" s="746">
        <v>4513.4000000000005</v>
      </c>
      <c r="N980" s="493" t="str">
        <f t="shared" si="17"/>
        <v>C391</v>
      </c>
      <c r="O980" s="493" t="s">
        <v>95</v>
      </c>
      <c r="P980" s="493"/>
    </row>
    <row r="981" spans="1:16">
      <c r="A981" s="761" t="s">
        <v>2339</v>
      </c>
      <c r="B981" s="761" t="s">
        <v>2340</v>
      </c>
      <c r="C981" s="761" t="s">
        <v>2476</v>
      </c>
      <c r="D981" s="761">
        <v>45059393</v>
      </c>
      <c r="E981" s="761" t="s">
        <v>2740</v>
      </c>
      <c r="F981" s="761">
        <v>143004538</v>
      </c>
      <c r="G981" s="761" t="s">
        <v>2757</v>
      </c>
      <c r="H981" s="761" t="s">
        <v>2757</v>
      </c>
      <c r="I981" s="761" t="s">
        <v>6867</v>
      </c>
      <c r="J981" s="761">
        <v>1</v>
      </c>
      <c r="K981" s="746">
        <v>226128.24</v>
      </c>
      <c r="L981" s="746">
        <v>79332.52</v>
      </c>
      <c r="M981" s="746">
        <v>146795.72</v>
      </c>
      <c r="N981" s="493" t="str">
        <f t="shared" si="17"/>
        <v>C391</v>
      </c>
      <c r="O981" s="493" t="s">
        <v>95</v>
      </c>
      <c r="P981" s="493" t="s">
        <v>2736</v>
      </c>
    </row>
    <row r="982" spans="1:16">
      <c r="A982" s="761" t="s">
        <v>2339</v>
      </c>
      <c r="B982" s="761" t="s">
        <v>2340</v>
      </c>
      <c r="C982" s="761" t="s">
        <v>2517</v>
      </c>
      <c r="D982" s="761">
        <v>45059424</v>
      </c>
      <c r="E982" s="761" t="s">
        <v>2740</v>
      </c>
      <c r="F982" s="761">
        <v>143004805</v>
      </c>
      <c r="G982" s="761" t="s">
        <v>2768</v>
      </c>
      <c r="H982" s="761" t="s">
        <v>7379</v>
      </c>
      <c r="I982" s="761" t="s">
        <v>6867</v>
      </c>
      <c r="J982" s="761">
        <v>1</v>
      </c>
      <c r="K982" s="746">
        <v>909244.68</v>
      </c>
      <c r="L982" s="746">
        <v>318990.10000000003</v>
      </c>
      <c r="M982" s="746">
        <v>590254.57999999996</v>
      </c>
      <c r="N982" s="493" t="str">
        <f t="shared" si="17"/>
        <v>C391</v>
      </c>
      <c r="O982" s="493" t="s">
        <v>95</v>
      </c>
      <c r="P982" s="493" t="s">
        <v>2736</v>
      </c>
    </row>
    <row r="983" spans="1:16">
      <c r="A983" s="761" t="s">
        <v>2339</v>
      </c>
      <c r="B983" s="761" t="s">
        <v>2340</v>
      </c>
      <c r="C983" s="761" t="s">
        <v>2517</v>
      </c>
      <c r="D983" s="761">
        <v>45059429</v>
      </c>
      <c r="E983" s="761" t="s">
        <v>2740</v>
      </c>
      <c r="F983" s="761">
        <v>143004812</v>
      </c>
      <c r="G983" s="761" t="s">
        <v>2772</v>
      </c>
      <c r="H983" s="761" t="s">
        <v>7380</v>
      </c>
      <c r="I983" s="761" t="s">
        <v>6867</v>
      </c>
      <c r="J983" s="761">
        <v>1</v>
      </c>
      <c r="K983" s="746">
        <v>60955.31</v>
      </c>
      <c r="L983" s="746">
        <v>21384.94</v>
      </c>
      <c r="M983" s="746">
        <v>39570.370000000003</v>
      </c>
      <c r="N983" s="493" t="str">
        <f t="shared" si="17"/>
        <v>C391</v>
      </c>
      <c r="O983" s="493" t="s">
        <v>95</v>
      </c>
      <c r="P983" s="493" t="s">
        <v>2736</v>
      </c>
    </row>
    <row r="984" spans="1:16">
      <c r="A984" s="761" t="s">
        <v>2339</v>
      </c>
      <c r="B984" s="761" t="s">
        <v>2340</v>
      </c>
      <c r="C984" s="761" t="s">
        <v>2487</v>
      </c>
      <c r="D984" s="761">
        <v>45059453</v>
      </c>
      <c r="E984" s="761" t="s">
        <v>2740</v>
      </c>
      <c r="F984" s="761">
        <v>143004974</v>
      </c>
      <c r="G984" s="761" t="s">
        <v>2803</v>
      </c>
      <c r="H984" s="761" t="s">
        <v>7381</v>
      </c>
      <c r="I984" s="761" t="s">
        <v>6867</v>
      </c>
      <c r="J984" s="761">
        <v>1</v>
      </c>
      <c r="K984" s="746">
        <v>74041.440000000002</v>
      </c>
      <c r="L984" s="746">
        <v>25975.940000000002</v>
      </c>
      <c r="M984" s="746">
        <v>48065.5</v>
      </c>
      <c r="N984" s="493" t="str">
        <f t="shared" si="17"/>
        <v>C391</v>
      </c>
      <c r="O984" s="493" t="s">
        <v>95</v>
      </c>
      <c r="P984" s="493" t="s">
        <v>2736</v>
      </c>
    </row>
    <row r="985" spans="1:16">
      <c r="A985" s="761" t="s">
        <v>2339</v>
      </c>
      <c r="B985" s="761" t="s">
        <v>2340</v>
      </c>
      <c r="C985" s="761" t="s">
        <v>2517</v>
      </c>
      <c r="D985" s="761">
        <v>45059493</v>
      </c>
      <c r="E985" s="761" t="s">
        <v>2740</v>
      </c>
      <c r="F985" s="761">
        <v>143005181</v>
      </c>
      <c r="G985" s="761" t="s">
        <v>2808</v>
      </c>
      <c r="H985" s="761" t="s">
        <v>2808</v>
      </c>
      <c r="I985" s="761" t="s">
        <v>6867</v>
      </c>
      <c r="J985" s="761">
        <v>1</v>
      </c>
      <c r="K985" s="746">
        <v>177028.65</v>
      </c>
      <c r="L985" s="746">
        <v>62106.92</v>
      </c>
      <c r="M985" s="746">
        <v>114921.73</v>
      </c>
      <c r="N985" s="493" t="str">
        <f t="shared" si="17"/>
        <v>C391</v>
      </c>
      <c r="O985" s="493" t="s">
        <v>95</v>
      </c>
      <c r="P985" s="493" t="s">
        <v>2736</v>
      </c>
    </row>
    <row r="986" spans="1:16">
      <c r="A986" s="761" t="s">
        <v>2339</v>
      </c>
      <c r="B986" s="761" t="s">
        <v>2340</v>
      </c>
      <c r="C986" s="761" t="s">
        <v>2476</v>
      </c>
      <c r="D986" s="761">
        <v>45059509</v>
      </c>
      <c r="E986" s="761" t="s">
        <v>2740</v>
      </c>
      <c r="F986" s="761">
        <v>143005224</v>
      </c>
      <c r="G986" s="761" t="s">
        <v>2810</v>
      </c>
      <c r="H986" s="761" t="s">
        <v>2810</v>
      </c>
      <c r="I986" s="761" t="s">
        <v>6867</v>
      </c>
      <c r="J986" s="761">
        <v>1</v>
      </c>
      <c r="K986" s="746">
        <v>150411.20000000001</v>
      </c>
      <c r="L986" s="746">
        <v>52768.73</v>
      </c>
      <c r="M986" s="746">
        <v>97642.47</v>
      </c>
      <c r="N986" s="493" t="str">
        <f t="shared" si="17"/>
        <v>C391</v>
      </c>
      <c r="O986" s="493" t="s">
        <v>95</v>
      </c>
      <c r="P986" s="493" t="s">
        <v>2736</v>
      </c>
    </row>
    <row r="987" spans="1:16">
      <c r="A987" s="761" t="s">
        <v>2339</v>
      </c>
      <c r="B987" s="761" t="s">
        <v>2340</v>
      </c>
      <c r="C987" s="761" t="s">
        <v>2476</v>
      </c>
      <c r="D987" s="761">
        <v>45059514</v>
      </c>
      <c r="E987" s="761" t="s">
        <v>2740</v>
      </c>
      <c r="F987" s="761">
        <v>143005303</v>
      </c>
      <c r="G987" s="761" t="s">
        <v>2835</v>
      </c>
      <c r="H987" s="761" t="s">
        <v>7382</v>
      </c>
      <c r="I987" s="761" t="s">
        <v>6867</v>
      </c>
      <c r="J987" s="761">
        <v>1</v>
      </c>
      <c r="K987" s="746">
        <v>340066.84</v>
      </c>
      <c r="L987" s="746">
        <v>119305.57</v>
      </c>
      <c r="M987" s="746">
        <v>220761.27000000002</v>
      </c>
      <c r="N987" s="493" t="str">
        <f t="shared" si="17"/>
        <v>C391</v>
      </c>
      <c r="O987" s="493" t="s">
        <v>95</v>
      </c>
      <c r="P987" s="493" t="s">
        <v>2736</v>
      </c>
    </row>
    <row r="988" spans="1:16" s="763" customFormat="1">
      <c r="A988" s="761" t="s">
        <v>2339</v>
      </c>
      <c r="B988" s="761" t="s">
        <v>2340</v>
      </c>
      <c r="C988" s="761" t="s">
        <v>2476</v>
      </c>
      <c r="D988" s="761">
        <v>45479470</v>
      </c>
      <c r="E988" s="761" t="s">
        <v>2740</v>
      </c>
      <c r="F988" s="761">
        <v>143005168</v>
      </c>
      <c r="G988" s="761" t="s">
        <v>2806</v>
      </c>
      <c r="H988" s="761" t="s">
        <v>2806</v>
      </c>
      <c r="I988" s="761" t="s">
        <v>6867</v>
      </c>
      <c r="J988" s="761">
        <v>1</v>
      </c>
      <c r="K988" s="746">
        <v>190991.27</v>
      </c>
      <c r="L988" s="746">
        <v>67005.42</v>
      </c>
      <c r="M988" s="746">
        <v>123985.85</v>
      </c>
      <c r="N988" s="493" t="str">
        <f t="shared" si="17"/>
        <v>C391</v>
      </c>
      <c r="O988" s="493" t="s">
        <v>95</v>
      </c>
      <c r="P988" s="493" t="s">
        <v>2736</v>
      </c>
    </row>
    <row r="989" spans="1:16">
      <c r="A989" s="761" t="s">
        <v>2339</v>
      </c>
      <c r="B989" s="761" t="s">
        <v>2340</v>
      </c>
      <c r="C989" s="761" t="s">
        <v>2476</v>
      </c>
      <c r="D989" s="761">
        <v>45895531</v>
      </c>
      <c r="E989" s="761" t="s">
        <v>2740</v>
      </c>
      <c r="F989" s="761">
        <v>143004930</v>
      </c>
      <c r="G989" s="761" t="s">
        <v>2794</v>
      </c>
      <c r="H989" s="761" t="s">
        <v>7383</v>
      </c>
      <c r="I989" s="761" t="s">
        <v>6867</v>
      </c>
      <c r="J989" s="761">
        <v>1</v>
      </c>
      <c r="K989" s="746">
        <v>60837.01</v>
      </c>
      <c r="L989" s="746">
        <v>21343.43</v>
      </c>
      <c r="M989" s="746">
        <v>39493.58</v>
      </c>
      <c r="N989" s="493" t="str">
        <f t="shared" si="17"/>
        <v>C391</v>
      </c>
      <c r="O989" s="493" t="s">
        <v>95</v>
      </c>
      <c r="P989" s="493" t="s">
        <v>2736</v>
      </c>
    </row>
    <row r="990" spans="1:16">
      <c r="A990" s="761" t="s">
        <v>2339</v>
      </c>
      <c r="B990" s="761" t="s">
        <v>2340</v>
      </c>
      <c r="C990" s="761" t="s">
        <v>2473</v>
      </c>
      <c r="D990" s="761">
        <v>45895536</v>
      </c>
      <c r="E990" s="761" t="s">
        <v>2740</v>
      </c>
      <c r="F990" s="761">
        <v>143004948</v>
      </c>
      <c r="G990" s="761" t="s">
        <v>2802</v>
      </c>
      <c r="H990" s="761" t="s">
        <v>7384</v>
      </c>
      <c r="I990" s="761" t="s">
        <v>6867</v>
      </c>
      <c r="J990" s="761">
        <v>1</v>
      </c>
      <c r="K990" s="746">
        <v>58361.4</v>
      </c>
      <c r="L990" s="746">
        <v>20474.920000000002</v>
      </c>
      <c r="M990" s="746">
        <v>37886.480000000003</v>
      </c>
      <c r="N990" s="493" t="str">
        <f t="shared" si="17"/>
        <v>C391</v>
      </c>
      <c r="O990" s="493" t="s">
        <v>95</v>
      </c>
      <c r="P990" s="493" t="s">
        <v>2736</v>
      </c>
    </row>
    <row r="991" spans="1:16">
      <c r="A991" s="761" t="s">
        <v>2339</v>
      </c>
      <c r="B991" s="761" t="s">
        <v>2340</v>
      </c>
      <c r="C991" s="761" t="s">
        <v>2476</v>
      </c>
      <c r="D991" s="761">
        <v>46274079</v>
      </c>
      <c r="E991" s="761" t="s">
        <v>2740</v>
      </c>
      <c r="F991" s="761">
        <v>143005279</v>
      </c>
      <c r="G991" s="761" t="s">
        <v>2830</v>
      </c>
      <c r="H991" s="761" t="s">
        <v>7385</v>
      </c>
      <c r="I991" s="761" t="s">
        <v>6867</v>
      </c>
      <c r="J991" s="761">
        <v>1</v>
      </c>
      <c r="K991" s="746">
        <v>14992.57</v>
      </c>
      <c r="L991" s="746">
        <v>5259.84</v>
      </c>
      <c r="M991" s="746">
        <v>9732.73</v>
      </c>
      <c r="N991" s="493" t="str">
        <f t="shared" si="17"/>
        <v>C391</v>
      </c>
      <c r="O991" s="493" t="s">
        <v>95</v>
      </c>
      <c r="P991" s="493" t="s">
        <v>2736</v>
      </c>
    </row>
    <row r="992" spans="1:16">
      <c r="A992" s="761" t="s">
        <v>2339</v>
      </c>
      <c r="B992" s="761" t="s">
        <v>2340</v>
      </c>
      <c r="C992" s="761" t="s">
        <v>2473</v>
      </c>
      <c r="D992" s="761">
        <v>46648207</v>
      </c>
      <c r="E992" s="761" t="s">
        <v>2740</v>
      </c>
      <c r="F992" s="761">
        <v>143002280</v>
      </c>
      <c r="G992" s="761" t="s">
        <v>2741</v>
      </c>
      <c r="H992" s="761" t="s">
        <v>7386</v>
      </c>
      <c r="I992" s="761" t="s">
        <v>6867</v>
      </c>
      <c r="J992" s="761">
        <v>1</v>
      </c>
      <c r="K992" s="746">
        <v>35219.24</v>
      </c>
      <c r="L992" s="746">
        <v>12355.960000000001</v>
      </c>
      <c r="M992" s="746">
        <v>22863.279999999999</v>
      </c>
      <c r="N992" s="493" t="str">
        <f t="shared" si="17"/>
        <v>C391</v>
      </c>
      <c r="O992" s="493" t="s">
        <v>95</v>
      </c>
      <c r="P992" s="493" t="s">
        <v>2736</v>
      </c>
    </row>
    <row r="993" spans="1:16">
      <c r="A993" s="761" t="s">
        <v>2339</v>
      </c>
      <c r="B993" s="761" t="s">
        <v>2340</v>
      </c>
      <c r="C993" s="761" t="s">
        <v>2512</v>
      </c>
      <c r="D993" s="761">
        <v>46648212</v>
      </c>
      <c r="E993" s="761" t="s">
        <v>2740</v>
      </c>
      <c r="F993" s="761">
        <v>143004942</v>
      </c>
      <c r="G993" s="761" t="s">
        <v>2796</v>
      </c>
      <c r="H993" s="761" t="s">
        <v>7387</v>
      </c>
      <c r="I993" s="761" t="s">
        <v>6867</v>
      </c>
      <c r="J993" s="761">
        <v>1</v>
      </c>
      <c r="K993" s="746">
        <v>44923.3</v>
      </c>
      <c r="L993" s="746">
        <v>15760.43</v>
      </c>
      <c r="M993" s="746">
        <v>29162.87</v>
      </c>
      <c r="N993" s="493" t="str">
        <f t="shared" si="17"/>
        <v>C391</v>
      </c>
      <c r="O993" s="493" t="s">
        <v>95</v>
      </c>
      <c r="P993" s="493" t="s">
        <v>2736</v>
      </c>
    </row>
    <row r="994" spans="1:16">
      <c r="A994" s="761" t="s">
        <v>2339</v>
      </c>
      <c r="B994" s="761" t="s">
        <v>2340</v>
      </c>
      <c r="C994" s="761" t="s">
        <v>2527</v>
      </c>
      <c r="D994" s="761">
        <v>46648217</v>
      </c>
      <c r="E994" s="761" t="s">
        <v>2740</v>
      </c>
      <c r="F994" s="761">
        <v>143004943</v>
      </c>
      <c r="G994" s="761" t="s">
        <v>2797</v>
      </c>
      <c r="H994" s="761" t="s">
        <v>7388</v>
      </c>
      <c r="I994" s="761" t="s">
        <v>6867</v>
      </c>
      <c r="J994" s="761">
        <v>1</v>
      </c>
      <c r="K994" s="746">
        <v>100106.53</v>
      </c>
      <c r="L994" s="746">
        <v>35120.35</v>
      </c>
      <c r="M994" s="746">
        <v>64986.18</v>
      </c>
      <c r="N994" s="493" t="str">
        <f t="shared" si="17"/>
        <v>C391</v>
      </c>
      <c r="O994" s="493" t="s">
        <v>95</v>
      </c>
      <c r="P994" s="493" t="s">
        <v>2736</v>
      </c>
    </row>
    <row r="995" spans="1:16">
      <c r="A995" s="761" t="s">
        <v>2339</v>
      </c>
      <c r="B995" s="761" t="s">
        <v>2340</v>
      </c>
      <c r="C995" s="761" t="s">
        <v>2476</v>
      </c>
      <c r="D995" s="761">
        <v>46648222</v>
      </c>
      <c r="E995" s="761" t="s">
        <v>2740</v>
      </c>
      <c r="F995" s="761">
        <v>143004945</v>
      </c>
      <c r="G995" s="761" t="s">
        <v>2799</v>
      </c>
      <c r="H995" s="761" t="s">
        <v>7389</v>
      </c>
      <c r="I995" s="761" t="s">
        <v>6867</v>
      </c>
      <c r="J995" s="761">
        <v>1</v>
      </c>
      <c r="K995" s="746">
        <v>57504.4</v>
      </c>
      <c r="L995" s="746">
        <v>20174.260000000002</v>
      </c>
      <c r="M995" s="746">
        <v>37330.14</v>
      </c>
      <c r="N995" s="493" t="str">
        <f t="shared" si="17"/>
        <v>C391</v>
      </c>
      <c r="O995" s="493" t="s">
        <v>95</v>
      </c>
      <c r="P995" s="493" t="s">
        <v>2736</v>
      </c>
    </row>
    <row r="996" spans="1:16">
      <c r="A996" s="761" t="s">
        <v>2339</v>
      </c>
      <c r="B996" s="761" t="s">
        <v>2340</v>
      </c>
      <c r="C996" s="761" t="s">
        <v>2476</v>
      </c>
      <c r="D996" s="761">
        <v>46648227</v>
      </c>
      <c r="E996" s="761" t="s">
        <v>2740</v>
      </c>
      <c r="F996" s="761">
        <v>143005276</v>
      </c>
      <c r="G996" s="761" t="s">
        <v>2827</v>
      </c>
      <c r="H996" s="761" t="s">
        <v>2827</v>
      </c>
      <c r="I996" s="761" t="s">
        <v>6867</v>
      </c>
      <c r="J996" s="761">
        <v>1</v>
      </c>
      <c r="K996" s="746">
        <v>38617.040000000001</v>
      </c>
      <c r="L996" s="746">
        <v>13548.01</v>
      </c>
      <c r="M996" s="746">
        <v>25069.03</v>
      </c>
      <c r="N996" s="493" t="str">
        <f t="shared" si="17"/>
        <v>C391</v>
      </c>
      <c r="O996" s="493" t="s">
        <v>95</v>
      </c>
      <c r="P996" s="493" t="s">
        <v>2736</v>
      </c>
    </row>
    <row r="997" spans="1:16">
      <c r="A997" s="761" t="s">
        <v>2339</v>
      </c>
      <c r="B997" s="761" t="s">
        <v>2340</v>
      </c>
      <c r="C997" s="761" t="s">
        <v>2476</v>
      </c>
      <c r="D997" s="761">
        <v>47865947</v>
      </c>
      <c r="E997" s="761" t="s">
        <v>2740</v>
      </c>
      <c r="F997" s="761">
        <v>143005232</v>
      </c>
      <c r="G997" s="761" t="s">
        <v>2811</v>
      </c>
      <c r="H997" s="761" t="s">
        <v>2811</v>
      </c>
      <c r="I997" s="761" t="s">
        <v>6867</v>
      </c>
      <c r="J997" s="761">
        <v>1</v>
      </c>
      <c r="K997" s="746">
        <v>211737.43</v>
      </c>
      <c r="L997" s="746">
        <v>74283.790000000008</v>
      </c>
      <c r="M997" s="746">
        <v>137453.64000000001</v>
      </c>
      <c r="N997" s="493" t="str">
        <f t="shared" si="17"/>
        <v>C391</v>
      </c>
      <c r="O997" s="493" t="s">
        <v>95</v>
      </c>
      <c r="P997" s="493" t="s">
        <v>2736</v>
      </c>
    </row>
    <row r="998" spans="1:16">
      <c r="A998" s="761" t="s">
        <v>2339</v>
      </c>
      <c r="B998" s="761" t="s">
        <v>2340</v>
      </c>
      <c r="C998" s="761" t="s">
        <v>2476</v>
      </c>
      <c r="D998" s="761">
        <v>48333504</v>
      </c>
      <c r="E998" s="761" t="s">
        <v>2740</v>
      </c>
      <c r="F998" s="761">
        <v>143004900</v>
      </c>
      <c r="G998" s="761" t="s">
        <v>2788</v>
      </c>
      <c r="H998" s="761" t="s">
        <v>2788</v>
      </c>
      <c r="I998" s="761" t="s">
        <v>6867</v>
      </c>
      <c r="J998" s="761">
        <v>1</v>
      </c>
      <c r="K998" s="746">
        <v>60985.440000000002</v>
      </c>
      <c r="L998" s="746">
        <v>21395.510000000002</v>
      </c>
      <c r="M998" s="746">
        <v>39589.93</v>
      </c>
      <c r="N998" s="493" t="str">
        <f t="shared" si="17"/>
        <v>C391</v>
      </c>
      <c r="O998" s="493" t="s">
        <v>95</v>
      </c>
      <c r="P998" s="493" t="s">
        <v>2736</v>
      </c>
    </row>
    <row r="999" spans="1:16">
      <c r="A999" s="761" t="s">
        <v>2339</v>
      </c>
      <c r="B999" s="761" t="s">
        <v>2340</v>
      </c>
      <c r="C999" s="761" t="s">
        <v>2473</v>
      </c>
      <c r="D999" s="761">
        <v>48333509</v>
      </c>
      <c r="E999" s="761" t="s">
        <v>2740</v>
      </c>
      <c r="F999" s="761">
        <v>143004925</v>
      </c>
      <c r="G999" s="761" t="s">
        <v>2789</v>
      </c>
      <c r="H999" s="761" t="s">
        <v>2789</v>
      </c>
      <c r="I999" s="761" t="s">
        <v>6867</v>
      </c>
      <c r="J999" s="761">
        <v>1</v>
      </c>
      <c r="K999" s="746">
        <v>48652.520000000004</v>
      </c>
      <c r="L999" s="746">
        <v>17068.75</v>
      </c>
      <c r="M999" s="746">
        <v>31583.77</v>
      </c>
      <c r="N999" s="493" t="str">
        <f t="shared" si="17"/>
        <v>C391</v>
      </c>
      <c r="O999" s="493" t="s">
        <v>95</v>
      </c>
      <c r="P999" s="493" t="s">
        <v>2736</v>
      </c>
    </row>
    <row r="1000" spans="1:16">
      <c r="A1000" s="761" t="s">
        <v>2339</v>
      </c>
      <c r="B1000" s="761" t="s">
        <v>2340</v>
      </c>
      <c r="C1000" s="761" t="s">
        <v>2490</v>
      </c>
      <c r="D1000" s="761">
        <v>48333514</v>
      </c>
      <c r="E1000" s="761" t="s">
        <v>2740</v>
      </c>
      <c r="F1000" s="761">
        <v>143004928</v>
      </c>
      <c r="G1000" s="761" t="s">
        <v>2792</v>
      </c>
      <c r="H1000" s="761" t="s">
        <v>7390</v>
      </c>
      <c r="I1000" s="761" t="s">
        <v>6867</v>
      </c>
      <c r="J1000" s="761">
        <v>1</v>
      </c>
      <c r="K1000" s="746">
        <v>37185.629999999997</v>
      </c>
      <c r="L1000" s="746">
        <v>13045.83</v>
      </c>
      <c r="M1000" s="746">
        <v>24139.8</v>
      </c>
      <c r="N1000" s="493" t="str">
        <f t="shared" si="17"/>
        <v>C391</v>
      </c>
      <c r="O1000" s="493" t="s">
        <v>95</v>
      </c>
      <c r="P1000" s="493" t="s">
        <v>2736</v>
      </c>
    </row>
    <row r="1001" spans="1:16">
      <c r="A1001" s="761" t="s">
        <v>2339</v>
      </c>
      <c r="B1001" s="761" t="s">
        <v>2340</v>
      </c>
      <c r="C1001" s="761" t="s">
        <v>2473</v>
      </c>
      <c r="D1001" s="761">
        <v>48333519</v>
      </c>
      <c r="E1001" s="761" t="s">
        <v>2740</v>
      </c>
      <c r="F1001" s="761">
        <v>143004929</v>
      </c>
      <c r="G1001" s="761" t="s">
        <v>2793</v>
      </c>
      <c r="H1001" s="761" t="s">
        <v>7391</v>
      </c>
      <c r="I1001" s="761" t="s">
        <v>6867</v>
      </c>
      <c r="J1001" s="761">
        <v>1</v>
      </c>
      <c r="K1001" s="746">
        <v>63784.05</v>
      </c>
      <c r="L1001" s="746">
        <v>22377.34</v>
      </c>
      <c r="M1001" s="746">
        <v>41406.71</v>
      </c>
      <c r="N1001" s="493" t="str">
        <f t="shared" si="17"/>
        <v>C391</v>
      </c>
      <c r="O1001" s="493" t="s">
        <v>95</v>
      </c>
      <c r="P1001" s="493" t="s">
        <v>2736</v>
      </c>
    </row>
    <row r="1002" spans="1:16">
      <c r="A1002" s="761" t="s">
        <v>2339</v>
      </c>
      <c r="B1002" s="761" t="s">
        <v>2340</v>
      </c>
      <c r="C1002" s="761" t="s">
        <v>2476</v>
      </c>
      <c r="D1002" s="761">
        <v>48333524</v>
      </c>
      <c r="E1002" s="761" t="s">
        <v>2740</v>
      </c>
      <c r="F1002" s="761">
        <v>143004944</v>
      </c>
      <c r="G1002" s="761" t="s">
        <v>2798</v>
      </c>
      <c r="H1002" s="761" t="s">
        <v>7392</v>
      </c>
      <c r="I1002" s="761" t="s">
        <v>6867</v>
      </c>
      <c r="J1002" s="761">
        <v>1</v>
      </c>
      <c r="K1002" s="746">
        <v>78749.56</v>
      </c>
      <c r="L1002" s="746">
        <v>27627.690000000002</v>
      </c>
      <c r="M1002" s="746">
        <v>51121.87</v>
      </c>
      <c r="N1002" s="493" t="str">
        <f t="shared" si="17"/>
        <v>C391</v>
      </c>
      <c r="O1002" s="493" t="s">
        <v>95</v>
      </c>
      <c r="P1002" s="493" t="s">
        <v>2736</v>
      </c>
    </row>
    <row r="1003" spans="1:16">
      <c r="A1003" s="761" t="s">
        <v>2339</v>
      </c>
      <c r="B1003" s="761" t="s">
        <v>2340</v>
      </c>
      <c r="C1003" s="761" t="s">
        <v>2476</v>
      </c>
      <c r="D1003" s="761">
        <v>48333529</v>
      </c>
      <c r="E1003" s="761" t="s">
        <v>2740</v>
      </c>
      <c r="F1003" s="761">
        <v>143004946</v>
      </c>
      <c r="G1003" s="761" t="s">
        <v>2800</v>
      </c>
      <c r="H1003" s="761" t="s">
        <v>7393</v>
      </c>
      <c r="I1003" s="761" t="s">
        <v>6867</v>
      </c>
      <c r="J1003" s="761">
        <v>1</v>
      </c>
      <c r="K1003" s="746">
        <v>51670.04</v>
      </c>
      <c r="L1003" s="746">
        <v>18127.39</v>
      </c>
      <c r="M1003" s="746">
        <v>33542.65</v>
      </c>
      <c r="N1003" s="493" t="str">
        <f t="shared" si="17"/>
        <v>C391</v>
      </c>
      <c r="O1003" s="493" t="s">
        <v>95</v>
      </c>
      <c r="P1003" s="493" t="s">
        <v>2736</v>
      </c>
    </row>
    <row r="1004" spans="1:16">
      <c r="A1004" s="761" t="s">
        <v>2339</v>
      </c>
      <c r="B1004" s="761" t="s">
        <v>2340</v>
      </c>
      <c r="C1004" s="761" t="s">
        <v>2517</v>
      </c>
      <c r="D1004" s="761">
        <v>48333534</v>
      </c>
      <c r="E1004" s="761" t="s">
        <v>2740</v>
      </c>
      <c r="F1004" s="761">
        <v>143004947</v>
      </c>
      <c r="G1004" s="761" t="s">
        <v>2801</v>
      </c>
      <c r="H1004" s="761" t="s">
        <v>7394</v>
      </c>
      <c r="I1004" s="761" t="s">
        <v>6867</v>
      </c>
      <c r="J1004" s="761">
        <v>1</v>
      </c>
      <c r="K1004" s="746">
        <v>53520.480000000003</v>
      </c>
      <c r="L1004" s="746">
        <v>18776.580000000002</v>
      </c>
      <c r="M1004" s="746">
        <v>34743.9</v>
      </c>
      <c r="N1004" s="493" t="str">
        <f t="shared" si="17"/>
        <v>C391</v>
      </c>
      <c r="O1004" s="493" t="s">
        <v>95</v>
      </c>
      <c r="P1004" s="493" t="s">
        <v>2736</v>
      </c>
    </row>
    <row r="1005" spans="1:16">
      <c r="A1005" s="761" t="s">
        <v>2339</v>
      </c>
      <c r="B1005" s="761" t="s">
        <v>2340</v>
      </c>
      <c r="C1005" s="761" t="s">
        <v>2473</v>
      </c>
      <c r="D1005" s="761">
        <v>48333558</v>
      </c>
      <c r="E1005" s="761" t="s">
        <v>2740</v>
      </c>
      <c r="F1005" s="761">
        <v>143005403</v>
      </c>
      <c r="G1005" s="761" t="s">
        <v>2838</v>
      </c>
      <c r="H1005" s="761" t="s">
        <v>7395</v>
      </c>
      <c r="I1005" s="761" t="s">
        <v>6867</v>
      </c>
      <c r="J1005" s="761">
        <v>1</v>
      </c>
      <c r="K1005" s="746">
        <v>25979.940000000002</v>
      </c>
      <c r="L1005" s="746">
        <v>9114.5400000000009</v>
      </c>
      <c r="M1005" s="746">
        <v>16865.400000000001</v>
      </c>
      <c r="N1005" s="493" t="str">
        <f t="shared" si="17"/>
        <v>C391</v>
      </c>
      <c r="O1005" s="493" t="s">
        <v>95</v>
      </c>
      <c r="P1005" s="493" t="s">
        <v>2736</v>
      </c>
    </row>
    <row r="1006" spans="1:16">
      <c r="A1006" s="761" t="s">
        <v>2339</v>
      </c>
      <c r="B1006" s="761" t="s">
        <v>2340</v>
      </c>
      <c r="C1006" s="761" t="s">
        <v>2476</v>
      </c>
      <c r="D1006" s="761">
        <v>48333571</v>
      </c>
      <c r="E1006" s="761" t="s">
        <v>2740</v>
      </c>
      <c r="F1006" s="761">
        <v>143005481</v>
      </c>
      <c r="G1006" s="761" t="s">
        <v>2841</v>
      </c>
      <c r="H1006" s="761" t="s">
        <v>2841</v>
      </c>
      <c r="I1006" s="761" t="s">
        <v>6867</v>
      </c>
      <c r="J1006" s="761">
        <v>1</v>
      </c>
      <c r="K1006" s="746">
        <v>18313.84</v>
      </c>
      <c r="L1006" s="746">
        <v>6425.04</v>
      </c>
      <c r="M1006" s="746">
        <v>11888.800000000001</v>
      </c>
      <c r="N1006" s="493" t="str">
        <f t="shared" si="17"/>
        <v>C391</v>
      </c>
      <c r="O1006" s="493" t="s">
        <v>95</v>
      </c>
      <c r="P1006" s="493" t="s">
        <v>2736</v>
      </c>
    </row>
    <row r="1007" spans="1:16">
      <c r="A1007" s="761" t="s">
        <v>2339</v>
      </c>
      <c r="B1007" s="761" t="s">
        <v>2340</v>
      </c>
      <c r="C1007" s="761" t="s">
        <v>2473</v>
      </c>
      <c r="D1007" s="761">
        <v>48922445</v>
      </c>
      <c r="E1007" s="761" t="s">
        <v>2740</v>
      </c>
      <c r="F1007" s="761">
        <v>143005246</v>
      </c>
      <c r="G1007" s="761" t="s">
        <v>2816</v>
      </c>
      <c r="H1007" s="761" t="s">
        <v>7396</v>
      </c>
      <c r="I1007" s="761" t="s">
        <v>6867</v>
      </c>
      <c r="J1007" s="761">
        <v>1</v>
      </c>
      <c r="K1007" s="746">
        <v>119611.02</v>
      </c>
      <c r="L1007" s="746">
        <v>41963.11</v>
      </c>
      <c r="M1007" s="746">
        <v>77647.91</v>
      </c>
      <c r="N1007" s="493" t="str">
        <f t="shared" si="17"/>
        <v>C391</v>
      </c>
      <c r="O1007" s="493" t="s">
        <v>95</v>
      </c>
      <c r="P1007" s="493" t="s">
        <v>2736</v>
      </c>
    </row>
    <row r="1008" spans="1:16">
      <c r="A1008" s="761" t="s">
        <v>2339</v>
      </c>
      <c r="B1008" s="761" t="s">
        <v>2340</v>
      </c>
      <c r="C1008" s="761" t="s">
        <v>2476</v>
      </c>
      <c r="D1008" s="761">
        <v>48922448</v>
      </c>
      <c r="E1008" s="761" t="s">
        <v>2740</v>
      </c>
      <c r="F1008" s="761">
        <v>143005283</v>
      </c>
      <c r="G1008" s="761" t="s">
        <v>2831</v>
      </c>
      <c r="H1008" s="761" t="s">
        <v>2831</v>
      </c>
      <c r="I1008" s="761" t="s">
        <v>6867</v>
      </c>
      <c r="J1008" s="761">
        <v>1</v>
      </c>
      <c r="K1008" s="746">
        <v>127036.84</v>
      </c>
      <c r="L1008" s="746">
        <v>44568.31</v>
      </c>
      <c r="M1008" s="746">
        <v>82468.53</v>
      </c>
      <c r="N1008" s="493" t="str">
        <f t="shared" si="17"/>
        <v>C391</v>
      </c>
      <c r="O1008" s="493" t="s">
        <v>95</v>
      </c>
      <c r="P1008" s="493" t="s">
        <v>2736</v>
      </c>
    </row>
    <row r="1009" spans="1:16">
      <c r="A1009" s="761" t="s">
        <v>2339</v>
      </c>
      <c r="B1009" s="761" t="s">
        <v>2340</v>
      </c>
      <c r="C1009" s="761" t="s">
        <v>2476</v>
      </c>
      <c r="D1009" s="761">
        <v>48922451</v>
      </c>
      <c r="E1009" s="761" t="s">
        <v>2740</v>
      </c>
      <c r="F1009" s="761">
        <v>143005293</v>
      </c>
      <c r="G1009" s="761" t="s">
        <v>2834</v>
      </c>
      <c r="H1009" s="761" t="s">
        <v>7397</v>
      </c>
      <c r="I1009" s="761" t="s">
        <v>6867</v>
      </c>
      <c r="J1009" s="761">
        <v>1</v>
      </c>
      <c r="K1009" s="746">
        <v>37342.75</v>
      </c>
      <c r="L1009" s="746">
        <v>13100.95</v>
      </c>
      <c r="M1009" s="746">
        <v>24241.8</v>
      </c>
      <c r="N1009" s="493" t="str">
        <f t="shared" si="17"/>
        <v>C391</v>
      </c>
      <c r="O1009" s="493" t="s">
        <v>95</v>
      </c>
      <c r="P1009" s="493" t="s">
        <v>2736</v>
      </c>
    </row>
    <row r="1010" spans="1:16">
      <c r="A1010" s="761" t="s">
        <v>2339</v>
      </c>
      <c r="B1010" s="761" t="s">
        <v>2340</v>
      </c>
      <c r="C1010" s="761" t="s">
        <v>2487</v>
      </c>
      <c r="D1010" s="761">
        <v>48922458</v>
      </c>
      <c r="E1010" s="761" t="s">
        <v>2740</v>
      </c>
      <c r="F1010" s="761">
        <v>143005438</v>
      </c>
      <c r="G1010" s="761" t="s">
        <v>2839</v>
      </c>
      <c r="H1010" s="761" t="s">
        <v>2839</v>
      </c>
      <c r="I1010" s="761" t="s">
        <v>6867</v>
      </c>
      <c r="J1010" s="761">
        <v>1</v>
      </c>
      <c r="K1010" s="746">
        <v>167064.89000000001</v>
      </c>
      <c r="L1010" s="746">
        <v>58611.340000000004</v>
      </c>
      <c r="M1010" s="746">
        <v>108453.55</v>
      </c>
      <c r="N1010" s="493" t="str">
        <f t="shared" si="17"/>
        <v>C391</v>
      </c>
      <c r="O1010" s="493" t="s">
        <v>95</v>
      </c>
      <c r="P1010" s="493" t="s">
        <v>2736</v>
      </c>
    </row>
    <row r="1011" spans="1:16">
      <c r="A1011" s="761" t="s">
        <v>2339</v>
      </c>
      <c r="B1011" s="761" t="s">
        <v>2340</v>
      </c>
      <c r="C1011" s="761" t="s">
        <v>2476</v>
      </c>
      <c r="D1011" s="761">
        <v>48922482</v>
      </c>
      <c r="E1011" s="761" t="s">
        <v>2740</v>
      </c>
      <c r="F1011" s="761">
        <v>143005642</v>
      </c>
      <c r="G1011" s="761" t="s">
        <v>2853</v>
      </c>
      <c r="H1011" s="761" t="s">
        <v>7398</v>
      </c>
      <c r="I1011" s="761" t="s">
        <v>6867</v>
      </c>
      <c r="J1011" s="761">
        <v>1</v>
      </c>
      <c r="K1011" s="746">
        <v>414852.73</v>
      </c>
      <c r="L1011" s="746">
        <v>145542.69</v>
      </c>
      <c r="M1011" s="746">
        <v>269310.03999999998</v>
      </c>
      <c r="N1011" s="493" t="str">
        <f t="shared" si="17"/>
        <v>C391</v>
      </c>
      <c r="O1011" s="493" t="s">
        <v>95</v>
      </c>
      <c r="P1011" s="493" t="s">
        <v>2736</v>
      </c>
    </row>
    <row r="1012" spans="1:16" s="763" customFormat="1">
      <c r="A1012" s="761" t="s">
        <v>2339</v>
      </c>
      <c r="B1012" s="761" t="s">
        <v>2340</v>
      </c>
      <c r="C1012" s="761" t="s">
        <v>2473</v>
      </c>
      <c r="D1012" s="761">
        <v>49413708</v>
      </c>
      <c r="E1012" s="761" t="s">
        <v>2740</v>
      </c>
      <c r="F1012" s="761">
        <v>143005505</v>
      </c>
      <c r="G1012" s="761" t="s">
        <v>2848</v>
      </c>
      <c r="H1012" s="761" t="s">
        <v>7399</v>
      </c>
      <c r="I1012" s="761" t="s">
        <v>6867</v>
      </c>
      <c r="J1012" s="761">
        <v>1</v>
      </c>
      <c r="K1012" s="746">
        <v>6819.46</v>
      </c>
      <c r="L1012" s="746">
        <v>2392.4700000000003</v>
      </c>
      <c r="M1012" s="746">
        <v>4426.99</v>
      </c>
      <c r="N1012" s="493" t="str">
        <f t="shared" si="17"/>
        <v>C391</v>
      </c>
      <c r="O1012" s="493" t="s">
        <v>95</v>
      </c>
      <c r="P1012" s="493" t="s">
        <v>2736</v>
      </c>
    </row>
    <row r="1013" spans="1:16" s="763" customFormat="1">
      <c r="A1013" s="761" t="s">
        <v>2339</v>
      </c>
      <c r="B1013" s="761" t="s">
        <v>2340</v>
      </c>
      <c r="C1013" s="761" t="s">
        <v>2473</v>
      </c>
      <c r="D1013" s="761">
        <v>49413729</v>
      </c>
      <c r="E1013" s="761" t="s">
        <v>2740</v>
      </c>
      <c r="F1013" s="761">
        <v>143005535</v>
      </c>
      <c r="G1013" s="761" t="s">
        <v>2850</v>
      </c>
      <c r="H1013" s="761" t="s">
        <v>7400</v>
      </c>
      <c r="I1013" s="761" t="s">
        <v>6867</v>
      </c>
      <c r="J1013" s="761">
        <v>1</v>
      </c>
      <c r="K1013" s="746">
        <v>29854.71</v>
      </c>
      <c r="L1013" s="746">
        <v>10473.92</v>
      </c>
      <c r="M1013" s="746">
        <v>19380.79</v>
      </c>
      <c r="N1013" s="493" t="str">
        <f t="shared" si="17"/>
        <v>C391</v>
      </c>
      <c r="O1013" s="493" t="s">
        <v>95</v>
      </c>
      <c r="P1013" s="493" t="s">
        <v>2736</v>
      </c>
    </row>
    <row r="1014" spans="1:16">
      <c r="A1014" s="761" t="s">
        <v>2339</v>
      </c>
      <c r="B1014" s="761" t="s">
        <v>2340</v>
      </c>
      <c r="C1014" s="761" t="s">
        <v>2476</v>
      </c>
      <c r="D1014" s="761">
        <v>49945132</v>
      </c>
      <c r="E1014" s="761" t="s">
        <v>2740</v>
      </c>
      <c r="F1014" s="761">
        <v>143004762</v>
      </c>
      <c r="G1014" s="761" t="s">
        <v>2762</v>
      </c>
      <c r="H1014" s="761" t="s">
        <v>7401</v>
      </c>
      <c r="I1014" s="761" t="s">
        <v>6867</v>
      </c>
      <c r="J1014" s="761">
        <v>1</v>
      </c>
      <c r="K1014" s="746">
        <v>71696.070000000007</v>
      </c>
      <c r="L1014" s="746">
        <v>25153.119999999999</v>
      </c>
      <c r="M1014" s="746">
        <v>46542.950000000004</v>
      </c>
      <c r="N1014" s="493" t="str">
        <f t="shared" si="17"/>
        <v>C391</v>
      </c>
      <c r="O1014" s="493" t="s">
        <v>95</v>
      </c>
      <c r="P1014" s="493" t="s">
        <v>2736</v>
      </c>
    </row>
    <row r="1015" spans="1:16">
      <c r="A1015" s="761" t="s">
        <v>2339</v>
      </c>
      <c r="B1015" s="761" t="s">
        <v>2340</v>
      </c>
      <c r="C1015" s="761" t="s">
        <v>2517</v>
      </c>
      <c r="D1015" s="761">
        <v>49945151</v>
      </c>
      <c r="E1015" s="761" t="s">
        <v>2740</v>
      </c>
      <c r="F1015" s="761">
        <v>143005199</v>
      </c>
      <c r="G1015" s="761" t="s">
        <v>2809</v>
      </c>
      <c r="H1015" s="761" t="s">
        <v>7402</v>
      </c>
      <c r="I1015" s="761" t="s">
        <v>6867</v>
      </c>
      <c r="J1015" s="761">
        <v>1</v>
      </c>
      <c r="K1015" s="746">
        <v>255141.81</v>
      </c>
      <c r="L1015" s="746">
        <v>89511.34</v>
      </c>
      <c r="M1015" s="746">
        <v>165630.47</v>
      </c>
      <c r="N1015" s="493" t="str">
        <f t="shared" si="17"/>
        <v>C391</v>
      </c>
      <c r="O1015" s="493" t="s">
        <v>95</v>
      </c>
      <c r="P1015" s="493" t="s">
        <v>2736</v>
      </c>
    </row>
    <row r="1016" spans="1:16">
      <c r="A1016" s="761" t="s">
        <v>2339</v>
      </c>
      <c r="B1016" s="761" t="s">
        <v>2340</v>
      </c>
      <c r="C1016" s="761" t="s">
        <v>2476</v>
      </c>
      <c r="D1016" s="761">
        <v>49945162</v>
      </c>
      <c r="E1016" s="761" t="s">
        <v>2740</v>
      </c>
      <c r="F1016" s="761">
        <v>143005242</v>
      </c>
      <c r="G1016" s="761" t="s">
        <v>2814</v>
      </c>
      <c r="H1016" s="761" t="s">
        <v>2814</v>
      </c>
      <c r="I1016" s="761" t="s">
        <v>6867</v>
      </c>
      <c r="J1016" s="761">
        <v>1</v>
      </c>
      <c r="K1016" s="746">
        <v>35950.370000000003</v>
      </c>
      <c r="L1016" s="746">
        <v>12612.460000000001</v>
      </c>
      <c r="M1016" s="746">
        <v>23337.91</v>
      </c>
      <c r="N1016" s="493" t="str">
        <f t="shared" si="17"/>
        <v>C391</v>
      </c>
      <c r="O1016" s="493" t="s">
        <v>95</v>
      </c>
      <c r="P1016" s="493" t="s">
        <v>2736</v>
      </c>
    </row>
    <row r="1017" spans="1:16">
      <c r="A1017" s="761" t="s">
        <v>2339</v>
      </c>
      <c r="B1017" s="761" t="s">
        <v>2340</v>
      </c>
      <c r="C1017" s="761" t="s">
        <v>2476</v>
      </c>
      <c r="D1017" s="761">
        <v>49945165</v>
      </c>
      <c r="E1017" s="761" t="s">
        <v>2740</v>
      </c>
      <c r="F1017" s="761">
        <v>143005248</v>
      </c>
      <c r="G1017" s="761" t="s">
        <v>2818</v>
      </c>
      <c r="H1017" s="761" t="s">
        <v>7403</v>
      </c>
      <c r="I1017" s="761" t="s">
        <v>6867</v>
      </c>
      <c r="J1017" s="761">
        <v>1</v>
      </c>
      <c r="K1017" s="746">
        <v>119931.19</v>
      </c>
      <c r="L1017" s="746">
        <v>42075.43</v>
      </c>
      <c r="M1017" s="746">
        <v>77855.759999999995</v>
      </c>
      <c r="N1017" s="493" t="str">
        <f t="shared" si="17"/>
        <v>C391</v>
      </c>
      <c r="O1017" s="493" t="s">
        <v>95</v>
      </c>
      <c r="P1017" s="493" t="s">
        <v>2736</v>
      </c>
    </row>
    <row r="1018" spans="1:16">
      <c r="A1018" s="761" t="s">
        <v>2339</v>
      </c>
      <c r="B1018" s="761" t="s">
        <v>2340</v>
      </c>
      <c r="C1018" s="761" t="s">
        <v>2517</v>
      </c>
      <c r="D1018" s="761">
        <v>49945170</v>
      </c>
      <c r="E1018" s="761" t="s">
        <v>2740</v>
      </c>
      <c r="F1018" s="761">
        <v>143005260</v>
      </c>
      <c r="G1018" s="761" t="s">
        <v>2819</v>
      </c>
      <c r="H1018" s="761" t="s">
        <v>7404</v>
      </c>
      <c r="I1018" s="761" t="s">
        <v>6867</v>
      </c>
      <c r="J1018" s="761">
        <v>1</v>
      </c>
      <c r="K1018" s="746">
        <v>410560.58</v>
      </c>
      <c r="L1018" s="746">
        <v>144036.87</v>
      </c>
      <c r="M1018" s="746">
        <v>266523.71000000002</v>
      </c>
      <c r="N1018" s="493" t="str">
        <f t="shared" si="17"/>
        <v>C391</v>
      </c>
      <c r="O1018" s="493" t="s">
        <v>95</v>
      </c>
      <c r="P1018" s="493" t="s">
        <v>2736</v>
      </c>
    </row>
    <row r="1019" spans="1:16">
      <c r="A1019" s="761" t="s">
        <v>2339</v>
      </c>
      <c r="B1019" s="761" t="s">
        <v>2340</v>
      </c>
      <c r="C1019" s="761" t="s">
        <v>2490</v>
      </c>
      <c r="D1019" s="761">
        <v>49945181</v>
      </c>
      <c r="E1019" s="761" t="s">
        <v>2740</v>
      </c>
      <c r="F1019" s="761">
        <v>143005265</v>
      </c>
      <c r="G1019" s="761" t="s">
        <v>2820</v>
      </c>
      <c r="H1019" s="761" t="s">
        <v>7405</v>
      </c>
      <c r="I1019" s="761" t="s">
        <v>6867</v>
      </c>
      <c r="J1019" s="761">
        <v>1</v>
      </c>
      <c r="K1019" s="746">
        <v>226539.82</v>
      </c>
      <c r="L1019" s="746">
        <v>79476.91</v>
      </c>
      <c r="M1019" s="746">
        <v>147062.91</v>
      </c>
      <c r="N1019" s="493" t="str">
        <f t="shared" si="17"/>
        <v>C391</v>
      </c>
      <c r="O1019" s="493" t="s">
        <v>95</v>
      </c>
      <c r="P1019" s="493" t="s">
        <v>2736</v>
      </c>
    </row>
    <row r="1020" spans="1:16">
      <c r="A1020" s="761" t="s">
        <v>2339</v>
      </c>
      <c r="B1020" s="761" t="s">
        <v>2340</v>
      </c>
      <c r="C1020" s="761" t="s">
        <v>2476</v>
      </c>
      <c r="D1020" s="761">
        <v>49945186</v>
      </c>
      <c r="E1020" s="761" t="s">
        <v>2740</v>
      </c>
      <c r="F1020" s="761">
        <v>143005266</v>
      </c>
      <c r="G1020" s="761" t="s">
        <v>2821</v>
      </c>
      <c r="H1020" s="761" t="s">
        <v>7406</v>
      </c>
      <c r="I1020" s="761" t="s">
        <v>6867</v>
      </c>
      <c r="J1020" s="761">
        <v>1</v>
      </c>
      <c r="K1020" s="746">
        <v>91135.430000000008</v>
      </c>
      <c r="L1020" s="746">
        <v>31973.02</v>
      </c>
      <c r="M1020" s="746">
        <v>59162.41</v>
      </c>
      <c r="N1020" s="493" t="str">
        <f t="shared" si="17"/>
        <v>C391</v>
      </c>
      <c r="O1020" s="493" t="s">
        <v>95</v>
      </c>
      <c r="P1020" s="493" t="s">
        <v>2736</v>
      </c>
    </row>
    <row r="1021" spans="1:16">
      <c r="A1021" s="761" t="s">
        <v>2339</v>
      </c>
      <c r="B1021" s="761" t="s">
        <v>2340</v>
      </c>
      <c r="C1021" s="761" t="s">
        <v>2517</v>
      </c>
      <c r="D1021" s="761">
        <v>49945191</v>
      </c>
      <c r="E1021" s="761" t="s">
        <v>2740</v>
      </c>
      <c r="F1021" s="761">
        <v>143005267</v>
      </c>
      <c r="G1021" s="761" t="s">
        <v>2822</v>
      </c>
      <c r="H1021" s="761" t="s">
        <v>7407</v>
      </c>
      <c r="I1021" s="761" t="s">
        <v>6867</v>
      </c>
      <c r="J1021" s="761">
        <v>1</v>
      </c>
      <c r="K1021" s="746">
        <v>132693.63</v>
      </c>
      <c r="L1021" s="746">
        <v>46552.88</v>
      </c>
      <c r="M1021" s="746">
        <v>86140.75</v>
      </c>
      <c r="N1021" s="493" t="str">
        <f t="shared" si="17"/>
        <v>C391</v>
      </c>
      <c r="O1021" s="493" t="s">
        <v>95</v>
      </c>
      <c r="P1021" s="493" t="s">
        <v>2736</v>
      </c>
    </row>
    <row r="1022" spans="1:16">
      <c r="A1022" s="761" t="s">
        <v>2339</v>
      </c>
      <c r="B1022" s="761" t="s">
        <v>2340</v>
      </c>
      <c r="C1022" s="761" t="s">
        <v>2476</v>
      </c>
      <c r="D1022" s="761">
        <v>49945196</v>
      </c>
      <c r="E1022" s="761" t="s">
        <v>2740</v>
      </c>
      <c r="F1022" s="761">
        <v>143005268</v>
      </c>
      <c r="G1022" s="761" t="s">
        <v>2823</v>
      </c>
      <c r="H1022" s="761" t="s">
        <v>2823</v>
      </c>
      <c r="I1022" s="761" t="s">
        <v>6867</v>
      </c>
      <c r="J1022" s="761">
        <v>1</v>
      </c>
      <c r="K1022" s="746">
        <v>2320700.71</v>
      </c>
      <c r="L1022" s="746">
        <v>814170.9</v>
      </c>
      <c r="M1022" s="746">
        <v>1506529.81</v>
      </c>
      <c r="N1022" s="493" t="str">
        <f t="shared" si="17"/>
        <v>C391</v>
      </c>
      <c r="O1022" s="493" t="s">
        <v>95</v>
      </c>
      <c r="P1022" s="493" t="s">
        <v>2736</v>
      </c>
    </row>
    <row r="1023" spans="1:16">
      <c r="A1023" s="761" t="s">
        <v>2339</v>
      </c>
      <c r="B1023" s="761" t="s">
        <v>2340</v>
      </c>
      <c r="C1023" s="761" t="s">
        <v>2828</v>
      </c>
      <c r="D1023" s="761">
        <v>49945201</v>
      </c>
      <c r="E1023" s="761" t="s">
        <v>2740</v>
      </c>
      <c r="F1023" s="761">
        <v>143005277</v>
      </c>
      <c r="G1023" s="761" t="s">
        <v>2829</v>
      </c>
      <c r="H1023" s="761" t="s">
        <v>7408</v>
      </c>
      <c r="I1023" s="761" t="s">
        <v>6867</v>
      </c>
      <c r="J1023" s="761">
        <v>1</v>
      </c>
      <c r="K1023" s="746">
        <v>46556.1</v>
      </c>
      <c r="L1023" s="746">
        <v>16333.27</v>
      </c>
      <c r="M1023" s="746">
        <v>30222.83</v>
      </c>
      <c r="N1023" s="493" t="str">
        <f t="shared" si="17"/>
        <v>C391</v>
      </c>
      <c r="O1023" s="493" t="s">
        <v>95</v>
      </c>
      <c r="P1023" s="493" t="s">
        <v>2736</v>
      </c>
    </row>
    <row r="1024" spans="1:16">
      <c r="A1024" s="761" t="s">
        <v>2339</v>
      </c>
      <c r="B1024" s="761" t="s">
        <v>2340</v>
      </c>
      <c r="C1024" s="761" t="s">
        <v>2476</v>
      </c>
      <c r="D1024" s="761">
        <v>49945213</v>
      </c>
      <c r="E1024" s="761" t="s">
        <v>2740</v>
      </c>
      <c r="F1024" s="761">
        <v>143005286</v>
      </c>
      <c r="G1024" s="761" t="s">
        <v>2832</v>
      </c>
      <c r="H1024" s="761" t="s">
        <v>7409</v>
      </c>
      <c r="I1024" s="761" t="s">
        <v>6867</v>
      </c>
      <c r="J1024" s="761">
        <v>1</v>
      </c>
      <c r="K1024" s="746">
        <v>1016652.42</v>
      </c>
      <c r="L1024" s="746">
        <v>356671.93</v>
      </c>
      <c r="M1024" s="746">
        <v>659980.49</v>
      </c>
      <c r="N1024" s="493" t="str">
        <f t="shared" si="17"/>
        <v>C391</v>
      </c>
      <c r="O1024" s="493" t="s">
        <v>95</v>
      </c>
      <c r="P1024" s="493" t="s">
        <v>2736</v>
      </c>
    </row>
    <row r="1025" spans="1:16">
      <c r="A1025" s="761" t="s">
        <v>2339</v>
      </c>
      <c r="B1025" s="761" t="s">
        <v>2340</v>
      </c>
      <c r="C1025" s="761" t="s">
        <v>2476</v>
      </c>
      <c r="D1025" s="761">
        <v>49945249</v>
      </c>
      <c r="E1025" s="761" t="s">
        <v>2740</v>
      </c>
      <c r="F1025" s="761">
        <v>143005367</v>
      </c>
      <c r="G1025" s="761" t="s">
        <v>2837</v>
      </c>
      <c r="H1025" s="761" t="s">
        <v>2837</v>
      </c>
      <c r="I1025" s="761" t="s">
        <v>6867</v>
      </c>
      <c r="J1025" s="761">
        <v>1</v>
      </c>
      <c r="K1025" s="746">
        <v>13758.98</v>
      </c>
      <c r="L1025" s="746">
        <v>4827.0600000000004</v>
      </c>
      <c r="M1025" s="746">
        <v>8931.92</v>
      </c>
      <c r="N1025" s="493" t="str">
        <f t="shared" si="17"/>
        <v>C391</v>
      </c>
      <c r="O1025" s="493" t="s">
        <v>95</v>
      </c>
      <c r="P1025" s="493" t="s">
        <v>2736</v>
      </c>
    </row>
    <row r="1026" spans="1:16">
      <c r="A1026" s="761" t="s">
        <v>2339</v>
      </c>
      <c r="B1026" s="761" t="s">
        <v>2340</v>
      </c>
      <c r="C1026" s="761" t="s">
        <v>2476</v>
      </c>
      <c r="D1026" s="761">
        <v>49945271</v>
      </c>
      <c r="E1026" s="761" t="s">
        <v>2740</v>
      </c>
      <c r="F1026" s="761">
        <v>143005482</v>
      </c>
      <c r="G1026" s="761" t="s">
        <v>2842</v>
      </c>
      <c r="H1026" s="761" t="s">
        <v>2842</v>
      </c>
      <c r="I1026" s="761" t="s">
        <v>6867</v>
      </c>
      <c r="J1026" s="761">
        <v>1</v>
      </c>
      <c r="K1026" s="746">
        <v>144289.01</v>
      </c>
      <c r="L1026" s="746">
        <v>50620.880000000005</v>
      </c>
      <c r="M1026" s="746">
        <v>93668.13</v>
      </c>
      <c r="N1026" s="493" t="str">
        <f t="shared" si="17"/>
        <v>C391</v>
      </c>
      <c r="O1026" s="493" t="s">
        <v>95</v>
      </c>
      <c r="P1026" s="493" t="s">
        <v>2736</v>
      </c>
    </row>
    <row r="1027" spans="1:16">
      <c r="A1027" s="761" t="s">
        <v>2339</v>
      </c>
      <c r="B1027" s="761" t="s">
        <v>2340</v>
      </c>
      <c r="C1027" s="761" t="s">
        <v>2476</v>
      </c>
      <c r="D1027" s="761">
        <v>49945291</v>
      </c>
      <c r="E1027" s="761" t="s">
        <v>2740</v>
      </c>
      <c r="F1027" s="761">
        <v>143005565</v>
      </c>
      <c r="G1027" s="761" t="s">
        <v>2851</v>
      </c>
      <c r="H1027" s="761" t="s">
        <v>7410</v>
      </c>
      <c r="I1027" s="761" t="s">
        <v>6867</v>
      </c>
      <c r="J1027" s="761">
        <v>1</v>
      </c>
      <c r="K1027" s="746">
        <v>10620.460000000001</v>
      </c>
      <c r="L1027" s="746">
        <v>3725.9700000000003</v>
      </c>
      <c r="M1027" s="746">
        <v>6894.49</v>
      </c>
      <c r="N1027" s="493" t="str">
        <f t="shared" si="17"/>
        <v>C391</v>
      </c>
      <c r="O1027" s="493" t="s">
        <v>95</v>
      </c>
      <c r="P1027" s="493" t="s">
        <v>2736</v>
      </c>
    </row>
    <row r="1028" spans="1:16">
      <c r="A1028" s="761" t="s">
        <v>2339</v>
      </c>
      <c r="B1028" s="761" t="s">
        <v>2340</v>
      </c>
      <c r="C1028" s="761" t="s">
        <v>2517</v>
      </c>
      <c r="D1028" s="761">
        <v>49945302</v>
      </c>
      <c r="E1028" s="761" t="s">
        <v>2740</v>
      </c>
      <c r="F1028" s="761">
        <v>143005668</v>
      </c>
      <c r="G1028" s="761" t="s">
        <v>2854</v>
      </c>
      <c r="H1028" s="761" t="s">
        <v>7411</v>
      </c>
      <c r="I1028" s="761" t="s">
        <v>6867</v>
      </c>
      <c r="J1028" s="761">
        <v>1</v>
      </c>
      <c r="K1028" s="746">
        <v>44476.01</v>
      </c>
      <c r="L1028" s="746">
        <v>15603.51</v>
      </c>
      <c r="M1028" s="746">
        <v>28872.5</v>
      </c>
      <c r="N1028" s="493" t="str">
        <f t="shared" si="17"/>
        <v>C391</v>
      </c>
      <c r="O1028" s="493" t="s">
        <v>95</v>
      </c>
      <c r="P1028" s="493" t="s">
        <v>2736</v>
      </c>
    </row>
    <row r="1029" spans="1:16">
      <c r="A1029" s="761" t="s">
        <v>2339</v>
      </c>
      <c r="B1029" s="761" t="s">
        <v>2340</v>
      </c>
      <c r="C1029" s="761" t="s">
        <v>2517</v>
      </c>
      <c r="D1029" s="761">
        <v>49945311</v>
      </c>
      <c r="E1029" s="761" t="s">
        <v>2740</v>
      </c>
      <c r="F1029" s="761">
        <v>143005742</v>
      </c>
      <c r="G1029" s="761" t="s">
        <v>2855</v>
      </c>
      <c r="H1029" s="761" t="s">
        <v>7412</v>
      </c>
      <c r="I1029" s="761" t="s">
        <v>6867</v>
      </c>
      <c r="J1029" s="761">
        <v>1</v>
      </c>
      <c r="K1029" s="746">
        <v>47652.42</v>
      </c>
      <c r="L1029" s="746">
        <v>16717.89</v>
      </c>
      <c r="M1029" s="746">
        <v>30934.53</v>
      </c>
      <c r="N1029" s="493" t="str">
        <f t="shared" si="17"/>
        <v>C391</v>
      </c>
      <c r="O1029" s="493" t="s">
        <v>95</v>
      </c>
      <c r="P1029" s="493" t="s">
        <v>2736</v>
      </c>
    </row>
    <row r="1030" spans="1:16">
      <c r="A1030" s="761" t="s">
        <v>2339</v>
      </c>
      <c r="B1030" s="761" t="s">
        <v>2340</v>
      </c>
      <c r="C1030" s="761" t="s">
        <v>2490</v>
      </c>
      <c r="D1030" s="761">
        <v>59148349</v>
      </c>
      <c r="E1030" s="761" t="s">
        <v>2740</v>
      </c>
      <c r="F1030" s="761">
        <v>143005439</v>
      </c>
      <c r="G1030" s="761" t="s">
        <v>2840</v>
      </c>
      <c r="H1030" s="761" t="s">
        <v>7413</v>
      </c>
      <c r="I1030" s="761" t="s">
        <v>6867</v>
      </c>
      <c r="J1030" s="761">
        <v>1</v>
      </c>
      <c r="K1030" s="746">
        <v>36917.07</v>
      </c>
      <c r="L1030" s="746">
        <v>9195.1200000000008</v>
      </c>
      <c r="M1030" s="746">
        <v>27721.95</v>
      </c>
      <c r="N1030" s="493" t="str">
        <f t="shared" si="17"/>
        <v>C391</v>
      </c>
      <c r="O1030" s="493" t="s">
        <v>95</v>
      </c>
      <c r="P1030" s="493" t="s">
        <v>2736</v>
      </c>
    </row>
    <row r="1031" spans="1:16">
      <c r="A1031" s="761" t="s">
        <v>2339</v>
      </c>
      <c r="B1031" s="761" t="s">
        <v>2340</v>
      </c>
      <c r="C1031" s="761" t="s">
        <v>2517</v>
      </c>
      <c r="D1031" s="761">
        <v>59148356</v>
      </c>
      <c r="E1031" s="761" t="s">
        <v>2740</v>
      </c>
      <c r="F1031" s="761">
        <v>143005500</v>
      </c>
      <c r="G1031" s="761" t="s">
        <v>2843</v>
      </c>
      <c r="H1031" s="761" t="s">
        <v>7414</v>
      </c>
      <c r="I1031" s="761" t="s">
        <v>6867</v>
      </c>
      <c r="J1031" s="761">
        <v>1</v>
      </c>
      <c r="K1031" s="746">
        <v>35992.99</v>
      </c>
      <c r="L1031" s="746">
        <v>8964.9500000000007</v>
      </c>
      <c r="M1031" s="746">
        <v>27028.04</v>
      </c>
      <c r="N1031" s="493" t="str">
        <f t="shared" si="17"/>
        <v>C391</v>
      </c>
      <c r="O1031" s="493" t="s">
        <v>95</v>
      </c>
      <c r="P1031" s="493" t="s">
        <v>2736</v>
      </c>
    </row>
    <row r="1032" spans="1:16">
      <c r="A1032" s="761" t="s">
        <v>2339</v>
      </c>
      <c r="B1032" s="761" t="s">
        <v>2340</v>
      </c>
      <c r="C1032" s="761" t="s">
        <v>2490</v>
      </c>
      <c r="D1032" s="761">
        <v>59148361</v>
      </c>
      <c r="E1032" s="761" t="s">
        <v>2740</v>
      </c>
      <c r="F1032" s="761">
        <v>143005506</v>
      </c>
      <c r="G1032" s="761" t="s">
        <v>2849</v>
      </c>
      <c r="H1032" s="761" t="s">
        <v>7415</v>
      </c>
      <c r="I1032" s="761" t="s">
        <v>6867</v>
      </c>
      <c r="J1032" s="761">
        <v>1</v>
      </c>
      <c r="K1032" s="746">
        <v>35992.99</v>
      </c>
      <c r="L1032" s="746">
        <v>8964.9500000000007</v>
      </c>
      <c r="M1032" s="746">
        <v>27028.04</v>
      </c>
      <c r="N1032" s="493" t="str">
        <f t="shared" si="17"/>
        <v>C391</v>
      </c>
      <c r="O1032" s="493" t="s">
        <v>95</v>
      </c>
      <c r="P1032" s="493" t="s">
        <v>2736</v>
      </c>
    </row>
    <row r="1033" spans="1:16">
      <c r="A1033" s="761" t="s">
        <v>2339</v>
      </c>
      <c r="B1033" s="761" t="s">
        <v>2340</v>
      </c>
      <c r="C1033" s="761" t="s">
        <v>2509</v>
      </c>
      <c r="D1033" s="761">
        <v>50997926</v>
      </c>
      <c r="E1033" s="761" t="s">
        <v>2740</v>
      </c>
      <c r="F1033" s="761">
        <v>143005502</v>
      </c>
      <c r="G1033" s="761" t="s">
        <v>2845</v>
      </c>
      <c r="H1033" s="761" t="s">
        <v>7416</v>
      </c>
      <c r="I1033" s="761" t="s">
        <v>6867</v>
      </c>
      <c r="J1033" s="761">
        <v>1</v>
      </c>
      <c r="K1033" s="746">
        <v>10026.92</v>
      </c>
      <c r="L1033" s="746">
        <v>2497.4500000000003</v>
      </c>
      <c r="M1033" s="746">
        <v>7529.47</v>
      </c>
      <c r="N1033" s="493" t="str">
        <f t="shared" si="17"/>
        <v>C391</v>
      </c>
      <c r="O1033" s="493" t="s">
        <v>95</v>
      </c>
      <c r="P1033" s="493" t="s">
        <v>2736</v>
      </c>
    </row>
    <row r="1034" spans="1:16">
      <c r="A1034" s="761" t="s">
        <v>2339</v>
      </c>
      <c r="B1034" s="761" t="s">
        <v>2340</v>
      </c>
      <c r="C1034" s="761" t="s">
        <v>2476</v>
      </c>
      <c r="D1034" s="761">
        <v>52052298</v>
      </c>
      <c r="E1034" s="761" t="s">
        <v>2740</v>
      </c>
      <c r="F1034" s="761">
        <v>143005925</v>
      </c>
      <c r="G1034" s="761" t="s">
        <v>2862</v>
      </c>
      <c r="H1034" s="761" t="s">
        <v>7417</v>
      </c>
      <c r="I1034" s="761" t="s">
        <v>6867</v>
      </c>
      <c r="J1034" s="761">
        <v>1</v>
      </c>
      <c r="K1034" s="746">
        <v>38747.410000000003</v>
      </c>
      <c r="L1034" s="746">
        <v>9651.01</v>
      </c>
      <c r="M1034" s="746">
        <v>29096.400000000001</v>
      </c>
      <c r="N1034" s="493" t="str">
        <f t="shared" si="17"/>
        <v>C391</v>
      </c>
      <c r="O1034" s="493" t="s">
        <v>95</v>
      </c>
      <c r="P1034" s="493" t="s">
        <v>2736</v>
      </c>
    </row>
    <row r="1035" spans="1:16">
      <c r="A1035" s="761" t="s">
        <v>2339</v>
      </c>
      <c r="B1035" s="761" t="s">
        <v>2340</v>
      </c>
      <c r="C1035" s="761" t="s">
        <v>2517</v>
      </c>
      <c r="D1035" s="761">
        <v>52052305</v>
      </c>
      <c r="E1035" s="761" t="s">
        <v>2740</v>
      </c>
      <c r="F1035" s="761">
        <v>143005943</v>
      </c>
      <c r="G1035" s="761" t="s">
        <v>2866</v>
      </c>
      <c r="H1035" s="761" t="s">
        <v>2866</v>
      </c>
      <c r="I1035" s="761" t="s">
        <v>6867</v>
      </c>
      <c r="J1035" s="761">
        <v>1</v>
      </c>
      <c r="K1035" s="746">
        <v>36263.270000000004</v>
      </c>
      <c r="L1035" s="746">
        <v>9032.27</v>
      </c>
      <c r="M1035" s="746">
        <v>27231</v>
      </c>
      <c r="N1035" s="493" t="str">
        <f t="shared" si="17"/>
        <v>C391</v>
      </c>
      <c r="O1035" s="493" t="s">
        <v>95</v>
      </c>
      <c r="P1035" s="493" t="s">
        <v>2736</v>
      </c>
    </row>
    <row r="1036" spans="1:16">
      <c r="A1036" s="761" t="s">
        <v>2339</v>
      </c>
      <c r="B1036" s="761" t="s">
        <v>2340</v>
      </c>
      <c r="C1036" s="761" t="s">
        <v>2517</v>
      </c>
      <c r="D1036" s="761">
        <v>52235269</v>
      </c>
      <c r="E1036" s="761" t="s">
        <v>2740</v>
      </c>
      <c r="F1036" s="761">
        <v>143005635</v>
      </c>
      <c r="G1036" s="761" t="s">
        <v>2852</v>
      </c>
      <c r="H1036" s="761" t="s">
        <v>7418</v>
      </c>
      <c r="I1036" s="761" t="s">
        <v>6867</v>
      </c>
      <c r="J1036" s="761">
        <v>1</v>
      </c>
      <c r="K1036" s="746">
        <v>29762.36</v>
      </c>
      <c r="L1036" s="746">
        <v>7413.06</v>
      </c>
      <c r="M1036" s="746">
        <v>22349.3</v>
      </c>
      <c r="N1036" s="493" t="str">
        <f t="shared" si="17"/>
        <v>C391</v>
      </c>
      <c r="O1036" s="493" t="s">
        <v>95</v>
      </c>
      <c r="P1036" s="493" t="s">
        <v>2736</v>
      </c>
    </row>
    <row r="1037" spans="1:16">
      <c r="A1037" s="761" t="s">
        <v>2339</v>
      </c>
      <c r="B1037" s="761" t="s">
        <v>2340</v>
      </c>
      <c r="C1037" s="761" t="s">
        <v>2517</v>
      </c>
      <c r="D1037" s="761">
        <v>52235330</v>
      </c>
      <c r="E1037" s="761" t="s">
        <v>2740</v>
      </c>
      <c r="F1037" s="761">
        <v>143005941</v>
      </c>
      <c r="G1037" s="761" t="s">
        <v>2865</v>
      </c>
      <c r="H1037" s="761" t="s">
        <v>7419</v>
      </c>
      <c r="I1037" s="761" t="s">
        <v>6867</v>
      </c>
      <c r="J1037" s="761">
        <v>1</v>
      </c>
      <c r="K1037" s="746">
        <v>17298.990000000002</v>
      </c>
      <c r="L1037" s="746">
        <v>4308.75</v>
      </c>
      <c r="M1037" s="746">
        <v>12990.24</v>
      </c>
      <c r="N1037" s="493" t="str">
        <f t="shared" si="17"/>
        <v>C391</v>
      </c>
      <c r="O1037" s="493" t="s">
        <v>95</v>
      </c>
      <c r="P1037" s="493" t="s">
        <v>2736</v>
      </c>
    </row>
    <row r="1038" spans="1:16">
      <c r="A1038" s="761" t="s">
        <v>2339</v>
      </c>
      <c r="B1038" s="761" t="s">
        <v>2340</v>
      </c>
      <c r="C1038" s="761" t="s">
        <v>2517</v>
      </c>
      <c r="D1038" s="761">
        <v>53009600</v>
      </c>
      <c r="E1038" s="761" t="s">
        <v>2740</v>
      </c>
      <c r="F1038" s="761">
        <v>143005272</v>
      </c>
      <c r="G1038" s="761" t="s">
        <v>2824</v>
      </c>
      <c r="H1038" s="761" t="s">
        <v>2824</v>
      </c>
      <c r="I1038" s="761" t="s">
        <v>6867</v>
      </c>
      <c r="J1038" s="761">
        <v>1</v>
      </c>
      <c r="K1038" s="746">
        <v>11451.18</v>
      </c>
      <c r="L1038" s="746">
        <v>2852.2000000000003</v>
      </c>
      <c r="M1038" s="746">
        <v>8598.98</v>
      </c>
      <c r="N1038" s="493" t="str">
        <f t="shared" si="17"/>
        <v>C391</v>
      </c>
      <c r="O1038" s="493" t="s">
        <v>95</v>
      </c>
      <c r="P1038" s="493" t="s">
        <v>2736</v>
      </c>
    </row>
    <row r="1039" spans="1:16">
      <c r="A1039" s="761" t="s">
        <v>2339</v>
      </c>
      <c r="B1039" s="761" t="s">
        <v>2340</v>
      </c>
      <c r="C1039" s="761" t="s">
        <v>2476</v>
      </c>
      <c r="D1039" s="761">
        <v>53506951</v>
      </c>
      <c r="E1039" s="761" t="s">
        <v>2740</v>
      </c>
      <c r="F1039" s="761">
        <v>143005274</v>
      </c>
      <c r="G1039" s="761" t="s">
        <v>2826</v>
      </c>
      <c r="H1039" s="761" t="s">
        <v>2826</v>
      </c>
      <c r="I1039" s="761" t="s">
        <v>6867</v>
      </c>
      <c r="J1039" s="761">
        <v>1</v>
      </c>
      <c r="K1039" s="746">
        <v>167340.14000000001</v>
      </c>
      <c r="L1039" s="746">
        <v>41680.239999999998</v>
      </c>
      <c r="M1039" s="746">
        <v>125659.90000000001</v>
      </c>
      <c r="N1039" s="493" t="str">
        <f t="shared" si="17"/>
        <v>C391</v>
      </c>
      <c r="O1039" s="493" t="s">
        <v>95</v>
      </c>
      <c r="P1039" s="493" t="s">
        <v>2736</v>
      </c>
    </row>
    <row r="1040" spans="1:16">
      <c r="A1040" s="761" t="s">
        <v>2339</v>
      </c>
      <c r="B1040" s="761" t="s">
        <v>2340</v>
      </c>
      <c r="C1040" s="761" t="s">
        <v>2476</v>
      </c>
      <c r="D1040" s="761">
        <v>53506995</v>
      </c>
      <c r="E1040" s="761" t="s">
        <v>2740</v>
      </c>
      <c r="F1040" s="761">
        <v>143006017</v>
      </c>
      <c r="G1040" s="761" t="s">
        <v>2876</v>
      </c>
      <c r="H1040" s="761" t="s">
        <v>2876</v>
      </c>
      <c r="I1040" s="761" t="s">
        <v>6867</v>
      </c>
      <c r="J1040" s="761">
        <v>1</v>
      </c>
      <c r="K1040" s="746">
        <v>15710.67</v>
      </c>
      <c r="L1040" s="746">
        <v>3913.13</v>
      </c>
      <c r="M1040" s="746">
        <v>11797.54</v>
      </c>
      <c r="N1040" s="493" t="str">
        <f t="shared" si="17"/>
        <v>C391</v>
      </c>
      <c r="O1040" s="493" t="s">
        <v>95</v>
      </c>
      <c r="P1040" s="493" t="s">
        <v>2736</v>
      </c>
    </row>
    <row r="1041" spans="1:16" s="763" customFormat="1">
      <c r="A1041" s="761" t="s">
        <v>2339</v>
      </c>
      <c r="B1041" s="761" t="s">
        <v>2340</v>
      </c>
      <c r="C1041" s="761" t="s">
        <v>2517</v>
      </c>
      <c r="D1041" s="761">
        <v>59148344</v>
      </c>
      <c r="E1041" s="761" t="s">
        <v>2740</v>
      </c>
      <c r="F1041" s="761">
        <v>143005364</v>
      </c>
      <c r="G1041" s="761" t="s">
        <v>2836</v>
      </c>
      <c r="H1041" s="761" t="s">
        <v>2836</v>
      </c>
      <c r="I1041" s="761" t="s">
        <v>6867</v>
      </c>
      <c r="J1041" s="761">
        <v>1</v>
      </c>
      <c r="K1041" s="746">
        <v>4027490.64</v>
      </c>
      <c r="L1041" s="746">
        <v>1003147.03</v>
      </c>
      <c r="M1041" s="746">
        <v>3024343.61</v>
      </c>
      <c r="N1041" s="493" t="str">
        <f t="shared" ref="N1041:N1104" si="18">LEFT(E1041,4)</f>
        <v>C391</v>
      </c>
      <c r="O1041" s="493" t="s">
        <v>95</v>
      </c>
      <c r="P1041" s="493" t="s">
        <v>2736</v>
      </c>
    </row>
    <row r="1042" spans="1:16">
      <c r="A1042" s="761" t="s">
        <v>2339</v>
      </c>
      <c r="B1042" s="761" t="s">
        <v>2340</v>
      </c>
      <c r="C1042" s="761" t="s">
        <v>2509</v>
      </c>
      <c r="D1042" s="761">
        <v>56540279</v>
      </c>
      <c r="E1042" s="761" t="s">
        <v>2740</v>
      </c>
      <c r="F1042" s="761">
        <v>143005247</v>
      </c>
      <c r="G1042" s="761" t="s">
        <v>2817</v>
      </c>
      <c r="H1042" s="761" t="s">
        <v>2817</v>
      </c>
      <c r="I1042" s="761" t="s">
        <v>6867</v>
      </c>
      <c r="J1042" s="761">
        <v>1</v>
      </c>
      <c r="K1042" s="746">
        <v>69912.22</v>
      </c>
      <c r="L1042" s="746">
        <v>17413.38</v>
      </c>
      <c r="M1042" s="746">
        <v>52498.840000000004</v>
      </c>
      <c r="N1042" s="493" t="str">
        <f t="shared" si="18"/>
        <v>C391</v>
      </c>
      <c r="O1042" s="493" t="s">
        <v>95</v>
      </c>
      <c r="P1042" s="493" t="s">
        <v>2736</v>
      </c>
    </row>
    <row r="1043" spans="1:16">
      <c r="A1043" s="761" t="s">
        <v>2339</v>
      </c>
      <c r="B1043" s="761" t="s">
        <v>2340</v>
      </c>
      <c r="C1043" s="761" t="s">
        <v>2524</v>
      </c>
      <c r="D1043" s="761">
        <v>57126256</v>
      </c>
      <c r="E1043" s="761" t="s">
        <v>2740</v>
      </c>
      <c r="F1043" s="761">
        <v>143005926</v>
      </c>
      <c r="G1043" s="761" t="s">
        <v>2863</v>
      </c>
      <c r="H1043" s="761" t="s">
        <v>7420</v>
      </c>
      <c r="I1043" s="761" t="s">
        <v>6867</v>
      </c>
      <c r="J1043" s="761">
        <v>1</v>
      </c>
      <c r="K1043" s="746">
        <v>52958.270000000004</v>
      </c>
      <c r="L1043" s="746">
        <v>13190.58</v>
      </c>
      <c r="M1043" s="746">
        <v>39767.69</v>
      </c>
      <c r="N1043" s="493" t="str">
        <f t="shared" si="18"/>
        <v>C391</v>
      </c>
      <c r="O1043" s="493" t="s">
        <v>95</v>
      </c>
      <c r="P1043" s="493" t="s">
        <v>2736</v>
      </c>
    </row>
    <row r="1044" spans="1:16">
      <c r="A1044" s="761" t="s">
        <v>2339</v>
      </c>
      <c r="B1044" s="761" t="s">
        <v>2340</v>
      </c>
      <c r="C1044" s="761" t="s">
        <v>2509</v>
      </c>
      <c r="D1044" s="761">
        <v>57126261</v>
      </c>
      <c r="E1044" s="761" t="s">
        <v>2740</v>
      </c>
      <c r="F1044" s="761">
        <v>143005927</v>
      </c>
      <c r="G1044" s="761" t="s">
        <v>2864</v>
      </c>
      <c r="H1044" s="761" t="s">
        <v>7421</v>
      </c>
      <c r="I1044" s="761" t="s">
        <v>6867</v>
      </c>
      <c r="J1044" s="761">
        <v>1</v>
      </c>
      <c r="K1044" s="746">
        <v>57332.630000000005</v>
      </c>
      <c r="L1044" s="746">
        <v>14280.12</v>
      </c>
      <c r="M1044" s="746">
        <v>43052.51</v>
      </c>
      <c r="N1044" s="493" t="str">
        <f t="shared" si="18"/>
        <v>C391</v>
      </c>
      <c r="O1044" s="493" t="s">
        <v>95</v>
      </c>
      <c r="P1044" s="493" t="s">
        <v>2736</v>
      </c>
    </row>
    <row r="1045" spans="1:16">
      <c r="A1045" s="761" t="s">
        <v>2339</v>
      </c>
      <c r="B1045" s="761" t="s">
        <v>2340</v>
      </c>
      <c r="C1045" s="761" t="s">
        <v>2476</v>
      </c>
      <c r="D1045" s="761">
        <v>57360976</v>
      </c>
      <c r="E1045" s="761" t="s">
        <v>2740</v>
      </c>
      <c r="F1045" s="761">
        <v>143005975</v>
      </c>
      <c r="G1045" s="761" t="s">
        <v>2868</v>
      </c>
      <c r="H1045" s="761" t="s">
        <v>7422</v>
      </c>
      <c r="I1045" s="761" t="s">
        <v>6867</v>
      </c>
      <c r="J1045" s="761">
        <v>1</v>
      </c>
      <c r="K1045" s="746">
        <v>101048.89</v>
      </c>
      <c r="L1045" s="746">
        <v>25168.75</v>
      </c>
      <c r="M1045" s="746">
        <v>75880.14</v>
      </c>
      <c r="N1045" s="493" t="str">
        <f t="shared" si="18"/>
        <v>C391</v>
      </c>
      <c r="O1045" s="493" t="s">
        <v>95</v>
      </c>
      <c r="P1045" s="493" t="s">
        <v>2736</v>
      </c>
    </row>
    <row r="1046" spans="1:16">
      <c r="A1046" s="761" t="s">
        <v>2339</v>
      </c>
      <c r="B1046" s="761" t="s">
        <v>2340</v>
      </c>
      <c r="C1046" s="761" t="s">
        <v>2476</v>
      </c>
      <c r="D1046" s="761">
        <v>57360979</v>
      </c>
      <c r="E1046" s="761" t="s">
        <v>2740</v>
      </c>
      <c r="F1046" s="761">
        <v>143005976</v>
      </c>
      <c r="G1046" s="761" t="s">
        <v>2869</v>
      </c>
      <c r="H1046" s="761" t="s">
        <v>7423</v>
      </c>
      <c r="I1046" s="761" t="s">
        <v>6867</v>
      </c>
      <c r="J1046" s="761">
        <v>1</v>
      </c>
      <c r="K1046" s="746">
        <v>42871.200000000004</v>
      </c>
      <c r="L1046" s="746">
        <v>10678.14</v>
      </c>
      <c r="M1046" s="746">
        <v>32193.06</v>
      </c>
      <c r="N1046" s="493" t="str">
        <f t="shared" si="18"/>
        <v>C391</v>
      </c>
      <c r="O1046" s="493" t="s">
        <v>95</v>
      </c>
      <c r="P1046" s="493" t="s">
        <v>2736</v>
      </c>
    </row>
    <row r="1047" spans="1:16">
      <c r="A1047" s="761" t="s">
        <v>2339</v>
      </c>
      <c r="B1047" s="761" t="s">
        <v>2340</v>
      </c>
      <c r="C1047" s="761" t="s">
        <v>2476</v>
      </c>
      <c r="D1047" s="761">
        <v>57360982</v>
      </c>
      <c r="E1047" s="761" t="s">
        <v>2740</v>
      </c>
      <c r="F1047" s="761">
        <v>143005977</v>
      </c>
      <c r="G1047" s="761" t="s">
        <v>2870</v>
      </c>
      <c r="H1047" s="761" t="s">
        <v>7424</v>
      </c>
      <c r="I1047" s="761" t="s">
        <v>6867</v>
      </c>
      <c r="J1047" s="761">
        <v>1</v>
      </c>
      <c r="K1047" s="746">
        <v>146209.46</v>
      </c>
      <c r="L1047" s="746">
        <v>36417.11</v>
      </c>
      <c r="M1047" s="746">
        <v>109792.35</v>
      </c>
      <c r="N1047" s="493" t="str">
        <f t="shared" si="18"/>
        <v>C391</v>
      </c>
      <c r="O1047" s="493" t="s">
        <v>95</v>
      </c>
      <c r="P1047" s="493" t="s">
        <v>2736</v>
      </c>
    </row>
    <row r="1048" spans="1:16">
      <c r="A1048" s="761" t="s">
        <v>2339</v>
      </c>
      <c r="B1048" s="761" t="s">
        <v>2340</v>
      </c>
      <c r="C1048" s="761" t="s">
        <v>2476</v>
      </c>
      <c r="D1048" s="761">
        <v>57360985</v>
      </c>
      <c r="E1048" s="761" t="s">
        <v>2740</v>
      </c>
      <c r="F1048" s="761">
        <v>143005978</v>
      </c>
      <c r="G1048" s="761" t="s">
        <v>2871</v>
      </c>
      <c r="H1048" s="761" t="s">
        <v>7425</v>
      </c>
      <c r="I1048" s="761" t="s">
        <v>6867</v>
      </c>
      <c r="J1048" s="761">
        <v>1</v>
      </c>
      <c r="K1048" s="746">
        <v>172554.67</v>
      </c>
      <c r="L1048" s="746">
        <v>42979.05</v>
      </c>
      <c r="M1048" s="746">
        <v>129575.62000000001</v>
      </c>
      <c r="N1048" s="493" t="str">
        <f t="shared" si="18"/>
        <v>C391</v>
      </c>
      <c r="O1048" s="493" t="s">
        <v>95</v>
      </c>
      <c r="P1048" s="493" t="s">
        <v>2736</v>
      </c>
    </row>
    <row r="1049" spans="1:16">
      <c r="A1049" s="761" t="s">
        <v>2339</v>
      </c>
      <c r="B1049" s="761" t="s">
        <v>2340</v>
      </c>
      <c r="C1049" s="761" t="s">
        <v>2476</v>
      </c>
      <c r="D1049" s="761">
        <v>57360988</v>
      </c>
      <c r="E1049" s="761" t="s">
        <v>2740</v>
      </c>
      <c r="F1049" s="761">
        <v>143005979</v>
      </c>
      <c r="G1049" s="761" t="s">
        <v>2872</v>
      </c>
      <c r="H1049" s="761" t="s">
        <v>7426</v>
      </c>
      <c r="I1049" s="761" t="s">
        <v>6867</v>
      </c>
      <c r="J1049" s="761">
        <v>1</v>
      </c>
      <c r="K1049" s="746">
        <v>57895.6</v>
      </c>
      <c r="L1049" s="746">
        <v>14420.34</v>
      </c>
      <c r="M1049" s="746">
        <v>43475.26</v>
      </c>
      <c r="N1049" s="493" t="str">
        <f t="shared" si="18"/>
        <v>C391</v>
      </c>
      <c r="O1049" s="493" t="s">
        <v>95</v>
      </c>
      <c r="P1049" s="493" t="s">
        <v>2736</v>
      </c>
    </row>
    <row r="1050" spans="1:16">
      <c r="A1050" s="761" t="s">
        <v>2339</v>
      </c>
      <c r="B1050" s="761" t="s">
        <v>2340</v>
      </c>
      <c r="C1050" s="761" t="s">
        <v>2517</v>
      </c>
      <c r="D1050" s="761">
        <v>57360993</v>
      </c>
      <c r="E1050" s="761" t="s">
        <v>2740</v>
      </c>
      <c r="F1050" s="761">
        <v>143006142</v>
      </c>
      <c r="G1050" s="761" t="s">
        <v>2887</v>
      </c>
      <c r="H1050" s="761" t="s">
        <v>7427</v>
      </c>
      <c r="I1050" s="761" t="s">
        <v>6867</v>
      </c>
      <c r="J1050" s="761">
        <v>1</v>
      </c>
      <c r="K1050" s="746">
        <v>32833.47</v>
      </c>
      <c r="L1050" s="746">
        <v>8177.99</v>
      </c>
      <c r="M1050" s="746">
        <v>24655.48</v>
      </c>
      <c r="N1050" s="493" t="str">
        <f t="shared" si="18"/>
        <v>C391</v>
      </c>
      <c r="O1050" s="493" t="s">
        <v>95</v>
      </c>
      <c r="P1050" s="493" t="s">
        <v>2736</v>
      </c>
    </row>
    <row r="1051" spans="1:16">
      <c r="A1051" s="761" t="s">
        <v>2339</v>
      </c>
      <c r="B1051" s="761" t="s">
        <v>2340</v>
      </c>
      <c r="C1051" s="761" t="s">
        <v>2490</v>
      </c>
      <c r="D1051" s="761">
        <v>59148333</v>
      </c>
      <c r="E1051" s="761" t="s">
        <v>2740</v>
      </c>
      <c r="F1051" s="761">
        <v>143005273</v>
      </c>
      <c r="G1051" s="761" t="s">
        <v>2825</v>
      </c>
      <c r="H1051" s="761" t="s">
        <v>2825</v>
      </c>
      <c r="I1051" s="761" t="s">
        <v>6867</v>
      </c>
      <c r="J1051" s="761">
        <v>1</v>
      </c>
      <c r="K1051" s="746">
        <v>43475.1</v>
      </c>
      <c r="L1051" s="746">
        <v>10828.56</v>
      </c>
      <c r="M1051" s="746">
        <v>32646.54</v>
      </c>
      <c r="N1051" s="493" t="str">
        <f t="shared" si="18"/>
        <v>C391</v>
      </c>
      <c r="O1051" s="493" t="s">
        <v>95</v>
      </c>
      <c r="P1051" s="493" t="s">
        <v>2736</v>
      </c>
    </row>
    <row r="1052" spans="1:16">
      <c r="A1052" s="761" t="s">
        <v>2339</v>
      </c>
      <c r="B1052" s="761" t="s">
        <v>2340</v>
      </c>
      <c r="C1052" s="761" t="s">
        <v>2490</v>
      </c>
      <c r="D1052" s="761">
        <v>59148384</v>
      </c>
      <c r="E1052" s="761" t="s">
        <v>2740</v>
      </c>
      <c r="F1052" s="761">
        <v>143005924</v>
      </c>
      <c r="G1052" s="761" t="s">
        <v>2861</v>
      </c>
      <c r="H1052" s="761" t="s">
        <v>7428</v>
      </c>
      <c r="I1052" s="761" t="s">
        <v>6867</v>
      </c>
      <c r="J1052" s="761">
        <v>1</v>
      </c>
      <c r="K1052" s="746">
        <v>16808.830000000002</v>
      </c>
      <c r="L1052" s="746">
        <v>4186.66</v>
      </c>
      <c r="M1052" s="746">
        <v>12622.17</v>
      </c>
      <c r="N1052" s="493" t="str">
        <f t="shared" si="18"/>
        <v>C391</v>
      </c>
      <c r="O1052" s="493" t="s">
        <v>95</v>
      </c>
      <c r="P1052" s="493" t="s">
        <v>2736</v>
      </c>
    </row>
    <row r="1053" spans="1:16">
      <c r="A1053" s="761" t="s">
        <v>2339</v>
      </c>
      <c r="B1053" s="761" t="s">
        <v>2340</v>
      </c>
      <c r="C1053" s="761" t="s">
        <v>2476</v>
      </c>
      <c r="D1053" s="761">
        <v>57917050</v>
      </c>
      <c r="E1053" s="761" t="s">
        <v>2740</v>
      </c>
      <c r="F1053" s="761">
        <v>143005237</v>
      </c>
      <c r="G1053" s="761" t="s">
        <v>2813</v>
      </c>
      <c r="H1053" s="761" t="s">
        <v>7429</v>
      </c>
      <c r="I1053" s="761" t="s">
        <v>6867</v>
      </c>
      <c r="J1053" s="761">
        <v>1</v>
      </c>
      <c r="K1053" s="746">
        <v>1064352.21</v>
      </c>
      <c r="L1053" s="746">
        <v>265103.47000000003</v>
      </c>
      <c r="M1053" s="746">
        <v>799248.74</v>
      </c>
      <c r="N1053" s="493" t="str">
        <f t="shared" si="18"/>
        <v>C391</v>
      </c>
      <c r="O1053" s="493" t="s">
        <v>95</v>
      </c>
      <c r="P1053" s="493" t="s">
        <v>2736</v>
      </c>
    </row>
    <row r="1054" spans="1:16">
      <c r="A1054" s="761" t="s">
        <v>2339</v>
      </c>
      <c r="B1054" s="761" t="s">
        <v>2340</v>
      </c>
      <c r="C1054" s="761" t="s">
        <v>2476</v>
      </c>
      <c r="D1054" s="761">
        <v>57917065</v>
      </c>
      <c r="E1054" s="761" t="s">
        <v>2740</v>
      </c>
      <c r="F1054" s="761">
        <v>143005866</v>
      </c>
      <c r="G1054" s="761" t="s">
        <v>2857</v>
      </c>
      <c r="H1054" s="761" t="s">
        <v>7430</v>
      </c>
      <c r="I1054" s="761" t="s">
        <v>6867</v>
      </c>
      <c r="J1054" s="761">
        <v>1</v>
      </c>
      <c r="K1054" s="746">
        <v>85476.44</v>
      </c>
      <c r="L1054" s="746">
        <v>21290.04</v>
      </c>
      <c r="M1054" s="746">
        <v>64186.400000000001</v>
      </c>
      <c r="N1054" s="493" t="str">
        <f t="shared" si="18"/>
        <v>C391</v>
      </c>
      <c r="O1054" s="493" t="s">
        <v>95</v>
      </c>
      <c r="P1054" s="493" t="s">
        <v>2736</v>
      </c>
    </row>
    <row r="1055" spans="1:16">
      <c r="A1055" s="761" t="s">
        <v>2339</v>
      </c>
      <c r="B1055" s="761" t="s">
        <v>2340</v>
      </c>
      <c r="C1055" s="761" t="s">
        <v>2527</v>
      </c>
      <c r="D1055" s="761">
        <v>57917105</v>
      </c>
      <c r="E1055" s="761" t="s">
        <v>2740</v>
      </c>
      <c r="F1055" s="761">
        <v>143006011</v>
      </c>
      <c r="G1055" s="761" t="s">
        <v>2875</v>
      </c>
      <c r="H1055" s="761" t="s">
        <v>7431</v>
      </c>
      <c r="I1055" s="761" t="s">
        <v>6867</v>
      </c>
      <c r="J1055" s="761">
        <v>1</v>
      </c>
      <c r="K1055" s="746">
        <v>56371.23</v>
      </c>
      <c r="L1055" s="746">
        <v>14040.66</v>
      </c>
      <c r="M1055" s="746">
        <v>42330.57</v>
      </c>
      <c r="N1055" s="493" t="str">
        <f t="shared" si="18"/>
        <v>C391</v>
      </c>
      <c r="O1055" s="493" t="s">
        <v>95</v>
      </c>
      <c r="P1055" s="493" t="s">
        <v>2736</v>
      </c>
    </row>
    <row r="1056" spans="1:16">
      <c r="A1056" s="761" t="s">
        <v>2339</v>
      </c>
      <c r="B1056" s="761" t="s">
        <v>2340</v>
      </c>
      <c r="C1056" s="761" t="s">
        <v>2476</v>
      </c>
      <c r="D1056" s="761">
        <v>57917111</v>
      </c>
      <c r="E1056" s="761" t="s">
        <v>2740</v>
      </c>
      <c r="F1056" s="761">
        <v>143006018</v>
      </c>
      <c r="G1056" s="761" t="s">
        <v>2877</v>
      </c>
      <c r="H1056" s="761" t="s">
        <v>7432</v>
      </c>
      <c r="I1056" s="761" t="s">
        <v>6867</v>
      </c>
      <c r="J1056" s="761">
        <v>1</v>
      </c>
      <c r="K1056" s="746">
        <v>9099.2900000000009</v>
      </c>
      <c r="L1056" s="746">
        <v>2266.41</v>
      </c>
      <c r="M1056" s="746">
        <v>6832.88</v>
      </c>
      <c r="N1056" s="493" t="str">
        <f t="shared" si="18"/>
        <v>C391</v>
      </c>
      <c r="O1056" s="493" t="s">
        <v>95</v>
      </c>
      <c r="P1056" s="493" t="s">
        <v>2736</v>
      </c>
    </row>
    <row r="1057" spans="1:65">
      <c r="A1057" s="761" t="s">
        <v>2339</v>
      </c>
      <c r="B1057" s="761" t="s">
        <v>2340</v>
      </c>
      <c r="C1057" s="761" t="s">
        <v>2476</v>
      </c>
      <c r="D1057" s="761">
        <v>58131180</v>
      </c>
      <c r="E1057" s="761" t="s">
        <v>2740</v>
      </c>
      <c r="F1057" s="761">
        <v>143005867</v>
      </c>
      <c r="G1057" s="761" t="s">
        <v>2858</v>
      </c>
      <c r="H1057" s="761" t="s">
        <v>7433</v>
      </c>
      <c r="I1057" s="761" t="s">
        <v>6867</v>
      </c>
      <c r="J1057" s="761">
        <v>1</v>
      </c>
      <c r="K1057" s="746">
        <v>46051.99</v>
      </c>
      <c r="L1057" s="746">
        <v>11470.4</v>
      </c>
      <c r="M1057" s="746">
        <v>34581.590000000004</v>
      </c>
      <c r="N1057" s="493" t="str">
        <f t="shared" si="18"/>
        <v>C391</v>
      </c>
      <c r="O1057" s="493" t="s">
        <v>95</v>
      </c>
      <c r="P1057" s="493" t="s">
        <v>2736</v>
      </c>
    </row>
    <row r="1058" spans="1:65">
      <c r="A1058" s="761" t="s">
        <v>2339</v>
      </c>
      <c r="B1058" s="761" t="s">
        <v>2340</v>
      </c>
      <c r="C1058" s="761" t="s">
        <v>2476</v>
      </c>
      <c r="D1058" s="761">
        <v>58131183</v>
      </c>
      <c r="E1058" s="761" t="s">
        <v>2740</v>
      </c>
      <c r="F1058" s="761">
        <v>143005870</v>
      </c>
      <c r="G1058" s="761" t="s">
        <v>2860</v>
      </c>
      <c r="H1058" s="761" t="s">
        <v>7434</v>
      </c>
      <c r="I1058" s="761" t="s">
        <v>6867</v>
      </c>
      <c r="J1058" s="761">
        <v>1</v>
      </c>
      <c r="K1058" s="746">
        <v>2322844.67</v>
      </c>
      <c r="L1058" s="746">
        <v>578562.42000000004</v>
      </c>
      <c r="M1058" s="746">
        <v>1744282.25</v>
      </c>
      <c r="N1058" s="493" t="str">
        <f t="shared" si="18"/>
        <v>C391</v>
      </c>
      <c r="O1058" s="493" t="s">
        <v>95</v>
      </c>
      <c r="P1058" s="493" t="s">
        <v>2736</v>
      </c>
    </row>
    <row r="1059" spans="1:65">
      <c r="A1059" s="761" t="s">
        <v>2339</v>
      </c>
      <c r="B1059" s="761" t="s">
        <v>2340</v>
      </c>
      <c r="C1059" s="761" t="s">
        <v>2517</v>
      </c>
      <c r="D1059" s="761">
        <v>58131243</v>
      </c>
      <c r="E1059" s="761" t="s">
        <v>2740</v>
      </c>
      <c r="F1059" s="761">
        <v>143006008</v>
      </c>
      <c r="G1059" s="761" t="s">
        <v>2873</v>
      </c>
      <c r="H1059" s="761" t="s">
        <v>7435</v>
      </c>
      <c r="I1059" s="761" t="s">
        <v>6867</v>
      </c>
      <c r="J1059" s="761">
        <v>1</v>
      </c>
      <c r="K1059" s="746">
        <v>85128.63</v>
      </c>
      <c r="L1059" s="746">
        <v>21203.41</v>
      </c>
      <c r="M1059" s="746">
        <v>63925.22</v>
      </c>
      <c r="N1059" s="493" t="str">
        <f t="shared" si="18"/>
        <v>C391</v>
      </c>
      <c r="O1059" s="493" t="s">
        <v>95</v>
      </c>
      <c r="P1059" s="493" t="s">
        <v>2736</v>
      </c>
    </row>
    <row r="1060" spans="1:65">
      <c r="A1060" s="761" t="s">
        <v>2339</v>
      </c>
      <c r="B1060" s="761" t="s">
        <v>2340</v>
      </c>
      <c r="C1060" s="761" t="s">
        <v>2490</v>
      </c>
      <c r="D1060" s="761">
        <v>58131246</v>
      </c>
      <c r="E1060" s="761" t="s">
        <v>2740</v>
      </c>
      <c r="F1060" s="761">
        <v>143006009</v>
      </c>
      <c r="G1060" s="761" t="s">
        <v>2874</v>
      </c>
      <c r="H1060" s="761" t="s">
        <v>7436</v>
      </c>
      <c r="I1060" s="761" t="s">
        <v>6867</v>
      </c>
      <c r="J1060" s="761">
        <v>1</v>
      </c>
      <c r="K1060" s="746">
        <v>153276.26999999999</v>
      </c>
      <c r="L1060" s="746">
        <v>38177.279999999999</v>
      </c>
      <c r="M1060" s="746">
        <v>115098.99</v>
      </c>
      <c r="N1060" s="493" t="str">
        <f t="shared" si="18"/>
        <v>C391</v>
      </c>
      <c r="O1060" s="493" t="s">
        <v>95</v>
      </c>
      <c r="P1060" s="493" t="s">
        <v>2736</v>
      </c>
    </row>
    <row r="1061" spans="1:65" s="1691" customFormat="1">
      <c r="A1061" s="762" t="s">
        <v>2339</v>
      </c>
      <c r="B1061" s="762" t="s">
        <v>2340</v>
      </c>
      <c r="C1061" s="762" t="s">
        <v>2476</v>
      </c>
      <c r="D1061" s="762">
        <v>67452114</v>
      </c>
      <c r="E1061" s="762" t="s">
        <v>2740</v>
      </c>
      <c r="F1061" s="762">
        <v>143006042</v>
      </c>
      <c r="G1061" s="762" t="s">
        <v>3722</v>
      </c>
      <c r="H1061" s="1917" t="s">
        <v>7437</v>
      </c>
      <c r="I1061" s="762" t="s">
        <v>6867</v>
      </c>
      <c r="J1061" s="762">
        <v>0</v>
      </c>
      <c r="K1061" s="1911">
        <v>69700.36</v>
      </c>
      <c r="L1061" s="1911">
        <v>17360.61</v>
      </c>
      <c r="M1061" s="1911">
        <v>52339.75</v>
      </c>
      <c r="N1061" s="1752" t="str">
        <f t="shared" si="18"/>
        <v>C391</v>
      </c>
      <c r="O1061" s="1752" t="s">
        <v>95</v>
      </c>
      <c r="P1061" s="1752" t="s">
        <v>2736</v>
      </c>
      <c r="Q1061" s="761"/>
      <c r="R1061" s="761"/>
      <c r="S1061" s="761"/>
      <c r="T1061" s="761"/>
      <c r="U1061" s="761"/>
      <c r="V1061" s="761"/>
      <c r="W1061" s="761"/>
      <c r="X1061" s="761"/>
      <c r="Y1061" s="761"/>
      <c r="Z1061" s="761"/>
      <c r="AA1061" s="761"/>
      <c r="AB1061" s="761"/>
      <c r="AC1061" s="761"/>
      <c r="AD1061" s="761"/>
      <c r="AE1061" s="761"/>
      <c r="AF1061" s="761"/>
      <c r="AG1061" s="761"/>
      <c r="AH1061" s="761"/>
      <c r="AI1061" s="761"/>
      <c r="AJ1061" s="761"/>
      <c r="AK1061" s="761"/>
      <c r="AL1061" s="761"/>
      <c r="AM1061" s="761"/>
      <c r="AN1061" s="761"/>
      <c r="AO1061" s="761"/>
      <c r="AP1061" s="761"/>
      <c r="AQ1061" s="761"/>
      <c r="AR1061" s="761"/>
      <c r="AS1061" s="761"/>
      <c r="AT1061" s="761"/>
      <c r="AU1061" s="761"/>
      <c r="AV1061" s="761"/>
      <c r="AW1061" s="761"/>
      <c r="AX1061" s="761"/>
      <c r="AY1061" s="761"/>
      <c r="AZ1061" s="761"/>
      <c r="BA1061" s="761"/>
      <c r="BB1061" s="761"/>
      <c r="BC1061" s="761"/>
      <c r="BD1061" s="761"/>
      <c r="BE1061" s="761"/>
      <c r="BF1061" s="761"/>
      <c r="BG1061" s="761"/>
      <c r="BH1061" s="761"/>
      <c r="BI1061" s="761"/>
      <c r="BJ1061" s="761"/>
      <c r="BK1061" s="761"/>
      <c r="BL1061" s="761"/>
      <c r="BM1061" s="761"/>
    </row>
    <row r="1062" spans="1:65" s="1720" customFormat="1">
      <c r="A1062" s="762" t="s">
        <v>2339</v>
      </c>
      <c r="B1062" s="762" t="s">
        <v>2340</v>
      </c>
      <c r="C1062" s="762" t="s">
        <v>2476</v>
      </c>
      <c r="D1062" s="762">
        <v>58341051</v>
      </c>
      <c r="E1062" s="762" t="s">
        <v>2740</v>
      </c>
      <c r="F1062" s="762">
        <v>143005287</v>
      </c>
      <c r="G1062" s="762" t="s">
        <v>2833</v>
      </c>
      <c r="H1062" s="762" t="s">
        <v>7438</v>
      </c>
      <c r="I1062" s="762" t="s">
        <v>6867</v>
      </c>
      <c r="J1062" s="762">
        <v>1</v>
      </c>
      <c r="K1062" s="1911">
        <v>269818.5</v>
      </c>
      <c r="L1062" s="1911">
        <v>47079.03</v>
      </c>
      <c r="M1062" s="1911">
        <v>222739.47</v>
      </c>
      <c r="N1062" s="1752" t="str">
        <f t="shared" si="18"/>
        <v>C391</v>
      </c>
      <c r="O1062" s="1752" t="s">
        <v>95</v>
      </c>
      <c r="P1062" s="1752" t="s">
        <v>2736</v>
      </c>
      <c r="Q1062" s="761"/>
      <c r="R1062" s="761"/>
      <c r="S1062" s="761"/>
      <c r="T1062" s="761"/>
      <c r="U1062" s="761"/>
      <c r="V1062" s="761"/>
      <c r="W1062" s="761"/>
      <c r="X1062" s="761"/>
      <c r="Y1062" s="761"/>
      <c r="Z1062" s="761"/>
      <c r="AA1062" s="761"/>
      <c r="AB1062" s="761"/>
      <c r="AC1062" s="761"/>
      <c r="AD1062" s="761"/>
      <c r="AE1062" s="761"/>
      <c r="AF1062" s="761"/>
      <c r="AG1062" s="761"/>
      <c r="AH1062" s="761"/>
      <c r="AI1062" s="761"/>
      <c r="AJ1062" s="761"/>
      <c r="AK1062" s="761"/>
      <c r="AL1062" s="761"/>
      <c r="AM1062" s="761"/>
      <c r="AN1062" s="761"/>
      <c r="AO1062" s="761"/>
      <c r="AP1062" s="761"/>
      <c r="AQ1062" s="761"/>
      <c r="AR1062" s="761"/>
      <c r="AS1062" s="761"/>
      <c r="AT1062" s="761"/>
      <c r="AU1062" s="761"/>
      <c r="AV1062" s="761"/>
      <c r="AW1062" s="761"/>
      <c r="AX1062" s="761"/>
      <c r="AY1062" s="761"/>
      <c r="AZ1062" s="761"/>
      <c r="BA1062" s="761"/>
      <c r="BB1062" s="761"/>
      <c r="BC1062" s="761"/>
      <c r="BD1062" s="761"/>
      <c r="BE1062" s="761"/>
      <c r="BF1062" s="761"/>
      <c r="BG1062" s="761"/>
      <c r="BH1062" s="761"/>
      <c r="BI1062" s="761"/>
      <c r="BJ1062" s="761"/>
      <c r="BK1062" s="761"/>
      <c r="BL1062" s="761"/>
      <c r="BM1062" s="761"/>
    </row>
    <row r="1063" spans="1:65" s="1720" customFormat="1">
      <c r="A1063" s="762" t="s">
        <v>2339</v>
      </c>
      <c r="B1063" s="762" t="s">
        <v>2340</v>
      </c>
      <c r="C1063" s="762" t="s">
        <v>2527</v>
      </c>
      <c r="D1063" s="762">
        <v>58341060</v>
      </c>
      <c r="E1063" s="762" t="s">
        <v>2740</v>
      </c>
      <c r="F1063" s="762">
        <v>143005503</v>
      </c>
      <c r="G1063" s="762" t="s">
        <v>2846</v>
      </c>
      <c r="H1063" s="762" t="s">
        <v>7439</v>
      </c>
      <c r="I1063" s="762" t="s">
        <v>6867</v>
      </c>
      <c r="J1063" s="762">
        <v>1</v>
      </c>
      <c r="K1063" s="1911">
        <v>38814.04</v>
      </c>
      <c r="L1063" s="1911">
        <v>6772.43</v>
      </c>
      <c r="M1063" s="1911">
        <v>32041.61</v>
      </c>
      <c r="N1063" s="1752" t="str">
        <f t="shared" si="18"/>
        <v>C391</v>
      </c>
      <c r="O1063" s="1752" t="s">
        <v>95</v>
      </c>
      <c r="P1063" s="1752" t="s">
        <v>2736</v>
      </c>
      <c r="Q1063" s="761"/>
      <c r="R1063" s="761"/>
      <c r="S1063" s="761"/>
      <c r="T1063" s="761"/>
      <c r="U1063" s="761"/>
      <c r="V1063" s="761"/>
      <c r="W1063" s="761"/>
      <c r="X1063" s="761"/>
      <c r="Y1063" s="761"/>
      <c r="Z1063" s="761"/>
      <c r="AA1063" s="761"/>
      <c r="AB1063" s="761"/>
      <c r="AC1063" s="761"/>
      <c r="AD1063" s="761"/>
      <c r="AE1063" s="761"/>
      <c r="AF1063" s="761"/>
      <c r="AG1063" s="761"/>
      <c r="AH1063" s="761"/>
      <c r="AI1063" s="761"/>
      <c r="AJ1063" s="761"/>
      <c r="AK1063" s="761"/>
      <c r="AL1063" s="761"/>
      <c r="AM1063" s="761"/>
      <c r="AN1063" s="761"/>
      <c r="AO1063" s="761"/>
      <c r="AP1063" s="761"/>
      <c r="AQ1063" s="761"/>
      <c r="AR1063" s="761"/>
      <c r="AS1063" s="761"/>
      <c r="AT1063" s="761"/>
      <c r="AU1063" s="761"/>
      <c r="AV1063" s="761"/>
      <c r="AW1063" s="761"/>
      <c r="AX1063" s="761"/>
      <c r="AY1063" s="761"/>
      <c r="AZ1063" s="761"/>
      <c r="BA1063" s="761"/>
      <c r="BB1063" s="761"/>
      <c r="BC1063" s="761"/>
      <c r="BD1063" s="761"/>
      <c r="BE1063" s="761"/>
      <c r="BF1063" s="761"/>
      <c r="BG1063" s="761"/>
      <c r="BH1063" s="761"/>
      <c r="BI1063" s="761"/>
      <c r="BJ1063" s="761"/>
      <c r="BK1063" s="761"/>
      <c r="BL1063" s="761"/>
      <c r="BM1063" s="761"/>
    </row>
    <row r="1064" spans="1:65" s="1720" customFormat="1">
      <c r="A1064" s="762" t="s">
        <v>2339</v>
      </c>
      <c r="B1064" s="762" t="s">
        <v>2340</v>
      </c>
      <c r="C1064" s="762" t="s">
        <v>2476</v>
      </c>
      <c r="D1064" s="762">
        <v>58341063</v>
      </c>
      <c r="E1064" s="762" t="s">
        <v>2740</v>
      </c>
      <c r="F1064" s="762">
        <v>143005869</v>
      </c>
      <c r="G1064" s="762" t="s">
        <v>2859</v>
      </c>
      <c r="H1064" s="762" t="s">
        <v>7440</v>
      </c>
      <c r="I1064" s="762" t="s">
        <v>6867</v>
      </c>
      <c r="J1064" s="762">
        <v>1</v>
      </c>
      <c r="K1064" s="1911">
        <v>1348659.73</v>
      </c>
      <c r="L1064" s="1911">
        <v>235319.65</v>
      </c>
      <c r="M1064" s="1911">
        <v>1113340.08</v>
      </c>
      <c r="N1064" s="1752" t="str">
        <f t="shared" si="18"/>
        <v>C391</v>
      </c>
      <c r="O1064" s="1752" t="s">
        <v>95</v>
      </c>
      <c r="P1064" s="1752" t="s">
        <v>2736</v>
      </c>
      <c r="Q1064" s="761"/>
      <c r="R1064" s="761"/>
      <c r="S1064" s="761"/>
      <c r="T1064" s="761"/>
      <c r="U1064" s="761"/>
      <c r="V1064" s="761"/>
      <c r="W1064" s="761"/>
      <c r="X1064" s="761"/>
      <c r="Y1064" s="761"/>
      <c r="Z1064" s="761"/>
      <c r="AA1064" s="761"/>
      <c r="AB1064" s="761"/>
      <c r="AC1064" s="761"/>
      <c r="AD1064" s="761"/>
      <c r="AE1064" s="761"/>
      <c r="AF1064" s="761"/>
      <c r="AG1064" s="761"/>
      <c r="AH1064" s="761"/>
      <c r="AI1064" s="761"/>
      <c r="AJ1064" s="761"/>
      <c r="AK1064" s="761"/>
      <c r="AL1064" s="761"/>
      <c r="AM1064" s="761"/>
      <c r="AN1064" s="761"/>
      <c r="AO1064" s="761"/>
      <c r="AP1064" s="761"/>
      <c r="AQ1064" s="761"/>
      <c r="AR1064" s="761"/>
      <c r="AS1064" s="761"/>
      <c r="AT1064" s="761"/>
      <c r="AU1064" s="761"/>
      <c r="AV1064" s="761"/>
      <c r="AW1064" s="761"/>
      <c r="AX1064" s="761"/>
      <c r="AY1064" s="761"/>
      <c r="AZ1064" s="761"/>
      <c r="BA1064" s="761"/>
      <c r="BB1064" s="761"/>
      <c r="BC1064" s="761"/>
      <c r="BD1064" s="761"/>
      <c r="BE1064" s="761"/>
      <c r="BF1064" s="761"/>
      <c r="BG1064" s="761"/>
      <c r="BH1064" s="761"/>
      <c r="BI1064" s="761"/>
      <c r="BJ1064" s="761"/>
      <c r="BK1064" s="761"/>
      <c r="BL1064" s="761"/>
      <c r="BM1064" s="761"/>
    </row>
    <row r="1065" spans="1:65" s="1720" customFormat="1">
      <c r="A1065" s="762" t="s">
        <v>2339</v>
      </c>
      <c r="B1065" s="762" t="s">
        <v>2340</v>
      </c>
      <c r="C1065" s="762" t="s">
        <v>2517</v>
      </c>
      <c r="D1065" s="762">
        <v>58341177</v>
      </c>
      <c r="E1065" s="762" t="s">
        <v>2740</v>
      </c>
      <c r="F1065" s="762">
        <v>143006362</v>
      </c>
      <c r="G1065" s="762" t="s">
        <v>2909</v>
      </c>
      <c r="H1065" s="762" t="s">
        <v>7441</v>
      </c>
      <c r="I1065" s="762" t="s">
        <v>6867</v>
      </c>
      <c r="J1065" s="762">
        <v>1</v>
      </c>
      <c r="K1065" s="1911">
        <v>470084.62</v>
      </c>
      <c r="L1065" s="1911">
        <v>82022.28</v>
      </c>
      <c r="M1065" s="1911">
        <v>388062.34</v>
      </c>
      <c r="N1065" s="1752" t="str">
        <f t="shared" si="18"/>
        <v>C391</v>
      </c>
      <c r="O1065" s="1752" t="s">
        <v>95</v>
      </c>
      <c r="P1065" s="1752" t="s">
        <v>2736</v>
      </c>
      <c r="Q1065" s="761"/>
      <c r="R1065" s="761"/>
      <c r="S1065" s="761"/>
      <c r="T1065" s="761"/>
      <c r="U1065" s="761"/>
      <c r="V1065" s="761"/>
      <c r="W1065" s="761"/>
      <c r="X1065" s="761"/>
      <c r="Y1065" s="761"/>
      <c r="Z1065" s="761"/>
      <c r="AA1065" s="761"/>
      <c r="AB1065" s="761"/>
      <c r="AC1065" s="761"/>
      <c r="AD1065" s="761"/>
      <c r="AE1065" s="761"/>
      <c r="AF1065" s="761"/>
      <c r="AG1065" s="761"/>
      <c r="AH1065" s="761"/>
      <c r="AI1065" s="761"/>
      <c r="AJ1065" s="761"/>
      <c r="AK1065" s="761"/>
      <c r="AL1065" s="761"/>
      <c r="AM1065" s="761"/>
      <c r="AN1065" s="761"/>
      <c r="AO1065" s="761"/>
      <c r="AP1065" s="761"/>
      <c r="AQ1065" s="761"/>
      <c r="AR1065" s="761"/>
      <c r="AS1065" s="761"/>
      <c r="AT1065" s="761"/>
      <c r="AU1065" s="761"/>
      <c r="AV1065" s="761"/>
      <c r="AW1065" s="761"/>
      <c r="AX1065" s="761"/>
      <c r="AY1065" s="761"/>
      <c r="AZ1065" s="761"/>
      <c r="BA1065" s="761"/>
      <c r="BB1065" s="761"/>
      <c r="BC1065" s="761"/>
      <c r="BD1065" s="761"/>
      <c r="BE1065" s="761"/>
      <c r="BF1065" s="761"/>
      <c r="BG1065" s="761"/>
      <c r="BH1065" s="761"/>
      <c r="BI1065" s="761"/>
      <c r="BJ1065" s="761"/>
      <c r="BK1065" s="761"/>
      <c r="BL1065" s="761"/>
      <c r="BM1065" s="761"/>
    </row>
    <row r="1066" spans="1:65" s="1720" customFormat="1">
      <c r="A1066" s="762" t="s">
        <v>2339</v>
      </c>
      <c r="B1066" s="762" t="s">
        <v>2340</v>
      </c>
      <c r="C1066" s="762" t="s">
        <v>2524</v>
      </c>
      <c r="D1066" s="762">
        <v>58533199</v>
      </c>
      <c r="E1066" s="762" t="s">
        <v>2740</v>
      </c>
      <c r="F1066" s="762">
        <v>143005245</v>
      </c>
      <c r="G1066" s="762" t="s">
        <v>2815</v>
      </c>
      <c r="H1066" s="762" t="s">
        <v>2815</v>
      </c>
      <c r="I1066" s="762" t="s">
        <v>6867</v>
      </c>
      <c r="J1066" s="762">
        <v>1</v>
      </c>
      <c r="K1066" s="1911">
        <v>137678.99</v>
      </c>
      <c r="L1066" s="1911">
        <v>24022.79</v>
      </c>
      <c r="M1066" s="1911">
        <v>113656.2</v>
      </c>
      <c r="N1066" s="1752" t="str">
        <f t="shared" si="18"/>
        <v>C391</v>
      </c>
      <c r="O1066" s="1752" t="s">
        <v>95</v>
      </c>
      <c r="P1066" s="1752" t="s">
        <v>2736</v>
      </c>
      <c r="Q1066" s="761"/>
      <c r="R1066" s="761"/>
      <c r="S1066" s="761"/>
      <c r="T1066" s="761"/>
      <c r="U1066" s="761"/>
      <c r="V1066" s="761"/>
      <c r="W1066" s="761"/>
      <c r="X1066" s="761"/>
      <c r="Y1066" s="761"/>
      <c r="Z1066" s="761"/>
      <c r="AA1066" s="761"/>
      <c r="AB1066" s="761"/>
      <c r="AC1066" s="761"/>
      <c r="AD1066" s="761"/>
      <c r="AE1066" s="761"/>
      <c r="AF1066" s="761"/>
      <c r="AG1066" s="761"/>
      <c r="AH1066" s="761"/>
      <c r="AI1066" s="761"/>
      <c r="AJ1066" s="761"/>
      <c r="AK1066" s="761"/>
      <c r="AL1066" s="761"/>
      <c r="AM1066" s="761"/>
      <c r="AN1066" s="761"/>
      <c r="AO1066" s="761"/>
      <c r="AP1066" s="761"/>
      <c r="AQ1066" s="761"/>
      <c r="AR1066" s="761"/>
      <c r="AS1066" s="761"/>
      <c r="AT1066" s="761"/>
      <c r="AU1066" s="761"/>
      <c r="AV1066" s="761"/>
      <c r="AW1066" s="761"/>
      <c r="AX1066" s="761"/>
      <c r="AY1066" s="761"/>
      <c r="AZ1066" s="761"/>
      <c r="BA1066" s="761"/>
      <c r="BB1066" s="761"/>
      <c r="BC1066" s="761"/>
      <c r="BD1066" s="761"/>
      <c r="BE1066" s="761"/>
      <c r="BF1066" s="761"/>
      <c r="BG1066" s="761"/>
      <c r="BH1066" s="761"/>
      <c r="BI1066" s="761"/>
      <c r="BJ1066" s="761"/>
      <c r="BK1066" s="761"/>
      <c r="BL1066" s="761"/>
      <c r="BM1066" s="761"/>
    </row>
    <row r="1067" spans="1:65" s="1720" customFormat="1">
      <c r="A1067" s="762" t="s">
        <v>2339</v>
      </c>
      <c r="B1067" s="762" t="s">
        <v>2340</v>
      </c>
      <c r="C1067" s="762" t="s">
        <v>2490</v>
      </c>
      <c r="D1067" s="762">
        <v>62712049</v>
      </c>
      <c r="E1067" s="762" t="s">
        <v>2740</v>
      </c>
      <c r="F1067" s="762">
        <v>143005869</v>
      </c>
      <c r="G1067" s="762" t="s">
        <v>2859</v>
      </c>
      <c r="H1067" s="762" t="s">
        <v>7440</v>
      </c>
      <c r="I1067" s="762" t="s">
        <v>6867</v>
      </c>
      <c r="J1067" s="762">
        <v>1</v>
      </c>
      <c r="K1067" s="1911">
        <v>1349469.92</v>
      </c>
      <c r="L1067" s="1911">
        <v>235461.02000000002</v>
      </c>
      <c r="M1067" s="1911">
        <v>1114008.8999999999</v>
      </c>
      <c r="N1067" s="1752" t="str">
        <f t="shared" si="18"/>
        <v>C391</v>
      </c>
      <c r="O1067" s="1752" t="s">
        <v>95</v>
      </c>
      <c r="P1067" s="1752" t="s">
        <v>2736</v>
      </c>
      <c r="Q1067" s="761"/>
      <c r="R1067" s="761"/>
      <c r="S1067" s="761"/>
      <c r="T1067" s="761"/>
      <c r="U1067" s="761"/>
      <c r="V1067" s="761"/>
      <c r="W1067" s="761"/>
      <c r="X1067" s="761"/>
      <c r="Y1067" s="761"/>
      <c r="Z1067" s="761"/>
      <c r="AA1067" s="761"/>
      <c r="AB1067" s="761"/>
      <c r="AC1067" s="761"/>
      <c r="AD1067" s="761"/>
      <c r="AE1067" s="761"/>
      <c r="AF1067" s="761"/>
      <c r="AG1067" s="761"/>
      <c r="AH1067" s="761"/>
      <c r="AI1067" s="761"/>
      <c r="AJ1067" s="761"/>
      <c r="AK1067" s="761"/>
      <c r="AL1067" s="761"/>
      <c r="AM1067" s="761"/>
      <c r="AN1067" s="761"/>
      <c r="AO1067" s="761"/>
      <c r="AP1067" s="761"/>
      <c r="AQ1067" s="761"/>
      <c r="AR1067" s="761"/>
      <c r="AS1067" s="761"/>
      <c r="AT1067" s="761"/>
      <c r="AU1067" s="761"/>
      <c r="AV1067" s="761"/>
      <c r="AW1067" s="761"/>
      <c r="AX1067" s="761"/>
      <c r="AY1067" s="761"/>
      <c r="AZ1067" s="761"/>
      <c r="BA1067" s="761"/>
      <c r="BB1067" s="761"/>
      <c r="BC1067" s="761"/>
      <c r="BD1067" s="761"/>
      <c r="BE1067" s="761"/>
      <c r="BF1067" s="761"/>
      <c r="BG1067" s="761"/>
      <c r="BH1067" s="761"/>
      <c r="BI1067" s="761"/>
      <c r="BJ1067" s="761"/>
      <c r="BK1067" s="761"/>
      <c r="BL1067" s="761"/>
      <c r="BM1067" s="761"/>
    </row>
    <row r="1068" spans="1:65" s="1720" customFormat="1">
      <c r="A1068" s="762" t="s">
        <v>2339</v>
      </c>
      <c r="B1068" s="762" t="s">
        <v>2340</v>
      </c>
      <c r="C1068" s="762" t="s">
        <v>2476</v>
      </c>
      <c r="D1068" s="762">
        <v>58630182</v>
      </c>
      <c r="E1068" s="762" t="s">
        <v>2740</v>
      </c>
      <c r="F1068" s="762">
        <v>143006223</v>
      </c>
      <c r="G1068" s="762" t="s">
        <v>2889</v>
      </c>
      <c r="H1068" s="762" t="s">
        <v>2889</v>
      </c>
      <c r="I1068" s="762" t="s">
        <v>6867</v>
      </c>
      <c r="J1068" s="762">
        <v>1</v>
      </c>
      <c r="K1068" s="1911">
        <v>1093.76</v>
      </c>
      <c r="L1068" s="1911">
        <v>190.84</v>
      </c>
      <c r="M1068" s="1911">
        <v>902.92000000000007</v>
      </c>
      <c r="N1068" s="1752" t="str">
        <f t="shared" si="18"/>
        <v>C391</v>
      </c>
      <c r="O1068" s="1752" t="s">
        <v>95</v>
      </c>
      <c r="P1068" s="1752" t="s">
        <v>2736</v>
      </c>
      <c r="Q1068" s="761"/>
      <c r="R1068" s="761"/>
      <c r="S1068" s="761"/>
      <c r="T1068" s="761"/>
      <c r="U1068" s="761"/>
      <c r="V1068" s="761"/>
      <c r="W1068" s="761"/>
      <c r="X1068" s="761"/>
      <c r="Y1068" s="761"/>
      <c r="Z1068" s="761"/>
      <c r="AA1068" s="761"/>
      <c r="AB1068" s="761"/>
      <c r="AC1068" s="761"/>
      <c r="AD1068" s="761"/>
      <c r="AE1068" s="761"/>
      <c r="AF1068" s="761"/>
      <c r="AG1068" s="761"/>
      <c r="AH1068" s="761"/>
      <c r="AI1068" s="761"/>
      <c r="AJ1068" s="761"/>
      <c r="AK1068" s="761"/>
      <c r="AL1068" s="761"/>
      <c r="AM1068" s="761"/>
      <c r="AN1068" s="761"/>
      <c r="AO1068" s="761"/>
      <c r="AP1068" s="761"/>
      <c r="AQ1068" s="761"/>
      <c r="AR1068" s="761"/>
      <c r="AS1068" s="761"/>
      <c r="AT1068" s="761"/>
      <c r="AU1068" s="761"/>
      <c r="AV1068" s="761"/>
      <c r="AW1068" s="761"/>
      <c r="AX1068" s="761"/>
      <c r="AY1068" s="761"/>
      <c r="AZ1068" s="761"/>
      <c r="BA1068" s="761"/>
      <c r="BB1068" s="761"/>
      <c r="BC1068" s="761"/>
      <c r="BD1068" s="761"/>
      <c r="BE1068" s="761"/>
      <c r="BF1068" s="761"/>
      <c r="BG1068" s="761"/>
      <c r="BH1068" s="761"/>
      <c r="BI1068" s="761"/>
      <c r="BJ1068" s="761"/>
      <c r="BK1068" s="761"/>
      <c r="BL1068" s="761"/>
      <c r="BM1068" s="761"/>
    </row>
    <row r="1069" spans="1:65" s="762" customFormat="1">
      <c r="A1069" s="762" t="s">
        <v>2339</v>
      </c>
      <c r="B1069" s="762" t="s">
        <v>2340</v>
      </c>
      <c r="C1069" s="762" t="s">
        <v>2476</v>
      </c>
      <c r="D1069" s="762">
        <v>58630185</v>
      </c>
      <c r="E1069" s="762" t="s">
        <v>2740</v>
      </c>
      <c r="F1069" s="762">
        <v>143006229</v>
      </c>
      <c r="G1069" s="762" t="s">
        <v>2894</v>
      </c>
      <c r="H1069" s="762" t="s">
        <v>2894</v>
      </c>
      <c r="I1069" s="762" t="s">
        <v>6867</v>
      </c>
      <c r="J1069" s="762">
        <v>1</v>
      </c>
      <c r="K1069" s="1911">
        <v>11389.08</v>
      </c>
      <c r="L1069" s="1911">
        <v>1987.21</v>
      </c>
      <c r="M1069" s="1911">
        <v>9401.8700000000008</v>
      </c>
      <c r="N1069" s="1752" t="str">
        <f t="shared" si="18"/>
        <v>C391</v>
      </c>
      <c r="O1069" s="1752" t="s">
        <v>95</v>
      </c>
      <c r="P1069" s="1752" t="s">
        <v>2736</v>
      </c>
      <c r="Q1069" s="763"/>
      <c r="R1069" s="763"/>
      <c r="S1069" s="763"/>
      <c r="T1069" s="763"/>
      <c r="U1069" s="763"/>
      <c r="V1069" s="763"/>
      <c r="W1069" s="763"/>
      <c r="X1069" s="763"/>
      <c r="Y1069" s="763"/>
      <c r="Z1069" s="763"/>
      <c r="AA1069" s="763"/>
      <c r="AB1069" s="763"/>
      <c r="AC1069" s="763"/>
      <c r="AD1069" s="763"/>
      <c r="AE1069" s="763"/>
      <c r="AF1069" s="763"/>
      <c r="AG1069" s="763"/>
      <c r="AH1069" s="763"/>
      <c r="AI1069" s="763"/>
      <c r="AJ1069" s="763"/>
      <c r="AK1069" s="763"/>
      <c r="AL1069" s="763"/>
      <c r="AM1069" s="763"/>
      <c r="AN1069" s="763"/>
      <c r="AO1069" s="763"/>
      <c r="AP1069" s="763"/>
      <c r="AQ1069" s="763"/>
      <c r="AR1069" s="763"/>
      <c r="AS1069" s="763"/>
      <c r="AT1069" s="763"/>
      <c r="AU1069" s="763"/>
      <c r="AV1069" s="763"/>
      <c r="AW1069" s="763"/>
      <c r="AX1069" s="763"/>
      <c r="AY1069" s="763"/>
      <c r="AZ1069" s="763"/>
      <c r="BA1069" s="763"/>
      <c r="BB1069" s="763"/>
      <c r="BC1069" s="763"/>
      <c r="BD1069" s="763"/>
      <c r="BE1069" s="763"/>
      <c r="BF1069" s="763"/>
      <c r="BG1069" s="763"/>
      <c r="BH1069" s="763"/>
      <c r="BI1069" s="763"/>
      <c r="BJ1069" s="763"/>
      <c r="BK1069" s="763"/>
      <c r="BL1069" s="763"/>
      <c r="BM1069" s="763"/>
    </row>
    <row r="1070" spans="1:65" s="1720" customFormat="1">
      <c r="A1070" s="762" t="s">
        <v>2339</v>
      </c>
      <c r="B1070" s="762" t="s">
        <v>2340</v>
      </c>
      <c r="C1070" s="762" t="s">
        <v>2476</v>
      </c>
      <c r="D1070" s="762">
        <v>59041376</v>
      </c>
      <c r="E1070" s="762" t="s">
        <v>2740</v>
      </c>
      <c r="F1070" s="762">
        <v>143006423</v>
      </c>
      <c r="G1070" s="762" t="s">
        <v>2910</v>
      </c>
      <c r="H1070" s="762" t="s">
        <v>2910</v>
      </c>
      <c r="I1070" s="762" t="s">
        <v>6867</v>
      </c>
      <c r="J1070" s="762">
        <v>1</v>
      </c>
      <c r="K1070" s="1911">
        <v>139652.47</v>
      </c>
      <c r="L1070" s="1911">
        <v>24367.13</v>
      </c>
      <c r="M1070" s="1911">
        <v>115285.34</v>
      </c>
      <c r="N1070" s="1752" t="str">
        <f t="shared" si="18"/>
        <v>C391</v>
      </c>
      <c r="O1070" s="1752" t="s">
        <v>95</v>
      </c>
      <c r="P1070" s="1752" t="s">
        <v>2736</v>
      </c>
      <c r="Q1070" s="761"/>
      <c r="R1070" s="761"/>
      <c r="S1070" s="761"/>
      <c r="T1070" s="761"/>
      <c r="U1070" s="761"/>
      <c r="V1070" s="761"/>
      <c r="W1070" s="761"/>
      <c r="X1070" s="761"/>
      <c r="Y1070" s="761"/>
      <c r="Z1070" s="761"/>
      <c r="AA1070" s="761"/>
      <c r="AB1070" s="761"/>
      <c r="AC1070" s="761"/>
      <c r="AD1070" s="761"/>
      <c r="AE1070" s="761"/>
      <c r="AF1070" s="761"/>
      <c r="AG1070" s="761"/>
      <c r="AH1070" s="761"/>
      <c r="AI1070" s="761"/>
      <c r="AJ1070" s="761"/>
      <c r="AK1070" s="761"/>
      <c r="AL1070" s="761"/>
      <c r="AM1070" s="761"/>
      <c r="AN1070" s="761"/>
      <c r="AO1070" s="761"/>
      <c r="AP1070" s="761"/>
      <c r="AQ1070" s="761"/>
      <c r="AR1070" s="761"/>
      <c r="AS1070" s="761"/>
      <c r="AT1070" s="761"/>
      <c r="AU1070" s="761"/>
      <c r="AV1070" s="761"/>
      <c r="AW1070" s="761"/>
      <c r="AX1070" s="761"/>
      <c r="AY1070" s="761"/>
      <c r="AZ1070" s="761"/>
      <c r="BA1070" s="761"/>
      <c r="BB1070" s="761"/>
      <c r="BC1070" s="761"/>
      <c r="BD1070" s="761"/>
      <c r="BE1070" s="761"/>
      <c r="BF1070" s="761"/>
      <c r="BG1070" s="761"/>
      <c r="BH1070" s="761"/>
      <c r="BI1070" s="761"/>
      <c r="BJ1070" s="761"/>
      <c r="BK1070" s="761"/>
      <c r="BL1070" s="761"/>
      <c r="BM1070" s="761"/>
    </row>
    <row r="1071" spans="1:65" s="1720" customFormat="1">
      <c r="A1071" s="762" t="s">
        <v>2339</v>
      </c>
      <c r="B1071" s="762" t="s">
        <v>2340</v>
      </c>
      <c r="C1071" s="762" t="s">
        <v>2476</v>
      </c>
      <c r="D1071" s="762">
        <v>59204290</v>
      </c>
      <c r="E1071" s="762" t="s">
        <v>2740</v>
      </c>
      <c r="F1071" s="762">
        <v>143005863</v>
      </c>
      <c r="G1071" s="762" t="s">
        <v>2856</v>
      </c>
      <c r="H1071" s="762" t="s">
        <v>7442</v>
      </c>
      <c r="I1071" s="762" t="s">
        <v>6867</v>
      </c>
      <c r="J1071" s="762">
        <v>1</v>
      </c>
      <c r="K1071" s="1911">
        <v>405774.37</v>
      </c>
      <c r="L1071" s="1911">
        <v>70801.17</v>
      </c>
      <c r="M1071" s="1911">
        <v>334973.2</v>
      </c>
      <c r="N1071" s="1752" t="str">
        <f t="shared" si="18"/>
        <v>C391</v>
      </c>
      <c r="O1071" s="1752" t="s">
        <v>95</v>
      </c>
      <c r="P1071" s="1752" t="s">
        <v>2736</v>
      </c>
      <c r="Q1071" s="761"/>
      <c r="R1071" s="761"/>
      <c r="S1071" s="761"/>
      <c r="T1071" s="761"/>
      <c r="U1071" s="761"/>
      <c r="V1071" s="761"/>
      <c r="W1071" s="761"/>
      <c r="X1071" s="761"/>
      <c r="Y1071" s="761"/>
      <c r="Z1071" s="761"/>
      <c r="AA1071" s="761"/>
      <c r="AB1071" s="761"/>
      <c r="AC1071" s="761"/>
      <c r="AD1071" s="761"/>
      <c r="AE1071" s="761"/>
      <c r="AF1071" s="761"/>
      <c r="AG1071" s="761"/>
      <c r="AH1071" s="761"/>
      <c r="AI1071" s="761"/>
      <c r="AJ1071" s="761"/>
      <c r="AK1071" s="761"/>
      <c r="AL1071" s="761"/>
      <c r="AM1071" s="761"/>
      <c r="AN1071" s="761"/>
      <c r="AO1071" s="761"/>
      <c r="AP1071" s="761"/>
      <c r="AQ1071" s="761"/>
      <c r="AR1071" s="761"/>
      <c r="AS1071" s="761"/>
      <c r="AT1071" s="761"/>
      <c r="AU1071" s="761"/>
      <c r="AV1071" s="761"/>
      <c r="AW1071" s="761"/>
      <c r="AX1071" s="761"/>
      <c r="AY1071" s="761"/>
      <c r="AZ1071" s="761"/>
      <c r="BA1071" s="761"/>
      <c r="BB1071" s="761"/>
      <c r="BC1071" s="761"/>
      <c r="BD1071" s="761"/>
      <c r="BE1071" s="761"/>
      <c r="BF1071" s="761"/>
      <c r="BG1071" s="761"/>
      <c r="BH1071" s="761"/>
      <c r="BI1071" s="761"/>
      <c r="BJ1071" s="761"/>
      <c r="BK1071" s="761"/>
      <c r="BL1071" s="761"/>
      <c r="BM1071" s="761"/>
    </row>
    <row r="1072" spans="1:65" s="762" customFormat="1">
      <c r="A1072" s="762" t="s">
        <v>2339</v>
      </c>
      <c r="B1072" s="762" t="s">
        <v>2340</v>
      </c>
      <c r="C1072" s="762" t="s">
        <v>2473</v>
      </c>
      <c r="D1072" s="762">
        <v>60027341</v>
      </c>
      <c r="E1072" s="762" t="s">
        <v>2740</v>
      </c>
      <c r="F1072" s="762">
        <v>143006111</v>
      </c>
      <c r="G1072" s="762" t="s">
        <v>2881</v>
      </c>
      <c r="H1072" s="762" t="s">
        <v>7443</v>
      </c>
      <c r="I1072" s="762" t="s">
        <v>6867</v>
      </c>
      <c r="J1072" s="762">
        <v>1</v>
      </c>
      <c r="K1072" s="1911">
        <v>41387.14</v>
      </c>
      <c r="L1072" s="1911">
        <v>7221.4000000000005</v>
      </c>
      <c r="M1072" s="1911">
        <v>34165.74</v>
      </c>
      <c r="N1072" s="1752" t="str">
        <f t="shared" si="18"/>
        <v>C391</v>
      </c>
      <c r="O1072" s="1752" t="s">
        <v>95</v>
      </c>
      <c r="P1072" s="1752" t="s">
        <v>2736</v>
      </c>
      <c r="Q1072" s="763"/>
      <c r="R1072" s="763"/>
      <c r="S1072" s="763"/>
      <c r="T1072" s="763"/>
      <c r="U1072" s="763"/>
      <c r="V1072" s="763"/>
      <c r="W1072" s="763"/>
      <c r="X1072" s="763"/>
      <c r="Y1072" s="763"/>
      <c r="Z1072" s="763"/>
      <c r="AA1072" s="763"/>
      <c r="AB1072" s="763"/>
      <c r="AC1072" s="763"/>
      <c r="AD1072" s="763"/>
      <c r="AE1072" s="763"/>
      <c r="AF1072" s="763"/>
      <c r="AG1072" s="763"/>
      <c r="AH1072" s="763"/>
      <c r="AI1072" s="763"/>
      <c r="AJ1072" s="763"/>
      <c r="AK1072" s="763"/>
      <c r="AL1072" s="763"/>
      <c r="AM1072" s="763"/>
      <c r="AN1072" s="763"/>
      <c r="AO1072" s="763"/>
      <c r="AP1072" s="763"/>
      <c r="AQ1072" s="763"/>
      <c r="AR1072" s="763"/>
      <c r="AS1072" s="763"/>
      <c r="AT1072" s="763"/>
      <c r="AU1072" s="763"/>
      <c r="AV1072" s="763"/>
      <c r="AW1072" s="763"/>
      <c r="AX1072" s="763"/>
      <c r="AY1072" s="763"/>
      <c r="AZ1072" s="763"/>
      <c r="BA1072" s="763"/>
      <c r="BB1072" s="763"/>
      <c r="BC1072" s="763"/>
      <c r="BD1072" s="763"/>
      <c r="BE1072" s="763"/>
      <c r="BF1072" s="763"/>
      <c r="BG1072" s="763"/>
      <c r="BH1072" s="763"/>
      <c r="BI1072" s="763"/>
      <c r="BJ1072" s="763"/>
      <c r="BK1072" s="763"/>
      <c r="BL1072" s="763"/>
      <c r="BM1072" s="763"/>
    </row>
    <row r="1073" spans="1:65" s="1720" customFormat="1">
      <c r="A1073" s="762" t="s">
        <v>2339</v>
      </c>
      <c r="B1073" s="762" t="s">
        <v>2340</v>
      </c>
      <c r="C1073" s="762" t="s">
        <v>2476</v>
      </c>
      <c r="D1073" s="762">
        <v>60027346</v>
      </c>
      <c r="E1073" s="762" t="s">
        <v>2740</v>
      </c>
      <c r="F1073" s="762">
        <v>143006112</v>
      </c>
      <c r="G1073" s="762" t="s">
        <v>2882</v>
      </c>
      <c r="H1073" s="762" t="s">
        <v>7444</v>
      </c>
      <c r="I1073" s="762" t="s">
        <v>6867</v>
      </c>
      <c r="J1073" s="762">
        <v>1</v>
      </c>
      <c r="K1073" s="1911">
        <v>33393.65</v>
      </c>
      <c r="L1073" s="1911">
        <v>5826.66</v>
      </c>
      <c r="M1073" s="1911">
        <v>27566.99</v>
      </c>
      <c r="N1073" s="1752" t="str">
        <f t="shared" si="18"/>
        <v>C391</v>
      </c>
      <c r="O1073" s="1752" t="s">
        <v>95</v>
      </c>
      <c r="P1073" s="1752" t="s">
        <v>2736</v>
      </c>
      <c r="Q1073" s="761"/>
      <c r="R1073" s="761"/>
      <c r="S1073" s="761"/>
      <c r="T1073" s="761"/>
      <c r="U1073" s="761"/>
      <c r="V1073" s="761"/>
      <c r="W1073" s="761"/>
      <c r="X1073" s="761"/>
      <c r="Y1073" s="761"/>
      <c r="Z1073" s="761"/>
      <c r="AA1073" s="761"/>
      <c r="AB1073" s="761"/>
      <c r="AC1073" s="761"/>
      <c r="AD1073" s="761"/>
      <c r="AE1073" s="761"/>
      <c r="AF1073" s="761"/>
      <c r="AG1073" s="761"/>
      <c r="AH1073" s="761"/>
      <c r="AI1073" s="761"/>
      <c r="AJ1073" s="761"/>
      <c r="AK1073" s="761"/>
      <c r="AL1073" s="761"/>
      <c r="AM1073" s="761"/>
      <c r="AN1073" s="761"/>
      <c r="AO1073" s="761"/>
      <c r="AP1073" s="761"/>
      <c r="AQ1073" s="761"/>
      <c r="AR1073" s="761"/>
      <c r="AS1073" s="761"/>
      <c r="AT1073" s="761"/>
      <c r="AU1073" s="761"/>
      <c r="AV1073" s="761"/>
      <c r="AW1073" s="761"/>
      <c r="AX1073" s="761"/>
      <c r="AY1073" s="761"/>
      <c r="AZ1073" s="761"/>
      <c r="BA1073" s="761"/>
      <c r="BB1073" s="761"/>
      <c r="BC1073" s="761"/>
      <c r="BD1073" s="761"/>
      <c r="BE1073" s="761"/>
      <c r="BF1073" s="761"/>
      <c r="BG1073" s="761"/>
      <c r="BH1073" s="761"/>
      <c r="BI1073" s="761"/>
      <c r="BJ1073" s="761"/>
      <c r="BK1073" s="761"/>
      <c r="BL1073" s="761"/>
      <c r="BM1073" s="761"/>
    </row>
    <row r="1074" spans="1:65" s="1720" customFormat="1">
      <c r="A1074" s="762" t="s">
        <v>2339</v>
      </c>
      <c r="B1074" s="762" t="s">
        <v>2340</v>
      </c>
      <c r="C1074" s="762" t="s">
        <v>2509</v>
      </c>
      <c r="D1074" s="762">
        <v>60027353</v>
      </c>
      <c r="E1074" s="762" t="s">
        <v>2740</v>
      </c>
      <c r="F1074" s="762">
        <v>143006238</v>
      </c>
      <c r="G1074" s="762" t="s">
        <v>2897</v>
      </c>
      <c r="H1074" s="762" t="s">
        <v>2897</v>
      </c>
      <c r="I1074" s="762" t="s">
        <v>6867</v>
      </c>
      <c r="J1074" s="762">
        <v>1</v>
      </c>
      <c r="K1074" s="1911">
        <v>21777.33</v>
      </c>
      <c r="L1074" s="1911">
        <v>3799.8</v>
      </c>
      <c r="M1074" s="1911">
        <v>17977.53</v>
      </c>
      <c r="N1074" s="1752" t="str">
        <f t="shared" si="18"/>
        <v>C391</v>
      </c>
      <c r="O1074" s="1752" t="s">
        <v>95</v>
      </c>
      <c r="P1074" s="1752" t="s">
        <v>2736</v>
      </c>
      <c r="Q1074" s="761"/>
      <c r="R1074" s="761"/>
      <c r="S1074" s="761"/>
      <c r="T1074" s="761"/>
      <c r="U1074" s="761"/>
      <c r="V1074" s="761"/>
      <c r="W1074" s="761"/>
      <c r="X1074" s="761"/>
      <c r="Y1074" s="761"/>
      <c r="Z1074" s="761"/>
      <c r="AA1074" s="761"/>
      <c r="AB1074" s="761"/>
      <c r="AC1074" s="761"/>
      <c r="AD1074" s="761"/>
      <c r="AE1074" s="761"/>
      <c r="AF1074" s="761"/>
      <c r="AG1074" s="761"/>
      <c r="AH1074" s="761"/>
      <c r="AI1074" s="761"/>
      <c r="AJ1074" s="761"/>
      <c r="AK1074" s="761"/>
      <c r="AL1074" s="761"/>
      <c r="AM1074" s="761"/>
      <c r="AN1074" s="761"/>
      <c r="AO1074" s="761"/>
      <c r="AP1074" s="761"/>
      <c r="AQ1074" s="761"/>
      <c r="AR1074" s="761"/>
      <c r="AS1074" s="761"/>
      <c r="AT1074" s="761"/>
      <c r="AU1074" s="761"/>
      <c r="AV1074" s="761"/>
      <c r="AW1074" s="761"/>
      <c r="AX1074" s="761"/>
      <c r="AY1074" s="761"/>
      <c r="AZ1074" s="761"/>
      <c r="BA1074" s="761"/>
      <c r="BB1074" s="761"/>
      <c r="BC1074" s="761"/>
      <c r="BD1074" s="761"/>
      <c r="BE1074" s="761"/>
      <c r="BF1074" s="761"/>
      <c r="BG1074" s="761"/>
      <c r="BH1074" s="761"/>
      <c r="BI1074" s="761"/>
      <c r="BJ1074" s="761"/>
      <c r="BK1074" s="761"/>
      <c r="BL1074" s="761"/>
      <c r="BM1074" s="761"/>
    </row>
    <row r="1075" spans="1:65" s="1720" customFormat="1">
      <c r="A1075" s="762" t="s">
        <v>2339</v>
      </c>
      <c r="B1075" s="762" t="s">
        <v>2340</v>
      </c>
      <c r="C1075" s="762" t="s">
        <v>2509</v>
      </c>
      <c r="D1075" s="762">
        <v>60027358</v>
      </c>
      <c r="E1075" s="762" t="s">
        <v>2740</v>
      </c>
      <c r="F1075" s="762">
        <v>143006240</v>
      </c>
      <c r="G1075" s="762" t="s">
        <v>2898</v>
      </c>
      <c r="H1075" s="762" t="s">
        <v>7445</v>
      </c>
      <c r="I1075" s="762" t="s">
        <v>6867</v>
      </c>
      <c r="J1075" s="762">
        <v>1</v>
      </c>
      <c r="K1075" s="1911">
        <v>92498.26</v>
      </c>
      <c r="L1075" s="1911">
        <v>16139.470000000001</v>
      </c>
      <c r="M1075" s="1911">
        <v>76358.790000000008</v>
      </c>
      <c r="N1075" s="1752" t="str">
        <f t="shared" si="18"/>
        <v>C391</v>
      </c>
      <c r="O1075" s="1752" t="s">
        <v>95</v>
      </c>
      <c r="P1075" s="1752" t="s">
        <v>2736</v>
      </c>
      <c r="Q1075" s="761"/>
      <c r="R1075" s="761"/>
      <c r="S1075" s="761"/>
      <c r="T1075" s="761"/>
      <c r="U1075" s="761"/>
      <c r="V1075" s="761"/>
      <c r="W1075" s="761"/>
      <c r="X1075" s="761"/>
      <c r="Y1075" s="761"/>
      <c r="Z1075" s="761"/>
      <c r="AA1075" s="761"/>
      <c r="AB1075" s="761"/>
      <c r="AC1075" s="761"/>
      <c r="AD1075" s="761"/>
      <c r="AE1075" s="761"/>
      <c r="AF1075" s="761"/>
      <c r="AG1075" s="761"/>
      <c r="AH1075" s="761"/>
      <c r="AI1075" s="761"/>
      <c r="AJ1075" s="761"/>
      <c r="AK1075" s="761"/>
      <c r="AL1075" s="761"/>
      <c r="AM1075" s="761"/>
      <c r="AN1075" s="761"/>
      <c r="AO1075" s="761"/>
      <c r="AP1075" s="761"/>
      <c r="AQ1075" s="761"/>
      <c r="AR1075" s="761"/>
      <c r="AS1075" s="761"/>
      <c r="AT1075" s="761"/>
      <c r="AU1075" s="761"/>
      <c r="AV1075" s="761"/>
      <c r="AW1075" s="761"/>
      <c r="AX1075" s="761"/>
      <c r="AY1075" s="761"/>
      <c r="AZ1075" s="761"/>
      <c r="BA1075" s="761"/>
      <c r="BB1075" s="761"/>
      <c r="BC1075" s="761"/>
      <c r="BD1075" s="761"/>
      <c r="BE1075" s="761"/>
      <c r="BF1075" s="761"/>
      <c r="BG1075" s="761"/>
      <c r="BH1075" s="761"/>
      <c r="BI1075" s="761"/>
      <c r="BJ1075" s="761"/>
      <c r="BK1075" s="761"/>
      <c r="BL1075" s="761"/>
      <c r="BM1075" s="761"/>
    </row>
    <row r="1076" spans="1:65" s="1720" customFormat="1">
      <c r="A1076" s="762" t="s">
        <v>2339</v>
      </c>
      <c r="B1076" s="762" t="s">
        <v>2340</v>
      </c>
      <c r="C1076" s="762" t="s">
        <v>2476</v>
      </c>
      <c r="D1076" s="762">
        <v>60027363</v>
      </c>
      <c r="E1076" s="762" t="s">
        <v>2740</v>
      </c>
      <c r="F1076" s="762">
        <v>143006262</v>
      </c>
      <c r="G1076" s="762" t="s">
        <v>2904</v>
      </c>
      <c r="H1076" s="762" t="s">
        <v>7446</v>
      </c>
      <c r="I1076" s="762" t="s">
        <v>6867</v>
      </c>
      <c r="J1076" s="762">
        <v>1</v>
      </c>
      <c r="K1076" s="1911">
        <v>24235.33</v>
      </c>
      <c r="L1076" s="1911">
        <v>4228.68</v>
      </c>
      <c r="M1076" s="1911">
        <v>20006.650000000001</v>
      </c>
      <c r="N1076" s="1752" t="str">
        <f t="shared" si="18"/>
        <v>C391</v>
      </c>
      <c r="O1076" s="1752" t="s">
        <v>95</v>
      </c>
      <c r="P1076" s="1752" t="s">
        <v>2736</v>
      </c>
      <c r="Q1076" s="761"/>
      <c r="R1076" s="761"/>
      <c r="S1076" s="761"/>
      <c r="T1076" s="761"/>
      <c r="U1076" s="761"/>
      <c r="V1076" s="761"/>
      <c r="W1076" s="761"/>
      <c r="X1076" s="761"/>
      <c r="Y1076" s="761"/>
      <c r="Z1076" s="761"/>
      <c r="AA1076" s="761"/>
      <c r="AB1076" s="761"/>
      <c r="AC1076" s="761"/>
      <c r="AD1076" s="761"/>
      <c r="AE1076" s="761"/>
      <c r="AF1076" s="761"/>
      <c r="AG1076" s="761"/>
      <c r="AH1076" s="761"/>
      <c r="AI1076" s="761"/>
      <c r="AJ1076" s="761"/>
      <c r="AK1076" s="761"/>
      <c r="AL1076" s="761"/>
      <c r="AM1076" s="761"/>
      <c r="AN1076" s="761"/>
      <c r="AO1076" s="761"/>
      <c r="AP1076" s="761"/>
      <c r="AQ1076" s="761"/>
      <c r="AR1076" s="761"/>
      <c r="AS1076" s="761"/>
      <c r="AT1076" s="761"/>
      <c r="AU1076" s="761"/>
      <c r="AV1076" s="761"/>
      <c r="AW1076" s="761"/>
      <c r="AX1076" s="761"/>
      <c r="AY1076" s="761"/>
      <c r="AZ1076" s="761"/>
      <c r="BA1076" s="761"/>
      <c r="BB1076" s="761"/>
      <c r="BC1076" s="761"/>
      <c r="BD1076" s="761"/>
      <c r="BE1076" s="761"/>
      <c r="BF1076" s="761"/>
      <c r="BG1076" s="761"/>
      <c r="BH1076" s="761"/>
      <c r="BI1076" s="761"/>
      <c r="BJ1076" s="761"/>
      <c r="BK1076" s="761"/>
      <c r="BL1076" s="761"/>
      <c r="BM1076" s="761"/>
    </row>
    <row r="1077" spans="1:65" s="1720" customFormat="1">
      <c r="A1077" s="762" t="s">
        <v>2339</v>
      </c>
      <c r="B1077" s="762" t="s">
        <v>2340</v>
      </c>
      <c r="C1077" s="762" t="s">
        <v>2476</v>
      </c>
      <c r="D1077" s="762">
        <v>59576041</v>
      </c>
      <c r="E1077" s="762" t="s">
        <v>2740</v>
      </c>
      <c r="F1077" s="762">
        <v>143005234</v>
      </c>
      <c r="G1077" s="762" t="s">
        <v>2812</v>
      </c>
      <c r="H1077" s="762" t="s">
        <v>2812</v>
      </c>
      <c r="I1077" s="762" t="s">
        <v>6867</v>
      </c>
      <c r="J1077" s="762">
        <v>1</v>
      </c>
      <c r="K1077" s="1911">
        <v>56755.65</v>
      </c>
      <c r="L1077" s="1911">
        <v>9902.9600000000009</v>
      </c>
      <c r="M1077" s="1911">
        <v>46852.69</v>
      </c>
      <c r="N1077" s="1752" t="str">
        <f t="shared" si="18"/>
        <v>C391</v>
      </c>
      <c r="O1077" s="1752" t="s">
        <v>95</v>
      </c>
      <c r="P1077" s="1752" t="s">
        <v>2736</v>
      </c>
      <c r="Q1077" s="761"/>
      <c r="R1077" s="761"/>
      <c r="S1077" s="761"/>
      <c r="T1077" s="761"/>
      <c r="U1077" s="761"/>
      <c r="V1077" s="761"/>
      <c r="W1077" s="761"/>
      <c r="X1077" s="761"/>
      <c r="Y1077" s="761"/>
      <c r="Z1077" s="761"/>
      <c r="AA1077" s="761"/>
      <c r="AB1077" s="761"/>
      <c r="AC1077" s="761"/>
      <c r="AD1077" s="761"/>
      <c r="AE1077" s="761"/>
      <c r="AF1077" s="761"/>
      <c r="AG1077" s="761"/>
      <c r="AH1077" s="761"/>
      <c r="AI1077" s="761"/>
      <c r="AJ1077" s="761"/>
      <c r="AK1077" s="761"/>
      <c r="AL1077" s="761"/>
      <c r="AM1077" s="761"/>
      <c r="AN1077" s="761"/>
      <c r="AO1077" s="761"/>
      <c r="AP1077" s="761"/>
      <c r="AQ1077" s="761"/>
      <c r="AR1077" s="761"/>
      <c r="AS1077" s="761"/>
      <c r="AT1077" s="761"/>
      <c r="AU1077" s="761"/>
      <c r="AV1077" s="761"/>
      <c r="AW1077" s="761"/>
      <c r="AX1077" s="761"/>
      <c r="AY1077" s="761"/>
      <c r="AZ1077" s="761"/>
      <c r="BA1077" s="761"/>
      <c r="BB1077" s="761"/>
      <c r="BC1077" s="761"/>
      <c r="BD1077" s="761"/>
      <c r="BE1077" s="761"/>
      <c r="BF1077" s="761"/>
      <c r="BG1077" s="761"/>
      <c r="BH1077" s="761"/>
      <c r="BI1077" s="761"/>
      <c r="BJ1077" s="761"/>
      <c r="BK1077" s="761"/>
      <c r="BL1077" s="761"/>
      <c r="BM1077" s="761"/>
    </row>
    <row r="1078" spans="1:65" s="1720" customFormat="1">
      <c r="A1078" s="762" t="s">
        <v>2339</v>
      </c>
      <c r="B1078" s="762" t="s">
        <v>2340</v>
      </c>
      <c r="C1078" s="762" t="s">
        <v>2527</v>
      </c>
      <c r="D1078" s="762">
        <v>60305801</v>
      </c>
      <c r="E1078" s="762" t="s">
        <v>2740</v>
      </c>
      <c r="F1078" s="762">
        <v>143006110</v>
      </c>
      <c r="G1078" s="762" t="s">
        <v>2880</v>
      </c>
      <c r="H1078" s="762" t="s">
        <v>7447</v>
      </c>
      <c r="I1078" s="762" t="s">
        <v>6867</v>
      </c>
      <c r="J1078" s="762">
        <v>1</v>
      </c>
      <c r="K1078" s="1911">
        <v>74397.67</v>
      </c>
      <c r="L1078" s="1911">
        <v>12981.210000000001</v>
      </c>
      <c r="M1078" s="1911">
        <v>61416.46</v>
      </c>
      <c r="N1078" s="1752" t="str">
        <f t="shared" si="18"/>
        <v>C391</v>
      </c>
      <c r="O1078" s="1752" t="s">
        <v>95</v>
      </c>
      <c r="P1078" s="1752" t="s">
        <v>2736</v>
      </c>
      <c r="Q1078" s="761"/>
      <c r="R1078" s="761"/>
      <c r="S1078" s="761"/>
      <c r="T1078" s="761"/>
      <c r="U1078" s="761"/>
      <c r="V1078" s="761"/>
      <c r="W1078" s="761"/>
      <c r="X1078" s="761"/>
      <c r="Y1078" s="761"/>
      <c r="Z1078" s="761"/>
      <c r="AA1078" s="761"/>
      <c r="AB1078" s="761"/>
      <c r="AC1078" s="761"/>
      <c r="AD1078" s="761"/>
      <c r="AE1078" s="761"/>
      <c r="AF1078" s="761"/>
      <c r="AG1078" s="761"/>
      <c r="AH1078" s="761"/>
      <c r="AI1078" s="761"/>
      <c r="AJ1078" s="761"/>
      <c r="AK1078" s="761"/>
      <c r="AL1078" s="761"/>
      <c r="AM1078" s="761"/>
      <c r="AN1078" s="761"/>
      <c r="AO1078" s="761"/>
      <c r="AP1078" s="761"/>
      <c r="AQ1078" s="761"/>
      <c r="AR1078" s="761"/>
      <c r="AS1078" s="761"/>
      <c r="AT1078" s="761"/>
      <c r="AU1078" s="761"/>
      <c r="AV1078" s="761"/>
      <c r="AW1078" s="761"/>
      <c r="AX1078" s="761"/>
      <c r="AY1078" s="761"/>
      <c r="AZ1078" s="761"/>
      <c r="BA1078" s="761"/>
      <c r="BB1078" s="761"/>
      <c r="BC1078" s="761"/>
      <c r="BD1078" s="761"/>
      <c r="BE1078" s="761"/>
      <c r="BF1078" s="761"/>
      <c r="BG1078" s="761"/>
      <c r="BH1078" s="761"/>
      <c r="BI1078" s="761"/>
      <c r="BJ1078" s="761"/>
      <c r="BK1078" s="761"/>
      <c r="BL1078" s="761"/>
      <c r="BM1078" s="761"/>
    </row>
    <row r="1079" spans="1:65" s="1720" customFormat="1">
      <c r="A1079" s="762" t="s">
        <v>2339</v>
      </c>
      <c r="B1079" s="762" t="s">
        <v>2340</v>
      </c>
      <c r="C1079" s="762" t="s">
        <v>2476</v>
      </c>
      <c r="D1079" s="762">
        <v>60305804</v>
      </c>
      <c r="E1079" s="762" t="s">
        <v>2740</v>
      </c>
      <c r="F1079" s="762">
        <v>143006114</v>
      </c>
      <c r="G1079" s="762" t="s">
        <v>2884</v>
      </c>
      <c r="H1079" s="762" t="s">
        <v>7448</v>
      </c>
      <c r="I1079" s="762" t="s">
        <v>6867</v>
      </c>
      <c r="J1079" s="762">
        <v>1</v>
      </c>
      <c r="K1079" s="1911">
        <v>30016.100000000002</v>
      </c>
      <c r="L1079" s="1911">
        <v>5237.33</v>
      </c>
      <c r="M1079" s="1911">
        <v>24778.77</v>
      </c>
      <c r="N1079" s="1752" t="str">
        <f t="shared" si="18"/>
        <v>C391</v>
      </c>
      <c r="O1079" s="1752" t="s">
        <v>95</v>
      </c>
      <c r="P1079" s="1752" t="s">
        <v>2736</v>
      </c>
      <c r="Q1079" s="761"/>
      <c r="R1079" s="761"/>
      <c r="S1079" s="761"/>
      <c r="T1079" s="761"/>
      <c r="U1079" s="761"/>
      <c r="V1079" s="761"/>
      <c r="W1079" s="761"/>
      <c r="X1079" s="761"/>
      <c r="Y1079" s="761"/>
      <c r="Z1079" s="761"/>
      <c r="AA1079" s="761"/>
      <c r="AB1079" s="761"/>
      <c r="AC1079" s="761"/>
      <c r="AD1079" s="761"/>
      <c r="AE1079" s="761"/>
      <c r="AF1079" s="761"/>
      <c r="AG1079" s="761"/>
      <c r="AH1079" s="761"/>
      <c r="AI1079" s="761"/>
      <c r="AJ1079" s="761"/>
      <c r="AK1079" s="761"/>
      <c r="AL1079" s="761"/>
      <c r="AM1079" s="761"/>
      <c r="AN1079" s="761"/>
      <c r="AO1079" s="761"/>
      <c r="AP1079" s="761"/>
      <c r="AQ1079" s="761"/>
      <c r="AR1079" s="761"/>
      <c r="AS1079" s="761"/>
      <c r="AT1079" s="761"/>
      <c r="AU1079" s="761"/>
      <c r="AV1079" s="761"/>
      <c r="AW1079" s="761"/>
      <c r="AX1079" s="761"/>
      <c r="AY1079" s="761"/>
      <c r="AZ1079" s="761"/>
      <c r="BA1079" s="761"/>
      <c r="BB1079" s="761"/>
      <c r="BC1079" s="761"/>
      <c r="BD1079" s="761"/>
      <c r="BE1079" s="761"/>
      <c r="BF1079" s="761"/>
      <c r="BG1079" s="761"/>
      <c r="BH1079" s="761"/>
      <c r="BI1079" s="761"/>
      <c r="BJ1079" s="761"/>
      <c r="BK1079" s="761"/>
      <c r="BL1079" s="761"/>
      <c r="BM1079" s="761"/>
    </row>
    <row r="1080" spans="1:65" s="1720" customFormat="1">
      <c r="A1080" s="762" t="s">
        <v>2339</v>
      </c>
      <c r="B1080" s="762" t="s">
        <v>2340</v>
      </c>
      <c r="C1080" s="762" t="s">
        <v>2476</v>
      </c>
      <c r="D1080" s="762">
        <v>60305807</v>
      </c>
      <c r="E1080" s="762" t="s">
        <v>2740</v>
      </c>
      <c r="F1080" s="762">
        <v>143006241</v>
      </c>
      <c r="G1080" s="762" t="s">
        <v>2899</v>
      </c>
      <c r="H1080" s="762" t="s">
        <v>2899</v>
      </c>
      <c r="I1080" s="762" t="s">
        <v>6867</v>
      </c>
      <c r="J1080" s="762">
        <v>1</v>
      </c>
      <c r="K1080" s="1911">
        <v>40652.42</v>
      </c>
      <c r="L1080" s="1911">
        <v>7093.2</v>
      </c>
      <c r="M1080" s="1911">
        <v>33559.22</v>
      </c>
      <c r="N1080" s="1752" t="str">
        <f t="shared" si="18"/>
        <v>C391</v>
      </c>
      <c r="O1080" s="1752" t="s">
        <v>95</v>
      </c>
      <c r="P1080" s="1752" t="s">
        <v>2736</v>
      </c>
      <c r="Q1080" s="761"/>
      <c r="R1080" s="761"/>
      <c r="S1080" s="761"/>
      <c r="T1080" s="761"/>
      <c r="U1080" s="761"/>
      <c r="V1080" s="761"/>
      <c r="W1080" s="761"/>
      <c r="X1080" s="761"/>
      <c r="Y1080" s="761"/>
      <c r="Z1080" s="761"/>
      <c r="AA1080" s="761"/>
      <c r="AB1080" s="761"/>
      <c r="AC1080" s="761"/>
      <c r="AD1080" s="761"/>
      <c r="AE1080" s="761"/>
      <c r="AF1080" s="761"/>
      <c r="AG1080" s="761"/>
      <c r="AH1080" s="761"/>
      <c r="AI1080" s="761"/>
      <c r="AJ1080" s="761"/>
      <c r="AK1080" s="761"/>
      <c r="AL1080" s="761"/>
      <c r="AM1080" s="761"/>
      <c r="AN1080" s="761"/>
      <c r="AO1080" s="761"/>
      <c r="AP1080" s="761"/>
      <c r="AQ1080" s="761"/>
      <c r="AR1080" s="761"/>
      <c r="AS1080" s="761"/>
      <c r="AT1080" s="761"/>
      <c r="AU1080" s="761"/>
      <c r="AV1080" s="761"/>
      <c r="AW1080" s="761"/>
      <c r="AX1080" s="761"/>
      <c r="AY1080" s="761"/>
      <c r="AZ1080" s="761"/>
      <c r="BA1080" s="761"/>
      <c r="BB1080" s="761"/>
      <c r="BC1080" s="761"/>
      <c r="BD1080" s="761"/>
      <c r="BE1080" s="761"/>
      <c r="BF1080" s="761"/>
      <c r="BG1080" s="761"/>
      <c r="BH1080" s="761"/>
      <c r="BI1080" s="761"/>
      <c r="BJ1080" s="761"/>
      <c r="BK1080" s="761"/>
      <c r="BL1080" s="761"/>
      <c r="BM1080" s="761"/>
    </row>
    <row r="1081" spans="1:65" s="1720" customFormat="1">
      <c r="A1081" s="762" t="s">
        <v>2339</v>
      </c>
      <c r="B1081" s="762" t="s">
        <v>2340</v>
      </c>
      <c r="C1081" s="762" t="s">
        <v>2476</v>
      </c>
      <c r="D1081" s="762">
        <v>60305810</v>
      </c>
      <c r="E1081" s="762" t="s">
        <v>2740</v>
      </c>
      <c r="F1081" s="762">
        <v>143006243</v>
      </c>
      <c r="G1081" s="762" t="s">
        <v>2900</v>
      </c>
      <c r="H1081" s="762" t="s">
        <v>2900</v>
      </c>
      <c r="I1081" s="762" t="s">
        <v>6867</v>
      </c>
      <c r="J1081" s="762">
        <v>1</v>
      </c>
      <c r="K1081" s="1911">
        <v>56733.520000000004</v>
      </c>
      <c r="L1081" s="1911">
        <v>9899.1</v>
      </c>
      <c r="M1081" s="1911">
        <v>46834.42</v>
      </c>
      <c r="N1081" s="1752" t="str">
        <f t="shared" si="18"/>
        <v>C391</v>
      </c>
      <c r="O1081" s="1752" t="s">
        <v>95</v>
      </c>
      <c r="P1081" s="1752" t="s">
        <v>2736</v>
      </c>
      <c r="Q1081" s="761"/>
      <c r="R1081" s="761"/>
      <c r="S1081" s="761"/>
      <c r="T1081" s="761"/>
      <c r="U1081" s="761"/>
      <c r="V1081" s="761"/>
      <c r="W1081" s="761"/>
      <c r="X1081" s="761"/>
      <c r="Y1081" s="761"/>
      <c r="Z1081" s="761"/>
      <c r="AA1081" s="761"/>
      <c r="AB1081" s="761"/>
      <c r="AC1081" s="761"/>
      <c r="AD1081" s="761"/>
      <c r="AE1081" s="761"/>
      <c r="AF1081" s="761"/>
      <c r="AG1081" s="761"/>
      <c r="AH1081" s="761"/>
      <c r="AI1081" s="761"/>
      <c r="AJ1081" s="761"/>
      <c r="AK1081" s="761"/>
      <c r="AL1081" s="761"/>
      <c r="AM1081" s="761"/>
      <c r="AN1081" s="761"/>
      <c r="AO1081" s="761"/>
      <c r="AP1081" s="761"/>
      <c r="AQ1081" s="761"/>
      <c r="AR1081" s="761"/>
      <c r="AS1081" s="761"/>
      <c r="AT1081" s="761"/>
      <c r="AU1081" s="761"/>
      <c r="AV1081" s="761"/>
      <c r="AW1081" s="761"/>
      <c r="AX1081" s="761"/>
      <c r="AY1081" s="761"/>
      <c r="AZ1081" s="761"/>
      <c r="BA1081" s="761"/>
      <c r="BB1081" s="761"/>
      <c r="BC1081" s="761"/>
      <c r="BD1081" s="761"/>
      <c r="BE1081" s="761"/>
      <c r="BF1081" s="761"/>
      <c r="BG1081" s="761"/>
      <c r="BH1081" s="761"/>
      <c r="BI1081" s="761"/>
      <c r="BJ1081" s="761"/>
      <c r="BK1081" s="761"/>
      <c r="BL1081" s="761"/>
      <c r="BM1081" s="761"/>
    </row>
    <row r="1082" spans="1:65" s="762" customFormat="1">
      <c r="A1082" s="762" t="s">
        <v>2339</v>
      </c>
      <c r="B1082" s="762" t="s">
        <v>2340</v>
      </c>
      <c r="C1082" s="762" t="s">
        <v>2517</v>
      </c>
      <c r="D1082" s="762">
        <v>60305813</v>
      </c>
      <c r="E1082" s="762" t="s">
        <v>2740</v>
      </c>
      <c r="F1082" s="762">
        <v>143006246</v>
      </c>
      <c r="G1082" s="762" t="s">
        <v>2902</v>
      </c>
      <c r="H1082" s="762" t="s">
        <v>2902</v>
      </c>
      <c r="I1082" s="762" t="s">
        <v>6867</v>
      </c>
      <c r="J1082" s="762">
        <v>1</v>
      </c>
      <c r="K1082" s="1911">
        <v>58285.41</v>
      </c>
      <c r="L1082" s="1911">
        <v>10169.880000000001</v>
      </c>
      <c r="M1082" s="1911">
        <v>48115.53</v>
      </c>
      <c r="N1082" s="1752" t="str">
        <f t="shared" si="18"/>
        <v>C391</v>
      </c>
      <c r="O1082" s="1752" t="s">
        <v>95</v>
      </c>
      <c r="P1082" s="1752" t="s">
        <v>2736</v>
      </c>
      <c r="Q1082" s="763"/>
      <c r="R1082" s="763"/>
      <c r="S1082" s="763"/>
      <c r="T1082" s="763"/>
      <c r="U1082" s="763"/>
      <c r="V1082" s="763"/>
      <c r="W1082" s="763"/>
      <c r="X1082" s="763"/>
      <c r="Y1082" s="763"/>
      <c r="Z1082" s="763"/>
      <c r="AA1082" s="763"/>
      <c r="AB1082" s="763"/>
      <c r="AC1082" s="763"/>
      <c r="AD1082" s="763"/>
      <c r="AE1082" s="763"/>
      <c r="AF1082" s="763"/>
      <c r="AG1082" s="763"/>
      <c r="AH1082" s="763"/>
      <c r="AI1082" s="763"/>
      <c r="AJ1082" s="763"/>
      <c r="AK1082" s="763"/>
      <c r="AL1082" s="763"/>
      <c r="AM1082" s="763"/>
      <c r="AN1082" s="763"/>
      <c r="AO1082" s="763"/>
      <c r="AP1082" s="763"/>
      <c r="AQ1082" s="763"/>
      <c r="AR1082" s="763"/>
      <c r="AS1082" s="763"/>
      <c r="AT1082" s="763"/>
      <c r="AU1082" s="763"/>
      <c r="AV1082" s="763"/>
      <c r="AW1082" s="763"/>
      <c r="AX1082" s="763"/>
      <c r="AY1082" s="763"/>
      <c r="AZ1082" s="763"/>
      <c r="BA1082" s="763"/>
      <c r="BB1082" s="763"/>
      <c r="BC1082" s="763"/>
      <c r="BD1082" s="763"/>
      <c r="BE1082" s="763"/>
      <c r="BF1082" s="763"/>
      <c r="BG1082" s="763"/>
      <c r="BH1082" s="763"/>
      <c r="BI1082" s="763"/>
      <c r="BJ1082" s="763"/>
      <c r="BK1082" s="763"/>
      <c r="BL1082" s="763"/>
      <c r="BM1082" s="763"/>
    </row>
    <row r="1083" spans="1:65" s="1720" customFormat="1">
      <c r="A1083" s="762" t="s">
        <v>2339</v>
      </c>
      <c r="B1083" s="762" t="s">
        <v>2340</v>
      </c>
      <c r="C1083" s="762" t="s">
        <v>2527</v>
      </c>
      <c r="D1083" s="762">
        <v>60305816</v>
      </c>
      <c r="E1083" s="762" t="s">
        <v>2740</v>
      </c>
      <c r="F1083" s="762">
        <v>143006249</v>
      </c>
      <c r="G1083" s="762" t="s">
        <v>2903</v>
      </c>
      <c r="H1083" s="762" t="s">
        <v>7449</v>
      </c>
      <c r="I1083" s="762" t="s">
        <v>6867</v>
      </c>
      <c r="J1083" s="762">
        <v>1</v>
      </c>
      <c r="K1083" s="1911">
        <v>8281.130000000001</v>
      </c>
      <c r="L1083" s="1911">
        <v>1444.93</v>
      </c>
      <c r="M1083" s="1911">
        <v>6836.2</v>
      </c>
      <c r="N1083" s="1752" t="str">
        <f t="shared" si="18"/>
        <v>C391</v>
      </c>
      <c r="O1083" s="1752" t="s">
        <v>95</v>
      </c>
      <c r="P1083" s="1752" t="s">
        <v>2736</v>
      </c>
      <c r="Q1083" s="761"/>
      <c r="R1083" s="761"/>
      <c r="S1083" s="761"/>
      <c r="T1083" s="761"/>
      <c r="U1083" s="761"/>
      <c r="V1083" s="761"/>
      <c r="W1083" s="761"/>
      <c r="X1083" s="761"/>
      <c r="Y1083" s="761"/>
      <c r="Z1083" s="761"/>
      <c r="AA1083" s="761"/>
      <c r="AB1083" s="761"/>
      <c r="AC1083" s="761"/>
      <c r="AD1083" s="761"/>
      <c r="AE1083" s="761"/>
      <c r="AF1083" s="761"/>
      <c r="AG1083" s="761"/>
      <c r="AH1083" s="761"/>
      <c r="AI1083" s="761"/>
      <c r="AJ1083" s="761"/>
      <c r="AK1083" s="761"/>
      <c r="AL1083" s="761"/>
      <c r="AM1083" s="761"/>
      <c r="AN1083" s="761"/>
      <c r="AO1083" s="761"/>
      <c r="AP1083" s="761"/>
      <c r="AQ1083" s="761"/>
      <c r="AR1083" s="761"/>
      <c r="AS1083" s="761"/>
      <c r="AT1083" s="761"/>
      <c r="AU1083" s="761"/>
      <c r="AV1083" s="761"/>
      <c r="AW1083" s="761"/>
      <c r="AX1083" s="761"/>
      <c r="AY1083" s="761"/>
      <c r="AZ1083" s="761"/>
      <c r="BA1083" s="761"/>
      <c r="BB1083" s="761"/>
      <c r="BC1083" s="761"/>
      <c r="BD1083" s="761"/>
      <c r="BE1083" s="761"/>
      <c r="BF1083" s="761"/>
      <c r="BG1083" s="761"/>
      <c r="BH1083" s="761"/>
      <c r="BI1083" s="761"/>
      <c r="BJ1083" s="761"/>
      <c r="BK1083" s="761"/>
      <c r="BL1083" s="761"/>
      <c r="BM1083" s="761"/>
    </row>
    <row r="1084" spans="1:65" s="1720" customFormat="1">
      <c r="A1084" s="762" t="s">
        <v>2339</v>
      </c>
      <c r="B1084" s="762" t="s">
        <v>2340</v>
      </c>
      <c r="C1084" s="762" t="s">
        <v>2476</v>
      </c>
      <c r="D1084" s="762">
        <v>60414598</v>
      </c>
      <c r="E1084" s="762" t="s">
        <v>2740</v>
      </c>
      <c r="F1084" s="762">
        <v>143005974</v>
      </c>
      <c r="G1084" s="762" t="s">
        <v>2867</v>
      </c>
      <c r="H1084" s="762" t="s">
        <v>2867</v>
      </c>
      <c r="I1084" s="762" t="s">
        <v>6867</v>
      </c>
      <c r="J1084" s="762">
        <v>1</v>
      </c>
      <c r="K1084" s="1911">
        <v>1121381.3600000001</v>
      </c>
      <c r="L1084" s="1911">
        <v>195663.19</v>
      </c>
      <c r="M1084" s="1911">
        <v>925718.17</v>
      </c>
      <c r="N1084" s="1752" t="str">
        <f t="shared" si="18"/>
        <v>C391</v>
      </c>
      <c r="O1084" s="1752" t="s">
        <v>95</v>
      </c>
      <c r="P1084" s="1752" t="s">
        <v>2736</v>
      </c>
      <c r="Q1084" s="761"/>
      <c r="R1084" s="761"/>
      <c r="S1084" s="761"/>
      <c r="T1084" s="761"/>
      <c r="U1084" s="761"/>
      <c r="V1084" s="761"/>
      <c r="W1084" s="761"/>
      <c r="X1084" s="761"/>
      <c r="Y1084" s="761"/>
      <c r="Z1084" s="761"/>
      <c r="AA1084" s="761"/>
      <c r="AB1084" s="761"/>
      <c r="AC1084" s="761"/>
      <c r="AD1084" s="761"/>
      <c r="AE1084" s="761"/>
      <c r="AF1084" s="761"/>
      <c r="AG1084" s="761"/>
      <c r="AH1084" s="761"/>
      <c r="AI1084" s="761"/>
      <c r="AJ1084" s="761"/>
      <c r="AK1084" s="761"/>
      <c r="AL1084" s="761"/>
      <c r="AM1084" s="761"/>
      <c r="AN1084" s="761"/>
      <c r="AO1084" s="761"/>
      <c r="AP1084" s="761"/>
      <c r="AQ1084" s="761"/>
      <c r="AR1084" s="761"/>
      <c r="AS1084" s="761"/>
      <c r="AT1084" s="761"/>
      <c r="AU1084" s="761"/>
      <c r="AV1084" s="761"/>
      <c r="AW1084" s="761"/>
      <c r="AX1084" s="761"/>
      <c r="AY1084" s="761"/>
      <c r="AZ1084" s="761"/>
      <c r="BA1084" s="761"/>
      <c r="BB1084" s="761"/>
      <c r="BC1084" s="761"/>
      <c r="BD1084" s="761"/>
      <c r="BE1084" s="761"/>
      <c r="BF1084" s="761"/>
      <c r="BG1084" s="761"/>
      <c r="BH1084" s="761"/>
      <c r="BI1084" s="761"/>
      <c r="BJ1084" s="761"/>
      <c r="BK1084" s="761"/>
      <c r="BL1084" s="761"/>
      <c r="BM1084" s="761"/>
    </row>
    <row r="1085" spans="1:65" s="1720" customFormat="1">
      <c r="A1085" s="762" t="s">
        <v>2339</v>
      </c>
      <c r="B1085" s="762" t="s">
        <v>2340</v>
      </c>
      <c r="C1085" s="762" t="s">
        <v>2512</v>
      </c>
      <c r="D1085" s="762">
        <v>61167627</v>
      </c>
      <c r="E1085" s="762" t="s">
        <v>2740</v>
      </c>
      <c r="F1085" s="762">
        <v>143006109</v>
      </c>
      <c r="G1085" s="762" t="s">
        <v>2879</v>
      </c>
      <c r="H1085" s="762" t="s">
        <v>7450</v>
      </c>
      <c r="I1085" s="762" t="s">
        <v>6867</v>
      </c>
      <c r="J1085" s="762">
        <v>1</v>
      </c>
      <c r="K1085" s="1911">
        <v>47640.270000000004</v>
      </c>
      <c r="L1085" s="1911">
        <v>8312.4699999999993</v>
      </c>
      <c r="M1085" s="1911">
        <v>39327.800000000003</v>
      </c>
      <c r="N1085" s="1752" t="str">
        <f t="shared" si="18"/>
        <v>C391</v>
      </c>
      <c r="O1085" s="1752" t="s">
        <v>95</v>
      </c>
      <c r="P1085" s="1752" t="s">
        <v>2736</v>
      </c>
      <c r="Q1085" s="761"/>
      <c r="R1085" s="761"/>
      <c r="S1085" s="761"/>
      <c r="T1085" s="761"/>
      <c r="U1085" s="761"/>
      <c r="V1085" s="761"/>
      <c r="W1085" s="761"/>
      <c r="X1085" s="761"/>
      <c r="Y1085" s="761"/>
      <c r="Z1085" s="761"/>
      <c r="AA1085" s="761"/>
      <c r="AB1085" s="761"/>
      <c r="AC1085" s="761"/>
      <c r="AD1085" s="761"/>
      <c r="AE1085" s="761"/>
      <c r="AF1085" s="761"/>
      <c r="AG1085" s="761"/>
      <c r="AH1085" s="761"/>
      <c r="AI1085" s="761"/>
      <c r="AJ1085" s="761"/>
      <c r="AK1085" s="761"/>
      <c r="AL1085" s="761"/>
      <c r="AM1085" s="761"/>
      <c r="AN1085" s="761"/>
      <c r="AO1085" s="761"/>
      <c r="AP1085" s="761"/>
      <c r="AQ1085" s="761"/>
      <c r="AR1085" s="761"/>
      <c r="AS1085" s="761"/>
      <c r="AT1085" s="761"/>
      <c r="AU1085" s="761"/>
      <c r="AV1085" s="761"/>
      <c r="AW1085" s="761"/>
      <c r="AX1085" s="761"/>
      <c r="AY1085" s="761"/>
      <c r="AZ1085" s="761"/>
      <c r="BA1085" s="761"/>
      <c r="BB1085" s="761"/>
      <c r="BC1085" s="761"/>
      <c r="BD1085" s="761"/>
      <c r="BE1085" s="761"/>
      <c r="BF1085" s="761"/>
      <c r="BG1085" s="761"/>
      <c r="BH1085" s="761"/>
      <c r="BI1085" s="761"/>
      <c r="BJ1085" s="761"/>
      <c r="BK1085" s="761"/>
      <c r="BL1085" s="761"/>
      <c r="BM1085" s="761"/>
    </row>
    <row r="1086" spans="1:65" s="1720" customFormat="1">
      <c r="A1086" s="762" t="s">
        <v>2339</v>
      </c>
      <c r="B1086" s="762" t="s">
        <v>2340</v>
      </c>
      <c r="C1086" s="762" t="s">
        <v>2512</v>
      </c>
      <c r="D1086" s="762">
        <v>61167630</v>
      </c>
      <c r="E1086" s="762" t="s">
        <v>2740</v>
      </c>
      <c r="F1086" s="762">
        <v>143006113</v>
      </c>
      <c r="G1086" s="762" t="s">
        <v>2883</v>
      </c>
      <c r="H1086" s="762" t="s">
        <v>7451</v>
      </c>
      <c r="I1086" s="762" t="s">
        <v>6867</v>
      </c>
      <c r="J1086" s="762">
        <v>1</v>
      </c>
      <c r="K1086" s="1911">
        <v>8117.16</v>
      </c>
      <c r="L1086" s="1911">
        <v>1416.32</v>
      </c>
      <c r="M1086" s="1911">
        <v>6700.84</v>
      </c>
      <c r="N1086" s="1752" t="str">
        <f t="shared" si="18"/>
        <v>C391</v>
      </c>
      <c r="O1086" s="1752" t="s">
        <v>95</v>
      </c>
      <c r="P1086" s="1752" t="s">
        <v>2736</v>
      </c>
      <c r="Q1086" s="761"/>
      <c r="R1086" s="761"/>
      <c r="S1086" s="761"/>
      <c r="T1086" s="761"/>
      <c r="U1086" s="761"/>
      <c r="V1086" s="761"/>
      <c r="W1086" s="761"/>
      <c r="X1086" s="761"/>
      <c r="Y1086" s="761"/>
      <c r="Z1086" s="761"/>
      <c r="AA1086" s="761"/>
      <c r="AB1086" s="761"/>
      <c r="AC1086" s="761"/>
      <c r="AD1086" s="761"/>
      <c r="AE1086" s="761"/>
      <c r="AF1086" s="761"/>
      <c r="AG1086" s="761"/>
      <c r="AH1086" s="761"/>
      <c r="AI1086" s="761"/>
      <c r="AJ1086" s="761"/>
      <c r="AK1086" s="761"/>
      <c r="AL1086" s="761"/>
      <c r="AM1086" s="761"/>
      <c r="AN1086" s="761"/>
      <c r="AO1086" s="761"/>
      <c r="AP1086" s="761"/>
      <c r="AQ1086" s="761"/>
      <c r="AR1086" s="761"/>
      <c r="AS1086" s="761"/>
      <c r="AT1086" s="761"/>
      <c r="AU1086" s="761"/>
      <c r="AV1086" s="761"/>
      <c r="AW1086" s="761"/>
      <c r="AX1086" s="761"/>
      <c r="AY1086" s="761"/>
      <c r="AZ1086" s="761"/>
      <c r="BA1086" s="761"/>
      <c r="BB1086" s="761"/>
      <c r="BC1086" s="761"/>
      <c r="BD1086" s="761"/>
      <c r="BE1086" s="761"/>
      <c r="BF1086" s="761"/>
      <c r="BG1086" s="761"/>
      <c r="BH1086" s="761"/>
      <c r="BI1086" s="761"/>
      <c r="BJ1086" s="761"/>
      <c r="BK1086" s="761"/>
      <c r="BL1086" s="761"/>
      <c r="BM1086" s="761"/>
    </row>
    <row r="1087" spans="1:65" s="1720" customFormat="1">
      <c r="A1087" s="762" t="s">
        <v>2339</v>
      </c>
      <c r="B1087" s="762" t="s">
        <v>2340</v>
      </c>
      <c r="C1087" s="762" t="s">
        <v>2476</v>
      </c>
      <c r="D1087" s="762">
        <v>61702563</v>
      </c>
      <c r="E1087" s="762" t="s">
        <v>2740</v>
      </c>
      <c r="F1087" s="762">
        <v>143006524</v>
      </c>
      <c r="G1087" s="762" t="s">
        <v>2924</v>
      </c>
      <c r="H1087" s="762" t="s">
        <v>2924</v>
      </c>
      <c r="I1087" s="762" t="s">
        <v>6867</v>
      </c>
      <c r="J1087" s="762">
        <v>1</v>
      </c>
      <c r="K1087" s="1911">
        <v>235752.33000000002</v>
      </c>
      <c r="L1087" s="1911">
        <v>41135.03</v>
      </c>
      <c r="M1087" s="1911">
        <v>194617.30000000002</v>
      </c>
      <c r="N1087" s="1752" t="str">
        <f t="shared" si="18"/>
        <v>C391</v>
      </c>
      <c r="O1087" s="1752" t="s">
        <v>95</v>
      </c>
      <c r="P1087" s="1752" t="s">
        <v>2736</v>
      </c>
      <c r="Q1087" s="761"/>
      <c r="R1087" s="761"/>
      <c r="S1087" s="761"/>
      <c r="T1087" s="761"/>
      <c r="U1087" s="761"/>
      <c r="V1087" s="761"/>
      <c r="W1087" s="761"/>
      <c r="X1087" s="761"/>
      <c r="Y1087" s="761"/>
      <c r="Z1087" s="761"/>
      <c r="AA1087" s="761"/>
      <c r="AB1087" s="761"/>
      <c r="AC1087" s="761"/>
      <c r="AD1087" s="761"/>
      <c r="AE1087" s="761"/>
      <c r="AF1087" s="761"/>
      <c r="AG1087" s="761"/>
      <c r="AH1087" s="761"/>
      <c r="AI1087" s="761"/>
      <c r="AJ1087" s="761"/>
      <c r="AK1087" s="761"/>
      <c r="AL1087" s="761"/>
      <c r="AM1087" s="761"/>
      <c r="AN1087" s="761"/>
      <c r="AO1087" s="761"/>
      <c r="AP1087" s="761"/>
      <c r="AQ1087" s="761"/>
      <c r="AR1087" s="761"/>
      <c r="AS1087" s="761"/>
      <c r="AT1087" s="761"/>
      <c r="AU1087" s="761"/>
      <c r="AV1087" s="761"/>
      <c r="AW1087" s="761"/>
      <c r="AX1087" s="761"/>
      <c r="AY1087" s="761"/>
      <c r="AZ1087" s="761"/>
      <c r="BA1087" s="761"/>
      <c r="BB1087" s="761"/>
      <c r="BC1087" s="761"/>
      <c r="BD1087" s="761"/>
      <c r="BE1087" s="761"/>
      <c r="BF1087" s="761"/>
      <c r="BG1087" s="761"/>
      <c r="BH1087" s="761"/>
      <c r="BI1087" s="761"/>
      <c r="BJ1087" s="761"/>
      <c r="BK1087" s="761"/>
      <c r="BL1087" s="761"/>
      <c r="BM1087" s="761"/>
    </row>
    <row r="1088" spans="1:65" s="1720" customFormat="1">
      <c r="A1088" s="762" t="s">
        <v>2339</v>
      </c>
      <c r="B1088" s="762" t="s">
        <v>2340</v>
      </c>
      <c r="C1088" s="762" t="s">
        <v>2509</v>
      </c>
      <c r="D1088" s="762">
        <v>61897137</v>
      </c>
      <c r="E1088" s="762" t="s">
        <v>2740</v>
      </c>
      <c r="F1088" s="762">
        <v>143005501</v>
      </c>
      <c r="G1088" s="762" t="s">
        <v>2844</v>
      </c>
      <c r="H1088" s="762" t="s">
        <v>7452</v>
      </c>
      <c r="I1088" s="762" t="s">
        <v>6867</v>
      </c>
      <c r="J1088" s="762">
        <v>1</v>
      </c>
      <c r="K1088" s="1911">
        <v>2572.6</v>
      </c>
      <c r="L1088" s="1911">
        <v>448.88</v>
      </c>
      <c r="M1088" s="1911">
        <v>2123.7200000000003</v>
      </c>
      <c r="N1088" s="1752" t="str">
        <f t="shared" si="18"/>
        <v>C391</v>
      </c>
      <c r="O1088" s="1752" t="s">
        <v>95</v>
      </c>
      <c r="P1088" s="1752" t="s">
        <v>2736</v>
      </c>
      <c r="Q1088" s="761"/>
      <c r="R1088" s="761"/>
      <c r="S1088" s="761"/>
      <c r="T1088" s="761"/>
      <c r="U1088" s="761"/>
      <c r="V1088" s="761"/>
      <c r="W1088" s="761"/>
      <c r="X1088" s="761"/>
      <c r="Y1088" s="761"/>
      <c r="Z1088" s="761"/>
      <c r="AA1088" s="761"/>
      <c r="AB1088" s="761"/>
      <c r="AC1088" s="761"/>
      <c r="AD1088" s="761"/>
      <c r="AE1088" s="761"/>
      <c r="AF1088" s="761"/>
      <c r="AG1088" s="761"/>
      <c r="AH1088" s="761"/>
      <c r="AI1088" s="761"/>
      <c r="AJ1088" s="761"/>
      <c r="AK1088" s="761"/>
      <c r="AL1088" s="761"/>
      <c r="AM1088" s="761"/>
      <c r="AN1088" s="761"/>
      <c r="AO1088" s="761"/>
      <c r="AP1088" s="761"/>
      <c r="AQ1088" s="761"/>
      <c r="AR1088" s="761"/>
      <c r="AS1088" s="761"/>
      <c r="AT1088" s="761"/>
      <c r="AU1088" s="761"/>
      <c r="AV1088" s="761"/>
      <c r="AW1088" s="761"/>
      <c r="AX1088" s="761"/>
      <c r="AY1088" s="761"/>
      <c r="AZ1088" s="761"/>
      <c r="BA1088" s="761"/>
      <c r="BB1088" s="761"/>
      <c r="BC1088" s="761"/>
      <c r="BD1088" s="761"/>
      <c r="BE1088" s="761"/>
      <c r="BF1088" s="761"/>
      <c r="BG1088" s="761"/>
      <c r="BH1088" s="761"/>
      <c r="BI1088" s="761"/>
      <c r="BJ1088" s="761"/>
      <c r="BK1088" s="761"/>
      <c r="BL1088" s="761"/>
      <c r="BM1088" s="761"/>
    </row>
    <row r="1089" spans="1:65" s="762" customFormat="1">
      <c r="A1089" s="762" t="s">
        <v>2339</v>
      </c>
      <c r="B1089" s="762" t="s">
        <v>2340</v>
      </c>
      <c r="C1089" s="762" t="s">
        <v>2517</v>
      </c>
      <c r="D1089" s="762">
        <v>61897140</v>
      </c>
      <c r="E1089" s="762" t="s">
        <v>2740</v>
      </c>
      <c r="F1089" s="762">
        <v>143005504</v>
      </c>
      <c r="G1089" s="762" t="s">
        <v>2847</v>
      </c>
      <c r="H1089" s="762" t="s">
        <v>7453</v>
      </c>
      <c r="I1089" s="762" t="s">
        <v>6867</v>
      </c>
      <c r="J1089" s="762">
        <v>1</v>
      </c>
      <c r="K1089" s="1911">
        <v>3071.82</v>
      </c>
      <c r="L1089" s="1911">
        <v>535.98</v>
      </c>
      <c r="M1089" s="1911">
        <v>2535.84</v>
      </c>
      <c r="N1089" s="1752" t="str">
        <f t="shared" si="18"/>
        <v>C391</v>
      </c>
      <c r="O1089" s="1752" t="s">
        <v>95</v>
      </c>
      <c r="P1089" s="1752" t="s">
        <v>2736</v>
      </c>
      <c r="Q1089" s="763"/>
      <c r="R1089" s="763"/>
      <c r="S1089" s="763"/>
      <c r="T1089" s="763"/>
      <c r="U1089" s="763"/>
      <c r="V1089" s="763"/>
      <c r="W1089" s="763"/>
      <c r="X1089" s="763"/>
      <c r="Y1089" s="763"/>
      <c r="Z1089" s="763"/>
      <c r="AA1089" s="763"/>
      <c r="AB1089" s="763"/>
      <c r="AC1089" s="763"/>
      <c r="AD1089" s="763"/>
      <c r="AE1089" s="763"/>
      <c r="AF1089" s="763"/>
      <c r="AG1089" s="763"/>
      <c r="AH1089" s="763"/>
      <c r="AI1089" s="763"/>
      <c r="AJ1089" s="763"/>
      <c r="AK1089" s="763"/>
      <c r="AL1089" s="763"/>
      <c r="AM1089" s="763"/>
      <c r="AN1089" s="763"/>
      <c r="AO1089" s="763"/>
      <c r="AP1089" s="763"/>
      <c r="AQ1089" s="763"/>
      <c r="AR1089" s="763"/>
      <c r="AS1089" s="763"/>
      <c r="AT1089" s="763"/>
      <c r="AU1089" s="763"/>
      <c r="AV1089" s="763"/>
      <c r="AW1089" s="763"/>
      <c r="AX1089" s="763"/>
      <c r="AY1089" s="763"/>
      <c r="AZ1089" s="763"/>
      <c r="BA1089" s="763"/>
      <c r="BB1089" s="763"/>
      <c r="BC1089" s="763"/>
      <c r="BD1089" s="763"/>
      <c r="BE1089" s="763"/>
      <c r="BF1089" s="763"/>
      <c r="BG1089" s="763"/>
      <c r="BH1089" s="763"/>
      <c r="BI1089" s="763"/>
      <c r="BJ1089" s="763"/>
      <c r="BK1089" s="763"/>
      <c r="BL1089" s="763"/>
      <c r="BM1089" s="763"/>
    </row>
    <row r="1090" spans="1:65" s="1720" customFormat="1">
      <c r="A1090" s="762" t="s">
        <v>2339</v>
      </c>
      <c r="B1090" s="762" t="s">
        <v>2340</v>
      </c>
      <c r="C1090" s="762" t="s">
        <v>2517</v>
      </c>
      <c r="D1090" s="762">
        <v>61897175</v>
      </c>
      <c r="E1090" s="762" t="s">
        <v>2740</v>
      </c>
      <c r="F1090" s="762">
        <v>143006245</v>
      </c>
      <c r="G1090" s="762" t="s">
        <v>2901</v>
      </c>
      <c r="H1090" s="762" t="s">
        <v>2901</v>
      </c>
      <c r="I1090" s="762" t="s">
        <v>6867</v>
      </c>
      <c r="J1090" s="762">
        <v>1</v>
      </c>
      <c r="K1090" s="1911">
        <v>134815.9</v>
      </c>
      <c r="L1090" s="1911">
        <v>23523.23</v>
      </c>
      <c r="M1090" s="1911">
        <v>111292.67</v>
      </c>
      <c r="N1090" s="1752" t="str">
        <f t="shared" si="18"/>
        <v>C391</v>
      </c>
      <c r="O1090" s="1752" t="s">
        <v>95</v>
      </c>
      <c r="P1090" s="1752" t="s">
        <v>2736</v>
      </c>
      <c r="Q1090" s="761"/>
      <c r="R1090" s="761"/>
      <c r="S1090" s="761"/>
      <c r="T1090" s="761"/>
      <c r="U1090" s="761"/>
      <c r="V1090" s="761"/>
      <c r="W1090" s="761"/>
      <c r="X1090" s="761"/>
      <c r="Y1090" s="761"/>
      <c r="Z1090" s="761"/>
      <c r="AA1090" s="761"/>
      <c r="AB1090" s="761"/>
      <c r="AC1090" s="761"/>
      <c r="AD1090" s="761"/>
      <c r="AE1090" s="761"/>
      <c r="AF1090" s="761"/>
      <c r="AG1090" s="761"/>
      <c r="AH1090" s="761"/>
      <c r="AI1090" s="761"/>
      <c r="AJ1090" s="761"/>
      <c r="AK1090" s="761"/>
      <c r="AL1090" s="761"/>
      <c r="AM1090" s="761"/>
      <c r="AN1090" s="761"/>
      <c r="AO1090" s="761"/>
      <c r="AP1090" s="761"/>
      <c r="AQ1090" s="761"/>
      <c r="AR1090" s="761"/>
      <c r="AS1090" s="761"/>
      <c r="AT1090" s="761"/>
      <c r="AU1090" s="761"/>
      <c r="AV1090" s="761"/>
      <c r="AW1090" s="761"/>
      <c r="AX1090" s="761"/>
      <c r="AY1090" s="761"/>
      <c r="AZ1090" s="761"/>
      <c r="BA1090" s="761"/>
      <c r="BB1090" s="761"/>
      <c r="BC1090" s="761"/>
      <c r="BD1090" s="761"/>
      <c r="BE1090" s="761"/>
      <c r="BF1090" s="761"/>
      <c r="BG1090" s="761"/>
      <c r="BH1090" s="761"/>
      <c r="BI1090" s="761"/>
      <c r="BJ1090" s="761"/>
      <c r="BK1090" s="761"/>
      <c r="BL1090" s="761"/>
      <c r="BM1090" s="761"/>
    </row>
    <row r="1091" spans="1:65" s="1720" customFormat="1">
      <c r="A1091" s="762" t="s">
        <v>2339</v>
      </c>
      <c r="B1091" s="762" t="s">
        <v>2340</v>
      </c>
      <c r="C1091" s="762" t="s">
        <v>2524</v>
      </c>
      <c r="D1091" s="762">
        <v>61897184</v>
      </c>
      <c r="E1091" s="762" t="s">
        <v>2740</v>
      </c>
      <c r="F1091" s="762">
        <v>143006320</v>
      </c>
      <c r="G1091" s="762" t="s">
        <v>2905</v>
      </c>
      <c r="H1091" s="762" t="s">
        <v>7454</v>
      </c>
      <c r="I1091" s="762" t="s">
        <v>6867</v>
      </c>
      <c r="J1091" s="762">
        <v>1</v>
      </c>
      <c r="K1091" s="1911">
        <v>117786.32</v>
      </c>
      <c r="L1091" s="1911">
        <v>20551.84</v>
      </c>
      <c r="M1091" s="1911">
        <v>97234.48</v>
      </c>
      <c r="N1091" s="1752" t="str">
        <f t="shared" si="18"/>
        <v>C391</v>
      </c>
      <c r="O1091" s="1752" t="s">
        <v>95</v>
      </c>
      <c r="P1091" s="1752" t="s">
        <v>2736</v>
      </c>
      <c r="Q1091" s="761"/>
      <c r="R1091" s="761"/>
      <c r="S1091" s="761"/>
      <c r="T1091" s="761"/>
      <c r="U1091" s="761"/>
      <c r="V1091" s="761"/>
      <c r="W1091" s="761"/>
      <c r="X1091" s="761"/>
      <c r="Y1091" s="761"/>
      <c r="Z1091" s="761"/>
      <c r="AA1091" s="761"/>
      <c r="AB1091" s="761"/>
      <c r="AC1091" s="761"/>
      <c r="AD1091" s="761"/>
      <c r="AE1091" s="761"/>
      <c r="AF1091" s="761"/>
      <c r="AG1091" s="761"/>
      <c r="AH1091" s="761"/>
      <c r="AI1091" s="761"/>
      <c r="AJ1091" s="761"/>
      <c r="AK1091" s="761"/>
      <c r="AL1091" s="761"/>
      <c r="AM1091" s="761"/>
      <c r="AN1091" s="761"/>
      <c r="AO1091" s="761"/>
      <c r="AP1091" s="761"/>
      <c r="AQ1091" s="761"/>
      <c r="AR1091" s="761"/>
      <c r="AS1091" s="761"/>
      <c r="AT1091" s="761"/>
      <c r="AU1091" s="761"/>
      <c r="AV1091" s="761"/>
      <c r="AW1091" s="761"/>
      <c r="AX1091" s="761"/>
      <c r="AY1091" s="761"/>
      <c r="AZ1091" s="761"/>
      <c r="BA1091" s="761"/>
      <c r="BB1091" s="761"/>
      <c r="BC1091" s="761"/>
      <c r="BD1091" s="761"/>
      <c r="BE1091" s="761"/>
      <c r="BF1091" s="761"/>
      <c r="BG1091" s="761"/>
      <c r="BH1091" s="761"/>
      <c r="BI1091" s="761"/>
      <c r="BJ1091" s="761"/>
      <c r="BK1091" s="761"/>
      <c r="BL1091" s="761"/>
      <c r="BM1091" s="761"/>
    </row>
    <row r="1092" spans="1:65" s="762" customFormat="1">
      <c r="A1092" s="762" t="s">
        <v>2339</v>
      </c>
      <c r="B1092" s="762" t="s">
        <v>2340</v>
      </c>
      <c r="C1092" s="762" t="s">
        <v>2527</v>
      </c>
      <c r="D1092" s="762">
        <v>61897189</v>
      </c>
      <c r="E1092" s="762" t="s">
        <v>2740</v>
      </c>
      <c r="F1092" s="762">
        <v>143006324</v>
      </c>
      <c r="G1092" s="762" t="s">
        <v>2906</v>
      </c>
      <c r="H1092" s="762" t="s">
        <v>7455</v>
      </c>
      <c r="I1092" s="762" t="s">
        <v>6867</v>
      </c>
      <c r="J1092" s="762">
        <v>1</v>
      </c>
      <c r="K1092" s="1911">
        <v>36063.15</v>
      </c>
      <c r="L1092" s="1911">
        <v>6292.45</v>
      </c>
      <c r="M1092" s="1911">
        <v>29770.7</v>
      </c>
      <c r="N1092" s="1752" t="str">
        <f t="shared" si="18"/>
        <v>C391</v>
      </c>
      <c r="O1092" s="1752" t="s">
        <v>95</v>
      </c>
      <c r="P1092" s="1752" t="s">
        <v>2736</v>
      </c>
      <c r="Q1092" s="763"/>
      <c r="R1092" s="763"/>
      <c r="S1092" s="763"/>
      <c r="T1092" s="763"/>
      <c r="U1092" s="763"/>
      <c r="V1092" s="763"/>
      <c r="W1092" s="763"/>
      <c r="X1092" s="763"/>
      <c r="Y1092" s="763"/>
      <c r="Z1092" s="763"/>
      <c r="AA1092" s="763"/>
      <c r="AB1092" s="763"/>
      <c r="AC1092" s="763"/>
      <c r="AD1092" s="763"/>
      <c r="AE1092" s="763"/>
      <c r="AF1092" s="763"/>
      <c r="AG1092" s="763"/>
      <c r="AH1092" s="763"/>
      <c r="AI1092" s="763"/>
      <c r="AJ1092" s="763"/>
      <c r="AK1092" s="763"/>
      <c r="AL1092" s="763"/>
      <c r="AM1092" s="763"/>
      <c r="AN1092" s="763"/>
      <c r="AO1092" s="763"/>
      <c r="AP1092" s="763"/>
      <c r="AQ1092" s="763"/>
      <c r="AR1092" s="763"/>
      <c r="AS1092" s="763"/>
      <c r="AT1092" s="763"/>
      <c r="AU1092" s="763"/>
      <c r="AV1092" s="763"/>
      <c r="AW1092" s="763"/>
      <c r="AX1092" s="763"/>
      <c r="AY1092" s="763"/>
      <c r="AZ1092" s="763"/>
      <c r="BA1092" s="763"/>
      <c r="BB1092" s="763"/>
      <c r="BC1092" s="763"/>
      <c r="BD1092" s="763"/>
      <c r="BE1092" s="763"/>
      <c r="BF1092" s="763"/>
      <c r="BG1092" s="763"/>
      <c r="BH1092" s="763"/>
      <c r="BI1092" s="763"/>
      <c r="BJ1092" s="763"/>
      <c r="BK1092" s="763"/>
      <c r="BL1092" s="763"/>
      <c r="BM1092" s="763"/>
    </row>
    <row r="1093" spans="1:65" s="1720" customFormat="1">
      <c r="A1093" s="762" t="s">
        <v>2339</v>
      </c>
      <c r="B1093" s="762" t="s">
        <v>2340</v>
      </c>
      <c r="C1093" s="762" t="s">
        <v>2487</v>
      </c>
      <c r="D1093" s="762">
        <v>61897194</v>
      </c>
      <c r="E1093" s="762" t="s">
        <v>2740</v>
      </c>
      <c r="F1093" s="762">
        <v>143006340</v>
      </c>
      <c r="G1093" s="762" t="s">
        <v>2907</v>
      </c>
      <c r="H1093" s="762" t="s">
        <v>7456</v>
      </c>
      <c r="I1093" s="762" t="s">
        <v>6867</v>
      </c>
      <c r="J1093" s="762">
        <v>1</v>
      </c>
      <c r="K1093" s="1911">
        <v>22663.27</v>
      </c>
      <c r="L1093" s="1911">
        <v>3954.38</v>
      </c>
      <c r="M1093" s="1911">
        <v>18708.89</v>
      </c>
      <c r="N1093" s="1752" t="str">
        <f t="shared" si="18"/>
        <v>C391</v>
      </c>
      <c r="O1093" s="1752" t="s">
        <v>95</v>
      </c>
      <c r="P1093" s="1752" t="s">
        <v>2736</v>
      </c>
      <c r="Q1093" s="761"/>
      <c r="R1093" s="761"/>
      <c r="S1093" s="761"/>
      <c r="T1093" s="761"/>
      <c r="U1093" s="761"/>
      <c r="V1093" s="761"/>
      <c r="W1093" s="761"/>
      <c r="X1093" s="761"/>
      <c r="Y1093" s="761"/>
      <c r="Z1093" s="761"/>
      <c r="AA1093" s="761"/>
      <c r="AB1093" s="761"/>
      <c r="AC1093" s="761"/>
      <c r="AD1093" s="761"/>
      <c r="AE1093" s="761"/>
      <c r="AF1093" s="761"/>
      <c r="AG1093" s="761"/>
      <c r="AH1093" s="761"/>
      <c r="AI1093" s="761"/>
      <c r="AJ1093" s="761"/>
      <c r="AK1093" s="761"/>
      <c r="AL1093" s="761"/>
      <c r="AM1093" s="761"/>
      <c r="AN1093" s="761"/>
      <c r="AO1093" s="761"/>
      <c r="AP1093" s="761"/>
      <c r="AQ1093" s="761"/>
      <c r="AR1093" s="761"/>
      <c r="AS1093" s="761"/>
      <c r="AT1093" s="761"/>
      <c r="AU1093" s="761"/>
      <c r="AV1093" s="761"/>
      <c r="AW1093" s="761"/>
      <c r="AX1093" s="761"/>
      <c r="AY1093" s="761"/>
      <c r="AZ1093" s="761"/>
      <c r="BA1093" s="761"/>
      <c r="BB1093" s="761"/>
      <c r="BC1093" s="761"/>
      <c r="BD1093" s="761"/>
      <c r="BE1093" s="761"/>
      <c r="BF1093" s="761"/>
      <c r="BG1093" s="761"/>
      <c r="BH1093" s="761"/>
      <c r="BI1093" s="761"/>
      <c r="BJ1093" s="761"/>
      <c r="BK1093" s="761"/>
      <c r="BL1093" s="761"/>
      <c r="BM1093" s="761"/>
    </row>
    <row r="1094" spans="1:65" s="1720" customFormat="1">
      <c r="A1094" s="762" t="s">
        <v>2339</v>
      </c>
      <c r="B1094" s="762" t="s">
        <v>2340</v>
      </c>
      <c r="C1094" s="762" t="s">
        <v>2476</v>
      </c>
      <c r="D1094" s="762">
        <v>61897205</v>
      </c>
      <c r="E1094" s="762" t="s">
        <v>2740</v>
      </c>
      <c r="F1094" s="762">
        <v>143006435</v>
      </c>
      <c r="G1094" s="762" t="s">
        <v>2912</v>
      </c>
      <c r="H1094" s="762" t="s">
        <v>7457</v>
      </c>
      <c r="I1094" s="762" t="s">
        <v>6867</v>
      </c>
      <c r="J1094" s="762">
        <v>1</v>
      </c>
      <c r="K1094" s="1911">
        <v>38181.08</v>
      </c>
      <c r="L1094" s="1911">
        <v>6661.99</v>
      </c>
      <c r="M1094" s="1911">
        <v>31519.09</v>
      </c>
      <c r="N1094" s="1752" t="str">
        <f t="shared" si="18"/>
        <v>C391</v>
      </c>
      <c r="O1094" s="1752" t="s">
        <v>95</v>
      </c>
      <c r="P1094" s="1752" t="s">
        <v>2736</v>
      </c>
      <c r="Q1094" s="761"/>
      <c r="R1094" s="761"/>
      <c r="S1094" s="761"/>
      <c r="T1094" s="761"/>
      <c r="U1094" s="761"/>
      <c r="V1094" s="761"/>
      <c r="W1094" s="761"/>
      <c r="X1094" s="761"/>
      <c r="Y1094" s="761"/>
      <c r="Z1094" s="761"/>
      <c r="AA1094" s="761"/>
      <c r="AB1094" s="761"/>
      <c r="AC1094" s="761"/>
      <c r="AD1094" s="761"/>
      <c r="AE1094" s="761"/>
      <c r="AF1094" s="761"/>
      <c r="AG1094" s="761"/>
      <c r="AH1094" s="761"/>
      <c r="AI1094" s="761"/>
      <c r="AJ1094" s="761"/>
      <c r="AK1094" s="761"/>
      <c r="AL1094" s="761"/>
      <c r="AM1094" s="761"/>
      <c r="AN1094" s="761"/>
      <c r="AO1094" s="761"/>
      <c r="AP1094" s="761"/>
      <c r="AQ1094" s="761"/>
      <c r="AR1094" s="761"/>
      <c r="AS1094" s="761"/>
      <c r="AT1094" s="761"/>
      <c r="AU1094" s="761"/>
      <c r="AV1094" s="761"/>
      <c r="AW1094" s="761"/>
      <c r="AX1094" s="761"/>
      <c r="AY1094" s="761"/>
      <c r="AZ1094" s="761"/>
      <c r="BA1094" s="761"/>
      <c r="BB1094" s="761"/>
      <c r="BC1094" s="761"/>
      <c r="BD1094" s="761"/>
      <c r="BE1094" s="761"/>
      <c r="BF1094" s="761"/>
      <c r="BG1094" s="761"/>
      <c r="BH1094" s="761"/>
      <c r="BI1094" s="761"/>
      <c r="BJ1094" s="761"/>
      <c r="BK1094" s="761"/>
      <c r="BL1094" s="761"/>
      <c r="BM1094" s="761"/>
    </row>
    <row r="1095" spans="1:65" s="1720" customFormat="1">
      <c r="A1095" s="762" t="s">
        <v>2339</v>
      </c>
      <c r="B1095" s="762" t="s">
        <v>2340</v>
      </c>
      <c r="C1095" s="762" t="s">
        <v>2476</v>
      </c>
      <c r="D1095" s="762">
        <v>61897222</v>
      </c>
      <c r="E1095" s="762" t="s">
        <v>2740</v>
      </c>
      <c r="F1095" s="762">
        <v>143006660</v>
      </c>
      <c r="G1095" s="762" t="s">
        <v>2926</v>
      </c>
      <c r="H1095" s="762" t="s">
        <v>7458</v>
      </c>
      <c r="I1095" s="762" t="s">
        <v>6867</v>
      </c>
      <c r="J1095" s="762">
        <v>1</v>
      </c>
      <c r="K1095" s="1911">
        <v>46972.36</v>
      </c>
      <c r="L1095" s="1911">
        <v>8195.93</v>
      </c>
      <c r="M1095" s="1911">
        <v>38776.43</v>
      </c>
      <c r="N1095" s="1752" t="str">
        <f t="shared" si="18"/>
        <v>C391</v>
      </c>
      <c r="O1095" s="1752" t="s">
        <v>95</v>
      </c>
      <c r="P1095" s="1752" t="s">
        <v>2736</v>
      </c>
      <c r="Q1095" s="761"/>
      <c r="R1095" s="761"/>
      <c r="S1095" s="761"/>
      <c r="T1095" s="761"/>
      <c r="U1095" s="761"/>
      <c r="V1095" s="761"/>
      <c r="W1095" s="761"/>
      <c r="X1095" s="761"/>
      <c r="Y1095" s="761"/>
      <c r="Z1095" s="761"/>
      <c r="AA1095" s="761"/>
      <c r="AB1095" s="761"/>
      <c r="AC1095" s="761"/>
      <c r="AD1095" s="761"/>
      <c r="AE1095" s="761"/>
      <c r="AF1095" s="761"/>
      <c r="AG1095" s="761"/>
      <c r="AH1095" s="761"/>
      <c r="AI1095" s="761"/>
      <c r="AJ1095" s="761"/>
      <c r="AK1095" s="761"/>
      <c r="AL1095" s="761"/>
      <c r="AM1095" s="761"/>
      <c r="AN1095" s="761"/>
      <c r="AO1095" s="761"/>
      <c r="AP1095" s="761"/>
      <c r="AQ1095" s="761"/>
      <c r="AR1095" s="761"/>
      <c r="AS1095" s="761"/>
      <c r="AT1095" s="761"/>
      <c r="AU1095" s="761"/>
      <c r="AV1095" s="761"/>
      <c r="AW1095" s="761"/>
      <c r="AX1095" s="761"/>
      <c r="AY1095" s="761"/>
      <c r="AZ1095" s="761"/>
      <c r="BA1095" s="761"/>
      <c r="BB1095" s="761"/>
      <c r="BC1095" s="761"/>
      <c r="BD1095" s="761"/>
      <c r="BE1095" s="761"/>
      <c r="BF1095" s="761"/>
      <c r="BG1095" s="761"/>
      <c r="BH1095" s="761"/>
      <c r="BI1095" s="761"/>
      <c r="BJ1095" s="761"/>
      <c r="BK1095" s="761"/>
      <c r="BL1095" s="761"/>
      <c r="BM1095" s="761"/>
    </row>
    <row r="1096" spans="1:65" s="762" customFormat="1">
      <c r="A1096" s="762" t="s">
        <v>2339</v>
      </c>
      <c r="B1096" s="762" t="s">
        <v>2340</v>
      </c>
      <c r="C1096" s="762" t="s">
        <v>2473</v>
      </c>
      <c r="D1096" s="762">
        <v>61897231</v>
      </c>
      <c r="E1096" s="762" t="s">
        <v>2740</v>
      </c>
      <c r="F1096" s="762">
        <v>143006720</v>
      </c>
      <c r="G1096" s="762" t="s">
        <v>2928</v>
      </c>
      <c r="H1096" s="762" t="s">
        <v>7459</v>
      </c>
      <c r="I1096" s="762" t="s">
        <v>6867</v>
      </c>
      <c r="J1096" s="762">
        <v>1</v>
      </c>
      <c r="K1096" s="1911">
        <v>67184.69</v>
      </c>
      <c r="L1096" s="1911">
        <v>11722.66</v>
      </c>
      <c r="M1096" s="1911">
        <v>55462.03</v>
      </c>
      <c r="N1096" s="1752" t="str">
        <f t="shared" si="18"/>
        <v>C391</v>
      </c>
      <c r="O1096" s="1752" t="s">
        <v>95</v>
      </c>
      <c r="P1096" s="1752" t="s">
        <v>2736</v>
      </c>
      <c r="Q1096" s="763"/>
      <c r="R1096" s="763"/>
      <c r="S1096" s="763"/>
      <c r="T1096" s="763"/>
      <c r="U1096" s="763"/>
      <c r="V1096" s="763"/>
      <c r="W1096" s="763"/>
      <c r="X1096" s="763"/>
      <c r="Y1096" s="763"/>
      <c r="Z1096" s="763"/>
      <c r="AA1096" s="763"/>
      <c r="AB1096" s="763"/>
      <c r="AC1096" s="763"/>
      <c r="AD1096" s="763"/>
      <c r="AE1096" s="763"/>
      <c r="AF1096" s="763"/>
      <c r="AG1096" s="763"/>
      <c r="AH1096" s="763"/>
      <c r="AI1096" s="763"/>
      <c r="AJ1096" s="763"/>
      <c r="AK1096" s="763"/>
      <c r="AL1096" s="763"/>
      <c r="AM1096" s="763"/>
      <c r="AN1096" s="763"/>
      <c r="AO1096" s="763"/>
      <c r="AP1096" s="763"/>
      <c r="AQ1096" s="763"/>
      <c r="AR1096" s="763"/>
      <c r="AS1096" s="763"/>
      <c r="AT1096" s="763"/>
      <c r="AU1096" s="763"/>
      <c r="AV1096" s="763"/>
      <c r="AW1096" s="763"/>
      <c r="AX1096" s="763"/>
      <c r="AY1096" s="763"/>
      <c r="AZ1096" s="763"/>
      <c r="BA1096" s="763"/>
      <c r="BB1096" s="763"/>
      <c r="BC1096" s="763"/>
      <c r="BD1096" s="763"/>
      <c r="BE1096" s="763"/>
      <c r="BF1096" s="763"/>
      <c r="BG1096" s="763"/>
      <c r="BH1096" s="763"/>
      <c r="BI1096" s="763"/>
      <c r="BJ1096" s="763"/>
      <c r="BK1096" s="763"/>
      <c r="BL1096" s="763"/>
      <c r="BM1096" s="763"/>
    </row>
    <row r="1097" spans="1:65" s="1720" customFormat="1">
      <c r="A1097" s="762" t="s">
        <v>2339</v>
      </c>
      <c r="B1097" s="762" t="s">
        <v>2340</v>
      </c>
      <c r="C1097" s="762" t="s">
        <v>2473</v>
      </c>
      <c r="D1097" s="762">
        <v>62124134</v>
      </c>
      <c r="E1097" s="762" t="s">
        <v>2740</v>
      </c>
      <c r="F1097" s="762">
        <v>143004545</v>
      </c>
      <c r="G1097" s="762" t="s">
        <v>2758</v>
      </c>
      <c r="H1097" s="762" t="s">
        <v>2758</v>
      </c>
      <c r="I1097" s="762" t="s">
        <v>6867</v>
      </c>
      <c r="J1097" s="762">
        <v>1</v>
      </c>
      <c r="K1097" s="1911">
        <v>23526.23</v>
      </c>
      <c r="L1097" s="1911">
        <v>4104.95</v>
      </c>
      <c r="M1097" s="1911">
        <v>19421.28</v>
      </c>
      <c r="N1097" s="1752" t="str">
        <f t="shared" si="18"/>
        <v>C391</v>
      </c>
      <c r="O1097" s="1752" t="s">
        <v>95</v>
      </c>
      <c r="P1097" s="1752" t="s">
        <v>2736</v>
      </c>
      <c r="Q1097" s="761"/>
      <c r="R1097" s="761"/>
      <c r="S1097" s="761"/>
      <c r="T1097" s="761"/>
      <c r="U1097" s="761"/>
      <c r="V1097" s="761"/>
      <c r="W1097" s="761"/>
      <c r="X1097" s="761"/>
      <c r="Y1097" s="761"/>
      <c r="Z1097" s="761"/>
      <c r="AA1097" s="761"/>
      <c r="AB1097" s="761"/>
      <c r="AC1097" s="761"/>
      <c r="AD1097" s="761"/>
      <c r="AE1097" s="761"/>
      <c r="AF1097" s="761"/>
      <c r="AG1097" s="761"/>
      <c r="AH1097" s="761"/>
      <c r="AI1097" s="761"/>
      <c r="AJ1097" s="761"/>
      <c r="AK1097" s="761"/>
      <c r="AL1097" s="761"/>
      <c r="AM1097" s="761"/>
      <c r="AN1097" s="761"/>
      <c r="AO1097" s="761"/>
      <c r="AP1097" s="761"/>
      <c r="AQ1097" s="761"/>
      <c r="AR1097" s="761"/>
      <c r="AS1097" s="761"/>
      <c r="AT1097" s="761"/>
      <c r="AU1097" s="761"/>
      <c r="AV1097" s="761"/>
      <c r="AW1097" s="761"/>
      <c r="AX1097" s="761"/>
      <c r="AY1097" s="761"/>
      <c r="AZ1097" s="761"/>
      <c r="BA1097" s="761"/>
      <c r="BB1097" s="761"/>
      <c r="BC1097" s="761"/>
      <c r="BD1097" s="761"/>
      <c r="BE1097" s="761"/>
      <c r="BF1097" s="761"/>
      <c r="BG1097" s="761"/>
      <c r="BH1097" s="761"/>
      <c r="BI1097" s="761"/>
      <c r="BJ1097" s="761"/>
      <c r="BK1097" s="761"/>
      <c r="BL1097" s="761"/>
      <c r="BM1097" s="761"/>
    </row>
    <row r="1098" spans="1:65" s="1720" customFormat="1">
      <c r="A1098" s="762" t="s">
        <v>2339</v>
      </c>
      <c r="B1098" s="762" t="s">
        <v>2340</v>
      </c>
      <c r="C1098" s="762" t="s">
        <v>2473</v>
      </c>
      <c r="D1098" s="762">
        <v>62124139</v>
      </c>
      <c r="E1098" s="762" t="s">
        <v>2740</v>
      </c>
      <c r="F1098" s="762">
        <v>143004546</v>
      </c>
      <c r="G1098" s="762" t="s">
        <v>2759</v>
      </c>
      <c r="H1098" s="762" t="s">
        <v>2759</v>
      </c>
      <c r="I1098" s="762" t="s">
        <v>6867</v>
      </c>
      <c r="J1098" s="762">
        <v>1</v>
      </c>
      <c r="K1098" s="1911">
        <v>17111.07</v>
      </c>
      <c r="L1098" s="1911">
        <v>2985.61</v>
      </c>
      <c r="M1098" s="1911">
        <v>14125.460000000001</v>
      </c>
      <c r="N1098" s="1752" t="str">
        <f t="shared" si="18"/>
        <v>C391</v>
      </c>
      <c r="O1098" s="1752" t="s">
        <v>95</v>
      </c>
      <c r="P1098" s="1752" t="s">
        <v>2736</v>
      </c>
      <c r="Q1098" s="761"/>
      <c r="R1098" s="761"/>
      <c r="S1098" s="761"/>
      <c r="T1098" s="761"/>
      <c r="U1098" s="761"/>
      <c r="V1098" s="761"/>
      <c r="W1098" s="761"/>
      <c r="X1098" s="761"/>
      <c r="Y1098" s="761"/>
      <c r="Z1098" s="761"/>
      <c r="AA1098" s="761"/>
      <c r="AB1098" s="761"/>
      <c r="AC1098" s="761"/>
      <c r="AD1098" s="761"/>
      <c r="AE1098" s="761"/>
      <c r="AF1098" s="761"/>
      <c r="AG1098" s="761"/>
      <c r="AH1098" s="761"/>
      <c r="AI1098" s="761"/>
      <c r="AJ1098" s="761"/>
      <c r="AK1098" s="761"/>
      <c r="AL1098" s="761"/>
      <c r="AM1098" s="761"/>
      <c r="AN1098" s="761"/>
      <c r="AO1098" s="761"/>
      <c r="AP1098" s="761"/>
      <c r="AQ1098" s="761"/>
      <c r="AR1098" s="761"/>
      <c r="AS1098" s="761"/>
      <c r="AT1098" s="761"/>
      <c r="AU1098" s="761"/>
      <c r="AV1098" s="761"/>
      <c r="AW1098" s="761"/>
      <c r="AX1098" s="761"/>
      <c r="AY1098" s="761"/>
      <c r="AZ1098" s="761"/>
      <c r="BA1098" s="761"/>
      <c r="BB1098" s="761"/>
      <c r="BC1098" s="761"/>
      <c r="BD1098" s="761"/>
      <c r="BE1098" s="761"/>
      <c r="BF1098" s="761"/>
      <c r="BG1098" s="761"/>
      <c r="BH1098" s="761"/>
      <c r="BI1098" s="761"/>
      <c r="BJ1098" s="761"/>
      <c r="BK1098" s="761"/>
      <c r="BL1098" s="761"/>
      <c r="BM1098" s="761"/>
    </row>
    <row r="1099" spans="1:65" s="762" customFormat="1">
      <c r="A1099" s="762" t="s">
        <v>2339</v>
      </c>
      <c r="B1099" s="762" t="s">
        <v>2340</v>
      </c>
      <c r="C1099" s="762" t="s">
        <v>2476</v>
      </c>
      <c r="D1099" s="762">
        <v>62124182</v>
      </c>
      <c r="E1099" s="762" t="s">
        <v>2740</v>
      </c>
      <c r="F1099" s="762">
        <v>143006221</v>
      </c>
      <c r="G1099" s="762" t="s">
        <v>2888</v>
      </c>
      <c r="H1099" s="762" t="s">
        <v>2888</v>
      </c>
      <c r="I1099" s="762" t="s">
        <v>6867</v>
      </c>
      <c r="J1099" s="762">
        <v>1</v>
      </c>
      <c r="K1099" s="1911">
        <v>102475.47</v>
      </c>
      <c r="L1099" s="1911">
        <v>17880.34</v>
      </c>
      <c r="M1099" s="1911">
        <v>84595.13</v>
      </c>
      <c r="N1099" s="1752" t="str">
        <f t="shared" si="18"/>
        <v>C391</v>
      </c>
      <c r="O1099" s="1752" t="s">
        <v>95</v>
      </c>
      <c r="P1099" s="1752" t="s">
        <v>2736</v>
      </c>
      <c r="Q1099" s="763"/>
      <c r="R1099" s="763"/>
      <c r="S1099" s="763"/>
      <c r="T1099" s="763"/>
      <c r="U1099" s="763"/>
      <c r="V1099" s="763"/>
      <c r="W1099" s="763"/>
      <c r="X1099" s="763"/>
      <c r="Y1099" s="763"/>
      <c r="Z1099" s="763"/>
      <c r="AA1099" s="763"/>
      <c r="AB1099" s="763"/>
      <c r="AC1099" s="763"/>
      <c r="AD1099" s="763"/>
      <c r="AE1099" s="763"/>
      <c r="AF1099" s="763"/>
      <c r="AG1099" s="763"/>
      <c r="AH1099" s="763"/>
      <c r="AI1099" s="763"/>
      <c r="AJ1099" s="763"/>
      <c r="AK1099" s="763"/>
      <c r="AL1099" s="763"/>
      <c r="AM1099" s="763"/>
      <c r="AN1099" s="763"/>
      <c r="AO1099" s="763"/>
      <c r="AP1099" s="763"/>
      <c r="AQ1099" s="763"/>
      <c r="AR1099" s="763"/>
      <c r="AS1099" s="763"/>
      <c r="AT1099" s="763"/>
      <c r="AU1099" s="763"/>
      <c r="AV1099" s="763"/>
      <c r="AW1099" s="763"/>
      <c r="AX1099" s="763"/>
      <c r="AY1099" s="763"/>
      <c r="AZ1099" s="763"/>
      <c r="BA1099" s="763"/>
      <c r="BB1099" s="763"/>
      <c r="BC1099" s="763"/>
      <c r="BD1099" s="763"/>
      <c r="BE1099" s="763"/>
      <c r="BF1099" s="763"/>
      <c r="BG1099" s="763"/>
      <c r="BH1099" s="763"/>
      <c r="BI1099" s="763"/>
      <c r="BJ1099" s="763"/>
      <c r="BK1099" s="763"/>
      <c r="BL1099" s="763"/>
      <c r="BM1099" s="763"/>
    </row>
    <row r="1100" spans="1:65" s="762" customFormat="1">
      <c r="A1100" s="762" t="s">
        <v>2339</v>
      </c>
      <c r="B1100" s="762" t="s">
        <v>2340</v>
      </c>
      <c r="C1100" s="762" t="s">
        <v>2476</v>
      </c>
      <c r="D1100" s="762">
        <v>62124189</v>
      </c>
      <c r="E1100" s="762" t="s">
        <v>2740</v>
      </c>
      <c r="F1100" s="762">
        <v>143006225</v>
      </c>
      <c r="G1100" s="762" t="s">
        <v>2891</v>
      </c>
      <c r="H1100" s="762" t="s">
        <v>7460</v>
      </c>
      <c r="I1100" s="762" t="s">
        <v>6867</v>
      </c>
      <c r="J1100" s="762">
        <v>1</v>
      </c>
      <c r="K1100" s="1911">
        <v>102508.32</v>
      </c>
      <c r="L1100" s="1911">
        <v>17886.07</v>
      </c>
      <c r="M1100" s="1911">
        <v>84622.25</v>
      </c>
      <c r="N1100" s="1752" t="str">
        <f t="shared" si="18"/>
        <v>C391</v>
      </c>
      <c r="O1100" s="1752" t="s">
        <v>95</v>
      </c>
      <c r="P1100" s="1752" t="s">
        <v>2736</v>
      </c>
      <c r="Q1100" s="763"/>
      <c r="R1100" s="763"/>
      <c r="S1100" s="763"/>
      <c r="T1100" s="763"/>
      <c r="U1100" s="763"/>
      <c r="V1100" s="763"/>
      <c r="W1100" s="763"/>
      <c r="X1100" s="763"/>
      <c r="Y1100" s="763"/>
      <c r="Z1100" s="763"/>
      <c r="AA1100" s="763"/>
      <c r="AB1100" s="763"/>
      <c r="AC1100" s="763"/>
      <c r="AD1100" s="763"/>
      <c r="AE1100" s="763"/>
      <c r="AF1100" s="763"/>
      <c r="AG1100" s="763"/>
      <c r="AH1100" s="763"/>
      <c r="AI1100" s="763"/>
      <c r="AJ1100" s="763"/>
      <c r="AK1100" s="763"/>
      <c r="AL1100" s="763"/>
      <c r="AM1100" s="763"/>
      <c r="AN1100" s="763"/>
      <c r="AO1100" s="763"/>
      <c r="AP1100" s="763"/>
      <c r="AQ1100" s="763"/>
      <c r="AR1100" s="763"/>
      <c r="AS1100" s="763"/>
      <c r="AT1100" s="763"/>
      <c r="AU1100" s="763"/>
      <c r="AV1100" s="763"/>
      <c r="AW1100" s="763"/>
      <c r="AX1100" s="763"/>
      <c r="AY1100" s="763"/>
      <c r="AZ1100" s="763"/>
      <c r="BA1100" s="763"/>
      <c r="BB1100" s="763"/>
      <c r="BC1100" s="763"/>
      <c r="BD1100" s="763"/>
      <c r="BE1100" s="763"/>
      <c r="BF1100" s="763"/>
      <c r="BG1100" s="763"/>
      <c r="BH1100" s="763"/>
      <c r="BI1100" s="763"/>
      <c r="BJ1100" s="763"/>
      <c r="BK1100" s="763"/>
      <c r="BL1100" s="763"/>
      <c r="BM1100" s="763"/>
    </row>
    <row r="1101" spans="1:65" s="1720" customFormat="1">
      <c r="A1101" s="762" t="s">
        <v>2339</v>
      </c>
      <c r="B1101" s="762" t="s">
        <v>2340</v>
      </c>
      <c r="C1101" s="762" t="s">
        <v>2828</v>
      </c>
      <c r="D1101" s="762">
        <v>62124194</v>
      </c>
      <c r="E1101" s="762" t="s">
        <v>2740</v>
      </c>
      <c r="F1101" s="762">
        <v>143006227</v>
      </c>
      <c r="G1101" s="762" t="s">
        <v>2892</v>
      </c>
      <c r="H1101" s="762" t="s">
        <v>2892</v>
      </c>
      <c r="I1101" s="762" t="s">
        <v>6867</v>
      </c>
      <c r="J1101" s="762">
        <v>1</v>
      </c>
      <c r="K1101" s="1911">
        <v>38365.78</v>
      </c>
      <c r="L1101" s="1911">
        <v>6694.22</v>
      </c>
      <c r="M1101" s="1911">
        <v>31671.56</v>
      </c>
      <c r="N1101" s="1752" t="str">
        <f t="shared" si="18"/>
        <v>C391</v>
      </c>
      <c r="O1101" s="1752" t="s">
        <v>95</v>
      </c>
      <c r="P1101" s="1752" t="s">
        <v>2736</v>
      </c>
      <c r="Q1101" s="761"/>
      <c r="R1101" s="761"/>
      <c r="S1101" s="761"/>
      <c r="T1101" s="761"/>
      <c r="U1101" s="761"/>
      <c r="V1101" s="761"/>
      <c r="W1101" s="761"/>
      <c r="X1101" s="761"/>
      <c r="Y1101" s="761"/>
      <c r="Z1101" s="761"/>
      <c r="AA1101" s="761"/>
      <c r="AB1101" s="761"/>
      <c r="AC1101" s="761"/>
      <c r="AD1101" s="761"/>
      <c r="AE1101" s="761"/>
      <c r="AF1101" s="761"/>
      <c r="AG1101" s="761"/>
      <c r="AH1101" s="761"/>
      <c r="AI1101" s="761"/>
      <c r="AJ1101" s="761"/>
      <c r="AK1101" s="761"/>
      <c r="AL1101" s="761"/>
      <c r="AM1101" s="761"/>
      <c r="AN1101" s="761"/>
      <c r="AO1101" s="761"/>
      <c r="AP1101" s="761"/>
      <c r="AQ1101" s="761"/>
      <c r="AR1101" s="761"/>
      <c r="AS1101" s="761"/>
      <c r="AT1101" s="761"/>
      <c r="AU1101" s="761"/>
      <c r="AV1101" s="761"/>
      <c r="AW1101" s="761"/>
      <c r="AX1101" s="761"/>
      <c r="AY1101" s="761"/>
      <c r="AZ1101" s="761"/>
      <c r="BA1101" s="761"/>
      <c r="BB1101" s="761"/>
      <c r="BC1101" s="761"/>
      <c r="BD1101" s="761"/>
      <c r="BE1101" s="761"/>
      <c r="BF1101" s="761"/>
      <c r="BG1101" s="761"/>
      <c r="BH1101" s="761"/>
      <c r="BI1101" s="761"/>
      <c r="BJ1101" s="761"/>
      <c r="BK1101" s="761"/>
      <c r="BL1101" s="761"/>
      <c r="BM1101" s="761"/>
    </row>
    <row r="1102" spans="1:65" s="762" customFormat="1">
      <c r="A1102" s="762" t="s">
        <v>2339</v>
      </c>
      <c r="B1102" s="762" t="s">
        <v>2340</v>
      </c>
      <c r="C1102" s="762" t="s">
        <v>2744</v>
      </c>
      <c r="D1102" s="762">
        <v>62124199</v>
      </c>
      <c r="E1102" s="762" t="s">
        <v>2740</v>
      </c>
      <c r="F1102" s="762">
        <v>143006228</v>
      </c>
      <c r="G1102" s="762" t="s">
        <v>2893</v>
      </c>
      <c r="H1102" s="762" t="s">
        <v>2893</v>
      </c>
      <c r="I1102" s="762" t="s">
        <v>6867</v>
      </c>
      <c r="J1102" s="762">
        <v>1</v>
      </c>
      <c r="K1102" s="1911">
        <v>24763.48</v>
      </c>
      <c r="L1102" s="1911">
        <v>4320.83</v>
      </c>
      <c r="M1102" s="1911">
        <v>20442.650000000001</v>
      </c>
      <c r="N1102" s="1752" t="str">
        <f t="shared" si="18"/>
        <v>C391</v>
      </c>
      <c r="O1102" s="1752" t="s">
        <v>95</v>
      </c>
      <c r="P1102" s="1752" t="s">
        <v>2736</v>
      </c>
      <c r="Q1102" s="763"/>
      <c r="R1102" s="763"/>
      <c r="S1102" s="763"/>
      <c r="T1102" s="763"/>
      <c r="U1102" s="763"/>
      <c r="V1102" s="763"/>
      <c r="W1102" s="763"/>
      <c r="X1102" s="763"/>
      <c r="Y1102" s="763"/>
      <c r="Z1102" s="763"/>
      <c r="AA1102" s="763"/>
      <c r="AB1102" s="763"/>
      <c r="AC1102" s="763"/>
      <c r="AD1102" s="763"/>
      <c r="AE1102" s="763"/>
      <c r="AF1102" s="763"/>
      <c r="AG1102" s="763"/>
      <c r="AH1102" s="763"/>
      <c r="AI1102" s="763"/>
      <c r="AJ1102" s="763"/>
      <c r="AK1102" s="763"/>
      <c r="AL1102" s="763"/>
      <c r="AM1102" s="763"/>
      <c r="AN1102" s="763"/>
      <c r="AO1102" s="763"/>
      <c r="AP1102" s="763"/>
      <c r="AQ1102" s="763"/>
      <c r="AR1102" s="763"/>
      <c r="AS1102" s="763"/>
      <c r="AT1102" s="763"/>
      <c r="AU1102" s="763"/>
      <c r="AV1102" s="763"/>
      <c r="AW1102" s="763"/>
      <c r="AX1102" s="763"/>
      <c r="AY1102" s="763"/>
      <c r="AZ1102" s="763"/>
      <c r="BA1102" s="763"/>
      <c r="BB1102" s="763"/>
      <c r="BC1102" s="763"/>
      <c r="BD1102" s="763"/>
      <c r="BE1102" s="763"/>
      <c r="BF1102" s="763"/>
      <c r="BG1102" s="763"/>
      <c r="BH1102" s="763"/>
      <c r="BI1102" s="763"/>
      <c r="BJ1102" s="763"/>
      <c r="BK1102" s="763"/>
      <c r="BL1102" s="763"/>
      <c r="BM1102" s="763"/>
    </row>
    <row r="1103" spans="1:65" s="762" customFormat="1">
      <c r="A1103" s="762" t="s">
        <v>2339</v>
      </c>
      <c r="B1103" s="762" t="s">
        <v>2340</v>
      </c>
      <c r="C1103" s="762" t="s">
        <v>2476</v>
      </c>
      <c r="D1103" s="762">
        <v>62124204</v>
      </c>
      <c r="E1103" s="762" t="s">
        <v>2740</v>
      </c>
      <c r="F1103" s="762">
        <v>143006230</v>
      </c>
      <c r="G1103" s="762" t="s">
        <v>2895</v>
      </c>
      <c r="H1103" s="762" t="s">
        <v>7461</v>
      </c>
      <c r="I1103" s="762" t="s">
        <v>6867</v>
      </c>
      <c r="J1103" s="762">
        <v>1</v>
      </c>
      <c r="K1103" s="1911">
        <v>41721.42</v>
      </c>
      <c r="L1103" s="1911">
        <v>7279.72</v>
      </c>
      <c r="M1103" s="1911">
        <v>34441.699999999997</v>
      </c>
      <c r="N1103" s="1752" t="str">
        <f t="shared" si="18"/>
        <v>C391</v>
      </c>
      <c r="O1103" s="1752" t="s">
        <v>95</v>
      </c>
      <c r="P1103" s="1752" t="s">
        <v>2736</v>
      </c>
      <c r="Q1103" s="763"/>
      <c r="R1103" s="763"/>
      <c r="S1103" s="763"/>
      <c r="T1103" s="763"/>
      <c r="U1103" s="763"/>
      <c r="V1103" s="763"/>
      <c r="W1103" s="763"/>
      <c r="X1103" s="763"/>
      <c r="Y1103" s="763"/>
      <c r="Z1103" s="763"/>
      <c r="AA1103" s="763"/>
      <c r="AB1103" s="763"/>
      <c r="AC1103" s="763"/>
      <c r="AD1103" s="763"/>
      <c r="AE1103" s="763"/>
      <c r="AF1103" s="763"/>
      <c r="AG1103" s="763"/>
      <c r="AH1103" s="763"/>
      <c r="AI1103" s="763"/>
      <c r="AJ1103" s="763"/>
      <c r="AK1103" s="763"/>
      <c r="AL1103" s="763"/>
      <c r="AM1103" s="763"/>
      <c r="AN1103" s="763"/>
      <c r="AO1103" s="763"/>
      <c r="AP1103" s="763"/>
      <c r="AQ1103" s="763"/>
      <c r="AR1103" s="763"/>
      <c r="AS1103" s="763"/>
      <c r="AT1103" s="763"/>
      <c r="AU1103" s="763"/>
      <c r="AV1103" s="763"/>
      <c r="AW1103" s="763"/>
      <c r="AX1103" s="763"/>
      <c r="AY1103" s="763"/>
      <c r="AZ1103" s="763"/>
      <c r="BA1103" s="763"/>
      <c r="BB1103" s="763"/>
      <c r="BC1103" s="763"/>
      <c r="BD1103" s="763"/>
      <c r="BE1103" s="763"/>
      <c r="BF1103" s="763"/>
      <c r="BG1103" s="763"/>
      <c r="BH1103" s="763"/>
      <c r="BI1103" s="763"/>
      <c r="BJ1103" s="763"/>
      <c r="BK1103" s="763"/>
      <c r="BL1103" s="763"/>
      <c r="BM1103" s="763"/>
    </row>
    <row r="1104" spans="1:65" s="1720" customFormat="1">
      <c r="A1104" s="762" t="s">
        <v>2339</v>
      </c>
      <c r="B1104" s="762" t="s">
        <v>2340</v>
      </c>
      <c r="C1104" s="762" t="s">
        <v>2476</v>
      </c>
      <c r="D1104" s="762">
        <v>62124209</v>
      </c>
      <c r="E1104" s="762" t="s">
        <v>2740</v>
      </c>
      <c r="F1104" s="762">
        <v>143006232</v>
      </c>
      <c r="G1104" s="762" t="s">
        <v>2896</v>
      </c>
      <c r="H1104" s="762" t="s">
        <v>7462</v>
      </c>
      <c r="I1104" s="762" t="s">
        <v>6867</v>
      </c>
      <c r="J1104" s="762">
        <v>1</v>
      </c>
      <c r="K1104" s="1911">
        <v>511772.21</v>
      </c>
      <c r="L1104" s="1911">
        <v>89296.1</v>
      </c>
      <c r="M1104" s="1911">
        <v>422476.11</v>
      </c>
      <c r="N1104" s="1752" t="str">
        <f t="shared" si="18"/>
        <v>C391</v>
      </c>
      <c r="O1104" s="1752" t="s">
        <v>95</v>
      </c>
      <c r="P1104" s="1752" t="s">
        <v>2736</v>
      </c>
      <c r="Q1104" s="761"/>
      <c r="R1104" s="761"/>
      <c r="S1104" s="761"/>
      <c r="T1104" s="761"/>
      <c r="U1104" s="761"/>
      <c r="V1104" s="761"/>
      <c r="W1104" s="761"/>
      <c r="X1104" s="761"/>
      <c r="Y1104" s="761"/>
      <c r="Z1104" s="761"/>
      <c r="AA1104" s="761"/>
      <c r="AB1104" s="761"/>
      <c r="AC1104" s="761"/>
      <c r="AD1104" s="761"/>
      <c r="AE1104" s="761"/>
      <c r="AF1104" s="761"/>
      <c r="AG1104" s="761"/>
      <c r="AH1104" s="761"/>
      <c r="AI1104" s="761"/>
      <c r="AJ1104" s="761"/>
      <c r="AK1104" s="761"/>
      <c r="AL1104" s="761"/>
      <c r="AM1104" s="761"/>
      <c r="AN1104" s="761"/>
      <c r="AO1104" s="761"/>
      <c r="AP1104" s="761"/>
      <c r="AQ1104" s="761"/>
      <c r="AR1104" s="761"/>
      <c r="AS1104" s="761"/>
      <c r="AT1104" s="761"/>
      <c r="AU1104" s="761"/>
      <c r="AV1104" s="761"/>
      <c r="AW1104" s="761"/>
      <c r="AX1104" s="761"/>
      <c r="AY1104" s="761"/>
      <c r="AZ1104" s="761"/>
      <c r="BA1104" s="761"/>
      <c r="BB1104" s="761"/>
      <c r="BC1104" s="761"/>
      <c r="BD1104" s="761"/>
      <c r="BE1104" s="761"/>
      <c r="BF1104" s="761"/>
      <c r="BG1104" s="761"/>
      <c r="BH1104" s="761"/>
      <c r="BI1104" s="761"/>
      <c r="BJ1104" s="761"/>
      <c r="BK1104" s="761"/>
      <c r="BL1104" s="761"/>
      <c r="BM1104" s="761"/>
    </row>
    <row r="1105" spans="1:65" s="1692" customFormat="1">
      <c r="A1105" s="762" t="s">
        <v>2339</v>
      </c>
      <c r="B1105" s="762" t="s">
        <v>2340</v>
      </c>
      <c r="C1105" s="762" t="s">
        <v>2476</v>
      </c>
      <c r="D1105" s="762">
        <v>64678947</v>
      </c>
      <c r="E1105" s="762" t="s">
        <v>2740</v>
      </c>
      <c r="F1105" s="762">
        <v>143006224</v>
      </c>
      <c r="G1105" s="762" t="s">
        <v>2890</v>
      </c>
      <c r="H1105" s="1917" t="s">
        <v>7463</v>
      </c>
      <c r="I1105" s="762" t="s">
        <v>6867</v>
      </c>
      <c r="J1105" s="762">
        <v>1</v>
      </c>
      <c r="K1105" s="1911">
        <v>42751.73</v>
      </c>
      <c r="L1105" s="1911">
        <v>7459.5</v>
      </c>
      <c r="M1105" s="1911">
        <v>35292.230000000003</v>
      </c>
      <c r="N1105" s="1752" t="str">
        <f t="shared" ref="N1105:N1168" si="19">LEFT(E1105,4)</f>
        <v>C391</v>
      </c>
      <c r="O1105" s="1752" t="s">
        <v>95</v>
      </c>
      <c r="P1105" s="1752" t="s">
        <v>2736</v>
      </c>
      <c r="Q1105" s="763"/>
      <c r="R1105" s="763"/>
      <c r="S1105" s="763"/>
      <c r="T1105" s="763"/>
      <c r="U1105" s="763"/>
      <c r="V1105" s="763"/>
      <c r="W1105" s="763"/>
      <c r="X1105" s="763"/>
      <c r="Y1105" s="763"/>
      <c r="Z1105" s="763"/>
      <c r="AA1105" s="763"/>
      <c r="AB1105" s="763"/>
      <c r="AC1105" s="763"/>
      <c r="AD1105" s="763"/>
      <c r="AE1105" s="763"/>
      <c r="AF1105" s="763"/>
      <c r="AG1105" s="763"/>
      <c r="AH1105" s="763"/>
      <c r="AI1105" s="763"/>
      <c r="AJ1105" s="763"/>
      <c r="AK1105" s="763"/>
      <c r="AL1105" s="763"/>
      <c r="AM1105" s="763"/>
      <c r="AN1105" s="763"/>
      <c r="AO1105" s="763"/>
      <c r="AP1105" s="763"/>
      <c r="AQ1105" s="763"/>
      <c r="AR1105" s="763"/>
      <c r="AS1105" s="763"/>
      <c r="AT1105" s="763"/>
      <c r="AU1105" s="763"/>
      <c r="AV1105" s="763"/>
      <c r="AW1105" s="763"/>
      <c r="AX1105" s="763"/>
      <c r="AY1105" s="763"/>
      <c r="AZ1105" s="763"/>
      <c r="BA1105" s="763"/>
      <c r="BB1105" s="763"/>
      <c r="BC1105" s="763"/>
      <c r="BD1105" s="763"/>
      <c r="BE1105" s="763"/>
      <c r="BF1105" s="763"/>
      <c r="BG1105" s="763"/>
      <c r="BH1105" s="763"/>
      <c r="BI1105" s="763"/>
      <c r="BJ1105" s="763"/>
      <c r="BK1105" s="763"/>
      <c r="BL1105" s="763"/>
      <c r="BM1105" s="763"/>
    </row>
    <row r="1106" spans="1:65" s="1720" customFormat="1">
      <c r="A1106" s="762" t="s">
        <v>2339</v>
      </c>
      <c r="B1106" s="762" t="s">
        <v>2340</v>
      </c>
      <c r="C1106" s="762" t="s">
        <v>2473</v>
      </c>
      <c r="D1106" s="762">
        <v>62433312</v>
      </c>
      <c r="E1106" s="762" t="s">
        <v>2740</v>
      </c>
      <c r="F1106" s="762">
        <v>143006640</v>
      </c>
      <c r="G1106" s="762" t="s">
        <v>2925</v>
      </c>
      <c r="H1106" s="762" t="s">
        <v>2925</v>
      </c>
      <c r="I1106" s="762" t="s">
        <v>6867</v>
      </c>
      <c r="J1106" s="762">
        <v>1</v>
      </c>
      <c r="K1106" s="1911">
        <v>3313.4900000000002</v>
      </c>
      <c r="L1106" s="1911">
        <v>578.15</v>
      </c>
      <c r="M1106" s="1911">
        <v>2735.34</v>
      </c>
      <c r="N1106" s="1752" t="str">
        <f t="shared" si="19"/>
        <v>C391</v>
      </c>
      <c r="O1106" s="1752" t="s">
        <v>95</v>
      </c>
      <c r="P1106" s="1752" t="s">
        <v>2736</v>
      </c>
      <c r="Q1106" s="761"/>
      <c r="R1106" s="761"/>
      <c r="S1106" s="761"/>
      <c r="T1106" s="761"/>
      <c r="U1106" s="761"/>
      <c r="V1106" s="761"/>
      <c r="W1106" s="761"/>
      <c r="X1106" s="761"/>
      <c r="Y1106" s="761"/>
      <c r="Z1106" s="761"/>
      <c r="AA1106" s="761"/>
      <c r="AB1106" s="761"/>
      <c r="AC1106" s="761"/>
      <c r="AD1106" s="761"/>
      <c r="AE1106" s="761"/>
      <c r="AF1106" s="761"/>
      <c r="AG1106" s="761"/>
      <c r="AH1106" s="761"/>
      <c r="AI1106" s="761"/>
      <c r="AJ1106" s="761"/>
      <c r="AK1106" s="761"/>
      <c r="AL1106" s="761"/>
      <c r="AM1106" s="761"/>
      <c r="AN1106" s="761"/>
      <c r="AO1106" s="761"/>
      <c r="AP1106" s="761"/>
      <c r="AQ1106" s="761"/>
      <c r="AR1106" s="761"/>
      <c r="AS1106" s="761"/>
      <c r="AT1106" s="761"/>
      <c r="AU1106" s="761"/>
      <c r="AV1106" s="761"/>
      <c r="AW1106" s="761"/>
      <c r="AX1106" s="761"/>
      <c r="AY1106" s="761"/>
      <c r="AZ1106" s="761"/>
      <c r="BA1106" s="761"/>
      <c r="BB1106" s="761"/>
      <c r="BC1106" s="761"/>
      <c r="BD1106" s="761"/>
      <c r="BE1106" s="761"/>
      <c r="BF1106" s="761"/>
      <c r="BG1106" s="761"/>
      <c r="BH1106" s="761"/>
      <c r="BI1106" s="761"/>
      <c r="BJ1106" s="761"/>
      <c r="BK1106" s="761"/>
      <c r="BL1106" s="761"/>
      <c r="BM1106" s="761"/>
    </row>
    <row r="1107" spans="1:65" s="1720" customFormat="1">
      <c r="A1107" s="762" t="s">
        <v>2339</v>
      </c>
      <c r="B1107" s="762" t="s">
        <v>2340</v>
      </c>
      <c r="C1107" s="762" t="s">
        <v>2490</v>
      </c>
      <c r="D1107" s="762">
        <v>62433319</v>
      </c>
      <c r="E1107" s="762" t="s">
        <v>2740</v>
      </c>
      <c r="F1107" s="762">
        <v>143006742</v>
      </c>
      <c r="G1107" s="762" t="s">
        <v>2930</v>
      </c>
      <c r="H1107" s="762" t="s">
        <v>7464</v>
      </c>
      <c r="I1107" s="762" t="s">
        <v>6867</v>
      </c>
      <c r="J1107" s="762">
        <v>1</v>
      </c>
      <c r="K1107" s="1911">
        <v>599.1</v>
      </c>
      <c r="L1107" s="1911">
        <v>104.53</v>
      </c>
      <c r="M1107" s="1911">
        <v>494.57</v>
      </c>
      <c r="N1107" s="1752" t="str">
        <f t="shared" si="19"/>
        <v>C391</v>
      </c>
      <c r="O1107" s="1752" t="s">
        <v>95</v>
      </c>
      <c r="P1107" s="1752" t="s">
        <v>2736</v>
      </c>
      <c r="Q1107" s="761"/>
      <c r="R1107" s="761"/>
      <c r="S1107" s="761"/>
      <c r="T1107" s="761"/>
      <c r="U1107" s="761"/>
      <c r="V1107" s="761"/>
      <c r="W1107" s="761"/>
      <c r="X1107" s="761"/>
      <c r="Y1107" s="761"/>
      <c r="Z1107" s="761"/>
      <c r="AA1107" s="761"/>
      <c r="AB1107" s="761"/>
      <c r="AC1107" s="761"/>
      <c r="AD1107" s="761"/>
      <c r="AE1107" s="761"/>
      <c r="AF1107" s="761"/>
      <c r="AG1107" s="761"/>
      <c r="AH1107" s="761"/>
      <c r="AI1107" s="761"/>
      <c r="AJ1107" s="761"/>
      <c r="AK1107" s="761"/>
      <c r="AL1107" s="761"/>
      <c r="AM1107" s="761"/>
      <c r="AN1107" s="761"/>
      <c r="AO1107" s="761"/>
      <c r="AP1107" s="761"/>
      <c r="AQ1107" s="761"/>
      <c r="AR1107" s="761"/>
      <c r="AS1107" s="761"/>
      <c r="AT1107" s="761"/>
      <c r="AU1107" s="761"/>
      <c r="AV1107" s="761"/>
      <c r="AW1107" s="761"/>
      <c r="AX1107" s="761"/>
      <c r="AY1107" s="761"/>
      <c r="AZ1107" s="761"/>
      <c r="BA1107" s="761"/>
      <c r="BB1107" s="761"/>
      <c r="BC1107" s="761"/>
      <c r="BD1107" s="761"/>
      <c r="BE1107" s="761"/>
      <c r="BF1107" s="761"/>
      <c r="BG1107" s="761"/>
      <c r="BH1107" s="761"/>
      <c r="BI1107" s="761"/>
      <c r="BJ1107" s="761"/>
      <c r="BK1107" s="761"/>
      <c r="BL1107" s="761"/>
      <c r="BM1107" s="761"/>
    </row>
    <row r="1108" spans="1:65" s="1691" customFormat="1">
      <c r="A1108" s="762" t="s">
        <v>2339</v>
      </c>
      <c r="B1108" s="762" t="s">
        <v>2340</v>
      </c>
      <c r="C1108" s="762" t="s">
        <v>2476</v>
      </c>
      <c r="D1108" s="762">
        <v>64678942</v>
      </c>
      <c r="E1108" s="762" t="s">
        <v>2740</v>
      </c>
      <c r="F1108" s="762">
        <v>143006022</v>
      </c>
      <c r="G1108" s="762" t="s">
        <v>2878</v>
      </c>
      <c r="H1108" s="1917" t="s">
        <v>8007</v>
      </c>
      <c r="I1108" s="762" t="s">
        <v>6867</v>
      </c>
      <c r="J1108" s="762">
        <v>1</v>
      </c>
      <c r="K1108" s="1911">
        <v>28340.97</v>
      </c>
      <c r="L1108" s="1911">
        <v>4945.05</v>
      </c>
      <c r="M1108" s="1911">
        <v>23395.920000000002</v>
      </c>
      <c r="N1108" s="1752" t="str">
        <f t="shared" si="19"/>
        <v>C391</v>
      </c>
      <c r="O1108" s="1752" t="s">
        <v>95</v>
      </c>
      <c r="P1108" s="1752" t="s">
        <v>2736</v>
      </c>
      <c r="Q1108" s="761"/>
      <c r="R1108" s="761"/>
      <c r="S1108" s="761"/>
      <c r="T1108" s="761"/>
      <c r="U1108" s="761"/>
      <c r="V1108" s="761"/>
      <c r="W1108" s="761"/>
      <c r="X1108" s="761"/>
      <c r="Y1108" s="761"/>
      <c r="Z1108" s="761"/>
      <c r="AA1108" s="761"/>
      <c r="AB1108" s="761"/>
      <c r="AC1108" s="761"/>
      <c r="AD1108" s="761"/>
      <c r="AE1108" s="761"/>
      <c r="AF1108" s="761"/>
      <c r="AG1108" s="761"/>
      <c r="AH1108" s="761"/>
      <c r="AI1108" s="761"/>
      <c r="AJ1108" s="761"/>
      <c r="AK1108" s="761"/>
      <c r="AL1108" s="761"/>
      <c r="AM1108" s="761"/>
      <c r="AN1108" s="761"/>
      <c r="AO1108" s="761"/>
      <c r="AP1108" s="761"/>
      <c r="AQ1108" s="761"/>
      <c r="AR1108" s="761"/>
      <c r="AS1108" s="761"/>
      <c r="AT1108" s="761"/>
      <c r="AU1108" s="761"/>
      <c r="AV1108" s="761"/>
      <c r="AW1108" s="761"/>
      <c r="AX1108" s="761"/>
      <c r="AY1108" s="761"/>
      <c r="AZ1108" s="761"/>
      <c r="BA1108" s="761"/>
      <c r="BB1108" s="761"/>
      <c r="BC1108" s="761"/>
      <c r="BD1108" s="761"/>
      <c r="BE1108" s="761"/>
      <c r="BF1108" s="761"/>
      <c r="BG1108" s="761"/>
      <c r="BH1108" s="761"/>
      <c r="BI1108" s="761"/>
      <c r="BJ1108" s="761"/>
      <c r="BK1108" s="761"/>
      <c r="BL1108" s="761"/>
      <c r="BM1108" s="761"/>
    </row>
    <row r="1109" spans="1:65" s="1720" customFormat="1">
      <c r="A1109" s="762" t="s">
        <v>2339</v>
      </c>
      <c r="B1109" s="762" t="s">
        <v>2340</v>
      </c>
      <c r="C1109" s="762" t="s">
        <v>2476</v>
      </c>
      <c r="D1109" s="762">
        <v>62898279</v>
      </c>
      <c r="E1109" s="762" t="s">
        <v>2740</v>
      </c>
      <c r="F1109" s="762">
        <v>143006117</v>
      </c>
      <c r="G1109" s="762" t="s">
        <v>2885</v>
      </c>
      <c r="H1109" s="762" t="s">
        <v>2885</v>
      </c>
      <c r="I1109" s="762" t="s">
        <v>6867</v>
      </c>
      <c r="J1109" s="762">
        <v>1</v>
      </c>
      <c r="K1109" s="1911">
        <v>425238.88</v>
      </c>
      <c r="L1109" s="1911">
        <v>74197.41</v>
      </c>
      <c r="M1109" s="1911">
        <v>351041.47000000003</v>
      </c>
      <c r="N1109" s="1752" t="str">
        <f t="shared" si="19"/>
        <v>C391</v>
      </c>
      <c r="O1109" s="1752" t="s">
        <v>95</v>
      </c>
      <c r="P1109" s="1752" t="s">
        <v>2736</v>
      </c>
      <c r="Q1109" s="761"/>
      <c r="R1109" s="761"/>
      <c r="S1109" s="761"/>
      <c r="T1109" s="761"/>
      <c r="U1109" s="761"/>
      <c r="V1109" s="761"/>
      <c r="W1109" s="761"/>
      <c r="X1109" s="761"/>
      <c r="Y1109" s="761"/>
      <c r="Z1109" s="761"/>
      <c r="AA1109" s="761"/>
      <c r="AB1109" s="761"/>
      <c r="AC1109" s="761"/>
      <c r="AD1109" s="761"/>
      <c r="AE1109" s="761"/>
      <c r="AF1109" s="761"/>
      <c r="AG1109" s="761"/>
      <c r="AH1109" s="761"/>
      <c r="AI1109" s="761"/>
      <c r="AJ1109" s="761"/>
      <c r="AK1109" s="761"/>
      <c r="AL1109" s="761"/>
      <c r="AM1109" s="761"/>
      <c r="AN1109" s="761"/>
      <c r="AO1109" s="761"/>
      <c r="AP1109" s="761"/>
      <c r="AQ1109" s="761"/>
      <c r="AR1109" s="761"/>
      <c r="AS1109" s="761"/>
      <c r="AT1109" s="761"/>
      <c r="AU1109" s="761"/>
      <c r="AV1109" s="761"/>
      <c r="AW1109" s="761"/>
      <c r="AX1109" s="761"/>
      <c r="AY1109" s="761"/>
      <c r="AZ1109" s="761"/>
      <c r="BA1109" s="761"/>
      <c r="BB1109" s="761"/>
      <c r="BC1109" s="761"/>
      <c r="BD1109" s="761"/>
      <c r="BE1109" s="761"/>
      <c r="BF1109" s="761"/>
      <c r="BG1109" s="761"/>
      <c r="BH1109" s="761"/>
      <c r="BI1109" s="761"/>
      <c r="BJ1109" s="761"/>
      <c r="BK1109" s="761"/>
      <c r="BL1109" s="761"/>
      <c r="BM1109" s="761"/>
    </row>
    <row r="1110" spans="1:65" s="1720" customFormat="1">
      <c r="A1110" s="762" t="s">
        <v>2339</v>
      </c>
      <c r="B1110" s="762" t="s">
        <v>2340</v>
      </c>
      <c r="C1110" s="762" t="s">
        <v>2476</v>
      </c>
      <c r="D1110" s="762">
        <v>62898290</v>
      </c>
      <c r="E1110" s="762" t="s">
        <v>2740</v>
      </c>
      <c r="F1110" s="762">
        <v>143006341</v>
      </c>
      <c r="G1110" s="762" t="s">
        <v>2908</v>
      </c>
      <c r="H1110" s="762" t="s">
        <v>7465</v>
      </c>
      <c r="I1110" s="762" t="s">
        <v>6867</v>
      </c>
      <c r="J1110" s="762">
        <v>1</v>
      </c>
      <c r="K1110" s="1911">
        <v>2866480.04</v>
      </c>
      <c r="L1110" s="1911">
        <v>500155.13</v>
      </c>
      <c r="M1110" s="1911">
        <v>2366324.91</v>
      </c>
      <c r="N1110" s="1752" t="str">
        <f t="shared" si="19"/>
        <v>C391</v>
      </c>
      <c r="O1110" s="1752" t="s">
        <v>95</v>
      </c>
      <c r="P1110" s="1752" t="s">
        <v>2736</v>
      </c>
      <c r="Q1110" s="761"/>
      <c r="R1110" s="761"/>
      <c r="S1110" s="761"/>
      <c r="T1110" s="761"/>
      <c r="U1110" s="761"/>
      <c r="V1110" s="761"/>
      <c r="W1110" s="761"/>
      <c r="X1110" s="761"/>
      <c r="Y1110" s="761"/>
      <c r="Z1110" s="761"/>
      <c r="AA1110" s="761"/>
      <c r="AB1110" s="761"/>
      <c r="AC1110" s="761"/>
      <c r="AD1110" s="761"/>
      <c r="AE1110" s="761"/>
      <c r="AF1110" s="761"/>
      <c r="AG1110" s="761"/>
      <c r="AH1110" s="761"/>
      <c r="AI1110" s="761"/>
      <c r="AJ1110" s="761"/>
      <c r="AK1110" s="761"/>
      <c r="AL1110" s="761"/>
      <c r="AM1110" s="761"/>
      <c r="AN1110" s="761"/>
      <c r="AO1110" s="761"/>
      <c r="AP1110" s="761"/>
      <c r="AQ1110" s="761"/>
      <c r="AR1110" s="761"/>
      <c r="AS1110" s="761"/>
      <c r="AT1110" s="761"/>
      <c r="AU1110" s="761"/>
      <c r="AV1110" s="761"/>
      <c r="AW1110" s="761"/>
      <c r="AX1110" s="761"/>
      <c r="AY1110" s="761"/>
      <c r="AZ1110" s="761"/>
      <c r="BA1110" s="761"/>
      <c r="BB1110" s="761"/>
      <c r="BC1110" s="761"/>
      <c r="BD1110" s="761"/>
      <c r="BE1110" s="761"/>
      <c r="BF1110" s="761"/>
      <c r="BG1110" s="761"/>
      <c r="BH1110" s="761"/>
      <c r="BI1110" s="761"/>
      <c r="BJ1110" s="761"/>
      <c r="BK1110" s="761"/>
      <c r="BL1110" s="761"/>
      <c r="BM1110" s="761"/>
    </row>
    <row r="1111" spans="1:65" s="1720" customFormat="1">
      <c r="A1111" s="762" t="s">
        <v>2339</v>
      </c>
      <c r="B1111" s="762" t="s">
        <v>2340</v>
      </c>
      <c r="C1111" s="762" t="s">
        <v>2476</v>
      </c>
      <c r="D1111" s="762">
        <v>62898299</v>
      </c>
      <c r="E1111" s="762" t="s">
        <v>2740</v>
      </c>
      <c r="F1111" s="762">
        <v>143006427</v>
      </c>
      <c r="G1111" s="762" t="s">
        <v>2911</v>
      </c>
      <c r="H1111" s="762" t="s">
        <v>7466</v>
      </c>
      <c r="I1111" s="762" t="s">
        <v>6867</v>
      </c>
      <c r="J1111" s="762">
        <v>1</v>
      </c>
      <c r="K1111" s="1911">
        <v>460631.59</v>
      </c>
      <c r="L1111" s="1911">
        <v>80372.88</v>
      </c>
      <c r="M1111" s="1911">
        <v>380258.71</v>
      </c>
      <c r="N1111" s="1752" t="str">
        <f t="shared" si="19"/>
        <v>C391</v>
      </c>
      <c r="O1111" s="1752" t="s">
        <v>95</v>
      </c>
      <c r="P1111" s="1752" t="s">
        <v>2736</v>
      </c>
      <c r="Q1111" s="761"/>
      <c r="R1111" s="761"/>
      <c r="S1111" s="761"/>
      <c r="T1111" s="761"/>
      <c r="U1111" s="761"/>
      <c r="V1111" s="761"/>
      <c r="W1111" s="761"/>
      <c r="X1111" s="761"/>
      <c r="Y1111" s="761"/>
      <c r="Z1111" s="761"/>
      <c r="AA1111" s="761"/>
      <c r="AB1111" s="761"/>
      <c r="AC1111" s="761"/>
      <c r="AD1111" s="761"/>
      <c r="AE1111" s="761"/>
      <c r="AF1111" s="761"/>
      <c r="AG1111" s="761"/>
      <c r="AH1111" s="761"/>
      <c r="AI1111" s="761"/>
      <c r="AJ1111" s="761"/>
      <c r="AK1111" s="761"/>
      <c r="AL1111" s="761"/>
      <c r="AM1111" s="761"/>
      <c r="AN1111" s="761"/>
      <c r="AO1111" s="761"/>
      <c r="AP1111" s="761"/>
      <c r="AQ1111" s="761"/>
      <c r="AR1111" s="761"/>
      <c r="AS1111" s="761"/>
      <c r="AT1111" s="761"/>
      <c r="AU1111" s="761"/>
      <c r="AV1111" s="761"/>
      <c r="AW1111" s="761"/>
      <c r="AX1111" s="761"/>
      <c r="AY1111" s="761"/>
      <c r="AZ1111" s="761"/>
      <c r="BA1111" s="761"/>
      <c r="BB1111" s="761"/>
      <c r="BC1111" s="761"/>
      <c r="BD1111" s="761"/>
      <c r="BE1111" s="761"/>
      <c r="BF1111" s="761"/>
      <c r="BG1111" s="761"/>
      <c r="BH1111" s="761"/>
      <c r="BI1111" s="761"/>
      <c r="BJ1111" s="761"/>
      <c r="BK1111" s="761"/>
      <c r="BL1111" s="761"/>
      <c r="BM1111" s="761"/>
    </row>
    <row r="1112" spans="1:65" s="762" customFormat="1">
      <c r="A1112" s="762" t="s">
        <v>2339</v>
      </c>
      <c r="B1112" s="762" t="s">
        <v>2340</v>
      </c>
      <c r="C1112" s="762" t="s">
        <v>2476</v>
      </c>
      <c r="D1112" s="762">
        <v>62898321</v>
      </c>
      <c r="E1112" s="762" t="s">
        <v>2740</v>
      </c>
      <c r="F1112" s="762">
        <v>143006461</v>
      </c>
      <c r="G1112" s="762" t="s">
        <v>2913</v>
      </c>
      <c r="H1112" s="762" t="s">
        <v>7467</v>
      </c>
      <c r="I1112" s="762" t="s">
        <v>6867</v>
      </c>
      <c r="J1112" s="762">
        <v>1</v>
      </c>
      <c r="K1112" s="1911">
        <v>47687.89</v>
      </c>
      <c r="L1112" s="1911">
        <v>8320.7800000000007</v>
      </c>
      <c r="M1112" s="1911">
        <v>39367.11</v>
      </c>
      <c r="N1112" s="1752" t="str">
        <f t="shared" si="19"/>
        <v>C391</v>
      </c>
      <c r="O1112" s="1752" t="s">
        <v>95</v>
      </c>
      <c r="P1112" s="1752" t="s">
        <v>2736</v>
      </c>
      <c r="Q1112" s="763"/>
      <c r="R1112" s="763"/>
      <c r="S1112" s="763"/>
      <c r="T1112" s="763"/>
      <c r="U1112" s="763"/>
      <c r="V1112" s="763"/>
      <c r="W1112" s="763"/>
      <c r="X1112" s="763"/>
      <c r="Y1112" s="763"/>
      <c r="Z1112" s="763"/>
      <c r="AA1112" s="763"/>
      <c r="AB1112" s="763"/>
      <c r="AC1112" s="763"/>
      <c r="AD1112" s="763"/>
      <c r="AE1112" s="763"/>
      <c r="AF1112" s="763"/>
      <c r="AG1112" s="763"/>
      <c r="AH1112" s="763"/>
      <c r="AI1112" s="763"/>
      <c r="AJ1112" s="763"/>
      <c r="AK1112" s="763"/>
      <c r="AL1112" s="763"/>
      <c r="AM1112" s="763"/>
      <c r="AN1112" s="763"/>
      <c r="AO1112" s="763"/>
      <c r="AP1112" s="763"/>
      <c r="AQ1112" s="763"/>
      <c r="AR1112" s="763"/>
      <c r="AS1112" s="763"/>
      <c r="AT1112" s="763"/>
      <c r="AU1112" s="763"/>
      <c r="AV1112" s="763"/>
      <c r="AW1112" s="763"/>
      <c r="AX1112" s="763"/>
      <c r="AY1112" s="763"/>
      <c r="AZ1112" s="763"/>
      <c r="BA1112" s="763"/>
      <c r="BB1112" s="763"/>
      <c r="BC1112" s="763"/>
      <c r="BD1112" s="763"/>
      <c r="BE1112" s="763"/>
      <c r="BF1112" s="763"/>
      <c r="BG1112" s="763"/>
      <c r="BH1112" s="763"/>
      <c r="BI1112" s="763"/>
      <c r="BJ1112" s="763"/>
      <c r="BK1112" s="763"/>
      <c r="BL1112" s="763"/>
      <c r="BM1112" s="763"/>
    </row>
    <row r="1113" spans="1:65" s="1720" customFormat="1">
      <c r="A1113" s="762" t="s">
        <v>2339</v>
      </c>
      <c r="B1113" s="762" t="s">
        <v>2340</v>
      </c>
      <c r="C1113" s="762" t="s">
        <v>2476</v>
      </c>
      <c r="D1113" s="762">
        <v>62898324</v>
      </c>
      <c r="E1113" s="762" t="s">
        <v>2740</v>
      </c>
      <c r="F1113" s="762">
        <v>143006462</v>
      </c>
      <c r="G1113" s="762" t="s">
        <v>2914</v>
      </c>
      <c r="H1113" s="762" t="s">
        <v>7468</v>
      </c>
      <c r="I1113" s="762" t="s">
        <v>6867</v>
      </c>
      <c r="J1113" s="762">
        <v>1</v>
      </c>
      <c r="K1113" s="1911">
        <v>130581.23</v>
      </c>
      <c r="L1113" s="1911">
        <v>22784.350000000002</v>
      </c>
      <c r="M1113" s="1911">
        <v>107796.88</v>
      </c>
      <c r="N1113" s="1752" t="str">
        <f t="shared" si="19"/>
        <v>C391</v>
      </c>
      <c r="O1113" s="1752" t="s">
        <v>95</v>
      </c>
      <c r="P1113" s="1752" t="s">
        <v>2736</v>
      </c>
      <c r="Q1113" s="761"/>
      <c r="R1113" s="761"/>
      <c r="S1113" s="761"/>
      <c r="T1113" s="761"/>
      <c r="U1113" s="761"/>
      <c r="V1113" s="761"/>
      <c r="W1113" s="761"/>
      <c r="X1113" s="761"/>
      <c r="Y1113" s="761"/>
      <c r="Z1113" s="761"/>
      <c r="AA1113" s="761"/>
      <c r="AB1113" s="761"/>
      <c r="AC1113" s="761"/>
      <c r="AD1113" s="761"/>
      <c r="AE1113" s="761"/>
      <c r="AF1113" s="761"/>
      <c r="AG1113" s="761"/>
      <c r="AH1113" s="761"/>
      <c r="AI1113" s="761"/>
      <c r="AJ1113" s="761"/>
      <c r="AK1113" s="761"/>
      <c r="AL1113" s="761"/>
      <c r="AM1113" s="761"/>
      <c r="AN1113" s="761"/>
      <c r="AO1113" s="761"/>
      <c r="AP1113" s="761"/>
      <c r="AQ1113" s="761"/>
      <c r="AR1113" s="761"/>
      <c r="AS1113" s="761"/>
      <c r="AT1113" s="761"/>
      <c r="AU1113" s="761"/>
      <c r="AV1113" s="761"/>
      <c r="AW1113" s="761"/>
      <c r="AX1113" s="761"/>
      <c r="AY1113" s="761"/>
      <c r="AZ1113" s="761"/>
      <c r="BA1113" s="761"/>
      <c r="BB1113" s="761"/>
      <c r="BC1113" s="761"/>
      <c r="BD1113" s="761"/>
      <c r="BE1113" s="761"/>
      <c r="BF1113" s="761"/>
      <c r="BG1113" s="761"/>
      <c r="BH1113" s="761"/>
      <c r="BI1113" s="761"/>
      <c r="BJ1113" s="761"/>
      <c r="BK1113" s="761"/>
      <c r="BL1113" s="761"/>
      <c r="BM1113" s="761"/>
    </row>
    <row r="1114" spans="1:65" s="1720" customFormat="1">
      <c r="A1114" s="762" t="s">
        <v>2339</v>
      </c>
      <c r="B1114" s="762" t="s">
        <v>2340</v>
      </c>
      <c r="C1114" s="762" t="s">
        <v>2476</v>
      </c>
      <c r="D1114" s="762">
        <v>62898327</v>
      </c>
      <c r="E1114" s="762" t="s">
        <v>2740</v>
      </c>
      <c r="F1114" s="762">
        <v>143006463</v>
      </c>
      <c r="G1114" s="762" t="s">
        <v>2915</v>
      </c>
      <c r="H1114" s="762" t="s">
        <v>7469</v>
      </c>
      <c r="I1114" s="762" t="s">
        <v>6867</v>
      </c>
      <c r="J1114" s="762">
        <v>1</v>
      </c>
      <c r="K1114" s="1911">
        <v>957831.42</v>
      </c>
      <c r="L1114" s="1911">
        <v>167126.33000000002</v>
      </c>
      <c r="M1114" s="1911">
        <v>790705.09</v>
      </c>
      <c r="N1114" s="1752" t="str">
        <f t="shared" si="19"/>
        <v>C391</v>
      </c>
      <c r="O1114" s="1752" t="s">
        <v>95</v>
      </c>
      <c r="P1114" s="1752" t="s">
        <v>2736</v>
      </c>
      <c r="Q1114" s="761"/>
      <c r="R1114" s="761"/>
      <c r="S1114" s="761"/>
      <c r="T1114" s="761"/>
      <c r="U1114" s="761"/>
      <c r="V1114" s="761"/>
      <c r="W1114" s="761"/>
      <c r="X1114" s="761"/>
      <c r="Y1114" s="761"/>
      <c r="Z1114" s="761"/>
      <c r="AA1114" s="761"/>
      <c r="AB1114" s="761"/>
      <c r="AC1114" s="761"/>
      <c r="AD1114" s="761"/>
      <c r="AE1114" s="761"/>
      <c r="AF1114" s="761"/>
      <c r="AG1114" s="761"/>
      <c r="AH1114" s="761"/>
      <c r="AI1114" s="761"/>
      <c r="AJ1114" s="761"/>
      <c r="AK1114" s="761"/>
      <c r="AL1114" s="761"/>
      <c r="AM1114" s="761"/>
      <c r="AN1114" s="761"/>
      <c r="AO1114" s="761"/>
      <c r="AP1114" s="761"/>
      <c r="AQ1114" s="761"/>
      <c r="AR1114" s="761"/>
      <c r="AS1114" s="761"/>
      <c r="AT1114" s="761"/>
      <c r="AU1114" s="761"/>
      <c r="AV1114" s="761"/>
      <c r="AW1114" s="761"/>
      <c r="AX1114" s="761"/>
      <c r="AY1114" s="761"/>
      <c r="AZ1114" s="761"/>
      <c r="BA1114" s="761"/>
      <c r="BB1114" s="761"/>
      <c r="BC1114" s="761"/>
      <c r="BD1114" s="761"/>
      <c r="BE1114" s="761"/>
      <c r="BF1114" s="761"/>
      <c r="BG1114" s="761"/>
      <c r="BH1114" s="761"/>
      <c r="BI1114" s="761"/>
      <c r="BJ1114" s="761"/>
      <c r="BK1114" s="761"/>
      <c r="BL1114" s="761"/>
      <c r="BM1114" s="761"/>
    </row>
    <row r="1115" spans="1:65" s="762" customFormat="1">
      <c r="A1115" s="762" t="s">
        <v>2339</v>
      </c>
      <c r="B1115" s="762" t="s">
        <v>2340</v>
      </c>
      <c r="C1115" s="762" t="s">
        <v>2517</v>
      </c>
      <c r="D1115" s="762">
        <v>62898341</v>
      </c>
      <c r="E1115" s="762" t="s">
        <v>2740</v>
      </c>
      <c r="F1115" s="762">
        <v>143006480</v>
      </c>
      <c r="G1115" s="762" t="s">
        <v>2916</v>
      </c>
      <c r="H1115" s="762" t="s">
        <v>7470</v>
      </c>
      <c r="I1115" s="762" t="s">
        <v>6867</v>
      </c>
      <c r="J1115" s="762">
        <v>1</v>
      </c>
      <c r="K1115" s="1911">
        <v>576246.18000000005</v>
      </c>
      <c r="L1115" s="1911">
        <v>100545.78</v>
      </c>
      <c r="M1115" s="1911">
        <v>475700.4</v>
      </c>
      <c r="N1115" s="1752" t="str">
        <f t="shared" si="19"/>
        <v>C391</v>
      </c>
      <c r="O1115" s="1752" t="s">
        <v>95</v>
      </c>
      <c r="P1115" s="1752" t="s">
        <v>2736</v>
      </c>
      <c r="Q1115" s="763"/>
      <c r="R1115" s="763"/>
      <c r="S1115" s="763"/>
      <c r="T1115" s="763"/>
      <c r="U1115" s="763"/>
      <c r="V1115" s="763"/>
      <c r="W1115" s="763"/>
      <c r="X1115" s="763"/>
      <c r="Y1115" s="763"/>
      <c r="Z1115" s="763"/>
      <c r="AA1115" s="763"/>
      <c r="AB1115" s="763"/>
      <c r="AC1115" s="763"/>
      <c r="AD1115" s="763"/>
      <c r="AE1115" s="763"/>
      <c r="AF1115" s="763"/>
      <c r="AG1115" s="763"/>
      <c r="AH1115" s="763"/>
      <c r="AI1115" s="763"/>
      <c r="AJ1115" s="763"/>
      <c r="AK1115" s="763"/>
      <c r="AL1115" s="763"/>
      <c r="AM1115" s="763"/>
      <c r="AN1115" s="763"/>
      <c r="AO1115" s="763"/>
      <c r="AP1115" s="763"/>
      <c r="AQ1115" s="763"/>
      <c r="AR1115" s="763"/>
      <c r="AS1115" s="763"/>
      <c r="AT1115" s="763"/>
      <c r="AU1115" s="763"/>
      <c r="AV1115" s="763"/>
      <c r="AW1115" s="763"/>
      <c r="AX1115" s="763"/>
      <c r="AY1115" s="763"/>
      <c r="AZ1115" s="763"/>
      <c r="BA1115" s="763"/>
      <c r="BB1115" s="763"/>
      <c r="BC1115" s="763"/>
      <c r="BD1115" s="763"/>
      <c r="BE1115" s="763"/>
      <c r="BF1115" s="763"/>
      <c r="BG1115" s="763"/>
      <c r="BH1115" s="763"/>
      <c r="BI1115" s="763"/>
      <c r="BJ1115" s="763"/>
      <c r="BK1115" s="763"/>
      <c r="BL1115" s="763"/>
      <c r="BM1115" s="763"/>
    </row>
    <row r="1116" spans="1:65" s="762" customFormat="1">
      <c r="A1116" s="762" t="s">
        <v>2339</v>
      </c>
      <c r="B1116" s="762" t="s">
        <v>2340</v>
      </c>
      <c r="C1116" s="762" t="s">
        <v>2517</v>
      </c>
      <c r="D1116" s="762">
        <v>62898344</v>
      </c>
      <c r="E1116" s="762" t="s">
        <v>2740</v>
      </c>
      <c r="F1116" s="762">
        <v>143006481</v>
      </c>
      <c r="G1116" s="762" t="s">
        <v>2917</v>
      </c>
      <c r="H1116" s="762" t="s">
        <v>7471</v>
      </c>
      <c r="I1116" s="762" t="s">
        <v>6867</v>
      </c>
      <c r="J1116" s="762">
        <v>1</v>
      </c>
      <c r="K1116" s="1911">
        <v>173015.98</v>
      </c>
      <c r="L1116" s="1911">
        <v>30188.53</v>
      </c>
      <c r="M1116" s="1911">
        <v>142827.45000000001</v>
      </c>
      <c r="N1116" s="1752" t="str">
        <f t="shared" si="19"/>
        <v>C391</v>
      </c>
      <c r="O1116" s="1752" t="s">
        <v>95</v>
      </c>
      <c r="P1116" s="1752" t="s">
        <v>2736</v>
      </c>
      <c r="Q1116" s="763"/>
      <c r="R1116" s="763"/>
      <c r="S1116" s="763"/>
      <c r="T1116" s="763"/>
      <c r="U1116" s="763"/>
      <c r="V1116" s="763"/>
      <c r="W1116" s="763"/>
      <c r="X1116" s="763"/>
      <c r="Y1116" s="763"/>
      <c r="Z1116" s="763"/>
      <c r="AA1116" s="763"/>
      <c r="AB1116" s="763"/>
      <c r="AC1116" s="763"/>
      <c r="AD1116" s="763"/>
      <c r="AE1116" s="763"/>
      <c r="AF1116" s="763"/>
      <c r="AG1116" s="763"/>
      <c r="AH1116" s="763"/>
      <c r="AI1116" s="763"/>
      <c r="AJ1116" s="763"/>
      <c r="AK1116" s="763"/>
      <c r="AL1116" s="763"/>
      <c r="AM1116" s="763"/>
      <c r="AN1116" s="763"/>
      <c r="AO1116" s="763"/>
      <c r="AP1116" s="763"/>
      <c r="AQ1116" s="763"/>
      <c r="AR1116" s="763"/>
      <c r="AS1116" s="763"/>
      <c r="AT1116" s="763"/>
      <c r="AU1116" s="763"/>
      <c r="AV1116" s="763"/>
      <c r="AW1116" s="763"/>
      <c r="AX1116" s="763"/>
      <c r="AY1116" s="763"/>
      <c r="AZ1116" s="763"/>
      <c r="BA1116" s="763"/>
      <c r="BB1116" s="763"/>
      <c r="BC1116" s="763"/>
      <c r="BD1116" s="763"/>
      <c r="BE1116" s="763"/>
      <c r="BF1116" s="763"/>
      <c r="BG1116" s="763"/>
      <c r="BH1116" s="763"/>
      <c r="BI1116" s="763"/>
      <c r="BJ1116" s="763"/>
      <c r="BK1116" s="763"/>
      <c r="BL1116" s="763"/>
      <c r="BM1116" s="763"/>
    </row>
    <row r="1117" spans="1:65" s="1720" customFormat="1">
      <c r="A1117" s="762" t="s">
        <v>2339</v>
      </c>
      <c r="B1117" s="762" t="s">
        <v>2340</v>
      </c>
      <c r="C1117" s="762" t="s">
        <v>2517</v>
      </c>
      <c r="D1117" s="762">
        <v>62898347</v>
      </c>
      <c r="E1117" s="762" t="s">
        <v>2740</v>
      </c>
      <c r="F1117" s="762">
        <v>143006482</v>
      </c>
      <c r="G1117" s="762" t="s">
        <v>2918</v>
      </c>
      <c r="H1117" s="762" t="s">
        <v>7472</v>
      </c>
      <c r="I1117" s="762" t="s">
        <v>6867</v>
      </c>
      <c r="J1117" s="762">
        <v>1</v>
      </c>
      <c r="K1117" s="1911">
        <v>149437.68</v>
      </c>
      <c r="L1117" s="1911">
        <v>26074.5</v>
      </c>
      <c r="M1117" s="1911">
        <v>123363.18000000001</v>
      </c>
      <c r="N1117" s="1752" t="str">
        <f t="shared" si="19"/>
        <v>C391</v>
      </c>
      <c r="O1117" s="1752" t="s">
        <v>95</v>
      </c>
      <c r="P1117" s="1752" t="s">
        <v>2736</v>
      </c>
      <c r="Q1117" s="761"/>
      <c r="R1117" s="761"/>
      <c r="S1117" s="761"/>
      <c r="T1117" s="761"/>
      <c r="U1117" s="761"/>
      <c r="V1117" s="761"/>
      <c r="W1117" s="761"/>
      <c r="X1117" s="761"/>
      <c r="Y1117" s="761"/>
      <c r="Z1117" s="761"/>
      <c r="AA1117" s="761"/>
      <c r="AB1117" s="761"/>
      <c r="AC1117" s="761"/>
      <c r="AD1117" s="761"/>
      <c r="AE1117" s="761"/>
      <c r="AF1117" s="761"/>
      <c r="AG1117" s="761"/>
      <c r="AH1117" s="761"/>
      <c r="AI1117" s="761"/>
      <c r="AJ1117" s="761"/>
      <c r="AK1117" s="761"/>
      <c r="AL1117" s="761"/>
      <c r="AM1117" s="761"/>
      <c r="AN1117" s="761"/>
      <c r="AO1117" s="761"/>
      <c r="AP1117" s="761"/>
      <c r="AQ1117" s="761"/>
      <c r="AR1117" s="761"/>
      <c r="AS1117" s="761"/>
      <c r="AT1117" s="761"/>
      <c r="AU1117" s="761"/>
      <c r="AV1117" s="761"/>
      <c r="AW1117" s="761"/>
      <c r="AX1117" s="761"/>
      <c r="AY1117" s="761"/>
      <c r="AZ1117" s="761"/>
      <c r="BA1117" s="761"/>
      <c r="BB1117" s="761"/>
      <c r="BC1117" s="761"/>
      <c r="BD1117" s="761"/>
      <c r="BE1117" s="761"/>
      <c r="BF1117" s="761"/>
      <c r="BG1117" s="761"/>
      <c r="BH1117" s="761"/>
      <c r="BI1117" s="761"/>
      <c r="BJ1117" s="761"/>
      <c r="BK1117" s="761"/>
      <c r="BL1117" s="761"/>
      <c r="BM1117" s="761"/>
    </row>
    <row r="1118" spans="1:65" s="762" customFormat="1">
      <c r="A1118" s="762" t="s">
        <v>2339</v>
      </c>
      <c r="B1118" s="762" t="s">
        <v>2340</v>
      </c>
      <c r="C1118" s="762" t="s">
        <v>2490</v>
      </c>
      <c r="D1118" s="762">
        <v>62898350</v>
      </c>
      <c r="E1118" s="762" t="s">
        <v>2740</v>
      </c>
      <c r="F1118" s="762">
        <v>143006483</v>
      </c>
      <c r="G1118" s="762" t="s">
        <v>2919</v>
      </c>
      <c r="H1118" s="762" t="s">
        <v>7473</v>
      </c>
      <c r="I1118" s="762" t="s">
        <v>6867</v>
      </c>
      <c r="J1118" s="762">
        <v>1</v>
      </c>
      <c r="K1118" s="1911">
        <v>143116.97</v>
      </c>
      <c r="L1118" s="1911">
        <v>24971.63</v>
      </c>
      <c r="M1118" s="1911">
        <v>118145.34</v>
      </c>
      <c r="N1118" s="1752" t="str">
        <f t="shared" si="19"/>
        <v>C391</v>
      </c>
      <c r="O1118" s="1752" t="s">
        <v>95</v>
      </c>
      <c r="P1118" s="1752" t="s">
        <v>2736</v>
      </c>
      <c r="Q1118" s="763"/>
      <c r="R1118" s="763"/>
      <c r="S1118" s="763"/>
      <c r="T1118" s="763"/>
      <c r="U1118" s="763"/>
      <c r="V1118" s="763"/>
      <c r="W1118" s="763"/>
      <c r="X1118" s="763"/>
      <c r="Y1118" s="763"/>
      <c r="Z1118" s="763"/>
      <c r="AA1118" s="763"/>
      <c r="AB1118" s="763"/>
      <c r="AC1118" s="763"/>
      <c r="AD1118" s="763"/>
      <c r="AE1118" s="763"/>
      <c r="AF1118" s="763"/>
      <c r="AG1118" s="763"/>
      <c r="AH1118" s="763"/>
      <c r="AI1118" s="763"/>
      <c r="AJ1118" s="763"/>
      <c r="AK1118" s="763"/>
      <c r="AL1118" s="763"/>
      <c r="AM1118" s="763"/>
      <c r="AN1118" s="763"/>
      <c r="AO1118" s="763"/>
      <c r="AP1118" s="763"/>
      <c r="AQ1118" s="763"/>
      <c r="AR1118" s="763"/>
      <c r="AS1118" s="763"/>
      <c r="AT1118" s="763"/>
      <c r="AU1118" s="763"/>
      <c r="AV1118" s="763"/>
      <c r="AW1118" s="763"/>
      <c r="AX1118" s="763"/>
      <c r="AY1118" s="763"/>
      <c r="AZ1118" s="763"/>
      <c r="BA1118" s="763"/>
      <c r="BB1118" s="763"/>
      <c r="BC1118" s="763"/>
      <c r="BD1118" s="763"/>
      <c r="BE1118" s="763"/>
      <c r="BF1118" s="763"/>
      <c r="BG1118" s="763"/>
      <c r="BH1118" s="763"/>
      <c r="BI1118" s="763"/>
      <c r="BJ1118" s="763"/>
      <c r="BK1118" s="763"/>
      <c r="BL1118" s="763"/>
      <c r="BM1118" s="763"/>
    </row>
    <row r="1119" spans="1:65" s="1720" customFormat="1">
      <c r="A1119" s="762" t="s">
        <v>2339</v>
      </c>
      <c r="B1119" s="762" t="s">
        <v>2340</v>
      </c>
      <c r="C1119" s="762" t="s">
        <v>2476</v>
      </c>
      <c r="D1119" s="762">
        <v>62898353</v>
      </c>
      <c r="E1119" s="762" t="s">
        <v>2740</v>
      </c>
      <c r="F1119" s="762">
        <v>143006484</v>
      </c>
      <c r="G1119" s="762" t="s">
        <v>2920</v>
      </c>
      <c r="H1119" s="762" t="s">
        <v>7474</v>
      </c>
      <c r="I1119" s="762" t="s">
        <v>6867</v>
      </c>
      <c r="J1119" s="762">
        <v>1</v>
      </c>
      <c r="K1119" s="1911">
        <v>249582.87</v>
      </c>
      <c r="L1119" s="1911">
        <v>43548.24</v>
      </c>
      <c r="M1119" s="1911">
        <v>206034.63</v>
      </c>
      <c r="N1119" s="1752" t="str">
        <f t="shared" si="19"/>
        <v>C391</v>
      </c>
      <c r="O1119" s="1752" t="s">
        <v>95</v>
      </c>
      <c r="P1119" s="1752" t="s">
        <v>2736</v>
      </c>
      <c r="Q1119" s="761"/>
      <c r="R1119" s="761"/>
      <c r="S1119" s="761"/>
      <c r="T1119" s="761"/>
      <c r="U1119" s="761"/>
      <c r="V1119" s="761"/>
      <c r="W1119" s="761"/>
      <c r="X1119" s="761"/>
      <c r="Y1119" s="761"/>
      <c r="Z1119" s="761"/>
      <c r="AA1119" s="761"/>
      <c r="AB1119" s="761"/>
      <c r="AC1119" s="761"/>
      <c r="AD1119" s="761"/>
      <c r="AE1119" s="761"/>
      <c r="AF1119" s="761"/>
      <c r="AG1119" s="761"/>
      <c r="AH1119" s="761"/>
      <c r="AI1119" s="761"/>
      <c r="AJ1119" s="761"/>
      <c r="AK1119" s="761"/>
      <c r="AL1119" s="761"/>
      <c r="AM1119" s="761"/>
      <c r="AN1119" s="761"/>
      <c r="AO1119" s="761"/>
      <c r="AP1119" s="761"/>
      <c r="AQ1119" s="761"/>
      <c r="AR1119" s="761"/>
      <c r="AS1119" s="761"/>
      <c r="AT1119" s="761"/>
      <c r="AU1119" s="761"/>
      <c r="AV1119" s="761"/>
      <c r="AW1119" s="761"/>
      <c r="AX1119" s="761"/>
      <c r="AY1119" s="761"/>
      <c r="AZ1119" s="761"/>
      <c r="BA1119" s="761"/>
      <c r="BB1119" s="761"/>
      <c r="BC1119" s="761"/>
      <c r="BD1119" s="761"/>
      <c r="BE1119" s="761"/>
      <c r="BF1119" s="761"/>
      <c r="BG1119" s="761"/>
      <c r="BH1119" s="761"/>
      <c r="BI1119" s="761"/>
      <c r="BJ1119" s="761"/>
      <c r="BK1119" s="761"/>
      <c r="BL1119" s="761"/>
      <c r="BM1119" s="761"/>
    </row>
    <row r="1120" spans="1:65" s="1720" customFormat="1">
      <c r="A1120" s="762" t="s">
        <v>2339</v>
      </c>
      <c r="B1120" s="762" t="s">
        <v>2340</v>
      </c>
      <c r="C1120" s="762" t="s">
        <v>2476</v>
      </c>
      <c r="D1120" s="762">
        <v>62898356</v>
      </c>
      <c r="E1120" s="762" t="s">
        <v>2740</v>
      </c>
      <c r="F1120" s="762">
        <v>143006485</v>
      </c>
      <c r="G1120" s="762" t="s">
        <v>2921</v>
      </c>
      <c r="H1120" s="762" t="s">
        <v>7475</v>
      </c>
      <c r="I1120" s="762" t="s">
        <v>6867</v>
      </c>
      <c r="J1120" s="762">
        <v>1</v>
      </c>
      <c r="K1120" s="1911">
        <v>2769736.85</v>
      </c>
      <c r="L1120" s="1911">
        <v>483274.99</v>
      </c>
      <c r="M1120" s="1911">
        <v>2286461.86</v>
      </c>
      <c r="N1120" s="1752" t="str">
        <f t="shared" si="19"/>
        <v>C391</v>
      </c>
      <c r="O1120" s="1752" t="s">
        <v>95</v>
      </c>
      <c r="P1120" s="1752" t="s">
        <v>2736</v>
      </c>
      <c r="Q1120" s="761"/>
      <c r="R1120" s="761"/>
      <c r="S1120" s="761"/>
      <c r="T1120" s="761"/>
      <c r="U1120" s="761"/>
      <c r="V1120" s="761"/>
      <c r="W1120" s="761"/>
      <c r="X1120" s="761"/>
      <c r="Y1120" s="761"/>
      <c r="Z1120" s="761"/>
      <c r="AA1120" s="761"/>
      <c r="AB1120" s="761"/>
      <c r="AC1120" s="761"/>
      <c r="AD1120" s="761"/>
      <c r="AE1120" s="761"/>
      <c r="AF1120" s="761"/>
      <c r="AG1120" s="761"/>
      <c r="AH1120" s="761"/>
      <c r="AI1120" s="761"/>
      <c r="AJ1120" s="761"/>
      <c r="AK1120" s="761"/>
      <c r="AL1120" s="761"/>
      <c r="AM1120" s="761"/>
      <c r="AN1120" s="761"/>
      <c r="AO1120" s="761"/>
      <c r="AP1120" s="761"/>
      <c r="AQ1120" s="761"/>
      <c r="AR1120" s="761"/>
      <c r="AS1120" s="761"/>
      <c r="AT1120" s="761"/>
      <c r="AU1120" s="761"/>
      <c r="AV1120" s="761"/>
      <c r="AW1120" s="761"/>
      <c r="AX1120" s="761"/>
      <c r="AY1120" s="761"/>
      <c r="AZ1120" s="761"/>
      <c r="BA1120" s="761"/>
      <c r="BB1120" s="761"/>
      <c r="BC1120" s="761"/>
      <c r="BD1120" s="761"/>
      <c r="BE1120" s="761"/>
      <c r="BF1120" s="761"/>
      <c r="BG1120" s="761"/>
      <c r="BH1120" s="761"/>
      <c r="BI1120" s="761"/>
      <c r="BJ1120" s="761"/>
      <c r="BK1120" s="761"/>
      <c r="BL1120" s="761"/>
      <c r="BM1120" s="761"/>
    </row>
    <row r="1121" spans="1:65" s="1720" customFormat="1">
      <c r="A1121" s="762" t="s">
        <v>2339</v>
      </c>
      <c r="B1121" s="762" t="s">
        <v>2340</v>
      </c>
      <c r="C1121" s="762" t="s">
        <v>2476</v>
      </c>
      <c r="D1121" s="762">
        <v>62898359</v>
      </c>
      <c r="E1121" s="762" t="s">
        <v>2740</v>
      </c>
      <c r="F1121" s="762">
        <v>143006486</v>
      </c>
      <c r="G1121" s="762" t="s">
        <v>2922</v>
      </c>
      <c r="H1121" s="762" t="s">
        <v>7476</v>
      </c>
      <c r="I1121" s="762" t="s">
        <v>6867</v>
      </c>
      <c r="J1121" s="762">
        <v>1</v>
      </c>
      <c r="K1121" s="1911">
        <v>386246.23</v>
      </c>
      <c r="L1121" s="1911">
        <v>67393.820000000007</v>
      </c>
      <c r="M1121" s="1911">
        <v>318852.41000000003</v>
      </c>
      <c r="N1121" s="1752" t="str">
        <f t="shared" si="19"/>
        <v>C391</v>
      </c>
      <c r="O1121" s="1752" t="s">
        <v>95</v>
      </c>
      <c r="P1121" s="1752" t="s">
        <v>2736</v>
      </c>
      <c r="Q1121" s="761"/>
      <c r="R1121" s="761"/>
      <c r="S1121" s="761"/>
      <c r="T1121" s="761"/>
      <c r="U1121" s="761"/>
      <c r="V1121" s="761"/>
      <c r="W1121" s="761"/>
      <c r="X1121" s="761"/>
      <c r="Y1121" s="761"/>
      <c r="Z1121" s="761"/>
      <c r="AA1121" s="761"/>
      <c r="AB1121" s="761"/>
      <c r="AC1121" s="761"/>
      <c r="AD1121" s="761"/>
      <c r="AE1121" s="761"/>
      <c r="AF1121" s="761"/>
      <c r="AG1121" s="761"/>
      <c r="AH1121" s="761"/>
      <c r="AI1121" s="761"/>
      <c r="AJ1121" s="761"/>
      <c r="AK1121" s="761"/>
      <c r="AL1121" s="761"/>
      <c r="AM1121" s="761"/>
      <c r="AN1121" s="761"/>
      <c r="AO1121" s="761"/>
      <c r="AP1121" s="761"/>
      <c r="AQ1121" s="761"/>
      <c r="AR1121" s="761"/>
      <c r="AS1121" s="761"/>
      <c r="AT1121" s="761"/>
      <c r="AU1121" s="761"/>
      <c r="AV1121" s="761"/>
      <c r="AW1121" s="761"/>
      <c r="AX1121" s="761"/>
      <c r="AY1121" s="761"/>
      <c r="AZ1121" s="761"/>
      <c r="BA1121" s="761"/>
      <c r="BB1121" s="761"/>
      <c r="BC1121" s="761"/>
      <c r="BD1121" s="761"/>
      <c r="BE1121" s="761"/>
      <c r="BF1121" s="761"/>
      <c r="BG1121" s="761"/>
      <c r="BH1121" s="761"/>
      <c r="BI1121" s="761"/>
      <c r="BJ1121" s="761"/>
      <c r="BK1121" s="761"/>
      <c r="BL1121" s="761"/>
      <c r="BM1121" s="761"/>
    </row>
    <row r="1122" spans="1:65" s="1720" customFormat="1">
      <c r="A1122" s="762" t="s">
        <v>2339</v>
      </c>
      <c r="B1122" s="762" t="s">
        <v>2340</v>
      </c>
      <c r="C1122" s="762" t="s">
        <v>2517</v>
      </c>
      <c r="D1122" s="762">
        <v>62898379</v>
      </c>
      <c r="E1122" s="762" t="s">
        <v>2740</v>
      </c>
      <c r="F1122" s="762">
        <v>143006502</v>
      </c>
      <c r="G1122" s="762" t="s">
        <v>2923</v>
      </c>
      <c r="H1122" s="762" t="s">
        <v>2923</v>
      </c>
      <c r="I1122" s="762" t="s">
        <v>6867</v>
      </c>
      <c r="J1122" s="762">
        <v>1</v>
      </c>
      <c r="K1122" s="1911">
        <v>31789.850000000002</v>
      </c>
      <c r="L1122" s="1911">
        <v>5546.82</v>
      </c>
      <c r="M1122" s="1911">
        <v>26243.03</v>
      </c>
      <c r="N1122" s="1752" t="str">
        <f t="shared" si="19"/>
        <v>C391</v>
      </c>
      <c r="O1122" s="1752" t="s">
        <v>95</v>
      </c>
      <c r="P1122" s="1752" t="s">
        <v>2736</v>
      </c>
      <c r="Q1122" s="761"/>
      <c r="R1122" s="761"/>
      <c r="S1122" s="761"/>
      <c r="T1122" s="761"/>
      <c r="U1122" s="761"/>
      <c r="V1122" s="761"/>
      <c r="W1122" s="761"/>
      <c r="X1122" s="761"/>
      <c r="Y1122" s="761"/>
      <c r="Z1122" s="761"/>
      <c r="AA1122" s="761"/>
      <c r="AB1122" s="761"/>
      <c r="AC1122" s="761"/>
      <c r="AD1122" s="761"/>
      <c r="AE1122" s="761"/>
      <c r="AF1122" s="761"/>
      <c r="AG1122" s="761"/>
      <c r="AH1122" s="761"/>
      <c r="AI1122" s="761"/>
      <c r="AJ1122" s="761"/>
      <c r="AK1122" s="761"/>
      <c r="AL1122" s="761"/>
      <c r="AM1122" s="761"/>
      <c r="AN1122" s="761"/>
      <c r="AO1122" s="761"/>
      <c r="AP1122" s="761"/>
      <c r="AQ1122" s="761"/>
      <c r="AR1122" s="761"/>
      <c r="AS1122" s="761"/>
      <c r="AT1122" s="761"/>
      <c r="AU1122" s="761"/>
      <c r="AV1122" s="761"/>
      <c r="AW1122" s="761"/>
      <c r="AX1122" s="761"/>
      <c r="AY1122" s="761"/>
      <c r="AZ1122" s="761"/>
      <c r="BA1122" s="761"/>
      <c r="BB1122" s="761"/>
      <c r="BC1122" s="761"/>
      <c r="BD1122" s="761"/>
      <c r="BE1122" s="761"/>
      <c r="BF1122" s="761"/>
      <c r="BG1122" s="761"/>
      <c r="BH1122" s="761"/>
      <c r="BI1122" s="761"/>
      <c r="BJ1122" s="761"/>
      <c r="BK1122" s="761"/>
      <c r="BL1122" s="761"/>
      <c r="BM1122" s="761"/>
    </row>
    <row r="1123" spans="1:65" s="1720" customFormat="1">
      <c r="A1123" s="762" t="s">
        <v>2339</v>
      </c>
      <c r="B1123" s="762" t="s">
        <v>2340</v>
      </c>
      <c r="C1123" s="762" t="s">
        <v>2473</v>
      </c>
      <c r="D1123" s="762">
        <v>62898394</v>
      </c>
      <c r="E1123" s="762" t="s">
        <v>2740</v>
      </c>
      <c r="F1123" s="762">
        <v>143006703</v>
      </c>
      <c r="G1123" s="762" t="s">
        <v>2927</v>
      </c>
      <c r="H1123" s="762" t="s">
        <v>2927</v>
      </c>
      <c r="I1123" s="762" t="s">
        <v>6867</v>
      </c>
      <c r="J1123" s="762">
        <v>1</v>
      </c>
      <c r="K1123" s="1911">
        <v>68843.100000000006</v>
      </c>
      <c r="L1123" s="1911">
        <v>12012.02</v>
      </c>
      <c r="M1123" s="1911">
        <v>56831.08</v>
      </c>
      <c r="N1123" s="1752" t="str">
        <f t="shared" si="19"/>
        <v>C391</v>
      </c>
      <c r="O1123" s="1752" t="s">
        <v>95</v>
      </c>
      <c r="P1123" s="1752" t="s">
        <v>2736</v>
      </c>
      <c r="Q1123" s="761"/>
      <c r="R1123" s="761"/>
      <c r="S1123" s="761"/>
      <c r="T1123" s="761"/>
      <c r="U1123" s="761"/>
      <c r="V1123" s="761"/>
      <c r="W1123" s="761"/>
      <c r="X1123" s="761"/>
      <c r="Y1123" s="761"/>
      <c r="Z1123" s="761"/>
      <c r="AA1123" s="761"/>
      <c r="AB1123" s="761"/>
      <c r="AC1123" s="761"/>
      <c r="AD1123" s="761"/>
      <c r="AE1123" s="761"/>
      <c r="AF1123" s="761"/>
      <c r="AG1123" s="761"/>
      <c r="AH1123" s="761"/>
      <c r="AI1123" s="761"/>
      <c r="AJ1123" s="761"/>
      <c r="AK1123" s="761"/>
      <c r="AL1123" s="761"/>
      <c r="AM1123" s="761"/>
      <c r="AN1123" s="761"/>
      <c r="AO1123" s="761"/>
      <c r="AP1123" s="761"/>
      <c r="AQ1123" s="761"/>
      <c r="AR1123" s="761"/>
      <c r="AS1123" s="761"/>
      <c r="AT1123" s="761"/>
      <c r="AU1123" s="761"/>
      <c r="AV1123" s="761"/>
      <c r="AW1123" s="761"/>
      <c r="AX1123" s="761"/>
      <c r="AY1123" s="761"/>
      <c r="AZ1123" s="761"/>
      <c r="BA1123" s="761"/>
      <c r="BB1123" s="761"/>
      <c r="BC1123" s="761"/>
      <c r="BD1123" s="761"/>
      <c r="BE1123" s="761"/>
      <c r="BF1123" s="761"/>
      <c r="BG1123" s="761"/>
      <c r="BH1123" s="761"/>
      <c r="BI1123" s="761"/>
      <c r="BJ1123" s="761"/>
      <c r="BK1123" s="761"/>
      <c r="BL1123" s="761"/>
      <c r="BM1123" s="761"/>
    </row>
    <row r="1124" spans="1:65" s="762" customFormat="1">
      <c r="A1124" s="762" t="s">
        <v>2339</v>
      </c>
      <c r="B1124" s="762" t="s">
        <v>2340</v>
      </c>
      <c r="C1124" s="762" t="s">
        <v>2476</v>
      </c>
      <c r="D1124" s="762">
        <v>62898400</v>
      </c>
      <c r="E1124" s="762" t="s">
        <v>2740</v>
      </c>
      <c r="F1124" s="762">
        <v>143006727</v>
      </c>
      <c r="G1124" s="762" t="s">
        <v>2929</v>
      </c>
      <c r="H1124" s="762" t="s">
        <v>7477</v>
      </c>
      <c r="I1124" s="762" t="s">
        <v>6867</v>
      </c>
      <c r="J1124" s="762">
        <v>1</v>
      </c>
      <c r="K1124" s="1911">
        <v>77835.360000000001</v>
      </c>
      <c r="L1124" s="1911">
        <v>13581.03</v>
      </c>
      <c r="M1124" s="1911">
        <v>64254.33</v>
      </c>
      <c r="N1124" s="1752" t="str">
        <f t="shared" si="19"/>
        <v>C391</v>
      </c>
      <c r="O1124" s="1752" t="s">
        <v>95</v>
      </c>
      <c r="P1124" s="1752" t="s">
        <v>2736</v>
      </c>
      <c r="Q1124" s="763"/>
      <c r="R1124" s="763"/>
      <c r="S1124" s="763"/>
      <c r="T1124" s="763"/>
      <c r="U1124" s="763"/>
      <c r="V1124" s="763"/>
      <c r="W1124" s="763"/>
      <c r="X1124" s="763"/>
      <c r="Y1124" s="763"/>
      <c r="Z1124" s="763"/>
      <c r="AA1124" s="763"/>
      <c r="AB1124" s="763"/>
      <c r="AC1124" s="763"/>
      <c r="AD1124" s="763"/>
      <c r="AE1124" s="763"/>
      <c r="AF1124" s="763"/>
      <c r="AG1124" s="763"/>
      <c r="AH1124" s="763"/>
      <c r="AI1124" s="763"/>
      <c r="AJ1124" s="763"/>
      <c r="AK1124" s="763"/>
      <c r="AL1124" s="763"/>
      <c r="AM1124" s="763"/>
      <c r="AN1124" s="763"/>
      <c r="AO1124" s="763"/>
      <c r="AP1124" s="763"/>
      <c r="AQ1124" s="763"/>
      <c r="AR1124" s="763"/>
      <c r="AS1124" s="763"/>
      <c r="AT1124" s="763"/>
      <c r="AU1124" s="763"/>
      <c r="AV1124" s="763"/>
      <c r="AW1124" s="763"/>
      <c r="AX1124" s="763"/>
      <c r="AY1124" s="763"/>
      <c r="AZ1124" s="763"/>
      <c r="BA1124" s="763"/>
      <c r="BB1124" s="763"/>
      <c r="BC1124" s="763"/>
      <c r="BD1124" s="763"/>
      <c r="BE1124" s="763"/>
      <c r="BF1124" s="763"/>
      <c r="BG1124" s="763"/>
      <c r="BH1124" s="763"/>
      <c r="BI1124" s="763"/>
      <c r="BJ1124" s="763"/>
      <c r="BK1124" s="763"/>
      <c r="BL1124" s="763"/>
      <c r="BM1124" s="763"/>
    </row>
    <row r="1125" spans="1:65" s="1720" customFormat="1">
      <c r="A1125" s="762" t="s">
        <v>2339</v>
      </c>
      <c r="B1125" s="762" t="s">
        <v>2340</v>
      </c>
      <c r="C1125" s="762" t="s">
        <v>2517</v>
      </c>
      <c r="D1125" s="762">
        <v>62898418</v>
      </c>
      <c r="E1125" s="762" t="s">
        <v>2740</v>
      </c>
      <c r="F1125" s="762">
        <v>143006784</v>
      </c>
      <c r="G1125" s="762" t="s">
        <v>2931</v>
      </c>
      <c r="H1125" s="762" t="s">
        <v>7478</v>
      </c>
      <c r="I1125" s="762" t="s">
        <v>6867</v>
      </c>
      <c r="J1125" s="762">
        <v>1</v>
      </c>
      <c r="K1125" s="1911">
        <v>8393.26</v>
      </c>
      <c r="L1125" s="1911">
        <v>1464.49</v>
      </c>
      <c r="M1125" s="1911">
        <v>6928.77</v>
      </c>
      <c r="N1125" s="1752" t="str">
        <f t="shared" si="19"/>
        <v>C391</v>
      </c>
      <c r="O1125" s="1752" t="s">
        <v>95</v>
      </c>
      <c r="P1125" s="1752" t="s">
        <v>2736</v>
      </c>
      <c r="Q1125" s="761"/>
      <c r="R1125" s="761"/>
      <c r="S1125" s="761"/>
      <c r="T1125" s="761"/>
      <c r="U1125" s="761"/>
      <c r="V1125" s="761"/>
      <c r="W1125" s="761"/>
      <c r="X1125" s="761"/>
      <c r="Y1125" s="761"/>
      <c r="Z1125" s="761"/>
      <c r="AA1125" s="761"/>
      <c r="AB1125" s="761"/>
      <c r="AC1125" s="761"/>
      <c r="AD1125" s="761"/>
      <c r="AE1125" s="761"/>
      <c r="AF1125" s="761"/>
      <c r="AG1125" s="761"/>
      <c r="AH1125" s="761"/>
      <c r="AI1125" s="761"/>
      <c r="AJ1125" s="761"/>
      <c r="AK1125" s="761"/>
      <c r="AL1125" s="761"/>
      <c r="AM1125" s="761"/>
      <c r="AN1125" s="761"/>
      <c r="AO1125" s="761"/>
      <c r="AP1125" s="761"/>
      <c r="AQ1125" s="761"/>
      <c r="AR1125" s="761"/>
      <c r="AS1125" s="761"/>
      <c r="AT1125" s="761"/>
      <c r="AU1125" s="761"/>
      <c r="AV1125" s="761"/>
      <c r="AW1125" s="761"/>
      <c r="AX1125" s="761"/>
      <c r="AY1125" s="761"/>
      <c r="AZ1125" s="761"/>
      <c r="BA1125" s="761"/>
      <c r="BB1125" s="761"/>
      <c r="BC1125" s="761"/>
      <c r="BD1125" s="761"/>
      <c r="BE1125" s="761"/>
      <c r="BF1125" s="761"/>
      <c r="BG1125" s="761"/>
      <c r="BH1125" s="761"/>
      <c r="BI1125" s="761"/>
      <c r="BJ1125" s="761"/>
      <c r="BK1125" s="761"/>
      <c r="BL1125" s="761"/>
      <c r="BM1125" s="761"/>
    </row>
    <row r="1126" spans="1:65" s="1720" customFormat="1">
      <c r="A1126" s="762" t="s">
        <v>2339</v>
      </c>
      <c r="B1126" s="762" t="s">
        <v>2340</v>
      </c>
      <c r="C1126" s="762" t="s">
        <v>2476</v>
      </c>
      <c r="D1126" s="762">
        <v>62898430</v>
      </c>
      <c r="E1126" s="762" t="s">
        <v>2740</v>
      </c>
      <c r="F1126" s="762">
        <v>143006923</v>
      </c>
      <c r="G1126" s="762" t="s">
        <v>2932</v>
      </c>
      <c r="H1126" s="762" t="s">
        <v>2932</v>
      </c>
      <c r="I1126" s="762" t="s">
        <v>6867</v>
      </c>
      <c r="J1126" s="762">
        <v>1</v>
      </c>
      <c r="K1126" s="1911">
        <v>41146.129999999997</v>
      </c>
      <c r="L1126" s="1911">
        <v>7179.34</v>
      </c>
      <c r="M1126" s="1911">
        <v>33966.79</v>
      </c>
      <c r="N1126" s="1752" t="str">
        <f t="shared" si="19"/>
        <v>C391</v>
      </c>
      <c r="O1126" s="1752" t="s">
        <v>95</v>
      </c>
      <c r="P1126" s="1752" t="s">
        <v>2736</v>
      </c>
      <c r="Q1126" s="761"/>
      <c r="R1126" s="761"/>
      <c r="S1126" s="761"/>
      <c r="T1126" s="761"/>
      <c r="U1126" s="761"/>
      <c r="V1126" s="761"/>
      <c r="W1126" s="761"/>
      <c r="X1126" s="761"/>
      <c r="Y1126" s="761"/>
      <c r="Z1126" s="761"/>
      <c r="AA1126" s="761"/>
      <c r="AB1126" s="761"/>
      <c r="AC1126" s="761"/>
      <c r="AD1126" s="761"/>
      <c r="AE1126" s="761"/>
      <c r="AF1126" s="761"/>
      <c r="AG1126" s="761"/>
      <c r="AH1126" s="761"/>
      <c r="AI1126" s="761"/>
      <c r="AJ1126" s="761"/>
      <c r="AK1126" s="761"/>
      <c r="AL1126" s="761"/>
      <c r="AM1126" s="761"/>
      <c r="AN1126" s="761"/>
      <c r="AO1126" s="761"/>
      <c r="AP1126" s="761"/>
      <c r="AQ1126" s="761"/>
      <c r="AR1126" s="761"/>
      <c r="AS1126" s="761"/>
      <c r="AT1126" s="761"/>
      <c r="AU1126" s="761"/>
      <c r="AV1126" s="761"/>
      <c r="AW1126" s="761"/>
      <c r="AX1126" s="761"/>
      <c r="AY1126" s="761"/>
      <c r="AZ1126" s="761"/>
      <c r="BA1126" s="761"/>
      <c r="BB1126" s="761"/>
      <c r="BC1126" s="761"/>
      <c r="BD1126" s="761"/>
      <c r="BE1126" s="761"/>
      <c r="BF1126" s="761"/>
      <c r="BG1126" s="761"/>
      <c r="BH1126" s="761"/>
      <c r="BI1126" s="761"/>
      <c r="BJ1126" s="761"/>
      <c r="BK1126" s="761"/>
      <c r="BL1126" s="761"/>
      <c r="BM1126" s="761"/>
    </row>
    <row r="1127" spans="1:65" s="1720" customFormat="1">
      <c r="A1127" s="762" t="s">
        <v>2339</v>
      </c>
      <c r="B1127" s="762" t="s">
        <v>2340</v>
      </c>
      <c r="C1127" s="762" t="s">
        <v>2476</v>
      </c>
      <c r="D1127" s="762">
        <v>62898433</v>
      </c>
      <c r="E1127" s="762" t="s">
        <v>2740</v>
      </c>
      <c r="F1127" s="762">
        <v>143006947</v>
      </c>
      <c r="G1127" s="762" t="s">
        <v>2933</v>
      </c>
      <c r="H1127" s="762" t="s">
        <v>7479</v>
      </c>
      <c r="I1127" s="762" t="s">
        <v>6867</v>
      </c>
      <c r="J1127" s="762">
        <v>1</v>
      </c>
      <c r="K1127" s="1911">
        <v>41201.14</v>
      </c>
      <c r="L1127" s="1911">
        <v>7188.9400000000005</v>
      </c>
      <c r="M1127" s="1911">
        <v>34012.199999999997</v>
      </c>
      <c r="N1127" s="1752" t="str">
        <f t="shared" si="19"/>
        <v>C391</v>
      </c>
      <c r="O1127" s="1752" t="s">
        <v>95</v>
      </c>
      <c r="P1127" s="1752" t="s">
        <v>2736</v>
      </c>
      <c r="Q1127" s="761"/>
      <c r="R1127" s="761"/>
      <c r="S1127" s="761"/>
      <c r="T1127" s="761"/>
      <c r="U1127" s="761"/>
      <c r="V1127" s="761"/>
      <c r="W1127" s="761"/>
      <c r="X1127" s="761"/>
      <c r="Y1127" s="761"/>
      <c r="Z1127" s="761"/>
      <c r="AA1127" s="761"/>
      <c r="AB1127" s="761"/>
      <c r="AC1127" s="761"/>
      <c r="AD1127" s="761"/>
      <c r="AE1127" s="761"/>
      <c r="AF1127" s="761"/>
      <c r="AG1127" s="761"/>
      <c r="AH1127" s="761"/>
      <c r="AI1127" s="761"/>
      <c r="AJ1127" s="761"/>
      <c r="AK1127" s="761"/>
      <c r="AL1127" s="761"/>
      <c r="AM1127" s="761"/>
      <c r="AN1127" s="761"/>
      <c r="AO1127" s="761"/>
      <c r="AP1127" s="761"/>
      <c r="AQ1127" s="761"/>
      <c r="AR1127" s="761"/>
      <c r="AS1127" s="761"/>
      <c r="AT1127" s="761"/>
      <c r="AU1127" s="761"/>
      <c r="AV1127" s="761"/>
      <c r="AW1127" s="761"/>
      <c r="AX1127" s="761"/>
      <c r="AY1127" s="761"/>
      <c r="AZ1127" s="761"/>
      <c r="BA1127" s="761"/>
      <c r="BB1127" s="761"/>
      <c r="BC1127" s="761"/>
      <c r="BD1127" s="761"/>
      <c r="BE1127" s="761"/>
      <c r="BF1127" s="761"/>
      <c r="BG1127" s="761"/>
      <c r="BH1127" s="761"/>
      <c r="BI1127" s="761"/>
      <c r="BJ1127" s="761"/>
      <c r="BK1127" s="761"/>
      <c r="BL1127" s="761"/>
      <c r="BM1127" s="761"/>
    </row>
    <row r="1128" spans="1:65" s="1720" customFormat="1">
      <c r="A1128" s="762" t="s">
        <v>2339</v>
      </c>
      <c r="B1128" s="762" t="s">
        <v>2340</v>
      </c>
      <c r="C1128" s="762" t="s">
        <v>2490</v>
      </c>
      <c r="D1128" s="762">
        <v>62898442</v>
      </c>
      <c r="E1128" s="762" t="s">
        <v>2740</v>
      </c>
      <c r="F1128" s="762">
        <v>143007180</v>
      </c>
      <c r="G1128" s="762" t="s">
        <v>2934</v>
      </c>
      <c r="H1128" s="762" t="s">
        <v>2934</v>
      </c>
      <c r="I1128" s="762" t="s">
        <v>6867</v>
      </c>
      <c r="J1128" s="762">
        <v>1</v>
      </c>
      <c r="K1128" s="1911">
        <v>600716.4</v>
      </c>
      <c r="L1128" s="1911">
        <v>104815.45</v>
      </c>
      <c r="M1128" s="1911">
        <v>495900.95</v>
      </c>
      <c r="N1128" s="1752" t="str">
        <f t="shared" si="19"/>
        <v>C391</v>
      </c>
      <c r="O1128" s="1752" t="s">
        <v>95</v>
      </c>
      <c r="P1128" s="1752" t="s">
        <v>2736</v>
      </c>
      <c r="Q1128" s="761"/>
      <c r="R1128" s="761"/>
      <c r="S1128" s="761"/>
      <c r="T1128" s="761"/>
      <c r="U1128" s="761"/>
      <c r="V1128" s="761"/>
      <c r="W1128" s="761"/>
      <c r="X1128" s="761"/>
      <c r="Y1128" s="761"/>
      <c r="Z1128" s="761"/>
      <c r="AA1128" s="761"/>
      <c r="AB1128" s="761"/>
      <c r="AC1128" s="761"/>
      <c r="AD1128" s="761"/>
      <c r="AE1128" s="761"/>
      <c r="AF1128" s="761"/>
      <c r="AG1128" s="761"/>
      <c r="AH1128" s="761"/>
      <c r="AI1128" s="761"/>
      <c r="AJ1128" s="761"/>
      <c r="AK1128" s="761"/>
      <c r="AL1128" s="761"/>
      <c r="AM1128" s="761"/>
      <c r="AN1128" s="761"/>
      <c r="AO1128" s="761"/>
      <c r="AP1128" s="761"/>
      <c r="AQ1128" s="761"/>
      <c r="AR1128" s="761"/>
      <c r="AS1128" s="761"/>
      <c r="AT1128" s="761"/>
      <c r="AU1128" s="761"/>
      <c r="AV1128" s="761"/>
      <c r="AW1128" s="761"/>
      <c r="AX1128" s="761"/>
      <c r="AY1128" s="761"/>
      <c r="AZ1128" s="761"/>
      <c r="BA1128" s="761"/>
      <c r="BB1128" s="761"/>
      <c r="BC1128" s="761"/>
      <c r="BD1128" s="761"/>
      <c r="BE1128" s="761"/>
      <c r="BF1128" s="761"/>
      <c r="BG1128" s="761"/>
      <c r="BH1128" s="761"/>
      <c r="BI1128" s="761"/>
      <c r="BJ1128" s="761"/>
      <c r="BK1128" s="761"/>
      <c r="BL1128" s="761"/>
      <c r="BM1128" s="761"/>
    </row>
    <row r="1129" spans="1:65" s="1720" customFormat="1">
      <c r="A1129" s="762" t="s">
        <v>2339</v>
      </c>
      <c r="B1129" s="762" t="s">
        <v>2340</v>
      </c>
      <c r="C1129" s="762" t="s">
        <v>2476</v>
      </c>
      <c r="D1129" s="762">
        <v>63116595</v>
      </c>
      <c r="E1129" s="762" t="s">
        <v>2740</v>
      </c>
      <c r="F1129" s="762">
        <v>143006140</v>
      </c>
      <c r="G1129" s="762" t="s">
        <v>2886</v>
      </c>
      <c r="H1129" s="762" t="s">
        <v>7480</v>
      </c>
      <c r="I1129" s="762" t="s">
        <v>6867</v>
      </c>
      <c r="J1129" s="762">
        <v>1</v>
      </c>
      <c r="K1129" s="1911">
        <v>195993.73</v>
      </c>
      <c r="L1129" s="1911">
        <v>34197.79</v>
      </c>
      <c r="M1129" s="1911">
        <v>161795.94</v>
      </c>
      <c r="N1129" s="1752" t="str">
        <f t="shared" si="19"/>
        <v>C391</v>
      </c>
      <c r="O1129" s="1752" t="s">
        <v>95</v>
      </c>
      <c r="P1129" s="1752" t="s">
        <v>2736</v>
      </c>
      <c r="Q1129" s="761"/>
      <c r="R1129" s="761"/>
      <c r="S1129" s="761"/>
      <c r="T1129" s="761"/>
      <c r="U1129" s="761"/>
      <c r="V1129" s="761"/>
      <c r="W1129" s="761"/>
      <c r="X1129" s="761"/>
      <c r="Y1129" s="761"/>
      <c r="Z1129" s="761"/>
      <c r="AA1129" s="761"/>
      <c r="AB1129" s="761"/>
      <c r="AC1129" s="761"/>
      <c r="AD1129" s="761"/>
      <c r="AE1129" s="761"/>
      <c r="AF1129" s="761"/>
      <c r="AG1129" s="761"/>
      <c r="AH1129" s="761"/>
      <c r="AI1129" s="761"/>
      <c r="AJ1129" s="761"/>
      <c r="AK1129" s="761"/>
      <c r="AL1129" s="761"/>
      <c r="AM1129" s="761"/>
      <c r="AN1129" s="761"/>
      <c r="AO1129" s="761"/>
      <c r="AP1129" s="761"/>
      <c r="AQ1129" s="761"/>
      <c r="AR1129" s="761"/>
      <c r="AS1129" s="761"/>
      <c r="AT1129" s="761"/>
      <c r="AU1129" s="761"/>
      <c r="AV1129" s="761"/>
      <c r="AW1129" s="761"/>
      <c r="AX1129" s="761"/>
      <c r="AY1129" s="761"/>
      <c r="AZ1129" s="761"/>
      <c r="BA1129" s="761"/>
      <c r="BB1129" s="761"/>
      <c r="BC1129" s="761"/>
      <c r="BD1129" s="761"/>
      <c r="BE1129" s="761"/>
      <c r="BF1129" s="761"/>
      <c r="BG1129" s="761"/>
      <c r="BH1129" s="761"/>
      <c r="BI1129" s="761"/>
      <c r="BJ1129" s="761"/>
      <c r="BK1129" s="761"/>
      <c r="BL1129" s="761"/>
      <c r="BM1129" s="761"/>
    </row>
    <row r="1130" spans="1:65" s="1691" customFormat="1">
      <c r="A1130" s="762" t="s">
        <v>2339</v>
      </c>
      <c r="B1130" s="762" t="s">
        <v>2340</v>
      </c>
      <c r="C1130" s="762" t="s">
        <v>2476</v>
      </c>
      <c r="D1130" s="762">
        <v>63355669</v>
      </c>
      <c r="E1130" s="762" t="s">
        <v>2740</v>
      </c>
      <c r="F1130" s="762">
        <v>143006983</v>
      </c>
      <c r="G1130" s="762" t="s">
        <v>6882</v>
      </c>
      <c r="H1130" s="1917" t="s">
        <v>7481</v>
      </c>
      <c r="I1130" s="762" t="s">
        <v>6867</v>
      </c>
      <c r="J1130" s="762">
        <v>1</v>
      </c>
      <c r="K1130" s="1911">
        <v>42079.520000000004</v>
      </c>
      <c r="L1130" s="1911">
        <v>3338.56</v>
      </c>
      <c r="M1130" s="1911">
        <v>38740.959999999999</v>
      </c>
      <c r="N1130" s="1752" t="str">
        <f t="shared" si="19"/>
        <v>C391</v>
      </c>
      <c r="O1130" s="1752" t="s">
        <v>95</v>
      </c>
      <c r="P1130" s="1752" t="s">
        <v>2736</v>
      </c>
      <c r="Q1130" s="761"/>
      <c r="R1130" s="761"/>
      <c r="S1130" s="761"/>
      <c r="T1130" s="761"/>
      <c r="U1130" s="761"/>
      <c r="V1130" s="761"/>
      <c r="W1130" s="761"/>
      <c r="X1130" s="761"/>
      <c r="Y1130" s="761"/>
      <c r="Z1130" s="761"/>
      <c r="AA1130" s="761"/>
      <c r="AB1130" s="761"/>
      <c r="AC1130" s="761"/>
      <c r="AD1130" s="761"/>
      <c r="AE1130" s="761"/>
      <c r="AF1130" s="761"/>
      <c r="AG1130" s="761"/>
      <c r="AH1130" s="761"/>
      <c r="AI1130" s="761"/>
      <c r="AJ1130" s="761"/>
      <c r="AK1130" s="761"/>
      <c r="AL1130" s="761"/>
      <c r="AM1130" s="761"/>
      <c r="AN1130" s="761"/>
      <c r="AO1130" s="761"/>
      <c r="AP1130" s="761"/>
      <c r="AQ1130" s="761"/>
      <c r="AR1130" s="761"/>
      <c r="AS1130" s="761"/>
      <c r="AT1130" s="761"/>
      <c r="AU1130" s="761"/>
      <c r="AV1130" s="761"/>
      <c r="AW1130" s="761"/>
      <c r="AX1130" s="761"/>
      <c r="AY1130" s="761"/>
      <c r="AZ1130" s="761"/>
      <c r="BA1130" s="761"/>
      <c r="BB1130" s="761"/>
      <c r="BC1130" s="761"/>
      <c r="BD1130" s="761"/>
      <c r="BE1130" s="761"/>
      <c r="BF1130" s="761"/>
      <c r="BG1130" s="761"/>
      <c r="BH1130" s="761"/>
      <c r="BI1130" s="761"/>
      <c r="BJ1130" s="761"/>
      <c r="BK1130" s="761"/>
      <c r="BL1130" s="761"/>
      <c r="BM1130" s="761"/>
    </row>
    <row r="1131" spans="1:65" s="1691" customFormat="1">
      <c r="A1131" s="762" t="s">
        <v>2339</v>
      </c>
      <c r="B1131" s="762" t="s">
        <v>2340</v>
      </c>
      <c r="C1131" s="762" t="s">
        <v>2476</v>
      </c>
      <c r="D1131" s="762">
        <v>63355678</v>
      </c>
      <c r="E1131" s="762" t="s">
        <v>2740</v>
      </c>
      <c r="F1131" s="762">
        <v>143007161</v>
      </c>
      <c r="G1131" s="762" t="s">
        <v>6883</v>
      </c>
      <c r="H1131" s="1917" t="s">
        <v>7482</v>
      </c>
      <c r="I1131" s="762" t="s">
        <v>6867</v>
      </c>
      <c r="J1131" s="762">
        <v>1</v>
      </c>
      <c r="K1131" s="1911">
        <v>17152.86</v>
      </c>
      <c r="L1131" s="1911">
        <v>1360.9</v>
      </c>
      <c r="M1131" s="1911">
        <v>15791.960000000001</v>
      </c>
      <c r="N1131" s="1752" t="str">
        <f t="shared" si="19"/>
        <v>C391</v>
      </c>
      <c r="O1131" s="1752" t="s">
        <v>95</v>
      </c>
      <c r="P1131" s="1752" t="s">
        <v>2736</v>
      </c>
      <c r="Q1131" s="761"/>
      <c r="R1131" s="761"/>
      <c r="S1131" s="761"/>
      <c r="T1131" s="761"/>
      <c r="U1131" s="761"/>
      <c r="V1131" s="761"/>
      <c r="W1131" s="761"/>
      <c r="X1131" s="761"/>
      <c r="Y1131" s="761"/>
      <c r="Z1131" s="761"/>
      <c r="AA1131" s="761"/>
      <c r="AB1131" s="761"/>
      <c r="AC1131" s="761"/>
      <c r="AD1131" s="761"/>
      <c r="AE1131" s="761"/>
      <c r="AF1131" s="761"/>
      <c r="AG1131" s="761"/>
      <c r="AH1131" s="761"/>
      <c r="AI1131" s="761"/>
      <c r="AJ1131" s="761"/>
      <c r="AK1131" s="761"/>
      <c r="AL1131" s="761"/>
      <c r="AM1131" s="761"/>
      <c r="AN1131" s="761"/>
      <c r="AO1131" s="761"/>
      <c r="AP1131" s="761"/>
      <c r="AQ1131" s="761"/>
      <c r="AR1131" s="761"/>
      <c r="AS1131" s="761"/>
      <c r="AT1131" s="761"/>
      <c r="AU1131" s="761"/>
      <c r="AV1131" s="761"/>
      <c r="AW1131" s="761"/>
      <c r="AX1131" s="761"/>
      <c r="AY1131" s="761"/>
      <c r="AZ1131" s="761"/>
      <c r="BA1131" s="761"/>
      <c r="BB1131" s="761"/>
      <c r="BC1131" s="761"/>
      <c r="BD1131" s="761"/>
      <c r="BE1131" s="761"/>
      <c r="BF1131" s="761"/>
      <c r="BG1131" s="761"/>
      <c r="BH1131" s="761"/>
      <c r="BI1131" s="761"/>
      <c r="BJ1131" s="761"/>
      <c r="BK1131" s="761"/>
      <c r="BL1131" s="761"/>
      <c r="BM1131" s="761"/>
    </row>
    <row r="1132" spans="1:65" s="1691" customFormat="1">
      <c r="A1132" s="762" t="s">
        <v>2339</v>
      </c>
      <c r="B1132" s="762" t="s">
        <v>2340</v>
      </c>
      <c r="C1132" s="762" t="s">
        <v>2473</v>
      </c>
      <c r="D1132" s="762">
        <v>63355681</v>
      </c>
      <c r="E1132" s="762" t="s">
        <v>2740</v>
      </c>
      <c r="F1132" s="762">
        <v>143007162</v>
      </c>
      <c r="G1132" s="762" t="s">
        <v>6884</v>
      </c>
      <c r="H1132" s="1917" t="s">
        <v>7483</v>
      </c>
      <c r="I1132" s="762" t="s">
        <v>6867</v>
      </c>
      <c r="J1132" s="762">
        <v>1</v>
      </c>
      <c r="K1132" s="1911">
        <v>17119.23</v>
      </c>
      <c r="L1132" s="1911">
        <v>1358.23</v>
      </c>
      <c r="M1132" s="1911">
        <v>15761</v>
      </c>
      <c r="N1132" s="1752" t="str">
        <f t="shared" si="19"/>
        <v>C391</v>
      </c>
      <c r="O1132" s="1752" t="s">
        <v>95</v>
      </c>
      <c r="P1132" s="1752" t="s">
        <v>2736</v>
      </c>
      <c r="Q1132" s="761"/>
      <c r="R1132" s="761"/>
      <c r="S1132" s="761"/>
      <c r="T1132" s="761"/>
      <c r="U1132" s="761"/>
      <c r="V1132" s="761"/>
      <c r="W1132" s="761"/>
      <c r="X1132" s="761"/>
      <c r="Y1132" s="761"/>
      <c r="Z1132" s="761"/>
      <c r="AA1132" s="761"/>
      <c r="AB1132" s="761"/>
      <c r="AC1132" s="761"/>
      <c r="AD1132" s="761"/>
      <c r="AE1132" s="761"/>
      <c r="AF1132" s="761"/>
      <c r="AG1132" s="761"/>
      <c r="AH1132" s="761"/>
      <c r="AI1132" s="761"/>
      <c r="AJ1132" s="761"/>
      <c r="AK1132" s="761"/>
      <c r="AL1132" s="761"/>
      <c r="AM1132" s="761"/>
      <c r="AN1132" s="761"/>
      <c r="AO1132" s="761"/>
      <c r="AP1132" s="761"/>
      <c r="AQ1132" s="761"/>
      <c r="AR1132" s="761"/>
      <c r="AS1132" s="761"/>
      <c r="AT1132" s="761"/>
      <c r="AU1132" s="761"/>
      <c r="AV1132" s="761"/>
      <c r="AW1132" s="761"/>
      <c r="AX1132" s="761"/>
      <c r="AY1132" s="761"/>
      <c r="AZ1132" s="761"/>
      <c r="BA1132" s="761"/>
      <c r="BB1132" s="761"/>
      <c r="BC1132" s="761"/>
      <c r="BD1132" s="761"/>
      <c r="BE1132" s="761"/>
      <c r="BF1132" s="761"/>
      <c r="BG1132" s="761"/>
      <c r="BH1132" s="761"/>
      <c r="BI1132" s="761"/>
      <c r="BJ1132" s="761"/>
      <c r="BK1132" s="761"/>
      <c r="BL1132" s="761"/>
      <c r="BM1132" s="761"/>
    </row>
    <row r="1133" spans="1:65" s="1691" customFormat="1">
      <c r="A1133" s="762" t="s">
        <v>2339</v>
      </c>
      <c r="B1133" s="762" t="s">
        <v>2340</v>
      </c>
      <c r="C1133" s="762" t="s">
        <v>2517</v>
      </c>
      <c r="D1133" s="762">
        <v>64679008</v>
      </c>
      <c r="E1133" s="762" t="s">
        <v>2740</v>
      </c>
      <c r="F1133" s="762">
        <v>143006745</v>
      </c>
      <c r="G1133" s="762" t="s">
        <v>6879</v>
      </c>
      <c r="H1133" s="1917" t="s">
        <v>7484</v>
      </c>
      <c r="I1133" s="762" t="s">
        <v>6867</v>
      </c>
      <c r="J1133" s="762">
        <v>1</v>
      </c>
      <c r="K1133" s="1911">
        <v>91003.650000000009</v>
      </c>
      <c r="L1133" s="1911">
        <v>7220.16</v>
      </c>
      <c r="M1133" s="1911">
        <v>83783.490000000005</v>
      </c>
      <c r="N1133" s="1752" t="str">
        <f t="shared" si="19"/>
        <v>C391</v>
      </c>
      <c r="O1133" s="1752" t="s">
        <v>95</v>
      </c>
      <c r="P1133" s="1752" t="s">
        <v>2736</v>
      </c>
      <c r="Q1133" s="761"/>
      <c r="R1133" s="761"/>
      <c r="S1133" s="761"/>
      <c r="T1133" s="761"/>
      <c r="U1133" s="761"/>
      <c r="V1133" s="761"/>
      <c r="W1133" s="761"/>
      <c r="X1133" s="761"/>
      <c r="Y1133" s="761"/>
      <c r="Z1133" s="761"/>
      <c r="AA1133" s="761"/>
      <c r="AB1133" s="761"/>
      <c r="AC1133" s="761"/>
      <c r="AD1133" s="761"/>
      <c r="AE1133" s="761"/>
      <c r="AF1133" s="761"/>
      <c r="AG1133" s="761"/>
      <c r="AH1133" s="761"/>
      <c r="AI1133" s="761"/>
      <c r="AJ1133" s="761"/>
      <c r="AK1133" s="761"/>
      <c r="AL1133" s="761"/>
      <c r="AM1133" s="761"/>
      <c r="AN1133" s="761"/>
      <c r="AO1133" s="761"/>
      <c r="AP1133" s="761"/>
      <c r="AQ1133" s="761"/>
      <c r="AR1133" s="761"/>
      <c r="AS1133" s="761"/>
      <c r="AT1133" s="761"/>
      <c r="AU1133" s="761"/>
      <c r="AV1133" s="761"/>
      <c r="AW1133" s="761"/>
      <c r="AX1133" s="761"/>
      <c r="AY1133" s="761"/>
      <c r="AZ1133" s="761"/>
      <c r="BA1133" s="761"/>
      <c r="BB1133" s="761"/>
      <c r="BC1133" s="761"/>
      <c r="BD1133" s="761"/>
      <c r="BE1133" s="761"/>
      <c r="BF1133" s="761"/>
      <c r="BG1133" s="761"/>
      <c r="BH1133" s="761"/>
      <c r="BI1133" s="761"/>
      <c r="BJ1133" s="761"/>
      <c r="BK1133" s="761"/>
      <c r="BL1133" s="761"/>
      <c r="BM1133" s="761"/>
    </row>
    <row r="1134" spans="1:65" s="1691" customFormat="1">
      <c r="A1134" s="762" t="s">
        <v>2339</v>
      </c>
      <c r="B1134" s="762" t="s">
        <v>2340</v>
      </c>
      <c r="C1134" s="762" t="s">
        <v>2476</v>
      </c>
      <c r="D1134" s="762">
        <v>63877969</v>
      </c>
      <c r="E1134" s="762" t="s">
        <v>2740</v>
      </c>
      <c r="F1134" s="762">
        <v>143006781</v>
      </c>
      <c r="G1134" s="762" t="s">
        <v>6886</v>
      </c>
      <c r="H1134" s="1917" t="s">
        <v>7330</v>
      </c>
      <c r="I1134" s="762" t="s">
        <v>6867</v>
      </c>
      <c r="J1134" s="762">
        <v>1</v>
      </c>
      <c r="K1134" s="1911">
        <v>191237.95</v>
      </c>
      <c r="L1134" s="1911">
        <v>15172.68</v>
      </c>
      <c r="M1134" s="1911">
        <v>176065.27</v>
      </c>
      <c r="N1134" s="1752" t="str">
        <f t="shared" si="19"/>
        <v>C391</v>
      </c>
      <c r="O1134" s="1752" t="s">
        <v>95</v>
      </c>
      <c r="P1134" s="1752" t="s">
        <v>2736</v>
      </c>
      <c r="Q1134" s="761"/>
      <c r="R1134" s="761"/>
      <c r="S1134" s="761"/>
      <c r="T1134" s="761"/>
      <c r="U1134" s="761"/>
      <c r="V1134" s="761"/>
      <c r="W1134" s="761"/>
      <c r="X1134" s="761"/>
      <c r="Y1134" s="761"/>
      <c r="Z1134" s="761"/>
      <c r="AA1134" s="761"/>
      <c r="AB1134" s="761"/>
      <c r="AC1134" s="761"/>
      <c r="AD1134" s="761"/>
      <c r="AE1134" s="761"/>
      <c r="AF1134" s="761"/>
      <c r="AG1134" s="761"/>
      <c r="AH1134" s="761"/>
      <c r="AI1134" s="761"/>
      <c r="AJ1134" s="761"/>
      <c r="AK1134" s="761"/>
      <c r="AL1134" s="761"/>
      <c r="AM1134" s="761"/>
      <c r="AN1134" s="761"/>
      <c r="AO1134" s="761"/>
      <c r="AP1134" s="761"/>
      <c r="AQ1134" s="761"/>
      <c r="AR1134" s="761"/>
      <c r="AS1134" s="761"/>
      <c r="AT1134" s="761"/>
      <c r="AU1134" s="761"/>
      <c r="AV1134" s="761"/>
      <c r="AW1134" s="761"/>
      <c r="AX1134" s="761"/>
      <c r="AY1134" s="761"/>
      <c r="AZ1134" s="761"/>
      <c r="BA1134" s="761"/>
      <c r="BB1134" s="761"/>
      <c r="BC1134" s="761"/>
      <c r="BD1134" s="761"/>
      <c r="BE1134" s="761"/>
      <c r="BF1134" s="761"/>
      <c r="BG1134" s="761"/>
      <c r="BH1134" s="761"/>
      <c r="BI1134" s="761"/>
      <c r="BJ1134" s="761"/>
      <c r="BK1134" s="761"/>
      <c r="BL1134" s="761"/>
      <c r="BM1134" s="761"/>
    </row>
    <row r="1135" spans="1:65" s="1692" customFormat="1">
      <c r="A1135" s="762" t="s">
        <v>2339</v>
      </c>
      <c r="B1135" s="762" t="s">
        <v>2340</v>
      </c>
      <c r="C1135" s="762" t="s">
        <v>2476</v>
      </c>
      <c r="D1135" s="762">
        <v>64102402</v>
      </c>
      <c r="E1135" s="762" t="s">
        <v>2740</v>
      </c>
      <c r="F1135" s="762">
        <v>143006321</v>
      </c>
      <c r="G1135" s="762" t="s">
        <v>6890</v>
      </c>
      <c r="H1135" s="1917" t="s">
        <v>7485</v>
      </c>
      <c r="I1135" s="762" t="s">
        <v>6867</v>
      </c>
      <c r="J1135" s="762">
        <v>1</v>
      </c>
      <c r="K1135" s="1911">
        <v>967.26</v>
      </c>
      <c r="L1135" s="1911">
        <v>76.739999999999995</v>
      </c>
      <c r="M1135" s="1911">
        <v>890.52</v>
      </c>
      <c r="N1135" s="1752" t="str">
        <f t="shared" si="19"/>
        <v>C391</v>
      </c>
      <c r="O1135" s="1752" t="s">
        <v>95</v>
      </c>
      <c r="P1135" s="1752" t="s">
        <v>2736</v>
      </c>
      <c r="Q1135" s="763"/>
      <c r="R1135" s="763"/>
      <c r="S1135" s="763"/>
      <c r="T1135" s="763"/>
      <c r="U1135" s="763"/>
      <c r="V1135" s="763"/>
      <c r="W1135" s="763"/>
      <c r="X1135" s="763"/>
      <c r="Y1135" s="763"/>
      <c r="Z1135" s="763"/>
      <c r="AA1135" s="763"/>
      <c r="AB1135" s="763"/>
      <c r="AC1135" s="763"/>
      <c r="AD1135" s="763"/>
      <c r="AE1135" s="763"/>
      <c r="AF1135" s="763"/>
      <c r="AG1135" s="763"/>
      <c r="AH1135" s="763"/>
      <c r="AI1135" s="763"/>
      <c r="AJ1135" s="763"/>
      <c r="AK1135" s="763"/>
      <c r="AL1135" s="763"/>
      <c r="AM1135" s="763"/>
      <c r="AN1135" s="763"/>
      <c r="AO1135" s="763"/>
      <c r="AP1135" s="763"/>
      <c r="AQ1135" s="763"/>
      <c r="AR1135" s="763"/>
      <c r="AS1135" s="763"/>
      <c r="AT1135" s="763"/>
      <c r="AU1135" s="763"/>
      <c r="AV1135" s="763"/>
      <c r="AW1135" s="763"/>
      <c r="AX1135" s="763"/>
      <c r="AY1135" s="763"/>
      <c r="AZ1135" s="763"/>
      <c r="BA1135" s="763"/>
      <c r="BB1135" s="763"/>
      <c r="BC1135" s="763"/>
      <c r="BD1135" s="763"/>
      <c r="BE1135" s="763"/>
      <c r="BF1135" s="763"/>
      <c r="BG1135" s="763"/>
      <c r="BH1135" s="763"/>
      <c r="BI1135" s="763"/>
      <c r="BJ1135" s="763"/>
      <c r="BK1135" s="763"/>
      <c r="BL1135" s="763"/>
      <c r="BM1135" s="763"/>
    </row>
    <row r="1136" spans="1:65" s="1692" customFormat="1">
      <c r="A1136" s="762" t="s">
        <v>2339</v>
      </c>
      <c r="B1136" s="762" t="s">
        <v>2340</v>
      </c>
      <c r="C1136" s="762" t="s">
        <v>2509</v>
      </c>
      <c r="D1136" s="762">
        <v>64102405</v>
      </c>
      <c r="E1136" s="762" t="s">
        <v>2740</v>
      </c>
      <c r="F1136" s="762">
        <v>143006322</v>
      </c>
      <c r="G1136" s="762" t="s">
        <v>6891</v>
      </c>
      <c r="H1136" s="1917" t="s">
        <v>7486</v>
      </c>
      <c r="I1136" s="762" t="s">
        <v>6867</v>
      </c>
      <c r="J1136" s="762">
        <v>1</v>
      </c>
      <c r="K1136" s="1911">
        <v>644.82000000000005</v>
      </c>
      <c r="L1136" s="1911">
        <v>51.160000000000004</v>
      </c>
      <c r="M1136" s="1911">
        <v>593.66</v>
      </c>
      <c r="N1136" s="1752" t="str">
        <f t="shared" si="19"/>
        <v>C391</v>
      </c>
      <c r="O1136" s="1752" t="s">
        <v>95</v>
      </c>
      <c r="P1136" s="1752" t="s">
        <v>2736</v>
      </c>
      <c r="Q1136" s="763"/>
      <c r="R1136" s="763"/>
      <c r="S1136" s="763"/>
      <c r="T1136" s="763"/>
      <c r="U1136" s="763"/>
      <c r="V1136" s="763"/>
      <c r="W1136" s="763"/>
      <c r="X1136" s="763"/>
      <c r="Y1136" s="763"/>
      <c r="Z1136" s="763"/>
      <c r="AA1136" s="763"/>
      <c r="AB1136" s="763"/>
      <c r="AC1136" s="763"/>
      <c r="AD1136" s="763"/>
      <c r="AE1136" s="763"/>
      <c r="AF1136" s="763"/>
      <c r="AG1136" s="763"/>
      <c r="AH1136" s="763"/>
      <c r="AI1136" s="763"/>
      <c r="AJ1136" s="763"/>
      <c r="AK1136" s="763"/>
      <c r="AL1136" s="763"/>
      <c r="AM1136" s="763"/>
      <c r="AN1136" s="763"/>
      <c r="AO1136" s="763"/>
      <c r="AP1136" s="763"/>
      <c r="AQ1136" s="763"/>
      <c r="AR1136" s="763"/>
      <c r="AS1136" s="763"/>
      <c r="AT1136" s="763"/>
      <c r="AU1136" s="763"/>
      <c r="AV1136" s="763"/>
      <c r="AW1136" s="763"/>
      <c r="AX1136" s="763"/>
      <c r="AY1136" s="763"/>
      <c r="AZ1136" s="763"/>
      <c r="BA1136" s="763"/>
      <c r="BB1136" s="763"/>
      <c r="BC1136" s="763"/>
      <c r="BD1136" s="763"/>
      <c r="BE1136" s="763"/>
      <c r="BF1136" s="763"/>
      <c r="BG1136" s="763"/>
      <c r="BH1136" s="763"/>
      <c r="BI1136" s="763"/>
      <c r="BJ1136" s="763"/>
      <c r="BK1136" s="763"/>
      <c r="BL1136" s="763"/>
      <c r="BM1136" s="763"/>
    </row>
    <row r="1137" spans="1:65" s="1692" customFormat="1">
      <c r="A1137" s="762" t="s">
        <v>2339</v>
      </c>
      <c r="B1137" s="762" t="s">
        <v>2340</v>
      </c>
      <c r="C1137" s="762" t="s">
        <v>2476</v>
      </c>
      <c r="D1137" s="762">
        <v>64102408</v>
      </c>
      <c r="E1137" s="762" t="s">
        <v>2740</v>
      </c>
      <c r="F1137" s="762">
        <v>143006323</v>
      </c>
      <c r="G1137" s="762" t="s">
        <v>6892</v>
      </c>
      <c r="H1137" s="1917" t="s">
        <v>7487</v>
      </c>
      <c r="I1137" s="762" t="s">
        <v>6867</v>
      </c>
      <c r="J1137" s="762">
        <v>1</v>
      </c>
      <c r="K1137" s="1911">
        <v>100360.28</v>
      </c>
      <c r="L1137" s="1911">
        <v>7962.51</v>
      </c>
      <c r="M1137" s="1911">
        <v>92397.77</v>
      </c>
      <c r="N1137" s="1752" t="str">
        <f t="shared" si="19"/>
        <v>C391</v>
      </c>
      <c r="O1137" s="1752" t="s">
        <v>95</v>
      </c>
      <c r="P1137" s="1752" t="s">
        <v>2736</v>
      </c>
      <c r="Q1137" s="763"/>
      <c r="R1137" s="763"/>
      <c r="S1137" s="763"/>
      <c r="T1137" s="763"/>
      <c r="U1137" s="763"/>
      <c r="V1137" s="763"/>
      <c r="W1137" s="763"/>
      <c r="X1137" s="763"/>
      <c r="Y1137" s="763"/>
      <c r="Z1137" s="763"/>
      <c r="AA1137" s="763"/>
      <c r="AB1137" s="763"/>
      <c r="AC1137" s="763"/>
      <c r="AD1137" s="763"/>
      <c r="AE1137" s="763"/>
      <c r="AF1137" s="763"/>
      <c r="AG1137" s="763"/>
      <c r="AH1137" s="763"/>
      <c r="AI1137" s="763"/>
      <c r="AJ1137" s="763"/>
      <c r="AK1137" s="763"/>
      <c r="AL1137" s="763"/>
      <c r="AM1137" s="763"/>
      <c r="AN1137" s="763"/>
      <c r="AO1137" s="763"/>
      <c r="AP1137" s="763"/>
      <c r="AQ1137" s="763"/>
      <c r="AR1137" s="763"/>
      <c r="AS1137" s="763"/>
      <c r="AT1137" s="763"/>
      <c r="AU1137" s="763"/>
      <c r="AV1137" s="763"/>
      <c r="AW1137" s="763"/>
      <c r="AX1137" s="763"/>
      <c r="AY1137" s="763"/>
      <c r="AZ1137" s="763"/>
      <c r="BA1137" s="763"/>
      <c r="BB1137" s="763"/>
      <c r="BC1137" s="763"/>
      <c r="BD1137" s="763"/>
      <c r="BE1137" s="763"/>
      <c r="BF1137" s="763"/>
      <c r="BG1137" s="763"/>
      <c r="BH1137" s="763"/>
      <c r="BI1137" s="763"/>
      <c r="BJ1137" s="763"/>
      <c r="BK1137" s="763"/>
      <c r="BL1137" s="763"/>
      <c r="BM1137" s="763"/>
    </row>
    <row r="1138" spans="1:65" s="1692" customFormat="1">
      <c r="A1138" s="762" t="s">
        <v>2339</v>
      </c>
      <c r="B1138" s="762" t="s">
        <v>2340</v>
      </c>
      <c r="C1138" s="762" t="s">
        <v>2490</v>
      </c>
      <c r="D1138" s="762">
        <v>64102411</v>
      </c>
      <c r="E1138" s="762" t="s">
        <v>2740</v>
      </c>
      <c r="F1138" s="762">
        <v>143006326</v>
      </c>
      <c r="G1138" s="762" t="s">
        <v>6893</v>
      </c>
      <c r="H1138" s="1917" t="s">
        <v>7488</v>
      </c>
      <c r="I1138" s="762" t="s">
        <v>6867</v>
      </c>
      <c r="J1138" s="762">
        <v>1</v>
      </c>
      <c r="K1138" s="1911">
        <v>8645.52</v>
      </c>
      <c r="L1138" s="1911">
        <v>685.93000000000006</v>
      </c>
      <c r="M1138" s="1911">
        <v>7959.59</v>
      </c>
      <c r="N1138" s="1752" t="str">
        <f t="shared" si="19"/>
        <v>C391</v>
      </c>
      <c r="O1138" s="1752" t="s">
        <v>95</v>
      </c>
      <c r="P1138" s="1752" t="s">
        <v>2736</v>
      </c>
      <c r="Q1138" s="763"/>
      <c r="R1138" s="763"/>
      <c r="S1138" s="763"/>
      <c r="T1138" s="763"/>
      <c r="U1138" s="763"/>
      <c r="V1138" s="763"/>
      <c r="W1138" s="763"/>
      <c r="X1138" s="763"/>
      <c r="Y1138" s="763"/>
      <c r="Z1138" s="763"/>
      <c r="AA1138" s="763"/>
      <c r="AB1138" s="763"/>
      <c r="AC1138" s="763"/>
      <c r="AD1138" s="763"/>
      <c r="AE1138" s="763"/>
      <c r="AF1138" s="763"/>
      <c r="AG1138" s="763"/>
      <c r="AH1138" s="763"/>
      <c r="AI1138" s="763"/>
      <c r="AJ1138" s="763"/>
      <c r="AK1138" s="763"/>
      <c r="AL1138" s="763"/>
      <c r="AM1138" s="763"/>
      <c r="AN1138" s="763"/>
      <c r="AO1138" s="763"/>
      <c r="AP1138" s="763"/>
      <c r="AQ1138" s="763"/>
      <c r="AR1138" s="763"/>
      <c r="AS1138" s="763"/>
      <c r="AT1138" s="763"/>
      <c r="AU1138" s="763"/>
      <c r="AV1138" s="763"/>
      <c r="AW1138" s="763"/>
      <c r="AX1138" s="763"/>
      <c r="AY1138" s="763"/>
      <c r="AZ1138" s="763"/>
      <c r="BA1138" s="763"/>
      <c r="BB1138" s="763"/>
      <c r="BC1138" s="763"/>
      <c r="BD1138" s="763"/>
      <c r="BE1138" s="763"/>
      <c r="BF1138" s="763"/>
      <c r="BG1138" s="763"/>
      <c r="BH1138" s="763"/>
      <c r="BI1138" s="763"/>
      <c r="BJ1138" s="763"/>
      <c r="BK1138" s="763"/>
      <c r="BL1138" s="763"/>
      <c r="BM1138" s="763"/>
    </row>
    <row r="1139" spans="1:65" s="1692" customFormat="1">
      <c r="A1139" s="762" t="s">
        <v>2339</v>
      </c>
      <c r="B1139" s="762" t="s">
        <v>2340</v>
      </c>
      <c r="C1139" s="762" t="s">
        <v>2517</v>
      </c>
      <c r="D1139" s="762">
        <v>64102429</v>
      </c>
      <c r="E1139" s="762" t="s">
        <v>2740</v>
      </c>
      <c r="F1139" s="762">
        <v>143006489</v>
      </c>
      <c r="G1139" s="762" t="s">
        <v>6988</v>
      </c>
      <c r="H1139" s="1917" t="s">
        <v>7489</v>
      </c>
      <c r="I1139" s="762" t="s">
        <v>6867</v>
      </c>
      <c r="J1139" s="762">
        <v>1</v>
      </c>
      <c r="K1139" s="1911">
        <v>122595.67</v>
      </c>
      <c r="L1139" s="1911">
        <v>21390.99</v>
      </c>
      <c r="M1139" s="1911">
        <v>101204.68000000001</v>
      </c>
      <c r="N1139" s="1752" t="str">
        <f t="shared" si="19"/>
        <v>C391</v>
      </c>
      <c r="O1139" s="1752" t="s">
        <v>95</v>
      </c>
      <c r="P1139" s="1752" t="s">
        <v>2736</v>
      </c>
      <c r="Q1139" s="763"/>
      <c r="R1139" s="763"/>
      <c r="S1139" s="763"/>
      <c r="T1139" s="763"/>
      <c r="U1139" s="763"/>
      <c r="V1139" s="763"/>
      <c r="W1139" s="763"/>
      <c r="X1139" s="763"/>
      <c r="Y1139" s="763"/>
      <c r="Z1139" s="763"/>
      <c r="AA1139" s="763"/>
      <c r="AB1139" s="763"/>
      <c r="AC1139" s="763"/>
      <c r="AD1139" s="763"/>
      <c r="AE1139" s="763"/>
      <c r="AF1139" s="763"/>
      <c r="AG1139" s="763"/>
      <c r="AH1139" s="763"/>
      <c r="AI1139" s="763"/>
      <c r="AJ1139" s="763"/>
      <c r="AK1139" s="763"/>
      <c r="AL1139" s="763"/>
      <c r="AM1139" s="763"/>
      <c r="AN1139" s="763"/>
      <c r="AO1139" s="763"/>
      <c r="AP1139" s="763"/>
      <c r="AQ1139" s="763"/>
      <c r="AR1139" s="763"/>
      <c r="AS1139" s="763"/>
      <c r="AT1139" s="763"/>
      <c r="AU1139" s="763"/>
      <c r="AV1139" s="763"/>
      <c r="AW1139" s="763"/>
      <c r="AX1139" s="763"/>
      <c r="AY1139" s="763"/>
      <c r="AZ1139" s="763"/>
      <c r="BA1139" s="763"/>
      <c r="BB1139" s="763"/>
      <c r="BC1139" s="763"/>
      <c r="BD1139" s="763"/>
      <c r="BE1139" s="763"/>
      <c r="BF1139" s="763"/>
      <c r="BG1139" s="763"/>
      <c r="BH1139" s="763"/>
      <c r="BI1139" s="763"/>
      <c r="BJ1139" s="763"/>
      <c r="BK1139" s="763"/>
      <c r="BL1139" s="763"/>
      <c r="BM1139" s="763"/>
    </row>
    <row r="1140" spans="1:65" s="1692" customFormat="1">
      <c r="A1140" s="762" t="s">
        <v>2339</v>
      </c>
      <c r="B1140" s="762" t="s">
        <v>2340</v>
      </c>
      <c r="C1140" s="762" t="s">
        <v>2596</v>
      </c>
      <c r="D1140" s="762">
        <v>64102444</v>
      </c>
      <c r="E1140" s="762" t="s">
        <v>2740</v>
      </c>
      <c r="F1140" s="762">
        <v>143006743</v>
      </c>
      <c r="G1140" s="762" t="s">
        <v>6887</v>
      </c>
      <c r="H1140" s="1917" t="s">
        <v>7490</v>
      </c>
      <c r="I1140" s="762" t="s">
        <v>6867</v>
      </c>
      <c r="J1140" s="762">
        <v>1</v>
      </c>
      <c r="K1140" s="1911">
        <v>2349.41</v>
      </c>
      <c r="L1140" s="1911">
        <v>186.4</v>
      </c>
      <c r="M1140" s="1911">
        <v>2163.0100000000002</v>
      </c>
      <c r="N1140" s="1752" t="str">
        <f t="shared" si="19"/>
        <v>C391</v>
      </c>
      <c r="O1140" s="1752" t="s">
        <v>95</v>
      </c>
      <c r="P1140" s="1752" t="s">
        <v>2736</v>
      </c>
      <c r="Q1140" s="763"/>
      <c r="R1140" s="763"/>
      <c r="S1140" s="763"/>
      <c r="T1140" s="763"/>
      <c r="U1140" s="763"/>
      <c r="V1140" s="763"/>
      <c r="W1140" s="763"/>
      <c r="X1140" s="763"/>
      <c r="Y1140" s="763"/>
      <c r="Z1140" s="763"/>
      <c r="AA1140" s="763"/>
      <c r="AB1140" s="763"/>
      <c r="AC1140" s="763"/>
      <c r="AD1140" s="763"/>
      <c r="AE1140" s="763"/>
      <c r="AF1140" s="763"/>
      <c r="AG1140" s="763"/>
      <c r="AH1140" s="763"/>
      <c r="AI1140" s="763"/>
      <c r="AJ1140" s="763"/>
      <c r="AK1140" s="763"/>
      <c r="AL1140" s="763"/>
      <c r="AM1140" s="763"/>
      <c r="AN1140" s="763"/>
      <c r="AO1140" s="763"/>
      <c r="AP1140" s="763"/>
      <c r="AQ1140" s="763"/>
      <c r="AR1140" s="763"/>
      <c r="AS1140" s="763"/>
      <c r="AT1140" s="763"/>
      <c r="AU1140" s="763"/>
      <c r="AV1140" s="763"/>
      <c r="AW1140" s="763"/>
      <c r="AX1140" s="763"/>
      <c r="AY1140" s="763"/>
      <c r="AZ1140" s="763"/>
      <c r="BA1140" s="763"/>
      <c r="BB1140" s="763"/>
      <c r="BC1140" s="763"/>
      <c r="BD1140" s="763"/>
      <c r="BE1140" s="763"/>
      <c r="BF1140" s="763"/>
      <c r="BG1140" s="763"/>
      <c r="BH1140" s="763"/>
      <c r="BI1140" s="763"/>
      <c r="BJ1140" s="763"/>
      <c r="BK1140" s="763"/>
      <c r="BL1140" s="763"/>
      <c r="BM1140" s="763"/>
    </row>
    <row r="1141" spans="1:65" s="1692" customFormat="1">
      <c r="A1141" s="762" t="s">
        <v>2339</v>
      </c>
      <c r="B1141" s="762" t="s">
        <v>2340</v>
      </c>
      <c r="C1141" s="762" t="s">
        <v>2476</v>
      </c>
      <c r="D1141" s="762">
        <v>64102467</v>
      </c>
      <c r="E1141" s="762" t="s">
        <v>2740</v>
      </c>
      <c r="F1141" s="762">
        <v>143006929</v>
      </c>
      <c r="G1141" s="762" t="s">
        <v>6888</v>
      </c>
      <c r="H1141" s="1917" t="s">
        <v>7491</v>
      </c>
      <c r="I1141" s="762" t="s">
        <v>6867</v>
      </c>
      <c r="J1141" s="762">
        <v>1</v>
      </c>
      <c r="K1141" s="1911">
        <v>31357.29</v>
      </c>
      <c r="L1141" s="1911">
        <v>2487.87</v>
      </c>
      <c r="M1141" s="1911">
        <v>28869.420000000002</v>
      </c>
      <c r="N1141" s="1752" t="str">
        <f t="shared" si="19"/>
        <v>C391</v>
      </c>
      <c r="O1141" s="1752" t="s">
        <v>95</v>
      </c>
      <c r="P1141" s="1752" t="s">
        <v>2736</v>
      </c>
      <c r="Q1141" s="763"/>
      <c r="R1141" s="763"/>
      <c r="S1141" s="763"/>
      <c r="T1141" s="763"/>
      <c r="U1141" s="763"/>
      <c r="V1141" s="763"/>
      <c r="W1141" s="763"/>
      <c r="X1141" s="763"/>
      <c r="Y1141" s="763"/>
      <c r="Z1141" s="763"/>
      <c r="AA1141" s="763"/>
      <c r="AB1141" s="763"/>
      <c r="AC1141" s="763"/>
      <c r="AD1141" s="763"/>
      <c r="AE1141" s="763"/>
      <c r="AF1141" s="763"/>
      <c r="AG1141" s="763"/>
      <c r="AH1141" s="763"/>
      <c r="AI1141" s="763"/>
      <c r="AJ1141" s="763"/>
      <c r="AK1141" s="763"/>
      <c r="AL1141" s="763"/>
      <c r="AM1141" s="763"/>
      <c r="AN1141" s="763"/>
      <c r="AO1141" s="763"/>
      <c r="AP1141" s="763"/>
      <c r="AQ1141" s="763"/>
      <c r="AR1141" s="763"/>
      <c r="AS1141" s="763"/>
      <c r="AT1141" s="763"/>
      <c r="AU1141" s="763"/>
      <c r="AV1141" s="763"/>
      <c r="AW1141" s="763"/>
      <c r="AX1141" s="763"/>
      <c r="AY1141" s="763"/>
      <c r="AZ1141" s="763"/>
      <c r="BA1141" s="763"/>
      <c r="BB1141" s="763"/>
      <c r="BC1141" s="763"/>
      <c r="BD1141" s="763"/>
      <c r="BE1141" s="763"/>
      <c r="BF1141" s="763"/>
      <c r="BG1141" s="763"/>
      <c r="BH1141" s="763"/>
      <c r="BI1141" s="763"/>
      <c r="BJ1141" s="763"/>
      <c r="BK1141" s="763"/>
      <c r="BL1141" s="763"/>
      <c r="BM1141" s="763"/>
    </row>
    <row r="1142" spans="1:65" s="1692" customFormat="1">
      <c r="A1142" s="762" t="s">
        <v>2339</v>
      </c>
      <c r="B1142" s="762" t="s">
        <v>2340</v>
      </c>
      <c r="C1142" s="762" t="s">
        <v>2745</v>
      </c>
      <c r="D1142" s="762">
        <v>64102488</v>
      </c>
      <c r="E1142" s="762" t="s">
        <v>2740</v>
      </c>
      <c r="F1142" s="762">
        <v>143007122</v>
      </c>
      <c r="G1142" s="762" t="s">
        <v>6885</v>
      </c>
      <c r="H1142" s="1917" t="s">
        <v>7492</v>
      </c>
      <c r="I1142" s="762" t="s">
        <v>6867</v>
      </c>
      <c r="J1142" s="762">
        <v>1</v>
      </c>
      <c r="K1142" s="1911">
        <v>1573.96</v>
      </c>
      <c r="L1142" s="1911">
        <v>124.88000000000001</v>
      </c>
      <c r="M1142" s="1911">
        <v>1449.08</v>
      </c>
      <c r="N1142" s="1752" t="str">
        <f t="shared" si="19"/>
        <v>C391</v>
      </c>
      <c r="O1142" s="1752" t="s">
        <v>95</v>
      </c>
      <c r="P1142" s="1752" t="s">
        <v>2736</v>
      </c>
      <c r="Q1142" s="763"/>
      <c r="R1142" s="763"/>
      <c r="S1142" s="763"/>
      <c r="T1142" s="763"/>
      <c r="U1142" s="763"/>
      <c r="V1142" s="763"/>
      <c r="W1142" s="763"/>
      <c r="X1142" s="763"/>
      <c r="Y1142" s="763"/>
      <c r="Z1142" s="763"/>
      <c r="AA1142" s="763"/>
      <c r="AB1142" s="763"/>
      <c r="AC1142" s="763"/>
      <c r="AD1142" s="763"/>
      <c r="AE1142" s="763"/>
      <c r="AF1142" s="763"/>
      <c r="AG1142" s="763"/>
      <c r="AH1142" s="763"/>
      <c r="AI1142" s="763"/>
      <c r="AJ1142" s="763"/>
      <c r="AK1142" s="763"/>
      <c r="AL1142" s="763"/>
      <c r="AM1142" s="763"/>
      <c r="AN1142" s="763"/>
      <c r="AO1142" s="763"/>
      <c r="AP1142" s="763"/>
      <c r="AQ1142" s="763"/>
      <c r="AR1142" s="763"/>
      <c r="AS1142" s="763"/>
      <c r="AT1142" s="763"/>
      <c r="AU1142" s="763"/>
      <c r="AV1142" s="763"/>
      <c r="AW1142" s="763"/>
      <c r="AX1142" s="763"/>
      <c r="AY1142" s="763"/>
      <c r="AZ1142" s="763"/>
      <c r="BA1142" s="763"/>
      <c r="BB1142" s="763"/>
      <c r="BC1142" s="763"/>
      <c r="BD1142" s="763"/>
      <c r="BE1142" s="763"/>
      <c r="BF1142" s="763"/>
      <c r="BG1142" s="763"/>
      <c r="BH1142" s="763"/>
      <c r="BI1142" s="763"/>
      <c r="BJ1142" s="763"/>
      <c r="BK1142" s="763"/>
      <c r="BL1142" s="763"/>
      <c r="BM1142" s="763"/>
    </row>
    <row r="1143" spans="1:65" s="1692" customFormat="1">
      <c r="A1143" s="762" t="s">
        <v>2339</v>
      </c>
      <c r="B1143" s="762" t="s">
        <v>2340</v>
      </c>
      <c r="C1143" s="762" t="s">
        <v>2524</v>
      </c>
      <c r="D1143" s="762">
        <v>64102496</v>
      </c>
      <c r="E1143" s="762" t="s">
        <v>2740</v>
      </c>
      <c r="F1143" s="762">
        <v>143007284</v>
      </c>
      <c r="G1143" s="762" t="s">
        <v>6894</v>
      </c>
      <c r="H1143" s="1917" t="s">
        <v>7493</v>
      </c>
      <c r="I1143" s="762" t="s">
        <v>6867</v>
      </c>
      <c r="J1143" s="762">
        <v>1</v>
      </c>
      <c r="K1143" s="1911">
        <v>67144.19</v>
      </c>
      <c r="L1143" s="1911">
        <v>5327.17</v>
      </c>
      <c r="M1143" s="1911">
        <v>61817.020000000004</v>
      </c>
      <c r="N1143" s="1752" t="str">
        <f t="shared" si="19"/>
        <v>C391</v>
      </c>
      <c r="O1143" s="1752" t="s">
        <v>95</v>
      </c>
      <c r="P1143" s="1752" t="s">
        <v>2736</v>
      </c>
      <c r="Q1143" s="763"/>
      <c r="R1143" s="763"/>
      <c r="S1143" s="763"/>
      <c r="T1143" s="763"/>
      <c r="U1143" s="763"/>
      <c r="V1143" s="763"/>
      <c r="W1143" s="763"/>
      <c r="X1143" s="763"/>
      <c r="Y1143" s="763"/>
      <c r="Z1143" s="763"/>
      <c r="AA1143" s="763"/>
      <c r="AB1143" s="763"/>
      <c r="AC1143" s="763"/>
      <c r="AD1143" s="763"/>
      <c r="AE1143" s="763"/>
      <c r="AF1143" s="763"/>
      <c r="AG1143" s="763"/>
      <c r="AH1143" s="763"/>
      <c r="AI1143" s="763"/>
      <c r="AJ1143" s="763"/>
      <c r="AK1143" s="763"/>
      <c r="AL1143" s="763"/>
      <c r="AM1143" s="763"/>
      <c r="AN1143" s="763"/>
      <c r="AO1143" s="763"/>
      <c r="AP1143" s="763"/>
      <c r="AQ1143" s="763"/>
      <c r="AR1143" s="763"/>
      <c r="AS1143" s="763"/>
      <c r="AT1143" s="763"/>
      <c r="AU1143" s="763"/>
      <c r="AV1143" s="763"/>
      <c r="AW1143" s="763"/>
      <c r="AX1143" s="763"/>
      <c r="AY1143" s="763"/>
      <c r="AZ1143" s="763"/>
      <c r="BA1143" s="763"/>
      <c r="BB1143" s="763"/>
      <c r="BC1143" s="763"/>
      <c r="BD1143" s="763"/>
      <c r="BE1143" s="763"/>
      <c r="BF1143" s="763"/>
      <c r="BG1143" s="763"/>
      <c r="BH1143" s="763"/>
      <c r="BI1143" s="763"/>
      <c r="BJ1143" s="763"/>
      <c r="BK1143" s="763"/>
      <c r="BL1143" s="763"/>
      <c r="BM1143" s="763"/>
    </row>
    <row r="1144" spans="1:65" s="1691" customFormat="1">
      <c r="A1144" s="762" t="s">
        <v>2339</v>
      </c>
      <c r="B1144" s="762" t="s">
        <v>2340</v>
      </c>
      <c r="C1144" s="762" t="s">
        <v>2476</v>
      </c>
      <c r="D1144" s="762">
        <v>67515296</v>
      </c>
      <c r="E1144" s="762" t="s">
        <v>2740</v>
      </c>
      <c r="F1144" s="762">
        <v>143006782</v>
      </c>
      <c r="G1144" s="762" t="s">
        <v>6889</v>
      </c>
      <c r="H1144" s="1917" t="s">
        <v>7330</v>
      </c>
      <c r="I1144" s="762" t="s">
        <v>6867</v>
      </c>
      <c r="J1144" s="762">
        <v>0</v>
      </c>
      <c r="K1144" s="1911">
        <v>69523.34</v>
      </c>
      <c r="L1144" s="1911">
        <v>5515.93</v>
      </c>
      <c r="M1144" s="1911">
        <v>64007.41</v>
      </c>
      <c r="N1144" s="1752" t="str">
        <f t="shared" si="19"/>
        <v>C391</v>
      </c>
      <c r="O1144" s="1752" t="s">
        <v>95</v>
      </c>
      <c r="P1144" s="1752" t="s">
        <v>2736</v>
      </c>
      <c r="Q1144" s="761"/>
      <c r="R1144" s="761"/>
      <c r="S1144" s="761"/>
      <c r="T1144" s="761"/>
      <c r="U1144" s="761"/>
      <c r="V1144" s="761"/>
      <c r="W1144" s="761"/>
      <c r="X1144" s="761"/>
      <c r="Y1144" s="761"/>
      <c r="Z1144" s="761"/>
      <c r="AA1144" s="761"/>
      <c r="AB1144" s="761"/>
      <c r="AC1144" s="761"/>
      <c r="AD1144" s="761"/>
      <c r="AE1144" s="761"/>
      <c r="AF1144" s="761"/>
      <c r="AG1144" s="761"/>
      <c r="AH1144" s="761"/>
      <c r="AI1144" s="761"/>
      <c r="AJ1144" s="761"/>
      <c r="AK1144" s="761"/>
      <c r="AL1144" s="761"/>
      <c r="AM1144" s="761"/>
      <c r="AN1144" s="761"/>
      <c r="AO1144" s="761"/>
      <c r="AP1144" s="761"/>
      <c r="AQ1144" s="761"/>
      <c r="AR1144" s="761"/>
      <c r="AS1144" s="761"/>
      <c r="AT1144" s="761"/>
      <c r="AU1144" s="761"/>
      <c r="AV1144" s="761"/>
      <c r="AW1144" s="761"/>
      <c r="AX1144" s="761"/>
      <c r="AY1144" s="761"/>
      <c r="AZ1144" s="761"/>
      <c r="BA1144" s="761"/>
      <c r="BB1144" s="761"/>
      <c r="BC1144" s="761"/>
      <c r="BD1144" s="761"/>
      <c r="BE1144" s="761"/>
      <c r="BF1144" s="761"/>
      <c r="BG1144" s="761"/>
      <c r="BH1144" s="761"/>
      <c r="BI1144" s="761"/>
      <c r="BJ1144" s="761"/>
      <c r="BK1144" s="761"/>
      <c r="BL1144" s="761"/>
      <c r="BM1144" s="761"/>
    </row>
    <row r="1145" spans="1:65" s="1692" customFormat="1">
      <c r="A1145" s="762" t="s">
        <v>2339</v>
      </c>
      <c r="B1145" s="762" t="s">
        <v>2340</v>
      </c>
      <c r="C1145" s="762" t="s">
        <v>2531</v>
      </c>
      <c r="D1145" s="762">
        <v>64678990</v>
      </c>
      <c r="E1145" s="762" t="s">
        <v>2740</v>
      </c>
      <c r="F1145" s="762">
        <v>143006661</v>
      </c>
      <c r="G1145" s="762" t="s">
        <v>6880</v>
      </c>
      <c r="H1145" s="1917" t="s">
        <v>7494</v>
      </c>
      <c r="I1145" s="762" t="s">
        <v>6867</v>
      </c>
      <c r="J1145" s="762">
        <v>1</v>
      </c>
      <c r="K1145" s="1911">
        <v>110885.44</v>
      </c>
      <c r="L1145" s="1911">
        <v>8797.57</v>
      </c>
      <c r="M1145" s="1911">
        <v>102087.87</v>
      </c>
      <c r="N1145" s="1752" t="str">
        <f t="shared" si="19"/>
        <v>C391</v>
      </c>
      <c r="O1145" s="1752" t="s">
        <v>95</v>
      </c>
      <c r="P1145" s="1752" t="s">
        <v>2736</v>
      </c>
      <c r="Q1145" s="763"/>
      <c r="R1145" s="763"/>
      <c r="S1145" s="763"/>
      <c r="T1145" s="763"/>
      <c r="U1145" s="763"/>
      <c r="V1145" s="763"/>
      <c r="W1145" s="763"/>
      <c r="X1145" s="763"/>
      <c r="Y1145" s="763"/>
      <c r="Z1145" s="763"/>
      <c r="AA1145" s="763"/>
      <c r="AB1145" s="763"/>
      <c r="AC1145" s="763"/>
      <c r="AD1145" s="763"/>
      <c r="AE1145" s="763"/>
      <c r="AF1145" s="763"/>
      <c r="AG1145" s="763"/>
      <c r="AH1145" s="763"/>
      <c r="AI1145" s="763"/>
      <c r="AJ1145" s="763"/>
      <c r="AK1145" s="763"/>
      <c r="AL1145" s="763"/>
      <c r="AM1145" s="763"/>
      <c r="AN1145" s="763"/>
      <c r="AO1145" s="763"/>
      <c r="AP1145" s="763"/>
      <c r="AQ1145" s="763"/>
      <c r="AR1145" s="763"/>
      <c r="AS1145" s="763"/>
      <c r="AT1145" s="763"/>
      <c r="AU1145" s="763"/>
      <c r="AV1145" s="763"/>
      <c r="AW1145" s="763"/>
      <c r="AX1145" s="763"/>
      <c r="AY1145" s="763"/>
      <c r="AZ1145" s="763"/>
      <c r="BA1145" s="763"/>
      <c r="BB1145" s="763"/>
      <c r="BC1145" s="763"/>
      <c r="BD1145" s="763"/>
      <c r="BE1145" s="763"/>
      <c r="BF1145" s="763"/>
      <c r="BG1145" s="763"/>
      <c r="BH1145" s="763"/>
      <c r="BI1145" s="763"/>
      <c r="BJ1145" s="763"/>
      <c r="BK1145" s="763"/>
      <c r="BL1145" s="763"/>
      <c r="BM1145" s="763"/>
    </row>
    <row r="1146" spans="1:65" s="1692" customFormat="1">
      <c r="A1146" s="762" t="s">
        <v>2339</v>
      </c>
      <c r="B1146" s="762" t="s">
        <v>2340</v>
      </c>
      <c r="C1146" s="762" t="s">
        <v>2531</v>
      </c>
      <c r="D1146" s="762">
        <v>64679051</v>
      </c>
      <c r="E1146" s="762" t="s">
        <v>2740</v>
      </c>
      <c r="F1146" s="762">
        <v>143007268</v>
      </c>
      <c r="G1146" s="762" t="s">
        <v>6881</v>
      </c>
      <c r="H1146" s="1917" t="s">
        <v>7495</v>
      </c>
      <c r="I1146" s="762" t="s">
        <v>6867</v>
      </c>
      <c r="J1146" s="762">
        <v>1</v>
      </c>
      <c r="K1146" s="1911">
        <v>609.57000000000005</v>
      </c>
      <c r="L1146" s="1911">
        <v>48.36</v>
      </c>
      <c r="M1146" s="1911">
        <v>561.21</v>
      </c>
      <c r="N1146" s="1752" t="str">
        <f t="shared" si="19"/>
        <v>C391</v>
      </c>
      <c r="O1146" s="1752" t="s">
        <v>95</v>
      </c>
      <c r="P1146" s="1752" t="s">
        <v>2736</v>
      </c>
      <c r="Q1146" s="763"/>
      <c r="R1146" s="763"/>
      <c r="S1146" s="763"/>
      <c r="T1146" s="763"/>
      <c r="U1146" s="763"/>
      <c r="V1146" s="763"/>
      <c r="W1146" s="763"/>
      <c r="X1146" s="763"/>
      <c r="Y1146" s="763"/>
      <c r="Z1146" s="763"/>
      <c r="AA1146" s="763"/>
      <c r="AB1146" s="763"/>
      <c r="AC1146" s="763"/>
      <c r="AD1146" s="763"/>
      <c r="AE1146" s="763"/>
      <c r="AF1146" s="763"/>
      <c r="AG1146" s="763"/>
      <c r="AH1146" s="763"/>
      <c r="AI1146" s="763"/>
      <c r="AJ1146" s="763"/>
      <c r="AK1146" s="763"/>
      <c r="AL1146" s="763"/>
      <c r="AM1146" s="763"/>
      <c r="AN1146" s="763"/>
      <c r="AO1146" s="763"/>
      <c r="AP1146" s="763"/>
      <c r="AQ1146" s="763"/>
      <c r="AR1146" s="763"/>
      <c r="AS1146" s="763"/>
      <c r="AT1146" s="763"/>
      <c r="AU1146" s="763"/>
      <c r="AV1146" s="763"/>
      <c r="AW1146" s="763"/>
      <c r="AX1146" s="763"/>
      <c r="AY1146" s="763"/>
      <c r="AZ1146" s="763"/>
      <c r="BA1146" s="763"/>
      <c r="BB1146" s="763"/>
      <c r="BC1146" s="763"/>
      <c r="BD1146" s="763"/>
      <c r="BE1146" s="763"/>
      <c r="BF1146" s="763"/>
      <c r="BG1146" s="763"/>
      <c r="BH1146" s="763"/>
      <c r="BI1146" s="763"/>
      <c r="BJ1146" s="763"/>
      <c r="BK1146" s="763"/>
      <c r="BL1146" s="763"/>
      <c r="BM1146" s="763"/>
    </row>
    <row r="1147" spans="1:65" s="1692" customFormat="1">
      <c r="A1147" s="762" t="s">
        <v>2339</v>
      </c>
      <c r="B1147" s="762" t="s">
        <v>2340</v>
      </c>
      <c r="C1147" s="762" t="s">
        <v>2476</v>
      </c>
      <c r="D1147" s="762">
        <v>65324077</v>
      </c>
      <c r="E1147" s="762" t="s">
        <v>2740</v>
      </c>
      <c r="F1147" s="762">
        <v>143006963</v>
      </c>
      <c r="G1147" s="762" t="s">
        <v>6895</v>
      </c>
      <c r="H1147" s="1917" t="s">
        <v>7496</v>
      </c>
      <c r="I1147" s="762" t="s">
        <v>6867</v>
      </c>
      <c r="J1147" s="762">
        <v>1</v>
      </c>
      <c r="K1147" s="1911">
        <v>600428.71</v>
      </c>
      <c r="L1147" s="1911">
        <v>47637.590000000004</v>
      </c>
      <c r="M1147" s="1911">
        <v>552791.12</v>
      </c>
      <c r="N1147" s="1752" t="str">
        <f t="shared" si="19"/>
        <v>C391</v>
      </c>
      <c r="O1147" s="1752" t="s">
        <v>95</v>
      </c>
      <c r="P1147" s="1752" t="s">
        <v>2736</v>
      </c>
      <c r="Q1147" s="763"/>
      <c r="R1147" s="763"/>
      <c r="S1147" s="763"/>
      <c r="T1147" s="763"/>
      <c r="U1147" s="763"/>
      <c r="V1147" s="763"/>
      <c r="W1147" s="763"/>
      <c r="X1147" s="763"/>
      <c r="Y1147" s="763"/>
      <c r="Z1147" s="763"/>
      <c r="AA1147" s="763"/>
      <c r="AB1147" s="763"/>
      <c r="AC1147" s="763"/>
      <c r="AD1147" s="763"/>
      <c r="AE1147" s="763"/>
      <c r="AF1147" s="763"/>
      <c r="AG1147" s="763"/>
      <c r="AH1147" s="763"/>
      <c r="AI1147" s="763"/>
      <c r="AJ1147" s="763"/>
      <c r="AK1147" s="763"/>
      <c r="AL1147" s="763"/>
      <c r="AM1147" s="763"/>
      <c r="AN1147" s="763"/>
      <c r="AO1147" s="763"/>
      <c r="AP1147" s="763"/>
      <c r="AQ1147" s="763"/>
      <c r="AR1147" s="763"/>
      <c r="AS1147" s="763"/>
      <c r="AT1147" s="763"/>
      <c r="AU1147" s="763"/>
      <c r="AV1147" s="763"/>
      <c r="AW1147" s="763"/>
      <c r="AX1147" s="763"/>
      <c r="AY1147" s="763"/>
      <c r="AZ1147" s="763"/>
      <c r="BA1147" s="763"/>
      <c r="BB1147" s="763"/>
      <c r="BC1147" s="763"/>
      <c r="BD1147" s="763"/>
      <c r="BE1147" s="763"/>
      <c r="BF1147" s="763"/>
      <c r="BG1147" s="763"/>
      <c r="BH1147" s="763"/>
      <c r="BI1147" s="763"/>
      <c r="BJ1147" s="763"/>
      <c r="BK1147" s="763"/>
      <c r="BL1147" s="763"/>
      <c r="BM1147" s="763"/>
    </row>
    <row r="1148" spans="1:65" s="1692" customFormat="1">
      <c r="A1148" s="762" t="s">
        <v>2339</v>
      </c>
      <c r="B1148" s="762" t="s">
        <v>2340</v>
      </c>
      <c r="C1148" s="762" t="s">
        <v>2524</v>
      </c>
      <c r="D1148" s="762">
        <v>65894539</v>
      </c>
      <c r="E1148" s="762" t="s">
        <v>2740</v>
      </c>
      <c r="F1148" s="762">
        <v>143006924</v>
      </c>
      <c r="G1148" s="762" t="s">
        <v>6896</v>
      </c>
      <c r="H1148" s="1917" t="s">
        <v>7497</v>
      </c>
      <c r="I1148" s="762" t="s">
        <v>6867</v>
      </c>
      <c r="J1148" s="762">
        <v>1</v>
      </c>
      <c r="K1148" s="1911">
        <v>37080.22</v>
      </c>
      <c r="L1148" s="1911">
        <v>2941.92</v>
      </c>
      <c r="M1148" s="1911">
        <v>34138.300000000003</v>
      </c>
      <c r="N1148" s="1752" t="str">
        <f t="shared" si="19"/>
        <v>C391</v>
      </c>
      <c r="O1148" s="1752" t="s">
        <v>95</v>
      </c>
      <c r="P1148" s="1752" t="s">
        <v>2736</v>
      </c>
      <c r="Q1148" s="763"/>
      <c r="R1148" s="763"/>
      <c r="S1148" s="763"/>
      <c r="T1148" s="763"/>
      <c r="U1148" s="763"/>
      <c r="V1148" s="763"/>
      <c r="W1148" s="763"/>
      <c r="X1148" s="763"/>
      <c r="Y1148" s="763"/>
      <c r="Z1148" s="763"/>
      <c r="AA1148" s="763"/>
      <c r="AB1148" s="763"/>
      <c r="AC1148" s="763"/>
      <c r="AD1148" s="763"/>
      <c r="AE1148" s="763"/>
      <c r="AF1148" s="763"/>
      <c r="AG1148" s="763"/>
      <c r="AH1148" s="763"/>
      <c r="AI1148" s="763"/>
      <c r="AJ1148" s="763"/>
      <c r="AK1148" s="763"/>
      <c r="AL1148" s="763"/>
      <c r="AM1148" s="763"/>
      <c r="AN1148" s="763"/>
      <c r="AO1148" s="763"/>
      <c r="AP1148" s="763"/>
      <c r="AQ1148" s="763"/>
      <c r="AR1148" s="763"/>
      <c r="AS1148" s="763"/>
      <c r="AT1148" s="763"/>
      <c r="AU1148" s="763"/>
      <c r="AV1148" s="763"/>
      <c r="AW1148" s="763"/>
      <c r="AX1148" s="763"/>
      <c r="AY1148" s="763"/>
      <c r="AZ1148" s="763"/>
      <c r="BA1148" s="763"/>
      <c r="BB1148" s="763"/>
      <c r="BC1148" s="763"/>
      <c r="BD1148" s="763"/>
      <c r="BE1148" s="763"/>
      <c r="BF1148" s="763"/>
      <c r="BG1148" s="763"/>
      <c r="BH1148" s="763"/>
      <c r="BI1148" s="763"/>
      <c r="BJ1148" s="763"/>
      <c r="BK1148" s="763"/>
      <c r="BL1148" s="763"/>
      <c r="BM1148" s="763"/>
    </row>
    <row r="1149" spans="1:65" s="1692" customFormat="1">
      <c r="A1149" s="762" t="s">
        <v>2339</v>
      </c>
      <c r="B1149" s="762" t="s">
        <v>2340</v>
      </c>
      <c r="C1149" s="762" t="s">
        <v>2509</v>
      </c>
      <c r="D1149" s="762">
        <v>65894544</v>
      </c>
      <c r="E1149" s="762" t="s">
        <v>2740</v>
      </c>
      <c r="F1149" s="762">
        <v>143006941</v>
      </c>
      <c r="G1149" s="762" t="s">
        <v>6897</v>
      </c>
      <c r="H1149" s="1917" t="s">
        <v>7498</v>
      </c>
      <c r="I1149" s="762" t="s">
        <v>6867</v>
      </c>
      <c r="J1149" s="762">
        <v>1</v>
      </c>
      <c r="K1149" s="1911">
        <v>38279.81</v>
      </c>
      <c r="L1149" s="1911">
        <v>3037.09</v>
      </c>
      <c r="M1149" s="1911">
        <v>35242.720000000001</v>
      </c>
      <c r="N1149" s="1752" t="str">
        <f t="shared" si="19"/>
        <v>C391</v>
      </c>
      <c r="O1149" s="1752" t="s">
        <v>95</v>
      </c>
      <c r="P1149" s="1752" t="s">
        <v>2736</v>
      </c>
      <c r="Q1149" s="763"/>
      <c r="R1149" s="763"/>
      <c r="S1149" s="763"/>
      <c r="T1149" s="763"/>
      <c r="U1149" s="763"/>
      <c r="V1149" s="763"/>
      <c r="W1149" s="763"/>
      <c r="X1149" s="763"/>
      <c r="Y1149" s="763"/>
      <c r="Z1149" s="763"/>
      <c r="AA1149" s="763"/>
      <c r="AB1149" s="763"/>
      <c r="AC1149" s="763"/>
      <c r="AD1149" s="763"/>
      <c r="AE1149" s="763"/>
      <c r="AF1149" s="763"/>
      <c r="AG1149" s="763"/>
      <c r="AH1149" s="763"/>
      <c r="AI1149" s="763"/>
      <c r="AJ1149" s="763"/>
      <c r="AK1149" s="763"/>
      <c r="AL1149" s="763"/>
      <c r="AM1149" s="763"/>
      <c r="AN1149" s="763"/>
      <c r="AO1149" s="763"/>
      <c r="AP1149" s="763"/>
      <c r="AQ1149" s="763"/>
      <c r="AR1149" s="763"/>
      <c r="AS1149" s="763"/>
      <c r="AT1149" s="763"/>
      <c r="AU1149" s="763"/>
      <c r="AV1149" s="763"/>
      <c r="AW1149" s="763"/>
      <c r="AX1149" s="763"/>
      <c r="AY1149" s="763"/>
      <c r="AZ1149" s="763"/>
      <c r="BA1149" s="763"/>
      <c r="BB1149" s="763"/>
      <c r="BC1149" s="763"/>
      <c r="BD1149" s="763"/>
      <c r="BE1149" s="763"/>
      <c r="BF1149" s="763"/>
      <c r="BG1149" s="763"/>
      <c r="BH1149" s="763"/>
      <c r="BI1149" s="763"/>
      <c r="BJ1149" s="763"/>
      <c r="BK1149" s="763"/>
      <c r="BL1149" s="763"/>
      <c r="BM1149" s="763"/>
    </row>
    <row r="1150" spans="1:65" s="1692" customFormat="1">
      <c r="A1150" s="762" t="s">
        <v>2339</v>
      </c>
      <c r="B1150" s="762" t="s">
        <v>2340</v>
      </c>
      <c r="C1150" s="762" t="s">
        <v>2531</v>
      </c>
      <c r="D1150" s="762">
        <v>65894549</v>
      </c>
      <c r="E1150" s="762" t="s">
        <v>2740</v>
      </c>
      <c r="F1150" s="762">
        <v>143006942</v>
      </c>
      <c r="G1150" s="762" t="s">
        <v>6898</v>
      </c>
      <c r="H1150" s="1917" t="s">
        <v>7498</v>
      </c>
      <c r="I1150" s="762" t="s">
        <v>6867</v>
      </c>
      <c r="J1150" s="762">
        <v>1</v>
      </c>
      <c r="K1150" s="1911">
        <v>38680.82</v>
      </c>
      <c r="L1150" s="1911">
        <v>3068.91</v>
      </c>
      <c r="M1150" s="1911">
        <v>35611.910000000003</v>
      </c>
      <c r="N1150" s="1752" t="str">
        <f t="shared" si="19"/>
        <v>C391</v>
      </c>
      <c r="O1150" s="1752" t="s">
        <v>95</v>
      </c>
      <c r="P1150" s="1752" t="s">
        <v>2736</v>
      </c>
      <c r="Q1150" s="763"/>
      <c r="R1150" s="763"/>
      <c r="S1150" s="763"/>
      <c r="T1150" s="763"/>
      <c r="U1150" s="763"/>
      <c r="V1150" s="763"/>
      <c r="W1150" s="763"/>
      <c r="X1150" s="763"/>
      <c r="Y1150" s="763"/>
      <c r="Z1150" s="763"/>
      <c r="AA1150" s="763"/>
      <c r="AB1150" s="763"/>
      <c r="AC1150" s="763"/>
      <c r="AD1150" s="763"/>
      <c r="AE1150" s="763"/>
      <c r="AF1150" s="763"/>
      <c r="AG1150" s="763"/>
      <c r="AH1150" s="763"/>
      <c r="AI1150" s="763"/>
      <c r="AJ1150" s="763"/>
      <c r="AK1150" s="763"/>
      <c r="AL1150" s="763"/>
      <c r="AM1150" s="763"/>
      <c r="AN1150" s="763"/>
      <c r="AO1150" s="763"/>
      <c r="AP1150" s="763"/>
      <c r="AQ1150" s="763"/>
      <c r="AR1150" s="763"/>
      <c r="AS1150" s="763"/>
      <c r="AT1150" s="763"/>
      <c r="AU1150" s="763"/>
      <c r="AV1150" s="763"/>
      <c r="AW1150" s="763"/>
      <c r="AX1150" s="763"/>
      <c r="AY1150" s="763"/>
      <c r="AZ1150" s="763"/>
      <c r="BA1150" s="763"/>
      <c r="BB1150" s="763"/>
      <c r="BC1150" s="763"/>
      <c r="BD1150" s="763"/>
      <c r="BE1150" s="763"/>
      <c r="BF1150" s="763"/>
      <c r="BG1150" s="763"/>
      <c r="BH1150" s="763"/>
      <c r="BI1150" s="763"/>
      <c r="BJ1150" s="763"/>
      <c r="BK1150" s="763"/>
      <c r="BL1150" s="763"/>
      <c r="BM1150" s="763"/>
    </row>
    <row r="1151" spans="1:65" s="1692" customFormat="1">
      <c r="A1151" s="762" t="s">
        <v>2339</v>
      </c>
      <c r="B1151" s="762" t="s">
        <v>2340</v>
      </c>
      <c r="C1151" s="762" t="s">
        <v>2487</v>
      </c>
      <c r="D1151" s="762">
        <v>65894554</v>
      </c>
      <c r="E1151" s="762" t="s">
        <v>2740</v>
      </c>
      <c r="F1151" s="762">
        <v>143006949</v>
      </c>
      <c r="G1151" s="762" t="s">
        <v>6899</v>
      </c>
      <c r="H1151" s="1917" t="s">
        <v>7498</v>
      </c>
      <c r="I1151" s="762" t="s">
        <v>6867</v>
      </c>
      <c r="J1151" s="762">
        <v>1</v>
      </c>
      <c r="K1151" s="1911">
        <v>38861.760000000002</v>
      </c>
      <c r="L1151" s="1911">
        <v>3083.26</v>
      </c>
      <c r="M1151" s="1911">
        <v>35778.5</v>
      </c>
      <c r="N1151" s="1752" t="str">
        <f t="shared" si="19"/>
        <v>C391</v>
      </c>
      <c r="O1151" s="1752" t="s">
        <v>95</v>
      </c>
      <c r="P1151" s="1752" t="s">
        <v>2736</v>
      </c>
      <c r="Q1151" s="763"/>
      <c r="R1151" s="763"/>
      <c r="S1151" s="763"/>
      <c r="T1151" s="763"/>
      <c r="U1151" s="763"/>
      <c r="V1151" s="763"/>
      <c r="W1151" s="763"/>
      <c r="X1151" s="763"/>
      <c r="Y1151" s="763"/>
      <c r="Z1151" s="763"/>
      <c r="AA1151" s="763"/>
      <c r="AB1151" s="763"/>
      <c r="AC1151" s="763"/>
      <c r="AD1151" s="763"/>
      <c r="AE1151" s="763"/>
      <c r="AF1151" s="763"/>
      <c r="AG1151" s="763"/>
      <c r="AH1151" s="763"/>
      <c r="AI1151" s="763"/>
      <c r="AJ1151" s="763"/>
      <c r="AK1151" s="763"/>
      <c r="AL1151" s="763"/>
      <c r="AM1151" s="763"/>
      <c r="AN1151" s="763"/>
      <c r="AO1151" s="763"/>
      <c r="AP1151" s="763"/>
      <c r="AQ1151" s="763"/>
      <c r="AR1151" s="763"/>
      <c r="AS1151" s="763"/>
      <c r="AT1151" s="763"/>
      <c r="AU1151" s="763"/>
      <c r="AV1151" s="763"/>
      <c r="AW1151" s="763"/>
      <c r="AX1151" s="763"/>
      <c r="AY1151" s="763"/>
      <c r="AZ1151" s="763"/>
      <c r="BA1151" s="763"/>
      <c r="BB1151" s="763"/>
      <c r="BC1151" s="763"/>
      <c r="BD1151" s="763"/>
      <c r="BE1151" s="763"/>
      <c r="BF1151" s="763"/>
      <c r="BG1151" s="763"/>
      <c r="BH1151" s="763"/>
      <c r="BI1151" s="763"/>
      <c r="BJ1151" s="763"/>
      <c r="BK1151" s="763"/>
      <c r="BL1151" s="763"/>
      <c r="BM1151" s="763"/>
    </row>
    <row r="1152" spans="1:65" s="1692" customFormat="1">
      <c r="A1152" s="762" t="s">
        <v>2339</v>
      </c>
      <c r="B1152" s="762" t="s">
        <v>2340</v>
      </c>
      <c r="C1152" s="762" t="s">
        <v>2473</v>
      </c>
      <c r="D1152" s="762">
        <v>65894559</v>
      </c>
      <c r="E1152" s="762" t="s">
        <v>2740</v>
      </c>
      <c r="F1152" s="762">
        <v>143006952</v>
      </c>
      <c r="G1152" s="762" t="s">
        <v>6900</v>
      </c>
      <c r="H1152" s="1917" t="s">
        <v>7498</v>
      </c>
      <c r="I1152" s="762" t="s">
        <v>6867</v>
      </c>
      <c r="J1152" s="762">
        <v>1</v>
      </c>
      <c r="K1152" s="1911">
        <v>37706.910000000003</v>
      </c>
      <c r="L1152" s="1911">
        <v>2991.64</v>
      </c>
      <c r="M1152" s="1911">
        <v>34715.270000000004</v>
      </c>
      <c r="N1152" s="1752" t="str">
        <f t="shared" si="19"/>
        <v>C391</v>
      </c>
      <c r="O1152" s="1752" t="s">
        <v>95</v>
      </c>
      <c r="P1152" s="1752" t="s">
        <v>2736</v>
      </c>
      <c r="Q1152" s="763"/>
      <c r="R1152" s="763"/>
      <c r="S1152" s="763"/>
      <c r="T1152" s="763"/>
      <c r="U1152" s="763"/>
      <c r="V1152" s="763"/>
      <c r="W1152" s="763"/>
      <c r="X1152" s="763"/>
      <c r="Y1152" s="763"/>
      <c r="Z1152" s="763"/>
      <c r="AA1152" s="763"/>
      <c r="AB1152" s="763"/>
      <c r="AC1152" s="763"/>
      <c r="AD1152" s="763"/>
      <c r="AE1152" s="763"/>
      <c r="AF1152" s="763"/>
      <c r="AG1152" s="763"/>
      <c r="AH1152" s="763"/>
      <c r="AI1152" s="763"/>
      <c r="AJ1152" s="763"/>
      <c r="AK1152" s="763"/>
      <c r="AL1152" s="763"/>
      <c r="AM1152" s="763"/>
      <c r="AN1152" s="763"/>
      <c r="AO1152" s="763"/>
      <c r="AP1152" s="763"/>
      <c r="AQ1152" s="763"/>
      <c r="AR1152" s="763"/>
      <c r="AS1152" s="763"/>
      <c r="AT1152" s="763"/>
      <c r="AU1152" s="763"/>
      <c r="AV1152" s="763"/>
      <c r="AW1152" s="763"/>
      <c r="AX1152" s="763"/>
      <c r="AY1152" s="763"/>
      <c r="AZ1152" s="763"/>
      <c r="BA1152" s="763"/>
      <c r="BB1152" s="763"/>
      <c r="BC1152" s="763"/>
      <c r="BD1152" s="763"/>
      <c r="BE1152" s="763"/>
      <c r="BF1152" s="763"/>
      <c r="BG1152" s="763"/>
      <c r="BH1152" s="763"/>
      <c r="BI1152" s="763"/>
      <c r="BJ1152" s="763"/>
      <c r="BK1152" s="763"/>
      <c r="BL1152" s="763"/>
      <c r="BM1152" s="763"/>
    </row>
    <row r="1153" spans="1:65" s="1692" customFormat="1">
      <c r="A1153" s="762" t="s">
        <v>2339</v>
      </c>
      <c r="B1153" s="762" t="s">
        <v>2340</v>
      </c>
      <c r="C1153" s="762" t="s">
        <v>2476</v>
      </c>
      <c r="D1153" s="762">
        <v>65894564</v>
      </c>
      <c r="E1153" s="762" t="s">
        <v>2740</v>
      </c>
      <c r="F1153" s="762">
        <v>143006953</v>
      </c>
      <c r="G1153" s="762" t="s">
        <v>6901</v>
      </c>
      <c r="H1153" s="1917" t="s">
        <v>7498</v>
      </c>
      <c r="I1153" s="762" t="s">
        <v>6867</v>
      </c>
      <c r="J1153" s="762">
        <v>1</v>
      </c>
      <c r="K1153" s="1911">
        <v>37235.71</v>
      </c>
      <c r="L1153" s="1911">
        <v>2954.25</v>
      </c>
      <c r="M1153" s="1911">
        <v>34281.46</v>
      </c>
      <c r="N1153" s="1752" t="str">
        <f t="shared" si="19"/>
        <v>C391</v>
      </c>
      <c r="O1153" s="1752" t="s">
        <v>95</v>
      </c>
      <c r="P1153" s="1752" t="s">
        <v>2736</v>
      </c>
      <c r="Q1153" s="763"/>
      <c r="R1153" s="763"/>
      <c r="S1153" s="763"/>
      <c r="T1153" s="763"/>
      <c r="U1153" s="763"/>
      <c r="V1153" s="763"/>
      <c r="W1153" s="763"/>
      <c r="X1153" s="763"/>
      <c r="Y1153" s="763"/>
      <c r="Z1153" s="763"/>
      <c r="AA1153" s="763"/>
      <c r="AB1153" s="763"/>
      <c r="AC1153" s="763"/>
      <c r="AD1153" s="763"/>
      <c r="AE1153" s="763"/>
      <c r="AF1153" s="763"/>
      <c r="AG1153" s="763"/>
      <c r="AH1153" s="763"/>
      <c r="AI1153" s="763"/>
      <c r="AJ1153" s="763"/>
      <c r="AK1153" s="763"/>
      <c r="AL1153" s="763"/>
      <c r="AM1153" s="763"/>
      <c r="AN1153" s="763"/>
      <c r="AO1153" s="763"/>
      <c r="AP1153" s="763"/>
      <c r="AQ1153" s="763"/>
      <c r="AR1153" s="763"/>
      <c r="AS1153" s="763"/>
      <c r="AT1153" s="763"/>
      <c r="AU1153" s="763"/>
      <c r="AV1153" s="763"/>
      <c r="AW1153" s="763"/>
      <c r="AX1153" s="763"/>
      <c r="AY1153" s="763"/>
      <c r="AZ1153" s="763"/>
      <c r="BA1153" s="763"/>
      <c r="BB1153" s="763"/>
      <c r="BC1153" s="763"/>
      <c r="BD1153" s="763"/>
      <c r="BE1153" s="763"/>
      <c r="BF1153" s="763"/>
      <c r="BG1153" s="763"/>
      <c r="BH1153" s="763"/>
      <c r="BI1153" s="763"/>
      <c r="BJ1153" s="763"/>
      <c r="BK1153" s="763"/>
      <c r="BL1153" s="763"/>
      <c r="BM1153" s="763"/>
    </row>
    <row r="1154" spans="1:65" s="1692" customFormat="1">
      <c r="A1154" s="762" t="s">
        <v>2339</v>
      </c>
      <c r="B1154" s="762" t="s">
        <v>2340</v>
      </c>
      <c r="C1154" s="762" t="s">
        <v>2476</v>
      </c>
      <c r="D1154" s="762">
        <v>65894569</v>
      </c>
      <c r="E1154" s="762" t="s">
        <v>2740</v>
      </c>
      <c r="F1154" s="762">
        <v>143006955</v>
      </c>
      <c r="G1154" s="762" t="s">
        <v>6902</v>
      </c>
      <c r="H1154" s="1917" t="s">
        <v>7498</v>
      </c>
      <c r="I1154" s="762" t="s">
        <v>6867</v>
      </c>
      <c r="J1154" s="762">
        <v>1</v>
      </c>
      <c r="K1154" s="1911">
        <v>40156.870000000003</v>
      </c>
      <c r="L1154" s="1911">
        <v>3186.02</v>
      </c>
      <c r="M1154" s="1911">
        <v>36970.85</v>
      </c>
      <c r="N1154" s="1752" t="str">
        <f t="shared" si="19"/>
        <v>C391</v>
      </c>
      <c r="O1154" s="1752" t="s">
        <v>95</v>
      </c>
      <c r="P1154" s="1752" t="s">
        <v>2736</v>
      </c>
      <c r="Q1154" s="763"/>
      <c r="R1154" s="763"/>
      <c r="S1154" s="763"/>
      <c r="T1154" s="763"/>
      <c r="U1154" s="763"/>
      <c r="V1154" s="763"/>
      <c r="W1154" s="763"/>
      <c r="X1154" s="763"/>
      <c r="Y1154" s="763"/>
      <c r="Z1154" s="763"/>
      <c r="AA1154" s="763"/>
      <c r="AB1154" s="763"/>
      <c r="AC1154" s="763"/>
      <c r="AD1154" s="763"/>
      <c r="AE1154" s="763"/>
      <c r="AF1154" s="763"/>
      <c r="AG1154" s="763"/>
      <c r="AH1154" s="763"/>
      <c r="AI1154" s="763"/>
      <c r="AJ1154" s="763"/>
      <c r="AK1154" s="763"/>
      <c r="AL1154" s="763"/>
      <c r="AM1154" s="763"/>
      <c r="AN1154" s="763"/>
      <c r="AO1154" s="763"/>
      <c r="AP1154" s="763"/>
      <c r="AQ1154" s="763"/>
      <c r="AR1154" s="763"/>
      <c r="AS1154" s="763"/>
      <c r="AT1154" s="763"/>
      <c r="AU1154" s="763"/>
      <c r="AV1154" s="763"/>
      <c r="AW1154" s="763"/>
      <c r="AX1154" s="763"/>
      <c r="AY1154" s="763"/>
      <c r="AZ1154" s="763"/>
      <c r="BA1154" s="763"/>
      <c r="BB1154" s="763"/>
      <c r="BC1154" s="763"/>
      <c r="BD1154" s="763"/>
      <c r="BE1154" s="763"/>
      <c r="BF1154" s="763"/>
      <c r="BG1154" s="763"/>
      <c r="BH1154" s="763"/>
      <c r="BI1154" s="763"/>
      <c r="BJ1154" s="763"/>
      <c r="BK1154" s="763"/>
      <c r="BL1154" s="763"/>
      <c r="BM1154" s="763"/>
    </row>
    <row r="1155" spans="1:65" s="1692" customFormat="1">
      <c r="A1155" s="762" t="s">
        <v>2339</v>
      </c>
      <c r="B1155" s="762" t="s">
        <v>2340</v>
      </c>
      <c r="C1155" s="762" t="s">
        <v>2476</v>
      </c>
      <c r="D1155" s="762">
        <v>65894574</v>
      </c>
      <c r="E1155" s="762" t="s">
        <v>2740</v>
      </c>
      <c r="F1155" s="762">
        <v>143006957</v>
      </c>
      <c r="G1155" s="762" t="s">
        <v>6903</v>
      </c>
      <c r="H1155" s="1917" t="s">
        <v>7498</v>
      </c>
      <c r="I1155" s="762" t="s">
        <v>6867</v>
      </c>
      <c r="J1155" s="762">
        <v>1</v>
      </c>
      <c r="K1155" s="1911">
        <v>37187.46</v>
      </c>
      <c r="L1155" s="1911">
        <v>2950.43</v>
      </c>
      <c r="M1155" s="1911">
        <v>34237.03</v>
      </c>
      <c r="N1155" s="1752" t="str">
        <f t="shared" si="19"/>
        <v>C391</v>
      </c>
      <c r="O1155" s="1752" t="s">
        <v>95</v>
      </c>
      <c r="P1155" s="1752" t="s">
        <v>2736</v>
      </c>
      <c r="Q1155" s="763"/>
      <c r="R1155" s="763"/>
      <c r="S1155" s="763"/>
      <c r="T1155" s="763"/>
      <c r="U1155" s="763"/>
      <c r="V1155" s="763"/>
      <c r="W1155" s="763"/>
      <c r="X1155" s="763"/>
      <c r="Y1155" s="763"/>
      <c r="Z1155" s="763"/>
      <c r="AA1155" s="763"/>
      <c r="AB1155" s="763"/>
      <c r="AC1155" s="763"/>
      <c r="AD1155" s="763"/>
      <c r="AE1155" s="763"/>
      <c r="AF1155" s="763"/>
      <c r="AG1155" s="763"/>
      <c r="AH1155" s="763"/>
      <c r="AI1155" s="763"/>
      <c r="AJ1155" s="763"/>
      <c r="AK1155" s="763"/>
      <c r="AL1155" s="763"/>
      <c r="AM1155" s="763"/>
      <c r="AN1155" s="763"/>
      <c r="AO1155" s="763"/>
      <c r="AP1155" s="763"/>
      <c r="AQ1155" s="763"/>
      <c r="AR1155" s="763"/>
      <c r="AS1155" s="763"/>
      <c r="AT1155" s="763"/>
      <c r="AU1155" s="763"/>
      <c r="AV1155" s="763"/>
      <c r="AW1155" s="763"/>
      <c r="AX1155" s="763"/>
      <c r="AY1155" s="763"/>
      <c r="AZ1155" s="763"/>
      <c r="BA1155" s="763"/>
      <c r="BB1155" s="763"/>
      <c r="BC1155" s="763"/>
      <c r="BD1155" s="763"/>
      <c r="BE1155" s="763"/>
      <c r="BF1155" s="763"/>
      <c r="BG1155" s="763"/>
      <c r="BH1155" s="763"/>
      <c r="BI1155" s="763"/>
      <c r="BJ1155" s="763"/>
      <c r="BK1155" s="763"/>
      <c r="BL1155" s="763"/>
      <c r="BM1155" s="763"/>
    </row>
    <row r="1156" spans="1:65" s="1692" customFormat="1">
      <c r="A1156" s="762" t="s">
        <v>2339</v>
      </c>
      <c r="B1156" s="762" t="s">
        <v>2340</v>
      </c>
      <c r="C1156" s="762" t="s">
        <v>2476</v>
      </c>
      <c r="D1156" s="762">
        <v>65894579</v>
      </c>
      <c r="E1156" s="762" t="s">
        <v>2740</v>
      </c>
      <c r="F1156" s="762">
        <v>143006958</v>
      </c>
      <c r="G1156" s="762" t="s">
        <v>6904</v>
      </c>
      <c r="H1156" s="1917" t="s">
        <v>7498</v>
      </c>
      <c r="I1156" s="762" t="s">
        <v>6867</v>
      </c>
      <c r="J1156" s="762">
        <v>1</v>
      </c>
      <c r="K1156" s="1911">
        <v>40110.379999999997</v>
      </c>
      <c r="L1156" s="1911">
        <v>3182.33</v>
      </c>
      <c r="M1156" s="1911">
        <v>36928.050000000003</v>
      </c>
      <c r="N1156" s="1752" t="str">
        <f t="shared" si="19"/>
        <v>C391</v>
      </c>
      <c r="O1156" s="1752" t="s">
        <v>95</v>
      </c>
      <c r="P1156" s="1752" t="s">
        <v>2736</v>
      </c>
      <c r="Q1156" s="763"/>
      <c r="R1156" s="763"/>
      <c r="S1156" s="763"/>
      <c r="T1156" s="763"/>
      <c r="U1156" s="763"/>
      <c r="V1156" s="763"/>
      <c r="W1156" s="763"/>
      <c r="X1156" s="763"/>
      <c r="Y1156" s="763"/>
      <c r="Z1156" s="763"/>
      <c r="AA1156" s="763"/>
      <c r="AB1156" s="763"/>
      <c r="AC1156" s="763"/>
      <c r="AD1156" s="763"/>
      <c r="AE1156" s="763"/>
      <c r="AF1156" s="763"/>
      <c r="AG1156" s="763"/>
      <c r="AH1156" s="763"/>
      <c r="AI1156" s="763"/>
      <c r="AJ1156" s="763"/>
      <c r="AK1156" s="763"/>
      <c r="AL1156" s="763"/>
      <c r="AM1156" s="763"/>
      <c r="AN1156" s="763"/>
      <c r="AO1156" s="763"/>
      <c r="AP1156" s="763"/>
      <c r="AQ1156" s="763"/>
      <c r="AR1156" s="763"/>
      <c r="AS1156" s="763"/>
      <c r="AT1156" s="763"/>
      <c r="AU1156" s="763"/>
      <c r="AV1156" s="763"/>
      <c r="AW1156" s="763"/>
      <c r="AX1156" s="763"/>
      <c r="AY1156" s="763"/>
      <c r="AZ1156" s="763"/>
      <c r="BA1156" s="763"/>
      <c r="BB1156" s="763"/>
      <c r="BC1156" s="763"/>
      <c r="BD1156" s="763"/>
      <c r="BE1156" s="763"/>
      <c r="BF1156" s="763"/>
      <c r="BG1156" s="763"/>
      <c r="BH1156" s="763"/>
      <c r="BI1156" s="763"/>
      <c r="BJ1156" s="763"/>
      <c r="BK1156" s="763"/>
      <c r="BL1156" s="763"/>
      <c r="BM1156" s="763"/>
    </row>
    <row r="1157" spans="1:65" s="1692" customFormat="1">
      <c r="A1157" s="762" t="s">
        <v>2339</v>
      </c>
      <c r="B1157" s="762" t="s">
        <v>2340</v>
      </c>
      <c r="C1157" s="762" t="s">
        <v>2473</v>
      </c>
      <c r="D1157" s="762">
        <v>65894584</v>
      </c>
      <c r="E1157" s="762" t="s">
        <v>2740</v>
      </c>
      <c r="F1157" s="762">
        <v>143006962</v>
      </c>
      <c r="G1157" s="762" t="s">
        <v>6905</v>
      </c>
      <c r="H1157" s="1917" t="s">
        <v>7498</v>
      </c>
      <c r="I1157" s="762" t="s">
        <v>6867</v>
      </c>
      <c r="J1157" s="762">
        <v>1</v>
      </c>
      <c r="K1157" s="1911">
        <v>42282.68</v>
      </c>
      <c r="L1157" s="1911">
        <v>3354.6800000000003</v>
      </c>
      <c r="M1157" s="1911">
        <v>38928</v>
      </c>
      <c r="N1157" s="1752" t="str">
        <f t="shared" si="19"/>
        <v>C391</v>
      </c>
      <c r="O1157" s="1752" t="s">
        <v>95</v>
      </c>
      <c r="P1157" s="1752" t="s">
        <v>2736</v>
      </c>
      <c r="Q1157" s="763"/>
      <c r="R1157" s="763"/>
      <c r="S1157" s="763"/>
      <c r="T1157" s="763"/>
      <c r="U1157" s="763"/>
      <c r="V1157" s="763"/>
      <c r="W1157" s="763"/>
      <c r="X1157" s="763"/>
      <c r="Y1157" s="763"/>
      <c r="Z1157" s="763"/>
      <c r="AA1157" s="763"/>
      <c r="AB1157" s="763"/>
      <c r="AC1157" s="763"/>
      <c r="AD1157" s="763"/>
      <c r="AE1157" s="763"/>
      <c r="AF1157" s="763"/>
      <c r="AG1157" s="763"/>
      <c r="AH1157" s="763"/>
      <c r="AI1157" s="763"/>
      <c r="AJ1157" s="763"/>
      <c r="AK1157" s="763"/>
      <c r="AL1157" s="763"/>
      <c r="AM1157" s="763"/>
      <c r="AN1157" s="763"/>
      <c r="AO1157" s="763"/>
      <c r="AP1157" s="763"/>
      <c r="AQ1157" s="763"/>
      <c r="AR1157" s="763"/>
      <c r="AS1157" s="763"/>
      <c r="AT1157" s="763"/>
      <c r="AU1157" s="763"/>
      <c r="AV1157" s="763"/>
      <c r="AW1157" s="763"/>
      <c r="AX1157" s="763"/>
      <c r="AY1157" s="763"/>
      <c r="AZ1157" s="763"/>
      <c r="BA1157" s="763"/>
      <c r="BB1157" s="763"/>
      <c r="BC1157" s="763"/>
      <c r="BD1157" s="763"/>
      <c r="BE1157" s="763"/>
      <c r="BF1157" s="763"/>
      <c r="BG1157" s="763"/>
      <c r="BH1157" s="763"/>
      <c r="BI1157" s="763"/>
      <c r="BJ1157" s="763"/>
      <c r="BK1157" s="763"/>
      <c r="BL1157" s="763"/>
      <c r="BM1157" s="763"/>
    </row>
    <row r="1158" spans="1:65" s="1692" customFormat="1">
      <c r="A1158" s="762" t="s">
        <v>2339</v>
      </c>
      <c r="B1158" s="762" t="s">
        <v>2340</v>
      </c>
      <c r="C1158" s="762" t="s">
        <v>2490</v>
      </c>
      <c r="D1158" s="762">
        <v>66096352</v>
      </c>
      <c r="E1158" s="762" t="s">
        <v>2740</v>
      </c>
      <c r="F1158" s="762">
        <v>143006948</v>
      </c>
      <c r="G1158" s="762" t="s">
        <v>6906</v>
      </c>
      <c r="H1158" s="1917" t="s">
        <v>7498</v>
      </c>
      <c r="I1158" s="762" t="s">
        <v>6867</v>
      </c>
      <c r="J1158" s="762">
        <v>1</v>
      </c>
      <c r="K1158" s="1911">
        <v>39989.230000000003</v>
      </c>
      <c r="L1158" s="1911">
        <v>3172.7200000000003</v>
      </c>
      <c r="M1158" s="1911">
        <v>36816.51</v>
      </c>
      <c r="N1158" s="1752" t="str">
        <f t="shared" si="19"/>
        <v>C391</v>
      </c>
      <c r="O1158" s="1752" t="s">
        <v>95</v>
      </c>
      <c r="P1158" s="1752" t="s">
        <v>2736</v>
      </c>
      <c r="Q1158" s="763"/>
      <c r="R1158" s="763"/>
      <c r="S1158" s="763"/>
      <c r="T1158" s="763"/>
      <c r="U1158" s="763"/>
      <c r="V1158" s="763"/>
      <c r="W1158" s="763"/>
      <c r="X1158" s="763"/>
      <c r="Y1158" s="763"/>
      <c r="Z1158" s="763"/>
      <c r="AA1158" s="763"/>
      <c r="AB1158" s="763"/>
      <c r="AC1158" s="763"/>
      <c r="AD1158" s="763"/>
      <c r="AE1158" s="763"/>
      <c r="AF1158" s="763"/>
      <c r="AG1158" s="763"/>
      <c r="AH1158" s="763"/>
      <c r="AI1158" s="763"/>
      <c r="AJ1158" s="763"/>
      <c r="AK1158" s="763"/>
      <c r="AL1158" s="763"/>
      <c r="AM1158" s="763"/>
      <c r="AN1158" s="763"/>
      <c r="AO1158" s="763"/>
      <c r="AP1158" s="763"/>
      <c r="AQ1158" s="763"/>
      <c r="AR1158" s="763"/>
      <c r="AS1158" s="763"/>
      <c r="AT1158" s="763"/>
      <c r="AU1158" s="763"/>
      <c r="AV1158" s="763"/>
      <c r="AW1158" s="763"/>
      <c r="AX1158" s="763"/>
      <c r="AY1158" s="763"/>
      <c r="AZ1158" s="763"/>
      <c r="BA1158" s="763"/>
      <c r="BB1158" s="763"/>
      <c r="BC1158" s="763"/>
      <c r="BD1158" s="763"/>
      <c r="BE1158" s="763"/>
      <c r="BF1158" s="763"/>
      <c r="BG1158" s="763"/>
      <c r="BH1158" s="763"/>
      <c r="BI1158" s="763"/>
      <c r="BJ1158" s="763"/>
      <c r="BK1158" s="763"/>
      <c r="BL1158" s="763"/>
      <c r="BM1158" s="763"/>
    </row>
    <row r="1159" spans="1:65" s="1692" customFormat="1">
      <c r="A1159" s="762" t="s">
        <v>2339</v>
      </c>
      <c r="B1159" s="762" t="s">
        <v>2340</v>
      </c>
      <c r="C1159" s="762" t="s">
        <v>2476</v>
      </c>
      <c r="D1159" s="762">
        <v>66470187</v>
      </c>
      <c r="E1159" s="762" t="s">
        <v>2740</v>
      </c>
      <c r="F1159" s="762">
        <v>143005861</v>
      </c>
      <c r="G1159" s="762" t="s">
        <v>6907</v>
      </c>
      <c r="H1159" s="1917" t="s">
        <v>7499</v>
      </c>
      <c r="I1159" s="762" t="s">
        <v>6867</v>
      </c>
      <c r="J1159" s="762">
        <v>1</v>
      </c>
      <c r="K1159" s="1911">
        <v>49042.35</v>
      </c>
      <c r="L1159" s="1911">
        <v>3890.9900000000002</v>
      </c>
      <c r="M1159" s="1911">
        <v>45151.360000000001</v>
      </c>
      <c r="N1159" s="1752" t="str">
        <f t="shared" si="19"/>
        <v>C391</v>
      </c>
      <c r="O1159" s="1752" t="s">
        <v>95</v>
      </c>
      <c r="P1159" s="1752" t="s">
        <v>2736</v>
      </c>
      <c r="Q1159" s="763"/>
      <c r="R1159" s="763"/>
      <c r="S1159" s="763"/>
      <c r="T1159" s="763"/>
      <c r="U1159" s="763"/>
      <c r="V1159" s="763"/>
      <c r="W1159" s="763"/>
      <c r="X1159" s="763"/>
      <c r="Y1159" s="763"/>
      <c r="Z1159" s="763"/>
      <c r="AA1159" s="763"/>
      <c r="AB1159" s="763"/>
      <c r="AC1159" s="763"/>
      <c r="AD1159" s="763"/>
      <c r="AE1159" s="763"/>
      <c r="AF1159" s="763"/>
      <c r="AG1159" s="763"/>
      <c r="AH1159" s="763"/>
      <c r="AI1159" s="763"/>
      <c r="AJ1159" s="763"/>
      <c r="AK1159" s="763"/>
      <c r="AL1159" s="763"/>
      <c r="AM1159" s="763"/>
      <c r="AN1159" s="763"/>
      <c r="AO1159" s="763"/>
      <c r="AP1159" s="763"/>
      <c r="AQ1159" s="763"/>
      <c r="AR1159" s="763"/>
      <c r="AS1159" s="763"/>
      <c r="AT1159" s="763"/>
      <c r="AU1159" s="763"/>
      <c r="AV1159" s="763"/>
      <c r="AW1159" s="763"/>
      <c r="AX1159" s="763"/>
      <c r="AY1159" s="763"/>
      <c r="AZ1159" s="763"/>
      <c r="BA1159" s="763"/>
      <c r="BB1159" s="763"/>
      <c r="BC1159" s="763"/>
      <c r="BD1159" s="763"/>
      <c r="BE1159" s="763"/>
      <c r="BF1159" s="763"/>
      <c r="BG1159" s="763"/>
      <c r="BH1159" s="763"/>
      <c r="BI1159" s="763"/>
      <c r="BJ1159" s="763"/>
      <c r="BK1159" s="763"/>
      <c r="BL1159" s="763"/>
      <c r="BM1159" s="763"/>
    </row>
    <row r="1160" spans="1:65" s="1692" customFormat="1">
      <c r="A1160" s="762" t="s">
        <v>2339</v>
      </c>
      <c r="B1160" s="762" t="s">
        <v>2340</v>
      </c>
      <c r="C1160" s="762" t="s">
        <v>2476</v>
      </c>
      <c r="D1160" s="762">
        <v>66470190</v>
      </c>
      <c r="E1160" s="762" t="s">
        <v>2740</v>
      </c>
      <c r="F1160" s="762">
        <v>143006068</v>
      </c>
      <c r="G1160" s="762" t="s">
        <v>6908</v>
      </c>
      <c r="H1160" s="1917" t="s">
        <v>7500</v>
      </c>
      <c r="I1160" s="762" t="s">
        <v>6867</v>
      </c>
      <c r="J1160" s="762">
        <v>1</v>
      </c>
      <c r="K1160" s="1911">
        <v>17605.2</v>
      </c>
      <c r="L1160" s="1911">
        <v>1396.78</v>
      </c>
      <c r="M1160" s="1911">
        <v>16208.42</v>
      </c>
      <c r="N1160" s="1752" t="str">
        <f t="shared" si="19"/>
        <v>C391</v>
      </c>
      <c r="O1160" s="1752" t="s">
        <v>95</v>
      </c>
      <c r="P1160" s="1752" t="s">
        <v>2736</v>
      </c>
      <c r="Q1160" s="763"/>
      <c r="R1160" s="763"/>
      <c r="S1160" s="763"/>
      <c r="T1160" s="763"/>
      <c r="U1160" s="763"/>
      <c r="V1160" s="763"/>
      <c r="W1160" s="763"/>
      <c r="X1160" s="763"/>
      <c r="Y1160" s="763"/>
      <c r="Z1160" s="763"/>
      <c r="AA1160" s="763"/>
      <c r="AB1160" s="763"/>
      <c r="AC1160" s="763"/>
      <c r="AD1160" s="763"/>
      <c r="AE1160" s="763"/>
      <c r="AF1160" s="763"/>
      <c r="AG1160" s="763"/>
      <c r="AH1160" s="763"/>
      <c r="AI1160" s="763"/>
      <c r="AJ1160" s="763"/>
      <c r="AK1160" s="763"/>
      <c r="AL1160" s="763"/>
      <c r="AM1160" s="763"/>
      <c r="AN1160" s="763"/>
      <c r="AO1160" s="763"/>
      <c r="AP1160" s="763"/>
      <c r="AQ1160" s="763"/>
      <c r="AR1160" s="763"/>
      <c r="AS1160" s="763"/>
      <c r="AT1160" s="763"/>
      <c r="AU1160" s="763"/>
      <c r="AV1160" s="763"/>
      <c r="AW1160" s="763"/>
      <c r="AX1160" s="763"/>
      <c r="AY1160" s="763"/>
      <c r="AZ1160" s="763"/>
      <c r="BA1160" s="763"/>
      <c r="BB1160" s="763"/>
      <c r="BC1160" s="763"/>
      <c r="BD1160" s="763"/>
      <c r="BE1160" s="763"/>
      <c r="BF1160" s="763"/>
      <c r="BG1160" s="763"/>
      <c r="BH1160" s="763"/>
      <c r="BI1160" s="763"/>
      <c r="BJ1160" s="763"/>
      <c r="BK1160" s="763"/>
      <c r="BL1160" s="763"/>
      <c r="BM1160" s="763"/>
    </row>
    <row r="1161" spans="1:65" s="1692" customFormat="1">
      <c r="A1161" s="762" t="s">
        <v>2339</v>
      </c>
      <c r="B1161" s="762" t="s">
        <v>2340</v>
      </c>
      <c r="C1161" s="762" t="s">
        <v>2476</v>
      </c>
      <c r="D1161" s="762">
        <v>66470193</v>
      </c>
      <c r="E1161" s="762" t="s">
        <v>2740</v>
      </c>
      <c r="F1161" s="762">
        <v>143006070</v>
      </c>
      <c r="G1161" s="762" t="s">
        <v>6909</v>
      </c>
      <c r="H1161" s="1917" t="s">
        <v>7501</v>
      </c>
      <c r="I1161" s="762" t="s">
        <v>6867</v>
      </c>
      <c r="J1161" s="762">
        <v>1</v>
      </c>
      <c r="K1161" s="1911">
        <v>31788.06</v>
      </c>
      <c r="L1161" s="1911">
        <v>2522.04</v>
      </c>
      <c r="M1161" s="1911">
        <v>29266.02</v>
      </c>
      <c r="N1161" s="1752" t="str">
        <f t="shared" si="19"/>
        <v>C391</v>
      </c>
      <c r="O1161" s="1752" t="s">
        <v>95</v>
      </c>
      <c r="P1161" s="1752" t="s">
        <v>2736</v>
      </c>
      <c r="Q1161" s="763"/>
      <c r="R1161" s="763"/>
      <c r="S1161" s="763"/>
      <c r="T1161" s="763"/>
      <c r="U1161" s="763"/>
      <c r="V1161" s="763"/>
      <c r="W1161" s="763"/>
      <c r="X1161" s="763"/>
      <c r="Y1161" s="763"/>
      <c r="Z1161" s="763"/>
      <c r="AA1161" s="763"/>
      <c r="AB1161" s="763"/>
      <c r="AC1161" s="763"/>
      <c r="AD1161" s="763"/>
      <c r="AE1161" s="763"/>
      <c r="AF1161" s="763"/>
      <c r="AG1161" s="763"/>
      <c r="AH1161" s="763"/>
      <c r="AI1161" s="763"/>
      <c r="AJ1161" s="763"/>
      <c r="AK1161" s="763"/>
      <c r="AL1161" s="763"/>
      <c r="AM1161" s="763"/>
      <c r="AN1161" s="763"/>
      <c r="AO1161" s="763"/>
      <c r="AP1161" s="763"/>
      <c r="AQ1161" s="763"/>
      <c r="AR1161" s="763"/>
      <c r="AS1161" s="763"/>
      <c r="AT1161" s="763"/>
      <c r="AU1161" s="763"/>
      <c r="AV1161" s="763"/>
      <c r="AW1161" s="763"/>
      <c r="AX1161" s="763"/>
      <c r="AY1161" s="763"/>
      <c r="AZ1161" s="763"/>
      <c r="BA1161" s="763"/>
      <c r="BB1161" s="763"/>
      <c r="BC1161" s="763"/>
      <c r="BD1161" s="763"/>
      <c r="BE1161" s="763"/>
      <c r="BF1161" s="763"/>
      <c r="BG1161" s="763"/>
      <c r="BH1161" s="763"/>
      <c r="BI1161" s="763"/>
      <c r="BJ1161" s="763"/>
      <c r="BK1161" s="763"/>
      <c r="BL1161" s="763"/>
      <c r="BM1161" s="763"/>
    </row>
    <row r="1162" spans="1:65" s="1692" customFormat="1">
      <c r="A1162" s="762" t="s">
        <v>2339</v>
      </c>
      <c r="B1162" s="762" t="s">
        <v>2340</v>
      </c>
      <c r="C1162" s="762" t="s">
        <v>2476</v>
      </c>
      <c r="D1162" s="762">
        <v>66594793</v>
      </c>
      <c r="E1162" s="762" t="s">
        <v>2740</v>
      </c>
      <c r="F1162" s="762">
        <v>143007642</v>
      </c>
      <c r="G1162" s="762" t="s">
        <v>6910</v>
      </c>
      <c r="H1162" s="1917" t="s">
        <v>7260</v>
      </c>
      <c r="I1162" s="762" t="s">
        <v>6867</v>
      </c>
      <c r="J1162" s="762">
        <v>1</v>
      </c>
      <c r="K1162" s="1911">
        <v>621.29</v>
      </c>
      <c r="L1162" s="1911">
        <v>49.29</v>
      </c>
      <c r="M1162" s="1911">
        <v>572</v>
      </c>
      <c r="N1162" s="1752" t="str">
        <f t="shared" si="19"/>
        <v>C391</v>
      </c>
      <c r="O1162" s="1752" t="s">
        <v>95</v>
      </c>
      <c r="P1162" s="1752" t="s">
        <v>2736</v>
      </c>
      <c r="Q1162" s="763"/>
      <c r="R1162" s="763"/>
      <c r="S1162" s="763"/>
      <c r="T1162" s="763"/>
      <c r="U1162" s="763"/>
      <c r="V1162" s="763"/>
      <c r="W1162" s="763"/>
      <c r="X1162" s="763"/>
      <c r="Y1162" s="763"/>
      <c r="Z1162" s="763"/>
      <c r="AA1162" s="763"/>
      <c r="AB1162" s="763"/>
      <c r="AC1162" s="763"/>
      <c r="AD1162" s="763"/>
      <c r="AE1162" s="763"/>
      <c r="AF1162" s="763"/>
      <c r="AG1162" s="763"/>
      <c r="AH1162" s="763"/>
      <c r="AI1162" s="763"/>
      <c r="AJ1162" s="763"/>
      <c r="AK1162" s="763"/>
      <c r="AL1162" s="763"/>
      <c r="AM1162" s="763"/>
      <c r="AN1162" s="763"/>
      <c r="AO1162" s="763"/>
      <c r="AP1162" s="763"/>
      <c r="AQ1162" s="763"/>
      <c r="AR1162" s="763"/>
      <c r="AS1162" s="763"/>
      <c r="AT1162" s="763"/>
      <c r="AU1162" s="763"/>
      <c r="AV1162" s="763"/>
      <c r="AW1162" s="763"/>
      <c r="AX1162" s="763"/>
      <c r="AY1162" s="763"/>
      <c r="AZ1162" s="763"/>
      <c r="BA1162" s="763"/>
      <c r="BB1162" s="763"/>
      <c r="BC1162" s="763"/>
      <c r="BD1162" s="763"/>
      <c r="BE1162" s="763"/>
      <c r="BF1162" s="763"/>
      <c r="BG1162" s="763"/>
      <c r="BH1162" s="763"/>
      <c r="BI1162" s="763"/>
      <c r="BJ1162" s="763"/>
      <c r="BK1162" s="763"/>
      <c r="BL1162" s="763"/>
      <c r="BM1162" s="763"/>
    </row>
    <row r="1163" spans="1:65" s="1692" customFormat="1">
      <c r="A1163" s="762" t="s">
        <v>2339</v>
      </c>
      <c r="B1163" s="762" t="s">
        <v>2340</v>
      </c>
      <c r="C1163" s="762" t="s">
        <v>2473</v>
      </c>
      <c r="D1163" s="762">
        <v>66946101</v>
      </c>
      <c r="E1163" s="762" t="s">
        <v>2740</v>
      </c>
      <c r="F1163" s="762">
        <v>143007095</v>
      </c>
      <c r="G1163" s="762" t="s">
        <v>6911</v>
      </c>
      <c r="H1163" s="1917" t="s">
        <v>7502</v>
      </c>
      <c r="I1163" s="762" t="s">
        <v>6867</v>
      </c>
      <c r="J1163" s="762">
        <v>1</v>
      </c>
      <c r="K1163" s="1911">
        <v>107163.40000000001</v>
      </c>
      <c r="L1163" s="1911">
        <v>8502.27</v>
      </c>
      <c r="M1163" s="1911">
        <v>98661.13</v>
      </c>
      <c r="N1163" s="1752" t="str">
        <f t="shared" si="19"/>
        <v>C391</v>
      </c>
      <c r="O1163" s="1752" t="s">
        <v>95</v>
      </c>
      <c r="P1163" s="1752" t="s">
        <v>2736</v>
      </c>
      <c r="Q1163" s="763"/>
      <c r="R1163" s="763"/>
      <c r="S1163" s="763"/>
      <c r="T1163" s="763"/>
      <c r="U1163" s="763"/>
      <c r="V1163" s="763"/>
      <c r="W1163" s="763"/>
      <c r="X1163" s="763"/>
      <c r="Y1163" s="763"/>
      <c r="Z1163" s="763"/>
      <c r="AA1163" s="763"/>
      <c r="AB1163" s="763"/>
      <c r="AC1163" s="763"/>
      <c r="AD1163" s="763"/>
      <c r="AE1163" s="763"/>
      <c r="AF1163" s="763"/>
      <c r="AG1163" s="763"/>
      <c r="AH1163" s="763"/>
      <c r="AI1163" s="763"/>
      <c r="AJ1163" s="763"/>
      <c r="AK1163" s="763"/>
      <c r="AL1163" s="763"/>
      <c r="AM1163" s="763"/>
      <c r="AN1163" s="763"/>
      <c r="AO1163" s="763"/>
      <c r="AP1163" s="763"/>
      <c r="AQ1163" s="763"/>
      <c r="AR1163" s="763"/>
      <c r="AS1163" s="763"/>
      <c r="AT1163" s="763"/>
      <c r="AU1163" s="763"/>
      <c r="AV1163" s="763"/>
      <c r="AW1163" s="763"/>
      <c r="AX1163" s="763"/>
      <c r="AY1163" s="763"/>
      <c r="AZ1163" s="763"/>
      <c r="BA1163" s="763"/>
      <c r="BB1163" s="763"/>
      <c r="BC1163" s="763"/>
      <c r="BD1163" s="763"/>
      <c r="BE1163" s="763"/>
      <c r="BF1163" s="763"/>
      <c r="BG1163" s="763"/>
      <c r="BH1163" s="763"/>
      <c r="BI1163" s="763"/>
      <c r="BJ1163" s="763"/>
      <c r="BK1163" s="763"/>
      <c r="BL1163" s="763"/>
      <c r="BM1163" s="763"/>
    </row>
    <row r="1164" spans="1:65" s="1692" customFormat="1">
      <c r="A1164" s="762" t="s">
        <v>2339</v>
      </c>
      <c r="B1164" s="762" t="s">
        <v>2340</v>
      </c>
      <c r="C1164" s="762" t="s">
        <v>2476</v>
      </c>
      <c r="D1164" s="762">
        <v>66946104</v>
      </c>
      <c r="E1164" s="762" t="s">
        <v>2740</v>
      </c>
      <c r="F1164" s="762">
        <v>143007098</v>
      </c>
      <c r="G1164" s="762" t="s">
        <v>6912</v>
      </c>
      <c r="H1164" s="1917" t="s">
        <v>7503</v>
      </c>
      <c r="I1164" s="762" t="s">
        <v>6867</v>
      </c>
      <c r="J1164" s="762">
        <v>3</v>
      </c>
      <c r="K1164" s="1911">
        <v>79736.08</v>
      </c>
      <c r="L1164" s="1911">
        <v>6326.2</v>
      </c>
      <c r="M1164" s="1911">
        <v>73409.88</v>
      </c>
      <c r="N1164" s="1752" t="str">
        <f t="shared" si="19"/>
        <v>C391</v>
      </c>
      <c r="O1164" s="1752" t="s">
        <v>95</v>
      </c>
      <c r="P1164" s="1752" t="s">
        <v>2736</v>
      </c>
      <c r="Q1164" s="763"/>
      <c r="R1164" s="763"/>
      <c r="S1164" s="763"/>
      <c r="T1164" s="763"/>
      <c r="U1164" s="763"/>
      <c r="V1164" s="763"/>
      <c r="W1164" s="763"/>
      <c r="X1164" s="763"/>
      <c r="Y1164" s="763"/>
      <c r="Z1164" s="763"/>
      <c r="AA1164" s="763"/>
      <c r="AB1164" s="763"/>
      <c r="AC1164" s="763"/>
      <c r="AD1164" s="763"/>
      <c r="AE1164" s="763"/>
      <c r="AF1164" s="763"/>
      <c r="AG1164" s="763"/>
      <c r="AH1164" s="763"/>
      <c r="AI1164" s="763"/>
      <c r="AJ1164" s="763"/>
      <c r="AK1164" s="763"/>
      <c r="AL1164" s="763"/>
      <c r="AM1164" s="763"/>
      <c r="AN1164" s="763"/>
      <c r="AO1164" s="763"/>
      <c r="AP1164" s="763"/>
      <c r="AQ1164" s="763"/>
      <c r="AR1164" s="763"/>
      <c r="AS1164" s="763"/>
      <c r="AT1164" s="763"/>
      <c r="AU1164" s="763"/>
      <c r="AV1164" s="763"/>
      <c r="AW1164" s="763"/>
      <c r="AX1164" s="763"/>
      <c r="AY1164" s="763"/>
      <c r="AZ1164" s="763"/>
      <c r="BA1164" s="763"/>
      <c r="BB1164" s="763"/>
      <c r="BC1164" s="763"/>
      <c r="BD1164" s="763"/>
      <c r="BE1164" s="763"/>
      <c r="BF1164" s="763"/>
      <c r="BG1164" s="763"/>
      <c r="BH1164" s="763"/>
      <c r="BI1164" s="763"/>
      <c r="BJ1164" s="763"/>
      <c r="BK1164" s="763"/>
      <c r="BL1164" s="763"/>
      <c r="BM1164" s="763"/>
    </row>
    <row r="1165" spans="1:65" s="1692" customFormat="1">
      <c r="A1165" s="762" t="s">
        <v>2339</v>
      </c>
      <c r="B1165" s="762" t="s">
        <v>2340</v>
      </c>
      <c r="C1165" s="762" t="s">
        <v>2527</v>
      </c>
      <c r="D1165" s="762">
        <v>67019458</v>
      </c>
      <c r="E1165" s="762" t="s">
        <v>2740</v>
      </c>
      <c r="F1165" s="762">
        <v>143006940</v>
      </c>
      <c r="G1165" s="762" t="s">
        <v>6913</v>
      </c>
      <c r="H1165" s="1917" t="s">
        <v>7498</v>
      </c>
      <c r="I1165" s="762" t="s">
        <v>6867</v>
      </c>
      <c r="J1165" s="762">
        <v>1</v>
      </c>
      <c r="K1165" s="1911">
        <v>39889.06</v>
      </c>
      <c r="L1165" s="1911">
        <v>3164.77</v>
      </c>
      <c r="M1165" s="1911">
        <v>36724.29</v>
      </c>
      <c r="N1165" s="1752" t="str">
        <f t="shared" si="19"/>
        <v>C391</v>
      </c>
      <c r="O1165" s="1752" t="s">
        <v>95</v>
      </c>
      <c r="P1165" s="1752" t="s">
        <v>2736</v>
      </c>
      <c r="Q1165" s="763"/>
      <c r="R1165" s="763"/>
      <c r="S1165" s="763"/>
      <c r="T1165" s="763"/>
      <c r="U1165" s="763"/>
      <c r="V1165" s="763"/>
      <c r="W1165" s="763"/>
      <c r="X1165" s="763"/>
      <c r="Y1165" s="763"/>
      <c r="Z1165" s="763"/>
      <c r="AA1165" s="763"/>
      <c r="AB1165" s="763"/>
      <c r="AC1165" s="763"/>
      <c r="AD1165" s="763"/>
      <c r="AE1165" s="763"/>
      <c r="AF1165" s="763"/>
      <c r="AG1165" s="763"/>
      <c r="AH1165" s="763"/>
      <c r="AI1165" s="763"/>
      <c r="AJ1165" s="763"/>
      <c r="AK1165" s="763"/>
      <c r="AL1165" s="763"/>
      <c r="AM1165" s="763"/>
      <c r="AN1165" s="763"/>
      <c r="AO1165" s="763"/>
      <c r="AP1165" s="763"/>
      <c r="AQ1165" s="763"/>
      <c r="AR1165" s="763"/>
      <c r="AS1165" s="763"/>
      <c r="AT1165" s="763"/>
      <c r="AU1165" s="763"/>
      <c r="AV1165" s="763"/>
      <c r="AW1165" s="763"/>
      <c r="AX1165" s="763"/>
      <c r="AY1165" s="763"/>
      <c r="AZ1165" s="763"/>
      <c r="BA1165" s="763"/>
      <c r="BB1165" s="763"/>
      <c r="BC1165" s="763"/>
      <c r="BD1165" s="763"/>
      <c r="BE1165" s="763"/>
      <c r="BF1165" s="763"/>
      <c r="BG1165" s="763"/>
      <c r="BH1165" s="763"/>
      <c r="BI1165" s="763"/>
      <c r="BJ1165" s="763"/>
      <c r="BK1165" s="763"/>
      <c r="BL1165" s="763"/>
      <c r="BM1165" s="763"/>
    </row>
    <row r="1166" spans="1:65" s="1692" customFormat="1">
      <c r="A1166" s="762" t="s">
        <v>2339</v>
      </c>
      <c r="B1166" s="762" t="s">
        <v>2340</v>
      </c>
      <c r="C1166" s="762" t="s">
        <v>2509</v>
      </c>
      <c r="D1166" s="762">
        <v>67019461</v>
      </c>
      <c r="E1166" s="762" t="s">
        <v>2740</v>
      </c>
      <c r="F1166" s="762">
        <v>143006943</v>
      </c>
      <c r="G1166" s="762" t="s">
        <v>6914</v>
      </c>
      <c r="H1166" s="1917" t="s">
        <v>7498</v>
      </c>
      <c r="I1166" s="762" t="s">
        <v>6867</v>
      </c>
      <c r="J1166" s="762">
        <v>1</v>
      </c>
      <c r="K1166" s="1911">
        <v>39045.39</v>
      </c>
      <c r="L1166" s="1911">
        <v>3097.83</v>
      </c>
      <c r="M1166" s="1911">
        <v>35947.56</v>
      </c>
      <c r="N1166" s="1752" t="str">
        <f t="shared" si="19"/>
        <v>C391</v>
      </c>
      <c r="O1166" s="1752" t="s">
        <v>95</v>
      </c>
      <c r="P1166" s="1752" t="s">
        <v>2736</v>
      </c>
      <c r="Q1166" s="763"/>
      <c r="R1166" s="763"/>
      <c r="S1166" s="763"/>
      <c r="T1166" s="763"/>
      <c r="U1166" s="763"/>
      <c r="V1166" s="763"/>
      <c r="W1166" s="763"/>
      <c r="X1166" s="763"/>
      <c r="Y1166" s="763"/>
      <c r="Z1166" s="763"/>
      <c r="AA1166" s="763"/>
      <c r="AB1166" s="763"/>
      <c r="AC1166" s="763"/>
      <c r="AD1166" s="763"/>
      <c r="AE1166" s="763"/>
      <c r="AF1166" s="763"/>
      <c r="AG1166" s="763"/>
      <c r="AH1166" s="763"/>
      <c r="AI1166" s="763"/>
      <c r="AJ1166" s="763"/>
      <c r="AK1166" s="763"/>
      <c r="AL1166" s="763"/>
      <c r="AM1166" s="763"/>
      <c r="AN1166" s="763"/>
      <c r="AO1166" s="763"/>
      <c r="AP1166" s="763"/>
      <c r="AQ1166" s="763"/>
      <c r="AR1166" s="763"/>
      <c r="AS1166" s="763"/>
      <c r="AT1166" s="763"/>
      <c r="AU1166" s="763"/>
      <c r="AV1166" s="763"/>
      <c r="AW1166" s="763"/>
      <c r="AX1166" s="763"/>
      <c r="AY1166" s="763"/>
      <c r="AZ1166" s="763"/>
      <c r="BA1166" s="763"/>
      <c r="BB1166" s="763"/>
      <c r="BC1166" s="763"/>
      <c r="BD1166" s="763"/>
      <c r="BE1166" s="763"/>
      <c r="BF1166" s="763"/>
      <c r="BG1166" s="763"/>
      <c r="BH1166" s="763"/>
      <c r="BI1166" s="763"/>
      <c r="BJ1166" s="763"/>
      <c r="BK1166" s="763"/>
      <c r="BL1166" s="763"/>
      <c r="BM1166" s="763"/>
    </row>
    <row r="1167" spans="1:65" s="1692" customFormat="1">
      <c r="A1167" s="762" t="s">
        <v>2339</v>
      </c>
      <c r="B1167" s="762" t="s">
        <v>2340</v>
      </c>
      <c r="C1167" s="762" t="s">
        <v>2596</v>
      </c>
      <c r="D1167" s="762">
        <v>67019464</v>
      </c>
      <c r="E1167" s="762" t="s">
        <v>2740</v>
      </c>
      <c r="F1167" s="762">
        <v>143006950</v>
      </c>
      <c r="G1167" s="762" t="s">
        <v>6915</v>
      </c>
      <c r="H1167" s="1917" t="s">
        <v>7498</v>
      </c>
      <c r="I1167" s="762" t="s">
        <v>6867</v>
      </c>
      <c r="J1167" s="762">
        <v>1</v>
      </c>
      <c r="K1167" s="1911">
        <v>39079.53</v>
      </c>
      <c r="L1167" s="1911">
        <v>3100.54</v>
      </c>
      <c r="M1167" s="1911">
        <v>35978.99</v>
      </c>
      <c r="N1167" s="1752" t="str">
        <f t="shared" si="19"/>
        <v>C391</v>
      </c>
      <c r="O1167" s="1752" t="s">
        <v>95</v>
      </c>
      <c r="P1167" s="1752" t="s">
        <v>2736</v>
      </c>
      <c r="Q1167" s="763"/>
      <c r="R1167" s="763"/>
      <c r="S1167" s="763"/>
      <c r="T1167" s="763"/>
      <c r="U1167" s="763"/>
      <c r="V1167" s="763"/>
      <c r="W1167" s="763"/>
      <c r="X1167" s="763"/>
      <c r="Y1167" s="763"/>
      <c r="Z1167" s="763"/>
      <c r="AA1167" s="763"/>
      <c r="AB1167" s="763"/>
      <c r="AC1167" s="763"/>
      <c r="AD1167" s="763"/>
      <c r="AE1167" s="763"/>
      <c r="AF1167" s="763"/>
      <c r="AG1167" s="763"/>
      <c r="AH1167" s="763"/>
      <c r="AI1167" s="763"/>
      <c r="AJ1167" s="763"/>
      <c r="AK1167" s="763"/>
      <c r="AL1167" s="763"/>
      <c r="AM1167" s="763"/>
      <c r="AN1167" s="763"/>
      <c r="AO1167" s="763"/>
      <c r="AP1167" s="763"/>
      <c r="AQ1167" s="763"/>
      <c r="AR1167" s="763"/>
      <c r="AS1167" s="763"/>
      <c r="AT1167" s="763"/>
      <c r="AU1167" s="763"/>
      <c r="AV1167" s="763"/>
      <c r="AW1167" s="763"/>
      <c r="AX1167" s="763"/>
      <c r="AY1167" s="763"/>
      <c r="AZ1167" s="763"/>
      <c r="BA1167" s="763"/>
      <c r="BB1167" s="763"/>
      <c r="BC1167" s="763"/>
      <c r="BD1167" s="763"/>
      <c r="BE1167" s="763"/>
      <c r="BF1167" s="763"/>
      <c r="BG1167" s="763"/>
      <c r="BH1167" s="763"/>
      <c r="BI1167" s="763"/>
      <c r="BJ1167" s="763"/>
      <c r="BK1167" s="763"/>
      <c r="BL1167" s="763"/>
      <c r="BM1167" s="763"/>
    </row>
    <row r="1168" spans="1:65" s="1692" customFormat="1">
      <c r="A1168" s="762" t="s">
        <v>2339</v>
      </c>
      <c r="B1168" s="762" t="s">
        <v>2340</v>
      </c>
      <c r="C1168" s="762" t="s">
        <v>2517</v>
      </c>
      <c r="D1168" s="762">
        <v>67019467</v>
      </c>
      <c r="E1168" s="762" t="s">
        <v>2740</v>
      </c>
      <c r="F1168" s="762">
        <v>143006960</v>
      </c>
      <c r="G1168" s="762" t="s">
        <v>6916</v>
      </c>
      <c r="H1168" s="1917" t="s">
        <v>7498</v>
      </c>
      <c r="I1168" s="762" t="s">
        <v>6867</v>
      </c>
      <c r="J1168" s="762">
        <v>1</v>
      </c>
      <c r="K1168" s="1911">
        <v>36592.550000000003</v>
      </c>
      <c r="L1168" s="1911">
        <v>2903.23</v>
      </c>
      <c r="M1168" s="1911">
        <v>33689.32</v>
      </c>
      <c r="N1168" s="1752" t="str">
        <f t="shared" si="19"/>
        <v>C391</v>
      </c>
      <c r="O1168" s="1752" t="s">
        <v>95</v>
      </c>
      <c r="P1168" s="1752" t="s">
        <v>2736</v>
      </c>
      <c r="Q1168" s="763"/>
      <c r="R1168" s="763"/>
      <c r="S1168" s="763"/>
      <c r="T1168" s="763"/>
      <c r="U1168" s="763"/>
      <c r="V1168" s="763"/>
      <c r="W1168" s="763"/>
      <c r="X1168" s="763"/>
      <c r="Y1168" s="763"/>
      <c r="Z1168" s="763"/>
      <c r="AA1168" s="763"/>
      <c r="AB1168" s="763"/>
      <c r="AC1168" s="763"/>
      <c r="AD1168" s="763"/>
      <c r="AE1168" s="763"/>
      <c r="AF1168" s="763"/>
      <c r="AG1168" s="763"/>
      <c r="AH1168" s="763"/>
      <c r="AI1168" s="763"/>
      <c r="AJ1168" s="763"/>
      <c r="AK1168" s="763"/>
      <c r="AL1168" s="763"/>
      <c r="AM1168" s="763"/>
      <c r="AN1168" s="763"/>
      <c r="AO1168" s="763"/>
      <c r="AP1168" s="763"/>
      <c r="AQ1168" s="763"/>
      <c r="AR1168" s="763"/>
      <c r="AS1168" s="763"/>
      <c r="AT1168" s="763"/>
      <c r="AU1168" s="763"/>
      <c r="AV1168" s="763"/>
      <c r="AW1168" s="763"/>
      <c r="AX1168" s="763"/>
      <c r="AY1168" s="763"/>
      <c r="AZ1168" s="763"/>
      <c r="BA1168" s="763"/>
      <c r="BB1168" s="763"/>
      <c r="BC1168" s="763"/>
      <c r="BD1168" s="763"/>
      <c r="BE1168" s="763"/>
      <c r="BF1168" s="763"/>
      <c r="BG1168" s="763"/>
      <c r="BH1168" s="763"/>
      <c r="BI1168" s="763"/>
      <c r="BJ1168" s="763"/>
      <c r="BK1168" s="763"/>
      <c r="BL1168" s="763"/>
      <c r="BM1168" s="763"/>
    </row>
    <row r="1169" spans="1:65" s="1692" customFormat="1">
      <c r="A1169" s="762" t="s">
        <v>2339</v>
      </c>
      <c r="B1169" s="762" t="s">
        <v>2340</v>
      </c>
      <c r="C1169" s="762" t="s">
        <v>2517</v>
      </c>
      <c r="D1169" s="762">
        <v>67797769</v>
      </c>
      <c r="E1169" s="762" t="s">
        <v>2740</v>
      </c>
      <c r="F1169" s="762">
        <v>143006242</v>
      </c>
      <c r="G1169" s="762" t="s">
        <v>6917</v>
      </c>
      <c r="H1169" s="1917" t="s">
        <v>7504</v>
      </c>
      <c r="I1169" s="762" t="s">
        <v>6867</v>
      </c>
      <c r="J1169" s="762">
        <v>1</v>
      </c>
      <c r="K1169" s="1911">
        <v>40187.200000000004</v>
      </c>
      <c r="L1169" s="1911">
        <v>3188.42</v>
      </c>
      <c r="M1169" s="1911">
        <v>36998.78</v>
      </c>
      <c r="N1169" s="1752" t="str">
        <f t="shared" ref="N1169:N1232" si="20">LEFT(E1169,4)</f>
        <v>C391</v>
      </c>
      <c r="O1169" s="1752" t="s">
        <v>95</v>
      </c>
      <c r="P1169" s="1752" t="s">
        <v>2736</v>
      </c>
      <c r="Q1169" s="763"/>
      <c r="R1169" s="763"/>
      <c r="S1169" s="763"/>
      <c r="T1169" s="763"/>
      <c r="U1169" s="763"/>
      <c r="V1169" s="763"/>
      <c r="W1169" s="763"/>
      <c r="X1169" s="763"/>
      <c r="Y1169" s="763"/>
      <c r="Z1169" s="763"/>
      <c r="AA1169" s="763"/>
      <c r="AB1169" s="763"/>
      <c r="AC1169" s="763"/>
      <c r="AD1169" s="763"/>
      <c r="AE1169" s="763"/>
      <c r="AF1169" s="763"/>
      <c r="AG1169" s="763"/>
      <c r="AH1169" s="763"/>
      <c r="AI1169" s="763"/>
      <c r="AJ1169" s="763"/>
      <c r="AK1169" s="763"/>
      <c r="AL1169" s="763"/>
      <c r="AM1169" s="763"/>
      <c r="AN1169" s="763"/>
      <c r="AO1169" s="763"/>
      <c r="AP1169" s="763"/>
      <c r="AQ1169" s="763"/>
      <c r="AR1169" s="763"/>
      <c r="AS1169" s="763"/>
      <c r="AT1169" s="763"/>
      <c r="AU1169" s="763"/>
      <c r="AV1169" s="763"/>
      <c r="AW1169" s="763"/>
      <c r="AX1169" s="763"/>
      <c r="AY1169" s="763"/>
      <c r="AZ1169" s="763"/>
      <c r="BA1169" s="763"/>
      <c r="BB1169" s="763"/>
      <c r="BC1169" s="763"/>
      <c r="BD1169" s="763"/>
      <c r="BE1169" s="763"/>
      <c r="BF1169" s="763"/>
      <c r="BG1169" s="763"/>
      <c r="BH1169" s="763"/>
      <c r="BI1169" s="763"/>
      <c r="BJ1169" s="763"/>
      <c r="BK1169" s="763"/>
      <c r="BL1169" s="763"/>
      <c r="BM1169" s="763"/>
    </row>
    <row r="1170" spans="1:65" s="1692" customFormat="1">
      <c r="A1170" s="762" t="s">
        <v>2339</v>
      </c>
      <c r="B1170" s="762" t="s">
        <v>2340</v>
      </c>
      <c r="C1170" s="762" t="s">
        <v>2476</v>
      </c>
      <c r="D1170" s="762">
        <v>67797772</v>
      </c>
      <c r="E1170" s="762" t="s">
        <v>2740</v>
      </c>
      <c r="F1170" s="762">
        <v>143006244</v>
      </c>
      <c r="G1170" s="762" t="s">
        <v>6918</v>
      </c>
      <c r="H1170" s="1917" t="s">
        <v>7505</v>
      </c>
      <c r="I1170" s="762" t="s">
        <v>6867</v>
      </c>
      <c r="J1170" s="762">
        <v>1</v>
      </c>
      <c r="K1170" s="1911">
        <v>66137.81</v>
      </c>
      <c r="L1170" s="1911">
        <v>5247.33</v>
      </c>
      <c r="M1170" s="1911">
        <v>60890.48</v>
      </c>
      <c r="N1170" s="1752" t="str">
        <f t="shared" si="20"/>
        <v>C391</v>
      </c>
      <c r="O1170" s="1752" t="s">
        <v>95</v>
      </c>
      <c r="P1170" s="1752" t="s">
        <v>2736</v>
      </c>
      <c r="Q1170" s="763"/>
      <c r="R1170" s="763"/>
      <c r="S1170" s="763"/>
      <c r="T1170" s="763"/>
      <c r="U1170" s="763"/>
      <c r="V1170" s="763"/>
      <c r="W1170" s="763"/>
      <c r="X1170" s="763"/>
      <c r="Y1170" s="763"/>
      <c r="Z1170" s="763"/>
      <c r="AA1170" s="763"/>
      <c r="AB1170" s="763"/>
      <c r="AC1170" s="763"/>
      <c r="AD1170" s="763"/>
      <c r="AE1170" s="763"/>
      <c r="AF1170" s="763"/>
      <c r="AG1170" s="763"/>
      <c r="AH1170" s="763"/>
      <c r="AI1170" s="763"/>
      <c r="AJ1170" s="763"/>
      <c r="AK1170" s="763"/>
      <c r="AL1170" s="763"/>
      <c r="AM1170" s="763"/>
      <c r="AN1170" s="763"/>
      <c r="AO1170" s="763"/>
      <c r="AP1170" s="763"/>
      <c r="AQ1170" s="763"/>
      <c r="AR1170" s="763"/>
      <c r="AS1170" s="763"/>
      <c r="AT1170" s="763"/>
      <c r="AU1170" s="763"/>
      <c r="AV1170" s="763"/>
      <c r="AW1170" s="763"/>
      <c r="AX1170" s="763"/>
      <c r="AY1170" s="763"/>
      <c r="AZ1170" s="763"/>
      <c r="BA1170" s="763"/>
      <c r="BB1170" s="763"/>
      <c r="BC1170" s="763"/>
      <c r="BD1170" s="763"/>
      <c r="BE1170" s="763"/>
      <c r="BF1170" s="763"/>
      <c r="BG1170" s="763"/>
      <c r="BH1170" s="763"/>
      <c r="BI1170" s="763"/>
      <c r="BJ1170" s="763"/>
      <c r="BK1170" s="763"/>
      <c r="BL1170" s="763"/>
      <c r="BM1170" s="763"/>
    </row>
    <row r="1171" spans="1:65" s="1692" customFormat="1">
      <c r="A1171" s="762" t="s">
        <v>2339</v>
      </c>
      <c r="B1171" s="762" t="s">
        <v>2340</v>
      </c>
      <c r="C1171" s="762" t="s">
        <v>2527</v>
      </c>
      <c r="D1171" s="762">
        <v>67797775</v>
      </c>
      <c r="E1171" s="762" t="s">
        <v>2740</v>
      </c>
      <c r="F1171" s="762">
        <v>143006248</v>
      </c>
      <c r="G1171" s="762" t="s">
        <v>6919</v>
      </c>
      <c r="H1171" s="1917" t="s">
        <v>7506</v>
      </c>
      <c r="I1171" s="762" t="s">
        <v>6867</v>
      </c>
      <c r="J1171" s="762">
        <v>1</v>
      </c>
      <c r="K1171" s="1911">
        <v>11762.53</v>
      </c>
      <c r="L1171" s="1911">
        <v>933.23</v>
      </c>
      <c r="M1171" s="1911">
        <v>10829.300000000001</v>
      </c>
      <c r="N1171" s="1752" t="str">
        <f t="shared" si="20"/>
        <v>C391</v>
      </c>
      <c r="O1171" s="1752" t="s">
        <v>95</v>
      </c>
      <c r="P1171" s="1752" t="s">
        <v>2736</v>
      </c>
      <c r="Q1171" s="763"/>
      <c r="R1171" s="763"/>
      <c r="S1171" s="763"/>
      <c r="T1171" s="763"/>
      <c r="U1171" s="763"/>
      <c r="V1171" s="763"/>
      <c r="W1171" s="763"/>
      <c r="X1171" s="763"/>
      <c r="Y1171" s="763"/>
      <c r="Z1171" s="763"/>
      <c r="AA1171" s="763"/>
      <c r="AB1171" s="763"/>
      <c r="AC1171" s="763"/>
      <c r="AD1171" s="763"/>
      <c r="AE1171" s="763"/>
      <c r="AF1171" s="763"/>
      <c r="AG1171" s="763"/>
      <c r="AH1171" s="763"/>
      <c r="AI1171" s="763"/>
      <c r="AJ1171" s="763"/>
      <c r="AK1171" s="763"/>
      <c r="AL1171" s="763"/>
      <c r="AM1171" s="763"/>
      <c r="AN1171" s="763"/>
      <c r="AO1171" s="763"/>
      <c r="AP1171" s="763"/>
      <c r="AQ1171" s="763"/>
      <c r="AR1171" s="763"/>
      <c r="AS1171" s="763"/>
      <c r="AT1171" s="763"/>
      <c r="AU1171" s="763"/>
      <c r="AV1171" s="763"/>
      <c r="AW1171" s="763"/>
      <c r="AX1171" s="763"/>
      <c r="AY1171" s="763"/>
      <c r="AZ1171" s="763"/>
      <c r="BA1171" s="763"/>
      <c r="BB1171" s="763"/>
      <c r="BC1171" s="763"/>
      <c r="BD1171" s="763"/>
      <c r="BE1171" s="763"/>
      <c r="BF1171" s="763"/>
      <c r="BG1171" s="763"/>
      <c r="BH1171" s="763"/>
      <c r="BI1171" s="763"/>
      <c r="BJ1171" s="763"/>
      <c r="BK1171" s="763"/>
      <c r="BL1171" s="763"/>
      <c r="BM1171" s="763"/>
    </row>
    <row r="1172" spans="1:65" s="1692" customFormat="1">
      <c r="A1172" s="762" t="s">
        <v>2339</v>
      </c>
      <c r="B1172" s="762" t="s">
        <v>2340</v>
      </c>
      <c r="C1172" s="762" t="s">
        <v>2476</v>
      </c>
      <c r="D1172" s="762">
        <v>67797794</v>
      </c>
      <c r="E1172" s="762" t="s">
        <v>2740</v>
      </c>
      <c r="F1172" s="762">
        <v>143006926</v>
      </c>
      <c r="G1172" s="762" t="s">
        <v>6920</v>
      </c>
      <c r="H1172" s="1917" t="s">
        <v>7507</v>
      </c>
      <c r="I1172" s="762" t="s">
        <v>6867</v>
      </c>
      <c r="J1172" s="762">
        <v>3</v>
      </c>
      <c r="K1172" s="1911">
        <v>38467.96</v>
      </c>
      <c r="L1172" s="1911">
        <v>3052.02</v>
      </c>
      <c r="M1172" s="1911">
        <v>35415.94</v>
      </c>
      <c r="N1172" s="1752" t="str">
        <f t="shared" si="20"/>
        <v>C391</v>
      </c>
      <c r="O1172" s="1752" t="s">
        <v>95</v>
      </c>
      <c r="P1172" s="1752" t="s">
        <v>2736</v>
      </c>
      <c r="Q1172" s="763"/>
      <c r="R1172" s="763"/>
      <c r="S1172" s="763"/>
      <c r="T1172" s="763"/>
      <c r="U1172" s="763"/>
      <c r="V1172" s="763"/>
      <c r="W1172" s="763"/>
      <c r="X1172" s="763"/>
      <c r="Y1172" s="763"/>
      <c r="Z1172" s="763"/>
      <c r="AA1172" s="763"/>
      <c r="AB1172" s="763"/>
      <c r="AC1172" s="763"/>
      <c r="AD1172" s="763"/>
      <c r="AE1172" s="763"/>
      <c r="AF1172" s="763"/>
      <c r="AG1172" s="763"/>
      <c r="AH1172" s="763"/>
      <c r="AI1172" s="763"/>
      <c r="AJ1172" s="763"/>
      <c r="AK1172" s="763"/>
      <c r="AL1172" s="763"/>
      <c r="AM1172" s="763"/>
      <c r="AN1172" s="763"/>
      <c r="AO1172" s="763"/>
      <c r="AP1172" s="763"/>
      <c r="AQ1172" s="763"/>
      <c r="AR1172" s="763"/>
      <c r="AS1172" s="763"/>
      <c r="AT1172" s="763"/>
      <c r="AU1172" s="763"/>
      <c r="AV1172" s="763"/>
      <c r="AW1172" s="763"/>
      <c r="AX1172" s="763"/>
      <c r="AY1172" s="763"/>
      <c r="AZ1172" s="763"/>
      <c r="BA1172" s="763"/>
      <c r="BB1172" s="763"/>
      <c r="BC1172" s="763"/>
      <c r="BD1172" s="763"/>
      <c r="BE1172" s="763"/>
      <c r="BF1172" s="763"/>
      <c r="BG1172" s="763"/>
      <c r="BH1172" s="763"/>
      <c r="BI1172" s="763"/>
      <c r="BJ1172" s="763"/>
      <c r="BK1172" s="763"/>
      <c r="BL1172" s="763"/>
      <c r="BM1172" s="763"/>
    </row>
    <row r="1173" spans="1:65" s="1692" customFormat="1">
      <c r="A1173" s="762" t="s">
        <v>2339</v>
      </c>
      <c r="B1173" s="762" t="s">
        <v>2340</v>
      </c>
      <c r="C1173" s="762" t="s">
        <v>2828</v>
      </c>
      <c r="D1173" s="762">
        <v>67797797</v>
      </c>
      <c r="E1173" s="762" t="s">
        <v>2740</v>
      </c>
      <c r="F1173" s="762">
        <v>143006944</v>
      </c>
      <c r="G1173" s="762" t="s">
        <v>6921</v>
      </c>
      <c r="H1173" s="1917" t="s">
        <v>7498</v>
      </c>
      <c r="I1173" s="762" t="s">
        <v>6867</v>
      </c>
      <c r="J1173" s="762">
        <v>3</v>
      </c>
      <c r="K1173" s="1911">
        <v>37889.700000000004</v>
      </c>
      <c r="L1173" s="1911">
        <v>3006.14</v>
      </c>
      <c r="M1173" s="1911">
        <v>34883.56</v>
      </c>
      <c r="N1173" s="1752" t="str">
        <f t="shared" si="20"/>
        <v>C391</v>
      </c>
      <c r="O1173" s="1752" t="s">
        <v>95</v>
      </c>
      <c r="P1173" s="1752" t="s">
        <v>2736</v>
      </c>
      <c r="Q1173" s="763"/>
      <c r="R1173" s="763"/>
      <c r="S1173" s="763"/>
      <c r="T1173" s="763"/>
      <c r="U1173" s="763"/>
      <c r="V1173" s="763"/>
      <c r="W1173" s="763"/>
      <c r="X1173" s="763"/>
      <c r="Y1173" s="763"/>
      <c r="Z1173" s="763"/>
      <c r="AA1173" s="763"/>
      <c r="AB1173" s="763"/>
      <c r="AC1173" s="763"/>
      <c r="AD1173" s="763"/>
      <c r="AE1173" s="763"/>
      <c r="AF1173" s="763"/>
      <c r="AG1173" s="763"/>
      <c r="AH1173" s="763"/>
      <c r="AI1173" s="763"/>
      <c r="AJ1173" s="763"/>
      <c r="AK1173" s="763"/>
      <c r="AL1173" s="763"/>
      <c r="AM1173" s="763"/>
      <c r="AN1173" s="763"/>
      <c r="AO1173" s="763"/>
      <c r="AP1173" s="763"/>
      <c r="AQ1173" s="763"/>
      <c r="AR1173" s="763"/>
      <c r="AS1173" s="763"/>
      <c r="AT1173" s="763"/>
      <c r="AU1173" s="763"/>
      <c r="AV1173" s="763"/>
      <c r="AW1173" s="763"/>
      <c r="AX1173" s="763"/>
      <c r="AY1173" s="763"/>
      <c r="AZ1173" s="763"/>
      <c r="BA1173" s="763"/>
      <c r="BB1173" s="763"/>
      <c r="BC1173" s="763"/>
      <c r="BD1173" s="763"/>
      <c r="BE1173" s="763"/>
      <c r="BF1173" s="763"/>
      <c r="BG1173" s="763"/>
      <c r="BH1173" s="763"/>
      <c r="BI1173" s="763"/>
      <c r="BJ1173" s="763"/>
      <c r="BK1173" s="763"/>
      <c r="BL1173" s="763"/>
      <c r="BM1173" s="763"/>
    </row>
    <row r="1174" spans="1:65" s="1692" customFormat="1">
      <c r="A1174" s="762" t="s">
        <v>2339</v>
      </c>
      <c r="B1174" s="762" t="s">
        <v>2340</v>
      </c>
      <c r="C1174" s="762" t="s">
        <v>2527</v>
      </c>
      <c r="D1174" s="762">
        <v>67797800</v>
      </c>
      <c r="E1174" s="762" t="s">
        <v>2740</v>
      </c>
      <c r="F1174" s="762">
        <v>143006951</v>
      </c>
      <c r="G1174" s="762" t="s">
        <v>6922</v>
      </c>
      <c r="H1174" s="1917" t="s">
        <v>7498</v>
      </c>
      <c r="I1174" s="762" t="s">
        <v>6867</v>
      </c>
      <c r="J1174" s="762">
        <v>3</v>
      </c>
      <c r="K1174" s="1911">
        <v>40880.080000000002</v>
      </c>
      <c r="L1174" s="1911">
        <v>3243.4</v>
      </c>
      <c r="M1174" s="1911">
        <v>37636.68</v>
      </c>
      <c r="N1174" s="1752" t="str">
        <f t="shared" si="20"/>
        <v>C391</v>
      </c>
      <c r="O1174" s="1752" t="s">
        <v>95</v>
      </c>
      <c r="P1174" s="1752" t="s">
        <v>2736</v>
      </c>
      <c r="Q1174" s="763"/>
      <c r="R1174" s="763"/>
      <c r="S1174" s="763"/>
      <c r="T1174" s="763"/>
      <c r="U1174" s="763"/>
      <c r="V1174" s="763"/>
      <c r="W1174" s="763"/>
      <c r="X1174" s="763"/>
      <c r="Y1174" s="763"/>
      <c r="Z1174" s="763"/>
      <c r="AA1174" s="763"/>
      <c r="AB1174" s="763"/>
      <c r="AC1174" s="763"/>
      <c r="AD1174" s="763"/>
      <c r="AE1174" s="763"/>
      <c r="AF1174" s="763"/>
      <c r="AG1174" s="763"/>
      <c r="AH1174" s="763"/>
      <c r="AI1174" s="763"/>
      <c r="AJ1174" s="763"/>
      <c r="AK1174" s="763"/>
      <c r="AL1174" s="763"/>
      <c r="AM1174" s="763"/>
      <c r="AN1174" s="763"/>
      <c r="AO1174" s="763"/>
      <c r="AP1174" s="763"/>
      <c r="AQ1174" s="763"/>
      <c r="AR1174" s="763"/>
      <c r="AS1174" s="763"/>
      <c r="AT1174" s="763"/>
      <c r="AU1174" s="763"/>
      <c r="AV1174" s="763"/>
      <c r="AW1174" s="763"/>
      <c r="AX1174" s="763"/>
      <c r="AY1174" s="763"/>
      <c r="AZ1174" s="763"/>
      <c r="BA1174" s="763"/>
      <c r="BB1174" s="763"/>
      <c r="BC1174" s="763"/>
      <c r="BD1174" s="763"/>
      <c r="BE1174" s="763"/>
      <c r="BF1174" s="763"/>
      <c r="BG1174" s="763"/>
      <c r="BH1174" s="763"/>
      <c r="BI1174" s="763"/>
      <c r="BJ1174" s="763"/>
      <c r="BK1174" s="763"/>
      <c r="BL1174" s="763"/>
      <c r="BM1174" s="763"/>
    </row>
    <row r="1175" spans="1:65" s="1692" customFormat="1">
      <c r="A1175" s="762" t="s">
        <v>2339</v>
      </c>
      <c r="B1175" s="762" t="s">
        <v>2340</v>
      </c>
      <c r="C1175" s="762" t="s">
        <v>2517</v>
      </c>
      <c r="D1175" s="762">
        <v>67797806</v>
      </c>
      <c r="E1175" s="762" t="s">
        <v>2740</v>
      </c>
      <c r="F1175" s="762">
        <v>143007089</v>
      </c>
      <c r="G1175" s="762" t="s">
        <v>6927</v>
      </c>
      <c r="H1175" s="1917" t="s">
        <v>7508</v>
      </c>
      <c r="I1175" s="762" t="s">
        <v>6867</v>
      </c>
      <c r="J1175" s="762">
        <v>1</v>
      </c>
      <c r="K1175" s="1911">
        <v>135166.42000000001</v>
      </c>
      <c r="L1175" s="1911">
        <v>10724.01</v>
      </c>
      <c r="M1175" s="1911">
        <v>124442.41</v>
      </c>
      <c r="N1175" s="1752" t="str">
        <f t="shared" si="20"/>
        <v>C391</v>
      </c>
      <c r="O1175" s="1752" t="s">
        <v>95</v>
      </c>
      <c r="P1175" s="1752" t="s">
        <v>2736</v>
      </c>
      <c r="Q1175" s="763"/>
      <c r="R1175" s="763"/>
      <c r="S1175" s="763"/>
      <c r="T1175" s="763"/>
      <c r="U1175" s="763"/>
      <c r="V1175" s="763"/>
      <c r="W1175" s="763"/>
      <c r="X1175" s="763"/>
      <c r="Y1175" s="763"/>
      <c r="Z1175" s="763"/>
      <c r="AA1175" s="763"/>
      <c r="AB1175" s="763"/>
      <c r="AC1175" s="763"/>
      <c r="AD1175" s="763"/>
      <c r="AE1175" s="763"/>
      <c r="AF1175" s="763"/>
      <c r="AG1175" s="763"/>
      <c r="AH1175" s="763"/>
      <c r="AI1175" s="763"/>
      <c r="AJ1175" s="763"/>
      <c r="AK1175" s="763"/>
      <c r="AL1175" s="763"/>
      <c r="AM1175" s="763"/>
      <c r="AN1175" s="763"/>
      <c r="AO1175" s="763"/>
      <c r="AP1175" s="763"/>
      <c r="AQ1175" s="763"/>
      <c r="AR1175" s="763"/>
      <c r="AS1175" s="763"/>
      <c r="AT1175" s="763"/>
      <c r="AU1175" s="763"/>
      <c r="AV1175" s="763"/>
      <c r="AW1175" s="763"/>
      <c r="AX1175" s="763"/>
      <c r="AY1175" s="763"/>
      <c r="AZ1175" s="763"/>
      <c r="BA1175" s="763"/>
      <c r="BB1175" s="763"/>
      <c r="BC1175" s="763"/>
      <c r="BD1175" s="763"/>
      <c r="BE1175" s="763"/>
      <c r="BF1175" s="763"/>
      <c r="BG1175" s="763"/>
      <c r="BH1175" s="763"/>
      <c r="BI1175" s="763"/>
      <c r="BJ1175" s="763"/>
      <c r="BK1175" s="763"/>
      <c r="BL1175" s="763"/>
      <c r="BM1175" s="763"/>
    </row>
    <row r="1176" spans="1:65" s="1692" customFormat="1">
      <c r="A1176" s="762" t="s">
        <v>2339</v>
      </c>
      <c r="B1176" s="762" t="s">
        <v>2340</v>
      </c>
      <c r="C1176" s="762" t="s">
        <v>2476</v>
      </c>
      <c r="D1176" s="762">
        <v>67797815</v>
      </c>
      <c r="E1176" s="762" t="s">
        <v>2740</v>
      </c>
      <c r="F1176" s="762">
        <v>143007194</v>
      </c>
      <c r="G1176" s="762" t="s">
        <v>6928</v>
      </c>
      <c r="H1176" s="1917" t="s">
        <v>7509</v>
      </c>
      <c r="I1176" s="762" t="s">
        <v>6867</v>
      </c>
      <c r="J1176" s="762">
        <v>2</v>
      </c>
      <c r="K1176" s="1911">
        <v>799360.76</v>
      </c>
      <c r="L1176" s="1911">
        <v>63420.72</v>
      </c>
      <c r="M1176" s="1911">
        <v>735940.04</v>
      </c>
      <c r="N1176" s="1752" t="str">
        <f t="shared" si="20"/>
        <v>C391</v>
      </c>
      <c r="O1176" s="1752" t="s">
        <v>95</v>
      </c>
      <c r="P1176" s="1752" t="s">
        <v>2736</v>
      </c>
      <c r="Q1176" s="763"/>
      <c r="R1176" s="763"/>
      <c r="S1176" s="763"/>
      <c r="T1176" s="763"/>
      <c r="U1176" s="763"/>
      <c r="V1176" s="763"/>
      <c r="W1176" s="763"/>
      <c r="X1176" s="763"/>
      <c r="Y1176" s="763"/>
      <c r="Z1176" s="763"/>
      <c r="AA1176" s="763"/>
      <c r="AB1176" s="763"/>
      <c r="AC1176" s="763"/>
      <c r="AD1176" s="763"/>
      <c r="AE1176" s="763"/>
      <c r="AF1176" s="763"/>
      <c r="AG1176" s="763"/>
      <c r="AH1176" s="763"/>
      <c r="AI1176" s="763"/>
      <c r="AJ1176" s="763"/>
      <c r="AK1176" s="763"/>
      <c r="AL1176" s="763"/>
      <c r="AM1176" s="763"/>
      <c r="AN1176" s="763"/>
      <c r="AO1176" s="763"/>
      <c r="AP1176" s="763"/>
      <c r="AQ1176" s="763"/>
      <c r="AR1176" s="763"/>
      <c r="AS1176" s="763"/>
      <c r="AT1176" s="763"/>
      <c r="AU1176" s="763"/>
      <c r="AV1176" s="763"/>
      <c r="AW1176" s="763"/>
      <c r="AX1176" s="763"/>
      <c r="AY1176" s="763"/>
      <c r="AZ1176" s="763"/>
      <c r="BA1176" s="763"/>
      <c r="BB1176" s="763"/>
      <c r="BC1176" s="763"/>
      <c r="BD1176" s="763"/>
      <c r="BE1176" s="763"/>
      <c r="BF1176" s="763"/>
      <c r="BG1176" s="763"/>
      <c r="BH1176" s="763"/>
      <c r="BI1176" s="763"/>
      <c r="BJ1176" s="763"/>
      <c r="BK1176" s="763"/>
      <c r="BL1176" s="763"/>
      <c r="BM1176" s="763"/>
    </row>
    <row r="1177" spans="1:65" s="1692" customFormat="1">
      <c r="A1177" s="762" t="s">
        <v>2339</v>
      </c>
      <c r="B1177" s="762" t="s">
        <v>2340</v>
      </c>
      <c r="C1177" s="762" t="s">
        <v>2476</v>
      </c>
      <c r="D1177" s="762">
        <v>67797824</v>
      </c>
      <c r="E1177" s="762" t="s">
        <v>2740</v>
      </c>
      <c r="F1177" s="762">
        <v>143007205</v>
      </c>
      <c r="G1177" s="762" t="s">
        <v>6929</v>
      </c>
      <c r="H1177" s="1917" t="s">
        <v>7510</v>
      </c>
      <c r="I1177" s="762" t="s">
        <v>6867</v>
      </c>
      <c r="J1177" s="762">
        <v>3</v>
      </c>
      <c r="K1177" s="1911">
        <v>139126.70000000001</v>
      </c>
      <c r="L1177" s="1911">
        <v>11038.210000000001</v>
      </c>
      <c r="M1177" s="1911">
        <v>128088.49</v>
      </c>
      <c r="N1177" s="1752" t="str">
        <f t="shared" si="20"/>
        <v>C391</v>
      </c>
      <c r="O1177" s="1752" t="s">
        <v>95</v>
      </c>
      <c r="P1177" s="1752" t="s">
        <v>2736</v>
      </c>
      <c r="Q1177" s="763"/>
      <c r="R1177" s="763"/>
      <c r="S1177" s="763"/>
      <c r="T1177" s="763"/>
      <c r="U1177" s="763"/>
      <c r="V1177" s="763"/>
      <c r="W1177" s="763"/>
      <c r="X1177" s="763"/>
      <c r="Y1177" s="763"/>
      <c r="Z1177" s="763"/>
      <c r="AA1177" s="763"/>
      <c r="AB1177" s="763"/>
      <c r="AC1177" s="763"/>
      <c r="AD1177" s="763"/>
      <c r="AE1177" s="763"/>
      <c r="AF1177" s="763"/>
      <c r="AG1177" s="763"/>
      <c r="AH1177" s="763"/>
      <c r="AI1177" s="763"/>
      <c r="AJ1177" s="763"/>
      <c r="AK1177" s="763"/>
      <c r="AL1177" s="763"/>
      <c r="AM1177" s="763"/>
      <c r="AN1177" s="763"/>
      <c r="AO1177" s="763"/>
      <c r="AP1177" s="763"/>
      <c r="AQ1177" s="763"/>
      <c r="AR1177" s="763"/>
      <c r="AS1177" s="763"/>
      <c r="AT1177" s="763"/>
      <c r="AU1177" s="763"/>
      <c r="AV1177" s="763"/>
      <c r="AW1177" s="763"/>
      <c r="AX1177" s="763"/>
      <c r="AY1177" s="763"/>
      <c r="AZ1177" s="763"/>
      <c r="BA1177" s="763"/>
      <c r="BB1177" s="763"/>
      <c r="BC1177" s="763"/>
      <c r="BD1177" s="763"/>
      <c r="BE1177" s="763"/>
      <c r="BF1177" s="763"/>
      <c r="BG1177" s="763"/>
      <c r="BH1177" s="763"/>
      <c r="BI1177" s="763"/>
      <c r="BJ1177" s="763"/>
      <c r="BK1177" s="763"/>
      <c r="BL1177" s="763"/>
      <c r="BM1177" s="763"/>
    </row>
    <row r="1178" spans="1:65" s="1692" customFormat="1">
      <c r="A1178" s="762" t="s">
        <v>2339</v>
      </c>
      <c r="B1178" s="762" t="s">
        <v>2340</v>
      </c>
      <c r="C1178" s="762" t="s">
        <v>2476</v>
      </c>
      <c r="D1178" s="762">
        <v>67797827</v>
      </c>
      <c r="E1178" s="762" t="s">
        <v>2740</v>
      </c>
      <c r="F1178" s="762">
        <v>143007206</v>
      </c>
      <c r="G1178" s="762" t="s">
        <v>6930</v>
      </c>
      <c r="H1178" s="1917" t="s">
        <v>7511</v>
      </c>
      <c r="I1178" s="762" t="s">
        <v>6867</v>
      </c>
      <c r="J1178" s="762">
        <v>3</v>
      </c>
      <c r="K1178" s="1911">
        <v>129316.09</v>
      </c>
      <c r="L1178" s="1911">
        <v>10259.85</v>
      </c>
      <c r="M1178" s="1911">
        <v>119056.24</v>
      </c>
      <c r="N1178" s="1752" t="str">
        <f t="shared" si="20"/>
        <v>C391</v>
      </c>
      <c r="O1178" s="1752" t="s">
        <v>95</v>
      </c>
      <c r="P1178" s="1752" t="s">
        <v>2736</v>
      </c>
      <c r="Q1178" s="763"/>
      <c r="R1178" s="763"/>
      <c r="S1178" s="763"/>
      <c r="T1178" s="763"/>
      <c r="U1178" s="763"/>
      <c r="V1178" s="763"/>
      <c r="W1178" s="763"/>
      <c r="X1178" s="763"/>
      <c r="Y1178" s="763"/>
      <c r="Z1178" s="763"/>
      <c r="AA1178" s="763"/>
      <c r="AB1178" s="763"/>
      <c r="AC1178" s="763"/>
      <c r="AD1178" s="763"/>
      <c r="AE1178" s="763"/>
      <c r="AF1178" s="763"/>
      <c r="AG1178" s="763"/>
      <c r="AH1178" s="763"/>
      <c r="AI1178" s="763"/>
      <c r="AJ1178" s="763"/>
      <c r="AK1178" s="763"/>
      <c r="AL1178" s="763"/>
      <c r="AM1178" s="763"/>
      <c r="AN1178" s="763"/>
      <c r="AO1178" s="763"/>
      <c r="AP1178" s="763"/>
      <c r="AQ1178" s="763"/>
      <c r="AR1178" s="763"/>
      <c r="AS1178" s="763"/>
      <c r="AT1178" s="763"/>
      <c r="AU1178" s="763"/>
      <c r="AV1178" s="763"/>
      <c r="AW1178" s="763"/>
      <c r="AX1178" s="763"/>
      <c r="AY1178" s="763"/>
      <c r="AZ1178" s="763"/>
      <c r="BA1178" s="763"/>
      <c r="BB1178" s="763"/>
      <c r="BC1178" s="763"/>
      <c r="BD1178" s="763"/>
      <c r="BE1178" s="763"/>
      <c r="BF1178" s="763"/>
      <c r="BG1178" s="763"/>
      <c r="BH1178" s="763"/>
      <c r="BI1178" s="763"/>
      <c r="BJ1178" s="763"/>
      <c r="BK1178" s="763"/>
      <c r="BL1178" s="763"/>
      <c r="BM1178" s="763"/>
    </row>
    <row r="1179" spans="1:65" s="1692" customFormat="1">
      <c r="A1179" s="762" t="s">
        <v>2339</v>
      </c>
      <c r="B1179" s="762" t="s">
        <v>2340</v>
      </c>
      <c r="C1179" s="762" t="s">
        <v>2517</v>
      </c>
      <c r="D1179" s="762">
        <v>67797840</v>
      </c>
      <c r="E1179" s="762" t="s">
        <v>2740</v>
      </c>
      <c r="F1179" s="762">
        <v>143007266</v>
      </c>
      <c r="G1179" s="762" t="s">
        <v>6931</v>
      </c>
      <c r="H1179" s="1917" t="s">
        <v>7512</v>
      </c>
      <c r="I1179" s="762" t="s">
        <v>6867</v>
      </c>
      <c r="J1179" s="762">
        <v>3</v>
      </c>
      <c r="K1179" s="1911">
        <v>230263.99</v>
      </c>
      <c r="L1179" s="1911">
        <v>18268.98</v>
      </c>
      <c r="M1179" s="1911">
        <v>211995.01</v>
      </c>
      <c r="N1179" s="1752" t="str">
        <f t="shared" si="20"/>
        <v>C391</v>
      </c>
      <c r="O1179" s="1752" t="s">
        <v>95</v>
      </c>
      <c r="P1179" s="1752" t="s">
        <v>2736</v>
      </c>
      <c r="Q1179" s="763"/>
      <c r="R1179" s="763"/>
      <c r="S1179" s="763"/>
      <c r="T1179" s="763"/>
      <c r="U1179" s="763"/>
      <c r="V1179" s="763"/>
      <c r="W1179" s="763"/>
      <c r="X1179" s="763"/>
      <c r="Y1179" s="763"/>
      <c r="Z1179" s="763"/>
      <c r="AA1179" s="763"/>
      <c r="AB1179" s="763"/>
      <c r="AC1179" s="763"/>
      <c r="AD1179" s="763"/>
      <c r="AE1179" s="763"/>
      <c r="AF1179" s="763"/>
      <c r="AG1179" s="763"/>
      <c r="AH1179" s="763"/>
      <c r="AI1179" s="763"/>
      <c r="AJ1179" s="763"/>
      <c r="AK1179" s="763"/>
      <c r="AL1179" s="763"/>
      <c r="AM1179" s="763"/>
      <c r="AN1179" s="763"/>
      <c r="AO1179" s="763"/>
      <c r="AP1179" s="763"/>
      <c r="AQ1179" s="763"/>
      <c r="AR1179" s="763"/>
      <c r="AS1179" s="763"/>
      <c r="AT1179" s="763"/>
      <c r="AU1179" s="763"/>
      <c r="AV1179" s="763"/>
      <c r="AW1179" s="763"/>
      <c r="AX1179" s="763"/>
      <c r="AY1179" s="763"/>
      <c r="AZ1179" s="763"/>
      <c r="BA1179" s="763"/>
      <c r="BB1179" s="763"/>
      <c r="BC1179" s="763"/>
      <c r="BD1179" s="763"/>
      <c r="BE1179" s="763"/>
      <c r="BF1179" s="763"/>
      <c r="BG1179" s="763"/>
      <c r="BH1179" s="763"/>
      <c r="BI1179" s="763"/>
      <c r="BJ1179" s="763"/>
      <c r="BK1179" s="763"/>
      <c r="BL1179" s="763"/>
      <c r="BM1179" s="763"/>
    </row>
    <row r="1180" spans="1:65" s="1692" customFormat="1">
      <c r="A1180" s="762" t="s">
        <v>2339</v>
      </c>
      <c r="B1180" s="762" t="s">
        <v>2340</v>
      </c>
      <c r="C1180" s="762" t="s">
        <v>2490</v>
      </c>
      <c r="D1180" s="762">
        <v>67797843</v>
      </c>
      <c r="E1180" s="762" t="s">
        <v>2740</v>
      </c>
      <c r="F1180" s="762">
        <v>143007267</v>
      </c>
      <c r="G1180" s="762" t="s">
        <v>6932</v>
      </c>
      <c r="H1180" s="1917" t="s">
        <v>7513</v>
      </c>
      <c r="I1180" s="762" t="s">
        <v>6867</v>
      </c>
      <c r="J1180" s="762">
        <v>3</v>
      </c>
      <c r="K1180" s="1911">
        <v>197936.26</v>
      </c>
      <c r="L1180" s="1911">
        <v>15704.12</v>
      </c>
      <c r="M1180" s="1911">
        <v>182232.14</v>
      </c>
      <c r="N1180" s="1752" t="str">
        <f t="shared" si="20"/>
        <v>C391</v>
      </c>
      <c r="O1180" s="1752" t="s">
        <v>95</v>
      </c>
      <c r="P1180" s="1752" t="s">
        <v>2736</v>
      </c>
      <c r="Q1180" s="763"/>
      <c r="R1180" s="763"/>
      <c r="S1180" s="763"/>
      <c r="T1180" s="763"/>
      <c r="U1180" s="763"/>
      <c r="V1180" s="763"/>
      <c r="W1180" s="763"/>
      <c r="X1180" s="763"/>
      <c r="Y1180" s="763"/>
      <c r="Z1180" s="763"/>
      <c r="AA1180" s="763"/>
      <c r="AB1180" s="763"/>
      <c r="AC1180" s="763"/>
      <c r="AD1180" s="763"/>
      <c r="AE1180" s="763"/>
      <c r="AF1180" s="763"/>
      <c r="AG1180" s="763"/>
      <c r="AH1180" s="763"/>
      <c r="AI1180" s="763"/>
      <c r="AJ1180" s="763"/>
      <c r="AK1180" s="763"/>
      <c r="AL1180" s="763"/>
      <c r="AM1180" s="763"/>
      <c r="AN1180" s="763"/>
      <c r="AO1180" s="763"/>
      <c r="AP1180" s="763"/>
      <c r="AQ1180" s="763"/>
      <c r="AR1180" s="763"/>
      <c r="AS1180" s="763"/>
      <c r="AT1180" s="763"/>
      <c r="AU1180" s="763"/>
      <c r="AV1180" s="763"/>
      <c r="AW1180" s="763"/>
      <c r="AX1180" s="763"/>
      <c r="AY1180" s="763"/>
      <c r="AZ1180" s="763"/>
      <c r="BA1180" s="763"/>
      <c r="BB1180" s="763"/>
      <c r="BC1180" s="763"/>
      <c r="BD1180" s="763"/>
      <c r="BE1180" s="763"/>
      <c r="BF1180" s="763"/>
      <c r="BG1180" s="763"/>
      <c r="BH1180" s="763"/>
      <c r="BI1180" s="763"/>
      <c r="BJ1180" s="763"/>
      <c r="BK1180" s="763"/>
      <c r="BL1180" s="763"/>
      <c r="BM1180" s="763"/>
    </row>
    <row r="1181" spans="1:65" s="1692" customFormat="1">
      <c r="A1181" s="762" t="s">
        <v>2339</v>
      </c>
      <c r="B1181" s="762" t="s">
        <v>2340</v>
      </c>
      <c r="C1181" s="762" t="s">
        <v>2527</v>
      </c>
      <c r="D1181" s="762">
        <v>67797846</v>
      </c>
      <c r="E1181" s="762" t="s">
        <v>2740</v>
      </c>
      <c r="F1181" s="762">
        <v>143007564</v>
      </c>
      <c r="G1181" s="762" t="s">
        <v>6923</v>
      </c>
      <c r="H1181" s="1917" t="s">
        <v>7261</v>
      </c>
      <c r="I1181" s="762" t="s">
        <v>6867</v>
      </c>
      <c r="J1181" s="762">
        <v>1</v>
      </c>
      <c r="K1181" s="1911">
        <v>52518.73</v>
      </c>
      <c r="L1181" s="1911">
        <v>4166.8</v>
      </c>
      <c r="M1181" s="1911">
        <v>48351.93</v>
      </c>
      <c r="N1181" s="1752" t="str">
        <f t="shared" si="20"/>
        <v>C391</v>
      </c>
      <c r="O1181" s="1752" t="s">
        <v>95</v>
      </c>
      <c r="P1181" s="1752" t="s">
        <v>2736</v>
      </c>
      <c r="Q1181" s="763"/>
      <c r="R1181" s="763"/>
      <c r="S1181" s="763"/>
      <c r="T1181" s="763"/>
      <c r="U1181" s="763"/>
      <c r="V1181" s="763"/>
      <c r="W1181" s="763"/>
      <c r="X1181" s="763"/>
      <c r="Y1181" s="763"/>
      <c r="Z1181" s="763"/>
      <c r="AA1181" s="763"/>
      <c r="AB1181" s="763"/>
      <c r="AC1181" s="763"/>
      <c r="AD1181" s="763"/>
      <c r="AE1181" s="763"/>
      <c r="AF1181" s="763"/>
      <c r="AG1181" s="763"/>
      <c r="AH1181" s="763"/>
      <c r="AI1181" s="763"/>
      <c r="AJ1181" s="763"/>
      <c r="AK1181" s="763"/>
      <c r="AL1181" s="763"/>
      <c r="AM1181" s="763"/>
      <c r="AN1181" s="763"/>
      <c r="AO1181" s="763"/>
      <c r="AP1181" s="763"/>
      <c r="AQ1181" s="763"/>
      <c r="AR1181" s="763"/>
      <c r="AS1181" s="763"/>
      <c r="AT1181" s="763"/>
      <c r="AU1181" s="763"/>
      <c r="AV1181" s="763"/>
      <c r="AW1181" s="763"/>
      <c r="AX1181" s="763"/>
      <c r="AY1181" s="763"/>
      <c r="AZ1181" s="763"/>
      <c r="BA1181" s="763"/>
      <c r="BB1181" s="763"/>
      <c r="BC1181" s="763"/>
      <c r="BD1181" s="763"/>
      <c r="BE1181" s="763"/>
      <c r="BF1181" s="763"/>
      <c r="BG1181" s="763"/>
      <c r="BH1181" s="763"/>
      <c r="BI1181" s="763"/>
      <c r="BJ1181" s="763"/>
      <c r="BK1181" s="763"/>
      <c r="BL1181" s="763"/>
      <c r="BM1181" s="763"/>
    </row>
    <row r="1182" spans="1:65" s="1692" customFormat="1">
      <c r="A1182" s="762" t="s">
        <v>2339</v>
      </c>
      <c r="B1182" s="762" t="s">
        <v>2340</v>
      </c>
      <c r="C1182" s="762" t="s">
        <v>2524</v>
      </c>
      <c r="D1182" s="762">
        <v>67797855</v>
      </c>
      <c r="E1182" s="762" t="s">
        <v>2740</v>
      </c>
      <c r="F1182" s="762">
        <v>143007645</v>
      </c>
      <c r="G1182" s="762" t="s">
        <v>6924</v>
      </c>
      <c r="H1182" s="1917" t="s">
        <v>7262</v>
      </c>
      <c r="I1182" s="762" t="s">
        <v>6867</v>
      </c>
      <c r="J1182" s="762">
        <v>1</v>
      </c>
      <c r="K1182" s="1911">
        <v>3669.46</v>
      </c>
      <c r="L1182" s="1911">
        <v>291.13</v>
      </c>
      <c r="M1182" s="1911">
        <v>3378.33</v>
      </c>
      <c r="N1182" s="1752" t="str">
        <f t="shared" si="20"/>
        <v>C391</v>
      </c>
      <c r="O1182" s="1752" t="s">
        <v>95</v>
      </c>
      <c r="P1182" s="1752" t="s">
        <v>2736</v>
      </c>
      <c r="Q1182" s="763"/>
      <c r="R1182" s="763"/>
      <c r="S1182" s="763"/>
      <c r="T1182" s="763"/>
      <c r="U1182" s="763"/>
      <c r="V1182" s="763"/>
      <c r="W1182" s="763"/>
      <c r="X1182" s="763"/>
      <c r="Y1182" s="763"/>
      <c r="Z1182" s="763"/>
      <c r="AA1182" s="763"/>
      <c r="AB1182" s="763"/>
      <c r="AC1182" s="763"/>
      <c r="AD1182" s="763"/>
      <c r="AE1182" s="763"/>
      <c r="AF1182" s="763"/>
      <c r="AG1182" s="763"/>
      <c r="AH1182" s="763"/>
      <c r="AI1182" s="763"/>
      <c r="AJ1182" s="763"/>
      <c r="AK1182" s="763"/>
      <c r="AL1182" s="763"/>
      <c r="AM1182" s="763"/>
      <c r="AN1182" s="763"/>
      <c r="AO1182" s="763"/>
      <c r="AP1182" s="763"/>
      <c r="AQ1182" s="763"/>
      <c r="AR1182" s="763"/>
      <c r="AS1182" s="763"/>
      <c r="AT1182" s="763"/>
      <c r="AU1182" s="763"/>
      <c r="AV1182" s="763"/>
      <c r="AW1182" s="763"/>
      <c r="AX1182" s="763"/>
      <c r="AY1182" s="763"/>
      <c r="AZ1182" s="763"/>
      <c r="BA1182" s="763"/>
      <c r="BB1182" s="763"/>
      <c r="BC1182" s="763"/>
      <c r="BD1182" s="763"/>
      <c r="BE1182" s="763"/>
      <c r="BF1182" s="763"/>
      <c r="BG1182" s="763"/>
      <c r="BH1182" s="763"/>
      <c r="BI1182" s="763"/>
      <c r="BJ1182" s="763"/>
      <c r="BK1182" s="763"/>
      <c r="BL1182" s="763"/>
      <c r="BM1182" s="763"/>
    </row>
    <row r="1183" spans="1:65" s="1692" customFormat="1">
      <c r="A1183" s="762" t="s">
        <v>2339</v>
      </c>
      <c r="B1183" s="762" t="s">
        <v>2340</v>
      </c>
      <c r="C1183" s="762" t="s">
        <v>2473</v>
      </c>
      <c r="D1183" s="762">
        <v>67797858</v>
      </c>
      <c r="E1183" s="762" t="s">
        <v>2740</v>
      </c>
      <c r="F1183" s="762">
        <v>143007726</v>
      </c>
      <c r="G1183" s="762" t="s">
        <v>6925</v>
      </c>
      <c r="H1183" s="1917" t="s">
        <v>7263</v>
      </c>
      <c r="I1183" s="762" t="s">
        <v>6867</v>
      </c>
      <c r="J1183" s="762">
        <v>1</v>
      </c>
      <c r="K1183" s="1911">
        <v>6047.16</v>
      </c>
      <c r="L1183" s="1911">
        <v>479.78000000000003</v>
      </c>
      <c r="M1183" s="1911">
        <v>5567.38</v>
      </c>
      <c r="N1183" s="1752" t="str">
        <f t="shared" si="20"/>
        <v>C391</v>
      </c>
      <c r="O1183" s="1752" t="s">
        <v>95</v>
      </c>
      <c r="P1183" s="1752" t="s">
        <v>2736</v>
      </c>
      <c r="Q1183" s="763"/>
      <c r="R1183" s="763"/>
      <c r="S1183" s="763"/>
      <c r="T1183" s="763"/>
      <c r="U1183" s="763"/>
      <c r="V1183" s="763"/>
      <c r="W1183" s="763"/>
      <c r="X1183" s="763"/>
      <c r="Y1183" s="763"/>
      <c r="Z1183" s="763"/>
      <c r="AA1183" s="763"/>
      <c r="AB1183" s="763"/>
      <c r="AC1183" s="763"/>
      <c r="AD1183" s="763"/>
      <c r="AE1183" s="763"/>
      <c r="AF1183" s="763"/>
      <c r="AG1183" s="763"/>
      <c r="AH1183" s="763"/>
      <c r="AI1183" s="763"/>
      <c r="AJ1183" s="763"/>
      <c r="AK1183" s="763"/>
      <c r="AL1183" s="763"/>
      <c r="AM1183" s="763"/>
      <c r="AN1183" s="763"/>
      <c r="AO1183" s="763"/>
      <c r="AP1183" s="763"/>
      <c r="AQ1183" s="763"/>
      <c r="AR1183" s="763"/>
      <c r="AS1183" s="763"/>
      <c r="AT1183" s="763"/>
      <c r="AU1183" s="763"/>
      <c r="AV1183" s="763"/>
      <c r="AW1183" s="763"/>
      <c r="AX1183" s="763"/>
      <c r="AY1183" s="763"/>
      <c r="AZ1183" s="763"/>
      <c r="BA1183" s="763"/>
      <c r="BB1183" s="763"/>
      <c r="BC1183" s="763"/>
      <c r="BD1183" s="763"/>
      <c r="BE1183" s="763"/>
      <c r="BF1183" s="763"/>
      <c r="BG1183" s="763"/>
      <c r="BH1183" s="763"/>
      <c r="BI1183" s="763"/>
      <c r="BJ1183" s="763"/>
      <c r="BK1183" s="763"/>
      <c r="BL1183" s="763"/>
      <c r="BM1183" s="763"/>
    </row>
    <row r="1184" spans="1:65" s="1692" customFormat="1">
      <c r="A1184" s="762" t="s">
        <v>2339</v>
      </c>
      <c r="B1184" s="762" t="s">
        <v>2340</v>
      </c>
      <c r="C1184" s="762" t="s">
        <v>2473</v>
      </c>
      <c r="D1184" s="762">
        <v>67797861</v>
      </c>
      <c r="E1184" s="762" t="s">
        <v>2740</v>
      </c>
      <c r="F1184" s="762">
        <v>143007809</v>
      </c>
      <c r="G1184" s="762" t="s">
        <v>6926</v>
      </c>
      <c r="H1184" s="1917" t="s">
        <v>7264</v>
      </c>
      <c r="I1184" s="762" t="s">
        <v>6867</v>
      </c>
      <c r="J1184" s="762">
        <v>1</v>
      </c>
      <c r="K1184" s="1911">
        <v>15444.11</v>
      </c>
      <c r="L1184" s="1911">
        <v>1225.32</v>
      </c>
      <c r="M1184" s="1911">
        <v>14218.79</v>
      </c>
      <c r="N1184" s="1752" t="str">
        <f t="shared" si="20"/>
        <v>C391</v>
      </c>
      <c r="O1184" s="1752" t="s">
        <v>95</v>
      </c>
      <c r="P1184" s="1752" t="s">
        <v>2736</v>
      </c>
      <c r="Q1184" s="763"/>
      <c r="R1184" s="763"/>
      <c r="S1184" s="763"/>
      <c r="T1184" s="763"/>
      <c r="U1184" s="763"/>
      <c r="V1184" s="763"/>
      <c r="W1184" s="763"/>
      <c r="X1184" s="763"/>
      <c r="Y1184" s="763"/>
      <c r="Z1184" s="763"/>
      <c r="AA1184" s="763"/>
      <c r="AB1184" s="763"/>
      <c r="AC1184" s="763"/>
      <c r="AD1184" s="763"/>
      <c r="AE1184" s="763"/>
      <c r="AF1184" s="763"/>
      <c r="AG1184" s="763"/>
      <c r="AH1184" s="763"/>
      <c r="AI1184" s="763"/>
      <c r="AJ1184" s="763"/>
      <c r="AK1184" s="763"/>
      <c r="AL1184" s="763"/>
      <c r="AM1184" s="763"/>
      <c r="AN1184" s="763"/>
      <c r="AO1184" s="763"/>
      <c r="AP1184" s="763"/>
      <c r="AQ1184" s="763"/>
      <c r="AR1184" s="763"/>
      <c r="AS1184" s="763"/>
      <c r="AT1184" s="763"/>
      <c r="AU1184" s="763"/>
      <c r="AV1184" s="763"/>
      <c r="AW1184" s="763"/>
      <c r="AX1184" s="763"/>
      <c r="AY1184" s="763"/>
      <c r="AZ1184" s="763"/>
      <c r="BA1184" s="763"/>
      <c r="BB1184" s="763"/>
      <c r="BC1184" s="763"/>
      <c r="BD1184" s="763"/>
      <c r="BE1184" s="763"/>
      <c r="BF1184" s="763"/>
      <c r="BG1184" s="763"/>
      <c r="BH1184" s="763"/>
      <c r="BI1184" s="763"/>
      <c r="BJ1184" s="763"/>
      <c r="BK1184" s="763"/>
      <c r="BL1184" s="763"/>
      <c r="BM1184" s="763"/>
    </row>
    <row r="1185" spans="1:65" s="1692" customFormat="1">
      <c r="A1185" s="762" t="s">
        <v>2339</v>
      </c>
      <c r="B1185" s="762" t="s">
        <v>2340</v>
      </c>
      <c r="C1185" s="762" t="s">
        <v>2476</v>
      </c>
      <c r="D1185" s="762">
        <v>67959652</v>
      </c>
      <c r="E1185" s="762" t="s">
        <v>2740</v>
      </c>
      <c r="F1185" s="762">
        <v>143006724</v>
      </c>
      <c r="G1185" s="762" t="s">
        <v>6946</v>
      </c>
      <c r="H1185" s="1917" t="s">
        <v>7514</v>
      </c>
      <c r="I1185" s="762" t="s">
        <v>6867</v>
      </c>
      <c r="J1185" s="762">
        <v>2</v>
      </c>
      <c r="K1185" s="1911">
        <v>7097314.1900000004</v>
      </c>
      <c r="L1185" s="1911">
        <v>563095.87</v>
      </c>
      <c r="M1185" s="1911">
        <v>6534218.3200000003</v>
      </c>
      <c r="N1185" s="1752" t="str">
        <f t="shared" si="20"/>
        <v>C391</v>
      </c>
      <c r="O1185" s="1752" t="s">
        <v>95</v>
      </c>
      <c r="P1185" s="1752" t="s">
        <v>2736</v>
      </c>
      <c r="Q1185" s="763"/>
      <c r="R1185" s="763"/>
      <c r="S1185" s="763"/>
      <c r="T1185" s="763"/>
      <c r="U1185" s="763"/>
      <c r="V1185" s="763"/>
      <c r="W1185" s="763"/>
      <c r="X1185" s="763"/>
      <c r="Y1185" s="763"/>
      <c r="Z1185" s="763"/>
      <c r="AA1185" s="763"/>
      <c r="AB1185" s="763"/>
      <c r="AC1185" s="763"/>
      <c r="AD1185" s="763"/>
      <c r="AE1185" s="763"/>
      <c r="AF1185" s="763"/>
      <c r="AG1185" s="763"/>
      <c r="AH1185" s="763"/>
      <c r="AI1185" s="763"/>
      <c r="AJ1185" s="763"/>
      <c r="AK1185" s="763"/>
      <c r="AL1185" s="763"/>
      <c r="AM1185" s="763"/>
      <c r="AN1185" s="763"/>
      <c r="AO1185" s="763"/>
      <c r="AP1185" s="763"/>
      <c r="AQ1185" s="763"/>
      <c r="AR1185" s="763"/>
      <c r="AS1185" s="763"/>
      <c r="AT1185" s="763"/>
      <c r="AU1185" s="763"/>
      <c r="AV1185" s="763"/>
      <c r="AW1185" s="763"/>
      <c r="AX1185" s="763"/>
      <c r="AY1185" s="763"/>
      <c r="AZ1185" s="763"/>
      <c r="BA1185" s="763"/>
      <c r="BB1185" s="763"/>
      <c r="BC1185" s="763"/>
      <c r="BD1185" s="763"/>
      <c r="BE1185" s="763"/>
      <c r="BF1185" s="763"/>
      <c r="BG1185" s="763"/>
      <c r="BH1185" s="763"/>
      <c r="BI1185" s="763"/>
      <c r="BJ1185" s="763"/>
      <c r="BK1185" s="763"/>
      <c r="BL1185" s="763"/>
      <c r="BM1185" s="763"/>
    </row>
    <row r="1186" spans="1:65" s="1692" customFormat="1">
      <c r="A1186" s="762" t="s">
        <v>2339</v>
      </c>
      <c r="B1186" s="762" t="s">
        <v>2340</v>
      </c>
      <c r="C1186" s="762" t="s">
        <v>2524</v>
      </c>
      <c r="D1186" s="762">
        <v>67959657</v>
      </c>
      <c r="E1186" s="762" t="s">
        <v>2740</v>
      </c>
      <c r="F1186" s="762">
        <v>143006925</v>
      </c>
      <c r="G1186" s="762" t="s">
        <v>6934</v>
      </c>
      <c r="H1186" s="1917" t="s">
        <v>7515</v>
      </c>
      <c r="I1186" s="762" t="s">
        <v>6867</v>
      </c>
      <c r="J1186" s="762">
        <v>2</v>
      </c>
      <c r="K1186" s="1911">
        <v>43399.770000000004</v>
      </c>
      <c r="L1186" s="1911">
        <v>3443.31</v>
      </c>
      <c r="M1186" s="1911">
        <v>39956.46</v>
      </c>
      <c r="N1186" s="1752" t="str">
        <f t="shared" si="20"/>
        <v>C391</v>
      </c>
      <c r="O1186" s="1752" t="s">
        <v>95</v>
      </c>
      <c r="P1186" s="1752" t="s">
        <v>2736</v>
      </c>
      <c r="Q1186" s="763"/>
      <c r="R1186" s="763"/>
      <c r="S1186" s="763"/>
      <c r="T1186" s="763"/>
      <c r="U1186" s="763"/>
      <c r="V1186" s="763"/>
      <c r="W1186" s="763"/>
      <c r="X1186" s="763"/>
      <c r="Y1186" s="763"/>
      <c r="Z1186" s="763"/>
      <c r="AA1186" s="763"/>
      <c r="AB1186" s="763"/>
      <c r="AC1186" s="763"/>
      <c r="AD1186" s="763"/>
      <c r="AE1186" s="763"/>
      <c r="AF1186" s="763"/>
      <c r="AG1186" s="763"/>
      <c r="AH1186" s="763"/>
      <c r="AI1186" s="763"/>
      <c r="AJ1186" s="763"/>
      <c r="AK1186" s="763"/>
      <c r="AL1186" s="763"/>
      <c r="AM1186" s="763"/>
      <c r="AN1186" s="763"/>
      <c r="AO1186" s="763"/>
      <c r="AP1186" s="763"/>
      <c r="AQ1186" s="763"/>
      <c r="AR1186" s="763"/>
      <c r="AS1186" s="763"/>
      <c r="AT1186" s="763"/>
      <c r="AU1186" s="763"/>
      <c r="AV1186" s="763"/>
      <c r="AW1186" s="763"/>
      <c r="AX1186" s="763"/>
      <c r="AY1186" s="763"/>
      <c r="AZ1186" s="763"/>
      <c r="BA1186" s="763"/>
      <c r="BB1186" s="763"/>
      <c r="BC1186" s="763"/>
      <c r="BD1186" s="763"/>
      <c r="BE1186" s="763"/>
      <c r="BF1186" s="763"/>
      <c r="BG1186" s="763"/>
      <c r="BH1186" s="763"/>
      <c r="BI1186" s="763"/>
      <c r="BJ1186" s="763"/>
      <c r="BK1186" s="763"/>
      <c r="BL1186" s="763"/>
      <c r="BM1186" s="763"/>
    </row>
    <row r="1187" spans="1:65" s="1692" customFormat="1">
      <c r="A1187" s="762" t="s">
        <v>2339</v>
      </c>
      <c r="B1187" s="762" t="s">
        <v>2340</v>
      </c>
      <c r="C1187" s="762" t="s">
        <v>2490</v>
      </c>
      <c r="D1187" s="762">
        <v>67959664</v>
      </c>
      <c r="E1187" s="762" t="s">
        <v>2740</v>
      </c>
      <c r="F1187" s="762">
        <v>143006945</v>
      </c>
      <c r="G1187" s="762" t="s">
        <v>6935</v>
      </c>
      <c r="H1187" s="1917" t="s">
        <v>7498</v>
      </c>
      <c r="I1187" s="762" t="s">
        <v>6867</v>
      </c>
      <c r="J1187" s="762">
        <v>1</v>
      </c>
      <c r="K1187" s="1911">
        <v>38495.629999999997</v>
      </c>
      <c r="L1187" s="1911">
        <v>3054.2200000000003</v>
      </c>
      <c r="M1187" s="1911">
        <v>35441.410000000003</v>
      </c>
      <c r="N1187" s="1752" t="str">
        <f t="shared" si="20"/>
        <v>C391</v>
      </c>
      <c r="O1187" s="1752" t="s">
        <v>95</v>
      </c>
      <c r="P1187" s="1752" t="s">
        <v>2736</v>
      </c>
      <c r="Q1187" s="763"/>
      <c r="R1187" s="763"/>
      <c r="S1187" s="763"/>
      <c r="T1187" s="763"/>
      <c r="U1187" s="763"/>
      <c r="V1187" s="763"/>
      <c r="W1187" s="763"/>
      <c r="X1187" s="763"/>
      <c r="Y1187" s="763"/>
      <c r="Z1187" s="763"/>
      <c r="AA1187" s="763"/>
      <c r="AB1187" s="763"/>
      <c r="AC1187" s="763"/>
      <c r="AD1187" s="763"/>
      <c r="AE1187" s="763"/>
      <c r="AF1187" s="763"/>
      <c r="AG1187" s="763"/>
      <c r="AH1187" s="763"/>
      <c r="AI1187" s="763"/>
      <c r="AJ1187" s="763"/>
      <c r="AK1187" s="763"/>
      <c r="AL1187" s="763"/>
      <c r="AM1187" s="763"/>
      <c r="AN1187" s="763"/>
      <c r="AO1187" s="763"/>
      <c r="AP1187" s="763"/>
      <c r="AQ1187" s="763"/>
      <c r="AR1187" s="763"/>
      <c r="AS1187" s="763"/>
      <c r="AT1187" s="763"/>
      <c r="AU1187" s="763"/>
      <c r="AV1187" s="763"/>
      <c r="AW1187" s="763"/>
      <c r="AX1187" s="763"/>
      <c r="AY1187" s="763"/>
      <c r="AZ1187" s="763"/>
      <c r="BA1187" s="763"/>
      <c r="BB1187" s="763"/>
      <c r="BC1187" s="763"/>
      <c r="BD1187" s="763"/>
      <c r="BE1187" s="763"/>
      <c r="BF1187" s="763"/>
      <c r="BG1187" s="763"/>
      <c r="BH1187" s="763"/>
      <c r="BI1187" s="763"/>
      <c r="BJ1187" s="763"/>
      <c r="BK1187" s="763"/>
      <c r="BL1187" s="763"/>
      <c r="BM1187" s="763"/>
    </row>
    <row r="1188" spans="1:65" s="1692" customFormat="1">
      <c r="A1188" s="762" t="s">
        <v>2339</v>
      </c>
      <c r="B1188" s="762" t="s">
        <v>2340</v>
      </c>
      <c r="C1188" s="762" t="s">
        <v>2744</v>
      </c>
      <c r="D1188" s="762">
        <v>67959667</v>
      </c>
      <c r="E1188" s="762" t="s">
        <v>2740</v>
      </c>
      <c r="F1188" s="762">
        <v>143006946</v>
      </c>
      <c r="G1188" s="762" t="s">
        <v>6936</v>
      </c>
      <c r="H1188" s="1917" t="s">
        <v>7498</v>
      </c>
      <c r="I1188" s="762" t="s">
        <v>6867</v>
      </c>
      <c r="J1188" s="762">
        <v>2</v>
      </c>
      <c r="K1188" s="1911">
        <v>49292.76</v>
      </c>
      <c r="L1188" s="1911">
        <v>3910.85</v>
      </c>
      <c r="M1188" s="1911">
        <v>45381.91</v>
      </c>
      <c r="N1188" s="1752" t="str">
        <f t="shared" si="20"/>
        <v>C391</v>
      </c>
      <c r="O1188" s="1752" t="s">
        <v>95</v>
      </c>
      <c r="P1188" s="1752" t="s">
        <v>2736</v>
      </c>
      <c r="Q1188" s="763"/>
      <c r="R1188" s="763"/>
      <c r="S1188" s="763"/>
      <c r="T1188" s="763"/>
      <c r="U1188" s="763"/>
      <c r="V1188" s="763"/>
      <c r="W1188" s="763"/>
      <c r="X1188" s="763"/>
      <c r="Y1188" s="763"/>
      <c r="Z1188" s="763"/>
      <c r="AA1188" s="763"/>
      <c r="AB1188" s="763"/>
      <c r="AC1188" s="763"/>
      <c r="AD1188" s="763"/>
      <c r="AE1188" s="763"/>
      <c r="AF1188" s="763"/>
      <c r="AG1188" s="763"/>
      <c r="AH1188" s="763"/>
      <c r="AI1188" s="763"/>
      <c r="AJ1188" s="763"/>
      <c r="AK1188" s="763"/>
      <c r="AL1188" s="763"/>
      <c r="AM1188" s="763"/>
      <c r="AN1188" s="763"/>
      <c r="AO1188" s="763"/>
      <c r="AP1188" s="763"/>
      <c r="AQ1188" s="763"/>
      <c r="AR1188" s="763"/>
      <c r="AS1188" s="763"/>
      <c r="AT1188" s="763"/>
      <c r="AU1188" s="763"/>
      <c r="AV1188" s="763"/>
      <c r="AW1188" s="763"/>
      <c r="AX1188" s="763"/>
      <c r="AY1188" s="763"/>
      <c r="AZ1188" s="763"/>
      <c r="BA1188" s="763"/>
      <c r="BB1188" s="763"/>
      <c r="BC1188" s="763"/>
      <c r="BD1188" s="763"/>
      <c r="BE1188" s="763"/>
      <c r="BF1188" s="763"/>
      <c r="BG1188" s="763"/>
      <c r="BH1188" s="763"/>
      <c r="BI1188" s="763"/>
      <c r="BJ1188" s="763"/>
      <c r="BK1188" s="763"/>
      <c r="BL1188" s="763"/>
      <c r="BM1188" s="763"/>
    </row>
    <row r="1189" spans="1:65" s="1692" customFormat="1">
      <c r="A1189" s="762" t="s">
        <v>2339</v>
      </c>
      <c r="B1189" s="762" t="s">
        <v>2340</v>
      </c>
      <c r="C1189" s="762" t="s">
        <v>2476</v>
      </c>
      <c r="D1189" s="762">
        <v>67959672</v>
      </c>
      <c r="E1189" s="762" t="s">
        <v>2740</v>
      </c>
      <c r="F1189" s="762">
        <v>143006954</v>
      </c>
      <c r="G1189" s="762" t="s">
        <v>6937</v>
      </c>
      <c r="H1189" s="1917" t="s">
        <v>7498</v>
      </c>
      <c r="I1189" s="762" t="s">
        <v>6867</v>
      </c>
      <c r="J1189" s="762">
        <v>2</v>
      </c>
      <c r="K1189" s="1911">
        <v>52395.51</v>
      </c>
      <c r="L1189" s="1911">
        <v>4157.0200000000004</v>
      </c>
      <c r="M1189" s="1911">
        <v>48238.49</v>
      </c>
      <c r="N1189" s="1752" t="str">
        <f t="shared" si="20"/>
        <v>C391</v>
      </c>
      <c r="O1189" s="1752" t="s">
        <v>95</v>
      </c>
      <c r="P1189" s="1752" t="s">
        <v>2736</v>
      </c>
      <c r="Q1189" s="763"/>
      <c r="R1189" s="763"/>
      <c r="S1189" s="763"/>
      <c r="T1189" s="763"/>
      <c r="U1189" s="763"/>
      <c r="V1189" s="763"/>
      <c r="W1189" s="763"/>
      <c r="X1189" s="763"/>
      <c r="Y1189" s="763"/>
      <c r="Z1189" s="763"/>
      <c r="AA1189" s="763"/>
      <c r="AB1189" s="763"/>
      <c r="AC1189" s="763"/>
      <c r="AD1189" s="763"/>
      <c r="AE1189" s="763"/>
      <c r="AF1189" s="763"/>
      <c r="AG1189" s="763"/>
      <c r="AH1189" s="763"/>
      <c r="AI1189" s="763"/>
      <c r="AJ1189" s="763"/>
      <c r="AK1189" s="763"/>
      <c r="AL1189" s="763"/>
      <c r="AM1189" s="763"/>
      <c r="AN1189" s="763"/>
      <c r="AO1189" s="763"/>
      <c r="AP1189" s="763"/>
      <c r="AQ1189" s="763"/>
      <c r="AR1189" s="763"/>
      <c r="AS1189" s="763"/>
      <c r="AT1189" s="763"/>
      <c r="AU1189" s="763"/>
      <c r="AV1189" s="763"/>
      <c r="AW1189" s="763"/>
      <c r="AX1189" s="763"/>
      <c r="AY1189" s="763"/>
      <c r="AZ1189" s="763"/>
      <c r="BA1189" s="763"/>
      <c r="BB1189" s="763"/>
      <c r="BC1189" s="763"/>
      <c r="BD1189" s="763"/>
      <c r="BE1189" s="763"/>
      <c r="BF1189" s="763"/>
      <c r="BG1189" s="763"/>
      <c r="BH1189" s="763"/>
      <c r="BI1189" s="763"/>
      <c r="BJ1189" s="763"/>
      <c r="BK1189" s="763"/>
      <c r="BL1189" s="763"/>
      <c r="BM1189" s="763"/>
    </row>
    <row r="1190" spans="1:65" s="1692" customFormat="1">
      <c r="A1190" s="762" t="s">
        <v>2339</v>
      </c>
      <c r="B1190" s="762" t="s">
        <v>2340</v>
      </c>
      <c r="C1190" s="762" t="s">
        <v>2476</v>
      </c>
      <c r="D1190" s="762">
        <v>67959675</v>
      </c>
      <c r="E1190" s="762" t="s">
        <v>2740</v>
      </c>
      <c r="F1190" s="762">
        <v>143006956</v>
      </c>
      <c r="G1190" s="762" t="s">
        <v>6938</v>
      </c>
      <c r="H1190" s="1917" t="s">
        <v>7498</v>
      </c>
      <c r="I1190" s="762" t="s">
        <v>6867</v>
      </c>
      <c r="J1190" s="762">
        <v>2</v>
      </c>
      <c r="K1190" s="1911">
        <v>39785.83</v>
      </c>
      <c r="L1190" s="1911">
        <v>3156.58</v>
      </c>
      <c r="M1190" s="1911">
        <v>36629.25</v>
      </c>
      <c r="N1190" s="1752" t="str">
        <f t="shared" si="20"/>
        <v>C391</v>
      </c>
      <c r="O1190" s="1752" t="s">
        <v>95</v>
      </c>
      <c r="P1190" s="1752" t="s">
        <v>2736</v>
      </c>
      <c r="Q1190" s="763"/>
      <c r="R1190" s="763"/>
      <c r="S1190" s="763"/>
      <c r="T1190" s="763"/>
      <c r="U1190" s="763"/>
      <c r="V1190" s="763"/>
      <c r="W1190" s="763"/>
      <c r="X1190" s="763"/>
      <c r="Y1190" s="763"/>
      <c r="Z1190" s="763"/>
      <c r="AA1190" s="763"/>
      <c r="AB1190" s="763"/>
      <c r="AC1190" s="763"/>
      <c r="AD1190" s="763"/>
      <c r="AE1190" s="763"/>
      <c r="AF1190" s="763"/>
      <c r="AG1190" s="763"/>
      <c r="AH1190" s="763"/>
      <c r="AI1190" s="763"/>
      <c r="AJ1190" s="763"/>
      <c r="AK1190" s="763"/>
      <c r="AL1190" s="763"/>
      <c r="AM1190" s="763"/>
      <c r="AN1190" s="763"/>
      <c r="AO1190" s="763"/>
      <c r="AP1190" s="763"/>
      <c r="AQ1190" s="763"/>
      <c r="AR1190" s="763"/>
      <c r="AS1190" s="763"/>
      <c r="AT1190" s="763"/>
      <c r="AU1190" s="763"/>
      <c r="AV1190" s="763"/>
      <c r="AW1190" s="763"/>
      <c r="AX1190" s="763"/>
      <c r="AY1190" s="763"/>
      <c r="AZ1190" s="763"/>
      <c r="BA1190" s="763"/>
      <c r="BB1190" s="763"/>
      <c r="BC1190" s="763"/>
      <c r="BD1190" s="763"/>
      <c r="BE1190" s="763"/>
      <c r="BF1190" s="763"/>
      <c r="BG1190" s="763"/>
      <c r="BH1190" s="763"/>
      <c r="BI1190" s="763"/>
      <c r="BJ1190" s="763"/>
      <c r="BK1190" s="763"/>
      <c r="BL1190" s="763"/>
      <c r="BM1190" s="763"/>
    </row>
    <row r="1191" spans="1:65" s="1692" customFormat="1">
      <c r="A1191" s="762" t="s">
        <v>2339</v>
      </c>
      <c r="B1191" s="762" t="s">
        <v>2340</v>
      </c>
      <c r="C1191" s="762" t="s">
        <v>2517</v>
      </c>
      <c r="D1191" s="762">
        <v>67959678</v>
      </c>
      <c r="E1191" s="762" t="s">
        <v>2740</v>
      </c>
      <c r="F1191" s="762">
        <v>143006959</v>
      </c>
      <c r="G1191" s="762" t="s">
        <v>6939</v>
      </c>
      <c r="H1191" s="1917" t="s">
        <v>7498</v>
      </c>
      <c r="I1191" s="762" t="s">
        <v>6867</v>
      </c>
      <c r="J1191" s="762">
        <v>2</v>
      </c>
      <c r="K1191" s="1911">
        <v>45233.270000000004</v>
      </c>
      <c r="L1191" s="1911">
        <v>3588.78</v>
      </c>
      <c r="M1191" s="1911">
        <v>41644.49</v>
      </c>
      <c r="N1191" s="1752" t="str">
        <f t="shared" si="20"/>
        <v>C391</v>
      </c>
      <c r="O1191" s="1752" t="s">
        <v>95</v>
      </c>
      <c r="P1191" s="1752" t="s">
        <v>2736</v>
      </c>
      <c r="Q1191" s="763"/>
      <c r="R1191" s="763"/>
      <c r="S1191" s="763"/>
      <c r="T1191" s="763"/>
      <c r="U1191" s="763"/>
      <c r="V1191" s="763"/>
      <c r="W1191" s="763"/>
      <c r="X1191" s="763"/>
      <c r="Y1191" s="763"/>
      <c r="Z1191" s="763"/>
      <c r="AA1191" s="763"/>
      <c r="AB1191" s="763"/>
      <c r="AC1191" s="763"/>
      <c r="AD1191" s="763"/>
      <c r="AE1191" s="763"/>
      <c r="AF1191" s="763"/>
      <c r="AG1191" s="763"/>
      <c r="AH1191" s="763"/>
      <c r="AI1191" s="763"/>
      <c r="AJ1191" s="763"/>
      <c r="AK1191" s="763"/>
      <c r="AL1191" s="763"/>
      <c r="AM1191" s="763"/>
      <c r="AN1191" s="763"/>
      <c r="AO1191" s="763"/>
      <c r="AP1191" s="763"/>
      <c r="AQ1191" s="763"/>
      <c r="AR1191" s="763"/>
      <c r="AS1191" s="763"/>
      <c r="AT1191" s="763"/>
      <c r="AU1191" s="763"/>
      <c r="AV1191" s="763"/>
      <c r="AW1191" s="763"/>
      <c r="AX1191" s="763"/>
      <c r="AY1191" s="763"/>
      <c r="AZ1191" s="763"/>
      <c r="BA1191" s="763"/>
      <c r="BB1191" s="763"/>
      <c r="BC1191" s="763"/>
      <c r="BD1191" s="763"/>
      <c r="BE1191" s="763"/>
      <c r="BF1191" s="763"/>
      <c r="BG1191" s="763"/>
      <c r="BH1191" s="763"/>
      <c r="BI1191" s="763"/>
      <c r="BJ1191" s="763"/>
      <c r="BK1191" s="763"/>
      <c r="BL1191" s="763"/>
      <c r="BM1191" s="763"/>
    </row>
    <row r="1192" spans="1:65" s="1691" customFormat="1">
      <c r="A1192" s="762" t="s">
        <v>2339</v>
      </c>
      <c r="B1192" s="762" t="s">
        <v>2340</v>
      </c>
      <c r="C1192" s="762" t="s">
        <v>2524</v>
      </c>
      <c r="D1192" s="762">
        <v>67959681</v>
      </c>
      <c r="E1192" s="762" t="s">
        <v>2740</v>
      </c>
      <c r="F1192" s="762">
        <v>143006961</v>
      </c>
      <c r="G1192" s="762" t="s">
        <v>6940</v>
      </c>
      <c r="H1192" s="1917" t="s">
        <v>7498</v>
      </c>
      <c r="I1192" s="762" t="s">
        <v>6867</v>
      </c>
      <c r="J1192" s="762">
        <v>2</v>
      </c>
      <c r="K1192" s="1911">
        <v>44371.85</v>
      </c>
      <c r="L1192" s="1911">
        <v>3520.4300000000003</v>
      </c>
      <c r="M1192" s="1911">
        <v>40851.42</v>
      </c>
      <c r="N1192" s="1752" t="str">
        <f t="shared" si="20"/>
        <v>C391</v>
      </c>
      <c r="O1192" s="1752" t="s">
        <v>95</v>
      </c>
      <c r="P1192" s="1752" t="s">
        <v>2736</v>
      </c>
      <c r="Q1192" s="761"/>
      <c r="R1192" s="761"/>
      <c r="S1192" s="761"/>
      <c r="T1192" s="761"/>
      <c r="U1192" s="761"/>
      <c r="V1192" s="761"/>
      <c r="W1192" s="761"/>
      <c r="X1192" s="761"/>
      <c r="Y1192" s="761"/>
      <c r="Z1192" s="761"/>
      <c r="AA1192" s="761"/>
      <c r="AB1192" s="761"/>
      <c r="AC1192" s="761"/>
      <c r="AD1192" s="761"/>
      <c r="AE1192" s="761"/>
      <c r="AF1192" s="761"/>
      <c r="AG1192" s="761"/>
      <c r="AH1192" s="761"/>
      <c r="AI1192" s="761"/>
      <c r="AJ1192" s="761"/>
      <c r="AK1192" s="761"/>
      <c r="AL1192" s="761"/>
      <c r="AM1192" s="761"/>
      <c r="AN1192" s="761"/>
      <c r="AO1192" s="761"/>
      <c r="AP1192" s="761"/>
      <c r="AQ1192" s="761"/>
      <c r="AR1192" s="761"/>
      <c r="AS1192" s="761"/>
      <c r="AT1192" s="761"/>
      <c r="AU1192" s="761"/>
      <c r="AV1192" s="761"/>
      <c r="AW1192" s="761"/>
      <c r="AX1192" s="761"/>
      <c r="AY1192" s="761"/>
      <c r="AZ1192" s="761"/>
      <c r="BA1192" s="761"/>
      <c r="BB1192" s="761"/>
      <c r="BC1192" s="761"/>
      <c r="BD1192" s="761"/>
      <c r="BE1192" s="761"/>
      <c r="BF1192" s="761"/>
      <c r="BG1192" s="761"/>
      <c r="BH1192" s="761"/>
      <c r="BI1192" s="761"/>
      <c r="BJ1192" s="761"/>
      <c r="BK1192" s="761"/>
      <c r="BL1192" s="761"/>
      <c r="BM1192" s="761"/>
    </row>
    <row r="1193" spans="1:65" s="1691" customFormat="1">
      <c r="A1193" s="762" t="s">
        <v>2339</v>
      </c>
      <c r="B1193" s="762" t="s">
        <v>2340</v>
      </c>
      <c r="C1193" s="762" t="s">
        <v>2517</v>
      </c>
      <c r="D1193" s="762">
        <v>67959686</v>
      </c>
      <c r="E1193" s="762" t="s">
        <v>2740</v>
      </c>
      <c r="F1193" s="762">
        <v>143007001</v>
      </c>
      <c r="G1193" s="762" t="s">
        <v>6943</v>
      </c>
      <c r="H1193" s="1917" t="s">
        <v>7214</v>
      </c>
      <c r="I1193" s="762" t="s">
        <v>6867</v>
      </c>
      <c r="J1193" s="762">
        <v>1</v>
      </c>
      <c r="K1193" s="1911">
        <v>101661.18000000001</v>
      </c>
      <c r="L1193" s="1911">
        <v>8065.7300000000005</v>
      </c>
      <c r="M1193" s="1911">
        <v>93595.45</v>
      </c>
      <c r="N1193" s="1752" t="str">
        <f t="shared" si="20"/>
        <v>C391</v>
      </c>
      <c r="O1193" s="1752" t="s">
        <v>95</v>
      </c>
      <c r="P1193" s="1752" t="s">
        <v>2736</v>
      </c>
      <c r="Q1193" s="761"/>
      <c r="R1193" s="761"/>
      <c r="S1193" s="761"/>
      <c r="T1193" s="761"/>
      <c r="U1193" s="761"/>
      <c r="V1193" s="761"/>
      <c r="W1193" s="761"/>
      <c r="X1193" s="761"/>
      <c r="Y1193" s="761"/>
      <c r="Z1193" s="761"/>
      <c r="AA1193" s="761"/>
      <c r="AB1193" s="761"/>
      <c r="AC1193" s="761"/>
      <c r="AD1193" s="761"/>
      <c r="AE1193" s="761"/>
      <c r="AF1193" s="761"/>
      <c r="AG1193" s="761"/>
      <c r="AH1193" s="761"/>
      <c r="AI1193" s="761"/>
      <c r="AJ1193" s="761"/>
      <c r="AK1193" s="761"/>
      <c r="AL1193" s="761"/>
      <c r="AM1193" s="761"/>
      <c r="AN1193" s="761"/>
      <c r="AO1193" s="761"/>
      <c r="AP1193" s="761"/>
      <c r="AQ1193" s="761"/>
      <c r="AR1193" s="761"/>
      <c r="AS1193" s="761"/>
      <c r="AT1193" s="761"/>
      <c r="AU1193" s="761"/>
      <c r="AV1193" s="761"/>
      <c r="AW1193" s="761"/>
      <c r="AX1193" s="761"/>
      <c r="AY1193" s="761"/>
      <c r="AZ1193" s="761"/>
      <c r="BA1193" s="761"/>
      <c r="BB1193" s="761"/>
      <c r="BC1193" s="761"/>
      <c r="BD1193" s="761"/>
      <c r="BE1193" s="761"/>
      <c r="BF1193" s="761"/>
      <c r="BG1193" s="761"/>
      <c r="BH1193" s="761"/>
      <c r="BI1193" s="761"/>
      <c r="BJ1193" s="761"/>
      <c r="BK1193" s="761"/>
      <c r="BL1193" s="761"/>
      <c r="BM1193" s="761"/>
    </row>
    <row r="1194" spans="1:65" s="1691" customFormat="1">
      <c r="A1194" s="762" t="s">
        <v>2339</v>
      </c>
      <c r="B1194" s="762" t="s">
        <v>2340</v>
      </c>
      <c r="C1194" s="762" t="s">
        <v>2490</v>
      </c>
      <c r="D1194" s="762">
        <v>67959689</v>
      </c>
      <c r="E1194" s="762" t="s">
        <v>2740</v>
      </c>
      <c r="F1194" s="762">
        <v>143007002</v>
      </c>
      <c r="G1194" s="762" t="s">
        <v>6944</v>
      </c>
      <c r="H1194" s="1917" t="s">
        <v>7214</v>
      </c>
      <c r="I1194" s="762" t="s">
        <v>6867</v>
      </c>
      <c r="J1194" s="762">
        <v>1</v>
      </c>
      <c r="K1194" s="1911">
        <v>100042.63</v>
      </c>
      <c r="L1194" s="1911">
        <v>7937.31</v>
      </c>
      <c r="M1194" s="1911">
        <v>92105.32</v>
      </c>
      <c r="N1194" s="1752" t="str">
        <f t="shared" si="20"/>
        <v>C391</v>
      </c>
      <c r="O1194" s="1752" t="s">
        <v>95</v>
      </c>
      <c r="P1194" s="1752" t="s">
        <v>2736</v>
      </c>
      <c r="Q1194" s="761"/>
      <c r="R1194" s="761"/>
      <c r="S1194" s="761"/>
      <c r="T1194" s="761"/>
      <c r="U1194" s="761"/>
      <c r="V1194" s="761"/>
      <c r="W1194" s="761"/>
      <c r="X1194" s="761"/>
      <c r="Y1194" s="761"/>
      <c r="Z1194" s="761"/>
      <c r="AA1194" s="761"/>
      <c r="AB1194" s="761"/>
      <c r="AC1194" s="761"/>
      <c r="AD1194" s="761"/>
      <c r="AE1194" s="761"/>
      <c r="AF1194" s="761"/>
      <c r="AG1194" s="761"/>
      <c r="AH1194" s="761"/>
      <c r="AI1194" s="761"/>
      <c r="AJ1194" s="761"/>
      <c r="AK1194" s="761"/>
      <c r="AL1194" s="761"/>
      <c r="AM1194" s="761"/>
      <c r="AN1194" s="761"/>
      <c r="AO1194" s="761"/>
      <c r="AP1194" s="761"/>
      <c r="AQ1194" s="761"/>
      <c r="AR1194" s="761"/>
      <c r="AS1194" s="761"/>
      <c r="AT1194" s="761"/>
      <c r="AU1194" s="761"/>
      <c r="AV1194" s="761"/>
      <c r="AW1194" s="761"/>
      <c r="AX1194" s="761"/>
      <c r="AY1194" s="761"/>
      <c r="AZ1194" s="761"/>
      <c r="BA1194" s="761"/>
      <c r="BB1194" s="761"/>
      <c r="BC1194" s="761"/>
      <c r="BD1194" s="761"/>
      <c r="BE1194" s="761"/>
      <c r="BF1194" s="761"/>
      <c r="BG1194" s="761"/>
      <c r="BH1194" s="761"/>
      <c r="BI1194" s="761"/>
      <c r="BJ1194" s="761"/>
      <c r="BK1194" s="761"/>
      <c r="BL1194" s="761"/>
      <c r="BM1194" s="761"/>
    </row>
    <row r="1195" spans="1:65" s="1691" customFormat="1">
      <c r="A1195" s="762" t="s">
        <v>2339</v>
      </c>
      <c r="B1195" s="762" t="s">
        <v>2340</v>
      </c>
      <c r="C1195" s="762" t="s">
        <v>2476</v>
      </c>
      <c r="D1195" s="762">
        <v>67959699</v>
      </c>
      <c r="E1195" s="762" t="s">
        <v>2740</v>
      </c>
      <c r="F1195" s="762">
        <v>143007085</v>
      </c>
      <c r="G1195" s="762" t="s">
        <v>6933</v>
      </c>
      <c r="H1195" s="1917" t="s">
        <v>7516</v>
      </c>
      <c r="I1195" s="762" t="s">
        <v>6867</v>
      </c>
      <c r="J1195" s="762">
        <v>2</v>
      </c>
      <c r="K1195" s="1911">
        <v>148731.03</v>
      </c>
      <c r="L1195" s="1911">
        <v>11800.210000000001</v>
      </c>
      <c r="M1195" s="1911">
        <v>136930.82</v>
      </c>
      <c r="N1195" s="1752" t="str">
        <f t="shared" si="20"/>
        <v>C391</v>
      </c>
      <c r="O1195" s="1752" t="s">
        <v>95</v>
      </c>
      <c r="P1195" s="1752" t="s">
        <v>2736</v>
      </c>
      <c r="Q1195" s="761"/>
      <c r="R1195" s="761"/>
      <c r="S1195" s="761"/>
      <c r="T1195" s="761"/>
      <c r="U1195" s="761"/>
      <c r="V1195" s="761"/>
      <c r="W1195" s="761"/>
      <c r="X1195" s="761"/>
      <c r="Y1195" s="761"/>
      <c r="Z1195" s="761"/>
      <c r="AA1195" s="761"/>
      <c r="AB1195" s="761"/>
      <c r="AC1195" s="761"/>
      <c r="AD1195" s="761"/>
      <c r="AE1195" s="761"/>
      <c r="AF1195" s="761"/>
      <c r="AG1195" s="761"/>
      <c r="AH1195" s="761"/>
      <c r="AI1195" s="761"/>
      <c r="AJ1195" s="761"/>
      <c r="AK1195" s="761"/>
      <c r="AL1195" s="761"/>
      <c r="AM1195" s="761"/>
      <c r="AN1195" s="761"/>
      <c r="AO1195" s="761"/>
      <c r="AP1195" s="761"/>
      <c r="AQ1195" s="761"/>
      <c r="AR1195" s="761"/>
      <c r="AS1195" s="761"/>
      <c r="AT1195" s="761"/>
      <c r="AU1195" s="761"/>
      <c r="AV1195" s="761"/>
      <c r="AW1195" s="761"/>
      <c r="AX1195" s="761"/>
      <c r="AY1195" s="761"/>
      <c r="AZ1195" s="761"/>
      <c r="BA1195" s="761"/>
      <c r="BB1195" s="761"/>
      <c r="BC1195" s="761"/>
      <c r="BD1195" s="761"/>
      <c r="BE1195" s="761"/>
      <c r="BF1195" s="761"/>
      <c r="BG1195" s="761"/>
      <c r="BH1195" s="761"/>
      <c r="BI1195" s="761"/>
      <c r="BJ1195" s="761"/>
      <c r="BK1195" s="761"/>
      <c r="BL1195" s="761"/>
      <c r="BM1195" s="761"/>
    </row>
    <row r="1196" spans="1:65" s="1691" customFormat="1">
      <c r="A1196" s="762" t="s">
        <v>2339</v>
      </c>
      <c r="B1196" s="762" t="s">
        <v>2340</v>
      </c>
      <c r="C1196" s="762" t="s">
        <v>2476</v>
      </c>
      <c r="D1196" s="762">
        <v>67959702</v>
      </c>
      <c r="E1196" s="762" t="s">
        <v>2740</v>
      </c>
      <c r="F1196" s="762">
        <v>143007086</v>
      </c>
      <c r="G1196" s="762" t="s">
        <v>6953</v>
      </c>
      <c r="H1196" s="1917" t="s">
        <v>7517</v>
      </c>
      <c r="I1196" s="762" t="s">
        <v>6867</v>
      </c>
      <c r="J1196" s="762">
        <v>2</v>
      </c>
      <c r="K1196" s="1911">
        <v>135795</v>
      </c>
      <c r="L1196" s="1911">
        <v>10773.880000000001</v>
      </c>
      <c r="M1196" s="1911">
        <v>125021.12</v>
      </c>
      <c r="N1196" s="1752" t="str">
        <f t="shared" si="20"/>
        <v>C391</v>
      </c>
      <c r="O1196" s="1752" t="s">
        <v>95</v>
      </c>
      <c r="P1196" s="1752" t="s">
        <v>2736</v>
      </c>
      <c r="Q1196" s="761"/>
      <c r="R1196" s="761"/>
      <c r="S1196" s="761"/>
      <c r="T1196" s="761"/>
      <c r="U1196" s="761"/>
      <c r="V1196" s="761"/>
      <c r="W1196" s="761"/>
      <c r="X1196" s="761"/>
      <c r="Y1196" s="761"/>
      <c r="Z1196" s="761"/>
      <c r="AA1196" s="761"/>
      <c r="AB1196" s="761"/>
      <c r="AC1196" s="761"/>
      <c r="AD1196" s="761"/>
      <c r="AE1196" s="761"/>
      <c r="AF1196" s="761"/>
      <c r="AG1196" s="761"/>
      <c r="AH1196" s="761"/>
      <c r="AI1196" s="761"/>
      <c r="AJ1196" s="761"/>
      <c r="AK1196" s="761"/>
      <c r="AL1196" s="761"/>
      <c r="AM1196" s="761"/>
      <c r="AN1196" s="761"/>
      <c r="AO1196" s="761"/>
      <c r="AP1196" s="761"/>
      <c r="AQ1196" s="761"/>
      <c r="AR1196" s="761"/>
      <c r="AS1196" s="761"/>
      <c r="AT1196" s="761"/>
      <c r="AU1196" s="761"/>
      <c r="AV1196" s="761"/>
      <c r="AW1196" s="761"/>
      <c r="AX1196" s="761"/>
      <c r="AY1196" s="761"/>
      <c r="AZ1196" s="761"/>
      <c r="BA1196" s="761"/>
      <c r="BB1196" s="761"/>
      <c r="BC1196" s="761"/>
      <c r="BD1196" s="761"/>
      <c r="BE1196" s="761"/>
      <c r="BF1196" s="761"/>
      <c r="BG1196" s="761"/>
      <c r="BH1196" s="761"/>
      <c r="BI1196" s="761"/>
      <c r="BJ1196" s="761"/>
      <c r="BK1196" s="761"/>
      <c r="BL1196" s="761"/>
      <c r="BM1196" s="761"/>
    </row>
    <row r="1197" spans="1:65" s="1691" customFormat="1">
      <c r="A1197" s="762" t="s">
        <v>2339</v>
      </c>
      <c r="B1197" s="762" t="s">
        <v>2340</v>
      </c>
      <c r="C1197" s="762" t="s">
        <v>2490</v>
      </c>
      <c r="D1197" s="762">
        <v>67959707</v>
      </c>
      <c r="E1197" s="762" t="s">
        <v>2740</v>
      </c>
      <c r="F1197" s="762">
        <v>143007181</v>
      </c>
      <c r="G1197" s="762" t="s">
        <v>6947</v>
      </c>
      <c r="H1197" s="1917" t="s">
        <v>7518</v>
      </c>
      <c r="I1197" s="762" t="s">
        <v>6867</v>
      </c>
      <c r="J1197" s="762">
        <v>2</v>
      </c>
      <c r="K1197" s="1911">
        <v>4199185.45</v>
      </c>
      <c r="L1197" s="1911">
        <v>333160.39</v>
      </c>
      <c r="M1197" s="1911">
        <v>3866025.06</v>
      </c>
      <c r="N1197" s="1752" t="str">
        <f t="shared" si="20"/>
        <v>C391</v>
      </c>
      <c r="O1197" s="1752" t="s">
        <v>95</v>
      </c>
      <c r="P1197" s="1752" t="s">
        <v>2736</v>
      </c>
      <c r="Q1197" s="761"/>
      <c r="R1197" s="761"/>
      <c r="S1197" s="761"/>
      <c r="T1197" s="761"/>
      <c r="U1197" s="761"/>
      <c r="V1197" s="761"/>
      <c r="W1197" s="761"/>
      <c r="X1197" s="761"/>
      <c r="Y1197" s="761"/>
      <c r="Z1197" s="761"/>
      <c r="AA1197" s="761"/>
      <c r="AB1197" s="761"/>
      <c r="AC1197" s="761"/>
      <c r="AD1197" s="761"/>
      <c r="AE1197" s="761"/>
      <c r="AF1197" s="761"/>
      <c r="AG1197" s="761"/>
      <c r="AH1197" s="761"/>
      <c r="AI1197" s="761"/>
      <c r="AJ1197" s="761"/>
      <c r="AK1197" s="761"/>
      <c r="AL1197" s="761"/>
      <c r="AM1197" s="761"/>
      <c r="AN1197" s="761"/>
      <c r="AO1197" s="761"/>
      <c r="AP1197" s="761"/>
      <c r="AQ1197" s="761"/>
      <c r="AR1197" s="761"/>
      <c r="AS1197" s="761"/>
      <c r="AT1197" s="761"/>
      <c r="AU1197" s="761"/>
      <c r="AV1197" s="761"/>
      <c r="AW1197" s="761"/>
      <c r="AX1197" s="761"/>
      <c r="AY1197" s="761"/>
      <c r="AZ1197" s="761"/>
      <c r="BA1197" s="761"/>
      <c r="BB1197" s="761"/>
      <c r="BC1197" s="761"/>
      <c r="BD1197" s="761"/>
      <c r="BE1197" s="761"/>
      <c r="BF1197" s="761"/>
      <c r="BG1197" s="761"/>
      <c r="BH1197" s="761"/>
      <c r="BI1197" s="761"/>
      <c r="BJ1197" s="761"/>
      <c r="BK1197" s="761"/>
      <c r="BL1197" s="761"/>
      <c r="BM1197" s="761"/>
    </row>
    <row r="1198" spans="1:65" s="1691" customFormat="1">
      <c r="A1198" s="762" t="s">
        <v>2339</v>
      </c>
      <c r="B1198" s="762" t="s">
        <v>2340</v>
      </c>
      <c r="C1198" s="762" t="s">
        <v>2476</v>
      </c>
      <c r="D1198" s="762">
        <v>67959716</v>
      </c>
      <c r="E1198" s="762" t="s">
        <v>2740</v>
      </c>
      <c r="F1198" s="762">
        <v>143007204</v>
      </c>
      <c r="G1198" s="762" t="s">
        <v>6941</v>
      </c>
      <c r="H1198" s="1917" t="s">
        <v>7519</v>
      </c>
      <c r="I1198" s="762" t="s">
        <v>6867</v>
      </c>
      <c r="J1198" s="762">
        <v>2</v>
      </c>
      <c r="K1198" s="1911">
        <v>114416.16</v>
      </c>
      <c r="L1198" s="1911">
        <v>9077.7000000000007</v>
      </c>
      <c r="M1198" s="1911">
        <v>105338.46</v>
      </c>
      <c r="N1198" s="1752" t="str">
        <f t="shared" si="20"/>
        <v>C391</v>
      </c>
      <c r="O1198" s="1752" t="s">
        <v>95</v>
      </c>
      <c r="P1198" s="1752" t="s">
        <v>2736</v>
      </c>
      <c r="Q1198" s="761"/>
      <c r="R1198" s="761"/>
      <c r="S1198" s="761"/>
      <c r="T1198" s="761"/>
      <c r="U1198" s="761"/>
      <c r="V1198" s="761"/>
      <c r="W1198" s="761"/>
      <c r="X1198" s="761"/>
      <c r="Y1198" s="761"/>
      <c r="Z1198" s="761"/>
      <c r="AA1198" s="761"/>
      <c r="AB1198" s="761"/>
      <c r="AC1198" s="761"/>
      <c r="AD1198" s="761"/>
      <c r="AE1198" s="761"/>
      <c r="AF1198" s="761"/>
      <c r="AG1198" s="761"/>
      <c r="AH1198" s="761"/>
      <c r="AI1198" s="761"/>
      <c r="AJ1198" s="761"/>
      <c r="AK1198" s="761"/>
      <c r="AL1198" s="761"/>
      <c r="AM1198" s="761"/>
      <c r="AN1198" s="761"/>
      <c r="AO1198" s="761"/>
      <c r="AP1198" s="761"/>
      <c r="AQ1198" s="761"/>
      <c r="AR1198" s="761"/>
      <c r="AS1198" s="761"/>
      <c r="AT1198" s="761"/>
      <c r="AU1198" s="761"/>
      <c r="AV1198" s="761"/>
      <c r="AW1198" s="761"/>
      <c r="AX1198" s="761"/>
      <c r="AY1198" s="761"/>
      <c r="AZ1198" s="761"/>
      <c r="BA1198" s="761"/>
      <c r="BB1198" s="761"/>
      <c r="BC1198" s="761"/>
      <c r="BD1198" s="761"/>
      <c r="BE1198" s="761"/>
      <c r="BF1198" s="761"/>
      <c r="BG1198" s="761"/>
      <c r="BH1198" s="761"/>
      <c r="BI1198" s="761"/>
      <c r="BJ1198" s="761"/>
      <c r="BK1198" s="761"/>
      <c r="BL1198" s="761"/>
      <c r="BM1198" s="761"/>
    </row>
    <row r="1199" spans="1:65" s="1691" customFormat="1">
      <c r="A1199" s="762" t="s">
        <v>2339</v>
      </c>
      <c r="B1199" s="762" t="s">
        <v>2340</v>
      </c>
      <c r="C1199" s="762" t="s">
        <v>2542</v>
      </c>
      <c r="D1199" s="762">
        <v>67959728</v>
      </c>
      <c r="E1199" s="762" t="s">
        <v>2740</v>
      </c>
      <c r="F1199" s="762">
        <v>143007218</v>
      </c>
      <c r="G1199" s="762" t="s">
        <v>6955</v>
      </c>
      <c r="H1199" s="1917" t="s">
        <v>7520</v>
      </c>
      <c r="I1199" s="762" t="s">
        <v>6867</v>
      </c>
      <c r="J1199" s="762">
        <v>2</v>
      </c>
      <c r="K1199" s="1911">
        <v>32942.22</v>
      </c>
      <c r="L1199" s="1911">
        <v>2613.61</v>
      </c>
      <c r="M1199" s="1911">
        <v>30328.61</v>
      </c>
      <c r="N1199" s="1752" t="str">
        <f t="shared" si="20"/>
        <v>C391</v>
      </c>
      <c r="O1199" s="1752" t="s">
        <v>95</v>
      </c>
      <c r="P1199" s="1752" t="s">
        <v>2736</v>
      </c>
      <c r="Q1199" s="761"/>
      <c r="R1199" s="761"/>
      <c r="S1199" s="761"/>
      <c r="T1199" s="761"/>
      <c r="U1199" s="761"/>
      <c r="V1199" s="761"/>
      <c r="W1199" s="761"/>
      <c r="X1199" s="761"/>
      <c r="Y1199" s="761"/>
      <c r="Z1199" s="761"/>
      <c r="AA1199" s="761"/>
      <c r="AB1199" s="761"/>
      <c r="AC1199" s="761"/>
      <c r="AD1199" s="761"/>
      <c r="AE1199" s="761"/>
      <c r="AF1199" s="761"/>
      <c r="AG1199" s="761"/>
      <c r="AH1199" s="761"/>
      <c r="AI1199" s="761"/>
      <c r="AJ1199" s="761"/>
      <c r="AK1199" s="761"/>
      <c r="AL1199" s="761"/>
      <c r="AM1199" s="761"/>
      <c r="AN1199" s="761"/>
      <c r="AO1199" s="761"/>
      <c r="AP1199" s="761"/>
      <c r="AQ1199" s="761"/>
      <c r="AR1199" s="761"/>
      <c r="AS1199" s="761"/>
      <c r="AT1199" s="761"/>
      <c r="AU1199" s="761"/>
      <c r="AV1199" s="761"/>
      <c r="AW1199" s="761"/>
      <c r="AX1199" s="761"/>
      <c r="AY1199" s="761"/>
      <c r="AZ1199" s="761"/>
      <c r="BA1199" s="761"/>
      <c r="BB1199" s="761"/>
      <c r="BC1199" s="761"/>
      <c r="BD1199" s="761"/>
      <c r="BE1199" s="761"/>
      <c r="BF1199" s="761"/>
      <c r="BG1199" s="761"/>
      <c r="BH1199" s="761"/>
      <c r="BI1199" s="761"/>
      <c r="BJ1199" s="761"/>
      <c r="BK1199" s="761"/>
      <c r="BL1199" s="761"/>
      <c r="BM1199" s="761"/>
    </row>
    <row r="1200" spans="1:65" s="1691" customFormat="1">
      <c r="A1200" s="762" t="s">
        <v>2339</v>
      </c>
      <c r="B1200" s="762" t="s">
        <v>2340</v>
      </c>
      <c r="C1200" s="762" t="s">
        <v>2473</v>
      </c>
      <c r="D1200" s="762">
        <v>67959752</v>
      </c>
      <c r="E1200" s="762" t="s">
        <v>2740</v>
      </c>
      <c r="F1200" s="762">
        <v>143007301</v>
      </c>
      <c r="G1200" s="762" t="s">
        <v>6948</v>
      </c>
      <c r="H1200" s="1917"/>
      <c r="I1200" s="762" t="s">
        <v>6867</v>
      </c>
      <c r="J1200" s="762">
        <v>2</v>
      </c>
      <c r="K1200" s="1911">
        <v>261569.27000000002</v>
      </c>
      <c r="L1200" s="1911">
        <v>20752.72</v>
      </c>
      <c r="M1200" s="1911">
        <v>240816.55000000002</v>
      </c>
      <c r="N1200" s="1752" t="str">
        <f t="shared" si="20"/>
        <v>C391</v>
      </c>
      <c r="O1200" s="1752" t="s">
        <v>95</v>
      </c>
      <c r="P1200" s="1752" t="s">
        <v>2736</v>
      </c>
      <c r="Q1200" s="761"/>
      <c r="R1200" s="761"/>
      <c r="S1200" s="761"/>
      <c r="T1200" s="761"/>
      <c r="U1200" s="761"/>
      <c r="V1200" s="761"/>
      <c r="W1200" s="761"/>
      <c r="X1200" s="761"/>
      <c r="Y1200" s="761"/>
      <c r="Z1200" s="761"/>
      <c r="AA1200" s="761"/>
      <c r="AB1200" s="761"/>
      <c r="AC1200" s="761"/>
      <c r="AD1200" s="761"/>
      <c r="AE1200" s="761"/>
      <c r="AF1200" s="761"/>
      <c r="AG1200" s="761"/>
      <c r="AH1200" s="761"/>
      <c r="AI1200" s="761"/>
      <c r="AJ1200" s="761"/>
      <c r="AK1200" s="761"/>
      <c r="AL1200" s="761"/>
      <c r="AM1200" s="761"/>
      <c r="AN1200" s="761"/>
      <c r="AO1200" s="761"/>
      <c r="AP1200" s="761"/>
      <c r="AQ1200" s="761"/>
      <c r="AR1200" s="761"/>
      <c r="AS1200" s="761"/>
      <c r="AT1200" s="761"/>
      <c r="AU1200" s="761"/>
      <c r="AV1200" s="761"/>
      <c r="AW1200" s="761"/>
      <c r="AX1200" s="761"/>
      <c r="AY1200" s="761"/>
      <c r="AZ1200" s="761"/>
      <c r="BA1200" s="761"/>
      <c r="BB1200" s="761"/>
      <c r="BC1200" s="761"/>
      <c r="BD1200" s="761"/>
      <c r="BE1200" s="761"/>
      <c r="BF1200" s="761"/>
      <c r="BG1200" s="761"/>
      <c r="BH1200" s="761"/>
      <c r="BI1200" s="761"/>
      <c r="BJ1200" s="761"/>
      <c r="BK1200" s="761"/>
      <c r="BL1200" s="761"/>
      <c r="BM1200" s="761"/>
    </row>
    <row r="1201" spans="1:65" s="1691" customFormat="1">
      <c r="A1201" s="762" t="s">
        <v>2339</v>
      </c>
      <c r="B1201" s="762" t="s">
        <v>2340</v>
      </c>
      <c r="C1201" s="762" t="s">
        <v>2542</v>
      </c>
      <c r="D1201" s="762">
        <v>67959755</v>
      </c>
      <c r="E1201" s="762" t="s">
        <v>2740</v>
      </c>
      <c r="F1201" s="762">
        <v>143007343</v>
      </c>
      <c r="G1201" s="762" t="s">
        <v>6956</v>
      </c>
      <c r="H1201" s="1917"/>
      <c r="I1201" s="762" t="s">
        <v>6867</v>
      </c>
      <c r="J1201" s="762">
        <v>2</v>
      </c>
      <c r="K1201" s="1911">
        <v>105064.14</v>
      </c>
      <c r="L1201" s="1911">
        <v>8335.7100000000009</v>
      </c>
      <c r="M1201" s="1911">
        <v>96728.430000000008</v>
      </c>
      <c r="N1201" s="1752" t="str">
        <f t="shared" si="20"/>
        <v>C391</v>
      </c>
      <c r="O1201" s="1752" t="s">
        <v>95</v>
      </c>
      <c r="P1201" s="1752" t="s">
        <v>2736</v>
      </c>
      <c r="Q1201" s="761"/>
      <c r="R1201" s="761"/>
      <c r="S1201" s="761"/>
      <c r="T1201" s="761"/>
      <c r="U1201" s="761"/>
      <c r="V1201" s="761"/>
      <c r="W1201" s="761"/>
      <c r="X1201" s="761"/>
      <c r="Y1201" s="761"/>
      <c r="Z1201" s="761"/>
      <c r="AA1201" s="761"/>
      <c r="AB1201" s="761"/>
      <c r="AC1201" s="761"/>
      <c r="AD1201" s="761"/>
      <c r="AE1201" s="761"/>
      <c r="AF1201" s="761"/>
      <c r="AG1201" s="761"/>
      <c r="AH1201" s="761"/>
      <c r="AI1201" s="761"/>
      <c r="AJ1201" s="761"/>
      <c r="AK1201" s="761"/>
      <c r="AL1201" s="761"/>
      <c r="AM1201" s="761"/>
      <c r="AN1201" s="761"/>
      <c r="AO1201" s="761"/>
      <c r="AP1201" s="761"/>
      <c r="AQ1201" s="761"/>
      <c r="AR1201" s="761"/>
      <c r="AS1201" s="761"/>
      <c r="AT1201" s="761"/>
      <c r="AU1201" s="761"/>
      <c r="AV1201" s="761"/>
      <c r="AW1201" s="761"/>
      <c r="AX1201" s="761"/>
      <c r="AY1201" s="761"/>
      <c r="AZ1201" s="761"/>
      <c r="BA1201" s="761"/>
      <c r="BB1201" s="761"/>
      <c r="BC1201" s="761"/>
      <c r="BD1201" s="761"/>
      <c r="BE1201" s="761"/>
      <c r="BF1201" s="761"/>
      <c r="BG1201" s="761"/>
      <c r="BH1201" s="761"/>
      <c r="BI1201" s="761"/>
      <c r="BJ1201" s="761"/>
      <c r="BK1201" s="761"/>
      <c r="BL1201" s="761"/>
      <c r="BM1201" s="761"/>
    </row>
    <row r="1202" spans="1:65" s="1691" customFormat="1">
      <c r="A1202" s="762" t="s">
        <v>2339</v>
      </c>
      <c r="B1202" s="762" t="s">
        <v>2340</v>
      </c>
      <c r="C1202" s="762" t="s">
        <v>2476</v>
      </c>
      <c r="D1202" s="762">
        <v>67959800</v>
      </c>
      <c r="E1202" s="762" t="s">
        <v>2740</v>
      </c>
      <c r="F1202" s="762">
        <v>143007621</v>
      </c>
      <c r="G1202" s="762" t="s">
        <v>6957</v>
      </c>
      <c r="H1202" s="1917"/>
      <c r="I1202" s="762" t="s">
        <v>6867</v>
      </c>
      <c r="J1202" s="762">
        <v>2</v>
      </c>
      <c r="K1202" s="1911">
        <v>72477.69</v>
      </c>
      <c r="L1202" s="1911">
        <v>5750.33</v>
      </c>
      <c r="M1202" s="1911">
        <v>66727.360000000001</v>
      </c>
      <c r="N1202" s="1752" t="str">
        <f t="shared" si="20"/>
        <v>C391</v>
      </c>
      <c r="O1202" s="1752" t="s">
        <v>95</v>
      </c>
      <c r="P1202" s="1752" t="s">
        <v>2736</v>
      </c>
      <c r="Q1202" s="761"/>
      <c r="R1202" s="761"/>
      <c r="S1202" s="761"/>
      <c r="T1202" s="761"/>
      <c r="U1202" s="761"/>
      <c r="V1202" s="761"/>
      <c r="W1202" s="761"/>
      <c r="X1202" s="761"/>
      <c r="Y1202" s="761"/>
      <c r="Z1202" s="761"/>
      <c r="AA1202" s="761"/>
      <c r="AB1202" s="761"/>
      <c r="AC1202" s="761"/>
      <c r="AD1202" s="761"/>
      <c r="AE1202" s="761"/>
      <c r="AF1202" s="761"/>
      <c r="AG1202" s="761"/>
      <c r="AH1202" s="761"/>
      <c r="AI1202" s="761"/>
      <c r="AJ1202" s="761"/>
      <c r="AK1202" s="761"/>
      <c r="AL1202" s="761"/>
      <c r="AM1202" s="761"/>
      <c r="AN1202" s="761"/>
      <c r="AO1202" s="761"/>
      <c r="AP1202" s="761"/>
      <c r="AQ1202" s="761"/>
      <c r="AR1202" s="761"/>
      <c r="AS1202" s="761"/>
      <c r="AT1202" s="761"/>
      <c r="AU1202" s="761"/>
      <c r="AV1202" s="761"/>
      <c r="AW1202" s="761"/>
      <c r="AX1202" s="761"/>
      <c r="AY1202" s="761"/>
      <c r="AZ1202" s="761"/>
      <c r="BA1202" s="761"/>
      <c r="BB1202" s="761"/>
      <c r="BC1202" s="761"/>
      <c r="BD1202" s="761"/>
      <c r="BE1202" s="761"/>
      <c r="BF1202" s="761"/>
      <c r="BG1202" s="761"/>
      <c r="BH1202" s="761"/>
      <c r="BI1202" s="761"/>
      <c r="BJ1202" s="761"/>
      <c r="BK1202" s="761"/>
      <c r="BL1202" s="761"/>
      <c r="BM1202" s="761"/>
    </row>
    <row r="1203" spans="1:65" s="1691" customFormat="1">
      <c r="A1203" s="762" t="s">
        <v>2339</v>
      </c>
      <c r="B1203" s="762" t="s">
        <v>2340</v>
      </c>
      <c r="C1203" s="762" t="s">
        <v>2476</v>
      </c>
      <c r="D1203" s="762">
        <v>67959806</v>
      </c>
      <c r="E1203" s="762" t="s">
        <v>2740</v>
      </c>
      <c r="F1203" s="762">
        <v>143007822</v>
      </c>
      <c r="G1203" s="762" t="s">
        <v>6942</v>
      </c>
      <c r="H1203" s="1917"/>
      <c r="I1203" s="762" t="s">
        <v>6867</v>
      </c>
      <c r="J1203" s="762">
        <v>1</v>
      </c>
      <c r="K1203" s="1911">
        <v>7492.76</v>
      </c>
      <c r="L1203" s="1911">
        <v>594.47</v>
      </c>
      <c r="M1203" s="1911">
        <v>6898.29</v>
      </c>
      <c r="N1203" s="1752" t="str">
        <f t="shared" si="20"/>
        <v>C391</v>
      </c>
      <c r="O1203" s="1752" t="s">
        <v>95</v>
      </c>
      <c r="P1203" s="1752" t="s">
        <v>2736</v>
      </c>
      <c r="Q1203" s="761"/>
      <c r="R1203" s="761"/>
      <c r="S1203" s="761"/>
      <c r="T1203" s="761"/>
      <c r="U1203" s="761"/>
      <c r="V1203" s="761"/>
      <c r="W1203" s="761"/>
      <c r="X1203" s="761"/>
      <c r="Y1203" s="761"/>
      <c r="Z1203" s="761"/>
      <c r="AA1203" s="761"/>
      <c r="AB1203" s="761"/>
      <c r="AC1203" s="761"/>
      <c r="AD1203" s="761"/>
      <c r="AE1203" s="761"/>
      <c r="AF1203" s="761"/>
      <c r="AG1203" s="761"/>
      <c r="AH1203" s="761"/>
      <c r="AI1203" s="761"/>
      <c r="AJ1203" s="761"/>
      <c r="AK1203" s="761"/>
      <c r="AL1203" s="761"/>
      <c r="AM1203" s="761"/>
      <c r="AN1203" s="761"/>
      <c r="AO1203" s="761"/>
      <c r="AP1203" s="761"/>
      <c r="AQ1203" s="761"/>
      <c r="AR1203" s="761"/>
      <c r="AS1203" s="761"/>
      <c r="AT1203" s="761"/>
      <c r="AU1203" s="761"/>
      <c r="AV1203" s="761"/>
      <c r="AW1203" s="761"/>
      <c r="AX1203" s="761"/>
      <c r="AY1203" s="761"/>
      <c r="AZ1203" s="761"/>
      <c r="BA1203" s="761"/>
      <c r="BB1203" s="761"/>
      <c r="BC1203" s="761"/>
      <c r="BD1203" s="761"/>
      <c r="BE1203" s="761"/>
      <c r="BF1203" s="761"/>
      <c r="BG1203" s="761"/>
      <c r="BH1203" s="761"/>
      <c r="BI1203" s="761"/>
      <c r="BJ1203" s="761"/>
      <c r="BK1203" s="761"/>
      <c r="BL1203" s="761"/>
      <c r="BM1203" s="761"/>
    </row>
    <row r="1204" spans="1:65" s="1691" customFormat="1">
      <c r="A1204" s="762" t="s">
        <v>2339</v>
      </c>
      <c r="B1204" s="762" t="s">
        <v>2340</v>
      </c>
      <c r="C1204" s="762" t="s">
        <v>2509</v>
      </c>
      <c r="D1204" s="762">
        <v>67959809</v>
      </c>
      <c r="E1204" s="762" t="s">
        <v>2740</v>
      </c>
      <c r="F1204" s="762">
        <v>143007824</v>
      </c>
      <c r="G1204" s="762" t="s">
        <v>6949</v>
      </c>
      <c r="H1204" s="1917"/>
      <c r="I1204" s="762" t="s">
        <v>6867</v>
      </c>
      <c r="J1204" s="762">
        <v>1</v>
      </c>
      <c r="K1204" s="1911">
        <v>6739.9400000000005</v>
      </c>
      <c r="L1204" s="1911">
        <v>534.74</v>
      </c>
      <c r="M1204" s="1911">
        <v>6205.2</v>
      </c>
      <c r="N1204" s="1752" t="str">
        <f t="shared" si="20"/>
        <v>C391</v>
      </c>
      <c r="O1204" s="1752" t="s">
        <v>95</v>
      </c>
      <c r="P1204" s="1752" t="s">
        <v>2736</v>
      </c>
      <c r="Q1204" s="761"/>
      <c r="R1204" s="761"/>
      <c r="S1204" s="761"/>
      <c r="T1204" s="761"/>
      <c r="U1204" s="761"/>
      <c r="V1204" s="761"/>
      <c r="W1204" s="761"/>
      <c r="X1204" s="761"/>
      <c r="Y1204" s="761"/>
      <c r="Z1204" s="761"/>
      <c r="AA1204" s="761"/>
      <c r="AB1204" s="761"/>
      <c r="AC1204" s="761"/>
      <c r="AD1204" s="761"/>
      <c r="AE1204" s="761"/>
      <c r="AF1204" s="761"/>
      <c r="AG1204" s="761"/>
      <c r="AH1204" s="761"/>
      <c r="AI1204" s="761"/>
      <c r="AJ1204" s="761"/>
      <c r="AK1204" s="761"/>
      <c r="AL1204" s="761"/>
      <c r="AM1204" s="761"/>
      <c r="AN1204" s="761"/>
      <c r="AO1204" s="761"/>
      <c r="AP1204" s="761"/>
      <c r="AQ1204" s="761"/>
      <c r="AR1204" s="761"/>
      <c r="AS1204" s="761"/>
      <c r="AT1204" s="761"/>
      <c r="AU1204" s="761"/>
      <c r="AV1204" s="761"/>
      <c r="AW1204" s="761"/>
      <c r="AX1204" s="761"/>
      <c r="AY1204" s="761"/>
      <c r="AZ1204" s="761"/>
      <c r="BA1204" s="761"/>
      <c r="BB1204" s="761"/>
      <c r="BC1204" s="761"/>
      <c r="BD1204" s="761"/>
      <c r="BE1204" s="761"/>
      <c r="BF1204" s="761"/>
      <c r="BG1204" s="761"/>
      <c r="BH1204" s="761"/>
      <c r="BI1204" s="761"/>
      <c r="BJ1204" s="761"/>
      <c r="BK1204" s="761"/>
      <c r="BL1204" s="761"/>
      <c r="BM1204" s="761"/>
    </row>
    <row r="1205" spans="1:65" s="1691" customFormat="1">
      <c r="A1205" s="762" t="s">
        <v>2339</v>
      </c>
      <c r="B1205" s="762" t="s">
        <v>2340</v>
      </c>
      <c r="C1205" s="762" t="s">
        <v>2476</v>
      </c>
      <c r="D1205" s="762">
        <v>67959812</v>
      </c>
      <c r="E1205" s="762" t="s">
        <v>2740</v>
      </c>
      <c r="F1205" s="762">
        <v>143007827</v>
      </c>
      <c r="G1205" s="762" t="s">
        <v>6950</v>
      </c>
      <c r="H1205" s="1917"/>
      <c r="I1205" s="762" t="s">
        <v>6867</v>
      </c>
      <c r="J1205" s="762">
        <v>1</v>
      </c>
      <c r="K1205" s="1911">
        <v>682.41</v>
      </c>
      <c r="L1205" s="1911">
        <v>54.14</v>
      </c>
      <c r="M1205" s="1911">
        <v>628.27</v>
      </c>
      <c r="N1205" s="1752" t="str">
        <f t="shared" si="20"/>
        <v>C391</v>
      </c>
      <c r="O1205" s="1752" t="s">
        <v>95</v>
      </c>
      <c r="P1205" s="1752" t="s">
        <v>2736</v>
      </c>
      <c r="Q1205" s="761"/>
      <c r="R1205" s="761"/>
      <c r="S1205" s="761"/>
      <c r="T1205" s="761"/>
      <c r="U1205" s="761"/>
      <c r="V1205" s="761"/>
      <c r="W1205" s="761"/>
      <c r="X1205" s="761"/>
      <c r="Y1205" s="761"/>
      <c r="Z1205" s="761"/>
      <c r="AA1205" s="761"/>
      <c r="AB1205" s="761"/>
      <c r="AC1205" s="761"/>
      <c r="AD1205" s="761"/>
      <c r="AE1205" s="761"/>
      <c r="AF1205" s="761"/>
      <c r="AG1205" s="761"/>
      <c r="AH1205" s="761"/>
      <c r="AI1205" s="761"/>
      <c r="AJ1205" s="761"/>
      <c r="AK1205" s="761"/>
      <c r="AL1205" s="761"/>
      <c r="AM1205" s="761"/>
      <c r="AN1205" s="761"/>
      <c r="AO1205" s="761"/>
      <c r="AP1205" s="761"/>
      <c r="AQ1205" s="761"/>
      <c r="AR1205" s="761"/>
      <c r="AS1205" s="761"/>
      <c r="AT1205" s="761"/>
      <c r="AU1205" s="761"/>
      <c r="AV1205" s="761"/>
      <c r="AW1205" s="761"/>
      <c r="AX1205" s="761"/>
      <c r="AY1205" s="761"/>
      <c r="AZ1205" s="761"/>
      <c r="BA1205" s="761"/>
      <c r="BB1205" s="761"/>
      <c r="BC1205" s="761"/>
      <c r="BD1205" s="761"/>
      <c r="BE1205" s="761"/>
      <c r="BF1205" s="761"/>
      <c r="BG1205" s="761"/>
      <c r="BH1205" s="761"/>
      <c r="BI1205" s="761"/>
      <c r="BJ1205" s="761"/>
      <c r="BK1205" s="761"/>
      <c r="BL1205" s="761"/>
      <c r="BM1205" s="761"/>
    </row>
    <row r="1206" spans="1:65" s="1691" customFormat="1">
      <c r="A1206" s="762" t="s">
        <v>2339</v>
      </c>
      <c r="B1206" s="762" t="s">
        <v>2340</v>
      </c>
      <c r="C1206" s="762" t="s">
        <v>2527</v>
      </c>
      <c r="D1206" s="762">
        <v>67959815</v>
      </c>
      <c r="E1206" s="762" t="s">
        <v>2740</v>
      </c>
      <c r="F1206" s="762">
        <v>143007828</v>
      </c>
      <c r="G1206" s="762" t="s">
        <v>6951</v>
      </c>
      <c r="H1206" s="1917"/>
      <c r="I1206" s="762" t="s">
        <v>6867</v>
      </c>
      <c r="J1206" s="762">
        <v>1</v>
      </c>
      <c r="K1206" s="1911">
        <v>6739.9400000000005</v>
      </c>
      <c r="L1206" s="1911">
        <v>534.74</v>
      </c>
      <c r="M1206" s="1911">
        <v>6205.2</v>
      </c>
      <c r="N1206" s="1752" t="str">
        <f t="shared" si="20"/>
        <v>C391</v>
      </c>
      <c r="O1206" s="1752" t="s">
        <v>95</v>
      </c>
      <c r="P1206" s="1752" t="s">
        <v>2736</v>
      </c>
      <c r="Q1206" s="761"/>
      <c r="R1206" s="761"/>
      <c r="S1206" s="761"/>
      <c r="T1206" s="761"/>
      <c r="U1206" s="761"/>
      <c r="V1206" s="761"/>
      <c r="W1206" s="761"/>
      <c r="X1206" s="761"/>
      <c r="Y1206" s="761"/>
      <c r="Z1206" s="761"/>
      <c r="AA1206" s="761"/>
      <c r="AB1206" s="761"/>
      <c r="AC1206" s="761"/>
      <c r="AD1206" s="761"/>
      <c r="AE1206" s="761"/>
      <c r="AF1206" s="761"/>
      <c r="AG1206" s="761"/>
      <c r="AH1206" s="761"/>
      <c r="AI1206" s="761"/>
      <c r="AJ1206" s="761"/>
      <c r="AK1206" s="761"/>
      <c r="AL1206" s="761"/>
      <c r="AM1206" s="761"/>
      <c r="AN1206" s="761"/>
      <c r="AO1206" s="761"/>
      <c r="AP1206" s="761"/>
      <c r="AQ1206" s="761"/>
      <c r="AR1206" s="761"/>
      <c r="AS1206" s="761"/>
      <c r="AT1206" s="761"/>
      <c r="AU1206" s="761"/>
      <c r="AV1206" s="761"/>
      <c r="AW1206" s="761"/>
      <c r="AX1206" s="761"/>
      <c r="AY1206" s="761"/>
      <c r="AZ1206" s="761"/>
      <c r="BA1206" s="761"/>
      <c r="BB1206" s="761"/>
      <c r="BC1206" s="761"/>
      <c r="BD1206" s="761"/>
      <c r="BE1206" s="761"/>
      <c r="BF1206" s="761"/>
      <c r="BG1206" s="761"/>
      <c r="BH1206" s="761"/>
      <c r="BI1206" s="761"/>
      <c r="BJ1206" s="761"/>
      <c r="BK1206" s="761"/>
      <c r="BL1206" s="761"/>
      <c r="BM1206" s="761"/>
    </row>
    <row r="1207" spans="1:65" s="1691" customFormat="1">
      <c r="A1207" s="762" t="s">
        <v>2339</v>
      </c>
      <c r="B1207" s="762" t="s">
        <v>2340</v>
      </c>
      <c r="C1207" s="762" t="s">
        <v>2509</v>
      </c>
      <c r="D1207" s="762">
        <v>67959818</v>
      </c>
      <c r="E1207" s="762" t="s">
        <v>2740</v>
      </c>
      <c r="F1207" s="762">
        <v>143007829</v>
      </c>
      <c r="G1207" s="762" t="s">
        <v>6952</v>
      </c>
      <c r="H1207" s="1917"/>
      <c r="I1207" s="762" t="s">
        <v>6867</v>
      </c>
      <c r="J1207" s="762">
        <v>1</v>
      </c>
      <c r="K1207" s="1911">
        <v>6739.9400000000005</v>
      </c>
      <c r="L1207" s="1911">
        <v>534.74</v>
      </c>
      <c r="M1207" s="1911">
        <v>6205.2</v>
      </c>
      <c r="N1207" s="1752" t="str">
        <f t="shared" si="20"/>
        <v>C391</v>
      </c>
      <c r="O1207" s="1752" t="s">
        <v>95</v>
      </c>
      <c r="P1207" s="1752" t="s">
        <v>2736</v>
      </c>
      <c r="Q1207" s="761"/>
      <c r="R1207" s="761"/>
      <c r="S1207" s="761"/>
      <c r="T1207" s="761"/>
      <c r="U1207" s="761"/>
      <c r="V1207" s="761"/>
      <c r="W1207" s="761"/>
      <c r="X1207" s="761"/>
      <c r="Y1207" s="761"/>
      <c r="Z1207" s="761"/>
      <c r="AA1207" s="761"/>
      <c r="AB1207" s="761"/>
      <c r="AC1207" s="761"/>
      <c r="AD1207" s="761"/>
      <c r="AE1207" s="761"/>
      <c r="AF1207" s="761"/>
      <c r="AG1207" s="761"/>
      <c r="AH1207" s="761"/>
      <c r="AI1207" s="761"/>
      <c r="AJ1207" s="761"/>
      <c r="AK1207" s="761"/>
      <c r="AL1207" s="761"/>
      <c r="AM1207" s="761"/>
      <c r="AN1207" s="761"/>
      <c r="AO1207" s="761"/>
      <c r="AP1207" s="761"/>
      <c r="AQ1207" s="761"/>
      <c r="AR1207" s="761"/>
      <c r="AS1207" s="761"/>
      <c r="AT1207" s="761"/>
      <c r="AU1207" s="761"/>
      <c r="AV1207" s="761"/>
      <c r="AW1207" s="761"/>
      <c r="AX1207" s="761"/>
      <c r="AY1207" s="761"/>
      <c r="AZ1207" s="761"/>
      <c r="BA1207" s="761"/>
      <c r="BB1207" s="761"/>
      <c r="BC1207" s="761"/>
      <c r="BD1207" s="761"/>
      <c r="BE1207" s="761"/>
      <c r="BF1207" s="761"/>
      <c r="BG1207" s="761"/>
      <c r="BH1207" s="761"/>
      <c r="BI1207" s="761"/>
      <c r="BJ1207" s="761"/>
      <c r="BK1207" s="761"/>
      <c r="BL1207" s="761"/>
      <c r="BM1207" s="761"/>
    </row>
    <row r="1208" spans="1:65" s="1691" customFormat="1">
      <c r="A1208" s="762" t="s">
        <v>2339</v>
      </c>
      <c r="B1208" s="762" t="s">
        <v>2340</v>
      </c>
      <c r="C1208" s="762" t="s">
        <v>2476</v>
      </c>
      <c r="D1208" s="762">
        <v>67959821</v>
      </c>
      <c r="E1208" s="762" t="s">
        <v>2740</v>
      </c>
      <c r="F1208" s="762">
        <v>143007837</v>
      </c>
      <c r="G1208" s="762" t="s">
        <v>6954</v>
      </c>
      <c r="H1208" s="1917"/>
      <c r="I1208" s="762" t="s">
        <v>6867</v>
      </c>
      <c r="J1208" s="762">
        <v>1</v>
      </c>
      <c r="K1208" s="1911">
        <v>28165.39</v>
      </c>
      <c r="L1208" s="1911">
        <v>2234.62</v>
      </c>
      <c r="M1208" s="1911">
        <v>25930.77</v>
      </c>
      <c r="N1208" s="1752" t="str">
        <f t="shared" si="20"/>
        <v>C391</v>
      </c>
      <c r="O1208" s="1752" t="s">
        <v>95</v>
      </c>
      <c r="P1208" s="1752" t="s">
        <v>2736</v>
      </c>
      <c r="Q1208" s="761"/>
      <c r="R1208" s="761"/>
      <c r="S1208" s="761"/>
      <c r="T1208" s="761"/>
      <c r="U1208" s="761"/>
      <c r="V1208" s="761"/>
      <c r="W1208" s="761"/>
      <c r="X1208" s="761"/>
      <c r="Y1208" s="761"/>
      <c r="Z1208" s="761"/>
      <c r="AA1208" s="761"/>
      <c r="AB1208" s="761"/>
      <c r="AC1208" s="761"/>
      <c r="AD1208" s="761"/>
      <c r="AE1208" s="761"/>
      <c r="AF1208" s="761"/>
      <c r="AG1208" s="761"/>
      <c r="AH1208" s="761"/>
      <c r="AI1208" s="761"/>
      <c r="AJ1208" s="761"/>
      <c r="AK1208" s="761"/>
      <c r="AL1208" s="761"/>
      <c r="AM1208" s="761"/>
      <c r="AN1208" s="761"/>
      <c r="AO1208" s="761"/>
      <c r="AP1208" s="761"/>
      <c r="AQ1208" s="761"/>
      <c r="AR1208" s="761"/>
      <c r="AS1208" s="761"/>
      <c r="AT1208" s="761"/>
      <c r="AU1208" s="761"/>
      <c r="AV1208" s="761"/>
      <c r="AW1208" s="761"/>
      <c r="AX1208" s="761"/>
      <c r="AY1208" s="761"/>
      <c r="AZ1208" s="761"/>
      <c r="BA1208" s="761"/>
      <c r="BB1208" s="761"/>
      <c r="BC1208" s="761"/>
      <c r="BD1208" s="761"/>
      <c r="BE1208" s="761"/>
      <c r="BF1208" s="761"/>
      <c r="BG1208" s="761"/>
      <c r="BH1208" s="761"/>
      <c r="BI1208" s="761"/>
      <c r="BJ1208" s="761"/>
      <c r="BK1208" s="761"/>
      <c r="BL1208" s="761"/>
      <c r="BM1208" s="761"/>
    </row>
    <row r="1209" spans="1:65" s="1691" customFormat="1">
      <c r="A1209" s="762" t="s">
        <v>2339</v>
      </c>
      <c r="B1209" s="762" t="s">
        <v>2340</v>
      </c>
      <c r="C1209" s="762" t="s">
        <v>2476</v>
      </c>
      <c r="D1209" s="762">
        <v>67959824</v>
      </c>
      <c r="E1209" s="762" t="s">
        <v>2740</v>
      </c>
      <c r="F1209" s="762">
        <v>143007920</v>
      </c>
      <c r="G1209" s="762" t="s">
        <v>6945</v>
      </c>
      <c r="H1209" s="1917"/>
      <c r="I1209" s="762" t="s">
        <v>6867</v>
      </c>
      <c r="J1209" s="762">
        <v>1</v>
      </c>
      <c r="K1209" s="1911">
        <v>715.13</v>
      </c>
      <c r="L1209" s="1911">
        <v>56.74</v>
      </c>
      <c r="M1209" s="1911">
        <v>658.39</v>
      </c>
      <c r="N1209" s="1752" t="str">
        <f t="shared" si="20"/>
        <v>C391</v>
      </c>
      <c r="O1209" s="1752" t="s">
        <v>95</v>
      </c>
      <c r="P1209" s="1752" t="s">
        <v>2736</v>
      </c>
      <c r="Q1209" s="761"/>
      <c r="R1209" s="761"/>
      <c r="S1209" s="761"/>
      <c r="T1209" s="761"/>
      <c r="U1209" s="761"/>
      <c r="V1209" s="761"/>
      <c r="W1209" s="761"/>
      <c r="X1209" s="761"/>
      <c r="Y1209" s="761"/>
      <c r="Z1209" s="761"/>
      <c r="AA1209" s="761"/>
      <c r="AB1209" s="761"/>
      <c r="AC1209" s="761"/>
      <c r="AD1209" s="761"/>
      <c r="AE1209" s="761"/>
      <c r="AF1209" s="761"/>
      <c r="AG1209" s="761"/>
      <c r="AH1209" s="761"/>
      <c r="AI1209" s="761"/>
      <c r="AJ1209" s="761"/>
      <c r="AK1209" s="761"/>
      <c r="AL1209" s="761"/>
      <c r="AM1209" s="761"/>
      <c r="AN1209" s="761"/>
      <c r="AO1209" s="761"/>
      <c r="AP1209" s="761"/>
      <c r="AQ1209" s="761"/>
      <c r="AR1209" s="761"/>
      <c r="AS1209" s="761"/>
      <c r="AT1209" s="761"/>
      <c r="AU1209" s="761"/>
      <c r="AV1209" s="761"/>
      <c r="AW1209" s="761"/>
      <c r="AX1209" s="761"/>
      <c r="AY1209" s="761"/>
      <c r="AZ1209" s="761"/>
      <c r="BA1209" s="761"/>
      <c r="BB1209" s="761"/>
      <c r="BC1209" s="761"/>
      <c r="BD1209" s="761"/>
      <c r="BE1209" s="761"/>
      <c r="BF1209" s="761"/>
      <c r="BG1209" s="761"/>
      <c r="BH1209" s="761"/>
      <c r="BI1209" s="761"/>
      <c r="BJ1209" s="761"/>
      <c r="BK1209" s="761"/>
      <c r="BL1209" s="761"/>
      <c r="BM1209" s="761"/>
    </row>
    <row r="1210" spans="1:65" s="1691" customFormat="1">
      <c r="A1210" s="762" t="s">
        <v>2339</v>
      </c>
      <c r="B1210" s="762" t="s">
        <v>2340</v>
      </c>
      <c r="C1210" s="762" t="s">
        <v>2476</v>
      </c>
      <c r="D1210" s="762">
        <v>68173386</v>
      </c>
      <c r="E1210" s="762" t="s">
        <v>2740</v>
      </c>
      <c r="F1210" s="762">
        <v>143007090</v>
      </c>
      <c r="G1210" s="762" t="s">
        <v>6958</v>
      </c>
      <c r="H1210" s="1917" t="s">
        <v>7521</v>
      </c>
      <c r="I1210" s="762" t="s">
        <v>6867</v>
      </c>
      <c r="J1210" s="762">
        <v>1</v>
      </c>
      <c r="K1210" s="1911">
        <v>5543456.8799999999</v>
      </c>
      <c r="L1210" s="1911">
        <v>439813.93</v>
      </c>
      <c r="M1210" s="1911">
        <v>5103642.95</v>
      </c>
      <c r="N1210" s="1752" t="str">
        <f t="shared" si="20"/>
        <v>C391</v>
      </c>
      <c r="O1210" s="1752" t="s">
        <v>95</v>
      </c>
      <c r="P1210" s="1752" t="s">
        <v>2736</v>
      </c>
      <c r="Q1210" s="761"/>
      <c r="R1210" s="761"/>
      <c r="S1210" s="761"/>
      <c r="T1210" s="761"/>
      <c r="U1210" s="761"/>
      <c r="V1210" s="761"/>
      <c r="W1210" s="761"/>
      <c r="X1210" s="761"/>
      <c r="Y1210" s="761"/>
      <c r="Z1210" s="761"/>
      <c r="AA1210" s="761"/>
      <c r="AB1210" s="761"/>
      <c r="AC1210" s="761"/>
      <c r="AD1210" s="761"/>
      <c r="AE1210" s="761"/>
      <c r="AF1210" s="761"/>
      <c r="AG1210" s="761"/>
      <c r="AH1210" s="761"/>
      <c r="AI1210" s="761"/>
      <c r="AJ1210" s="761"/>
      <c r="AK1210" s="761"/>
      <c r="AL1210" s="761"/>
      <c r="AM1210" s="761"/>
      <c r="AN1210" s="761"/>
      <c r="AO1210" s="761"/>
      <c r="AP1210" s="761"/>
      <c r="AQ1210" s="761"/>
      <c r="AR1210" s="761"/>
      <c r="AS1210" s="761"/>
      <c r="AT1210" s="761"/>
      <c r="AU1210" s="761"/>
      <c r="AV1210" s="761"/>
      <c r="AW1210" s="761"/>
      <c r="AX1210" s="761"/>
      <c r="AY1210" s="761"/>
      <c r="AZ1210" s="761"/>
      <c r="BA1210" s="761"/>
      <c r="BB1210" s="761"/>
      <c r="BC1210" s="761"/>
      <c r="BD1210" s="761"/>
      <c r="BE1210" s="761"/>
      <c r="BF1210" s="761"/>
      <c r="BG1210" s="761"/>
      <c r="BH1210" s="761"/>
      <c r="BI1210" s="761"/>
      <c r="BJ1210" s="761"/>
      <c r="BK1210" s="761"/>
      <c r="BL1210" s="761"/>
      <c r="BM1210" s="761"/>
    </row>
    <row r="1211" spans="1:65" s="1690" customFormat="1">
      <c r="A1211" s="762" t="s">
        <v>2339</v>
      </c>
      <c r="B1211" s="762" t="s">
        <v>2340</v>
      </c>
      <c r="C1211" s="762" t="s">
        <v>2517</v>
      </c>
      <c r="D1211" s="762">
        <v>23721642</v>
      </c>
      <c r="E1211" s="762" t="s">
        <v>2935</v>
      </c>
      <c r="F1211" s="762">
        <v>143000500</v>
      </c>
      <c r="G1211" s="762" t="s">
        <v>2936</v>
      </c>
      <c r="H1211" s="762" t="s">
        <v>2936</v>
      </c>
      <c r="I1211" s="762" t="s">
        <v>6867</v>
      </c>
      <c r="J1211" s="762">
        <v>0</v>
      </c>
      <c r="K1211" s="1911">
        <v>79217.600000000006</v>
      </c>
      <c r="L1211" s="1911">
        <v>151540.17000000001</v>
      </c>
      <c r="M1211" s="1911">
        <v>-72322.570000000007</v>
      </c>
      <c r="N1211" s="1752" t="str">
        <f t="shared" si="20"/>
        <v>C392</v>
      </c>
      <c r="O1211" s="1752" t="s">
        <v>109</v>
      </c>
      <c r="P1211" s="1752" t="s">
        <v>2946</v>
      </c>
      <c r="Q1211" s="761"/>
      <c r="R1211" s="761"/>
      <c r="S1211" s="761"/>
      <c r="T1211" s="761"/>
      <c r="U1211" s="761"/>
      <c r="V1211" s="761"/>
      <c r="W1211" s="761"/>
      <c r="X1211" s="761"/>
      <c r="Y1211" s="761"/>
      <c r="Z1211" s="761"/>
      <c r="AA1211" s="761"/>
      <c r="AB1211" s="761"/>
      <c r="AC1211" s="761"/>
      <c r="AD1211" s="761"/>
      <c r="AE1211" s="761"/>
      <c r="AF1211" s="761"/>
      <c r="AG1211" s="761"/>
      <c r="AH1211" s="761"/>
      <c r="AI1211" s="761"/>
      <c r="AJ1211" s="761"/>
      <c r="AK1211" s="761"/>
      <c r="AL1211" s="761"/>
      <c r="AM1211" s="761"/>
      <c r="AN1211" s="761"/>
      <c r="AO1211" s="761"/>
      <c r="AP1211" s="761"/>
      <c r="AQ1211" s="761"/>
      <c r="AR1211" s="761"/>
      <c r="AS1211" s="761"/>
      <c r="AT1211" s="761"/>
      <c r="AU1211" s="761"/>
      <c r="AV1211" s="761"/>
      <c r="AW1211" s="761"/>
      <c r="AX1211" s="761"/>
      <c r="AY1211" s="761"/>
      <c r="AZ1211" s="761"/>
      <c r="BA1211" s="761"/>
      <c r="BB1211" s="761"/>
      <c r="BC1211" s="761"/>
      <c r="BD1211" s="761"/>
      <c r="BE1211" s="761"/>
      <c r="BF1211" s="761"/>
      <c r="BG1211" s="761"/>
      <c r="BH1211" s="761"/>
      <c r="BI1211" s="761"/>
      <c r="BJ1211" s="761"/>
      <c r="BK1211" s="761"/>
      <c r="BL1211" s="761"/>
      <c r="BM1211" s="761"/>
    </row>
    <row r="1212" spans="1:65" s="1690" customFormat="1">
      <c r="A1212" s="762" t="s">
        <v>2339</v>
      </c>
      <c r="B1212" s="762" t="s">
        <v>2340</v>
      </c>
      <c r="C1212" s="762" t="s">
        <v>2476</v>
      </c>
      <c r="D1212" s="762">
        <v>24038037</v>
      </c>
      <c r="E1212" s="762" t="s">
        <v>2935</v>
      </c>
      <c r="F1212" s="762">
        <v>143001927</v>
      </c>
      <c r="G1212" s="762" t="s">
        <v>2937</v>
      </c>
      <c r="H1212" s="762" t="s">
        <v>2937</v>
      </c>
      <c r="I1212" s="762" t="s">
        <v>6867</v>
      </c>
      <c r="J1212" s="762">
        <v>0</v>
      </c>
      <c r="K1212" s="1911">
        <v>10323.07</v>
      </c>
      <c r="L1212" s="1911">
        <v>19747.63</v>
      </c>
      <c r="M1212" s="1911">
        <v>-9424.56</v>
      </c>
      <c r="N1212" s="1752" t="str">
        <f t="shared" si="20"/>
        <v>C392</v>
      </c>
      <c r="O1212" s="1752" t="s">
        <v>109</v>
      </c>
      <c r="P1212" s="1752" t="s">
        <v>2946</v>
      </c>
      <c r="Q1212" s="761"/>
      <c r="R1212" s="761"/>
      <c r="S1212" s="761"/>
      <c r="T1212" s="761"/>
      <c r="U1212" s="761"/>
      <c r="V1212" s="761"/>
      <c r="W1212" s="761"/>
      <c r="X1212" s="761"/>
      <c r="Y1212" s="761"/>
      <c r="Z1212" s="761"/>
      <c r="AA1212" s="761"/>
      <c r="AB1212" s="761"/>
      <c r="AC1212" s="761"/>
      <c r="AD1212" s="761"/>
      <c r="AE1212" s="761"/>
      <c r="AF1212" s="761"/>
      <c r="AG1212" s="761"/>
      <c r="AH1212" s="761"/>
      <c r="AI1212" s="761"/>
      <c r="AJ1212" s="761"/>
      <c r="AK1212" s="761"/>
      <c r="AL1212" s="761"/>
      <c r="AM1212" s="761"/>
      <c r="AN1212" s="761"/>
      <c r="AO1212" s="761"/>
      <c r="AP1212" s="761"/>
      <c r="AQ1212" s="761"/>
      <c r="AR1212" s="761"/>
      <c r="AS1212" s="761"/>
      <c r="AT1212" s="761"/>
      <c r="AU1212" s="761"/>
      <c r="AV1212" s="761"/>
      <c r="AW1212" s="761"/>
      <c r="AX1212" s="761"/>
      <c r="AY1212" s="761"/>
      <c r="AZ1212" s="761"/>
      <c r="BA1212" s="761"/>
      <c r="BB1212" s="761"/>
      <c r="BC1212" s="761"/>
      <c r="BD1212" s="761"/>
      <c r="BE1212" s="761"/>
      <c r="BF1212" s="761"/>
      <c r="BG1212" s="761"/>
      <c r="BH1212" s="761"/>
      <c r="BI1212" s="761"/>
      <c r="BJ1212" s="761"/>
      <c r="BK1212" s="761"/>
      <c r="BL1212" s="761"/>
      <c r="BM1212" s="761"/>
    </row>
    <row r="1213" spans="1:65" s="1690" customFormat="1">
      <c r="A1213" s="762" t="s">
        <v>2339</v>
      </c>
      <c r="B1213" s="762" t="s">
        <v>2340</v>
      </c>
      <c r="C1213" s="762" t="s">
        <v>2476</v>
      </c>
      <c r="D1213" s="762">
        <v>34258057</v>
      </c>
      <c r="E1213" s="762" t="s">
        <v>2935</v>
      </c>
      <c r="F1213" s="762">
        <v>143002621</v>
      </c>
      <c r="G1213" s="762" t="s">
        <v>2939</v>
      </c>
      <c r="H1213" s="762" t="s">
        <v>7522</v>
      </c>
      <c r="I1213" s="762" t="s">
        <v>6867</v>
      </c>
      <c r="J1213" s="762">
        <v>0</v>
      </c>
      <c r="K1213" s="1911">
        <v>30322.560000000001</v>
      </c>
      <c r="L1213" s="1911">
        <v>50778.68</v>
      </c>
      <c r="M1213" s="1911">
        <v>-20456.12</v>
      </c>
      <c r="N1213" s="1752" t="str">
        <f t="shared" si="20"/>
        <v>C392</v>
      </c>
      <c r="O1213" s="1752" t="s">
        <v>109</v>
      </c>
      <c r="P1213" s="1752" t="s">
        <v>2946</v>
      </c>
      <c r="Q1213" s="761"/>
      <c r="R1213" s="761"/>
      <c r="S1213" s="761"/>
      <c r="T1213" s="761"/>
      <c r="U1213" s="761"/>
      <c r="V1213" s="761"/>
      <c r="W1213" s="761"/>
      <c r="X1213" s="761"/>
      <c r="Y1213" s="761"/>
      <c r="Z1213" s="761"/>
      <c r="AA1213" s="761"/>
      <c r="AB1213" s="761"/>
      <c r="AC1213" s="761"/>
      <c r="AD1213" s="761"/>
      <c r="AE1213" s="761"/>
      <c r="AF1213" s="761"/>
      <c r="AG1213" s="761"/>
      <c r="AH1213" s="761"/>
      <c r="AI1213" s="761"/>
      <c r="AJ1213" s="761"/>
      <c r="AK1213" s="761"/>
      <c r="AL1213" s="761"/>
      <c r="AM1213" s="761"/>
      <c r="AN1213" s="761"/>
      <c r="AO1213" s="761"/>
      <c r="AP1213" s="761"/>
      <c r="AQ1213" s="761"/>
      <c r="AR1213" s="761"/>
      <c r="AS1213" s="761"/>
      <c r="AT1213" s="761"/>
      <c r="AU1213" s="761"/>
      <c r="AV1213" s="761"/>
      <c r="AW1213" s="761"/>
      <c r="AX1213" s="761"/>
      <c r="AY1213" s="761"/>
      <c r="AZ1213" s="761"/>
      <c r="BA1213" s="761"/>
      <c r="BB1213" s="761"/>
      <c r="BC1213" s="761"/>
      <c r="BD1213" s="761"/>
      <c r="BE1213" s="761"/>
      <c r="BF1213" s="761"/>
      <c r="BG1213" s="761"/>
      <c r="BH1213" s="761"/>
      <c r="BI1213" s="761"/>
      <c r="BJ1213" s="761"/>
      <c r="BK1213" s="761"/>
      <c r="BL1213" s="761"/>
      <c r="BM1213" s="761"/>
    </row>
    <row r="1214" spans="1:65" s="1690" customFormat="1">
      <c r="A1214" s="762" t="s">
        <v>2339</v>
      </c>
      <c r="B1214" s="762" t="s">
        <v>2340</v>
      </c>
      <c r="C1214" s="762" t="s">
        <v>2709</v>
      </c>
      <c r="D1214" s="762">
        <v>33531601</v>
      </c>
      <c r="E1214" s="762" t="s">
        <v>2935</v>
      </c>
      <c r="F1214" s="762">
        <v>143002620</v>
      </c>
      <c r="G1214" s="762" t="s">
        <v>2938</v>
      </c>
      <c r="H1214" s="762" t="s">
        <v>7523</v>
      </c>
      <c r="I1214" s="762" t="s">
        <v>6867</v>
      </c>
      <c r="J1214" s="762">
        <v>1</v>
      </c>
      <c r="K1214" s="1911">
        <v>4140.63</v>
      </c>
      <c r="L1214" s="1911">
        <v>6933.97</v>
      </c>
      <c r="M1214" s="1911">
        <v>-2793.34</v>
      </c>
      <c r="N1214" s="1752" t="str">
        <f t="shared" si="20"/>
        <v>C392</v>
      </c>
      <c r="O1214" s="1752" t="s">
        <v>109</v>
      </c>
      <c r="P1214" s="1752" t="s">
        <v>2946</v>
      </c>
      <c r="Q1214" s="761"/>
      <c r="R1214" s="761"/>
      <c r="S1214" s="761"/>
      <c r="T1214" s="761"/>
      <c r="U1214" s="761"/>
      <c r="V1214" s="761"/>
      <c r="W1214" s="761"/>
      <c r="X1214" s="761"/>
      <c r="Y1214" s="761"/>
      <c r="Z1214" s="761"/>
      <c r="AA1214" s="761"/>
      <c r="AB1214" s="761"/>
      <c r="AC1214" s="761"/>
      <c r="AD1214" s="761"/>
      <c r="AE1214" s="761"/>
      <c r="AF1214" s="761"/>
      <c r="AG1214" s="761"/>
      <c r="AH1214" s="761"/>
      <c r="AI1214" s="761"/>
      <c r="AJ1214" s="761"/>
      <c r="AK1214" s="761"/>
      <c r="AL1214" s="761"/>
      <c r="AM1214" s="761"/>
      <c r="AN1214" s="761"/>
      <c r="AO1214" s="761"/>
      <c r="AP1214" s="761"/>
      <c r="AQ1214" s="761"/>
      <c r="AR1214" s="761"/>
      <c r="AS1214" s="761"/>
      <c r="AT1214" s="761"/>
      <c r="AU1214" s="761"/>
      <c r="AV1214" s="761"/>
      <c r="AW1214" s="761"/>
      <c r="AX1214" s="761"/>
      <c r="AY1214" s="761"/>
      <c r="AZ1214" s="761"/>
      <c r="BA1214" s="761"/>
      <c r="BB1214" s="761"/>
      <c r="BC1214" s="761"/>
      <c r="BD1214" s="761"/>
      <c r="BE1214" s="761"/>
      <c r="BF1214" s="761"/>
      <c r="BG1214" s="761"/>
      <c r="BH1214" s="761"/>
      <c r="BI1214" s="761"/>
      <c r="BJ1214" s="761"/>
      <c r="BK1214" s="761"/>
      <c r="BL1214" s="761"/>
      <c r="BM1214" s="761"/>
    </row>
    <row r="1215" spans="1:65" s="1690" customFormat="1">
      <c r="A1215" s="762" t="s">
        <v>2339</v>
      </c>
      <c r="B1215" s="762" t="s">
        <v>2340</v>
      </c>
      <c r="C1215" s="762" t="s">
        <v>2476</v>
      </c>
      <c r="D1215" s="762">
        <v>44445721</v>
      </c>
      <c r="E1215" s="762" t="s">
        <v>2935</v>
      </c>
      <c r="F1215" s="762">
        <v>143003848</v>
      </c>
      <c r="G1215" s="762" t="s">
        <v>2940</v>
      </c>
      <c r="H1215" s="762" t="s">
        <v>7524</v>
      </c>
      <c r="I1215" s="762" t="s">
        <v>6867</v>
      </c>
      <c r="J1215" s="762">
        <v>0</v>
      </c>
      <c r="K1215" s="1911">
        <v>167516.01999999999</v>
      </c>
      <c r="L1215" s="1911">
        <v>260562</v>
      </c>
      <c r="M1215" s="1911">
        <v>-93045.98</v>
      </c>
      <c r="N1215" s="1752" t="str">
        <f t="shared" si="20"/>
        <v>C392</v>
      </c>
      <c r="O1215" s="1752" t="s">
        <v>109</v>
      </c>
      <c r="P1215" s="1752" t="s">
        <v>2946</v>
      </c>
      <c r="Q1215" s="761"/>
      <c r="R1215" s="761"/>
      <c r="S1215" s="761"/>
      <c r="T1215" s="761"/>
      <c r="U1215" s="761"/>
      <c r="V1215" s="761"/>
      <c r="W1215" s="761"/>
      <c r="X1215" s="761"/>
      <c r="Y1215" s="761"/>
      <c r="Z1215" s="761"/>
      <c r="AA1215" s="761"/>
      <c r="AB1215" s="761"/>
      <c r="AC1215" s="761"/>
      <c r="AD1215" s="761"/>
      <c r="AE1215" s="761"/>
      <c r="AF1215" s="761"/>
      <c r="AG1215" s="761"/>
      <c r="AH1215" s="761"/>
      <c r="AI1215" s="761"/>
      <c r="AJ1215" s="761"/>
      <c r="AK1215" s="761"/>
      <c r="AL1215" s="761"/>
      <c r="AM1215" s="761"/>
      <c r="AN1215" s="761"/>
      <c r="AO1215" s="761"/>
      <c r="AP1215" s="761"/>
      <c r="AQ1215" s="761"/>
      <c r="AR1215" s="761"/>
      <c r="AS1215" s="761"/>
      <c r="AT1215" s="761"/>
      <c r="AU1215" s="761"/>
      <c r="AV1215" s="761"/>
      <c r="AW1215" s="761"/>
      <c r="AX1215" s="761"/>
      <c r="AY1215" s="761"/>
      <c r="AZ1215" s="761"/>
      <c r="BA1215" s="761"/>
      <c r="BB1215" s="761"/>
      <c r="BC1215" s="761"/>
      <c r="BD1215" s="761"/>
      <c r="BE1215" s="761"/>
      <c r="BF1215" s="761"/>
      <c r="BG1215" s="761"/>
      <c r="BH1215" s="761"/>
      <c r="BI1215" s="761"/>
      <c r="BJ1215" s="761"/>
      <c r="BK1215" s="761"/>
      <c r="BL1215" s="761"/>
      <c r="BM1215" s="761"/>
    </row>
    <row r="1216" spans="1:65" s="1690" customFormat="1">
      <c r="A1216" s="762" t="s">
        <v>2339</v>
      </c>
      <c r="B1216" s="762" t="s">
        <v>2340</v>
      </c>
      <c r="C1216" s="762" t="s">
        <v>2476</v>
      </c>
      <c r="D1216" s="762">
        <v>44445732</v>
      </c>
      <c r="E1216" s="762" t="s">
        <v>2935</v>
      </c>
      <c r="F1216" s="762">
        <v>143003891</v>
      </c>
      <c r="G1216" s="762" t="s">
        <v>2942</v>
      </c>
      <c r="H1216" s="762" t="s">
        <v>2942</v>
      </c>
      <c r="I1216" s="762" t="s">
        <v>6867</v>
      </c>
      <c r="J1216" s="762">
        <v>0</v>
      </c>
      <c r="K1216" s="1911">
        <v>430595.26</v>
      </c>
      <c r="L1216" s="1911">
        <v>618452.53</v>
      </c>
      <c r="M1216" s="1911">
        <v>-187857.27</v>
      </c>
      <c r="N1216" s="1752" t="str">
        <f t="shared" si="20"/>
        <v>C392</v>
      </c>
      <c r="O1216" s="1752" t="s">
        <v>109</v>
      </c>
      <c r="P1216" s="1752" t="s">
        <v>2946</v>
      </c>
      <c r="Q1216" s="761"/>
      <c r="R1216" s="761"/>
      <c r="S1216" s="761"/>
      <c r="T1216" s="761"/>
      <c r="U1216" s="761"/>
      <c r="V1216" s="761"/>
      <c r="W1216" s="761"/>
      <c r="X1216" s="761"/>
      <c r="Y1216" s="761"/>
      <c r="Z1216" s="761"/>
      <c r="AA1216" s="761"/>
      <c r="AB1216" s="761"/>
      <c r="AC1216" s="761"/>
      <c r="AD1216" s="761"/>
      <c r="AE1216" s="761"/>
      <c r="AF1216" s="761"/>
      <c r="AG1216" s="761"/>
      <c r="AH1216" s="761"/>
      <c r="AI1216" s="761"/>
      <c r="AJ1216" s="761"/>
      <c r="AK1216" s="761"/>
      <c r="AL1216" s="761"/>
      <c r="AM1216" s="761"/>
      <c r="AN1216" s="761"/>
      <c r="AO1216" s="761"/>
      <c r="AP1216" s="761"/>
      <c r="AQ1216" s="761"/>
      <c r="AR1216" s="761"/>
      <c r="AS1216" s="761"/>
      <c r="AT1216" s="761"/>
      <c r="AU1216" s="761"/>
      <c r="AV1216" s="761"/>
      <c r="AW1216" s="761"/>
      <c r="AX1216" s="761"/>
      <c r="AY1216" s="761"/>
      <c r="AZ1216" s="761"/>
      <c r="BA1216" s="761"/>
      <c r="BB1216" s="761"/>
      <c r="BC1216" s="761"/>
      <c r="BD1216" s="761"/>
      <c r="BE1216" s="761"/>
      <c r="BF1216" s="761"/>
      <c r="BG1216" s="761"/>
      <c r="BH1216" s="761"/>
      <c r="BI1216" s="761"/>
      <c r="BJ1216" s="761"/>
      <c r="BK1216" s="761"/>
      <c r="BL1216" s="761"/>
      <c r="BM1216" s="761"/>
    </row>
    <row r="1217" spans="1:65" s="1690" customFormat="1">
      <c r="A1217" s="762" t="s">
        <v>2339</v>
      </c>
      <c r="B1217" s="762" t="s">
        <v>2340</v>
      </c>
      <c r="C1217" s="762" t="s">
        <v>2709</v>
      </c>
      <c r="D1217" s="762">
        <v>45758205</v>
      </c>
      <c r="E1217" s="762" t="s">
        <v>2935</v>
      </c>
      <c r="F1217" s="762">
        <v>143003878</v>
      </c>
      <c r="G1217" s="762" t="s">
        <v>2941</v>
      </c>
      <c r="H1217" s="762" t="s">
        <v>7525</v>
      </c>
      <c r="I1217" s="762" t="s">
        <v>6867</v>
      </c>
      <c r="J1217" s="762">
        <v>0</v>
      </c>
      <c r="K1217" s="1911">
        <v>306654.46000000002</v>
      </c>
      <c r="L1217" s="1911">
        <v>440439.65</v>
      </c>
      <c r="M1217" s="1911">
        <v>-133785.19</v>
      </c>
      <c r="N1217" s="1752" t="str">
        <f t="shared" si="20"/>
        <v>C392</v>
      </c>
      <c r="O1217" s="1752" t="s">
        <v>109</v>
      </c>
      <c r="P1217" s="1752" t="s">
        <v>2946</v>
      </c>
      <c r="Q1217" s="761"/>
      <c r="R1217" s="761"/>
      <c r="S1217" s="761"/>
      <c r="T1217" s="761"/>
      <c r="U1217" s="761"/>
      <c r="V1217" s="761"/>
      <c r="W1217" s="761"/>
      <c r="X1217" s="761"/>
      <c r="Y1217" s="761"/>
      <c r="Z1217" s="761"/>
      <c r="AA1217" s="761"/>
      <c r="AB1217" s="761"/>
      <c r="AC1217" s="761"/>
      <c r="AD1217" s="761"/>
      <c r="AE1217" s="761"/>
      <c r="AF1217" s="761"/>
      <c r="AG1217" s="761"/>
      <c r="AH1217" s="761"/>
      <c r="AI1217" s="761"/>
      <c r="AJ1217" s="761"/>
      <c r="AK1217" s="761"/>
      <c r="AL1217" s="761"/>
      <c r="AM1217" s="761"/>
      <c r="AN1217" s="761"/>
      <c r="AO1217" s="761"/>
      <c r="AP1217" s="761"/>
      <c r="AQ1217" s="761"/>
      <c r="AR1217" s="761"/>
      <c r="AS1217" s="761"/>
      <c r="AT1217" s="761"/>
      <c r="AU1217" s="761"/>
      <c r="AV1217" s="761"/>
      <c r="AW1217" s="761"/>
      <c r="AX1217" s="761"/>
      <c r="AY1217" s="761"/>
      <c r="AZ1217" s="761"/>
      <c r="BA1217" s="761"/>
      <c r="BB1217" s="761"/>
      <c r="BC1217" s="761"/>
      <c r="BD1217" s="761"/>
      <c r="BE1217" s="761"/>
      <c r="BF1217" s="761"/>
      <c r="BG1217" s="761"/>
      <c r="BH1217" s="761"/>
      <c r="BI1217" s="761"/>
      <c r="BJ1217" s="761"/>
      <c r="BK1217" s="761"/>
      <c r="BL1217" s="761"/>
      <c r="BM1217" s="761"/>
    </row>
    <row r="1218" spans="1:65" s="1690" customFormat="1">
      <c r="A1218" s="762" t="s">
        <v>2339</v>
      </c>
      <c r="B1218" s="762" t="s">
        <v>2340</v>
      </c>
      <c r="C1218" s="762" t="s">
        <v>2476</v>
      </c>
      <c r="D1218" s="762">
        <v>44534605</v>
      </c>
      <c r="E1218" s="762" t="s">
        <v>2935</v>
      </c>
      <c r="F1218" s="762">
        <v>143004804</v>
      </c>
      <c r="G1218" s="762" t="s">
        <v>2943</v>
      </c>
      <c r="H1218" s="762" t="s">
        <v>7526</v>
      </c>
      <c r="I1218" s="762" t="s">
        <v>6867</v>
      </c>
      <c r="J1218" s="762">
        <v>4</v>
      </c>
      <c r="K1218" s="1911">
        <v>25407.78</v>
      </c>
      <c r="L1218" s="1911">
        <v>36492.520000000004</v>
      </c>
      <c r="M1218" s="1911">
        <v>-11084.74</v>
      </c>
      <c r="N1218" s="1752" t="str">
        <f t="shared" si="20"/>
        <v>C392</v>
      </c>
      <c r="O1218" s="1752" t="s">
        <v>109</v>
      </c>
      <c r="P1218" s="1752" t="s">
        <v>2946</v>
      </c>
      <c r="Q1218" s="761"/>
      <c r="R1218" s="761"/>
      <c r="S1218" s="761"/>
      <c r="T1218" s="761"/>
      <c r="U1218" s="761"/>
      <c r="V1218" s="761"/>
      <c r="W1218" s="761"/>
      <c r="X1218" s="761"/>
      <c r="Y1218" s="761"/>
      <c r="Z1218" s="761"/>
      <c r="AA1218" s="761"/>
      <c r="AB1218" s="761"/>
      <c r="AC1218" s="761"/>
      <c r="AD1218" s="761"/>
      <c r="AE1218" s="761"/>
      <c r="AF1218" s="761"/>
      <c r="AG1218" s="761"/>
      <c r="AH1218" s="761"/>
      <c r="AI1218" s="761"/>
      <c r="AJ1218" s="761"/>
      <c r="AK1218" s="761"/>
      <c r="AL1218" s="761"/>
      <c r="AM1218" s="761"/>
      <c r="AN1218" s="761"/>
      <c r="AO1218" s="761"/>
      <c r="AP1218" s="761"/>
      <c r="AQ1218" s="761"/>
      <c r="AR1218" s="761"/>
      <c r="AS1218" s="761"/>
      <c r="AT1218" s="761"/>
      <c r="AU1218" s="761"/>
      <c r="AV1218" s="761"/>
      <c r="AW1218" s="761"/>
      <c r="AX1218" s="761"/>
      <c r="AY1218" s="761"/>
      <c r="AZ1218" s="761"/>
      <c r="BA1218" s="761"/>
      <c r="BB1218" s="761"/>
      <c r="BC1218" s="761"/>
      <c r="BD1218" s="761"/>
      <c r="BE1218" s="761"/>
      <c r="BF1218" s="761"/>
      <c r="BG1218" s="761"/>
      <c r="BH1218" s="761"/>
      <c r="BI1218" s="761"/>
      <c r="BJ1218" s="761"/>
      <c r="BK1218" s="761"/>
      <c r="BL1218" s="761"/>
      <c r="BM1218" s="761"/>
    </row>
    <row r="1219" spans="1:65" s="1690" customFormat="1">
      <c r="A1219" s="762" t="s">
        <v>2339</v>
      </c>
      <c r="B1219" s="762" t="s">
        <v>2340</v>
      </c>
      <c r="C1219" s="762" t="s">
        <v>2476</v>
      </c>
      <c r="D1219" s="762">
        <v>49945268</v>
      </c>
      <c r="E1219" s="762" t="s">
        <v>2935</v>
      </c>
      <c r="F1219" s="762">
        <v>143005461</v>
      </c>
      <c r="G1219" s="762" t="s">
        <v>2944</v>
      </c>
      <c r="H1219" s="762" t="s">
        <v>7527</v>
      </c>
      <c r="I1219" s="762" t="s">
        <v>6867</v>
      </c>
      <c r="J1219" s="762">
        <v>1</v>
      </c>
      <c r="K1219" s="1911">
        <v>59517.11</v>
      </c>
      <c r="L1219" s="1911">
        <v>78390.080000000002</v>
      </c>
      <c r="M1219" s="1911">
        <v>-18872.97</v>
      </c>
      <c r="N1219" s="1752" t="str">
        <f t="shared" si="20"/>
        <v>C392</v>
      </c>
      <c r="O1219" s="1752" t="s">
        <v>109</v>
      </c>
      <c r="P1219" s="1752" t="s">
        <v>2946</v>
      </c>
      <c r="Q1219" s="761"/>
      <c r="R1219" s="761"/>
      <c r="S1219" s="761"/>
      <c r="T1219" s="761"/>
      <c r="U1219" s="761"/>
      <c r="V1219" s="761"/>
      <c r="W1219" s="761"/>
      <c r="X1219" s="761"/>
      <c r="Y1219" s="761"/>
      <c r="Z1219" s="761"/>
      <c r="AA1219" s="761"/>
      <c r="AB1219" s="761"/>
      <c r="AC1219" s="761"/>
      <c r="AD1219" s="761"/>
      <c r="AE1219" s="761"/>
      <c r="AF1219" s="761"/>
      <c r="AG1219" s="761"/>
      <c r="AH1219" s="761"/>
      <c r="AI1219" s="761"/>
      <c r="AJ1219" s="761"/>
      <c r="AK1219" s="761"/>
      <c r="AL1219" s="761"/>
      <c r="AM1219" s="761"/>
      <c r="AN1219" s="761"/>
      <c r="AO1219" s="761"/>
      <c r="AP1219" s="761"/>
      <c r="AQ1219" s="761"/>
      <c r="AR1219" s="761"/>
      <c r="AS1219" s="761"/>
      <c r="AT1219" s="761"/>
      <c r="AU1219" s="761"/>
      <c r="AV1219" s="761"/>
      <c r="AW1219" s="761"/>
      <c r="AX1219" s="761"/>
      <c r="AY1219" s="761"/>
      <c r="AZ1219" s="761"/>
      <c r="BA1219" s="761"/>
      <c r="BB1219" s="761"/>
      <c r="BC1219" s="761"/>
      <c r="BD1219" s="761"/>
      <c r="BE1219" s="761"/>
      <c r="BF1219" s="761"/>
      <c r="BG1219" s="761"/>
      <c r="BH1219" s="761"/>
      <c r="BI1219" s="761"/>
      <c r="BJ1219" s="761"/>
      <c r="BK1219" s="761"/>
      <c r="BL1219" s="761"/>
      <c r="BM1219" s="761"/>
    </row>
    <row r="1220" spans="1:65" s="1691" customFormat="1">
      <c r="A1220" s="762" t="s">
        <v>2339</v>
      </c>
      <c r="B1220" s="762" t="s">
        <v>2340</v>
      </c>
      <c r="C1220" s="762" t="s">
        <v>2476</v>
      </c>
      <c r="D1220" s="762">
        <v>67206471</v>
      </c>
      <c r="E1220" s="762" t="s">
        <v>2935</v>
      </c>
      <c r="F1220" s="762">
        <v>143006509</v>
      </c>
      <c r="G1220" s="762" t="s">
        <v>2945</v>
      </c>
      <c r="H1220" s="1917" t="s">
        <v>7528</v>
      </c>
      <c r="I1220" s="762" t="s">
        <v>6867</v>
      </c>
      <c r="J1220" s="762">
        <v>0</v>
      </c>
      <c r="K1220" s="1911">
        <v>195935.1</v>
      </c>
      <c r="L1220" s="1911">
        <v>211366.52000000002</v>
      </c>
      <c r="M1220" s="1911">
        <v>-15431.42</v>
      </c>
      <c r="N1220" s="1752" t="str">
        <f t="shared" si="20"/>
        <v>C392</v>
      </c>
      <c r="O1220" s="1752" t="s">
        <v>109</v>
      </c>
      <c r="P1220" s="1752" t="s">
        <v>2946</v>
      </c>
      <c r="Q1220" s="761"/>
      <c r="R1220" s="761"/>
      <c r="S1220" s="761"/>
      <c r="T1220" s="761"/>
      <c r="U1220" s="761"/>
      <c r="V1220" s="761"/>
      <c r="W1220" s="761"/>
      <c r="X1220" s="761"/>
      <c r="Y1220" s="761"/>
      <c r="Z1220" s="761"/>
      <c r="AA1220" s="761"/>
      <c r="AB1220" s="761"/>
      <c r="AC1220" s="761"/>
      <c r="AD1220" s="761"/>
      <c r="AE1220" s="761"/>
      <c r="AF1220" s="761"/>
      <c r="AG1220" s="761"/>
      <c r="AH1220" s="761"/>
      <c r="AI1220" s="761"/>
      <c r="AJ1220" s="761"/>
      <c r="AK1220" s="761"/>
      <c r="AL1220" s="761"/>
      <c r="AM1220" s="761"/>
      <c r="AN1220" s="761"/>
      <c r="AO1220" s="761"/>
      <c r="AP1220" s="761"/>
      <c r="AQ1220" s="761"/>
      <c r="AR1220" s="761"/>
      <c r="AS1220" s="761"/>
      <c r="AT1220" s="761"/>
      <c r="AU1220" s="761"/>
      <c r="AV1220" s="761"/>
      <c r="AW1220" s="761"/>
      <c r="AX1220" s="761"/>
      <c r="AY1220" s="761"/>
      <c r="AZ1220" s="761"/>
      <c r="BA1220" s="761"/>
      <c r="BB1220" s="761"/>
      <c r="BC1220" s="761"/>
      <c r="BD1220" s="761"/>
      <c r="BE1220" s="761"/>
      <c r="BF1220" s="761"/>
      <c r="BG1220" s="761"/>
      <c r="BH1220" s="761"/>
      <c r="BI1220" s="761"/>
      <c r="BJ1220" s="761"/>
      <c r="BK1220" s="761"/>
      <c r="BL1220" s="761"/>
      <c r="BM1220" s="761"/>
    </row>
    <row r="1221" spans="1:65" s="1691" customFormat="1">
      <c r="A1221" s="762" t="s">
        <v>2339</v>
      </c>
      <c r="B1221" s="762" t="s">
        <v>2340</v>
      </c>
      <c r="C1221" s="762" t="s">
        <v>2476</v>
      </c>
      <c r="D1221" s="762">
        <v>68173446</v>
      </c>
      <c r="E1221" s="762" t="s">
        <v>2935</v>
      </c>
      <c r="F1221" s="762">
        <v>143007212</v>
      </c>
      <c r="G1221" s="762" t="s">
        <v>6959</v>
      </c>
      <c r="H1221" s="1917" t="s">
        <v>7528</v>
      </c>
      <c r="I1221" s="762" t="s">
        <v>6867</v>
      </c>
      <c r="J1221" s="762">
        <v>1</v>
      </c>
      <c r="K1221" s="1911">
        <v>160148.65</v>
      </c>
      <c r="L1221" s="1911">
        <v>153676.39000000001</v>
      </c>
      <c r="M1221" s="1911">
        <v>6472.26</v>
      </c>
      <c r="N1221" s="1752" t="str">
        <f t="shared" si="20"/>
        <v>C392</v>
      </c>
      <c r="O1221" s="1752" t="s">
        <v>109</v>
      </c>
      <c r="P1221" s="1752" t="s">
        <v>2946</v>
      </c>
      <c r="Q1221" s="761"/>
      <c r="R1221" s="761"/>
      <c r="S1221" s="761"/>
      <c r="T1221" s="761"/>
      <c r="U1221" s="761"/>
      <c r="V1221" s="761"/>
      <c r="W1221" s="761"/>
      <c r="X1221" s="761"/>
      <c r="Y1221" s="761"/>
      <c r="Z1221" s="761"/>
      <c r="AA1221" s="761"/>
      <c r="AB1221" s="761"/>
      <c r="AC1221" s="761"/>
      <c r="AD1221" s="761"/>
      <c r="AE1221" s="761"/>
      <c r="AF1221" s="761"/>
      <c r="AG1221" s="761"/>
      <c r="AH1221" s="761"/>
      <c r="AI1221" s="761"/>
      <c r="AJ1221" s="761"/>
      <c r="AK1221" s="761"/>
      <c r="AL1221" s="761"/>
      <c r="AM1221" s="761"/>
      <c r="AN1221" s="761"/>
      <c r="AO1221" s="761"/>
      <c r="AP1221" s="761"/>
      <c r="AQ1221" s="761"/>
      <c r="AR1221" s="761"/>
      <c r="AS1221" s="761"/>
      <c r="AT1221" s="761"/>
      <c r="AU1221" s="761"/>
      <c r="AV1221" s="761"/>
      <c r="AW1221" s="761"/>
      <c r="AX1221" s="761"/>
      <c r="AY1221" s="761"/>
      <c r="AZ1221" s="761"/>
      <c r="BA1221" s="761"/>
      <c r="BB1221" s="761"/>
      <c r="BC1221" s="761"/>
      <c r="BD1221" s="761"/>
      <c r="BE1221" s="761"/>
      <c r="BF1221" s="761"/>
      <c r="BG1221" s="761"/>
      <c r="BH1221" s="761"/>
      <c r="BI1221" s="761"/>
      <c r="BJ1221" s="761"/>
      <c r="BK1221" s="761"/>
      <c r="BL1221" s="761"/>
      <c r="BM1221" s="761"/>
    </row>
    <row r="1222" spans="1:65" s="1690" customFormat="1">
      <c r="A1222" s="761" t="s">
        <v>2339</v>
      </c>
      <c r="B1222" s="761" t="s">
        <v>2340</v>
      </c>
      <c r="C1222" s="761" t="s">
        <v>2362</v>
      </c>
      <c r="D1222" s="761">
        <v>36543790</v>
      </c>
      <c r="E1222" s="761" t="s">
        <v>2947</v>
      </c>
      <c r="F1222" s="761" t="s">
        <v>2357</v>
      </c>
      <c r="G1222" s="761"/>
      <c r="H1222" s="761"/>
      <c r="I1222" s="761" t="s">
        <v>6867</v>
      </c>
      <c r="J1222" s="761">
        <v>0</v>
      </c>
      <c r="K1222" s="746">
        <v>38901.93</v>
      </c>
      <c r="L1222" s="746">
        <v>25160.13</v>
      </c>
      <c r="M1222" s="746">
        <v>13741.800000000001</v>
      </c>
      <c r="N1222" s="493" t="str">
        <f t="shared" si="20"/>
        <v>C393</v>
      </c>
      <c r="O1222" s="493" t="s">
        <v>99</v>
      </c>
      <c r="P1222" s="493" t="s">
        <v>8008</v>
      </c>
      <c r="Q1222" s="761"/>
      <c r="R1222" s="761"/>
      <c r="S1222" s="761"/>
      <c r="T1222" s="761"/>
      <c r="U1222" s="761"/>
      <c r="V1222" s="761"/>
      <c r="W1222" s="761"/>
      <c r="X1222" s="761"/>
      <c r="Y1222" s="761"/>
      <c r="Z1222" s="761"/>
      <c r="AA1222" s="761"/>
      <c r="AB1222" s="761"/>
      <c r="AC1222" s="761"/>
      <c r="AD1222" s="761"/>
      <c r="AE1222" s="761"/>
      <c r="AF1222" s="761"/>
      <c r="AG1222" s="761"/>
      <c r="AH1222" s="761"/>
      <c r="AI1222" s="761"/>
      <c r="AJ1222" s="761"/>
      <c r="AK1222" s="761"/>
      <c r="AL1222" s="761"/>
      <c r="AM1222" s="761"/>
      <c r="AN1222" s="761"/>
      <c r="AO1222" s="761"/>
      <c r="AP1222" s="761"/>
      <c r="AQ1222" s="761"/>
      <c r="AR1222" s="761"/>
      <c r="AS1222" s="761"/>
      <c r="AT1222" s="761"/>
      <c r="AU1222" s="761"/>
      <c r="AV1222" s="761"/>
      <c r="AW1222" s="761"/>
      <c r="AX1222" s="761"/>
      <c r="AY1222" s="761"/>
      <c r="AZ1222" s="761"/>
      <c r="BA1222" s="761"/>
      <c r="BB1222" s="761"/>
      <c r="BC1222" s="761"/>
      <c r="BD1222" s="761"/>
      <c r="BE1222" s="761"/>
      <c r="BF1222" s="761"/>
      <c r="BG1222" s="761"/>
      <c r="BH1222" s="761"/>
      <c r="BI1222" s="761"/>
      <c r="BJ1222" s="761"/>
      <c r="BK1222" s="761"/>
      <c r="BL1222" s="761"/>
      <c r="BM1222" s="761"/>
    </row>
    <row r="1223" spans="1:65" s="1690" customFormat="1">
      <c r="A1223" s="761" t="s">
        <v>2339</v>
      </c>
      <c r="B1223" s="761" t="s">
        <v>2340</v>
      </c>
      <c r="C1223" s="761" t="s">
        <v>2517</v>
      </c>
      <c r="D1223" s="761">
        <v>5712959</v>
      </c>
      <c r="E1223" s="761" t="s">
        <v>2947</v>
      </c>
      <c r="F1223" s="761">
        <v>130003983</v>
      </c>
      <c r="G1223" s="761" t="s">
        <v>2948</v>
      </c>
      <c r="H1223" s="761" t="s">
        <v>7529</v>
      </c>
      <c r="I1223" s="761" t="s">
        <v>6867</v>
      </c>
      <c r="J1223" s="761">
        <v>0</v>
      </c>
      <c r="K1223" s="746">
        <v>38474.870000000003</v>
      </c>
      <c r="L1223" s="746">
        <v>16954.86</v>
      </c>
      <c r="M1223" s="746">
        <v>21520.010000000002</v>
      </c>
      <c r="N1223" s="493" t="str">
        <f t="shared" si="20"/>
        <v>C393</v>
      </c>
      <c r="O1223" s="493" t="s">
        <v>99</v>
      </c>
      <c r="P1223" s="493" t="s">
        <v>8008</v>
      </c>
      <c r="Q1223" s="761"/>
      <c r="R1223" s="761"/>
      <c r="S1223" s="761"/>
      <c r="T1223" s="761"/>
      <c r="U1223" s="761"/>
      <c r="V1223" s="761"/>
      <c r="W1223" s="761"/>
      <c r="X1223" s="761"/>
      <c r="Y1223" s="761"/>
      <c r="Z1223" s="761"/>
      <c r="AA1223" s="761"/>
      <c r="AB1223" s="761"/>
      <c r="AC1223" s="761"/>
      <c r="AD1223" s="761"/>
      <c r="AE1223" s="761"/>
      <c r="AF1223" s="761"/>
      <c r="AG1223" s="761"/>
      <c r="AH1223" s="761"/>
      <c r="AI1223" s="761"/>
      <c r="AJ1223" s="761"/>
      <c r="AK1223" s="761"/>
      <c r="AL1223" s="761"/>
      <c r="AM1223" s="761"/>
      <c r="AN1223" s="761"/>
      <c r="AO1223" s="761"/>
      <c r="AP1223" s="761"/>
      <c r="AQ1223" s="761"/>
      <c r="AR1223" s="761"/>
      <c r="AS1223" s="761"/>
      <c r="AT1223" s="761"/>
      <c r="AU1223" s="761"/>
      <c r="AV1223" s="761"/>
      <c r="AW1223" s="761"/>
      <c r="AX1223" s="761"/>
      <c r="AY1223" s="761"/>
      <c r="AZ1223" s="761"/>
      <c r="BA1223" s="761"/>
      <c r="BB1223" s="761"/>
      <c r="BC1223" s="761"/>
      <c r="BD1223" s="761"/>
      <c r="BE1223" s="761"/>
      <c r="BF1223" s="761"/>
      <c r="BG1223" s="761"/>
      <c r="BH1223" s="761"/>
      <c r="BI1223" s="761"/>
      <c r="BJ1223" s="761"/>
      <c r="BK1223" s="761"/>
      <c r="BL1223" s="761"/>
      <c r="BM1223" s="761"/>
    </row>
    <row r="1224" spans="1:65" s="1690" customFormat="1">
      <c r="A1224" s="761" t="s">
        <v>2339</v>
      </c>
      <c r="B1224" s="761" t="s">
        <v>2340</v>
      </c>
      <c r="C1224" s="761" t="s">
        <v>2517</v>
      </c>
      <c r="D1224" s="761">
        <v>7627435</v>
      </c>
      <c r="E1224" s="761" t="s">
        <v>2947</v>
      </c>
      <c r="F1224" s="761">
        <v>130003983</v>
      </c>
      <c r="G1224" s="761" t="s">
        <v>2948</v>
      </c>
      <c r="H1224" s="761" t="s">
        <v>7529</v>
      </c>
      <c r="I1224" s="761" t="s">
        <v>6867</v>
      </c>
      <c r="J1224" s="761">
        <v>0</v>
      </c>
      <c r="K1224" s="746">
        <v>15198.970000000001</v>
      </c>
      <c r="L1224" s="746">
        <v>7509.13</v>
      </c>
      <c r="M1224" s="746">
        <v>7689.84</v>
      </c>
      <c r="N1224" s="493" t="str">
        <f t="shared" si="20"/>
        <v>C393</v>
      </c>
      <c r="O1224" s="493" t="s">
        <v>99</v>
      </c>
      <c r="P1224" s="493" t="s">
        <v>8008</v>
      </c>
      <c r="Q1224" s="761"/>
      <c r="R1224" s="761"/>
      <c r="S1224" s="761"/>
      <c r="T1224" s="761"/>
      <c r="U1224" s="761"/>
      <c r="V1224" s="761"/>
      <c r="W1224" s="761"/>
      <c r="X1224" s="761"/>
      <c r="Y1224" s="761"/>
      <c r="Z1224" s="761"/>
      <c r="AA1224" s="761"/>
      <c r="AB1224" s="761"/>
      <c r="AC1224" s="761"/>
      <c r="AD1224" s="761"/>
      <c r="AE1224" s="761"/>
      <c r="AF1224" s="761"/>
      <c r="AG1224" s="761"/>
      <c r="AH1224" s="761"/>
      <c r="AI1224" s="761"/>
      <c r="AJ1224" s="761"/>
      <c r="AK1224" s="761"/>
      <c r="AL1224" s="761"/>
      <c r="AM1224" s="761"/>
      <c r="AN1224" s="761"/>
      <c r="AO1224" s="761"/>
      <c r="AP1224" s="761"/>
      <c r="AQ1224" s="761"/>
      <c r="AR1224" s="761"/>
      <c r="AS1224" s="761"/>
      <c r="AT1224" s="761"/>
      <c r="AU1224" s="761"/>
      <c r="AV1224" s="761"/>
      <c r="AW1224" s="761"/>
      <c r="AX1224" s="761"/>
      <c r="AY1224" s="761"/>
      <c r="AZ1224" s="761"/>
      <c r="BA1224" s="761"/>
      <c r="BB1224" s="761"/>
      <c r="BC1224" s="761"/>
      <c r="BD1224" s="761"/>
      <c r="BE1224" s="761"/>
      <c r="BF1224" s="761"/>
      <c r="BG1224" s="761"/>
      <c r="BH1224" s="761"/>
      <c r="BI1224" s="761"/>
      <c r="BJ1224" s="761"/>
      <c r="BK1224" s="761"/>
      <c r="BL1224" s="761"/>
      <c r="BM1224" s="761"/>
    </row>
    <row r="1225" spans="1:65" s="1690" customFormat="1">
      <c r="A1225" s="761" t="s">
        <v>2339</v>
      </c>
      <c r="B1225" s="761" t="s">
        <v>2340</v>
      </c>
      <c r="C1225" s="761" t="s">
        <v>2745</v>
      </c>
      <c r="D1225" s="761">
        <v>36543817</v>
      </c>
      <c r="E1225" s="761" t="s">
        <v>2949</v>
      </c>
      <c r="F1225" s="761" t="s">
        <v>2357</v>
      </c>
      <c r="G1225" s="761"/>
      <c r="H1225" s="761"/>
      <c r="I1225" s="761" t="s">
        <v>6867</v>
      </c>
      <c r="J1225" s="761">
        <v>0</v>
      </c>
      <c r="K1225" s="746">
        <v>144193.65</v>
      </c>
      <c r="L1225" s="746">
        <v>144193.31</v>
      </c>
      <c r="M1225" s="746">
        <v>0.34</v>
      </c>
      <c r="N1225" s="493" t="str">
        <f t="shared" si="20"/>
        <v>C394</v>
      </c>
      <c r="O1225" s="493" t="s">
        <v>99</v>
      </c>
      <c r="P1225" s="493" t="s">
        <v>8009</v>
      </c>
      <c r="Q1225" s="761"/>
      <c r="R1225" s="761"/>
      <c r="S1225" s="761"/>
      <c r="T1225" s="761"/>
      <c r="U1225" s="761"/>
      <c r="V1225" s="761"/>
      <c r="W1225" s="761"/>
      <c r="X1225" s="761"/>
      <c r="Y1225" s="761"/>
      <c r="Z1225" s="761"/>
      <c r="AA1225" s="761"/>
      <c r="AB1225" s="761"/>
      <c r="AC1225" s="761"/>
      <c r="AD1225" s="761"/>
      <c r="AE1225" s="761"/>
      <c r="AF1225" s="761"/>
      <c r="AG1225" s="761"/>
      <c r="AH1225" s="761"/>
      <c r="AI1225" s="761"/>
      <c r="AJ1225" s="761"/>
      <c r="AK1225" s="761"/>
      <c r="AL1225" s="761"/>
      <c r="AM1225" s="761"/>
      <c r="AN1225" s="761"/>
      <c r="AO1225" s="761"/>
      <c r="AP1225" s="761"/>
      <c r="AQ1225" s="761"/>
      <c r="AR1225" s="761"/>
      <c r="AS1225" s="761"/>
      <c r="AT1225" s="761"/>
      <c r="AU1225" s="761"/>
      <c r="AV1225" s="761"/>
      <c r="AW1225" s="761"/>
      <c r="AX1225" s="761"/>
      <c r="AY1225" s="761"/>
      <c r="AZ1225" s="761"/>
      <c r="BA1225" s="761"/>
      <c r="BB1225" s="761"/>
      <c r="BC1225" s="761"/>
      <c r="BD1225" s="761"/>
      <c r="BE1225" s="761"/>
      <c r="BF1225" s="761"/>
      <c r="BG1225" s="761"/>
      <c r="BH1225" s="761"/>
      <c r="BI1225" s="761"/>
      <c r="BJ1225" s="761"/>
      <c r="BK1225" s="761"/>
      <c r="BL1225" s="761"/>
      <c r="BM1225" s="761"/>
    </row>
    <row r="1226" spans="1:65" s="1690" customFormat="1">
      <c r="A1226" s="761" t="s">
        <v>2339</v>
      </c>
      <c r="B1226" s="761" t="s">
        <v>2340</v>
      </c>
      <c r="C1226" s="761" t="s">
        <v>2490</v>
      </c>
      <c r="D1226" s="761">
        <v>36543828</v>
      </c>
      <c r="E1226" s="761" t="s">
        <v>2949</v>
      </c>
      <c r="F1226" s="761" t="s">
        <v>2357</v>
      </c>
      <c r="G1226" s="761"/>
      <c r="H1226" s="761"/>
      <c r="I1226" s="761" t="s">
        <v>6867</v>
      </c>
      <c r="J1226" s="761">
        <v>1</v>
      </c>
      <c r="K1226" s="746">
        <v>4392.9400000000005</v>
      </c>
      <c r="L1226" s="746">
        <v>4392.93</v>
      </c>
      <c r="M1226" s="746">
        <v>0.01</v>
      </c>
      <c r="N1226" s="493" t="str">
        <f t="shared" si="20"/>
        <v>C394</v>
      </c>
      <c r="O1226" s="493" t="s">
        <v>99</v>
      </c>
      <c r="P1226" s="493" t="s">
        <v>8009</v>
      </c>
      <c r="Q1226" s="761"/>
      <c r="R1226" s="761"/>
      <c r="S1226" s="761"/>
      <c r="T1226" s="761"/>
      <c r="U1226" s="761"/>
      <c r="V1226" s="761"/>
      <c r="W1226" s="761"/>
      <c r="X1226" s="761"/>
      <c r="Y1226" s="761"/>
      <c r="Z1226" s="761"/>
      <c r="AA1226" s="761"/>
      <c r="AB1226" s="761"/>
      <c r="AC1226" s="761"/>
      <c r="AD1226" s="761"/>
      <c r="AE1226" s="761"/>
      <c r="AF1226" s="761"/>
      <c r="AG1226" s="761"/>
      <c r="AH1226" s="761"/>
      <c r="AI1226" s="761"/>
      <c r="AJ1226" s="761"/>
      <c r="AK1226" s="761"/>
      <c r="AL1226" s="761"/>
      <c r="AM1226" s="761"/>
      <c r="AN1226" s="761"/>
      <c r="AO1226" s="761"/>
      <c r="AP1226" s="761"/>
      <c r="AQ1226" s="761"/>
      <c r="AR1226" s="761"/>
      <c r="AS1226" s="761"/>
      <c r="AT1226" s="761"/>
      <c r="AU1226" s="761"/>
      <c r="AV1226" s="761"/>
      <c r="AW1226" s="761"/>
      <c r="AX1226" s="761"/>
      <c r="AY1226" s="761"/>
      <c r="AZ1226" s="761"/>
      <c r="BA1226" s="761"/>
      <c r="BB1226" s="761"/>
      <c r="BC1226" s="761"/>
      <c r="BD1226" s="761"/>
      <c r="BE1226" s="761"/>
      <c r="BF1226" s="761"/>
      <c r="BG1226" s="761"/>
      <c r="BH1226" s="761"/>
      <c r="BI1226" s="761"/>
      <c r="BJ1226" s="761"/>
      <c r="BK1226" s="761"/>
      <c r="BL1226" s="761"/>
      <c r="BM1226" s="761"/>
    </row>
    <row r="1227" spans="1:65" s="1690" customFormat="1">
      <c r="A1227" s="761" t="s">
        <v>2339</v>
      </c>
      <c r="B1227" s="761" t="s">
        <v>2340</v>
      </c>
      <c r="C1227" s="761" t="s">
        <v>2745</v>
      </c>
      <c r="D1227" s="761">
        <v>36543839</v>
      </c>
      <c r="E1227" s="761" t="s">
        <v>2949</v>
      </c>
      <c r="F1227" s="761" t="s">
        <v>2357</v>
      </c>
      <c r="G1227" s="761"/>
      <c r="H1227" s="761"/>
      <c r="I1227" s="761" t="s">
        <v>6867</v>
      </c>
      <c r="J1227" s="761">
        <v>0</v>
      </c>
      <c r="K1227" s="746">
        <v>82389.91</v>
      </c>
      <c r="L1227" s="746">
        <v>82375.210000000006</v>
      </c>
      <c r="M1227" s="746">
        <v>14.700000000000001</v>
      </c>
      <c r="N1227" s="493" t="str">
        <f t="shared" si="20"/>
        <v>C394</v>
      </c>
      <c r="O1227" s="493" t="s">
        <v>99</v>
      </c>
      <c r="P1227" s="493" t="s">
        <v>8009</v>
      </c>
      <c r="Q1227" s="761"/>
      <c r="R1227" s="761"/>
      <c r="S1227" s="761"/>
      <c r="T1227" s="761"/>
      <c r="U1227" s="761"/>
      <c r="V1227" s="761"/>
      <c r="W1227" s="761"/>
      <c r="X1227" s="761"/>
      <c r="Y1227" s="761"/>
      <c r="Z1227" s="761"/>
      <c r="AA1227" s="761"/>
      <c r="AB1227" s="761"/>
      <c r="AC1227" s="761"/>
      <c r="AD1227" s="761"/>
      <c r="AE1227" s="761"/>
      <c r="AF1227" s="761"/>
      <c r="AG1227" s="761"/>
      <c r="AH1227" s="761"/>
      <c r="AI1227" s="761"/>
      <c r="AJ1227" s="761"/>
      <c r="AK1227" s="761"/>
      <c r="AL1227" s="761"/>
      <c r="AM1227" s="761"/>
      <c r="AN1227" s="761"/>
      <c r="AO1227" s="761"/>
      <c r="AP1227" s="761"/>
      <c r="AQ1227" s="761"/>
      <c r="AR1227" s="761"/>
      <c r="AS1227" s="761"/>
      <c r="AT1227" s="761"/>
      <c r="AU1227" s="761"/>
      <c r="AV1227" s="761"/>
      <c r="AW1227" s="761"/>
      <c r="AX1227" s="761"/>
      <c r="AY1227" s="761"/>
      <c r="AZ1227" s="761"/>
      <c r="BA1227" s="761"/>
      <c r="BB1227" s="761"/>
      <c r="BC1227" s="761"/>
      <c r="BD1227" s="761"/>
      <c r="BE1227" s="761"/>
      <c r="BF1227" s="761"/>
      <c r="BG1227" s="761"/>
      <c r="BH1227" s="761"/>
      <c r="BI1227" s="761"/>
      <c r="BJ1227" s="761"/>
      <c r="BK1227" s="761"/>
      <c r="BL1227" s="761"/>
      <c r="BM1227" s="761"/>
    </row>
    <row r="1228" spans="1:65" s="1690" customFormat="1">
      <c r="A1228" s="761" t="s">
        <v>2339</v>
      </c>
      <c r="B1228" s="761" t="s">
        <v>2340</v>
      </c>
      <c r="C1228" s="761" t="s">
        <v>2745</v>
      </c>
      <c r="D1228" s="761">
        <v>36543881</v>
      </c>
      <c r="E1228" s="761" t="s">
        <v>2949</v>
      </c>
      <c r="F1228" s="761" t="s">
        <v>2357</v>
      </c>
      <c r="G1228" s="761"/>
      <c r="H1228" s="761"/>
      <c r="I1228" s="761" t="s">
        <v>6867</v>
      </c>
      <c r="J1228" s="761">
        <v>0</v>
      </c>
      <c r="K1228" s="746">
        <v>82258.5</v>
      </c>
      <c r="L1228" s="746">
        <v>82151.960000000006</v>
      </c>
      <c r="M1228" s="746">
        <v>106.54</v>
      </c>
      <c r="N1228" s="493" t="str">
        <f t="shared" si="20"/>
        <v>C394</v>
      </c>
      <c r="O1228" s="493" t="s">
        <v>99</v>
      </c>
      <c r="P1228" s="493" t="s">
        <v>8009</v>
      </c>
      <c r="Q1228" s="761"/>
      <c r="R1228" s="761"/>
      <c r="S1228" s="761"/>
      <c r="T1228" s="761"/>
      <c r="U1228" s="761"/>
      <c r="V1228" s="761"/>
      <c r="W1228" s="761"/>
      <c r="X1228" s="761"/>
      <c r="Y1228" s="761"/>
      <c r="Z1228" s="761"/>
      <c r="AA1228" s="761"/>
      <c r="AB1228" s="761"/>
      <c r="AC1228" s="761"/>
      <c r="AD1228" s="761"/>
      <c r="AE1228" s="761"/>
      <c r="AF1228" s="761"/>
      <c r="AG1228" s="761"/>
      <c r="AH1228" s="761"/>
      <c r="AI1228" s="761"/>
      <c r="AJ1228" s="761"/>
      <c r="AK1228" s="761"/>
      <c r="AL1228" s="761"/>
      <c r="AM1228" s="761"/>
      <c r="AN1228" s="761"/>
      <c r="AO1228" s="761"/>
      <c r="AP1228" s="761"/>
      <c r="AQ1228" s="761"/>
      <c r="AR1228" s="761"/>
      <c r="AS1228" s="761"/>
      <c r="AT1228" s="761"/>
      <c r="AU1228" s="761"/>
      <c r="AV1228" s="761"/>
      <c r="AW1228" s="761"/>
      <c r="AX1228" s="761"/>
      <c r="AY1228" s="761"/>
      <c r="AZ1228" s="761"/>
      <c r="BA1228" s="761"/>
      <c r="BB1228" s="761"/>
      <c r="BC1228" s="761"/>
      <c r="BD1228" s="761"/>
      <c r="BE1228" s="761"/>
      <c r="BF1228" s="761"/>
      <c r="BG1228" s="761"/>
      <c r="BH1228" s="761"/>
      <c r="BI1228" s="761"/>
      <c r="BJ1228" s="761"/>
      <c r="BK1228" s="761"/>
      <c r="BL1228" s="761"/>
      <c r="BM1228" s="761"/>
    </row>
    <row r="1229" spans="1:65" s="1690" customFormat="1">
      <c r="A1229" s="761" t="s">
        <v>2339</v>
      </c>
      <c r="B1229" s="761" t="s">
        <v>2340</v>
      </c>
      <c r="C1229" s="761" t="s">
        <v>2362</v>
      </c>
      <c r="D1229" s="761">
        <v>36543890</v>
      </c>
      <c r="E1229" s="761" t="s">
        <v>2949</v>
      </c>
      <c r="F1229" s="761" t="s">
        <v>2357</v>
      </c>
      <c r="G1229" s="761"/>
      <c r="H1229" s="761"/>
      <c r="I1229" s="761" t="s">
        <v>6867</v>
      </c>
      <c r="J1229" s="761">
        <v>0</v>
      </c>
      <c r="K1229" s="746">
        <v>39233.54</v>
      </c>
      <c r="L1229" s="746">
        <v>39182.730000000003</v>
      </c>
      <c r="M1229" s="746">
        <v>50.81</v>
      </c>
      <c r="N1229" s="493" t="str">
        <f t="shared" si="20"/>
        <v>C394</v>
      </c>
      <c r="O1229" s="493" t="s">
        <v>99</v>
      </c>
      <c r="P1229" s="493" t="s">
        <v>8009</v>
      </c>
      <c r="Q1229" s="761"/>
      <c r="R1229" s="761"/>
      <c r="S1229" s="761"/>
      <c r="T1229" s="761"/>
      <c r="U1229" s="761"/>
      <c r="V1229" s="761"/>
      <c r="W1229" s="761"/>
      <c r="X1229" s="761"/>
      <c r="Y1229" s="761"/>
      <c r="Z1229" s="761"/>
      <c r="AA1229" s="761"/>
      <c r="AB1229" s="761"/>
      <c r="AC1229" s="761"/>
      <c r="AD1229" s="761"/>
      <c r="AE1229" s="761"/>
      <c r="AF1229" s="761"/>
      <c r="AG1229" s="761"/>
      <c r="AH1229" s="761"/>
      <c r="AI1229" s="761"/>
      <c r="AJ1229" s="761"/>
      <c r="AK1229" s="761"/>
      <c r="AL1229" s="761"/>
      <c r="AM1229" s="761"/>
      <c r="AN1229" s="761"/>
      <c r="AO1229" s="761"/>
      <c r="AP1229" s="761"/>
      <c r="AQ1229" s="761"/>
      <c r="AR1229" s="761"/>
      <c r="AS1229" s="761"/>
      <c r="AT1229" s="761"/>
      <c r="AU1229" s="761"/>
      <c r="AV1229" s="761"/>
      <c r="AW1229" s="761"/>
      <c r="AX1229" s="761"/>
      <c r="AY1229" s="761"/>
      <c r="AZ1229" s="761"/>
      <c r="BA1229" s="761"/>
      <c r="BB1229" s="761"/>
      <c r="BC1229" s="761"/>
      <c r="BD1229" s="761"/>
      <c r="BE1229" s="761"/>
      <c r="BF1229" s="761"/>
      <c r="BG1229" s="761"/>
      <c r="BH1229" s="761"/>
      <c r="BI1229" s="761"/>
      <c r="BJ1229" s="761"/>
      <c r="BK1229" s="761"/>
      <c r="BL1229" s="761"/>
      <c r="BM1229" s="761"/>
    </row>
    <row r="1230" spans="1:65" s="1690" customFormat="1">
      <c r="A1230" s="761" t="s">
        <v>2339</v>
      </c>
      <c r="B1230" s="761" t="s">
        <v>2340</v>
      </c>
      <c r="C1230" s="761" t="s">
        <v>2745</v>
      </c>
      <c r="D1230" s="761">
        <v>36543899</v>
      </c>
      <c r="E1230" s="761" t="s">
        <v>2949</v>
      </c>
      <c r="F1230" s="761" t="s">
        <v>2357</v>
      </c>
      <c r="G1230" s="761"/>
      <c r="H1230" s="761"/>
      <c r="I1230" s="761" t="s">
        <v>6867</v>
      </c>
      <c r="J1230" s="761">
        <v>0</v>
      </c>
      <c r="K1230" s="746">
        <v>18525.21</v>
      </c>
      <c r="L1230" s="746">
        <v>18438.830000000002</v>
      </c>
      <c r="M1230" s="746">
        <v>86.38</v>
      </c>
      <c r="N1230" s="493" t="str">
        <f t="shared" si="20"/>
        <v>C394</v>
      </c>
      <c r="O1230" s="493" t="s">
        <v>99</v>
      </c>
      <c r="P1230" s="493" t="s">
        <v>8009</v>
      </c>
      <c r="Q1230" s="761"/>
      <c r="R1230" s="761"/>
      <c r="S1230" s="761"/>
      <c r="T1230" s="761"/>
      <c r="U1230" s="761"/>
      <c r="V1230" s="761"/>
      <c r="W1230" s="761"/>
      <c r="X1230" s="761"/>
      <c r="Y1230" s="761"/>
      <c r="Z1230" s="761"/>
      <c r="AA1230" s="761"/>
      <c r="AB1230" s="761"/>
      <c r="AC1230" s="761"/>
      <c r="AD1230" s="761"/>
      <c r="AE1230" s="761"/>
      <c r="AF1230" s="761"/>
      <c r="AG1230" s="761"/>
      <c r="AH1230" s="761"/>
      <c r="AI1230" s="761"/>
      <c r="AJ1230" s="761"/>
      <c r="AK1230" s="761"/>
      <c r="AL1230" s="761"/>
      <c r="AM1230" s="761"/>
      <c r="AN1230" s="761"/>
      <c r="AO1230" s="761"/>
      <c r="AP1230" s="761"/>
      <c r="AQ1230" s="761"/>
      <c r="AR1230" s="761"/>
      <c r="AS1230" s="761"/>
      <c r="AT1230" s="761"/>
      <c r="AU1230" s="761"/>
      <c r="AV1230" s="761"/>
      <c r="AW1230" s="761"/>
      <c r="AX1230" s="761"/>
      <c r="AY1230" s="761"/>
      <c r="AZ1230" s="761"/>
      <c r="BA1230" s="761"/>
      <c r="BB1230" s="761"/>
      <c r="BC1230" s="761"/>
      <c r="BD1230" s="761"/>
      <c r="BE1230" s="761"/>
      <c r="BF1230" s="761"/>
      <c r="BG1230" s="761"/>
      <c r="BH1230" s="761"/>
      <c r="BI1230" s="761"/>
      <c r="BJ1230" s="761"/>
      <c r="BK1230" s="761"/>
      <c r="BL1230" s="761"/>
      <c r="BM1230" s="761"/>
    </row>
    <row r="1231" spans="1:65" s="1690" customFormat="1">
      <c r="A1231" s="761" t="s">
        <v>2339</v>
      </c>
      <c r="B1231" s="761" t="s">
        <v>2340</v>
      </c>
      <c r="C1231" s="761" t="s">
        <v>2745</v>
      </c>
      <c r="D1231" s="761">
        <v>36541437</v>
      </c>
      <c r="E1231" s="761" t="s">
        <v>2949</v>
      </c>
      <c r="F1231" s="761">
        <v>130003321</v>
      </c>
      <c r="G1231" s="761" t="s">
        <v>2950</v>
      </c>
      <c r="H1231" s="761" t="s">
        <v>2950</v>
      </c>
      <c r="I1231" s="761" t="s">
        <v>6867</v>
      </c>
      <c r="J1231" s="761">
        <v>1</v>
      </c>
      <c r="K1231" s="746">
        <v>1691.49</v>
      </c>
      <c r="L1231" s="746">
        <v>1683.6000000000001</v>
      </c>
      <c r="M1231" s="746">
        <v>7.8900000000000006</v>
      </c>
      <c r="N1231" s="493" t="str">
        <f t="shared" si="20"/>
        <v>C394</v>
      </c>
      <c r="O1231" s="493" t="s">
        <v>99</v>
      </c>
      <c r="P1231" s="493" t="s">
        <v>8009</v>
      </c>
      <c r="Q1231" s="761"/>
      <c r="R1231" s="761"/>
      <c r="S1231" s="761"/>
      <c r="T1231" s="761"/>
      <c r="U1231" s="761"/>
      <c r="V1231" s="761"/>
      <c r="W1231" s="761"/>
      <c r="X1231" s="761"/>
      <c r="Y1231" s="761"/>
      <c r="Z1231" s="761"/>
      <c r="AA1231" s="761"/>
      <c r="AB1231" s="761"/>
      <c r="AC1231" s="761"/>
      <c r="AD1231" s="761"/>
      <c r="AE1231" s="761"/>
      <c r="AF1231" s="761"/>
      <c r="AG1231" s="761"/>
      <c r="AH1231" s="761"/>
      <c r="AI1231" s="761"/>
      <c r="AJ1231" s="761"/>
      <c r="AK1231" s="761"/>
      <c r="AL1231" s="761"/>
      <c r="AM1231" s="761"/>
      <c r="AN1231" s="761"/>
      <c r="AO1231" s="761"/>
      <c r="AP1231" s="761"/>
      <c r="AQ1231" s="761"/>
      <c r="AR1231" s="761"/>
      <c r="AS1231" s="761"/>
      <c r="AT1231" s="761"/>
      <c r="AU1231" s="761"/>
      <c r="AV1231" s="761"/>
      <c r="AW1231" s="761"/>
      <c r="AX1231" s="761"/>
      <c r="AY1231" s="761"/>
      <c r="AZ1231" s="761"/>
      <c r="BA1231" s="761"/>
      <c r="BB1231" s="761"/>
      <c r="BC1231" s="761"/>
      <c r="BD1231" s="761"/>
      <c r="BE1231" s="761"/>
      <c r="BF1231" s="761"/>
      <c r="BG1231" s="761"/>
      <c r="BH1231" s="761"/>
      <c r="BI1231" s="761"/>
      <c r="BJ1231" s="761"/>
      <c r="BK1231" s="761"/>
      <c r="BL1231" s="761"/>
      <c r="BM1231" s="761"/>
    </row>
    <row r="1232" spans="1:65" s="1690" customFormat="1">
      <c r="A1232" s="761" t="s">
        <v>2339</v>
      </c>
      <c r="B1232" s="761" t="s">
        <v>2340</v>
      </c>
      <c r="C1232" s="761" t="s">
        <v>2358</v>
      </c>
      <c r="D1232" s="761">
        <v>5962151</v>
      </c>
      <c r="E1232" s="761" t="s">
        <v>2949</v>
      </c>
      <c r="F1232" s="761">
        <v>131203000</v>
      </c>
      <c r="G1232" s="761" t="s">
        <v>2951</v>
      </c>
      <c r="H1232" s="761" t="s">
        <v>2951</v>
      </c>
      <c r="I1232" s="761" t="s">
        <v>6867</v>
      </c>
      <c r="J1232" s="761">
        <v>0</v>
      </c>
      <c r="K1232" s="746">
        <v>162755.58000000002</v>
      </c>
      <c r="L1232" s="746">
        <v>158718.39999999999</v>
      </c>
      <c r="M1232" s="746">
        <v>4037.1800000000003</v>
      </c>
      <c r="N1232" s="493" t="str">
        <f t="shared" si="20"/>
        <v>C394</v>
      </c>
      <c r="O1232" s="493" t="s">
        <v>390</v>
      </c>
      <c r="P1232" s="493"/>
      <c r="Q1232" s="761"/>
      <c r="R1232" s="761"/>
      <c r="S1232" s="761"/>
      <c r="T1232" s="761"/>
      <c r="U1232" s="761"/>
      <c r="V1232" s="761"/>
      <c r="W1232" s="761"/>
      <c r="X1232" s="761"/>
      <c r="Y1232" s="761"/>
      <c r="Z1232" s="761"/>
      <c r="AA1232" s="761"/>
      <c r="AB1232" s="761"/>
      <c r="AC1232" s="761"/>
      <c r="AD1232" s="761"/>
      <c r="AE1232" s="761"/>
      <c r="AF1232" s="761"/>
      <c r="AG1232" s="761"/>
      <c r="AH1232" s="761"/>
      <c r="AI1232" s="761"/>
      <c r="AJ1232" s="761"/>
      <c r="AK1232" s="761"/>
      <c r="AL1232" s="761"/>
      <c r="AM1232" s="761"/>
      <c r="AN1232" s="761"/>
      <c r="AO1232" s="761"/>
      <c r="AP1232" s="761"/>
      <c r="AQ1232" s="761"/>
      <c r="AR1232" s="761"/>
      <c r="AS1232" s="761"/>
      <c r="AT1232" s="761"/>
      <c r="AU1232" s="761"/>
      <c r="AV1232" s="761"/>
      <c r="AW1232" s="761"/>
      <c r="AX1232" s="761"/>
      <c r="AY1232" s="761"/>
      <c r="AZ1232" s="761"/>
      <c r="BA1232" s="761"/>
      <c r="BB1232" s="761"/>
      <c r="BC1232" s="761"/>
      <c r="BD1232" s="761"/>
      <c r="BE1232" s="761"/>
      <c r="BF1232" s="761"/>
      <c r="BG1232" s="761"/>
      <c r="BH1232" s="761"/>
      <c r="BI1232" s="761"/>
      <c r="BJ1232" s="761"/>
      <c r="BK1232" s="761"/>
      <c r="BL1232" s="761"/>
      <c r="BM1232" s="761"/>
    </row>
    <row r="1233" spans="1:65" s="1690" customFormat="1">
      <c r="A1233" s="761" t="s">
        <v>2339</v>
      </c>
      <c r="B1233" s="761" t="s">
        <v>2340</v>
      </c>
      <c r="C1233" s="761" t="s">
        <v>2696</v>
      </c>
      <c r="D1233" s="761">
        <v>10265824</v>
      </c>
      <c r="E1233" s="761" t="s">
        <v>2949</v>
      </c>
      <c r="F1233" s="761">
        <v>131204663</v>
      </c>
      <c r="G1233" s="761" t="s">
        <v>2953</v>
      </c>
      <c r="H1233" s="761" t="s">
        <v>7530</v>
      </c>
      <c r="I1233" s="761" t="s">
        <v>6867</v>
      </c>
      <c r="J1233" s="761">
        <v>1</v>
      </c>
      <c r="K1233" s="746">
        <v>24862.82</v>
      </c>
      <c r="L1233" s="746">
        <v>23008.12</v>
      </c>
      <c r="M1233" s="746">
        <v>1854.7</v>
      </c>
      <c r="N1233" s="493" t="str">
        <f t="shared" ref="N1233:N1296" si="21">LEFT(E1233,4)</f>
        <v>C394</v>
      </c>
      <c r="O1233" s="493" t="s">
        <v>99</v>
      </c>
      <c r="P1233" s="493" t="s">
        <v>8009</v>
      </c>
      <c r="Q1233" s="761"/>
      <c r="R1233" s="761"/>
      <c r="S1233" s="761"/>
      <c r="T1233" s="761"/>
      <c r="U1233" s="761"/>
      <c r="V1233" s="761"/>
      <c r="W1233" s="761"/>
      <c r="X1233" s="761"/>
      <c r="Y1233" s="761"/>
      <c r="Z1233" s="761"/>
      <c r="AA1233" s="761"/>
      <c r="AB1233" s="761"/>
      <c r="AC1233" s="761"/>
      <c r="AD1233" s="761"/>
      <c r="AE1233" s="761"/>
      <c r="AF1233" s="761"/>
      <c r="AG1233" s="761"/>
      <c r="AH1233" s="761"/>
      <c r="AI1233" s="761"/>
      <c r="AJ1233" s="761"/>
      <c r="AK1233" s="761"/>
      <c r="AL1233" s="761"/>
      <c r="AM1233" s="761"/>
      <c r="AN1233" s="761"/>
      <c r="AO1233" s="761"/>
      <c r="AP1233" s="761"/>
      <c r="AQ1233" s="761"/>
      <c r="AR1233" s="761"/>
      <c r="AS1233" s="761"/>
      <c r="AT1233" s="761"/>
      <c r="AU1233" s="761"/>
      <c r="AV1233" s="761"/>
      <c r="AW1233" s="761"/>
      <c r="AX1233" s="761"/>
      <c r="AY1233" s="761"/>
      <c r="AZ1233" s="761"/>
      <c r="BA1233" s="761"/>
      <c r="BB1233" s="761"/>
      <c r="BC1233" s="761"/>
      <c r="BD1233" s="761"/>
      <c r="BE1233" s="761"/>
      <c r="BF1233" s="761"/>
      <c r="BG1233" s="761"/>
      <c r="BH1233" s="761"/>
      <c r="BI1233" s="761"/>
      <c r="BJ1233" s="761"/>
      <c r="BK1233" s="761"/>
      <c r="BL1233" s="761"/>
      <c r="BM1233" s="761"/>
    </row>
    <row r="1234" spans="1:65" s="1690" customFormat="1">
      <c r="A1234" s="761" t="s">
        <v>2339</v>
      </c>
      <c r="B1234" s="761" t="s">
        <v>2340</v>
      </c>
      <c r="C1234" s="761" t="s">
        <v>2364</v>
      </c>
      <c r="D1234" s="761">
        <v>10265827</v>
      </c>
      <c r="E1234" s="761" t="s">
        <v>2949</v>
      </c>
      <c r="F1234" s="761">
        <v>131204662</v>
      </c>
      <c r="G1234" s="761" t="s">
        <v>2952</v>
      </c>
      <c r="H1234" s="761" t="s">
        <v>7531</v>
      </c>
      <c r="I1234" s="761" t="s">
        <v>6867</v>
      </c>
      <c r="J1234" s="761">
        <v>1</v>
      </c>
      <c r="K1234" s="746">
        <v>11368.64</v>
      </c>
      <c r="L1234" s="746">
        <v>10520.57</v>
      </c>
      <c r="M1234" s="746">
        <v>848.07</v>
      </c>
      <c r="N1234" s="493" t="str">
        <f t="shared" si="21"/>
        <v>C394</v>
      </c>
      <c r="O1234" s="493" t="s">
        <v>99</v>
      </c>
      <c r="P1234" s="493" t="s">
        <v>8009</v>
      </c>
      <c r="Q1234" s="761"/>
      <c r="R1234" s="761"/>
      <c r="S1234" s="761"/>
      <c r="T1234" s="761"/>
      <c r="U1234" s="761"/>
      <c r="V1234" s="761"/>
      <c r="W1234" s="761"/>
      <c r="X1234" s="761"/>
      <c r="Y1234" s="761"/>
      <c r="Z1234" s="761"/>
      <c r="AA1234" s="761"/>
      <c r="AB1234" s="761"/>
      <c r="AC1234" s="761"/>
      <c r="AD1234" s="761"/>
      <c r="AE1234" s="761"/>
      <c r="AF1234" s="761"/>
      <c r="AG1234" s="761"/>
      <c r="AH1234" s="761"/>
      <c r="AI1234" s="761"/>
      <c r="AJ1234" s="761"/>
      <c r="AK1234" s="761"/>
      <c r="AL1234" s="761"/>
      <c r="AM1234" s="761"/>
      <c r="AN1234" s="761"/>
      <c r="AO1234" s="761"/>
      <c r="AP1234" s="761"/>
      <c r="AQ1234" s="761"/>
      <c r="AR1234" s="761"/>
      <c r="AS1234" s="761"/>
      <c r="AT1234" s="761"/>
      <c r="AU1234" s="761"/>
      <c r="AV1234" s="761"/>
      <c r="AW1234" s="761"/>
      <c r="AX1234" s="761"/>
      <c r="AY1234" s="761"/>
      <c r="AZ1234" s="761"/>
      <c r="BA1234" s="761"/>
      <c r="BB1234" s="761"/>
      <c r="BC1234" s="761"/>
      <c r="BD1234" s="761"/>
      <c r="BE1234" s="761"/>
      <c r="BF1234" s="761"/>
      <c r="BG1234" s="761"/>
      <c r="BH1234" s="761"/>
      <c r="BI1234" s="761"/>
      <c r="BJ1234" s="761"/>
      <c r="BK1234" s="761"/>
      <c r="BL1234" s="761"/>
      <c r="BM1234" s="761"/>
    </row>
    <row r="1235" spans="1:65" s="1690" customFormat="1">
      <c r="A1235" s="761" t="s">
        <v>2339</v>
      </c>
      <c r="B1235" s="761" t="s">
        <v>2340</v>
      </c>
      <c r="C1235" s="761" t="s">
        <v>2361</v>
      </c>
      <c r="D1235" s="761">
        <v>10529633</v>
      </c>
      <c r="E1235" s="761" t="s">
        <v>2949</v>
      </c>
      <c r="F1235" s="761">
        <v>131204700</v>
      </c>
      <c r="G1235" s="761" t="s">
        <v>2952</v>
      </c>
      <c r="H1235" s="761" t="s">
        <v>7532</v>
      </c>
      <c r="I1235" s="761" t="s">
        <v>6867</v>
      </c>
      <c r="J1235" s="761">
        <v>1</v>
      </c>
      <c r="K1235" s="746">
        <v>36288.370000000003</v>
      </c>
      <c r="L1235" s="746">
        <v>33581.360000000001</v>
      </c>
      <c r="M1235" s="746">
        <v>2707.01</v>
      </c>
      <c r="N1235" s="493" t="str">
        <f t="shared" si="21"/>
        <v>C394</v>
      </c>
      <c r="O1235" s="493" t="s">
        <v>99</v>
      </c>
      <c r="P1235" s="493" t="s">
        <v>8009</v>
      </c>
      <c r="Q1235" s="761"/>
      <c r="R1235" s="761"/>
      <c r="S1235" s="761"/>
      <c r="T1235" s="761"/>
      <c r="U1235" s="761"/>
      <c r="V1235" s="761"/>
      <c r="W1235" s="761"/>
      <c r="X1235" s="761"/>
      <c r="Y1235" s="761"/>
      <c r="Z1235" s="761"/>
      <c r="AA1235" s="761"/>
      <c r="AB1235" s="761"/>
      <c r="AC1235" s="761"/>
      <c r="AD1235" s="761"/>
      <c r="AE1235" s="761"/>
      <c r="AF1235" s="761"/>
      <c r="AG1235" s="761"/>
      <c r="AH1235" s="761"/>
      <c r="AI1235" s="761"/>
      <c r="AJ1235" s="761"/>
      <c r="AK1235" s="761"/>
      <c r="AL1235" s="761"/>
      <c r="AM1235" s="761"/>
      <c r="AN1235" s="761"/>
      <c r="AO1235" s="761"/>
      <c r="AP1235" s="761"/>
      <c r="AQ1235" s="761"/>
      <c r="AR1235" s="761"/>
      <c r="AS1235" s="761"/>
      <c r="AT1235" s="761"/>
      <c r="AU1235" s="761"/>
      <c r="AV1235" s="761"/>
      <c r="AW1235" s="761"/>
      <c r="AX1235" s="761"/>
      <c r="AY1235" s="761"/>
      <c r="AZ1235" s="761"/>
      <c r="BA1235" s="761"/>
      <c r="BB1235" s="761"/>
      <c r="BC1235" s="761"/>
      <c r="BD1235" s="761"/>
      <c r="BE1235" s="761"/>
      <c r="BF1235" s="761"/>
      <c r="BG1235" s="761"/>
      <c r="BH1235" s="761"/>
      <c r="BI1235" s="761"/>
      <c r="BJ1235" s="761"/>
      <c r="BK1235" s="761"/>
      <c r="BL1235" s="761"/>
      <c r="BM1235" s="761"/>
    </row>
    <row r="1236" spans="1:65" s="1690" customFormat="1">
      <c r="A1236" s="761" t="s">
        <v>2339</v>
      </c>
      <c r="B1236" s="761" t="s">
        <v>2340</v>
      </c>
      <c r="C1236" s="761" t="s">
        <v>2497</v>
      </c>
      <c r="D1236" s="761">
        <v>10814467</v>
      </c>
      <c r="E1236" s="761" t="s">
        <v>2949</v>
      </c>
      <c r="F1236" s="761">
        <v>143000220</v>
      </c>
      <c r="G1236" s="761" t="s">
        <v>2956</v>
      </c>
      <c r="H1236" s="761" t="s">
        <v>2956</v>
      </c>
      <c r="I1236" s="761" t="s">
        <v>6867</v>
      </c>
      <c r="J1236" s="761">
        <v>1</v>
      </c>
      <c r="K1236" s="746">
        <v>29522.100000000002</v>
      </c>
      <c r="L1236" s="746">
        <v>27319.83</v>
      </c>
      <c r="M1236" s="746">
        <v>2202.27</v>
      </c>
      <c r="N1236" s="493" t="str">
        <f t="shared" si="21"/>
        <v>C394</v>
      </c>
      <c r="O1236" s="493" t="s">
        <v>99</v>
      </c>
      <c r="P1236" s="493" t="s">
        <v>8009</v>
      </c>
      <c r="Q1236" s="761"/>
      <c r="R1236" s="761"/>
      <c r="S1236" s="761"/>
      <c r="T1236" s="761"/>
      <c r="U1236" s="761"/>
      <c r="V1236" s="761"/>
      <c r="W1236" s="761"/>
      <c r="X1236" s="761"/>
      <c r="Y1236" s="761"/>
      <c r="Z1236" s="761"/>
      <c r="AA1236" s="761"/>
      <c r="AB1236" s="761"/>
      <c r="AC1236" s="761"/>
      <c r="AD1236" s="761"/>
      <c r="AE1236" s="761"/>
      <c r="AF1236" s="761"/>
      <c r="AG1236" s="761"/>
      <c r="AH1236" s="761"/>
      <c r="AI1236" s="761"/>
      <c r="AJ1236" s="761"/>
      <c r="AK1236" s="761"/>
      <c r="AL1236" s="761"/>
      <c r="AM1236" s="761"/>
      <c r="AN1236" s="761"/>
      <c r="AO1236" s="761"/>
      <c r="AP1236" s="761"/>
      <c r="AQ1236" s="761"/>
      <c r="AR1236" s="761"/>
      <c r="AS1236" s="761"/>
      <c r="AT1236" s="761"/>
      <c r="AU1236" s="761"/>
      <c r="AV1236" s="761"/>
      <c r="AW1236" s="761"/>
      <c r="AX1236" s="761"/>
      <c r="AY1236" s="761"/>
      <c r="AZ1236" s="761"/>
      <c r="BA1236" s="761"/>
      <c r="BB1236" s="761"/>
      <c r="BC1236" s="761"/>
      <c r="BD1236" s="761"/>
      <c r="BE1236" s="761"/>
      <c r="BF1236" s="761"/>
      <c r="BG1236" s="761"/>
      <c r="BH1236" s="761"/>
      <c r="BI1236" s="761"/>
      <c r="BJ1236" s="761"/>
      <c r="BK1236" s="761"/>
      <c r="BL1236" s="761"/>
      <c r="BM1236" s="761"/>
    </row>
    <row r="1237" spans="1:65" s="1690" customFormat="1">
      <c r="A1237" s="761" t="s">
        <v>2339</v>
      </c>
      <c r="B1237" s="761" t="s">
        <v>2340</v>
      </c>
      <c r="C1237" s="761" t="s">
        <v>2683</v>
      </c>
      <c r="D1237" s="761">
        <v>10814470</v>
      </c>
      <c r="E1237" s="761" t="s">
        <v>2949</v>
      </c>
      <c r="F1237" s="761">
        <v>143000181</v>
      </c>
      <c r="G1237" s="761" t="s">
        <v>2955</v>
      </c>
      <c r="H1237" s="761" t="s">
        <v>2955</v>
      </c>
      <c r="I1237" s="761" t="s">
        <v>6867</v>
      </c>
      <c r="J1237" s="761">
        <v>1</v>
      </c>
      <c r="K1237" s="746">
        <v>10223.94</v>
      </c>
      <c r="L1237" s="746">
        <v>9461.26</v>
      </c>
      <c r="M1237" s="746">
        <v>762.68000000000006</v>
      </c>
      <c r="N1237" s="493" t="str">
        <f t="shared" si="21"/>
        <v>C394</v>
      </c>
      <c r="O1237" s="493" t="s">
        <v>99</v>
      </c>
      <c r="P1237" s="493" t="s">
        <v>8009</v>
      </c>
      <c r="Q1237" s="761"/>
      <c r="R1237" s="761"/>
      <c r="S1237" s="761"/>
      <c r="T1237" s="761"/>
      <c r="U1237" s="761"/>
      <c r="V1237" s="761"/>
      <c r="W1237" s="761"/>
      <c r="X1237" s="761"/>
      <c r="Y1237" s="761"/>
      <c r="Z1237" s="761"/>
      <c r="AA1237" s="761"/>
      <c r="AB1237" s="761"/>
      <c r="AC1237" s="761"/>
      <c r="AD1237" s="761"/>
      <c r="AE1237" s="761"/>
      <c r="AF1237" s="761"/>
      <c r="AG1237" s="761"/>
      <c r="AH1237" s="761"/>
      <c r="AI1237" s="761"/>
      <c r="AJ1237" s="761"/>
      <c r="AK1237" s="761"/>
      <c r="AL1237" s="761"/>
      <c r="AM1237" s="761"/>
      <c r="AN1237" s="761"/>
      <c r="AO1237" s="761"/>
      <c r="AP1237" s="761"/>
      <c r="AQ1237" s="761"/>
      <c r="AR1237" s="761"/>
      <c r="AS1237" s="761"/>
      <c r="AT1237" s="761"/>
      <c r="AU1237" s="761"/>
      <c r="AV1237" s="761"/>
      <c r="AW1237" s="761"/>
      <c r="AX1237" s="761"/>
      <c r="AY1237" s="761"/>
      <c r="AZ1237" s="761"/>
      <c r="BA1237" s="761"/>
      <c r="BB1237" s="761"/>
      <c r="BC1237" s="761"/>
      <c r="BD1237" s="761"/>
      <c r="BE1237" s="761"/>
      <c r="BF1237" s="761"/>
      <c r="BG1237" s="761"/>
      <c r="BH1237" s="761"/>
      <c r="BI1237" s="761"/>
      <c r="BJ1237" s="761"/>
      <c r="BK1237" s="761"/>
      <c r="BL1237" s="761"/>
      <c r="BM1237" s="761"/>
    </row>
    <row r="1238" spans="1:65" s="1690" customFormat="1">
      <c r="A1238" s="761" t="s">
        <v>2339</v>
      </c>
      <c r="B1238" s="761" t="s">
        <v>2340</v>
      </c>
      <c r="C1238" s="761" t="s">
        <v>2350</v>
      </c>
      <c r="D1238" s="761">
        <v>27792538</v>
      </c>
      <c r="E1238" s="761" t="s">
        <v>2949</v>
      </c>
      <c r="F1238" s="761">
        <v>131204701</v>
      </c>
      <c r="G1238" s="761" t="s">
        <v>2952</v>
      </c>
      <c r="H1238" s="761" t="s">
        <v>7533</v>
      </c>
      <c r="I1238" s="761" t="s">
        <v>6867</v>
      </c>
      <c r="J1238" s="761">
        <v>1</v>
      </c>
      <c r="K1238" s="746">
        <v>11518.79</v>
      </c>
      <c r="L1238" s="746">
        <v>10659.52</v>
      </c>
      <c r="M1238" s="746">
        <v>859.27</v>
      </c>
      <c r="N1238" s="493" t="str">
        <f t="shared" si="21"/>
        <v>C394</v>
      </c>
      <c r="O1238" s="493" t="s">
        <v>390</v>
      </c>
      <c r="P1238" s="493"/>
      <c r="Q1238" s="761"/>
      <c r="R1238" s="761"/>
      <c r="S1238" s="761"/>
      <c r="T1238" s="761"/>
      <c r="U1238" s="761"/>
      <c r="V1238" s="761"/>
      <c r="W1238" s="761"/>
      <c r="X1238" s="761"/>
      <c r="Y1238" s="761"/>
      <c r="Z1238" s="761"/>
      <c r="AA1238" s="761"/>
      <c r="AB1238" s="761"/>
      <c r="AC1238" s="761"/>
      <c r="AD1238" s="761"/>
      <c r="AE1238" s="761"/>
      <c r="AF1238" s="761"/>
      <c r="AG1238" s="761"/>
      <c r="AH1238" s="761"/>
      <c r="AI1238" s="761"/>
      <c r="AJ1238" s="761"/>
      <c r="AK1238" s="761"/>
      <c r="AL1238" s="761"/>
      <c r="AM1238" s="761"/>
      <c r="AN1238" s="761"/>
      <c r="AO1238" s="761"/>
      <c r="AP1238" s="761"/>
      <c r="AQ1238" s="761"/>
      <c r="AR1238" s="761"/>
      <c r="AS1238" s="761"/>
      <c r="AT1238" s="761"/>
      <c r="AU1238" s="761"/>
      <c r="AV1238" s="761"/>
      <c r="AW1238" s="761"/>
      <c r="AX1238" s="761"/>
      <c r="AY1238" s="761"/>
      <c r="AZ1238" s="761"/>
      <c r="BA1238" s="761"/>
      <c r="BB1238" s="761"/>
      <c r="BC1238" s="761"/>
      <c r="BD1238" s="761"/>
      <c r="BE1238" s="761"/>
      <c r="BF1238" s="761"/>
      <c r="BG1238" s="761"/>
      <c r="BH1238" s="761"/>
      <c r="BI1238" s="761"/>
      <c r="BJ1238" s="761"/>
      <c r="BK1238" s="761"/>
      <c r="BL1238" s="761"/>
      <c r="BM1238" s="761"/>
    </row>
    <row r="1239" spans="1:65" s="1690" customFormat="1">
      <c r="A1239" s="761" t="s">
        <v>2339</v>
      </c>
      <c r="B1239" s="761" t="s">
        <v>2340</v>
      </c>
      <c r="C1239" s="761" t="s">
        <v>2683</v>
      </c>
      <c r="D1239" s="761">
        <v>12653327</v>
      </c>
      <c r="E1239" s="761" t="s">
        <v>2949</v>
      </c>
      <c r="F1239" s="761">
        <v>143001261</v>
      </c>
      <c r="G1239" s="761" t="s">
        <v>2960</v>
      </c>
      <c r="H1239" s="761" t="s">
        <v>2960</v>
      </c>
      <c r="I1239" s="761" t="s">
        <v>6867</v>
      </c>
      <c r="J1239" s="761">
        <v>1</v>
      </c>
      <c r="K1239" s="746">
        <v>3718.73</v>
      </c>
      <c r="L1239" s="746">
        <v>3292.4300000000003</v>
      </c>
      <c r="M1239" s="746">
        <v>426.3</v>
      </c>
      <c r="N1239" s="493" t="str">
        <f t="shared" si="21"/>
        <v>C394</v>
      </c>
      <c r="O1239" s="493" t="s">
        <v>99</v>
      </c>
      <c r="P1239" s="493" t="s">
        <v>8009</v>
      </c>
      <c r="Q1239" s="761"/>
      <c r="R1239" s="761"/>
      <c r="S1239" s="761"/>
      <c r="T1239" s="761"/>
      <c r="U1239" s="761"/>
      <c r="V1239" s="761"/>
      <c r="W1239" s="761"/>
      <c r="X1239" s="761"/>
      <c r="Y1239" s="761"/>
      <c r="Z1239" s="761"/>
      <c r="AA1239" s="761"/>
      <c r="AB1239" s="761"/>
      <c r="AC1239" s="761"/>
      <c r="AD1239" s="761"/>
      <c r="AE1239" s="761"/>
      <c r="AF1239" s="761"/>
      <c r="AG1239" s="761"/>
      <c r="AH1239" s="761"/>
      <c r="AI1239" s="761"/>
      <c r="AJ1239" s="761"/>
      <c r="AK1239" s="761"/>
      <c r="AL1239" s="761"/>
      <c r="AM1239" s="761"/>
      <c r="AN1239" s="761"/>
      <c r="AO1239" s="761"/>
      <c r="AP1239" s="761"/>
      <c r="AQ1239" s="761"/>
      <c r="AR1239" s="761"/>
      <c r="AS1239" s="761"/>
      <c r="AT1239" s="761"/>
      <c r="AU1239" s="761"/>
      <c r="AV1239" s="761"/>
      <c r="AW1239" s="761"/>
      <c r="AX1239" s="761"/>
      <c r="AY1239" s="761"/>
      <c r="AZ1239" s="761"/>
      <c r="BA1239" s="761"/>
      <c r="BB1239" s="761"/>
      <c r="BC1239" s="761"/>
      <c r="BD1239" s="761"/>
      <c r="BE1239" s="761"/>
      <c r="BF1239" s="761"/>
      <c r="BG1239" s="761"/>
      <c r="BH1239" s="761"/>
      <c r="BI1239" s="761"/>
      <c r="BJ1239" s="761"/>
      <c r="BK1239" s="761"/>
      <c r="BL1239" s="761"/>
      <c r="BM1239" s="761"/>
    </row>
    <row r="1240" spans="1:65" s="1690" customFormat="1">
      <c r="A1240" s="761" t="s">
        <v>2339</v>
      </c>
      <c r="B1240" s="761" t="s">
        <v>2340</v>
      </c>
      <c r="C1240" s="761" t="s">
        <v>2517</v>
      </c>
      <c r="D1240" s="761">
        <v>13250741</v>
      </c>
      <c r="E1240" s="761" t="s">
        <v>2949</v>
      </c>
      <c r="F1240" s="761">
        <v>143000580</v>
      </c>
      <c r="G1240" s="761" t="s">
        <v>2957</v>
      </c>
      <c r="H1240" s="761" t="s">
        <v>7534</v>
      </c>
      <c r="I1240" s="761" t="s">
        <v>6867</v>
      </c>
      <c r="J1240" s="761">
        <v>1</v>
      </c>
      <c r="K1240" s="746">
        <v>25992.260000000002</v>
      </c>
      <c r="L1240" s="746">
        <v>21670.86</v>
      </c>
      <c r="M1240" s="746">
        <v>4321.3999999999996</v>
      </c>
      <c r="N1240" s="493" t="str">
        <f t="shared" si="21"/>
        <v>C394</v>
      </c>
      <c r="O1240" s="493" t="s">
        <v>99</v>
      </c>
      <c r="P1240" s="493" t="s">
        <v>8009</v>
      </c>
      <c r="Q1240" s="761"/>
      <c r="R1240" s="761"/>
      <c r="S1240" s="761"/>
      <c r="T1240" s="761"/>
      <c r="U1240" s="761"/>
      <c r="V1240" s="761"/>
      <c r="W1240" s="761"/>
      <c r="X1240" s="761"/>
      <c r="Y1240" s="761"/>
      <c r="Z1240" s="761"/>
      <c r="AA1240" s="761"/>
      <c r="AB1240" s="761"/>
      <c r="AC1240" s="761"/>
      <c r="AD1240" s="761"/>
      <c r="AE1240" s="761"/>
      <c r="AF1240" s="761"/>
      <c r="AG1240" s="761"/>
      <c r="AH1240" s="761"/>
      <c r="AI1240" s="761"/>
      <c r="AJ1240" s="761"/>
      <c r="AK1240" s="761"/>
      <c r="AL1240" s="761"/>
      <c r="AM1240" s="761"/>
      <c r="AN1240" s="761"/>
      <c r="AO1240" s="761"/>
      <c r="AP1240" s="761"/>
      <c r="AQ1240" s="761"/>
      <c r="AR1240" s="761"/>
      <c r="AS1240" s="761"/>
      <c r="AT1240" s="761"/>
      <c r="AU1240" s="761"/>
      <c r="AV1240" s="761"/>
      <c r="AW1240" s="761"/>
      <c r="AX1240" s="761"/>
      <c r="AY1240" s="761"/>
      <c r="AZ1240" s="761"/>
      <c r="BA1240" s="761"/>
      <c r="BB1240" s="761"/>
      <c r="BC1240" s="761"/>
      <c r="BD1240" s="761"/>
      <c r="BE1240" s="761"/>
      <c r="BF1240" s="761"/>
      <c r="BG1240" s="761"/>
      <c r="BH1240" s="761"/>
      <c r="BI1240" s="761"/>
      <c r="BJ1240" s="761"/>
      <c r="BK1240" s="761"/>
      <c r="BL1240" s="761"/>
      <c r="BM1240" s="761"/>
    </row>
    <row r="1241" spans="1:65" s="1690" customFormat="1">
      <c r="A1241" s="761" t="s">
        <v>2339</v>
      </c>
      <c r="B1241" s="761" t="s">
        <v>2340</v>
      </c>
      <c r="C1241" s="761" t="s">
        <v>2360</v>
      </c>
      <c r="D1241" s="761">
        <v>13250755</v>
      </c>
      <c r="E1241" s="761" t="s">
        <v>2949</v>
      </c>
      <c r="F1241" s="761">
        <v>143001260</v>
      </c>
      <c r="G1241" s="761" t="s">
        <v>2959</v>
      </c>
      <c r="H1241" s="761" t="s">
        <v>7535</v>
      </c>
      <c r="I1241" s="761" t="s">
        <v>6867</v>
      </c>
      <c r="J1241" s="761">
        <v>1</v>
      </c>
      <c r="K1241" s="746">
        <v>8685.17</v>
      </c>
      <c r="L1241" s="746">
        <v>7689.55</v>
      </c>
      <c r="M1241" s="746">
        <v>995.62</v>
      </c>
      <c r="N1241" s="493" t="str">
        <f t="shared" si="21"/>
        <v>C394</v>
      </c>
      <c r="O1241" s="493" t="s">
        <v>390</v>
      </c>
      <c r="P1241" s="493"/>
      <c r="Q1241" s="761"/>
      <c r="R1241" s="761"/>
      <c r="S1241" s="761"/>
      <c r="T1241" s="761"/>
      <c r="U1241" s="761"/>
      <c r="V1241" s="761"/>
      <c r="W1241" s="761"/>
      <c r="X1241" s="761"/>
      <c r="Y1241" s="761"/>
      <c r="Z1241" s="761"/>
      <c r="AA1241" s="761"/>
      <c r="AB1241" s="761"/>
      <c r="AC1241" s="761"/>
      <c r="AD1241" s="761"/>
      <c r="AE1241" s="761"/>
      <c r="AF1241" s="761"/>
      <c r="AG1241" s="761"/>
      <c r="AH1241" s="761"/>
      <c r="AI1241" s="761"/>
      <c r="AJ1241" s="761"/>
      <c r="AK1241" s="761"/>
      <c r="AL1241" s="761"/>
      <c r="AM1241" s="761"/>
      <c r="AN1241" s="761"/>
      <c r="AO1241" s="761"/>
      <c r="AP1241" s="761"/>
      <c r="AQ1241" s="761"/>
      <c r="AR1241" s="761"/>
      <c r="AS1241" s="761"/>
      <c r="AT1241" s="761"/>
      <c r="AU1241" s="761"/>
      <c r="AV1241" s="761"/>
      <c r="AW1241" s="761"/>
      <c r="AX1241" s="761"/>
      <c r="AY1241" s="761"/>
      <c r="AZ1241" s="761"/>
      <c r="BA1241" s="761"/>
      <c r="BB1241" s="761"/>
      <c r="BC1241" s="761"/>
      <c r="BD1241" s="761"/>
      <c r="BE1241" s="761"/>
      <c r="BF1241" s="761"/>
      <c r="BG1241" s="761"/>
      <c r="BH1241" s="761"/>
      <c r="BI1241" s="761"/>
      <c r="BJ1241" s="761"/>
      <c r="BK1241" s="761"/>
      <c r="BL1241" s="761"/>
      <c r="BM1241" s="761"/>
    </row>
    <row r="1242" spans="1:65" s="1690" customFormat="1">
      <c r="A1242" s="761" t="s">
        <v>2339</v>
      </c>
      <c r="B1242" s="761" t="s">
        <v>2340</v>
      </c>
      <c r="C1242" s="761" t="s">
        <v>2517</v>
      </c>
      <c r="D1242" s="761">
        <v>13250758</v>
      </c>
      <c r="E1242" s="761" t="s">
        <v>2949</v>
      </c>
      <c r="F1242" s="761">
        <v>143001300</v>
      </c>
      <c r="G1242" s="761" t="s">
        <v>2961</v>
      </c>
      <c r="H1242" s="761" t="s">
        <v>2961</v>
      </c>
      <c r="I1242" s="761" t="s">
        <v>6867</v>
      </c>
      <c r="J1242" s="761">
        <v>1</v>
      </c>
      <c r="K1242" s="746">
        <v>14388.41</v>
      </c>
      <c r="L1242" s="746">
        <v>12738.99</v>
      </c>
      <c r="M1242" s="746">
        <v>1649.42</v>
      </c>
      <c r="N1242" s="493" t="str">
        <f t="shared" si="21"/>
        <v>C394</v>
      </c>
      <c r="O1242" s="493" t="s">
        <v>99</v>
      </c>
      <c r="P1242" s="493" t="s">
        <v>8009</v>
      </c>
      <c r="Q1242" s="761"/>
      <c r="R1242" s="761"/>
      <c r="S1242" s="761"/>
      <c r="T1242" s="761"/>
      <c r="U1242" s="761"/>
      <c r="V1242" s="761"/>
      <c r="W1242" s="761"/>
      <c r="X1242" s="761"/>
      <c r="Y1242" s="761"/>
      <c r="Z1242" s="761"/>
      <c r="AA1242" s="761"/>
      <c r="AB1242" s="761"/>
      <c r="AC1242" s="761"/>
      <c r="AD1242" s="761"/>
      <c r="AE1242" s="761"/>
      <c r="AF1242" s="761"/>
      <c r="AG1242" s="761"/>
      <c r="AH1242" s="761"/>
      <c r="AI1242" s="761"/>
      <c r="AJ1242" s="761"/>
      <c r="AK1242" s="761"/>
      <c r="AL1242" s="761"/>
      <c r="AM1242" s="761"/>
      <c r="AN1242" s="761"/>
      <c r="AO1242" s="761"/>
      <c r="AP1242" s="761"/>
      <c r="AQ1242" s="761"/>
      <c r="AR1242" s="761"/>
      <c r="AS1242" s="761"/>
      <c r="AT1242" s="761"/>
      <c r="AU1242" s="761"/>
      <c r="AV1242" s="761"/>
      <c r="AW1242" s="761"/>
      <c r="AX1242" s="761"/>
      <c r="AY1242" s="761"/>
      <c r="AZ1242" s="761"/>
      <c r="BA1242" s="761"/>
      <c r="BB1242" s="761"/>
      <c r="BC1242" s="761"/>
      <c r="BD1242" s="761"/>
      <c r="BE1242" s="761"/>
      <c r="BF1242" s="761"/>
      <c r="BG1242" s="761"/>
      <c r="BH1242" s="761"/>
      <c r="BI1242" s="761"/>
      <c r="BJ1242" s="761"/>
      <c r="BK1242" s="761"/>
      <c r="BL1242" s="761"/>
      <c r="BM1242" s="761"/>
    </row>
    <row r="1243" spans="1:65" s="1690" customFormat="1">
      <c r="A1243" s="761" t="s">
        <v>2339</v>
      </c>
      <c r="B1243" s="761" t="s">
        <v>2340</v>
      </c>
      <c r="C1243" s="761" t="s">
        <v>2361</v>
      </c>
      <c r="D1243" s="761">
        <v>19159730</v>
      </c>
      <c r="E1243" s="761" t="s">
        <v>2949</v>
      </c>
      <c r="F1243" s="761">
        <v>143001540</v>
      </c>
      <c r="G1243" s="761" t="s">
        <v>2963</v>
      </c>
      <c r="H1243" s="761" t="s">
        <v>7536</v>
      </c>
      <c r="I1243" s="761" t="s">
        <v>6867</v>
      </c>
      <c r="J1243" s="761">
        <v>2</v>
      </c>
      <c r="K1243" s="746">
        <v>270212.32</v>
      </c>
      <c r="L1243" s="746">
        <v>208125.13</v>
      </c>
      <c r="M1243" s="746">
        <v>62087.19</v>
      </c>
      <c r="N1243" s="493" t="str">
        <f t="shared" si="21"/>
        <v>C394</v>
      </c>
      <c r="O1243" s="493" t="s">
        <v>99</v>
      </c>
      <c r="P1243" s="493" t="s">
        <v>8009</v>
      </c>
      <c r="Q1243" s="761"/>
      <c r="R1243" s="761"/>
      <c r="S1243" s="761"/>
      <c r="T1243" s="761"/>
      <c r="U1243" s="761"/>
      <c r="V1243" s="761"/>
      <c r="W1243" s="761"/>
      <c r="X1243" s="761"/>
      <c r="Y1243" s="761"/>
      <c r="Z1243" s="761"/>
      <c r="AA1243" s="761"/>
      <c r="AB1243" s="761"/>
      <c r="AC1243" s="761"/>
      <c r="AD1243" s="761"/>
      <c r="AE1243" s="761"/>
      <c r="AF1243" s="761"/>
      <c r="AG1243" s="761"/>
      <c r="AH1243" s="761"/>
      <c r="AI1243" s="761"/>
      <c r="AJ1243" s="761"/>
      <c r="AK1243" s="761"/>
      <c r="AL1243" s="761"/>
      <c r="AM1243" s="761"/>
      <c r="AN1243" s="761"/>
      <c r="AO1243" s="761"/>
      <c r="AP1243" s="761"/>
      <c r="AQ1243" s="761"/>
      <c r="AR1243" s="761"/>
      <c r="AS1243" s="761"/>
      <c r="AT1243" s="761"/>
      <c r="AU1243" s="761"/>
      <c r="AV1243" s="761"/>
      <c r="AW1243" s="761"/>
      <c r="AX1243" s="761"/>
      <c r="AY1243" s="761"/>
      <c r="AZ1243" s="761"/>
      <c r="BA1243" s="761"/>
      <c r="BB1243" s="761"/>
      <c r="BC1243" s="761"/>
      <c r="BD1243" s="761"/>
      <c r="BE1243" s="761"/>
      <c r="BF1243" s="761"/>
      <c r="BG1243" s="761"/>
      <c r="BH1243" s="761"/>
      <c r="BI1243" s="761"/>
      <c r="BJ1243" s="761"/>
      <c r="BK1243" s="761"/>
      <c r="BL1243" s="761"/>
      <c r="BM1243" s="761"/>
    </row>
    <row r="1244" spans="1:65" s="1690" customFormat="1">
      <c r="A1244" s="761" t="s">
        <v>2339</v>
      </c>
      <c r="B1244" s="761" t="s">
        <v>2340</v>
      </c>
      <c r="C1244" s="761" t="s">
        <v>2476</v>
      </c>
      <c r="D1244" s="761">
        <v>19964051</v>
      </c>
      <c r="E1244" s="761" t="s">
        <v>2949</v>
      </c>
      <c r="F1244" s="761">
        <v>143001400</v>
      </c>
      <c r="G1244" s="761" t="s">
        <v>2962</v>
      </c>
      <c r="H1244" s="761" t="s">
        <v>7537</v>
      </c>
      <c r="I1244" s="761" t="s">
        <v>6867</v>
      </c>
      <c r="J1244" s="761">
        <v>1</v>
      </c>
      <c r="K1244" s="746">
        <v>105933.94</v>
      </c>
      <c r="L1244" s="746">
        <v>81593.3</v>
      </c>
      <c r="M1244" s="746">
        <v>24340.639999999999</v>
      </c>
      <c r="N1244" s="493" t="str">
        <f t="shared" si="21"/>
        <v>C394</v>
      </c>
      <c r="O1244" s="493" t="s">
        <v>99</v>
      </c>
      <c r="P1244" s="493" t="s">
        <v>8009</v>
      </c>
      <c r="Q1244" s="761"/>
      <c r="R1244" s="761"/>
      <c r="S1244" s="761"/>
      <c r="T1244" s="761"/>
      <c r="U1244" s="761"/>
      <c r="V1244" s="761"/>
      <c r="W1244" s="761"/>
      <c r="X1244" s="761"/>
      <c r="Y1244" s="761"/>
      <c r="Z1244" s="761"/>
      <c r="AA1244" s="761"/>
      <c r="AB1244" s="761"/>
      <c r="AC1244" s="761"/>
      <c r="AD1244" s="761"/>
      <c r="AE1244" s="761"/>
      <c r="AF1244" s="761"/>
      <c r="AG1244" s="761"/>
      <c r="AH1244" s="761"/>
      <c r="AI1244" s="761"/>
      <c r="AJ1244" s="761"/>
      <c r="AK1244" s="761"/>
      <c r="AL1244" s="761"/>
      <c r="AM1244" s="761"/>
      <c r="AN1244" s="761"/>
      <c r="AO1244" s="761"/>
      <c r="AP1244" s="761"/>
      <c r="AQ1244" s="761"/>
      <c r="AR1244" s="761"/>
      <c r="AS1244" s="761"/>
      <c r="AT1244" s="761"/>
      <c r="AU1244" s="761"/>
      <c r="AV1244" s="761"/>
      <c r="AW1244" s="761"/>
      <c r="AX1244" s="761"/>
      <c r="AY1244" s="761"/>
      <c r="AZ1244" s="761"/>
      <c r="BA1244" s="761"/>
      <c r="BB1244" s="761"/>
      <c r="BC1244" s="761"/>
      <c r="BD1244" s="761"/>
      <c r="BE1244" s="761"/>
      <c r="BF1244" s="761"/>
      <c r="BG1244" s="761"/>
      <c r="BH1244" s="761"/>
      <c r="BI1244" s="761"/>
      <c r="BJ1244" s="761"/>
      <c r="BK1244" s="761"/>
      <c r="BL1244" s="761"/>
      <c r="BM1244" s="761"/>
    </row>
    <row r="1245" spans="1:65" s="1690" customFormat="1">
      <c r="A1245" s="761" t="s">
        <v>2339</v>
      </c>
      <c r="B1245" s="761" t="s">
        <v>2340</v>
      </c>
      <c r="C1245" s="761" t="s">
        <v>2350</v>
      </c>
      <c r="D1245" s="761">
        <v>27792545</v>
      </c>
      <c r="E1245" s="761" t="s">
        <v>2949</v>
      </c>
      <c r="F1245" s="761">
        <v>142000440</v>
      </c>
      <c r="G1245" s="761" t="s">
        <v>2954</v>
      </c>
      <c r="H1245" s="761" t="s">
        <v>7538</v>
      </c>
      <c r="I1245" s="761" t="s">
        <v>6867</v>
      </c>
      <c r="J1245" s="761">
        <v>1</v>
      </c>
      <c r="K1245" s="746">
        <v>4038.9300000000003</v>
      </c>
      <c r="L1245" s="746">
        <v>3367.4300000000003</v>
      </c>
      <c r="M1245" s="746">
        <v>671.5</v>
      </c>
      <c r="N1245" s="493" t="str">
        <f t="shared" si="21"/>
        <v>C394</v>
      </c>
      <c r="O1245" s="493" t="s">
        <v>390</v>
      </c>
      <c r="P1245" s="493"/>
      <c r="Q1245" s="761"/>
      <c r="R1245" s="761"/>
      <c r="S1245" s="761"/>
      <c r="T1245" s="761"/>
      <c r="U1245" s="761"/>
      <c r="V1245" s="761"/>
      <c r="W1245" s="761"/>
      <c r="X1245" s="761"/>
      <c r="Y1245" s="761"/>
      <c r="Z1245" s="761"/>
      <c r="AA1245" s="761"/>
      <c r="AB1245" s="761"/>
      <c r="AC1245" s="761"/>
      <c r="AD1245" s="761"/>
      <c r="AE1245" s="761"/>
      <c r="AF1245" s="761"/>
      <c r="AG1245" s="761"/>
      <c r="AH1245" s="761"/>
      <c r="AI1245" s="761"/>
      <c r="AJ1245" s="761"/>
      <c r="AK1245" s="761"/>
      <c r="AL1245" s="761"/>
      <c r="AM1245" s="761"/>
      <c r="AN1245" s="761"/>
      <c r="AO1245" s="761"/>
      <c r="AP1245" s="761"/>
      <c r="AQ1245" s="761"/>
      <c r="AR1245" s="761"/>
      <c r="AS1245" s="761"/>
      <c r="AT1245" s="761"/>
      <c r="AU1245" s="761"/>
      <c r="AV1245" s="761"/>
      <c r="AW1245" s="761"/>
      <c r="AX1245" s="761"/>
      <c r="AY1245" s="761"/>
      <c r="AZ1245" s="761"/>
      <c r="BA1245" s="761"/>
      <c r="BB1245" s="761"/>
      <c r="BC1245" s="761"/>
      <c r="BD1245" s="761"/>
      <c r="BE1245" s="761"/>
      <c r="BF1245" s="761"/>
      <c r="BG1245" s="761"/>
      <c r="BH1245" s="761"/>
      <c r="BI1245" s="761"/>
      <c r="BJ1245" s="761"/>
      <c r="BK1245" s="761"/>
      <c r="BL1245" s="761"/>
      <c r="BM1245" s="761"/>
    </row>
    <row r="1246" spans="1:65" s="1690" customFormat="1">
      <c r="A1246" s="761" t="s">
        <v>2339</v>
      </c>
      <c r="B1246" s="761" t="s">
        <v>2340</v>
      </c>
      <c r="C1246" s="761" t="s">
        <v>2350</v>
      </c>
      <c r="D1246" s="761">
        <v>27792559</v>
      </c>
      <c r="E1246" s="761" t="s">
        <v>2949</v>
      </c>
      <c r="F1246" s="761">
        <v>143001900</v>
      </c>
      <c r="G1246" s="761" t="s">
        <v>2966</v>
      </c>
      <c r="H1246" s="761" t="s">
        <v>7539</v>
      </c>
      <c r="I1246" s="761" t="s">
        <v>6867</v>
      </c>
      <c r="J1246" s="761">
        <v>1</v>
      </c>
      <c r="K1246" s="746">
        <v>10318.700000000001</v>
      </c>
      <c r="L1246" s="746">
        <v>7947.75</v>
      </c>
      <c r="M1246" s="746">
        <v>2370.9500000000003</v>
      </c>
      <c r="N1246" s="493" t="str">
        <f t="shared" si="21"/>
        <v>C394</v>
      </c>
      <c r="O1246" s="493" t="s">
        <v>390</v>
      </c>
      <c r="P1246" s="493"/>
      <c r="Q1246" s="761"/>
      <c r="R1246" s="761"/>
      <c r="S1246" s="761"/>
      <c r="T1246" s="761"/>
      <c r="U1246" s="761"/>
      <c r="V1246" s="761"/>
      <c r="W1246" s="761"/>
      <c r="X1246" s="761"/>
      <c r="Y1246" s="761"/>
      <c r="Z1246" s="761"/>
      <c r="AA1246" s="761"/>
      <c r="AB1246" s="761"/>
      <c r="AC1246" s="761"/>
      <c r="AD1246" s="761"/>
      <c r="AE1246" s="761"/>
      <c r="AF1246" s="761"/>
      <c r="AG1246" s="761"/>
      <c r="AH1246" s="761"/>
      <c r="AI1246" s="761"/>
      <c r="AJ1246" s="761"/>
      <c r="AK1246" s="761"/>
      <c r="AL1246" s="761"/>
      <c r="AM1246" s="761"/>
      <c r="AN1246" s="761"/>
      <c r="AO1246" s="761"/>
      <c r="AP1246" s="761"/>
      <c r="AQ1246" s="761"/>
      <c r="AR1246" s="761"/>
      <c r="AS1246" s="761"/>
      <c r="AT1246" s="761"/>
      <c r="AU1246" s="761"/>
      <c r="AV1246" s="761"/>
      <c r="AW1246" s="761"/>
      <c r="AX1246" s="761"/>
      <c r="AY1246" s="761"/>
      <c r="AZ1246" s="761"/>
      <c r="BA1246" s="761"/>
      <c r="BB1246" s="761"/>
      <c r="BC1246" s="761"/>
      <c r="BD1246" s="761"/>
      <c r="BE1246" s="761"/>
      <c r="BF1246" s="761"/>
      <c r="BG1246" s="761"/>
      <c r="BH1246" s="761"/>
      <c r="BI1246" s="761"/>
      <c r="BJ1246" s="761"/>
      <c r="BK1246" s="761"/>
      <c r="BL1246" s="761"/>
      <c r="BM1246" s="761"/>
    </row>
    <row r="1247" spans="1:65" s="1690" customFormat="1">
      <c r="A1247" s="761" t="s">
        <v>2339</v>
      </c>
      <c r="B1247" s="761" t="s">
        <v>2340</v>
      </c>
      <c r="C1247" s="761" t="s">
        <v>2517</v>
      </c>
      <c r="D1247" s="761">
        <v>25879728</v>
      </c>
      <c r="E1247" s="761" t="s">
        <v>2949</v>
      </c>
      <c r="F1247" s="761">
        <v>143001624</v>
      </c>
      <c r="G1247" s="761" t="s">
        <v>2964</v>
      </c>
      <c r="H1247" s="761" t="s">
        <v>7540</v>
      </c>
      <c r="I1247" s="761" t="s">
        <v>6867</v>
      </c>
      <c r="J1247" s="761">
        <v>0</v>
      </c>
      <c r="K1247" s="746">
        <v>15966.04</v>
      </c>
      <c r="L1247" s="746">
        <v>9757.11</v>
      </c>
      <c r="M1247" s="746">
        <v>6208.93</v>
      </c>
      <c r="N1247" s="493" t="str">
        <f t="shared" si="21"/>
        <v>C394</v>
      </c>
      <c r="O1247" s="493" t="s">
        <v>99</v>
      </c>
      <c r="P1247" s="493" t="s">
        <v>8009</v>
      </c>
      <c r="Q1247" s="761"/>
      <c r="R1247" s="761"/>
      <c r="S1247" s="761"/>
      <c r="T1247" s="761"/>
      <c r="U1247" s="761"/>
      <c r="V1247" s="761"/>
      <c r="W1247" s="761"/>
      <c r="X1247" s="761"/>
      <c r="Y1247" s="761"/>
      <c r="Z1247" s="761"/>
      <c r="AA1247" s="761"/>
      <c r="AB1247" s="761"/>
      <c r="AC1247" s="761"/>
      <c r="AD1247" s="761"/>
      <c r="AE1247" s="761"/>
      <c r="AF1247" s="761"/>
      <c r="AG1247" s="761"/>
      <c r="AH1247" s="761"/>
      <c r="AI1247" s="761"/>
      <c r="AJ1247" s="761"/>
      <c r="AK1247" s="761"/>
      <c r="AL1247" s="761"/>
      <c r="AM1247" s="761"/>
      <c r="AN1247" s="761"/>
      <c r="AO1247" s="761"/>
      <c r="AP1247" s="761"/>
      <c r="AQ1247" s="761"/>
      <c r="AR1247" s="761"/>
      <c r="AS1247" s="761"/>
      <c r="AT1247" s="761"/>
      <c r="AU1247" s="761"/>
      <c r="AV1247" s="761"/>
      <c r="AW1247" s="761"/>
      <c r="AX1247" s="761"/>
      <c r="AY1247" s="761"/>
      <c r="AZ1247" s="761"/>
      <c r="BA1247" s="761"/>
      <c r="BB1247" s="761"/>
      <c r="BC1247" s="761"/>
      <c r="BD1247" s="761"/>
      <c r="BE1247" s="761"/>
      <c r="BF1247" s="761"/>
      <c r="BG1247" s="761"/>
      <c r="BH1247" s="761"/>
      <c r="BI1247" s="761"/>
      <c r="BJ1247" s="761"/>
      <c r="BK1247" s="761"/>
      <c r="BL1247" s="761"/>
      <c r="BM1247" s="761"/>
    </row>
    <row r="1248" spans="1:65" s="1690" customFormat="1">
      <c r="A1248" s="761" t="s">
        <v>2339</v>
      </c>
      <c r="B1248" s="761" t="s">
        <v>2340</v>
      </c>
      <c r="C1248" s="761" t="s">
        <v>2517</v>
      </c>
      <c r="D1248" s="761">
        <v>26676498</v>
      </c>
      <c r="E1248" s="761" t="s">
        <v>2949</v>
      </c>
      <c r="F1248" s="761">
        <v>143001840</v>
      </c>
      <c r="G1248" s="761" t="s">
        <v>2965</v>
      </c>
      <c r="H1248" s="761" t="s">
        <v>7541</v>
      </c>
      <c r="I1248" s="761" t="s">
        <v>6867</v>
      </c>
      <c r="J1248" s="761">
        <v>1</v>
      </c>
      <c r="K1248" s="746">
        <v>130959.28</v>
      </c>
      <c r="L1248" s="746">
        <v>80031.400000000009</v>
      </c>
      <c r="M1248" s="746">
        <v>50927.880000000005</v>
      </c>
      <c r="N1248" s="493" t="str">
        <f t="shared" si="21"/>
        <v>C394</v>
      </c>
      <c r="O1248" s="493" t="s">
        <v>99</v>
      </c>
      <c r="P1248" s="493" t="s">
        <v>8009</v>
      </c>
      <c r="Q1248" s="761"/>
      <c r="R1248" s="761"/>
      <c r="S1248" s="761"/>
      <c r="T1248" s="761"/>
      <c r="U1248" s="761"/>
      <c r="V1248" s="761"/>
      <c r="W1248" s="761"/>
      <c r="X1248" s="761"/>
      <c r="Y1248" s="761"/>
      <c r="Z1248" s="761"/>
      <c r="AA1248" s="761"/>
      <c r="AB1248" s="761"/>
      <c r="AC1248" s="761"/>
      <c r="AD1248" s="761"/>
      <c r="AE1248" s="761"/>
      <c r="AF1248" s="761"/>
      <c r="AG1248" s="761"/>
      <c r="AH1248" s="761"/>
      <c r="AI1248" s="761"/>
      <c r="AJ1248" s="761"/>
      <c r="AK1248" s="761"/>
      <c r="AL1248" s="761"/>
      <c r="AM1248" s="761"/>
      <c r="AN1248" s="761"/>
      <c r="AO1248" s="761"/>
      <c r="AP1248" s="761"/>
      <c r="AQ1248" s="761"/>
      <c r="AR1248" s="761"/>
      <c r="AS1248" s="761"/>
      <c r="AT1248" s="761"/>
      <c r="AU1248" s="761"/>
      <c r="AV1248" s="761"/>
      <c r="AW1248" s="761"/>
      <c r="AX1248" s="761"/>
      <c r="AY1248" s="761"/>
      <c r="AZ1248" s="761"/>
      <c r="BA1248" s="761"/>
      <c r="BB1248" s="761"/>
      <c r="BC1248" s="761"/>
      <c r="BD1248" s="761"/>
      <c r="BE1248" s="761"/>
      <c r="BF1248" s="761"/>
      <c r="BG1248" s="761"/>
      <c r="BH1248" s="761"/>
      <c r="BI1248" s="761"/>
      <c r="BJ1248" s="761"/>
      <c r="BK1248" s="761"/>
      <c r="BL1248" s="761"/>
      <c r="BM1248" s="761"/>
    </row>
    <row r="1249" spans="1:65" s="1690" customFormat="1">
      <c r="A1249" s="761" t="s">
        <v>2339</v>
      </c>
      <c r="B1249" s="761" t="s">
        <v>2340</v>
      </c>
      <c r="C1249" s="761" t="s">
        <v>2743</v>
      </c>
      <c r="D1249" s="761">
        <v>27568810</v>
      </c>
      <c r="E1249" s="761" t="s">
        <v>2949</v>
      </c>
      <c r="F1249" s="761">
        <v>143000682</v>
      </c>
      <c r="G1249" s="761" t="s">
        <v>2958</v>
      </c>
      <c r="H1249" s="761" t="s">
        <v>7542</v>
      </c>
      <c r="I1249" s="761" t="s">
        <v>6867</v>
      </c>
      <c r="J1249" s="761">
        <v>0</v>
      </c>
      <c r="K1249" s="746">
        <v>48061.5</v>
      </c>
      <c r="L1249" s="746">
        <v>29371.18</v>
      </c>
      <c r="M1249" s="746">
        <v>18690.32</v>
      </c>
      <c r="N1249" s="493" t="str">
        <f t="shared" si="21"/>
        <v>C394</v>
      </c>
      <c r="O1249" s="493" t="s">
        <v>99</v>
      </c>
      <c r="P1249" s="493" t="s">
        <v>8009</v>
      </c>
      <c r="Q1249" s="761"/>
      <c r="R1249" s="761"/>
      <c r="S1249" s="761"/>
      <c r="T1249" s="761"/>
      <c r="U1249" s="761"/>
      <c r="V1249" s="761"/>
      <c r="W1249" s="761"/>
      <c r="X1249" s="761"/>
      <c r="Y1249" s="761"/>
      <c r="Z1249" s="761"/>
      <c r="AA1249" s="761"/>
      <c r="AB1249" s="761"/>
      <c r="AC1249" s="761"/>
      <c r="AD1249" s="761"/>
      <c r="AE1249" s="761"/>
      <c r="AF1249" s="761"/>
      <c r="AG1249" s="761"/>
      <c r="AH1249" s="761"/>
      <c r="AI1249" s="761"/>
      <c r="AJ1249" s="761"/>
      <c r="AK1249" s="761"/>
      <c r="AL1249" s="761"/>
      <c r="AM1249" s="761"/>
      <c r="AN1249" s="761"/>
      <c r="AO1249" s="761"/>
      <c r="AP1249" s="761"/>
      <c r="AQ1249" s="761"/>
      <c r="AR1249" s="761"/>
      <c r="AS1249" s="761"/>
      <c r="AT1249" s="761"/>
      <c r="AU1249" s="761"/>
      <c r="AV1249" s="761"/>
      <c r="AW1249" s="761"/>
      <c r="AX1249" s="761"/>
      <c r="AY1249" s="761"/>
      <c r="AZ1249" s="761"/>
      <c r="BA1249" s="761"/>
      <c r="BB1249" s="761"/>
      <c r="BC1249" s="761"/>
      <c r="BD1249" s="761"/>
      <c r="BE1249" s="761"/>
      <c r="BF1249" s="761"/>
      <c r="BG1249" s="761"/>
      <c r="BH1249" s="761"/>
      <c r="BI1249" s="761"/>
      <c r="BJ1249" s="761"/>
      <c r="BK1249" s="761"/>
      <c r="BL1249" s="761"/>
      <c r="BM1249" s="761"/>
    </row>
    <row r="1250" spans="1:65" s="1690" customFormat="1">
      <c r="A1250" s="761" t="s">
        <v>2339</v>
      </c>
      <c r="B1250" s="761" t="s">
        <v>2340</v>
      </c>
      <c r="C1250" s="761" t="s">
        <v>2709</v>
      </c>
      <c r="D1250" s="761">
        <v>28379257</v>
      </c>
      <c r="E1250" s="761" t="s">
        <v>2949</v>
      </c>
      <c r="F1250" s="761">
        <v>143002509</v>
      </c>
      <c r="G1250" s="761" t="s">
        <v>2967</v>
      </c>
      <c r="H1250" s="761" t="s">
        <v>7543</v>
      </c>
      <c r="I1250" s="761" t="s">
        <v>6867</v>
      </c>
      <c r="J1250" s="761">
        <v>63</v>
      </c>
      <c r="K1250" s="746">
        <v>152146.4</v>
      </c>
      <c r="L1250" s="746">
        <v>92979.199999999997</v>
      </c>
      <c r="M1250" s="746">
        <v>59167.200000000004</v>
      </c>
      <c r="N1250" s="493" t="str">
        <f t="shared" si="21"/>
        <v>C394</v>
      </c>
      <c r="O1250" s="493" t="s">
        <v>99</v>
      </c>
      <c r="P1250" s="493" t="s">
        <v>8009</v>
      </c>
      <c r="Q1250" s="761"/>
      <c r="R1250" s="761"/>
      <c r="S1250" s="761"/>
      <c r="T1250" s="761"/>
      <c r="U1250" s="761"/>
      <c r="V1250" s="761"/>
      <c r="W1250" s="761"/>
      <c r="X1250" s="761"/>
      <c r="Y1250" s="761"/>
      <c r="Z1250" s="761"/>
      <c r="AA1250" s="761"/>
      <c r="AB1250" s="761"/>
      <c r="AC1250" s="761"/>
      <c r="AD1250" s="761"/>
      <c r="AE1250" s="761"/>
      <c r="AF1250" s="761"/>
      <c r="AG1250" s="761"/>
      <c r="AH1250" s="761"/>
      <c r="AI1250" s="761"/>
      <c r="AJ1250" s="761"/>
      <c r="AK1250" s="761"/>
      <c r="AL1250" s="761"/>
      <c r="AM1250" s="761"/>
      <c r="AN1250" s="761"/>
      <c r="AO1250" s="761"/>
      <c r="AP1250" s="761"/>
      <c r="AQ1250" s="761"/>
      <c r="AR1250" s="761"/>
      <c r="AS1250" s="761"/>
      <c r="AT1250" s="761"/>
      <c r="AU1250" s="761"/>
      <c r="AV1250" s="761"/>
      <c r="AW1250" s="761"/>
      <c r="AX1250" s="761"/>
      <c r="AY1250" s="761"/>
      <c r="AZ1250" s="761"/>
      <c r="BA1250" s="761"/>
      <c r="BB1250" s="761"/>
      <c r="BC1250" s="761"/>
      <c r="BD1250" s="761"/>
      <c r="BE1250" s="761"/>
      <c r="BF1250" s="761"/>
      <c r="BG1250" s="761"/>
      <c r="BH1250" s="761"/>
      <c r="BI1250" s="761"/>
      <c r="BJ1250" s="761"/>
      <c r="BK1250" s="761"/>
      <c r="BL1250" s="761"/>
      <c r="BM1250" s="761"/>
    </row>
    <row r="1251" spans="1:65" s="1690" customFormat="1">
      <c r="A1251" s="761" t="s">
        <v>2339</v>
      </c>
      <c r="B1251" s="761" t="s">
        <v>2340</v>
      </c>
      <c r="C1251" s="761" t="s">
        <v>2743</v>
      </c>
      <c r="D1251" s="761">
        <v>30860280</v>
      </c>
      <c r="E1251" s="761" t="s">
        <v>2949</v>
      </c>
      <c r="F1251" s="761">
        <v>143002880</v>
      </c>
      <c r="G1251" s="761" t="s">
        <v>2965</v>
      </c>
      <c r="H1251" s="761" t="s">
        <v>7544</v>
      </c>
      <c r="I1251" s="761" t="s">
        <v>6867</v>
      </c>
      <c r="J1251" s="761">
        <v>1</v>
      </c>
      <c r="K1251" s="746">
        <v>35694.68</v>
      </c>
      <c r="L1251" s="746">
        <v>18559.88</v>
      </c>
      <c r="M1251" s="746">
        <v>17134.8</v>
      </c>
      <c r="N1251" s="493" t="str">
        <f t="shared" si="21"/>
        <v>C394</v>
      </c>
      <c r="O1251" s="493" t="s">
        <v>99</v>
      </c>
      <c r="P1251" s="493" t="s">
        <v>8009</v>
      </c>
      <c r="Q1251" s="761"/>
      <c r="R1251" s="761"/>
      <c r="S1251" s="761"/>
      <c r="T1251" s="761"/>
      <c r="U1251" s="761"/>
      <c r="V1251" s="761"/>
      <c r="W1251" s="761"/>
      <c r="X1251" s="761"/>
      <c r="Y1251" s="761"/>
      <c r="Z1251" s="761"/>
      <c r="AA1251" s="761"/>
      <c r="AB1251" s="761"/>
      <c r="AC1251" s="761"/>
      <c r="AD1251" s="761"/>
      <c r="AE1251" s="761"/>
      <c r="AF1251" s="761"/>
      <c r="AG1251" s="761"/>
      <c r="AH1251" s="761"/>
      <c r="AI1251" s="761"/>
      <c r="AJ1251" s="761"/>
      <c r="AK1251" s="761"/>
      <c r="AL1251" s="761"/>
      <c r="AM1251" s="761"/>
      <c r="AN1251" s="761"/>
      <c r="AO1251" s="761"/>
      <c r="AP1251" s="761"/>
      <c r="AQ1251" s="761"/>
      <c r="AR1251" s="761"/>
      <c r="AS1251" s="761"/>
      <c r="AT1251" s="761"/>
      <c r="AU1251" s="761"/>
      <c r="AV1251" s="761"/>
      <c r="AW1251" s="761"/>
      <c r="AX1251" s="761"/>
      <c r="AY1251" s="761"/>
      <c r="AZ1251" s="761"/>
      <c r="BA1251" s="761"/>
      <c r="BB1251" s="761"/>
      <c r="BC1251" s="761"/>
      <c r="BD1251" s="761"/>
      <c r="BE1251" s="761"/>
      <c r="BF1251" s="761"/>
      <c r="BG1251" s="761"/>
      <c r="BH1251" s="761"/>
      <c r="BI1251" s="761"/>
      <c r="BJ1251" s="761"/>
      <c r="BK1251" s="761"/>
      <c r="BL1251" s="761"/>
      <c r="BM1251" s="761"/>
    </row>
    <row r="1252" spans="1:65" s="1690" customFormat="1">
      <c r="A1252" s="761" t="s">
        <v>2339</v>
      </c>
      <c r="B1252" s="761" t="s">
        <v>2340</v>
      </c>
      <c r="C1252" s="761" t="s">
        <v>2358</v>
      </c>
      <c r="D1252" s="761">
        <v>31559970</v>
      </c>
      <c r="E1252" s="761" t="s">
        <v>2949</v>
      </c>
      <c r="F1252" s="761">
        <v>143002741</v>
      </c>
      <c r="G1252" s="761" t="s">
        <v>2968</v>
      </c>
      <c r="H1252" s="761" t="s">
        <v>7545</v>
      </c>
      <c r="I1252" s="761" t="s">
        <v>6867</v>
      </c>
      <c r="J1252" s="761">
        <v>1</v>
      </c>
      <c r="K1252" s="746">
        <v>26544.27</v>
      </c>
      <c r="L1252" s="746">
        <v>13802.01</v>
      </c>
      <c r="M1252" s="746">
        <v>12742.26</v>
      </c>
      <c r="N1252" s="493" t="str">
        <f t="shared" si="21"/>
        <v>C394</v>
      </c>
      <c r="O1252" s="493" t="s">
        <v>390</v>
      </c>
      <c r="P1252" s="493"/>
      <c r="Q1252" s="761"/>
      <c r="R1252" s="761"/>
      <c r="S1252" s="761"/>
      <c r="T1252" s="761"/>
      <c r="U1252" s="761"/>
      <c r="V1252" s="761"/>
      <c r="W1252" s="761"/>
      <c r="X1252" s="761"/>
      <c r="Y1252" s="761"/>
      <c r="Z1252" s="761"/>
      <c r="AA1252" s="761"/>
      <c r="AB1252" s="761"/>
      <c r="AC1252" s="761"/>
      <c r="AD1252" s="761"/>
      <c r="AE1252" s="761"/>
      <c r="AF1252" s="761"/>
      <c r="AG1252" s="761"/>
      <c r="AH1252" s="761"/>
      <c r="AI1252" s="761"/>
      <c r="AJ1252" s="761"/>
      <c r="AK1252" s="761"/>
      <c r="AL1252" s="761"/>
      <c r="AM1252" s="761"/>
      <c r="AN1252" s="761"/>
      <c r="AO1252" s="761"/>
      <c r="AP1252" s="761"/>
      <c r="AQ1252" s="761"/>
      <c r="AR1252" s="761"/>
      <c r="AS1252" s="761"/>
      <c r="AT1252" s="761"/>
      <c r="AU1252" s="761"/>
      <c r="AV1252" s="761"/>
      <c r="AW1252" s="761"/>
      <c r="AX1252" s="761"/>
      <c r="AY1252" s="761"/>
      <c r="AZ1252" s="761"/>
      <c r="BA1252" s="761"/>
      <c r="BB1252" s="761"/>
      <c r="BC1252" s="761"/>
      <c r="BD1252" s="761"/>
      <c r="BE1252" s="761"/>
      <c r="BF1252" s="761"/>
      <c r="BG1252" s="761"/>
      <c r="BH1252" s="761"/>
      <c r="BI1252" s="761"/>
      <c r="BJ1252" s="761"/>
      <c r="BK1252" s="761"/>
      <c r="BL1252" s="761"/>
      <c r="BM1252" s="761"/>
    </row>
    <row r="1253" spans="1:65" s="1690" customFormat="1">
      <c r="A1253" s="761" t="s">
        <v>2339</v>
      </c>
      <c r="B1253" s="761" t="s">
        <v>2340</v>
      </c>
      <c r="C1253" s="761" t="s">
        <v>2517</v>
      </c>
      <c r="D1253" s="761">
        <v>9414151</v>
      </c>
      <c r="E1253" s="761" t="s">
        <v>2969</v>
      </c>
      <c r="F1253" s="761">
        <v>130005321</v>
      </c>
      <c r="G1253" s="761" t="s">
        <v>2970</v>
      </c>
      <c r="H1253" s="761" t="s">
        <v>7546</v>
      </c>
      <c r="I1253" s="761" t="s">
        <v>6867</v>
      </c>
      <c r="J1253" s="761">
        <v>0</v>
      </c>
      <c r="K1253" s="746">
        <v>294889.55</v>
      </c>
      <c r="L1253" s="746">
        <v>161461.41</v>
      </c>
      <c r="M1253" s="746">
        <v>133428.14000000001</v>
      </c>
      <c r="N1253" s="493" t="str">
        <f t="shared" si="21"/>
        <v>C396</v>
      </c>
      <c r="O1253" s="493" t="s">
        <v>109</v>
      </c>
      <c r="P1253" s="493" t="s">
        <v>2971</v>
      </c>
      <c r="Q1253" s="761"/>
      <c r="R1253" s="761"/>
      <c r="S1253" s="761"/>
      <c r="T1253" s="761"/>
      <c r="U1253" s="761"/>
      <c r="V1253" s="761"/>
      <c r="W1253" s="761"/>
      <c r="X1253" s="761"/>
      <c r="Y1253" s="761"/>
      <c r="Z1253" s="761"/>
      <c r="AA1253" s="761"/>
      <c r="AB1253" s="761"/>
      <c r="AC1253" s="761"/>
      <c r="AD1253" s="761"/>
      <c r="AE1253" s="761"/>
      <c r="AF1253" s="761"/>
      <c r="AG1253" s="761"/>
      <c r="AH1253" s="761"/>
      <c r="AI1253" s="761"/>
      <c r="AJ1253" s="761"/>
      <c r="AK1253" s="761"/>
      <c r="AL1253" s="761"/>
      <c r="AM1253" s="761"/>
      <c r="AN1253" s="761"/>
      <c r="AO1253" s="761"/>
      <c r="AP1253" s="761"/>
      <c r="AQ1253" s="761"/>
      <c r="AR1253" s="761"/>
      <c r="AS1253" s="761"/>
      <c r="AT1253" s="761"/>
      <c r="AU1253" s="761"/>
      <c r="AV1253" s="761"/>
      <c r="AW1253" s="761"/>
      <c r="AX1253" s="761"/>
      <c r="AY1253" s="761"/>
      <c r="AZ1253" s="761"/>
      <c r="BA1253" s="761"/>
      <c r="BB1253" s="761"/>
      <c r="BC1253" s="761"/>
      <c r="BD1253" s="761"/>
      <c r="BE1253" s="761"/>
      <c r="BF1253" s="761"/>
      <c r="BG1253" s="761"/>
      <c r="BH1253" s="761"/>
      <c r="BI1253" s="761"/>
      <c r="BJ1253" s="761"/>
      <c r="BK1253" s="761"/>
      <c r="BL1253" s="761"/>
      <c r="BM1253" s="761"/>
    </row>
    <row r="1254" spans="1:65" s="1690" customFormat="1">
      <c r="A1254" s="761" t="s">
        <v>2339</v>
      </c>
      <c r="B1254" s="761" t="s">
        <v>2340</v>
      </c>
      <c r="C1254" s="761" t="s">
        <v>2517</v>
      </c>
      <c r="D1254" s="761">
        <v>9414156</v>
      </c>
      <c r="E1254" s="761" t="s">
        <v>2969</v>
      </c>
      <c r="F1254" s="761">
        <v>130005321</v>
      </c>
      <c r="G1254" s="761" t="s">
        <v>2970</v>
      </c>
      <c r="H1254" s="761" t="s">
        <v>7546</v>
      </c>
      <c r="I1254" s="761" t="s">
        <v>6867</v>
      </c>
      <c r="J1254" s="761">
        <v>0</v>
      </c>
      <c r="K1254" s="746">
        <v>19450.18</v>
      </c>
      <c r="L1254" s="746">
        <v>10649.59</v>
      </c>
      <c r="M1254" s="746">
        <v>8800.59</v>
      </c>
      <c r="N1254" s="493" t="str">
        <f t="shared" si="21"/>
        <v>C396</v>
      </c>
      <c r="O1254" s="493" t="s">
        <v>109</v>
      </c>
      <c r="P1254" s="493" t="s">
        <v>2971</v>
      </c>
      <c r="Q1254" s="761"/>
      <c r="R1254" s="761"/>
      <c r="S1254" s="761"/>
      <c r="T1254" s="761"/>
      <c r="U1254" s="761"/>
      <c r="V1254" s="761"/>
      <c r="W1254" s="761"/>
      <c r="X1254" s="761"/>
      <c r="Y1254" s="761"/>
      <c r="Z1254" s="761"/>
      <c r="AA1254" s="761"/>
      <c r="AB1254" s="761"/>
      <c r="AC1254" s="761"/>
      <c r="AD1254" s="761"/>
      <c r="AE1254" s="761"/>
      <c r="AF1254" s="761"/>
      <c r="AG1254" s="761"/>
      <c r="AH1254" s="761"/>
      <c r="AI1254" s="761"/>
      <c r="AJ1254" s="761"/>
      <c r="AK1254" s="761"/>
      <c r="AL1254" s="761"/>
      <c r="AM1254" s="761"/>
      <c r="AN1254" s="761"/>
      <c r="AO1254" s="761"/>
      <c r="AP1254" s="761"/>
      <c r="AQ1254" s="761"/>
      <c r="AR1254" s="761"/>
      <c r="AS1254" s="761"/>
      <c r="AT1254" s="761"/>
      <c r="AU1254" s="761"/>
      <c r="AV1254" s="761"/>
      <c r="AW1254" s="761"/>
      <c r="AX1254" s="761"/>
      <c r="AY1254" s="761"/>
      <c r="AZ1254" s="761"/>
      <c r="BA1254" s="761"/>
      <c r="BB1254" s="761"/>
      <c r="BC1254" s="761"/>
      <c r="BD1254" s="761"/>
      <c r="BE1254" s="761"/>
      <c r="BF1254" s="761"/>
      <c r="BG1254" s="761"/>
      <c r="BH1254" s="761"/>
      <c r="BI1254" s="761"/>
      <c r="BJ1254" s="761"/>
      <c r="BK1254" s="761"/>
      <c r="BL1254" s="761"/>
      <c r="BM1254" s="761"/>
    </row>
    <row r="1255" spans="1:65" s="1690" customFormat="1">
      <c r="A1255" s="761" t="s">
        <v>2339</v>
      </c>
      <c r="B1255" s="761" t="s">
        <v>2340</v>
      </c>
      <c r="C1255" s="761" t="s">
        <v>2517</v>
      </c>
      <c r="D1255" s="761">
        <v>34421362</v>
      </c>
      <c r="E1255" s="761" t="s">
        <v>2969</v>
      </c>
      <c r="F1255" s="761">
        <v>130005321</v>
      </c>
      <c r="G1255" s="761" t="s">
        <v>2970</v>
      </c>
      <c r="H1255" s="761" t="s">
        <v>7546</v>
      </c>
      <c r="I1255" s="761" t="s">
        <v>6867</v>
      </c>
      <c r="J1255" s="761">
        <v>0</v>
      </c>
      <c r="K1255" s="746">
        <v>72213.84</v>
      </c>
      <c r="L1255" s="746">
        <v>39539.379999999997</v>
      </c>
      <c r="M1255" s="746">
        <v>32674.46</v>
      </c>
      <c r="N1255" s="493" t="str">
        <f t="shared" si="21"/>
        <v>C396</v>
      </c>
      <c r="O1255" s="493" t="s">
        <v>109</v>
      </c>
      <c r="P1255" s="493" t="s">
        <v>2971</v>
      </c>
      <c r="Q1255" s="761"/>
      <c r="R1255" s="761"/>
      <c r="S1255" s="761"/>
      <c r="T1255" s="761"/>
      <c r="U1255" s="761"/>
      <c r="V1255" s="761"/>
      <c r="W1255" s="761"/>
      <c r="X1255" s="761"/>
      <c r="Y1255" s="761"/>
      <c r="Z1255" s="761"/>
      <c r="AA1255" s="761"/>
      <c r="AB1255" s="761"/>
      <c r="AC1255" s="761"/>
      <c r="AD1255" s="761"/>
      <c r="AE1255" s="761"/>
      <c r="AF1255" s="761"/>
      <c r="AG1255" s="761"/>
      <c r="AH1255" s="761"/>
      <c r="AI1255" s="761"/>
      <c r="AJ1255" s="761"/>
      <c r="AK1255" s="761"/>
      <c r="AL1255" s="761"/>
      <c r="AM1255" s="761"/>
      <c r="AN1255" s="761"/>
      <c r="AO1255" s="761"/>
      <c r="AP1255" s="761"/>
      <c r="AQ1255" s="761"/>
      <c r="AR1255" s="761"/>
      <c r="AS1255" s="761"/>
      <c r="AT1255" s="761"/>
      <c r="AU1255" s="761"/>
      <c r="AV1255" s="761"/>
      <c r="AW1255" s="761"/>
      <c r="AX1255" s="761"/>
      <c r="AY1255" s="761"/>
      <c r="AZ1255" s="761"/>
      <c r="BA1255" s="761"/>
      <c r="BB1255" s="761"/>
      <c r="BC1255" s="761"/>
      <c r="BD1255" s="761"/>
      <c r="BE1255" s="761"/>
      <c r="BF1255" s="761"/>
      <c r="BG1255" s="761"/>
      <c r="BH1255" s="761"/>
      <c r="BI1255" s="761"/>
      <c r="BJ1255" s="761"/>
      <c r="BK1255" s="761"/>
      <c r="BL1255" s="761"/>
      <c r="BM1255" s="761"/>
    </row>
    <row r="1256" spans="1:65" s="1690" customFormat="1">
      <c r="A1256" s="761" t="s">
        <v>2339</v>
      </c>
      <c r="B1256" s="761" t="s">
        <v>2340</v>
      </c>
      <c r="C1256" s="761" t="s">
        <v>2517</v>
      </c>
      <c r="D1256" s="761">
        <v>34421373</v>
      </c>
      <c r="E1256" s="761" t="s">
        <v>2969</v>
      </c>
      <c r="F1256" s="761">
        <v>130005321</v>
      </c>
      <c r="G1256" s="761" t="s">
        <v>2970</v>
      </c>
      <c r="H1256" s="761" t="s">
        <v>7546</v>
      </c>
      <c r="I1256" s="761" t="s">
        <v>6867</v>
      </c>
      <c r="J1256" s="761">
        <v>0</v>
      </c>
      <c r="K1256" s="746">
        <v>172291.27</v>
      </c>
      <c r="L1256" s="746">
        <v>94334.95</v>
      </c>
      <c r="M1256" s="746">
        <v>77956.320000000007</v>
      </c>
      <c r="N1256" s="493" t="str">
        <f t="shared" si="21"/>
        <v>C396</v>
      </c>
      <c r="O1256" s="493" t="s">
        <v>109</v>
      </c>
      <c r="P1256" s="493" t="s">
        <v>2971</v>
      </c>
      <c r="Q1256" s="761"/>
      <c r="R1256" s="761"/>
      <c r="S1256" s="761"/>
      <c r="T1256" s="761"/>
      <c r="U1256" s="761"/>
      <c r="V1256" s="761"/>
      <c r="W1256" s="761"/>
      <c r="X1256" s="761"/>
      <c r="Y1256" s="761"/>
      <c r="Z1256" s="761"/>
      <c r="AA1256" s="761"/>
      <c r="AB1256" s="761"/>
      <c r="AC1256" s="761"/>
      <c r="AD1256" s="761"/>
      <c r="AE1256" s="761"/>
      <c r="AF1256" s="761"/>
      <c r="AG1256" s="761"/>
      <c r="AH1256" s="761"/>
      <c r="AI1256" s="761"/>
      <c r="AJ1256" s="761"/>
      <c r="AK1256" s="761"/>
      <c r="AL1256" s="761"/>
      <c r="AM1256" s="761"/>
      <c r="AN1256" s="761"/>
      <c r="AO1256" s="761"/>
      <c r="AP1256" s="761"/>
      <c r="AQ1256" s="761"/>
      <c r="AR1256" s="761"/>
      <c r="AS1256" s="761"/>
      <c r="AT1256" s="761"/>
      <c r="AU1256" s="761"/>
      <c r="AV1256" s="761"/>
      <c r="AW1256" s="761"/>
      <c r="AX1256" s="761"/>
      <c r="AY1256" s="761"/>
      <c r="AZ1256" s="761"/>
      <c r="BA1256" s="761"/>
      <c r="BB1256" s="761"/>
      <c r="BC1256" s="761"/>
      <c r="BD1256" s="761"/>
      <c r="BE1256" s="761"/>
      <c r="BF1256" s="761"/>
      <c r="BG1256" s="761"/>
      <c r="BH1256" s="761"/>
      <c r="BI1256" s="761"/>
      <c r="BJ1256" s="761"/>
      <c r="BK1256" s="761"/>
      <c r="BL1256" s="761"/>
      <c r="BM1256" s="761"/>
    </row>
    <row r="1257" spans="1:65" s="1690" customFormat="1">
      <c r="A1257" s="761" t="s">
        <v>2339</v>
      </c>
      <c r="B1257" s="761" t="s">
        <v>2340</v>
      </c>
      <c r="C1257" s="761" t="s">
        <v>2476</v>
      </c>
      <c r="D1257" s="761">
        <v>34258050</v>
      </c>
      <c r="E1257" s="761" t="s">
        <v>2969</v>
      </c>
      <c r="F1257" s="761">
        <v>143002621</v>
      </c>
      <c r="G1257" s="761" t="s">
        <v>2939</v>
      </c>
      <c r="H1257" s="761" t="s">
        <v>7522</v>
      </c>
      <c r="I1257" s="761" t="s">
        <v>6867</v>
      </c>
      <c r="J1257" s="761">
        <v>0</v>
      </c>
      <c r="K1257" s="746">
        <v>9305</v>
      </c>
      <c r="L1257" s="746">
        <v>3187.08</v>
      </c>
      <c r="M1257" s="746">
        <v>6117.92</v>
      </c>
      <c r="N1257" s="493" t="str">
        <f t="shared" si="21"/>
        <v>C396</v>
      </c>
      <c r="O1257" s="493" t="s">
        <v>109</v>
      </c>
      <c r="P1257" s="493" t="s">
        <v>2971</v>
      </c>
      <c r="Q1257" s="761"/>
      <c r="R1257" s="761"/>
      <c r="S1257" s="761"/>
      <c r="T1257" s="761"/>
      <c r="U1257" s="761"/>
      <c r="V1257" s="761"/>
      <c r="W1257" s="761"/>
      <c r="X1257" s="761"/>
      <c r="Y1257" s="761"/>
      <c r="Z1257" s="761"/>
      <c r="AA1257" s="761"/>
      <c r="AB1257" s="761"/>
      <c r="AC1257" s="761"/>
      <c r="AD1257" s="761"/>
      <c r="AE1257" s="761"/>
      <c r="AF1257" s="761"/>
      <c r="AG1257" s="761"/>
      <c r="AH1257" s="761"/>
      <c r="AI1257" s="761"/>
      <c r="AJ1257" s="761"/>
      <c r="AK1257" s="761"/>
      <c r="AL1257" s="761"/>
      <c r="AM1257" s="761"/>
      <c r="AN1257" s="761"/>
      <c r="AO1257" s="761"/>
      <c r="AP1257" s="761"/>
      <c r="AQ1257" s="761"/>
      <c r="AR1257" s="761"/>
      <c r="AS1257" s="761"/>
      <c r="AT1257" s="761"/>
      <c r="AU1257" s="761"/>
      <c r="AV1257" s="761"/>
      <c r="AW1257" s="761"/>
      <c r="AX1257" s="761"/>
      <c r="AY1257" s="761"/>
      <c r="AZ1257" s="761"/>
      <c r="BA1257" s="761"/>
      <c r="BB1257" s="761"/>
      <c r="BC1257" s="761"/>
      <c r="BD1257" s="761"/>
      <c r="BE1257" s="761"/>
      <c r="BF1257" s="761"/>
      <c r="BG1257" s="761"/>
      <c r="BH1257" s="761"/>
      <c r="BI1257" s="761"/>
      <c r="BJ1257" s="761"/>
      <c r="BK1257" s="761"/>
      <c r="BL1257" s="761"/>
      <c r="BM1257" s="761"/>
    </row>
    <row r="1258" spans="1:65" s="1690" customFormat="1">
      <c r="A1258" s="761" t="s">
        <v>2339</v>
      </c>
      <c r="B1258" s="761" t="s">
        <v>2340</v>
      </c>
      <c r="C1258" s="761" t="s">
        <v>2709</v>
      </c>
      <c r="D1258" s="761">
        <v>33531598</v>
      </c>
      <c r="E1258" s="761" t="s">
        <v>2969</v>
      </c>
      <c r="F1258" s="761">
        <v>143002620</v>
      </c>
      <c r="G1258" s="761" t="s">
        <v>2938</v>
      </c>
      <c r="H1258" s="761" t="s">
        <v>7523</v>
      </c>
      <c r="I1258" s="761" t="s">
        <v>6867</v>
      </c>
      <c r="J1258" s="761">
        <v>1</v>
      </c>
      <c r="K1258" s="746">
        <v>460.08</v>
      </c>
      <c r="L1258" s="746">
        <v>157.58000000000001</v>
      </c>
      <c r="M1258" s="746">
        <v>302.5</v>
      </c>
      <c r="N1258" s="493" t="str">
        <f t="shared" si="21"/>
        <v>C396</v>
      </c>
      <c r="O1258" s="493" t="s">
        <v>109</v>
      </c>
      <c r="P1258" s="493" t="s">
        <v>2971</v>
      </c>
      <c r="Q1258" s="761"/>
      <c r="R1258" s="761"/>
      <c r="S1258" s="761"/>
      <c r="T1258" s="761"/>
      <c r="U1258" s="761"/>
      <c r="V1258" s="761"/>
      <c r="W1258" s="761"/>
      <c r="X1258" s="761"/>
      <c r="Y1258" s="761"/>
      <c r="Z1258" s="761"/>
      <c r="AA1258" s="761"/>
      <c r="AB1258" s="761"/>
      <c r="AC1258" s="761"/>
      <c r="AD1258" s="761"/>
      <c r="AE1258" s="761"/>
      <c r="AF1258" s="761"/>
      <c r="AG1258" s="761"/>
      <c r="AH1258" s="761"/>
      <c r="AI1258" s="761"/>
      <c r="AJ1258" s="761"/>
      <c r="AK1258" s="761"/>
      <c r="AL1258" s="761"/>
      <c r="AM1258" s="761"/>
      <c r="AN1258" s="761"/>
      <c r="AO1258" s="761"/>
      <c r="AP1258" s="761"/>
      <c r="AQ1258" s="761"/>
      <c r="AR1258" s="761"/>
      <c r="AS1258" s="761"/>
      <c r="AT1258" s="761"/>
      <c r="AU1258" s="761"/>
      <c r="AV1258" s="761"/>
      <c r="AW1258" s="761"/>
      <c r="AX1258" s="761"/>
      <c r="AY1258" s="761"/>
      <c r="AZ1258" s="761"/>
      <c r="BA1258" s="761"/>
      <c r="BB1258" s="761"/>
      <c r="BC1258" s="761"/>
      <c r="BD1258" s="761"/>
      <c r="BE1258" s="761"/>
      <c r="BF1258" s="761"/>
      <c r="BG1258" s="761"/>
      <c r="BH1258" s="761"/>
      <c r="BI1258" s="761"/>
      <c r="BJ1258" s="761"/>
      <c r="BK1258" s="761"/>
      <c r="BL1258" s="761"/>
      <c r="BM1258" s="761"/>
    </row>
    <row r="1259" spans="1:65" s="1690" customFormat="1">
      <c r="A1259" s="761" t="s">
        <v>2339</v>
      </c>
      <c r="B1259" s="761" t="s">
        <v>2340</v>
      </c>
      <c r="C1259" s="761" t="s">
        <v>2476</v>
      </c>
      <c r="D1259" s="761">
        <v>44534602</v>
      </c>
      <c r="E1259" s="761" t="s">
        <v>2969</v>
      </c>
      <c r="F1259" s="761">
        <v>143004804</v>
      </c>
      <c r="G1259" s="761" t="s">
        <v>2943</v>
      </c>
      <c r="H1259" s="761" t="s">
        <v>7526</v>
      </c>
      <c r="I1259" s="761" t="s">
        <v>6867</v>
      </c>
      <c r="J1259" s="761">
        <v>4</v>
      </c>
      <c r="K1259" s="746">
        <v>2823.07</v>
      </c>
      <c r="L1259" s="746">
        <v>702.39</v>
      </c>
      <c r="M1259" s="746">
        <v>2120.6799999999998</v>
      </c>
      <c r="N1259" s="493" t="str">
        <f t="shared" si="21"/>
        <v>C396</v>
      </c>
      <c r="O1259" s="493" t="s">
        <v>109</v>
      </c>
      <c r="P1259" s="493" t="s">
        <v>2971</v>
      </c>
      <c r="Q1259" s="761"/>
      <c r="R1259" s="761"/>
      <c r="S1259" s="761"/>
      <c r="T1259" s="761"/>
      <c r="U1259" s="761"/>
      <c r="V1259" s="761"/>
      <c r="W1259" s="761"/>
      <c r="X1259" s="761"/>
      <c r="Y1259" s="761"/>
      <c r="Z1259" s="761"/>
      <c r="AA1259" s="761"/>
      <c r="AB1259" s="761"/>
      <c r="AC1259" s="761"/>
      <c r="AD1259" s="761"/>
      <c r="AE1259" s="761"/>
      <c r="AF1259" s="761"/>
      <c r="AG1259" s="761"/>
      <c r="AH1259" s="761"/>
      <c r="AI1259" s="761"/>
      <c r="AJ1259" s="761"/>
      <c r="AK1259" s="761"/>
      <c r="AL1259" s="761"/>
      <c r="AM1259" s="761"/>
      <c r="AN1259" s="761"/>
      <c r="AO1259" s="761"/>
      <c r="AP1259" s="761"/>
      <c r="AQ1259" s="761"/>
      <c r="AR1259" s="761"/>
      <c r="AS1259" s="761"/>
      <c r="AT1259" s="761"/>
      <c r="AU1259" s="761"/>
      <c r="AV1259" s="761"/>
      <c r="AW1259" s="761"/>
      <c r="AX1259" s="761"/>
      <c r="AY1259" s="761"/>
      <c r="AZ1259" s="761"/>
      <c r="BA1259" s="761"/>
      <c r="BB1259" s="761"/>
      <c r="BC1259" s="761"/>
      <c r="BD1259" s="761"/>
      <c r="BE1259" s="761"/>
      <c r="BF1259" s="761"/>
      <c r="BG1259" s="761"/>
      <c r="BH1259" s="761"/>
      <c r="BI1259" s="761"/>
      <c r="BJ1259" s="761"/>
      <c r="BK1259" s="761"/>
      <c r="BL1259" s="761"/>
      <c r="BM1259" s="761"/>
    </row>
    <row r="1260" spans="1:65" s="1690" customFormat="1">
      <c r="A1260" s="761" t="s">
        <v>2339</v>
      </c>
      <c r="B1260" s="761" t="s">
        <v>2340</v>
      </c>
      <c r="C1260" s="761" t="s">
        <v>2476</v>
      </c>
      <c r="D1260" s="761">
        <v>49945265</v>
      </c>
      <c r="E1260" s="761" t="s">
        <v>2969</v>
      </c>
      <c r="F1260" s="761">
        <v>143005461</v>
      </c>
      <c r="G1260" s="761" t="s">
        <v>2944</v>
      </c>
      <c r="H1260" s="761" t="s">
        <v>7527</v>
      </c>
      <c r="I1260" s="761" t="s">
        <v>6867</v>
      </c>
      <c r="J1260" s="761">
        <v>1</v>
      </c>
      <c r="K1260" s="746">
        <v>6613.02</v>
      </c>
      <c r="L1260" s="746">
        <v>1317.16</v>
      </c>
      <c r="M1260" s="746">
        <v>5295.86</v>
      </c>
      <c r="N1260" s="493" t="str">
        <f t="shared" si="21"/>
        <v>C396</v>
      </c>
      <c r="O1260" s="493" t="s">
        <v>109</v>
      </c>
      <c r="P1260" s="493" t="s">
        <v>2971</v>
      </c>
      <c r="Q1260" s="761"/>
      <c r="R1260" s="761"/>
      <c r="S1260" s="761"/>
      <c r="T1260" s="761"/>
      <c r="U1260" s="761"/>
      <c r="V1260" s="761"/>
      <c r="W1260" s="761"/>
      <c r="X1260" s="761"/>
      <c r="Y1260" s="761"/>
      <c r="Z1260" s="761"/>
      <c r="AA1260" s="761"/>
      <c r="AB1260" s="761"/>
      <c r="AC1260" s="761"/>
      <c r="AD1260" s="761"/>
      <c r="AE1260" s="761"/>
      <c r="AF1260" s="761"/>
      <c r="AG1260" s="761"/>
      <c r="AH1260" s="761"/>
      <c r="AI1260" s="761"/>
      <c r="AJ1260" s="761"/>
      <c r="AK1260" s="761"/>
      <c r="AL1260" s="761"/>
      <c r="AM1260" s="761"/>
      <c r="AN1260" s="761"/>
      <c r="AO1260" s="761"/>
      <c r="AP1260" s="761"/>
      <c r="AQ1260" s="761"/>
      <c r="AR1260" s="761"/>
      <c r="AS1260" s="761"/>
      <c r="AT1260" s="761"/>
      <c r="AU1260" s="761"/>
      <c r="AV1260" s="761"/>
      <c r="AW1260" s="761"/>
      <c r="AX1260" s="761"/>
      <c r="AY1260" s="761"/>
      <c r="AZ1260" s="761"/>
      <c r="BA1260" s="761"/>
      <c r="BB1260" s="761"/>
      <c r="BC1260" s="761"/>
      <c r="BD1260" s="761"/>
      <c r="BE1260" s="761"/>
      <c r="BF1260" s="761"/>
      <c r="BG1260" s="761"/>
      <c r="BH1260" s="761"/>
      <c r="BI1260" s="761"/>
      <c r="BJ1260" s="761"/>
      <c r="BK1260" s="761"/>
      <c r="BL1260" s="761"/>
      <c r="BM1260" s="761"/>
    </row>
    <row r="1261" spans="1:65" s="1690" customFormat="1">
      <c r="A1261" s="761" t="s">
        <v>2339</v>
      </c>
      <c r="B1261" s="761" t="s">
        <v>2340</v>
      </c>
      <c r="C1261" s="761" t="s">
        <v>2364</v>
      </c>
      <c r="D1261" s="761">
        <v>36542124</v>
      </c>
      <c r="E1261" s="761" t="s">
        <v>2972</v>
      </c>
      <c r="F1261" s="761">
        <v>131201346</v>
      </c>
      <c r="G1261" s="761" t="s">
        <v>3012</v>
      </c>
      <c r="H1261" s="761" t="s">
        <v>3012</v>
      </c>
      <c r="I1261" s="761" t="s">
        <v>6867</v>
      </c>
      <c r="J1261" s="761">
        <v>0</v>
      </c>
      <c r="K1261" s="746">
        <v>428742.36</v>
      </c>
      <c r="L1261" s="746">
        <v>351411.43</v>
      </c>
      <c r="M1261" s="746">
        <v>77330.930000000008</v>
      </c>
      <c r="N1261" s="493" t="str">
        <f t="shared" si="21"/>
        <v>C397</v>
      </c>
      <c r="O1261" s="493" t="s">
        <v>99</v>
      </c>
      <c r="P1261" s="493" t="s">
        <v>8005</v>
      </c>
      <c r="Q1261" s="761"/>
      <c r="R1261" s="761"/>
      <c r="S1261" s="761"/>
      <c r="T1261" s="761"/>
      <c r="U1261" s="761"/>
      <c r="V1261" s="761"/>
      <c r="W1261" s="761"/>
      <c r="X1261" s="761"/>
      <c r="Y1261" s="761"/>
      <c r="Z1261" s="761"/>
      <c r="AA1261" s="761"/>
      <c r="AB1261" s="761"/>
      <c r="AC1261" s="761"/>
      <c r="AD1261" s="761"/>
      <c r="AE1261" s="761"/>
      <c r="AF1261" s="761"/>
      <c r="AG1261" s="761"/>
      <c r="AH1261" s="761"/>
      <c r="AI1261" s="761"/>
      <c r="AJ1261" s="761"/>
      <c r="AK1261" s="761"/>
      <c r="AL1261" s="761"/>
      <c r="AM1261" s="761"/>
      <c r="AN1261" s="761"/>
      <c r="AO1261" s="761"/>
      <c r="AP1261" s="761"/>
      <c r="AQ1261" s="761"/>
      <c r="AR1261" s="761"/>
      <c r="AS1261" s="761"/>
      <c r="AT1261" s="761"/>
      <c r="AU1261" s="761"/>
      <c r="AV1261" s="761"/>
      <c r="AW1261" s="761"/>
      <c r="AX1261" s="761"/>
      <c r="AY1261" s="761"/>
      <c r="AZ1261" s="761"/>
      <c r="BA1261" s="761"/>
      <c r="BB1261" s="761"/>
      <c r="BC1261" s="761"/>
      <c r="BD1261" s="761"/>
      <c r="BE1261" s="761"/>
      <c r="BF1261" s="761"/>
      <c r="BG1261" s="761"/>
      <c r="BH1261" s="761"/>
      <c r="BI1261" s="761"/>
      <c r="BJ1261" s="761"/>
      <c r="BK1261" s="761"/>
      <c r="BL1261" s="761"/>
      <c r="BM1261" s="761"/>
    </row>
    <row r="1262" spans="1:65" s="1690" customFormat="1">
      <c r="A1262" s="761" t="s">
        <v>2339</v>
      </c>
      <c r="B1262" s="761" t="s">
        <v>2340</v>
      </c>
      <c r="C1262" s="761" t="s">
        <v>3022</v>
      </c>
      <c r="D1262" s="761">
        <v>5365601</v>
      </c>
      <c r="E1262" s="761" t="s">
        <v>2972</v>
      </c>
      <c r="F1262" s="761">
        <v>131202400</v>
      </c>
      <c r="G1262" s="761" t="s">
        <v>3023</v>
      </c>
      <c r="H1262" s="761" t="s">
        <v>3023</v>
      </c>
      <c r="I1262" s="761" t="s">
        <v>6867</v>
      </c>
      <c r="J1262" s="761">
        <v>1</v>
      </c>
      <c r="K1262" s="746">
        <v>1874.29</v>
      </c>
      <c r="L1262" s="746">
        <v>1753.89</v>
      </c>
      <c r="M1262" s="746">
        <v>120.4</v>
      </c>
      <c r="N1262" s="493" t="str">
        <f t="shared" si="21"/>
        <v>C397</v>
      </c>
      <c r="O1262" s="493" t="s">
        <v>99</v>
      </c>
      <c r="P1262" s="493" t="s">
        <v>8005</v>
      </c>
      <c r="Q1262" s="761"/>
      <c r="R1262" s="761"/>
      <c r="S1262" s="761"/>
      <c r="T1262" s="761"/>
      <c r="U1262" s="761"/>
      <c r="V1262" s="761"/>
      <c r="W1262" s="761"/>
      <c r="X1262" s="761"/>
      <c r="Y1262" s="761"/>
      <c r="Z1262" s="761"/>
      <c r="AA1262" s="761"/>
      <c r="AB1262" s="761"/>
      <c r="AC1262" s="761"/>
      <c r="AD1262" s="761"/>
      <c r="AE1262" s="761"/>
      <c r="AF1262" s="761"/>
      <c r="AG1262" s="761"/>
      <c r="AH1262" s="761"/>
      <c r="AI1262" s="761"/>
      <c r="AJ1262" s="761"/>
      <c r="AK1262" s="761"/>
      <c r="AL1262" s="761"/>
      <c r="AM1262" s="761"/>
      <c r="AN1262" s="761"/>
      <c r="AO1262" s="761"/>
      <c r="AP1262" s="761"/>
      <c r="AQ1262" s="761"/>
      <c r="AR1262" s="761"/>
      <c r="AS1262" s="761"/>
      <c r="AT1262" s="761"/>
      <c r="AU1262" s="761"/>
      <c r="AV1262" s="761"/>
      <c r="AW1262" s="761"/>
      <c r="AX1262" s="761"/>
      <c r="AY1262" s="761"/>
      <c r="AZ1262" s="761"/>
      <c r="BA1262" s="761"/>
      <c r="BB1262" s="761"/>
      <c r="BC1262" s="761"/>
      <c r="BD1262" s="761"/>
      <c r="BE1262" s="761"/>
      <c r="BF1262" s="761"/>
      <c r="BG1262" s="761"/>
      <c r="BH1262" s="761"/>
      <c r="BI1262" s="761"/>
      <c r="BJ1262" s="761"/>
      <c r="BK1262" s="761"/>
      <c r="BL1262" s="761"/>
      <c r="BM1262" s="761"/>
    </row>
    <row r="1263" spans="1:65" s="1690" customFormat="1">
      <c r="A1263" s="761" t="s">
        <v>2339</v>
      </c>
      <c r="B1263" s="761" t="s">
        <v>2340</v>
      </c>
      <c r="C1263" s="761" t="s">
        <v>2517</v>
      </c>
      <c r="D1263" s="761">
        <v>5420590</v>
      </c>
      <c r="E1263" s="761" t="s">
        <v>2972</v>
      </c>
      <c r="F1263" s="761">
        <v>130003070</v>
      </c>
      <c r="G1263" s="761" t="s">
        <v>2974</v>
      </c>
      <c r="H1263" s="761" t="s">
        <v>2974</v>
      </c>
      <c r="I1263" s="761" t="s">
        <v>6867</v>
      </c>
      <c r="J1263" s="761">
        <v>0</v>
      </c>
      <c r="K1263" s="746">
        <v>135038.66</v>
      </c>
      <c r="L1263" s="746">
        <v>126364.05</v>
      </c>
      <c r="M1263" s="746">
        <v>8674.61</v>
      </c>
      <c r="N1263" s="493" t="str">
        <f t="shared" si="21"/>
        <v>C397</v>
      </c>
      <c r="O1263" s="493" t="s">
        <v>99</v>
      </c>
      <c r="P1263" s="493" t="s">
        <v>8005</v>
      </c>
      <c r="Q1263" s="761"/>
      <c r="R1263" s="761"/>
      <c r="S1263" s="761"/>
      <c r="T1263" s="761"/>
      <c r="U1263" s="761"/>
      <c r="V1263" s="761"/>
      <c r="W1263" s="761"/>
      <c r="X1263" s="761"/>
      <c r="Y1263" s="761"/>
      <c r="Z1263" s="761"/>
      <c r="AA1263" s="761"/>
      <c r="AB1263" s="761"/>
      <c r="AC1263" s="761"/>
      <c r="AD1263" s="761"/>
      <c r="AE1263" s="761"/>
      <c r="AF1263" s="761"/>
      <c r="AG1263" s="761"/>
      <c r="AH1263" s="761"/>
      <c r="AI1263" s="761"/>
      <c r="AJ1263" s="761"/>
      <c r="AK1263" s="761"/>
      <c r="AL1263" s="761"/>
      <c r="AM1263" s="761"/>
      <c r="AN1263" s="761"/>
      <c r="AO1263" s="761"/>
      <c r="AP1263" s="761"/>
      <c r="AQ1263" s="761"/>
      <c r="AR1263" s="761"/>
      <c r="AS1263" s="761"/>
      <c r="AT1263" s="761"/>
      <c r="AU1263" s="761"/>
      <c r="AV1263" s="761"/>
      <c r="AW1263" s="761"/>
      <c r="AX1263" s="761"/>
      <c r="AY1263" s="761"/>
      <c r="AZ1263" s="761"/>
      <c r="BA1263" s="761"/>
      <c r="BB1263" s="761"/>
      <c r="BC1263" s="761"/>
      <c r="BD1263" s="761"/>
      <c r="BE1263" s="761"/>
      <c r="BF1263" s="761"/>
      <c r="BG1263" s="761"/>
      <c r="BH1263" s="761"/>
      <c r="BI1263" s="761"/>
      <c r="BJ1263" s="761"/>
      <c r="BK1263" s="761"/>
      <c r="BL1263" s="761"/>
      <c r="BM1263" s="761"/>
    </row>
    <row r="1264" spans="1:65" s="1690" customFormat="1">
      <c r="A1264" s="761" t="s">
        <v>2339</v>
      </c>
      <c r="B1264" s="761" t="s">
        <v>2340</v>
      </c>
      <c r="C1264" s="761" t="s">
        <v>2517</v>
      </c>
      <c r="D1264" s="761">
        <v>5420594</v>
      </c>
      <c r="E1264" s="761" t="s">
        <v>2972</v>
      </c>
      <c r="F1264" s="761">
        <v>130003068</v>
      </c>
      <c r="G1264" s="761" t="s">
        <v>2973</v>
      </c>
      <c r="H1264" s="761" t="s">
        <v>2973</v>
      </c>
      <c r="I1264" s="761" t="s">
        <v>6867</v>
      </c>
      <c r="J1264" s="761">
        <v>0</v>
      </c>
      <c r="K1264" s="746">
        <v>71718.320000000007</v>
      </c>
      <c r="L1264" s="746">
        <v>67111.28</v>
      </c>
      <c r="M1264" s="746">
        <v>4607.04</v>
      </c>
      <c r="N1264" s="493" t="str">
        <f t="shared" si="21"/>
        <v>C397</v>
      </c>
      <c r="O1264" s="493" t="s">
        <v>99</v>
      </c>
      <c r="P1264" s="493" t="s">
        <v>8005</v>
      </c>
      <c r="Q1264" s="761"/>
      <c r="R1264" s="761"/>
      <c r="S1264" s="761"/>
      <c r="T1264" s="761"/>
      <c r="U1264" s="761"/>
      <c r="V1264" s="761"/>
      <c r="W1264" s="761"/>
      <c r="X1264" s="761"/>
      <c r="Y1264" s="761"/>
      <c r="Z1264" s="761"/>
      <c r="AA1264" s="761"/>
      <c r="AB1264" s="761"/>
      <c r="AC1264" s="761"/>
      <c r="AD1264" s="761"/>
      <c r="AE1264" s="761"/>
      <c r="AF1264" s="761"/>
      <c r="AG1264" s="761"/>
      <c r="AH1264" s="761"/>
      <c r="AI1264" s="761"/>
      <c r="AJ1264" s="761"/>
      <c r="AK1264" s="761"/>
      <c r="AL1264" s="761"/>
      <c r="AM1264" s="761"/>
      <c r="AN1264" s="761"/>
      <c r="AO1264" s="761"/>
      <c r="AP1264" s="761"/>
      <c r="AQ1264" s="761"/>
      <c r="AR1264" s="761"/>
      <c r="AS1264" s="761"/>
      <c r="AT1264" s="761"/>
      <c r="AU1264" s="761"/>
      <c r="AV1264" s="761"/>
      <c r="AW1264" s="761"/>
      <c r="AX1264" s="761"/>
      <c r="AY1264" s="761"/>
      <c r="AZ1264" s="761"/>
      <c r="BA1264" s="761"/>
      <c r="BB1264" s="761"/>
      <c r="BC1264" s="761"/>
      <c r="BD1264" s="761"/>
      <c r="BE1264" s="761"/>
      <c r="BF1264" s="761"/>
      <c r="BG1264" s="761"/>
      <c r="BH1264" s="761"/>
      <c r="BI1264" s="761"/>
      <c r="BJ1264" s="761"/>
      <c r="BK1264" s="761"/>
      <c r="BL1264" s="761"/>
      <c r="BM1264" s="761"/>
    </row>
    <row r="1265" spans="1:65" s="1690" customFormat="1">
      <c r="A1265" s="761" t="s">
        <v>2339</v>
      </c>
      <c r="B1265" s="761" t="s">
        <v>2340</v>
      </c>
      <c r="C1265" s="761" t="s">
        <v>2497</v>
      </c>
      <c r="D1265" s="761">
        <v>6400377</v>
      </c>
      <c r="E1265" s="761" t="s">
        <v>2972</v>
      </c>
      <c r="F1265" s="761">
        <v>131100300</v>
      </c>
      <c r="G1265" s="761" t="s">
        <v>2984</v>
      </c>
      <c r="H1265" s="761" t="s">
        <v>2984</v>
      </c>
      <c r="I1265" s="761" t="s">
        <v>6867</v>
      </c>
      <c r="J1265" s="761">
        <v>1</v>
      </c>
      <c r="K1265" s="746">
        <v>1036058.38</v>
      </c>
      <c r="L1265" s="746">
        <v>969504.1</v>
      </c>
      <c r="M1265" s="746">
        <v>66554.28</v>
      </c>
      <c r="N1265" s="493" t="str">
        <f t="shared" si="21"/>
        <v>C397</v>
      </c>
      <c r="O1265" s="493" t="s">
        <v>99</v>
      </c>
      <c r="P1265" s="493" t="s">
        <v>8005</v>
      </c>
      <c r="Q1265" s="761"/>
      <c r="R1265" s="761"/>
      <c r="S1265" s="761"/>
      <c r="T1265" s="761"/>
      <c r="U1265" s="761"/>
      <c r="V1265" s="761"/>
      <c r="W1265" s="761"/>
      <c r="X1265" s="761"/>
      <c r="Y1265" s="761"/>
      <c r="Z1265" s="761"/>
      <c r="AA1265" s="761"/>
      <c r="AB1265" s="761"/>
      <c r="AC1265" s="761"/>
      <c r="AD1265" s="761"/>
      <c r="AE1265" s="761"/>
      <c r="AF1265" s="761"/>
      <c r="AG1265" s="761"/>
      <c r="AH1265" s="761"/>
      <c r="AI1265" s="761"/>
      <c r="AJ1265" s="761"/>
      <c r="AK1265" s="761"/>
      <c r="AL1265" s="761"/>
      <c r="AM1265" s="761"/>
      <c r="AN1265" s="761"/>
      <c r="AO1265" s="761"/>
      <c r="AP1265" s="761"/>
      <c r="AQ1265" s="761"/>
      <c r="AR1265" s="761"/>
      <c r="AS1265" s="761"/>
      <c r="AT1265" s="761"/>
      <c r="AU1265" s="761"/>
      <c r="AV1265" s="761"/>
      <c r="AW1265" s="761"/>
      <c r="AX1265" s="761"/>
      <c r="AY1265" s="761"/>
      <c r="AZ1265" s="761"/>
      <c r="BA1265" s="761"/>
      <c r="BB1265" s="761"/>
      <c r="BC1265" s="761"/>
      <c r="BD1265" s="761"/>
      <c r="BE1265" s="761"/>
      <c r="BF1265" s="761"/>
      <c r="BG1265" s="761"/>
      <c r="BH1265" s="761"/>
      <c r="BI1265" s="761"/>
      <c r="BJ1265" s="761"/>
      <c r="BK1265" s="761"/>
      <c r="BL1265" s="761"/>
      <c r="BM1265" s="761"/>
    </row>
    <row r="1266" spans="1:65" s="1690" customFormat="1">
      <c r="A1266" s="761" t="s">
        <v>2339</v>
      </c>
      <c r="B1266" s="761" t="s">
        <v>2340</v>
      </c>
      <c r="C1266" s="761" t="s">
        <v>3016</v>
      </c>
      <c r="D1266" s="761">
        <v>6600006</v>
      </c>
      <c r="E1266" s="761" t="s">
        <v>2972</v>
      </c>
      <c r="F1266" s="761">
        <v>131202200</v>
      </c>
      <c r="G1266" s="761" t="s">
        <v>3018</v>
      </c>
      <c r="H1266" s="761" t="s">
        <v>3018</v>
      </c>
      <c r="I1266" s="761" t="s">
        <v>6867</v>
      </c>
      <c r="J1266" s="761">
        <v>0.4</v>
      </c>
      <c r="K1266" s="746">
        <v>179129.26</v>
      </c>
      <c r="L1266" s="746">
        <v>167622.36000000002</v>
      </c>
      <c r="M1266" s="746">
        <v>11506.9</v>
      </c>
      <c r="N1266" s="493" t="str">
        <f t="shared" si="21"/>
        <v>C397</v>
      </c>
      <c r="O1266" s="493" t="s">
        <v>99</v>
      </c>
      <c r="P1266" s="493" t="s">
        <v>8005</v>
      </c>
      <c r="Q1266" s="761"/>
      <c r="R1266" s="761"/>
      <c r="S1266" s="761"/>
      <c r="T1266" s="761"/>
      <c r="U1266" s="761"/>
      <c r="V1266" s="761"/>
      <c r="W1266" s="761"/>
      <c r="X1266" s="761"/>
      <c r="Y1266" s="761"/>
      <c r="Z1266" s="761"/>
      <c r="AA1266" s="761"/>
      <c r="AB1266" s="761"/>
      <c r="AC1266" s="761"/>
      <c r="AD1266" s="761"/>
      <c r="AE1266" s="761"/>
      <c r="AF1266" s="761"/>
      <c r="AG1266" s="761"/>
      <c r="AH1266" s="761"/>
      <c r="AI1266" s="761"/>
      <c r="AJ1266" s="761"/>
      <c r="AK1266" s="761"/>
      <c r="AL1266" s="761"/>
      <c r="AM1266" s="761"/>
      <c r="AN1266" s="761"/>
      <c r="AO1266" s="761"/>
      <c r="AP1266" s="761"/>
      <c r="AQ1266" s="761"/>
      <c r="AR1266" s="761"/>
      <c r="AS1266" s="761"/>
      <c r="AT1266" s="761"/>
      <c r="AU1266" s="761"/>
      <c r="AV1266" s="761"/>
      <c r="AW1266" s="761"/>
      <c r="AX1266" s="761"/>
      <c r="AY1266" s="761"/>
      <c r="AZ1266" s="761"/>
      <c r="BA1266" s="761"/>
      <c r="BB1266" s="761"/>
      <c r="BC1266" s="761"/>
      <c r="BD1266" s="761"/>
      <c r="BE1266" s="761"/>
      <c r="BF1266" s="761"/>
      <c r="BG1266" s="761"/>
      <c r="BH1266" s="761"/>
      <c r="BI1266" s="761"/>
      <c r="BJ1266" s="761"/>
      <c r="BK1266" s="761"/>
      <c r="BL1266" s="761"/>
      <c r="BM1266" s="761"/>
    </row>
    <row r="1267" spans="1:65" s="1690" customFormat="1">
      <c r="A1267" s="761" t="s">
        <v>2339</v>
      </c>
      <c r="B1267" s="761" t="s">
        <v>2340</v>
      </c>
      <c r="C1267" s="761" t="s">
        <v>3016</v>
      </c>
      <c r="D1267" s="761">
        <v>6600011</v>
      </c>
      <c r="E1267" s="761" t="s">
        <v>2972</v>
      </c>
      <c r="F1267" s="761">
        <v>131202200</v>
      </c>
      <c r="G1267" s="761" t="s">
        <v>3018</v>
      </c>
      <c r="H1267" s="761" t="s">
        <v>3018</v>
      </c>
      <c r="I1267" s="761" t="s">
        <v>6867</v>
      </c>
      <c r="J1267" s="761">
        <v>0.02</v>
      </c>
      <c r="K1267" s="746">
        <v>8711.26</v>
      </c>
      <c r="L1267" s="746">
        <v>8151.67</v>
      </c>
      <c r="M1267" s="746">
        <v>559.59</v>
      </c>
      <c r="N1267" s="493" t="str">
        <f t="shared" si="21"/>
        <v>C397</v>
      </c>
      <c r="O1267" s="493" t="s">
        <v>99</v>
      </c>
      <c r="P1267" s="493" t="s">
        <v>8005</v>
      </c>
      <c r="Q1267" s="761"/>
      <c r="R1267" s="761"/>
      <c r="S1267" s="761"/>
      <c r="T1267" s="761"/>
      <c r="U1267" s="761"/>
      <c r="V1267" s="761"/>
      <c r="W1267" s="761"/>
      <c r="X1267" s="761"/>
      <c r="Y1267" s="761"/>
      <c r="Z1267" s="761"/>
      <c r="AA1267" s="761"/>
      <c r="AB1267" s="761"/>
      <c r="AC1267" s="761"/>
      <c r="AD1267" s="761"/>
      <c r="AE1267" s="761"/>
      <c r="AF1267" s="761"/>
      <c r="AG1267" s="761"/>
      <c r="AH1267" s="761"/>
      <c r="AI1267" s="761"/>
      <c r="AJ1267" s="761"/>
      <c r="AK1267" s="761"/>
      <c r="AL1267" s="761"/>
      <c r="AM1267" s="761"/>
      <c r="AN1267" s="761"/>
      <c r="AO1267" s="761"/>
      <c r="AP1267" s="761"/>
      <c r="AQ1267" s="761"/>
      <c r="AR1267" s="761"/>
      <c r="AS1267" s="761"/>
      <c r="AT1267" s="761"/>
      <c r="AU1267" s="761"/>
      <c r="AV1267" s="761"/>
      <c r="AW1267" s="761"/>
      <c r="AX1267" s="761"/>
      <c r="AY1267" s="761"/>
      <c r="AZ1267" s="761"/>
      <c r="BA1267" s="761"/>
      <c r="BB1267" s="761"/>
      <c r="BC1267" s="761"/>
      <c r="BD1267" s="761"/>
      <c r="BE1267" s="761"/>
      <c r="BF1267" s="761"/>
      <c r="BG1267" s="761"/>
      <c r="BH1267" s="761"/>
      <c r="BI1267" s="761"/>
      <c r="BJ1267" s="761"/>
      <c r="BK1267" s="761"/>
      <c r="BL1267" s="761"/>
      <c r="BM1267" s="761"/>
    </row>
    <row r="1268" spans="1:65" s="1690" customFormat="1">
      <c r="A1268" s="761" t="s">
        <v>2339</v>
      </c>
      <c r="B1268" s="761" t="s">
        <v>2340</v>
      </c>
      <c r="C1268" s="761" t="s">
        <v>2696</v>
      </c>
      <c r="D1268" s="761">
        <v>5865251</v>
      </c>
      <c r="E1268" s="761" t="s">
        <v>2972</v>
      </c>
      <c r="F1268" s="761">
        <v>131202180</v>
      </c>
      <c r="G1268" s="761" t="s">
        <v>3017</v>
      </c>
      <c r="H1268" s="761" t="s">
        <v>3017</v>
      </c>
      <c r="I1268" s="761" t="s">
        <v>6867</v>
      </c>
      <c r="J1268" s="761">
        <v>2981</v>
      </c>
      <c r="K1268" s="746">
        <v>106723.58</v>
      </c>
      <c r="L1268" s="746">
        <v>99867.87</v>
      </c>
      <c r="M1268" s="746">
        <v>6855.71</v>
      </c>
      <c r="N1268" s="493" t="str">
        <f t="shared" si="21"/>
        <v>C397</v>
      </c>
      <c r="O1268" s="493" t="s">
        <v>99</v>
      </c>
      <c r="P1268" s="493" t="s">
        <v>8005</v>
      </c>
      <c r="Q1268" s="761"/>
      <c r="R1268" s="761"/>
      <c r="S1268" s="761"/>
      <c r="T1268" s="761"/>
      <c r="U1268" s="761"/>
      <c r="V1268" s="761"/>
      <c r="W1268" s="761"/>
      <c r="X1268" s="761"/>
      <c r="Y1268" s="761"/>
      <c r="Z1268" s="761"/>
      <c r="AA1268" s="761"/>
      <c r="AB1268" s="761"/>
      <c r="AC1268" s="761"/>
      <c r="AD1268" s="761"/>
      <c r="AE1268" s="761"/>
      <c r="AF1268" s="761"/>
      <c r="AG1268" s="761"/>
      <c r="AH1268" s="761"/>
      <c r="AI1268" s="761"/>
      <c r="AJ1268" s="761"/>
      <c r="AK1268" s="761"/>
      <c r="AL1268" s="761"/>
      <c r="AM1268" s="761"/>
      <c r="AN1268" s="761"/>
      <c r="AO1268" s="761"/>
      <c r="AP1268" s="761"/>
      <c r="AQ1268" s="761"/>
      <c r="AR1268" s="761"/>
      <c r="AS1268" s="761"/>
      <c r="AT1268" s="761"/>
      <c r="AU1268" s="761"/>
      <c r="AV1268" s="761"/>
      <c r="AW1268" s="761"/>
      <c r="AX1268" s="761"/>
      <c r="AY1268" s="761"/>
      <c r="AZ1268" s="761"/>
      <c r="BA1268" s="761"/>
      <c r="BB1268" s="761"/>
      <c r="BC1268" s="761"/>
      <c r="BD1268" s="761"/>
      <c r="BE1268" s="761"/>
      <c r="BF1268" s="761"/>
      <c r="BG1268" s="761"/>
      <c r="BH1268" s="761"/>
      <c r="BI1268" s="761"/>
      <c r="BJ1268" s="761"/>
      <c r="BK1268" s="761"/>
      <c r="BL1268" s="761"/>
      <c r="BM1268" s="761"/>
    </row>
    <row r="1269" spans="1:65" s="1690" customFormat="1">
      <c r="A1269" s="761" t="s">
        <v>2339</v>
      </c>
      <c r="B1269" s="761" t="s">
        <v>2340</v>
      </c>
      <c r="C1269" s="761" t="s">
        <v>2623</v>
      </c>
      <c r="D1269" s="761">
        <v>5932838</v>
      </c>
      <c r="E1269" s="761" t="s">
        <v>2972</v>
      </c>
      <c r="F1269" s="761">
        <v>131202620</v>
      </c>
      <c r="G1269" s="761" t="s">
        <v>3025</v>
      </c>
      <c r="H1269" s="761" t="s">
        <v>7547</v>
      </c>
      <c r="I1269" s="761" t="s">
        <v>6867</v>
      </c>
      <c r="J1269" s="761">
        <v>0</v>
      </c>
      <c r="K1269" s="746">
        <v>87182.790000000008</v>
      </c>
      <c r="L1269" s="746">
        <v>81582.350000000006</v>
      </c>
      <c r="M1269" s="746">
        <v>5600.4400000000005</v>
      </c>
      <c r="N1269" s="493" t="str">
        <f t="shared" si="21"/>
        <v>C397</v>
      </c>
      <c r="O1269" s="493" t="s">
        <v>99</v>
      </c>
      <c r="P1269" s="493" t="s">
        <v>8005</v>
      </c>
      <c r="Q1269" s="761"/>
      <c r="R1269" s="761"/>
      <c r="S1269" s="761"/>
      <c r="T1269" s="761"/>
      <c r="U1269" s="761"/>
      <c r="V1269" s="761"/>
      <c r="W1269" s="761"/>
      <c r="X1269" s="761"/>
      <c r="Y1269" s="761"/>
      <c r="Z1269" s="761"/>
      <c r="AA1269" s="761"/>
      <c r="AB1269" s="761"/>
      <c r="AC1269" s="761"/>
      <c r="AD1269" s="761"/>
      <c r="AE1269" s="761"/>
      <c r="AF1269" s="761"/>
      <c r="AG1269" s="761"/>
      <c r="AH1269" s="761"/>
      <c r="AI1269" s="761"/>
      <c r="AJ1269" s="761"/>
      <c r="AK1269" s="761"/>
      <c r="AL1269" s="761"/>
      <c r="AM1269" s="761"/>
      <c r="AN1269" s="761"/>
      <c r="AO1269" s="761"/>
      <c r="AP1269" s="761"/>
      <c r="AQ1269" s="761"/>
      <c r="AR1269" s="761"/>
      <c r="AS1269" s="761"/>
      <c r="AT1269" s="761"/>
      <c r="AU1269" s="761"/>
      <c r="AV1269" s="761"/>
      <c r="AW1269" s="761"/>
      <c r="AX1269" s="761"/>
      <c r="AY1269" s="761"/>
      <c r="AZ1269" s="761"/>
      <c r="BA1269" s="761"/>
      <c r="BB1269" s="761"/>
      <c r="BC1269" s="761"/>
      <c r="BD1269" s="761"/>
      <c r="BE1269" s="761"/>
      <c r="BF1269" s="761"/>
      <c r="BG1269" s="761"/>
      <c r="BH1269" s="761"/>
      <c r="BI1269" s="761"/>
      <c r="BJ1269" s="761"/>
      <c r="BK1269" s="761"/>
      <c r="BL1269" s="761"/>
      <c r="BM1269" s="761"/>
    </row>
    <row r="1270" spans="1:65" s="1690" customFormat="1">
      <c r="A1270" s="761" t="s">
        <v>2339</v>
      </c>
      <c r="B1270" s="761" t="s">
        <v>2340</v>
      </c>
      <c r="C1270" s="761" t="s">
        <v>2647</v>
      </c>
      <c r="D1270" s="761">
        <v>5962153</v>
      </c>
      <c r="E1270" s="761" t="s">
        <v>2972</v>
      </c>
      <c r="F1270" s="761">
        <v>131203040</v>
      </c>
      <c r="G1270" s="761" t="s">
        <v>3033</v>
      </c>
      <c r="H1270" s="761" t="s">
        <v>3033</v>
      </c>
      <c r="I1270" s="761" t="s">
        <v>6867</v>
      </c>
      <c r="J1270" s="761">
        <v>4</v>
      </c>
      <c r="K1270" s="746">
        <v>11898.32</v>
      </c>
      <c r="L1270" s="746">
        <v>11134</v>
      </c>
      <c r="M1270" s="746">
        <v>764.32</v>
      </c>
      <c r="N1270" s="493" t="str">
        <f t="shared" si="21"/>
        <v>C397</v>
      </c>
      <c r="O1270" s="493" t="s">
        <v>99</v>
      </c>
      <c r="P1270" s="493" t="s">
        <v>8005</v>
      </c>
      <c r="Q1270" s="761"/>
      <c r="R1270" s="761"/>
      <c r="S1270" s="761"/>
      <c r="T1270" s="761"/>
      <c r="U1270" s="761"/>
      <c r="V1270" s="761"/>
      <c r="W1270" s="761"/>
      <c r="X1270" s="761"/>
      <c r="Y1270" s="761"/>
      <c r="Z1270" s="761"/>
      <c r="AA1270" s="761"/>
      <c r="AB1270" s="761"/>
      <c r="AC1270" s="761"/>
      <c r="AD1270" s="761"/>
      <c r="AE1270" s="761"/>
      <c r="AF1270" s="761"/>
      <c r="AG1270" s="761"/>
      <c r="AH1270" s="761"/>
      <c r="AI1270" s="761"/>
      <c r="AJ1270" s="761"/>
      <c r="AK1270" s="761"/>
      <c r="AL1270" s="761"/>
      <c r="AM1270" s="761"/>
      <c r="AN1270" s="761"/>
      <c r="AO1270" s="761"/>
      <c r="AP1270" s="761"/>
      <c r="AQ1270" s="761"/>
      <c r="AR1270" s="761"/>
      <c r="AS1270" s="761"/>
      <c r="AT1270" s="761"/>
      <c r="AU1270" s="761"/>
      <c r="AV1270" s="761"/>
      <c r="AW1270" s="761"/>
      <c r="AX1270" s="761"/>
      <c r="AY1270" s="761"/>
      <c r="AZ1270" s="761"/>
      <c r="BA1270" s="761"/>
      <c r="BB1270" s="761"/>
      <c r="BC1270" s="761"/>
      <c r="BD1270" s="761"/>
      <c r="BE1270" s="761"/>
      <c r="BF1270" s="761"/>
      <c r="BG1270" s="761"/>
      <c r="BH1270" s="761"/>
      <c r="BI1270" s="761"/>
      <c r="BJ1270" s="761"/>
      <c r="BK1270" s="761"/>
      <c r="BL1270" s="761"/>
      <c r="BM1270" s="761"/>
    </row>
    <row r="1271" spans="1:65" s="1690" customFormat="1">
      <c r="A1271" s="761" t="s">
        <v>2339</v>
      </c>
      <c r="B1271" s="761" t="s">
        <v>2340</v>
      </c>
      <c r="C1271" s="761" t="s">
        <v>2696</v>
      </c>
      <c r="D1271" s="761">
        <v>6192965</v>
      </c>
      <c r="E1271" s="761" t="s">
        <v>2972</v>
      </c>
      <c r="F1271" s="761">
        <v>131202180</v>
      </c>
      <c r="G1271" s="761" t="s">
        <v>3017</v>
      </c>
      <c r="H1271" s="761" t="s">
        <v>3017</v>
      </c>
      <c r="I1271" s="761" t="s">
        <v>6867</v>
      </c>
      <c r="J1271" s="761">
        <v>2684</v>
      </c>
      <c r="K1271" s="746">
        <v>81778.320000000007</v>
      </c>
      <c r="L1271" s="746">
        <v>76525.05</v>
      </c>
      <c r="M1271" s="746">
        <v>5253.27</v>
      </c>
      <c r="N1271" s="493" t="str">
        <f t="shared" si="21"/>
        <v>C397</v>
      </c>
      <c r="O1271" s="493" t="s">
        <v>99</v>
      </c>
      <c r="P1271" s="493" t="s">
        <v>8005</v>
      </c>
      <c r="Q1271" s="761"/>
      <c r="R1271" s="761"/>
      <c r="S1271" s="761"/>
      <c r="T1271" s="761"/>
      <c r="U1271" s="761"/>
      <c r="V1271" s="761"/>
      <c r="W1271" s="761"/>
      <c r="X1271" s="761"/>
      <c r="Y1271" s="761"/>
      <c r="Z1271" s="761"/>
      <c r="AA1271" s="761"/>
      <c r="AB1271" s="761"/>
      <c r="AC1271" s="761"/>
      <c r="AD1271" s="761"/>
      <c r="AE1271" s="761"/>
      <c r="AF1271" s="761"/>
      <c r="AG1271" s="761"/>
      <c r="AH1271" s="761"/>
      <c r="AI1271" s="761"/>
      <c r="AJ1271" s="761"/>
      <c r="AK1271" s="761"/>
      <c r="AL1271" s="761"/>
      <c r="AM1271" s="761"/>
      <c r="AN1271" s="761"/>
      <c r="AO1271" s="761"/>
      <c r="AP1271" s="761"/>
      <c r="AQ1271" s="761"/>
      <c r="AR1271" s="761"/>
      <c r="AS1271" s="761"/>
      <c r="AT1271" s="761"/>
      <c r="AU1271" s="761"/>
      <c r="AV1271" s="761"/>
      <c r="AW1271" s="761"/>
      <c r="AX1271" s="761"/>
      <c r="AY1271" s="761"/>
      <c r="AZ1271" s="761"/>
      <c r="BA1271" s="761"/>
      <c r="BB1271" s="761"/>
      <c r="BC1271" s="761"/>
      <c r="BD1271" s="761"/>
      <c r="BE1271" s="761"/>
      <c r="BF1271" s="761"/>
      <c r="BG1271" s="761"/>
      <c r="BH1271" s="761"/>
      <c r="BI1271" s="761"/>
      <c r="BJ1271" s="761"/>
      <c r="BK1271" s="761"/>
      <c r="BL1271" s="761"/>
      <c r="BM1271" s="761"/>
    </row>
    <row r="1272" spans="1:65" s="1690" customFormat="1">
      <c r="A1272" s="761" t="s">
        <v>2339</v>
      </c>
      <c r="B1272" s="761" t="s">
        <v>2340</v>
      </c>
      <c r="C1272" s="761" t="s">
        <v>2497</v>
      </c>
      <c r="D1272" s="761">
        <v>6200676</v>
      </c>
      <c r="E1272" s="761" t="s">
        <v>2972</v>
      </c>
      <c r="F1272" s="761">
        <v>131202980</v>
      </c>
      <c r="G1272" s="761" t="s">
        <v>3032</v>
      </c>
      <c r="H1272" s="761" t="s">
        <v>3032</v>
      </c>
      <c r="I1272" s="761" t="s">
        <v>6867</v>
      </c>
      <c r="J1272" s="761">
        <v>0</v>
      </c>
      <c r="K1272" s="746">
        <v>15523.5</v>
      </c>
      <c r="L1272" s="746">
        <v>14526.300000000001</v>
      </c>
      <c r="M1272" s="746">
        <v>997.2</v>
      </c>
      <c r="N1272" s="493" t="str">
        <f t="shared" si="21"/>
        <v>C397</v>
      </c>
      <c r="O1272" s="493" t="s">
        <v>99</v>
      </c>
      <c r="P1272" s="493" t="s">
        <v>8005</v>
      </c>
      <c r="Q1272" s="761"/>
      <c r="R1272" s="761"/>
      <c r="S1272" s="761"/>
      <c r="T1272" s="761"/>
      <c r="U1272" s="761"/>
      <c r="V1272" s="761"/>
      <c r="W1272" s="761"/>
      <c r="X1272" s="761"/>
      <c r="Y1272" s="761"/>
      <c r="Z1272" s="761"/>
      <c r="AA1272" s="761"/>
      <c r="AB1272" s="761"/>
      <c r="AC1272" s="761"/>
      <c r="AD1272" s="761"/>
      <c r="AE1272" s="761"/>
      <c r="AF1272" s="761"/>
      <c r="AG1272" s="761"/>
      <c r="AH1272" s="761"/>
      <c r="AI1272" s="761"/>
      <c r="AJ1272" s="761"/>
      <c r="AK1272" s="761"/>
      <c r="AL1272" s="761"/>
      <c r="AM1272" s="761"/>
      <c r="AN1272" s="761"/>
      <c r="AO1272" s="761"/>
      <c r="AP1272" s="761"/>
      <c r="AQ1272" s="761"/>
      <c r="AR1272" s="761"/>
      <c r="AS1272" s="761"/>
      <c r="AT1272" s="761"/>
      <c r="AU1272" s="761"/>
      <c r="AV1272" s="761"/>
      <c r="AW1272" s="761"/>
      <c r="AX1272" s="761"/>
      <c r="AY1272" s="761"/>
      <c r="AZ1272" s="761"/>
      <c r="BA1272" s="761"/>
      <c r="BB1272" s="761"/>
      <c r="BC1272" s="761"/>
      <c r="BD1272" s="761"/>
      <c r="BE1272" s="761"/>
      <c r="BF1272" s="761"/>
      <c r="BG1272" s="761"/>
      <c r="BH1272" s="761"/>
      <c r="BI1272" s="761"/>
      <c r="BJ1272" s="761"/>
      <c r="BK1272" s="761"/>
      <c r="BL1272" s="761"/>
      <c r="BM1272" s="761"/>
    </row>
    <row r="1273" spans="1:65" s="1690" customFormat="1">
      <c r="A1273" s="761" t="s">
        <v>2339</v>
      </c>
      <c r="B1273" s="761" t="s">
        <v>2340</v>
      </c>
      <c r="C1273" s="761" t="s">
        <v>2683</v>
      </c>
      <c r="D1273" s="761">
        <v>6529724</v>
      </c>
      <c r="E1273" s="761" t="s">
        <v>2972</v>
      </c>
      <c r="F1273" s="761">
        <v>131202820</v>
      </c>
      <c r="G1273" s="761" t="s">
        <v>3028</v>
      </c>
      <c r="H1273" s="761" t="s">
        <v>7548</v>
      </c>
      <c r="I1273" s="761" t="s">
        <v>6867</v>
      </c>
      <c r="J1273" s="761">
        <v>1</v>
      </c>
      <c r="K1273" s="746">
        <v>7317.95</v>
      </c>
      <c r="L1273" s="746">
        <v>6847.8600000000006</v>
      </c>
      <c r="M1273" s="746">
        <v>470.09000000000003</v>
      </c>
      <c r="N1273" s="493" t="str">
        <f t="shared" si="21"/>
        <v>C397</v>
      </c>
      <c r="O1273" s="493" t="s">
        <v>99</v>
      </c>
      <c r="P1273" s="493" t="s">
        <v>8005</v>
      </c>
      <c r="Q1273" s="761"/>
      <c r="R1273" s="761"/>
      <c r="S1273" s="761"/>
      <c r="T1273" s="761"/>
      <c r="U1273" s="761"/>
      <c r="V1273" s="761"/>
      <c r="W1273" s="761"/>
      <c r="X1273" s="761"/>
      <c r="Y1273" s="761"/>
      <c r="Z1273" s="761"/>
      <c r="AA1273" s="761"/>
      <c r="AB1273" s="761"/>
      <c r="AC1273" s="761"/>
      <c r="AD1273" s="761"/>
      <c r="AE1273" s="761"/>
      <c r="AF1273" s="761"/>
      <c r="AG1273" s="761"/>
      <c r="AH1273" s="761"/>
      <c r="AI1273" s="761"/>
      <c r="AJ1273" s="761"/>
      <c r="AK1273" s="761"/>
      <c r="AL1273" s="761"/>
      <c r="AM1273" s="761"/>
      <c r="AN1273" s="761"/>
      <c r="AO1273" s="761"/>
      <c r="AP1273" s="761"/>
      <c r="AQ1273" s="761"/>
      <c r="AR1273" s="761"/>
      <c r="AS1273" s="761"/>
      <c r="AT1273" s="761"/>
      <c r="AU1273" s="761"/>
      <c r="AV1273" s="761"/>
      <c r="AW1273" s="761"/>
      <c r="AX1273" s="761"/>
      <c r="AY1273" s="761"/>
      <c r="AZ1273" s="761"/>
      <c r="BA1273" s="761"/>
      <c r="BB1273" s="761"/>
      <c r="BC1273" s="761"/>
      <c r="BD1273" s="761"/>
      <c r="BE1273" s="761"/>
      <c r="BF1273" s="761"/>
      <c r="BG1273" s="761"/>
      <c r="BH1273" s="761"/>
      <c r="BI1273" s="761"/>
      <c r="BJ1273" s="761"/>
      <c r="BK1273" s="761"/>
      <c r="BL1273" s="761"/>
      <c r="BM1273" s="761"/>
    </row>
    <row r="1274" spans="1:65" s="1690" customFormat="1">
      <c r="A1274" s="761" t="s">
        <v>2339</v>
      </c>
      <c r="B1274" s="761" t="s">
        <v>2340</v>
      </c>
      <c r="C1274" s="761" t="s">
        <v>2679</v>
      </c>
      <c r="D1274" s="761">
        <v>6722042</v>
      </c>
      <c r="E1274" s="761" t="s">
        <v>2972</v>
      </c>
      <c r="F1274" s="761">
        <v>131202780</v>
      </c>
      <c r="G1274" s="761" t="s">
        <v>3027</v>
      </c>
      <c r="H1274" s="761" t="s">
        <v>3027</v>
      </c>
      <c r="I1274" s="761" t="s">
        <v>6867</v>
      </c>
      <c r="J1274" s="761">
        <v>367</v>
      </c>
      <c r="K1274" s="746">
        <v>19139.560000000001</v>
      </c>
      <c r="L1274" s="746">
        <v>17910.07</v>
      </c>
      <c r="M1274" s="746">
        <v>1229.49</v>
      </c>
      <c r="N1274" s="493" t="str">
        <f t="shared" si="21"/>
        <v>C397</v>
      </c>
      <c r="O1274" s="493" t="s">
        <v>99</v>
      </c>
      <c r="P1274" s="493" t="s">
        <v>8005</v>
      </c>
      <c r="Q1274" s="761"/>
      <c r="R1274" s="761"/>
      <c r="S1274" s="761"/>
      <c r="T1274" s="761"/>
      <c r="U1274" s="761"/>
      <c r="V1274" s="761"/>
      <c r="W1274" s="761"/>
      <c r="X1274" s="761"/>
      <c r="Y1274" s="761"/>
      <c r="Z1274" s="761"/>
      <c r="AA1274" s="761"/>
      <c r="AB1274" s="761"/>
      <c r="AC1274" s="761"/>
      <c r="AD1274" s="761"/>
      <c r="AE1274" s="761"/>
      <c r="AF1274" s="761"/>
      <c r="AG1274" s="761"/>
      <c r="AH1274" s="761"/>
      <c r="AI1274" s="761"/>
      <c r="AJ1274" s="761"/>
      <c r="AK1274" s="761"/>
      <c r="AL1274" s="761"/>
      <c r="AM1274" s="761"/>
      <c r="AN1274" s="761"/>
      <c r="AO1274" s="761"/>
      <c r="AP1274" s="761"/>
      <c r="AQ1274" s="761"/>
      <c r="AR1274" s="761"/>
      <c r="AS1274" s="761"/>
      <c r="AT1274" s="761"/>
      <c r="AU1274" s="761"/>
      <c r="AV1274" s="761"/>
      <c r="AW1274" s="761"/>
      <c r="AX1274" s="761"/>
      <c r="AY1274" s="761"/>
      <c r="AZ1274" s="761"/>
      <c r="BA1274" s="761"/>
      <c r="BB1274" s="761"/>
      <c r="BC1274" s="761"/>
      <c r="BD1274" s="761"/>
      <c r="BE1274" s="761"/>
      <c r="BF1274" s="761"/>
      <c r="BG1274" s="761"/>
      <c r="BH1274" s="761"/>
      <c r="BI1274" s="761"/>
      <c r="BJ1274" s="761"/>
      <c r="BK1274" s="761"/>
      <c r="BL1274" s="761"/>
      <c r="BM1274" s="761"/>
    </row>
    <row r="1275" spans="1:65" s="1690" customFormat="1">
      <c r="A1275" s="761" t="s">
        <v>2339</v>
      </c>
      <c r="B1275" s="761" t="s">
        <v>2340</v>
      </c>
      <c r="C1275" s="761" t="s">
        <v>2679</v>
      </c>
      <c r="D1275" s="761">
        <v>6793445</v>
      </c>
      <c r="E1275" s="761" t="s">
        <v>2972</v>
      </c>
      <c r="F1275" s="761">
        <v>131203281</v>
      </c>
      <c r="G1275" s="761" t="s">
        <v>3037</v>
      </c>
      <c r="H1275" s="761" t="s">
        <v>7549</v>
      </c>
      <c r="I1275" s="761" t="s">
        <v>6867</v>
      </c>
      <c r="J1275" s="761">
        <v>0</v>
      </c>
      <c r="K1275" s="746">
        <v>13562.33</v>
      </c>
      <c r="L1275" s="746">
        <v>12691.11</v>
      </c>
      <c r="M1275" s="746">
        <v>871.22</v>
      </c>
      <c r="N1275" s="493" t="str">
        <f t="shared" si="21"/>
        <v>C397</v>
      </c>
      <c r="O1275" s="493" t="s">
        <v>99</v>
      </c>
      <c r="P1275" s="493" t="s">
        <v>8005</v>
      </c>
      <c r="Q1275" s="761"/>
      <c r="R1275" s="761"/>
      <c r="S1275" s="761"/>
      <c r="T1275" s="761"/>
      <c r="U1275" s="761"/>
      <c r="V1275" s="761"/>
      <c r="W1275" s="761"/>
      <c r="X1275" s="761"/>
      <c r="Y1275" s="761"/>
      <c r="Z1275" s="761"/>
      <c r="AA1275" s="761"/>
      <c r="AB1275" s="761"/>
      <c r="AC1275" s="761"/>
      <c r="AD1275" s="761"/>
      <c r="AE1275" s="761"/>
      <c r="AF1275" s="761"/>
      <c r="AG1275" s="761"/>
      <c r="AH1275" s="761"/>
      <c r="AI1275" s="761"/>
      <c r="AJ1275" s="761"/>
      <c r="AK1275" s="761"/>
      <c r="AL1275" s="761"/>
      <c r="AM1275" s="761"/>
      <c r="AN1275" s="761"/>
      <c r="AO1275" s="761"/>
      <c r="AP1275" s="761"/>
      <c r="AQ1275" s="761"/>
      <c r="AR1275" s="761"/>
      <c r="AS1275" s="761"/>
      <c r="AT1275" s="761"/>
      <c r="AU1275" s="761"/>
      <c r="AV1275" s="761"/>
      <c r="AW1275" s="761"/>
      <c r="AX1275" s="761"/>
      <c r="AY1275" s="761"/>
      <c r="AZ1275" s="761"/>
      <c r="BA1275" s="761"/>
      <c r="BB1275" s="761"/>
      <c r="BC1275" s="761"/>
      <c r="BD1275" s="761"/>
      <c r="BE1275" s="761"/>
      <c r="BF1275" s="761"/>
      <c r="BG1275" s="761"/>
      <c r="BH1275" s="761"/>
      <c r="BI1275" s="761"/>
      <c r="BJ1275" s="761"/>
      <c r="BK1275" s="761"/>
      <c r="BL1275" s="761"/>
      <c r="BM1275" s="761"/>
    </row>
    <row r="1276" spans="1:65" s="1690" customFormat="1">
      <c r="A1276" s="761" t="s">
        <v>2339</v>
      </c>
      <c r="B1276" s="761" t="s">
        <v>2340</v>
      </c>
      <c r="C1276" s="761" t="s">
        <v>2449</v>
      </c>
      <c r="D1276" s="761">
        <v>6922113</v>
      </c>
      <c r="E1276" s="761" t="s">
        <v>2972</v>
      </c>
      <c r="F1276" s="761">
        <v>131202861</v>
      </c>
      <c r="G1276" s="761" t="s">
        <v>3031</v>
      </c>
      <c r="H1276" s="761" t="s">
        <v>3031</v>
      </c>
      <c r="I1276" s="761" t="s">
        <v>6867</v>
      </c>
      <c r="J1276" s="761">
        <v>0</v>
      </c>
      <c r="K1276" s="746">
        <v>32770.89</v>
      </c>
      <c r="L1276" s="746">
        <v>30665.75</v>
      </c>
      <c r="M1276" s="746">
        <v>2105.14</v>
      </c>
      <c r="N1276" s="493" t="str">
        <f t="shared" si="21"/>
        <v>C397</v>
      </c>
      <c r="O1276" s="493" t="s">
        <v>99</v>
      </c>
      <c r="P1276" s="493" t="s">
        <v>8005</v>
      </c>
      <c r="Q1276" s="761"/>
      <c r="R1276" s="761"/>
      <c r="S1276" s="761"/>
      <c r="T1276" s="761"/>
      <c r="U1276" s="761"/>
      <c r="V1276" s="761"/>
      <c r="W1276" s="761"/>
      <c r="X1276" s="761"/>
      <c r="Y1276" s="761"/>
      <c r="Z1276" s="761"/>
      <c r="AA1276" s="761"/>
      <c r="AB1276" s="761"/>
      <c r="AC1276" s="761"/>
      <c r="AD1276" s="761"/>
      <c r="AE1276" s="761"/>
      <c r="AF1276" s="761"/>
      <c r="AG1276" s="761"/>
      <c r="AH1276" s="761"/>
      <c r="AI1276" s="761"/>
      <c r="AJ1276" s="761"/>
      <c r="AK1276" s="761"/>
      <c r="AL1276" s="761"/>
      <c r="AM1276" s="761"/>
      <c r="AN1276" s="761"/>
      <c r="AO1276" s="761"/>
      <c r="AP1276" s="761"/>
      <c r="AQ1276" s="761"/>
      <c r="AR1276" s="761"/>
      <c r="AS1276" s="761"/>
      <c r="AT1276" s="761"/>
      <c r="AU1276" s="761"/>
      <c r="AV1276" s="761"/>
      <c r="AW1276" s="761"/>
      <c r="AX1276" s="761"/>
      <c r="AY1276" s="761"/>
      <c r="AZ1276" s="761"/>
      <c r="BA1276" s="761"/>
      <c r="BB1276" s="761"/>
      <c r="BC1276" s="761"/>
      <c r="BD1276" s="761"/>
      <c r="BE1276" s="761"/>
      <c r="BF1276" s="761"/>
      <c r="BG1276" s="761"/>
      <c r="BH1276" s="761"/>
      <c r="BI1276" s="761"/>
      <c r="BJ1276" s="761"/>
      <c r="BK1276" s="761"/>
      <c r="BL1276" s="761"/>
      <c r="BM1276" s="761"/>
    </row>
    <row r="1277" spans="1:65" s="1690" customFormat="1">
      <c r="A1277" s="761" t="s">
        <v>2339</v>
      </c>
      <c r="B1277" s="761" t="s">
        <v>2340</v>
      </c>
      <c r="C1277" s="761" t="s">
        <v>3014</v>
      </c>
      <c r="D1277" s="761">
        <v>7141546</v>
      </c>
      <c r="E1277" s="761" t="s">
        <v>2972</v>
      </c>
      <c r="F1277" s="761">
        <v>131202500</v>
      </c>
      <c r="G1277" s="761" t="s">
        <v>3024</v>
      </c>
      <c r="H1277" s="761" t="s">
        <v>3024</v>
      </c>
      <c r="I1277" s="761" t="s">
        <v>6867</v>
      </c>
      <c r="J1277" s="761">
        <v>0</v>
      </c>
      <c r="K1277" s="746">
        <v>3686.89</v>
      </c>
      <c r="L1277" s="746">
        <v>3450.05</v>
      </c>
      <c r="M1277" s="746">
        <v>236.84</v>
      </c>
      <c r="N1277" s="493" t="str">
        <f t="shared" si="21"/>
        <v>C397</v>
      </c>
      <c r="O1277" s="493" t="s">
        <v>99</v>
      </c>
      <c r="P1277" s="493" t="s">
        <v>8005</v>
      </c>
      <c r="Q1277" s="761"/>
      <c r="R1277" s="761"/>
      <c r="S1277" s="761"/>
      <c r="T1277" s="761"/>
      <c r="U1277" s="761"/>
      <c r="V1277" s="761"/>
      <c r="W1277" s="761"/>
      <c r="X1277" s="761"/>
      <c r="Y1277" s="761"/>
      <c r="Z1277" s="761"/>
      <c r="AA1277" s="761"/>
      <c r="AB1277" s="761"/>
      <c r="AC1277" s="761"/>
      <c r="AD1277" s="761"/>
      <c r="AE1277" s="761"/>
      <c r="AF1277" s="761"/>
      <c r="AG1277" s="761"/>
      <c r="AH1277" s="761"/>
      <c r="AI1277" s="761"/>
      <c r="AJ1277" s="761"/>
      <c r="AK1277" s="761"/>
      <c r="AL1277" s="761"/>
      <c r="AM1277" s="761"/>
      <c r="AN1277" s="761"/>
      <c r="AO1277" s="761"/>
      <c r="AP1277" s="761"/>
      <c r="AQ1277" s="761"/>
      <c r="AR1277" s="761"/>
      <c r="AS1277" s="761"/>
      <c r="AT1277" s="761"/>
      <c r="AU1277" s="761"/>
      <c r="AV1277" s="761"/>
      <c r="AW1277" s="761"/>
      <c r="AX1277" s="761"/>
      <c r="AY1277" s="761"/>
      <c r="AZ1277" s="761"/>
      <c r="BA1277" s="761"/>
      <c r="BB1277" s="761"/>
      <c r="BC1277" s="761"/>
      <c r="BD1277" s="761"/>
      <c r="BE1277" s="761"/>
      <c r="BF1277" s="761"/>
      <c r="BG1277" s="761"/>
      <c r="BH1277" s="761"/>
      <c r="BI1277" s="761"/>
      <c r="BJ1277" s="761"/>
      <c r="BK1277" s="761"/>
      <c r="BL1277" s="761"/>
      <c r="BM1277" s="761"/>
    </row>
    <row r="1278" spans="1:65" s="1690" customFormat="1">
      <c r="A1278" s="761" t="s">
        <v>2339</v>
      </c>
      <c r="B1278" s="761" t="s">
        <v>2340</v>
      </c>
      <c r="C1278" s="761" t="s">
        <v>2356</v>
      </c>
      <c r="D1278" s="761">
        <v>7172358</v>
      </c>
      <c r="E1278" s="761" t="s">
        <v>2972</v>
      </c>
      <c r="F1278" s="761">
        <v>131202223</v>
      </c>
      <c r="G1278" s="761" t="s">
        <v>3019</v>
      </c>
      <c r="H1278" s="761" t="s">
        <v>3019</v>
      </c>
      <c r="I1278" s="761" t="s">
        <v>6867</v>
      </c>
      <c r="J1278" s="761">
        <v>1</v>
      </c>
      <c r="K1278" s="746">
        <v>238920.28</v>
      </c>
      <c r="L1278" s="746">
        <v>195826.97</v>
      </c>
      <c r="M1278" s="746">
        <v>43093.31</v>
      </c>
      <c r="N1278" s="493" t="str">
        <f t="shared" si="21"/>
        <v>C397</v>
      </c>
      <c r="O1278" s="493" t="s">
        <v>390</v>
      </c>
      <c r="P1278" s="493"/>
      <c r="Q1278" s="761"/>
      <c r="R1278" s="761"/>
      <c r="S1278" s="761"/>
      <c r="T1278" s="761"/>
      <c r="U1278" s="761"/>
      <c r="V1278" s="761"/>
      <c r="W1278" s="761"/>
      <c r="X1278" s="761"/>
      <c r="Y1278" s="761"/>
      <c r="Z1278" s="761"/>
      <c r="AA1278" s="761"/>
      <c r="AB1278" s="761"/>
      <c r="AC1278" s="761"/>
      <c r="AD1278" s="761"/>
      <c r="AE1278" s="761"/>
      <c r="AF1278" s="761"/>
      <c r="AG1278" s="761"/>
      <c r="AH1278" s="761"/>
      <c r="AI1278" s="761"/>
      <c r="AJ1278" s="761"/>
      <c r="AK1278" s="761"/>
      <c r="AL1278" s="761"/>
      <c r="AM1278" s="761"/>
      <c r="AN1278" s="761"/>
      <c r="AO1278" s="761"/>
      <c r="AP1278" s="761"/>
      <c r="AQ1278" s="761"/>
      <c r="AR1278" s="761"/>
      <c r="AS1278" s="761"/>
      <c r="AT1278" s="761"/>
      <c r="AU1278" s="761"/>
      <c r="AV1278" s="761"/>
      <c r="AW1278" s="761"/>
      <c r="AX1278" s="761"/>
      <c r="AY1278" s="761"/>
      <c r="AZ1278" s="761"/>
      <c r="BA1278" s="761"/>
      <c r="BB1278" s="761"/>
      <c r="BC1278" s="761"/>
      <c r="BD1278" s="761"/>
      <c r="BE1278" s="761"/>
      <c r="BF1278" s="761"/>
      <c r="BG1278" s="761"/>
      <c r="BH1278" s="761"/>
      <c r="BI1278" s="761"/>
      <c r="BJ1278" s="761"/>
      <c r="BK1278" s="761"/>
      <c r="BL1278" s="761"/>
      <c r="BM1278" s="761"/>
    </row>
    <row r="1279" spans="1:65" s="1690" customFormat="1">
      <c r="A1279" s="761" t="s">
        <v>2339</v>
      </c>
      <c r="B1279" s="761" t="s">
        <v>2340</v>
      </c>
      <c r="C1279" s="761" t="s">
        <v>2364</v>
      </c>
      <c r="D1279" s="761">
        <v>7772635</v>
      </c>
      <c r="E1279" s="761" t="s">
        <v>2972</v>
      </c>
      <c r="F1279" s="761">
        <v>131202500</v>
      </c>
      <c r="G1279" s="761" t="s">
        <v>3024</v>
      </c>
      <c r="H1279" s="761" t="s">
        <v>3024</v>
      </c>
      <c r="I1279" s="761" t="s">
        <v>6867</v>
      </c>
      <c r="J1279" s="761">
        <v>1677</v>
      </c>
      <c r="K1279" s="746">
        <v>29989.25</v>
      </c>
      <c r="L1279" s="746">
        <v>24580.18</v>
      </c>
      <c r="M1279" s="746">
        <v>5409.07</v>
      </c>
      <c r="N1279" s="493" t="str">
        <f t="shared" si="21"/>
        <v>C397</v>
      </c>
      <c r="O1279" s="493" t="s">
        <v>99</v>
      </c>
      <c r="P1279" s="493" t="s">
        <v>8005</v>
      </c>
      <c r="Q1279" s="761"/>
      <c r="R1279" s="761"/>
      <c r="S1279" s="761"/>
      <c r="T1279" s="761"/>
      <c r="U1279" s="761"/>
      <c r="V1279" s="761"/>
      <c r="W1279" s="761"/>
      <c r="X1279" s="761"/>
      <c r="Y1279" s="761"/>
      <c r="Z1279" s="761"/>
      <c r="AA1279" s="761"/>
      <c r="AB1279" s="761"/>
      <c r="AC1279" s="761"/>
      <c r="AD1279" s="761"/>
      <c r="AE1279" s="761"/>
      <c r="AF1279" s="761"/>
      <c r="AG1279" s="761"/>
      <c r="AH1279" s="761"/>
      <c r="AI1279" s="761"/>
      <c r="AJ1279" s="761"/>
      <c r="AK1279" s="761"/>
      <c r="AL1279" s="761"/>
      <c r="AM1279" s="761"/>
      <c r="AN1279" s="761"/>
      <c r="AO1279" s="761"/>
      <c r="AP1279" s="761"/>
      <c r="AQ1279" s="761"/>
      <c r="AR1279" s="761"/>
      <c r="AS1279" s="761"/>
      <c r="AT1279" s="761"/>
      <c r="AU1279" s="761"/>
      <c r="AV1279" s="761"/>
      <c r="AW1279" s="761"/>
      <c r="AX1279" s="761"/>
      <c r="AY1279" s="761"/>
      <c r="AZ1279" s="761"/>
      <c r="BA1279" s="761"/>
      <c r="BB1279" s="761"/>
      <c r="BC1279" s="761"/>
      <c r="BD1279" s="761"/>
      <c r="BE1279" s="761"/>
      <c r="BF1279" s="761"/>
      <c r="BG1279" s="761"/>
      <c r="BH1279" s="761"/>
      <c r="BI1279" s="761"/>
      <c r="BJ1279" s="761"/>
      <c r="BK1279" s="761"/>
      <c r="BL1279" s="761"/>
      <c r="BM1279" s="761"/>
    </row>
    <row r="1280" spans="1:65" s="1690" customFormat="1">
      <c r="A1280" s="761" t="s">
        <v>2339</v>
      </c>
      <c r="B1280" s="761" t="s">
        <v>2340</v>
      </c>
      <c r="C1280" s="761" t="s">
        <v>2364</v>
      </c>
      <c r="D1280" s="761">
        <v>9428766</v>
      </c>
      <c r="E1280" s="761" t="s">
        <v>2972</v>
      </c>
      <c r="F1280" s="761">
        <v>131102160</v>
      </c>
      <c r="G1280" s="761" t="s">
        <v>2986</v>
      </c>
      <c r="H1280" s="761" t="s">
        <v>7550</v>
      </c>
      <c r="I1280" s="761" t="s">
        <v>6867</v>
      </c>
      <c r="J1280" s="761">
        <v>0</v>
      </c>
      <c r="K1280" s="746">
        <v>26581.22</v>
      </c>
      <c r="L1280" s="746">
        <v>24873.7</v>
      </c>
      <c r="M1280" s="746">
        <v>1707.52</v>
      </c>
      <c r="N1280" s="493" t="str">
        <f t="shared" si="21"/>
        <v>C397</v>
      </c>
      <c r="O1280" s="493" t="s">
        <v>99</v>
      </c>
      <c r="P1280" s="493" t="s">
        <v>8005</v>
      </c>
      <c r="Q1280" s="761"/>
      <c r="R1280" s="761"/>
      <c r="S1280" s="761"/>
      <c r="T1280" s="761"/>
      <c r="U1280" s="761"/>
      <c r="V1280" s="761"/>
      <c r="W1280" s="761"/>
      <c r="X1280" s="761"/>
      <c r="Y1280" s="761"/>
      <c r="Z1280" s="761"/>
      <c r="AA1280" s="761"/>
      <c r="AB1280" s="761"/>
      <c r="AC1280" s="761"/>
      <c r="AD1280" s="761"/>
      <c r="AE1280" s="761"/>
      <c r="AF1280" s="761"/>
      <c r="AG1280" s="761"/>
      <c r="AH1280" s="761"/>
      <c r="AI1280" s="761"/>
      <c r="AJ1280" s="761"/>
      <c r="AK1280" s="761"/>
      <c r="AL1280" s="761"/>
      <c r="AM1280" s="761"/>
      <c r="AN1280" s="761"/>
      <c r="AO1280" s="761"/>
      <c r="AP1280" s="761"/>
      <c r="AQ1280" s="761"/>
      <c r="AR1280" s="761"/>
      <c r="AS1280" s="761"/>
      <c r="AT1280" s="761"/>
      <c r="AU1280" s="761"/>
      <c r="AV1280" s="761"/>
      <c r="AW1280" s="761"/>
      <c r="AX1280" s="761"/>
      <c r="AY1280" s="761"/>
      <c r="AZ1280" s="761"/>
      <c r="BA1280" s="761"/>
      <c r="BB1280" s="761"/>
      <c r="BC1280" s="761"/>
      <c r="BD1280" s="761"/>
      <c r="BE1280" s="761"/>
      <c r="BF1280" s="761"/>
      <c r="BG1280" s="761"/>
      <c r="BH1280" s="761"/>
      <c r="BI1280" s="761"/>
      <c r="BJ1280" s="761"/>
      <c r="BK1280" s="761"/>
      <c r="BL1280" s="761"/>
      <c r="BM1280" s="761"/>
    </row>
    <row r="1281" spans="1:65" s="1690" customFormat="1">
      <c r="A1281" s="761" t="s">
        <v>2339</v>
      </c>
      <c r="B1281" s="761" t="s">
        <v>2340</v>
      </c>
      <c r="C1281" s="761" t="s">
        <v>2455</v>
      </c>
      <c r="D1281" s="761">
        <v>11406927</v>
      </c>
      <c r="E1281" s="761" t="s">
        <v>2972</v>
      </c>
      <c r="F1281" s="761">
        <v>131202720</v>
      </c>
      <c r="G1281" s="761" t="s">
        <v>3026</v>
      </c>
      <c r="H1281" s="761" t="s">
        <v>7551</v>
      </c>
      <c r="I1281" s="761" t="s">
        <v>6867</v>
      </c>
      <c r="J1281" s="761">
        <v>0</v>
      </c>
      <c r="K1281" s="746">
        <v>62904.55</v>
      </c>
      <c r="L1281" s="746">
        <v>58863.69</v>
      </c>
      <c r="M1281" s="746">
        <v>4040.86</v>
      </c>
      <c r="N1281" s="493" t="str">
        <f t="shared" si="21"/>
        <v>C397</v>
      </c>
      <c r="O1281" s="493" t="s">
        <v>99</v>
      </c>
      <c r="P1281" s="493" t="s">
        <v>8005</v>
      </c>
      <c r="Q1281" s="761"/>
      <c r="R1281" s="761"/>
      <c r="S1281" s="761"/>
      <c r="T1281" s="761"/>
      <c r="U1281" s="761"/>
      <c r="V1281" s="761"/>
      <c r="W1281" s="761"/>
      <c r="X1281" s="761"/>
      <c r="Y1281" s="761"/>
      <c r="Z1281" s="761"/>
      <c r="AA1281" s="761"/>
      <c r="AB1281" s="761"/>
      <c r="AC1281" s="761"/>
      <c r="AD1281" s="761"/>
      <c r="AE1281" s="761"/>
      <c r="AF1281" s="761"/>
      <c r="AG1281" s="761"/>
      <c r="AH1281" s="761"/>
      <c r="AI1281" s="761"/>
      <c r="AJ1281" s="761"/>
      <c r="AK1281" s="761"/>
      <c r="AL1281" s="761"/>
      <c r="AM1281" s="761"/>
      <c r="AN1281" s="761"/>
      <c r="AO1281" s="761"/>
      <c r="AP1281" s="761"/>
      <c r="AQ1281" s="761"/>
      <c r="AR1281" s="761"/>
      <c r="AS1281" s="761"/>
      <c r="AT1281" s="761"/>
      <c r="AU1281" s="761"/>
      <c r="AV1281" s="761"/>
      <c r="AW1281" s="761"/>
      <c r="AX1281" s="761"/>
      <c r="AY1281" s="761"/>
      <c r="AZ1281" s="761"/>
      <c r="BA1281" s="761"/>
      <c r="BB1281" s="761"/>
      <c r="BC1281" s="761"/>
      <c r="BD1281" s="761"/>
      <c r="BE1281" s="761"/>
      <c r="BF1281" s="761"/>
      <c r="BG1281" s="761"/>
      <c r="BH1281" s="761"/>
      <c r="BI1281" s="761"/>
      <c r="BJ1281" s="761"/>
      <c r="BK1281" s="761"/>
      <c r="BL1281" s="761"/>
      <c r="BM1281" s="761"/>
    </row>
    <row r="1282" spans="1:65" s="1690" customFormat="1">
      <c r="A1282" s="761" t="s">
        <v>2339</v>
      </c>
      <c r="B1282" s="761" t="s">
        <v>2340</v>
      </c>
      <c r="C1282" s="761" t="s">
        <v>2460</v>
      </c>
      <c r="D1282" s="761">
        <v>11406969</v>
      </c>
      <c r="E1282" s="761" t="s">
        <v>2972</v>
      </c>
      <c r="F1282" s="761">
        <v>131101702</v>
      </c>
      <c r="G1282" s="761" t="s">
        <v>2985</v>
      </c>
      <c r="H1282" s="761" t="s">
        <v>2985</v>
      </c>
      <c r="I1282" s="761" t="s">
        <v>6867</v>
      </c>
      <c r="J1282" s="761">
        <v>0</v>
      </c>
      <c r="K1282" s="746">
        <v>44420.590000000004</v>
      </c>
      <c r="L1282" s="746">
        <v>41567.1</v>
      </c>
      <c r="M1282" s="746">
        <v>2853.4900000000002</v>
      </c>
      <c r="N1282" s="493" t="str">
        <f t="shared" si="21"/>
        <v>C397</v>
      </c>
      <c r="O1282" s="493" t="s">
        <v>99</v>
      </c>
      <c r="P1282" s="493" t="s">
        <v>8005</v>
      </c>
      <c r="Q1282" s="761"/>
      <c r="R1282" s="761"/>
      <c r="S1282" s="761"/>
      <c r="T1282" s="761"/>
      <c r="U1282" s="761"/>
      <c r="V1282" s="761"/>
      <c r="W1282" s="761"/>
      <c r="X1282" s="761"/>
      <c r="Y1282" s="761"/>
      <c r="Z1282" s="761"/>
      <c r="AA1282" s="761"/>
      <c r="AB1282" s="761"/>
      <c r="AC1282" s="761"/>
      <c r="AD1282" s="761"/>
      <c r="AE1282" s="761"/>
      <c r="AF1282" s="761"/>
      <c r="AG1282" s="761"/>
      <c r="AH1282" s="761"/>
      <c r="AI1282" s="761"/>
      <c r="AJ1282" s="761"/>
      <c r="AK1282" s="761"/>
      <c r="AL1282" s="761"/>
      <c r="AM1282" s="761"/>
      <c r="AN1282" s="761"/>
      <c r="AO1282" s="761"/>
      <c r="AP1282" s="761"/>
      <c r="AQ1282" s="761"/>
      <c r="AR1282" s="761"/>
      <c r="AS1282" s="761"/>
      <c r="AT1282" s="761"/>
      <c r="AU1282" s="761"/>
      <c r="AV1282" s="761"/>
      <c r="AW1282" s="761"/>
      <c r="AX1282" s="761"/>
      <c r="AY1282" s="761"/>
      <c r="AZ1282" s="761"/>
      <c r="BA1282" s="761"/>
      <c r="BB1282" s="761"/>
      <c r="BC1282" s="761"/>
      <c r="BD1282" s="761"/>
      <c r="BE1282" s="761"/>
      <c r="BF1282" s="761"/>
      <c r="BG1282" s="761"/>
      <c r="BH1282" s="761"/>
      <c r="BI1282" s="761"/>
      <c r="BJ1282" s="761"/>
      <c r="BK1282" s="761"/>
      <c r="BL1282" s="761"/>
      <c r="BM1282" s="761"/>
    </row>
    <row r="1283" spans="1:65" s="1690" customFormat="1">
      <c r="A1283" s="761" t="s">
        <v>2339</v>
      </c>
      <c r="B1283" s="761" t="s">
        <v>2340</v>
      </c>
      <c r="C1283" s="761" t="s">
        <v>2679</v>
      </c>
      <c r="D1283" s="761">
        <v>7303334</v>
      </c>
      <c r="E1283" s="761" t="s">
        <v>2972</v>
      </c>
      <c r="F1283" s="761">
        <v>131202821</v>
      </c>
      <c r="G1283" s="761" t="s">
        <v>3029</v>
      </c>
      <c r="H1283" s="761" t="s">
        <v>3029</v>
      </c>
      <c r="I1283" s="761" t="s">
        <v>6867</v>
      </c>
      <c r="J1283" s="761">
        <v>0</v>
      </c>
      <c r="K1283" s="746">
        <v>115495.34</v>
      </c>
      <c r="L1283" s="746">
        <v>108076.15000000001</v>
      </c>
      <c r="M1283" s="746">
        <v>7419.1900000000005</v>
      </c>
      <c r="N1283" s="493" t="str">
        <f t="shared" si="21"/>
        <v>C397</v>
      </c>
      <c r="O1283" s="493" t="s">
        <v>99</v>
      </c>
      <c r="P1283" s="493" t="s">
        <v>8005</v>
      </c>
      <c r="Q1283" s="761"/>
      <c r="R1283" s="761"/>
      <c r="S1283" s="761"/>
      <c r="T1283" s="761"/>
      <c r="U1283" s="761"/>
      <c r="V1283" s="761"/>
      <c r="W1283" s="761"/>
      <c r="X1283" s="761"/>
      <c r="Y1283" s="761"/>
      <c r="Z1283" s="761"/>
      <c r="AA1283" s="761"/>
      <c r="AB1283" s="761"/>
      <c r="AC1283" s="761"/>
      <c r="AD1283" s="761"/>
      <c r="AE1283" s="761"/>
      <c r="AF1283" s="761"/>
      <c r="AG1283" s="761"/>
      <c r="AH1283" s="761"/>
      <c r="AI1283" s="761"/>
      <c r="AJ1283" s="761"/>
      <c r="AK1283" s="761"/>
      <c r="AL1283" s="761"/>
      <c r="AM1283" s="761"/>
      <c r="AN1283" s="761"/>
      <c r="AO1283" s="761"/>
      <c r="AP1283" s="761"/>
      <c r="AQ1283" s="761"/>
      <c r="AR1283" s="761"/>
      <c r="AS1283" s="761"/>
      <c r="AT1283" s="761"/>
      <c r="AU1283" s="761"/>
      <c r="AV1283" s="761"/>
      <c r="AW1283" s="761"/>
      <c r="AX1283" s="761"/>
      <c r="AY1283" s="761"/>
      <c r="AZ1283" s="761"/>
      <c r="BA1283" s="761"/>
      <c r="BB1283" s="761"/>
      <c r="BC1283" s="761"/>
      <c r="BD1283" s="761"/>
      <c r="BE1283" s="761"/>
      <c r="BF1283" s="761"/>
      <c r="BG1283" s="761"/>
      <c r="BH1283" s="761"/>
      <c r="BI1283" s="761"/>
      <c r="BJ1283" s="761"/>
      <c r="BK1283" s="761"/>
      <c r="BL1283" s="761"/>
      <c r="BM1283" s="761"/>
    </row>
    <row r="1284" spans="1:65" s="1690" customFormat="1">
      <c r="A1284" s="761" t="s">
        <v>2339</v>
      </c>
      <c r="B1284" s="761" t="s">
        <v>2340</v>
      </c>
      <c r="C1284" s="761" t="s">
        <v>2517</v>
      </c>
      <c r="D1284" s="761">
        <v>7363774</v>
      </c>
      <c r="E1284" s="761" t="s">
        <v>2972</v>
      </c>
      <c r="F1284" s="761">
        <v>130004506</v>
      </c>
      <c r="G1284" s="761" t="s">
        <v>2975</v>
      </c>
      <c r="H1284" s="761" t="s">
        <v>2975</v>
      </c>
      <c r="I1284" s="761" t="s">
        <v>6867</v>
      </c>
      <c r="J1284" s="761">
        <v>0</v>
      </c>
      <c r="K1284" s="746">
        <v>200090.34</v>
      </c>
      <c r="L1284" s="746">
        <v>164000.67000000001</v>
      </c>
      <c r="M1284" s="746">
        <v>36089.67</v>
      </c>
      <c r="N1284" s="493" t="str">
        <f t="shared" si="21"/>
        <v>C397</v>
      </c>
      <c r="O1284" s="493" t="s">
        <v>99</v>
      </c>
      <c r="P1284" s="493" t="s">
        <v>8005</v>
      </c>
      <c r="Q1284" s="761"/>
      <c r="R1284" s="761"/>
      <c r="S1284" s="761"/>
      <c r="T1284" s="761"/>
      <c r="U1284" s="761"/>
      <c r="V1284" s="761"/>
      <c r="W1284" s="761"/>
      <c r="X1284" s="761"/>
      <c r="Y1284" s="761"/>
      <c r="Z1284" s="761"/>
      <c r="AA1284" s="761"/>
      <c r="AB1284" s="761"/>
      <c r="AC1284" s="761"/>
      <c r="AD1284" s="761"/>
      <c r="AE1284" s="761"/>
      <c r="AF1284" s="761"/>
      <c r="AG1284" s="761"/>
      <c r="AH1284" s="761"/>
      <c r="AI1284" s="761"/>
      <c r="AJ1284" s="761"/>
      <c r="AK1284" s="761"/>
      <c r="AL1284" s="761"/>
      <c r="AM1284" s="761"/>
      <c r="AN1284" s="761"/>
      <c r="AO1284" s="761"/>
      <c r="AP1284" s="761"/>
      <c r="AQ1284" s="761"/>
      <c r="AR1284" s="761"/>
      <c r="AS1284" s="761"/>
      <c r="AT1284" s="761"/>
      <c r="AU1284" s="761"/>
      <c r="AV1284" s="761"/>
      <c r="AW1284" s="761"/>
      <c r="AX1284" s="761"/>
      <c r="AY1284" s="761"/>
      <c r="AZ1284" s="761"/>
      <c r="BA1284" s="761"/>
      <c r="BB1284" s="761"/>
      <c r="BC1284" s="761"/>
      <c r="BD1284" s="761"/>
      <c r="BE1284" s="761"/>
      <c r="BF1284" s="761"/>
      <c r="BG1284" s="761"/>
      <c r="BH1284" s="761"/>
      <c r="BI1284" s="761"/>
      <c r="BJ1284" s="761"/>
      <c r="BK1284" s="761"/>
      <c r="BL1284" s="761"/>
      <c r="BM1284" s="761"/>
    </row>
    <row r="1285" spans="1:65" s="1690" customFormat="1">
      <c r="A1285" s="761" t="s">
        <v>2339</v>
      </c>
      <c r="B1285" s="761" t="s">
        <v>2340</v>
      </c>
      <c r="C1285" s="761" t="s">
        <v>2517</v>
      </c>
      <c r="D1285" s="761">
        <v>7363804</v>
      </c>
      <c r="E1285" s="761" t="s">
        <v>2972</v>
      </c>
      <c r="F1285" s="761">
        <v>130004507</v>
      </c>
      <c r="G1285" s="761" t="s">
        <v>2976</v>
      </c>
      <c r="H1285" s="761" t="s">
        <v>2976</v>
      </c>
      <c r="I1285" s="761" t="s">
        <v>6867</v>
      </c>
      <c r="J1285" s="761">
        <v>0</v>
      </c>
      <c r="K1285" s="746">
        <v>130012.55</v>
      </c>
      <c r="L1285" s="746">
        <v>106562.59</v>
      </c>
      <c r="M1285" s="746">
        <v>23449.96</v>
      </c>
      <c r="N1285" s="493" t="str">
        <f t="shared" si="21"/>
        <v>C397</v>
      </c>
      <c r="O1285" s="493" t="s">
        <v>99</v>
      </c>
      <c r="P1285" s="493" t="s">
        <v>8005</v>
      </c>
      <c r="Q1285" s="761"/>
      <c r="R1285" s="761"/>
      <c r="S1285" s="761"/>
      <c r="T1285" s="761"/>
      <c r="U1285" s="761"/>
      <c r="V1285" s="761"/>
      <c r="W1285" s="761"/>
      <c r="X1285" s="761"/>
      <c r="Y1285" s="761"/>
      <c r="Z1285" s="761"/>
      <c r="AA1285" s="761"/>
      <c r="AB1285" s="761"/>
      <c r="AC1285" s="761"/>
      <c r="AD1285" s="761"/>
      <c r="AE1285" s="761"/>
      <c r="AF1285" s="761"/>
      <c r="AG1285" s="761"/>
      <c r="AH1285" s="761"/>
      <c r="AI1285" s="761"/>
      <c r="AJ1285" s="761"/>
      <c r="AK1285" s="761"/>
      <c r="AL1285" s="761"/>
      <c r="AM1285" s="761"/>
      <c r="AN1285" s="761"/>
      <c r="AO1285" s="761"/>
      <c r="AP1285" s="761"/>
      <c r="AQ1285" s="761"/>
      <c r="AR1285" s="761"/>
      <c r="AS1285" s="761"/>
      <c r="AT1285" s="761"/>
      <c r="AU1285" s="761"/>
      <c r="AV1285" s="761"/>
      <c r="AW1285" s="761"/>
      <c r="AX1285" s="761"/>
      <c r="AY1285" s="761"/>
      <c r="AZ1285" s="761"/>
      <c r="BA1285" s="761"/>
      <c r="BB1285" s="761"/>
      <c r="BC1285" s="761"/>
      <c r="BD1285" s="761"/>
      <c r="BE1285" s="761"/>
      <c r="BF1285" s="761"/>
      <c r="BG1285" s="761"/>
      <c r="BH1285" s="761"/>
      <c r="BI1285" s="761"/>
      <c r="BJ1285" s="761"/>
      <c r="BK1285" s="761"/>
      <c r="BL1285" s="761"/>
      <c r="BM1285" s="761"/>
    </row>
    <row r="1286" spans="1:65">
      <c r="A1286" s="761" t="s">
        <v>2339</v>
      </c>
      <c r="B1286" s="761" t="s">
        <v>2340</v>
      </c>
      <c r="C1286" s="761" t="s">
        <v>2647</v>
      </c>
      <c r="D1286" s="761">
        <v>7759530</v>
      </c>
      <c r="E1286" s="761" t="s">
        <v>2972</v>
      </c>
      <c r="F1286" s="761">
        <v>131203280</v>
      </c>
      <c r="G1286" s="761" t="s">
        <v>3036</v>
      </c>
      <c r="H1286" s="761" t="s">
        <v>3036</v>
      </c>
      <c r="I1286" s="761" t="s">
        <v>6867</v>
      </c>
      <c r="J1286" s="761">
        <v>424</v>
      </c>
      <c r="K1286" s="746">
        <v>2472.1799999999998</v>
      </c>
      <c r="L1286" s="746">
        <v>2026.28</v>
      </c>
      <c r="M1286" s="746">
        <v>445.90000000000003</v>
      </c>
      <c r="N1286" s="493" t="str">
        <f t="shared" si="21"/>
        <v>C397</v>
      </c>
      <c r="O1286" s="493" t="s">
        <v>99</v>
      </c>
      <c r="P1286" s="493" t="s">
        <v>8005</v>
      </c>
    </row>
    <row r="1287" spans="1:65">
      <c r="A1287" s="761" t="s">
        <v>2339</v>
      </c>
      <c r="B1287" s="761" t="s">
        <v>2340</v>
      </c>
      <c r="C1287" s="761" t="s">
        <v>2647</v>
      </c>
      <c r="D1287" s="761">
        <v>7759533</v>
      </c>
      <c r="E1287" s="761" t="s">
        <v>2972</v>
      </c>
      <c r="F1287" s="761">
        <v>131203280</v>
      </c>
      <c r="G1287" s="761" t="s">
        <v>3036</v>
      </c>
      <c r="H1287" s="761" t="s">
        <v>3036</v>
      </c>
      <c r="I1287" s="761" t="s">
        <v>6867</v>
      </c>
      <c r="J1287" s="761">
        <v>233</v>
      </c>
      <c r="K1287" s="746">
        <v>2472.1799999999998</v>
      </c>
      <c r="L1287" s="746">
        <v>2026.28</v>
      </c>
      <c r="M1287" s="746">
        <v>445.90000000000003</v>
      </c>
      <c r="N1287" s="493" t="str">
        <f t="shared" si="21"/>
        <v>C397</v>
      </c>
      <c r="O1287" s="493" t="s">
        <v>99</v>
      </c>
      <c r="P1287" s="493" t="s">
        <v>8005</v>
      </c>
    </row>
    <row r="1288" spans="1:65">
      <c r="A1288" s="761" t="s">
        <v>2339</v>
      </c>
      <c r="B1288" s="761" t="s">
        <v>2340</v>
      </c>
      <c r="C1288" s="761" t="s">
        <v>2647</v>
      </c>
      <c r="D1288" s="761">
        <v>7759534</v>
      </c>
      <c r="E1288" s="761" t="s">
        <v>2972</v>
      </c>
      <c r="F1288" s="761">
        <v>131203280</v>
      </c>
      <c r="G1288" s="761" t="s">
        <v>3036</v>
      </c>
      <c r="H1288" s="761" t="s">
        <v>3036</v>
      </c>
      <c r="I1288" s="761" t="s">
        <v>6867</v>
      </c>
      <c r="J1288" s="761">
        <v>2</v>
      </c>
      <c r="K1288" s="746">
        <v>4944.28</v>
      </c>
      <c r="L1288" s="746">
        <v>4052.5</v>
      </c>
      <c r="M1288" s="746">
        <v>891.78</v>
      </c>
      <c r="N1288" s="493" t="str">
        <f t="shared" si="21"/>
        <v>C397</v>
      </c>
      <c r="O1288" s="493" t="s">
        <v>99</v>
      </c>
      <c r="P1288" s="493" t="s">
        <v>8005</v>
      </c>
    </row>
    <row r="1289" spans="1:65">
      <c r="A1289" s="761" t="s">
        <v>2339</v>
      </c>
      <c r="B1289" s="761" t="s">
        <v>2340</v>
      </c>
      <c r="C1289" s="761" t="s">
        <v>2497</v>
      </c>
      <c r="D1289" s="761">
        <v>8067516</v>
      </c>
      <c r="E1289" s="761" t="s">
        <v>2972</v>
      </c>
      <c r="F1289" s="761">
        <v>131204021</v>
      </c>
      <c r="G1289" s="761" t="s">
        <v>3063</v>
      </c>
      <c r="H1289" s="761" t="s">
        <v>7552</v>
      </c>
      <c r="I1289" s="761" t="s">
        <v>6867</v>
      </c>
      <c r="J1289" s="761">
        <v>0</v>
      </c>
      <c r="K1289" s="746">
        <v>21404.38</v>
      </c>
      <c r="L1289" s="746">
        <v>17543.740000000002</v>
      </c>
      <c r="M1289" s="746">
        <v>3860.64</v>
      </c>
      <c r="N1289" s="493" t="str">
        <f t="shared" si="21"/>
        <v>C397</v>
      </c>
      <c r="O1289" s="493" t="s">
        <v>99</v>
      </c>
      <c r="P1289" s="493" t="s">
        <v>8005</v>
      </c>
    </row>
    <row r="1290" spans="1:65">
      <c r="A1290" s="761" t="s">
        <v>2339</v>
      </c>
      <c r="B1290" s="761" t="s">
        <v>2340</v>
      </c>
      <c r="C1290" s="761" t="s">
        <v>2361</v>
      </c>
      <c r="D1290" s="761">
        <v>8236309</v>
      </c>
      <c r="E1290" s="761" t="s">
        <v>2972</v>
      </c>
      <c r="F1290" s="761">
        <v>131203920</v>
      </c>
      <c r="G1290" s="761" t="s">
        <v>3056</v>
      </c>
      <c r="H1290" s="761" t="s">
        <v>3056</v>
      </c>
      <c r="I1290" s="761" t="s">
        <v>6867</v>
      </c>
      <c r="J1290" s="761">
        <v>0</v>
      </c>
      <c r="K1290" s="746">
        <v>13165.380000000001</v>
      </c>
      <c r="L1290" s="746">
        <v>10790.78</v>
      </c>
      <c r="M1290" s="746">
        <v>2374.6</v>
      </c>
      <c r="N1290" s="493" t="str">
        <f t="shared" si="21"/>
        <v>C397</v>
      </c>
      <c r="O1290" s="493" t="s">
        <v>99</v>
      </c>
      <c r="P1290" s="493" t="s">
        <v>8005</v>
      </c>
    </row>
    <row r="1291" spans="1:65">
      <c r="A1291" s="761" t="s">
        <v>2339</v>
      </c>
      <c r="B1291" s="761" t="s">
        <v>2340</v>
      </c>
      <c r="C1291" s="761" t="s">
        <v>2364</v>
      </c>
      <c r="D1291" s="761">
        <v>8343029</v>
      </c>
      <c r="E1291" s="761" t="s">
        <v>2972</v>
      </c>
      <c r="F1291" s="761">
        <v>131203944</v>
      </c>
      <c r="G1291" s="761" t="s">
        <v>3057</v>
      </c>
      <c r="H1291" s="761" t="s">
        <v>3057</v>
      </c>
      <c r="I1291" s="761" t="s">
        <v>6867</v>
      </c>
      <c r="J1291" s="761">
        <v>0</v>
      </c>
      <c r="K1291" s="746">
        <v>509522.88</v>
      </c>
      <c r="L1291" s="746">
        <v>417621.82</v>
      </c>
      <c r="M1291" s="746">
        <v>91901.06</v>
      </c>
      <c r="N1291" s="493" t="str">
        <f t="shared" si="21"/>
        <v>C397</v>
      </c>
      <c r="O1291" s="493" t="s">
        <v>99</v>
      </c>
      <c r="P1291" s="493" t="s">
        <v>8005</v>
      </c>
    </row>
    <row r="1292" spans="1:65">
      <c r="A1292" s="761" t="s">
        <v>2339</v>
      </c>
      <c r="B1292" s="761" t="s">
        <v>2340</v>
      </c>
      <c r="C1292" s="761" t="s">
        <v>2995</v>
      </c>
      <c r="D1292" s="761">
        <v>8361511</v>
      </c>
      <c r="E1292" s="761" t="s">
        <v>2972</v>
      </c>
      <c r="F1292" s="761">
        <v>131203140</v>
      </c>
      <c r="G1292" s="761" t="s">
        <v>3035</v>
      </c>
      <c r="H1292" s="761" t="s">
        <v>7553</v>
      </c>
      <c r="I1292" s="761" t="s">
        <v>6867</v>
      </c>
      <c r="J1292" s="761">
        <v>38449</v>
      </c>
      <c r="K1292" s="746">
        <v>251406.72</v>
      </c>
      <c r="L1292" s="746">
        <v>206061.27000000002</v>
      </c>
      <c r="M1292" s="746">
        <v>45345.450000000004</v>
      </c>
      <c r="N1292" s="493" t="str">
        <f t="shared" si="21"/>
        <v>C397</v>
      </c>
      <c r="O1292" s="493" t="s">
        <v>99</v>
      </c>
      <c r="P1292" s="493" t="s">
        <v>8005</v>
      </c>
    </row>
    <row r="1293" spans="1:65">
      <c r="A1293" s="761" t="s">
        <v>2339</v>
      </c>
      <c r="B1293" s="761" t="s">
        <v>2340</v>
      </c>
      <c r="C1293" s="761" t="s">
        <v>2995</v>
      </c>
      <c r="D1293" s="761">
        <v>8361514</v>
      </c>
      <c r="E1293" s="761" t="s">
        <v>2972</v>
      </c>
      <c r="F1293" s="761">
        <v>131203140</v>
      </c>
      <c r="G1293" s="761" t="s">
        <v>3035</v>
      </c>
      <c r="H1293" s="761" t="s">
        <v>7553</v>
      </c>
      <c r="I1293" s="761" t="s">
        <v>6867</v>
      </c>
      <c r="J1293" s="761">
        <v>300</v>
      </c>
      <c r="K1293" s="746">
        <v>1961.5900000000001</v>
      </c>
      <c r="L1293" s="746">
        <v>1607.78</v>
      </c>
      <c r="M1293" s="746">
        <v>353.81</v>
      </c>
      <c r="N1293" s="493" t="str">
        <f t="shared" si="21"/>
        <v>C397</v>
      </c>
      <c r="O1293" s="493" t="s">
        <v>99</v>
      </c>
      <c r="P1293" s="493" t="s">
        <v>8005</v>
      </c>
    </row>
    <row r="1294" spans="1:65">
      <c r="A1294" s="761" t="s">
        <v>2339</v>
      </c>
      <c r="B1294" s="761" t="s">
        <v>2340</v>
      </c>
      <c r="C1294" s="761" t="s">
        <v>2447</v>
      </c>
      <c r="D1294" s="761">
        <v>8365551</v>
      </c>
      <c r="E1294" s="761" t="s">
        <v>2972</v>
      </c>
      <c r="F1294" s="761">
        <v>131203540</v>
      </c>
      <c r="G1294" s="761" t="s">
        <v>2454</v>
      </c>
      <c r="H1294" s="761" t="s">
        <v>2454</v>
      </c>
      <c r="I1294" s="761" t="s">
        <v>6867</v>
      </c>
      <c r="J1294" s="761">
        <v>0</v>
      </c>
      <c r="K1294" s="746">
        <v>5894.16</v>
      </c>
      <c r="L1294" s="746">
        <v>4831.05</v>
      </c>
      <c r="M1294" s="746">
        <v>1063.1100000000001</v>
      </c>
      <c r="N1294" s="493" t="str">
        <f t="shared" si="21"/>
        <v>C397</v>
      </c>
      <c r="O1294" s="493" t="s">
        <v>99</v>
      </c>
      <c r="P1294" s="493" t="s">
        <v>8005</v>
      </c>
    </row>
    <row r="1295" spans="1:65" s="763" customFormat="1">
      <c r="A1295" s="761" t="s">
        <v>2339</v>
      </c>
      <c r="B1295" s="761" t="s">
        <v>2340</v>
      </c>
      <c r="C1295" s="761" t="s">
        <v>2447</v>
      </c>
      <c r="D1295" s="761">
        <v>8365554</v>
      </c>
      <c r="E1295" s="761" t="s">
        <v>2972</v>
      </c>
      <c r="F1295" s="761">
        <v>131203540</v>
      </c>
      <c r="G1295" s="761" t="s">
        <v>2454</v>
      </c>
      <c r="H1295" s="761" t="s">
        <v>2454</v>
      </c>
      <c r="I1295" s="761" t="s">
        <v>6867</v>
      </c>
      <c r="J1295" s="761">
        <v>0</v>
      </c>
      <c r="K1295" s="746">
        <v>45.980000000000004</v>
      </c>
      <c r="L1295" s="746">
        <v>37.69</v>
      </c>
      <c r="M1295" s="746">
        <v>8.2900000000000009</v>
      </c>
      <c r="N1295" s="493" t="str">
        <f t="shared" si="21"/>
        <v>C397</v>
      </c>
      <c r="O1295" s="493" t="s">
        <v>99</v>
      </c>
      <c r="P1295" s="493" t="s">
        <v>8005</v>
      </c>
    </row>
    <row r="1296" spans="1:65" s="1690" customFormat="1">
      <c r="A1296" s="761" t="s">
        <v>2339</v>
      </c>
      <c r="B1296" s="761" t="s">
        <v>2340</v>
      </c>
      <c r="C1296" s="761" t="s">
        <v>2365</v>
      </c>
      <c r="D1296" s="761">
        <v>8365555</v>
      </c>
      <c r="E1296" s="761" t="s">
        <v>2972</v>
      </c>
      <c r="F1296" s="761">
        <v>131203460</v>
      </c>
      <c r="G1296" s="761" t="s">
        <v>3050</v>
      </c>
      <c r="H1296" s="761" t="s">
        <v>3050</v>
      </c>
      <c r="I1296" s="761" t="s">
        <v>6867</v>
      </c>
      <c r="J1296" s="761">
        <v>0</v>
      </c>
      <c r="K1296" s="746">
        <v>3773.04</v>
      </c>
      <c r="L1296" s="746">
        <v>3092.51</v>
      </c>
      <c r="M1296" s="746">
        <v>680.53</v>
      </c>
      <c r="N1296" s="493" t="str">
        <f t="shared" si="21"/>
        <v>C397</v>
      </c>
      <c r="O1296" s="493" t="s">
        <v>99</v>
      </c>
      <c r="P1296" s="493" t="s">
        <v>8005</v>
      </c>
      <c r="Q1296" s="761"/>
      <c r="R1296" s="761"/>
      <c r="S1296" s="761"/>
      <c r="T1296" s="761"/>
      <c r="U1296" s="761"/>
      <c r="V1296" s="761"/>
      <c r="W1296" s="761"/>
      <c r="X1296" s="761"/>
      <c r="Y1296" s="761"/>
      <c r="Z1296" s="761"/>
      <c r="AA1296" s="761"/>
      <c r="AB1296" s="761"/>
      <c r="AC1296" s="761"/>
      <c r="AD1296" s="761"/>
      <c r="AE1296" s="761"/>
      <c r="AF1296" s="761"/>
      <c r="AG1296" s="761"/>
      <c r="AH1296" s="761"/>
      <c r="AI1296" s="761"/>
      <c r="AJ1296" s="761"/>
      <c r="AK1296" s="761"/>
      <c r="AL1296" s="761"/>
      <c r="AM1296" s="761"/>
      <c r="AN1296" s="761"/>
      <c r="AO1296" s="761"/>
      <c r="AP1296" s="761"/>
      <c r="AQ1296" s="761"/>
      <c r="AR1296" s="761"/>
      <c r="AS1296" s="761"/>
      <c r="AT1296" s="761"/>
      <c r="AU1296" s="761"/>
      <c r="AV1296" s="761"/>
      <c r="AW1296" s="761"/>
      <c r="AX1296" s="761"/>
      <c r="AY1296" s="761"/>
      <c r="AZ1296" s="761"/>
      <c r="BA1296" s="761"/>
      <c r="BB1296" s="761"/>
      <c r="BC1296" s="761"/>
      <c r="BD1296" s="761"/>
      <c r="BE1296" s="761"/>
      <c r="BF1296" s="761"/>
      <c r="BG1296" s="761"/>
      <c r="BH1296" s="761"/>
      <c r="BI1296" s="761"/>
      <c r="BJ1296" s="761"/>
      <c r="BK1296" s="761"/>
      <c r="BL1296" s="761"/>
      <c r="BM1296" s="761"/>
    </row>
    <row r="1297" spans="1:16">
      <c r="A1297" s="761" t="s">
        <v>2339</v>
      </c>
      <c r="B1297" s="761" t="s">
        <v>2340</v>
      </c>
      <c r="C1297" s="761" t="s">
        <v>2359</v>
      </c>
      <c r="D1297" s="761">
        <v>8504130</v>
      </c>
      <c r="E1297" s="761" t="s">
        <v>2972</v>
      </c>
      <c r="F1297" s="761">
        <v>131203761</v>
      </c>
      <c r="G1297" s="761" t="s">
        <v>3052</v>
      </c>
      <c r="H1297" s="761" t="s">
        <v>7554</v>
      </c>
      <c r="I1297" s="761" t="s">
        <v>6867</v>
      </c>
      <c r="J1297" s="761">
        <v>0</v>
      </c>
      <c r="K1297" s="746">
        <v>39050.200000000004</v>
      </c>
      <c r="L1297" s="746">
        <v>32006.84</v>
      </c>
      <c r="M1297" s="746">
        <v>7043.3600000000006</v>
      </c>
      <c r="N1297" s="493" t="str">
        <f t="shared" ref="N1297:N1360" si="22">LEFT(E1297,4)</f>
        <v>C397</v>
      </c>
      <c r="O1297" s="493" t="s">
        <v>390</v>
      </c>
      <c r="P1297" s="493"/>
    </row>
    <row r="1298" spans="1:16">
      <c r="A1298" s="761" t="s">
        <v>2339</v>
      </c>
      <c r="B1298" s="761" t="s">
        <v>2340</v>
      </c>
      <c r="C1298" s="761" t="s">
        <v>2647</v>
      </c>
      <c r="D1298" s="761">
        <v>8879349</v>
      </c>
      <c r="E1298" s="761" t="s">
        <v>2972</v>
      </c>
      <c r="F1298" s="761">
        <v>131202822</v>
      </c>
      <c r="G1298" s="761" t="s">
        <v>3030</v>
      </c>
      <c r="H1298" s="761" t="s">
        <v>7555</v>
      </c>
      <c r="I1298" s="761" t="s">
        <v>6867</v>
      </c>
      <c r="J1298" s="761">
        <v>0</v>
      </c>
      <c r="K1298" s="746">
        <v>1394299.85</v>
      </c>
      <c r="L1298" s="746">
        <v>1142814.31</v>
      </c>
      <c r="M1298" s="746">
        <v>251485.54</v>
      </c>
      <c r="N1298" s="493" t="str">
        <f t="shared" si="22"/>
        <v>C397</v>
      </c>
      <c r="O1298" s="493" t="s">
        <v>99</v>
      </c>
      <c r="P1298" s="493" t="s">
        <v>8005</v>
      </c>
    </row>
    <row r="1299" spans="1:16">
      <c r="A1299" s="761" t="s">
        <v>2339</v>
      </c>
      <c r="B1299" s="761" t="s">
        <v>2340</v>
      </c>
      <c r="C1299" s="761" t="s">
        <v>2691</v>
      </c>
      <c r="D1299" s="761">
        <v>8938265</v>
      </c>
      <c r="E1299" s="761" t="s">
        <v>2972</v>
      </c>
      <c r="F1299" s="761">
        <v>131203740</v>
      </c>
      <c r="G1299" s="761" t="s">
        <v>3051</v>
      </c>
      <c r="H1299" s="761" t="s">
        <v>3051</v>
      </c>
      <c r="I1299" s="761" t="s">
        <v>6867</v>
      </c>
      <c r="J1299" s="761">
        <v>1</v>
      </c>
      <c r="K1299" s="746">
        <v>14850.17</v>
      </c>
      <c r="L1299" s="746">
        <v>12171.69</v>
      </c>
      <c r="M1299" s="746">
        <v>2678.48</v>
      </c>
      <c r="N1299" s="493" t="str">
        <f t="shared" si="22"/>
        <v>C397</v>
      </c>
      <c r="O1299" s="493" t="s">
        <v>99</v>
      </c>
      <c r="P1299" s="493" t="s">
        <v>8005</v>
      </c>
    </row>
    <row r="1300" spans="1:16">
      <c r="A1300" s="761" t="s">
        <v>2339</v>
      </c>
      <c r="B1300" s="761" t="s">
        <v>2340</v>
      </c>
      <c r="C1300" s="761" t="s">
        <v>2679</v>
      </c>
      <c r="D1300" s="761">
        <v>10045520</v>
      </c>
      <c r="E1300" s="761" t="s">
        <v>2972</v>
      </c>
      <c r="F1300" s="761">
        <v>131102680</v>
      </c>
      <c r="G1300" s="761" t="s">
        <v>2987</v>
      </c>
      <c r="H1300" s="761" t="s">
        <v>2987</v>
      </c>
      <c r="I1300" s="761" t="s">
        <v>6867</v>
      </c>
      <c r="J1300" s="761">
        <v>0</v>
      </c>
      <c r="K1300" s="746">
        <v>363482.15</v>
      </c>
      <c r="L1300" s="746">
        <v>297922</v>
      </c>
      <c r="M1300" s="746">
        <v>65560.149999999994</v>
      </c>
      <c r="N1300" s="493" t="str">
        <f t="shared" si="22"/>
        <v>C397</v>
      </c>
      <c r="O1300" s="493" t="s">
        <v>99</v>
      </c>
      <c r="P1300" s="493" t="s">
        <v>8005</v>
      </c>
    </row>
    <row r="1301" spans="1:16">
      <c r="A1301" s="761" t="s">
        <v>2339</v>
      </c>
      <c r="B1301" s="761" t="s">
        <v>2340</v>
      </c>
      <c r="C1301" s="761" t="s">
        <v>2494</v>
      </c>
      <c r="D1301" s="761">
        <v>23268566</v>
      </c>
      <c r="E1301" s="761" t="s">
        <v>2972</v>
      </c>
      <c r="F1301" s="761">
        <v>131204320</v>
      </c>
      <c r="G1301" s="761" t="s">
        <v>2618</v>
      </c>
      <c r="H1301" s="761" t="s">
        <v>2619</v>
      </c>
      <c r="I1301" s="761" t="s">
        <v>6867</v>
      </c>
      <c r="J1301" s="761">
        <v>0</v>
      </c>
      <c r="K1301" s="746">
        <v>419116.73</v>
      </c>
      <c r="L1301" s="746">
        <v>343521.94</v>
      </c>
      <c r="M1301" s="746">
        <v>75594.790000000008</v>
      </c>
      <c r="N1301" s="493" t="str">
        <f t="shared" si="22"/>
        <v>C397</v>
      </c>
      <c r="O1301" s="493" t="s">
        <v>99</v>
      </c>
      <c r="P1301" s="493" t="s">
        <v>8005</v>
      </c>
    </row>
    <row r="1302" spans="1:16">
      <c r="A1302" s="761" t="s">
        <v>2339</v>
      </c>
      <c r="B1302" s="761" t="s">
        <v>2340</v>
      </c>
      <c r="C1302" s="761" t="s">
        <v>2361</v>
      </c>
      <c r="D1302" s="761">
        <v>9418906</v>
      </c>
      <c r="E1302" s="761" t="s">
        <v>2972</v>
      </c>
      <c r="F1302" s="761">
        <v>131204167</v>
      </c>
      <c r="G1302" s="761" t="s">
        <v>3072</v>
      </c>
      <c r="H1302" s="761" t="s">
        <v>7556</v>
      </c>
      <c r="I1302" s="761" t="s">
        <v>6867</v>
      </c>
      <c r="J1302" s="761">
        <v>0</v>
      </c>
      <c r="K1302" s="746">
        <v>17163.7</v>
      </c>
      <c r="L1302" s="746">
        <v>12332.07</v>
      </c>
      <c r="M1302" s="746">
        <v>4831.63</v>
      </c>
      <c r="N1302" s="493" t="str">
        <f t="shared" si="22"/>
        <v>C397</v>
      </c>
      <c r="O1302" s="493" t="s">
        <v>99</v>
      </c>
      <c r="P1302" s="493" t="s">
        <v>8005</v>
      </c>
    </row>
    <row r="1303" spans="1:16">
      <c r="A1303" s="761" t="s">
        <v>2339</v>
      </c>
      <c r="B1303" s="761" t="s">
        <v>2340</v>
      </c>
      <c r="C1303" s="761" t="s">
        <v>2364</v>
      </c>
      <c r="D1303" s="761">
        <v>9428773</v>
      </c>
      <c r="E1303" s="761" t="s">
        <v>2972</v>
      </c>
      <c r="F1303" s="761">
        <v>131103820</v>
      </c>
      <c r="G1303" s="761" t="s">
        <v>2988</v>
      </c>
      <c r="H1303" s="761" t="s">
        <v>2988</v>
      </c>
      <c r="I1303" s="761" t="s">
        <v>6867</v>
      </c>
      <c r="J1303" s="761">
        <v>1</v>
      </c>
      <c r="K1303" s="746">
        <v>1073774.58</v>
      </c>
      <c r="L1303" s="746">
        <v>771504.02</v>
      </c>
      <c r="M1303" s="746">
        <v>302270.56</v>
      </c>
      <c r="N1303" s="493" t="str">
        <f t="shared" si="22"/>
        <v>C397</v>
      </c>
      <c r="O1303" s="493" t="s">
        <v>99</v>
      </c>
      <c r="P1303" s="493" t="s">
        <v>8005</v>
      </c>
    </row>
    <row r="1304" spans="1:16">
      <c r="A1304" s="761" t="s">
        <v>2339</v>
      </c>
      <c r="B1304" s="761" t="s">
        <v>2340</v>
      </c>
      <c r="C1304" s="761" t="s">
        <v>2360</v>
      </c>
      <c r="D1304" s="761">
        <v>9430994</v>
      </c>
      <c r="E1304" s="761" t="s">
        <v>2972</v>
      </c>
      <c r="F1304" s="761">
        <v>131203861</v>
      </c>
      <c r="G1304" s="761" t="s">
        <v>3055</v>
      </c>
      <c r="H1304" s="761" t="s">
        <v>7557</v>
      </c>
      <c r="I1304" s="761" t="s">
        <v>6867</v>
      </c>
      <c r="J1304" s="761">
        <v>1</v>
      </c>
      <c r="K1304" s="746">
        <v>215596.30000000002</v>
      </c>
      <c r="L1304" s="746">
        <v>176709.86000000002</v>
      </c>
      <c r="M1304" s="746">
        <v>38886.44</v>
      </c>
      <c r="N1304" s="493" t="str">
        <f t="shared" si="22"/>
        <v>C397</v>
      </c>
      <c r="O1304" s="493" t="s">
        <v>390</v>
      </c>
      <c r="P1304" s="493"/>
    </row>
    <row r="1305" spans="1:16">
      <c r="A1305" s="761" t="s">
        <v>2339</v>
      </c>
      <c r="B1305" s="761" t="s">
        <v>2340</v>
      </c>
      <c r="C1305" s="761" t="s">
        <v>2360</v>
      </c>
      <c r="D1305" s="761">
        <v>9430998</v>
      </c>
      <c r="E1305" s="761" t="s">
        <v>2972</v>
      </c>
      <c r="F1305" s="761">
        <v>131203861</v>
      </c>
      <c r="G1305" s="761" t="s">
        <v>3055</v>
      </c>
      <c r="H1305" s="761" t="s">
        <v>7557</v>
      </c>
      <c r="I1305" s="761" t="s">
        <v>6867</v>
      </c>
      <c r="J1305" s="761">
        <v>42360</v>
      </c>
      <c r="K1305" s="746">
        <v>178938.2</v>
      </c>
      <c r="L1305" s="746">
        <v>146663.67000000001</v>
      </c>
      <c r="M1305" s="746">
        <v>32274.530000000002</v>
      </c>
      <c r="N1305" s="493" t="str">
        <f t="shared" si="22"/>
        <v>C397</v>
      </c>
      <c r="O1305" s="493" t="s">
        <v>390</v>
      </c>
      <c r="P1305" s="493"/>
    </row>
    <row r="1306" spans="1:16">
      <c r="A1306" s="761" t="s">
        <v>2339</v>
      </c>
      <c r="B1306" s="761" t="s">
        <v>2340</v>
      </c>
      <c r="C1306" s="761" t="s">
        <v>2360</v>
      </c>
      <c r="D1306" s="761">
        <v>9430999</v>
      </c>
      <c r="E1306" s="761" t="s">
        <v>2972</v>
      </c>
      <c r="F1306" s="761">
        <v>131203861</v>
      </c>
      <c r="G1306" s="761" t="s">
        <v>3055</v>
      </c>
      <c r="H1306" s="761" t="s">
        <v>7557</v>
      </c>
      <c r="I1306" s="761" t="s">
        <v>6867</v>
      </c>
      <c r="J1306" s="761">
        <v>5062</v>
      </c>
      <c r="K1306" s="746">
        <v>21383.08</v>
      </c>
      <c r="L1306" s="746">
        <v>17526.28</v>
      </c>
      <c r="M1306" s="746">
        <v>3856.8</v>
      </c>
      <c r="N1306" s="493" t="str">
        <f t="shared" si="22"/>
        <v>C397</v>
      </c>
      <c r="O1306" s="493" t="s">
        <v>390</v>
      </c>
      <c r="P1306" s="493"/>
    </row>
    <row r="1307" spans="1:16">
      <c r="A1307" s="761" t="s">
        <v>2339</v>
      </c>
      <c r="B1307" s="761" t="s">
        <v>2340</v>
      </c>
      <c r="C1307" s="761" t="s">
        <v>2360</v>
      </c>
      <c r="D1307" s="761">
        <v>9431000</v>
      </c>
      <c r="E1307" s="761" t="s">
        <v>2972</v>
      </c>
      <c r="F1307" s="761">
        <v>131203861</v>
      </c>
      <c r="G1307" s="761" t="s">
        <v>3055</v>
      </c>
      <c r="H1307" s="761" t="s">
        <v>7557</v>
      </c>
      <c r="I1307" s="761" t="s">
        <v>6867</v>
      </c>
      <c r="J1307" s="761">
        <v>1</v>
      </c>
      <c r="K1307" s="746">
        <v>18535.3</v>
      </c>
      <c r="L1307" s="746">
        <v>15192.15</v>
      </c>
      <c r="M1307" s="746">
        <v>3343.15</v>
      </c>
      <c r="N1307" s="493" t="str">
        <f t="shared" si="22"/>
        <v>C397</v>
      </c>
      <c r="O1307" s="493" t="s">
        <v>390</v>
      </c>
      <c r="P1307" s="493"/>
    </row>
    <row r="1308" spans="1:16">
      <c r="A1308" s="761" t="s">
        <v>2339</v>
      </c>
      <c r="B1308" s="761" t="s">
        <v>2340</v>
      </c>
      <c r="C1308" s="761" t="s">
        <v>2449</v>
      </c>
      <c r="D1308" s="761">
        <v>9584910</v>
      </c>
      <c r="E1308" s="761" t="s">
        <v>2972</v>
      </c>
      <c r="F1308" s="761">
        <v>131203320</v>
      </c>
      <c r="G1308" s="761" t="s">
        <v>3038</v>
      </c>
      <c r="H1308" s="761" t="s">
        <v>7558</v>
      </c>
      <c r="I1308" s="761" t="s">
        <v>6867</v>
      </c>
      <c r="J1308" s="761">
        <v>0</v>
      </c>
      <c r="K1308" s="746">
        <v>248525.34</v>
      </c>
      <c r="L1308" s="746">
        <v>178564.76</v>
      </c>
      <c r="M1308" s="746">
        <v>69960.58</v>
      </c>
      <c r="N1308" s="493" t="str">
        <f t="shared" si="22"/>
        <v>C397</v>
      </c>
      <c r="O1308" s="493" t="s">
        <v>99</v>
      </c>
      <c r="P1308" s="493" t="s">
        <v>8005</v>
      </c>
    </row>
    <row r="1309" spans="1:16">
      <c r="A1309" s="761" t="s">
        <v>2339</v>
      </c>
      <c r="B1309" s="761" t="s">
        <v>2340</v>
      </c>
      <c r="C1309" s="761" t="s">
        <v>2517</v>
      </c>
      <c r="D1309" s="761">
        <v>9866469</v>
      </c>
      <c r="E1309" s="761" t="s">
        <v>2972</v>
      </c>
      <c r="F1309" s="761">
        <v>130005232</v>
      </c>
      <c r="G1309" s="761" t="s">
        <v>2978</v>
      </c>
      <c r="H1309" s="761" t="s">
        <v>2978</v>
      </c>
      <c r="I1309" s="761" t="s">
        <v>6867</v>
      </c>
      <c r="J1309" s="761">
        <v>1</v>
      </c>
      <c r="K1309" s="746">
        <v>213513.81</v>
      </c>
      <c r="L1309" s="746">
        <v>153409.07</v>
      </c>
      <c r="M1309" s="746">
        <v>60104.74</v>
      </c>
      <c r="N1309" s="493" t="str">
        <f t="shared" si="22"/>
        <v>C397</v>
      </c>
      <c r="O1309" s="493" t="s">
        <v>99</v>
      </c>
      <c r="P1309" s="493" t="s">
        <v>8005</v>
      </c>
    </row>
    <row r="1310" spans="1:16">
      <c r="A1310" s="761" t="s">
        <v>2339</v>
      </c>
      <c r="B1310" s="761" t="s">
        <v>2340</v>
      </c>
      <c r="C1310" s="761" t="s">
        <v>2476</v>
      </c>
      <c r="D1310" s="761">
        <v>10238324</v>
      </c>
      <c r="E1310" s="761" t="s">
        <v>2972</v>
      </c>
      <c r="F1310" s="761">
        <v>130005229</v>
      </c>
      <c r="G1310" s="761" t="s">
        <v>2977</v>
      </c>
      <c r="H1310" s="761" t="s">
        <v>2977</v>
      </c>
      <c r="I1310" s="761" t="s">
        <v>6867</v>
      </c>
      <c r="J1310" s="761">
        <v>2</v>
      </c>
      <c r="K1310" s="746">
        <v>35038.340000000004</v>
      </c>
      <c r="L1310" s="746">
        <v>25174.95</v>
      </c>
      <c r="M1310" s="746">
        <v>9863.39</v>
      </c>
      <c r="N1310" s="493" t="str">
        <f t="shared" si="22"/>
        <v>C397</v>
      </c>
      <c r="O1310" s="493" t="s">
        <v>99</v>
      </c>
      <c r="P1310" s="493" t="s">
        <v>8005</v>
      </c>
    </row>
    <row r="1311" spans="1:16">
      <c r="A1311" s="761" t="s">
        <v>2339</v>
      </c>
      <c r="B1311" s="761" t="s">
        <v>2340</v>
      </c>
      <c r="C1311" s="761" t="s">
        <v>2696</v>
      </c>
      <c r="D1311" s="761">
        <v>10471779</v>
      </c>
      <c r="E1311" s="761" t="s">
        <v>2972</v>
      </c>
      <c r="F1311" s="761">
        <v>131204260</v>
      </c>
      <c r="G1311" s="761" t="s">
        <v>3075</v>
      </c>
      <c r="H1311" s="761" t="s">
        <v>3075</v>
      </c>
      <c r="I1311" s="761" t="s">
        <v>6867</v>
      </c>
      <c r="J1311" s="761">
        <v>6500</v>
      </c>
      <c r="K1311" s="746">
        <v>284287.35999999999</v>
      </c>
      <c r="L1311" s="746">
        <v>204259.67</v>
      </c>
      <c r="M1311" s="746">
        <v>80027.69</v>
      </c>
      <c r="N1311" s="493" t="str">
        <f t="shared" si="22"/>
        <v>C397</v>
      </c>
      <c r="O1311" s="493" t="s">
        <v>99</v>
      </c>
      <c r="P1311" s="493" t="s">
        <v>8005</v>
      </c>
    </row>
    <row r="1312" spans="1:16">
      <c r="A1312" s="761" t="s">
        <v>2339</v>
      </c>
      <c r="B1312" s="761" t="s">
        <v>2340</v>
      </c>
      <c r="C1312" s="761" t="s">
        <v>3048</v>
      </c>
      <c r="D1312" s="761">
        <v>10529869</v>
      </c>
      <c r="E1312" s="761" t="s">
        <v>2972</v>
      </c>
      <c r="F1312" s="761">
        <v>131203440</v>
      </c>
      <c r="G1312" s="761" t="s">
        <v>3049</v>
      </c>
      <c r="H1312" s="761" t="s">
        <v>3049</v>
      </c>
      <c r="I1312" s="761" t="s">
        <v>6867</v>
      </c>
      <c r="J1312" s="761">
        <v>6000</v>
      </c>
      <c r="K1312" s="746">
        <v>40013.61</v>
      </c>
      <c r="L1312" s="746">
        <v>28749.670000000002</v>
      </c>
      <c r="M1312" s="746">
        <v>11263.94</v>
      </c>
      <c r="N1312" s="493" t="str">
        <f t="shared" si="22"/>
        <v>C397</v>
      </c>
      <c r="O1312" s="493" t="s">
        <v>392</v>
      </c>
      <c r="P1312" s="493"/>
    </row>
    <row r="1313" spans="1:16">
      <c r="A1313" s="761" t="s">
        <v>2339</v>
      </c>
      <c r="B1313" s="761" t="s">
        <v>2340</v>
      </c>
      <c r="C1313" s="761" t="s">
        <v>2517</v>
      </c>
      <c r="D1313" s="761">
        <v>10814770</v>
      </c>
      <c r="E1313" s="761" t="s">
        <v>2972</v>
      </c>
      <c r="F1313" s="761">
        <v>130005922</v>
      </c>
      <c r="G1313" s="761" t="s">
        <v>2979</v>
      </c>
      <c r="H1313" s="761" t="s">
        <v>2979</v>
      </c>
      <c r="I1313" s="761" t="s">
        <v>6867</v>
      </c>
      <c r="J1313" s="761">
        <v>1</v>
      </c>
      <c r="K1313" s="746">
        <v>56086.130000000005</v>
      </c>
      <c r="L1313" s="746">
        <v>40297.730000000003</v>
      </c>
      <c r="M1313" s="746">
        <v>15788.4</v>
      </c>
      <c r="N1313" s="493" t="str">
        <f t="shared" si="22"/>
        <v>C397</v>
      </c>
      <c r="O1313" s="493" t="s">
        <v>99</v>
      </c>
      <c r="P1313" s="493" t="s">
        <v>8005</v>
      </c>
    </row>
    <row r="1314" spans="1:16">
      <c r="A1314" s="761" t="s">
        <v>2339</v>
      </c>
      <c r="B1314" s="761" t="s">
        <v>2340</v>
      </c>
      <c r="C1314" s="761" t="s">
        <v>2647</v>
      </c>
      <c r="D1314" s="761">
        <v>10914044</v>
      </c>
      <c r="E1314" s="761" t="s">
        <v>2972</v>
      </c>
      <c r="F1314" s="761">
        <v>130005232</v>
      </c>
      <c r="G1314" s="761" t="s">
        <v>2978</v>
      </c>
      <c r="H1314" s="761" t="s">
        <v>2978</v>
      </c>
      <c r="I1314" s="761" t="s">
        <v>6867</v>
      </c>
      <c r="J1314" s="761">
        <v>2</v>
      </c>
      <c r="K1314" s="746">
        <v>29556.07</v>
      </c>
      <c r="L1314" s="746">
        <v>21235.95</v>
      </c>
      <c r="M1314" s="746">
        <v>8320.1200000000008</v>
      </c>
      <c r="N1314" s="493" t="str">
        <f t="shared" si="22"/>
        <v>C397</v>
      </c>
      <c r="O1314" s="493" t="s">
        <v>99</v>
      </c>
      <c r="P1314" s="493" t="s">
        <v>8005</v>
      </c>
    </row>
    <row r="1315" spans="1:16">
      <c r="A1315" s="761" t="s">
        <v>2339</v>
      </c>
      <c r="B1315" s="761" t="s">
        <v>2340</v>
      </c>
      <c r="C1315" s="761" t="s">
        <v>2455</v>
      </c>
      <c r="D1315" s="761">
        <v>11406928</v>
      </c>
      <c r="E1315" s="761" t="s">
        <v>2972</v>
      </c>
      <c r="F1315" s="761">
        <v>131204220</v>
      </c>
      <c r="G1315" s="761" t="s">
        <v>3074</v>
      </c>
      <c r="H1315" s="761" t="s">
        <v>7559</v>
      </c>
      <c r="I1315" s="761" t="s">
        <v>6867</v>
      </c>
      <c r="J1315" s="761">
        <v>0</v>
      </c>
      <c r="K1315" s="746">
        <v>14954.92</v>
      </c>
      <c r="L1315" s="746">
        <v>10745.07</v>
      </c>
      <c r="M1315" s="746">
        <v>4209.8500000000004</v>
      </c>
      <c r="N1315" s="493" t="str">
        <f t="shared" si="22"/>
        <v>C397</v>
      </c>
      <c r="O1315" s="493" t="s">
        <v>99</v>
      </c>
      <c r="P1315" s="493" t="s">
        <v>8005</v>
      </c>
    </row>
    <row r="1316" spans="1:16">
      <c r="A1316" s="761" t="s">
        <v>2339</v>
      </c>
      <c r="B1316" s="761" t="s">
        <v>2340</v>
      </c>
      <c r="C1316" s="761" t="s">
        <v>3053</v>
      </c>
      <c r="D1316" s="761">
        <v>11406934</v>
      </c>
      <c r="E1316" s="761" t="s">
        <v>2972</v>
      </c>
      <c r="F1316" s="761">
        <v>131203820</v>
      </c>
      <c r="G1316" s="761" t="s">
        <v>3054</v>
      </c>
      <c r="H1316" s="761" t="s">
        <v>7560</v>
      </c>
      <c r="I1316" s="761" t="s">
        <v>6867</v>
      </c>
      <c r="J1316" s="761">
        <v>1</v>
      </c>
      <c r="K1316" s="746">
        <v>8583.1200000000008</v>
      </c>
      <c r="L1316" s="746">
        <v>6166.95</v>
      </c>
      <c r="M1316" s="746">
        <v>2416.17</v>
      </c>
      <c r="N1316" s="493" t="str">
        <f t="shared" si="22"/>
        <v>C397</v>
      </c>
      <c r="O1316" s="493" t="s">
        <v>99</v>
      </c>
      <c r="P1316" s="493" t="s">
        <v>8005</v>
      </c>
    </row>
    <row r="1317" spans="1:16">
      <c r="A1317" s="761" t="s">
        <v>2339</v>
      </c>
      <c r="B1317" s="761" t="s">
        <v>2340</v>
      </c>
      <c r="C1317" s="761" t="s">
        <v>2497</v>
      </c>
      <c r="D1317" s="761">
        <v>12875856</v>
      </c>
      <c r="E1317" s="761" t="s">
        <v>2972</v>
      </c>
      <c r="F1317" s="761">
        <v>131202240</v>
      </c>
      <c r="G1317" s="761" t="s">
        <v>3020</v>
      </c>
      <c r="H1317" s="761" t="s">
        <v>3020</v>
      </c>
      <c r="I1317" s="761" t="s">
        <v>6867</v>
      </c>
      <c r="J1317" s="761">
        <v>1</v>
      </c>
      <c r="K1317" s="746">
        <v>310959.98</v>
      </c>
      <c r="L1317" s="746">
        <v>290984.55</v>
      </c>
      <c r="M1317" s="746">
        <v>19975.43</v>
      </c>
      <c r="N1317" s="493" t="str">
        <f t="shared" si="22"/>
        <v>C397</v>
      </c>
      <c r="O1317" s="493" t="s">
        <v>99</v>
      </c>
      <c r="P1317" s="493" t="s">
        <v>8005</v>
      </c>
    </row>
    <row r="1318" spans="1:16">
      <c r="A1318" s="761" t="s">
        <v>2339</v>
      </c>
      <c r="B1318" s="761" t="s">
        <v>2340</v>
      </c>
      <c r="C1318" s="761" t="s">
        <v>2647</v>
      </c>
      <c r="D1318" s="761">
        <v>10922698</v>
      </c>
      <c r="E1318" s="761" t="s">
        <v>2972</v>
      </c>
      <c r="F1318" s="761">
        <v>131204584</v>
      </c>
      <c r="G1318" s="761" t="s">
        <v>3076</v>
      </c>
      <c r="H1318" s="761" t="s">
        <v>3076</v>
      </c>
      <c r="I1318" s="761" t="s">
        <v>6867</v>
      </c>
      <c r="J1318" s="761">
        <v>1</v>
      </c>
      <c r="K1318" s="746">
        <v>58829.74</v>
      </c>
      <c r="L1318" s="746">
        <v>37097.47</v>
      </c>
      <c r="M1318" s="746">
        <v>21732.27</v>
      </c>
      <c r="N1318" s="493" t="str">
        <f t="shared" si="22"/>
        <v>C397</v>
      </c>
      <c r="O1318" s="493" t="s">
        <v>99</v>
      </c>
      <c r="P1318" s="493" t="s">
        <v>8005</v>
      </c>
    </row>
    <row r="1319" spans="1:16">
      <c r="A1319" s="761" t="s">
        <v>2339</v>
      </c>
      <c r="B1319" s="761" t="s">
        <v>2340</v>
      </c>
      <c r="C1319" s="761" t="s">
        <v>3015</v>
      </c>
      <c r="D1319" s="761">
        <v>10926227</v>
      </c>
      <c r="E1319" s="761" t="s">
        <v>2972</v>
      </c>
      <c r="F1319" s="761">
        <v>131204587</v>
      </c>
      <c r="G1319" s="761" t="s">
        <v>3077</v>
      </c>
      <c r="H1319" s="761" t="s">
        <v>3077</v>
      </c>
      <c r="I1319" s="761" t="s">
        <v>6867</v>
      </c>
      <c r="J1319" s="761">
        <v>1</v>
      </c>
      <c r="K1319" s="746">
        <v>9139.1</v>
      </c>
      <c r="L1319" s="746">
        <v>6566.42</v>
      </c>
      <c r="M1319" s="746">
        <v>2572.6799999999998</v>
      </c>
      <c r="N1319" s="493" t="str">
        <f t="shared" si="22"/>
        <v>C397</v>
      </c>
      <c r="O1319" s="493" t="s">
        <v>99</v>
      </c>
      <c r="P1319" s="493" t="s">
        <v>8005</v>
      </c>
    </row>
    <row r="1320" spans="1:16">
      <c r="A1320" s="761" t="s">
        <v>2339</v>
      </c>
      <c r="B1320" s="761" t="s">
        <v>2340</v>
      </c>
      <c r="C1320" s="761" t="s">
        <v>2517</v>
      </c>
      <c r="D1320" s="761">
        <v>10954771</v>
      </c>
      <c r="E1320" s="761" t="s">
        <v>2972</v>
      </c>
      <c r="F1320" s="761">
        <v>130006301</v>
      </c>
      <c r="G1320" s="761" t="s">
        <v>2980</v>
      </c>
      <c r="H1320" s="761" t="s">
        <v>7561</v>
      </c>
      <c r="I1320" s="761" t="s">
        <v>6867</v>
      </c>
      <c r="J1320" s="761">
        <v>1</v>
      </c>
      <c r="K1320" s="746">
        <v>9284.2800000000007</v>
      </c>
      <c r="L1320" s="746">
        <v>6670.7300000000005</v>
      </c>
      <c r="M1320" s="746">
        <v>2613.5500000000002</v>
      </c>
      <c r="N1320" s="493" t="str">
        <f t="shared" si="22"/>
        <v>C397</v>
      </c>
      <c r="O1320" s="493" t="s">
        <v>99</v>
      </c>
      <c r="P1320" s="493" t="s">
        <v>8005</v>
      </c>
    </row>
    <row r="1321" spans="1:16">
      <c r="A1321" s="761" t="s">
        <v>2339</v>
      </c>
      <c r="B1321" s="761" t="s">
        <v>2340</v>
      </c>
      <c r="C1321" s="761" t="s">
        <v>2517</v>
      </c>
      <c r="D1321" s="761">
        <v>10980549</v>
      </c>
      <c r="E1321" s="761" t="s">
        <v>2972</v>
      </c>
      <c r="F1321" s="761">
        <v>143000080</v>
      </c>
      <c r="G1321" s="761" t="s">
        <v>3110</v>
      </c>
      <c r="H1321" s="761" t="s">
        <v>3110</v>
      </c>
      <c r="I1321" s="761" t="s">
        <v>6867</v>
      </c>
      <c r="J1321" s="761">
        <v>7</v>
      </c>
      <c r="K1321" s="746">
        <v>640928.22</v>
      </c>
      <c r="L1321" s="746">
        <v>404163.18</v>
      </c>
      <c r="M1321" s="746">
        <v>236765.04</v>
      </c>
      <c r="N1321" s="493" t="str">
        <f t="shared" si="22"/>
        <v>C397</v>
      </c>
      <c r="O1321" s="493" t="s">
        <v>99</v>
      </c>
      <c r="P1321" s="493" t="s">
        <v>8005</v>
      </c>
    </row>
    <row r="1322" spans="1:16">
      <c r="A1322" s="761" t="s">
        <v>2339</v>
      </c>
      <c r="B1322" s="761" t="s">
        <v>2340</v>
      </c>
      <c r="C1322" s="761" t="s">
        <v>2683</v>
      </c>
      <c r="D1322" s="761">
        <v>11088681</v>
      </c>
      <c r="E1322" s="761" t="s">
        <v>2972</v>
      </c>
      <c r="F1322" s="761">
        <v>143000244</v>
      </c>
      <c r="G1322" s="761" t="s">
        <v>3111</v>
      </c>
      <c r="H1322" s="761" t="s">
        <v>7562</v>
      </c>
      <c r="I1322" s="761" t="s">
        <v>6867</v>
      </c>
      <c r="J1322" s="761">
        <v>3</v>
      </c>
      <c r="K1322" s="746">
        <v>19447.2</v>
      </c>
      <c r="L1322" s="746">
        <v>12263.220000000001</v>
      </c>
      <c r="M1322" s="746">
        <v>7183.9800000000005</v>
      </c>
      <c r="N1322" s="493" t="str">
        <f t="shared" si="22"/>
        <v>C397</v>
      </c>
      <c r="O1322" s="493" t="s">
        <v>99</v>
      </c>
      <c r="P1322" s="493" t="s">
        <v>8005</v>
      </c>
    </row>
    <row r="1323" spans="1:16">
      <c r="A1323" s="761" t="s">
        <v>2339</v>
      </c>
      <c r="B1323" s="761" t="s">
        <v>2340</v>
      </c>
      <c r="C1323" s="761" t="s">
        <v>2364</v>
      </c>
      <c r="D1323" s="761">
        <v>11276181</v>
      </c>
      <c r="E1323" s="761" t="s">
        <v>2972</v>
      </c>
      <c r="F1323" s="761">
        <v>143000480</v>
      </c>
      <c r="G1323" s="761" t="s">
        <v>3124</v>
      </c>
      <c r="H1323" s="761" t="s">
        <v>3124</v>
      </c>
      <c r="I1323" s="761" t="s">
        <v>6867</v>
      </c>
      <c r="J1323" s="761">
        <v>1</v>
      </c>
      <c r="K1323" s="746">
        <v>19901.650000000001</v>
      </c>
      <c r="L1323" s="746">
        <v>12549.79</v>
      </c>
      <c r="M1323" s="746">
        <v>7351.8600000000006</v>
      </c>
      <c r="N1323" s="493" t="str">
        <f t="shared" si="22"/>
        <v>C397</v>
      </c>
      <c r="O1323" s="493" t="s">
        <v>99</v>
      </c>
      <c r="P1323" s="493" t="s">
        <v>8005</v>
      </c>
    </row>
    <row r="1324" spans="1:16">
      <c r="A1324" s="761" t="s">
        <v>2339</v>
      </c>
      <c r="B1324" s="761" t="s">
        <v>2340</v>
      </c>
      <c r="C1324" s="761" t="s">
        <v>2366</v>
      </c>
      <c r="D1324" s="761">
        <v>11415213</v>
      </c>
      <c r="E1324" s="761" t="s">
        <v>2972</v>
      </c>
      <c r="F1324" s="761">
        <v>143000080</v>
      </c>
      <c r="G1324" s="761" t="s">
        <v>3110</v>
      </c>
      <c r="H1324" s="761" t="s">
        <v>3110</v>
      </c>
      <c r="I1324" s="761" t="s">
        <v>6867</v>
      </c>
      <c r="J1324" s="761">
        <v>1</v>
      </c>
      <c r="K1324" s="746">
        <v>2865.82</v>
      </c>
      <c r="L1324" s="746">
        <v>1807.16</v>
      </c>
      <c r="M1324" s="746">
        <v>1058.6600000000001</v>
      </c>
      <c r="N1324" s="493" t="str">
        <f t="shared" si="22"/>
        <v>C397</v>
      </c>
      <c r="O1324" s="493" t="s">
        <v>99</v>
      </c>
      <c r="P1324" s="493" t="s">
        <v>8005</v>
      </c>
    </row>
    <row r="1325" spans="1:16">
      <c r="A1325" s="761" t="s">
        <v>2339</v>
      </c>
      <c r="B1325" s="761" t="s">
        <v>2340</v>
      </c>
      <c r="C1325" s="761" t="s">
        <v>2364</v>
      </c>
      <c r="D1325" s="761">
        <v>11853812</v>
      </c>
      <c r="E1325" s="761" t="s">
        <v>2972</v>
      </c>
      <c r="F1325" s="761">
        <v>143000700</v>
      </c>
      <c r="G1325" s="761" t="s">
        <v>3128</v>
      </c>
      <c r="H1325" s="761" t="s">
        <v>7563</v>
      </c>
      <c r="I1325" s="761" t="s">
        <v>6867</v>
      </c>
      <c r="J1325" s="761">
        <v>2</v>
      </c>
      <c r="K1325" s="746">
        <v>69401.73</v>
      </c>
      <c r="L1325" s="746">
        <v>43764.06</v>
      </c>
      <c r="M1325" s="746">
        <v>25637.670000000002</v>
      </c>
      <c r="N1325" s="493" t="str">
        <f t="shared" si="22"/>
        <v>C397</v>
      </c>
      <c r="O1325" s="493" t="s">
        <v>99</v>
      </c>
      <c r="P1325" s="493" t="s">
        <v>8005</v>
      </c>
    </row>
    <row r="1326" spans="1:16">
      <c r="A1326" s="761" t="s">
        <v>2339</v>
      </c>
      <c r="B1326" s="761" t="s">
        <v>2340</v>
      </c>
      <c r="C1326" s="761" t="s">
        <v>2517</v>
      </c>
      <c r="D1326" s="761">
        <v>12621435</v>
      </c>
      <c r="E1326" s="761" t="s">
        <v>2972</v>
      </c>
      <c r="F1326" s="761">
        <v>143000602</v>
      </c>
      <c r="G1326" s="761" t="s">
        <v>3125</v>
      </c>
      <c r="H1326" s="761" t="s">
        <v>7564</v>
      </c>
      <c r="I1326" s="761" t="s">
        <v>6867</v>
      </c>
      <c r="J1326" s="761">
        <v>4</v>
      </c>
      <c r="K1326" s="746">
        <v>49087.91</v>
      </c>
      <c r="L1326" s="746">
        <v>30954.36</v>
      </c>
      <c r="M1326" s="746">
        <v>18133.55</v>
      </c>
      <c r="N1326" s="493" t="str">
        <f t="shared" si="22"/>
        <v>C397</v>
      </c>
      <c r="O1326" s="493" t="s">
        <v>99</v>
      </c>
      <c r="P1326" s="493" t="s">
        <v>8005</v>
      </c>
    </row>
    <row r="1327" spans="1:16">
      <c r="A1327" s="761" t="s">
        <v>2339</v>
      </c>
      <c r="B1327" s="761" t="s">
        <v>2340</v>
      </c>
      <c r="C1327" s="761" t="s">
        <v>3134</v>
      </c>
      <c r="D1327" s="761">
        <v>12650356</v>
      </c>
      <c r="E1327" s="761" t="s">
        <v>2972</v>
      </c>
      <c r="F1327" s="761">
        <v>143001141</v>
      </c>
      <c r="G1327" s="761" t="s">
        <v>3135</v>
      </c>
      <c r="H1327" s="761" t="s">
        <v>3135</v>
      </c>
      <c r="I1327" s="761" t="s">
        <v>6867</v>
      </c>
      <c r="J1327" s="761">
        <v>1</v>
      </c>
      <c r="K1327" s="746">
        <v>26763.23</v>
      </c>
      <c r="L1327" s="746">
        <v>16876.64</v>
      </c>
      <c r="M1327" s="746">
        <v>9886.59</v>
      </c>
      <c r="N1327" s="493" t="str">
        <f t="shared" si="22"/>
        <v>C397</v>
      </c>
      <c r="O1327" s="493" t="s">
        <v>99</v>
      </c>
      <c r="P1327" s="493" t="s">
        <v>8005</v>
      </c>
    </row>
    <row r="1328" spans="1:16">
      <c r="A1328" s="761" t="s">
        <v>2339</v>
      </c>
      <c r="B1328" s="761" t="s">
        <v>2340</v>
      </c>
      <c r="C1328" s="761" t="s">
        <v>2497</v>
      </c>
      <c r="D1328" s="761">
        <v>13247952</v>
      </c>
      <c r="E1328" s="761" t="s">
        <v>2972</v>
      </c>
      <c r="F1328" s="761">
        <v>131204880</v>
      </c>
      <c r="G1328" s="761" t="s">
        <v>3098</v>
      </c>
      <c r="H1328" s="761" t="s">
        <v>3098</v>
      </c>
      <c r="I1328" s="761" t="s">
        <v>6867</v>
      </c>
      <c r="J1328" s="761">
        <v>1</v>
      </c>
      <c r="K1328" s="746">
        <v>57696.3</v>
      </c>
      <c r="L1328" s="746">
        <v>36382.730000000003</v>
      </c>
      <c r="M1328" s="746">
        <v>21313.57</v>
      </c>
      <c r="N1328" s="493" t="str">
        <f t="shared" si="22"/>
        <v>C397</v>
      </c>
      <c r="O1328" s="493" t="s">
        <v>99</v>
      </c>
      <c r="P1328" s="493" t="s">
        <v>8005</v>
      </c>
    </row>
    <row r="1329" spans="1:16">
      <c r="A1329" s="761" t="s">
        <v>2339</v>
      </c>
      <c r="B1329" s="761" t="s">
        <v>2340</v>
      </c>
      <c r="C1329" s="761" t="s">
        <v>2364</v>
      </c>
      <c r="D1329" s="761">
        <v>14449284</v>
      </c>
      <c r="E1329" s="761" t="s">
        <v>2972</v>
      </c>
      <c r="F1329" s="761">
        <v>141000540</v>
      </c>
      <c r="G1329" s="761" t="s">
        <v>3103</v>
      </c>
      <c r="H1329" s="761" t="s">
        <v>3103</v>
      </c>
      <c r="I1329" s="761" t="s">
        <v>6867</v>
      </c>
      <c r="J1329" s="761">
        <v>2</v>
      </c>
      <c r="K1329" s="746">
        <v>61316.79</v>
      </c>
      <c r="L1329" s="746">
        <v>38665.78</v>
      </c>
      <c r="M1329" s="746">
        <v>22651.010000000002</v>
      </c>
      <c r="N1329" s="493" t="str">
        <f t="shared" si="22"/>
        <v>C397</v>
      </c>
      <c r="O1329" s="493" t="s">
        <v>99</v>
      </c>
      <c r="P1329" s="493" t="s">
        <v>8005</v>
      </c>
    </row>
    <row r="1330" spans="1:16">
      <c r="A1330" s="761" t="s">
        <v>2339</v>
      </c>
      <c r="B1330" s="761" t="s">
        <v>2340</v>
      </c>
      <c r="C1330" s="761" t="s">
        <v>2517</v>
      </c>
      <c r="D1330" s="761">
        <v>19642155</v>
      </c>
      <c r="E1330" s="761" t="s">
        <v>2972</v>
      </c>
      <c r="F1330" s="761">
        <v>143000641</v>
      </c>
      <c r="G1330" s="761" t="s">
        <v>3126</v>
      </c>
      <c r="H1330" s="761" t="s">
        <v>7565</v>
      </c>
      <c r="I1330" s="761" t="s">
        <v>6867</v>
      </c>
      <c r="J1330" s="761">
        <v>3</v>
      </c>
      <c r="K1330" s="746">
        <v>73796.350000000006</v>
      </c>
      <c r="L1330" s="746">
        <v>46535.270000000004</v>
      </c>
      <c r="M1330" s="746">
        <v>27261.08</v>
      </c>
      <c r="N1330" s="493" t="str">
        <f t="shared" si="22"/>
        <v>C397</v>
      </c>
      <c r="O1330" s="493" t="s">
        <v>99</v>
      </c>
      <c r="P1330" s="493" t="s">
        <v>8005</v>
      </c>
    </row>
    <row r="1331" spans="1:16">
      <c r="A1331" s="761" t="s">
        <v>2339</v>
      </c>
      <c r="B1331" s="761" t="s">
        <v>2340</v>
      </c>
      <c r="C1331" s="761" t="s">
        <v>2494</v>
      </c>
      <c r="D1331" s="761">
        <v>23268577</v>
      </c>
      <c r="E1331" s="761" t="s">
        <v>2972</v>
      </c>
      <c r="F1331" s="761">
        <v>131204880</v>
      </c>
      <c r="G1331" s="761" t="s">
        <v>3098</v>
      </c>
      <c r="H1331" s="761" t="s">
        <v>3098</v>
      </c>
      <c r="I1331" s="761" t="s">
        <v>6867</v>
      </c>
      <c r="J1331" s="761">
        <v>1</v>
      </c>
      <c r="K1331" s="746">
        <v>60051.590000000004</v>
      </c>
      <c r="L1331" s="746">
        <v>37867.96</v>
      </c>
      <c r="M1331" s="746">
        <v>22183.63</v>
      </c>
      <c r="N1331" s="493" t="str">
        <f t="shared" si="22"/>
        <v>C397</v>
      </c>
      <c r="O1331" s="493" t="s">
        <v>99</v>
      </c>
      <c r="P1331" s="493" t="s">
        <v>8005</v>
      </c>
    </row>
    <row r="1332" spans="1:16">
      <c r="A1332" s="761" t="s">
        <v>2339</v>
      </c>
      <c r="B1332" s="761" t="s">
        <v>2340</v>
      </c>
      <c r="C1332" s="761" t="s">
        <v>2995</v>
      </c>
      <c r="D1332" s="761">
        <v>13911612</v>
      </c>
      <c r="E1332" s="761" t="s">
        <v>2972</v>
      </c>
      <c r="F1332" s="761">
        <v>131104105</v>
      </c>
      <c r="G1332" s="761" t="s">
        <v>2996</v>
      </c>
      <c r="H1332" s="761" t="s">
        <v>7566</v>
      </c>
      <c r="I1332" s="761" t="s">
        <v>6867</v>
      </c>
      <c r="J1332" s="761">
        <v>2</v>
      </c>
      <c r="K1332" s="746">
        <v>307213.28999999998</v>
      </c>
      <c r="L1332" s="746">
        <v>170241.9</v>
      </c>
      <c r="M1332" s="746">
        <v>136971.39000000001</v>
      </c>
      <c r="N1332" s="493" t="str">
        <f t="shared" si="22"/>
        <v>C397</v>
      </c>
      <c r="O1332" s="493" t="s">
        <v>99</v>
      </c>
      <c r="P1332" s="493" t="s">
        <v>8005</v>
      </c>
    </row>
    <row r="1333" spans="1:16">
      <c r="A1333" s="761" t="s">
        <v>2339</v>
      </c>
      <c r="B1333" s="761" t="s">
        <v>2340</v>
      </c>
      <c r="C1333" s="761" t="s">
        <v>2497</v>
      </c>
      <c r="D1333" s="761">
        <v>13960131</v>
      </c>
      <c r="E1333" s="761" t="s">
        <v>2972</v>
      </c>
      <c r="F1333" s="761">
        <v>131204820</v>
      </c>
      <c r="G1333" s="761" t="s">
        <v>3097</v>
      </c>
      <c r="H1333" s="761" t="s">
        <v>3097</v>
      </c>
      <c r="I1333" s="761" t="s">
        <v>6867</v>
      </c>
      <c r="J1333" s="761">
        <v>3</v>
      </c>
      <c r="K1333" s="746">
        <v>344514.25</v>
      </c>
      <c r="L1333" s="746">
        <v>190912.18</v>
      </c>
      <c r="M1333" s="746">
        <v>153602.07</v>
      </c>
      <c r="N1333" s="493" t="str">
        <f t="shared" si="22"/>
        <v>C397</v>
      </c>
      <c r="O1333" s="493" t="s">
        <v>99</v>
      </c>
      <c r="P1333" s="493" t="s">
        <v>8005</v>
      </c>
    </row>
    <row r="1334" spans="1:16">
      <c r="A1334" s="761" t="s">
        <v>2339</v>
      </c>
      <c r="B1334" s="761" t="s">
        <v>2340</v>
      </c>
      <c r="C1334" s="761" t="s">
        <v>3039</v>
      </c>
      <c r="D1334" s="761">
        <v>14449278</v>
      </c>
      <c r="E1334" s="761" t="s">
        <v>2972</v>
      </c>
      <c r="F1334" s="761">
        <v>131203420</v>
      </c>
      <c r="G1334" s="761" t="s">
        <v>3040</v>
      </c>
      <c r="H1334" s="761" t="s">
        <v>7567</v>
      </c>
      <c r="I1334" s="761" t="s">
        <v>6867</v>
      </c>
      <c r="J1334" s="761">
        <v>1</v>
      </c>
      <c r="K1334" s="746">
        <v>45075.950000000004</v>
      </c>
      <c r="L1334" s="746">
        <v>28424.46</v>
      </c>
      <c r="M1334" s="746">
        <v>16651.490000000002</v>
      </c>
      <c r="N1334" s="493" t="str">
        <f t="shared" si="22"/>
        <v>C397</v>
      </c>
      <c r="O1334" s="493" t="s">
        <v>99</v>
      </c>
      <c r="P1334" s="493" t="s">
        <v>8005</v>
      </c>
    </row>
    <row r="1335" spans="1:16">
      <c r="A1335" s="761" t="s">
        <v>2339</v>
      </c>
      <c r="B1335" s="761" t="s">
        <v>2340</v>
      </c>
      <c r="C1335" s="761" t="s">
        <v>2497</v>
      </c>
      <c r="D1335" s="761">
        <v>14449281</v>
      </c>
      <c r="E1335" s="761" t="s">
        <v>2972</v>
      </c>
      <c r="F1335" s="761">
        <v>131203420</v>
      </c>
      <c r="G1335" s="761" t="s">
        <v>3040</v>
      </c>
      <c r="H1335" s="761" t="s">
        <v>7567</v>
      </c>
      <c r="I1335" s="761" t="s">
        <v>6867</v>
      </c>
      <c r="J1335" s="761">
        <v>1</v>
      </c>
      <c r="K1335" s="746">
        <v>45075.950000000004</v>
      </c>
      <c r="L1335" s="746">
        <v>28424.46</v>
      </c>
      <c r="M1335" s="746">
        <v>16651.490000000002</v>
      </c>
      <c r="N1335" s="493" t="str">
        <f t="shared" si="22"/>
        <v>C397</v>
      </c>
      <c r="O1335" s="493" t="s">
        <v>99</v>
      </c>
      <c r="P1335" s="493" t="s">
        <v>8005</v>
      </c>
    </row>
    <row r="1336" spans="1:16">
      <c r="A1336" s="761" t="s">
        <v>2339</v>
      </c>
      <c r="B1336" s="761" t="s">
        <v>2340</v>
      </c>
      <c r="C1336" s="761" t="s">
        <v>2712</v>
      </c>
      <c r="D1336" s="761">
        <v>14449290</v>
      </c>
      <c r="E1336" s="761" t="s">
        <v>2972</v>
      </c>
      <c r="F1336" s="761">
        <v>131203420</v>
      </c>
      <c r="G1336" s="761" t="s">
        <v>3040</v>
      </c>
      <c r="H1336" s="761" t="s">
        <v>7567</v>
      </c>
      <c r="I1336" s="761" t="s">
        <v>6867</v>
      </c>
      <c r="J1336" s="761">
        <v>1</v>
      </c>
      <c r="K1336" s="746">
        <v>45075.950000000004</v>
      </c>
      <c r="L1336" s="746">
        <v>28424.46</v>
      </c>
      <c r="M1336" s="746">
        <v>16651.490000000002</v>
      </c>
      <c r="N1336" s="493" t="str">
        <f t="shared" si="22"/>
        <v>C397</v>
      </c>
      <c r="O1336" s="493" t="s">
        <v>390</v>
      </c>
      <c r="P1336" s="493"/>
    </row>
    <row r="1337" spans="1:16">
      <c r="A1337" s="761" t="s">
        <v>2339</v>
      </c>
      <c r="B1337" s="761" t="s">
        <v>2340</v>
      </c>
      <c r="C1337" s="761" t="s">
        <v>2683</v>
      </c>
      <c r="D1337" s="761">
        <v>14449296</v>
      </c>
      <c r="E1337" s="761" t="s">
        <v>2972</v>
      </c>
      <c r="F1337" s="761">
        <v>131203420</v>
      </c>
      <c r="G1337" s="761" t="s">
        <v>3040</v>
      </c>
      <c r="H1337" s="761" t="s">
        <v>7567</v>
      </c>
      <c r="I1337" s="761" t="s">
        <v>6867</v>
      </c>
      <c r="J1337" s="761">
        <v>1</v>
      </c>
      <c r="K1337" s="746">
        <v>45075.950000000004</v>
      </c>
      <c r="L1337" s="746">
        <v>28424.46</v>
      </c>
      <c r="M1337" s="746">
        <v>16651.490000000002</v>
      </c>
      <c r="N1337" s="493" t="str">
        <f t="shared" si="22"/>
        <v>C397</v>
      </c>
      <c r="O1337" s="493" t="s">
        <v>99</v>
      </c>
      <c r="P1337" s="493" t="s">
        <v>8005</v>
      </c>
    </row>
    <row r="1338" spans="1:16">
      <c r="A1338" s="761" t="s">
        <v>2339</v>
      </c>
      <c r="B1338" s="761" t="s">
        <v>2340</v>
      </c>
      <c r="C1338" s="761" t="s">
        <v>2356</v>
      </c>
      <c r="D1338" s="761">
        <v>14449299</v>
      </c>
      <c r="E1338" s="761" t="s">
        <v>2972</v>
      </c>
      <c r="F1338" s="761">
        <v>131203420</v>
      </c>
      <c r="G1338" s="761" t="s">
        <v>3040</v>
      </c>
      <c r="H1338" s="761" t="s">
        <v>7567</v>
      </c>
      <c r="I1338" s="761" t="s">
        <v>6867</v>
      </c>
      <c r="J1338" s="761">
        <v>1</v>
      </c>
      <c r="K1338" s="746">
        <v>45075.950000000004</v>
      </c>
      <c r="L1338" s="746">
        <v>28424.46</v>
      </c>
      <c r="M1338" s="746">
        <v>16651.490000000002</v>
      </c>
      <c r="N1338" s="493" t="str">
        <f t="shared" si="22"/>
        <v>C397</v>
      </c>
      <c r="O1338" s="493" t="s">
        <v>390</v>
      </c>
      <c r="P1338" s="493"/>
    </row>
    <row r="1339" spans="1:16" s="763" customFormat="1">
      <c r="A1339" s="761" t="s">
        <v>2339</v>
      </c>
      <c r="B1339" s="761" t="s">
        <v>2340</v>
      </c>
      <c r="C1339" s="761" t="s">
        <v>3041</v>
      </c>
      <c r="D1339" s="761">
        <v>14449302</v>
      </c>
      <c r="E1339" s="761" t="s">
        <v>2972</v>
      </c>
      <c r="F1339" s="761">
        <v>131203420</v>
      </c>
      <c r="G1339" s="761" t="s">
        <v>3040</v>
      </c>
      <c r="H1339" s="761" t="s">
        <v>7567</v>
      </c>
      <c r="I1339" s="761" t="s">
        <v>6867</v>
      </c>
      <c r="J1339" s="761">
        <v>1</v>
      </c>
      <c r="K1339" s="746">
        <v>45075.950000000004</v>
      </c>
      <c r="L1339" s="746">
        <v>28424.46</v>
      </c>
      <c r="M1339" s="746">
        <v>16651.490000000002</v>
      </c>
      <c r="N1339" s="493" t="str">
        <f t="shared" si="22"/>
        <v>C397</v>
      </c>
      <c r="O1339" s="493" t="s">
        <v>390</v>
      </c>
      <c r="P1339" s="493"/>
    </row>
    <row r="1340" spans="1:16">
      <c r="A1340" s="761" t="s">
        <v>2339</v>
      </c>
      <c r="B1340" s="761" t="s">
        <v>2340</v>
      </c>
      <c r="C1340" s="761" t="s">
        <v>2696</v>
      </c>
      <c r="D1340" s="761">
        <v>14449305</v>
      </c>
      <c r="E1340" s="761" t="s">
        <v>2972</v>
      </c>
      <c r="F1340" s="761">
        <v>131203420</v>
      </c>
      <c r="G1340" s="761" t="s">
        <v>3040</v>
      </c>
      <c r="H1340" s="761" t="s">
        <v>7567</v>
      </c>
      <c r="I1340" s="761" t="s">
        <v>6867</v>
      </c>
      <c r="J1340" s="761">
        <v>1</v>
      </c>
      <c r="K1340" s="746">
        <v>45075.950000000004</v>
      </c>
      <c r="L1340" s="746">
        <v>28424.46</v>
      </c>
      <c r="M1340" s="746">
        <v>16651.490000000002</v>
      </c>
      <c r="N1340" s="493" t="str">
        <f t="shared" si="22"/>
        <v>C397</v>
      </c>
      <c r="O1340" s="493" t="s">
        <v>99</v>
      </c>
      <c r="P1340" s="493" t="s">
        <v>8005</v>
      </c>
    </row>
    <row r="1341" spans="1:16">
      <c r="A1341" s="761" t="s">
        <v>2339</v>
      </c>
      <c r="B1341" s="761" t="s">
        <v>2340</v>
      </c>
      <c r="C1341" s="761" t="s">
        <v>3042</v>
      </c>
      <c r="D1341" s="761">
        <v>14449308</v>
      </c>
      <c r="E1341" s="761" t="s">
        <v>2972</v>
      </c>
      <c r="F1341" s="761">
        <v>131203420</v>
      </c>
      <c r="G1341" s="761" t="s">
        <v>3040</v>
      </c>
      <c r="H1341" s="761" t="s">
        <v>7567</v>
      </c>
      <c r="I1341" s="761" t="s">
        <v>6867</v>
      </c>
      <c r="J1341" s="761">
        <v>1</v>
      </c>
      <c r="K1341" s="746">
        <v>31075.95</v>
      </c>
      <c r="L1341" s="746">
        <v>19596.2</v>
      </c>
      <c r="M1341" s="746">
        <v>11479.75</v>
      </c>
      <c r="N1341" s="493" t="str">
        <f t="shared" si="22"/>
        <v>C397</v>
      </c>
      <c r="O1341" s="493" t="s">
        <v>99</v>
      </c>
      <c r="P1341" s="493" t="s">
        <v>8005</v>
      </c>
    </row>
    <row r="1342" spans="1:16">
      <c r="A1342" s="761" t="s">
        <v>2339</v>
      </c>
      <c r="B1342" s="761" t="s">
        <v>2340</v>
      </c>
      <c r="C1342" s="761" t="s">
        <v>3043</v>
      </c>
      <c r="D1342" s="761">
        <v>14449314</v>
      </c>
      <c r="E1342" s="761" t="s">
        <v>2972</v>
      </c>
      <c r="F1342" s="761">
        <v>131203420</v>
      </c>
      <c r="G1342" s="761" t="s">
        <v>3040</v>
      </c>
      <c r="H1342" s="761" t="s">
        <v>7567</v>
      </c>
      <c r="I1342" s="761" t="s">
        <v>6867</v>
      </c>
      <c r="J1342" s="761">
        <v>1</v>
      </c>
      <c r="K1342" s="746">
        <v>45075.950000000004</v>
      </c>
      <c r="L1342" s="746">
        <v>28424.46</v>
      </c>
      <c r="M1342" s="746">
        <v>16651.490000000002</v>
      </c>
      <c r="N1342" s="493" t="str">
        <f t="shared" si="22"/>
        <v>C397</v>
      </c>
      <c r="O1342" s="493" t="s">
        <v>99</v>
      </c>
      <c r="P1342" s="493" t="s">
        <v>8005</v>
      </c>
    </row>
    <row r="1343" spans="1:16">
      <c r="A1343" s="761" t="s">
        <v>2339</v>
      </c>
      <c r="B1343" s="761" t="s">
        <v>2340</v>
      </c>
      <c r="C1343" s="761" t="s">
        <v>3021</v>
      </c>
      <c r="D1343" s="761">
        <v>14538250</v>
      </c>
      <c r="E1343" s="761" t="s">
        <v>2972</v>
      </c>
      <c r="F1343" s="761">
        <v>131203981</v>
      </c>
      <c r="G1343" s="761" t="s">
        <v>3058</v>
      </c>
      <c r="H1343" s="761" t="s">
        <v>3058</v>
      </c>
      <c r="I1343" s="761" t="s">
        <v>6867</v>
      </c>
      <c r="J1343" s="761">
        <v>1</v>
      </c>
      <c r="K1343" s="746">
        <v>94164.41</v>
      </c>
      <c r="L1343" s="746">
        <v>52181.1</v>
      </c>
      <c r="M1343" s="746">
        <v>41983.31</v>
      </c>
      <c r="N1343" s="493" t="str">
        <f t="shared" si="22"/>
        <v>C397</v>
      </c>
      <c r="O1343" s="493" t="s">
        <v>99</v>
      </c>
      <c r="P1343" s="493" t="s">
        <v>8005</v>
      </c>
    </row>
    <row r="1344" spans="1:16">
      <c r="A1344" s="761" t="s">
        <v>2339</v>
      </c>
      <c r="B1344" s="761" t="s">
        <v>2340</v>
      </c>
      <c r="C1344" s="761" t="s">
        <v>2460</v>
      </c>
      <c r="D1344" s="761">
        <v>14538253</v>
      </c>
      <c r="E1344" s="761" t="s">
        <v>2972</v>
      </c>
      <c r="F1344" s="761">
        <v>141002077</v>
      </c>
      <c r="G1344" s="761" t="s">
        <v>3105</v>
      </c>
      <c r="H1344" s="761" t="s">
        <v>7568</v>
      </c>
      <c r="I1344" s="761" t="s">
        <v>6867</v>
      </c>
      <c r="J1344" s="761">
        <v>2</v>
      </c>
      <c r="K1344" s="746">
        <v>288531.65000000002</v>
      </c>
      <c r="L1344" s="746">
        <v>159889.49</v>
      </c>
      <c r="M1344" s="746">
        <v>128642.16</v>
      </c>
      <c r="N1344" s="493" t="str">
        <f t="shared" si="22"/>
        <v>C397</v>
      </c>
      <c r="O1344" s="493" t="s">
        <v>99</v>
      </c>
      <c r="P1344" s="493" t="s">
        <v>8005</v>
      </c>
    </row>
    <row r="1345" spans="1:16">
      <c r="A1345" s="761" t="s">
        <v>2339</v>
      </c>
      <c r="B1345" s="761" t="s">
        <v>2340</v>
      </c>
      <c r="C1345" s="761" t="s">
        <v>3015</v>
      </c>
      <c r="D1345" s="761">
        <v>14538256</v>
      </c>
      <c r="E1345" s="761" t="s">
        <v>2972</v>
      </c>
      <c r="F1345" s="761">
        <v>131203985</v>
      </c>
      <c r="G1345" s="761" t="s">
        <v>3059</v>
      </c>
      <c r="H1345" s="761" t="s">
        <v>3059</v>
      </c>
      <c r="I1345" s="761" t="s">
        <v>6867</v>
      </c>
      <c r="J1345" s="761">
        <v>1</v>
      </c>
      <c r="K1345" s="746">
        <v>167174.88</v>
      </c>
      <c r="L1345" s="746">
        <v>92639.77</v>
      </c>
      <c r="M1345" s="746">
        <v>74535.11</v>
      </c>
      <c r="N1345" s="493" t="str">
        <f t="shared" si="22"/>
        <v>C397</v>
      </c>
      <c r="O1345" s="493" t="s">
        <v>99</v>
      </c>
      <c r="P1345" s="493" t="s">
        <v>8005</v>
      </c>
    </row>
    <row r="1346" spans="1:16">
      <c r="A1346" s="761" t="s">
        <v>2339</v>
      </c>
      <c r="B1346" s="761" t="s">
        <v>2340</v>
      </c>
      <c r="C1346" s="761" t="s">
        <v>2360</v>
      </c>
      <c r="D1346" s="761">
        <v>14538262</v>
      </c>
      <c r="E1346" s="761" t="s">
        <v>2972</v>
      </c>
      <c r="F1346" s="761">
        <v>131203988</v>
      </c>
      <c r="G1346" s="761" t="s">
        <v>3060</v>
      </c>
      <c r="H1346" s="761" t="s">
        <v>3060</v>
      </c>
      <c r="I1346" s="761" t="s">
        <v>6867</v>
      </c>
      <c r="J1346" s="761">
        <v>1</v>
      </c>
      <c r="K1346" s="746">
        <v>77722.900000000009</v>
      </c>
      <c r="L1346" s="746">
        <v>43070.06</v>
      </c>
      <c r="M1346" s="746">
        <v>34652.840000000004</v>
      </c>
      <c r="N1346" s="493" t="str">
        <f t="shared" si="22"/>
        <v>C397</v>
      </c>
      <c r="O1346" s="493" t="s">
        <v>390</v>
      </c>
      <c r="P1346" s="493"/>
    </row>
    <row r="1347" spans="1:16">
      <c r="A1347" s="761" t="s">
        <v>2339</v>
      </c>
      <c r="B1347" s="761" t="s">
        <v>2340</v>
      </c>
      <c r="C1347" s="761" t="s">
        <v>2367</v>
      </c>
      <c r="D1347" s="761">
        <v>14538270</v>
      </c>
      <c r="E1347" s="761" t="s">
        <v>2972</v>
      </c>
      <c r="F1347" s="761">
        <v>131104542</v>
      </c>
      <c r="G1347" s="761" t="s">
        <v>3011</v>
      </c>
      <c r="H1347" s="761" t="s">
        <v>7569</v>
      </c>
      <c r="I1347" s="761" t="s">
        <v>6867</v>
      </c>
      <c r="J1347" s="761">
        <v>3</v>
      </c>
      <c r="K1347" s="746">
        <v>55435.43</v>
      </c>
      <c r="L1347" s="746">
        <v>30719.48</v>
      </c>
      <c r="M1347" s="746">
        <v>24715.95</v>
      </c>
      <c r="N1347" s="493" t="str">
        <f t="shared" si="22"/>
        <v>C397</v>
      </c>
      <c r="O1347" s="493" t="s">
        <v>390</v>
      </c>
      <c r="P1347" s="493"/>
    </row>
    <row r="1348" spans="1:16">
      <c r="A1348" s="761" t="s">
        <v>2339</v>
      </c>
      <c r="B1348" s="761" t="s">
        <v>2340</v>
      </c>
      <c r="C1348" s="761" t="s">
        <v>2366</v>
      </c>
      <c r="D1348" s="761">
        <v>14538282</v>
      </c>
      <c r="E1348" s="761" t="s">
        <v>2972</v>
      </c>
      <c r="F1348" s="761">
        <v>131204149</v>
      </c>
      <c r="G1348" s="761" t="s">
        <v>3067</v>
      </c>
      <c r="H1348" s="761" t="s">
        <v>3067</v>
      </c>
      <c r="I1348" s="761" t="s">
        <v>6867</v>
      </c>
      <c r="J1348" s="761">
        <v>1</v>
      </c>
      <c r="K1348" s="746">
        <v>128014.85</v>
      </c>
      <c r="L1348" s="746">
        <v>70939.28</v>
      </c>
      <c r="M1348" s="746">
        <v>57075.57</v>
      </c>
      <c r="N1348" s="493" t="str">
        <f t="shared" si="22"/>
        <v>C397</v>
      </c>
      <c r="O1348" s="493" t="s">
        <v>99</v>
      </c>
      <c r="P1348" s="493" t="s">
        <v>8005</v>
      </c>
    </row>
    <row r="1349" spans="1:16">
      <c r="A1349" s="761" t="s">
        <v>2339</v>
      </c>
      <c r="B1349" s="761" t="s">
        <v>2340</v>
      </c>
      <c r="C1349" s="761" t="s">
        <v>2356</v>
      </c>
      <c r="D1349" s="761">
        <v>14538285</v>
      </c>
      <c r="E1349" s="761" t="s">
        <v>2972</v>
      </c>
      <c r="F1349" s="761">
        <v>131204150</v>
      </c>
      <c r="G1349" s="761" t="s">
        <v>3068</v>
      </c>
      <c r="H1349" s="761" t="s">
        <v>3068</v>
      </c>
      <c r="I1349" s="761" t="s">
        <v>6867</v>
      </c>
      <c r="J1349" s="761">
        <v>1</v>
      </c>
      <c r="K1349" s="746">
        <v>100568.68000000001</v>
      </c>
      <c r="L1349" s="746">
        <v>55730.020000000004</v>
      </c>
      <c r="M1349" s="746">
        <v>44838.66</v>
      </c>
      <c r="N1349" s="493" t="str">
        <f t="shared" si="22"/>
        <v>C397</v>
      </c>
      <c r="O1349" s="493" t="s">
        <v>390</v>
      </c>
      <c r="P1349" s="493"/>
    </row>
    <row r="1350" spans="1:16">
      <c r="A1350" s="761" t="s">
        <v>2339</v>
      </c>
      <c r="B1350" s="761" t="s">
        <v>2340</v>
      </c>
      <c r="C1350" s="761" t="s">
        <v>2449</v>
      </c>
      <c r="D1350" s="761">
        <v>14538288</v>
      </c>
      <c r="E1350" s="761" t="s">
        <v>2972</v>
      </c>
      <c r="F1350" s="761">
        <v>131204151</v>
      </c>
      <c r="G1350" s="761" t="s">
        <v>3069</v>
      </c>
      <c r="H1350" s="761" t="s">
        <v>3069</v>
      </c>
      <c r="I1350" s="761" t="s">
        <v>6867</v>
      </c>
      <c r="J1350" s="761">
        <v>1</v>
      </c>
      <c r="K1350" s="746">
        <v>98612.680000000008</v>
      </c>
      <c r="L1350" s="746">
        <v>54646.11</v>
      </c>
      <c r="M1350" s="746">
        <v>43966.57</v>
      </c>
      <c r="N1350" s="493" t="str">
        <f t="shared" si="22"/>
        <v>C397</v>
      </c>
      <c r="O1350" s="493" t="s">
        <v>99</v>
      </c>
      <c r="P1350" s="493" t="s">
        <v>8005</v>
      </c>
    </row>
    <row r="1351" spans="1:16">
      <c r="A1351" s="761" t="s">
        <v>2339</v>
      </c>
      <c r="B1351" s="761" t="s">
        <v>2340</v>
      </c>
      <c r="C1351" s="761" t="s">
        <v>2362</v>
      </c>
      <c r="D1351" s="761">
        <v>14538291</v>
      </c>
      <c r="E1351" s="761" t="s">
        <v>2972</v>
      </c>
      <c r="F1351" s="761">
        <v>131204152</v>
      </c>
      <c r="G1351" s="761" t="s">
        <v>3070</v>
      </c>
      <c r="H1351" s="761" t="s">
        <v>3070</v>
      </c>
      <c r="I1351" s="761" t="s">
        <v>6867</v>
      </c>
      <c r="J1351" s="761">
        <v>1</v>
      </c>
      <c r="K1351" s="746">
        <v>11150.42</v>
      </c>
      <c r="L1351" s="746">
        <v>6178.99</v>
      </c>
      <c r="M1351" s="746">
        <v>4971.43</v>
      </c>
      <c r="N1351" s="493" t="str">
        <f t="shared" si="22"/>
        <v>C397</v>
      </c>
      <c r="O1351" s="493" t="s">
        <v>390</v>
      </c>
      <c r="P1351" s="493"/>
    </row>
    <row r="1352" spans="1:16">
      <c r="A1352" s="761" t="s">
        <v>2339</v>
      </c>
      <c r="B1352" s="761" t="s">
        <v>2340</v>
      </c>
      <c r="C1352" s="761" t="s">
        <v>3082</v>
      </c>
      <c r="D1352" s="761">
        <v>14538294</v>
      </c>
      <c r="E1352" s="761" t="s">
        <v>2972</v>
      </c>
      <c r="F1352" s="761">
        <v>131204763</v>
      </c>
      <c r="G1352" s="761" t="s">
        <v>3083</v>
      </c>
      <c r="H1352" s="761" t="s">
        <v>3083</v>
      </c>
      <c r="I1352" s="761" t="s">
        <v>6867</v>
      </c>
      <c r="J1352" s="761">
        <v>131</v>
      </c>
      <c r="K1352" s="746">
        <v>1321.25</v>
      </c>
      <c r="L1352" s="746">
        <v>732.17</v>
      </c>
      <c r="M1352" s="746">
        <v>589.08000000000004</v>
      </c>
      <c r="N1352" s="493" t="str">
        <f t="shared" si="22"/>
        <v>C397</v>
      </c>
      <c r="O1352" s="493" t="s">
        <v>392</v>
      </c>
      <c r="P1352" s="493"/>
    </row>
    <row r="1353" spans="1:16">
      <c r="A1353" s="761" t="s">
        <v>2339</v>
      </c>
      <c r="B1353" s="761" t="s">
        <v>2340</v>
      </c>
      <c r="C1353" s="761" t="s">
        <v>2451</v>
      </c>
      <c r="D1353" s="761">
        <v>14538300</v>
      </c>
      <c r="E1353" s="761" t="s">
        <v>2972</v>
      </c>
      <c r="F1353" s="761">
        <v>131204804</v>
      </c>
      <c r="G1353" s="761" t="s">
        <v>3093</v>
      </c>
      <c r="H1353" s="761" t="s">
        <v>3093</v>
      </c>
      <c r="I1353" s="761" t="s">
        <v>6867</v>
      </c>
      <c r="J1353" s="761">
        <v>1</v>
      </c>
      <c r="K1353" s="746">
        <v>24773.65</v>
      </c>
      <c r="L1353" s="746">
        <v>13728.29</v>
      </c>
      <c r="M1353" s="746">
        <v>11045.36</v>
      </c>
      <c r="N1353" s="493" t="str">
        <f t="shared" si="22"/>
        <v>C397</v>
      </c>
      <c r="O1353" s="493" t="s">
        <v>99</v>
      </c>
      <c r="P1353" s="493" t="s">
        <v>8005</v>
      </c>
    </row>
    <row r="1354" spans="1:16">
      <c r="A1354" s="761" t="s">
        <v>2339</v>
      </c>
      <c r="B1354" s="761" t="s">
        <v>2340</v>
      </c>
      <c r="C1354" s="761" t="s">
        <v>3094</v>
      </c>
      <c r="D1354" s="761">
        <v>14538303</v>
      </c>
      <c r="E1354" s="761" t="s">
        <v>2972</v>
      </c>
      <c r="F1354" s="761">
        <v>131204805</v>
      </c>
      <c r="G1354" s="761" t="s">
        <v>3095</v>
      </c>
      <c r="H1354" s="761" t="s">
        <v>3095</v>
      </c>
      <c r="I1354" s="761" t="s">
        <v>6867</v>
      </c>
      <c r="J1354" s="761">
        <v>2</v>
      </c>
      <c r="K1354" s="746">
        <v>117438.57</v>
      </c>
      <c r="L1354" s="746">
        <v>65078.450000000004</v>
      </c>
      <c r="M1354" s="746">
        <v>52360.12</v>
      </c>
      <c r="N1354" s="493" t="str">
        <f t="shared" si="22"/>
        <v>C397</v>
      </c>
      <c r="O1354" s="493" t="s">
        <v>99</v>
      </c>
      <c r="P1354" s="493" t="s">
        <v>8005</v>
      </c>
    </row>
    <row r="1355" spans="1:16">
      <c r="A1355" s="761" t="s">
        <v>2339</v>
      </c>
      <c r="B1355" s="761" t="s">
        <v>2340</v>
      </c>
      <c r="C1355" s="761" t="s">
        <v>2596</v>
      </c>
      <c r="D1355" s="761">
        <v>14538306</v>
      </c>
      <c r="E1355" s="761" t="s">
        <v>2972</v>
      </c>
      <c r="F1355" s="761">
        <v>131204806</v>
      </c>
      <c r="G1355" s="761" t="s">
        <v>3096</v>
      </c>
      <c r="H1355" s="761" t="s">
        <v>3096</v>
      </c>
      <c r="I1355" s="761" t="s">
        <v>6867</v>
      </c>
      <c r="J1355" s="761">
        <v>1</v>
      </c>
      <c r="K1355" s="746">
        <v>39935.1</v>
      </c>
      <c r="L1355" s="746">
        <v>22129.99</v>
      </c>
      <c r="M1355" s="746">
        <v>17805.11</v>
      </c>
      <c r="N1355" s="493" t="str">
        <f t="shared" si="22"/>
        <v>C397</v>
      </c>
      <c r="O1355" s="493" t="s">
        <v>99</v>
      </c>
      <c r="P1355" s="493" t="s">
        <v>8005</v>
      </c>
    </row>
    <row r="1356" spans="1:16">
      <c r="A1356" s="761" t="s">
        <v>2339</v>
      </c>
      <c r="B1356" s="761" t="s">
        <v>2340</v>
      </c>
      <c r="C1356" s="761" t="s">
        <v>3131</v>
      </c>
      <c r="D1356" s="761">
        <v>14538348</v>
      </c>
      <c r="E1356" s="761" t="s">
        <v>2972</v>
      </c>
      <c r="F1356" s="761">
        <v>143000920</v>
      </c>
      <c r="G1356" s="761" t="s">
        <v>3132</v>
      </c>
      <c r="H1356" s="761" t="s">
        <v>3132</v>
      </c>
      <c r="I1356" s="761" t="s">
        <v>6867</v>
      </c>
      <c r="J1356" s="761">
        <v>1</v>
      </c>
      <c r="K1356" s="746">
        <v>15273.960000000001</v>
      </c>
      <c r="L1356" s="746">
        <v>8464.0499999999993</v>
      </c>
      <c r="M1356" s="746">
        <v>6809.91</v>
      </c>
      <c r="N1356" s="493" t="str">
        <f t="shared" si="22"/>
        <v>C397</v>
      </c>
      <c r="O1356" s="493" t="s">
        <v>99</v>
      </c>
      <c r="P1356" s="493" t="s">
        <v>8005</v>
      </c>
    </row>
    <row r="1357" spans="1:16">
      <c r="A1357" s="761" t="s">
        <v>2339</v>
      </c>
      <c r="B1357" s="761" t="s">
        <v>2340</v>
      </c>
      <c r="C1357" s="761" t="s">
        <v>2517</v>
      </c>
      <c r="D1357" s="761">
        <v>14538359</v>
      </c>
      <c r="E1357" s="761" t="s">
        <v>2972</v>
      </c>
      <c r="F1357" s="761">
        <v>143001440</v>
      </c>
      <c r="G1357" s="761" t="s">
        <v>3142</v>
      </c>
      <c r="H1357" s="761" t="s">
        <v>7570</v>
      </c>
      <c r="I1357" s="761" t="s">
        <v>6867</v>
      </c>
      <c r="J1357" s="761">
        <v>7</v>
      </c>
      <c r="K1357" s="746">
        <v>25707803.940000001</v>
      </c>
      <c r="L1357" s="746">
        <v>14245950.5</v>
      </c>
      <c r="M1357" s="746">
        <v>11461853.439999999</v>
      </c>
      <c r="N1357" s="493" t="str">
        <f t="shared" si="22"/>
        <v>C397</v>
      </c>
      <c r="O1357" s="493" t="s">
        <v>99</v>
      </c>
      <c r="P1357" s="493" t="s">
        <v>8005</v>
      </c>
    </row>
    <row r="1358" spans="1:16">
      <c r="A1358" s="761" t="s">
        <v>2339</v>
      </c>
      <c r="B1358" s="761" t="s">
        <v>2340</v>
      </c>
      <c r="C1358" s="761" t="s">
        <v>2989</v>
      </c>
      <c r="D1358" s="761">
        <v>14538858</v>
      </c>
      <c r="E1358" s="761" t="s">
        <v>2972</v>
      </c>
      <c r="F1358" s="761">
        <v>131104000</v>
      </c>
      <c r="G1358" s="761" t="s">
        <v>2990</v>
      </c>
      <c r="H1358" s="761" t="s">
        <v>7571</v>
      </c>
      <c r="I1358" s="761" t="s">
        <v>6867</v>
      </c>
      <c r="J1358" s="761">
        <v>1</v>
      </c>
      <c r="K1358" s="746">
        <v>30904.510000000002</v>
      </c>
      <c r="L1358" s="746">
        <v>17125.7</v>
      </c>
      <c r="M1358" s="746">
        <v>13778.81</v>
      </c>
      <c r="N1358" s="493" t="str">
        <f t="shared" si="22"/>
        <v>C397</v>
      </c>
      <c r="O1358" s="493" t="s">
        <v>99</v>
      </c>
      <c r="P1358" s="493" t="s">
        <v>8005</v>
      </c>
    </row>
    <row r="1359" spans="1:16">
      <c r="A1359" s="761" t="s">
        <v>2339</v>
      </c>
      <c r="B1359" s="761" t="s">
        <v>2340</v>
      </c>
      <c r="C1359" s="761" t="s">
        <v>2991</v>
      </c>
      <c r="D1359" s="761">
        <v>14538871</v>
      </c>
      <c r="E1359" s="761" t="s">
        <v>2972</v>
      </c>
      <c r="F1359" s="761">
        <v>131104080</v>
      </c>
      <c r="G1359" s="761" t="s">
        <v>2992</v>
      </c>
      <c r="H1359" s="761" t="s">
        <v>7572</v>
      </c>
      <c r="I1359" s="761" t="s">
        <v>6867</v>
      </c>
      <c r="J1359" s="761">
        <v>1</v>
      </c>
      <c r="K1359" s="746">
        <v>463842.7</v>
      </c>
      <c r="L1359" s="746">
        <v>257037.91</v>
      </c>
      <c r="M1359" s="746">
        <v>206804.79</v>
      </c>
      <c r="N1359" s="493" t="str">
        <f t="shared" si="22"/>
        <v>C397</v>
      </c>
      <c r="O1359" s="493" t="s">
        <v>99</v>
      </c>
      <c r="P1359" s="493" t="s">
        <v>8005</v>
      </c>
    </row>
    <row r="1360" spans="1:16">
      <c r="A1360" s="761" t="s">
        <v>2339</v>
      </c>
      <c r="B1360" s="761" t="s">
        <v>2340</v>
      </c>
      <c r="C1360" s="761" t="s">
        <v>2993</v>
      </c>
      <c r="D1360" s="761">
        <v>14538884</v>
      </c>
      <c r="E1360" s="761" t="s">
        <v>2972</v>
      </c>
      <c r="F1360" s="761">
        <v>131104082</v>
      </c>
      <c r="G1360" s="761" t="s">
        <v>2994</v>
      </c>
      <c r="H1360" s="761" t="s">
        <v>7573</v>
      </c>
      <c r="I1360" s="761" t="s">
        <v>6867</v>
      </c>
      <c r="J1360" s="761">
        <v>2</v>
      </c>
      <c r="K1360" s="746">
        <v>92773.35</v>
      </c>
      <c r="L1360" s="746">
        <v>51410.25</v>
      </c>
      <c r="M1360" s="746">
        <v>41363.1</v>
      </c>
      <c r="N1360" s="493" t="str">
        <f t="shared" si="22"/>
        <v>C397</v>
      </c>
      <c r="O1360" s="493" t="s">
        <v>99</v>
      </c>
      <c r="P1360" s="493" t="s">
        <v>8005</v>
      </c>
    </row>
    <row r="1361" spans="1:16">
      <c r="A1361" s="761" t="s">
        <v>2339</v>
      </c>
      <c r="B1361" s="761" t="s">
        <v>2340</v>
      </c>
      <c r="C1361" s="761" t="s">
        <v>2997</v>
      </c>
      <c r="D1361" s="761">
        <v>14538935</v>
      </c>
      <c r="E1361" s="761" t="s">
        <v>2972</v>
      </c>
      <c r="F1361" s="761">
        <v>131104106</v>
      </c>
      <c r="G1361" s="761" t="s">
        <v>2998</v>
      </c>
      <c r="H1361" s="761" t="s">
        <v>7574</v>
      </c>
      <c r="I1361" s="761" t="s">
        <v>6867</v>
      </c>
      <c r="J1361" s="761">
        <v>1</v>
      </c>
      <c r="K1361" s="746">
        <v>65771.67</v>
      </c>
      <c r="L1361" s="746">
        <v>36447.300000000003</v>
      </c>
      <c r="M1361" s="746">
        <v>29324.37</v>
      </c>
      <c r="N1361" s="493" t="str">
        <f t="shared" ref="N1361:N1424" si="23">LEFT(E1361,4)</f>
        <v>C397</v>
      </c>
      <c r="O1361" s="493" t="s">
        <v>99</v>
      </c>
      <c r="P1361" s="493" t="s">
        <v>8005</v>
      </c>
    </row>
    <row r="1362" spans="1:16">
      <c r="A1362" s="761" t="s">
        <v>2339</v>
      </c>
      <c r="B1362" s="761" t="s">
        <v>2340</v>
      </c>
      <c r="C1362" s="761" t="s">
        <v>2999</v>
      </c>
      <c r="D1362" s="761">
        <v>14538948</v>
      </c>
      <c r="E1362" s="761" t="s">
        <v>2972</v>
      </c>
      <c r="F1362" s="761">
        <v>131104107</v>
      </c>
      <c r="G1362" s="761" t="s">
        <v>3000</v>
      </c>
      <c r="H1362" s="761" t="s">
        <v>7575</v>
      </c>
      <c r="I1362" s="761" t="s">
        <v>6867</v>
      </c>
      <c r="J1362" s="761">
        <v>1</v>
      </c>
      <c r="K1362" s="746">
        <v>120425.09</v>
      </c>
      <c r="L1362" s="746">
        <v>66733.430000000008</v>
      </c>
      <c r="M1362" s="746">
        <v>53691.66</v>
      </c>
      <c r="N1362" s="493" t="str">
        <f t="shared" si="23"/>
        <v>C397</v>
      </c>
      <c r="O1362" s="493" t="s">
        <v>99</v>
      </c>
      <c r="P1362" s="493" t="s">
        <v>8005</v>
      </c>
    </row>
    <row r="1363" spans="1:16">
      <c r="A1363" s="761" t="s">
        <v>2339</v>
      </c>
      <c r="B1363" s="761" t="s">
        <v>2340</v>
      </c>
      <c r="C1363" s="761" t="s">
        <v>3001</v>
      </c>
      <c r="D1363" s="761">
        <v>14538961</v>
      </c>
      <c r="E1363" s="761" t="s">
        <v>2972</v>
      </c>
      <c r="F1363" s="761">
        <v>131104108</v>
      </c>
      <c r="G1363" s="761" t="s">
        <v>3002</v>
      </c>
      <c r="H1363" s="761" t="s">
        <v>7576</v>
      </c>
      <c r="I1363" s="761" t="s">
        <v>6867</v>
      </c>
      <c r="J1363" s="761">
        <v>1</v>
      </c>
      <c r="K1363" s="746">
        <v>62399.94</v>
      </c>
      <c r="L1363" s="746">
        <v>34578.86</v>
      </c>
      <c r="M1363" s="746">
        <v>27821.08</v>
      </c>
      <c r="N1363" s="493" t="str">
        <f t="shared" si="23"/>
        <v>C397</v>
      </c>
      <c r="O1363" s="493" t="s">
        <v>390</v>
      </c>
      <c r="P1363" s="493"/>
    </row>
    <row r="1364" spans="1:16">
      <c r="A1364" s="761" t="s">
        <v>2339</v>
      </c>
      <c r="B1364" s="761" t="s">
        <v>2340</v>
      </c>
      <c r="C1364" s="761" t="s">
        <v>3007</v>
      </c>
      <c r="D1364" s="761">
        <v>14539000</v>
      </c>
      <c r="E1364" s="761" t="s">
        <v>2972</v>
      </c>
      <c r="F1364" s="761">
        <v>131104522</v>
      </c>
      <c r="G1364" s="761" t="s">
        <v>3008</v>
      </c>
      <c r="H1364" s="761" t="s">
        <v>7577</v>
      </c>
      <c r="I1364" s="761" t="s">
        <v>6867</v>
      </c>
      <c r="J1364" s="761">
        <v>1</v>
      </c>
      <c r="K1364" s="746">
        <v>9113.380000000001</v>
      </c>
      <c r="L1364" s="746">
        <v>5050.17</v>
      </c>
      <c r="M1364" s="746">
        <v>4063.21</v>
      </c>
      <c r="N1364" s="493" t="str">
        <f t="shared" si="23"/>
        <v>C397</v>
      </c>
      <c r="O1364" s="493" t="s">
        <v>99</v>
      </c>
      <c r="P1364" s="493" t="s">
        <v>8005</v>
      </c>
    </row>
    <row r="1365" spans="1:16">
      <c r="A1365" s="761" t="s">
        <v>2339</v>
      </c>
      <c r="B1365" s="761" t="s">
        <v>2340</v>
      </c>
      <c r="C1365" s="761" t="s">
        <v>3101</v>
      </c>
      <c r="D1365" s="761">
        <v>14539026</v>
      </c>
      <c r="E1365" s="761" t="s">
        <v>2972</v>
      </c>
      <c r="F1365" s="761">
        <v>141000426</v>
      </c>
      <c r="G1365" s="761" t="s">
        <v>3102</v>
      </c>
      <c r="H1365" s="761" t="s">
        <v>3102</v>
      </c>
      <c r="I1365" s="761" t="s">
        <v>6867</v>
      </c>
      <c r="J1365" s="761">
        <v>1</v>
      </c>
      <c r="K1365" s="746">
        <v>31055.47</v>
      </c>
      <c r="L1365" s="746">
        <v>17209.349999999999</v>
      </c>
      <c r="M1365" s="746">
        <v>13846.12</v>
      </c>
      <c r="N1365" s="493" t="str">
        <f t="shared" si="23"/>
        <v>C397</v>
      </c>
      <c r="O1365" s="493" t="s">
        <v>99</v>
      </c>
      <c r="P1365" s="493" t="s">
        <v>8005</v>
      </c>
    </row>
    <row r="1366" spans="1:16">
      <c r="A1366" s="761" t="s">
        <v>2339</v>
      </c>
      <c r="B1366" s="761" t="s">
        <v>2340</v>
      </c>
      <c r="C1366" s="761" t="s">
        <v>3041</v>
      </c>
      <c r="D1366" s="761">
        <v>14539039</v>
      </c>
      <c r="E1366" s="761" t="s">
        <v>2972</v>
      </c>
      <c r="F1366" s="761">
        <v>141001140</v>
      </c>
      <c r="G1366" s="761" t="s">
        <v>3104</v>
      </c>
      <c r="H1366" s="761" t="s">
        <v>3104</v>
      </c>
      <c r="I1366" s="761" t="s">
        <v>6867</v>
      </c>
      <c r="J1366" s="761">
        <v>1</v>
      </c>
      <c r="K1366" s="746">
        <v>4867</v>
      </c>
      <c r="L1366" s="746">
        <v>2697.04</v>
      </c>
      <c r="M1366" s="746">
        <v>2169.96</v>
      </c>
      <c r="N1366" s="493" t="str">
        <f t="shared" si="23"/>
        <v>C397</v>
      </c>
      <c r="O1366" s="493" t="s">
        <v>390</v>
      </c>
      <c r="P1366" s="493"/>
    </row>
    <row r="1367" spans="1:16">
      <c r="A1367" s="761" t="s">
        <v>2339</v>
      </c>
      <c r="B1367" s="761" t="s">
        <v>2340</v>
      </c>
      <c r="C1367" s="761" t="s">
        <v>2364</v>
      </c>
      <c r="D1367" s="761">
        <v>14539055</v>
      </c>
      <c r="E1367" s="761" t="s">
        <v>2972</v>
      </c>
      <c r="F1367" s="761">
        <v>131201581</v>
      </c>
      <c r="G1367" s="761" t="s">
        <v>3013</v>
      </c>
      <c r="H1367" s="761" t="s">
        <v>7578</v>
      </c>
      <c r="I1367" s="761" t="s">
        <v>6867</v>
      </c>
      <c r="J1367" s="761">
        <v>2</v>
      </c>
      <c r="K1367" s="746">
        <v>810412.64</v>
      </c>
      <c r="L1367" s="746">
        <v>449089.25</v>
      </c>
      <c r="M1367" s="746">
        <v>361323.39</v>
      </c>
      <c r="N1367" s="493" t="str">
        <f t="shared" si="23"/>
        <v>C397</v>
      </c>
      <c r="O1367" s="493" t="s">
        <v>99</v>
      </c>
      <c r="P1367" s="493" t="s">
        <v>8005</v>
      </c>
    </row>
    <row r="1368" spans="1:16">
      <c r="A1368" s="761" t="s">
        <v>2339</v>
      </c>
      <c r="B1368" s="761" t="s">
        <v>2340</v>
      </c>
      <c r="C1368" s="761" t="s">
        <v>2524</v>
      </c>
      <c r="D1368" s="761">
        <v>14757860</v>
      </c>
      <c r="E1368" s="761" t="s">
        <v>2972</v>
      </c>
      <c r="F1368" s="761">
        <v>130006401</v>
      </c>
      <c r="G1368" s="761" t="s">
        <v>2981</v>
      </c>
      <c r="H1368" s="761" t="s">
        <v>7579</v>
      </c>
      <c r="I1368" s="761" t="s">
        <v>6867</v>
      </c>
      <c r="J1368" s="761">
        <v>0</v>
      </c>
      <c r="K1368" s="746">
        <v>783.9</v>
      </c>
      <c r="L1368" s="746">
        <v>434.40000000000003</v>
      </c>
      <c r="M1368" s="746">
        <v>349.5</v>
      </c>
      <c r="N1368" s="493" t="str">
        <f t="shared" si="23"/>
        <v>C397</v>
      </c>
      <c r="O1368" s="493" t="s">
        <v>99</v>
      </c>
      <c r="P1368" s="493" t="s">
        <v>8005</v>
      </c>
    </row>
    <row r="1369" spans="1:16">
      <c r="A1369" s="761" t="s">
        <v>2339</v>
      </c>
      <c r="B1369" s="761" t="s">
        <v>2340</v>
      </c>
      <c r="C1369" s="761" t="s">
        <v>3078</v>
      </c>
      <c r="D1369" s="761">
        <v>14760937</v>
      </c>
      <c r="E1369" s="761" t="s">
        <v>2972</v>
      </c>
      <c r="F1369" s="761">
        <v>131204761</v>
      </c>
      <c r="G1369" s="761" t="s">
        <v>3079</v>
      </c>
      <c r="H1369" s="761" t="s">
        <v>3079</v>
      </c>
      <c r="I1369" s="761" t="s">
        <v>6867</v>
      </c>
      <c r="J1369" s="761">
        <v>1</v>
      </c>
      <c r="K1369" s="746">
        <v>142249.96</v>
      </c>
      <c r="L1369" s="746">
        <v>78827.650000000009</v>
      </c>
      <c r="M1369" s="746">
        <v>63422.310000000005</v>
      </c>
      <c r="N1369" s="493" t="str">
        <f t="shared" si="23"/>
        <v>C397</v>
      </c>
      <c r="O1369" s="493" t="s">
        <v>99</v>
      </c>
      <c r="P1369" s="493" t="s">
        <v>8005</v>
      </c>
    </row>
    <row r="1370" spans="1:16">
      <c r="A1370" s="761" t="s">
        <v>2339</v>
      </c>
      <c r="B1370" s="761" t="s">
        <v>2340</v>
      </c>
      <c r="C1370" s="761" t="s">
        <v>3005</v>
      </c>
      <c r="D1370" s="761">
        <v>14869943</v>
      </c>
      <c r="E1370" s="761" t="s">
        <v>2972</v>
      </c>
      <c r="F1370" s="761">
        <v>131104141</v>
      </c>
      <c r="G1370" s="761" t="s">
        <v>3006</v>
      </c>
      <c r="H1370" s="761" t="s">
        <v>3006</v>
      </c>
      <c r="I1370" s="761" t="s">
        <v>6867</v>
      </c>
      <c r="J1370" s="761">
        <v>1</v>
      </c>
      <c r="K1370" s="746">
        <v>213016.64</v>
      </c>
      <c r="L1370" s="746">
        <v>118042.93000000001</v>
      </c>
      <c r="M1370" s="746">
        <v>94973.71</v>
      </c>
      <c r="N1370" s="493" t="str">
        <f t="shared" si="23"/>
        <v>C397</v>
      </c>
      <c r="O1370" s="493" t="s">
        <v>99</v>
      </c>
      <c r="P1370" s="493" t="s">
        <v>8005</v>
      </c>
    </row>
    <row r="1371" spans="1:16">
      <c r="A1371" s="761" t="s">
        <v>2339</v>
      </c>
      <c r="B1371" s="761" t="s">
        <v>2340</v>
      </c>
      <c r="C1371" s="761" t="s">
        <v>3044</v>
      </c>
      <c r="D1371" s="761">
        <v>14869950</v>
      </c>
      <c r="E1371" s="761" t="s">
        <v>2972</v>
      </c>
      <c r="F1371" s="761">
        <v>131203420</v>
      </c>
      <c r="G1371" s="761" t="s">
        <v>3040</v>
      </c>
      <c r="H1371" s="761" t="s">
        <v>7567</v>
      </c>
      <c r="I1371" s="761" t="s">
        <v>6867</v>
      </c>
      <c r="J1371" s="761">
        <v>1</v>
      </c>
      <c r="K1371" s="746">
        <v>45070.01</v>
      </c>
      <c r="L1371" s="746">
        <v>28420.720000000001</v>
      </c>
      <c r="M1371" s="746">
        <v>16649.29</v>
      </c>
      <c r="N1371" s="493" t="str">
        <f t="shared" si="23"/>
        <v>C397</v>
      </c>
      <c r="O1371" s="493" t="s">
        <v>99</v>
      </c>
      <c r="P1371" s="493" t="s">
        <v>8005</v>
      </c>
    </row>
    <row r="1372" spans="1:16">
      <c r="A1372" s="761" t="s">
        <v>2339</v>
      </c>
      <c r="B1372" s="761" t="s">
        <v>2340</v>
      </c>
      <c r="C1372" s="761" t="s">
        <v>3045</v>
      </c>
      <c r="D1372" s="761">
        <v>14869957</v>
      </c>
      <c r="E1372" s="761" t="s">
        <v>2972</v>
      </c>
      <c r="F1372" s="761">
        <v>131203420</v>
      </c>
      <c r="G1372" s="761" t="s">
        <v>3040</v>
      </c>
      <c r="H1372" s="761" t="s">
        <v>7567</v>
      </c>
      <c r="I1372" s="761" t="s">
        <v>6867</v>
      </c>
      <c r="J1372" s="761">
        <v>1</v>
      </c>
      <c r="K1372" s="746">
        <v>49070.28</v>
      </c>
      <c r="L1372" s="746">
        <v>30943.25</v>
      </c>
      <c r="M1372" s="746">
        <v>18127.03</v>
      </c>
      <c r="N1372" s="493" t="str">
        <f t="shared" si="23"/>
        <v>C397</v>
      </c>
      <c r="O1372" s="493" t="s">
        <v>99</v>
      </c>
      <c r="P1372" s="493" t="s">
        <v>8005</v>
      </c>
    </row>
    <row r="1373" spans="1:16">
      <c r="A1373" s="761" t="s">
        <v>2339</v>
      </c>
      <c r="B1373" s="761" t="s">
        <v>2340</v>
      </c>
      <c r="C1373" s="761" t="s">
        <v>3046</v>
      </c>
      <c r="D1373" s="761">
        <v>14869964</v>
      </c>
      <c r="E1373" s="761" t="s">
        <v>2972</v>
      </c>
      <c r="F1373" s="761">
        <v>131203420</v>
      </c>
      <c r="G1373" s="761" t="s">
        <v>3040</v>
      </c>
      <c r="H1373" s="761" t="s">
        <v>7567</v>
      </c>
      <c r="I1373" s="761" t="s">
        <v>6867</v>
      </c>
      <c r="J1373" s="761">
        <v>1</v>
      </c>
      <c r="K1373" s="746">
        <v>45069.96</v>
      </c>
      <c r="L1373" s="746">
        <v>28420.68</v>
      </c>
      <c r="M1373" s="746">
        <v>16649.28</v>
      </c>
      <c r="N1373" s="493" t="str">
        <f t="shared" si="23"/>
        <v>C397</v>
      </c>
      <c r="O1373" s="493" t="s">
        <v>99</v>
      </c>
      <c r="P1373" s="493" t="s">
        <v>8005</v>
      </c>
    </row>
    <row r="1374" spans="1:16">
      <c r="A1374" s="761" t="s">
        <v>2339</v>
      </c>
      <c r="B1374" s="761" t="s">
        <v>2340</v>
      </c>
      <c r="C1374" s="761" t="s">
        <v>3047</v>
      </c>
      <c r="D1374" s="761">
        <v>14869971</v>
      </c>
      <c r="E1374" s="761" t="s">
        <v>2972</v>
      </c>
      <c r="F1374" s="761">
        <v>131203420</v>
      </c>
      <c r="G1374" s="761" t="s">
        <v>3040</v>
      </c>
      <c r="H1374" s="761" t="s">
        <v>7567</v>
      </c>
      <c r="I1374" s="761" t="s">
        <v>6867</v>
      </c>
      <c r="J1374" s="761">
        <v>1</v>
      </c>
      <c r="K1374" s="746">
        <v>45070.01</v>
      </c>
      <c r="L1374" s="746">
        <v>28420.720000000001</v>
      </c>
      <c r="M1374" s="746">
        <v>16649.29</v>
      </c>
      <c r="N1374" s="493" t="str">
        <f t="shared" si="23"/>
        <v>C397</v>
      </c>
      <c r="O1374" s="493" t="s">
        <v>99</v>
      </c>
      <c r="P1374" s="493" t="s">
        <v>8005</v>
      </c>
    </row>
    <row r="1375" spans="1:16">
      <c r="A1375" s="761" t="s">
        <v>2339</v>
      </c>
      <c r="B1375" s="761" t="s">
        <v>2340</v>
      </c>
      <c r="C1375" s="761" t="s">
        <v>3064</v>
      </c>
      <c r="D1375" s="761">
        <v>14869978</v>
      </c>
      <c r="E1375" s="761" t="s">
        <v>2972</v>
      </c>
      <c r="F1375" s="761">
        <v>131204145</v>
      </c>
      <c r="G1375" s="761" t="s">
        <v>3065</v>
      </c>
      <c r="H1375" s="761" t="s">
        <v>3065</v>
      </c>
      <c r="I1375" s="761" t="s">
        <v>6867</v>
      </c>
      <c r="J1375" s="761">
        <v>1</v>
      </c>
      <c r="K1375" s="746">
        <v>21184.89</v>
      </c>
      <c r="L1375" s="746">
        <v>11739.58</v>
      </c>
      <c r="M1375" s="746">
        <v>9445.31</v>
      </c>
      <c r="N1375" s="493" t="str">
        <f t="shared" si="23"/>
        <v>C397</v>
      </c>
      <c r="O1375" s="493" t="s">
        <v>99</v>
      </c>
      <c r="P1375" s="493" t="s">
        <v>8005</v>
      </c>
    </row>
    <row r="1376" spans="1:16">
      <c r="A1376" s="761" t="s">
        <v>2339</v>
      </c>
      <c r="B1376" s="761" t="s">
        <v>2340</v>
      </c>
      <c r="C1376" s="761" t="s">
        <v>3042</v>
      </c>
      <c r="D1376" s="761">
        <v>14869985</v>
      </c>
      <c r="E1376" s="761" t="s">
        <v>2972</v>
      </c>
      <c r="F1376" s="761">
        <v>131204146</v>
      </c>
      <c r="G1376" s="761" t="s">
        <v>3066</v>
      </c>
      <c r="H1376" s="761" t="s">
        <v>3066</v>
      </c>
      <c r="I1376" s="761" t="s">
        <v>6867</v>
      </c>
      <c r="J1376" s="761">
        <v>1</v>
      </c>
      <c r="K1376" s="746">
        <v>66564.509999999995</v>
      </c>
      <c r="L1376" s="746">
        <v>36886.65</v>
      </c>
      <c r="M1376" s="746">
        <v>29677.86</v>
      </c>
      <c r="N1376" s="493" t="str">
        <f t="shared" si="23"/>
        <v>C397</v>
      </c>
      <c r="O1376" s="493" t="s">
        <v>99</v>
      </c>
      <c r="P1376" s="493" t="s">
        <v>8005</v>
      </c>
    </row>
    <row r="1377" spans="1:16">
      <c r="A1377" s="761" t="s">
        <v>2339</v>
      </c>
      <c r="B1377" s="761" t="s">
        <v>2340</v>
      </c>
      <c r="C1377" s="761" t="s">
        <v>3085</v>
      </c>
      <c r="D1377" s="761">
        <v>14869999</v>
      </c>
      <c r="E1377" s="761" t="s">
        <v>2972</v>
      </c>
      <c r="F1377" s="761">
        <v>131204764</v>
      </c>
      <c r="G1377" s="761" t="s">
        <v>3086</v>
      </c>
      <c r="H1377" s="761" t="s">
        <v>3086</v>
      </c>
      <c r="I1377" s="761" t="s">
        <v>6867</v>
      </c>
      <c r="J1377" s="761">
        <v>1</v>
      </c>
      <c r="K1377" s="746">
        <v>376343.88</v>
      </c>
      <c r="L1377" s="746">
        <v>208550.54</v>
      </c>
      <c r="M1377" s="746">
        <v>167793.34</v>
      </c>
      <c r="N1377" s="493" t="str">
        <f t="shared" si="23"/>
        <v>C397</v>
      </c>
      <c r="O1377" s="493" t="s">
        <v>99</v>
      </c>
      <c r="P1377" s="493" t="s">
        <v>8005</v>
      </c>
    </row>
    <row r="1378" spans="1:16">
      <c r="A1378" s="761" t="s">
        <v>2339</v>
      </c>
      <c r="B1378" s="761" t="s">
        <v>2340</v>
      </c>
      <c r="C1378" s="761" t="s">
        <v>3113</v>
      </c>
      <c r="D1378" s="761">
        <v>14870006</v>
      </c>
      <c r="E1378" s="761" t="s">
        <v>2972</v>
      </c>
      <c r="F1378" s="761">
        <v>143000322</v>
      </c>
      <c r="G1378" s="761" t="s">
        <v>3114</v>
      </c>
      <c r="H1378" s="761" t="s">
        <v>3114</v>
      </c>
      <c r="I1378" s="761" t="s">
        <v>6867</v>
      </c>
      <c r="J1378" s="761">
        <v>1</v>
      </c>
      <c r="K1378" s="746">
        <v>117533.77</v>
      </c>
      <c r="L1378" s="746">
        <v>65131.21</v>
      </c>
      <c r="M1378" s="746">
        <v>52402.559999999998</v>
      </c>
      <c r="N1378" s="493" t="str">
        <f t="shared" si="23"/>
        <v>C397</v>
      </c>
      <c r="O1378" s="493" t="s">
        <v>99</v>
      </c>
      <c r="P1378" s="493" t="s">
        <v>8005</v>
      </c>
    </row>
    <row r="1379" spans="1:16">
      <c r="A1379" s="761" t="s">
        <v>2339</v>
      </c>
      <c r="B1379" s="761" t="s">
        <v>2340</v>
      </c>
      <c r="C1379" s="761" t="s">
        <v>3084</v>
      </c>
      <c r="D1379" s="761">
        <v>14870040</v>
      </c>
      <c r="E1379" s="761" t="s">
        <v>2972</v>
      </c>
      <c r="F1379" s="761">
        <v>131204763</v>
      </c>
      <c r="G1379" s="761" t="s">
        <v>3083</v>
      </c>
      <c r="H1379" s="761" t="s">
        <v>3083</v>
      </c>
      <c r="I1379" s="761" t="s">
        <v>6867</v>
      </c>
      <c r="J1379" s="761">
        <v>1</v>
      </c>
      <c r="K1379" s="746">
        <v>192236.03</v>
      </c>
      <c r="L1379" s="746">
        <v>106527.38</v>
      </c>
      <c r="M1379" s="746">
        <v>85708.650000000009</v>
      </c>
      <c r="N1379" s="493" t="str">
        <f t="shared" si="23"/>
        <v>C397</v>
      </c>
      <c r="O1379" s="493" t="s">
        <v>99</v>
      </c>
      <c r="P1379" s="493" t="s">
        <v>8005</v>
      </c>
    </row>
    <row r="1380" spans="1:16">
      <c r="A1380" s="761" t="s">
        <v>2339</v>
      </c>
      <c r="B1380" s="761" t="s">
        <v>2340</v>
      </c>
      <c r="C1380" s="761" t="s">
        <v>3115</v>
      </c>
      <c r="D1380" s="761">
        <v>15050730</v>
      </c>
      <c r="E1380" s="761" t="s">
        <v>2972</v>
      </c>
      <c r="F1380" s="761">
        <v>143000323</v>
      </c>
      <c r="G1380" s="761" t="s">
        <v>3116</v>
      </c>
      <c r="H1380" s="761" t="s">
        <v>3116</v>
      </c>
      <c r="I1380" s="761" t="s">
        <v>6867</v>
      </c>
      <c r="J1380" s="761">
        <v>0</v>
      </c>
      <c r="K1380" s="746">
        <v>2268.33</v>
      </c>
      <c r="L1380" s="746">
        <v>1256.99</v>
      </c>
      <c r="M1380" s="746">
        <v>1011.34</v>
      </c>
      <c r="N1380" s="493" t="str">
        <f t="shared" si="23"/>
        <v>C397</v>
      </c>
      <c r="O1380" s="493" t="s">
        <v>99</v>
      </c>
      <c r="P1380" s="493" t="s">
        <v>8005</v>
      </c>
    </row>
    <row r="1381" spans="1:16">
      <c r="A1381" s="761" t="s">
        <v>2339</v>
      </c>
      <c r="B1381" s="761" t="s">
        <v>2340</v>
      </c>
      <c r="C1381" s="761" t="s">
        <v>3091</v>
      </c>
      <c r="D1381" s="761">
        <v>15050737</v>
      </c>
      <c r="E1381" s="761" t="s">
        <v>2972</v>
      </c>
      <c r="F1381" s="761">
        <v>131204802</v>
      </c>
      <c r="G1381" s="761" t="s">
        <v>3092</v>
      </c>
      <c r="H1381" s="761" t="s">
        <v>3092</v>
      </c>
      <c r="I1381" s="761" t="s">
        <v>6867</v>
      </c>
      <c r="J1381" s="761">
        <v>1</v>
      </c>
      <c r="K1381" s="746">
        <v>39075.96</v>
      </c>
      <c r="L1381" s="746">
        <v>21653.9</v>
      </c>
      <c r="M1381" s="746">
        <v>17422.060000000001</v>
      </c>
      <c r="N1381" s="493" t="str">
        <f t="shared" si="23"/>
        <v>C397</v>
      </c>
      <c r="O1381" s="493" t="s">
        <v>99</v>
      </c>
      <c r="P1381" s="493" t="s">
        <v>8005</v>
      </c>
    </row>
    <row r="1382" spans="1:16">
      <c r="A1382" s="761" t="s">
        <v>2339</v>
      </c>
      <c r="B1382" s="761" t="s">
        <v>2340</v>
      </c>
      <c r="C1382" s="761" t="s">
        <v>2365</v>
      </c>
      <c r="D1382" s="761">
        <v>15064661</v>
      </c>
      <c r="E1382" s="761" t="s">
        <v>2972</v>
      </c>
      <c r="F1382" s="761">
        <v>131204153</v>
      </c>
      <c r="G1382" s="761" t="s">
        <v>3071</v>
      </c>
      <c r="H1382" s="761" t="s">
        <v>3071</v>
      </c>
      <c r="I1382" s="761" t="s">
        <v>6867</v>
      </c>
      <c r="J1382" s="761">
        <v>1</v>
      </c>
      <c r="K1382" s="746">
        <v>75389.36</v>
      </c>
      <c r="L1382" s="746">
        <v>41776.93</v>
      </c>
      <c r="M1382" s="746">
        <v>33612.43</v>
      </c>
      <c r="N1382" s="493" t="str">
        <f t="shared" si="23"/>
        <v>C397</v>
      </c>
      <c r="O1382" s="493" t="s">
        <v>99</v>
      </c>
      <c r="P1382" s="493" t="s">
        <v>8005</v>
      </c>
    </row>
    <row r="1383" spans="1:16">
      <c r="A1383" s="761" t="s">
        <v>2339</v>
      </c>
      <c r="B1383" s="761" t="s">
        <v>2340</v>
      </c>
      <c r="C1383" s="761" t="s">
        <v>2476</v>
      </c>
      <c r="D1383" s="761">
        <v>15084320</v>
      </c>
      <c r="E1383" s="761" t="s">
        <v>2972</v>
      </c>
      <c r="F1383" s="761">
        <v>143000262</v>
      </c>
      <c r="G1383" s="761" t="s">
        <v>3112</v>
      </c>
      <c r="H1383" s="761" t="s">
        <v>3112</v>
      </c>
      <c r="I1383" s="761" t="s">
        <v>6867</v>
      </c>
      <c r="J1383" s="761">
        <v>1</v>
      </c>
      <c r="K1383" s="746">
        <v>20947.189999999999</v>
      </c>
      <c r="L1383" s="746">
        <v>11607.86</v>
      </c>
      <c r="M1383" s="746">
        <v>9339.33</v>
      </c>
      <c r="N1383" s="493" t="str">
        <f t="shared" si="23"/>
        <v>C397</v>
      </c>
      <c r="O1383" s="493" t="s">
        <v>99</v>
      </c>
      <c r="P1383" s="493" t="s">
        <v>8005</v>
      </c>
    </row>
    <row r="1384" spans="1:16">
      <c r="A1384" s="761" t="s">
        <v>2339</v>
      </c>
      <c r="B1384" s="761" t="s">
        <v>2340</v>
      </c>
      <c r="C1384" s="761" t="s">
        <v>3118</v>
      </c>
      <c r="D1384" s="761">
        <v>15084323</v>
      </c>
      <c r="E1384" s="761" t="s">
        <v>2972</v>
      </c>
      <c r="F1384" s="761">
        <v>143000324</v>
      </c>
      <c r="G1384" s="761" t="s">
        <v>3119</v>
      </c>
      <c r="H1384" s="761" t="s">
        <v>3119</v>
      </c>
      <c r="I1384" s="761" t="s">
        <v>6867</v>
      </c>
      <c r="J1384" s="761">
        <v>1</v>
      </c>
      <c r="K1384" s="746">
        <v>253243.87</v>
      </c>
      <c r="L1384" s="746">
        <v>140334.80000000002</v>
      </c>
      <c r="M1384" s="746">
        <v>112909.07</v>
      </c>
      <c r="N1384" s="493" t="str">
        <f t="shared" si="23"/>
        <v>C397</v>
      </c>
      <c r="O1384" s="493" t="s">
        <v>99</v>
      </c>
      <c r="P1384" s="493" t="s">
        <v>8005</v>
      </c>
    </row>
    <row r="1385" spans="1:16">
      <c r="A1385" s="761" t="s">
        <v>2339</v>
      </c>
      <c r="B1385" s="761" t="s">
        <v>2340</v>
      </c>
      <c r="C1385" s="761" t="s">
        <v>2451</v>
      </c>
      <c r="D1385" s="761">
        <v>15084328</v>
      </c>
      <c r="E1385" s="761" t="s">
        <v>2972</v>
      </c>
      <c r="F1385" s="761">
        <v>143001262</v>
      </c>
      <c r="G1385" s="761" t="s">
        <v>3136</v>
      </c>
      <c r="H1385" s="761" t="s">
        <v>7580</v>
      </c>
      <c r="I1385" s="761" t="s">
        <v>6867</v>
      </c>
      <c r="J1385" s="761">
        <v>1</v>
      </c>
      <c r="K1385" s="746">
        <v>16097.77</v>
      </c>
      <c r="L1385" s="746">
        <v>10151.1</v>
      </c>
      <c r="M1385" s="746">
        <v>5946.67</v>
      </c>
      <c r="N1385" s="493" t="str">
        <f t="shared" si="23"/>
        <v>C397</v>
      </c>
      <c r="O1385" s="493" t="s">
        <v>99</v>
      </c>
      <c r="P1385" s="493" t="s">
        <v>8005</v>
      </c>
    </row>
    <row r="1386" spans="1:16">
      <c r="A1386" s="761" t="s">
        <v>2339</v>
      </c>
      <c r="B1386" s="761" t="s">
        <v>2340</v>
      </c>
      <c r="C1386" s="761" t="s">
        <v>3087</v>
      </c>
      <c r="D1386" s="761">
        <v>15084469</v>
      </c>
      <c r="E1386" s="761" t="s">
        <v>2972</v>
      </c>
      <c r="F1386" s="761">
        <v>131204800</v>
      </c>
      <c r="G1386" s="761" t="s">
        <v>3088</v>
      </c>
      <c r="H1386" s="761" t="s">
        <v>3088</v>
      </c>
      <c r="I1386" s="761" t="s">
        <v>6867</v>
      </c>
      <c r="J1386" s="761">
        <v>1</v>
      </c>
      <c r="K1386" s="746">
        <v>310785.62</v>
      </c>
      <c r="L1386" s="746">
        <v>172221.5</v>
      </c>
      <c r="M1386" s="746">
        <v>138564.12</v>
      </c>
      <c r="N1386" s="493" t="str">
        <f t="shared" si="23"/>
        <v>C397</v>
      </c>
      <c r="O1386" s="493" t="s">
        <v>99</v>
      </c>
      <c r="P1386" s="493" t="s">
        <v>8005</v>
      </c>
    </row>
    <row r="1387" spans="1:16">
      <c r="A1387" s="761" t="s">
        <v>2339</v>
      </c>
      <c r="B1387" s="761" t="s">
        <v>2340</v>
      </c>
      <c r="C1387" s="761" t="s">
        <v>2476</v>
      </c>
      <c r="D1387" s="761">
        <v>15115465</v>
      </c>
      <c r="E1387" s="761" t="s">
        <v>2972</v>
      </c>
      <c r="F1387" s="761">
        <v>143000683</v>
      </c>
      <c r="G1387" s="761" t="s">
        <v>3127</v>
      </c>
      <c r="H1387" s="761" t="s">
        <v>7581</v>
      </c>
      <c r="I1387" s="761" t="s">
        <v>6867</v>
      </c>
      <c r="J1387" s="761">
        <v>0</v>
      </c>
      <c r="K1387" s="746">
        <v>67792.45</v>
      </c>
      <c r="L1387" s="746">
        <v>37567.11</v>
      </c>
      <c r="M1387" s="746">
        <v>30225.34</v>
      </c>
      <c r="N1387" s="493" t="str">
        <f t="shared" si="23"/>
        <v>C397</v>
      </c>
      <c r="O1387" s="493" t="s">
        <v>99</v>
      </c>
      <c r="P1387" s="493" t="s">
        <v>8005</v>
      </c>
    </row>
    <row r="1388" spans="1:16">
      <c r="A1388" s="761" t="s">
        <v>2339</v>
      </c>
      <c r="B1388" s="761" t="s">
        <v>2340</v>
      </c>
      <c r="C1388" s="761" t="s">
        <v>2982</v>
      </c>
      <c r="D1388" s="761">
        <v>15217721</v>
      </c>
      <c r="E1388" s="761" t="s">
        <v>2972</v>
      </c>
      <c r="F1388" s="761">
        <v>130006401</v>
      </c>
      <c r="G1388" s="761" t="s">
        <v>2981</v>
      </c>
      <c r="H1388" s="761" t="s">
        <v>7579</v>
      </c>
      <c r="I1388" s="761" t="s">
        <v>6867</v>
      </c>
      <c r="J1388" s="761">
        <v>1</v>
      </c>
      <c r="K1388" s="746">
        <v>65141.279999999999</v>
      </c>
      <c r="L1388" s="746">
        <v>36097.97</v>
      </c>
      <c r="M1388" s="746">
        <v>29043.31</v>
      </c>
      <c r="N1388" s="493" t="str">
        <f t="shared" si="23"/>
        <v>C397</v>
      </c>
      <c r="O1388" s="493" t="s">
        <v>99</v>
      </c>
      <c r="P1388" s="493" t="s">
        <v>8005</v>
      </c>
    </row>
    <row r="1389" spans="1:16">
      <c r="A1389" s="761" t="s">
        <v>2339</v>
      </c>
      <c r="B1389" s="761" t="s">
        <v>2340</v>
      </c>
      <c r="C1389" s="761" t="s">
        <v>2983</v>
      </c>
      <c r="D1389" s="761">
        <v>15217724</v>
      </c>
      <c r="E1389" s="761" t="s">
        <v>2972</v>
      </c>
      <c r="F1389" s="761">
        <v>130006401</v>
      </c>
      <c r="G1389" s="761" t="s">
        <v>2981</v>
      </c>
      <c r="H1389" s="761" t="s">
        <v>7579</v>
      </c>
      <c r="I1389" s="761" t="s">
        <v>6867</v>
      </c>
      <c r="J1389" s="761">
        <v>1</v>
      </c>
      <c r="K1389" s="746">
        <v>104231.61</v>
      </c>
      <c r="L1389" s="746">
        <v>57759.83</v>
      </c>
      <c r="M1389" s="746">
        <v>46471.78</v>
      </c>
      <c r="N1389" s="493" t="str">
        <f t="shared" si="23"/>
        <v>C397</v>
      </c>
      <c r="O1389" s="493" t="s">
        <v>99</v>
      </c>
      <c r="P1389" s="493" t="s">
        <v>8005</v>
      </c>
    </row>
    <row r="1390" spans="1:16">
      <c r="A1390" s="761" t="s">
        <v>2339</v>
      </c>
      <c r="B1390" s="761" t="s">
        <v>2340</v>
      </c>
      <c r="C1390" s="761" t="s">
        <v>3080</v>
      </c>
      <c r="D1390" s="761">
        <v>15236867</v>
      </c>
      <c r="E1390" s="761" t="s">
        <v>2972</v>
      </c>
      <c r="F1390" s="761">
        <v>131204762</v>
      </c>
      <c r="G1390" s="761" t="s">
        <v>3081</v>
      </c>
      <c r="H1390" s="761" t="s">
        <v>3081</v>
      </c>
      <c r="I1390" s="761" t="s">
        <v>6867</v>
      </c>
      <c r="J1390" s="761">
        <v>1</v>
      </c>
      <c r="K1390" s="746">
        <v>218773.04</v>
      </c>
      <c r="L1390" s="746">
        <v>121232.83</v>
      </c>
      <c r="M1390" s="746">
        <v>97540.21</v>
      </c>
      <c r="N1390" s="493" t="str">
        <f t="shared" si="23"/>
        <v>C397</v>
      </c>
      <c r="O1390" s="493" t="s">
        <v>99</v>
      </c>
      <c r="P1390" s="493" t="s">
        <v>8005</v>
      </c>
    </row>
    <row r="1391" spans="1:16">
      <c r="A1391" s="761" t="s">
        <v>2339</v>
      </c>
      <c r="B1391" s="761" t="s">
        <v>2340</v>
      </c>
      <c r="C1391" s="761" t="s">
        <v>3117</v>
      </c>
      <c r="D1391" s="761">
        <v>15267723</v>
      </c>
      <c r="E1391" s="761" t="s">
        <v>2972</v>
      </c>
      <c r="F1391" s="761">
        <v>143000323</v>
      </c>
      <c r="G1391" s="761" t="s">
        <v>3116</v>
      </c>
      <c r="H1391" s="761" t="s">
        <v>3116</v>
      </c>
      <c r="I1391" s="761" t="s">
        <v>6867</v>
      </c>
      <c r="J1391" s="761">
        <v>1</v>
      </c>
      <c r="K1391" s="746">
        <v>76595.540000000008</v>
      </c>
      <c r="L1391" s="746">
        <v>42445.33</v>
      </c>
      <c r="M1391" s="746">
        <v>34150.21</v>
      </c>
      <c r="N1391" s="493" t="str">
        <f t="shared" si="23"/>
        <v>C397</v>
      </c>
      <c r="O1391" s="493" t="s">
        <v>99</v>
      </c>
      <c r="P1391" s="493" t="s">
        <v>8005</v>
      </c>
    </row>
    <row r="1392" spans="1:16">
      <c r="A1392" s="761" t="s">
        <v>2339</v>
      </c>
      <c r="B1392" s="761" t="s">
        <v>2340</v>
      </c>
      <c r="C1392" s="761" t="s">
        <v>2509</v>
      </c>
      <c r="D1392" s="761">
        <v>15588585</v>
      </c>
      <c r="E1392" s="761" t="s">
        <v>2972</v>
      </c>
      <c r="F1392" s="761">
        <v>131204168</v>
      </c>
      <c r="G1392" s="761" t="s">
        <v>3073</v>
      </c>
      <c r="H1392" s="761" t="s">
        <v>7582</v>
      </c>
      <c r="I1392" s="761" t="s">
        <v>6867</v>
      </c>
      <c r="J1392" s="761">
        <v>1</v>
      </c>
      <c r="K1392" s="746">
        <v>4994.1400000000003</v>
      </c>
      <c r="L1392" s="746">
        <v>2767.5</v>
      </c>
      <c r="M1392" s="746">
        <v>2226.64</v>
      </c>
      <c r="N1392" s="493" t="str">
        <f t="shared" si="23"/>
        <v>C397</v>
      </c>
      <c r="O1392" s="493" t="s">
        <v>99</v>
      </c>
      <c r="P1392" s="493" t="s">
        <v>8005</v>
      </c>
    </row>
    <row r="1393" spans="1:16">
      <c r="A1393" s="761" t="s">
        <v>2339</v>
      </c>
      <c r="B1393" s="761" t="s">
        <v>2340</v>
      </c>
      <c r="C1393" s="761" t="s">
        <v>3089</v>
      </c>
      <c r="D1393" s="761">
        <v>15733860</v>
      </c>
      <c r="E1393" s="761" t="s">
        <v>2972</v>
      </c>
      <c r="F1393" s="761">
        <v>131204801</v>
      </c>
      <c r="G1393" s="761" t="s">
        <v>3090</v>
      </c>
      <c r="H1393" s="761" t="s">
        <v>3090</v>
      </c>
      <c r="I1393" s="761" t="s">
        <v>6867</v>
      </c>
      <c r="J1393" s="761">
        <v>1</v>
      </c>
      <c r="K1393" s="746">
        <v>201036.06</v>
      </c>
      <c r="L1393" s="746">
        <v>111403.91</v>
      </c>
      <c r="M1393" s="746">
        <v>89632.150000000009</v>
      </c>
      <c r="N1393" s="493" t="str">
        <f t="shared" si="23"/>
        <v>C397</v>
      </c>
      <c r="O1393" s="493" t="s">
        <v>99</v>
      </c>
      <c r="P1393" s="493" t="s">
        <v>8005</v>
      </c>
    </row>
    <row r="1394" spans="1:16">
      <c r="A1394" s="761" t="s">
        <v>2339</v>
      </c>
      <c r="B1394" s="761" t="s">
        <v>2340</v>
      </c>
      <c r="C1394" s="761" t="s">
        <v>3099</v>
      </c>
      <c r="D1394" s="761">
        <v>15820092</v>
      </c>
      <c r="E1394" s="761" t="s">
        <v>2972</v>
      </c>
      <c r="F1394" s="761">
        <v>141000424</v>
      </c>
      <c r="G1394" s="761" t="s">
        <v>3100</v>
      </c>
      <c r="H1394" s="761" t="s">
        <v>3100</v>
      </c>
      <c r="I1394" s="761" t="s">
        <v>6867</v>
      </c>
      <c r="J1394" s="761">
        <v>1</v>
      </c>
      <c r="K1394" s="746">
        <v>11205.14</v>
      </c>
      <c r="L1394" s="746">
        <v>6209.32</v>
      </c>
      <c r="M1394" s="746">
        <v>4995.82</v>
      </c>
      <c r="N1394" s="493" t="str">
        <f t="shared" si="23"/>
        <v>C397</v>
      </c>
      <c r="O1394" s="493" t="s">
        <v>99</v>
      </c>
      <c r="P1394" s="493" t="s">
        <v>8005</v>
      </c>
    </row>
    <row r="1395" spans="1:16">
      <c r="A1395" s="761" t="s">
        <v>2339</v>
      </c>
      <c r="B1395" s="761" t="s">
        <v>2340</v>
      </c>
      <c r="C1395" s="761" t="s">
        <v>3009</v>
      </c>
      <c r="D1395" s="761">
        <v>15820149</v>
      </c>
      <c r="E1395" s="761" t="s">
        <v>2972</v>
      </c>
      <c r="F1395" s="761">
        <v>131104523</v>
      </c>
      <c r="G1395" s="761" t="s">
        <v>3010</v>
      </c>
      <c r="H1395" s="761" t="s">
        <v>7583</v>
      </c>
      <c r="I1395" s="761" t="s">
        <v>6867</v>
      </c>
      <c r="J1395" s="761">
        <v>1</v>
      </c>
      <c r="K1395" s="746">
        <v>31784.99</v>
      </c>
      <c r="L1395" s="746">
        <v>17613.62</v>
      </c>
      <c r="M1395" s="746">
        <v>14171.37</v>
      </c>
      <c r="N1395" s="493" t="str">
        <f t="shared" si="23"/>
        <v>C397</v>
      </c>
      <c r="O1395" s="493" t="s">
        <v>99</v>
      </c>
      <c r="P1395" s="493" t="s">
        <v>8005</v>
      </c>
    </row>
    <row r="1396" spans="1:16">
      <c r="A1396" s="761" t="s">
        <v>2339</v>
      </c>
      <c r="B1396" s="761" t="s">
        <v>2340</v>
      </c>
      <c r="C1396" s="761" t="s">
        <v>3120</v>
      </c>
      <c r="D1396" s="761">
        <v>15868437</v>
      </c>
      <c r="E1396" s="761" t="s">
        <v>2972</v>
      </c>
      <c r="F1396" s="761">
        <v>143000326</v>
      </c>
      <c r="G1396" s="761" t="s">
        <v>3121</v>
      </c>
      <c r="H1396" s="761" t="s">
        <v>7584</v>
      </c>
      <c r="I1396" s="761" t="s">
        <v>6867</v>
      </c>
      <c r="J1396" s="761">
        <v>1</v>
      </c>
      <c r="K1396" s="746">
        <v>315635.08</v>
      </c>
      <c r="L1396" s="746">
        <v>174908.82</v>
      </c>
      <c r="M1396" s="746">
        <v>140726.26</v>
      </c>
      <c r="N1396" s="493" t="str">
        <f t="shared" si="23"/>
        <v>C397</v>
      </c>
      <c r="O1396" s="493" t="s">
        <v>99</v>
      </c>
      <c r="P1396" s="493" t="s">
        <v>8005</v>
      </c>
    </row>
    <row r="1397" spans="1:16">
      <c r="A1397" s="761" t="s">
        <v>2339</v>
      </c>
      <c r="B1397" s="761" t="s">
        <v>2340</v>
      </c>
      <c r="C1397" s="761" t="s">
        <v>3122</v>
      </c>
      <c r="D1397" s="761">
        <v>15868442</v>
      </c>
      <c r="E1397" s="761" t="s">
        <v>2972</v>
      </c>
      <c r="F1397" s="761">
        <v>143000327</v>
      </c>
      <c r="G1397" s="761" t="s">
        <v>3123</v>
      </c>
      <c r="H1397" s="761" t="s">
        <v>3123</v>
      </c>
      <c r="I1397" s="761" t="s">
        <v>6867</v>
      </c>
      <c r="J1397" s="761">
        <v>1</v>
      </c>
      <c r="K1397" s="746">
        <v>129998.96</v>
      </c>
      <c r="L1397" s="746">
        <v>72038.78</v>
      </c>
      <c r="M1397" s="746">
        <v>57960.18</v>
      </c>
      <c r="N1397" s="493" t="str">
        <f t="shared" si="23"/>
        <v>C397</v>
      </c>
      <c r="O1397" s="493" t="s">
        <v>99</v>
      </c>
      <c r="P1397" s="493" t="s">
        <v>8005</v>
      </c>
    </row>
    <row r="1398" spans="1:16">
      <c r="A1398" s="761" t="s">
        <v>2339</v>
      </c>
      <c r="B1398" s="761" t="s">
        <v>2340</v>
      </c>
      <c r="C1398" s="761" t="s">
        <v>2712</v>
      </c>
      <c r="D1398" s="761">
        <v>15888439</v>
      </c>
      <c r="E1398" s="761" t="s">
        <v>2972</v>
      </c>
      <c r="F1398" s="761">
        <v>131204168</v>
      </c>
      <c r="G1398" s="761" t="s">
        <v>3073</v>
      </c>
      <c r="H1398" s="761" t="s">
        <v>7582</v>
      </c>
      <c r="I1398" s="761" t="s">
        <v>6867</v>
      </c>
      <c r="J1398" s="761">
        <v>2</v>
      </c>
      <c r="K1398" s="746">
        <v>29426.400000000001</v>
      </c>
      <c r="L1398" s="746">
        <v>16306.61</v>
      </c>
      <c r="M1398" s="746">
        <v>13119.79</v>
      </c>
      <c r="N1398" s="493" t="str">
        <f t="shared" si="23"/>
        <v>C397</v>
      </c>
      <c r="O1398" s="493" t="s">
        <v>390</v>
      </c>
      <c r="P1398" s="493"/>
    </row>
    <row r="1399" spans="1:16">
      <c r="A1399" s="761" t="s">
        <v>2339</v>
      </c>
      <c r="B1399" s="761" t="s">
        <v>2340</v>
      </c>
      <c r="C1399" s="761" t="s">
        <v>2350</v>
      </c>
      <c r="D1399" s="761">
        <v>27792531</v>
      </c>
      <c r="E1399" s="761" t="s">
        <v>2972</v>
      </c>
      <c r="F1399" s="761">
        <v>131203420</v>
      </c>
      <c r="G1399" s="761" t="s">
        <v>3040</v>
      </c>
      <c r="H1399" s="761" t="s">
        <v>7567</v>
      </c>
      <c r="I1399" s="761" t="s">
        <v>6867</v>
      </c>
      <c r="J1399" s="761">
        <v>1</v>
      </c>
      <c r="K1399" s="746">
        <v>45075.950000000004</v>
      </c>
      <c r="L1399" s="746">
        <v>28424.46</v>
      </c>
      <c r="M1399" s="746">
        <v>16651.490000000002</v>
      </c>
      <c r="N1399" s="493" t="str">
        <f t="shared" si="23"/>
        <v>C397</v>
      </c>
      <c r="O1399" s="493" t="s">
        <v>390</v>
      </c>
      <c r="P1399" s="493"/>
    </row>
    <row r="1400" spans="1:16">
      <c r="A1400" s="761" t="s">
        <v>2339</v>
      </c>
      <c r="B1400" s="761" t="s">
        <v>2340</v>
      </c>
      <c r="C1400" s="761" t="s">
        <v>3003</v>
      </c>
      <c r="D1400" s="761">
        <v>16616184</v>
      </c>
      <c r="E1400" s="761" t="s">
        <v>2972</v>
      </c>
      <c r="F1400" s="761">
        <v>131104112</v>
      </c>
      <c r="G1400" s="761" t="s">
        <v>3004</v>
      </c>
      <c r="H1400" s="761" t="s">
        <v>7585</v>
      </c>
      <c r="I1400" s="761" t="s">
        <v>6867</v>
      </c>
      <c r="J1400" s="761">
        <v>1</v>
      </c>
      <c r="K1400" s="746">
        <v>87621.57</v>
      </c>
      <c r="L1400" s="746">
        <v>48555.39</v>
      </c>
      <c r="M1400" s="746">
        <v>39066.18</v>
      </c>
      <c r="N1400" s="493" t="str">
        <f t="shared" si="23"/>
        <v>C397</v>
      </c>
      <c r="O1400" s="493" t="s">
        <v>99</v>
      </c>
      <c r="P1400" s="493" t="s">
        <v>8005</v>
      </c>
    </row>
    <row r="1401" spans="1:16">
      <c r="A1401" s="761" t="s">
        <v>2339</v>
      </c>
      <c r="B1401" s="761" t="s">
        <v>2340</v>
      </c>
      <c r="C1401" s="761" t="s">
        <v>2982</v>
      </c>
      <c r="D1401" s="761">
        <v>16728966</v>
      </c>
      <c r="E1401" s="761" t="s">
        <v>2972</v>
      </c>
      <c r="F1401" s="761">
        <v>143001560</v>
      </c>
      <c r="G1401" s="761" t="s">
        <v>3146</v>
      </c>
      <c r="H1401" s="761" t="s">
        <v>7586</v>
      </c>
      <c r="I1401" s="761" t="s">
        <v>6867</v>
      </c>
      <c r="J1401" s="761">
        <v>1</v>
      </c>
      <c r="K1401" s="746">
        <v>1146.6400000000001</v>
      </c>
      <c r="L1401" s="746">
        <v>635.41</v>
      </c>
      <c r="M1401" s="746">
        <v>511.23</v>
      </c>
      <c r="N1401" s="493" t="str">
        <f t="shared" si="23"/>
        <v>C397</v>
      </c>
      <c r="O1401" s="493" t="s">
        <v>99</v>
      </c>
      <c r="P1401" s="493" t="s">
        <v>8005</v>
      </c>
    </row>
    <row r="1402" spans="1:16">
      <c r="A1402" s="761" t="s">
        <v>2339</v>
      </c>
      <c r="B1402" s="761" t="s">
        <v>2340</v>
      </c>
      <c r="C1402" s="761" t="s">
        <v>3101</v>
      </c>
      <c r="D1402" s="761">
        <v>16728969</v>
      </c>
      <c r="E1402" s="761" t="s">
        <v>2972</v>
      </c>
      <c r="F1402" s="761">
        <v>143001593</v>
      </c>
      <c r="G1402" s="761" t="s">
        <v>3160</v>
      </c>
      <c r="H1402" s="761" t="s">
        <v>3160</v>
      </c>
      <c r="I1402" s="761" t="s">
        <v>6867</v>
      </c>
      <c r="J1402" s="761">
        <v>1</v>
      </c>
      <c r="K1402" s="746">
        <v>9405.89</v>
      </c>
      <c r="L1402" s="746">
        <v>5212.26</v>
      </c>
      <c r="M1402" s="746">
        <v>4193.63</v>
      </c>
      <c r="N1402" s="493" t="str">
        <f t="shared" si="23"/>
        <v>C397</v>
      </c>
      <c r="O1402" s="493" t="s">
        <v>99</v>
      </c>
      <c r="P1402" s="493" t="s">
        <v>8005</v>
      </c>
    </row>
    <row r="1403" spans="1:16">
      <c r="A1403" s="761" t="s">
        <v>2339</v>
      </c>
      <c r="B1403" s="761" t="s">
        <v>2340</v>
      </c>
      <c r="C1403" s="761" t="s">
        <v>2364</v>
      </c>
      <c r="D1403" s="761">
        <v>16728972</v>
      </c>
      <c r="E1403" s="761" t="s">
        <v>2972</v>
      </c>
      <c r="F1403" s="761">
        <v>143001620</v>
      </c>
      <c r="G1403" s="761" t="s">
        <v>3163</v>
      </c>
      <c r="H1403" s="761" t="s">
        <v>3163</v>
      </c>
      <c r="I1403" s="761" t="s">
        <v>6867</v>
      </c>
      <c r="J1403" s="761">
        <v>1</v>
      </c>
      <c r="K1403" s="746">
        <v>6855.9400000000005</v>
      </c>
      <c r="L1403" s="746">
        <v>3799.21</v>
      </c>
      <c r="M1403" s="746">
        <v>3056.73</v>
      </c>
      <c r="N1403" s="493" t="str">
        <f t="shared" si="23"/>
        <v>C397</v>
      </c>
      <c r="O1403" s="493" t="s">
        <v>99</v>
      </c>
      <c r="P1403" s="493" t="s">
        <v>8005</v>
      </c>
    </row>
    <row r="1404" spans="1:16">
      <c r="A1404" s="761" t="s">
        <v>2339</v>
      </c>
      <c r="B1404" s="761" t="s">
        <v>2340</v>
      </c>
      <c r="C1404" s="761" t="s">
        <v>3042</v>
      </c>
      <c r="D1404" s="761">
        <v>16728975</v>
      </c>
      <c r="E1404" s="761" t="s">
        <v>2972</v>
      </c>
      <c r="F1404" s="761">
        <v>143001621</v>
      </c>
      <c r="G1404" s="761" t="s">
        <v>3164</v>
      </c>
      <c r="H1404" s="761" t="s">
        <v>3164</v>
      </c>
      <c r="I1404" s="761" t="s">
        <v>6867</v>
      </c>
      <c r="J1404" s="761">
        <v>1</v>
      </c>
      <c r="K1404" s="746">
        <v>9433.51</v>
      </c>
      <c r="L1404" s="746">
        <v>5227.57</v>
      </c>
      <c r="M1404" s="746">
        <v>4205.9400000000005</v>
      </c>
      <c r="N1404" s="493" t="str">
        <f t="shared" si="23"/>
        <v>C397</v>
      </c>
      <c r="O1404" s="493" t="s">
        <v>99</v>
      </c>
      <c r="P1404" s="493" t="s">
        <v>8005</v>
      </c>
    </row>
    <row r="1405" spans="1:16">
      <c r="A1405" s="761" t="s">
        <v>2339</v>
      </c>
      <c r="B1405" s="761" t="s">
        <v>2340</v>
      </c>
      <c r="C1405" s="761" t="s">
        <v>2517</v>
      </c>
      <c r="D1405" s="761">
        <v>16982926</v>
      </c>
      <c r="E1405" s="761" t="s">
        <v>2972</v>
      </c>
      <c r="F1405" s="761">
        <v>143001574</v>
      </c>
      <c r="G1405" s="761" t="s">
        <v>3157</v>
      </c>
      <c r="H1405" s="761" t="s">
        <v>3157</v>
      </c>
      <c r="I1405" s="761" t="s">
        <v>6867</v>
      </c>
      <c r="J1405" s="761">
        <v>1</v>
      </c>
      <c r="K1405" s="746">
        <v>84572.94</v>
      </c>
      <c r="L1405" s="746">
        <v>46866</v>
      </c>
      <c r="M1405" s="746">
        <v>37706.94</v>
      </c>
      <c r="N1405" s="493" t="str">
        <f t="shared" si="23"/>
        <v>C397</v>
      </c>
      <c r="O1405" s="493" t="s">
        <v>99</v>
      </c>
      <c r="P1405" s="493" t="s">
        <v>8005</v>
      </c>
    </row>
    <row r="1406" spans="1:16">
      <c r="A1406" s="761" t="s">
        <v>2339</v>
      </c>
      <c r="B1406" s="761" t="s">
        <v>2340</v>
      </c>
      <c r="C1406" s="761" t="s">
        <v>2497</v>
      </c>
      <c r="D1406" s="761">
        <v>17697252</v>
      </c>
      <c r="E1406" s="761" t="s">
        <v>2972</v>
      </c>
      <c r="F1406" s="761">
        <v>143001140</v>
      </c>
      <c r="G1406" s="761" t="s">
        <v>3133</v>
      </c>
      <c r="H1406" s="761" t="s">
        <v>3133</v>
      </c>
      <c r="I1406" s="761" t="s">
        <v>6867</v>
      </c>
      <c r="J1406" s="761">
        <v>1</v>
      </c>
      <c r="K1406" s="746">
        <v>95944.27</v>
      </c>
      <c r="L1406" s="746">
        <v>46764.07</v>
      </c>
      <c r="M1406" s="746">
        <v>49180.200000000004</v>
      </c>
      <c r="N1406" s="493" t="str">
        <f t="shared" si="23"/>
        <v>C397</v>
      </c>
      <c r="O1406" s="493" t="s">
        <v>99</v>
      </c>
      <c r="P1406" s="493" t="s">
        <v>8005</v>
      </c>
    </row>
    <row r="1407" spans="1:16">
      <c r="A1407" s="761" t="s">
        <v>2339</v>
      </c>
      <c r="B1407" s="761" t="s">
        <v>2340</v>
      </c>
      <c r="C1407" s="761" t="s">
        <v>2983</v>
      </c>
      <c r="D1407" s="761">
        <v>18161158</v>
      </c>
      <c r="E1407" s="761" t="s">
        <v>2972</v>
      </c>
      <c r="F1407" s="761">
        <v>143001569</v>
      </c>
      <c r="G1407" s="761" t="s">
        <v>3151</v>
      </c>
      <c r="H1407" s="761" t="s">
        <v>7587</v>
      </c>
      <c r="I1407" s="761" t="s">
        <v>6867</v>
      </c>
      <c r="J1407" s="761">
        <v>2</v>
      </c>
      <c r="K1407" s="746">
        <v>50172.43</v>
      </c>
      <c r="L1407" s="746">
        <v>24454.48</v>
      </c>
      <c r="M1407" s="746">
        <v>25717.95</v>
      </c>
      <c r="N1407" s="493" t="str">
        <f t="shared" si="23"/>
        <v>C397</v>
      </c>
      <c r="O1407" s="493" t="s">
        <v>99</v>
      </c>
      <c r="P1407" s="493" t="s">
        <v>8005</v>
      </c>
    </row>
    <row r="1408" spans="1:16">
      <c r="A1408" s="761" t="s">
        <v>2339</v>
      </c>
      <c r="B1408" s="761" t="s">
        <v>2340</v>
      </c>
      <c r="C1408" s="761" t="s">
        <v>2982</v>
      </c>
      <c r="D1408" s="761">
        <v>18161163</v>
      </c>
      <c r="E1408" s="761" t="s">
        <v>2972</v>
      </c>
      <c r="F1408" s="761">
        <v>143001571</v>
      </c>
      <c r="G1408" s="761" t="s">
        <v>3154</v>
      </c>
      <c r="H1408" s="761" t="s">
        <v>7588</v>
      </c>
      <c r="I1408" s="761" t="s">
        <v>6867</v>
      </c>
      <c r="J1408" s="761">
        <v>4</v>
      </c>
      <c r="K1408" s="746">
        <v>82144.009999999995</v>
      </c>
      <c r="L1408" s="746">
        <v>40037.71</v>
      </c>
      <c r="M1408" s="746">
        <v>42106.3</v>
      </c>
      <c r="N1408" s="493" t="str">
        <f t="shared" si="23"/>
        <v>C397</v>
      </c>
      <c r="O1408" s="493" t="s">
        <v>99</v>
      </c>
      <c r="P1408" s="493" t="s">
        <v>8005</v>
      </c>
    </row>
    <row r="1409" spans="1:16">
      <c r="A1409" s="761" t="s">
        <v>2339</v>
      </c>
      <c r="B1409" s="761" t="s">
        <v>2340</v>
      </c>
      <c r="C1409" s="761" t="s">
        <v>3138</v>
      </c>
      <c r="D1409" s="761">
        <v>19159723</v>
      </c>
      <c r="E1409" s="761" t="s">
        <v>2972</v>
      </c>
      <c r="F1409" s="761">
        <v>143001389</v>
      </c>
      <c r="G1409" s="761" t="s">
        <v>3139</v>
      </c>
      <c r="H1409" s="761" t="s">
        <v>3139</v>
      </c>
      <c r="I1409" s="761" t="s">
        <v>6867</v>
      </c>
      <c r="J1409" s="761">
        <v>8410</v>
      </c>
      <c r="K1409" s="746">
        <v>80433.210000000006</v>
      </c>
      <c r="L1409" s="746">
        <v>44571.97</v>
      </c>
      <c r="M1409" s="746">
        <v>35861.24</v>
      </c>
      <c r="N1409" s="493" t="str">
        <f t="shared" si="23"/>
        <v>C397</v>
      </c>
      <c r="O1409" s="493" t="s">
        <v>392</v>
      </c>
      <c r="P1409" s="493"/>
    </row>
    <row r="1410" spans="1:16">
      <c r="A1410" s="761" t="s">
        <v>2339</v>
      </c>
      <c r="B1410" s="761" t="s">
        <v>2340</v>
      </c>
      <c r="C1410" s="761" t="s">
        <v>3191</v>
      </c>
      <c r="D1410" s="761">
        <v>19159738</v>
      </c>
      <c r="E1410" s="761" t="s">
        <v>2972</v>
      </c>
      <c r="F1410" s="761">
        <v>143001841</v>
      </c>
      <c r="G1410" s="761" t="s">
        <v>3192</v>
      </c>
      <c r="H1410" s="761" t="s">
        <v>7589</v>
      </c>
      <c r="I1410" s="761" t="s">
        <v>6867</v>
      </c>
      <c r="J1410" s="761">
        <v>2100</v>
      </c>
      <c r="K1410" s="746">
        <v>74658.040000000008</v>
      </c>
      <c r="L1410" s="746">
        <v>36388.980000000003</v>
      </c>
      <c r="M1410" s="746">
        <v>38269.06</v>
      </c>
      <c r="N1410" s="493" t="str">
        <f t="shared" si="23"/>
        <v>C397</v>
      </c>
      <c r="O1410" s="493" t="s">
        <v>390</v>
      </c>
      <c r="P1410" s="493"/>
    </row>
    <row r="1411" spans="1:16">
      <c r="A1411" s="761" t="s">
        <v>2339</v>
      </c>
      <c r="B1411" s="761" t="s">
        <v>2340</v>
      </c>
      <c r="C1411" s="761" t="s">
        <v>3061</v>
      </c>
      <c r="D1411" s="761">
        <v>19199592</v>
      </c>
      <c r="E1411" s="761" t="s">
        <v>2972</v>
      </c>
      <c r="F1411" s="761">
        <v>143001388</v>
      </c>
      <c r="G1411" s="761" t="s">
        <v>3137</v>
      </c>
      <c r="H1411" s="761" t="s">
        <v>7590</v>
      </c>
      <c r="I1411" s="761" t="s">
        <v>6867</v>
      </c>
      <c r="J1411" s="761">
        <v>1</v>
      </c>
      <c r="K1411" s="746">
        <v>64093.020000000004</v>
      </c>
      <c r="L1411" s="746">
        <v>35517.07</v>
      </c>
      <c r="M1411" s="746">
        <v>28575.95</v>
      </c>
      <c r="N1411" s="493" t="str">
        <f t="shared" si="23"/>
        <v>C397</v>
      </c>
      <c r="O1411" s="493" t="s">
        <v>99</v>
      </c>
      <c r="P1411" s="493" t="s">
        <v>8005</v>
      </c>
    </row>
    <row r="1412" spans="1:16">
      <c r="A1412" s="761" t="s">
        <v>2339</v>
      </c>
      <c r="B1412" s="761" t="s">
        <v>2340</v>
      </c>
      <c r="C1412" s="761" t="s">
        <v>2366</v>
      </c>
      <c r="D1412" s="761">
        <v>19199603</v>
      </c>
      <c r="E1412" s="761" t="s">
        <v>2972</v>
      </c>
      <c r="F1412" s="761">
        <v>143001702</v>
      </c>
      <c r="G1412" s="761" t="s">
        <v>3169</v>
      </c>
      <c r="H1412" s="761" t="s">
        <v>7591</v>
      </c>
      <c r="I1412" s="761" t="s">
        <v>6867</v>
      </c>
      <c r="J1412" s="761">
        <v>1</v>
      </c>
      <c r="K1412" s="746">
        <v>131741.42000000001</v>
      </c>
      <c r="L1412" s="746">
        <v>64211.91</v>
      </c>
      <c r="M1412" s="746">
        <v>67529.509999999995</v>
      </c>
      <c r="N1412" s="493" t="str">
        <f t="shared" si="23"/>
        <v>C397</v>
      </c>
      <c r="O1412" s="493" t="s">
        <v>99</v>
      </c>
      <c r="P1412" s="493" t="s">
        <v>8005</v>
      </c>
    </row>
    <row r="1413" spans="1:16">
      <c r="A1413" s="761" t="s">
        <v>2339</v>
      </c>
      <c r="B1413" s="761" t="s">
        <v>2340</v>
      </c>
      <c r="C1413" s="761" t="s">
        <v>3041</v>
      </c>
      <c r="D1413" s="761">
        <v>19544369</v>
      </c>
      <c r="E1413" s="761" t="s">
        <v>2972</v>
      </c>
      <c r="F1413" s="761">
        <v>143001584</v>
      </c>
      <c r="G1413" s="761" t="s">
        <v>3158</v>
      </c>
      <c r="H1413" s="761" t="s">
        <v>7592</v>
      </c>
      <c r="I1413" s="761" t="s">
        <v>6867</v>
      </c>
      <c r="J1413" s="761">
        <v>1</v>
      </c>
      <c r="K1413" s="746">
        <v>5622.82</v>
      </c>
      <c r="L1413" s="746">
        <v>2740.61</v>
      </c>
      <c r="M1413" s="746">
        <v>2882.21</v>
      </c>
      <c r="N1413" s="493" t="str">
        <f t="shared" si="23"/>
        <v>C397</v>
      </c>
      <c r="O1413" s="493" t="s">
        <v>390</v>
      </c>
      <c r="P1413" s="493"/>
    </row>
    <row r="1414" spans="1:16">
      <c r="A1414" s="761" t="s">
        <v>2339</v>
      </c>
      <c r="B1414" s="761" t="s">
        <v>2340</v>
      </c>
      <c r="C1414" s="761" t="s">
        <v>2995</v>
      </c>
      <c r="D1414" s="761">
        <v>19863569</v>
      </c>
      <c r="E1414" s="761" t="s">
        <v>2972</v>
      </c>
      <c r="F1414" s="761">
        <v>143001923</v>
      </c>
      <c r="G1414" s="761" t="s">
        <v>3196</v>
      </c>
      <c r="H1414" s="761" t="s">
        <v>3196</v>
      </c>
      <c r="I1414" s="761" t="s">
        <v>6867</v>
      </c>
      <c r="J1414" s="761">
        <v>1</v>
      </c>
      <c r="K1414" s="746">
        <v>42820.4</v>
      </c>
      <c r="L1414" s="746">
        <v>20871.04</v>
      </c>
      <c r="M1414" s="746">
        <v>21949.360000000001</v>
      </c>
      <c r="N1414" s="493" t="str">
        <f t="shared" si="23"/>
        <v>C397</v>
      </c>
      <c r="O1414" s="493" t="s">
        <v>99</v>
      </c>
      <c r="P1414" s="493" t="s">
        <v>8005</v>
      </c>
    </row>
    <row r="1415" spans="1:16">
      <c r="A1415" s="761" t="s">
        <v>2339</v>
      </c>
      <c r="B1415" s="761" t="s">
        <v>2340</v>
      </c>
      <c r="C1415" s="761" t="s">
        <v>3042</v>
      </c>
      <c r="D1415" s="761">
        <v>19912784</v>
      </c>
      <c r="E1415" s="761" t="s">
        <v>2972</v>
      </c>
      <c r="F1415" s="761">
        <v>143001565</v>
      </c>
      <c r="G1415" s="761" t="s">
        <v>3148</v>
      </c>
      <c r="H1415" s="761" t="s">
        <v>3148</v>
      </c>
      <c r="I1415" s="761" t="s">
        <v>6867</v>
      </c>
      <c r="J1415" s="761">
        <v>1</v>
      </c>
      <c r="K1415" s="746">
        <v>13218.98</v>
      </c>
      <c r="L1415" s="746">
        <v>6443.05</v>
      </c>
      <c r="M1415" s="746">
        <v>6775.93</v>
      </c>
      <c r="N1415" s="493" t="str">
        <f t="shared" si="23"/>
        <v>C397</v>
      </c>
      <c r="O1415" s="493" t="s">
        <v>99</v>
      </c>
      <c r="P1415" s="493" t="s">
        <v>8005</v>
      </c>
    </row>
    <row r="1416" spans="1:16">
      <c r="A1416" s="761" t="s">
        <v>2339</v>
      </c>
      <c r="B1416" s="761" t="s">
        <v>2340</v>
      </c>
      <c r="C1416" s="761" t="s">
        <v>3149</v>
      </c>
      <c r="D1416" s="761">
        <v>19912787</v>
      </c>
      <c r="E1416" s="761" t="s">
        <v>2972</v>
      </c>
      <c r="F1416" s="761">
        <v>143001566</v>
      </c>
      <c r="G1416" s="761" t="s">
        <v>3150</v>
      </c>
      <c r="H1416" s="761" t="s">
        <v>7593</v>
      </c>
      <c r="I1416" s="761" t="s">
        <v>6867</v>
      </c>
      <c r="J1416" s="761">
        <v>1</v>
      </c>
      <c r="K1416" s="746">
        <v>18468.02</v>
      </c>
      <c r="L1416" s="746">
        <v>9001.4699999999993</v>
      </c>
      <c r="M1416" s="746">
        <v>9466.5500000000011</v>
      </c>
      <c r="N1416" s="493" t="str">
        <f t="shared" si="23"/>
        <v>C397</v>
      </c>
      <c r="O1416" s="493" t="s">
        <v>99</v>
      </c>
      <c r="P1416" s="493" t="s">
        <v>8005</v>
      </c>
    </row>
    <row r="1417" spans="1:16">
      <c r="A1417" s="761" t="s">
        <v>2339</v>
      </c>
      <c r="B1417" s="761" t="s">
        <v>2340</v>
      </c>
      <c r="C1417" s="761" t="s">
        <v>2476</v>
      </c>
      <c r="D1417" s="761">
        <v>20013396</v>
      </c>
      <c r="E1417" s="761" t="s">
        <v>2972</v>
      </c>
      <c r="F1417" s="761">
        <v>143000701</v>
      </c>
      <c r="G1417" s="761" t="s">
        <v>3129</v>
      </c>
      <c r="H1417" s="761" t="s">
        <v>3129</v>
      </c>
      <c r="I1417" s="761" t="s">
        <v>6867</v>
      </c>
      <c r="J1417" s="761">
        <v>0</v>
      </c>
      <c r="K1417" s="746">
        <v>4907.32</v>
      </c>
      <c r="L1417" s="746">
        <v>2391.87</v>
      </c>
      <c r="M1417" s="746">
        <v>2515.4500000000003</v>
      </c>
      <c r="N1417" s="493" t="str">
        <f t="shared" si="23"/>
        <v>C397</v>
      </c>
      <c r="O1417" s="493" t="s">
        <v>99</v>
      </c>
      <c r="P1417" s="493" t="s">
        <v>8005</v>
      </c>
    </row>
    <row r="1418" spans="1:16">
      <c r="A1418" s="761" t="s">
        <v>2339</v>
      </c>
      <c r="B1418" s="761" t="s">
        <v>2340</v>
      </c>
      <c r="C1418" s="761" t="s">
        <v>2517</v>
      </c>
      <c r="D1418" s="761">
        <v>20013399</v>
      </c>
      <c r="E1418" s="761" t="s">
        <v>2972</v>
      </c>
      <c r="F1418" s="761">
        <v>143000742</v>
      </c>
      <c r="G1418" s="761" t="s">
        <v>3130</v>
      </c>
      <c r="H1418" s="761" t="s">
        <v>7594</v>
      </c>
      <c r="I1418" s="761" t="s">
        <v>6867</v>
      </c>
      <c r="J1418" s="761">
        <v>0</v>
      </c>
      <c r="K1418" s="746">
        <v>127454.01000000001</v>
      </c>
      <c r="L1418" s="746">
        <v>62122.19</v>
      </c>
      <c r="M1418" s="746">
        <v>65331.82</v>
      </c>
      <c r="N1418" s="493" t="str">
        <f t="shared" si="23"/>
        <v>C397</v>
      </c>
      <c r="O1418" s="493" t="s">
        <v>99</v>
      </c>
      <c r="P1418" s="493" t="s">
        <v>8005</v>
      </c>
    </row>
    <row r="1419" spans="1:16">
      <c r="A1419" s="761" t="s">
        <v>2339</v>
      </c>
      <c r="B1419" s="761" t="s">
        <v>2340</v>
      </c>
      <c r="C1419" s="761" t="s">
        <v>3140</v>
      </c>
      <c r="D1419" s="761">
        <v>20970210</v>
      </c>
      <c r="E1419" s="761" t="s">
        <v>2972</v>
      </c>
      <c r="F1419" s="761">
        <v>143001427</v>
      </c>
      <c r="G1419" s="761" t="s">
        <v>3141</v>
      </c>
      <c r="H1419" s="761" t="s">
        <v>3141</v>
      </c>
      <c r="I1419" s="761" t="s">
        <v>6867</v>
      </c>
      <c r="J1419" s="761">
        <v>0</v>
      </c>
      <c r="K1419" s="746">
        <v>112247.89</v>
      </c>
      <c r="L1419" s="746">
        <v>62202.04</v>
      </c>
      <c r="M1419" s="746">
        <v>50045.85</v>
      </c>
      <c r="N1419" s="493" t="str">
        <f t="shared" si="23"/>
        <v>C397</v>
      </c>
      <c r="O1419" s="493" t="s">
        <v>99</v>
      </c>
      <c r="P1419" s="493" t="s">
        <v>8005</v>
      </c>
    </row>
    <row r="1420" spans="1:16">
      <c r="A1420" s="761" t="s">
        <v>2339</v>
      </c>
      <c r="B1420" s="761" t="s">
        <v>2340</v>
      </c>
      <c r="C1420" s="761" t="s">
        <v>2350</v>
      </c>
      <c r="D1420" s="761">
        <v>27792552</v>
      </c>
      <c r="E1420" s="761" t="s">
        <v>2972</v>
      </c>
      <c r="F1420" s="761">
        <v>143001585</v>
      </c>
      <c r="G1420" s="761" t="s">
        <v>3159</v>
      </c>
      <c r="H1420" s="761" t="s">
        <v>7595</v>
      </c>
      <c r="I1420" s="761" t="s">
        <v>6867</v>
      </c>
      <c r="J1420" s="761">
        <v>1</v>
      </c>
      <c r="K1420" s="746">
        <v>330793.23</v>
      </c>
      <c r="L1420" s="746">
        <v>161231.5</v>
      </c>
      <c r="M1420" s="746">
        <v>169561.73</v>
      </c>
      <c r="N1420" s="493" t="str">
        <f t="shared" si="23"/>
        <v>C397</v>
      </c>
      <c r="O1420" s="493" t="s">
        <v>390</v>
      </c>
      <c r="P1420" s="493"/>
    </row>
    <row r="1421" spans="1:16">
      <c r="A1421" s="761" t="s">
        <v>2339</v>
      </c>
      <c r="B1421" s="761" t="s">
        <v>2340</v>
      </c>
      <c r="C1421" s="761" t="s">
        <v>3061</v>
      </c>
      <c r="D1421" s="761">
        <v>20540230</v>
      </c>
      <c r="E1421" s="761" t="s">
        <v>2972</v>
      </c>
      <c r="F1421" s="761">
        <v>131204000</v>
      </c>
      <c r="G1421" s="761" t="s">
        <v>3062</v>
      </c>
      <c r="H1421" s="761" t="s">
        <v>3062</v>
      </c>
      <c r="I1421" s="761" t="s">
        <v>6867</v>
      </c>
      <c r="J1421" s="761">
        <v>0</v>
      </c>
      <c r="K1421" s="746">
        <v>41225.840000000004</v>
      </c>
      <c r="L1421" s="746">
        <v>22845.25</v>
      </c>
      <c r="M1421" s="746">
        <v>18380.59</v>
      </c>
      <c r="N1421" s="493" t="str">
        <f t="shared" si="23"/>
        <v>C397</v>
      </c>
      <c r="O1421" s="493" t="s">
        <v>99</v>
      </c>
      <c r="P1421" s="493" t="s">
        <v>8005</v>
      </c>
    </row>
    <row r="1422" spans="1:16">
      <c r="A1422" s="761" t="s">
        <v>2339</v>
      </c>
      <c r="B1422" s="761" t="s">
        <v>2340</v>
      </c>
      <c r="C1422" s="761" t="s">
        <v>3084</v>
      </c>
      <c r="D1422" s="761">
        <v>20748435</v>
      </c>
      <c r="E1422" s="761" t="s">
        <v>2972</v>
      </c>
      <c r="F1422" s="761">
        <v>143001735</v>
      </c>
      <c r="G1422" s="761" t="s">
        <v>3173</v>
      </c>
      <c r="H1422" s="761" t="s">
        <v>7596</v>
      </c>
      <c r="I1422" s="761" t="s">
        <v>6867</v>
      </c>
      <c r="J1422" s="761">
        <v>0</v>
      </c>
      <c r="K1422" s="746">
        <v>9487.83</v>
      </c>
      <c r="L1422" s="746">
        <v>4624.45</v>
      </c>
      <c r="M1422" s="746">
        <v>4863.38</v>
      </c>
      <c r="N1422" s="493" t="str">
        <f t="shared" si="23"/>
        <v>C397</v>
      </c>
      <c r="O1422" s="493" t="s">
        <v>99</v>
      </c>
      <c r="P1422" s="493" t="s">
        <v>8005</v>
      </c>
    </row>
    <row r="1423" spans="1:16">
      <c r="A1423" s="761" t="s">
        <v>2339</v>
      </c>
      <c r="B1423" s="761" t="s">
        <v>2340</v>
      </c>
      <c r="C1423" s="761" t="s">
        <v>3015</v>
      </c>
      <c r="D1423" s="761">
        <v>20748444</v>
      </c>
      <c r="E1423" s="761" t="s">
        <v>2972</v>
      </c>
      <c r="F1423" s="761">
        <v>143001741</v>
      </c>
      <c r="G1423" s="761" t="s">
        <v>3177</v>
      </c>
      <c r="H1423" s="761" t="s">
        <v>7597</v>
      </c>
      <c r="I1423" s="761" t="s">
        <v>6867</v>
      </c>
      <c r="J1423" s="761">
        <v>0</v>
      </c>
      <c r="K1423" s="746">
        <v>23616.07</v>
      </c>
      <c r="L1423" s="746">
        <v>11510.68</v>
      </c>
      <c r="M1423" s="746">
        <v>12105.39</v>
      </c>
      <c r="N1423" s="493" t="str">
        <f t="shared" si="23"/>
        <v>C397</v>
      </c>
      <c r="O1423" s="493" t="s">
        <v>99</v>
      </c>
      <c r="P1423" s="493" t="s">
        <v>8005</v>
      </c>
    </row>
    <row r="1424" spans="1:16">
      <c r="A1424" s="761" t="s">
        <v>2339</v>
      </c>
      <c r="B1424" s="761" t="s">
        <v>2340</v>
      </c>
      <c r="C1424" s="761" t="s">
        <v>3005</v>
      </c>
      <c r="D1424" s="761">
        <v>20748447</v>
      </c>
      <c r="E1424" s="761" t="s">
        <v>2972</v>
      </c>
      <c r="F1424" s="761">
        <v>143001742</v>
      </c>
      <c r="G1424" s="761" t="s">
        <v>3178</v>
      </c>
      <c r="H1424" s="761" t="s">
        <v>7598</v>
      </c>
      <c r="I1424" s="761" t="s">
        <v>6867</v>
      </c>
      <c r="J1424" s="761">
        <v>0</v>
      </c>
      <c r="K1424" s="746">
        <v>7567.21</v>
      </c>
      <c r="L1424" s="746">
        <v>3688.32</v>
      </c>
      <c r="M1424" s="746">
        <v>3878.89</v>
      </c>
      <c r="N1424" s="493" t="str">
        <f t="shared" si="23"/>
        <v>C397</v>
      </c>
      <c r="O1424" s="493" t="s">
        <v>99</v>
      </c>
      <c r="P1424" s="493" t="s">
        <v>8005</v>
      </c>
    </row>
    <row r="1425" spans="1:16">
      <c r="A1425" s="761" t="s">
        <v>2339</v>
      </c>
      <c r="B1425" s="761" t="s">
        <v>2340</v>
      </c>
      <c r="C1425" s="761" t="s">
        <v>3166</v>
      </c>
      <c r="D1425" s="761">
        <v>20785159</v>
      </c>
      <c r="E1425" s="761" t="s">
        <v>2972</v>
      </c>
      <c r="F1425" s="761">
        <v>143001700</v>
      </c>
      <c r="G1425" s="761" t="s">
        <v>3167</v>
      </c>
      <c r="H1425" s="761" t="s">
        <v>3167</v>
      </c>
      <c r="I1425" s="761" t="s">
        <v>6867</v>
      </c>
      <c r="J1425" s="761">
        <v>0</v>
      </c>
      <c r="K1425" s="746">
        <v>17013.72</v>
      </c>
      <c r="L1425" s="746">
        <v>8292.64</v>
      </c>
      <c r="M1425" s="746">
        <v>8721.08</v>
      </c>
      <c r="N1425" s="493" t="str">
        <f t="shared" ref="N1425:N1488" si="24">LEFT(E1425,4)</f>
        <v>C397</v>
      </c>
      <c r="O1425" s="493" t="s">
        <v>392</v>
      </c>
      <c r="P1425" s="493"/>
    </row>
    <row r="1426" spans="1:16">
      <c r="A1426" s="761" t="s">
        <v>2339</v>
      </c>
      <c r="B1426" s="761" t="s">
        <v>2340</v>
      </c>
      <c r="C1426" s="761" t="s">
        <v>2982</v>
      </c>
      <c r="D1426" s="761">
        <v>20785162</v>
      </c>
      <c r="E1426" s="761" t="s">
        <v>2972</v>
      </c>
      <c r="F1426" s="761">
        <v>143001701</v>
      </c>
      <c r="G1426" s="761" t="s">
        <v>3168</v>
      </c>
      <c r="H1426" s="761" t="s">
        <v>3168</v>
      </c>
      <c r="I1426" s="761" t="s">
        <v>6867</v>
      </c>
      <c r="J1426" s="761">
        <v>0</v>
      </c>
      <c r="K1426" s="746">
        <v>23740.260000000002</v>
      </c>
      <c r="L1426" s="746">
        <v>11571.210000000001</v>
      </c>
      <c r="M1426" s="746">
        <v>12169.050000000001</v>
      </c>
      <c r="N1426" s="493" t="str">
        <f t="shared" si="24"/>
        <v>C397</v>
      </c>
      <c r="O1426" s="493" t="s">
        <v>99</v>
      </c>
      <c r="P1426" s="493" t="s">
        <v>8005</v>
      </c>
    </row>
    <row r="1427" spans="1:16">
      <c r="A1427" s="761" t="s">
        <v>2339</v>
      </c>
      <c r="B1427" s="761" t="s">
        <v>2340</v>
      </c>
      <c r="C1427" s="761" t="s">
        <v>3170</v>
      </c>
      <c r="D1427" s="761">
        <v>20785168</v>
      </c>
      <c r="E1427" s="761" t="s">
        <v>2972</v>
      </c>
      <c r="F1427" s="761">
        <v>143001732</v>
      </c>
      <c r="G1427" s="761" t="s">
        <v>3171</v>
      </c>
      <c r="H1427" s="761" t="s">
        <v>3171</v>
      </c>
      <c r="I1427" s="761" t="s">
        <v>6867</v>
      </c>
      <c r="J1427" s="761">
        <v>0</v>
      </c>
      <c r="K1427" s="746">
        <v>97912.6</v>
      </c>
      <c r="L1427" s="746">
        <v>47723.450000000004</v>
      </c>
      <c r="M1427" s="746">
        <v>50189.15</v>
      </c>
      <c r="N1427" s="493" t="str">
        <f t="shared" si="24"/>
        <v>C397</v>
      </c>
      <c r="O1427" s="493" t="s">
        <v>99</v>
      </c>
      <c r="P1427" s="493" t="s">
        <v>8005</v>
      </c>
    </row>
    <row r="1428" spans="1:16">
      <c r="A1428" s="761" t="s">
        <v>2339</v>
      </c>
      <c r="B1428" s="761" t="s">
        <v>2340</v>
      </c>
      <c r="C1428" s="761" t="s">
        <v>2366</v>
      </c>
      <c r="D1428" s="761">
        <v>20785171</v>
      </c>
      <c r="E1428" s="761" t="s">
        <v>2972</v>
      </c>
      <c r="F1428" s="761">
        <v>143001733</v>
      </c>
      <c r="G1428" s="761" t="s">
        <v>3172</v>
      </c>
      <c r="H1428" s="761" t="s">
        <v>3172</v>
      </c>
      <c r="I1428" s="761" t="s">
        <v>6867</v>
      </c>
      <c r="J1428" s="761">
        <v>0</v>
      </c>
      <c r="K1428" s="746">
        <v>99323.96</v>
      </c>
      <c r="L1428" s="746">
        <v>48411.360000000001</v>
      </c>
      <c r="M1428" s="746">
        <v>50912.6</v>
      </c>
      <c r="N1428" s="493" t="str">
        <f t="shared" si="24"/>
        <v>C397</v>
      </c>
      <c r="O1428" s="493" t="s">
        <v>99</v>
      </c>
      <c r="P1428" s="493" t="s">
        <v>8005</v>
      </c>
    </row>
    <row r="1429" spans="1:16">
      <c r="A1429" s="761" t="s">
        <v>2339</v>
      </c>
      <c r="B1429" s="761" t="s">
        <v>2340</v>
      </c>
      <c r="C1429" s="761" t="s">
        <v>3175</v>
      </c>
      <c r="D1429" s="761">
        <v>20785174</v>
      </c>
      <c r="E1429" s="761" t="s">
        <v>2972</v>
      </c>
      <c r="F1429" s="761">
        <v>143001740</v>
      </c>
      <c r="G1429" s="761" t="s">
        <v>3176</v>
      </c>
      <c r="H1429" s="761" t="s">
        <v>7599</v>
      </c>
      <c r="I1429" s="761" t="s">
        <v>6867</v>
      </c>
      <c r="J1429" s="761">
        <v>0</v>
      </c>
      <c r="K1429" s="746">
        <v>16116.17</v>
      </c>
      <c r="L1429" s="746">
        <v>7855.16</v>
      </c>
      <c r="M1429" s="746">
        <v>8261.01</v>
      </c>
      <c r="N1429" s="493" t="str">
        <f t="shared" si="24"/>
        <v>C397</v>
      </c>
      <c r="O1429" s="493" t="s">
        <v>99</v>
      </c>
      <c r="P1429" s="493" t="s">
        <v>8005</v>
      </c>
    </row>
    <row r="1430" spans="1:16">
      <c r="A1430" s="761" t="s">
        <v>2339</v>
      </c>
      <c r="B1430" s="761" t="s">
        <v>2340</v>
      </c>
      <c r="C1430" s="761" t="s">
        <v>3182</v>
      </c>
      <c r="D1430" s="761">
        <v>20785183</v>
      </c>
      <c r="E1430" s="761" t="s">
        <v>2972</v>
      </c>
      <c r="F1430" s="761">
        <v>143001761</v>
      </c>
      <c r="G1430" s="761" t="s">
        <v>3183</v>
      </c>
      <c r="H1430" s="761" t="s">
        <v>7600</v>
      </c>
      <c r="I1430" s="761" t="s">
        <v>6867</v>
      </c>
      <c r="J1430" s="761">
        <v>0</v>
      </c>
      <c r="K1430" s="746">
        <v>16854.150000000001</v>
      </c>
      <c r="L1430" s="746">
        <v>8214.86</v>
      </c>
      <c r="M1430" s="746">
        <v>8639.2900000000009</v>
      </c>
      <c r="N1430" s="493" t="str">
        <f t="shared" si="24"/>
        <v>C397</v>
      </c>
      <c r="O1430" s="493" t="s">
        <v>99</v>
      </c>
      <c r="P1430" s="493" t="s">
        <v>8005</v>
      </c>
    </row>
    <row r="1431" spans="1:16">
      <c r="A1431" s="761" t="s">
        <v>2339</v>
      </c>
      <c r="B1431" s="761" t="s">
        <v>2340</v>
      </c>
      <c r="C1431" s="761" t="s">
        <v>3185</v>
      </c>
      <c r="D1431" s="761">
        <v>20785196</v>
      </c>
      <c r="E1431" s="761" t="s">
        <v>2972</v>
      </c>
      <c r="F1431" s="761">
        <v>143001810</v>
      </c>
      <c r="G1431" s="761" t="s">
        <v>3186</v>
      </c>
      <c r="H1431" s="761" t="s">
        <v>3186</v>
      </c>
      <c r="I1431" s="761" t="s">
        <v>6867</v>
      </c>
      <c r="J1431" s="761">
        <v>0</v>
      </c>
      <c r="K1431" s="746">
        <v>75970.16</v>
      </c>
      <c r="L1431" s="746">
        <v>37028.520000000004</v>
      </c>
      <c r="M1431" s="746">
        <v>38941.64</v>
      </c>
      <c r="N1431" s="493" t="str">
        <f t="shared" si="24"/>
        <v>C397</v>
      </c>
      <c r="O1431" s="493" t="s">
        <v>99</v>
      </c>
      <c r="P1431" s="493" t="s">
        <v>8005</v>
      </c>
    </row>
    <row r="1432" spans="1:16">
      <c r="A1432" s="761" t="s">
        <v>2339</v>
      </c>
      <c r="B1432" s="761" t="s">
        <v>2340</v>
      </c>
      <c r="C1432" s="761" t="s">
        <v>3199</v>
      </c>
      <c r="D1432" s="761">
        <v>20785204</v>
      </c>
      <c r="E1432" s="761" t="s">
        <v>2972</v>
      </c>
      <c r="F1432" s="761">
        <v>143002002</v>
      </c>
      <c r="G1432" s="761" t="s">
        <v>3200</v>
      </c>
      <c r="H1432" s="761" t="s">
        <v>3200</v>
      </c>
      <c r="I1432" s="761" t="s">
        <v>6867</v>
      </c>
      <c r="J1432" s="761">
        <v>0</v>
      </c>
      <c r="K1432" s="746">
        <v>56143.49</v>
      </c>
      <c r="L1432" s="746">
        <v>24063.439999999999</v>
      </c>
      <c r="M1432" s="746">
        <v>32080.05</v>
      </c>
      <c r="N1432" s="493" t="str">
        <f t="shared" si="24"/>
        <v>C397</v>
      </c>
      <c r="O1432" s="493" t="s">
        <v>390</v>
      </c>
      <c r="P1432" s="493"/>
    </row>
    <row r="1433" spans="1:16">
      <c r="A1433" s="761" t="s">
        <v>2339</v>
      </c>
      <c r="B1433" s="761" t="s">
        <v>2340</v>
      </c>
      <c r="C1433" s="761" t="s">
        <v>3201</v>
      </c>
      <c r="D1433" s="761">
        <v>20785207</v>
      </c>
      <c r="E1433" s="761" t="s">
        <v>2972</v>
      </c>
      <c r="F1433" s="761">
        <v>143002003</v>
      </c>
      <c r="G1433" s="761" t="s">
        <v>3202</v>
      </c>
      <c r="H1433" s="761" t="s">
        <v>7601</v>
      </c>
      <c r="I1433" s="761" t="s">
        <v>6867</v>
      </c>
      <c r="J1433" s="761">
        <v>0</v>
      </c>
      <c r="K1433" s="746">
        <v>24639.920000000002</v>
      </c>
      <c r="L1433" s="746">
        <v>10560.82</v>
      </c>
      <c r="M1433" s="746">
        <v>14079.1</v>
      </c>
      <c r="N1433" s="493" t="str">
        <f t="shared" si="24"/>
        <v>C397</v>
      </c>
      <c r="O1433" s="493" t="s">
        <v>392</v>
      </c>
      <c r="P1433" s="493"/>
    </row>
    <row r="1434" spans="1:16">
      <c r="A1434" s="761" t="s">
        <v>2339</v>
      </c>
      <c r="B1434" s="761" t="s">
        <v>2340</v>
      </c>
      <c r="C1434" s="761" t="s">
        <v>3152</v>
      </c>
      <c r="D1434" s="761">
        <v>20831093</v>
      </c>
      <c r="E1434" s="761" t="s">
        <v>2972</v>
      </c>
      <c r="F1434" s="761">
        <v>143001570</v>
      </c>
      <c r="G1434" s="761" t="s">
        <v>3153</v>
      </c>
      <c r="H1434" s="761" t="s">
        <v>7602</v>
      </c>
      <c r="I1434" s="761" t="s">
        <v>6867</v>
      </c>
      <c r="J1434" s="761">
        <v>0</v>
      </c>
      <c r="K1434" s="746">
        <v>6573.53</v>
      </c>
      <c r="L1434" s="746">
        <v>3204</v>
      </c>
      <c r="M1434" s="746">
        <v>3369.53</v>
      </c>
      <c r="N1434" s="493" t="str">
        <f t="shared" si="24"/>
        <v>C397</v>
      </c>
      <c r="O1434" s="493" t="s">
        <v>390</v>
      </c>
      <c r="P1434" s="493"/>
    </row>
    <row r="1435" spans="1:16">
      <c r="A1435" s="761" t="s">
        <v>2339</v>
      </c>
      <c r="B1435" s="761" t="s">
        <v>2340</v>
      </c>
      <c r="C1435" s="761" t="s">
        <v>3155</v>
      </c>
      <c r="D1435" s="761">
        <v>20831096</v>
      </c>
      <c r="E1435" s="761" t="s">
        <v>2972</v>
      </c>
      <c r="F1435" s="761">
        <v>143001573</v>
      </c>
      <c r="G1435" s="761" t="s">
        <v>3156</v>
      </c>
      <c r="H1435" s="761" t="s">
        <v>7603</v>
      </c>
      <c r="I1435" s="761" t="s">
        <v>6867</v>
      </c>
      <c r="J1435" s="761">
        <v>0</v>
      </c>
      <c r="K1435" s="746">
        <v>7115.62</v>
      </c>
      <c r="L1435" s="746">
        <v>3468.2200000000003</v>
      </c>
      <c r="M1435" s="746">
        <v>3647.4</v>
      </c>
      <c r="N1435" s="493" t="str">
        <f t="shared" si="24"/>
        <v>C397</v>
      </c>
      <c r="O1435" s="493" t="s">
        <v>390</v>
      </c>
      <c r="P1435" s="493"/>
    </row>
    <row r="1436" spans="1:16">
      <c r="A1436" s="761" t="s">
        <v>2339</v>
      </c>
      <c r="B1436" s="761" t="s">
        <v>2340</v>
      </c>
      <c r="C1436" s="761" t="s">
        <v>3161</v>
      </c>
      <c r="D1436" s="761">
        <v>20831099</v>
      </c>
      <c r="E1436" s="761" t="s">
        <v>2972</v>
      </c>
      <c r="F1436" s="761">
        <v>143001595</v>
      </c>
      <c r="G1436" s="761" t="s">
        <v>3162</v>
      </c>
      <c r="H1436" s="761" t="s">
        <v>7604</v>
      </c>
      <c r="I1436" s="761" t="s">
        <v>6867</v>
      </c>
      <c r="J1436" s="761">
        <v>0</v>
      </c>
      <c r="K1436" s="746">
        <v>12743.33</v>
      </c>
      <c r="L1436" s="746">
        <v>6211.21</v>
      </c>
      <c r="M1436" s="746">
        <v>6532.12</v>
      </c>
      <c r="N1436" s="493" t="str">
        <f t="shared" si="24"/>
        <v>C397</v>
      </c>
      <c r="O1436" s="493" t="s">
        <v>390</v>
      </c>
      <c r="P1436" s="493"/>
    </row>
    <row r="1437" spans="1:16">
      <c r="A1437" s="761" t="s">
        <v>2339</v>
      </c>
      <c r="B1437" s="761" t="s">
        <v>2340</v>
      </c>
      <c r="C1437" s="761" t="s">
        <v>3187</v>
      </c>
      <c r="D1437" s="761">
        <v>20831114</v>
      </c>
      <c r="E1437" s="761" t="s">
        <v>2972</v>
      </c>
      <c r="F1437" s="761">
        <v>143001814</v>
      </c>
      <c r="G1437" s="761" t="s">
        <v>3188</v>
      </c>
      <c r="H1437" s="761" t="s">
        <v>3188</v>
      </c>
      <c r="I1437" s="761" t="s">
        <v>6867</v>
      </c>
      <c r="J1437" s="761">
        <v>0</v>
      </c>
      <c r="K1437" s="746">
        <v>19175.29</v>
      </c>
      <c r="L1437" s="746">
        <v>9346.2000000000007</v>
      </c>
      <c r="M1437" s="746">
        <v>9829.09</v>
      </c>
      <c r="N1437" s="493" t="str">
        <f t="shared" si="24"/>
        <v>C397</v>
      </c>
      <c r="O1437" s="493" t="s">
        <v>99</v>
      </c>
      <c r="P1437" s="493" t="s">
        <v>8005</v>
      </c>
    </row>
    <row r="1438" spans="1:16">
      <c r="A1438" s="761" t="s">
        <v>2339</v>
      </c>
      <c r="B1438" s="761" t="s">
        <v>2340</v>
      </c>
      <c r="C1438" s="761" t="s">
        <v>3197</v>
      </c>
      <c r="D1438" s="761">
        <v>20831123</v>
      </c>
      <c r="E1438" s="761" t="s">
        <v>2972</v>
      </c>
      <c r="F1438" s="761">
        <v>143001985</v>
      </c>
      <c r="G1438" s="761" t="s">
        <v>3198</v>
      </c>
      <c r="H1438" s="761" t="s">
        <v>3198</v>
      </c>
      <c r="I1438" s="761" t="s">
        <v>6867</v>
      </c>
      <c r="J1438" s="761">
        <v>0</v>
      </c>
      <c r="K1438" s="746">
        <v>66309.42</v>
      </c>
      <c r="L1438" s="746">
        <v>28420.62</v>
      </c>
      <c r="M1438" s="746">
        <v>37888.800000000003</v>
      </c>
      <c r="N1438" s="493" t="str">
        <f t="shared" si="24"/>
        <v>C397</v>
      </c>
      <c r="O1438" s="493" t="s">
        <v>390</v>
      </c>
      <c r="P1438" s="493"/>
    </row>
    <row r="1439" spans="1:16">
      <c r="A1439" s="761" t="s">
        <v>2339</v>
      </c>
      <c r="B1439" s="761" t="s">
        <v>2340</v>
      </c>
      <c r="C1439" s="761" t="s">
        <v>2455</v>
      </c>
      <c r="D1439" s="761">
        <v>20970239</v>
      </c>
      <c r="E1439" s="761" t="s">
        <v>2972</v>
      </c>
      <c r="F1439" s="761">
        <v>143001809</v>
      </c>
      <c r="G1439" s="761" t="s">
        <v>3184</v>
      </c>
      <c r="H1439" s="761" t="s">
        <v>3184</v>
      </c>
      <c r="I1439" s="761" t="s">
        <v>6867</v>
      </c>
      <c r="J1439" s="761">
        <v>0</v>
      </c>
      <c r="K1439" s="746">
        <v>86374.25</v>
      </c>
      <c r="L1439" s="746">
        <v>42099.56</v>
      </c>
      <c r="M1439" s="746">
        <v>44274.69</v>
      </c>
      <c r="N1439" s="493" t="str">
        <f t="shared" si="24"/>
        <v>C397</v>
      </c>
      <c r="O1439" s="493" t="s">
        <v>99</v>
      </c>
      <c r="P1439" s="493" t="s">
        <v>8005</v>
      </c>
    </row>
    <row r="1440" spans="1:16">
      <c r="A1440" s="761" t="s">
        <v>2339</v>
      </c>
      <c r="B1440" s="761" t="s">
        <v>2340</v>
      </c>
      <c r="C1440" s="761" t="s">
        <v>2365</v>
      </c>
      <c r="D1440" s="761">
        <v>21685573</v>
      </c>
      <c r="E1440" s="761" t="s">
        <v>2972</v>
      </c>
      <c r="F1440" s="761">
        <v>143001922</v>
      </c>
      <c r="G1440" s="761" t="s">
        <v>3195</v>
      </c>
      <c r="H1440" s="761" t="s">
        <v>3195</v>
      </c>
      <c r="I1440" s="761" t="s">
        <v>6867</v>
      </c>
      <c r="J1440" s="761">
        <v>0</v>
      </c>
      <c r="K1440" s="746">
        <v>32300.62</v>
      </c>
      <c r="L1440" s="746">
        <v>13844.24</v>
      </c>
      <c r="M1440" s="746">
        <v>18456.38</v>
      </c>
      <c r="N1440" s="493" t="str">
        <f t="shared" si="24"/>
        <v>C397</v>
      </c>
      <c r="O1440" s="493" t="s">
        <v>99</v>
      </c>
      <c r="P1440" s="493" t="s">
        <v>8005</v>
      </c>
    </row>
    <row r="1441" spans="1:16">
      <c r="A1441" s="761" t="s">
        <v>2339</v>
      </c>
      <c r="B1441" s="761" t="s">
        <v>2340</v>
      </c>
      <c r="C1441" s="761" t="s">
        <v>2982</v>
      </c>
      <c r="D1441" s="761">
        <v>22569055</v>
      </c>
      <c r="E1441" s="761" t="s">
        <v>2972</v>
      </c>
      <c r="F1441" s="761">
        <v>143001640</v>
      </c>
      <c r="G1441" s="761" t="s">
        <v>3165</v>
      </c>
      <c r="H1441" s="761" t="s">
        <v>3165</v>
      </c>
      <c r="I1441" s="761" t="s">
        <v>6867</v>
      </c>
      <c r="J1441" s="761">
        <v>0</v>
      </c>
      <c r="K1441" s="746">
        <v>19682.34</v>
      </c>
      <c r="L1441" s="746">
        <v>8435.9699999999993</v>
      </c>
      <c r="M1441" s="746">
        <v>11246.37</v>
      </c>
      <c r="N1441" s="493" t="str">
        <f t="shared" si="24"/>
        <v>C397</v>
      </c>
      <c r="O1441" s="493" t="s">
        <v>99</v>
      </c>
      <c r="P1441" s="493" t="s">
        <v>8005</v>
      </c>
    </row>
    <row r="1442" spans="1:16">
      <c r="A1442" s="761" t="s">
        <v>2339</v>
      </c>
      <c r="B1442" s="761" t="s">
        <v>2340</v>
      </c>
      <c r="C1442" s="761" t="s">
        <v>3145</v>
      </c>
      <c r="D1442" s="761">
        <v>22930114</v>
      </c>
      <c r="E1442" s="761" t="s">
        <v>2972</v>
      </c>
      <c r="F1442" s="761">
        <v>143001539</v>
      </c>
      <c r="G1442" s="761" t="s">
        <v>3146</v>
      </c>
      <c r="H1442" s="761" t="s">
        <v>7586</v>
      </c>
      <c r="I1442" s="761" t="s">
        <v>6867</v>
      </c>
      <c r="J1442" s="761">
        <v>0</v>
      </c>
      <c r="K1442" s="746">
        <v>4111.58</v>
      </c>
      <c r="L1442" s="746">
        <v>2278.4299999999998</v>
      </c>
      <c r="M1442" s="746">
        <v>1833.15</v>
      </c>
      <c r="N1442" s="493" t="str">
        <f t="shared" si="24"/>
        <v>C397</v>
      </c>
      <c r="O1442" s="493" t="s">
        <v>99</v>
      </c>
      <c r="P1442" s="493" t="s">
        <v>8005</v>
      </c>
    </row>
    <row r="1443" spans="1:16">
      <c r="A1443" s="761" t="s">
        <v>2339</v>
      </c>
      <c r="B1443" s="761" t="s">
        <v>2340</v>
      </c>
      <c r="C1443" s="761" t="s">
        <v>2455</v>
      </c>
      <c r="D1443" s="761">
        <v>23122310</v>
      </c>
      <c r="E1443" s="761" t="s">
        <v>2972</v>
      </c>
      <c r="F1443" s="761">
        <v>143002199</v>
      </c>
      <c r="G1443" s="761" t="s">
        <v>3232</v>
      </c>
      <c r="H1443" s="761" t="s">
        <v>3232</v>
      </c>
      <c r="I1443" s="761" t="s">
        <v>6867</v>
      </c>
      <c r="J1443" s="761">
        <v>0</v>
      </c>
      <c r="K1443" s="746">
        <v>48761.81</v>
      </c>
      <c r="L1443" s="746">
        <v>20899.600000000002</v>
      </c>
      <c r="M1443" s="746">
        <v>27862.21</v>
      </c>
      <c r="N1443" s="493" t="str">
        <f t="shared" si="24"/>
        <v>C397</v>
      </c>
      <c r="O1443" s="493" t="s">
        <v>99</v>
      </c>
      <c r="P1443" s="493" t="s">
        <v>8005</v>
      </c>
    </row>
    <row r="1444" spans="1:16">
      <c r="A1444" s="761" t="s">
        <v>2339</v>
      </c>
      <c r="B1444" s="761" t="s">
        <v>2340</v>
      </c>
      <c r="C1444" s="761" t="s">
        <v>3233</v>
      </c>
      <c r="D1444" s="761">
        <v>23122315</v>
      </c>
      <c r="E1444" s="761" t="s">
        <v>2972</v>
      </c>
      <c r="F1444" s="761">
        <v>143002200</v>
      </c>
      <c r="G1444" s="761" t="s">
        <v>3234</v>
      </c>
      <c r="H1444" s="761" t="s">
        <v>3234</v>
      </c>
      <c r="I1444" s="761" t="s">
        <v>6867</v>
      </c>
      <c r="J1444" s="761">
        <v>0</v>
      </c>
      <c r="K1444" s="746">
        <v>8438.27</v>
      </c>
      <c r="L1444" s="746">
        <v>3616.69</v>
      </c>
      <c r="M1444" s="746">
        <v>4821.58</v>
      </c>
      <c r="N1444" s="493" t="str">
        <f t="shared" si="24"/>
        <v>C397</v>
      </c>
      <c r="O1444" s="493" t="s">
        <v>99</v>
      </c>
      <c r="P1444" s="493" t="s">
        <v>8005</v>
      </c>
    </row>
    <row r="1445" spans="1:16">
      <c r="A1445" s="761" t="s">
        <v>2339</v>
      </c>
      <c r="B1445" s="761" t="s">
        <v>2340</v>
      </c>
      <c r="C1445" s="761" t="s">
        <v>3189</v>
      </c>
      <c r="D1445" s="761">
        <v>23668114</v>
      </c>
      <c r="E1445" s="761" t="s">
        <v>2972</v>
      </c>
      <c r="F1445" s="761">
        <v>143001819</v>
      </c>
      <c r="G1445" s="761" t="s">
        <v>3190</v>
      </c>
      <c r="H1445" s="761" t="s">
        <v>3190</v>
      </c>
      <c r="I1445" s="761" t="s">
        <v>6867</v>
      </c>
      <c r="J1445" s="761">
        <v>0</v>
      </c>
      <c r="K1445" s="746">
        <v>67.070000000000007</v>
      </c>
      <c r="L1445" s="746">
        <v>28.75</v>
      </c>
      <c r="M1445" s="746">
        <v>38.32</v>
      </c>
      <c r="N1445" s="493" t="str">
        <f t="shared" si="24"/>
        <v>C397</v>
      </c>
      <c r="O1445" s="493" t="s">
        <v>392</v>
      </c>
      <c r="P1445" s="493"/>
    </row>
    <row r="1446" spans="1:16">
      <c r="A1446" s="761" t="s">
        <v>2339</v>
      </c>
      <c r="B1446" s="761" t="s">
        <v>2340</v>
      </c>
      <c r="C1446" s="761" t="s">
        <v>3045</v>
      </c>
      <c r="D1446" s="761">
        <v>23863502</v>
      </c>
      <c r="E1446" s="761" t="s">
        <v>2972</v>
      </c>
      <c r="F1446" s="761">
        <v>143001535</v>
      </c>
      <c r="G1446" s="761" t="s">
        <v>3143</v>
      </c>
      <c r="H1446" s="761" t="s">
        <v>7605</v>
      </c>
      <c r="I1446" s="761" t="s">
        <v>6867</v>
      </c>
      <c r="J1446" s="761">
        <v>0</v>
      </c>
      <c r="K1446" s="746">
        <v>39162.450000000004</v>
      </c>
      <c r="L1446" s="746">
        <v>16785.260000000002</v>
      </c>
      <c r="M1446" s="746">
        <v>22377.19</v>
      </c>
      <c r="N1446" s="493" t="str">
        <f t="shared" si="24"/>
        <v>C397</v>
      </c>
      <c r="O1446" s="493" t="s">
        <v>99</v>
      </c>
      <c r="P1446" s="493" t="s">
        <v>8005</v>
      </c>
    </row>
    <row r="1447" spans="1:16">
      <c r="A1447" s="761" t="s">
        <v>2339</v>
      </c>
      <c r="B1447" s="761" t="s">
        <v>2340</v>
      </c>
      <c r="C1447" s="761" t="s">
        <v>3144</v>
      </c>
      <c r="D1447" s="761">
        <v>23863507</v>
      </c>
      <c r="E1447" s="761" t="s">
        <v>2972</v>
      </c>
      <c r="F1447" s="761">
        <v>143001536</v>
      </c>
      <c r="G1447" s="761" t="s">
        <v>3143</v>
      </c>
      <c r="H1447" s="761" t="s">
        <v>7605</v>
      </c>
      <c r="I1447" s="761" t="s">
        <v>6867</v>
      </c>
      <c r="J1447" s="761">
        <v>0</v>
      </c>
      <c r="K1447" s="746">
        <v>92490.94</v>
      </c>
      <c r="L1447" s="746">
        <v>39642.17</v>
      </c>
      <c r="M1447" s="746">
        <v>52848.770000000004</v>
      </c>
      <c r="N1447" s="493" t="str">
        <f t="shared" si="24"/>
        <v>C397</v>
      </c>
      <c r="O1447" s="493" t="s">
        <v>99</v>
      </c>
      <c r="P1447" s="493" t="s">
        <v>8005</v>
      </c>
    </row>
    <row r="1448" spans="1:16">
      <c r="A1448" s="761" t="s">
        <v>2339</v>
      </c>
      <c r="B1448" s="761" t="s">
        <v>2340</v>
      </c>
      <c r="C1448" s="761" t="s">
        <v>2745</v>
      </c>
      <c r="D1448" s="761">
        <v>24002328</v>
      </c>
      <c r="E1448" s="761" t="s">
        <v>2972</v>
      </c>
      <c r="F1448" s="761">
        <v>131203120</v>
      </c>
      <c r="G1448" s="761" t="s">
        <v>3034</v>
      </c>
      <c r="H1448" s="761" t="s">
        <v>7606</v>
      </c>
      <c r="I1448" s="761" t="s">
        <v>6867</v>
      </c>
      <c r="J1448" s="761">
        <v>0</v>
      </c>
      <c r="K1448" s="746">
        <v>22876.18</v>
      </c>
      <c r="L1448" s="746">
        <v>9804.8700000000008</v>
      </c>
      <c r="M1448" s="746">
        <v>13071.31</v>
      </c>
      <c r="N1448" s="493" t="str">
        <f t="shared" si="24"/>
        <v>C397</v>
      </c>
      <c r="O1448" s="493" t="s">
        <v>99</v>
      </c>
      <c r="P1448" s="493" t="s">
        <v>8005</v>
      </c>
    </row>
    <row r="1449" spans="1:16">
      <c r="A1449" s="761" t="s">
        <v>2339</v>
      </c>
      <c r="B1449" s="761" t="s">
        <v>2340</v>
      </c>
      <c r="C1449" s="761" t="s">
        <v>2361</v>
      </c>
      <c r="D1449" s="761">
        <v>24002349</v>
      </c>
      <c r="E1449" s="761" t="s">
        <v>2972</v>
      </c>
      <c r="F1449" s="761">
        <v>143002140</v>
      </c>
      <c r="G1449" s="761" t="s">
        <v>3212</v>
      </c>
      <c r="H1449" s="761" t="s">
        <v>7607</v>
      </c>
      <c r="I1449" s="761" t="s">
        <v>6867</v>
      </c>
      <c r="J1449" s="761">
        <v>0</v>
      </c>
      <c r="K1449" s="746">
        <v>26995.57</v>
      </c>
      <c r="L1449" s="746">
        <v>11570.460000000001</v>
      </c>
      <c r="M1449" s="746">
        <v>15425.11</v>
      </c>
      <c r="N1449" s="493" t="str">
        <f t="shared" si="24"/>
        <v>C397</v>
      </c>
      <c r="O1449" s="493" t="s">
        <v>99</v>
      </c>
      <c r="P1449" s="493" t="s">
        <v>8005</v>
      </c>
    </row>
    <row r="1450" spans="1:16">
      <c r="A1450" s="761" t="s">
        <v>2339</v>
      </c>
      <c r="B1450" s="761" t="s">
        <v>2340</v>
      </c>
      <c r="C1450" s="761" t="s">
        <v>3170</v>
      </c>
      <c r="D1450" s="761">
        <v>24002354</v>
      </c>
      <c r="E1450" s="761" t="s">
        <v>2972</v>
      </c>
      <c r="F1450" s="761">
        <v>143002142</v>
      </c>
      <c r="G1450" s="761" t="s">
        <v>3215</v>
      </c>
      <c r="H1450" s="761" t="s">
        <v>7608</v>
      </c>
      <c r="I1450" s="761" t="s">
        <v>6867</v>
      </c>
      <c r="J1450" s="761">
        <v>0</v>
      </c>
      <c r="K1450" s="746">
        <v>42959.13</v>
      </c>
      <c r="L1450" s="746">
        <v>18412.54</v>
      </c>
      <c r="M1450" s="746">
        <v>24546.59</v>
      </c>
      <c r="N1450" s="493" t="str">
        <f t="shared" si="24"/>
        <v>C397</v>
      </c>
      <c r="O1450" s="493" t="s">
        <v>99</v>
      </c>
      <c r="P1450" s="493" t="s">
        <v>8005</v>
      </c>
    </row>
    <row r="1451" spans="1:16">
      <c r="A1451" s="761" t="s">
        <v>2339</v>
      </c>
      <c r="B1451" s="761" t="s">
        <v>2340</v>
      </c>
      <c r="C1451" s="761" t="s">
        <v>2360</v>
      </c>
      <c r="D1451" s="761">
        <v>24002359</v>
      </c>
      <c r="E1451" s="761" t="s">
        <v>2972</v>
      </c>
      <c r="F1451" s="761">
        <v>143002143</v>
      </c>
      <c r="G1451" s="761" t="s">
        <v>3216</v>
      </c>
      <c r="H1451" s="761" t="s">
        <v>7609</v>
      </c>
      <c r="I1451" s="761" t="s">
        <v>6867</v>
      </c>
      <c r="J1451" s="761">
        <v>0</v>
      </c>
      <c r="K1451" s="746">
        <v>17704.46</v>
      </c>
      <c r="L1451" s="746">
        <v>7588.24</v>
      </c>
      <c r="M1451" s="746">
        <v>10116.219999999999</v>
      </c>
      <c r="N1451" s="493" t="str">
        <f t="shared" si="24"/>
        <v>C397</v>
      </c>
      <c r="O1451" s="493" t="s">
        <v>390</v>
      </c>
      <c r="P1451" s="493"/>
    </row>
    <row r="1452" spans="1:16">
      <c r="A1452" s="761" t="s">
        <v>2339</v>
      </c>
      <c r="B1452" s="761" t="s">
        <v>2340</v>
      </c>
      <c r="C1452" s="761" t="s">
        <v>3217</v>
      </c>
      <c r="D1452" s="761">
        <v>24002364</v>
      </c>
      <c r="E1452" s="761" t="s">
        <v>2972</v>
      </c>
      <c r="F1452" s="761">
        <v>143002144</v>
      </c>
      <c r="G1452" s="761" t="s">
        <v>3218</v>
      </c>
      <c r="H1452" s="761" t="s">
        <v>7610</v>
      </c>
      <c r="I1452" s="761" t="s">
        <v>6867</v>
      </c>
      <c r="J1452" s="761">
        <v>0</v>
      </c>
      <c r="K1452" s="746">
        <v>55061.279999999999</v>
      </c>
      <c r="L1452" s="746">
        <v>23599.600000000002</v>
      </c>
      <c r="M1452" s="746">
        <v>31461.68</v>
      </c>
      <c r="N1452" s="493" t="str">
        <f t="shared" si="24"/>
        <v>C397</v>
      </c>
      <c r="O1452" s="493" t="s">
        <v>390</v>
      </c>
      <c r="P1452" s="493"/>
    </row>
    <row r="1453" spans="1:16">
      <c r="A1453" s="761" t="s">
        <v>2339</v>
      </c>
      <c r="B1453" s="761" t="s">
        <v>2340</v>
      </c>
      <c r="C1453" s="761" t="s">
        <v>3213</v>
      </c>
      <c r="D1453" s="761">
        <v>24038059</v>
      </c>
      <c r="E1453" s="761" t="s">
        <v>2972</v>
      </c>
      <c r="F1453" s="761">
        <v>143002141</v>
      </c>
      <c r="G1453" s="761" t="s">
        <v>3214</v>
      </c>
      <c r="H1453" s="761" t="s">
        <v>7611</v>
      </c>
      <c r="I1453" s="761" t="s">
        <v>6867</v>
      </c>
      <c r="J1453" s="761">
        <v>0</v>
      </c>
      <c r="K1453" s="746">
        <v>50329.74</v>
      </c>
      <c r="L1453" s="746">
        <v>21571.63</v>
      </c>
      <c r="M1453" s="746">
        <v>28758.11</v>
      </c>
      <c r="N1453" s="493" t="str">
        <f t="shared" si="24"/>
        <v>C397</v>
      </c>
      <c r="O1453" s="493" t="s">
        <v>390</v>
      </c>
      <c r="P1453" s="493"/>
    </row>
    <row r="1454" spans="1:16">
      <c r="A1454" s="761" t="s">
        <v>2339</v>
      </c>
      <c r="B1454" s="761" t="s">
        <v>2340</v>
      </c>
      <c r="C1454" s="761" t="s">
        <v>3213</v>
      </c>
      <c r="D1454" s="761">
        <v>24038064</v>
      </c>
      <c r="E1454" s="761" t="s">
        <v>2972</v>
      </c>
      <c r="F1454" s="761">
        <v>143002141</v>
      </c>
      <c r="G1454" s="761" t="s">
        <v>3214</v>
      </c>
      <c r="H1454" s="761" t="s">
        <v>7611</v>
      </c>
      <c r="I1454" s="761" t="s">
        <v>6867</v>
      </c>
      <c r="J1454" s="761">
        <v>0</v>
      </c>
      <c r="K1454" s="746">
        <v>14379.91</v>
      </c>
      <c r="L1454" s="746">
        <v>6163.32</v>
      </c>
      <c r="M1454" s="746">
        <v>8216.59</v>
      </c>
      <c r="N1454" s="493" t="str">
        <f t="shared" si="24"/>
        <v>C397</v>
      </c>
      <c r="O1454" s="493" t="s">
        <v>390</v>
      </c>
      <c r="P1454" s="493"/>
    </row>
    <row r="1455" spans="1:16">
      <c r="A1455" s="761" t="s">
        <v>2339</v>
      </c>
      <c r="B1455" s="761" t="s">
        <v>2340</v>
      </c>
      <c r="C1455" s="761" t="s">
        <v>3213</v>
      </c>
      <c r="D1455" s="761">
        <v>24038067</v>
      </c>
      <c r="E1455" s="761" t="s">
        <v>2972</v>
      </c>
      <c r="F1455" s="761">
        <v>143002141</v>
      </c>
      <c r="G1455" s="761" t="s">
        <v>3214</v>
      </c>
      <c r="H1455" s="761" t="s">
        <v>7611</v>
      </c>
      <c r="I1455" s="761" t="s">
        <v>6867</v>
      </c>
      <c r="J1455" s="761">
        <v>0</v>
      </c>
      <c r="K1455" s="746">
        <v>7189.95</v>
      </c>
      <c r="L1455" s="746">
        <v>3081.66</v>
      </c>
      <c r="M1455" s="746">
        <v>4108.29</v>
      </c>
      <c r="N1455" s="493" t="str">
        <f t="shared" si="24"/>
        <v>C397</v>
      </c>
      <c r="O1455" s="493" t="s">
        <v>390</v>
      </c>
      <c r="P1455" s="493"/>
    </row>
    <row r="1456" spans="1:16">
      <c r="A1456" s="761" t="s">
        <v>2339</v>
      </c>
      <c r="B1456" s="761" t="s">
        <v>2340</v>
      </c>
      <c r="C1456" s="761" t="s">
        <v>3106</v>
      </c>
      <c r="D1456" s="761">
        <v>24765708</v>
      </c>
      <c r="E1456" s="761" t="s">
        <v>2972</v>
      </c>
      <c r="F1456" s="761">
        <v>143002223</v>
      </c>
      <c r="G1456" s="761" t="s">
        <v>3250</v>
      </c>
      <c r="H1456" s="761" t="s">
        <v>3250</v>
      </c>
      <c r="I1456" s="761" t="s">
        <v>6867</v>
      </c>
      <c r="J1456" s="761">
        <v>0</v>
      </c>
      <c r="K1456" s="746">
        <v>2684.58</v>
      </c>
      <c r="L1456" s="746">
        <v>1150.6300000000001</v>
      </c>
      <c r="M1456" s="746">
        <v>1533.95</v>
      </c>
      <c r="N1456" s="493" t="str">
        <f t="shared" si="24"/>
        <v>C397</v>
      </c>
      <c r="O1456" s="493" t="s">
        <v>99</v>
      </c>
      <c r="P1456" s="493" t="s">
        <v>8005</v>
      </c>
    </row>
    <row r="1457" spans="1:16">
      <c r="A1457" s="761" t="s">
        <v>2339</v>
      </c>
      <c r="B1457" s="761" t="s">
        <v>2340</v>
      </c>
      <c r="C1457" s="761" t="s">
        <v>2517</v>
      </c>
      <c r="D1457" s="761">
        <v>36884406</v>
      </c>
      <c r="E1457" s="761" t="s">
        <v>2972</v>
      </c>
      <c r="F1457" s="761">
        <v>143002197</v>
      </c>
      <c r="G1457" s="761" t="s">
        <v>3231</v>
      </c>
      <c r="H1457" s="761" t="s">
        <v>3231</v>
      </c>
      <c r="I1457" s="761" t="s">
        <v>6867</v>
      </c>
      <c r="J1457" s="761">
        <v>0</v>
      </c>
      <c r="K1457" s="746">
        <v>3992945.7199999997</v>
      </c>
      <c r="L1457" s="746">
        <v>1711400.53</v>
      </c>
      <c r="M1457" s="746">
        <v>2281545.19</v>
      </c>
      <c r="N1457" s="493" t="str">
        <f t="shared" si="24"/>
        <v>C397</v>
      </c>
      <c r="O1457" s="493" t="s">
        <v>99</v>
      </c>
      <c r="P1457" s="493" t="s">
        <v>8005</v>
      </c>
    </row>
    <row r="1458" spans="1:16">
      <c r="A1458" s="761" t="s">
        <v>2339</v>
      </c>
      <c r="B1458" s="761" t="s">
        <v>2340</v>
      </c>
      <c r="C1458" s="761" t="s">
        <v>3015</v>
      </c>
      <c r="D1458" s="761">
        <v>24621480</v>
      </c>
      <c r="E1458" s="761" t="s">
        <v>2972</v>
      </c>
      <c r="F1458" s="761">
        <v>143002243</v>
      </c>
      <c r="G1458" s="761" t="s">
        <v>3256</v>
      </c>
      <c r="H1458" s="761" t="s">
        <v>3256</v>
      </c>
      <c r="I1458" s="761" t="s">
        <v>6867</v>
      </c>
      <c r="J1458" s="761">
        <v>2</v>
      </c>
      <c r="K1458" s="746">
        <v>109802.68000000001</v>
      </c>
      <c r="L1458" s="746">
        <v>41283.270000000004</v>
      </c>
      <c r="M1458" s="746">
        <v>68519.41</v>
      </c>
      <c r="N1458" s="493" t="str">
        <f t="shared" si="24"/>
        <v>C397</v>
      </c>
      <c r="O1458" s="493" t="s">
        <v>99</v>
      </c>
      <c r="P1458" s="493" t="s">
        <v>8005</v>
      </c>
    </row>
    <row r="1459" spans="1:16">
      <c r="A1459" s="761" t="s">
        <v>2339</v>
      </c>
      <c r="B1459" s="761" t="s">
        <v>2340</v>
      </c>
      <c r="C1459" s="761" t="s">
        <v>3106</v>
      </c>
      <c r="D1459" s="761">
        <v>24669471</v>
      </c>
      <c r="E1459" s="761" t="s">
        <v>2972</v>
      </c>
      <c r="F1459" s="761">
        <v>141002435</v>
      </c>
      <c r="G1459" s="761" t="s">
        <v>3107</v>
      </c>
      <c r="H1459" s="761" t="s">
        <v>3107</v>
      </c>
      <c r="I1459" s="761" t="s">
        <v>6867</v>
      </c>
      <c r="J1459" s="761">
        <v>5</v>
      </c>
      <c r="K1459" s="746">
        <v>403828.35000000003</v>
      </c>
      <c r="L1459" s="746">
        <v>151830.14000000001</v>
      </c>
      <c r="M1459" s="746">
        <v>251998.21</v>
      </c>
      <c r="N1459" s="493" t="str">
        <f t="shared" si="24"/>
        <v>C397</v>
      </c>
      <c r="O1459" s="493" t="s">
        <v>99</v>
      </c>
      <c r="P1459" s="493" t="s">
        <v>8005</v>
      </c>
    </row>
    <row r="1460" spans="1:16">
      <c r="A1460" s="761" t="s">
        <v>2339</v>
      </c>
      <c r="B1460" s="761" t="s">
        <v>2340</v>
      </c>
      <c r="C1460" s="761" t="s">
        <v>3144</v>
      </c>
      <c r="D1460" s="761">
        <v>24765686</v>
      </c>
      <c r="E1460" s="761" t="s">
        <v>2972</v>
      </c>
      <c r="F1460" s="761">
        <v>143001750</v>
      </c>
      <c r="G1460" s="761" t="s">
        <v>3179</v>
      </c>
      <c r="H1460" s="761" t="s">
        <v>7612</v>
      </c>
      <c r="I1460" s="761" t="s">
        <v>6867</v>
      </c>
      <c r="J1460" s="761">
        <v>0</v>
      </c>
      <c r="K1460" s="746">
        <v>13180.59</v>
      </c>
      <c r="L1460" s="746">
        <v>4955.6000000000004</v>
      </c>
      <c r="M1460" s="746">
        <v>8224.99</v>
      </c>
      <c r="N1460" s="493" t="str">
        <f t="shared" si="24"/>
        <v>C397</v>
      </c>
      <c r="O1460" s="493" t="s">
        <v>99</v>
      </c>
      <c r="P1460" s="493" t="s">
        <v>8005</v>
      </c>
    </row>
    <row r="1461" spans="1:16">
      <c r="A1461" s="761" t="s">
        <v>2339</v>
      </c>
      <c r="B1461" s="761" t="s">
        <v>2340</v>
      </c>
      <c r="C1461" s="761" t="s">
        <v>2366</v>
      </c>
      <c r="D1461" s="761">
        <v>24765701</v>
      </c>
      <c r="E1461" s="761" t="s">
        <v>2972</v>
      </c>
      <c r="F1461" s="761">
        <v>143002125</v>
      </c>
      <c r="G1461" s="761" t="s">
        <v>3208</v>
      </c>
      <c r="H1461" s="761" t="s">
        <v>3208</v>
      </c>
      <c r="I1461" s="761" t="s">
        <v>6867</v>
      </c>
      <c r="J1461" s="761">
        <v>3</v>
      </c>
      <c r="K1461" s="746">
        <v>179628.86000000002</v>
      </c>
      <c r="L1461" s="746">
        <v>67536.31</v>
      </c>
      <c r="M1461" s="746">
        <v>112092.55</v>
      </c>
      <c r="N1461" s="493" t="str">
        <f t="shared" si="24"/>
        <v>C397</v>
      </c>
      <c r="O1461" s="493" t="s">
        <v>99</v>
      </c>
      <c r="P1461" s="493" t="s">
        <v>8005</v>
      </c>
    </row>
    <row r="1462" spans="1:16">
      <c r="A1462" s="761" t="s">
        <v>2339</v>
      </c>
      <c r="B1462" s="761" t="s">
        <v>2340</v>
      </c>
      <c r="C1462" s="761" t="s">
        <v>2449</v>
      </c>
      <c r="D1462" s="761">
        <v>24882919</v>
      </c>
      <c r="E1462" s="761" t="s">
        <v>2972</v>
      </c>
      <c r="F1462" s="761">
        <v>143002124</v>
      </c>
      <c r="G1462" s="761" t="s">
        <v>3207</v>
      </c>
      <c r="H1462" s="761" t="s">
        <v>7613</v>
      </c>
      <c r="I1462" s="761" t="s">
        <v>6867</v>
      </c>
      <c r="J1462" s="761">
        <v>2</v>
      </c>
      <c r="K1462" s="746">
        <v>62480.480000000003</v>
      </c>
      <c r="L1462" s="746">
        <v>23491.22</v>
      </c>
      <c r="M1462" s="746">
        <v>38989.26</v>
      </c>
      <c r="N1462" s="493" t="str">
        <f t="shared" si="24"/>
        <v>C397</v>
      </c>
      <c r="O1462" s="493" t="s">
        <v>99</v>
      </c>
      <c r="P1462" s="493" t="s">
        <v>8005</v>
      </c>
    </row>
    <row r="1463" spans="1:16">
      <c r="A1463" s="761" t="s">
        <v>2339</v>
      </c>
      <c r="B1463" s="761" t="s">
        <v>2340</v>
      </c>
      <c r="C1463" s="761" t="s">
        <v>2451</v>
      </c>
      <c r="D1463" s="761">
        <v>24882924</v>
      </c>
      <c r="E1463" s="761" t="s">
        <v>2972</v>
      </c>
      <c r="F1463" s="761">
        <v>143002128</v>
      </c>
      <c r="G1463" s="761" t="s">
        <v>3211</v>
      </c>
      <c r="H1463" s="761" t="s">
        <v>3211</v>
      </c>
      <c r="I1463" s="761" t="s">
        <v>6867</v>
      </c>
      <c r="J1463" s="761">
        <v>2</v>
      </c>
      <c r="K1463" s="746">
        <v>57621.35</v>
      </c>
      <c r="L1463" s="746">
        <v>21664.3</v>
      </c>
      <c r="M1463" s="746">
        <v>35957.050000000003</v>
      </c>
      <c r="N1463" s="493" t="str">
        <f t="shared" si="24"/>
        <v>C397</v>
      </c>
      <c r="O1463" s="493" t="s">
        <v>99</v>
      </c>
      <c r="P1463" s="493" t="s">
        <v>8005</v>
      </c>
    </row>
    <row r="1464" spans="1:16">
      <c r="A1464" s="761" t="s">
        <v>2339</v>
      </c>
      <c r="B1464" s="761" t="s">
        <v>2340</v>
      </c>
      <c r="C1464" s="761" t="s">
        <v>2745</v>
      </c>
      <c r="D1464" s="761">
        <v>25226625</v>
      </c>
      <c r="E1464" s="761" t="s">
        <v>2972</v>
      </c>
      <c r="F1464" s="761">
        <v>143002236</v>
      </c>
      <c r="G1464" s="761" t="s">
        <v>3255</v>
      </c>
      <c r="H1464" s="761" t="s">
        <v>3255</v>
      </c>
      <c r="I1464" s="761" t="s">
        <v>6867</v>
      </c>
      <c r="J1464" s="761">
        <v>1</v>
      </c>
      <c r="K1464" s="746">
        <v>65628.17</v>
      </c>
      <c r="L1464" s="746">
        <v>24674.68</v>
      </c>
      <c r="M1464" s="746">
        <v>40953.49</v>
      </c>
      <c r="N1464" s="493" t="str">
        <f t="shared" si="24"/>
        <v>C397</v>
      </c>
      <c r="O1464" s="493" t="s">
        <v>390</v>
      </c>
      <c r="P1464" s="493"/>
    </row>
    <row r="1465" spans="1:16">
      <c r="A1465" s="761" t="s">
        <v>2339</v>
      </c>
      <c r="B1465" s="761" t="s">
        <v>2340</v>
      </c>
      <c r="C1465" s="761" t="s">
        <v>3042</v>
      </c>
      <c r="D1465" s="761">
        <v>25459721</v>
      </c>
      <c r="E1465" s="761" t="s">
        <v>2972</v>
      </c>
      <c r="F1465" s="761">
        <v>143001737</v>
      </c>
      <c r="G1465" s="761" t="s">
        <v>3174</v>
      </c>
      <c r="H1465" s="761" t="s">
        <v>7614</v>
      </c>
      <c r="I1465" s="761" t="s">
        <v>6867</v>
      </c>
      <c r="J1465" s="761">
        <v>1</v>
      </c>
      <c r="K1465" s="746">
        <v>18389.600000000002</v>
      </c>
      <c r="L1465" s="746">
        <v>6914.07</v>
      </c>
      <c r="M1465" s="746">
        <v>11475.53</v>
      </c>
      <c r="N1465" s="493" t="str">
        <f t="shared" si="24"/>
        <v>C397</v>
      </c>
      <c r="O1465" s="493" t="s">
        <v>99</v>
      </c>
      <c r="P1465" s="493" t="s">
        <v>8005</v>
      </c>
    </row>
    <row r="1466" spans="1:16">
      <c r="A1466" s="761" t="s">
        <v>2339</v>
      </c>
      <c r="B1466" s="761" t="s">
        <v>2340</v>
      </c>
      <c r="C1466" s="761" t="s">
        <v>3180</v>
      </c>
      <c r="D1466" s="761">
        <v>27568819</v>
      </c>
      <c r="E1466" s="761" t="s">
        <v>2972</v>
      </c>
      <c r="F1466" s="761">
        <v>143001760</v>
      </c>
      <c r="G1466" s="761" t="s">
        <v>3181</v>
      </c>
      <c r="H1466" s="761" t="s">
        <v>3181</v>
      </c>
      <c r="I1466" s="761" t="s">
        <v>6867</v>
      </c>
      <c r="J1466" s="761">
        <v>0</v>
      </c>
      <c r="K1466" s="746">
        <v>69465.59</v>
      </c>
      <c r="L1466" s="746">
        <v>26117.46</v>
      </c>
      <c r="M1466" s="746">
        <v>43348.13</v>
      </c>
      <c r="N1466" s="493" t="str">
        <f t="shared" si="24"/>
        <v>C397</v>
      </c>
      <c r="O1466" s="493" t="s">
        <v>392</v>
      </c>
      <c r="P1466" s="493"/>
    </row>
    <row r="1467" spans="1:16">
      <c r="A1467" s="761" t="s">
        <v>2339</v>
      </c>
      <c r="B1467" s="761" t="s">
        <v>2340</v>
      </c>
      <c r="C1467" s="761" t="s">
        <v>3131</v>
      </c>
      <c r="D1467" s="761">
        <v>27792284</v>
      </c>
      <c r="E1467" s="761" t="s">
        <v>2972</v>
      </c>
      <c r="F1467" s="761">
        <v>143002343</v>
      </c>
      <c r="G1467" s="761" t="s">
        <v>3267</v>
      </c>
      <c r="H1467" s="761" t="s">
        <v>7615</v>
      </c>
      <c r="I1467" s="761" t="s">
        <v>6867</v>
      </c>
      <c r="J1467" s="761">
        <v>1</v>
      </c>
      <c r="K1467" s="746">
        <v>9557.9600000000009</v>
      </c>
      <c r="L1467" s="746">
        <v>3593.57</v>
      </c>
      <c r="M1467" s="746">
        <v>5964.39</v>
      </c>
      <c r="N1467" s="493" t="str">
        <f t="shared" si="24"/>
        <v>C397</v>
      </c>
      <c r="O1467" s="493" t="s">
        <v>99</v>
      </c>
      <c r="P1467" s="493" t="s">
        <v>8005</v>
      </c>
    </row>
    <row r="1468" spans="1:16">
      <c r="A1468" s="761" t="s">
        <v>2339</v>
      </c>
      <c r="B1468" s="761" t="s">
        <v>2340</v>
      </c>
      <c r="C1468" s="761" t="s">
        <v>3268</v>
      </c>
      <c r="D1468" s="761">
        <v>27792289</v>
      </c>
      <c r="E1468" s="761" t="s">
        <v>2972</v>
      </c>
      <c r="F1468" s="761">
        <v>143002344</v>
      </c>
      <c r="G1468" s="761" t="s">
        <v>3269</v>
      </c>
      <c r="H1468" s="761" t="s">
        <v>3269</v>
      </c>
      <c r="I1468" s="761" t="s">
        <v>6867</v>
      </c>
      <c r="J1468" s="761">
        <v>1</v>
      </c>
      <c r="K1468" s="746">
        <v>7579.18</v>
      </c>
      <c r="L1468" s="746">
        <v>2849.6</v>
      </c>
      <c r="M1468" s="746">
        <v>4729.58</v>
      </c>
      <c r="N1468" s="493" t="str">
        <f t="shared" si="24"/>
        <v>C397</v>
      </c>
      <c r="O1468" s="493" t="s">
        <v>390</v>
      </c>
      <c r="P1468" s="493"/>
    </row>
    <row r="1469" spans="1:16">
      <c r="A1469" s="761" t="s">
        <v>2339</v>
      </c>
      <c r="B1469" s="761" t="s">
        <v>2340</v>
      </c>
      <c r="C1469" s="761" t="s">
        <v>3094</v>
      </c>
      <c r="D1469" s="761">
        <v>27792294</v>
      </c>
      <c r="E1469" s="761" t="s">
        <v>2972</v>
      </c>
      <c r="F1469" s="761">
        <v>143002346</v>
      </c>
      <c r="G1469" s="761" t="s">
        <v>3271</v>
      </c>
      <c r="H1469" s="761" t="s">
        <v>3271</v>
      </c>
      <c r="I1469" s="761" t="s">
        <v>6867</v>
      </c>
      <c r="J1469" s="761">
        <v>1</v>
      </c>
      <c r="K1469" s="746">
        <v>13440.36</v>
      </c>
      <c r="L1469" s="746">
        <v>5053.2700000000004</v>
      </c>
      <c r="M1469" s="746">
        <v>8387.09</v>
      </c>
      <c r="N1469" s="493" t="str">
        <f t="shared" si="24"/>
        <v>C397</v>
      </c>
      <c r="O1469" s="493" t="s">
        <v>99</v>
      </c>
      <c r="P1469" s="493" t="s">
        <v>8005</v>
      </c>
    </row>
    <row r="1470" spans="1:16">
      <c r="A1470" s="761" t="s">
        <v>2339</v>
      </c>
      <c r="B1470" s="761" t="s">
        <v>2340</v>
      </c>
      <c r="C1470" s="761" t="s">
        <v>3199</v>
      </c>
      <c r="D1470" s="761">
        <v>27792299</v>
      </c>
      <c r="E1470" s="761" t="s">
        <v>2972</v>
      </c>
      <c r="F1470" s="761">
        <v>143002354</v>
      </c>
      <c r="G1470" s="761" t="s">
        <v>3273</v>
      </c>
      <c r="H1470" s="761" t="s">
        <v>3273</v>
      </c>
      <c r="I1470" s="761" t="s">
        <v>6867</v>
      </c>
      <c r="J1470" s="761">
        <v>1</v>
      </c>
      <c r="K1470" s="746">
        <v>8042.6500000000005</v>
      </c>
      <c r="L1470" s="746">
        <v>3023.85</v>
      </c>
      <c r="M1470" s="746">
        <v>5018.8</v>
      </c>
      <c r="N1470" s="493" t="str">
        <f t="shared" si="24"/>
        <v>C397</v>
      </c>
      <c r="O1470" s="493" t="s">
        <v>390</v>
      </c>
      <c r="P1470" s="493"/>
    </row>
    <row r="1471" spans="1:16">
      <c r="A1471" s="761" t="s">
        <v>2339</v>
      </c>
      <c r="B1471" s="761" t="s">
        <v>2340</v>
      </c>
      <c r="C1471" s="761" t="s">
        <v>2455</v>
      </c>
      <c r="D1471" s="761">
        <v>27792304</v>
      </c>
      <c r="E1471" s="761" t="s">
        <v>2972</v>
      </c>
      <c r="F1471" s="761">
        <v>143002355</v>
      </c>
      <c r="G1471" s="761" t="s">
        <v>3274</v>
      </c>
      <c r="H1471" s="761" t="s">
        <v>3274</v>
      </c>
      <c r="I1471" s="761" t="s">
        <v>6867</v>
      </c>
      <c r="J1471" s="761">
        <v>1</v>
      </c>
      <c r="K1471" s="746">
        <v>13851.48</v>
      </c>
      <c r="L1471" s="746">
        <v>5207.84</v>
      </c>
      <c r="M1471" s="746">
        <v>8643.64</v>
      </c>
      <c r="N1471" s="493" t="str">
        <f t="shared" si="24"/>
        <v>C397</v>
      </c>
      <c r="O1471" s="493" t="s">
        <v>390</v>
      </c>
      <c r="P1471" s="493"/>
    </row>
    <row r="1472" spans="1:16">
      <c r="A1472" s="761" t="s">
        <v>2339</v>
      </c>
      <c r="B1472" s="761" t="s">
        <v>2340</v>
      </c>
      <c r="C1472" s="761" t="s">
        <v>3170</v>
      </c>
      <c r="D1472" s="761">
        <v>27792309</v>
      </c>
      <c r="E1472" s="761" t="s">
        <v>2972</v>
      </c>
      <c r="F1472" s="761">
        <v>143002356</v>
      </c>
      <c r="G1472" s="761" t="s">
        <v>3275</v>
      </c>
      <c r="H1472" s="761" t="s">
        <v>3275</v>
      </c>
      <c r="I1472" s="761" t="s">
        <v>6867</v>
      </c>
      <c r="J1472" s="761">
        <v>1</v>
      </c>
      <c r="K1472" s="746">
        <v>8984.59</v>
      </c>
      <c r="L1472" s="746">
        <v>3378</v>
      </c>
      <c r="M1472" s="746">
        <v>5606.59</v>
      </c>
      <c r="N1472" s="493" t="str">
        <f t="shared" si="24"/>
        <v>C397</v>
      </c>
      <c r="O1472" s="493" t="s">
        <v>99</v>
      </c>
      <c r="P1472" s="493" t="s">
        <v>8005</v>
      </c>
    </row>
    <row r="1473" spans="1:16">
      <c r="A1473" s="761" t="s">
        <v>2339</v>
      </c>
      <c r="B1473" s="761" t="s">
        <v>2340</v>
      </c>
      <c r="C1473" s="761" t="s">
        <v>2982</v>
      </c>
      <c r="D1473" s="761">
        <v>27792314</v>
      </c>
      <c r="E1473" s="761" t="s">
        <v>2972</v>
      </c>
      <c r="F1473" s="761">
        <v>143002357</v>
      </c>
      <c r="G1473" s="761" t="s">
        <v>3276</v>
      </c>
      <c r="H1473" s="761" t="s">
        <v>3276</v>
      </c>
      <c r="I1473" s="761" t="s">
        <v>6867</v>
      </c>
      <c r="J1473" s="761">
        <v>1</v>
      </c>
      <c r="K1473" s="746">
        <v>10059.540000000001</v>
      </c>
      <c r="L1473" s="746">
        <v>3782.15</v>
      </c>
      <c r="M1473" s="746">
        <v>6277.39</v>
      </c>
      <c r="N1473" s="493" t="str">
        <f t="shared" si="24"/>
        <v>C397</v>
      </c>
      <c r="O1473" s="493" t="s">
        <v>99</v>
      </c>
      <c r="P1473" s="493" t="s">
        <v>8005</v>
      </c>
    </row>
    <row r="1474" spans="1:16">
      <c r="A1474" s="761" t="s">
        <v>2339</v>
      </c>
      <c r="B1474" s="761" t="s">
        <v>2340</v>
      </c>
      <c r="C1474" s="761" t="s">
        <v>2367</v>
      </c>
      <c r="D1474" s="761">
        <v>27906308</v>
      </c>
      <c r="E1474" s="761" t="s">
        <v>2972</v>
      </c>
      <c r="F1474" s="761">
        <v>143002026</v>
      </c>
      <c r="G1474" s="761" t="s">
        <v>3203</v>
      </c>
      <c r="H1474" s="761" t="s">
        <v>3203</v>
      </c>
      <c r="I1474" s="761" t="s">
        <v>6867</v>
      </c>
      <c r="J1474" s="761">
        <v>1</v>
      </c>
      <c r="K1474" s="746">
        <v>9534.84</v>
      </c>
      <c r="L1474" s="746">
        <v>3584.88</v>
      </c>
      <c r="M1474" s="746">
        <v>5949.96</v>
      </c>
      <c r="N1474" s="493" t="str">
        <f t="shared" si="24"/>
        <v>C397</v>
      </c>
      <c r="O1474" s="493" t="s">
        <v>390</v>
      </c>
      <c r="P1474" s="493"/>
    </row>
    <row r="1475" spans="1:16">
      <c r="A1475" s="761" t="s">
        <v>2339</v>
      </c>
      <c r="B1475" s="761" t="s">
        <v>2340</v>
      </c>
      <c r="C1475" s="761" t="s">
        <v>3115</v>
      </c>
      <c r="D1475" s="761">
        <v>27906321</v>
      </c>
      <c r="E1475" s="761" t="s">
        <v>2972</v>
      </c>
      <c r="F1475" s="761">
        <v>143002123</v>
      </c>
      <c r="G1475" s="761" t="s">
        <v>3206</v>
      </c>
      <c r="H1475" s="761" t="s">
        <v>7616</v>
      </c>
      <c r="I1475" s="761" t="s">
        <v>6867</v>
      </c>
      <c r="J1475" s="761">
        <v>1</v>
      </c>
      <c r="K1475" s="746">
        <v>53225.05</v>
      </c>
      <c r="L1475" s="746">
        <v>20011.39</v>
      </c>
      <c r="M1475" s="746">
        <v>33213.660000000003</v>
      </c>
      <c r="N1475" s="493" t="str">
        <f t="shared" si="24"/>
        <v>C397</v>
      </c>
      <c r="O1475" s="493" t="s">
        <v>99</v>
      </c>
      <c r="P1475" s="493" t="s">
        <v>8005</v>
      </c>
    </row>
    <row r="1476" spans="1:16">
      <c r="A1476" s="761" t="s">
        <v>2339</v>
      </c>
      <c r="B1476" s="761" t="s">
        <v>2340</v>
      </c>
      <c r="C1476" s="761" t="s">
        <v>2365</v>
      </c>
      <c r="D1476" s="761">
        <v>27906326</v>
      </c>
      <c r="E1476" s="761" t="s">
        <v>2972</v>
      </c>
      <c r="F1476" s="761">
        <v>143002126</v>
      </c>
      <c r="G1476" s="761" t="s">
        <v>3209</v>
      </c>
      <c r="H1476" s="761" t="s">
        <v>7617</v>
      </c>
      <c r="I1476" s="761" t="s">
        <v>6867</v>
      </c>
      <c r="J1476" s="761">
        <v>1</v>
      </c>
      <c r="K1476" s="746">
        <v>92631.400000000009</v>
      </c>
      <c r="L1476" s="746">
        <v>34827.270000000004</v>
      </c>
      <c r="M1476" s="746">
        <v>57804.130000000005</v>
      </c>
      <c r="N1476" s="493" t="str">
        <f t="shared" si="24"/>
        <v>C397</v>
      </c>
      <c r="O1476" s="493" t="s">
        <v>99</v>
      </c>
      <c r="P1476" s="493" t="s">
        <v>8005</v>
      </c>
    </row>
    <row r="1477" spans="1:16">
      <c r="A1477" s="761" t="s">
        <v>2339</v>
      </c>
      <c r="B1477" s="761" t="s">
        <v>2340</v>
      </c>
      <c r="C1477" s="761" t="s">
        <v>2995</v>
      </c>
      <c r="D1477" s="761">
        <v>27906331</v>
      </c>
      <c r="E1477" s="761" t="s">
        <v>2972</v>
      </c>
      <c r="F1477" s="761">
        <v>143002127</v>
      </c>
      <c r="G1477" s="761" t="s">
        <v>3210</v>
      </c>
      <c r="H1477" s="761" t="s">
        <v>3210</v>
      </c>
      <c r="I1477" s="761" t="s">
        <v>6867</v>
      </c>
      <c r="J1477" s="761">
        <v>2</v>
      </c>
      <c r="K1477" s="746">
        <v>85340.27</v>
      </c>
      <c r="L1477" s="746">
        <v>32085.97</v>
      </c>
      <c r="M1477" s="746">
        <v>53254.3</v>
      </c>
      <c r="N1477" s="493" t="str">
        <f t="shared" si="24"/>
        <v>C397</v>
      </c>
      <c r="O1477" s="493" t="s">
        <v>99</v>
      </c>
      <c r="P1477" s="493" t="s">
        <v>8005</v>
      </c>
    </row>
    <row r="1478" spans="1:16">
      <c r="A1478" s="761" t="s">
        <v>2339</v>
      </c>
      <c r="B1478" s="761" t="s">
        <v>2340</v>
      </c>
      <c r="C1478" s="761" t="s">
        <v>2517</v>
      </c>
      <c r="D1478" s="761">
        <v>27906336</v>
      </c>
      <c r="E1478" s="761" t="s">
        <v>2972</v>
      </c>
      <c r="F1478" s="761">
        <v>143002157</v>
      </c>
      <c r="G1478" s="761" t="s">
        <v>3222</v>
      </c>
      <c r="H1478" s="761" t="s">
        <v>7618</v>
      </c>
      <c r="I1478" s="761" t="s">
        <v>6867</v>
      </c>
      <c r="J1478" s="761">
        <v>14</v>
      </c>
      <c r="K1478" s="746">
        <v>116127.36</v>
      </c>
      <c r="L1478" s="746">
        <v>43661.21</v>
      </c>
      <c r="M1478" s="746">
        <v>72466.150000000009</v>
      </c>
      <c r="N1478" s="493" t="str">
        <f t="shared" si="24"/>
        <v>C397</v>
      </c>
      <c r="O1478" s="493" t="s">
        <v>99</v>
      </c>
      <c r="P1478" s="493" t="s">
        <v>8005</v>
      </c>
    </row>
    <row r="1479" spans="1:16">
      <c r="A1479" s="761" t="s">
        <v>2339</v>
      </c>
      <c r="B1479" s="761" t="s">
        <v>2340</v>
      </c>
      <c r="C1479" s="761" t="s">
        <v>2527</v>
      </c>
      <c r="D1479" s="761">
        <v>27906341</v>
      </c>
      <c r="E1479" s="761" t="s">
        <v>2972</v>
      </c>
      <c r="F1479" s="761">
        <v>143002158</v>
      </c>
      <c r="G1479" s="761" t="s">
        <v>3223</v>
      </c>
      <c r="H1479" s="761" t="s">
        <v>7619</v>
      </c>
      <c r="I1479" s="761" t="s">
        <v>6867</v>
      </c>
      <c r="J1479" s="761">
        <v>1</v>
      </c>
      <c r="K1479" s="746">
        <v>19872.93</v>
      </c>
      <c r="L1479" s="746">
        <v>7471.76</v>
      </c>
      <c r="M1479" s="746">
        <v>12401.17</v>
      </c>
      <c r="N1479" s="493" t="str">
        <f t="shared" si="24"/>
        <v>C397</v>
      </c>
      <c r="O1479" s="493" t="s">
        <v>99</v>
      </c>
      <c r="P1479" s="493" t="s">
        <v>8005</v>
      </c>
    </row>
    <row r="1480" spans="1:16">
      <c r="A1480" s="761" t="s">
        <v>2339</v>
      </c>
      <c r="B1480" s="761" t="s">
        <v>2340</v>
      </c>
      <c r="C1480" s="761" t="s">
        <v>2490</v>
      </c>
      <c r="D1480" s="761">
        <v>27906346</v>
      </c>
      <c r="E1480" s="761" t="s">
        <v>2972</v>
      </c>
      <c r="F1480" s="761">
        <v>143002159</v>
      </c>
      <c r="G1480" s="761" t="s">
        <v>3224</v>
      </c>
      <c r="H1480" s="761" t="s">
        <v>7620</v>
      </c>
      <c r="I1480" s="761" t="s">
        <v>6867</v>
      </c>
      <c r="J1480" s="761">
        <v>1</v>
      </c>
      <c r="K1480" s="746">
        <v>6619.4000000000005</v>
      </c>
      <c r="L1480" s="746">
        <v>2488.7400000000002</v>
      </c>
      <c r="M1480" s="746">
        <v>4130.66</v>
      </c>
      <c r="N1480" s="493" t="str">
        <f t="shared" si="24"/>
        <v>C397</v>
      </c>
      <c r="O1480" s="493" t="s">
        <v>99</v>
      </c>
      <c r="P1480" s="493" t="s">
        <v>8005</v>
      </c>
    </row>
    <row r="1481" spans="1:16">
      <c r="A1481" s="761" t="s">
        <v>2339</v>
      </c>
      <c r="B1481" s="761" t="s">
        <v>2340</v>
      </c>
      <c r="C1481" s="761" t="s">
        <v>2531</v>
      </c>
      <c r="D1481" s="761">
        <v>27906351</v>
      </c>
      <c r="E1481" s="761" t="s">
        <v>2972</v>
      </c>
      <c r="F1481" s="761">
        <v>143002160</v>
      </c>
      <c r="G1481" s="761" t="s">
        <v>3225</v>
      </c>
      <c r="H1481" s="761" t="s">
        <v>7621</v>
      </c>
      <c r="I1481" s="761" t="s">
        <v>6867</v>
      </c>
      <c r="J1481" s="761">
        <v>1</v>
      </c>
      <c r="K1481" s="746">
        <v>4105.41</v>
      </c>
      <c r="L1481" s="746">
        <v>1543.54</v>
      </c>
      <c r="M1481" s="746">
        <v>2561.87</v>
      </c>
      <c r="N1481" s="493" t="str">
        <f t="shared" si="24"/>
        <v>C397</v>
      </c>
      <c r="O1481" s="493" t="s">
        <v>99</v>
      </c>
      <c r="P1481" s="493" t="s">
        <v>8005</v>
      </c>
    </row>
    <row r="1482" spans="1:16">
      <c r="A1482" s="761" t="s">
        <v>2339</v>
      </c>
      <c r="B1482" s="761" t="s">
        <v>2340</v>
      </c>
      <c r="C1482" s="761" t="s">
        <v>2473</v>
      </c>
      <c r="D1482" s="761">
        <v>27906356</v>
      </c>
      <c r="E1482" s="761" t="s">
        <v>2972</v>
      </c>
      <c r="F1482" s="761">
        <v>143002161</v>
      </c>
      <c r="G1482" s="761" t="s">
        <v>3226</v>
      </c>
      <c r="H1482" s="761" t="s">
        <v>7622</v>
      </c>
      <c r="I1482" s="761" t="s">
        <v>6867</v>
      </c>
      <c r="J1482" s="761">
        <v>1</v>
      </c>
      <c r="K1482" s="746">
        <v>42000.73</v>
      </c>
      <c r="L1482" s="746">
        <v>15791.31</v>
      </c>
      <c r="M1482" s="746">
        <v>26209.420000000002</v>
      </c>
      <c r="N1482" s="493" t="str">
        <f t="shared" si="24"/>
        <v>C397</v>
      </c>
      <c r="O1482" s="493" t="s">
        <v>99</v>
      </c>
      <c r="P1482" s="493" t="s">
        <v>8005</v>
      </c>
    </row>
    <row r="1483" spans="1:16">
      <c r="A1483" s="761" t="s">
        <v>2339</v>
      </c>
      <c r="B1483" s="761" t="s">
        <v>2340</v>
      </c>
      <c r="C1483" s="761" t="s">
        <v>2509</v>
      </c>
      <c r="D1483" s="761">
        <v>27906361</v>
      </c>
      <c r="E1483" s="761" t="s">
        <v>2972</v>
      </c>
      <c r="F1483" s="761">
        <v>143002162</v>
      </c>
      <c r="G1483" s="761" t="s">
        <v>3227</v>
      </c>
      <c r="H1483" s="761" t="s">
        <v>7623</v>
      </c>
      <c r="I1483" s="761" t="s">
        <v>6867</v>
      </c>
      <c r="J1483" s="761">
        <v>1</v>
      </c>
      <c r="K1483" s="746">
        <v>8246.7900000000009</v>
      </c>
      <c r="L1483" s="746">
        <v>3100.6</v>
      </c>
      <c r="M1483" s="746">
        <v>5146.1900000000005</v>
      </c>
      <c r="N1483" s="493" t="str">
        <f t="shared" si="24"/>
        <v>C397</v>
      </c>
      <c r="O1483" s="493" t="s">
        <v>99</v>
      </c>
      <c r="P1483" s="493" t="s">
        <v>8005</v>
      </c>
    </row>
    <row r="1484" spans="1:16">
      <c r="A1484" s="761" t="s">
        <v>2339</v>
      </c>
      <c r="B1484" s="761" t="s">
        <v>2340</v>
      </c>
      <c r="C1484" s="761" t="s">
        <v>2512</v>
      </c>
      <c r="D1484" s="761">
        <v>27906366</v>
      </c>
      <c r="E1484" s="761" t="s">
        <v>2972</v>
      </c>
      <c r="F1484" s="761">
        <v>143002163</v>
      </c>
      <c r="G1484" s="761" t="s">
        <v>3228</v>
      </c>
      <c r="H1484" s="761" t="s">
        <v>7624</v>
      </c>
      <c r="I1484" s="761" t="s">
        <v>6867</v>
      </c>
      <c r="J1484" s="761">
        <v>1</v>
      </c>
      <c r="K1484" s="746">
        <v>25081.040000000001</v>
      </c>
      <c r="L1484" s="746">
        <v>9429.89</v>
      </c>
      <c r="M1484" s="746">
        <v>15651.15</v>
      </c>
      <c r="N1484" s="493" t="str">
        <f t="shared" si="24"/>
        <v>C397</v>
      </c>
      <c r="O1484" s="493" t="s">
        <v>99</v>
      </c>
      <c r="P1484" s="493" t="s">
        <v>8005</v>
      </c>
    </row>
    <row r="1485" spans="1:16">
      <c r="A1485" s="761" t="s">
        <v>2339</v>
      </c>
      <c r="B1485" s="761" t="s">
        <v>2340</v>
      </c>
      <c r="C1485" s="761" t="s">
        <v>2524</v>
      </c>
      <c r="D1485" s="761">
        <v>27906371</v>
      </c>
      <c r="E1485" s="761" t="s">
        <v>2972</v>
      </c>
      <c r="F1485" s="761">
        <v>143002165</v>
      </c>
      <c r="G1485" s="761" t="s">
        <v>3229</v>
      </c>
      <c r="H1485" s="761" t="s">
        <v>7625</v>
      </c>
      <c r="I1485" s="761" t="s">
        <v>6867</v>
      </c>
      <c r="J1485" s="761">
        <v>1</v>
      </c>
      <c r="K1485" s="746">
        <v>6781.76</v>
      </c>
      <c r="L1485" s="746">
        <v>2549.79</v>
      </c>
      <c r="M1485" s="746">
        <v>4231.97</v>
      </c>
      <c r="N1485" s="493" t="str">
        <f t="shared" si="24"/>
        <v>C397</v>
      </c>
      <c r="O1485" s="493" t="s">
        <v>99</v>
      </c>
      <c r="P1485" s="493" t="s">
        <v>8005</v>
      </c>
    </row>
    <row r="1486" spans="1:16">
      <c r="A1486" s="761" t="s">
        <v>2339</v>
      </c>
      <c r="B1486" s="761" t="s">
        <v>2340</v>
      </c>
      <c r="C1486" s="761" t="s">
        <v>3217</v>
      </c>
      <c r="D1486" s="761">
        <v>27906376</v>
      </c>
      <c r="E1486" s="761" t="s">
        <v>2972</v>
      </c>
      <c r="F1486" s="761">
        <v>143002190</v>
      </c>
      <c r="G1486" s="761" t="s">
        <v>3230</v>
      </c>
      <c r="H1486" s="761" t="s">
        <v>7626</v>
      </c>
      <c r="I1486" s="761" t="s">
        <v>6867</v>
      </c>
      <c r="J1486" s="761">
        <v>1</v>
      </c>
      <c r="K1486" s="746">
        <v>9675.52</v>
      </c>
      <c r="L1486" s="746">
        <v>3637.77</v>
      </c>
      <c r="M1486" s="746">
        <v>6037.75</v>
      </c>
      <c r="N1486" s="493" t="str">
        <f t="shared" si="24"/>
        <v>C397</v>
      </c>
      <c r="O1486" s="493" t="s">
        <v>390</v>
      </c>
      <c r="P1486" s="493"/>
    </row>
    <row r="1487" spans="1:16">
      <c r="A1487" s="761" t="s">
        <v>2339</v>
      </c>
      <c r="B1487" s="761" t="s">
        <v>2340</v>
      </c>
      <c r="C1487" s="761" t="s">
        <v>3087</v>
      </c>
      <c r="D1487" s="761">
        <v>27906381</v>
      </c>
      <c r="E1487" s="761" t="s">
        <v>2972</v>
      </c>
      <c r="F1487" s="761">
        <v>143002202</v>
      </c>
      <c r="G1487" s="761" t="s">
        <v>3235</v>
      </c>
      <c r="H1487" s="761" t="s">
        <v>3235</v>
      </c>
      <c r="I1487" s="761" t="s">
        <v>6867</v>
      </c>
      <c r="J1487" s="761">
        <v>1</v>
      </c>
      <c r="K1487" s="746">
        <v>5038.5200000000004</v>
      </c>
      <c r="L1487" s="746">
        <v>1894.3700000000001</v>
      </c>
      <c r="M1487" s="746">
        <v>3144.15</v>
      </c>
      <c r="N1487" s="493" t="str">
        <f t="shared" si="24"/>
        <v>C397</v>
      </c>
      <c r="O1487" s="493" t="s">
        <v>99</v>
      </c>
      <c r="P1487" s="493" t="s">
        <v>8005</v>
      </c>
    </row>
    <row r="1488" spans="1:16">
      <c r="A1488" s="761" t="s">
        <v>2339</v>
      </c>
      <c r="B1488" s="761" t="s">
        <v>2340</v>
      </c>
      <c r="C1488" s="761" t="s">
        <v>3122</v>
      </c>
      <c r="D1488" s="761">
        <v>27906386</v>
      </c>
      <c r="E1488" s="761" t="s">
        <v>2972</v>
      </c>
      <c r="F1488" s="761">
        <v>143002203</v>
      </c>
      <c r="G1488" s="761" t="s">
        <v>3236</v>
      </c>
      <c r="H1488" s="761" t="s">
        <v>7627</v>
      </c>
      <c r="I1488" s="761" t="s">
        <v>6867</v>
      </c>
      <c r="J1488" s="761">
        <v>1</v>
      </c>
      <c r="K1488" s="746">
        <v>1592.2</v>
      </c>
      <c r="L1488" s="746">
        <v>598.63</v>
      </c>
      <c r="M1488" s="746">
        <v>993.57</v>
      </c>
      <c r="N1488" s="493" t="str">
        <f t="shared" si="24"/>
        <v>C397</v>
      </c>
      <c r="O1488" s="493" t="s">
        <v>99</v>
      </c>
      <c r="P1488" s="493" t="s">
        <v>8005</v>
      </c>
    </row>
    <row r="1489" spans="1:16">
      <c r="A1489" s="761" t="s">
        <v>2339</v>
      </c>
      <c r="B1489" s="761" t="s">
        <v>2340</v>
      </c>
      <c r="C1489" s="761" t="s">
        <v>3237</v>
      </c>
      <c r="D1489" s="761">
        <v>27906391</v>
      </c>
      <c r="E1489" s="761" t="s">
        <v>2972</v>
      </c>
      <c r="F1489" s="761">
        <v>143002204</v>
      </c>
      <c r="G1489" s="761" t="s">
        <v>3238</v>
      </c>
      <c r="H1489" s="761" t="s">
        <v>7628</v>
      </c>
      <c r="I1489" s="761" t="s">
        <v>6867</v>
      </c>
      <c r="J1489" s="761">
        <v>1</v>
      </c>
      <c r="K1489" s="746">
        <v>3546.52</v>
      </c>
      <c r="L1489" s="746">
        <v>1333.41</v>
      </c>
      <c r="M1489" s="746">
        <v>2213.11</v>
      </c>
      <c r="N1489" s="493" t="str">
        <f t="shared" ref="N1489:N1552" si="25">LEFT(E1489,4)</f>
        <v>C397</v>
      </c>
      <c r="O1489" s="493" t="s">
        <v>390</v>
      </c>
      <c r="P1489" s="493"/>
    </row>
    <row r="1490" spans="1:16">
      <c r="A1490" s="761" t="s">
        <v>2339</v>
      </c>
      <c r="B1490" s="761" t="s">
        <v>2340</v>
      </c>
      <c r="C1490" s="761" t="s">
        <v>2487</v>
      </c>
      <c r="D1490" s="761">
        <v>27906396</v>
      </c>
      <c r="E1490" s="761" t="s">
        <v>2972</v>
      </c>
      <c r="F1490" s="761">
        <v>143002205</v>
      </c>
      <c r="G1490" s="761" t="s">
        <v>3239</v>
      </c>
      <c r="H1490" s="761" t="s">
        <v>3239</v>
      </c>
      <c r="I1490" s="761" t="s">
        <v>6867</v>
      </c>
      <c r="J1490" s="761">
        <v>3</v>
      </c>
      <c r="K1490" s="746">
        <v>8720.5400000000009</v>
      </c>
      <c r="L1490" s="746">
        <v>3278.7200000000003</v>
      </c>
      <c r="M1490" s="746">
        <v>5441.82</v>
      </c>
      <c r="N1490" s="493" t="str">
        <f t="shared" si="25"/>
        <v>C397</v>
      </c>
      <c r="O1490" s="493" t="s">
        <v>99</v>
      </c>
      <c r="P1490" s="493" t="s">
        <v>8005</v>
      </c>
    </row>
    <row r="1491" spans="1:16">
      <c r="A1491" s="761" t="s">
        <v>2339</v>
      </c>
      <c r="B1491" s="761" t="s">
        <v>2340</v>
      </c>
      <c r="C1491" s="761" t="s">
        <v>3233</v>
      </c>
      <c r="D1491" s="761">
        <v>27906399</v>
      </c>
      <c r="E1491" s="761" t="s">
        <v>2972</v>
      </c>
      <c r="F1491" s="761">
        <v>143002206</v>
      </c>
      <c r="G1491" s="761" t="s">
        <v>3240</v>
      </c>
      <c r="H1491" s="761" t="s">
        <v>7629</v>
      </c>
      <c r="I1491" s="761" t="s">
        <v>6867</v>
      </c>
      <c r="J1491" s="761">
        <v>2</v>
      </c>
      <c r="K1491" s="746">
        <v>16831.63</v>
      </c>
      <c r="L1491" s="746">
        <v>6328.3</v>
      </c>
      <c r="M1491" s="746">
        <v>10503.33</v>
      </c>
      <c r="N1491" s="493" t="str">
        <f t="shared" si="25"/>
        <v>C397</v>
      </c>
      <c r="O1491" s="493" t="s">
        <v>99</v>
      </c>
      <c r="P1491" s="493" t="s">
        <v>8005</v>
      </c>
    </row>
    <row r="1492" spans="1:16">
      <c r="A1492" s="761" t="s">
        <v>2339</v>
      </c>
      <c r="B1492" s="761" t="s">
        <v>2340</v>
      </c>
      <c r="C1492" s="761" t="s">
        <v>3241</v>
      </c>
      <c r="D1492" s="761">
        <v>27906402</v>
      </c>
      <c r="E1492" s="761" t="s">
        <v>2972</v>
      </c>
      <c r="F1492" s="761">
        <v>143002206</v>
      </c>
      <c r="G1492" s="761" t="s">
        <v>3240</v>
      </c>
      <c r="H1492" s="761" t="s">
        <v>7629</v>
      </c>
      <c r="I1492" s="761" t="s">
        <v>6867</v>
      </c>
      <c r="J1492" s="761">
        <v>1</v>
      </c>
      <c r="K1492" s="746">
        <v>2751.7400000000002</v>
      </c>
      <c r="L1492" s="746">
        <v>1034.5899999999999</v>
      </c>
      <c r="M1492" s="746">
        <v>1717.15</v>
      </c>
      <c r="N1492" s="493" t="str">
        <f t="shared" si="25"/>
        <v>C397</v>
      </c>
      <c r="O1492" s="493" t="s">
        <v>99</v>
      </c>
      <c r="P1492" s="493" t="s">
        <v>8005</v>
      </c>
    </row>
    <row r="1493" spans="1:16">
      <c r="A1493" s="761" t="s">
        <v>2339</v>
      </c>
      <c r="B1493" s="761" t="s">
        <v>2340</v>
      </c>
      <c r="C1493" s="761" t="s">
        <v>3021</v>
      </c>
      <c r="D1493" s="761">
        <v>27906405</v>
      </c>
      <c r="E1493" s="761" t="s">
        <v>2972</v>
      </c>
      <c r="F1493" s="761">
        <v>143002207</v>
      </c>
      <c r="G1493" s="761" t="s">
        <v>3242</v>
      </c>
      <c r="H1493" s="761" t="s">
        <v>3242</v>
      </c>
      <c r="I1493" s="761" t="s">
        <v>6867</v>
      </c>
      <c r="J1493" s="761">
        <v>2</v>
      </c>
      <c r="K1493" s="746">
        <v>20090.13</v>
      </c>
      <c r="L1493" s="746">
        <v>7553.43</v>
      </c>
      <c r="M1493" s="746">
        <v>12536.7</v>
      </c>
      <c r="N1493" s="493" t="str">
        <f t="shared" si="25"/>
        <v>C397</v>
      </c>
      <c r="O1493" s="493" t="s">
        <v>99</v>
      </c>
      <c r="P1493" s="493" t="s">
        <v>8005</v>
      </c>
    </row>
    <row r="1494" spans="1:16">
      <c r="A1494" s="761" t="s">
        <v>2339</v>
      </c>
      <c r="B1494" s="761" t="s">
        <v>2340</v>
      </c>
      <c r="C1494" s="761" t="s">
        <v>2460</v>
      </c>
      <c r="D1494" s="761">
        <v>27906412</v>
      </c>
      <c r="E1494" s="761" t="s">
        <v>2972</v>
      </c>
      <c r="F1494" s="761">
        <v>143002218</v>
      </c>
      <c r="G1494" s="761" t="s">
        <v>3245</v>
      </c>
      <c r="H1494" s="761" t="s">
        <v>7630</v>
      </c>
      <c r="I1494" s="761" t="s">
        <v>6867</v>
      </c>
      <c r="J1494" s="761">
        <v>2</v>
      </c>
      <c r="K1494" s="746">
        <v>18076.27</v>
      </c>
      <c r="L1494" s="746">
        <v>6796.26</v>
      </c>
      <c r="M1494" s="746">
        <v>11280.01</v>
      </c>
      <c r="N1494" s="493" t="str">
        <f t="shared" si="25"/>
        <v>C397</v>
      </c>
      <c r="O1494" s="493" t="s">
        <v>99</v>
      </c>
      <c r="P1494" s="493" t="s">
        <v>8005</v>
      </c>
    </row>
    <row r="1495" spans="1:16">
      <c r="A1495" s="761" t="s">
        <v>2339</v>
      </c>
      <c r="B1495" s="761" t="s">
        <v>2340</v>
      </c>
      <c r="C1495" s="761" t="s">
        <v>2361</v>
      </c>
      <c r="D1495" s="761">
        <v>27906415</v>
      </c>
      <c r="E1495" s="761" t="s">
        <v>2972</v>
      </c>
      <c r="F1495" s="761">
        <v>143002220</v>
      </c>
      <c r="G1495" s="761" t="s">
        <v>3246</v>
      </c>
      <c r="H1495" s="761" t="s">
        <v>3246</v>
      </c>
      <c r="I1495" s="761" t="s">
        <v>6867</v>
      </c>
      <c r="J1495" s="761">
        <v>1</v>
      </c>
      <c r="K1495" s="746">
        <v>2197.69</v>
      </c>
      <c r="L1495" s="746">
        <v>826.28</v>
      </c>
      <c r="M1495" s="746">
        <v>1371.41</v>
      </c>
      <c r="N1495" s="493" t="str">
        <f t="shared" si="25"/>
        <v>C397</v>
      </c>
      <c r="O1495" s="493" t="s">
        <v>99</v>
      </c>
      <c r="P1495" s="493" t="s">
        <v>8005</v>
      </c>
    </row>
    <row r="1496" spans="1:16">
      <c r="A1496" s="761" t="s">
        <v>2339</v>
      </c>
      <c r="B1496" s="761" t="s">
        <v>2340</v>
      </c>
      <c r="C1496" s="761" t="s">
        <v>3247</v>
      </c>
      <c r="D1496" s="761">
        <v>27906420</v>
      </c>
      <c r="E1496" s="761" t="s">
        <v>2972</v>
      </c>
      <c r="F1496" s="761">
        <v>143002221</v>
      </c>
      <c r="G1496" s="761" t="s">
        <v>3248</v>
      </c>
      <c r="H1496" s="761" t="s">
        <v>3248</v>
      </c>
      <c r="I1496" s="761" t="s">
        <v>6867</v>
      </c>
      <c r="J1496" s="761">
        <v>1</v>
      </c>
      <c r="K1496" s="746">
        <v>7801.92</v>
      </c>
      <c r="L1496" s="746">
        <v>2933.34</v>
      </c>
      <c r="M1496" s="746">
        <v>4868.58</v>
      </c>
      <c r="N1496" s="493" t="str">
        <f t="shared" si="25"/>
        <v>C397</v>
      </c>
      <c r="O1496" s="493" t="s">
        <v>99</v>
      </c>
      <c r="P1496" s="493" t="s">
        <v>8005</v>
      </c>
    </row>
    <row r="1497" spans="1:16">
      <c r="A1497" s="761" t="s">
        <v>2339</v>
      </c>
      <c r="B1497" s="761" t="s">
        <v>2340</v>
      </c>
      <c r="C1497" s="761" t="s">
        <v>2358</v>
      </c>
      <c r="D1497" s="761">
        <v>27906425</v>
      </c>
      <c r="E1497" s="761" t="s">
        <v>2972</v>
      </c>
      <c r="F1497" s="761">
        <v>143002222</v>
      </c>
      <c r="G1497" s="761" t="s">
        <v>3249</v>
      </c>
      <c r="H1497" s="761" t="s">
        <v>7631</v>
      </c>
      <c r="I1497" s="761" t="s">
        <v>6867</v>
      </c>
      <c r="J1497" s="761">
        <v>1</v>
      </c>
      <c r="K1497" s="746">
        <v>2907.3</v>
      </c>
      <c r="L1497" s="746">
        <v>1093.08</v>
      </c>
      <c r="M1497" s="746">
        <v>1814.22</v>
      </c>
      <c r="N1497" s="493" t="str">
        <f t="shared" si="25"/>
        <v>C397</v>
      </c>
      <c r="O1497" s="493" t="s">
        <v>390</v>
      </c>
      <c r="P1497" s="493"/>
    </row>
    <row r="1498" spans="1:16">
      <c r="A1498" s="761" t="s">
        <v>2339</v>
      </c>
      <c r="B1498" s="761" t="s">
        <v>2340</v>
      </c>
      <c r="C1498" s="761" t="s">
        <v>3113</v>
      </c>
      <c r="D1498" s="761">
        <v>27906434</v>
      </c>
      <c r="E1498" s="761" t="s">
        <v>2972</v>
      </c>
      <c r="F1498" s="761">
        <v>143002222</v>
      </c>
      <c r="G1498" s="761" t="s">
        <v>3249</v>
      </c>
      <c r="H1498" s="761" t="s">
        <v>7631</v>
      </c>
      <c r="I1498" s="761" t="s">
        <v>6867</v>
      </c>
      <c r="J1498" s="761">
        <v>1</v>
      </c>
      <c r="K1498" s="746">
        <v>3149.57</v>
      </c>
      <c r="L1498" s="746">
        <v>1184.17</v>
      </c>
      <c r="M1498" s="746">
        <v>1965.4</v>
      </c>
      <c r="N1498" s="493" t="str">
        <f t="shared" si="25"/>
        <v>C397</v>
      </c>
      <c r="O1498" s="493" t="s">
        <v>99</v>
      </c>
      <c r="P1498" s="493" t="s">
        <v>8005</v>
      </c>
    </row>
    <row r="1499" spans="1:16">
      <c r="A1499" s="761" t="s">
        <v>2339</v>
      </c>
      <c r="B1499" s="761" t="s">
        <v>2340</v>
      </c>
      <c r="C1499" s="761" t="s">
        <v>3120</v>
      </c>
      <c r="D1499" s="761">
        <v>27906437</v>
      </c>
      <c r="E1499" s="761" t="s">
        <v>2972</v>
      </c>
      <c r="F1499" s="761">
        <v>143002222</v>
      </c>
      <c r="G1499" s="761" t="s">
        <v>3249</v>
      </c>
      <c r="H1499" s="761" t="s">
        <v>7631</v>
      </c>
      <c r="I1499" s="761" t="s">
        <v>6867</v>
      </c>
      <c r="J1499" s="761">
        <v>1</v>
      </c>
      <c r="K1499" s="746">
        <v>3149.57</v>
      </c>
      <c r="L1499" s="746">
        <v>1184.17</v>
      </c>
      <c r="M1499" s="746">
        <v>1965.4</v>
      </c>
      <c r="N1499" s="493" t="str">
        <f t="shared" si="25"/>
        <v>C397</v>
      </c>
      <c r="O1499" s="493" t="s">
        <v>99</v>
      </c>
      <c r="P1499" s="493" t="s">
        <v>8005</v>
      </c>
    </row>
    <row r="1500" spans="1:16">
      <c r="A1500" s="761" t="s">
        <v>2339</v>
      </c>
      <c r="B1500" s="761" t="s">
        <v>2340</v>
      </c>
      <c r="C1500" s="761" t="s">
        <v>3003</v>
      </c>
      <c r="D1500" s="761">
        <v>27906440</v>
      </c>
      <c r="E1500" s="761" t="s">
        <v>2972</v>
      </c>
      <c r="F1500" s="761">
        <v>143002222</v>
      </c>
      <c r="G1500" s="761" t="s">
        <v>3249</v>
      </c>
      <c r="H1500" s="761" t="s">
        <v>7631</v>
      </c>
      <c r="I1500" s="761" t="s">
        <v>6867</v>
      </c>
      <c r="J1500" s="761">
        <v>1</v>
      </c>
      <c r="K1500" s="746">
        <v>2907.3</v>
      </c>
      <c r="L1500" s="746">
        <v>1093.08</v>
      </c>
      <c r="M1500" s="746">
        <v>1814.22</v>
      </c>
      <c r="N1500" s="493" t="str">
        <f t="shared" si="25"/>
        <v>C397</v>
      </c>
      <c r="O1500" s="493" t="s">
        <v>99</v>
      </c>
      <c r="P1500" s="493" t="s">
        <v>8005</v>
      </c>
    </row>
    <row r="1501" spans="1:16">
      <c r="A1501" s="761" t="s">
        <v>2339</v>
      </c>
      <c r="B1501" s="761" t="s">
        <v>2340</v>
      </c>
      <c r="C1501" s="761" t="s">
        <v>3061</v>
      </c>
      <c r="D1501" s="761">
        <v>27906443</v>
      </c>
      <c r="E1501" s="761" t="s">
        <v>2972</v>
      </c>
      <c r="F1501" s="761">
        <v>143002222</v>
      </c>
      <c r="G1501" s="761" t="s">
        <v>3249</v>
      </c>
      <c r="H1501" s="761" t="s">
        <v>7631</v>
      </c>
      <c r="I1501" s="761" t="s">
        <v>6867</v>
      </c>
      <c r="J1501" s="761">
        <v>1</v>
      </c>
      <c r="K1501" s="746">
        <v>3149.57</v>
      </c>
      <c r="L1501" s="746">
        <v>1184.17</v>
      </c>
      <c r="M1501" s="746">
        <v>1965.4</v>
      </c>
      <c r="N1501" s="493" t="str">
        <f t="shared" si="25"/>
        <v>C397</v>
      </c>
      <c r="O1501" s="493" t="s">
        <v>99</v>
      </c>
      <c r="P1501" s="493" t="s">
        <v>8005</v>
      </c>
    </row>
    <row r="1502" spans="1:16">
      <c r="A1502" s="761" t="s">
        <v>2339</v>
      </c>
      <c r="B1502" s="761" t="s">
        <v>2340</v>
      </c>
      <c r="C1502" s="761" t="s">
        <v>3009</v>
      </c>
      <c r="D1502" s="761">
        <v>27906446</v>
      </c>
      <c r="E1502" s="761" t="s">
        <v>2972</v>
      </c>
      <c r="F1502" s="761">
        <v>143002225</v>
      </c>
      <c r="G1502" s="761" t="s">
        <v>3251</v>
      </c>
      <c r="H1502" s="761" t="s">
        <v>3251</v>
      </c>
      <c r="I1502" s="761" t="s">
        <v>6867</v>
      </c>
      <c r="J1502" s="761">
        <v>1</v>
      </c>
      <c r="K1502" s="746">
        <v>3087.65</v>
      </c>
      <c r="L1502" s="746">
        <v>1160.8900000000001</v>
      </c>
      <c r="M1502" s="746">
        <v>1926.76</v>
      </c>
      <c r="N1502" s="493" t="str">
        <f t="shared" si="25"/>
        <v>C397</v>
      </c>
      <c r="O1502" s="493" t="s">
        <v>99</v>
      </c>
      <c r="P1502" s="493" t="s">
        <v>8005</v>
      </c>
    </row>
    <row r="1503" spans="1:16">
      <c r="A1503" s="761" t="s">
        <v>2339</v>
      </c>
      <c r="B1503" s="761" t="s">
        <v>2340</v>
      </c>
      <c r="C1503" s="761" t="s">
        <v>3252</v>
      </c>
      <c r="D1503" s="761">
        <v>27906449</v>
      </c>
      <c r="E1503" s="761" t="s">
        <v>2972</v>
      </c>
      <c r="F1503" s="761">
        <v>143002225</v>
      </c>
      <c r="G1503" s="761" t="s">
        <v>3251</v>
      </c>
      <c r="H1503" s="761" t="s">
        <v>3251</v>
      </c>
      <c r="I1503" s="761" t="s">
        <v>6867</v>
      </c>
      <c r="J1503" s="761">
        <v>1</v>
      </c>
      <c r="K1503" s="746">
        <v>3087.7200000000003</v>
      </c>
      <c r="L1503" s="746">
        <v>1160.9100000000001</v>
      </c>
      <c r="M1503" s="746">
        <v>1926.81</v>
      </c>
      <c r="N1503" s="493" t="str">
        <f t="shared" si="25"/>
        <v>C397</v>
      </c>
      <c r="O1503" s="493" t="s">
        <v>99</v>
      </c>
      <c r="P1503" s="493" t="s">
        <v>8005</v>
      </c>
    </row>
    <row r="1504" spans="1:16">
      <c r="A1504" s="761" t="s">
        <v>2339</v>
      </c>
      <c r="B1504" s="761" t="s">
        <v>2340</v>
      </c>
      <c r="C1504" s="761" t="s">
        <v>2991</v>
      </c>
      <c r="D1504" s="761">
        <v>27906452</v>
      </c>
      <c r="E1504" s="761" t="s">
        <v>2972</v>
      </c>
      <c r="F1504" s="761">
        <v>143002226</v>
      </c>
      <c r="G1504" s="761" t="s">
        <v>3253</v>
      </c>
      <c r="H1504" s="761" t="s">
        <v>3253</v>
      </c>
      <c r="I1504" s="761" t="s">
        <v>6867</v>
      </c>
      <c r="J1504" s="761">
        <v>1</v>
      </c>
      <c r="K1504" s="746">
        <v>14088.87</v>
      </c>
      <c r="L1504" s="746">
        <v>5297.09</v>
      </c>
      <c r="M1504" s="746">
        <v>8791.7800000000007</v>
      </c>
      <c r="N1504" s="493" t="str">
        <f t="shared" si="25"/>
        <v>C397</v>
      </c>
      <c r="O1504" s="493" t="s">
        <v>99</v>
      </c>
      <c r="P1504" s="493" t="s">
        <v>8005</v>
      </c>
    </row>
    <row r="1505" spans="1:16">
      <c r="A1505" s="761" t="s">
        <v>2339</v>
      </c>
      <c r="B1505" s="761" t="s">
        <v>2340</v>
      </c>
      <c r="C1505" s="761" t="s">
        <v>3257</v>
      </c>
      <c r="D1505" s="761">
        <v>27906472</v>
      </c>
      <c r="E1505" s="761" t="s">
        <v>2972</v>
      </c>
      <c r="F1505" s="761">
        <v>143002263</v>
      </c>
      <c r="G1505" s="761" t="s">
        <v>3258</v>
      </c>
      <c r="H1505" s="761" t="s">
        <v>3258</v>
      </c>
      <c r="I1505" s="761" t="s">
        <v>6867</v>
      </c>
      <c r="J1505" s="761">
        <v>1</v>
      </c>
      <c r="K1505" s="746">
        <v>12863.93</v>
      </c>
      <c r="L1505" s="746">
        <v>4836.54</v>
      </c>
      <c r="M1505" s="746">
        <v>8027.39</v>
      </c>
      <c r="N1505" s="493" t="str">
        <f t="shared" si="25"/>
        <v>C397</v>
      </c>
      <c r="O1505" s="493" t="s">
        <v>99</v>
      </c>
      <c r="P1505" s="493" t="s">
        <v>8005</v>
      </c>
    </row>
    <row r="1506" spans="1:16">
      <c r="A1506" s="761" t="s">
        <v>2339</v>
      </c>
      <c r="B1506" s="761" t="s">
        <v>2340</v>
      </c>
      <c r="C1506" s="761" t="s">
        <v>3265</v>
      </c>
      <c r="D1506" s="761">
        <v>27906488</v>
      </c>
      <c r="E1506" s="761" t="s">
        <v>2972</v>
      </c>
      <c r="F1506" s="761">
        <v>143002331</v>
      </c>
      <c r="G1506" s="761" t="s">
        <v>3266</v>
      </c>
      <c r="H1506" s="761" t="s">
        <v>3266</v>
      </c>
      <c r="I1506" s="761" t="s">
        <v>6867</v>
      </c>
      <c r="J1506" s="761">
        <v>1</v>
      </c>
      <c r="K1506" s="746">
        <v>41798.660000000003</v>
      </c>
      <c r="L1506" s="746">
        <v>15715.33</v>
      </c>
      <c r="M1506" s="746">
        <v>26083.33</v>
      </c>
      <c r="N1506" s="493" t="str">
        <f t="shared" si="25"/>
        <v>C397</v>
      </c>
      <c r="O1506" s="493" t="s">
        <v>99</v>
      </c>
      <c r="P1506" s="493" t="s">
        <v>8005</v>
      </c>
    </row>
    <row r="1507" spans="1:16">
      <c r="A1507" s="761" t="s">
        <v>2339</v>
      </c>
      <c r="B1507" s="761" t="s">
        <v>2340</v>
      </c>
      <c r="C1507" s="761" t="s">
        <v>3283</v>
      </c>
      <c r="D1507" s="761">
        <v>27906493</v>
      </c>
      <c r="E1507" s="761" t="s">
        <v>2972</v>
      </c>
      <c r="F1507" s="761">
        <v>143002428</v>
      </c>
      <c r="G1507" s="761" t="s">
        <v>3284</v>
      </c>
      <c r="H1507" s="761" t="s">
        <v>3284</v>
      </c>
      <c r="I1507" s="761" t="s">
        <v>6867</v>
      </c>
      <c r="J1507" s="761">
        <v>1</v>
      </c>
      <c r="K1507" s="746">
        <v>3417.7400000000002</v>
      </c>
      <c r="L1507" s="746">
        <v>1284.99</v>
      </c>
      <c r="M1507" s="746">
        <v>2132.75</v>
      </c>
      <c r="N1507" s="493" t="str">
        <f t="shared" si="25"/>
        <v>C397</v>
      </c>
      <c r="O1507" s="493" t="s">
        <v>99</v>
      </c>
      <c r="P1507" s="493" t="s">
        <v>8005</v>
      </c>
    </row>
    <row r="1508" spans="1:16">
      <c r="A1508" s="761" t="s">
        <v>2339</v>
      </c>
      <c r="B1508" s="761" t="s">
        <v>2340</v>
      </c>
      <c r="C1508" s="761" t="s">
        <v>2524</v>
      </c>
      <c r="D1508" s="761">
        <v>28148128</v>
      </c>
      <c r="E1508" s="761" t="s">
        <v>2972</v>
      </c>
      <c r="F1508" s="761">
        <v>143002326</v>
      </c>
      <c r="G1508" s="761" t="s">
        <v>3264</v>
      </c>
      <c r="H1508" s="761" t="s">
        <v>7632</v>
      </c>
      <c r="I1508" s="761" t="s">
        <v>6867</v>
      </c>
      <c r="J1508" s="761">
        <v>1</v>
      </c>
      <c r="K1508" s="746">
        <v>48478.74</v>
      </c>
      <c r="L1508" s="746">
        <v>18226.89</v>
      </c>
      <c r="M1508" s="746">
        <v>30251.850000000002</v>
      </c>
      <c r="N1508" s="493" t="str">
        <f t="shared" si="25"/>
        <v>C397</v>
      </c>
      <c r="O1508" s="493" t="s">
        <v>99</v>
      </c>
      <c r="P1508" s="493" t="s">
        <v>8005</v>
      </c>
    </row>
    <row r="1509" spans="1:16">
      <c r="A1509" s="761" t="s">
        <v>2339</v>
      </c>
      <c r="B1509" s="761" t="s">
        <v>2340</v>
      </c>
      <c r="C1509" s="761" t="s">
        <v>2524</v>
      </c>
      <c r="D1509" s="761">
        <v>28148131</v>
      </c>
      <c r="E1509" s="761" t="s">
        <v>2972</v>
      </c>
      <c r="F1509" s="761">
        <v>143002326</v>
      </c>
      <c r="G1509" s="761" t="s">
        <v>3264</v>
      </c>
      <c r="H1509" s="761" t="s">
        <v>7632</v>
      </c>
      <c r="I1509" s="761" t="s">
        <v>6867</v>
      </c>
      <c r="J1509" s="761">
        <v>1</v>
      </c>
      <c r="K1509" s="746">
        <v>13851.09</v>
      </c>
      <c r="L1509" s="746">
        <v>5207.6900000000005</v>
      </c>
      <c r="M1509" s="746">
        <v>8643.4</v>
      </c>
      <c r="N1509" s="493" t="str">
        <f t="shared" si="25"/>
        <v>C397</v>
      </c>
      <c r="O1509" s="493" t="s">
        <v>99</v>
      </c>
      <c r="P1509" s="493" t="s">
        <v>8005</v>
      </c>
    </row>
    <row r="1510" spans="1:16">
      <c r="A1510" s="761" t="s">
        <v>2339</v>
      </c>
      <c r="B1510" s="761" t="s">
        <v>2340</v>
      </c>
      <c r="C1510" s="761" t="s">
        <v>2524</v>
      </c>
      <c r="D1510" s="761">
        <v>28148134</v>
      </c>
      <c r="E1510" s="761" t="s">
        <v>2972</v>
      </c>
      <c r="F1510" s="761">
        <v>143002326</v>
      </c>
      <c r="G1510" s="761" t="s">
        <v>3264</v>
      </c>
      <c r="H1510" s="761" t="s">
        <v>7632</v>
      </c>
      <c r="I1510" s="761" t="s">
        <v>6867</v>
      </c>
      <c r="J1510" s="761">
        <v>1</v>
      </c>
      <c r="K1510" s="746">
        <v>6925.54</v>
      </c>
      <c r="L1510" s="746">
        <v>2603.84</v>
      </c>
      <c r="M1510" s="746">
        <v>4321.7</v>
      </c>
      <c r="N1510" s="493" t="str">
        <f t="shared" si="25"/>
        <v>C397</v>
      </c>
      <c r="O1510" s="493" t="s">
        <v>99</v>
      </c>
      <c r="P1510" s="493" t="s">
        <v>8005</v>
      </c>
    </row>
    <row r="1511" spans="1:16">
      <c r="A1511" s="761" t="s">
        <v>2339</v>
      </c>
      <c r="B1511" s="761" t="s">
        <v>2340</v>
      </c>
      <c r="C1511" s="761" t="s">
        <v>2497</v>
      </c>
      <c r="D1511" s="761">
        <v>28163992</v>
      </c>
      <c r="E1511" s="761" t="s">
        <v>2972</v>
      </c>
      <c r="F1511" s="761">
        <v>141002435</v>
      </c>
      <c r="G1511" s="761" t="s">
        <v>3107</v>
      </c>
      <c r="H1511" s="761" t="s">
        <v>3107</v>
      </c>
      <c r="I1511" s="761" t="s">
        <v>6867</v>
      </c>
      <c r="J1511" s="761">
        <v>2</v>
      </c>
      <c r="K1511" s="746">
        <v>37604.11</v>
      </c>
      <c r="L1511" s="746">
        <v>14138.28</v>
      </c>
      <c r="M1511" s="746">
        <v>23465.83</v>
      </c>
      <c r="N1511" s="493" t="str">
        <f t="shared" si="25"/>
        <v>C397</v>
      </c>
      <c r="O1511" s="493" t="s">
        <v>99</v>
      </c>
      <c r="P1511" s="493" t="s">
        <v>8005</v>
      </c>
    </row>
    <row r="1512" spans="1:16">
      <c r="A1512" s="761" t="s">
        <v>2339</v>
      </c>
      <c r="B1512" s="761" t="s">
        <v>2340</v>
      </c>
      <c r="C1512" s="761" t="s">
        <v>2627</v>
      </c>
      <c r="D1512" s="761">
        <v>28381633</v>
      </c>
      <c r="E1512" s="761" t="s">
        <v>2972</v>
      </c>
      <c r="F1512" s="761">
        <v>143002211</v>
      </c>
      <c r="G1512" s="761" t="s">
        <v>3243</v>
      </c>
      <c r="H1512" s="761" t="s">
        <v>3243</v>
      </c>
      <c r="I1512" s="761" t="s">
        <v>6867</v>
      </c>
      <c r="J1512" s="761">
        <v>1</v>
      </c>
      <c r="K1512" s="746">
        <v>33466.660000000003</v>
      </c>
      <c r="L1512" s="746">
        <v>12582.69</v>
      </c>
      <c r="M1512" s="746">
        <v>20883.97</v>
      </c>
      <c r="N1512" s="493" t="str">
        <f t="shared" si="25"/>
        <v>C397</v>
      </c>
      <c r="O1512" s="493" t="s">
        <v>99</v>
      </c>
      <c r="P1512" s="493" t="s">
        <v>8005</v>
      </c>
    </row>
    <row r="1513" spans="1:16">
      <c r="A1513" s="761" t="s">
        <v>2339</v>
      </c>
      <c r="B1513" s="761" t="s">
        <v>2340</v>
      </c>
      <c r="C1513" s="761" t="s">
        <v>2350</v>
      </c>
      <c r="D1513" s="761">
        <v>28676588</v>
      </c>
      <c r="E1513" s="761" t="s">
        <v>2972</v>
      </c>
      <c r="F1513" s="761">
        <v>143002345</v>
      </c>
      <c r="G1513" s="761" t="s">
        <v>3270</v>
      </c>
      <c r="H1513" s="761" t="s">
        <v>3270</v>
      </c>
      <c r="I1513" s="761" t="s">
        <v>6867</v>
      </c>
      <c r="J1513" s="761">
        <v>1</v>
      </c>
      <c r="K1513" s="746">
        <v>12608.76</v>
      </c>
      <c r="L1513" s="746">
        <v>4740.6000000000004</v>
      </c>
      <c r="M1513" s="746">
        <v>7868.16</v>
      </c>
      <c r="N1513" s="493" t="str">
        <f t="shared" si="25"/>
        <v>C397</v>
      </c>
      <c r="O1513" s="493" t="s">
        <v>390</v>
      </c>
      <c r="P1513" s="493"/>
    </row>
    <row r="1514" spans="1:16">
      <c r="A1514" s="761" t="s">
        <v>2339</v>
      </c>
      <c r="B1514" s="761" t="s">
        <v>2340</v>
      </c>
      <c r="C1514" s="761" t="s">
        <v>2359</v>
      </c>
      <c r="D1514" s="761">
        <v>28676597</v>
      </c>
      <c r="E1514" s="761" t="s">
        <v>2972</v>
      </c>
      <c r="F1514" s="761">
        <v>143002382</v>
      </c>
      <c r="G1514" s="761" t="s">
        <v>3279</v>
      </c>
      <c r="H1514" s="761" t="s">
        <v>7633</v>
      </c>
      <c r="I1514" s="761" t="s">
        <v>6867</v>
      </c>
      <c r="J1514" s="761">
        <v>2</v>
      </c>
      <c r="K1514" s="746">
        <v>35145.01</v>
      </c>
      <c r="L1514" s="746">
        <v>13213.710000000001</v>
      </c>
      <c r="M1514" s="746">
        <v>21931.3</v>
      </c>
      <c r="N1514" s="493" t="str">
        <f t="shared" si="25"/>
        <v>C397</v>
      </c>
      <c r="O1514" s="493" t="s">
        <v>390</v>
      </c>
      <c r="P1514" s="493"/>
    </row>
    <row r="1515" spans="1:16">
      <c r="A1515" s="761" t="s">
        <v>2339</v>
      </c>
      <c r="B1515" s="761" t="s">
        <v>2340</v>
      </c>
      <c r="C1515" s="761" t="s">
        <v>2743</v>
      </c>
      <c r="D1515" s="761">
        <v>28993132</v>
      </c>
      <c r="E1515" s="761" t="s">
        <v>2972</v>
      </c>
      <c r="F1515" s="761">
        <v>143002216</v>
      </c>
      <c r="G1515" s="761" t="s">
        <v>3244</v>
      </c>
      <c r="H1515" s="761" t="s">
        <v>7634</v>
      </c>
      <c r="I1515" s="761" t="s">
        <v>6867</v>
      </c>
      <c r="J1515" s="761">
        <v>6</v>
      </c>
      <c r="K1515" s="746">
        <v>91290.66</v>
      </c>
      <c r="L1515" s="746">
        <v>34323.18</v>
      </c>
      <c r="M1515" s="746">
        <v>56967.48</v>
      </c>
      <c r="N1515" s="493" t="str">
        <f t="shared" si="25"/>
        <v>C397</v>
      </c>
      <c r="O1515" s="493" t="s">
        <v>99</v>
      </c>
      <c r="P1515" s="493" t="s">
        <v>8005</v>
      </c>
    </row>
    <row r="1516" spans="1:16">
      <c r="A1516" s="761" t="s">
        <v>2339</v>
      </c>
      <c r="B1516" s="761" t="s">
        <v>2340</v>
      </c>
      <c r="C1516" s="761" t="s">
        <v>2476</v>
      </c>
      <c r="D1516" s="761">
        <v>28993139</v>
      </c>
      <c r="E1516" s="761" t="s">
        <v>2972</v>
      </c>
      <c r="F1516" s="761">
        <v>143002527</v>
      </c>
      <c r="G1516" s="761" t="s">
        <v>3286</v>
      </c>
      <c r="H1516" s="761" t="s">
        <v>7635</v>
      </c>
      <c r="I1516" s="761" t="s">
        <v>6867</v>
      </c>
      <c r="J1516" s="761">
        <v>159</v>
      </c>
      <c r="K1516" s="746">
        <v>2675427.7599999998</v>
      </c>
      <c r="L1516" s="746">
        <v>1005899.09</v>
      </c>
      <c r="M1516" s="746">
        <v>1669528.67</v>
      </c>
      <c r="N1516" s="493" t="str">
        <f t="shared" si="25"/>
        <v>C397</v>
      </c>
      <c r="O1516" s="493" t="s">
        <v>99</v>
      </c>
      <c r="P1516" s="493" t="s">
        <v>8005</v>
      </c>
    </row>
    <row r="1517" spans="1:16">
      <c r="A1517" s="761" t="s">
        <v>2339</v>
      </c>
      <c r="B1517" s="761" t="s">
        <v>2340</v>
      </c>
      <c r="C1517" s="761" t="s">
        <v>2709</v>
      </c>
      <c r="D1517" s="761">
        <v>28993144</v>
      </c>
      <c r="E1517" s="761" t="s">
        <v>2972</v>
      </c>
      <c r="F1517" s="761">
        <v>143002513</v>
      </c>
      <c r="G1517" s="761" t="s">
        <v>3285</v>
      </c>
      <c r="H1517" s="761" t="s">
        <v>7636</v>
      </c>
      <c r="I1517" s="761" t="s">
        <v>6867</v>
      </c>
      <c r="J1517" s="761">
        <v>1</v>
      </c>
      <c r="K1517" s="746">
        <v>2958.86</v>
      </c>
      <c r="L1517" s="746">
        <v>1112.46</v>
      </c>
      <c r="M1517" s="746">
        <v>1846.4</v>
      </c>
      <c r="N1517" s="493" t="str">
        <f t="shared" si="25"/>
        <v>C397</v>
      </c>
      <c r="O1517" s="493" t="s">
        <v>99</v>
      </c>
      <c r="P1517" s="493" t="s">
        <v>8005</v>
      </c>
    </row>
    <row r="1518" spans="1:16">
      <c r="A1518" s="761" t="s">
        <v>2339</v>
      </c>
      <c r="B1518" s="761" t="s">
        <v>2340</v>
      </c>
      <c r="C1518" s="761" t="s">
        <v>3041</v>
      </c>
      <c r="D1518" s="761">
        <v>29058530</v>
      </c>
      <c r="E1518" s="761" t="s">
        <v>2972</v>
      </c>
      <c r="F1518" s="761">
        <v>143002353</v>
      </c>
      <c r="G1518" s="761" t="s">
        <v>3272</v>
      </c>
      <c r="H1518" s="761" t="s">
        <v>3272</v>
      </c>
      <c r="I1518" s="761" t="s">
        <v>6867</v>
      </c>
      <c r="J1518" s="761">
        <v>1</v>
      </c>
      <c r="K1518" s="746">
        <v>28897.13</v>
      </c>
      <c r="L1518" s="746">
        <v>10864.65</v>
      </c>
      <c r="M1518" s="746">
        <v>18032.48</v>
      </c>
      <c r="N1518" s="493" t="str">
        <f t="shared" si="25"/>
        <v>C397</v>
      </c>
      <c r="O1518" s="493" t="s">
        <v>390</v>
      </c>
      <c r="P1518" s="493"/>
    </row>
    <row r="1519" spans="1:16">
      <c r="A1519" s="761" t="s">
        <v>2339</v>
      </c>
      <c r="B1519" s="761" t="s">
        <v>2340</v>
      </c>
      <c r="C1519" s="761" t="s">
        <v>2494</v>
      </c>
      <c r="D1519" s="761">
        <v>31048906</v>
      </c>
      <c r="E1519" s="761" t="s">
        <v>2972</v>
      </c>
      <c r="F1519" s="761">
        <v>141002962</v>
      </c>
      <c r="G1519" s="761" t="s">
        <v>3108</v>
      </c>
      <c r="H1519" s="761" t="s">
        <v>3108</v>
      </c>
      <c r="I1519" s="761" t="s">
        <v>6867</v>
      </c>
      <c r="J1519" s="761">
        <v>1</v>
      </c>
      <c r="K1519" s="746">
        <v>36885.599999999999</v>
      </c>
      <c r="L1519" s="746">
        <v>13868.130000000001</v>
      </c>
      <c r="M1519" s="746">
        <v>23017.47</v>
      </c>
      <c r="N1519" s="493" t="str">
        <f t="shared" si="25"/>
        <v>C397</v>
      </c>
      <c r="O1519" s="493" t="s">
        <v>390</v>
      </c>
      <c r="P1519" s="493"/>
    </row>
    <row r="1520" spans="1:16">
      <c r="A1520" s="761" t="s">
        <v>2339</v>
      </c>
      <c r="B1520" s="761" t="s">
        <v>2340</v>
      </c>
      <c r="C1520" s="761" t="s">
        <v>3140</v>
      </c>
      <c r="D1520" s="761">
        <v>35868115</v>
      </c>
      <c r="E1520" s="761" t="s">
        <v>2972</v>
      </c>
      <c r="F1520" s="761">
        <v>143002306</v>
      </c>
      <c r="G1520" s="761" t="s">
        <v>3260</v>
      </c>
      <c r="H1520" s="761" t="s">
        <v>7637</v>
      </c>
      <c r="I1520" s="761" t="s">
        <v>6867</v>
      </c>
      <c r="J1520" s="761">
        <v>1</v>
      </c>
      <c r="K1520" s="746">
        <v>39117.96</v>
      </c>
      <c r="L1520" s="746">
        <v>14707.45</v>
      </c>
      <c r="M1520" s="746">
        <v>24410.510000000002</v>
      </c>
      <c r="N1520" s="493" t="str">
        <f t="shared" si="25"/>
        <v>C397</v>
      </c>
      <c r="O1520" s="493" t="s">
        <v>99</v>
      </c>
      <c r="P1520" s="493" t="s">
        <v>8005</v>
      </c>
    </row>
    <row r="1521" spans="1:16">
      <c r="A1521" s="761" t="s">
        <v>2339</v>
      </c>
      <c r="B1521" s="761" t="s">
        <v>2340</v>
      </c>
      <c r="C1521" s="761" t="s">
        <v>3061</v>
      </c>
      <c r="D1521" s="761">
        <v>29627803</v>
      </c>
      <c r="E1521" s="761" t="s">
        <v>2972</v>
      </c>
      <c r="F1521" s="761">
        <v>143002149</v>
      </c>
      <c r="G1521" s="761" t="s">
        <v>3221</v>
      </c>
      <c r="H1521" s="761" t="s">
        <v>7638</v>
      </c>
      <c r="I1521" s="761" t="s">
        <v>6867</v>
      </c>
      <c r="J1521" s="761">
        <v>1</v>
      </c>
      <c r="K1521" s="746">
        <v>201237.32</v>
      </c>
      <c r="L1521" s="746">
        <v>65957.05</v>
      </c>
      <c r="M1521" s="746">
        <v>135280.26999999999</v>
      </c>
      <c r="N1521" s="493" t="str">
        <f t="shared" si="25"/>
        <v>C397</v>
      </c>
      <c r="O1521" s="493" t="s">
        <v>99</v>
      </c>
      <c r="P1521" s="493" t="s">
        <v>8005</v>
      </c>
    </row>
    <row r="1522" spans="1:16">
      <c r="A1522" s="761" t="s">
        <v>2339</v>
      </c>
      <c r="B1522" s="761" t="s">
        <v>2340</v>
      </c>
      <c r="C1522" s="761" t="s">
        <v>3262</v>
      </c>
      <c r="D1522" s="761">
        <v>29876718</v>
      </c>
      <c r="E1522" s="761" t="s">
        <v>2972</v>
      </c>
      <c r="F1522" s="761">
        <v>143002325</v>
      </c>
      <c r="G1522" s="761" t="s">
        <v>3263</v>
      </c>
      <c r="H1522" s="761" t="s">
        <v>7639</v>
      </c>
      <c r="I1522" s="761" t="s">
        <v>6867</v>
      </c>
      <c r="J1522" s="761">
        <v>1</v>
      </c>
      <c r="K1522" s="746">
        <v>354558.31</v>
      </c>
      <c r="L1522" s="746">
        <v>116209.16</v>
      </c>
      <c r="M1522" s="746">
        <v>238349.15</v>
      </c>
      <c r="N1522" s="493" t="str">
        <f t="shared" si="25"/>
        <v>C397</v>
      </c>
      <c r="O1522" s="493" t="s">
        <v>99</v>
      </c>
      <c r="P1522" s="493" t="s">
        <v>8005</v>
      </c>
    </row>
    <row r="1523" spans="1:16">
      <c r="A1523" s="761" t="s">
        <v>2339</v>
      </c>
      <c r="B1523" s="761" t="s">
        <v>2340</v>
      </c>
      <c r="C1523" s="761" t="s">
        <v>3219</v>
      </c>
      <c r="D1523" s="761">
        <v>30203747</v>
      </c>
      <c r="E1523" s="761" t="s">
        <v>2972</v>
      </c>
      <c r="F1523" s="761">
        <v>143002147</v>
      </c>
      <c r="G1523" s="761" t="s">
        <v>3220</v>
      </c>
      <c r="H1523" s="761" t="s">
        <v>7640</v>
      </c>
      <c r="I1523" s="761" t="s">
        <v>6867</v>
      </c>
      <c r="J1523" s="761">
        <v>1</v>
      </c>
      <c r="K1523" s="746">
        <v>7125.9000000000005</v>
      </c>
      <c r="L1523" s="746">
        <v>2335.5700000000002</v>
      </c>
      <c r="M1523" s="746">
        <v>4790.33</v>
      </c>
      <c r="N1523" s="493" t="str">
        <f t="shared" si="25"/>
        <v>C397</v>
      </c>
      <c r="O1523" s="493" t="s">
        <v>99</v>
      </c>
      <c r="P1523" s="493" t="s">
        <v>8005</v>
      </c>
    </row>
    <row r="1524" spans="1:16">
      <c r="A1524" s="761" t="s">
        <v>2339</v>
      </c>
      <c r="B1524" s="761" t="s">
        <v>2340</v>
      </c>
      <c r="C1524" s="761" t="s">
        <v>3015</v>
      </c>
      <c r="D1524" s="761">
        <v>30735104</v>
      </c>
      <c r="E1524" s="761" t="s">
        <v>2972</v>
      </c>
      <c r="F1524" s="761">
        <v>143002425</v>
      </c>
      <c r="G1524" s="761" t="s">
        <v>3281</v>
      </c>
      <c r="H1524" s="761" t="s">
        <v>7641</v>
      </c>
      <c r="I1524" s="761" t="s">
        <v>6867</v>
      </c>
      <c r="J1524" s="761">
        <v>1</v>
      </c>
      <c r="K1524" s="746">
        <v>2589.84</v>
      </c>
      <c r="L1524" s="746">
        <v>848.84</v>
      </c>
      <c r="M1524" s="746">
        <v>1741</v>
      </c>
      <c r="N1524" s="493" t="str">
        <f t="shared" si="25"/>
        <v>C397</v>
      </c>
      <c r="O1524" s="493" t="s">
        <v>99</v>
      </c>
      <c r="P1524" s="493" t="s">
        <v>8005</v>
      </c>
    </row>
    <row r="1525" spans="1:16">
      <c r="A1525" s="761" t="s">
        <v>2339</v>
      </c>
      <c r="B1525" s="761" t="s">
        <v>2340</v>
      </c>
      <c r="C1525" s="761" t="s">
        <v>2517</v>
      </c>
      <c r="D1525" s="761">
        <v>30860283</v>
      </c>
      <c r="E1525" s="761" t="s">
        <v>2972</v>
      </c>
      <c r="F1525" s="761">
        <v>143002030</v>
      </c>
      <c r="G1525" s="761" t="s">
        <v>3205</v>
      </c>
      <c r="H1525" s="761" t="s">
        <v>7642</v>
      </c>
      <c r="I1525" s="761" t="s">
        <v>6867</v>
      </c>
      <c r="J1525" s="761">
        <v>4</v>
      </c>
      <c r="K1525" s="746">
        <v>980681.31</v>
      </c>
      <c r="L1525" s="746">
        <v>321425.69</v>
      </c>
      <c r="M1525" s="746">
        <v>659255.62</v>
      </c>
      <c r="N1525" s="493" t="str">
        <f t="shared" si="25"/>
        <v>C397</v>
      </c>
      <c r="O1525" s="493" t="s">
        <v>390</v>
      </c>
      <c r="P1525" s="493"/>
    </row>
    <row r="1526" spans="1:16">
      <c r="A1526" s="761" t="s">
        <v>2339</v>
      </c>
      <c r="B1526" s="761" t="s">
        <v>2340</v>
      </c>
      <c r="C1526" s="761" t="s">
        <v>3237</v>
      </c>
      <c r="D1526" s="761">
        <v>31152250</v>
      </c>
      <c r="E1526" s="761" t="s">
        <v>2972</v>
      </c>
      <c r="F1526" s="761">
        <v>143002278</v>
      </c>
      <c r="G1526" s="761" t="s">
        <v>3259</v>
      </c>
      <c r="H1526" s="761" t="s">
        <v>7643</v>
      </c>
      <c r="I1526" s="761" t="s">
        <v>6867</v>
      </c>
      <c r="J1526" s="761">
        <v>1</v>
      </c>
      <c r="K1526" s="746">
        <v>77749.95</v>
      </c>
      <c r="L1526" s="746">
        <v>25483.13</v>
      </c>
      <c r="M1526" s="746">
        <v>52266.82</v>
      </c>
      <c r="N1526" s="493" t="str">
        <f t="shared" si="25"/>
        <v>C397</v>
      </c>
      <c r="O1526" s="493" t="s">
        <v>390</v>
      </c>
      <c r="P1526" s="493"/>
    </row>
    <row r="1527" spans="1:16">
      <c r="A1527" s="761" t="s">
        <v>2339</v>
      </c>
      <c r="B1527" s="761" t="s">
        <v>2340</v>
      </c>
      <c r="C1527" s="761" t="s">
        <v>2995</v>
      </c>
      <c r="D1527" s="761">
        <v>31152255</v>
      </c>
      <c r="E1527" s="761" t="s">
        <v>2972</v>
      </c>
      <c r="F1527" s="761">
        <v>143002315</v>
      </c>
      <c r="G1527" s="761" t="s">
        <v>3261</v>
      </c>
      <c r="H1527" s="761" t="s">
        <v>7644</v>
      </c>
      <c r="I1527" s="761" t="s">
        <v>6867</v>
      </c>
      <c r="J1527" s="761">
        <v>1</v>
      </c>
      <c r="K1527" s="746">
        <v>41478.450000000004</v>
      </c>
      <c r="L1527" s="746">
        <v>13594.87</v>
      </c>
      <c r="M1527" s="746">
        <v>27883.58</v>
      </c>
      <c r="N1527" s="493" t="str">
        <f t="shared" si="25"/>
        <v>C397</v>
      </c>
      <c r="O1527" s="493" t="s">
        <v>99</v>
      </c>
      <c r="P1527" s="493" t="s">
        <v>8005</v>
      </c>
    </row>
    <row r="1528" spans="1:16">
      <c r="A1528" s="761" t="s">
        <v>2339</v>
      </c>
      <c r="B1528" s="761" t="s">
        <v>2340</v>
      </c>
      <c r="C1528" s="761" t="s">
        <v>2451</v>
      </c>
      <c r="D1528" s="761">
        <v>31152262</v>
      </c>
      <c r="E1528" s="761" t="s">
        <v>2972</v>
      </c>
      <c r="F1528" s="761">
        <v>143002364</v>
      </c>
      <c r="G1528" s="761" t="s">
        <v>3277</v>
      </c>
      <c r="H1528" s="761" t="s">
        <v>7645</v>
      </c>
      <c r="I1528" s="761" t="s">
        <v>6867</v>
      </c>
      <c r="J1528" s="761">
        <v>1</v>
      </c>
      <c r="K1528" s="746">
        <v>67932.73</v>
      </c>
      <c r="L1528" s="746">
        <v>22265.46</v>
      </c>
      <c r="M1528" s="746">
        <v>45667.270000000004</v>
      </c>
      <c r="N1528" s="493" t="str">
        <f t="shared" si="25"/>
        <v>C397</v>
      </c>
      <c r="O1528" s="493" t="s">
        <v>99</v>
      </c>
      <c r="P1528" s="493" t="s">
        <v>8005</v>
      </c>
    </row>
    <row r="1529" spans="1:16">
      <c r="A1529" s="761" t="s">
        <v>2339</v>
      </c>
      <c r="B1529" s="761" t="s">
        <v>2340</v>
      </c>
      <c r="C1529" s="761" t="s">
        <v>3021</v>
      </c>
      <c r="D1529" s="761">
        <v>31152267</v>
      </c>
      <c r="E1529" s="761" t="s">
        <v>2972</v>
      </c>
      <c r="F1529" s="761">
        <v>143002365</v>
      </c>
      <c r="G1529" s="761" t="s">
        <v>3278</v>
      </c>
      <c r="H1529" s="761" t="s">
        <v>7646</v>
      </c>
      <c r="I1529" s="761" t="s">
        <v>6867</v>
      </c>
      <c r="J1529" s="761">
        <v>1</v>
      </c>
      <c r="K1529" s="746">
        <v>60425.74</v>
      </c>
      <c r="L1529" s="746">
        <v>19804.990000000002</v>
      </c>
      <c r="M1529" s="746">
        <v>40620.75</v>
      </c>
      <c r="N1529" s="493" t="str">
        <f t="shared" si="25"/>
        <v>C397</v>
      </c>
      <c r="O1529" s="493" t="s">
        <v>99</v>
      </c>
      <c r="P1529" s="493" t="s">
        <v>8005</v>
      </c>
    </row>
    <row r="1530" spans="1:16">
      <c r="A1530" s="761" t="s">
        <v>2339</v>
      </c>
      <c r="B1530" s="761" t="s">
        <v>2340</v>
      </c>
      <c r="C1530" s="761" t="s">
        <v>2365</v>
      </c>
      <c r="D1530" s="761">
        <v>31152279</v>
      </c>
      <c r="E1530" s="761" t="s">
        <v>2972</v>
      </c>
      <c r="F1530" s="761">
        <v>143002426</v>
      </c>
      <c r="G1530" s="761" t="s">
        <v>3282</v>
      </c>
      <c r="H1530" s="761" t="s">
        <v>7647</v>
      </c>
      <c r="I1530" s="761" t="s">
        <v>6867</v>
      </c>
      <c r="J1530" s="761">
        <v>1</v>
      </c>
      <c r="K1530" s="746">
        <v>1838.8</v>
      </c>
      <c r="L1530" s="746">
        <v>602.68000000000006</v>
      </c>
      <c r="M1530" s="746">
        <v>1236.1200000000001</v>
      </c>
      <c r="N1530" s="493" t="str">
        <f t="shared" si="25"/>
        <v>C397</v>
      </c>
      <c r="O1530" s="493" t="s">
        <v>99</v>
      </c>
      <c r="P1530" s="493" t="s">
        <v>8005</v>
      </c>
    </row>
    <row r="1531" spans="1:16">
      <c r="A1531" s="761" t="s">
        <v>2339</v>
      </c>
      <c r="B1531" s="761" t="s">
        <v>2340</v>
      </c>
      <c r="C1531" s="761" t="s">
        <v>2364</v>
      </c>
      <c r="D1531" s="761">
        <v>31152293</v>
      </c>
      <c r="E1531" s="761" t="s">
        <v>2972</v>
      </c>
      <c r="F1531" s="761">
        <v>143002597</v>
      </c>
      <c r="G1531" s="761" t="s">
        <v>3290</v>
      </c>
      <c r="H1531" s="761" t="s">
        <v>7648</v>
      </c>
      <c r="I1531" s="761" t="s">
        <v>6867</v>
      </c>
      <c r="J1531" s="761">
        <v>1</v>
      </c>
      <c r="K1531" s="746">
        <v>4235.7700000000004</v>
      </c>
      <c r="L1531" s="746">
        <v>1388.31</v>
      </c>
      <c r="M1531" s="746">
        <v>2847.46</v>
      </c>
      <c r="N1531" s="493" t="str">
        <f t="shared" si="25"/>
        <v>C397</v>
      </c>
      <c r="O1531" s="493" t="s">
        <v>390</v>
      </c>
      <c r="P1531" s="493"/>
    </row>
    <row r="1532" spans="1:16">
      <c r="A1532" s="761" t="s">
        <v>2339</v>
      </c>
      <c r="B1532" s="761" t="s">
        <v>2340</v>
      </c>
      <c r="C1532" s="761" t="s">
        <v>2350</v>
      </c>
      <c r="D1532" s="761">
        <v>31152319</v>
      </c>
      <c r="E1532" s="761" t="s">
        <v>2972</v>
      </c>
      <c r="F1532" s="761">
        <v>143003238</v>
      </c>
      <c r="G1532" s="761" t="s">
        <v>3328</v>
      </c>
      <c r="H1532" s="761" t="s">
        <v>7649</v>
      </c>
      <c r="I1532" s="761" t="s">
        <v>6867</v>
      </c>
      <c r="J1532" s="761">
        <v>2</v>
      </c>
      <c r="K1532" s="746">
        <v>130217.52</v>
      </c>
      <c r="L1532" s="746">
        <v>42679.770000000004</v>
      </c>
      <c r="M1532" s="746">
        <v>87537.75</v>
      </c>
      <c r="N1532" s="493" t="str">
        <f t="shared" si="25"/>
        <v>C397</v>
      </c>
      <c r="O1532" s="493" t="s">
        <v>390</v>
      </c>
      <c r="P1532" s="493"/>
    </row>
    <row r="1533" spans="1:16">
      <c r="A1533" s="761" t="s">
        <v>2339</v>
      </c>
      <c r="B1533" s="761" t="s">
        <v>2340</v>
      </c>
      <c r="C1533" s="761" t="s">
        <v>2494</v>
      </c>
      <c r="D1533" s="761">
        <v>31559945</v>
      </c>
      <c r="E1533" s="761" t="s">
        <v>2972</v>
      </c>
      <c r="F1533" s="761">
        <v>143001562</v>
      </c>
      <c r="G1533" s="761" t="s">
        <v>3147</v>
      </c>
      <c r="H1533" s="761" t="s">
        <v>7650</v>
      </c>
      <c r="I1533" s="761" t="s">
        <v>6867</v>
      </c>
      <c r="J1533" s="761">
        <v>0</v>
      </c>
      <c r="K1533" s="746">
        <v>191507.42</v>
      </c>
      <c r="L1533" s="746">
        <v>62768</v>
      </c>
      <c r="M1533" s="746">
        <v>128739.42</v>
      </c>
      <c r="N1533" s="493" t="str">
        <f t="shared" si="25"/>
        <v>C397</v>
      </c>
      <c r="O1533" s="493" t="s">
        <v>390</v>
      </c>
      <c r="P1533" s="493"/>
    </row>
    <row r="1534" spans="1:16">
      <c r="A1534" s="761" t="s">
        <v>2339</v>
      </c>
      <c r="B1534" s="761" t="s">
        <v>2340</v>
      </c>
      <c r="C1534" s="761" t="s">
        <v>3045</v>
      </c>
      <c r="D1534" s="761">
        <v>31559950</v>
      </c>
      <c r="E1534" s="761" t="s">
        <v>2972</v>
      </c>
      <c r="F1534" s="761">
        <v>143001880</v>
      </c>
      <c r="G1534" s="761" t="s">
        <v>3193</v>
      </c>
      <c r="H1534" s="761" t="s">
        <v>7651</v>
      </c>
      <c r="I1534" s="761" t="s">
        <v>6867</v>
      </c>
      <c r="J1534" s="761">
        <v>0</v>
      </c>
      <c r="K1534" s="746">
        <v>43390.65</v>
      </c>
      <c r="L1534" s="746">
        <v>14221.61</v>
      </c>
      <c r="M1534" s="746">
        <v>29169.040000000001</v>
      </c>
      <c r="N1534" s="493" t="str">
        <f t="shared" si="25"/>
        <v>C397</v>
      </c>
      <c r="O1534" s="493" t="s">
        <v>392</v>
      </c>
      <c r="P1534" s="493"/>
    </row>
    <row r="1535" spans="1:16">
      <c r="A1535" s="761" t="s">
        <v>2339</v>
      </c>
      <c r="B1535" s="761" t="s">
        <v>2340</v>
      </c>
      <c r="C1535" s="761" t="s">
        <v>2497</v>
      </c>
      <c r="D1535" s="761">
        <v>31559961</v>
      </c>
      <c r="E1535" s="761" t="s">
        <v>2972</v>
      </c>
      <c r="F1535" s="761">
        <v>143002235</v>
      </c>
      <c r="G1535" s="761" t="s">
        <v>3254</v>
      </c>
      <c r="H1535" s="761" t="s">
        <v>3254</v>
      </c>
      <c r="I1535" s="761" t="s">
        <v>6867</v>
      </c>
      <c r="J1535" s="761">
        <v>0</v>
      </c>
      <c r="K1535" s="746">
        <v>86288.48</v>
      </c>
      <c r="L1535" s="746">
        <v>28281.7</v>
      </c>
      <c r="M1535" s="746">
        <v>58006.78</v>
      </c>
      <c r="N1535" s="493" t="str">
        <f t="shared" si="25"/>
        <v>C397</v>
      </c>
      <c r="O1535" s="493" t="s">
        <v>99</v>
      </c>
      <c r="P1535" s="493" t="s">
        <v>8005</v>
      </c>
    </row>
    <row r="1536" spans="1:16">
      <c r="A1536" s="761" t="s">
        <v>2339</v>
      </c>
      <c r="B1536" s="761" t="s">
        <v>2340</v>
      </c>
      <c r="C1536" s="761" t="s">
        <v>2476</v>
      </c>
      <c r="D1536" s="761">
        <v>33169030</v>
      </c>
      <c r="E1536" s="761" t="s">
        <v>2972</v>
      </c>
      <c r="F1536" s="761">
        <v>143002580</v>
      </c>
      <c r="G1536" s="761" t="s">
        <v>3287</v>
      </c>
      <c r="H1536" s="761" t="s">
        <v>7652</v>
      </c>
      <c r="I1536" s="761" t="s">
        <v>6867</v>
      </c>
      <c r="J1536" s="761">
        <v>76</v>
      </c>
      <c r="K1536" s="746">
        <v>69460.7</v>
      </c>
      <c r="L1536" s="746">
        <v>22766.27</v>
      </c>
      <c r="M1536" s="746">
        <v>46694.43</v>
      </c>
      <c r="N1536" s="493" t="str">
        <f t="shared" si="25"/>
        <v>C397</v>
      </c>
      <c r="O1536" s="493" t="s">
        <v>99</v>
      </c>
      <c r="P1536" s="493" t="s">
        <v>8005</v>
      </c>
    </row>
    <row r="1537" spans="1:16">
      <c r="A1537" s="761" t="s">
        <v>2339</v>
      </c>
      <c r="B1537" s="761" t="s">
        <v>2340</v>
      </c>
      <c r="C1537" s="761" t="s">
        <v>2709</v>
      </c>
      <c r="D1537" s="761">
        <v>33169048</v>
      </c>
      <c r="E1537" s="761" t="s">
        <v>2972</v>
      </c>
      <c r="F1537" s="761">
        <v>143002923</v>
      </c>
      <c r="G1537" s="761" t="s">
        <v>3304</v>
      </c>
      <c r="H1537" s="761" t="s">
        <v>7653</v>
      </c>
      <c r="I1537" s="761" t="s">
        <v>6867</v>
      </c>
      <c r="J1537" s="761">
        <v>0</v>
      </c>
      <c r="K1537" s="746">
        <v>52971.19</v>
      </c>
      <c r="L1537" s="746">
        <v>17361.71</v>
      </c>
      <c r="M1537" s="746">
        <v>35609.480000000003</v>
      </c>
      <c r="N1537" s="493" t="str">
        <f t="shared" si="25"/>
        <v>C397</v>
      </c>
      <c r="O1537" s="493" t="s">
        <v>109</v>
      </c>
      <c r="P1537" s="493"/>
    </row>
    <row r="1538" spans="1:16">
      <c r="A1538" s="761" t="s">
        <v>2339</v>
      </c>
      <c r="B1538" s="761" t="s">
        <v>2340</v>
      </c>
      <c r="C1538" s="761" t="s">
        <v>2455</v>
      </c>
      <c r="D1538" s="761">
        <v>33169053</v>
      </c>
      <c r="E1538" s="761" t="s">
        <v>2972</v>
      </c>
      <c r="F1538" s="761">
        <v>143003228</v>
      </c>
      <c r="G1538" s="761" t="s">
        <v>3327</v>
      </c>
      <c r="H1538" s="761" t="s">
        <v>7654</v>
      </c>
      <c r="I1538" s="761" t="s">
        <v>6867</v>
      </c>
      <c r="J1538" s="761">
        <v>1</v>
      </c>
      <c r="K1538" s="746">
        <v>23853.29</v>
      </c>
      <c r="L1538" s="746">
        <v>7818.1</v>
      </c>
      <c r="M1538" s="746">
        <v>16035.19</v>
      </c>
      <c r="N1538" s="493" t="str">
        <f t="shared" si="25"/>
        <v>C397</v>
      </c>
      <c r="O1538" s="493" t="s">
        <v>99</v>
      </c>
      <c r="P1538" s="493" t="s">
        <v>8005</v>
      </c>
    </row>
    <row r="1539" spans="1:16">
      <c r="A1539" s="761" t="s">
        <v>2339</v>
      </c>
      <c r="B1539" s="761" t="s">
        <v>2340</v>
      </c>
      <c r="C1539" s="761" t="s">
        <v>2647</v>
      </c>
      <c r="D1539" s="761">
        <v>33311000</v>
      </c>
      <c r="E1539" s="761" t="s">
        <v>2972</v>
      </c>
      <c r="F1539" s="761">
        <v>143003004</v>
      </c>
      <c r="G1539" s="761" t="s">
        <v>3305</v>
      </c>
      <c r="H1539" s="761" t="s">
        <v>3305</v>
      </c>
      <c r="I1539" s="761" t="s">
        <v>6867</v>
      </c>
      <c r="J1539" s="761">
        <v>0</v>
      </c>
      <c r="K1539" s="746">
        <v>9689.98</v>
      </c>
      <c r="L1539" s="746">
        <v>3175.96</v>
      </c>
      <c r="M1539" s="746">
        <v>6514.02</v>
      </c>
      <c r="N1539" s="493" t="str">
        <f t="shared" si="25"/>
        <v>C397</v>
      </c>
      <c r="O1539" s="493" t="s">
        <v>99</v>
      </c>
      <c r="P1539" s="493" t="s">
        <v>8005</v>
      </c>
    </row>
    <row r="1540" spans="1:16">
      <c r="A1540" s="761" t="s">
        <v>2339</v>
      </c>
      <c r="B1540" s="761" t="s">
        <v>2340</v>
      </c>
      <c r="C1540" s="761" t="s">
        <v>2352</v>
      </c>
      <c r="D1540" s="761">
        <v>33311007</v>
      </c>
      <c r="E1540" s="761" t="s">
        <v>2972</v>
      </c>
      <c r="F1540" s="761">
        <v>143003063</v>
      </c>
      <c r="G1540" s="761" t="s">
        <v>3308</v>
      </c>
      <c r="H1540" s="761" t="s">
        <v>3308</v>
      </c>
      <c r="I1540" s="761" t="s">
        <v>6867</v>
      </c>
      <c r="J1540" s="761">
        <v>0</v>
      </c>
      <c r="K1540" s="746">
        <v>326640.69</v>
      </c>
      <c r="L1540" s="746">
        <v>107058.95</v>
      </c>
      <c r="M1540" s="746">
        <v>219581.74</v>
      </c>
      <c r="N1540" s="493" t="str">
        <f t="shared" si="25"/>
        <v>C397</v>
      </c>
      <c r="O1540" s="493" t="s">
        <v>99</v>
      </c>
      <c r="P1540" s="493" t="s">
        <v>8005</v>
      </c>
    </row>
    <row r="1541" spans="1:16">
      <c r="A1541" s="761" t="s">
        <v>2339</v>
      </c>
      <c r="B1541" s="761" t="s">
        <v>2340</v>
      </c>
      <c r="C1541" s="761" t="s">
        <v>2982</v>
      </c>
      <c r="D1541" s="761">
        <v>34258045</v>
      </c>
      <c r="E1541" s="761" t="s">
        <v>2972</v>
      </c>
      <c r="F1541" s="761">
        <v>143002029</v>
      </c>
      <c r="G1541" s="761" t="s">
        <v>3204</v>
      </c>
      <c r="H1541" s="761" t="s">
        <v>7655</v>
      </c>
      <c r="I1541" s="761" t="s">
        <v>6867</v>
      </c>
      <c r="J1541" s="761">
        <v>0</v>
      </c>
      <c r="K1541" s="746">
        <v>29752.81</v>
      </c>
      <c r="L1541" s="746">
        <v>9751.7100000000009</v>
      </c>
      <c r="M1541" s="746">
        <v>20001.100000000002</v>
      </c>
      <c r="N1541" s="493" t="str">
        <f t="shared" si="25"/>
        <v>C397</v>
      </c>
      <c r="O1541" s="493" t="s">
        <v>390</v>
      </c>
      <c r="P1541" s="493"/>
    </row>
    <row r="1542" spans="1:16">
      <c r="A1542" s="761" t="s">
        <v>2339</v>
      </c>
      <c r="B1542" s="761" t="s">
        <v>2340</v>
      </c>
      <c r="C1542" s="761" t="s">
        <v>3306</v>
      </c>
      <c r="D1542" s="761">
        <v>35640646</v>
      </c>
      <c r="E1542" s="761" t="s">
        <v>2972</v>
      </c>
      <c r="F1542" s="761">
        <v>143003015</v>
      </c>
      <c r="G1542" s="761" t="s">
        <v>3307</v>
      </c>
      <c r="H1542" s="761" t="s">
        <v>7656</v>
      </c>
      <c r="I1542" s="761" t="s">
        <v>6867</v>
      </c>
      <c r="J1542" s="761">
        <v>0</v>
      </c>
      <c r="K1542" s="746">
        <v>36179.129999999997</v>
      </c>
      <c r="L1542" s="746">
        <v>11857.98</v>
      </c>
      <c r="M1542" s="746">
        <v>24321.15</v>
      </c>
      <c r="N1542" s="493" t="str">
        <f t="shared" si="25"/>
        <v>C397</v>
      </c>
      <c r="O1542" s="493" t="s">
        <v>99</v>
      </c>
      <c r="P1542" s="493" t="s">
        <v>8005</v>
      </c>
    </row>
    <row r="1543" spans="1:16">
      <c r="A1543" s="761" t="s">
        <v>2339</v>
      </c>
      <c r="B1543" s="761" t="s">
        <v>2340</v>
      </c>
      <c r="C1543" s="761" t="s">
        <v>2449</v>
      </c>
      <c r="D1543" s="761">
        <v>36320095</v>
      </c>
      <c r="E1543" s="761" t="s">
        <v>2972</v>
      </c>
      <c r="F1543" s="761">
        <v>141003039</v>
      </c>
      <c r="G1543" s="761" t="s">
        <v>3109</v>
      </c>
      <c r="H1543" s="761" t="s">
        <v>3109</v>
      </c>
      <c r="I1543" s="761" t="s">
        <v>6867</v>
      </c>
      <c r="J1543" s="761">
        <v>0</v>
      </c>
      <c r="K1543" s="746">
        <v>45263.28</v>
      </c>
      <c r="L1543" s="746">
        <v>14835.380000000001</v>
      </c>
      <c r="M1543" s="746">
        <v>30427.9</v>
      </c>
      <c r="N1543" s="493" t="str">
        <f t="shared" si="25"/>
        <v>C397</v>
      </c>
      <c r="O1543" s="493" t="s">
        <v>99</v>
      </c>
      <c r="P1543" s="493" t="s">
        <v>8005</v>
      </c>
    </row>
    <row r="1544" spans="1:16">
      <c r="A1544" s="761" t="s">
        <v>2339</v>
      </c>
      <c r="B1544" s="761" t="s">
        <v>2340</v>
      </c>
      <c r="C1544" s="761" t="s">
        <v>2517</v>
      </c>
      <c r="D1544" s="761">
        <v>36884641</v>
      </c>
      <c r="E1544" s="761" t="s">
        <v>2972</v>
      </c>
      <c r="F1544" s="761">
        <v>143002030</v>
      </c>
      <c r="G1544" s="761" t="s">
        <v>3205</v>
      </c>
      <c r="H1544" s="761" t="s">
        <v>7642</v>
      </c>
      <c r="I1544" s="761" t="s">
        <v>6867</v>
      </c>
      <c r="J1544" s="761">
        <v>0</v>
      </c>
      <c r="K1544" s="746">
        <v>989474.16</v>
      </c>
      <c r="L1544" s="746">
        <v>279213.77</v>
      </c>
      <c r="M1544" s="746">
        <v>710260.39</v>
      </c>
      <c r="N1544" s="493" t="str">
        <f t="shared" si="25"/>
        <v>C397</v>
      </c>
      <c r="O1544" s="493" t="s">
        <v>390</v>
      </c>
      <c r="P1544" s="493" t="s">
        <v>8005</v>
      </c>
    </row>
    <row r="1545" spans="1:16">
      <c r="A1545" s="761" t="s">
        <v>2339</v>
      </c>
      <c r="B1545" s="761" t="s">
        <v>2340</v>
      </c>
      <c r="C1545" s="761" t="s">
        <v>2709</v>
      </c>
      <c r="D1545" s="761">
        <v>33531617</v>
      </c>
      <c r="E1545" s="761" t="s">
        <v>2972</v>
      </c>
      <c r="F1545" s="761">
        <v>143002922</v>
      </c>
      <c r="G1545" s="761" t="s">
        <v>3303</v>
      </c>
      <c r="H1545" s="761" t="s">
        <v>3303</v>
      </c>
      <c r="I1545" s="761" t="s">
        <v>6867</v>
      </c>
      <c r="J1545" s="761">
        <v>1</v>
      </c>
      <c r="K1545" s="746">
        <v>221.23000000000002</v>
      </c>
      <c r="L1545" s="746">
        <v>72.510000000000005</v>
      </c>
      <c r="M1545" s="746">
        <v>148.72</v>
      </c>
      <c r="N1545" s="493" t="str">
        <f t="shared" si="25"/>
        <v>C397</v>
      </c>
      <c r="O1545" s="493" t="s">
        <v>99</v>
      </c>
      <c r="P1545" s="493" t="s">
        <v>8005</v>
      </c>
    </row>
    <row r="1546" spans="1:16">
      <c r="A1546" s="761" t="s">
        <v>2339</v>
      </c>
      <c r="B1546" s="761" t="s">
        <v>2340</v>
      </c>
      <c r="C1546" s="761" t="s">
        <v>2476</v>
      </c>
      <c r="D1546" s="761">
        <v>33550773</v>
      </c>
      <c r="E1546" s="761" t="s">
        <v>2972</v>
      </c>
      <c r="F1546" s="761">
        <v>143003541</v>
      </c>
      <c r="G1546" s="761" t="s">
        <v>3349</v>
      </c>
      <c r="H1546" s="761" t="s">
        <v>3349</v>
      </c>
      <c r="I1546" s="761" t="s">
        <v>6867</v>
      </c>
      <c r="J1546" s="761">
        <v>7</v>
      </c>
      <c r="K1546" s="746">
        <v>18760.11</v>
      </c>
      <c r="L1546" s="746">
        <v>6148.77</v>
      </c>
      <c r="M1546" s="746">
        <v>12611.34</v>
      </c>
      <c r="N1546" s="493" t="str">
        <f t="shared" si="25"/>
        <v>C397</v>
      </c>
      <c r="O1546" s="493" t="s">
        <v>99</v>
      </c>
      <c r="P1546" s="493" t="s">
        <v>8005</v>
      </c>
    </row>
    <row r="1547" spans="1:16">
      <c r="A1547" s="761" t="s">
        <v>2339</v>
      </c>
      <c r="B1547" s="761" t="s">
        <v>2340</v>
      </c>
      <c r="C1547" s="761" t="s">
        <v>3140</v>
      </c>
      <c r="D1547" s="761">
        <v>35070368</v>
      </c>
      <c r="E1547" s="761" t="s">
        <v>2972</v>
      </c>
      <c r="F1547" s="761">
        <v>143003551</v>
      </c>
      <c r="G1547" s="761" t="s">
        <v>3355</v>
      </c>
      <c r="H1547" s="761" t="s">
        <v>7657</v>
      </c>
      <c r="I1547" s="761" t="s">
        <v>6867</v>
      </c>
      <c r="J1547" s="761">
        <v>0</v>
      </c>
      <c r="K1547" s="746">
        <v>1633.29</v>
      </c>
      <c r="L1547" s="746">
        <v>460.89</v>
      </c>
      <c r="M1547" s="746">
        <v>1172.4000000000001</v>
      </c>
      <c r="N1547" s="493" t="str">
        <f t="shared" si="25"/>
        <v>C397</v>
      </c>
      <c r="O1547" s="493" t="s">
        <v>99</v>
      </c>
      <c r="P1547" s="493" t="s">
        <v>8005</v>
      </c>
    </row>
    <row r="1548" spans="1:16">
      <c r="A1548" s="761" t="s">
        <v>2339</v>
      </c>
      <c r="B1548" s="761" t="s">
        <v>2340</v>
      </c>
      <c r="C1548" s="761" t="s">
        <v>2471</v>
      </c>
      <c r="D1548" s="761">
        <v>36884928</v>
      </c>
      <c r="E1548" s="761" t="s">
        <v>2972</v>
      </c>
      <c r="F1548" s="761">
        <v>143002625</v>
      </c>
      <c r="G1548" s="761" t="s">
        <v>3292</v>
      </c>
      <c r="H1548" s="761" t="s">
        <v>7658</v>
      </c>
      <c r="I1548" s="761" t="s">
        <v>6867</v>
      </c>
      <c r="J1548" s="761">
        <v>0</v>
      </c>
      <c r="K1548" s="746">
        <v>635644.26</v>
      </c>
      <c r="L1548" s="746">
        <v>179368.63</v>
      </c>
      <c r="M1548" s="746">
        <v>456275.63</v>
      </c>
      <c r="N1548" s="493" t="str">
        <f t="shared" si="25"/>
        <v>C397</v>
      </c>
      <c r="O1548" s="493" t="s">
        <v>99</v>
      </c>
      <c r="P1548" s="493" t="s">
        <v>8005</v>
      </c>
    </row>
    <row r="1549" spans="1:16">
      <c r="A1549" s="761" t="s">
        <v>2339</v>
      </c>
      <c r="B1549" s="761" t="s">
        <v>2340</v>
      </c>
      <c r="C1549" s="761" t="s">
        <v>2467</v>
      </c>
      <c r="D1549" s="761">
        <v>36884937</v>
      </c>
      <c r="E1549" s="761" t="s">
        <v>2972</v>
      </c>
      <c r="F1549" s="761">
        <v>143002625</v>
      </c>
      <c r="G1549" s="761" t="s">
        <v>3292</v>
      </c>
      <c r="H1549" s="761" t="s">
        <v>7658</v>
      </c>
      <c r="I1549" s="761" t="s">
        <v>6867</v>
      </c>
      <c r="J1549" s="761">
        <v>0</v>
      </c>
      <c r="K1549" s="746">
        <v>519995.28</v>
      </c>
      <c r="L1549" s="746">
        <v>146734.34</v>
      </c>
      <c r="M1549" s="746">
        <v>373260.94</v>
      </c>
      <c r="N1549" s="493" t="str">
        <f t="shared" si="25"/>
        <v>C397</v>
      </c>
      <c r="O1549" s="493" t="s">
        <v>99</v>
      </c>
      <c r="P1549" s="493" t="s">
        <v>8005</v>
      </c>
    </row>
    <row r="1550" spans="1:16">
      <c r="A1550" s="761" t="s">
        <v>2339</v>
      </c>
      <c r="B1550" s="761" t="s">
        <v>2340</v>
      </c>
      <c r="C1550" s="761" t="s">
        <v>2476</v>
      </c>
      <c r="D1550" s="761">
        <v>41448656</v>
      </c>
      <c r="E1550" s="761" t="s">
        <v>2972</v>
      </c>
      <c r="F1550" s="761">
        <v>143003545</v>
      </c>
      <c r="G1550" s="761" t="s">
        <v>3351</v>
      </c>
      <c r="H1550" s="761" t="s">
        <v>7659</v>
      </c>
      <c r="I1550" s="761" t="s">
        <v>6867</v>
      </c>
      <c r="J1550" s="761">
        <v>1</v>
      </c>
      <c r="K1550" s="746">
        <v>418390.74</v>
      </c>
      <c r="L1550" s="746">
        <v>118063.17</v>
      </c>
      <c r="M1550" s="746">
        <v>300327.57</v>
      </c>
      <c r="N1550" s="493" t="str">
        <f t="shared" si="25"/>
        <v>C397</v>
      </c>
      <c r="O1550" s="493" t="s">
        <v>99</v>
      </c>
      <c r="P1550" s="493" t="s">
        <v>8005</v>
      </c>
    </row>
    <row r="1551" spans="1:16">
      <c r="A1551" s="761" t="s">
        <v>2339</v>
      </c>
      <c r="B1551" s="761" t="s">
        <v>2340</v>
      </c>
      <c r="C1551" s="761" t="s">
        <v>2356</v>
      </c>
      <c r="D1551" s="761">
        <v>41448661</v>
      </c>
      <c r="E1551" s="761" t="s">
        <v>2972</v>
      </c>
      <c r="F1551" s="761">
        <v>143003547</v>
      </c>
      <c r="G1551" s="761" t="s">
        <v>3353</v>
      </c>
      <c r="H1551" s="761" t="s">
        <v>7660</v>
      </c>
      <c r="I1551" s="761" t="s">
        <v>6867</v>
      </c>
      <c r="J1551" s="761">
        <v>0</v>
      </c>
      <c r="K1551" s="746">
        <v>159203.04</v>
      </c>
      <c r="L1551" s="746">
        <v>44924.55</v>
      </c>
      <c r="M1551" s="746">
        <v>114278.49</v>
      </c>
      <c r="N1551" s="493" t="str">
        <f t="shared" si="25"/>
        <v>C397</v>
      </c>
      <c r="O1551" s="493" t="s">
        <v>99</v>
      </c>
      <c r="P1551" s="493" t="s">
        <v>8005</v>
      </c>
    </row>
    <row r="1552" spans="1:16">
      <c r="A1552" s="761" t="s">
        <v>2339</v>
      </c>
      <c r="B1552" s="761" t="s">
        <v>2340</v>
      </c>
      <c r="C1552" s="761" t="s">
        <v>2361</v>
      </c>
      <c r="D1552" s="761">
        <v>45075960</v>
      </c>
      <c r="E1552" s="761" t="s">
        <v>2972</v>
      </c>
      <c r="F1552" s="761">
        <v>143003546</v>
      </c>
      <c r="G1552" s="761" t="s">
        <v>3352</v>
      </c>
      <c r="H1552" s="761" t="s">
        <v>3352</v>
      </c>
      <c r="I1552" s="761" t="s">
        <v>6867</v>
      </c>
      <c r="J1552" s="761">
        <v>0</v>
      </c>
      <c r="K1552" s="746">
        <v>4075.7400000000002</v>
      </c>
      <c r="L1552" s="746">
        <v>1150.1100000000001</v>
      </c>
      <c r="M1552" s="746">
        <v>2925.63</v>
      </c>
      <c r="N1552" s="493" t="str">
        <f t="shared" si="25"/>
        <v>C397</v>
      </c>
      <c r="O1552" s="493" t="s">
        <v>99</v>
      </c>
      <c r="P1552" s="493" t="s">
        <v>8005</v>
      </c>
    </row>
    <row r="1553" spans="1:16">
      <c r="A1553" s="761" t="s">
        <v>2339</v>
      </c>
      <c r="B1553" s="761" t="s">
        <v>2340</v>
      </c>
      <c r="C1553" s="761" t="s">
        <v>2490</v>
      </c>
      <c r="D1553" s="761">
        <v>45075975</v>
      </c>
      <c r="E1553" s="761" t="s">
        <v>2972</v>
      </c>
      <c r="F1553" s="761">
        <v>143004023</v>
      </c>
      <c r="G1553" s="761" t="s">
        <v>3471</v>
      </c>
      <c r="H1553" s="761" t="s">
        <v>3471</v>
      </c>
      <c r="I1553" s="761" t="s">
        <v>6867</v>
      </c>
      <c r="J1553" s="761">
        <v>0</v>
      </c>
      <c r="K1553" s="746">
        <v>3527.04</v>
      </c>
      <c r="L1553" s="746">
        <v>995.27</v>
      </c>
      <c r="M1553" s="746">
        <v>2531.77</v>
      </c>
      <c r="N1553" s="493" t="str">
        <f t="shared" ref="N1553:N1616" si="26">LEFT(E1553,4)</f>
        <v>C397</v>
      </c>
      <c r="O1553" s="493" t="s">
        <v>99</v>
      </c>
      <c r="P1553" s="493" t="s">
        <v>8005</v>
      </c>
    </row>
    <row r="1554" spans="1:16">
      <c r="A1554" s="761" t="s">
        <v>2339</v>
      </c>
      <c r="B1554" s="761" t="s">
        <v>2340</v>
      </c>
      <c r="C1554" s="761" t="s">
        <v>2487</v>
      </c>
      <c r="D1554" s="761">
        <v>34114844</v>
      </c>
      <c r="E1554" s="761" t="s">
        <v>2972</v>
      </c>
      <c r="F1554" s="761">
        <v>143002721</v>
      </c>
      <c r="G1554" s="761" t="s">
        <v>3298</v>
      </c>
      <c r="H1554" s="761" t="s">
        <v>7661</v>
      </c>
      <c r="I1554" s="761" t="s">
        <v>6867</v>
      </c>
      <c r="J1554" s="761">
        <v>1</v>
      </c>
      <c r="K1554" s="746">
        <v>7469.55</v>
      </c>
      <c r="L1554" s="746">
        <v>2107.79</v>
      </c>
      <c r="M1554" s="746">
        <v>5361.76</v>
      </c>
      <c r="N1554" s="493" t="str">
        <f t="shared" si="26"/>
        <v>C397</v>
      </c>
      <c r="O1554" s="493" t="s">
        <v>99</v>
      </c>
      <c r="P1554" s="493" t="s">
        <v>8005</v>
      </c>
    </row>
    <row r="1555" spans="1:16">
      <c r="A1555" s="761" t="s">
        <v>2339</v>
      </c>
      <c r="B1555" s="761" t="s">
        <v>2340</v>
      </c>
      <c r="C1555" s="761" t="s">
        <v>2517</v>
      </c>
      <c r="D1555" s="761">
        <v>34998212</v>
      </c>
      <c r="E1555" s="761" t="s">
        <v>2972</v>
      </c>
      <c r="F1555" s="761">
        <v>143003096</v>
      </c>
      <c r="G1555" s="761" t="s">
        <v>3313</v>
      </c>
      <c r="H1555" s="761" t="s">
        <v>7662</v>
      </c>
      <c r="I1555" s="761" t="s">
        <v>6867</v>
      </c>
      <c r="J1555" s="761">
        <v>1</v>
      </c>
      <c r="K1555" s="746">
        <v>27.26</v>
      </c>
      <c r="L1555" s="746">
        <v>7.69</v>
      </c>
      <c r="M1555" s="746">
        <v>19.57</v>
      </c>
      <c r="N1555" s="493" t="str">
        <f t="shared" si="26"/>
        <v>C397</v>
      </c>
      <c r="O1555" s="493" t="s">
        <v>99</v>
      </c>
      <c r="P1555" s="493" t="s">
        <v>8005</v>
      </c>
    </row>
    <row r="1556" spans="1:16">
      <c r="A1556" s="493" t="s">
        <v>2339</v>
      </c>
      <c r="B1556" s="493" t="s">
        <v>2340</v>
      </c>
      <c r="C1556" s="493" t="s">
        <v>2517</v>
      </c>
      <c r="D1556" s="493">
        <v>34998215</v>
      </c>
      <c r="E1556" s="493" t="s">
        <v>2972</v>
      </c>
      <c r="F1556" s="493">
        <v>143003098</v>
      </c>
      <c r="G1556" s="493" t="s">
        <v>3314</v>
      </c>
      <c r="H1556" s="761" t="s">
        <v>7663</v>
      </c>
      <c r="I1556" s="493" t="s">
        <v>6867</v>
      </c>
      <c r="J1556" s="493">
        <v>1</v>
      </c>
      <c r="K1556" s="746">
        <v>-240.6</v>
      </c>
      <c r="L1556" s="746">
        <v>-67.89</v>
      </c>
      <c r="M1556" s="746">
        <v>-172.71</v>
      </c>
      <c r="N1556" s="493" t="str">
        <f t="shared" si="26"/>
        <v>C397</v>
      </c>
      <c r="O1556" s="493" t="s">
        <v>99</v>
      </c>
      <c r="P1556" s="493" t="s">
        <v>8005</v>
      </c>
    </row>
    <row r="1557" spans="1:16">
      <c r="A1557" s="761" t="s">
        <v>2339</v>
      </c>
      <c r="B1557" s="761" t="s">
        <v>2340</v>
      </c>
      <c r="C1557" s="761" t="s">
        <v>2476</v>
      </c>
      <c r="D1557" s="761">
        <v>34998280</v>
      </c>
      <c r="E1557" s="761" t="s">
        <v>2972</v>
      </c>
      <c r="F1557" s="761">
        <v>143003722</v>
      </c>
      <c r="G1557" s="761" t="s">
        <v>3381</v>
      </c>
      <c r="H1557" s="761" t="s">
        <v>7664</v>
      </c>
      <c r="I1557" s="761" t="s">
        <v>6867</v>
      </c>
      <c r="J1557" s="761">
        <v>1</v>
      </c>
      <c r="K1557" s="746">
        <v>27.26</v>
      </c>
      <c r="L1557" s="746">
        <v>7.69</v>
      </c>
      <c r="M1557" s="746">
        <v>19.57</v>
      </c>
      <c r="N1557" s="493" t="str">
        <f t="shared" si="26"/>
        <v>C397</v>
      </c>
      <c r="O1557" s="493" t="s">
        <v>99</v>
      </c>
      <c r="P1557" s="493" t="s">
        <v>8005</v>
      </c>
    </row>
    <row r="1558" spans="1:16">
      <c r="A1558" s="761" t="s">
        <v>2339</v>
      </c>
      <c r="B1558" s="761" t="s">
        <v>2340</v>
      </c>
      <c r="C1558" s="761" t="s">
        <v>2476</v>
      </c>
      <c r="D1558" s="761">
        <v>34998283</v>
      </c>
      <c r="E1558" s="761" t="s">
        <v>2972</v>
      </c>
      <c r="F1558" s="761">
        <v>143003723</v>
      </c>
      <c r="G1558" s="761" t="s">
        <v>3382</v>
      </c>
      <c r="H1558" s="761" t="s">
        <v>7665</v>
      </c>
      <c r="I1558" s="761" t="s">
        <v>6867</v>
      </c>
      <c r="J1558" s="761">
        <v>1</v>
      </c>
      <c r="K1558" s="746">
        <v>27.02</v>
      </c>
      <c r="L1558" s="746">
        <v>7.62</v>
      </c>
      <c r="M1558" s="746">
        <v>19.400000000000002</v>
      </c>
      <c r="N1558" s="493" t="str">
        <f t="shared" si="26"/>
        <v>C397</v>
      </c>
      <c r="O1558" s="493" t="s">
        <v>99</v>
      </c>
      <c r="P1558" s="493" t="s">
        <v>8005</v>
      </c>
    </row>
    <row r="1559" spans="1:16">
      <c r="A1559" s="761" t="s">
        <v>2339</v>
      </c>
      <c r="B1559" s="761" t="s">
        <v>2340</v>
      </c>
      <c r="C1559" s="761" t="s">
        <v>2476</v>
      </c>
      <c r="D1559" s="761">
        <v>34998286</v>
      </c>
      <c r="E1559" s="761" t="s">
        <v>2972</v>
      </c>
      <c r="F1559" s="761">
        <v>143003734</v>
      </c>
      <c r="G1559" s="761" t="s">
        <v>3390</v>
      </c>
      <c r="H1559" s="761" t="s">
        <v>7666</v>
      </c>
      <c r="I1559" s="761" t="s">
        <v>6867</v>
      </c>
      <c r="J1559" s="761">
        <v>1</v>
      </c>
      <c r="K1559" s="746">
        <v>27.02</v>
      </c>
      <c r="L1559" s="746">
        <v>7.62</v>
      </c>
      <c r="M1559" s="746">
        <v>19.400000000000002</v>
      </c>
      <c r="N1559" s="493" t="str">
        <f t="shared" si="26"/>
        <v>C397</v>
      </c>
      <c r="O1559" s="493" t="s">
        <v>99</v>
      </c>
      <c r="P1559" s="493" t="s">
        <v>8005</v>
      </c>
    </row>
    <row r="1560" spans="1:16">
      <c r="A1560" s="761" t="s">
        <v>2339</v>
      </c>
      <c r="B1560" s="761" t="s">
        <v>2340</v>
      </c>
      <c r="C1560" s="761" t="s">
        <v>2473</v>
      </c>
      <c r="D1560" s="761">
        <v>34998289</v>
      </c>
      <c r="E1560" s="761" t="s">
        <v>2972</v>
      </c>
      <c r="F1560" s="761">
        <v>143003747</v>
      </c>
      <c r="G1560" s="761" t="s">
        <v>3401</v>
      </c>
      <c r="H1560" s="761" t="s">
        <v>7667</v>
      </c>
      <c r="I1560" s="761" t="s">
        <v>6867</v>
      </c>
      <c r="J1560" s="761">
        <v>1</v>
      </c>
      <c r="K1560" s="746">
        <v>27.26</v>
      </c>
      <c r="L1560" s="746">
        <v>7.69</v>
      </c>
      <c r="M1560" s="746">
        <v>19.57</v>
      </c>
      <c r="N1560" s="493" t="str">
        <f t="shared" si="26"/>
        <v>C397</v>
      </c>
      <c r="O1560" s="493" t="s">
        <v>99</v>
      </c>
      <c r="P1560" s="493" t="s">
        <v>8005</v>
      </c>
    </row>
    <row r="1561" spans="1:16">
      <c r="A1561" s="761" t="s">
        <v>2339</v>
      </c>
      <c r="B1561" s="761" t="s">
        <v>2340</v>
      </c>
      <c r="C1561" s="761" t="s">
        <v>2473</v>
      </c>
      <c r="D1561" s="761">
        <v>34998292</v>
      </c>
      <c r="E1561" s="761" t="s">
        <v>2972</v>
      </c>
      <c r="F1561" s="761">
        <v>143003748</v>
      </c>
      <c r="G1561" s="761" t="s">
        <v>3402</v>
      </c>
      <c r="H1561" s="761" t="s">
        <v>7668</v>
      </c>
      <c r="I1561" s="761" t="s">
        <v>6867</v>
      </c>
      <c r="J1561" s="761">
        <v>1</v>
      </c>
      <c r="K1561" s="746">
        <v>27.26</v>
      </c>
      <c r="L1561" s="746">
        <v>7.69</v>
      </c>
      <c r="M1561" s="746">
        <v>19.57</v>
      </c>
      <c r="N1561" s="493" t="str">
        <f t="shared" si="26"/>
        <v>C397</v>
      </c>
      <c r="O1561" s="493" t="s">
        <v>99</v>
      </c>
      <c r="P1561" s="493" t="s">
        <v>8005</v>
      </c>
    </row>
    <row r="1562" spans="1:16">
      <c r="A1562" s="761" t="s">
        <v>2339</v>
      </c>
      <c r="B1562" s="761" t="s">
        <v>2340</v>
      </c>
      <c r="C1562" s="761" t="s">
        <v>2476</v>
      </c>
      <c r="D1562" s="761">
        <v>34998298</v>
      </c>
      <c r="E1562" s="761" t="s">
        <v>2972</v>
      </c>
      <c r="F1562" s="761">
        <v>143003753</v>
      </c>
      <c r="G1562" s="761" t="s">
        <v>3405</v>
      </c>
      <c r="H1562" s="761" t="s">
        <v>7669</v>
      </c>
      <c r="I1562" s="761" t="s">
        <v>6867</v>
      </c>
      <c r="J1562" s="761">
        <v>1</v>
      </c>
      <c r="K1562" s="746">
        <v>27.02</v>
      </c>
      <c r="L1562" s="746">
        <v>7.62</v>
      </c>
      <c r="M1562" s="746">
        <v>19.400000000000002</v>
      </c>
      <c r="N1562" s="493" t="str">
        <f t="shared" si="26"/>
        <v>C397</v>
      </c>
      <c r="O1562" s="493" t="s">
        <v>99</v>
      </c>
      <c r="P1562" s="493" t="s">
        <v>8005</v>
      </c>
    </row>
    <row r="1563" spans="1:16">
      <c r="A1563" s="761" t="s">
        <v>2339</v>
      </c>
      <c r="B1563" s="761" t="s">
        <v>2340</v>
      </c>
      <c r="C1563" s="761" t="s">
        <v>2476</v>
      </c>
      <c r="D1563" s="761">
        <v>34998301</v>
      </c>
      <c r="E1563" s="761" t="s">
        <v>2972</v>
      </c>
      <c r="F1563" s="761">
        <v>143003754</v>
      </c>
      <c r="G1563" s="761" t="s">
        <v>3406</v>
      </c>
      <c r="H1563" s="761" t="s">
        <v>7670</v>
      </c>
      <c r="I1563" s="761" t="s">
        <v>6867</v>
      </c>
      <c r="J1563" s="761">
        <v>1</v>
      </c>
      <c r="K1563" s="746">
        <v>27.02</v>
      </c>
      <c r="L1563" s="746">
        <v>7.62</v>
      </c>
      <c r="M1563" s="746">
        <v>19.400000000000002</v>
      </c>
      <c r="N1563" s="493" t="str">
        <f t="shared" si="26"/>
        <v>C397</v>
      </c>
      <c r="O1563" s="493" t="s">
        <v>99</v>
      </c>
      <c r="P1563" s="493" t="s">
        <v>8005</v>
      </c>
    </row>
    <row r="1564" spans="1:16">
      <c r="A1564" s="761" t="s">
        <v>2339</v>
      </c>
      <c r="B1564" s="761" t="s">
        <v>2340</v>
      </c>
      <c r="C1564" s="761" t="s">
        <v>2473</v>
      </c>
      <c r="D1564" s="761">
        <v>34998304</v>
      </c>
      <c r="E1564" s="761" t="s">
        <v>2972</v>
      </c>
      <c r="F1564" s="761">
        <v>143003818</v>
      </c>
      <c r="G1564" s="761" t="s">
        <v>3443</v>
      </c>
      <c r="H1564" s="761" t="s">
        <v>7671</v>
      </c>
      <c r="I1564" s="761" t="s">
        <v>6867</v>
      </c>
      <c r="J1564" s="761">
        <v>1</v>
      </c>
      <c r="K1564" s="746">
        <v>27.26</v>
      </c>
      <c r="L1564" s="746">
        <v>7.69</v>
      </c>
      <c r="M1564" s="746">
        <v>19.57</v>
      </c>
      <c r="N1564" s="493" t="str">
        <f t="shared" si="26"/>
        <v>C397</v>
      </c>
      <c r="O1564" s="493" t="s">
        <v>99</v>
      </c>
      <c r="P1564" s="493" t="s">
        <v>8005</v>
      </c>
    </row>
    <row r="1565" spans="1:16">
      <c r="A1565" s="761" t="s">
        <v>2339</v>
      </c>
      <c r="B1565" s="761" t="s">
        <v>2340</v>
      </c>
      <c r="C1565" s="761" t="s">
        <v>2476</v>
      </c>
      <c r="D1565" s="761">
        <v>34998307</v>
      </c>
      <c r="E1565" s="761" t="s">
        <v>2972</v>
      </c>
      <c r="F1565" s="761">
        <v>143003819</v>
      </c>
      <c r="G1565" s="761" t="s">
        <v>3444</v>
      </c>
      <c r="H1565" s="761" t="s">
        <v>7672</v>
      </c>
      <c r="I1565" s="761" t="s">
        <v>6867</v>
      </c>
      <c r="J1565" s="761">
        <v>1</v>
      </c>
      <c r="K1565" s="746">
        <v>27.26</v>
      </c>
      <c r="L1565" s="746">
        <v>7.69</v>
      </c>
      <c r="M1565" s="746">
        <v>19.57</v>
      </c>
      <c r="N1565" s="493" t="str">
        <f t="shared" si="26"/>
        <v>C397</v>
      </c>
      <c r="O1565" s="493" t="s">
        <v>99</v>
      </c>
      <c r="P1565" s="493" t="s">
        <v>8005</v>
      </c>
    </row>
    <row r="1566" spans="1:16">
      <c r="A1566" s="493" t="s">
        <v>2339</v>
      </c>
      <c r="B1566" s="493" t="s">
        <v>2340</v>
      </c>
      <c r="C1566" s="493" t="s">
        <v>2517</v>
      </c>
      <c r="D1566" s="493">
        <v>35791424</v>
      </c>
      <c r="E1566" s="493" t="s">
        <v>2972</v>
      </c>
      <c r="F1566" s="493">
        <v>143003101</v>
      </c>
      <c r="G1566" s="493" t="s">
        <v>3316</v>
      </c>
      <c r="H1566" s="761" t="s">
        <v>7673</v>
      </c>
      <c r="I1566" s="493" t="s">
        <v>6867</v>
      </c>
      <c r="J1566" s="493">
        <v>1</v>
      </c>
      <c r="K1566" s="746">
        <v>-2.77</v>
      </c>
      <c r="L1566" s="746">
        <v>-0.78</v>
      </c>
      <c r="M1566" s="746">
        <v>-1.99</v>
      </c>
      <c r="N1566" s="493" t="str">
        <f t="shared" si="26"/>
        <v>C397</v>
      </c>
      <c r="O1566" s="493" t="s">
        <v>99</v>
      </c>
      <c r="P1566" s="493" t="s">
        <v>8005</v>
      </c>
    </row>
    <row r="1567" spans="1:16">
      <c r="A1567" s="493" t="s">
        <v>2339</v>
      </c>
      <c r="B1567" s="493" t="s">
        <v>2340</v>
      </c>
      <c r="C1567" s="493" t="s">
        <v>2476</v>
      </c>
      <c r="D1567" s="493">
        <v>35791430</v>
      </c>
      <c r="E1567" s="493" t="s">
        <v>2972</v>
      </c>
      <c r="F1567" s="493">
        <v>143003110</v>
      </c>
      <c r="G1567" s="493" t="s">
        <v>3322</v>
      </c>
      <c r="H1567" s="761" t="s">
        <v>7674</v>
      </c>
      <c r="I1567" s="493" t="s">
        <v>6867</v>
      </c>
      <c r="J1567" s="493">
        <v>1</v>
      </c>
      <c r="K1567" s="746">
        <v>-1005.21</v>
      </c>
      <c r="L1567" s="746">
        <v>-283.65000000000003</v>
      </c>
      <c r="M1567" s="746">
        <v>-721.56000000000006</v>
      </c>
      <c r="N1567" s="493" t="str">
        <f t="shared" si="26"/>
        <v>C397</v>
      </c>
      <c r="O1567" s="493" t="s">
        <v>99</v>
      </c>
      <c r="P1567" s="493" t="s">
        <v>8005</v>
      </c>
    </row>
    <row r="1568" spans="1:16">
      <c r="A1568" s="761" t="s">
        <v>2339</v>
      </c>
      <c r="B1568" s="761" t="s">
        <v>2340</v>
      </c>
      <c r="C1568" s="761" t="s">
        <v>2476</v>
      </c>
      <c r="D1568" s="761">
        <v>35791528</v>
      </c>
      <c r="E1568" s="761" t="s">
        <v>2972</v>
      </c>
      <c r="F1568" s="761">
        <v>143004063</v>
      </c>
      <c r="G1568" s="761" t="s">
        <v>3476</v>
      </c>
      <c r="H1568" s="761" t="s">
        <v>7675</v>
      </c>
      <c r="I1568" s="761" t="s">
        <v>6867</v>
      </c>
      <c r="J1568" s="761">
        <v>1</v>
      </c>
      <c r="K1568" s="746">
        <v>27.26</v>
      </c>
      <c r="L1568" s="746">
        <v>7.69</v>
      </c>
      <c r="M1568" s="746">
        <v>19.57</v>
      </c>
      <c r="N1568" s="493" t="str">
        <f t="shared" si="26"/>
        <v>C397</v>
      </c>
      <c r="O1568" s="493" t="s">
        <v>99</v>
      </c>
      <c r="P1568" s="493" t="s">
        <v>8005</v>
      </c>
    </row>
    <row r="1569" spans="1:16">
      <c r="A1569" s="761" t="s">
        <v>2339</v>
      </c>
      <c r="B1569" s="761" t="s">
        <v>2340</v>
      </c>
      <c r="C1569" s="761" t="s">
        <v>2476</v>
      </c>
      <c r="D1569" s="761">
        <v>35791531</v>
      </c>
      <c r="E1569" s="761" t="s">
        <v>2972</v>
      </c>
      <c r="F1569" s="761">
        <v>143004069</v>
      </c>
      <c r="G1569" s="761" t="s">
        <v>3482</v>
      </c>
      <c r="H1569" s="761" t="s">
        <v>7676</v>
      </c>
      <c r="I1569" s="761" t="s">
        <v>6867</v>
      </c>
      <c r="J1569" s="761">
        <v>1</v>
      </c>
      <c r="K1569" s="746">
        <v>27.02</v>
      </c>
      <c r="L1569" s="746">
        <v>7.62</v>
      </c>
      <c r="M1569" s="746">
        <v>19.400000000000002</v>
      </c>
      <c r="N1569" s="493" t="str">
        <f t="shared" si="26"/>
        <v>C397</v>
      </c>
      <c r="O1569" s="493" t="s">
        <v>99</v>
      </c>
      <c r="P1569" s="493" t="s">
        <v>8005</v>
      </c>
    </row>
    <row r="1570" spans="1:16">
      <c r="A1570" s="761" t="s">
        <v>2339</v>
      </c>
      <c r="B1570" s="761" t="s">
        <v>2340</v>
      </c>
      <c r="C1570" s="761" t="s">
        <v>2490</v>
      </c>
      <c r="D1570" s="761">
        <v>44357763</v>
      </c>
      <c r="E1570" s="761" t="s">
        <v>2972</v>
      </c>
      <c r="F1570" s="761">
        <v>143003440</v>
      </c>
      <c r="G1570" s="761" t="s">
        <v>3347</v>
      </c>
      <c r="H1570" s="761" t="s">
        <v>3347</v>
      </c>
      <c r="I1570" s="761" t="s">
        <v>6867</v>
      </c>
      <c r="J1570" s="761">
        <v>0</v>
      </c>
      <c r="K1570" s="746">
        <v>20947.59</v>
      </c>
      <c r="L1570" s="746">
        <v>4974.8900000000003</v>
      </c>
      <c r="M1570" s="746">
        <v>15972.7</v>
      </c>
      <c r="N1570" s="493" t="str">
        <f t="shared" si="26"/>
        <v>C397</v>
      </c>
      <c r="O1570" s="493" t="s">
        <v>99</v>
      </c>
      <c r="P1570" s="493" t="s">
        <v>8005</v>
      </c>
    </row>
    <row r="1571" spans="1:16">
      <c r="A1571" s="761" t="s">
        <v>2339</v>
      </c>
      <c r="B1571" s="761" t="s">
        <v>2340</v>
      </c>
      <c r="C1571" s="761" t="s">
        <v>2709</v>
      </c>
      <c r="D1571" s="761">
        <v>44445672</v>
      </c>
      <c r="E1571" s="761" t="s">
        <v>2972</v>
      </c>
      <c r="F1571" s="761">
        <v>143002417</v>
      </c>
      <c r="G1571" s="761" t="s">
        <v>3280</v>
      </c>
      <c r="H1571" s="761" t="s">
        <v>3280</v>
      </c>
      <c r="I1571" s="761" t="s">
        <v>6867</v>
      </c>
      <c r="J1571" s="761">
        <v>0</v>
      </c>
      <c r="K1571" s="746">
        <v>167518.51</v>
      </c>
      <c r="L1571" s="746">
        <v>39784.370000000003</v>
      </c>
      <c r="M1571" s="746">
        <v>127734.14</v>
      </c>
      <c r="N1571" s="493" t="str">
        <f t="shared" si="26"/>
        <v>C397</v>
      </c>
      <c r="O1571" s="493" t="s">
        <v>99</v>
      </c>
      <c r="P1571" s="493" t="s">
        <v>8005</v>
      </c>
    </row>
    <row r="1572" spans="1:16">
      <c r="A1572" s="761" t="s">
        <v>2339</v>
      </c>
      <c r="B1572" s="761" t="s">
        <v>2340</v>
      </c>
      <c r="C1572" s="761" t="s">
        <v>2476</v>
      </c>
      <c r="D1572" s="761">
        <v>44741040</v>
      </c>
      <c r="E1572" s="761" t="s">
        <v>2972</v>
      </c>
      <c r="F1572" s="761">
        <v>143003887</v>
      </c>
      <c r="G1572" s="761" t="s">
        <v>3446</v>
      </c>
      <c r="H1572" s="761" t="s">
        <v>3446</v>
      </c>
      <c r="I1572" s="761" t="s">
        <v>6867</v>
      </c>
      <c r="J1572" s="761">
        <v>3</v>
      </c>
      <c r="K1572" s="746">
        <v>3275830.95</v>
      </c>
      <c r="L1572" s="746">
        <v>777984.89</v>
      </c>
      <c r="M1572" s="746">
        <v>2497846.06</v>
      </c>
      <c r="N1572" s="493" t="str">
        <f t="shared" si="26"/>
        <v>C397</v>
      </c>
      <c r="O1572" s="493" t="s">
        <v>99</v>
      </c>
      <c r="P1572" s="493" t="s">
        <v>8005</v>
      </c>
    </row>
    <row r="1573" spans="1:16">
      <c r="A1573" s="761" t="s">
        <v>2339</v>
      </c>
      <c r="B1573" s="761" t="s">
        <v>2340</v>
      </c>
      <c r="C1573" s="761" t="s">
        <v>2483</v>
      </c>
      <c r="D1573" s="761">
        <v>45075954</v>
      </c>
      <c r="E1573" s="761" t="s">
        <v>2972</v>
      </c>
      <c r="F1573" s="761">
        <v>143003543</v>
      </c>
      <c r="G1573" s="761" t="s">
        <v>3350</v>
      </c>
      <c r="H1573" s="761" t="s">
        <v>3350</v>
      </c>
      <c r="I1573" s="761" t="s">
        <v>6867</v>
      </c>
      <c r="J1573" s="761">
        <v>0</v>
      </c>
      <c r="K1573" s="746">
        <v>114991.39</v>
      </c>
      <c r="L1573" s="746">
        <v>27309.58</v>
      </c>
      <c r="M1573" s="746">
        <v>87681.81</v>
      </c>
      <c r="N1573" s="493" t="str">
        <f t="shared" si="26"/>
        <v>C397</v>
      </c>
      <c r="O1573" s="493" t="s">
        <v>99</v>
      </c>
      <c r="P1573" s="493" t="s">
        <v>8005</v>
      </c>
    </row>
    <row r="1574" spans="1:16">
      <c r="A1574" s="761" t="s">
        <v>2339</v>
      </c>
      <c r="B1574" s="761" t="s">
        <v>2340</v>
      </c>
      <c r="C1574" s="761" t="s">
        <v>3043</v>
      </c>
      <c r="D1574" s="761">
        <v>45075966</v>
      </c>
      <c r="E1574" s="761" t="s">
        <v>2972</v>
      </c>
      <c r="F1574" s="761">
        <v>143003548</v>
      </c>
      <c r="G1574" s="761" t="s">
        <v>3354</v>
      </c>
      <c r="H1574" s="761" t="s">
        <v>7677</v>
      </c>
      <c r="I1574" s="761" t="s">
        <v>6867</v>
      </c>
      <c r="J1574" s="761">
        <v>0</v>
      </c>
      <c r="K1574" s="746">
        <v>176780.30000000002</v>
      </c>
      <c r="L1574" s="746">
        <v>41983.97</v>
      </c>
      <c r="M1574" s="746">
        <v>134796.33000000002</v>
      </c>
      <c r="N1574" s="493" t="str">
        <f t="shared" si="26"/>
        <v>C397</v>
      </c>
      <c r="O1574" s="493" t="s">
        <v>99</v>
      </c>
      <c r="P1574" s="493" t="s">
        <v>8005</v>
      </c>
    </row>
    <row r="1575" spans="1:16">
      <c r="A1575" s="761" t="s">
        <v>2339</v>
      </c>
      <c r="B1575" s="761" t="s">
        <v>2340</v>
      </c>
      <c r="C1575" s="761" t="s">
        <v>2473</v>
      </c>
      <c r="D1575" s="761">
        <v>49908117</v>
      </c>
      <c r="E1575" s="761" t="s">
        <v>2972</v>
      </c>
      <c r="F1575" s="761">
        <v>143002858</v>
      </c>
      <c r="G1575" s="761" t="s">
        <v>3302</v>
      </c>
      <c r="H1575" s="761" t="s">
        <v>7678</v>
      </c>
      <c r="I1575" s="761" t="s">
        <v>6867</v>
      </c>
      <c r="J1575" s="761">
        <v>1</v>
      </c>
      <c r="K1575" s="746">
        <v>99317.02</v>
      </c>
      <c r="L1575" s="746">
        <v>23587.040000000001</v>
      </c>
      <c r="M1575" s="746">
        <v>75729.98</v>
      </c>
      <c r="N1575" s="493" t="str">
        <f t="shared" si="26"/>
        <v>C397</v>
      </c>
      <c r="O1575" s="493" t="s">
        <v>99</v>
      </c>
      <c r="P1575" s="493" t="s">
        <v>8005</v>
      </c>
    </row>
    <row r="1576" spans="1:16">
      <c r="A1576" s="761" t="s">
        <v>2339</v>
      </c>
      <c r="B1576" s="761" t="s">
        <v>2340</v>
      </c>
      <c r="C1576" s="761" t="s">
        <v>2524</v>
      </c>
      <c r="D1576" s="761">
        <v>52234771</v>
      </c>
      <c r="E1576" s="761" t="s">
        <v>2972</v>
      </c>
      <c r="F1576" s="761">
        <v>143003080</v>
      </c>
      <c r="G1576" s="761" t="s">
        <v>3311</v>
      </c>
      <c r="H1576" s="761" t="s">
        <v>7679</v>
      </c>
      <c r="I1576" s="761" t="s">
        <v>6867</v>
      </c>
      <c r="J1576" s="761">
        <v>0</v>
      </c>
      <c r="K1576" s="746">
        <v>44732.200000000004</v>
      </c>
      <c r="L1576" s="746">
        <v>10623.56</v>
      </c>
      <c r="M1576" s="746">
        <v>34108.639999999999</v>
      </c>
      <c r="N1576" s="493" t="str">
        <f t="shared" si="26"/>
        <v>C397</v>
      </c>
      <c r="O1576" s="493" t="s">
        <v>99</v>
      </c>
      <c r="P1576" s="493" t="s">
        <v>8005</v>
      </c>
    </row>
    <row r="1577" spans="1:16">
      <c r="A1577" s="761" t="s">
        <v>2339</v>
      </c>
      <c r="B1577" s="761" t="s">
        <v>2340</v>
      </c>
      <c r="C1577" s="761" t="s">
        <v>2509</v>
      </c>
      <c r="D1577" s="761">
        <v>52235048</v>
      </c>
      <c r="E1577" s="761" t="s">
        <v>2972</v>
      </c>
      <c r="F1577" s="761">
        <v>143004905</v>
      </c>
      <c r="G1577" s="761" t="s">
        <v>3544</v>
      </c>
      <c r="H1577" s="761" t="s">
        <v>3544</v>
      </c>
      <c r="I1577" s="761" t="s">
        <v>6867</v>
      </c>
      <c r="J1577" s="761">
        <v>1</v>
      </c>
      <c r="K1577" s="746">
        <v>72698.290000000008</v>
      </c>
      <c r="L1577" s="746">
        <v>17265.29</v>
      </c>
      <c r="M1577" s="746">
        <v>55433</v>
      </c>
      <c r="N1577" s="493" t="str">
        <f t="shared" si="26"/>
        <v>C397</v>
      </c>
      <c r="O1577" s="493" t="s">
        <v>99</v>
      </c>
      <c r="P1577" s="493" t="s">
        <v>8005</v>
      </c>
    </row>
    <row r="1578" spans="1:16">
      <c r="A1578" s="761" t="s">
        <v>2339</v>
      </c>
      <c r="B1578" s="761" t="s">
        <v>2340</v>
      </c>
      <c r="C1578" s="761" t="s">
        <v>2517</v>
      </c>
      <c r="D1578" s="761">
        <v>62124092</v>
      </c>
      <c r="E1578" s="761" t="s">
        <v>2972</v>
      </c>
      <c r="F1578" s="761">
        <v>143003100</v>
      </c>
      <c r="G1578" s="761" t="s">
        <v>3315</v>
      </c>
      <c r="H1578" s="761" t="s">
        <v>7680</v>
      </c>
      <c r="I1578" s="761" t="s">
        <v>6867</v>
      </c>
      <c r="J1578" s="761">
        <v>2</v>
      </c>
      <c r="K1578" s="746">
        <v>24824.77</v>
      </c>
      <c r="L1578" s="746">
        <v>5895.6900000000005</v>
      </c>
      <c r="M1578" s="746">
        <v>18929.080000000002</v>
      </c>
      <c r="N1578" s="493" t="str">
        <f t="shared" si="26"/>
        <v>C397</v>
      </c>
      <c r="O1578" s="493" t="s">
        <v>99</v>
      </c>
      <c r="P1578" s="493" t="s">
        <v>8005</v>
      </c>
    </row>
    <row r="1579" spans="1:16">
      <c r="A1579" s="761" t="s">
        <v>2339</v>
      </c>
      <c r="B1579" s="761" t="s">
        <v>2340</v>
      </c>
      <c r="C1579" s="761" t="s">
        <v>2527</v>
      </c>
      <c r="D1579" s="761">
        <v>62124109</v>
      </c>
      <c r="E1579" s="761" t="s">
        <v>2972</v>
      </c>
      <c r="F1579" s="761">
        <v>143003763</v>
      </c>
      <c r="G1579" s="761" t="s">
        <v>3409</v>
      </c>
      <c r="H1579" s="761" t="s">
        <v>7681</v>
      </c>
      <c r="I1579" s="761" t="s">
        <v>6867</v>
      </c>
      <c r="J1579" s="761">
        <v>1</v>
      </c>
      <c r="K1579" s="746">
        <v>4434.9000000000005</v>
      </c>
      <c r="L1579" s="746">
        <v>1053.25</v>
      </c>
      <c r="M1579" s="746">
        <v>3381.65</v>
      </c>
      <c r="N1579" s="493" t="str">
        <f t="shared" si="26"/>
        <v>C397</v>
      </c>
      <c r="O1579" s="493" t="s">
        <v>99</v>
      </c>
      <c r="P1579" s="493" t="s">
        <v>8005</v>
      </c>
    </row>
    <row r="1580" spans="1:16">
      <c r="A1580" s="761" t="s">
        <v>2339</v>
      </c>
      <c r="B1580" s="761" t="s">
        <v>2340</v>
      </c>
      <c r="C1580" s="761" t="s">
        <v>2476</v>
      </c>
      <c r="D1580" s="761">
        <v>40348374</v>
      </c>
      <c r="E1580" s="761" t="s">
        <v>2972</v>
      </c>
      <c r="F1580" s="761">
        <v>143004019</v>
      </c>
      <c r="G1580" s="761" t="s">
        <v>3470</v>
      </c>
      <c r="H1580" s="761" t="s">
        <v>7682</v>
      </c>
      <c r="I1580" s="761" t="s">
        <v>6867</v>
      </c>
      <c r="J1580" s="761">
        <v>5</v>
      </c>
      <c r="K1580" s="746">
        <v>15326.52</v>
      </c>
      <c r="L1580" s="746">
        <v>3639.9300000000003</v>
      </c>
      <c r="M1580" s="746">
        <v>11686.59</v>
      </c>
      <c r="N1580" s="493" t="str">
        <f t="shared" si="26"/>
        <v>C397</v>
      </c>
      <c r="O1580" s="493" t="s">
        <v>99</v>
      </c>
      <c r="P1580" s="493" t="s">
        <v>8005</v>
      </c>
    </row>
    <row r="1581" spans="1:16">
      <c r="A1581" s="761" t="s">
        <v>2339</v>
      </c>
      <c r="B1581" s="761" t="s">
        <v>2340</v>
      </c>
      <c r="C1581" s="761" t="s">
        <v>2476</v>
      </c>
      <c r="D1581" s="761">
        <v>40348377</v>
      </c>
      <c r="E1581" s="761" t="s">
        <v>2972</v>
      </c>
      <c r="F1581" s="761">
        <v>143004060</v>
      </c>
      <c r="G1581" s="761" t="s">
        <v>3473</v>
      </c>
      <c r="H1581" s="761" t="s">
        <v>7683</v>
      </c>
      <c r="I1581" s="761" t="s">
        <v>6867</v>
      </c>
      <c r="J1581" s="761">
        <v>5</v>
      </c>
      <c r="K1581" s="746">
        <v>14449.03</v>
      </c>
      <c r="L1581" s="746">
        <v>3431.53</v>
      </c>
      <c r="M1581" s="746">
        <v>11017.5</v>
      </c>
      <c r="N1581" s="493" t="str">
        <f t="shared" si="26"/>
        <v>C397</v>
      </c>
      <c r="O1581" s="493" t="s">
        <v>99</v>
      </c>
      <c r="P1581" s="493" t="s">
        <v>8005</v>
      </c>
    </row>
    <row r="1582" spans="1:16">
      <c r="A1582" s="761" t="s">
        <v>2339</v>
      </c>
      <c r="B1582" s="761" t="s">
        <v>2340</v>
      </c>
      <c r="C1582" s="761" t="s">
        <v>2476</v>
      </c>
      <c r="D1582" s="761">
        <v>40348380</v>
      </c>
      <c r="E1582" s="761" t="s">
        <v>2972</v>
      </c>
      <c r="F1582" s="761">
        <v>143004062</v>
      </c>
      <c r="G1582" s="761" t="s">
        <v>3475</v>
      </c>
      <c r="H1582" s="761" t="s">
        <v>7684</v>
      </c>
      <c r="I1582" s="761" t="s">
        <v>6867</v>
      </c>
      <c r="J1582" s="761">
        <v>2</v>
      </c>
      <c r="K1582" s="746">
        <v>15044.09</v>
      </c>
      <c r="L1582" s="746">
        <v>3572.86</v>
      </c>
      <c r="M1582" s="746">
        <v>11471.23</v>
      </c>
      <c r="N1582" s="493" t="str">
        <f t="shared" si="26"/>
        <v>C397</v>
      </c>
      <c r="O1582" s="493" t="s">
        <v>99</v>
      </c>
      <c r="P1582" s="493" t="s">
        <v>8005</v>
      </c>
    </row>
    <row r="1583" spans="1:16">
      <c r="A1583" s="761" t="s">
        <v>2339</v>
      </c>
      <c r="B1583" s="761" t="s">
        <v>2340</v>
      </c>
      <c r="C1583" s="761" t="s">
        <v>2476</v>
      </c>
      <c r="D1583" s="761">
        <v>40348383</v>
      </c>
      <c r="E1583" s="761" t="s">
        <v>2972</v>
      </c>
      <c r="F1583" s="761">
        <v>143004064</v>
      </c>
      <c r="G1583" s="761" t="s">
        <v>3477</v>
      </c>
      <c r="H1583" s="761" t="s">
        <v>7685</v>
      </c>
      <c r="I1583" s="761" t="s">
        <v>6867</v>
      </c>
      <c r="J1583" s="761">
        <v>2</v>
      </c>
      <c r="K1583" s="746">
        <v>14999.02</v>
      </c>
      <c r="L1583" s="746">
        <v>3562.15</v>
      </c>
      <c r="M1583" s="746">
        <v>11436.87</v>
      </c>
      <c r="N1583" s="493" t="str">
        <f t="shared" si="26"/>
        <v>C397</v>
      </c>
      <c r="O1583" s="493" t="s">
        <v>99</v>
      </c>
      <c r="P1583" s="493" t="s">
        <v>8005</v>
      </c>
    </row>
    <row r="1584" spans="1:16">
      <c r="A1584" s="761" t="s">
        <v>2339</v>
      </c>
      <c r="B1584" s="761" t="s">
        <v>2340</v>
      </c>
      <c r="C1584" s="761" t="s">
        <v>2476</v>
      </c>
      <c r="D1584" s="761">
        <v>40348386</v>
      </c>
      <c r="E1584" s="761" t="s">
        <v>2972</v>
      </c>
      <c r="F1584" s="761">
        <v>143004065</v>
      </c>
      <c r="G1584" s="761" t="s">
        <v>3478</v>
      </c>
      <c r="H1584" s="761" t="s">
        <v>7686</v>
      </c>
      <c r="I1584" s="761" t="s">
        <v>6867</v>
      </c>
      <c r="J1584" s="761">
        <v>2</v>
      </c>
      <c r="K1584" s="746">
        <v>12821.87</v>
      </c>
      <c r="L1584" s="746">
        <v>3045.1</v>
      </c>
      <c r="M1584" s="746">
        <v>9776.77</v>
      </c>
      <c r="N1584" s="493" t="str">
        <f t="shared" si="26"/>
        <v>C397</v>
      </c>
      <c r="O1584" s="493" t="s">
        <v>99</v>
      </c>
      <c r="P1584" s="493" t="s">
        <v>8005</v>
      </c>
    </row>
    <row r="1585" spans="1:16">
      <c r="A1585" s="761" t="s">
        <v>2339</v>
      </c>
      <c r="B1585" s="761" t="s">
        <v>2340</v>
      </c>
      <c r="C1585" s="761" t="s">
        <v>2476</v>
      </c>
      <c r="D1585" s="761">
        <v>40348389</v>
      </c>
      <c r="E1585" s="761" t="s">
        <v>2972</v>
      </c>
      <c r="F1585" s="761">
        <v>143004066</v>
      </c>
      <c r="G1585" s="761" t="s">
        <v>3479</v>
      </c>
      <c r="H1585" s="761" t="s">
        <v>7687</v>
      </c>
      <c r="I1585" s="761" t="s">
        <v>6867</v>
      </c>
      <c r="J1585" s="761">
        <v>3</v>
      </c>
      <c r="K1585" s="746">
        <v>15623.9</v>
      </c>
      <c r="L1585" s="746">
        <v>3710.56</v>
      </c>
      <c r="M1585" s="746">
        <v>11913.34</v>
      </c>
      <c r="N1585" s="493" t="str">
        <f t="shared" si="26"/>
        <v>C397</v>
      </c>
      <c r="O1585" s="493" t="s">
        <v>99</v>
      </c>
      <c r="P1585" s="493" t="s">
        <v>8005</v>
      </c>
    </row>
    <row r="1586" spans="1:16">
      <c r="A1586" s="761" t="s">
        <v>2339</v>
      </c>
      <c r="B1586" s="761" t="s">
        <v>2340</v>
      </c>
      <c r="C1586" s="761" t="s">
        <v>2517</v>
      </c>
      <c r="D1586" s="761">
        <v>40348392</v>
      </c>
      <c r="E1586" s="761" t="s">
        <v>2972</v>
      </c>
      <c r="F1586" s="761">
        <v>143004067</v>
      </c>
      <c r="G1586" s="761" t="s">
        <v>3480</v>
      </c>
      <c r="H1586" s="761" t="s">
        <v>7688</v>
      </c>
      <c r="I1586" s="761" t="s">
        <v>6867</v>
      </c>
      <c r="J1586" s="761">
        <v>4</v>
      </c>
      <c r="K1586" s="746">
        <v>13274.82</v>
      </c>
      <c r="L1586" s="746">
        <v>3152.67</v>
      </c>
      <c r="M1586" s="746">
        <v>10122.15</v>
      </c>
      <c r="N1586" s="493" t="str">
        <f t="shared" si="26"/>
        <v>C397</v>
      </c>
      <c r="O1586" s="493" t="s">
        <v>99</v>
      </c>
      <c r="P1586" s="493" t="s">
        <v>8005</v>
      </c>
    </row>
    <row r="1587" spans="1:16">
      <c r="A1587" s="761" t="s">
        <v>2339</v>
      </c>
      <c r="B1587" s="761" t="s">
        <v>2340</v>
      </c>
      <c r="C1587" s="761" t="s">
        <v>2490</v>
      </c>
      <c r="D1587" s="761">
        <v>44500269</v>
      </c>
      <c r="E1587" s="761" t="s">
        <v>2972</v>
      </c>
      <c r="F1587" s="761">
        <v>143004344</v>
      </c>
      <c r="G1587" s="761" t="s">
        <v>3516</v>
      </c>
      <c r="H1587" s="761" t="s">
        <v>3516</v>
      </c>
      <c r="I1587" s="761" t="s">
        <v>6867</v>
      </c>
      <c r="J1587" s="761">
        <v>2</v>
      </c>
      <c r="K1587" s="746">
        <v>3976.38</v>
      </c>
      <c r="L1587" s="746">
        <v>944.36</v>
      </c>
      <c r="M1587" s="746">
        <v>3032.02</v>
      </c>
      <c r="N1587" s="493" t="str">
        <f t="shared" si="26"/>
        <v>C397</v>
      </c>
      <c r="O1587" s="493" t="s">
        <v>99</v>
      </c>
      <c r="P1587" s="493" t="s">
        <v>8005</v>
      </c>
    </row>
    <row r="1588" spans="1:16">
      <c r="A1588" s="761" t="s">
        <v>2339</v>
      </c>
      <c r="B1588" s="761" t="s">
        <v>2340</v>
      </c>
      <c r="C1588" s="761" t="s">
        <v>2524</v>
      </c>
      <c r="D1588" s="761">
        <v>44500320</v>
      </c>
      <c r="E1588" s="761" t="s">
        <v>2972</v>
      </c>
      <c r="F1588" s="761">
        <v>143004964</v>
      </c>
      <c r="G1588" s="761" t="s">
        <v>3550</v>
      </c>
      <c r="H1588" s="761" t="s">
        <v>3550</v>
      </c>
      <c r="I1588" s="761" t="s">
        <v>6867</v>
      </c>
      <c r="J1588" s="761">
        <v>6</v>
      </c>
      <c r="K1588" s="746">
        <v>10833.65</v>
      </c>
      <c r="L1588" s="746">
        <v>2572.91</v>
      </c>
      <c r="M1588" s="746">
        <v>8260.74</v>
      </c>
      <c r="N1588" s="493" t="str">
        <f t="shared" si="26"/>
        <v>C397</v>
      </c>
      <c r="O1588" s="493" t="s">
        <v>99</v>
      </c>
      <c r="P1588" s="493" t="s">
        <v>8005</v>
      </c>
    </row>
    <row r="1589" spans="1:16">
      <c r="A1589" s="761" t="s">
        <v>2339</v>
      </c>
      <c r="B1589" s="761" t="s">
        <v>2340</v>
      </c>
      <c r="C1589" s="761" t="s">
        <v>2512</v>
      </c>
      <c r="D1589" s="761">
        <v>44500323</v>
      </c>
      <c r="E1589" s="761" t="s">
        <v>2972</v>
      </c>
      <c r="F1589" s="761">
        <v>143005040</v>
      </c>
      <c r="G1589" s="761" t="s">
        <v>3556</v>
      </c>
      <c r="H1589" s="761" t="s">
        <v>3556</v>
      </c>
      <c r="I1589" s="761" t="s">
        <v>6867</v>
      </c>
      <c r="J1589" s="761">
        <v>4</v>
      </c>
      <c r="K1589" s="746">
        <v>14003.29</v>
      </c>
      <c r="L1589" s="746">
        <v>3325.67</v>
      </c>
      <c r="M1589" s="746">
        <v>10677.62</v>
      </c>
      <c r="N1589" s="493" t="str">
        <f t="shared" si="26"/>
        <v>C397</v>
      </c>
      <c r="O1589" s="493" t="s">
        <v>99</v>
      </c>
      <c r="P1589" s="493" t="s">
        <v>8005</v>
      </c>
    </row>
    <row r="1590" spans="1:16">
      <c r="A1590" s="761" t="s">
        <v>2339</v>
      </c>
      <c r="B1590" s="761" t="s">
        <v>2340</v>
      </c>
      <c r="C1590" s="761" t="s">
        <v>2490</v>
      </c>
      <c r="D1590" s="761">
        <v>44500328</v>
      </c>
      <c r="E1590" s="761" t="s">
        <v>2972</v>
      </c>
      <c r="F1590" s="761">
        <v>143005120</v>
      </c>
      <c r="G1590" s="761" t="s">
        <v>3556</v>
      </c>
      <c r="H1590" s="761" t="s">
        <v>3556</v>
      </c>
      <c r="I1590" s="761" t="s">
        <v>6867</v>
      </c>
      <c r="J1590" s="761">
        <v>2</v>
      </c>
      <c r="K1590" s="746">
        <v>44311.73</v>
      </c>
      <c r="L1590" s="746">
        <v>10523.7</v>
      </c>
      <c r="M1590" s="746">
        <v>33788.03</v>
      </c>
      <c r="N1590" s="493" t="str">
        <f t="shared" si="26"/>
        <v>C397</v>
      </c>
      <c r="O1590" s="493" t="s">
        <v>99</v>
      </c>
      <c r="P1590" s="493" t="s">
        <v>8005</v>
      </c>
    </row>
    <row r="1591" spans="1:16">
      <c r="A1591" s="761" t="s">
        <v>2339</v>
      </c>
      <c r="B1591" s="761" t="s">
        <v>2340</v>
      </c>
      <c r="C1591" s="761" t="s">
        <v>2517</v>
      </c>
      <c r="D1591" s="761">
        <v>44500334</v>
      </c>
      <c r="E1591" s="761" t="s">
        <v>2972</v>
      </c>
      <c r="F1591" s="761">
        <v>143005201</v>
      </c>
      <c r="G1591" s="761" t="s">
        <v>3558</v>
      </c>
      <c r="H1591" s="761" t="s">
        <v>3558</v>
      </c>
      <c r="I1591" s="761" t="s">
        <v>6867</v>
      </c>
      <c r="J1591" s="761">
        <v>6</v>
      </c>
      <c r="K1591" s="746">
        <v>29564.49</v>
      </c>
      <c r="L1591" s="746">
        <v>7021.34</v>
      </c>
      <c r="M1591" s="746">
        <v>22543.15</v>
      </c>
      <c r="N1591" s="493" t="str">
        <f t="shared" si="26"/>
        <v>C397</v>
      </c>
      <c r="O1591" s="493" t="s">
        <v>99</v>
      </c>
      <c r="P1591" s="493" t="s">
        <v>8005</v>
      </c>
    </row>
    <row r="1592" spans="1:16">
      <c r="A1592" s="761" t="s">
        <v>2339</v>
      </c>
      <c r="B1592" s="761" t="s">
        <v>2340</v>
      </c>
      <c r="C1592" s="761" t="s">
        <v>2476</v>
      </c>
      <c r="D1592" s="761">
        <v>44892957</v>
      </c>
      <c r="E1592" s="761" t="s">
        <v>2972</v>
      </c>
      <c r="F1592" s="761">
        <v>143001882</v>
      </c>
      <c r="G1592" s="761" t="s">
        <v>3194</v>
      </c>
      <c r="H1592" s="761" t="s">
        <v>7689</v>
      </c>
      <c r="I1592" s="761" t="s">
        <v>6867</v>
      </c>
      <c r="J1592" s="761">
        <v>0</v>
      </c>
      <c r="K1592" s="746">
        <v>778747.76</v>
      </c>
      <c r="L1592" s="746">
        <v>149456.37</v>
      </c>
      <c r="M1592" s="746">
        <v>629291.39</v>
      </c>
      <c r="N1592" s="493" t="str">
        <f t="shared" si="26"/>
        <v>C397</v>
      </c>
      <c r="O1592" s="493" t="s">
        <v>99</v>
      </c>
      <c r="P1592" s="493" t="s">
        <v>8005</v>
      </c>
    </row>
    <row r="1593" spans="1:16">
      <c r="A1593" s="761" t="s">
        <v>2339</v>
      </c>
      <c r="B1593" s="761" t="s">
        <v>2340</v>
      </c>
      <c r="C1593" s="761" t="s">
        <v>2476</v>
      </c>
      <c r="D1593" s="761">
        <v>45253745</v>
      </c>
      <c r="E1593" s="761" t="s">
        <v>2972</v>
      </c>
      <c r="F1593" s="761">
        <v>143004024</v>
      </c>
      <c r="G1593" s="761" t="s">
        <v>3472</v>
      </c>
      <c r="H1593" s="761" t="s">
        <v>3472</v>
      </c>
      <c r="I1593" s="761" t="s">
        <v>6867</v>
      </c>
      <c r="J1593" s="761">
        <v>1</v>
      </c>
      <c r="K1593" s="746">
        <v>6.82</v>
      </c>
      <c r="L1593" s="746">
        <v>1.31</v>
      </c>
      <c r="M1593" s="746">
        <v>5.51</v>
      </c>
      <c r="N1593" s="493" t="str">
        <f t="shared" si="26"/>
        <v>C397</v>
      </c>
      <c r="O1593" s="493" t="s">
        <v>99</v>
      </c>
      <c r="P1593" s="493" t="s">
        <v>8005</v>
      </c>
    </row>
    <row r="1594" spans="1:16">
      <c r="A1594" s="761" t="s">
        <v>2339</v>
      </c>
      <c r="B1594" s="761" t="s">
        <v>2340</v>
      </c>
      <c r="C1594" s="761" t="s">
        <v>2473</v>
      </c>
      <c r="D1594" s="761">
        <v>45253758</v>
      </c>
      <c r="E1594" s="761" t="s">
        <v>2972</v>
      </c>
      <c r="F1594" s="761">
        <v>143004523</v>
      </c>
      <c r="G1594" s="761" t="s">
        <v>3517</v>
      </c>
      <c r="H1594" s="761" t="s">
        <v>7690</v>
      </c>
      <c r="I1594" s="761" t="s">
        <v>6867</v>
      </c>
      <c r="J1594" s="761">
        <v>1</v>
      </c>
      <c r="K1594" s="746">
        <v>23658.28</v>
      </c>
      <c r="L1594" s="746">
        <v>4540.47</v>
      </c>
      <c r="M1594" s="746">
        <v>19117.810000000001</v>
      </c>
      <c r="N1594" s="493" t="str">
        <f t="shared" si="26"/>
        <v>C397</v>
      </c>
      <c r="O1594" s="493" t="s">
        <v>99</v>
      </c>
      <c r="P1594" s="493" t="s">
        <v>8005</v>
      </c>
    </row>
    <row r="1595" spans="1:16">
      <c r="A1595" s="761" t="s">
        <v>2339</v>
      </c>
      <c r="B1595" s="761" t="s">
        <v>2340</v>
      </c>
      <c r="C1595" s="761" t="s">
        <v>2476</v>
      </c>
      <c r="D1595" s="761">
        <v>45253784</v>
      </c>
      <c r="E1595" s="761" t="s">
        <v>2972</v>
      </c>
      <c r="F1595" s="761">
        <v>143004768</v>
      </c>
      <c r="G1595" s="761" t="s">
        <v>3535</v>
      </c>
      <c r="H1595" s="761" t="s">
        <v>3535</v>
      </c>
      <c r="I1595" s="761" t="s">
        <v>6867</v>
      </c>
      <c r="J1595" s="761">
        <v>1</v>
      </c>
      <c r="K1595" s="746">
        <v>24078.61</v>
      </c>
      <c r="L1595" s="746">
        <v>4621.1400000000003</v>
      </c>
      <c r="M1595" s="746">
        <v>19457.47</v>
      </c>
      <c r="N1595" s="493" t="str">
        <f t="shared" si="26"/>
        <v>C397</v>
      </c>
      <c r="O1595" s="493" t="s">
        <v>99</v>
      </c>
      <c r="P1595" s="493" t="s">
        <v>8005</v>
      </c>
    </row>
    <row r="1596" spans="1:16">
      <c r="A1596" s="761" t="s">
        <v>2339</v>
      </c>
      <c r="B1596" s="761" t="s">
        <v>2340</v>
      </c>
      <c r="C1596" s="761" t="s">
        <v>2476</v>
      </c>
      <c r="D1596" s="761">
        <v>52234820</v>
      </c>
      <c r="E1596" s="761" t="s">
        <v>2972</v>
      </c>
      <c r="F1596" s="761">
        <v>143003482</v>
      </c>
      <c r="G1596" s="761" t="s">
        <v>3348</v>
      </c>
      <c r="H1596" s="761" t="s">
        <v>3348</v>
      </c>
      <c r="I1596" s="761" t="s">
        <v>6867</v>
      </c>
      <c r="J1596" s="761">
        <v>0</v>
      </c>
      <c r="K1596" s="746">
        <v>64411.520000000004</v>
      </c>
      <c r="L1596" s="746">
        <v>12361.78</v>
      </c>
      <c r="M1596" s="746">
        <v>52049.74</v>
      </c>
      <c r="N1596" s="493" t="str">
        <f t="shared" si="26"/>
        <v>C397</v>
      </c>
      <c r="O1596" s="493" t="s">
        <v>99</v>
      </c>
      <c r="P1596" s="493" t="s">
        <v>8005</v>
      </c>
    </row>
    <row r="1597" spans="1:16">
      <c r="A1597" s="761" t="s">
        <v>2339</v>
      </c>
      <c r="B1597" s="761" t="s">
        <v>2340</v>
      </c>
      <c r="C1597" s="761" t="s">
        <v>2476</v>
      </c>
      <c r="D1597" s="761">
        <v>52235041</v>
      </c>
      <c r="E1597" s="761" t="s">
        <v>2972</v>
      </c>
      <c r="F1597" s="761">
        <v>143004822</v>
      </c>
      <c r="G1597" s="761" t="s">
        <v>3540</v>
      </c>
      <c r="H1597" s="761" t="s">
        <v>3540</v>
      </c>
      <c r="I1597" s="761" t="s">
        <v>6867</v>
      </c>
      <c r="J1597" s="761">
        <v>0</v>
      </c>
      <c r="K1597" s="746">
        <v>62148.630000000005</v>
      </c>
      <c r="L1597" s="746">
        <v>11927.49</v>
      </c>
      <c r="M1597" s="746">
        <v>50221.14</v>
      </c>
      <c r="N1597" s="493" t="str">
        <f t="shared" si="26"/>
        <v>C397</v>
      </c>
      <c r="O1597" s="493" t="s">
        <v>99</v>
      </c>
      <c r="P1597" s="493" t="s">
        <v>8005</v>
      </c>
    </row>
    <row r="1598" spans="1:16">
      <c r="A1598" s="761" t="s">
        <v>2339</v>
      </c>
      <c r="B1598" s="761" t="s">
        <v>2340</v>
      </c>
      <c r="C1598" s="761" t="s">
        <v>2473</v>
      </c>
      <c r="D1598" s="761">
        <v>52235053</v>
      </c>
      <c r="E1598" s="761" t="s">
        <v>2972</v>
      </c>
      <c r="F1598" s="761">
        <v>143004934</v>
      </c>
      <c r="G1598" s="761" t="s">
        <v>3547</v>
      </c>
      <c r="H1598" s="761" t="s">
        <v>7691</v>
      </c>
      <c r="I1598" s="761" t="s">
        <v>6867</v>
      </c>
      <c r="J1598" s="761">
        <v>0</v>
      </c>
      <c r="K1598" s="746">
        <v>151070.29</v>
      </c>
      <c r="L1598" s="746">
        <v>28993.23</v>
      </c>
      <c r="M1598" s="746">
        <v>122077.06</v>
      </c>
      <c r="N1598" s="493" t="str">
        <f t="shared" si="26"/>
        <v>C397</v>
      </c>
      <c r="O1598" s="493" t="s">
        <v>99</v>
      </c>
      <c r="P1598" s="493" t="s">
        <v>8005</v>
      </c>
    </row>
    <row r="1599" spans="1:16">
      <c r="A1599" s="761" t="s">
        <v>2339</v>
      </c>
      <c r="B1599" s="761" t="s">
        <v>2340</v>
      </c>
      <c r="C1599" s="761" t="s">
        <v>2487</v>
      </c>
      <c r="D1599" s="761">
        <v>52235070</v>
      </c>
      <c r="E1599" s="761" t="s">
        <v>2972</v>
      </c>
      <c r="F1599" s="761">
        <v>143005022</v>
      </c>
      <c r="G1599" s="761" t="s">
        <v>3554</v>
      </c>
      <c r="H1599" s="761" t="s">
        <v>7692</v>
      </c>
      <c r="I1599" s="761" t="s">
        <v>6867</v>
      </c>
      <c r="J1599" s="761">
        <v>81</v>
      </c>
      <c r="K1599" s="746">
        <v>160687.12</v>
      </c>
      <c r="L1599" s="746">
        <v>30838.89</v>
      </c>
      <c r="M1599" s="746">
        <v>129848.23</v>
      </c>
      <c r="N1599" s="493" t="str">
        <f t="shared" si="26"/>
        <v>C397</v>
      </c>
      <c r="O1599" s="493" t="s">
        <v>99</v>
      </c>
      <c r="P1599" s="493" t="s">
        <v>8005</v>
      </c>
    </row>
    <row r="1600" spans="1:16">
      <c r="A1600" s="761" t="s">
        <v>2339</v>
      </c>
      <c r="B1600" s="761" t="s">
        <v>2340</v>
      </c>
      <c r="C1600" s="761" t="s">
        <v>2828</v>
      </c>
      <c r="D1600" s="761">
        <v>52235129</v>
      </c>
      <c r="E1600" s="761" t="s">
        <v>2972</v>
      </c>
      <c r="F1600" s="761">
        <v>143005334</v>
      </c>
      <c r="G1600" s="761" t="s">
        <v>3578</v>
      </c>
      <c r="H1600" s="761" t="s">
        <v>7693</v>
      </c>
      <c r="I1600" s="761" t="s">
        <v>6867</v>
      </c>
      <c r="J1600" s="761">
        <v>0</v>
      </c>
      <c r="K1600" s="746">
        <v>44137.270000000004</v>
      </c>
      <c r="L1600" s="746">
        <v>8470.77</v>
      </c>
      <c r="M1600" s="746">
        <v>35666.5</v>
      </c>
      <c r="N1600" s="493" t="str">
        <f t="shared" si="26"/>
        <v>C397</v>
      </c>
      <c r="O1600" s="493" t="s">
        <v>99</v>
      </c>
      <c r="P1600" s="493" t="s">
        <v>8005</v>
      </c>
    </row>
    <row r="1601" spans="1:65">
      <c r="A1601" s="761" t="s">
        <v>2339</v>
      </c>
      <c r="B1601" s="761" t="s">
        <v>2340</v>
      </c>
      <c r="C1601" s="761" t="s">
        <v>2517</v>
      </c>
      <c r="D1601" s="761">
        <v>52235164</v>
      </c>
      <c r="E1601" s="761" t="s">
        <v>2972</v>
      </c>
      <c r="F1601" s="761">
        <v>143005436</v>
      </c>
      <c r="G1601" s="761" t="s">
        <v>3591</v>
      </c>
      <c r="H1601" s="761" t="s">
        <v>3591</v>
      </c>
      <c r="I1601" s="761" t="s">
        <v>6867</v>
      </c>
      <c r="J1601" s="761">
        <v>0</v>
      </c>
      <c r="K1601" s="746">
        <v>106226.73</v>
      </c>
      <c r="L1601" s="746">
        <v>20386.91</v>
      </c>
      <c r="M1601" s="746">
        <v>85839.82</v>
      </c>
      <c r="N1601" s="493" t="str">
        <f t="shared" si="26"/>
        <v>C397</v>
      </c>
      <c r="O1601" s="493" t="s">
        <v>99</v>
      </c>
      <c r="P1601" s="493" t="s">
        <v>8005</v>
      </c>
    </row>
    <row r="1602" spans="1:65">
      <c r="A1602" s="761" t="s">
        <v>2339</v>
      </c>
      <c r="B1602" s="761" t="s">
        <v>2340</v>
      </c>
      <c r="C1602" s="761" t="s">
        <v>2596</v>
      </c>
      <c r="D1602" s="761">
        <v>52235195</v>
      </c>
      <c r="E1602" s="761" t="s">
        <v>2972</v>
      </c>
      <c r="F1602" s="761">
        <v>143005540</v>
      </c>
      <c r="G1602" s="761" t="s">
        <v>3607</v>
      </c>
      <c r="H1602" s="761" t="s">
        <v>3607</v>
      </c>
      <c r="I1602" s="761" t="s">
        <v>6867</v>
      </c>
      <c r="J1602" s="761">
        <v>0</v>
      </c>
      <c r="K1602" s="746">
        <v>40944.5</v>
      </c>
      <c r="L1602" s="746">
        <v>7858.02</v>
      </c>
      <c r="M1602" s="746">
        <v>33086.480000000003</v>
      </c>
      <c r="N1602" s="493" t="str">
        <f t="shared" si="26"/>
        <v>C397</v>
      </c>
      <c r="O1602" s="493" t="s">
        <v>99</v>
      </c>
      <c r="P1602" s="493" t="s">
        <v>8005</v>
      </c>
    </row>
    <row r="1603" spans="1:65">
      <c r="A1603" s="761" t="s">
        <v>2339</v>
      </c>
      <c r="B1603" s="761" t="s">
        <v>2340</v>
      </c>
      <c r="C1603" s="761" t="s">
        <v>2490</v>
      </c>
      <c r="D1603" s="761">
        <v>52235200</v>
      </c>
      <c r="E1603" s="761" t="s">
        <v>2972</v>
      </c>
      <c r="F1603" s="761">
        <v>143005542</v>
      </c>
      <c r="G1603" s="761" t="s">
        <v>3608</v>
      </c>
      <c r="H1603" s="761" t="s">
        <v>3608</v>
      </c>
      <c r="I1603" s="761" t="s">
        <v>6867</v>
      </c>
      <c r="J1603" s="761">
        <v>0</v>
      </c>
      <c r="K1603" s="746">
        <v>24599.07</v>
      </c>
      <c r="L1603" s="746">
        <v>4721.0200000000004</v>
      </c>
      <c r="M1603" s="746">
        <v>19878.05</v>
      </c>
      <c r="N1603" s="493" t="str">
        <f t="shared" si="26"/>
        <v>C397</v>
      </c>
      <c r="O1603" s="493" t="s">
        <v>99</v>
      </c>
      <c r="P1603" s="493" t="s">
        <v>8005</v>
      </c>
    </row>
    <row r="1604" spans="1:65">
      <c r="A1604" s="761" t="s">
        <v>2339</v>
      </c>
      <c r="B1604" s="761" t="s">
        <v>2340</v>
      </c>
      <c r="C1604" s="761" t="s">
        <v>2476</v>
      </c>
      <c r="D1604" s="761">
        <v>57971986</v>
      </c>
      <c r="E1604" s="761" t="s">
        <v>2972</v>
      </c>
      <c r="F1604" s="761">
        <v>143005311</v>
      </c>
      <c r="G1604" s="761" t="s">
        <v>3573</v>
      </c>
      <c r="H1604" s="761" t="s">
        <v>3573</v>
      </c>
      <c r="I1604" s="761" t="s">
        <v>6867</v>
      </c>
      <c r="J1604" s="761">
        <v>260</v>
      </c>
      <c r="K1604" s="746">
        <v>640871.67000000004</v>
      </c>
      <c r="L1604" s="746">
        <v>122995.35</v>
      </c>
      <c r="M1604" s="746">
        <v>517876.32</v>
      </c>
      <c r="N1604" s="493" t="str">
        <f t="shared" si="26"/>
        <v>C397</v>
      </c>
      <c r="O1604" s="493" t="s">
        <v>99</v>
      </c>
      <c r="P1604" s="493" t="s">
        <v>8005</v>
      </c>
    </row>
    <row r="1605" spans="1:65">
      <c r="A1605" s="761" t="s">
        <v>2339</v>
      </c>
      <c r="B1605" s="761" t="s">
        <v>2340</v>
      </c>
      <c r="C1605" s="761" t="s">
        <v>2524</v>
      </c>
      <c r="D1605" s="761">
        <v>58136538</v>
      </c>
      <c r="E1605" s="761" t="s">
        <v>2972</v>
      </c>
      <c r="F1605" s="761">
        <v>143005665</v>
      </c>
      <c r="G1605" s="761" t="s">
        <v>3642</v>
      </c>
      <c r="H1605" s="761" t="s">
        <v>3642</v>
      </c>
      <c r="I1605" s="761" t="s">
        <v>6867</v>
      </c>
      <c r="J1605" s="761">
        <v>0</v>
      </c>
      <c r="K1605" s="746">
        <v>55364.200000000004</v>
      </c>
      <c r="L1605" s="746">
        <v>10625.43</v>
      </c>
      <c r="M1605" s="746">
        <v>44738.770000000004</v>
      </c>
      <c r="N1605" s="493" t="str">
        <f t="shared" si="26"/>
        <v>C397</v>
      </c>
      <c r="O1605" s="493" t="s">
        <v>99</v>
      </c>
      <c r="P1605" s="493" t="s">
        <v>8005</v>
      </c>
    </row>
    <row r="1606" spans="1:65" s="1691" customFormat="1">
      <c r="A1606" s="762" t="s">
        <v>2339</v>
      </c>
      <c r="B1606" s="762" t="s">
        <v>2340</v>
      </c>
      <c r="C1606" s="762" t="s">
        <v>2476</v>
      </c>
      <c r="D1606" s="762">
        <v>66072352</v>
      </c>
      <c r="E1606" s="762" t="s">
        <v>2972</v>
      </c>
      <c r="F1606" s="762">
        <v>143004981</v>
      </c>
      <c r="G1606" s="762" t="s">
        <v>3553</v>
      </c>
      <c r="H1606" s="1917" t="s">
        <v>7694</v>
      </c>
      <c r="I1606" s="762" t="s">
        <v>6867</v>
      </c>
      <c r="J1606" s="762">
        <v>0</v>
      </c>
      <c r="K1606" s="1911">
        <v>926548.34</v>
      </c>
      <c r="L1606" s="1911">
        <v>177822.08000000002</v>
      </c>
      <c r="M1606" s="1911">
        <v>748726.26</v>
      </c>
      <c r="N1606" s="1752" t="str">
        <f t="shared" si="26"/>
        <v>C397</v>
      </c>
      <c r="O1606" s="1752" t="s">
        <v>99</v>
      </c>
      <c r="P1606" s="1752" t="s">
        <v>8005</v>
      </c>
      <c r="Q1606" s="761"/>
      <c r="R1606" s="761"/>
      <c r="S1606" s="761"/>
      <c r="T1606" s="761"/>
      <c r="U1606" s="761"/>
      <c r="V1606" s="761"/>
      <c r="W1606" s="761"/>
      <c r="X1606" s="761"/>
      <c r="Y1606" s="761"/>
      <c r="Z1606" s="761"/>
      <c r="AA1606" s="761"/>
      <c r="AB1606" s="761"/>
      <c r="AC1606" s="761"/>
      <c r="AD1606" s="761"/>
      <c r="AE1606" s="761"/>
      <c r="AF1606" s="761"/>
      <c r="AG1606" s="761"/>
      <c r="AH1606" s="761"/>
      <c r="AI1606" s="761"/>
      <c r="AJ1606" s="761"/>
      <c r="AK1606" s="761"/>
      <c r="AL1606" s="761"/>
      <c r="AM1606" s="761"/>
      <c r="AN1606" s="761"/>
      <c r="AO1606" s="761"/>
      <c r="AP1606" s="761"/>
      <c r="AQ1606" s="761"/>
      <c r="AR1606" s="761"/>
      <c r="AS1606" s="761"/>
      <c r="AT1606" s="761"/>
      <c r="AU1606" s="761"/>
      <c r="AV1606" s="761"/>
      <c r="AW1606" s="761"/>
      <c r="AX1606" s="761"/>
      <c r="AY1606" s="761"/>
      <c r="AZ1606" s="761"/>
      <c r="BA1606" s="761"/>
      <c r="BB1606" s="761"/>
      <c r="BC1606" s="761"/>
      <c r="BD1606" s="761"/>
      <c r="BE1606" s="761"/>
      <c r="BF1606" s="761"/>
      <c r="BG1606" s="761"/>
      <c r="BH1606" s="761"/>
      <c r="BI1606" s="761"/>
      <c r="BJ1606" s="761"/>
      <c r="BK1606" s="761"/>
      <c r="BL1606" s="761"/>
      <c r="BM1606" s="761"/>
    </row>
    <row r="1607" spans="1:65">
      <c r="A1607" s="761" t="s">
        <v>2339</v>
      </c>
      <c r="B1607" s="761" t="s">
        <v>2340</v>
      </c>
      <c r="C1607" s="761" t="s">
        <v>2743</v>
      </c>
      <c r="D1607" s="761">
        <v>45362976</v>
      </c>
      <c r="E1607" s="761" t="s">
        <v>2972</v>
      </c>
      <c r="F1607" s="761">
        <v>143003183</v>
      </c>
      <c r="G1607" s="761" t="s">
        <v>3323</v>
      </c>
      <c r="H1607" s="761" t="s">
        <v>7695</v>
      </c>
      <c r="I1607" s="761" t="s">
        <v>6867</v>
      </c>
      <c r="J1607" s="761">
        <v>2</v>
      </c>
      <c r="K1607" s="746">
        <v>20651.28</v>
      </c>
      <c r="L1607" s="746">
        <v>3963.37</v>
      </c>
      <c r="M1607" s="746">
        <v>16687.91</v>
      </c>
      <c r="N1607" s="493" t="str">
        <f t="shared" si="26"/>
        <v>C397</v>
      </c>
      <c r="O1607" s="493" t="s">
        <v>99</v>
      </c>
      <c r="P1607" s="493" t="s">
        <v>8005</v>
      </c>
    </row>
    <row r="1608" spans="1:65">
      <c r="A1608" s="761" t="s">
        <v>2339</v>
      </c>
      <c r="B1608" s="761" t="s">
        <v>2340</v>
      </c>
      <c r="C1608" s="761" t="s">
        <v>2476</v>
      </c>
      <c r="D1608" s="761">
        <v>45821931</v>
      </c>
      <c r="E1608" s="761" t="s">
        <v>2972</v>
      </c>
      <c r="F1608" s="761">
        <v>143004902</v>
      </c>
      <c r="G1608" s="761" t="s">
        <v>3542</v>
      </c>
      <c r="H1608" s="761" t="s">
        <v>3542</v>
      </c>
      <c r="I1608" s="761" t="s">
        <v>6867</v>
      </c>
      <c r="J1608" s="761">
        <v>5</v>
      </c>
      <c r="K1608" s="746">
        <v>32315.86</v>
      </c>
      <c r="L1608" s="746">
        <v>6202.02</v>
      </c>
      <c r="M1608" s="746">
        <v>26113.84</v>
      </c>
      <c r="N1608" s="493" t="str">
        <f t="shared" si="26"/>
        <v>C397</v>
      </c>
      <c r="O1608" s="493" t="s">
        <v>99</v>
      </c>
      <c r="P1608" s="493" t="s">
        <v>8005</v>
      </c>
    </row>
    <row r="1609" spans="1:65">
      <c r="A1609" s="761" t="s">
        <v>2339</v>
      </c>
      <c r="B1609" s="761" t="s">
        <v>2340</v>
      </c>
      <c r="C1609" s="761" t="s">
        <v>2476</v>
      </c>
      <c r="D1609" s="761">
        <v>45861227</v>
      </c>
      <c r="E1609" s="761" t="s">
        <v>2972</v>
      </c>
      <c r="F1609" s="761">
        <v>143003888</v>
      </c>
      <c r="G1609" s="761" t="s">
        <v>3447</v>
      </c>
      <c r="H1609" s="761" t="s">
        <v>3447</v>
      </c>
      <c r="I1609" s="761" t="s">
        <v>6867</v>
      </c>
      <c r="J1609" s="761">
        <v>2</v>
      </c>
      <c r="K1609" s="746">
        <v>3348.25</v>
      </c>
      <c r="L1609" s="746">
        <v>642.59</v>
      </c>
      <c r="M1609" s="746">
        <v>2705.66</v>
      </c>
      <c r="N1609" s="493" t="str">
        <f t="shared" si="26"/>
        <v>C397</v>
      </c>
      <c r="O1609" s="493" t="s">
        <v>99</v>
      </c>
      <c r="P1609" s="493" t="s">
        <v>8005</v>
      </c>
    </row>
    <row r="1610" spans="1:65">
      <c r="A1610" s="761" t="s">
        <v>2339</v>
      </c>
      <c r="B1610" s="761" t="s">
        <v>2340</v>
      </c>
      <c r="C1610" s="761" t="s">
        <v>2517</v>
      </c>
      <c r="D1610" s="761">
        <v>45861238</v>
      </c>
      <c r="E1610" s="761" t="s">
        <v>2972</v>
      </c>
      <c r="F1610" s="761">
        <v>143004580</v>
      </c>
      <c r="G1610" s="761" t="s">
        <v>3520</v>
      </c>
      <c r="H1610" s="761" t="s">
        <v>7696</v>
      </c>
      <c r="I1610" s="761" t="s">
        <v>6867</v>
      </c>
      <c r="J1610" s="761">
        <v>5</v>
      </c>
      <c r="K1610" s="746">
        <v>4873.57</v>
      </c>
      <c r="L1610" s="746">
        <v>935.33</v>
      </c>
      <c r="M1610" s="746">
        <v>3938.2400000000002</v>
      </c>
      <c r="N1610" s="493" t="str">
        <f t="shared" si="26"/>
        <v>C397</v>
      </c>
      <c r="O1610" s="493" t="s">
        <v>99</v>
      </c>
      <c r="P1610" s="493" t="s">
        <v>8005</v>
      </c>
    </row>
    <row r="1611" spans="1:65">
      <c r="A1611" s="761" t="s">
        <v>2339</v>
      </c>
      <c r="B1611" s="761" t="s">
        <v>2340</v>
      </c>
      <c r="C1611" s="761" t="s">
        <v>2476</v>
      </c>
      <c r="D1611" s="761">
        <v>45861245</v>
      </c>
      <c r="E1611" s="761" t="s">
        <v>2972</v>
      </c>
      <c r="F1611" s="761">
        <v>143004755</v>
      </c>
      <c r="G1611" s="761" t="s">
        <v>3534</v>
      </c>
      <c r="H1611" s="761" t="s">
        <v>3534</v>
      </c>
      <c r="I1611" s="761" t="s">
        <v>6867</v>
      </c>
      <c r="J1611" s="761">
        <v>2</v>
      </c>
      <c r="K1611" s="746">
        <v>2094.9299999999998</v>
      </c>
      <c r="L1611" s="746">
        <v>402.06</v>
      </c>
      <c r="M1611" s="746">
        <v>1692.8700000000001</v>
      </c>
      <c r="N1611" s="493" t="str">
        <f t="shared" si="26"/>
        <v>C397</v>
      </c>
      <c r="O1611" s="493" t="s">
        <v>99</v>
      </c>
      <c r="P1611" s="493" t="s">
        <v>8005</v>
      </c>
    </row>
    <row r="1612" spans="1:65">
      <c r="A1612" s="761" t="s">
        <v>2339</v>
      </c>
      <c r="B1612" s="761" t="s">
        <v>2340</v>
      </c>
      <c r="C1612" s="761" t="s">
        <v>2517</v>
      </c>
      <c r="D1612" s="761">
        <v>45895469</v>
      </c>
      <c r="E1612" s="761" t="s">
        <v>2972</v>
      </c>
      <c r="F1612" s="761">
        <v>143004588</v>
      </c>
      <c r="G1612" s="761" t="s">
        <v>3522</v>
      </c>
      <c r="H1612" s="761" t="s">
        <v>7697</v>
      </c>
      <c r="I1612" s="761" t="s">
        <v>6867</v>
      </c>
      <c r="J1612" s="761">
        <v>2</v>
      </c>
      <c r="K1612" s="746">
        <v>552.84</v>
      </c>
      <c r="L1612" s="746">
        <v>106.10000000000001</v>
      </c>
      <c r="M1612" s="746">
        <v>446.74</v>
      </c>
      <c r="N1612" s="493" t="str">
        <f t="shared" si="26"/>
        <v>C397</v>
      </c>
      <c r="O1612" s="493" t="s">
        <v>99</v>
      </c>
      <c r="P1612" s="493" t="s">
        <v>8005</v>
      </c>
    </row>
    <row r="1613" spans="1:65">
      <c r="A1613" s="761" t="s">
        <v>2339</v>
      </c>
      <c r="B1613" s="761" t="s">
        <v>2340</v>
      </c>
      <c r="C1613" s="761" t="s">
        <v>2473</v>
      </c>
      <c r="D1613" s="761">
        <v>45895472</v>
      </c>
      <c r="E1613" s="761" t="s">
        <v>2972</v>
      </c>
      <c r="F1613" s="761">
        <v>143004589</v>
      </c>
      <c r="G1613" s="761" t="s">
        <v>3523</v>
      </c>
      <c r="H1613" s="761" t="s">
        <v>7698</v>
      </c>
      <c r="I1613" s="761" t="s">
        <v>6867</v>
      </c>
      <c r="J1613" s="761">
        <v>2</v>
      </c>
      <c r="K1613" s="746">
        <v>556.41999999999996</v>
      </c>
      <c r="L1613" s="746">
        <v>106.79</v>
      </c>
      <c r="M1613" s="746">
        <v>449.63</v>
      </c>
      <c r="N1613" s="493" t="str">
        <f t="shared" si="26"/>
        <v>C397</v>
      </c>
      <c r="O1613" s="493" t="s">
        <v>99</v>
      </c>
      <c r="P1613" s="493" t="s">
        <v>8005</v>
      </c>
    </row>
    <row r="1614" spans="1:65">
      <c r="A1614" s="761" t="s">
        <v>2339</v>
      </c>
      <c r="B1614" s="761" t="s">
        <v>2340</v>
      </c>
      <c r="C1614" s="761" t="s">
        <v>2527</v>
      </c>
      <c r="D1614" s="761">
        <v>45895475</v>
      </c>
      <c r="E1614" s="761" t="s">
        <v>2972</v>
      </c>
      <c r="F1614" s="761">
        <v>143004590</v>
      </c>
      <c r="G1614" s="761" t="s">
        <v>3524</v>
      </c>
      <c r="H1614" s="761" t="s">
        <v>7699</v>
      </c>
      <c r="I1614" s="761" t="s">
        <v>6867</v>
      </c>
      <c r="J1614" s="761">
        <v>2</v>
      </c>
      <c r="K1614" s="746">
        <v>554.86</v>
      </c>
      <c r="L1614" s="746">
        <v>106.49000000000001</v>
      </c>
      <c r="M1614" s="746">
        <v>448.37</v>
      </c>
      <c r="N1614" s="493" t="str">
        <f t="shared" si="26"/>
        <v>C397</v>
      </c>
      <c r="O1614" s="493" t="s">
        <v>99</v>
      </c>
      <c r="P1614" s="493" t="s">
        <v>8005</v>
      </c>
    </row>
    <row r="1615" spans="1:65">
      <c r="A1615" s="761" t="s">
        <v>2339</v>
      </c>
      <c r="B1615" s="761" t="s">
        <v>2340</v>
      </c>
      <c r="C1615" s="761" t="s">
        <v>2473</v>
      </c>
      <c r="D1615" s="761">
        <v>45895478</v>
      </c>
      <c r="E1615" s="761" t="s">
        <v>2972</v>
      </c>
      <c r="F1615" s="761">
        <v>143004591</v>
      </c>
      <c r="G1615" s="761" t="s">
        <v>3525</v>
      </c>
      <c r="H1615" s="761" t="s">
        <v>7700</v>
      </c>
      <c r="I1615" s="761" t="s">
        <v>6867</v>
      </c>
      <c r="J1615" s="761">
        <v>2</v>
      </c>
      <c r="K1615" s="746">
        <v>549.31000000000006</v>
      </c>
      <c r="L1615" s="746">
        <v>105.42</v>
      </c>
      <c r="M1615" s="746">
        <v>443.89</v>
      </c>
      <c r="N1615" s="493" t="str">
        <f t="shared" si="26"/>
        <v>C397</v>
      </c>
      <c r="O1615" s="493" t="s">
        <v>99</v>
      </c>
      <c r="P1615" s="493" t="s">
        <v>8005</v>
      </c>
    </row>
    <row r="1616" spans="1:65">
      <c r="A1616" s="761" t="s">
        <v>2339</v>
      </c>
      <c r="B1616" s="761" t="s">
        <v>2340</v>
      </c>
      <c r="C1616" s="761" t="s">
        <v>2517</v>
      </c>
      <c r="D1616" s="761">
        <v>45895481</v>
      </c>
      <c r="E1616" s="761" t="s">
        <v>2972</v>
      </c>
      <c r="F1616" s="761">
        <v>143004592</v>
      </c>
      <c r="G1616" s="761" t="s">
        <v>3526</v>
      </c>
      <c r="H1616" s="761" t="s">
        <v>7701</v>
      </c>
      <c r="I1616" s="761" t="s">
        <v>6867</v>
      </c>
      <c r="J1616" s="761">
        <v>2</v>
      </c>
      <c r="K1616" s="746">
        <v>549.31000000000006</v>
      </c>
      <c r="L1616" s="746">
        <v>105.42</v>
      </c>
      <c r="M1616" s="746">
        <v>443.89</v>
      </c>
      <c r="N1616" s="493" t="str">
        <f t="shared" si="26"/>
        <v>C397</v>
      </c>
      <c r="O1616" s="493" t="s">
        <v>99</v>
      </c>
      <c r="P1616" s="493" t="s">
        <v>8005</v>
      </c>
    </row>
    <row r="1617" spans="1:16">
      <c r="A1617" s="761" t="s">
        <v>2339</v>
      </c>
      <c r="B1617" s="761" t="s">
        <v>2340</v>
      </c>
      <c r="C1617" s="761" t="s">
        <v>2509</v>
      </c>
      <c r="D1617" s="761">
        <v>45895484</v>
      </c>
      <c r="E1617" s="761" t="s">
        <v>2972</v>
      </c>
      <c r="F1617" s="761">
        <v>143004593</v>
      </c>
      <c r="G1617" s="761" t="s">
        <v>3527</v>
      </c>
      <c r="H1617" s="761" t="s">
        <v>7702</v>
      </c>
      <c r="I1617" s="761" t="s">
        <v>6867</v>
      </c>
      <c r="J1617" s="761">
        <v>2</v>
      </c>
      <c r="K1617" s="746">
        <v>552.36</v>
      </c>
      <c r="L1617" s="746">
        <v>106.01</v>
      </c>
      <c r="M1617" s="746">
        <v>446.35</v>
      </c>
      <c r="N1617" s="493" t="str">
        <f t="shared" ref="N1617:N1680" si="27">LEFT(E1617,4)</f>
        <v>C397</v>
      </c>
      <c r="O1617" s="493" t="s">
        <v>99</v>
      </c>
      <c r="P1617" s="493" t="s">
        <v>8005</v>
      </c>
    </row>
    <row r="1618" spans="1:16">
      <c r="A1618" s="761" t="s">
        <v>2339</v>
      </c>
      <c r="B1618" s="761" t="s">
        <v>2340</v>
      </c>
      <c r="C1618" s="761" t="s">
        <v>2487</v>
      </c>
      <c r="D1618" s="761">
        <v>45895487</v>
      </c>
      <c r="E1618" s="761" t="s">
        <v>2972</v>
      </c>
      <c r="F1618" s="761">
        <v>143004594</v>
      </c>
      <c r="G1618" s="761" t="s">
        <v>3528</v>
      </c>
      <c r="H1618" s="761" t="s">
        <v>7703</v>
      </c>
      <c r="I1618" s="761" t="s">
        <v>6867</v>
      </c>
      <c r="J1618" s="761">
        <v>2</v>
      </c>
      <c r="K1618" s="746">
        <v>554.37</v>
      </c>
      <c r="L1618" s="746">
        <v>106.39</v>
      </c>
      <c r="M1618" s="746">
        <v>447.98</v>
      </c>
      <c r="N1618" s="493" t="str">
        <f t="shared" si="27"/>
        <v>C397</v>
      </c>
      <c r="O1618" s="493" t="s">
        <v>99</v>
      </c>
      <c r="P1618" s="493" t="s">
        <v>8005</v>
      </c>
    </row>
    <row r="1619" spans="1:16">
      <c r="A1619" s="761" t="s">
        <v>2339</v>
      </c>
      <c r="B1619" s="761" t="s">
        <v>2340</v>
      </c>
      <c r="C1619" s="761" t="s">
        <v>2517</v>
      </c>
      <c r="D1619" s="761">
        <v>45895490</v>
      </c>
      <c r="E1619" s="761" t="s">
        <v>2972</v>
      </c>
      <c r="F1619" s="761">
        <v>143004595</v>
      </c>
      <c r="G1619" s="761" t="s">
        <v>3529</v>
      </c>
      <c r="H1619" s="761" t="s">
        <v>7704</v>
      </c>
      <c r="I1619" s="761" t="s">
        <v>6867</v>
      </c>
      <c r="J1619" s="761">
        <v>2</v>
      </c>
      <c r="K1619" s="746">
        <v>554.37</v>
      </c>
      <c r="L1619" s="746">
        <v>106.39</v>
      </c>
      <c r="M1619" s="746">
        <v>447.98</v>
      </c>
      <c r="N1619" s="493" t="str">
        <f t="shared" si="27"/>
        <v>C397</v>
      </c>
      <c r="O1619" s="493" t="s">
        <v>99</v>
      </c>
      <c r="P1619" s="493" t="s">
        <v>8005</v>
      </c>
    </row>
    <row r="1620" spans="1:16">
      <c r="A1620" s="761" t="s">
        <v>2339</v>
      </c>
      <c r="B1620" s="761" t="s">
        <v>2340</v>
      </c>
      <c r="C1620" s="761" t="s">
        <v>2490</v>
      </c>
      <c r="D1620" s="761">
        <v>45895493</v>
      </c>
      <c r="E1620" s="761" t="s">
        <v>2972</v>
      </c>
      <c r="F1620" s="761">
        <v>143004596</v>
      </c>
      <c r="G1620" s="761" t="s">
        <v>3530</v>
      </c>
      <c r="H1620" s="761" t="s">
        <v>7705</v>
      </c>
      <c r="I1620" s="761" t="s">
        <v>6867</v>
      </c>
      <c r="J1620" s="761">
        <v>2</v>
      </c>
      <c r="K1620" s="746">
        <v>549.81000000000006</v>
      </c>
      <c r="L1620" s="746">
        <v>105.52</v>
      </c>
      <c r="M1620" s="746">
        <v>444.29</v>
      </c>
      <c r="N1620" s="493" t="str">
        <f t="shared" si="27"/>
        <v>C397</v>
      </c>
      <c r="O1620" s="493" t="s">
        <v>99</v>
      </c>
      <c r="P1620" s="493" t="s">
        <v>8005</v>
      </c>
    </row>
    <row r="1621" spans="1:16">
      <c r="A1621" s="761" t="s">
        <v>2339</v>
      </c>
      <c r="B1621" s="761" t="s">
        <v>2340</v>
      </c>
      <c r="C1621" s="761" t="s">
        <v>2473</v>
      </c>
      <c r="D1621" s="761">
        <v>45895496</v>
      </c>
      <c r="E1621" s="761" t="s">
        <v>2972</v>
      </c>
      <c r="F1621" s="761">
        <v>143004597</v>
      </c>
      <c r="G1621" s="761" t="s">
        <v>3531</v>
      </c>
      <c r="H1621" s="761" t="s">
        <v>7706</v>
      </c>
      <c r="I1621" s="761" t="s">
        <v>6867</v>
      </c>
      <c r="J1621" s="761">
        <v>2</v>
      </c>
      <c r="K1621" s="746">
        <v>549.31000000000006</v>
      </c>
      <c r="L1621" s="746">
        <v>105.42</v>
      </c>
      <c r="M1621" s="746">
        <v>443.89</v>
      </c>
      <c r="N1621" s="493" t="str">
        <f t="shared" si="27"/>
        <v>C397</v>
      </c>
      <c r="O1621" s="493" t="s">
        <v>99</v>
      </c>
      <c r="P1621" s="493" t="s">
        <v>8005</v>
      </c>
    </row>
    <row r="1622" spans="1:16">
      <c r="A1622" s="761" t="s">
        <v>2339</v>
      </c>
      <c r="B1622" s="761" t="s">
        <v>2340</v>
      </c>
      <c r="C1622" s="761" t="s">
        <v>2490</v>
      </c>
      <c r="D1622" s="761">
        <v>45895499</v>
      </c>
      <c r="E1622" s="761" t="s">
        <v>2972</v>
      </c>
      <c r="F1622" s="761">
        <v>143004598</v>
      </c>
      <c r="G1622" s="761" t="s">
        <v>3531</v>
      </c>
      <c r="H1622" s="761" t="s">
        <v>7706</v>
      </c>
      <c r="I1622" s="761" t="s">
        <v>6867</v>
      </c>
      <c r="J1622" s="761">
        <v>2</v>
      </c>
      <c r="K1622" s="746">
        <v>551.41</v>
      </c>
      <c r="L1622" s="746">
        <v>105.83</v>
      </c>
      <c r="M1622" s="746">
        <v>445.58</v>
      </c>
      <c r="N1622" s="493" t="str">
        <f t="shared" si="27"/>
        <v>C397</v>
      </c>
      <c r="O1622" s="493" t="s">
        <v>99</v>
      </c>
      <c r="P1622" s="493" t="s">
        <v>8005</v>
      </c>
    </row>
    <row r="1623" spans="1:16">
      <c r="A1623" s="761" t="s">
        <v>2339</v>
      </c>
      <c r="B1623" s="761" t="s">
        <v>2340</v>
      </c>
      <c r="C1623" s="761" t="s">
        <v>2512</v>
      </c>
      <c r="D1623" s="761">
        <v>46274064</v>
      </c>
      <c r="E1623" s="761" t="s">
        <v>2972</v>
      </c>
      <c r="F1623" s="761">
        <v>143005061</v>
      </c>
      <c r="G1623" s="761" t="s">
        <v>3557</v>
      </c>
      <c r="H1623" s="761" t="s">
        <v>7707</v>
      </c>
      <c r="I1623" s="761" t="s">
        <v>6867</v>
      </c>
      <c r="J1623" s="761">
        <v>2</v>
      </c>
      <c r="K1623" s="746">
        <v>10904.26</v>
      </c>
      <c r="L1623" s="746">
        <v>2092.73</v>
      </c>
      <c r="M1623" s="746">
        <v>8811.5300000000007</v>
      </c>
      <c r="N1623" s="493" t="str">
        <f t="shared" si="27"/>
        <v>C397</v>
      </c>
      <c r="O1623" s="493" t="s">
        <v>99</v>
      </c>
      <c r="P1623" s="493" t="s">
        <v>8005</v>
      </c>
    </row>
    <row r="1624" spans="1:16">
      <c r="A1624" s="761" t="s">
        <v>2339</v>
      </c>
      <c r="B1624" s="761" t="s">
        <v>2340</v>
      </c>
      <c r="C1624" s="761" t="s">
        <v>2512</v>
      </c>
      <c r="D1624" s="761">
        <v>46594737</v>
      </c>
      <c r="E1624" s="761" t="s">
        <v>2972</v>
      </c>
      <c r="F1624" s="761">
        <v>143004963</v>
      </c>
      <c r="G1624" s="761" t="s">
        <v>3549</v>
      </c>
      <c r="H1624" s="761" t="s">
        <v>3549</v>
      </c>
      <c r="I1624" s="761" t="s">
        <v>6867</v>
      </c>
      <c r="J1624" s="761">
        <v>2</v>
      </c>
      <c r="K1624" s="746">
        <v>22262.32</v>
      </c>
      <c r="L1624" s="746">
        <v>4272.5600000000004</v>
      </c>
      <c r="M1624" s="746">
        <v>17989.760000000002</v>
      </c>
      <c r="N1624" s="493" t="str">
        <f t="shared" si="27"/>
        <v>C397</v>
      </c>
      <c r="O1624" s="493" t="s">
        <v>99</v>
      </c>
      <c r="P1624" s="493" t="s">
        <v>8005</v>
      </c>
    </row>
    <row r="1625" spans="1:16">
      <c r="A1625" s="761" t="s">
        <v>2339</v>
      </c>
      <c r="B1625" s="761" t="s">
        <v>2340</v>
      </c>
      <c r="C1625" s="761" t="s">
        <v>2527</v>
      </c>
      <c r="D1625" s="761">
        <v>46806082</v>
      </c>
      <c r="E1625" s="761" t="s">
        <v>2972</v>
      </c>
      <c r="F1625" s="761">
        <v>143004521</v>
      </c>
      <c r="G1625" s="761" t="s">
        <v>3517</v>
      </c>
      <c r="H1625" s="761" t="s">
        <v>7708</v>
      </c>
      <c r="I1625" s="761" t="s">
        <v>6867</v>
      </c>
      <c r="J1625" s="761">
        <v>1</v>
      </c>
      <c r="K1625" s="746">
        <v>14045.75</v>
      </c>
      <c r="L1625" s="746">
        <v>2695.64</v>
      </c>
      <c r="M1625" s="746">
        <v>11350.11</v>
      </c>
      <c r="N1625" s="493" t="str">
        <f t="shared" si="27"/>
        <v>C397</v>
      </c>
      <c r="O1625" s="493" t="s">
        <v>99</v>
      </c>
      <c r="P1625" s="493" t="s">
        <v>8005</v>
      </c>
    </row>
    <row r="1626" spans="1:16">
      <c r="A1626" s="761" t="s">
        <v>2339</v>
      </c>
      <c r="B1626" s="761" t="s">
        <v>2340</v>
      </c>
      <c r="C1626" s="761" t="s">
        <v>2709</v>
      </c>
      <c r="D1626" s="761">
        <v>47398018</v>
      </c>
      <c r="E1626" s="761" t="s">
        <v>2972</v>
      </c>
      <c r="F1626" s="761">
        <v>143002681</v>
      </c>
      <c r="G1626" s="761" t="s">
        <v>3295</v>
      </c>
      <c r="H1626" s="761" t="s">
        <v>7709</v>
      </c>
      <c r="I1626" s="761" t="s">
        <v>6867</v>
      </c>
      <c r="J1626" s="761">
        <v>2</v>
      </c>
      <c r="K1626" s="746">
        <v>19661.52</v>
      </c>
      <c r="L1626" s="746">
        <v>3773.42</v>
      </c>
      <c r="M1626" s="746">
        <v>15888.1</v>
      </c>
      <c r="N1626" s="493" t="str">
        <f t="shared" si="27"/>
        <v>C397</v>
      </c>
      <c r="O1626" s="493" t="s">
        <v>99</v>
      </c>
      <c r="P1626" s="493" t="s">
        <v>8005</v>
      </c>
    </row>
    <row r="1627" spans="1:16">
      <c r="A1627" s="761" t="s">
        <v>2339</v>
      </c>
      <c r="B1627" s="761" t="s">
        <v>2340</v>
      </c>
      <c r="C1627" s="761" t="s">
        <v>2743</v>
      </c>
      <c r="D1627" s="761">
        <v>47398021</v>
      </c>
      <c r="E1627" s="761" t="s">
        <v>2972</v>
      </c>
      <c r="F1627" s="761">
        <v>143002682</v>
      </c>
      <c r="G1627" s="761" t="s">
        <v>3295</v>
      </c>
      <c r="H1627" s="761" t="s">
        <v>7709</v>
      </c>
      <c r="I1627" s="761" t="s">
        <v>6867</v>
      </c>
      <c r="J1627" s="761">
        <v>2</v>
      </c>
      <c r="K1627" s="746">
        <v>7773.1</v>
      </c>
      <c r="L1627" s="746">
        <v>1491.8</v>
      </c>
      <c r="M1627" s="746">
        <v>6281.3</v>
      </c>
      <c r="N1627" s="493" t="str">
        <f t="shared" si="27"/>
        <v>C397</v>
      </c>
      <c r="O1627" s="493" t="s">
        <v>99</v>
      </c>
      <c r="P1627" s="493" t="s">
        <v>8005</v>
      </c>
    </row>
    <row r="1628" spans="1:16">
      <c r="A1628" s="761" t="s">
        <v>2339</v>
      </c>
      <c r="B1628" s="761" t="s">
        <v>2340</v>
      </c>
      <c r="C1628" s="761" t="s">
        <v>2476</v>
      </c>
      <c r="D1628" s="761">
        <v>47398031</v>
      </c>
      <c r="E1628" s="761" t="s">
        <v>2972</v>
      </c>
      <c r="F1628" s="761">
        <v>143004599</v>
      </c>
      <c r="G1628" s="761" t="s">
        <v>3532</v>
      </c>
      <c r="H1628" s="761" t="s">
        <v>3532</v>
      </c>
      <c r="I1628" s="761" t="s">
        <v>6867</v>
      </c>
      <c r="J1628" s="761">
        <v>2</v>
      </c>
      <c r="K1628" s="746">
        <v>18785.510000000002</v>
      </c>
      <c r="L1628" s="746">
        <v>3605.29</v>
      </c>
      <c r="M1628" s="746">
        <v>15180.220000000001</v>
      </c>
      <c r="N1628" s="493" t="str">
        <f t="shared" si="27"/>
        <v>C397</v>
      </c>
      <c r="O1628" s="493" t="s">
        <v>99</v>
      </c>
      <c r="P1628" s="493" t="s">
        <v>8005</v>
      </c>
    </row>
    <row r="1629" spans="1:16">
      <c r="A1629" s="761" t="s">
        <v>2339</v>
      </c>
      <c r="B1629" s="761" t="s">
        <v>2340</v>
      </c>
      <c r="C1629" s="761" t="s">
        <v>2473</v>
      </c>
      <c r="D1629" s="761">
        <v>48746597</v>
      </c>
      <c r="E1629" s="761" t="s">
        <v>2972</v>
      </c>
      <c r="F1629" s="761">
        <v>143003583</v>
      </c>
      <c r="G1629" s="761" t="s">
        <v>3357</v>
      </c>
      <c r="H1629" s="761" t="s">
        <v>7710</v>
      </c>
      <c r="I1629" s="761" t="s">
        <v>6867</v>
      </c>
      <c r="J1629" s="761">
        <v>15</v>
      </c>
      <c r="K1629" s="746">
        <v>95727.69</v>
      </c>
      <c r="L1629" s="746">
        <v>18371.95</v>
      </c>
      <c r="M1629" s="746">
        <v>77355.740000000005</v>
      </c>
      <c r="N1629" s="493" t="str">
        <f t="shared" si="27"/>
        <v>C397</v>
      </c>
      <c r="O1629" s="493" t="s">
        <v>99</v>
      </c>
      <c r="P1629" s="493" t="s">
        <v>8005</v>
      </c>
    </row>
    <row r="1630" spans="1:16">
      <c r="A1630" s="761" t="s">
        <v>2339</v>
      </c>
      <c r="B1630" s="761" t="s">
        <v>2340</v>
      </c>
      <c r="C1630" s="761" t="s">
        <v>2473</v>
      </c>
      <c r="D1630" s="761">
        <v>48746608</v>
      </c>
      <c r="E1630" s="761" t="s">
        <v>2972</v>
      </c>
      <c r="F1630" s="761">
        <v>143004560</v>
      </c>
      <c r="G1630" s="761" t="s">
        <v>3518</v>
      </c>
      <c r="H1630" s="761" t="s">
        <v>3518</v>
      </c>
      <c r="I1630" s="761" t="s">
        <v>6867</v>
      </c>
      <c r="J1630" s="761">
        <v>2</v>
      </c>
      <c r="K1630" s="746">
        <v>16969.09</v>
      </c>
      <c r="L1630" s="746">
        <v>3256.69</v>
      </c>
      <c r="M1630" s="746">
        <v>13712.4</v>
      </c>
      <c r="N1630" s="493" t="str">
        <f t="shared" si="27"/>
        <v>C397</v>
      </c>
      <c r="O1630" s="493" t="s">
        <v>99</v>
      </c>
      <c r="P1630" s="493" t="s">
        <v>8005</v>
      </c>
    </row>
    <row r="1631" spans="1:16">
      <c r="A1631" s="761" t="s">
        <v>2339</v>
      </c>
      <c r="B1631" s="761" t="s">
        <v>2340</v>
      </c>
      <c r="C1631" s="761" t="s">
        <v>2476</v>
      </c>
      <c r="D1631" s="761">
        <v>48746623</v>
      </c>
      <c r="E1631" s="761" t="s">
        <v>2972</v>
      </c>
      <c r="F1631" s="761">
        <v>143004901</v>
      </c>
      <c r="G1631" s="761" t="s">
        <v>3541</v>
      </c>
      <c r="H1631" s="761" t="s">
        <v>3541</v>
      </c>
      <c r="I1631" s="761" t="s">
        <v>6867</v>
      </c>
      <c r="J1631" s="761">
        <v>3</v>
      </c>
      <c r="K1631" s="746">
        <v>41176.61</v>
      </c>
      <c r="L1631" s="746">
        <v>7902.5700000000006</v>
      </c>
      <c r="M1631" s="746">
        <v>33274.04</v>
      </c>
      <c r="N1631" s="493" t="str">
        <f t="shared" si="27"/>
        <v>C397</v>
      </c>
      <c r="O1631" s="493" t="s">
        <v>99</v>
      </c>
      <c r="P1631" s="493" t="s">
        <v>8005</v>
      </c>
    </row>
    <row r="1632" spans="1:16">
      <c r="A1632" s="761" t="s">
        <v>2339</v>
      </c>
      <c r="B1632" s="761" t="s">
        <v>2340</v>
      </c>
      <c r="C1632" s="761" t="s">
        <v>2473</v>
      </c>
      <c r="D1632" s="761">
        <v>48746630</v>
      </c>
      <c r="E1632" s="761" t="s">
        <v>2972</v>
      </c>
      <c r="F1632" s="761">
        <v>143004933</v>
      </c>
      <c r="G1632" s="761" t="s">
        <v>3546</v>
      </c>
      <c r="H1632" s="761" t="s">
        <v>3546</v>
      </c>
      <c r="I1632" s="761" t="s">
        <v>6867</v>
      </c>
      <c r="J1632" s="761">
        <v>2</v>
      </c>
      <c r="K1632" s="746">
        <v>42146.93</v>
      </c>
      <c r="L1632" s="746">
        <v>8088.79</v>
      </c>
      <c r="M1632" s="746">
        <v>34058.14</v>
      </c>
      <c r="N1632" s="493" t="str">
        <f t="shared" si="27"/>
        <v>C397</v>
      </c>
      <c r="O1632" s="493" t="s">
        <v>99</v>
      </c>
      <c r="P1632" s="493" t="s">
        <v>8005</v>
      </c>
    </row>
    <row r="1633" spans="1:16">
      <c r="A1633" s="761" t="s">
        <v>2339</v>
      </c>
      <c r="B1633" s="761" t="s">
        <v>2340</v>
      </c>
      <c r="C1633" s="761" t="s">
        <v>2527</v>
      </c>
      <c r="D1633" s="761">
        <v>48746635</v>
      </c>
      <c r="E1633" s="761" t="s">
        <v>2972</v>
      </c>
      <c r="F1633" s="761">
        <v>143004962</v>
      </c>
      <c r="G1633" s="761" t="s">
        <v>3548</v>
      </c>
      <c r="H1633" s="761" t="s">
        <v>3548</v>
      </c>
      <c r="I1633" s="761" t="s">
        <v>6867</v>
      </c>
      <c r="J1633" s="761">
        <v>2</v>
      </c>
      <c r="K1633" s="746">
        <v>39704.300000000003</v>
      </c>
      <c r="L1633" s="746">
        <v>7620</v>
      </c>
      <c r="M1633" s="746">
        <v>32084.3</v>
      </c>
      <c r="N1633" s="493" t="str">
        <f t="shared" si="27"/>
        <v>C397</v>
      </c>
      <c r="O1633" s="493" t="s">
        <v>99</v>
      </c>
      <c r="P1633" s="493" t="s">
        <v>8005</v>
      </c>
    </row>
    <row r="1634" spans="1:16">
      <c r="A1634" s="761" t="s">
        <v>2339</v>
      </c>
      <c r="B1634" s="761" t="s">
        <v>2340</v>
      </c>
      <c r="C1634" s="761" t="s">
        <v>2490</v>
      </c>
      <c r="D1634" s="761">
        <v>48746638</v>
      </c>
      <c r="E1634" s="761" t="s">
        <v>2972</v>
      </c>
      <c r="F1634" s="761">
        <v>143004965</v>
      </c>
      <c r="G1634" s="761" t="s">
        <v>3551</v>
      </c>
      <c r="H1634" s="761" t="s">
        <v>7711</v>
      </c>
      <c r="I1634" s="761" t="s">
        <v>6867</v>
      </c>
      <c r="J1634" s="761">
        <v>5</v>
      </c>
      <c r="K1634" s="746">
        <v>24036.37</v>
      </c>
      <c r="L1634" s="746">
        <v>4613.03</v>
      </c>
      <c r="M1634" s="746">
        <v>19423.34</v>
      </c>
      <c r="N1634" s="493" t="str">
        <f t="shared" si="27"/>
        <v>C397</v>
      </c>
      <c r="O1634" s="493" t="s">
        <v>99</v>
      </c>
      <c r="P1634" s="493" t="s">
        <v>8005</v>
      </c>
    </row>
    <row r="1635" spans="1:16">
      <c r="A1635" s="761" t="s">
        <v>2339</v>
      </c>
      <c r="B1635" s="761" t="s">
        <v>2340</v>
      </c>
      <c r="C1635" s="761" t="s">
        <v>2476</v>
      </c>
      <c r="D1635" s="761">
        <v>48746641</v>
      </c>
      <c r="E1635" s="761" t="s">
        <v>2972</v>
      </c>
      <c r="F1635" s="761">
        <v>143004966</v>
      </c>
      <c r="G1635" s="761" t="s">
        <v>3552</v>
      </c>
      <c r="H1635" s="761" t="s">
        <v>7712</v>
      </c>
      <c r="I1635" s="761" t="s">
        <v>6867</v>
      </c>
      <c r="J1635" s="761">
        <v>2</v>
      </c>
      <c r="K1635" s="746">
        <v>46337.43</v>
      </c>
      <c r="L1635" s="746">
        <v>8893.0300000000007</v>
      </c>
      <c r="M1635" s="746">
        <v>37444.400000000001</v>
      </c>
      <c r="N1635" s="493" t="str">
        <f t="shared" si="27"/>
        <v>C397</v>
      </c>
      <c r="O1635" s="493" t="s">
        <v>99</v>
      </c>
      <c r="P1635" s="493" t="s">
        <v>8005</v>
      </c>
    </row>
    <row r="1636" spans="1:16">
      <c r="A1636" s="761" t="s">
        <v>2339</v>
      </c>
      <c r="B1636" s="761" t="s">
        <v>2340</v>
      </c>
      <c r="C1636" s="761" t="s">
        <v>2490</v>
      </c>
      <c r="D1636" s="761">
        <v>48885111</v>
      </c>
      <c r="E1636" s="761" t="s">
        <v>2972</v>
      </c>
      <c r="F1636" s="761">
        <v>143004081</v>
      </c>
      <c r="G1636" s="761" t="s">
        <v>3483</v>
      </c>
      <c r="H1636" s="761" t="s">
        <v>3483</v>
      </c>
      <c r="I1636" s="761" t="s">
        <v>6867</v>
      </c>
      <c r="J1636" s="761">
        <v>2</v>
      </c>
      <c r="K1636" s="746">
        <v>41164.660000000003</v>
      </c>
      <c r="L1636" s="746">
        <v>7900.27</v>
      </c>
      <c r="M1636" s="746">
        <v>33264.39</v>
      </c>
      <c r="N1636" s="493" t="str">
        <f t="shared" si="27"/>
        <v>C397</v>
      </c>
      <c r="O1636" s="493" t="s">
        <v>99</v>
      </c>
      <c r="P1636" s="493" t="s">
        <v>8005</v>
      </c>
    </row>
    <row r="1637" spans="1:16">
      <c r="A1637" s="761" t="s">
        <v>2339</v>
      </c>
      <c r="B1637" s="761" t="s">
        <v>2340</v>
      </c>
      <c r="C1637" s="761" t="s">
        <v>2517</v>
      </c>
      <c r="D1637" s="761">
        <v>48885114</v>
      </c>
      <c r="E1637" s="761" t="s">
        <v>2972</v>
      </c>
      <c r="F1637" s="761">
        <v>143004563</v>
      </c>
      <c r="G1637" s="761" t="s">
        <v>3519</v>
      </c>
      <c r="H1637" s="761" t="s">
        <v>3519</v>
      </c>
      <c r="I1637" s="761" t="s">
        <v>6867</v>
      </c>
      <c r="J1637" s="761">
        <v>2</v>
      </c>
      <c r="K1637" s="746">
        <v>43108.54</v>
      </c>
      <c r="L1637" s="746">
        <v>8273.34</v>
      </c>
      <c r="M1637" s="746">
        <v>34835.199999999997</v>
      </c>
      <c r="N1637" s="493" t="str">
        <f t="shared" si="27"/>
        <v>C397</v>
      </c>
      <c r="O1637" s="493" t="s">
        <v>99</v>
      </c>
      <c r="P1637" s="493" t="s">
        <v>8005</v>
      </c>
    </row>
    <row r="1638" spans="1:16">
      <c r="A1638" s="761" t="s">
        <v>2339</v>
      </c>
      <c r="B1638" s="761" t="s">
        <v>2340</v>
      </c>
      <c r="C1638" s="761" t="s">
        <v>2596</v>
      </c>
      <c r="D1638" s="761">
        <v>48885117</v>
      </c>
      <c r="E1638" s="761" t="s">
        <v>2972</v>
      </c>
      <c r="F1638" s="761">
        <v>143004779</v>
      </c>
      <c r="G1638" s="761" t="s">
        <v>3538</v>
      </c>
      <c r="H1638" s="761" t="s">
        <v>3538</v>
      </c>
      <c r="I1638" s="761" t="s">
        <v>6867</v>
      </c>
      <c r="J1638" s="761">
        <v>2</v>
      </c>
      <c r="K1638" s="746">
        <v>12802.27</v>
      </c>
      <c r="L1638" s="746">
        <v>2457</v>
      </c>
      <c r="M1638" s="746">
        <v>10345.27</v>
      </c>
      <c r="N1638" s="493" t="str">
        <f t="shared" si="27"/>
        <v>C397</v>
      </c>
      <c r="O1638" s="493" t="s">
        <v>99</v>
      </c>
      <c r="P1638" s="493" t="s">
        <v>8005</v>
      </c>
    </row>
    <row r="1639" spans="1:16">
      <c r="A1639" s="761" t="s">
        <v>2339</v>
      </c>
      <c r="B1639" s="761" t="s">
        <v>2340</v>
      </c>
      <c r="C1639" s="761" t="s">
        <v>2527</v>
      </c>
      <c r="D1639" s="761">
        <v>49104457</v>
      </c>
      <c r="E1639" s="761" t="s">
        <v>2972</v>
      </c>
      <c r="F1639" s="761">
        <v>143003963</v>
      </c>
      <c r="G1639" s="761" t="s">
        <v>3451</v>
      </c>
      <c r="H1639" s="761" t="s">
        <v>3451</v>
      </c>
      <c r="I1639" s="761" t="s">
        <v>6867</v>
      </c>
      <c r="J1639" s="761">
        <v>1</v>
      </c>
      <c r="K1639" s="746">
        <v>18688.850000000002</v>
      </c>
      <c r="L1639" s="746">
        <v>3586.7400000000002</v>
      </c>
      <c r="M1639" s="746">
        <v>15102.11</v>
      </c>
      <c r="N1639" s="493" t="str">
        <f t="shared" si="27"/>
        <v>C397</v>
      </c>
      <c r="O1639" s="493" t="s">
        <v>99</v>
      </c>
      <c r="P1639" s="493" t="s">
        <v>8005</v>
      </c>
    </row>
    <row r="1640" spans="1:16">
      <c r="A1640" s="761" t="s">
        <v>2339</v>
      </c>
      <c r="B1640" s="761" t="s">
        <v>2340</v>
      </c>
      <c r="C1640" s="761" t="s">
        <v>2517</v>
      </c>
      <c r="D1640" s="761">
        <v>49104460</v>
      </c>
      <c r="E1640" s="761" t="s">
        <v>2972</v>
      </c>
      <c r="F1640" s="761">
        <v>143003964</v>
      </c>
      <c r="G1640" s="761" t="s">
        <v>3452</v>
      </c>
      <c r="H1640" s="761" t="s">
        <v>3452</v>
      </c>
      <c r="I1640" s="761" t="s">
        <v>6867</v>
      </c>
      <c r="J1640" s="761">
        <v>1</v>
      </c>
      <c r="K1640" s="746">
        <v>48.19</v>
      </c>
      <c r="L1640" s="746">
        <v>9.25</v>
      </c>
      <c r="M1640" s="746">
        <v>38.94</v>
      </c>
      <c r="N1640" s="493" t="str">
        <f t="shared" si="27"/>
        <v>C397</v>
      </c>
      <c r="O1640" s="493" t="s">
        <v>99</v>
      </c>
      <c r="P1640" s="493" t="s">
        <v>8005</v>
      </c>
    </row>
    <row r="1641" spans="1:16">
      <c r="A1641" s="761" t="s">
        <v>2339</v>
      </c>
      <c r="B1641" s="761" t="s">
        <v>2340</v>
      </c>
      <c r="C1641" s="761" t="s">
        <v>2517</v>
      </c>
      <c r="D1641" s="761">
        <v>49104463</v>
      </c>
      <c r="E1641" s="761" t="s">
        <v>2972</v>
      </c>
      <c r="F1641" s="761">
        <v>143003965</v>
      </c>
      <c r="G1641" s="761" t="s">
        <v>3453</v>
      </c>
      <c r="H1641" s="761" t="s">
        <v>3453</v>
      </c>
      <c r="I1641" s="761" t="s">
        <v>6867</v>
      </c>
      <c r="J1641" s="761">
        <v>1</v>
      </c>
      <c r="K1641" s="746">
        <v>228.77</v>
      </c>
      <c r="L1641" s="746">
        <v>43.910000000000004</v>
      </c>
      <c r="M1641" s="746">
        <v>184.86</v>
      </c>
      <c r="N1641" s="493" t="str">
        <f t="shared" si="27"/>
        <v>C397</v>
      </c>
      <c r="O1641" s="493" t="s">
        <v>99</v>
      </c>
      <c r="P1641" s="493" t="s">
        <v>8005</v>
      </c>
    </row>
    <row r="1642" spans="1:16">
      <c r="A1642" s="761" t="s">
        <v>2339</v>
      </c>
      <c r="B1642" s="761" t="s">
        <v>2340</v>
      </c>
      <c r="C1642" s="761" t="s">
        <v>2517</v>
      </c>
      <c r="D1642" s="761">
        <v>49104466</v>
      </c>
      <c r="E1642" s="761" t="s">
        <v>2972</v>
      </c>
      <c r="F1642" s="761">
        <v>143003967</v>
      </c>
      <c r="G1642" s="761" t="s">
        <v>3455</v>
      </c>
      <c r="H1642" s="761" t="s">
        <v>3455</v>
      </c>
      <c r="I1642" s="761" t="s">
        <v>6867</v>
      </c>
      <c r="J1642" s="761">
        <v>1</v>
      </c>
      <c r="K1642" s="746">
        <v>23881.040000000001</v>
      </c>
      <c r="L1642" s="746">
        <v>4583.22</v>
      </c>
      <c r="M1642" s="746">
        <v>19297.82</v>
      </c>
      <c r="N1642" s="493" t="str">
        <f t="shared" si="27"/>
        <v>C397</v>
      </c>
      <c r="O1642" s="493" t="s">
        <v>99</v>
      </c>
      <c r="P1642" s="493" t="s">
        <v>8005</v>
      </c>
    </row>
    <row r="1643" spans="1:16">
      <c r="A1643" s="761" t="s">
        <v>2339</v>
      </c>
      <c r="B1643" s="761" t="s">
        <v>2340</v>
      </c>
      <c r="C1643" s="761" t="s">
        <v>2517</v>
      </c>
      <c r="D1643" s="761">
        <v>49104469</v>
      </c>
      <c r="E1643" s="761" t="s">
        <v>2972</v>
      </c>
      <c r="F1643" s="761">
        <v>143003969</v>
      </c>
      <c r="G1643" s="761" t="s">
        <v>3457</v>
      </c>
      <c r="H1643" s="761" t="s">
        <v>3457</v>
      </c>
      <c r="I1643" s="761" t="s">
        <v>6867</v>
      </c>
      <c r="J1643" s="761">
        <v>1</v>
      </c>
      <c r="K1643" s="746">
        <v>17628.72</v>
      </c>
      <c r="L1643" s="746">
        <v>3383.28</v>
      </c>
      <c r="M1643" s="746">
        <v>14245.44</v>
      </c>
      <c r="N1643" s="493" t="str">
        <f t="shared" si="27"/>
        <v>C397</v>
      </c>
      <c r="O1643" s="493" t="s">
        <v>99</v>
      </c>
      <c r="P1643" s="493" t="s">
        <v>8005</v>
      </c>
    </row>
    <row r="1644" spans="1:16">
      <c r="A1644" s="761" t="s">
        <v>2339</v>
      </c>
      <c r="B1644" s="761" t="s">
        <v>2340</v>
      </c>
      <c r="C1644" s="761" t="s">
        <v>2517</v>
      </c>
      <c r="D1644" s="761">
        <v>49104472</v>
      </c>
      <c r="E1644" s="761" t="s">
        <v>2972</v>
      </c>
      <c r="F1644" s="761">
        <v>143003970</v>
      </c>
      <c r="G1644" s="761" t="s">
        <v>3458</v>
      </c>
      <c r="H1644" s="761" t="s">
        <v>3458</v>
      </c>
      <c r="I1644" s="761" t="s">
        <v>6867</v>
      </c>
      <c r="J1644" s="761">
        <v>1</v>
      </c>
      <c r="K1644" s="746">
        <v>236.06</v>
      </c>
      <c r="L1644" s="746">
        <v>45.300000000000004</v>
      </c>
      <c r="M1644" s="746">
        <v>190.76</v>
      </c>
      <c r="N1644" s="493" t="str">
        <f t="shared" si="27"/>
        <v>C397</v>
      </c>
      <c r="O1644" s="493" t="s">
        <v>99</v>
      </c>
      <c r="P1644" s="493" t="s">
        <v>8005</v>
      </c>
    </row>
    <row r="1645" spans="1:16">
      <c r="A1645" s="761" t="s">
        <v>2339</v>
      </c>
      <c r="B1645" s="761" t="s">
        <v>2340</v>
      </c>
      <c r="C1645" s="761" t="s">
        <v>2473</v>
      </c>
      <c r="D1645" s="761">
        <v>49104475</v>
      </c>
      <c r="E1645" s="761" t="s">
        <v>2972</v>
      </c>
      <c r="F1645" s="761">
        <v>143003973</v>
      </c>
      <c r="G1645" s="761" t="s">
        <v>3461</v>
      </c>
      <c r="H1645" s="761" t="s">
        <v>3461</v>
      </c>
      <c r="I1645" s="761" t="s">
        <v>6867</v>
      </c>
      <c r="J1645" s="761">
        <v>1</v>
      </c>
      <c r="K1645" s="746">
        <v>236.06</v>
      </c>
      <c r="L1645" s="746">
        <v>45.300000000000004</v>
      </c>
      <c r="M1645" s="746">
        <v>190.76</v>
      </c>
      <c r="N1645" s="493" t="str">
        <f t="shared" si="27"/>
        <v>C397</v>
      </c>
      <c r="O1645" s="493" t="s">
        <v>99</v>
      </c>
      <c r="P1645" s="493" t="s">
        <v>8005</v>
      </c>
    </row>
    <row r="1646" spans="1:16">
      <c r="A1646" s="761" t="s">
        <v>2339</v>
      </c>
      <c r="B1646" s="761" t="s">
        <v>2340</v>
      </c>
      <c r="C1646" s="761" t="s">
        <v>2490</v>
      </c>
      <c r="D1646" s="761">
        <v>49104478</v>
      </c>
      <c r="E1646" s="761" t="s">
        <v>2972</v>
      </c>
      <c r="F1646" s="761">
        <v>143003976</v>
      </c>
      <c r="G1646" s="761" t="s">
        <v>3463</v>
      </c>
      <c r="H1646" s="761" t="s">
        <v>3463</v>
      </c>
      <c r="I1646" s="761" t="s">
        <v>6867</v>
      </c>
      <c r="J1646" s="761">
        <v>1</v>
      </c>
      <c r="K1646" s="746">
        <v>648.45000000000005</v>
      </c>
      <c r="L1646" s="746">
        <v>124.45</v>
      </c>
      <c r="M1646" s="746">
        <v>524</v>
      </c>
      <c r="N1646" s="493" t="str">
        <f t="shared" si="27"/>
        <v>C397</v>
      </c>
      <c r="O1646" s="493" t="s">
        <v>99</v>
      </c>
      <c r="P1646" s="493" t="s">
        <v>8005</v>
      </c>
    </row>
    <row r="1647" spans="1:16">
      <c r="A1647" s="761" t="s">
        <v>2339</v>
      </c>
      <c r="B1647" s="761" t="s">
        <v>2340</v>
      </c>
      <c r="C1647" s="761" t="s">
        <v>2487</v>
      </c>
      <c r="D1647" s="761">
        <v>49828480</v>
      </c>
      <c r="E1647" s="761" t="s">
        <v>2972</v>
      </c>
      <c r="F1647" s="761">
        <v>143005666</v>
      </c>
      <c r="G1647" s="761" t="s">
        <v>3643</v>
      </c>
      <c r="H1647" s="761" t="s">
        <v>3643</v>
      </c>
      <c r="I1647" s="761" t="s">
        <v>6867</v>
      </c>
      <c r="J1647" s="761">
        <v>2</v>
      </c>
      <c r="K1647" s="746">
        <v>40294.270000000004</v>
      </c>
      <c r="L1647" s="746">
        <v>7733.2300000000005</v>
      </c>
      <c r="M1647" s="746">
        <v>32561.040000000001</v>
      </c>
      <c r="N1647" s="493" t="str">
        <f t="shared" si="27"/>
        <v>C397</v>
      </c>
      <c r="O1647" s="493" t="s">
        <v>99</v>
      </c>
      <c r="P1647" s="493" t="s">
        <v>8005</v>
      </c>
    </row>
    <row r="1648" spans="1:16">
      <c r="A1648" s="761" t="s">
        <v>2339</v>
      </c>
      <c r="B1648" s="761" t="s">
        <v>2340</v>
      </c>
      <c r="C1648" s="761" t="s">
        <v>2476</v>
      </c>
      <c r="D1648" s="761">
        <v>49828483</v>
      </c>
      <c r="E1648" s="761" t="s">
        <v>2972</v>
      </c>
      <c r="F1648" s="761">
        <v>143005667</v>
      </c>
      <c r="G1648" s="761" t="s">
        <v>3644</v>
      </c>
      <c r="H1648" s="761" t="s">
        <v>3644</v>
      </c>
      <c r="I1648" s="761" t="s">
        <v>6867</v>
      </c>
      <c r="J1648" s="761">
        <v>2</v>
      </c>
      <c r="K1648" s="746">
        <v>36472.239999999998</v>
      </c>
      <c r="L1648" s="746">
        <v>6999.71</v>
      </c>
      <c r="M1648" s="746">
        <v>29472.53</v>
      </c>
      <c r="N1648" s="493" t="str">
        <f t="shared" si="27"/>
        <v>C397</v>
      </c>
      <c r="O1648" s="493" t="s">
        <v>99</v>
      </c>
      <c r="P1648" s="493" t="s">
        <v>8005</v>
      </c>
    </row>
    <row r="1649" spans="1:16">
      <c r="A1649" s="761" t="s">
        <v>2339</v>
      </c>
      <c r="B1649" s="761" t="s">
        <v>2340</v>
      </c>
      <c r="C1649" s="761" t="s">
        <v>2512</v>
      </c>
      <c r="D1649" s="761">
        <v>50297703</v>
      </c>
      <c r="E1649" s="761" t="s">
        <v>2972</v>
      </c>
      <c r="F1649" s="761">
        <v>143003961</v>
      </c>
      <c r="G1649" s="761" t="s">
        <v>3449</v>
      </c>
      <c r="H1649" s="761" t="s">
        <v>3449</v>
      </c>
      <c r="I1649" s="761" t="s">
        <v>6867</v>
      </c>
      <c r="J1649" s="761">
        <v>1</v>
      </c>
      <c r="K1649" s="746">
        <v>21915.63</v>
      </c>
      <c r="L1649" s="746">
        <v>3149.26</v>
      </c>
      <c r="M1649" s="746">
        <v>18766.37</v>
      </c>
      <c r="N1649" s="493" t="str">
        <f t="shared" si="27"/>
        <v>C397</v>
      </c>
      <c r="O1649" s="493" t="s">
        <v>99</v>
      </c>
      <c r="P1649" s="493" t="s">
        <v>8005</v>
      </c>
    </row>
    <row r="1650" spans="1:16">
      <c r="A1650" s="761" t="s">
        <v>2339</v>
      </c>
      <c r="B1650" s="761" t="s">
        <v>2340</v>
      </c>
      <c r="C1650" s="761" t="s">
        <v>3134</v>
      </c>
      <c r="D1650" s="761">
        <v>50297706</v>
      </c>
      <c r="E1650" s="761" t="s">
        <v>2972</v>
      </c>
      <c r="F1650" s="761">
        <v>143003962</v>
      </c>
      <c r="G1650" s="761" t="s">
        <v>3450</v>
      </c>
      <c r="H1650" s="761" t="s">
        <v>3450</v>
      </c>
      <c r="I1650" s="761" t="s">
        <v>6867</v>
      </c>
      <c r="J1650" s="761">
        <v>1</v>
      </c>
      <c r="K1650" s="746">
        <v>3229.4900000000002</v>
      </c>
      <c r="L1650" s="746">
        <v>464.08</v>
      </c>
      <c r="M1650" s="746">
        <v>2765.41</v>
      </c>
      <c r="N1650" s="493" t="str">
        <f t="shared" si="27"/>
        <v>C397</v>
      </c>
      <c r="O1650" s="493" t="s">
        <v>99</v>
      </c>
      <c r="P1650" s="493" t="s">
        <v>8005</v>
      </c>
    </row>
    <row r="1651" spans="1:16">
      <c r="A1651" s="761" t="s">
        <v>2339</v>
      </c>
      <c r="B1651" s="761" t="s">
        <v>2340</v>
      </c>
      <c r="C1651" s="761" t="s">
        <v>2517</v>
      </c>
      <c r="D1651" s="761">
        <v>50297709</v>
      </c>
      <c r="E1651" s="761" t="s">
        <v>2972</v>
      </c>
      <c r="F1651" s="761">
        <v>143003966</v>
      </c>
      <c r="G1651" s="761" t="s">
        <v>3454</v>
      </c>
      <c r="H1651" s="761" t="s">
        <v>3454</v>
      </c>
      <c r="I1651" s="761" t="s">
        <v>6867</v>
      </c>
      <c r="J1651" s="761">
        <v>1</v>
      </c>
      <c r="K1651" s="746">
        <v>4899.88</v>
      </c>
      <c r="L1651" s="746">
        <v>704.11</v>
      </c>
      <c r="M1651" s="746">
        <v>4195.7700000000004</v>
      </c>
      <c r="N1651" s="493" t="str">
        <f t="shared" si="27"/>
        <v>C397</v>
      </c>
      <c r="O1651" s="493" t="s">
        <v>99</v>
      </c>
      <c r="P1651" s="493" t="s">
        <v>8005</v>
      </c>
    </row>
    <row r="1652" spans="1:16">
      <c r="A1652" s="761" t="s">
        <v>2339</v>
      </c>
      <c r="B1652" s="761" t="s">
        <v>2340</v>
      </c>
      <c r="C1652" s="761" t="s">
        <v>2517</v>
      </c>
      <c r="D1652" s="761">
        <v>50297715</v>
      </c>
      <c r="E1652" s="761" t="s">
        <v>2972</v>
      </c>
      <c r="F1652" s="761">
        <v>143003972</v>
      </c>
      <c r="G1652" s="761" t="s">
        <v>3460</v>
      </c>
      <c r="H1652" s="761" t="s">
        <v>3460</v>
      </c>
      <c r="I1652" s="761" t="s">
        <v>6867</v>
      </c>
      <c r="J1652" s="761">
        <v>1</v>
      </c>
      <c r="K1652" s="746">
        <v>20561.080000000002</v>
      </c>
      <c r="L1652" s="746">
        <v>2954.62</v>
      </c>
      <c r="M1652" s="746">
        <v>17606.46</v>
      </c>
      <c r="N1652" s="493" t="str">
        <f t="shared" si="27"/>
        <v>C397</v>
      </c>
      <c r="O1652" s="493" t="s">
        <v>99</v>
      </c>
      <c r="P1652" s="493" t="s">
        <v>8005</v>
      </c>
    </row>
    <row r="1653" spans="1:16">
      <c r="A1653" s="761" t="s">
        <v>2339</v>
      </c>
      <c r="B1653" s="761" t="s">
        <v>2340</v>
      </c>
      <c r="C1653" s="761" t="s">
        <v>2473</v>
      </c>
      <c r="D1653" s="761">
        <v>50297718</v>
      </c>
      <c r="E1653" s="761" t="s">
        <v>2972</v>
      </c>
      <c r="F1653" s="761">
        <v>143003974</v>
      </c>
      <c r="G1653" s="761" t="s">
        <v>3462</v>
      </c>
      <c r="H1653" s="761" t="s">
        <v>3462</v>
      </c>
      <c r="I1653" s="761" t="s">
        <v>6867</v>
      </c>
      <c r="J1653" s="761">
        <v>1</v>
      </c>
      <c r="K1653" s="746">
        <v>860.65</v>
      </c>
      <c r="L1653" s="746">
        <v>123.67</v>
      </c>
      <c r="M1653" s="746">
        <v>736.98</v>
      </c>
      <c r="N1653" s="493" t="str">
        <f t="shared" si="27"/>
        <v>C397</v>
      </c>
      <c r="O1653" s="493" t="s">
        <v>99</v>
      </c>
      <c r="P1653" s="493" t="s">
        <v>8005</v>
      </c>
    </row>
    <row r="1654" spans="1:16">
      <c r="A1654" s="761" t="s">
        <v>2339</v>
      </c>
      <c r="B1654" s="761" t="s">
        <v>2340</v>
      </c>
      <c r="C1654" s="761" t="s">
        <v>2596</v>
      </c>
      <c r="D1654" s="761">
        <v>50297721</v>
      </c>
      <c r="E1654" s="761" t="s">
        <v>2972</v>
      </c>
      <c r="F1654" s="761">
        <v>143004778</v>
      </c>
      <c r="G1654" s="761" t="s">
        <v>3537</v>
      </c>
      <c r="H1654" s="761" t="s">
        <v>3537</v>
      </c>
      <c r="I1654" s="761" t="s">
        <v>6867</v>
      </c>
      <c r="J1654" s="761">
        <v>2</v>
      </c>
      <c r="K1654" s="746">
        <v>14701.14</v>
      </c>
      <c r="L1654" s="746">
        <v>2112.5500000000002</v>
      </c>
      <c r="M1654" s="746">
        <v>12588.59</v>
      </c>
      <c r="N1654" s="493" t="str">
        <f t="shared" si="27"/>
        <v>C397</v>
      </c>
      <c r="O1654" s="493" t="s">
        <v>99</v>
      </c>
      <c r="P1654" s="493" t="s">
        <v>8005</v>
      </c>
    </row>
    <row r="1655" spans="1:16">
      <c r="A1655" s="761" t="s">
        <v>2339</v>
      </c>
      <c r="B1655" s="761" t="s">
        <v>2340</v>
      </c>
      <c r="C1655" s="761" t="s">
        <v>3306</v>
      </c>
      <c r="D1655" s="761">
        <v>50297724</v>
      </c>
      <c r="E1655" s="761" t="s">
        <v>2972</v>
      </c>
      <c r="F1655" s="761">
        <v>143004820</v>
      </c>
      <c r="G1655" s="761" t="s">
        <v>3539</v>
      </c>
      <c r="H1655" s="761" t="s">
        <v>3539</v>
      </c>
      <c r="I1655" s="761" t="s">
        <v>6867</v>
      </c>
      <c r="J1655" s="761">
        <v>2</v>
      </c>
      <c r="K1655" s="746">
        <v>2384.75</v>
      </c>
      <c r="L1655" s="746">
        <v>342.69</v>
      </c>
      <c r="M1655" s="746">
        <v>2042.06</v>
      </c>
      <c r="N1655" s="493" t="str">
        <f t="shared" si="27"/>
        <v>C397</v>
      </c>
      <c r="O1655" s="493" t="s">
        <v>99</v>
      </c>
      <c r="P1655" s="493" t="s">
        <v>8005</v>
      </c>
    </row>
    <row r="1656" spans="1:16">
      <c r="A1656" s="761" t="s">
        <v>2339</v>
      </c>
      <c r="B1656" s="761" t="s">
        <v>2340</v>
      </c>
      <c r="C1656" s="761" t="s">
        <v>2476</v>
      </c>
      <c r="D1656" s="761">
        <v>50297730</v>
      </c>
      <c r="E1656" s="761" t="s">
        <v>2972</v>
      </c>
      <c r="F1656" s="761">
        <v>143005208</v>
      </c>
      <c r="G1656" s="761" t="s">
        <v>3561</v>
      </c>
      <c r="H1656" s="761" t="s">
        <v>3561</v>
      </c>
      <c r="I1656" s="761" t="s">
        <v>6867</v>
      </c>
      <c r="J1656" s="761">
        <v>12</v>
      </c>
      <c r="K1656" s="746">
        <v>27032.850000000002</v>
      </c>
      <c r="L1656" s="746">
        <v>3884.61</v>
      </c>
      <c r="M1656" s="746">
        <v>23148.240000000002</v>
      </c>
      <c r="N1656" s="493" t="str">
        <f t="shared" si="27"/>
        <v>C397</v>
      </c>
      <c r="O1656" s="493" t="s">
        <v>99</v>
      </c>
      <c r="P1656" s="493" t="s">
        <v>8005</v>
      </c>
    </row>
    <row r="1657" spans="1:16">
      <c r="A1657" s="761" t="s">
        <v>2339</v>
      </c>
      <c r="B1657" s="761" t="s">
        <v>2340</v>
      </c>
      <c r="C1657" s="761" t="s">
        <v>2476</v>
      </c>
      <c r="D1657" s="761">
        <v>50297736</v>
      </c>
      <c r="E1657" s="761" t="s">
        <v>2972</v>
      </c>
      <c r="F1657" s="761">
        <v>143005308</v>
      </c>
      <c r="G1657" s="761" t="s">
        <v>3570</v>
      </c>
      <c r="H1657" s="761" t="s">
        <v>3570</v>
      </c>
      <c r="I1657" s="761" t="s">
        <v>6867</v>
      </c>
      <c r="J1657" s="761">
        <v>2</v>
      </c>
      <c r="K1657" s="746">
        <v>7244.38</v>
      </c>
      <c r="L1657" s="746">
        <v>1041.01</v>
      </c>
      <c r="M1657" s="746">
        <v>6203.37</v>
      </c>
      <c r="N1657" s="493" t="str">
        <f t="shared" si="27"/>
        <v>C397</v>
      </c>
      <c r="O1657" s="493" t="s">
        <v>99</v>
      </c>
      <c r="P1657" s="493" t="s">
        <v>8005</v>
      </c>
    </row>
    <row r="1658" spans="1:16">
      <c r="A1658" s="761" t="s">
        <v>2339</v>
      </c>
      <c r="B1658" s="761" t="s">
        <v>2340</v>
      </c>
      <c r="C1658" s="761" t="s">
        <v>2476</v>
      </c>
      <c r="D1658" s="761">
        <v>50297739</v>
      </c>
      <c r="E1658" s="761" t="s">
        <v>2972</v>
      </c>
      <c r="F1658" s="761">
        <v>143005309</v>
      </c>
      <c r="G1658" s="761" t="s">
        <v>3571</v>
      </c>
      <c r="H1658" s="761" t="s">
        <v>7713</v>
      </c>
      <c r="I1658" s="761" t="s">
        <v>6867</v>
      </c>
      <c r="J1658" s="761">
        <v>3</v>
      </c>
      <c r="K1658" s="746">
        <v>36488.300000000003</v>
      </c>
      <c r="L1658" s="746">
        <v>5243.35</v>
      </c>
      <c r="M1658" s="746">
        <v>31244.95</v>
      </c>
      <c r="N1658" s="493" t="str">
        <f t="shared" si="27"/>
        <v>C397</v>
      </c>
      <c r="O1658" s="493" t="s">
        <v>99</v>
      </c>
      <c r="P1658" s="493" t="s">
        <v>8005</v>
      </c>
    </row>
    <row r="1659" spans="1:16">
      <c r="A1659" s="761" t="s">
        <v>2339</v>
      </c>
      <c r="B1659" s="761" t="s">
        <v>2340</v>
      </c>
      <c r="C1659" s="761" t="s">
        <v>2476</v>
      </c>
      <c r="D1659" s="761">
        <v>50297747</v>
      </c>
      <c r="E1659" s="761" t="s">
        <v>2972</v>
      </c>
      <c r="F1659" s="761">
        <v>143005322</v>
      </c>
      <c r="G1659" s="761" t="s">
        <v>3575</v>
      </c>
      <c r="H1659" s="761" t="s">
        <v>3575</v>
      </c>
      <c r="I1659" s="761" t="s">
        <v>6867</v>
      </c>
      <c r="J1659" s="761">
        <v>2</v>
      </c>
      <c r="K1659" s="746">
        <v>1874.55</v>
      </c>
      <c r="L1659" s="746">
        <v>269.37</v>
      </c>
      <c r="M1659" s="746">
        <v>1605.18</v>
      </c>
      <c r="N1659" s="493" t="str">
        <f t="shared" si="27"/>
        <v>C397</v>
      </c>
      <c r="O1659" s="493" t="s">
        <v>99</v>
      </c>
      <c r="P1659" s="493" t="s">
        <v>8005</v>
      </c>
    </row>
    <row r="1660" spans="1:16">
      <c r="A1660" s="761" t="s">
        <v>2339</v>
      </c>
      <c r="B1660" s="761" t="s">
        <v>2340</v>
      </c>
      <c r="C1660" s="761" t="s">
        <v>2476</v>
      </c>
      <c r="D1660" s="761">
        <v>50297755</v>
      </c>
      <c r="E1660" s="761" t="s">
        <v>2972</v>
      </c>
      <c r="F1660" s="761">
        <v>143005335</v>
      </c>
      <c r="G1660" s="761" t="s">
        <v>3579</v>
      </c>
      <c r="H1660" s="761" t="s">
        <v>3579</v>
      </c>
      <c r="I1660" s="761" t="s">
        <v>6867</v>
      </c>
      <c r="J1660" s="761">
        <v>11</v>
      </c>
      <c r="K1660" s="746">
        <v>12906.42</v>
      </c>
      <c r="L1660" s="746">
        <v>1854.65</v>
      </c>
      <c r="M1660" s="746">
        <v>11051.77</v>
      </c>
      <c r="N1660" s="493" t="str">
        <f t="shared" si="27"/>
        <v>C397</v>
      </c>
      <c r="O1660" s="493" t="s">
        <v>99</v>
      </c>
      <c r="P1660" s="493" t="s">
        <v>8005</v>
      </c>
    </row>
    <row r="1661" spans="1:16">
      <c r="A1661" s="761" t="s">
        <v>2339</v>
      </c>
      <c r="B1661" s="761" t="s">
        <v>2340</v>
      </c>
      <c r="C1661" s="761" t="s">
        <v>2473</v>
      </c>
      <c r="D1661" s="761">
        <v>50297758</v>
      </c>
      <c r="E1661" s="761" t="s">
        <v>2972</v>
      </c>
      <c r="F1661" s="761">
        <v>143005336</v>
      </c>
      <c r="G1661" s="761" t="s">
        <v>3580</v>
      </c>
      <c r="H1661" s="761" t="s">
        <v>3580</v>
      </c>
      <c r="I1661" s="761" t="s">
        <v>6867</v>
      </c>
      <c r="J1661" s="761">
        <v>2</v>
      </c>
      <c r="K1661" s="746">
        <v>39396.400000000001</v>
      </c>
      <c r="L1661" s="746">
        <v>5661.24</v>
      </c>
      <c r="M1661" s="746">
        <v>33735.160000000003</v>
      </c>
      <c r="N1661" s="493" t="str">
        <f t="shared" si="27"/>
        <v>C397</v>
      </c>
      <c r="O1661" s="493" t="s">
        <v>99</v>
      </c>
      <c r="P1661" s="493" t="s">
        <v>8005</v>
      </c>
    </row>
    <row r="1662" spans="1:16">
      <c r="A1662" s="761" t="s">
        <v>2339</v>
      </c>
      <c r="B1662" s="761" t="s">
        <v>2340</v>
      </c>
      <c r="C1662" s="761" t="s">
        <v>2524</v>
      </c>
      <c r="D1662" s="761">
        <v>50297773</v>
      </c>
      <c r="E1662" s="761" t="s">
        <v>2972</v>
      </c>
      <c r="F1662" s="761">
        <v>143005582</v>
      </c>
      <c r="G1662" s="761" t="s">
        <v>3625</v>
      </c>
      <c r="H1662" s="761" t="s">
        <v>3625</v>
      </c>
      <c r="I1662" s="761" t="s">
        <v>6867</v>
      </c>
      <c r="J1662" s="761">
        <v>3</v>
      </c>
      <c r="K1662" s="746">
        <v>15281.02</v>
      </c>
      <c r="L1662" s="746">
        <v>2195.87</v>
      </c>
      <c r="M1662" s="746">
        <v>13085.15</v>
      </c>
      <c r="N1662" s="493" t="str">
        <f t="shared" si="27"/>
        <v>C397</v>
      </c>
      <c r="O1662" s="493" t="s">
        <v>99</v>
      </c>
      <c r="P1662" s="493" t="s">
        <v>8005</v>
      </c>
    </row>
    <row r="1663" spans="1:16">
      <c r="A1663" s="761" t="s">
        <v>2339</v>
      </c>
      <c r="B1663" s="761" t="s">
        <v>2340</v>
      </c>
      <c r="C1663" s="761" t="s">
        <v>2490</v>
      </c>
      <c r="D1663" s="761">
        <v>50463198</v>
      </c>
      <c r="E1663" s="761" t="s">
        <v>2972</v>
      </c>
      <c r="F1663" s="761">
        <v>143005440</v>
      </c>
      <c r="G1663" s="761" t="s">
        <v>3592</v>
      </c>
      <c r="H1663" s="761" t="s">
        <v>3592</v>
      </c>
      <c r="I1663" s="761" t="s">
        <v>6867</v>
      </c>
      <c r="J1663" s="761">
        <v>4</v>
      </c>
      <c r="K1663" s="746">
        <v>19993.670000000002</v>
      </c>
      <c r="L1663" s="746">
        <v>2873.08</v>
      </c>
      <c r="M1663" s="746">
        <v>17120.59</v>
      </c>
      <c r="N1663" s="493" t="str">
        <f t="shared" si="27"/>
        <v>C397</v>
      </c>
      <c r="O1663" s="493" t="s">
        <v>99</v>
      </c>
      <c r="P1663" s="493" t="s">
        <v>8005</v>
      </c>
    </row>
    <row r="1664" spans="1:16">
      <c r="A1664" s="761" t="s">
        <v>2339</v>
      </c>
      <c r="B1664" s="761" t="s">
        <v>2340</v>
      </c>
      <c r="C1664" s="761" t="s">
        <v>2542</v>
      </c>
      <c r="D1664" s="761">
        <v>53040032</v>
      </c>
      <c r="E1664" s="761" t="s">
        <v>2972</v>
      </c>
      <c r="F1664" s="761">
        <v>143003381</v>
      </c>
      <c r="G1664" s="761" t="s">
        <v>3329</v>
      </c>
      <c r="H1664" s="761" t="s">
        <v>3329</v>
      </c>
      <c r="I1664" s="761" t="s">
        <v>6867</v>
      </c>
      <c r="J1664" s="761">
        <v>0</v>
      </c>
      <c r="K1664" s="746">
        <v>171803.38</v>
      </c>
      <c r="L1664" s="746">
        <v>24688.05</v>
      </c>
      <c r="M1664" s="746">
        <v>147115.33000000002</v>
      </c>
      <c r="N1664" s="493" t="str">
        <f t="shared" si="27"/>
        <v>C397</v>
      </c>
      <c r="O1664" s="493" t="s">
        <v>99</v>
      </c>
      <c r="P1664" s="493" t="s">
        <v>8005</v>
      </c>
    </row>
    <row r="1665" spans="1:16">
      <c r="A1665" s="761" t="s">
        <v>2339</v>
      </c>
      <c r="B1665" s="761" t="s">
        <v>2340</v>
      </c>
      <c r="C1665" s="761" t="s">
        <v>2490</v>
      </c>
      <c r="D1665" s="761">
        <v>53040037</v>
      </c>
      <c r="E1665" s="761" t="s">
        <v>2972</v>
      </c>
      <c r="F1665" s="761">
        <v>143003910</v>
      </c>
      <c r="G1665" s="761" t="s">
        <v>3448</v>
      </c>
      <c r="H1665" s="761" t="s">
        <v>3448</v>
      </c>
      <c r="I1665" s="761" t="s">
        <v>6867</v>
      </c>
      <c r="J1665" s="761">
        <v>1</v>
      </c>
      <c r="K1665" s="746">
        <v>523271.15</v>
      </c>
      <c r="L1665" s="746">
        <v>75193.78</v>
      </c>
      <c r="M1665" s="746">
        <v>448077.37</v>
      </c>
      <c r="N1665" s="493" t="str">
        <f t="shared" si="27"/>
        <v>C397</v>
      </c>
      <c r="O1665" s="493" t="s">
        <v>99</v>
      </c>
      <c r="P1665" s="493" t="s">
        <v>8005</v>
      </c>
    </row>
    <row r="1666" spans="1:16">
      <c r="A1666" s="761" t="s">
        <v>2339</v>
      </c>
      <c r="B1666" s="761" t="s">
        <v>2340</v>
      </c>
      <c r="C1666" s="761" t="s">
        <v>2473</v>
      </c>
      <c r="D1666" s="761">
        <v>57971906</v>
      </c>
      <c r="E1666" s="761" t="s">
        <v>2972</v>
      </c>
      <c r="F1666" s="761">
        <v>143003971</v>
      </c>
      <c r="G1666" s="761" t="s">
        <v>3459</v>
      </c>
      <c r="H1666" s="761" t="s">
        <v>3459</v>
      </c>
      <c r="I1666" s="761" t="s">
        <v>6867</v>
      </c>
      <c r="J1666" s="761">
        <v>82</v>
      </c>
      <c r="K1666" s="746">
        <v>2687360.67</v>
      </c>
      <c r="L1666" s="746">
        <v>386172.28</v>
      </c>
      <c r="M1666" s="746">
        <v>2301188.39</v>
      </c>
      <c r="N1666" s="493" t="str">
        <f t="shared" si="27"/>
        <v>C397</v>
      </c>
      <c r="O1666" s="493" t="s">
        <v>99</v>
      </c>
      <c r="P1666" s="493" t="s">
        <v>8005</v>
      </c>
    </row>
    <row r="1667" spans="1:16">
      <c r="A1667" s="761" t="s">
        <v>2339</v>
      </c>
      <c r="B1667" s="761" t="s">
        <v>2340</v>
      </c>
      <c r="C1667" s="761" t="s">
        <v>2517</v>
      </c>
      <c r="D1667" s="761">
        <v>57971967</v>
      </c>
      <c r="E1667" s="761" t="s">
        <v>2972</v>
      </c>
      <c r="F1667" s="761">
        <v>143004903</v>
      </c>
      <c r="G1667" s="761" t="s">
        <v>3543</v>
      </c>
      <c r="H1667" s="761" t="s">
        <v>7714</v>
      </c>
      <c r="I1667" s="761" t="s">
        <v>6867</v>
      </c>
      <c r="J1667" s="761">
        <v>1</v>
      </c>
      <c r="K1667" s="746">
        <v>240523.23</v>
      </c>
      <c r="L1667" s="746">
        <v>34563.06</v>
      </c>
      <c r="M1667" s="746">
        <v>205960.17</v>
      </c>
      <c r="N1667" s="493" t="str">
        <f t="shared" si="27"/>
        <v>C397</v>
      </c>
      <c r="O1667" s="493" t="s">
        <v>99</v>
      </c>
      <c r="P1667" s="493" t="s">
        <v>8005</v>
      </c>
    </row>
    <row r="1668" spans="1:16">
      <c r="A1668" s="761" t="s">
        <v>2339</v>
      </c>
      <c r="B1668" s="761" t="s">
        <v>2340</v>
      </c>
      <c r="C1668" s="761" t="s">
        <v>2476</v>
      </c>
      <c r="D1668" s="761">
        <v>57971972</v>
      </c>
      <c r="E1668" s="761" t="s">
        <v>2972</v>
      </c>
      <c r="F1668" s="761">
        <v>143004904</v>
      </c>
      <c r="G1668" s="761" t="s">
        <v>2800</v>
      </c>
      <c r="H1668" s="761" t="s">
        <v>7715</v>
      </c>
      <c r="I1668" s="761" t="s">
        <v>6867</v>
      </c>
      <c r="J1668" s="761">
        <v>4</v>
      </c>
      <c r="K1668" s="746">
        <v>3107289.3</v>
      </c>
      <c r="L1668" s="746">
        <v>446515.79000000004</v>
      </c>
      <c r="M1668" s="746">
        <v>2660773.5099999998</v>
      </c>
      <c r="N1668" s="493" t="str">
        <f t="shared" si="27"/>
        <v>C397</v>
      </c>
      <c r="O1668" s="493" t="s">
        <v>99</v>
      </c>
      <c r="P1668" s="493" t="s">
        <v>8005</v>
      </c>
    </row>
    <row r="1669" spans="1:16">
      <c r="A1669" s="761" t="s">
        <v>2339</v>
      </c>
      <c r="B1669" s="761" t="s">
        <v>2340</v>
      </c>
      <c r="C1669" s="761" t="s">
        <v>2524</v>
      </c>
      <c r="D1669" s="761">
        <v>57971977</v>
      </c>
      <c r="E1669" s="761" t="s">
        <v>2972</v>
      </c>
      <c r="F1669" s="761">
        <v>143005257</v>
      </c>
      <c r="G1669" s="761" t="s">
        <v>3568</v>
      </c>
      <c r="H1669" s="761" t="s">
        <v>3568</v>
      </c>
      <c r="I1669" s="761" t="s">
        <v>6867</v>
      </c>
      <c r="J1669" s="761">
        <v>0</v>
      </c>
      <c r="K1669" s="746">
        <v>227229.49</v>
      </c>
      <c r="L1669" s="746">
        <v>32652.760000000002</v>
      </c>
      <c r="M1669" s="746">
        <v>194576.73</v>
      </c>
      <c r="N1669" s="493" t="str">
        <f t="shared" si="27"/>
        <v>C397</v>
      </c>
      <c r="O1669" s="493" t="s">
        <v>99</v>
      </c>
      <c r="P1669" s="493" t="s">
        <v>8005</v>
      </c>
    </row>
    <row r="1670" spans="1:16">
      <c r="A1670" s="761" t="s">
        <v>2339</v>
      </c>
      <c r="B1670" s="761" t="s">
        <v>2340</v>
      </c>
      <c r="C1670" s="761" t="s">
        <v>2596</v>
      </c>
      <c r="D1670" s="761">
        <v>57972004</v>
      </c>
      <c r="E1670" s="761" t="s">
        <v>2972</v>
      </c>
      <c r="F1670" s="761">
        <v>143005381</v>
      </c>
      <c r="G1670" s="761" t="s">
        <v>3581</v>
      </c>
      <c r="H1670" s="761" t="s">
        <v>3581</v>
      </c>
      <c r="I1670" s="761" t="s">
        <v>6867</v>
      </c>
      <c r="J1670" s="761">
        <v>0</v>
      </c>
      <c r="K1670" s="746">
        <v>79575.33</v>
      </c>
      <c r="L1670" s="746">
        <v>11434.93</v>
      </c>
      <c r="M1670" s="746">
        <v>68140.399999999994</v>
      </c>
      <c r="N1670" s="493" t="str">
        <f t="shared" si="27"/>
        <v>C397</v>
      </c>
      <c r="O1670" s="493" t="s">
        <v>99</v>
      </c>
      <c r="P1670" s="493" t="s">
        <v>8005</v>
      </c>
    </row>
    <row r="1671" spans="1:16">
      <c r="A1671" s="761" t="s">
        <v>2339</v>
      </c>
      <c r="B1671" s="761" t="s">
        <v>2340</v>
      </c>
      <c r="C1671" s="761" t="s">
        <v>2476</v>
      </c>
      <c r="D1671" s="761">
        <v>58136524</v>
      </c>
      <c r="E1671" s="761" t="s">
        <v>2972</v>
      </c>
      <c r="F1671" s="761">
        <v>143005310</v>
      </c>
      <c r="G1671" s="761" t="s">
        <v>3572</v>
      </c>
      <c r="H1671" s="761" t="s">
        <v>3572</v>
      </c>
      <c r="I1671" s="761" t="s">
        <v>6867</v>
      </c>
      <c r="J1671" s="761">
        <v>0</v>
      </c>
      <c r="K1671" s="746">
        <v>58843.93</v>
      </c>
      <c r="L1671" s="746">
        <v>8455.84</v>
      </c>
      <c r="M1671" s="746">
        <v>50388.090000000004</v>
      </c>
      <c r="N1671" s="493" t="str">
        <f t="shared" si="27"/>
        <v>C397</v>
      </c>
      <c r="O1671" s="493" t="s">
        <v>99</v>
      </c>
      <c r="P1671" s="493" t="s">
        <v>8005</v>
      </c>
    </row>
    <row r="1672" spans="1:16">
      <c r="A1672" s="761" t="s">
        <v>2339</v>
      </c>
      <c r="B1672" s="761" t="s">
        <v>2340</v>
      </c>
      <c r="C1672" s="761" t="s">
        <v>2476</v>
      </c>
      <c r="D1672" s="761">
        <v>58136529</v>
      </c>
      <c r="E1672" s="761" t="s">
        <v>2972</v>
      </c>
      <c r="F1672" s="761">
        <v>143005315</v>
      </c>
      <c r="G1672" s="761" t="s">
        <v>3574</v>
      </c>
      <c r="H1672" s="761" t="s">
        <v>7716</v>
      </c>
      <c r="I1672" s="761" t="s">
        <v>6867</v>
      </c>
      <c r="J1672" s="761">
        <v>0</v>
      </c>
      <c r="K1672" s="746">
        <v>73623.31</v>
      </c>
      <c r="L1672" s="746">
        <v>10579.630000000001</v>
      </c>
      <c r="M1672" s="746">
        <v>63043.68</v>
      </c>
      <c r="N1672" s="493" t="str">
        <f t="shared" si="27"/>
        <v>C397</v>
      </c>
      <c r="O1672" s="493" t="s">
        <v>99</v>
      </c>
      <c r="P1672" s="493" t="s">
        <v>8005</v>
      </c>
    </row>
    <row r="1673" spans="1:16">
      <c r="A1673" s="761" t="s">
        <v>2339</v>
      </c>
      <c r="B1673" s="761" t="s">
        <v>2340</v>
      </c>
      <c r="C1673" s="761" t="s">
        <v>2512</v>
      </c>
      <c r="D1673" s="761">
        <v>50794811</v>
      </c>
      <c r="E1673" s="761" t="s">
        <v>2972</v>
      </c>
      <c r="F1673" s="761">
        <v>143003554</v>
      </c>
      <c r="G1673" s="761" t="s">
        <v>3356</v>
      </c>
      <c r="H1673" s="761" t="s">
        <v>7717</v>
      </c>
      <c r="I1673" s="761" t="s">
        <v>6867</v>
      </c>
      <c r="J1673" s="761">
        <v>2</v>
      </c>
      <c r="K1673" s="746">
        <v>9.61</v>
      </c>
      <c r="L1673" s="746">
        <v>1.3800000000000001</v>
      </c>
      <c r="M1673" s="746">
        <v>8.23</v>
      </c>
      <c r="N1673" s="493" t="str">
        <f t="shared" si="27"/>
        <v>C397</v>
      </c>
      <c r="O1673" s="493" t="s">
        <v>99</v>
      </c>
      <c r="P1673" s="493" t="s">
        <v>8005</v>
      </c>
    </row>
    <row r="1674" spans="1:16">
      <c r="A1674" s="761" t="s">
        <v>2339</v>
      </c>
      <c r="B1674" s="761" t="s">
        <v>2340</v>
      </c>
      <c r="C1674" s="761" t="s">
        <v>2473</v>
      </c>
      <c r="D1674" s="761">
        <v>50794838</v>
      </c>
      <c r="E1674" s="761" t="s">
        <v>2972</v>
      </c>
      <c r="F1674" s="761">
        <v>143005640</v>
      </c>
      <c r="G1674" s="761" t="s">
        <v>3641</v>
      </c>
      <c r="H1674" s="761" t="s">
        <v>7718</v>
      </c>
      <c r="I1674" s="761" t="s">
        <v>6867</v>
      </c>
      <c r="J1674" s="761">
        <v>2</v>
      </c>
      <c r="K1674" s="746">
        <v>17081.14</v>
      </c>
      <c r="L1674" s="746">
        <v>2454.5500000000002</v>
      </c>
      <c r="M1674" s="746">
        <v>14626.59</v>
      </c>
      <c r="N1674" s="493" t="str">
        <f t="shared" si="27"/>
        <v>C397</v>
      </c>
      <c r="O1674" s="493" t="s">
        <v>99</v>
      </c>
      <c r="P1674" s="493" t="s">
        <v>8005</v>
      </c>
    </row>
    <row r="1675" spans="1:16">
      <c r="A1675" s="761" t="s">
        <v>2339</v>
      </c>
      <c r="B1675" s="761" t="s">
        <v>2340</v>
      </c>
      <c r="C1675" s="761" t="s">
        <v>2517</v>
      </c>
      <c r="D1675" s="761">
        <v>51353676</v>
      </c>
      <c r="E1675" s="761" t="s">
        <v>2972</v>
      </c>
      <c r="F1675" s="761">
        <v>143003968</v>
      </c>
      <c r="G1675" s="761" t="s">
        <v>3456</v>
      </c>
      <c r="H1675" s="761" t="s">
        <v>3456</v>
      </c>
      <c r="I1675" s="761" t="s">
        <v>6867</v>
      </c>
      <c r="J1675" s="761">
        <v>2</v>
      </c>
      <c r="K1675" s="746">
        <v>29607.83</v>
      </c>
      <c r="L1675" s="746">
        <v>5682.3</v>
      </c>
      <c r="M1675" s="746">
        <v>23925.53</v>
      </c>
      <c r="N1675" s="493" t="str">
        <f t="shared" si="27"/>
        <v>C397</v>
      </c>
      <c r="O1675" s="493" t="s">
        <v>99</v>
      </c>
      <c r="P1675" s="493" t="s">
        <v>8005</v>
      </c>
    </row>
    <row r="1676" spans="1:16">
      <c r="A1676" s="761" t="s">
        <v>2339</v>
      </c>
      <c r="B1676" s="761" t="s">
        <v>2340</v>
      </c>
      <c r="C1676" s="761" t="s">
        <v>2509</v>
      </c>
      <c r="D1676" s="761">
        <v>51353688</v>
      </c>
      <c r="E1676" s="761" t="s">
        <v>2972</v>
      </c>
      <c r="F1676" s="761">
        <v>143004753</v>
      </c>
      <c r="G1676" s="761" t="s">
        <v>3533</v>
      </c>
      <c r="H1676" s="761" t="s">
        <v>7719</v>
      </c>
      <c r="I1676" s="761" t="s">
        <v>6867</v>
      </c>
      <c r="J1676" s="761">
        <v>2</v>
      </c>
      <c r="K1676" s="746">
        <v>13990.99</v>
      </c>
      <c r="L1676" s="746">
        <v>2685.13</v>
      </c>
      <c r="M1676" s="746">
        <v>11305.86</v>
      </c>
      <c r="N1676" s="493" t="str">
        <f t="shared" si="27"/>
        <v>C397</v>
      </c>
      <c r="O1676" s="493" t="s">
        <v>99</v>
      </c>
      <c r="P1676" s="493" t="s">
        <v>8005</v>
      </c>
    </row>
    <row r="1677" spans="1:16">
      <c r="A1677" s="761" t="s">
        <v>2339</v>
      </c>
      <c r="B1677" s="761" t="s">
        <v>2340</v>
      </c>
      <c r="C1677" s="761" t="s">
        <v>2509</v>
      </c>
      <c r="D1677" s="761">
        <v>51817601</v>
      </c>
      <c r="E1677" s="761" t="s">
        <v>2972</v>
      </c>
      <c r="F1677" s="761">
        <v>143003196</v>
      </c>
      <c r="G1677" s="761" t="s">
        <v>3325</v>
      </c>
      <c r="H1677" s="761" t="s">
        <v>7720</v>
      </c>
      <c r="I1677" s="761" t="s">
        <v>6867</v>
      </c>
      <c r="J1677" s="761">
        <v>2</v>
      </c>
      <c r="K1677" s="746">
        <v>26492.670000000002</v>
      </c>
      <c r="L1677" s="746">
        <v>3806.98</v>
      </c>
      <c r="M1677" s="746">
        <v>22685.69</v>
      </c>
      <c r="N1677" s="493" t="str">
        <f t="shared" si="27"/>
        <v>C397</v>
      </c>
      <c r="O1677" s="493" t="s">
        <v>99</v>
      </c>
      <c r="P1677" s="493" t="s">
        <v>8005</v>
      </c>
    </row>
    <row r="1678" spans="1:16">
      <c r="A1678" s="761" t="s">
        <v>2339</v>
      </c>
      <c r="B1678" s="761" t="s">
        <v>2340</v>
      </c>
      <c r="C1678" s="761" t="s">
        <v>2524</v>
      </c>
      <c r="D1678" s="761">
        <v>51817604</v>
      </c>
      <c r="E1678" s="761" t="s">
        <v>2972</v>
      </c>
      <c r="F1678" s="761">
        <v>143003222</v>
      </c>
      <c r="G1678" s="761" t="s">
        <v>3326</v>
      </c>
      <c r="H1678" s="761" t="s">
        <v>7721</v>
      </c>
      <c r="I1678" s="761" t="s">
        <v>6867</v>
      </c>
      <c r="J1678" s="761">
        <v>2</v>
      </c>
      <c r="K1678" s="746">
        <v>39778.840000000004</v>
      </c>
      <c r="L1678" s="746">
        <v>5716.2</v>
      </c>
      <c r="M1678" s="746">
        <v>34062.639999999999</v>
      </c>
      <c r="N1678" s="493" t="str">
        <f t="shared" si="27"/>
        <v>C397</v>
      </c>
      <c r="O1678" s="493" t="s">
        <v>99</v>
      </c>
      <c r="P1678" s="493" t="s">
        <v>8005</v>
      </c>
    </row>
    <row r="1679" spans="1:16">
      <c r="A1679" s="761" t="s">
        <v>2339</v>
      </c>
      <c r="B1679" s="761" t="s">
        <v>2340</v>
      </c>
      <c r="C1679" s="761" t="s">
        <v>2542</v>
      </c>
      <c r="D1679" s="761">
        <v>51817607</v>
      </c>
      <c r="E1679" s="761" t="s">
        <v>2972</v>
      </c>
      <c r="F1679" s="761">
        <v>143003393</v>
      </c>
      <c r="G1679" s="761" t="s">
        <v>3334</v>
      </c>
      <c r="H1679" s="761" t="s">
        <v>7722</v>
      </c>
      <c r="I1679" s="761" t="s">
        <v>6867</v>
      </c>
      <c r="J1679" s="761">
        <v>2</v>
      </c>
      <c r="K1679" s="746">
        <v>6243.46</v>
      </c>
      <c r="L1679" s="746">
        <v>897.18000000000006</v>
      </c>
      <c r="M1679" s="746">
        <v>5346.28</v>
      </c>
      <c r="N1679" s="493" t="str">
        <f t="shared" si="27"/>
        <v>C397</v>
      </c>
      <c r="O1679" s="493" t="s">
        <v>99</v>
      </c>
      <c r="P1679" s="493" t="s">
        <v>8005</v>
      </c>
    </row>
    <row r="1680" spans="1:16">
      <c r="A1680" s="761" t="s">
        <v>2339</v>
      </c>
      <c r="B1680" s="761" t="s">
        <v>2340</v>
      </c>
      <c r="C1680" s="761" t="s">
        <v>2542</v>
      </c>
      <c r="D1680" s="761">
        <v>51817610</v>
      </c>
      <c r="E1680" s="761" t="s">
        <v>2972</v>
      </c>
      <c r="F1680" s="761">
        <v>143003397</v>
      </c>
      <c r="G1680" s="761" t="s">
        <v>3338</v>
      </c>
      <c r="H1680" s="761" t="s">
        <v>7723</v>
      </c>
      <c r="I1680" s="761" t="s">
        <v>6867</v>
      </c>
      <c r="J1680" s="761">
        <v>2</v>
      </c>
      <c r="K1680" s="746">
        <v>5191.45</v>
      </c>
      <c r="L1680" s="746">
        <v>746.01</v>
      </c>
      <c r="M1680" s="746">
        <v>4445.4400000000005</v>
      </c>
      <c r="N1680" s="493" t="str">
        <f t="shared" si="27"/>
        <v>C397</v>
      </c>
      <c r="O1680" s="493" t="s">
        <v>99</v>
      </c>
      <c r="P1680" s="493" t="s">
        <v>8005</v>
      </c>
    </row>
    <row r="1681" spans="1:16">
      <c r="A1681" s="761" t="s">
        <v>2339</v>
      </c>
      <c r="B1681" s="761" t="s">
        <v>2340</v>
      </c>
      <c r="C1681" s="761" t="s">
        <v>2509</v>
      </c>
      <c r="D1681" s="761">
        <v>51817613</v>
      </c>
      <c r="E1681" s="761" t="s">
        <v>2972</v>
      </c>
      <c r="F1681" s="761">
        <v>143003404</v>
      </c>
      <c r="G1681" s="761" t="s">
        <v>3345</v>
      </c>
      <c r="H1681" s="761" t="s">
        <v>7724</v>
      </c>
      <c r="I1681" s="761" t="s">
        <v>6867</v>
      </c>
      <c r="J1681" s="761">
        <v>2</v>
      </c>
      <c r="K1681" s="746">
        <v>8086.56</v>
      </c>
      <c r="L1681" s="746">
        <v>1162.03</v>
      </c>
      <c r="M1681" s="746">
        <v>6924.53</v>
      </c>
      <c r="N1681" s="493" t="str">
        <f t="shared" ref="N1681:N1744" si="28">LEFT(E1681,4)</f>
        <v>C397</v>
      </c>
      <c r="O1681" s="493" t="s">
        <v>99</v>
      </c>
      <c r="P1681" s="493" t="s">
        <v>8005</v>
      </c>
    </row>
    <row r="1682" spans="1:16">
      <c r="A1682" s="761" t="s">
        <v>2339</v>
      </c>
      <c r="B1682" s="761" t="s">
        <v>2340</v>
      </c>
      <c r="C1682" s="761" t="s">
        <v>2490</v>
      </c>
      <c r="D1682" s="761">
        <v>51942378</v>
      </c>
      <c r="E1682" s="761" t="s">
        <v>2972</v>
      </c>
      <c r="F1682" s="761">
        <v>143002594</v>
      </c>
      <c r="G1682" s="761" t="s">
        <v>3288</v>
      </c>
      <c r="H1682" s="761" t="s">
        <v>7725</v>
      </c>
      <c r="I1682" s="761" t="s">
        <v>6867</v>
      </c>
      <c r="J1682" s="761">
        <v>2</v>
      </c>
      <c r="K1682" s="746">
        <v>12649.15</v>
      </c>
      <c r="L1682" s="746">
        <v>1817.68</v>
      </c>
      <c r="M1682" s="746">
        <v>10831.47</v>
      </c>
      <c r="N1682" s="493" t="str">
        <f t="shared" si="28"/>
        <v>C397</v>
      </c>
      <c r="O1682" s="493" t="s">
        <v>99</v>
      </c>
      <c r="P1682" s="493" t="s">
        <v>8005</v>
      </c>
    </row>
    <row r="1683" spans="1:16">
      <c r="A1683" s="761" t="s">
        <v>2339</v>
      </c>
      <c r="B1683" s="761" t="s">
        <v>2340</v>
      </c>
      <c r="C1683" s="761" t="s">
        <v>2490</v>
      </c>
      <c r="D1683" s="761">
        <v>51942381</v>
      </c>
      <c r="E1683" s="761" t="s">
        <v>2972</v>
      </c>
      <c r="F1683" s="761">
        <v>143002596</v>
      </c>
      <c r="G1683" s="761" t="s">
        <v>3289</v>
      </c>
      <c r="H1683" s="761" t="s">
        <v>7726</v>
      </c>
      <c r="I1683" s="761" t="s">
        <v>6867</v>
      </c>
      <c r="J1683" s="761">
        <v>2</v>
      </c>
      <c r="K1683" s="746">
        <v>6663.79</v>
      </c>
      <c r="L1683" s="746">
        <v>957.58</v>
      </c>
      <c r="M1683" s="746">
        <v>5706.21</v>
      </c>
      <c r="N1683" s="493" t="str">
        <f t="shared" si="28"/>
        <v>C397</v>
      </c>
      <c r="O1683" s="493" t="s">
        <v>99</v>
      </c>
      <c r="P1683" s="493" t="s">
        <v>8005</v>
      </c>
    </row>
    <row r="1684" spans="1:16">
      <c r="A1684" s="761" t="s">
        <v>2339</v>
      </c>
      <c r="B1684" s="761" t="s">
        <v>2340</v>
      </c>
      <c r="C1684" s="761" t="s">
        <v>2473</v>
      </c>
      <c r="D1684" s="761">
        <v>51942384</v>
      </c>
      <c r="E1684" s="761" t="s">
        <v>2972</v>
      </c>
      <c r="F1684" s="761">
        <v>143002617</v>
      </c>
      <c r="G1684" s="761" t="s">
        <v>3291</v>
      </c>
      <c r="H1684" s="761" t="s">
        <v>3291</v>
      </c>
      <c r="I1684" s="761" t="s">
        <v>6867</v>
      </c>
      <c r="J1684" s="761">
        <v>2</v>
      </c>
      <c r="K1684" s="746">
        <v>12764.89</v>
      </c>
      <c r="L1684" s="746">
        <v>1834.31</v>
      </c>
      <c r="M1684" s="746">
        <v>10930.58</v>
      </c>
      <c r="N1684" s="493" t="str">
        <f t="shared" si="28"/>
        <v>C397</v>
      </c>
      <c r="O1684" s="493" t="s">
        <v>99</v>
      </c>
      <c r="P1684" s="493" t="s">
        <v>8005</v>
      </c>
    </row>
    <row r="1685" spans="1:16">
      <c r="A1685" s="761" t="s">
        <v>2339</v>
      </c>
      <c r="B1685" s="761" t="s">
        <v>2340</v>
      </c>
      <c r="C1685" s="761" t="s">
        <v>2476</v>
      </c>
      <c r="D1685" s="761">
        <v>51942387</v>
      </c>
      <c r="E1685" s="761" t="s">
        <v>2972</v>
      </c>
      <c r="F1685" s="761">
        <v>143002628</v>
      </c>
      <c r="G1685" s="761" t="s">
        <v>3293</v>
      </c>
      <c r="H1685" s="761" t="s">
        <v>3293</v>
      </c>
      <c r="I1685" s="761" t="s">
        <v>6867</v>
      </c>
      <c r="J1685" s="761">
        <v>3</v>
      </c>
      <c r="K1685" s="746">
        <v>24716.31</v>
      </c>
      <c r="L1685" s="746">
        <v>3551.7200000000003</v>
      </c>
      <c r="M1685" s="746">
        <v>21164.59</v>
      </c>
      <c r="N1685" s="493" t="str">
        <f t="shared" si="28"/>
        <v>C397</v>
      </c>
      <c r="O1685" s="493" t="s">
        <v>99</v>
      </c>
      <c r="P1685" s="493" t="s">
        <v>8005</v>
      </c>
    </row>
    <row r="1686" spans="1:16">
      <c r="A1686" s="761" t="s">
        <v>2339</v>
      </c>
      <c r="B1686" s="761" t="s">
        <v>2340</v>
      </c>
      <c r="C1686" s="761" t="s">
        <v>2476</v>
      </c>
      <c r="D1686" s="761">
        <v>51942390</v>
      </c>
      <c r="E1686" s="761" t="s">
        <v>2972</v>
      </c>
      <c r="F1686" s="761">
        <v>143002636</v>
      </c>
      <c r="G1686" s="761" t="s">
        <v>3294</v>
      </c>
      <c r="H1686" s="761" t="s">
        <v>7727</v>
      </c>
      <c r="I1686" s="761" t="s">
        <v>6867</v>
      </c>
      <c r="J1686" s="761">
        <v>2</v>
      </c>
      <c r="K1686" s="746">
        <v>6925.56</v>
      </c>
      <c r="L1686" s="746">
        <v>995.2</v>
      </c>
      <c r="M1686" s="746">
        <v>5930.36</v>
      </c>
      <c r="N1686" s="493" t="str">
        <f t="shared" si="28"/>
        <v>C397</v>
      </c>
      <c r="O1686" s="493" t="s">
        <v>99</v>
      </c>
      <c r="P1686" s="493" t="s">
        <v>8005</v>
      </c>
    </row>
    <row r="1687" spans="1:16">
      <c r="A1687" s="761" t="s">
        <v>2339</v>
      </c>
      <c r="B1687" s="761" t="s">
        <v>2340</v>
      </c>
      <c r="C1687" s="761" t="s">
        <v>2476</v>
      </c>
      <c r="D1687" s="761">
        <v>51942393</v>
      </c>
      <c r="E1687" s="761" t="s">
        <v>2972</v>
      </c>
      <c r="F1687" s="761">
        <v>143002688</v>
      </c>
      <c r="G1687" s="761" t="s">
        <v>3296</v>
      </c>
      <c r="H1687" s="761" t="s">
        <v>7728</v>
      </c>
      <c r="I1687" s="761" t="s">
        <v>6867</v>
      </c>
      <c r="J1687" s="761">
        <v>2</v>
      </c>
      <c r="K1687" s="746">
        <v>12920.970000000001</v>
      </c>
      <c r="L1687" s="746">
        <v>1856.74</v>
      </c>
      <c r="M1687" s="746">
        <v>11064.23</v>
      </c>
      <c r="N1687" s="493" t="str">
        <f t="shared" si="28"/>
        <v>C397</v>
      </c>
      <c r="O1687" s="493" t="s">
        <v>99</v>
      </c>
      <c r="P1687" s="493" t="s">
        <v>8005</v>
      </c>
    </row>
    <row r="1688" spans="1:16">
      <c r="A1688" s="761" t="s">
        <v>2339</v>
      </c>
      <c r="B1688" s="761" t="s">
        <v>2340</v>
      </c>
      <c r="C1688" s="761" t="s">
        <v>2473</v>
      </c>
      <c r="D1688" s="761">
        <v>51942396</v>
      </c>
      <c r="E1688" s="761" t="s">
        <v>2972</v>
      </c>
      <c r="F1688" s="761">
        <v>143002720</v>
      </c>
      <c r="G1688" s="761" t="s">
        <v>3297</v>
      </c>
      <c r="H1688" s="761" t="s">
        <v>3297</v>
      </c>
      <c r="I1688" s="761" t="s">
        <v>6867</v>
      </c>
      <c r="J1688" s="761">
        <v>3</v>
      </c>
      <c r="K1688" s="746">
        <v>14137.54</v>
      </c>
      <c r="L1688" s="746">
        <v>2031.56</v>
      </c>
      <c r="M1688" s="746">
        <v>12105.98</v>
      </c>
      <c r="N1688" s="493" t="str">
        <f t="shared" si="28"/>
        <v>C397</v>
      </c>
      <c r="O1688" s="493" t="s">
        <v>99</v>
      </c>
      <c r="P1688" s="493" t="s">
        <v>8005</v>
      </c>
    </row>
    <row r="1689" spans="1:16">
      <c r="A1689" s="761" t="s">
        <v>2339</v>
      </c>
      <c r="B1689" s="761" t="s">
        <v>2340</v>
      </c>
      <c r="C1689" s="761" t="s">
        <v>2487</v>
      </c>
      <c r="D1689" s="761">
        <v>51942399</v>
      </c>
      <c r="E1689" s="761" t="s">
        <v>2972</v>
      </c>
      <c r="F1689" s="761">
        <v>143002725</v>
      </c>
      <c r="G1689" s="761" t="s">
        <v>3299</v>
      </c>
      <c r="H1689" s="761" t="s">
        <v>3299</v>
      </c>
      <c r="I1689" s="761" t="s">
        <v>6867</v>
      </c>
      <c r="J1689" s="761">
        <v>2</v>
      </c>
      <c r="K1689" s="746">
        <v>7147.91</v>
      </c>
      <c r="L1689" s="746">
        <v>1027.1500000000001</v>
      </c>
      <c r="M1689" s="746">
        <v>6120.76</v>
      </c>
      <c r="N1689" s="493" t="str">
        <f t="shared" si="28"/>
        <v>C397</v>
      </c>
      <c r="O1689" s="493" t="s">
        <v>99</v>
      </c>
      <c r="P1689" s="493" t="s">
        <v>8005</v>
      </c>
    </row>
    <row r="1690" spans="1:16">
      <c r="A1690" s="761" t="s">
        <v>2339</v>
      </c>
      <c r="B1690" s="761" t="s">
        <v>2340</v>
      </c>
      <c r="C1690" s="761" t="s">
        <v>2527</v>
      </c>
      <c r="D1690" s="761">
        <v>51942402</v>
      </c>
      <c r="E1690" s="761" t="s">
        <v>2972</v>
      </c>
      <c r="F1690" s="761">
        <v>143002842</v>
      </c>
      <c r="G1690" s="761" t="s">
        <v>3301</v>
      </c>
      <c r="H1690" s="761" t="s">
        <v>3301</v>
      </c>
      <c r="I1690" s="761" t="s">
        <v>6867</v>
      </c>
      <c r="J1690" s="761">
        <v>2</v>
      </c>
      <c r="K1690" s="746">
        <v>38669.53</v>
      </c>
      <c r="L1690" s="746">
        <v>5556.79</v>
      </c>
      <c r="M1690" s="746">
        <v>33112.74</v>
      </c>
      <c r="N1690" s="493" t="str">
        <f t="shared" si="28"/>
        <v>C397</v>
      </c>
      <c r="O1690" s="493" t="s">
        <v>99</v>
      </c>
      <c r="P1690" s="493" t="s">
        <v>8005</v>
      </c>
    </row>
    <row r="1691" spans="1:16">
      <c r="A1691" s="761" t="s">
        <v>2339</v>
      </c>
      <c r="B1691" s="761" t="s">
        <v>2340</v>
      </c>
      <c r="C1691" s="761" t="s">
        <v>2524</v>
      </c>
      <c r="D1691" s="761">
        <v>51942408</v>
      </c>
      <c r="E1691" s="761" t="s">
        <v>2972</v>
      </c>
      <c r="F1691" s="761">
        <v>143003083</v>
      </c>
      <c r="G1691" s="761" t="s">
        <v>3312</v>
      </c>
      <c r="H1691" s="761" t="s">
        <v>3312</v>
      </c>
      <c r="I1691" s="761" t="s">
        <v>6867</v>
      </c>
      <c r="J1691" s="761">
        <v>2</v>
      </c>
      <c r="K1691" s="746">
        <v>27140.18</v>
      </c>
      <c r="L1691" s="746">
        <v>3900.03</v>
      </c>
      <c r="M1691" s="746">
        <v>23240.15</v>
      </c>
      <c r="N1691" s="493" t="str">
        <f t="shared" si="28"/>
        <v>C397</v>
      </c>
      <c r="O1691" s="493" t="s">
        <v>99</v>
      </c>
      <c r="P1691" s="493" t="s">
        <v>8005</v>
      </c>
    </row>
    <row r="1692" spans="1:16">
      <c r="A1692" s="761" t="s">
        <v>2339</v>
      </c>
      <c r="B1692" s="761" t="s">
        <v>2340</v>
      </c>
      <c r="C1692" s="761" t="s">
        <v>2517</v>
      </c>
      <c r="D1692" s="761">
        <v>51942411</v>
      </c>
      <c r="E1692" s="761" t="s">
        <v>2972</v>
      </c>
      <c r="F1692" s="761">
        <v>143003103</v>
      </c>
      <c r="G1692" s="761" t="s">
        <v>3317</v>
      </c>
      <c r="H1692" s="761" t="s">
        <v>7729</v>
      </c>
      <c r="I1692" s="761" t="s">
        <v>6867</v>
      </c>
      <c r="J1692" s="761">
        <v>2</v>
      </c>
      <c r="K1692" s="746">
        <v>6741.4400000000005</v>
      </c>
      <c r="L1692" s="746">
        <v>968.74</v>
      </c>
      <c r="M1692" s="746">
        <v>5772.7</v>
      </c>
      <c r="N1692" s="493" t="str">
        <f t="shared" si="28"/>
        <v>C397</v>
      </c>
      <c r="O1692" s="493" t="s">
        <v>99</v>
      </c>
      <c r="P1692" s="493" t="s">
        <v>8005</v>
      </c>
    </row>
    <row r="1693" spans="1:16">
      <c r="A1693" s="761" t="s">
        <v>2339</v>
      </c>
      <c r="B1693" s="761" t="s">
        <v>2340</v>
      </c>
      <c r="C1693" s="761" t="s">
        <v>2517</v>
      </c>
      <c r="D1693" s="761">
        <v>51942414</v>
      </c>
      <c r="E1693" s="761" t="s">
        <v>2972</v>
      </c>
      <c r="F1693" s="761">
        <v>143003105</v>
      </c>
      <c r="G1693" s="761" t="s">
        <v>3318</v>
      </c>
      <c r="H1693" s="761" t="s">
        <v>7730</v>
      </c>
      <c r="I1693" s="761" t="s">
        <v>6867</v>
      </c>
      <c r="J1693" s="761">
        <v>2</v>
      </c>
      <c r="K1693" s="746">
        <v>5842.8</v>
      </c>
      <c r="L1693" s="746">
        <v>839.61</v>
      </c>
      <c r="M1693" s="746">
        <v>5003.1900000000005</v>
      </c>
      <c r="N1693" s="493" t="str">
        <f t="shared" si="28"/>
        <v>C397</v>
      </c>
      <c r="O1693" s="493" t="s">
        <v>99</v>
      </c>
      <c r="P1693" s="493" t="s">
        <v>8005</v>
      </c>
    </row>
    <row r="1694" spans="1:16">
      <c r="A1694" s="761" t="s">
        <v>2339</v>
      </c>
      <c r="B1694" s="761" t="s">
        <v>2340</v>
      </c>
      <c r="C1694" s="761" t="s">
        <v>2476</v>
      </c>
      <c r="D1694" s="761">
        <v>51942417</v>
      </c>
      <c r="E1694" s="761" t="s">
        <v>2972</v>
      </c>
      <c r="F1694" s="761">
        <v>143003107</v>
      </c>
      <c r="G1694" s="761" t="s">
        <v>3320</v>
      </c>
      <c r="H1694" s="761" t="s">
        <v>7731</v>
      </c>
      <c r="I1694" s="761" t="s">
        <v>6867</v>
      </c>
      <c r="J1694" s="761">
        <v>2</v>
      </c>
      <c r="K1694" s="746">
        <v>5999.6500000000005</v>
      </c>
      <c r="L1694" s="746">
        <v>862.15</v>
      </c>
      <c r="M1694" s="746">
        <v>5137.5</v>
      </c>
      <c r="N1694" s="493" t="str">
        <f t="shared" si="28"/>
        <v>C397</v>
      </c>
      <c r="O1694" s="493" t="s">
        <v>99</v>
      </c>
      <c r="P1694" s="493" t="s">
        <v>8005</v>
      </c>
    </row>
    <row r="1695" spans="1:16">
      <c r="A1695" s="761" t="s">
        <v>2339</v>
      </c>
      <c r="B1695" s="761" t="s">
        <v>2340</v>
      </c>
      <c r="C1695" s="761" t="s">
        <v>2743</v>
      </c>
      <c r="D1695" s="761">
        <v>51942420</v>
      </c>
      <c r="E1695" s="761" t="s">
        <v>2972</v>
      </c>
      <c r="F1695" s="761">
        <v>143003109</v>
      </c>
      <c r="G1695" s="761" t="s">
        <v>3321</v>
      </c>
      <c r="H1695" s="761" t="s">
        <v>7732</v>
      </c>
      <c r="I1695" s="761" t="s">
        <v>6867</v>
      </c>
      <c r="J1695" s="761">
        <v>2</v>
      </c>
      <c r="K1695" s="746">
        <v>17577.350000000002</v>
      </c>
      <c r="L1695" s="746">
        <v>2525.86</v>
      </c>
      <c r="M1695" s="746">
        <v>15051.49</v>
      </c>
      <c r="N1695" s="493" t="str">
        <f t="shared" si="28"/>
        <v>C397</v>
      </c>
      <c r="O1695" s="493" t="s">
        <v>99</v>
      </c>
      <c r="P1695" s="493" t="s">
        <v>8005</v>
      </c>
    </row>
    <row r="1696" spans="1:16">
      <c r="A1696" s="761" t="s">
        <v>2339</v>
      </c>
      <c r="B1696" s="761" t="s">
        <v>2340</v>
      </c>
      <c r="C1696" s="761" t="s">
        <v>2542</v>
      </c>
      <c r="D1696" s="761">
        <v>51942426</v>
      </c>
      <c r="E1696" s="761" t="s">
        <v>2972</v>
      </c>
      <c r="F1696" s="761">
        <v>143003383</v>
      </c>
      <c r="G1696" s="761" t="s">
        <v>3331</v>
      </c>
      <c r="H1696" s="761" t="s">
        <v>7733</v>
      </c>
      <c r="I1696" s="761" t="s">
        <v>6867</v>
      </c>
      <c r="J1696" s="761">
        <v>2</v>
      </c>
      <c r="K1696" s="746">
        <v>5645.77</v>
      </c>
      <c r="L1696" s="746">
        <v>811.29</v>
      </c>
      <c r="M1696" s="746">
        <v>4834.4800000000005</v>
      </c>
      <c r="N1696" s="493" t="str">
        <f t="shared" si="28"/>
        <v>C397</v>
      </c>
      <c r="O1696" s="493" t="s">
        <v>99</v>
      </c>
      <c r="P1696" s="493" t="s">
        <v>8005</v>
      </c>
    </row>
    <row r="1697" spans="1:16">
      <c r="A1697" s="761" t="s">
        <v>2339</v>
      </c>
      <c r="B1697" s="761" t="s">
        <v>2340</v>
      </c>
      <c r="C1697" s="761" t="s">
        <v>2542</v>
      </c>
      <c r="D1697" s="761">
        <v>51942429</v>
      </c>
      <c r="E1697" s="761" t="s">
        <v>2972</v>
      </c>
      <c r="F1697" s="761">
        <v>143003392</v>
      </c>
      <c r="G1697" s="761" t="s">
        <v>3333</v>
      </c>
      <c r="H1697" s="761" t="s">
        <v>7734</v>
      </c>
      <c r="I1697" s="761" t="s">
        <v>6867</v>
      </c>
      <c r="J1697" s="761">
        <v>2</v>
      </c>
      <c r="K1697" s="746">
        <v>5328.7300000000005</v>
      </c>
      <c r="L1697" s="746">
        <v>765.74</v>
      </c>
      <c r="M1697" s="746">
        <v>4562.99</v>
      </c>
      <c r="N1697" s="493" t="str">
        <f t="shared" si="28"/>
        <v>C397</v>
      </c>
      <c r="O1697" s="493" t="s">
        <v>99</v>
      </c>
      <c r="P1697" s="493" t="s">
        <v>8005</v>
      </c>
    </row>
    <row r="1698" spans="1:16">
      <c r="A1698" s="761" t="s">
        <v>2339</v>
      </c>
      <c r="B1698" s="761" t="s">
        <v>2340</v>
      </c>
      <c r="C1698" s="761" t="s">
        <v>2542</v>
      </c>
      <c r="D1698" s="761">
        <v>51942432</v>
      </c>
      <c r="E1698" s="761" t="s">
        <v>2972</v>
      </c>
      <c r="F1698" s="761">
        <v>143003395</v>
      </c>
      <c r="G1698" s="761" t="s">
        <v>3336</v>
      </c>
      <c r="H1698" s="761" t="s">
        <v>7735</v>
      </c>
      <c r="I1698" s="761" t="s">
        <v>6867</v>
      </c>
      <c r="J1698" s="761">
        <v>2</v>
      </c>
      <c r="K1698" s="746">
        <v>5328.74</v>
      </c>
      <c r="L1698" s="746">
        <v>765.74</v>
      </c>
      <c r="M1698" s="746">
        <v>4563</v>
      </c>
      <c r="N1698" s="493" t="str">
        <f t="shared" si="28"/>
        <v>C397</v>
      </c>
      <c r="O1698" s="493" t="s">
        <v>99</v>
      </c>
      <c r="P1698" s="493" t="s">
        <v>8005</v>
      </c>
    </row>
    <row r="1699" spans="1:16">
      <c r="A1699" s="761" t="s">
        <v>2339</v>
      </c>
      <c r="B1699" s="761" t="s">
        <v>2340</v>
      </c>
      <c r="C1699" s="761" t="s">
        <v>2542</v>
      </c>
      <c r="D1699" s="761">
        <v>51942435</v>
      </c>
      <c r="E1699" s="761" t="s">
        <v>2972</v>
      </c>
      <c r="F1699" s="761">
        <v>143003396</v>
      </c>
      <c r="G1699" s="761" t="s">
        <v>3337</v>
      </c>
      <c r="H1699" s="761" t="s">
        <v>7736</v>
      </c>
      <c r="I1699" s="761" t="s">
        <v>6867</v>
      </c>
      <c r="J1699" s="761">
        <v>2</v>
      </c>
      <c r="K1699" s="746">
        <v>5328.74</v>
      </c>
      <c r="L1699" s="746">
        <v>765.74</v>
      </c>
      <c r="M1699" s="746">
        <v>4563</v>
      </c>
      <c r="N1699" s="493" t="str">
        <f t="shared" si="28"/>
        <v>C397</v>
      </c>
      <c r="O1699" s="493" t="s">
        <v>99</v>
      </c>
      <c r="P1699" s="493" t="s">
        <v>8005</v>
      </c>
    </row>
    <row r="1700" spans="1:16">
      <c r="A1700" s="761" t="s">
        <v>2339</v>
      </c>
      <c r="B1700" s="761" t="s">
        <v>2340</v>
      </c>
      <c r="C1700" s="761" t="s">
        <v>2542</v>
      </c>
      <c r="D1700" s="761">
        <v>51942438</v>
      </c>
      <c r="E1700" s="761" t="s">
        <v>2972</v>
      </c>
      <c r="F1700" s="761">
        <v>143003398</v>
      </c>
      <c r="G1700" s="761" t="s">
        <v>3339</v>
      </c>
      <c r="H1700" s="761" t="s">
        <v>7737</v>
      </c>
      <c r="I1700" s="761" t="s">
        <v>6867</v>
      </c>
      <c r="J1700" s="761">
        <v>2</v>
      </c>
      <c r="K1700" s="746">
        <v>5381.29</v>
      </c>
      <c r="L1700" s="746">
        <v>773.29</v>
      </c>
      <c r="M1700" s="746">
        <v>4608</v>
      </c>
      <c r="N1700" s="493" t="str">
        <f t="shared" si="28"/>
        <v>C397</v>
      </c>
      <c r="O1700" s="493" t="s">
        <v>99</v>
      </c>
      <c r="P1700" s="493" t="s">
        <v>8005</v>
      </c>
    </row>
    <row r="1701" spans="1:16">
      <c r="A1701" s="761" t="s">
        <v>2339</v>
      </c>
      <c r="B1701" s="761" t="s">
        <v>2340</v>
      </c>
      <c r="C1701" s="761" t="s">
        <v>2476</v>
      </c>
      <c r="D1701" s="761">
        <v>51942441</v>
      </c>
      <c r="E1701" s="761" t="s">
        <v>2972</v>
      </c>
      <c r="F1701" s="761">
        <v>143003399</v>
      </c>
      <c r="G1701" s="761" t="s">
        <v>3340</v>
      </c>
      <c r="H1701" s="761" t="s">
        <v>7738</v>
      </c>
      <c r="I1701" s="761" t="s">
        <v>6867</v>
      </c>
      <c r="J1701" s="761">
        <v>2</v>
      </c>
      <c r="K1701" s="746">
        <v>4864.93</v>
      </c>
      <c r="L1701" s="746">
        <v>699.09</v>
      </c>
      <c r="M1701" s="746">
        <v>4165.84</v>
      </c>
      <c r="N1701" s="493" t="str">
        <f t="shared" si="28"/>
        <v>C397</v>
      </c>
      <c r="O1701" s="493" t="s">
        <v>99</v>
      </c>
      <c r="P1701" s="493" t="s">
        <v>8005</v>
      </c>
    </row>
    <row r="1702" spans="1:16">
      <c r="A1702" s="761" t="s">
        <v>2339</v>
      </c>
      <c r="B1702" s="761" t="s">
        <v>2340</v>
      </c>
      <c r="C1702" s="761" t="s">
        <v>2509</v>
      </c>
      <c r="D1702" s="761">
        <v>51942444</v>
      </c>
      <c r="E1702" s="761" t="s">
        <v>2972</v>
      </c>
      <c r="F1702" s="761">
        <v>143003400</v>
      </c>
      <c r="G1702" s="761" t="s">
        <v>3341</v>
      </c>
      <c r="H1702" s="761" t="s">
        <v>7739</v>
      </c>
      <c r="I1702" s="761" t="s">
        <v>6867</v>
      </c>
      <c r="J1702" s="761">
        <v>2</v>
      </c>
      <c r="K1702" s="746">
        <v>7722.08</v>
      </c>
      <c r="L1702" s="746">
        <v>1109.6600000000001</v>
      </c>
      <c r="M1702" s="746">
        <v>6612.42</v>
      </c>
      <c r="N1702" s="493" t="str">
        <f t="shared" si="28"/>
        <v>C397</v>
      </c>
      <c r="O1702" s="493" t="s">
        <v>99</v>
      </c>
      <c r="P1702" s="493" t="s">
        <v>8005</v>
      </c>
    </row>
    <row r="1703" spans="1:16">
      <c r="A1703" s="761" t="s">
        <v>2339</v>
      </c>
      <c r="B1703" s="761" t="s">
        <v>2340</v>
      </c>
      <c r="C1703" s="761" t="s">
        <v>2476</v>
      </c>
      <c r="D1703" s="761">
        <v>51942447</v>
      </c>
      <c r="E1703" s="761" t="s">
        <v>2972</v>
      </c>
      <c r="F1703" s="761">
        <v>143003401</v>
      </c>
      <c r="G1703" s="761" t="s">
        <v>3342</v>
      </c>
      <c r="H1703" s="761" t="s">
        <v>7740</v>
      </c>
      <c r="I1703" s="761" t="s">
        <v>6867</v>
      </c>
      <c r="J1703" s="761">
        <v>2</v>
      </c>
      <c r="K1703" s="746">
        <v>9069.64</v>
      </c>
      <c r="L1703" s="746">
        <v>1303.3</v>
      </c>
      <c r="M1703" s="746">
        <v>7766.34</v>
      </c>
      <c r="N1703" s="493" t="str">
        <f t="shared" si="28"/>
        <v>C397</v>
      </c>
      <c r="O1703" s="493" t="s">
        <v>99</v>
      </c>
      <c r="P1703" s="493" t="s">
        <v>8005</v>
      </c>
    </row>
    <row r="1704" spans="1:16">
      <c r="A1704" s="761" t="s">
        <v>2339</v>
      </c>
      <c r="B1704" s="761" t="s">
        <v>2340</v>
      </c>
      <c r="C1704" s="761" t="s">
        <v>2542</v>
      </c>
      <c r="D1704" s="761">
        <v>51942450</v>
      </c>
      <c r="E1704" s="761" t="s">
        <v>2972</v>
      </c>
      <c r="F1704" s="761">
        <v>143003402</v>
      </c>
      <c r="G1704" s="761" t="s">
        <v>3343</v>
      </c>
      <c r="H1704" s="761" t="s">
        <v>7741</v>
      </c>
      <c r="I1704" s="761" t="s">
        <v>6867</v>
      </c>
      <c r="J1704" s="761">
        <v>2</v>
      </c>
      <c r="K1704" s="746">
        <v>5328.74</v>
      </c>
      <c r="L1704" s="746">
        <v>765.74</v>
      </c>
      <c r="M1704" s="746">
        <v>4563</v>
      </c>
      <c r="N1704" s="493" t="str">
        <f t="shared" si="28"/>
        <v>C397</v>
      </c>
      <c r="O1704" s="493" t="s">
        <v>99</v>
      </c>
      <c r="P1704" s="493" t="s">
        <v>8005</v>
      </c>
    </row>
    <row r="1705" spans="1:16">
      <c r="A1705" s="761" t="s">
        <v>2339</v>
      </c>
      <c r="B1705" s="761" t="s">
        <v>2340</v>
      </c>
      <c r="C1705" s="761" t="s">
        <v>2542</v>
      </c>
      <c r="D1705" s="761">
        <v>51942453</v>
      </c>
      <c r="E1705" s="761" t="s">
        <v>2972</v>
      </c>
      <c r="F1705" s="761">
        <v>143003403</v>
      </c>
      <c r="G1705" s="761" t="s">
        <v>3344</v>
      </c>
      <c r="H1705" s="761" t="s">
        <v>7742</v>
      </c>
      <c r="I1705" s="761" t="s">
        <v>6867</v>
      </c>
      <c r="J1705" s="761">
        <v>2</v>
      </c>
      <c r="K1705" s="746">
        <v>5191.46</v>
      </c>
      <c r="L1705" s="746">
        <v>746.01</v>
      </c>
      <c r="M1705" s="746">
        <v>4445.45</v>
      </c>
      <c r="N1705" s="493" t="str">
        <f t="shared" si="28"/>
        <v>C397</v>
      </c>
      <c r="O1705" s="493" t="s">
        <v>99</v>
      </c>
      <c r="P1705" s="493" t="s">
        <v>8005</v>
      </c>
    </row>
    <row r="1706" spans="1:16">
      <c r="A1706" s="761" t="s">
        <v>2339</v>
      </c>
      <c r="B1706" s="761" t="s">
        <v>2340</v>
      </c>
      <c r="C1706" s="761" t="s">
        <v>2509</v>
      </c>
      <c r="D1706" s="761">
        <v>51942456</v>
      </c>
      <c r="E1706" s="761" t="s">
        <v>2972</v>
      </c>
      <c r="F1706" s="761">
        <v>143003405</v>
      </c>
      <c r="G1706" s="761" t="s">
        <v>3346</v>
      </c>
      <c r="H1706" s="761" t="s">
        <v>7743</v>
      </c>
      <c r="I1706" s="761" t="s">
        <v>6867</v>
      </c>
      <c r="J1706" s="761">
        <v>2</v>
      </c>
      <c r="K1706" s="746">
        <v>6626.06</v>
      </c>
      <c r="L1706" s="746">
        <v>952.16</v>
      </c>
      <c r="M1706" s="746">
        <v>5673.9000000000005</v>
      </c>
      <c r="N1706" s="493" t="str">
        <f t="shared" si="28"/>
        <v>C397</v>
      </c>
      <c r="O1706" s="493" t="s">
        <v>99</v>
      </c>
      <c r="P1706" s="493" t="s">
        <v>8005</v>
      </c>
    </row>
    <row r="1707" spans="1:16">
      <c r="A1707" s="761" t="s">
        <v>2339</v>
      </c>
      <c r="B1707" s="761" t="s">
        <v>2340</v>
      </c>
      <c r="C1707" s="761" t="s">
        <v>2524</v>
      </c>
      <c r="D1707" s="761">
        <v>51942459</v>
      </c>
      <c r="E1707" s="761" t="s">
        <v>2972</v>
      </c>
      <c r="F1707" s="761">
        <v>143003588</v>
      </c>
      <c r="G1707" s="761" t="s">
        <v>3359</v>
      </c>
      <c r="H1707" s="761" t="s">
        <v>7744</v>
      </c>
      <c r="I1707" s="761" t="s">
        <v>6867</v>
      </c>
      <c r="J1707" s="761">
        <v>2</v>
      </c>
      <c r="K1707" s="746">
        <v>13624.81</v>
      </c>
      <c r="L1707" s="746">
        <v>1957.88</v>
      </c>
      <c r="M1707" s="746">
        <v>11666.93</v>
      </c>
      <c r="N1707" s="493" t="str">
        <f t="shared" si="28"/>
        <v>C397</v>
      </c>
      <c r="O1707" s="493" t="s">
        <v>99</v>
      </c>
      <c r="P1707" s="493" t="s">
        <v>8005</v>
      </c>
    </row>
    <row r="1708" spans="1:16">
      <c r="A1708" s="761" t="s">
        <v>2339</v>
      </c>
      <c r="B1708" s="761" t="s">
        <v>2340</v>
      </c>
      <c r="C1708" s="761" t="s">
        <v>2524</v>
      </c>
      <c r="D1708" s="761">
        <v>51942462</v>
      </c>
      <c r="E1708" s="761" t="s">
        <v>2972</v>
      </c>
      <c r="F1708" s="761">
        <v>143003590</v>
      </c>
      <c r="G1708" s="761" t="s">
        <v>3361</v>
      </c>
      <c r="H1708" s="761" t="s">
        <v>3361</v>
      </c>
      <c r="I1708" s="761" t="s">
        <v>6867</v>
      </c>
      <c r="J1708" s="761">
        <v>2</v>
      </c>
      <c r="K1708" s="746">
        <v>13409.62</v>
      </c>
      <c r="L1708" s="746">
        <v>1926.96</v>
      </c>
      <c r="M1708" s="746">
        <v>11482.66</v>
      </c>
      <c r="N1708" s="493" t="str">
        <f t="shared" si="28"/>
        <v>C397</v>
      </c>
      <c r="O1708" s="493" t="s">
        <v>99</v>
      </c>
      <c r="P1708" s="493" t="s">
        <v>8005</v>
      </c>
    </row>
    <row r="1709" spans="1:16">
      <c r="A1709" s="761" t="s">
        <v>2339</v>
      </c>
      <c r="B1709" s="761" t="s">
        <v>2340</v>
      </c>
      <c r="C1709" s="761" t="s">
        <v>2524</v>
      </c>
      <c r="D1709" s="761">
        <v>51942465</v>
      </c>
      <c r="E1709" s="761" t="s">
        <v>2972</v>
      </c>
      <c r="F1709" s="761">
        <v>143003592</v>
      </c>
      <c r="G1709" s="761" t="s">
        <v>3362</v>
      </c>
      <c r="H1709" s="761" t="s">
        <v>3362</v>
      </c>
      <c r="I1709" s="761" t="s">
        <v>6867</v>
      </c>
      <c r="J1709" s="761">
        <v>2</v>
      </c>
      <c r="K1709" s="746">
        <v>12804.380000000001</v>
      </c>
      <c r="L1709" s="746">
        <v>1839.98</v>
      </c>
      <c r="M1709" s="746">
        <v>10964.4</v>
      </c>
      <c r="N1709" s="493" t="str">
        <f t="shared" si="28"/>
        <v>C397</v>
      </c>
      <c r="O1709" s="493" t="s">
        <v>99</v>
      </c>
      <c r="P1709" s="493" t="s">
        <v>8005</v>
      </c>
    </row>
    <row r="1710" spans="1:16">
      <c r="A1710" s="761" t="s">
        <v>2339</v>
      </c>
      <c r="B1710" s="761" t="s">
        <v>2340</v>
      </c>
      <c r="C1710" s="761" t="s">
        <v>2524</v>
      </c>
      <c r="D1710" s="761">
        <v>51942468</v>
      </c>
      <c r="E1710" s="761" t="s">
        <v>2972</v>
      </c>
      <c r="F1710" s="761">
        <v>143003594</v>
      </c>
      <c r="G1710" s="761" t="s">
        <v>3364</v>
      </c>
      <c r="H1710" s="761" t="s">
        <v>7745</v>
      </c>
      <c r="I1710" s="761" t="s">
        <v>6867</v>
      </c>
      <c r="J1710" s="761">
        <v>2</v>
      </c>
      <c r="K1710" s="746">
        <v>5104.37</v>
      </c>
      <c r="L1710" s="746">
        <v>733.5</v>
      </c>
      <c r="M1710" s="746">
        <v>4370.87</v>
      </c>
      <c r="N1710" s="493" t="str">
        <f t="shared" si="28"/>
        <v>C397</v>
      </c>
      <c r="O1710" s="493" t="s">
        <v>99</v>
      </c>
      <c r="P1710" s="493" t="s">
        <v>8005</v>
      </c>
    </row>
    <row r="1711" spans="1:16">
      <c r="A1711" s="761" t="s">
        <v>2339</v>
      </c>
      <c r="B1711" s="761" t="s">
        <v>2340</v>
      </c>
      <c r="C1711" s="761" t="s">
        <v>2509</v>
      </c>
      <c r="D1711" s="761">
        <v>51942471</v>
      </c>
      <c r="E1711" s="761" t="s">
        <v>2972</v>
      </c>
      <c r="F1711" s="761">
        <v>143003621</v>
      </c>
      <c r="G1711" s="761" t="s">
        <v>3365</v>
      </c>
      <c r="H1711" s="761" t="s">
        <v>7746</v>
      </c>
      <c r="I1711" s="761" t="s">
        <v>6867</v>
      </c>
      <c r="J1711" s="761">
        <v>2</v>
      </c>
      <c r="K1711" s="746">
        <v>6864.57</v>
      </c>
      <c r="L1711" s="746">
        <v>986.44</v>
      </c>
      <c r="M1711" s="746">
        <v>5878.13</v>
      </c>
      <c r="N1711" s="493" t="str">
        <f t="shared" si="28"/>
        <v>C397</v>
      </c>
      <c r="O1711" s="493" t="s">
        <v>99</v>
      </c>
      <c r="P1711" s="493" t="s">
        <v>8005</v>
      </c>
    </row>
    <row r="1712" spans="1:16">
      <c r="A1712" s="761" t="s">
        <v>2339</v>
      </c>
      <c r="B1712" s="761" t="s">
        <v>2340</v>
      </c>
      <c r="C1712" s="761" t="s">
        <v>2509</v>
      </c>
      <c r="D1712" s="761">
        <v>51942474</v>
      </c>
      <c r="E1712" s="761" t="s">
        <v>2972</v>
      </c>
      <c r="F1712" s="761">
        <v>143003622</v>
      </c>
      <c r="G1712" s="761" t="s">
        <v>3366</v>
      </c>
      <c r="H1712" s="761" t="s">
        <v>7747</v>
      </c>
      <c r="I1712" s="761" t="s">
        <v>6867</v>
      </c>
      <c r="J1712" s="761">
        <v>2</v>
      </c>
      <c r="K1712" s="746">
        <v>14398.09</v>
      </c>
      <c r="L1712" s="746">
        <v>2069</v>
      </c>
      <c r="M1712" s="746">
        <v>12329.09</v>
      </c>
      <c r="N1712" s="493" t="str">
        <f t="shared" si="28"/>
        <v>C397</v>
      </c>
      <c r="O1712" s="493" t="s">
        <v>99</v>
      </c>
      <c r="P1712" s="493" t="s">
        <v>8005</v>
      </c>
    </row>
    <row r="1713" spans="1:16">
      <c r="A1713" s="761" t="s">
        <v>2339</v>
      </c>
      <c r="B1713" s="761" t="s">
        <v>2340</v>
      </c>
      <c r="C1713" s="761" t="s">
        <v>2524</v>
      </c>
      <c r="D1713" s="761">
        <v>51942480</v>
      </c>
      <c r="E1713" s="761" t="s">
        <v>2972</v>
      </c>
      <c r="F1713" s="761">
        <v>143003641</v>
      </c>
      <c r="G1713" s="761" t="s">
        <v>3367</v>
      </c>
      <c r="H1713" s="761" t="s">
        <v>7748</v>
      </c>
      <c r="I1713" s="761" t="s">
        <v>6867</v>
      </c>
      <c r="J1713" s="761">
        <v>2</v>
      </c>
      <c r="K1713" s="746">
        <v>13300.82</v>
      </c>
      <c r="L1713" s="746">
        <v>1911.32</v>
      </c>
      <c r="M1713" s="746">
        <v>11389.5</v>
      </c>
      <c r="N1713" s="493" t="str">
        <f t="shared" si="28"/>
        <v>C397</v>
      </c>
      <c r="O1713" s="493" t="s">
        <v>99</v>
      </c>
      <c r="P1713" s="493" t="s">
        <v>8005</v>
      </c>
    </row>
    <row r="1714" spans="1:16">
      <c r="A1714" s="761" t="s">
        <v>2339</v>
      </c>
      <c r="B1714" s="761" t="s">
        <v>2340</v>
      </c>
      <c r="C1714" s="761" t="s">
        <v>2524</v>
      </c>
      <c r="D1714" s="761">
        <v>51942483</v>
      </c>
      <c r="E1714" s="761" t="s">
        <v>2972</v>
      </c>
      <c r="F1714" s="761">
        <v>143003642</v>
      </c>
      <c r="G1714" s="761" t="s">
        <v>3368</v>
      </c>
      <c r="H1714" s="761" t="s">
        <v>7749</v>
      </c>
      <c r="I1714" s="761" t="s">
        <v>6867</v>
      </c>
      <c r="J1714" s="761">
        <v>2</v>
      </c>
      <c r="K1714" s="746">
        <v>6152.22</v>
      </c>
      <c r="L1714" s="746">
        <v>884.07</v>
      </c>
      <c r="M1714" s="746">
        <v>5268.1500000000005</v>
      </c>
      <c r="N1714" s="493" t="str">
        <f t="shared" si="28"/>
        <v>C397</v>
      </c>
      <c r="O1714" s="493" t="s">
        <v>99</v>
      </c>
      <c r="P1714" s="493" t="s">
        <v>8005</v>
      </c>
    </row>
    <row r="1715" spans="1:16">
      <c r="A1715" s="761" t="s">
        <v>2339</v>
      </c>
      <c r="B1715" s="761" t="s">
        <v>2340</v>
      </c>
      <c r="C1715" s="761" t="s">
        <v>2509</v>
      </c>
      <c r="D1715" s="761">
        <v>51942486</v>
      </c>
      <c r="E1715" s="761" t="s">
        <v>2972</v>
      </c>
      <c r="F1715" s="761">
        <v>143003644</v>
      </c>
      <c r="G1715" s="761" t="s">
        <v>3369</v>
      </c>
      <c r="H1715" s="761" t="s">
        <v>3369</v>
      </c>
      <c r="I1715" s="761" t="s">
        <v>6867</v>
      </c>
      <c r="J1715" s="761">
        <v>2</v>
      </c>
      <c r="K1715" s="746">
        <v>5911.87</v>
      </c>
      <c r="L1715" s="746">
        <v>849.53</v>
      </c>
      <c r="M1715" s="746">
        <v>5062.34</v>
      </c>
      <c r="N1715" s="493" t="str">
        <f t="shared" si="28"/>
        <v>C397</v>
      </c>
      <c r="O1715" s="493" t="s">
        <v>99</v>
      </c>
      <c r="P1715" s="493" t="s">
        <v>8005</v>
      </c>
    </row>
    <row r="1716" spans="1:16">
      <c r="A1716" s="761" t="s">
        <v>2339</v>
      </c>
      <c r="B1716" s="761" t="s">
        <v>2340</v>
      </c>
      <c r="C1716" s="761" t="s">
        <v>2524</v>
      </c>
      <c r="D1716" s="761">
        <v>51942489</v>
      </c>
      <c r="E1716" s="761" t="s">
        <v>2972</v>
      </c>
      <c r="F1716" s="761">
        <v>143003645</v>
      </c>
      <c r="G1716" s="761" t="s">
        <v>3370</v>
      </c>
      <c r="H1716" s="761" t="s">
        <v>7750</v>
      </c>
      <c r="I1716" s="761" t="s">
        <v>6867</v>
      </c>
      <c r="J1716" s="761">
        <v>2</v>
      </c>
      <c r="K1716" s="746">
        <v>6166.32</v>
      </c>
      <c r="L1716" s="746">
        <v>886.1</v>
      </c>
      <c r="M1716" s="746">
        <v>5280.22</v>
      </c>
      <c r="N1716" s="493" t="str">
        <f t="shared" si="28"/>
        <v>C397</v>
      </c>
      <c r="O1716" s="493" t="s">
        <v>99</v>
      </c>
      <c r="P1716" s="493" t="s">
        <v>8005</v>
      </c>
    </row>
    <row r="1717" spans="1:16">
      <c r="A1717" s="761" t="s">
        <v>2339</v>
      </c>
      <c r="B1717" s="761" t="s">
        <v>2340</v>
      </c>
      <c r="C1717" s="761" t="s">
        <v>2524</v>
      </c>
      <c r="D1717" s="761">
        <v>51942492</v>
      </c>
      <c r="E1717" s="761" t="s">
        <v>2972</v>
      </c>
      <c r="F1717" s="761">
        <v>143003649</v>
      </c>
      <c r="G1717" s="761" t="s">
        <v>3372</v>
      </c>
      <c r="H1717" s="761" t="s">
        <v>7751</v>
      </c>
      <c r="I1717" s="761" t="s">
        <v>6867</v>
      </c>
      <c r="J1717" s="761">
        <v>2</v>
      </c>
      <c r="K1717" s="746">
        <v>6674.76</v>
      </c>
      <c r="L1717" s="746">
        <v>959.16</v>
      </c>
      <c r="M1717" s="746">
        <v>5715.6</v>
      </c>
      <c r="N1717" s="493" t="str">
        <f t="shared" si="28"/>
        <v>C397</v>
      </c>
      <c r="O1717" s="493" t="s">
        <v>99</v>
      </c>
      <c r="P1717" s="493" t="s">
        <v>8005</v>
      </c>
    </row>
    <row r="1718" spans="1:16">
      <c r="A1718" s="761" t="s">
        <v>2339</v>
      </c>
      <c r="B1718" s="761" t="s">
        <v>2340</v>
      </c>
      <c r="C1718" s="761" t="s">
        <v>2524</v>
      </c>
      <c r="D1718" s="761">
        <v>51942495</v>
      </c>
      <c r="E1718" s="761" t="s">
        <v>2972</v>
      </c>
      <c r="F1718" s="761">
        <v>143003650</v>
      </c>
      <c r="G1718" s="761" t="s">
        <v>3373</v>
      </c>
      <c r="H1718" s="761" t="s">
        <v>7752</v>
      </c>
      <c r="I1718" s="761" t="s">
        <v>6867</v>
      </c>
      <c r="J1718" s="761">
        <v>2</v>
      </c>
      <c r="K1718" s="746">
        <v>12803.300000000001</v>
      </c>
      <c r="L1718" s="746">
        <v>1839.83</v>
      </c>
      <c r="M1718" s="746">
        <v>10963.47</v>
      </c>
      <c r="N1718" s="493" t="str">
        <f t="shared" si="28"/>
        <v>C397</v>
      </c>
      <c r="O1718" s="493" t="s">
        <v>99</v>
      </c>
      <c r="P1718" s="493" t="s">
        <v>8005</v>
      </c>
    </row>
    <row r="1719" spans="1:16">
      <c r="A1719" s="761" t="s">
        <v>2339</v>
      </c>
      <c r="B1719" s="761" t="s">
        <v>2340</v>
      </c>
      <c r="C1719" s="761" t="s">
        <v>2524</v>
      </c>
      <c r="D1719" s="761">
        <v>51942498</v>
      </c>
      <c r="E1719" s="761" t="s">
        <v>2972</v>
      </c>
      <c r="F1719" s="761">
        <v>143003651</v>
      </c>
      <c r="G1719" s="761" t="s">
        <v>3374</v>
      </c>
      <c r="H1719" s="761" t="s">
        <v>3374</v>
      </c>
      <c r="I1719" s="761" t="s">
        <v>6867</v>
      </c>
      <c r="J1719" s="761">
        <v>2</v>
      </c>
      <c r="K1719" s="746">
        <v>6201.1500000000005</v>
      </c>
      <c r="L1719" s="746">
        <v>891.1</v>
      </c>
      <c r="M1719" s="746">
        <v>5310.05</v>
      </c>
      <c r="N1719" s="493" t="str">
        <f t="shared" si="28"/>
        <v>C397</v>
      </c>
      <c r="O1719" s="493" t="s">
        <v>99</v>
      </c>
      <c r="P1719" s="493" t="s">
        <v>8005</v>
      </c>
    </row>
    <row r="1720" spans="1:16">
      <c r="A1720" s="761" t="s">
        <v>2339</v>
      </c>
      <c r="B1720" s="761" t="s">
        <v>2340</v>
      </c>
      <c r="C1720" s="761" t="s">
        <v>2524</v>
      </c>
      <c r="D1720" s="761">
        <v>51942501</v>
      </c>
      <c r="E1720" s="761" t="s">
        <v>2972</v>
      </c>
      <c r="F1720" s="761">
        <v>143003652</v>
      </c>
      <c r="G1720" s="761" t="s">
        <v>3375</v>
      </c>
      <c r="H1720" s="761" t="s">
        <v>3375</v>
      </c>
      <c r="I1720" s="761" t="s">
        <v>6867</v>
      </c>
      <c r="J1720" s="761">
        <v>2</v>
      </c>
      <c r="K1720" s="746">
        <v>6674.76</v>
      </c>
      <c r="L1720" s="746">
        <v>959.16</v>
      </c>
      <c r="M1720" s="746">
        <v>5715.6</v>
      </c>
      <c r="N1720" s="493" t="str">
        <f t="shared" si="28"/>
        <v>C397</v>
      </c>
      <c r="O1720" s="493" t="s">
        <v>99</v>
      </c>
      <c r="P1720" s="493" t="s">
        <v>8005</v>
      </c>
    </row>
    <row r="1721" spans="1:16">
      <c r="A1721" s="761" t="s">
        <v>2339</v>
      </c>
      <c r="B1721" s="761" t="s">
        <v>2340</v>
      </c>
      <c r="C1721" s="761" t="s">
        <v>2524</v>
      </c>
      <c r="D1721" s="761">
        <v>51942504</v>
      </c>
      <c r="E1721" s="761" t="s">
        <v>2972</v>
      </c>
      <c r="F1721" s="761">
        <v>143003654</v>
      </c>
      <c r="G1721" s="761" t="s">
        <v>3376</v>
      </c>
      <c r="H1721" s="761" t="s">
        <v>3376</v>
      </c>
      <c r="I1721" s="761" t="s">
        <v>6867</v>
      </c>
      <c r="J1721" s="761">
        <v>2</v>
      </c>
      <c r="K1721" s="746">
        <v>6662.55</v>
      </c>
      <c r="L1721" s="746">
        <v>957.4</v>
      </c>
      <c r="M1721" s="746">
        <v>5705.1500000000005</v>
      </c>
      <c r="N1721" s="493" t="str">
        <f t="shared" si="28"/>
        <v>C397</v>
      </c>
      <c r="O1721" s="493" t="s">
        <v>99</v>
      </c>
      <c r="P1721" s="493" t="s">
        <v>8005</v>
      </c>
    </row>
    <row r="1722" spans="1:16">
      <c r="A1722" s="761" t="s">
        <v>2339</v>
      </c>
      <c r="B1722" s="761" t="s">
        <v>2340</v>
      </c>
      <c r="C1722" s="761" t="s">
        <v>2476</v>
      </c>
      <c r="D1722" s="761">
        <v>51942507</v>
      </c>
      <c r="E1722" s="761" t="s">
        <v>2972</v>
      </c>
      <c r="F1722" s="761">
        <v>143003664</v>
      </c>
      <c r="G1722" s="761" t="s">
        <v>3378</v>
      </c>
      <c r="H1722" s="761" t="s">
        <v>3378</v>
      </c>
      <c r="I1722" s="761" t="s">
        <v>6867</v>
      </c>
      <c r="J1722" s="761">
        <v>2</v>
      </c>
      <c r="K1722" s="746">
        <v>3369.66</v>
      </c>
      <c r="L1722" s="746">
        <v>484.22</v>
      </c>
      <c r="M1722" s="746">
        <v>2885.44</v>
      </c>
      <c r="N1722" s="493" t="str">
        <f t="shared" si="28"/>
        <v>C397</v>
      </c>
      <c r="O1722" s="493" t="s">
        <v>99</v>
      </c>
      <c r="P1722" s="493" t="s">
        <v>8005</v>
      </c>
    </row>
    <row r="1723" spans="1:16">
      <c r="A1723" s="761" t="s">
        <v>2339</v>
      </c>
      <c r="B1723" s="761" t="s">
        <v>2340</v>
      </c>
      <c r="C1723" s="761" t="s">
        <v>2487</v>
      </c>
      <c r="D1723" s="761">
        <v>51942510</v>
      </c>
      <c r="E1723" s="761" t="s">
        <v>2972</v>
      </c>
      <c r="F1723" s="761">
        <v>143003670</v>
      </c>
      <c r="G1723" s="761" t="s">
        <v>3380</v>
      </c>
      <c r="H1723" s="761" t="s">
        <v>3380</v>
      </c>
      <c r="I1723" s="761" t="s">
        <v>6867</v>
      </c>
      <c r="J1723" s="761">
        <v>2</v>
      </c>
      <c r="K1723" s="746">
        <v>12605.28</v>
      </c>
      <c r="L1723" s="746">
        <v>1811.3700000000001</v>
      </c>
      <c r="M1723" s="746">
        <v>10793.91</v>
      </c>
      <c r="N1723" s="493" t="str">
        <f t="shared" si="28"/>
        <v>C397</v>
      </c>
      <c r="O1723" s="493" t="s">
        <v>99</v>
      </c>
      <c r="P1723" s="493" t="s">
        <v>8005</v>
      </c>
    </row>
    <row r="1724" spans="1:16">
      <c r="A1724" s="761" t="s">
        <v>2339</v>
      </c>
      <c r="B1724" s="761" t="s">
        <v>2340</v>
      </c>
      <c r="C1724" s="761" t="s">
        <v>2476</v>
      </c>
      <c r="D1724" s="761">
        <v>51942513</v>
      </c>
      <c r="E1724" s="761" t="s">
        <v>2972</v>
      </c>
      <c r="F1724" s="761">
        <v>143003724</v>
      </c>
      <c r="G1724" s="761" t="s">
        <v>3383</v>
      </c>
      <c r="H1724" s="761" t="s">
        <v>7753</v>
      </c>
      <c r="I1724" s="761" t="s">
        <v>6867</v>
      </c>
      <c r="J1724" s="761">
        <v>2</v>
      </c>
      <c r="K1724" s="746">
        <v>7744.55</v>
      </c>
      <c r="L1724" s="746">
        <v>1112.8900000000001</v>
      </c>
      <c r="M1724" s="746">
        <v>6631.66</v>
      </c>
      <c r="N1724" s="493" t="str">
        <f t="shared" si="28"/>
        <v>C397</v>
      </c>
      <c r="O1724" s="493" t="s">
        <v>99</v>
      </c>
      <c r="P1724" s="493" t="s">
        <v>8005</v>
      </c>
    </row>
    <row r="1725" spans="1:16">
      <c r="A1725" s="761" t="s">
        <v>2339</v>
      </c>
      <c r="B1725" s="761" t="s">
        <v>2340</v>
      </c>
      <c r="C1725" s="761" t="s">
        <v>2476</v>
      </c>
      <c r="D1725" s="761">
        <v>51942516</v>
      </c>
      <c r="E1725" s="761" t="s">
        <v>2972</v>
      </c>
      <c r="F1725" s="761">
        <v>143003726</v>
      </c>
      <c r="G1725" s="761" t="s">
        <v>3385</v>
      </c>
      <c r="H1725" s="761" t="s">
        <v>7754</v>
      </c>
      <c r="I1725" s="761" t="s">
        <v>6867</v>
      </c>
      <c r="J1725" s="761">
        <v>2</v>
      </c>
      <c r="K1725" s="746">
        <v>5800.33</v>
      </c>
      <c r="L1725" s="746">
        <v>833.5</v>
      </c>
      <c r="M1725" s="746">
        <v>4966.83</v>
      </c>
      <c r="N1725" s="493" t="str">
        <f t="shared" si="28"/>
        <v>C397</v>
      </c>
      <c r="O1725" s="493" t="s">
        <v>99</v>
      </c>
      <c r="P1725" s="493" t="s">
        <v>8005</v>
      </c>
    </row>
    <row r="1726" spans="1:16">
      <c r="A1726" s="761" t="s">
        <v>2339</v>
      </c>
      <c r="B1726" s="761" t="s">
        <v>2340</v>
      </c>
      <c r="C1726" s="761" t="s">
        <v>2476</v>
      </c>
      <c r="D1726" s="761">
        <v>51942519</v>
      </c>
      <c r="E1726" s="761" t="s">
        <v>2972</v>
      </c>
      <c r="F1726" s="761">
        <v>143003727</v>
      </c>
      <c r="G1726" s="761" t="s">
        <v>3386</v>
      </c>
      <c r="H1726" s="761" t="s">
        <v>7755</v>
      </c>
      <c r="I1726" s="761" t="s">
        <v>6867</v>
      </c>
      <c r="J1726" s="761">
        <v>2</v>
      </c>
      <c r="K1726" s="746">
        <v>6619.3</v>
      </c>
      <c r="L1726" s="746">
        <v>951.19</v>
      </c>
      <c r="M1726" s="746">
        <v>5668.11</v>
      </c>
      <c r="N1726" s="493" t="str">
        <f t="shared" si="28"/>
        <v>C397</v>
      </c>
      <c r="O1726" s="493" t="s">
        <v>99</v>
      </c>
      <c r="P1726" s="493" t="s">
        <v>8005</v>
      </c>
    </row>
    <row r="1727" spans="1:16">
      <c r="A1727" s="761" t="s">
        <v>2339</v>
      </c>
      <c r="B1727" s="761" t="s">
        <v>2340</v>
      </c>
      <c r="C1727" s="761" t="s">
        <v>2476</v>
      </c>
      <c r="D1727" s="761">
        <v>51942522</v>
      </c>
      <c r="E1727" s="761" t="s">
        <v>2972</v>
      </c>
      <c r="F1727" s="761">
        <v>143003732</v>
      </c>
      <c r="G1727" s="761" t="s">
        <v>3388</v>
      </c>
      <c r="H1727" s="761" t="s">
        <v>7756</v>
      </c>
      <c r="I1727" s="761" t="s">
        <v>6867</v>
      </c>
      <c r="J1727" s="761">
        <v>2</v>
      </c>
      <c r="K1727" s="746">
        <v>7561.67</v>
      </c>
      <c r="L1727" s="746">
        <v>1086.6100000000001</v>
      </c>
      <c r="M1727" s="746">
        <v>6475.06</v>
      </c>
      <c r="N1727" s="493" t="str">
        <f t="shared" si="28"/>
        <v>C397</v>
      </c>
      <c r="O1727" s="493" t="s">
        <v>99</v>
      </c>
      <c r="P1727" s="493" t="s">
        <v>8005</v>
      </c>
    </row>
    <row r="1728" spans="1:16">
      <c r="A1728" s="761" t="s">
        <v>2339</v>
      </c>
      <c r="B1728" s="761" t="s">
        <v>2340</v>
      </c>
      <c r="C1728" s="761" t="s">
        <v>2476</v>
      </c>
      <c r="D1728" s="761">
        <v>51942525</v>
      </c>
      <c r="E1728" s="761" t="s">
        <v>2972</v>
      </c>
      <c r="F1728" s="761">
        <v>143003733</v>
      </c>
      <c r="G1728" s="761" t="s">
        <v>3389</v>
      </c>
      <c r="H1728" s="761" t="s">
        <v>7757</v>
      </c>
      <c r="I1728" s="761" t="s">
        <v>6867</v>
      </c>
      <c r="J1728" s="761">
        <v>2</v>
      </c>
      <c r="K1728" s="746">
        <v>14480.35</v>
      </c>
      <c r="L1728" s="746">
        <v>2080.8200000000002</v>
      </c>
      <c r="M1728" s="746">
        <v>12399.53</v>
      </c>
      <c r="N1728" s="493" t="str">
        <f t="shared" si="28"/>
        <v>C397</v>
      </c>
      <c r="O1728" s="493" t="s">
        <v>99</v>
      </c>
      <c r="P1728" s="493" t="s">
        <v>8005</v>
      </c>
    </row>
    <row r="1729" spans="1:16">
      <c r="A1729" s="761" t="s">
        <v>2339</v>
      </c>
      <c r="B1729" s="761" t="s">
        <v>2340</v>
      </c>
      <c r="C1729" s="761" t="s">
        <v>2476</v>
      </c>
      <c r="D1729" s="761">
        <v>51942528</v>
      </c>
      <c r="E1729" s="761" t="s">
        <v>2972</v>
      </c>
      <c r="F1729" s="761">
        <v>143003736</v>
      </c>
      <c r="G1729" s="761" t="s">
        <v>3391</v>
      </c>
      <c r="H1729" s="761" t="s">
        <v>7758</v>
      </c>
      <c r="I1729" s="761" t="s">
        <v>6867</v>
      </c>
      <c r="J1729" s="761">
        <v>2</v>
      </c>
      <c r="K1729" s="746">
        <v>12843.09</v>
      </c>
      <c r="L1729" s="746">
        <v>1845.55</v>
      </c>
      <c r="M1729" s="746">
        <v>10997.54</v>
      </c>
      <c r="N1729" s="493" t="str">
        <f t="shared" si="28"/>
        <v>C397</v>
      </c>
      <c r="O1729" s="493" t="s">
        <v>99</v>
      </c>
      <c r="P1729" s="493" t="s">
        <v>8005</v>
      </c>
    </row>
    <row r="1730" spans="1:16">
      <c r="A1730" s="761" t="s">
        <v>2339</v>
      </c>
      <c r="B1730" s="761" t="s">
        <v>2340</v>
      </c>
      <c r="C1730" s="761" t="s">
        <v>2517</v>
      </c>
      <c r="D1730" s="761">
        <v>51942531</v>
      </c>
      <c r="E1730" s="761" t="s">
        <v>2972</v>
      </c>
      <c r="F1730" s="761">
        <v>143003737</v>
      </c>
      <c r="G1730" s="761" t="s">
        <v>3392</v>
      </c>
      <c r="H1730" s="761" t="s">
        <v>7759</v>
      </c>
      <c r="I1730" s="761" t="s">
        <v>6867</v>
      </c>
      <c r="J1730" s="761">
        <v>2</v>
      </c>
      <c r="K1730" s="746">
        <v>4944.1400000000003</v>
      </c>
      <c r="L1730" s="746">
        <v>710.47</v>
      </c>
      <c r="M1730" s="746">
        <v>4233.67</v>
      </c>
      <c r="N1730" s="493" t="str">
        <f t="shared" si="28"/>
        <v>C397</v>
      </c>
      <c r="O1730" s="493" t="s">
        <v>99</v>
      </c>
      <c r="P1730" s="493" t="s">
        <v>8005</v>
      </c>
    </row>
    <row r="1731" spans="1:16">
      <c r="A1731" s="761" t="s">
        <v>2339</v>
      </c>
      <c r="B1731" s="761" t="s">
        <v>2340</v>
      </c>
      <c r="C1731" s="761" t="s">
        <v>2517</v>
      </c>
      <c r="D1731" s="761">
        <v>51942534</v>
      </c>
      <c r="E1731" s="761" t="s">
        <v>2972</v>
      </c>
      <c r="F1731" s="761">
        <v>143003738</v>
      </c>
      <c r="G1731" s="761" t="s">
        <v>3393</v>
      </c>
      <c r="H1731" s="761" t="s">
        <v>7760</v>
      </c>
      <c r="I1731" s="761" t="s">
        <v>6867</v>
      </c>
      <c r="J1731" s="761">
        <v>2</v>
      </c>
      <c r="K1731" s="746">
        <v>13094.07</v>
      </c>
      <c r="L1731" s="746">
        <v>1881.6100000000001</v>
      </c>
      <c r="M1731" s="746">
        <v>11212.460000000001</v>
      </c>
      <c r="N1731" s="493" t="str">
        <f t="shared" si="28"/>
        <v>C397</v>
      </c>
      <c r="O1731" s="493" t="s">
        <v>99</v>
      </c>
      <c r="P1731" s="493" t="s">
        <v>8005</v>
      </c>
    </row>
    <row r="1732" spans="1:16">
      <c r="A1732" s="761" t="s">
        <v>2339</v>
      </c>
      <c r="B1732" s="761" t="s">
        <v>2340</v>
      </c>
      <c r="C1732" s="761" t="s">
        <v>2473</v>
      </c>
      <c r="D1732" s="761">
        <v>51942537</v>
      </c>
      <c r="E1732" s="761" t="s">
        <v>2972</v>
      </c>
      <c r="F1732" s="761">
        <v>143003741</v>
      </c>
      <c r="G1732" s="761" t="s">
        <v>3395</v>
      </c>
      <c r="H1732" s="761" t="s">
        <v>7761</v>
      </c>
      <c r="I1732" s="761" t="s">
        <v>6867</v>
      </c>
      <c r="J1732" s="761">
        <v>2</v>
      </c>
      <c r="K1732" s="746">
        <v>4980.6400000000003</v>
      </c>
      <c r="L1732" s="746">
        <v>715.72</v>
      </c>
      <c r="M1732" s="746">
        <v>4264.92</v>
      </c>
      <c r="N1732" s="493" t="str">
        <f t="shared" si="28"/>
        <v>C397</v>
      </c>
      <c r="O1732" s="493" t="s">
        <v>99</v>
      </c>
      <c r="P1732" s="493" t="s">
        <v>8005</v>
      </c>
    </row>
    <row r="1733" spans="1:16">
      <c r="A1733" s="761" t="s">
        <v>2339</v>
      </c>
      <c r="B1733" s="761" t="s">
        <v>2340</v>
      </c>
      <c r="C1733" s="761" t="s">
        <v>2517</v>
      </c>
      <c r="D1733" s="761">
        <v>51942540</v>
      </c>
      <c r="E1733" s="761" t="s">
        <v>2972</v>
      </c>
      <c r="F1733" s="761">
        <v>143003742</v>
      </c>
      <c r="G1733" s="761" t="s">
        <v>3396</v>
      </c>
      <c r="H1733" s="761" t="s">
        <v>7762</v>
      </c>
      <c r="I1733" s="761" t="s">
        <v>6867</v>
      </c>
      <c r="J1733" s="761">
        <v>2</v>
      </c>
      <c r="K1733" s="746">
        <v>5192.49</v>
      </c>
      <c r="L1733" s="746">
        <v>746.16</v>
      </c>
      <c r="M1733" s="746">
        <v>4446.33</v>
      </c>
      <c r="N1733" s="493" t="str">
        <f t="shared" si="28"/>
        <v>C397</v>
      </c>
      <c r="O1733" s="493" t="s">
        <v>99</v>
      </c>
      <c r="P1733" s="493" t="s">
        <v>8005</v>
      </c>
    </row>
    <row r="1734" spans="1:16">
      <c r="A1734" s="761" t="s">
        <v>2339</v>
      </c>
      <c r="B1734" s="761" t="s">
        <v>2340</v>
      </c>
      <c r="C1734" s="761" t="s">
        <v>2517</v>
      </c>
      <c r="D1734" s="761">
        <v>51942543</v>
      </c>
      <c r="E1734" s="761" t="s">
        <v>2972</v>
      </c>
      <c r="F1734" s="761">
        <v>143003744</v>
      </c>
      <c r="G1734" s="761" t="s">
        <v>3398</v>
      </c>
      <c r="H1734" s="761" t="s">
        <v>7763</v>
      </c>
      <c r="I1734" s="761" t="s">
        <v>6867</v>
      </c>
      <c r="J1734" s="761">
        <v>2</v>
      </c>
      <c r="K1734" s="746">
        <v>4946.7700000000004</v>
      </c>
      <c r="L1734" s="746">
        <v>710.85</v>
      </c>
      <c r="M1734" s="746">
        <v>4235.92</v>
      </c>
      <c r="N1734" s="493" t="str">
        <f t="shared" si="28"/>
        <v>C397</v>
      </c>
      <c r="O1734" s="493" t="s">
        <v>99</v>
      </c>
      <c r="P1734" s="493" t="s">
        <v>8005</v>
      </c>
    </row>
    <row r="1735" spans="1:16">
      <c r="A1735" s="761" t="s">
        <v>2339</v>
      </c>
      <c r="B1735" s="761" t="s">
        <v>2340</v>
      </c>
      <c r="C1735" s="761" t="s">
        <v>2517</v>
      </c>
      <c r="D1735" s="761">
        <v>51942546</v>
      </c>
      <c r="E1735" s="761" t="s">
        <v>2972</v>
      </c>
      <c r="F1735" s="761">
        <v>143003745</v>
      </c>
      <c r="G1735" s="761" t="s">
        <v>3399</v>
      </c>
      <c r="H1735" s="761" t="s">
        <v>7764</v>
      </c>
      <c r="I1735" s="761" t="s">
        <v>6867</v>
      </c>
      <c r="J1735" s="761">
        <v>2</v>
      </c>
      <c r="K1735" s="746">
        <v>6060.52</v>
      </c>
      <c r="L1735" s="746">
        <v>870.89</v>
      </c>
      <c r="M1735" s="746">
        <v>5189.63</v>
      </c>
      <c r="N1735" s="493" t="str">
        <f t="shared" si="28"/>
        <v>C397</v>
      </c>
      <c r="O1735" s="493" t="s">
        <v>99</v>
      </c>
      <c r="P1735" s="493" t="s">
        <v>8005</v>
      </c>
    </row>
    <row r="1736" spans="1:16">
      <c r="A1736" s="761" t="s">
        <v>2339</v>
      </c>
      <c r="B1736" s="761" t="s">
        <v>2340</v>
      </c>
      <c r="C1736" s="761" t="s">
        <v>2473</v>
      </c>
      <c r="D1736" s="761">
        <v>51942549</v>
      </c>
      <c r="E1736" s="761" t="s">
        <v>2972</v>
      </c>
      <c r="F1736" s="761">
        <v>143003746</v>
      </c>
      <c r="G1736" s="761" t="s">
        <v>3400</v>
      </c>
      <c r="H1736" s="761" t="s">
        <v>7765</v>
      </c>
      <c r="I1736" s="761" t="s">
        <v>6867</v>
      </c>
      <c r="J1736" s="761">
        <v>2</v>
      </c>
      <c r="K1736" s="746">
        <v>4977.07</v>
      </c>
      <c r="L1736" s="746">
        <v>715.2</v>
      </c>
      <c r="M1736" s="746">
        <v>4261.87</v>
      </c>
      <c r="N1736" s="493" t="str">
        <f t="shared" si="28"/>
        <v>C397</v>
      </c>
      <c r="O1736" s="493" t="s">
        <v>99</v>
      </c>
      <c r="P1736" s="493" t="s">
        <v>8005</v>
      </c>
    </row>
    <row r="1737" spans="1:16">
      <c r="A1737" s="761" t="s">
        <v>2339</v>
      </c>
      <c r="B1737" s="761" t="s">
        <v>2340</v>
      </c>
      <c r="C1737" s="761" t="s">
        <v>2473</v>
      </c>
      <c r="D1737" s="761">
        <v>51942552</v>
      </c>
      <c r="E1737" s="761" t="s">
        <v>2972</v>
      </c>
      <c r="F1737" s="761">
        <v>143003749</v>
      </c>
      <c r="G1737" s="761" t="s">
        <v>3403</v>
      </c>
      <c r="H1737" s="761" t="s">
        <v>7766</v>
      </c>
      <c r="I1737" s="761" t="s">
        <v>6867</v>
      </c>
      <c r="J1737" s="761">
        <v>2</v>
      </c>
      <c r="K1737" s="746">
        <v>4926.5</v>
      </c>
      <c r="L1737" s="746">
        <v>707.94</v>
      </c>
      <c r="M1737" s="746">
        <v>4218.5600000000004</v>
      </c>
      <c r="N1737" s="493" t="str">
        <f t="shared" si="28"/>
        <v>C397</v>
      </c>
      <c r="O1737" s="493" t="s">
        <v>99</v>
      </c>
      <c r="P1737" s="493" t="s">
        <v>8005</v>
      </c>
    </row>
    <row r="1738" spans="1:16">
      <c r="A1738" s="761" t="s">
        <v>2339</v>
      </c>
      <c r="B1738" s="761" t="s">
        <v>2340</v>
      </c>
      <c r="C1738" s="761" t="s">
        <v>2476</v>
      </c>
      <c r="D1738" s="761">
        <v>51942555</v>
      </c>
      <c r="E1738" s="761" t="s">
        <v>2972</v>
      </c>
      <c r="F1738" s="761">
        <v>143003755</v>
      </c>
      <c r="G1738" s="761" t="s">
        <v>3407</v>
      </c>
      <c r="H1738" s="761" t="s">
        <v>7767</v>
      </c>
      <c r="I1738" s="761" t="s">
        <v>6867</v>
      </c>
      <c r="J1738" s="761">
        <v>2</v>
      </c>
      <c r="K1738" s="746">
        <v>15734.98</v>
      </c>
      <c r="L1738" s="746">
        <v>2261.11</v>
      </c>
      <c r="M1738" s="746">
        <v>13473.87</v>
      </c>
      <c r="N1738" s="493" t="str">
        <f t="shared" si="28"/>
        <v>C397</v>
      </c>
      <c r="O1738" s="493" t="s">
        <v>99</v>
      </c>
      <c r="P1738" s="493" t="s">
        <v>8005</v>
      </c>
    </row>
    <row r="1739" spans="1:16">
      <c r="A1739" s="761" t="s">
        <v>2339</v>
      </c>
      <c r="B1739" s="761" t="s">
        <v>2340</v>
      </c>
      <c r="C1739" s="761" t="s">
        <v>2527</v>
      </c>
      <c r="D1739" s="761">
        <v>51942558</v>
      </c>
      <c r="E1739" s="761" t="s">
        <v>2972</v>
      </c>
      <c r="F1739" s="761">
        <v>143003766</v>
      </c>
      <c r="G1739" s="761" t="s">
        <v>3410</v>
      </c>
      <c r="H1739" s="761" t="s">
        <v>7768</v>
      </c>
      <c r="I1739" s="761" t="s">
        <v>6867</v>
      </c>
      <c r="J1739" s="761">
        <v>2</v>
      </c>
      <c r="K1739" s="746">
        <v>5235.88</v>
      </c>
      <c r="L1739" s="746">
        <v>752.39</v>
      </c>
      <c r="M1739" s="746">
        <v>4483.49</v>
      </c>
      <c r="N1739" s="493" t="str">
        <f t="shared" si="28"/>
        <v>C397</v>
      </c>
      <c r="O1739" s="493" t="s">
        <v>99</v>
      </c>
      <c r="P1739" s="493" t="s">
        <v>8005</v>
      </c>
    </row>
    <row r="1740" spans="1:16">
      <c r="A1740" s="761" t="s">
        <v>2339</v>
      </c>
      <c r="B1740" s="761" t="s">
        <v>2340</v>
      </c>
      <c r="C1740" s="761" t="s">
        <v>2527</v>
      </c>
      <c r="D1740" s="761">
        <v>51942561</v>
      </c>
      <c r="E1740" s="761" t="s">
        <v>2972</v>
      </c>
      <c r="F1740" s="761">
        <v>143003767</v>
      </c>
      <c r="G1740" s="761" t="s">
        <v>3411</v>
      </c>
      <c r="H1740" s="761" t="s">
        <v>7769</v>
      </c>
      <c r="I1740" s="761" t="s">
        <v>6867</v>
      </c>
      <c r="J1740" s="761">
        <v>2</v>
      </c>
      <c r="K1740" s="746">
        <v>5088.07</v>
      </c>
      <c r="L1740" s="746">
        <v>731.15</v>
      </c>
      <c r="M1740" s="746">
        <v>4356.92</v>
      </c>
      <c r="N1740" s="493" t="str">
        <f t="shared" si="28"/>
        <v>C397</v>
      </c>
      <c r="O1740" s="493" t="s">
        <v>99</v>
      </c>
      <c r="P1740" s="493" t="s">
        <v>8005</v>
      </c>
    </row>
    <row r="1741" spans="1:16">
      <c r="A1741" s="761" t="s">
        <v>2339</v>
      </c>
      <c r="B1741" s="761" t="s">
        <v>2340</v>
      </c>
      <c r="C1741" s="761" t="s">
        <v>2527</v>
      </c>
      <c r="D1741" s="761">
        <v>51942564</v>
      </c>
      <c r="E1741" s="761" t="s">
        <v>2972</v>
      </c>
      <c r="F1741" s="761">
        <v>143003772</v>
      </c>
      <c r="G1741" s="761" t="s">
        <v>3412</v>
      </c>
      <c r="H1741" s="761" t="s">
        <v>7770</v>
      </c>
      <c r="I1741" s="761" t="s">
        <v>6867</v>
      </c>
      <c r="J1741" s="761">
        <v>2</v>
      </c>
      <c r="K1741" s="746">
        <v>5216.8100000000004</v>
      </c>
      <c r="L1741" s="746">
        <v>749.65</v>
      </c>
      <c r="M1741" s="746">
        <v>4467.16</v>
      </c>
      <c r="N1741" s="493" t="str">
        <f t="shared" si="28"/>
        <v>C397</v>
      </c>
      <c r="O1741" s="493" t="s">
        <v>99</v>
      </c>
      <c r="P1741" s="493" t="s">
        <v>8005</v>
      </c>
    </row>
    <row r="1742" spans="1:16">
      <c r="A1742" s="761" t="s">
        <v>2339</v>
      </c>
      <c r="B1742" s="761" t="s">
        <v>2340</v>
      </c>
      <c r="C1742" s="761" t="s">
        <v>2527</v>
      </c>
      <c r="D1742" s="761">
        <v>51942567</v>
      </c>
      <c r="E1742" s="761" t="s">
        <v>2972</v>
      </c>
      <c r="F1742" s="761">
        <v>143003773</v>
      </c>
      <c r="G1742" s="761" t="s">
        <v>3413</v>
      </c>
      <c r="H1742" s="761" t="s">
        <v>7771</v>
      </c>
      <c r="I1742" s="761" t="s">
        <v>6867</v>
      </c>
      <c r="J1742" s="761">
        <v>2</v>
      </c>
      <c r="K1742" s="746">
        <v>5664.67</v>
      </c>
      <c r="L1742" s="746">
        <v>814.01</v>
      </c>
      <c r="M1742" s="746">
        <v>4850.66</v>
      </c>
      <c r="N1742" s="493" t="str">
        <f t="shared" si="28"/>
        <v>C397</v>
      </c>
      <c r="O1742" s="493" t="s">
        <v>99</v>
      </c>
      <c r="P1742" s="493" t="s">
        <v>8005</v>
      </c>
    </row>
    <row r="1743" spans="1:16">
      <c r="A1743" s="761" t="s">
        <v>2339</v>
      </c>
      <c r="B1743" s="761" t="s">
        <v>2340</v>
      </c>
      <c r="C1743" s="761" t="s">
        <v>2473</v>
      </c>
      <c r="D1743" s="761">
        <v>51942570</v>
      </c>
      <c r="E1743" s="761" t="s">
        <v>2972</v>
      </c>
      <c r="F1743" s="761">
        <v>143003774</v>
      </c>
      <c r="G1743" s="761" t="s">
        <v>3414</v>
      </c>
      <c r="H1743" s="761" t="s">
        <v>7772</v>
      </c>
      <c r="I1743" s="761" t="s">
        <v>6867</v>
      </c>
      <c r="J1743" s="761">
        <v>2</v>
      </c>
      <c r="K1743" s="746">
        <v>12597.16</v>
      </c>
      <c r="L1743" s="746">
        <v>1810.21</v>
      </c>
      <c r="M1743" s="746">
        <v>10786.95</v>
      </c>
      <c r="N1743" s="493" t="str">
        <f t="shared" si="28"/>
        <v>C397</v>
      </c>
      <c r="O1743" s="493" t="s">
        <v>99</v>
      </c>
      <c r="P1743" s="493" t="s">
        <v>8005</v>
      </c>
    </row>
    <row r="1744" spans="1:16">
      <c r="A1744" s="761" t="s">
        <v>2339</v>
      </c>
      <c r="B1744" s="761" t="s">
        <v>2340</v>
      </c>
      <c r="C1744" s="761" t="s">
        <v>2473</v>
      </c>
      <c r="D1744" s="761">
        <v>51942573</v>
      </c>
      <c r="E1744" s="761" t="s">
        <v>2972</v>
      </c>
      <c r="F1744" s="761">
        <v>143003776</v>
      </c>
      <c r="G1744" s="761" t="s">
        <v>3415</v>
      </c>
      <c r="H1744" s="761" t="s">
        <v>7773</v>
      </c>
      <c r="I1744" s="761" t="s">
        <v>6867</v>
      </c>
      <c r="J1744" s="761">
        <v>2</v>
      </c>
      <c r="K1744" s="746">
        <v>13105.03</v>
      </c>
      <c r="L1744" s="746">
        <v>1883.19</v>
      </c>
      <c r="M1744" s="746">
        <v>11221.84</v>
      </c>
      <c r="N1744" s="493" t="str">
        <f t="shared" si="28"/>
        <v>C397</v>
      </c>
      <c r="O1744" s="493" t="s">
        <v>99</v>
      </c>
      <c r="P1744" s="493" t="s">
        <v>8005</v>
      </c>
    </row>
    <row r="1745" spans="1:16">
      <c r="A1745" s="761" t="s">
        <v>2339</v>
      </c>
      <c r="B1745" s="761" t="s">
        <v>2340</v>
      </c>
      <c r="C1745" s="761" t="s">
        <v>2473</v>
      </c>
      <c r="D1745" s="761">
        <v>51942576</v>
      </c>
      <c r="E1745" s="761" t="s">
        <v>2972</v>
      </c>
      <c r="F1745" s="761">
        <v>143003777</v>
      </c>
      <c r="G1745" s="761" t="s">
        <v>3416</v>
      </c>
      <c r="H1745" s="761" t="s">
        <v>7774</v>
      </c>
      <c r="I1745" s="761" t="s">
        <v>6867</v>
      </c>
      <c r="J1745" s="761">
        <v>2</v>
      </c>
      <c r="K1745" s="746">
        <v>5656.59</v>
      </c>
      <c r="L1745" s="746">
        <v>812.85</v>
      </c>
      <c r="M1745" s="746">
        <v>4843.74</v>
      </c>
      <c r="N1745" s="493" t="str">
        <f t="shared" ref="N1745:N1808" si="29">LEFT(E1745,4)</f>
        <v>C397</v>
      </c>
      <c r="O1745" s="493" t="s">
        <v>99</v>
      </c>
      <c r="P1745" s="493" t="s">
        <v>8005</v>
      </c>
    </row>
    <row r="1746" spans="1:16">
      <c r="A1746" s="761" t="s">
        <v>2339</v>
      </c>
      <c r="B1746" s="761" t="s">
        <v>2340</v>
      </c>
      <c r="C1746" s="761" t="s">
        <v>2527</v>
      </c>
      <c r="D1746" s="761">
        <v>51942579</v>
      </c>
      <c r="E1746" s="761" t="s">
        <v>2972</v>
      </c>
      <c r="F1746" s="761">
        <v>143003780</v>
      </c>
      <c r="G1746" s="761" t="s">
        <v>3417</v>
      </c>
      <c r="H1746" s="761" t="s">
        <v>7775</v>
      </c>
      <c r="I1746" s="761" t="s">
        <v>6867</v>
      </c>
      <c r="J1746" s="761">
        <v>2</v>
      </c>
      <c r="K1746" s="746">
        <v>5664.67</v>
      </c>
      <c r="L1746" s="746">
        <v>814.01</v>
      </c>
      <c r="M1746" s="746">
        <v>4850.66</v>
      </c>
      <c r="N1746" s="493" t="str">
        <f t="shared" si="29"/>
        <v>C397</v>
      </c>
      <c r="O1746" s="493" t="s">
        <v>99</v>
      </c>
      <c r="P1746" s="493" t="s">
        <v>8005</v>
      </c>
    </row>
    <row r="1747" spans="1:16">
      <c r="A1747" s="761" t="s">
        <v>2339</v>
      </c>
      <c r="B1747" s="761" t="s">
        <v>2340</v>
      </c>
      <c r="C1747" s="761" t="s">
        <v>2527</v>
      </c>
      <c r="D1747" s="761">
        <v>51942582</v>
      </c>
      <c r="E1747" s="761" t="s">
        <v>2972</v>
      </c>
      <c r="F1747" s="761">
        <v>143003781</v>
      </c>
      <c r="G1747" s="761" t="s">
        <v>3418</v>
      </c>
      <c r="H1747" s="761" t="s">
        <v>7776</v>
      </c>
      <c r="I1747" s="761" t="s">
        <v>6867</v>
      </c>
      <c r="J1747" s="761">
        <v>2</v>
      </c>
      <c r="K1747" s="746">
        <v>5664.66</v>
      </c>
      <c r="L1747" s="746">
        <v>814.01</v>
      </c>
      <c r="M1747" s="746">
        <v>4850.6500000000005</v>
      </c>
      <c r="N1747" s="493" t="str">
        <f t="shared" si="29"/>
        <v>C397</v>
      </c>
      <c r="O1747" s="493" t="s">
        <v>99</v>
      </c>
      <c r="P1747" s="493" t="s">
        <v>8005</v>
      </c>
    </row>
    <row r="1748" spans="1:16">
      <c r="A1748" s="761" t="s">
        <v>2339</v>
      </c>
      <c r="B1748" s="761" t="s">
        <v>2340</v>
      </c>
      <c r="C1748" s="761" t="s">
        <v>2487</v>
      </c>
      <c r="D1748" s="761">
        <v>51942585</v>
      </c>
      <c r="E1748" s="761" t="s">
        <v>2972</v>
      </c>
      <c r="F1748" s="761">
        <v>143003788</v>
      </c>
      <c r="G1748" s="761" t="s">
        <v>3421</v>
      </c>
      <c r="H1748" s="761" t="s">
        <v>7777</v>
      </c>
      <c r="I1748" s="761" t="s">
        <v>6867</v>
      </c>
      <c r="J1748" s="761">
        <v>2</v>
      </c>
      <c r="K1748" s="746">
        <v>5665.7300000000005</v>
      </c>
      <c r="L1748" s="746">
        <v>814.16</v>
      </c>
      <c r="M1748" s="746">
        <v>4851.57</v>
      </c>
      <c r="N1748" s="493" t="str">
        <f t="shared" si="29"/>
        <v>C397</v>
      </c>
      <c r="O1748" s="493" t="s">
        <v>99</v>
      </c>
      <c r="P1748" s="493" t="s">
        <v>8005</v>
      </c>
    </row>
    <row r="1749" spans="1:16">
      <c r="A1749" s="761" t="s">
        <v>2339</v>
      </c>
      <c r="B1749" s="761" t="s">
        <v>2340</v>
      </c>
      <c r="C1749" s="761" t="s">
        <v>2473</v>
      </c>
      <c r="D1749" s="761">
        <v>51942588</v>
      </c>
      <c r="E1749" s="761" t="s">
        <v>2972</v>
      </c>
      <c r="F1749" s="761">
        <v>143003789</v>
      </c>
      <c r="G1749" s="761" t="s">
        <v>3422</v>
      </c>
      <c r="H1749" s="761" t="s">
        <v>7778</v>
      </c>
      <c r="I1749" s="761" t="s">
        <v>6867</v>
      </c>
      <c r="J1749" s="761">
        <v>2</v>
      </c>
      <c r="K1749" s="746">
        <v>4945</v>
      </c>
      <c r="L1749" s="746">
        <v>710.59</v>
      </c>
      <c r="M1749" s="746">
        <v>4234.41</v>
      </c>
      <c r="N1749" s="493" t="str">
        <f t="shared" si="29"/>
        <v>C397</v>
      </c>
      <c r="O1749" s="493" t="s">
        <v>99</v>
      </c>
      <c r="P1749" s="493" t="s">
        <v>8005</v>
      </c>
    </row>
    <row r="1750" spans="1:16">
      <c r="A1750" s="761" t="s">
        <v>2339</v>
      </c>
      <c r="B1750" s="761" t="s">
        <v>2340</v>
      </c>
      <c r="C1750" s="761" t="s">
        <v>2487</v>
      </c>
      <c r="D1750" s="761">
        <v>51942591</v>
      </c>
      <c r="E1750" s="761" t="s">
        <v>2972</v>
      </c>
      <c r="F1750" s="761">
        <v>143003792</v>
      </c>
      <c r="G1750" s="761" t="s">
        <v>3425</v>
      </c>
      <c r="H1750" s="761" t="s">
        <v>7779</v>
      </c>
      <c r="I1750" s="761" t="s">
        <v>6867</v>
      </c>
      <c r="J1750" s="761">
        <v>2</v>
      </c>
      <c r="K1750" s="746">
        <v>6217.59</v>
      </c>
      <c r="L1750" s="746">
        <v>893.46</v>
      </c>
      <c r="M1750" s="746">
        <v>5324.13</v>
      </c>
      <c r="N1750" s="493" t="str">
        <f t="shared" si="29"/>
        <v>C397</v>
      </c>
      <c r="O1750" s="493" t="s">
        <v>99</v>
      </c>
      <c r="P1750" s="493" t="s">
        <v>8005</v>
      </c>
    </row>
    <row r="1751" spans="1:16">
      <c r="A1751" s="761" t="s">
        <v>2339</v>
      </c>
      <c r="B1751" s="761" t="s">
        <v>2340</v>
      </c>
      <c r="C1751" s="761" t="s">
        <v>2487</v>
      </c>
      <c r="D1751" s="761">
        <v>51942594</v>
      </c>
      <c r="E1751" s="761" t="s">
        <v>2972</v>
      </c>
      <c r="F1751" s="761">
        <v>143003793</v>
      </c>
      <c r="G1751" s="761" t="s">
        <v>3426</v>
      </c>
      <c r="H1751" s="761" t="s">
        <v>7780</v>
      </c>
      <c r="I1751" s="761" t="s">
        <v>6867</v>
      </c>
      <c r="J1751" s="761">
        <v>2</v>
      </c>
      <c r="K1751" s="746">
        <v>12605.45</v>
      </c>
      <c r="L1751" s="746">
        <v>1811.4</v>
      </c>
      <c r="M1751" s="746">
        <v>10794.050000000001</v>
      </c>
      <c r="N1751" s="493" t="str">
        <f t="shared" si="29"/>
        <v>C397</v>
      </c>
      <c r="O1751" s="493" t="s">
        <v>99</v>
      </c>
      <c r="P1751" s="493" t="s">
        <v>8005</v>
      </c>
    </row>
    <row r="1752" spans="1:16">
      <c r="A1752" s="761" t="s">
        <v>2339</v>
      </c>
      <c r="B1752" s="761" t="s">
        <v>2340</v>
      </c>
      <c r="C1752" s="761" t="s">
        <v>2487</v>
      </c>
      <c r="D1752" s="761">
        <v>51942597</v>
      </c>
      <c r="E1752" s="761" t="s">
        <v>2972</v>
      </c>
      <c r="F1752" s="761">
        <v>143003795</v>
      </c>
      <c r="G1752" s="761" t="s">
        <v>3428</v>
      </c>
      <c r="H1752" s="761" t="s">
        <v>7781</v>
      </c>
      <c r="I1752" s="761" t="s">
        <v>6867</v>
      </c>
      <c r="J1752" s="761">
        <v>2</v>
      </c>
      <c r="K1752" s="746">
        <v>5580.7300000000005</v>
      </c>
      <c r="L1752" s="746">
        <v>801.95</v>
      </c>
      <c r="M1752" s="746">
        <v>4778.78</v>
      </c>
      <c r="N1752" s="493" t="str">
        <f t="shared" si="29"/>
        <v>C397</v>
      </c>
      <c r="O1752" s="493" t="s">
        <v>99</v>
      </c>
      <c r="P1752" s="493" t="s">
        <v>8005</v>
      </c>
    </row>
    <row r="1753" spans="1:16">
      <c r="A1753" s="761" t="s">
        <v>2339</v>
      </c>
      <c r="B1753" s="761" t="s">
        <v>2340</v>
      </c>
      <c r="C1753" s="761" t="s">
        <v>2487</v>
      </c>
      <c r="D1753" s="761">
        <v>51942600</v>
      </c>
      <c r="E1753" s="761" t="s">
        <v>2972</v>
      </c>
      <c r="F1753" s="761">
        <v>143003796</v>
      </c>
      <c r="G1753" s="761" t="s">
        <v>3429</v>
      </c>
      <c r="H1753" s="761" t="s">
        <v>7782</v>
      </c>
      <c r="I1753" s="761" t="s">
        <v>6867</v>
      </c>
      <c r="J1753" s="761">
        <v>2</v>
      </c>
      <c r="K1753" s="746">
        <v>6006.63</v>
      </c>
      <c r="L1753" s="746">
        <v>863.15</v>
      </c>
      <c r="M1753" s="746">
        <v>5143.4800000000005</v>
      </c>
      <c r="N1753" s="493" t="str">
        <f t="shared" si="29"/>
        <v>C397</v>
      </c>
      <c r="O1753" s="493" t="s">
        <v>99</v>
      </c>
      <c r="P1753" s="493" t="s">
        <v>8005</v>
      </c>
    </row>
    <row r="1754" spans="1:16">
      <c r="A1754" s="761" t="s">
        <v>2339</v>
      </c>
      <c r="B1754" s="761" t="s">
        <v>2340</v>
      </c>
      <c r="C1754" s="761" t="s">
        <v>2487</v>
      </c>
      <c r="D1754" s="761">
        <v>51942603</v>
      </c>
      <c r="E1754" s="761" t="s">
        <v>2972</v>
      </c>
      <c r="F1754" s="761">
        <v>143003798</v>
      </c>
      <c r="G1754" s="761" t="s">
        <v>3431</v>
      </c>
      <c r="H1754" s="761" t="s">
        <v>7783</v>
      </c>
      <c r="I1754" s="761" t="s">
        <v>6867</v>
      </c>
      <c r="J1754" s="761">
        <v>2</v>
      </c>
      <c r="K1754" s="746">
        <v>5783.4400000000005</v>
      </c>
      <c r="L1754" s="746">
        <v>831.08</v>
      </c>
      <c r="M1754" s="746">
        <v>4952.3599999999997</v>
      </c>
      <c r="N1754" s="493" t="str">
        <f t="shared" si="29"/>
        <v>C397</v>
      </c>
      <c r="O1754" s="493" t="s">
        <v>99</v>
      </c>
      <c r="P1754" s="493" t="s">
        <v>8005</v>
      </c>
    </row>
    <row r="1755" spans="1:16">
      <c r="A1755" s="761" t="s">
        <v>2339</v>
      </c>
      <c r="B1755" s="761" t="s">
        <v>2340</v>
      </c>
      <c r="C1755" s="761" t="s">
        <v>2509</v>
      </c>
      <c r="D1755" s="761">
        <v>51942606</v>
      </c>
      <c r="E1755" s="761" t="s">
        <v>2972</v>
      </c>
      <c r="F1755" s="761">
        <v>143003804</v>
      </c>
      <c r="G1755" s="761" t="s">
        <v>3432</v>
      </c>
      <c r="H1755" s="761" t="s">
        <v>7784</v>
      </c>
      <c r="I1755" s="761" t="s">
        <v>6867</v>
      </c>
      <c r="J1755" s="761">
        <v>2</v>
      </c>
      <c r="K1755" s="746">
        <v>5104.38</v>
      </c>
      <c r="L1755" s="746">
        <v>733.5</v>
      </c>
      <c r="M1755" s="746">
        <v>4370.88</v>
      </c>
      <c r="N1755" s="493" t="str">
        <f t="shared" si="29"/>
        <v>C397</v>
      </c>
      <c r="O1755" s="493" t="s">
        <v>99</v>
      </c>
      <c r="P1755" s="493" t="s">
        <v>8005</v>
      </c>
    </row>
    <row r="1756" spans="1:16">
      <c r="A1756" s="761" t="s">
        <v>2339</v>
      </c>
      <c r="B1756" s="761" t="s">
        <v>2340</v>
      </c>
      <c r="C1756" s="761" t="s">
        <v>2509</v>
      </c>
      <c r="D1756" s="761">
        <v>52051880</v>
      </c>
      <c r="E1756" s="761" t="s">
        <v>2972</v>
      </c>
      <c r="F1756" s="761">
        <v>143003805</v>
      </c>
      <c r="G1756" s="761" t="s">
        <v>3433</v>
      </c>
      <c r="H1756" s="761" t="s">
        <v>7785</v>
      </c>
      <c r="I1756" s="761" t="s">
        <v>6867</v>
      </c>
      <c r="J1756" s="761">
        <v>2</v>
      </c>
      <c r="K1756" s="746">
        <v>5233.1400000000003</v>
      </c>
      <c r="L1756" s="746">
        <v>752</v>
      </c>
      <c r="M1756" s="746">
        <v>4481.1400000000003</v>
      </c>
      <c r="N1756" s="493" t="str">
        <f t="shared" si="29"/>
        <v>C397</v>
      </c>
      <c r="O1756" s="493" t="s">
        <v>99</v>
      </c>
      <c r="P1756" s="493" t="s">
        <v>8005</v>
      </c>
    </row>
    <row r="1757" spans="1:16">
      <c r="A1757" s="761" t="s">
        <v>2339</v>
      </c>
      <c r="B1757" s="761" t="s">
        <v>2340</v>
      </c>
      <c r="C1757" s="761" t="s">
        <v>2509</v>
      </c>
      <c r="D1757" s="761">
        <v>52051883</v>
      </c>
      <c r="E1757" s="761" t="s">
        <v>2972</v>
      </c>
      <c r="F1757" s="761">
        <v>143003807</v>
      </c>
      <c r="G1757" s="761" t="s">
        <v>3435</v>
      </c>
      <c r="H1757" s="761" t="s">
        <v>7786</v>
      </c>
      <c r="I1757" s="761" t="s">
        <v>6867</v>
      </c>
      <c r="J1757" s="761">
        <v>2</v>
      </c>
      <c r="K1757" s="746">
        <v>5650.43</v>
      </c>
      <c r="L1757" s="746">
        <v>811.96</v>
      </c>
      <c r="M1757" s="746">
        <v>4838.47</v>
      </c>
      <c r="N1757" s="493" t="str">
        <f t="shared" si="29"/>
        <v>C397</v>
      </c>
      <c r="O1757" s="493" t="s">
        <v>99</v>
      </c>
      <c r="P1757" s="493" t="s">
        <v>8005</v>
      </c>
    </row>
    <row r="1758" spans="1:16">
      <c r="A1758" s="761" t="s">
        <v>2339</v>
      </c>
      <c r="B1758" s="761" t="s">
        <v>2340</v>
      </c>
      <c r="C1758" s="761" t="s">
        <v>2509</v>
      </c>
      <c r="D1758" s="761">
        <v>52051886</v>
      </c>
      <c r="E1758" s="761" t="s">
        <v>2972</v>
      </c>
      <c r="F1758" s="761">
        <v>143003808</v>
      </c>
      <c r="G1758" s="761" t="s">
        <v>3436</v>
      </c>
      <c r="H1758" s="761" t="s">
        <v>7787</v>
      </c>
      <c r="I1758" s="761" t="s">
        <v>6867</v>
      </c>
      <c r="J1758" s="761">
        <v>2</v>
      </c>
      <c r="K1758" s="746">
        <v>5099.05</v>
      </c>
      <c r="L1758" s="746">
        <v>732.73</v>
      </c>
      <c r="M1758" s="746">
        <v>4366.32</v>
      </c>
      <c r="N1758" s="493" t="str">
        <f t="shared" si="29"/>
        <v>C397</v>
      </c>
      <c r="O1758" s="493" t="s">
        <v>99</v>
      </c>
      <c r="P1758" s="493" t="s">
        <v>8005</v>
      </c>
    </row>
    <row r="1759" spans="1:16">
      <c r="A1759" s="761" t="s">
        <v>2339</v>
      </c>
      <c r="B1759" s="761" t="s">
        <v>2340</v>
      </c>
      <c r="C1759" s="761" t="s">
        <v>2509</v>
      </c>
      <c r="D1759" s="761">
        <v>52051889</v>
      </c>
      <c r="E1759" s="761" t="s">
        <v>2972</v>
      </c>
      <c r="F1759" s="761">
        <v>143003810</v>
      </c>
      <c r="G1759" s="761" t="s">
        <v>3438</v>
      </c>
      <c r="H1759" s="761" t="s">
        <v>7788</v>
      </c>
      <c r="I1759" s="761" t="s">
        <v>6867</v>
      </c>
      <c r="J1759" s="761">
        <v>2</v>
      </c>
      <c r="K1759" s="746">
        <v>6462.79</v>
      </c>
      <c r="L1759" s="746">
        <v>928.7</v>
      </c>
      <c r="M1759" s="746">
        <v>5534.09</v>
      </c>
      <c r="N1759" s="493" t="str">
        <f t="shared" si="29"/>
        <v>C397</v>
      </c>
      <c r="O1759" s="493" t="s">
        <v>99</v>
      </c>
      <c r="P1759" s="493" t="s">
        <v>8005</v>
      </c>
    </row>
    <row r="1760" spans="1:16">
      <c r="A1760" s="761" t="s">
        <v>2339</v>
      </c>
      <c r="B1760" s="761" t="s">
        <v>2340</v>
      </c>
      <c r="C1760" s="761" t="s">
        <v>2517</v>
      </c>
      <c r="D1760" s="761">
        <v>52051892</v>
      </c>
      <c r="E1760" s="761" t="s">
        <v>2972</v>
      </c>
      <c r="F1760" s="761">
        <v>143004012</v>
      </c>
      <c r="G1760" s="761" t="s">
        <v>3464</v>
      </c>
      <c r="H1760" s="761" t="s">
        <v>7789</v>
      </c>
      <c r="I1760" s="761" t="s">
        <v>6867</v>
      </c>
      <c r="J1760" s="761">
        <v>2</v>
      </c>
      <c r="K1760" s="746">
        <v>8226</v>
      </c>
      <c r="L1760" s="746">
        <v>1182.07</v>
      </c>
      <c r="M1760" s="746">
        <v>7043.93</v>
      </c>
      <c r="N1760" s="493" t="str">
        <f t="shared" si="29"/>
        <v>C397</v>
      </c>
      <c r="O1760" s="493" t="s">
        <v>99</v>
      </c>
      <c r="P1760" s="493" t="s">
        <v>8005</v>
      </c>
    </row>
    <row r="1761" spans="1:16">
      <c r="A1761" s="761" t="s">
        <v>2339</v>
      </c>
      <c r="B1761" s="761" t="s">
        <v>2340</v>
      </c>
      <c r="C1761" s="761" t="s">
        <v>2517</v>
      </c>
      <c r="D1761" s="761">
        <v>52051895</v>
      </c>
      <c r="E1761" s="761" t="s">
        <v>2972</v>
      </c>
      <c r="F1761" s="761">
        <v>143004013</v>
      </c>
      <c r="G1761" s="761" t="s">
        <v>3465</v>
      </c>
      <c r="H1761" s="761" t="s">
        <v>7790</v>
      </c>
      <c r="I1761" s="761" t="s">
        <v>6867</v>
      </c>
      <c r="J1761" s="761">
        <v>2</v>
      </c>
      <c r="K1761" s="746">
        <v>7793.71</v>
      </c>
      <c r="L1761" s="746">
        <v>1119.95</v>
      </c>
      <c r="M1761" s="746">
        <v>6673.76</v>
      </c>
      <c r="N1761" s="493" t="str">
        <f t="shared" si="29"/>
        <v>C397</v>
      </c>
      <c r="O1761" s="493" t="s">
        <v>99</v>
      </c>
      <c r="P1761" s="493" t="s">
        <v>8005</v>
      </c>
    </row>
    <row r="1762" spans="1:16">
      <c r="A1762" s="761" t="s">
        <v>2339</v>
      </c>
      <c r="B1762" s="761" t="s">
        <v>2340</v>
      </c>
      <c r="C1762" s="761" t="s">
        <v>2517</v>
      </c>
      <c r="D1762" s="761">
        <v>52051898</v>
      </c>
      <c r="E1762" s="761" t="s">
        <v>2972</v>
      </c>
      <c r="F1762" s="761">
        <v>143004014</v>
      </c>
      <c r="G1762" s="761" t="s">
        <v>3466</v>
      </c>
      <c r="H1762" s="761" t="s">
        <v>7791</v>
      </c>
      <c r="I1762" s="761" t="s">
        <v>6867</v>
      </c>
      <c r="J1762" s="761">
        <v>2</v>
      </c>
      <c r="K1762" s="746">
        <v>8517.67</v>
      </c>
      <c r="L1762" s="746">
        <v>1223.98</v>
      </c>
      <c r="M1762" s="746">
        <v>7293.6900000000005</v>
      </c>
      <c r="N1762" s="493" t="str">
        <f t="shared" si="29"/>
        <v>C397</v>
      </c>
      <c r="O1762" s="493" t="s">
        <v>99</v>
      </c>
      <c r="P1762" s="493" t="s">
        <v>8005</v>
      </c>
    </row>
    <row r="1763" spans="1:16">
      <c r="A1763" s="761" t="s">
        <v>2339</v>
      </c>
      <c r="B1763" s="761" t="s">
        <v>2340</v>
      </c>
      <c r="C1763" s="761" t="s">
        <v>2517</v>
      </c>
      <c r="D1763" s="761">
        <v>52051901</v>
      </c>
      <c r="E1763" s="761" t="s">
        <v>2972</v>
      </c>
      <c r="F1763" s="761">
        <v>143004015</v>
      </c>
      <c r="G1763" s="761" t="s">
        <v>3467</v>
      </c>
      <c r="H1763" s="761" t="s">
        <v>3467</v>
      </c>
      <c r="I1763" s="761" t="s">
        <v>6867</v>
      </c>
      <c r="J1763" s="761">
        <v>2</v>
      </c>
      <c r="K1763" s="746">
        <v>6043.25</v>
      </c>
      <c r="L1763" s="746">
        <v>868.41</v>
      </c>
      <c r="M1763" s="746">
        <v>5174.84</v>
      </c>
      <c r="N1763" s="493" t="str">
        <f t="shared" si="29"/>
        <v>C397</v>
      </c>
      <c r="O1763" s="493" t="s">
        <v>99</v>
      </c>
      <c r="P1763" s="493" t="s">
        <v>8005</v>
      </c>
    </row>
    <row r="1764" spans="1:16">
      <c r="A1764" s="761" t="s">
        <v>2339</v>
      </c>
      <c r="B1764" s="761" t="s">
        <v>2340</v>
      </c>
      <c r="C1764" s="761" t="s">
        <v>2517</v>
      </c>
      <c r="D1764" s="761">
        <v>52051904</v>
      </c>
      <c r="E1764" s="761" t="s">
        <v>2972</v>
      </c>
      <c r="F1764" s="761">
        <v>143004016</v>
      </c>
      <c r="G1764" s="761" t="s">
        <v>3468</v>
      </c>
      <c r="H1764" s="761" t="s">
        <v>7792</v>
      </c>
      <c r="I1764" s="761" t="s">
        <v>6867</v>
      </c>
      <c r="J1764" s="761">
        <v>2</v>
      </c>
      <c r="K1764" s="746">
        <v>7804.92</v>
      </c>
      <c r="L1764" s="746">
        <v>1121.56</v>
      </c>
      <c r="M1764" s="746">
        <v>6683.3600000000006</v>
      </c>
      <c r="N1764" s="493" t="str">
        <f t="shared" si="29"/>
        <v>C397</v>
      </c>
      <c r="O1764" s="493" t="s">
        <v>99</v>
      </c>
      <c r="P1764" s="493" t="s">
        <v>8005</v>
      </c>
    </row>
    <row r="1765" spans="1:16">
      <c r="A1765" s="761" t="s">
        <v>2339</v>
      </c>
      <c r="B1765" s="761" t="s">
        <v>2340</v>
      </c>
      <c r="C1765" s="761" t="s">
        <v>2476</v>
      </c>
      <c r="D1765" s="761">
        <v>52051909</v>
      </c>
      <c r="E1765" s="761" t="s">
        <v>2972</v>
      </c>
      <c r="F1765" s="761">
        <v>143004061</v>
      </c>
      <c r="G1765" s="761" t="s">
        <v>3474</v>
      </c>
      <c r="H1765" s="761" t="s">
        <v>7793</v>
      </c>
      <c r="I1765" s="761" t="s">
        <v>6867</v>
      </c>
      <c r="J1765" s="761">
        <v>2</v>
      </c>
      <c r="K1765" s="746">
        <v>7261.34</v>
      </c>
      <c r="L1765" s="746">
        <v>1043.45</v>
      </c>
      <c r="M1765" s="746">
        <v>6217.89</v>
      </c>
      <c r="N1765" s="493" t="str">
        <f t="shared" si="29"/>
        <v>C397</v>
      </c>
      <c r="O1765" s="493" t="s">
        <v>99</v>
      </c>
      <c r="P1765" s="493" t="s">
        <v>8005</v>
      </c>
    </row>
    <row r="1766" spans="1:16">
      <c r="A1766" s="761" t="s">
        <v>2339</v>
      </c>
      <c r="B1766" s="761" t="s">
        <v>2340</v>
      </c>
      <c r="C1766" s="761" t="s">
        <v>2476</v>
      </c>
      <c r="D1766" s="761">
        <v>52051912</v>
      </c>
      <c r="E1766" s="761" t="s">
        <v>2972</v>
      </c>
      <c r="F1766" s="761">
        <v>143004068</v>
      </c>
      <c r="G1766" s="761" t="s">
        <v>3481</v>
      </c>
      <c r="H1766" s="761" t="s">
        <v>7794</v>
      </c>
      <c r="I1766" s="761" t="s">
        <v>6867</v>
      </c>
      <c r="J1766" s="761">
        <v>2</v>
      </c>
      <c r="K1766" s="746">
        <v>19277.28</v>
      </c>
      <c r="L1766" s="746">
        <v>2770.13</v>
      </c>
      <c r="M1766" s="746">
        <v>16507.150000000001</v>
      </c>
      <c r="N1766" s="493" t="str">
        <f t="shared" si="29"/>
        <v>C397</v>
      </c>
      <c r="O1766" s="493" t="s">
        <v>99</v>
      </c>
      <c r="P1766" s="493" t="s">
        <v>8005</v>
      </c>
    </row>
    <row r="1767" spans="1:16">
      <c r="A1767" s="761" t="s">
        <v>2339</v>
      </c>
      <c r="B1767" s="761" t="s">
        <v>2340</v>
      </c>
      <c r="C1767" s="761" t="s">
        <v>2487</v>
      </c>
      <c r="D1767" s="761">
        <v>52051915</v>
      </c>
      <c r="E1767" s="761" t="s">
        <v>2972</v>
      </c>
      <c r="F1767" s="761">
        <v>143004122</v>
      </c>
      <c r="G1767" s="761" t="s">
        <v>3484</v>
      </c>
      <c r="H1767" s="761" t="s">
        <v>7795</v>
      </c>
      <c r="I1767" s="761" t="s">
        <v>6867</v>
      </c>
      <c r="J1767" s="761">
        <v>2</v>
      </c>
      <c r="K1767" s="746">
        <v>6217.59</v>
      </c>
      <c r="L1767" s="746">
        <v>893.46</v>
      </c>
      <c r="M1767" s="746">
        <v>5324.13</v>
      </c>
      <c r="N1767" s="493" t="str">
        <f t="shared" si="29"/>
        <v>C397</v>
      </c>
      <c r="O1767" s="493" t="s">
        <v>99</v>
      </c>
      <c r="P1767" s="493" t="s">
        <v>8005</v>
      </c>
    </row>
    <row r="1768" spans="1:16">
      <c r="A1768" s="761" t="s">
        <v>2339</v>
      </c>
      <c r="B1768" s="761" t="s">
        <v>2340</v>
      </c>
      <c r="C1768" s="761" t="s">
        <v>2487</v>
      </c>
      <c r="D1768" s="761">
        <v>52051918</v>
      </c>
      <c r="E1768" s="761" t="s">
        <v>2972</v>
      </c>
      <c r="F1768" s="761">
        <v>143004123</v>
      </c>
      <c r="G1768" s="761" t="s">
        <v>3485</v>
      </c>
      <c r="H1768" s="761" t="s">
        <v>7796</v>
      </c>
      <c r="I1768" s="761" t="s">
        <v>6867</v>
      </c>
      <c r="J1768" s="761">
        <v>2</v>
      </c>
      <c r="K1768" s="746">
        <v>13068.470000000001</v>
      </c>
      <c r="L1768" s="746">
        <v>1877.93</v>
      </c>
      <c r="M1768" s="746">
        <v>11190.54</v>
      </c>
      <c r="N1768" s="493" t="str">
        <f t="shared" si="29"/>
        <v>C397</v>
      </c>
      <c r="O1768" s="493" t="s">
        <v>99</v>
      </c>
      <c r="P1768" s="493" t="s">
        <v>8005</v>
      </c>
    </row>
    <row r="1769" spans="1:16">
      <c r="A1769" s="761" t="s">
        <v>2339</v>
      </c>
      <c r="B1769" s="761" t="s">
        <v>2340</v>
      </c>
      <c r="C1769" s="761" t="s">
        <v>2487</v>
      </c>
      <c r="D1769" s="761">
        <v>52051921</v>
      </c>
      <c r="E1769" s="761" t="s">
        <v>2972</v>
      </c>
      <c r="F1769" s="761">
        <v>143004124</v>
      </c>
      <c r="G1769" s="761" t="s">
        <v>3486</v>
      </c>
      <c r="H1769" s="761" t="s">
        <v>7797</v>
      </c>
      <c r="I1769" s="761" t="s">
        <v>6867</v>
      </c>
      <c r="J1769" s="761">
        <v>2</v>
      </c>
      <c r="K1769" s="746">
        <v>13068.470000000001</v>
      </c>
      <c r="L1769" s="746">
        <v>1877.93</v>
      </c>
      <c r="M1769" s="746">
        <v>11190.54</v>
      </c>
      <c r="N1769" s="493" t="str">
        <f t="shared" si="29"/>
        <v>C397</v>
      </c>
      <c r="O1769" s="493" t="s">
        <v>99</v>
      </c>
      <c r="P1769" s="493" t="s">
        <v>8005</v>
      </c>
    </row>
    <row r="1770" spans="1:16">
      <c r="A1770" s="761" t="s">
        <v>2339</v>
      </c>
      <c r="B1770" s="761" t="s">
        <v>2340</v>
      </c>
      <c r="C1770" s="761" t="s">
        <v>2487</v>
      </c>
      <c r="D1770" s="761">
        <v>52051924</v>
      </c>
      <c r="E1770" s="761" t="s">
        <v>2972</v>
      </c>
      <c r="F1770" s="761">
        <v>143004126</v>
      </c>
      <c r="G1770" s="761" t="s">
        <v>3488</v>
      </c>
      <c r="H1770" s="761" t="s">
        <v>7798</v>
      </c>
      <c r="I1770" s="761" t="s">
        <v>6867</v>
      </c>
      <c r="J1770" s="761">
        <v>2</v>
      </c>
      <c r="K1770" s="746">
        <v>13068.470000000001</v>
      </c>
      <c r="L1770" s="746">
        <v>1877.93</v>
      </c>
      <c r="M1770" s="746">
        <v>11190.54</v>
      </c>
      <c r="N1770" s="493" t="str">
        <f t="shared" si="29"/>
        <v>C397</v>
      </c>
      <c r="O1770" s="493" t="s">
        <v>99</v>
      </c>
      <c r="P1770" s="493" t="s">
        <v>8005</v>
      </c>
    </row>
    <row r="1771" spans="1:16">
      <c r="A1771" s="761" t="s">
        <v>2339</v>
      </c>
      <c r="B1771" s="761" t="s">
        <v>2340</v>
      </c>
      <c r="C1771" s="761" t="s">
        <v>2487</v>
      </c>
      <c r="D1771" s="761">
        <v>52051927</v>
      </c>
      <c r="E1771" s="761" t="s">
        <v>2972</v>
      </c>
      <c r="F1771" s="761">
        <v>143004127</v>
      </c>
      <c r="G1771" s="761" t="s">
        <v>3489</v>
      </c>
      <c r="H1771" s="761" t="s">
        <v>7799</v>
      </c>
      <c r="I1771" s="761" t="s">
        <v>6867</v>
      </c>
      <c r="J1771" s="761">
        <v>2</v>
      </c>
      <c r="K1771" s="746">
        <v>13105.03</v>
      </c>
      <c r="L1771" s="746">
        <v>1883.19</v>
      </c>
      <c r="M1771" s="746">
        <v>11221.84</v>
      </c>
      <c r="N1771" s="493" t="str">
        <f t="shared" si="29"/>
        <v>C397</v>
      </c>
      <c r="O1771" s="493" t="s">
        <v>99</v>
      </c>
      <c r="P1771" s="493" t="s">
        <v>8005</v>
      </c>
    </row>
    <row r="1772" spans="1:16">
      <c r="A1772" s="761" t="s">
        <v>2339</v>
      </c>
      <c r="B1772" s="761" t="s">
        <v>2340</v>
      </c>
      <c r="C1772" s="761" t="s">
        <v>2487</v>
      </c>
      <c r="D1772" s="761">
        <v>52051930</v>
      </c>
      <c r="E1772" s="761" t="s">
        <v>2972</v>
      </c>
      <c r="F1772" s="761">
        <v>143004128</v>
      </c>
      <c r="G1772" s="761" t="s">
        <v>3490</v>
      </c>
      <c r="H1772" s="761" t="s">
        <v>7800</v>
      </c>
      <c r="I1772" s="761" t="s">
        <v>6867</v>
      </c>
      <c r="J1772" s="761">
        <v>2</v>
      </c>
      <c r="K1772" s="746">
        <v>13112.27</v>
      </c>
      <c r="L1772" s="746">
        <v>1884.23</v>
      </c>
      <c r="M1772" s="746">
        <v>11228.04</v>
      </c>
      <c r="N1772" s="493" t="str">
        <f t="shared" si="29"/>
        <v>C397</v>
      </c>
      <c r="O1772" s="493" t="s">
        <v>99</v>
      </c>
      <c r="P1772" s="493" t="s">
        <v>8005</v>
      </c>
    </row>
    <row r="1773" spans="1:16">
      <c r="A1773" s="761" t="s">
        <v>2339</v>
      </c>
      <c r="B1773" s="761" t="s">
        <v>2340</v>
      </c>
      <c r="C1773" s="761" t="s">
        <v>2487</v>
      </c>
      <c r="D1773" s="761">
        <v>52051933</v>
      </c>
      <c r="E1773" s="761" t="s">
        <v>2972</v>
      </c>
      <c r="F1773" s="761">
        <v>143004129</v>
      </c>
      <c r="G1773" s="761" t="s">
        <v>3491</v>
      </c>
      <c r="H1773" s="761" t="s">
        <v>3491</v>
      </c>
      <c r="I1773" s="761" t="s">
        <v>6867</v>
      </c>
      <c r="J1773" s="761">
        <v>2</v>
      </c>
      <c r="K1773" s="746">
        <v>5810.06</v>
      </c>
      <c r="L1773" s="746">
        <v>834.9</v>
      </c>
      <c r="M1773" s="746">
        <v>4975.16</v>
      </c>
      <c r="N1773" s="493" t="str">
        <f t="shared" si="29"/>
        <v>C397</v>
      </c>
      <c r="O1773" s="493" t="s">
        <v>99</v>
      </c>
      <c r="P1773" s="493" t="s">
        <v>8005</v>
      </c>
    </row>
    <row r="1774" spans="1:16">
      <c r="A1774" s="761" t="s">
        <v>2339</v>
      </c>
      <c r="B1774" s="761" t="s">
        <v>2340</v>
      </c>
      <c r="C1774" s="761" t="s">
        <v>2473</v>
      </c>
      <c r="D1774" s="761">
        <v>52051936</v>
      </c>
      <c r="E1774" s="761" t="s">
        <v>2972</v>
      </c>
      <c r="F1774" s="761">
        <v>143004131</v>
      </c>
      <c r="G1774" s="761" t="s">
        <v>3492</v>
      </c>
      <c r="H1774" s="761" t="s">
        <v>7801</v>
      </c>
      <c r="I1774" s="761" t="s">
        <v>6867</v>
      </c>
      <c r="J1774" s="761">
        <v>2</v>
      </c>
      <c r="K1774" s="746">
        <v>4665.4800000000005</v>
      </c>
      <c r="L1774" s="746">
        <v>670.43000000000006</v>
      </c>
      <c r="M1774" s="746">
        <v>3995.05</v>
      </c>
      <c r="N1774" s="493" t="str">
        <f t="shared" si="29"/>
        <v>C397</v>
      </c>
      <c r="O1774" s="493" t="s">
        <v>99</v>
      </c>
      <c r="P1774" s="493" t="s">
        <v>8005</v>
      </c>
    </row>
    <row r="1775" spans="1:16">
      <c r="A1775" s="761" t="s">
        <v>2339</v>
      </c>
      <c r="B1775" s="761" t="s">
        <v>2340</v>
      </c>
      <c r="C1775" s="761" t="s">
        <v>2473</v>
      </c>
      <c r="D1775" s="761">
        <v>52051939</v>
      </c>
      <c r="E1775" s="761" t="s">
        <v>2972</v>
      </c>
      <c r="F1775" s="761">
        <v>143004132</v>
      </c>
      <c r="G1775" s="761" t="s">
        <v>3493</v>
      </c>
      <c r="H1775" s="761" t="s">
        <v>7802</v>
      </c>
      <c r="I1775" s="761" t="s">
        <v>6867</v>
      </c>
      <c r="J1775" s="761">
        <v>2</v>
      </c>
      <c r="K1775" s="746">
        <v>4665.47</v>
      </c>
      <c r="L1775" s="746">
        <v>670.43000000000006</v>
      </c>
      <c r="M1775" s="746">
        <v>3995.04</v>
      </c>
      <c r="N1775" s="493" t="str">
        <f t="shared" si="29"/>
        <v>C397</v>
      </c>
      <c r="O1775" s="493" t="s">
        <v>99</v>
      </c>
      <c r="P1775" s="493" t="s">
        <v>8005</v>
      </c>
    </row>
    <row r="1776" spans="1:16">
      <c r="A1776" s="761" t="s">
        <v>2339</v>
      </c>
      <c r="B1776" s="761" t="s">
        <v>2340</v>
      </c>
      <c r="C1776" s="761" t="s">
        <v>2473</v>
      </c>
      <c r="D1776" s="761">
        <v>52051942</v>
      </c>
      <c r="E1776" s="761" t="s">
        <v>2972</v>
      </c>
      <c r="F1776" s="761">
        <v>143004134</v>
      </c>
      <c r="G1776" s="761" t="s">
        <v>3494</v>
      </c>
      <c r="H1776" s="761" t="s">
        <v>7803</v>
      </c>
      <c r="I1776" s="761" t="s">
        <v>6867</v>
      </c>
      <c r="J1776" s="761">
        <v>2</v>
      </c>
      <c r="K1776" s="746">
        <v>5833.58</v>
      </c>
      <c r="L1776" s="746">
        <v>838.28</v>
      </c>
      <c r="M1776" s="746">
        <v>4995.3</v>
      </c>
      <c r="N1776" s="493" t="str">
        <f t="shared" si="29"/>
        <v>C397</v>
      </c>
      <c r="O1776" s="493" t="s">
        <v>99</v>
      </c>
      <c r="P1776" s="493" t="s">
        <v>8005</v>
      </c>
    </row>
    <row r="1777" spans="1:16">
      <c r="A1777" s="761" t="s">
        <v>2339</v>
      </c>
      <c r="B1777" s="761" t="s">
        <v>2340</v>
      </c>
      <c r="C1777" s="761" t="s">
        <v>2473</v>
      </c>
      <c r="D1777" s="761">
        <v>52051945</v>
      </c>
      <c r="E1777" s="761" t="s">
        <v>2972</v>
      </c>
      <c r="F1777" s="761">
        <v>143004135</v>
      </c>
      <c r="G1777" s="761" t="s">
        <v>3494</v>
      </c>
      <c r="H1777" s="761" t="s">
        <v>7804</v>
      </c>
      <c r="I1777" s="761" t="s">
        <v>6867</v>
      </c>
      <c r="J1777" s="761">
        <v>2</v>
      </c>
      <c r="K1777" s="746">
        <v>5360.04</v>
      </c>
      <c r="L1777" s="746">
        <v>770.23</v>
      </c>
      <c r="M1777" s="746">
        <v>4589.8100000000004</v>
      </c>
      <c r="N1777" s="493" t="str">
        <f t="shared" si="29"/>
        <v>C397</v>
      </c>
      <c r="O1777" s="493" t="s">
        <v>99</v>
      </c>
      <c r="P1777" s="493" t="s">
        <v>8005</v>
      </c>
    </row>
    <row r="1778" spans="1:16">
      <c r="A1778" s="761" t="s">
        <v>2339</v>
      </c>
      <c r="B1778" s="761" t="s">
        <v>2340</v>
      </c>
      <c r="C1778" s="761" t="s">
        <v>2473</v>
      </c>
      <c r="D1778" s="761">
        <v>52051948</v>
      </c>
      <c r="E1778" s="761" t="s">
        <v>2972</v>
      </c>
      <c r="F1778" s="761">
        <v>143004136</v>
      </c>
      <c r="G1778" s="761" t="s">
        <v>3495</v>
      </c>
      <c r="H1778" s="761" t="s">
        <v>7805</v>
      </c>
      <c r="I1778" s="761" t="s">
        <v>6867</v>
      </c>
      <c r="J1778" s="761">
        <v>2</v>
      </c>
      <c r="K1778" s="746">
        <v>5701.9800000000005</v>
      </c>
      <c r="L1778" s="746">
        <v>819.37</v>
      </c>
      <c r="M1778" s="746">
        <v>4882.6099999999997</v>
      </c>
      <c r="N1778" s="493" t="str">
        <f t="shared" si="29"/>
        <v>C397</v>
      </c>
      <c r="O1778" s="493" t="s">
        <v>99</v>
      </c>
      <c r="P1778" s="493" t="s">
        <v>8005</v>
      </c>
    </row>
    <row r="1779" spans="1:16">
      <c r="A1779" s="761" t="s">
        <v>2339</v>
      </c>
      <c r="B1779" s="761" t="s">
        <v>2340</v>
      </c>
      <c r="C1779" s="761" t="s">
        <v>2473</v>
      </c>
      <c r="D1779" s="761">
        <v>52051951</v>
      </c>
      <c r="E1779" s="761" t="s">
        <v>2972</v>
      </c>
      <c r="F1779" s="761">
        <v>143004137</v>
      </c>
      <c r="G1779" s="761" t="s">
        <v>3495</v>
      </c>
      <c r="H1779" s="761" t="s">
        <v>7806</v>
      </c>
      <c r="I1779" s="761" t="s">
        <v>6867</v>
      </c>
      <c r="J1779" s="761">
        <v>2</v>
      </c>
      <c r="K1779" s="746">
        <v>5664.67</v>
      </c>
      <c r="L1779" s="746">
        <v>814.01</v>
      </c>
      <c r="M1779" s="746">
        <v>4850.66</v>
      </c>
      <c r="N1779" s="493" t="str">
        <f t="shared" si="29"/>
        <v>C397</v>
      </c>
      <c r="O1779" s="493" t="s">
        <v>99</v>
      </c>
      <c r="P1779" s="493" t="s">
        <v>8005</v>
      </c>
    </row>
    <row r="1780" spans="1:16">
      <c r="A1780" s="761" t="s">
        <v>2339</v>
      </c>
      <c r="B1780" s="761" t="s">
        <v>2340</v>
      </c>
      <c r="C1780" s="761" t="s">
        <v>2512</v>
      </c>
      <c r="D1780" s="761">
        <v>52051954</v>
      </c>
      <c r="E1780" s="761" t="s">
        <v>2972</v>
      </c>
      <c r="F1780" s="761">
        <v>143004181</v>
      </c>
      <c r="G1780" s="761" t="s">
        <v>3496</v>
      </c>
      <c r="H1780" s="761" t="s">
        <v>7807</v>
      </c>
      <c r="I1780" s="761" t="s">
        <v>6867</v>
      </c>
      <c r="J1780" s="761">
        <v>2</v>
      </c>
      <c r="K1780" s="746">
        <v>5178.2</v>
      </c>
      <c r="L1780" s="746">
        <v>744.1</v>
      </c>
      <c r="M1780" s="746">
        <v>4434.1000000000004</v>
      </c>
      <c r="N1780" s="493" t="str">
        <f t="shared" si="29"/>
        <v>C397</v>
      </c>
      <c r="O1780" s="493" t="s">
        <v>99</v>
      </c>
      <c r="P1780" s="493" t="s">
        <v>8005</v>
      </c>
    </row>
    <row r="1781" spans="1:16">
      <c r="A1781" s="761" t="s">
        <v>2339</v>
      </c>
      <c r="B1781" s="761" t="s">
        <v>2340</v>
      </c>
      <c r="C1781" s="761" t="s">
        <v>2512</v>
      </c>
      <c r="D1781" s="761">
        <v>52051957</v>
      </c>
      <c r="E1781" s="761" t="s">
        <v>2972</v>
      </c>
      <c r="F1781" s="761">
        <v>143004182</v>
      </c>
      <c r="G1781" s="761" t="s">
        <v>3497</v>
      </c>
      <c r="H1781" s="761" t="s">
        <v>7808</v>
      </c>
      <c r="I1781" s="761" t="s">
        <v>6867</v>
      </c>
      <c r="J1781" s="761">
        <v>2</v>
      </c>
      <c r="K1781" s="746">
        <v>5701.9800000000005</v>
      </c>
      <c r="L1781" s="746">
        <v>819.37</v>
      </c>
      <c r="M1781" s="746">
        <v>4882.6099999999997</v>
      </c>
      <c r="N1781" s="493" t="str">
        <f t="shared" si="29"/>
        <v>C397</v>
      </c>
      <c r="O1781" s="493" t="s">
        <v>99</v>
      </c>
      <c r="P1781" s="493" t="s">
        <v>8005</v>
      </c>
    </row>
    <row r="1782" spans="1:16">
      <c r="A1782" s="761" t="s">
        <v>2339</v>
      </c>
      <c r="B1782" s="761" t="s">
        <v>2340</v>
      </c>
      <c r="C1782" s="761" t="s">
        <v>2512</v>
      </c>
      <c r="D1782" s="761">
        <v>52051960</v>
      </c>
      <c r="E1782" s="761" t="s">
        <v>2972</v>
      </c>
      <c r="F1782" s="761">
        <v>143004183</v>
      </c>
      <c r="G1782" s="761" t="s">
        <v>3498</v>
      </c>
      <c r="H1782" s="761" t="s">
        <v>7809</v>
      </c>
      <c r="I1782" s="761" t="s">
        <v>6867</v>
      </c>
      <c r="J1782" s="761">
        <v>2</v>
      </c>
      <c r="K1782" s="746">
        <v>5194.2</v>
      </c>
      <c r="L1782" s="746">
        <v>746.4</v>
      </c>
      <c r="M1782" s="746">
        <v>4447.8</v>
      </c>
      <c r="N1782" s="493" t="str">
        <f t="shared" si="29"/>
        <v>C397</v>
      </c>
      <c r="O1782" s="493" t="s">
        <v>99</v>
      </c>
      <c r="P1782" s="493" t="s">
        <v>8005</v>
      </c>
    </row>
    <row r="1783" spans="1:16">
      <c r="A1783" s="761" t="s">
        <v>2339</v>
      </c>
      <c r="B1783" s="761" t="s">
        <v>2340</v>
      </c>
      <c r="C1783" s="761" t="s">
        <v>2512</v>
      </c>
      <c r="D1783" s="761">
        <v>52051963</v>
      </c>
      <c r="E1783" s="761" t="s">
        <v>2972</v>
      </c>
      <c r="F1783" s="761">
        <v>143004184</v>
      </c>
      <c r="G1783" s="761" t="s">
        <v>3499</v>
      </c>
      <c r="H1783" s="761" t="s">
        <v>7810</v>
      </c>
      <c r="I1783" s="761" t="s">
        <v>6867</v>
      </c>
      <c r="J1783" s="761">
        <v>2</v>
      </c>
      <c r="K1783" s="746">
        <v>5081.96</v>
      </c>
      <c r="L1783" s="746">
        <v>730.27</v>
      </c>
      <c r="M1783" s="746">
        <v>4351.6900000000005</v>
      </c>
      <c r="N1783" s="493" t="str">
        <f t="shared" si="29"/>
        <v>C397</v>
      </c>
      <c r="O1783" s="493" t="s">
        <v>99</v>
      </c>
      <c r="P1783" s="493" t="s">
        <v>8005</v>
      </c>
    </row>
    <row r="1784" spans="1:16">
      <c r="A1784" s="761" t="s">
        <v>2339</v>
      </c>
      <c r="B1784" s="761" t="s">
        <v>2340</v>
      </c>
      <c r="C1784" s="761" t="s">
        <v>2512</v>
      </c>
      <c r="D1784" s="761">
        <v>52051966</v>
      </c>
      <c r="E1784" s="761" t="s">
        <v>2972</v>
      </c>
      <c r="F1784" s="761">
        <v>143004187</v>
      </c>
      <c r="G1784" s="761" t="s">
        <v>3501</v>
      </c>
      <c r="H1784" s="761" t="s">
        <v>7811</v>
      </c>
      <c r="I1784" s="761" t="s">
        <v>6867</v>
      </c>
      <c r="J1784" s="761">
        <v>2</v>
      </c>
      <c r="K1784" s="746">
        <v>17111.87</v>
      </c>
      <c r="L1784" s="746">
        <v>2458.9700000000003</v>
      </c>
      <c r="M1784" s="746">
        <v>14652.9</v>
      </c>
      <c r="N1784" s="493" t="str">
        <f t="shared" si="29"/>
        <v>C397</v>
      </c>
      <c r="O1784" s="493" t="s">
        <v>99</v>
      </c>
      <c r="P1784" s="493" t="s">
        <v>8005</v>
      </c>
    </row>
    <row r="1785" spans="1:16">
      <c r="A1785" s="761" t="s">
        <v>2339</v>
      </c>
      <c r="B1785" s="761" t="s">
        <v>2340</v>
      </c>
      <c r="C1785" s="761" t="s">
        <v>2473</v>
      </c>
      <c r="D1785" s="761">
        <v>52051969</v>
      </c>
      <c r="E1785" s="761" t="s">
        <v>2972</v>
      </c>
      <c r="F1785" s="761">
        <v>143004195</v>
      </c>
      <c r="G1785" s="761" t="s">
        <v>3503</v>
      </c>
      <c r="H1785" s="761" t="s">
        <v>7812</v>
      </c>
      <c r="I1785" s="761" t="s">
        <v>6867</v>
      </c>
      <c r="J1785" s="761">
        <v>2</v>
      </c>
      <c r="K1785" s="746">
        <v>6154.81</v>
      </c>
      <c r="L1785" s="746">
        <v>884.44</v>
      </c>
      <c r="M1785" s="746">
        <v>5270.37</v>
      </c>
      <c r="N1785" s="493" t="str">
        <f t="shared" si="29"/>
        <v>C397</v>
      </c>
      <c r="O1785" s="493" t="s">
        <v>99</v>
      </c>
      <c r="P1785" s="493" t="s">
        <v>8005</v>
      </c>
    </row>
    <row r="1786" spans="1:16">
      <c r="A1786" s="761" t="s">
        <v>2339</v>
      </c>
      <c r="B1786" s="761" t="s">
        <v>2340</v>
      </c>
      <c r="C1786" s="761" t="s">
        <v>2473</v>
      </c>
      <c r="D1786" s="761">
        <v>52051972</v>
      </c>
      <c r="E1786" s="761" t="s">
        <v>2972</v>
      </c>
      <c r="F1786" s="761">
        <v>143004196</v>
      </c>
      <c r="G1786" s="761" t="s">
        <v>3504</v>
      </c>
      <c r="H1786" s="761" t="s">
        <v>7813</v>
      </c>
      <c r="I1786" s="761" t="s">
        <v>6867</v>
      </c>
      <c r="J1786" s="761">
        <v>2</v>
      </c>
      <c r="K1786" s="746">
        <v>5045.4800000000005</v>
      </c>
      <c r="L1786" s="746">
        <v>725.03</v>
      </c>
      <c r="M1786" s="746">
        <v>4320.45</v>
      </c>
      <c r="N1786" s="493" t="str">
        <f t="shared" si="29"/>
        <v>C397</v>
      </c>
      <c r="O1786" s="493" t="s">
        <v>99</v>
      </c>
      <c r="P1786" s="493" t="s">
        <v>8005</v>
      </c>
    </row>
    <row r="1787" spans="1:16">
      <c r="A1787" s="761" t="s">
        <v>2339</v>
      </c>
      <c r="B1787" s="761" t="s">
        <v>2340</v>
      </c>
      <c r="C1787" s="761" t="s">
        <v>2476</v>
      </c>
      <c r="D1787" s="761">
        <v>52051981</v>
      </c>
      <c r="E1787" s="761" t="s">
        <v>2972</v>
      </c>
      <c r="F1787" s="761">
        <v>143004208</v>
      </c>
      <c r="G1787" s="761" t="s">
        <v>3506</v>
      </c>
      <c r="H1787" s="761" t="s">
        <v>7814</v>
      </c>
      <c r="I1787" s="761" t="s">
        <v>6867</v>
      </c>
      <c r="J1787" s="761">
        <v>2</v>
      </c>
      <c r="K1787" s="746">
        <v>13573.75</v>
      </c>
      <c r="L1787" s="746">
        <v>1950.54</v>
      </c>
      <c r="M1787" s="746">
        <v>11623.210000000001</v>
      </c>
      <c r="N1787" s="493" t="str">
        <f t="shared" si="29"/>
        <v>C397</v>
      </c>
      <c r="O1787" s="493" t="s">
        <v>99</v>
      </c>
      <c r="P1787" s="493" t="s">
        <v>8005</v>
      </c>
    </row>
    <row r="1788" spans="1:16">
      <c r="A1788" s="761" t="s">
        <v>2339</v>
      </c>
      <c r="B1788" s="761" t="s">
        <v>2340</v>
      </c>
      <c r="C1788" s="761" t="s">
        <v>2476</v>
      </c>
      <c r="D1788" s="761">
        <v>52051984</v>
      </c>
      <c r="E1788" s="761" t="s">
        <v>2972</v>
      </c>
      <c r="F1788" s="761">
        <v>143004209</v>
      </c>
      <c r="G1788" s="761" t="s">
        <v>3507</v>
      </c>
      <c r="H1788" s="761" t="s">
        <v>7815</v>
      </c>
      <c r="I1788" s="761" t="s">
        <v>6867</v>
      </c>
      <c r="J1788" s="761">
        <v>2</v>
      </c>
      <c r="K1788" s="746">
        <v>14801.26</v>
      </c>
      <c r="L1788" s="746">
        <v>2126.9299999999998</v>
      </c>
      <c r="M1788" s="746">
        <v>12674.33</v>
      </c>
      <c r="N1788" s="493" t="str">
        <f t="shared" si="29"/>
        <v>C397</v>
      </c>
      <c r="O1788" s="493" t="s">
        <v>99</v>
      </c>
      <c r="P1788" s="493" t="s">
        <v>8005</v>
      </c>
    </row>
    <row r="1789" spans="1:16">
      <c r="A1789" s="761" t="s">
        <v>2339</v>
      </c>
      <c r="B1789" s="761" t="s">
        <v>2340</v>
      </c>
      <c r="C1789" s="761" t="s">
        <v>2476</v>
      </c>
      <c r="D1789" s="761">
        <v>52051987</v>
      </c>
      <c r="E1789" s="761" t="s">
        <v>2972</v>
      </c>
      <c r="F1789" s="761">
        <v>143004210</v>
      </c>
      <c r="G1789" s="761" t="s">
        <v>3508</v>
      </c>
      <c r="H1789" s="761" t="s">
        <v>7816</v>
      </c>
      <c r="I1789" s="761" t="s">
        <v>6867</v>
      </c>
      <c r="J1789" s="761">
        <v>2</v>
      </c>
      <c r="K1789" s="746">
        <v>6534.14</v>
      </c>
      <c r="L1789" s="746">
        <v>938.95</v>
      </c>
      <c r="M1789" s="746">
        <v>5595.1900000000005</v>
      </c>
      <c r="N1789" s="493" t="str">
        <f t="shared" si="29"/>
        <v>C397</v>
      </c>
      <c r="O1789" s="493" t="s">
        <v>99</v>
      </c>
      <c r="P1789" s="493" t="s">
        <v>8005</v>
      </c>
    </row>
    <row r="1790" spans="1:16">
      <c r="A1790" s="761" t="s">
        <v>2339</v>
      </c>
      <c r="B1790" s="761" t="s">
        <v>2340</v>
      </c>
      <c r="C1790" s="761" t="s">
        <v>2476</v>
      </c>
      <c r="D1790" s="761">
        <v>52051990</v>
      </c>
      <c r="E1790" s="761" t="s">
        <v>2972</v>
      </c>
      <c r="F1790" s="761">
        <v>143004211</v>
      </c>
      <c r="G1790" s="761" t="s">
        <v>3509</v>
      </c>
      <c r="H1790" s="761" t="s">
        <v>3509</v>
      </c>
      <c r="I1790" s="761" t="s">
        <v>6867</v>
      </c>
      <c r="J1790" s="761">
        <v>2</v>
      </c>
      <c r="K1790" s="746">
        <v>12873.36</v>
      </c>
      <c r="L1790" s="746">
        <v>1849.89</v>
      </c>
      <c r="M1790" s="746">
        <v>11023.47</v>
      </c>
      <c r="N1790" s="493" t="str">
        <f t="shared" si="29"/>
        <v>C397</v>
      </c>
      <c r="O1790" s="493" t="s">
        <v>99</v>
      </c>
      <c r="P1790" s="493" t="s">
        <v>8005</v>
      </c>
    </row>
    <row r="1791" spans="1:16">
      <c r="A1791" s="761" t="s">
        <v>2339</v>
      </c>
      <c r="B1791" s="761" t="s">
        <v>2340</v>
      </c>
      <c r="C1791" s="761" t="s">
        <v>2476</v>
      </c>
      <c r="D1791" s="761">
        <v>52051993</v>
      </c>
      <c r="E1791" s="761" t="s">
        <v>2972</v>
      </c>
      <c r="F1791" s="761">
        <v>143004212</v>
      </c>
      <c r="G1791" s="761" t="s">
        <v>3510</v>
      </c>
      <c r="H1791" s="761" t="s">
        <v>7817</v>
      </c>
      <c r="I1791" s="761" t="s">
        <v>6867</v>
      </c>
      <c r="J1791" s="761">
        <v>2</v>
      </c>
      <c r="K1791" s="746">
        <v>5587.95</v>
      </c>
      <c r="L1791" s="746">
        <v>802.99</v>
      </c>
      <c r="M1791" s="746">
        <v>4784.96</v>
      </c>
      <c r="N1791" s="493" t="str">
        <f t="shared" si="29"/>
        <v>C397</v>
      </c>
      <c r="O1791" s="493" t="s">
        <v>99</v>
      </c>
      <c r="P1791" s="493" t="s">
        <v>8005</v>
      </c>
    </row>
    <row r="1792" spans="1:16">
      <c r="A1792" s="761" t="s">
        <v>2339</v>
      </c>
      <c r="B1792" s="761" t="s">
        <v>2340</v>
      </c>
      <c r="C1792" s="761" t="s">
        <v>2490</v>
      </c>
      <c r="D1792" s="761">
        <v>52051996</v>
      </c>
      <c r="E1792" s="761" t="s">
        <v>2972</v>
      </c>
      <c r="F1792" s="761">
        <v>143004214</v>
      </c>
      <c r="G1792" s="761" t="s">
        <v>3511</v>
      </c>
      <c r="H1792" s="761" t="s">
        <v>7818</v>
      </c>
      <c r="I1792" s="761" t="s">
        <v>6867</v>
      </c>
      <c r="J1792" s="761">
        <v>2</v>
      </c>
      <c r="K1792" s="746">
        <v>6607.45</v>
      </c>
      <c r="L1792" s="746">
        <v>949.49</v>
      </c>
      <c r="M1792" s="746">
        <v>5657.96</v>
      </c>
      <c r="N1792" s="493" t="str">
        <f t="shared" si="29"/>
        <v>C397</v>
      </c>
      <c r="O1792" s="493" t="s">
        <v>99</v>
      </c>
      <c r="P1792" s="493" t="s">
        <v>8005</v>
      </c>
    </row>
    <row r="1793" spans="1:16">
      <c r="A1793" s="761" t="s">
        <v>2339</v>
      </c>
      <c r="B1793" s="761" t="s">
        <v>2340</v>
      </c>
      <c r="C1793" s="761" t="s">
        <v>2476</v>
      </c>
      <c r="D1793" s="761">
        <v>52051999</v>
      </c>
      <c r="E1793" s="761" t="s">
        <v>2972</v>
      </c>
      <c r="F1793" s="761">
        <v>143004215</v>
      </c>
      <c r="G1793" s="761" t="s">
        <v>3512</v>
      </c>
      <c r="H1793" s="761" t="s">
        <v>3512</v>
      </c>
      <c r="I1793" s="761" t="s">
        <v>6867</v>
      </c>
      <c r="J1793" s="761">
        <v>2</v>
      </c>
      <c r="K1793" s="746">
        <v>14667.57</v>
      </c>
      <c r="L1793" s="746">
        <v>2107.7200000000003</v>
      </c>
      <c r="M1793" s="746">
        <v>12559.85</v>
      </c>
      <c r="N1793" s="493" t="str">
        <f t="shared" si="29"/>
        <v>C397</v>
      </c>
      <c r="O1793" s="493" t="s">
        <v>99</v>
      </c>
      <c r="P1793" s="493" t="s">
        <v>8005</v>
      </c>
    </row>
    <row r="1794" spans="1:16">
      <c r="A1794" s="761" t="s">
        <v>2339</v>
      </c>
      <c r="B1794" s="761" t="s">
        <v>2340</v>
      </c>
      <c r="C1794" s="761" t="s">
        <v>2476</v>
      </c>
      <c r="D1794" s="761">
        <v>52052002</v>
      </c>
      <c r="E1794" s="761" t="s">
        <v>2972</v>
      </c>
      <c r="F1794" s="761">
        <v>143004216</v>
      </c>
      <c r="G1794" s="761" t="s">
        <v>3513</v>
      </c>
      <c r="H1794" s="761" t="s">
        <v>7819</v>
      </c>
      <c r="I1794" s="761" t="s">
        <v>6867</v>
      </c>
      <c r="J1794" s="761">
        <v>2</v>
      </c>
      <c r="K1794" s="746">
        <v>5139.41</v>
      </c>
      <c r="L1794" s="746">
        <v>738.53</v>
      </c>
      <c r="M1794" s="746">
        <v>4400.88</v>
      </c>
      <c r="N1794" s="493" t="str">
        <f t="shared" si="29"/>
        <v>C397</v>
      </c>
      <c r="O1794" s="493" t="s">
        <v>99</v>
      </c>
      <c r="P1794" s="493" t="s">
        <v>8005</v>
      </c>
    </row>
    <row r="1795" spans="1:16">
      <c r="A1795" s="761" t="s">
        <v>2339</v>
      </c>
      <c r="B1795" s="761" t="s">
        <v>2340</v>
      </c>
      <c r="C1795" s="761" t="s">
        <v>2476</v>
      </c>
      <c r="D1795" s="761">
        <v>52052005</v>
      </c>
      <c r="E1795" s="761" t="s">
        <v>2972</v>
      </c>
      <c r="F1795" s="761">
        <v>143004218</v>
      </c>
      <c r="G1795" s="761" t="s">
        <v>3514</v>
      </c>
      <c r="H1795" s="761" t="s">
        <v>7820</v>
      </c>
      <c r="I1795" s="761" t="s">
        <v>6867</v>
      </c>
      <c r="J1795" s="761">
        <v>2</v>
      </c>
      <c r="K1795" s="746">
        <v>6925.1500000000005</v>
      </c>
      <c r="L1795" s="746">
        <v>995.14</v>
      </c>
      <c r="M1795" s="746">
        <v>5930.01</v>
      </c>
      <c r="N1795" s="493" t="str">
        <f t="shared" si="29"/>
        <v>C397</v>
      </c>
      <c r="O1795" s="493" t="s">
        <v>99</v>
      </c>
      <c r="P1795" s="493" t="s">
        <v>8005</v>
      </c>
    </row>
    <row r="1796" spans="1:16">
      <c r="A1796" s="761" t="s">
        <v>2339</v>
      </c>
      <c r="B1796" s="761" t="s">
        <v>2340</v>
      </c>
      <c r="C1796" s="761" t="s">
        <v>2487</v>
      </c>
      <c r="D1796" s="761">
        <v>52052008</v>
      </c>
      <c r="E1796" s="761" t="s">
        <v>2972</v>
      </c>
      <c r="F1796" s="761">
        <v>143004219</v>
      </c>
      <c r="G1796" s="761" t="s">
        <v>3515</v>
      </c>
      <c r="H1796" s="761" t="s">
        <v>7821</v>
      </c>
      <c r="I1796" s="761" t="s">
        <v>6867</v>
      </c>
      <c r="J1796" s="761">
        <v>2</v>
      </c>
      <c r="K1796" s="746">
        <v>12946.37</v>
      </c>
      <c r="L1796" s="746">
        <v>1860.39</v>
      </c>
      <c r="M1796" s="746">
        <v>11085.98</v>
      </c>
      <c r="N1796" s="493" t="str">
        <f t="shared" si="29"/>
        <v>C397</v>
      </c>
      <c r="O1796" s="493" t="s">
        <v>99</v>
      </c>
      <c r="P1796" s="493" t="s">
        <v>8005</v>
      </c>
    </row>
    <row r="1797" spans="1:16">
      <c r="A1797" s="761" t="s">
        <v>2339</v>
      </c>
      <c r="B1797" s="761" t="s">
        <v>2340</v>
      </c>
      <c r="C1797" s="761" t="s">
        <v>2509</v>
      </c>
      <c r="D1797" s="761">
        <v>52052015</v>
      </c>
      <c r="E1797" s="761" t="s">
        <v>2972</v>
      </c>
      <c r="F1797" s="761">
        <v>143004581</v>
      </c>
      <c r="G1797" s="761" t="s">
        <v>3521</v>
      </c>
      <c r="H1797" s="761" t="s">
        <v>7822</v>
      </c>
      <c r="I1797" s="761" t="s">
        <v>6867</v>
      </c>
      <c r="J1797" s="761">
        <v>2</v>
      </c>
      <c r="K1797" s="746">
        <v>10637.710000000001</v>
      </c>
      <c r="L1797" s="746">
        <v>1528.63</v>
      </c>
      <c r="M1797" s="746">
        <v>9109.08</v>
      </c>
      <c r="N1797" s="493" t="str">
        <f t="shared" si="29"/>
        <v>C397</v>
      </c>
      <c r="O1797" s="493" t="s">
        <v>99</v>
      </c>
      <c r="P1797" s="493" t="s">
        <v>8005</v>
      </c>
    </row>
    <row r="1798" spans="1:16">
      <c r="A1798" s="761" t="s">
        <v>2339</v>
      </c>
      <c r="B1798" s="761" t="s">
        <v>2340</v>
      </c>
      <c r="C1798" s="761" t="s">
        <v>2490</v>
      </c>
      <c r="D1798" s="761">
        <v>52052036</v>
      </c>
      <c r="E1798" s="761" t="s">
        <v>2972</v>
      </c>
      <c r="F1798" s="761">
        <v>143005204</v>
      </c>
      <c r="G1798" s="761" t="s">
        <v>3559</v>
      </c>
      <c r="H1798" s="761" t="s">
        <v>7823</v>
      </c>
      <c r="I1798" s="761" t="s">
        <v>6867</v>
      </c>
      <c r="J1798" s="761">
        <v>2</v>
      </c>
      <c r="K1798" s="746">
        <v>13545.19</v>
      </c>
      <c r="L1798" s="746">
        <v>1946.44</v>
      </c>
      <c r="M1798" s="746">
        <v>11598.75</v>
      </c>
      <c r="N1798" s="493" t="str">
        <f t="shared" si="29"/>
        <v>C397</v>
      </c>
      <c r="O1798" s="493" t="s">
        <v>99</v>
      </c>
      <c r="P1798" s="493" t="s">
        <v>8005</v>
      </c>
    </row>
    <row r="1799" spans="1:16">
      <c r="A1799" s="761" t="s">
        <v>2339</v>
      </c>
      <c r="B1799" s="761" t="s">
        <v>2340</v>
      </c>
      <c r="C1799" s="761" t="s">
        <v>2490</v>
      </c>
      <c r="D1799" s="761">
        <v>52052039</v>
      </c>
      <c r="E1799" s="761" t="s">
        <v>2972</v>
      </c>
      <c r="F1799" s="761">
        <v>143005205</v>
      </c>
      <c r="G1799" s="761" t="s">
        <v>3560</v>
      </c>
      <c r="H1799" s="761" t="s">
        <v>7824</v>
      </c>
      <c r="I1799" s="761" t="s">
        <v>6867</v>
      </c>
      <c r="J1799" s="761">
        <v>3</v>
      </c>
      <c r="K1799" s="746">
        <v>14778.51</v>
      </c>
      <c r="L1799" s="746">
        <v>2123.66</v>
      </c>
      <c r="M1799" s="746">
        <v>12654.85</v>
      </c>
      <c r="N1799" s="493" t="str">
        <f t="shared" si="29"/>
        <v>C397</v>
      </c>
      <c r="O1799" s="493" t="s">
        <v>99</v>
      </c>
      <c r="P1799" s="493" t="s">
        <v>8005</v>
      </c>
    </row>
    <row r="1800" spans="1:16">
      <c r="A1800" s="761" t="s">
        <v>2339</v>
      </c>
      <c r="B1800" s="761" t="s">
        <v>2340</v>
      </c>
      <c r="C1800" s="761" t="s">
        <v>2527</v>
      </c>
      <c r="D1800" s="761">
        <v>52052070</v>
      </c>
      <c r="E1800" s="761" t="s">
        <v>2972</v>
      </c>
      <c r="F1800" s="761">
        <v>143005426</v>
      </c>
      <c r="G1800" s="761" t="s">
        <v>3582</v>
      </c>
      <c r="H1800" s="761" t="s">
        <v>7825</v>
      </c>
      <c r="I1800" s="761" t="s">
        <v>6867</v>
      </c>
      <c r="J1800" s="761">
        <v>2</v>
      </c>
      <c r="K1800" s="746">
        <v>5982.7</v>
      </c>
      <c r="L1800" s="746">
        <v>859.71</v>
      </c>
      <c r="M1800" s="746">
        <v>5122.99</v>
      </c>
      <c r="N1800" s="493" t="str">
        <f t="shared" si="29"/>
        <v>C397</v>
      </c>
      <c r="O1800" s="493" t="s">
        <v>99</v>
      </c>
      <c r="P1800" s="493" t="s">
        <v>8005</v>
      </c>
    </row>
    <row r="1801" spans="1:16">
      <c r="A1801" s="761" t="s">
        <v>2339</v>
      </c>
      <c r="B1801" s="761" t="s">
        <v>2340</v>
      </c>
      <c r="C1801" s="761" t="s">
        <v>2527</v>
      </c>
      <c r="D1801" s="761">
        <v>52052073</v>
      </c>
      <c r="E1801" s="761" t="s">
        <v>2972</v>
      </c>
      <c r="F1801" s="761">
        <v>143005427</v>
      </c>
      <c r="G1801" s="761" t="s">
        <v>3583</v>
      </c>
      <c r="H1801" s="761" t="s">
        <v>7826</v>
      </c>
      <c r="I1801" s="761" t="s">
        <v>6867</v>
      </c>
      <c r="J1801" s="761">
        <v>2</v>
      </c>
      <c r="K1801" s="746">
        <v>5233.97</v>
      </c>
      <c r="L1801" s="746">
        <v>752.12</v>
      </c>
      <c r="M1801" s="746">
        <v>4481.8500000000004</v>
      </c>
      <c r="N1801" s="493" t="str">
        <f t="shared" si="29"/>
        <v>C397</v>
      </c>
      <c r="O1801" s="493" t="s">
        <v>99</v>
      </c>
      <c r="P1801" s="493" t="s">
        <v>8005</v>
      </c>
    </row>
    <row r="1802" spans="1:16">
      <c r="A1802" s="761" t="s">
        <v>2339</v>
      </c>
      <c r="B1802" s="761" t="s">
        <v>2340</v>
      </c>
      <c r="C1802" s="761" t="s">
        <v>2527</v>
      </c>
      <c r="D1802" s="761">
        <v>52052076</v>
      </c>
      <c r="E1802" s="761" t="s">
        <v>2972</v>
      </c>
      <c r="F1802" s="761">
        <v>143005428</v>
      </c>
      <c r="G1802" s="761" t="s">
        <v>3584</v>
      </c>
      <c r="H1802" s="761" t="s">
        <v>7827</v>
      </c>
      <c r="I1802" s="761" t="s">
        <v>6867</v>
      </c>
      <c r="J1802" s="761">
        <v>2</v>
      </c>
      <c r="K1802" s="746">
        <v>12139.06</v>
      </c>
      <c r="L1802" s="746">
        <v>1744.38</v>
      </c>
      <c r="M1802" s="746">
        <v>10394.68</v>
      </c>
      <c r="N1802" s="493" t="str">
        <f t="shared" si="29"/>
        <v>C397</v>
      </c>
      <c r="O1802" s="493" t="s">
        <v>99</v>
      </c>
      <c r="P1802" s="493" t="s">
        <v>8005</v>
      </c>
    </row>
    <row r="1803" spans="1:16">
      <c r="A1803" s="761" t="s">
        <v>2339</v>
      </c>
      <c r="B1803" s="761" t="s">
        <v>2340</v>
      </c>
      <c r="C1803" s="761" t="s">
        <v>2527</v>
      </c>
      <c r="D1803" s="761">
        <v>52052079</v>
      </c>
      <c r="E1803" s="761" t="s">
        <v>2972</v>
      </c>
      <c r="F1803" s="761">
        <v>143005429</v>
      </c>
      <c r="G1803" s="761" t="s">
        <v>3585</v>
      </c>
      <c r="H1803" s="761" t="s">
        <v>7828</v>
      </c>
      <c r="I1803" s="761" t="s">
        <v>6867</v>
      </c>
      <c r="J1803" s="761">
        <v>2</v>
      </c>
      <c r="K1803" s="746">
        <v>6263.2</v>
      </c>
      <c r="L1803" s="746">
        <v>900.02</v>
      </c>
      <c r="M1803" s="746">
        <v>5363.18</v>
      </c>
      <c r="N1803" s="493" t="str">
        <f t="shared" si="29"/>
        <v>C397</v>
      </c>
      <c r="O1803" s="493" t="s">
        <v>99</v>
      </c>
      <c r="P1803" s="493" t="s">
        <v>8005</v>
      </c>
    </row>
    <row r="1804" spans="1:16">
      <c r="A1804" s="761" t="s">
        <v>2339</v>
      </c>
      <c r="B1804" s="761" t="s">
        <v>2340</v>
      </c>
      <c r="C1804" s="761" t="s">
        <v>2527</v>
      </c>
      <c r="D1804" s="761">
        <v>52052082</v>
      </c>
      <c r="E1804" s="761" t="s">
        <v>2972</v>
      </c>
      <c r="F1804" s="761">
        <v>143005430</v>
      </c>
      <c r="G1804" s="761" t="s">
        <v>3586</v>
      </c>
      <c r="H1804" s="761" t="s">
        <v>7829</v>
      </c>
      <c r="I1804" s="761" t="s">
        <v>6867</v>
      </c>
      <c r="J1804" s="761">
        <v>2</v>
      </c>
      <c r="K1804" s="746">
        <v>12139.62</v>
      </c>
      <c r="L1804" s="746">
        <v>1744.46</v>
      </c>
      <c r="M1804" s="746">
        <v>10395.16</v>
      </c>
      <c r="N1804" s="493" t="str">
        <f t="shared" si="29"/>
        <v>C397</v>
      </c>
      <c r="O1804" s="493" t="s">
        <v>99</v>
      </c>
      <c r="P1804" s="493" t="s">
        <v>8005</v>
      </c>
    </row>
    <row r="1805" spans="1:16">
      <c r="A1805" s="761" t="s">
        <v>2339</v>
      </c>
      <c r="B1805" s="761" t="s">
        <v>2340</v>
      </c>
      <c r="C1805" s="761" t="s">
        <v>2527</v>
      </c>
      <c r="D1805" s="761">
        <v>52052085</v>
      </c>
      <c r="E1805" s="761" t="s">
        <v>2972</v>
      </c>
      <c r="F1805" s="761">
        <v>143005432</v>
      </c>
      <c r="G1805" s="761" t="s">
        <v>3587</v>
      </c>
      <c r="H1805" s="761" t="s">
        <v>7830</v>
      </c>
      <c r="I1805" s="761" t="s">
        <v>6867</v>
      </c>
      <c r="J1805" s="761">
        <v>2</v>
      </c>
      <c r="K1805" s="746">
        <v>5172.83</v>
      </c>
      <c r="L1805" s="746">
        <v>743.33</v>
      </c>
      <c r="M1805" s="746">
        <v>4429.5</v>
      </c>
      <c r="N1805" s="493" t="str">
        <f t="shared" si="29"/>
        <v>C397</v>
      </c>
      <c r="O1805" s="493" t="s">
        <v>99</v>
      </c>
      <c r="P1805" s="493" t="s">
        <v>8005</v>
      </c>
    </row>
    <row r="1806" spans="1:16">
      <c r="A1806" s="761" t="s">
        <v>2339</v>
      </c>
      <c r="B1806" s="761" t="s">
        <v>2340</v>
      </c>
      <c r="C1806" s="761" t="s">
        <v>2527</v>
      </c>
      <c r="D1806" s="761">
        <v>52052088</v>
      </c>
      <c r="E1806" s="761" t="s">
        <v>2972</v>
      </c>
      <c r="F1806" s="761">
        <v>143005433</v>
      </c>
      <c r="G1806" s="761" t="s">
        <v>3588</v>
      </c>
      <c r="H1806" s="761" t="s">
        <v>7831</v>
      </c>
      <c r="I1806" s="761" t="s">
        <v>6867</v>
      </c>
      <c r="J1806" s="761">
        <v>2</v>
      </c>
      <c r="K1806" s="746">
        <v>5172.83</v>
      </c>
      <c r="L1806" s="746">
        <v>743.33</v>
      </c>
      <c r="M1806" s="746">
        <v>4429.5</v>
      </c>
      <c r="N1806" s="493" t="str">
        <f t="shared" si="29"/>
        <v>C397</v>
      </c>
      <c r="O1806" s="493" t="s">
        <v>99</v>
      </c>
      <c r="P1806" s="493" t="s">
        <v>8005</v>
      </c>
    </row>
    <row r="1807" spans="1:16">
      <c r="A1807" s="761" t="s">
        <v>2339</v>
      </c>
      <c r="B1807" s="761" t="s">
        <v>2340</v>
      </c>
      <c r="C1807" s="761" t="s">
        <v>2527</v>
      </c>
      <c r="D1807" s="761">
        <v>52052091</v>
      </c>
      <c r="E1807" s="761" t="s">
        <v>2972</v>
      </c>
      <c r="F1807" s="761">
        <v>143005434</v>
      </c>
      <c r="G1807" s="761" t="s">
        <v>3589</v>
      </c>
      <c r="H1807" s="761" t="s">
        <v>7832</v>
      </c>
      <c r="I1807" s="761" t="s">
        <v>6867</v>
      </c>
      <c r="J1807" s="761">
        <v>2</v>
      </c>
      <c r="K1807" s="746">
        <v>6017.78</v>
      </c>
      <c r="L1807" s="746">
        <v>864.75</v>
      </c>
      <c r="M1807" s="746">
        <v>5153.03</v>
      </c>
      <c r="N1807" s="493" t="str">
        <f t="shared" si="29"/>
        <v>C397</v>
      </c>
      <c r="O1807" s="493" t="s">
        <v>99</v>
      </c>
      <c r="P1807" s="493" t="s">
        <v>8005</v>
      </c>
    </row>
    <row r="1808" spans="1:16">
      <c r="A1808" s="761" t="s">
        <v>2339</v>
      </c>
      <c r="B1808" s="761" t="s">
        <v>2340</v>
      </c>
      <c r="C1808" s="761" t="s">
        <v>2527</v>
      </c>
      <c r="D1808" s="761">
        <v>52052094</v>
      </c>
      <c r="E1808" s="761" t="s">
        <v>2972</v>
      </c>
      <c r="F1808" s="761">
        <v>143005435</v>
      </c>
      <c r="G1808" s="761" t="s">
        <v>3590</v>
      </c>
      <c r="H1808" s="761" t="s">
        <v>7833</v>
      </c>
      <c r="I1808" s="761" t="s">
        <v>6867</v>
      </c>
      <c r="J1808" s="761">
        <v>2</v>
      </c>
      <c r="K1808" s="746">
        <v>5863.13</v>
      </c>
      <c r="L1808" s="746">
        <v>842.53</v>
      </c>
      <c r="M1808" s="746">
        <v>5020.6000000000004</v>
      </c>
      <c r="N1808" s="493" t="str">
        <f t="shared" si="29"/>
        <v>C397</v>
      </c>
      <c r="O1808" s="493" t="s">
        <v>99</v>
      </c>
      <c r="P1808" s="493" t="s">
        <v>8005</v>
      </c>
    </row>
    <row r="1809" spans="1:16">
      <c r="A1809" s="761" t="s">
        <v>2339</v>
      </c>
      <c r="B1809" s="761" t="s">
        <v>2340</v>
      </c>
      <c r="C1809" s="761" t="s">
        <v>2527</v>
      </c>
      <c r="D1809" s="761">
        <v>52052097</v>
      </c>
      <c r="E1809" s="761" t="s">
        <v>2972</v>
      </c>
      <c r="F1809" s="761">
        <v>143005463</v>
      </c>
      <c r="G1809" s="761" t="s">
        <v>3594</v>
      </c>
      <c r="H1809" s="761" t="s">
        <v>7834</v>
      </c>
      <c r="I1809" s="761" t="s">
        <v>6867</v>
      </c>
      <c r="J1809" s="761">
        <v>2</v>
      </c>
      <c r="K1809" s="746">
        <v>6475.46</v>
      </c>
      <c r="L1809" s="746">
        <v>930.52</v>
      </c>
      <c r="M1809" s="746">
        <v>5544.9400000000005</v>
      </c>
      <c r="N1809" s="493" t="str">
        <f t="shared" ref="N1809:N1872" si="30">LEFT(E1809,4)</f>
        <v>C397</v>
      </c>
      <c r="O1809" s="493" t="s">
        <v>99</v>
      </c>
      <c r="P1809" s="493" t="s">
        <v>8005</v>
      </c>
    </row>
    <row r="1810" spans="1:16">
      <c r="A1810" s="761" t="s">
        <v>2339</v>
      </c>
      <c r="B1810" s="761" t="s">
        <v>2340</v>
      </c>
      <c r="C1810" s="761" t="s">
        <v>2524</v>
      </c>
      <c r="D1810" s="761">
        <v>52052100</v>
      </c>
      <c r="E1810" s="761" t="s">
        <v>2972</v>
      </c>
      <c r="F1810" s="761">
        <v>143005464</v>
      </c>
      <c r="G1810" s="761" t="s">
        <v>3595</v>
      </c>
      <c r="H1810" s="761" t="s">
        <v>7835</v>
      </c>
      <c r="I1810" s="761" t="s">
        <v>6867</v>
      </c>
      <c r="J1810" s="761">
        <v>3</v>
      </c>
      <c r="K1810" s="746">
        <v>10679.64</v>
      </c>
      <c r="L1810" s="746">
        <v>1534.66</v>
      </c>
      <c r="M1810" s="746">
        <v>9144.98</v>
      </c>
      <c r="N1810" s="493" t="str">
        <f t="shared" si="30"/>
        <v>C397</v>
      </c>
      <c r="O1810" s="493" t="s">
        <v>99</v>
      </c>
      <c r="P1810" s="493" t="s">
        <v>8005</v>
      </c>
    </row>
    <row r="1811" spans="1:16">
      <c r="A1811" s="761" t="s">
        <v>2339</v>
      </c>
      <c r="B1811" s="761" t="s">
        <v>2340</v>
      </c>
      <c r="C1811" s="761" t="s">
        <v>2524</v>
      </c>
      <c r="D1811" s="761">
        <v>52052103</v>
      </c>
      <c r="E1811" s="761" t="s">
        <v>2972</v>
      </c>
      <c r="F1811" s="761">
        <v>143005465</v>
      </c>
      <c r="G1811" s="761" t="s">
        <v>3596</v>
      </c>
      <c r="H1811" s="761" t="s">
        <v>7836</v>
      </c>
      <c r="I1811" s="761" t="s">
        <v>6867</v>
      </c>
      <c r="J1811" s="761">
        <v>2</v>
      </c>
      <c r="K1811" s="746">
        <v>6507.9000000000005</v>
      </c>
      <c r="L1811" s="746">
        <v>935.18000000000006</v>
      </c>
      <c r="M1811" s="746">
        <v>5572.72</v>
      </c>
      <c r="N1811" s="493" t="str">
        <f t="shared" si="30"/>
        <v>C397</v>
      </c>
      <c r="O1811" s="493" t="s">
        <v>99</v>
      </c>
      <c r="P1811" s="493" t="s">
        <v>8005</v>
      </c>
    </row>
    <row r="1812" spans="1:16">
      <c r="A1812" s="761" t="s">
        <v>2339</v>
      </c>
      <c r="B1812" s="761" t="s">
        <v>2340</v>
      </c>
      <c r="C1812" s="761" t="s">
        <v>2524</v>
      </c>
      <c r="D1812" s="761">
        <v>52052106</v>
      </c>
      <c r="E1812" s="761" t="s">
        <v>2972</v>
      </c>
      <c r="F1812" s="761">
        <v>143005466</v>
      </c>
      <c r="G1812" s="761" t="s">
        <v>3597</v>
      </c>
      <c r="H1812" s="761" t="s">
        <v>7837</v>
      </c>
      <c r="I1812" s="761" t="s">
        <v>6867</v>
      </c>
      <c r="J1812" s="761">
        <v>2</v>
      </c>
      <c r="K1812" s="746">
        <v>6474.04</v>
      </c>
      <c r="L1812" s="746">
        <v>930.32</v>
      </c>
      <c r="M1812" s="746">
        <v>5543.72</v>
      </c>
      <c r="N1812" s="493" t="str">
        <f t="shared" si="30"/>
        <v>C397</v>
      </c>
      <c r="O1812" s="493" t="s">
        <v>99</v>
      </c>
      <c r="P1812" s="493" t="s">
        <v>8005</v>
      </c>
    </row>
    <row r="1813" spans="1:16">
      <c r="A1813" s="761" t="s">
        <v>2339</v>
      </c>
      <c r="B1813" s="761" t="s">
        <v>2340</v>
      </c>
      <c r="C1813" s="761" t="s">
        <v>2524</v>
      </c>
      <c r="D1813" s="761">
        <v>52052109</v>
      </c>
      <c r="E1813" s="761" t="s">
        <v>2972</v>
      </c>
      <c r="F1813" s="761">
        <v>143005467</v>
      </c>
      <c r="G1813" s="761" t="s">
        <v>3598</v>
      </c>
      <c r="H1813" s="761" t="s">
        <v>7838</v>
      </c>
      <c r="I1813" s="761" t="s">
        <v>6867</v>
      </c>
      <c r="J1813" s="761">
        <v>2</v>
      </c>
      <c r="K1813" s="746">
        <v>5165.29</v>
      </c>
      <c r="L1813" s="746">
        <v>742.25</v>
      </c>
      <c r="M1813" s="746">
        <v>4423.04</v>
      </c>
      <c r="N1813" s="493" t="str">
        <f t="shared" si="30"/>
        <v>C397</v>
      </c>
      <c r="O1813" s="493" t="s">
        <v>99</v>
      </c>
      <c r="P1813" s="493" t="s">
        <v>8005</v>
      </c>
    </row>
    <row r="1814" spans="1:16">
      <c r="A1814" s="761" t="s">
        <v>2339</v>
      </c>
      <c r="B1814" s="761" t="s">
        <v>2340</v>
      </c>
      <c r="C1814" s="761" t="s">
        <v>2524</v>
      </c>
      <c r="D1814" s="761">
        <v>52052112</v>
      </c>
      <c r="E1814" s="761" t="s">
        <v>2972</v>
      </c>
      <c r="F1814" s="761">
        <v>143005468</v>
      </c>
      <c r="G1814" s="761" t="s">
        <v>3599</v>
      </c>
      <c r="H1814" s="761" t="s">
        <v>7839</v>
      </c>
      <c r="I1814" s="761" t="s">
        <v>6867</v>
      </c>
      <c r="J1814" s="761">
        <v>2</v>
      </c>
      <c r="K1814" s="746">
        <v>6492.82</v>
      </c>
      <c r="L1814" s="746">
        <v>933.01</v>
      </c>
      <c r="M1814" s="746">
        <v>5559.81</v>
      </c>
      <c r="N1814" s="493" t="str">
        <f t="shared" si="30"/>
        <v>C397</v>
      </c>
      <c r="O1814" s="493" t="s">
        <v>99</v>
      </c>
      <c r="P1814" s="493" t="s">
        <v>8005</v>
      </c>
    </row>
    <row r="1815" spans="1:16">
      <c r="A1815" s="761" t="s">
        <v>2339</v>
      </c>
      <c r="B1815" s="761" t="s">
        <v>2340</v>
      </c>
      <c r="C1815" s="761" t="s">
        <v>2524</v>
      </c>
      <c r="D1815" s="761">
        <v>52052115</v>
      </c>
      <c r="E1815" s="761" t="s">
        <v>2972</v>
      </c>
      <c r="F1815" s="761">
        <v>143005469</v>
      </c>
      <c r="G1815" s="761" t="s">
        <v>3600</v>
      </c>
      <c r="H1815" s="761" t="s">
        <v>7840</v>
      </c>
      <c r="I1815" s="761" t="s">
        <v>6867</v>
      </c>
      <c r="J1815" s="761">
        <v>2</v>
      </c>
      <c r="K1815" s="746">
        <v>5145.2700000000004</v>
      </c>
      <c r="L1815" s="746">
        <v>739.37</v>
      </c>
      <c r="M1815" s="746">
        <v>4405.9000000000005</v>
      </c>
      <c r="N1815" s="493" t="str">
        <f t="shared" si="30"/>
        <v>C397</v>
      </c>
      <c r="O1815" s="493" t="s">
        <v>99</v>
      </c>
      <c r="P1815" s="493" t="s">
        <v>8005</v>
      </c>
    </row>
    <row r="1816" spans="1:16">
      <c r="A1816" s="761" t="s">
        <v>2339</v>
      </c>
      <c r="B1816" s="761" t="s">
        <v>2340</v>
      </c>
      <c r="C1816" s="761" t="s">
        <v>2524</v>
      </c>
      <c r="D1816" s="761">
        <v>52052118</v>
      </c>
      <c r="E1816" s="761" t="s">
        <v>2972</v>
      </c>
      <c r="F1816" s="761">
        <v>143005470</v>
      </c>
      <c r="G1816" s="761" t="s">
        <v>3601</v>
      </c>
      <c r="H1816" s="761" t="s">
        <v>7841</v>
      </c>
      <c r="I1816" s="761" t="s">
        <v>6867</v>
      </c>
      <c r="J1816" s="761">
        <v>2</v>
      </c>
      <c r="K1816" s="746">
        <v>6474.04</v>
      </c>
      <c r="L1816" s="746">
        <v>930.32</v>
      </c>
      <c r="M1816" s="746">
        <v>5543.72</v>
      </c>
      <c r="N1816" s="493" t="str">
        <f t="shared" si="30"/>
        <v>C397</v>
      </c>
      <c r="O1816" s="493" t="s">
        <v>99</v>
      </c>
      <c r="P1816" s="493" t="s">
        <v>8005</v>
      </c>
    </row>
    <row r="1817" spans="1:16">
      <c r="A1817" s="761" t="s">
        <v>2339</v>
      </c>
      <c r="B1817" s="761" t="s">
        <v>2340</v>
      </c>
      <c r="C1817" s="761" t="s">
        <v>2524</v>
      </c>
      <c r="D1817" s="761">
        <v>52052121</v>
      </c>
      <c r="E1817" s="761" t="s">
        <v>2972</v>
      </c>
      <c r="F1817" s="761">
        <v>143005471</v>
      </c>
      <c r="G1817" s="761" t="s">
        <v>3602</v>
      </c>
      <c r="H1817" s="761" t="s">
        <v>7842</v>
      </c>
      <c r="I1817" s="761" t="s">
        <v>6867</v>
      </c>
      <c r="J1817" s="761">
        <v>2</v>
      </c>
      <c r="K1817" s="746">
        <v>13698.800000000001</v>
      </c>
      <c r="L1817" s="746">
        <v>1968.51</v>
      </c>
      <c r="M1817" s="746">
        <v>11730.29</v>
      </c>
      <c r="N1817" s="493" t="str">
        <f t="shared" si="30"/>
        <v>C397</v>
      </c>
      <c r="O1817" s="493" t="s">
        <v>99</v>
      </c>
      <c r="P1817" s="493" t="s">
        <v>8005</v>
      </c>
    </row>
    <row r="1818" spans="1:16">
      <c r="A1818" s="761" t="s">
        <v>2339</v>
      </c>
      <c r="B1818" s="761" t="s">
        <v>2340</v>
      </c>
      <c r="C1818" s="761" t="s">
        <v>2524</v>
      </c>
      <c r="D1818" s="761">
        <v>52052124</v>
      </c>
      <c r="E1818" s="761" t="s">
        <v>2972</v>
      </c>
      <c r="F1818" s="761">
        <v>143005472</v>
      </c>
      <c r="G1818" s="761" t="s">
        <v>3603</v>
      </c>
      <c r="H1818" s="761" t="s">
        <v>7843</v>
      </c>
      <c r="I1818" s="761" t="s">
        <v>6867</v>
      </c>
      <c r="J1818" s="761">
        <v>2</v>
      </c>
      <c r="K1818" s="746">
        <v>6216.84</v>
      </c>
      <c r="L1818" s="746">
        <v>893.36</v>
      </c>
      <c r="M1818" s="746">
        <v>5323.4800000000005</v>
      </c>
      <c r="N1818" s="493" t="str">
        <f t="shared" si="30"/>
        <v>C397</v>
      </c>
      <c r="O1818" s="493" t="s">
        <v>99</v>
      </c>
      <c r="P1818" s="493" t="s">
        <v>8005</v>
      </c>
    </row>
    <row r="1819" spans="1:16">
      <c r="A1819" s="761" t="s">
        <v>2339</v>
      </c>
      <c r="B1819" s="761" t="s">
        <v>2340</v>
      </c>
      <c r="C1819" s="761" t="s">
        <v>2524</v>
      </c>
      <c r="D1819" s="761">
        <v>52052127</v>
      </c>
      <c r="E1819" s="761" t="s">
        <v>2972</v>
      </c>
      <c r="F1819" s="761">
        <v>143005473</v>
      </c>
      <c r="G1819" s="761" t="s">
        <v>3604</v>
      </c>
      <c r="H1819" s="761" t="s">
        <v>7844</v>
      </c>
      <c r="I1819" s="761" t="s">
        <v>6867</v>
      </c>
      <c r="J1819" s="761">
        <v>2</v>
      </c>
      <c r="K1819" s="746">
        <v>6219.62</v>
      </c>
      <c r="L1819" s="746">
        <v>893.76</v>
      </c>
      <c r="M1819" s="746">
        <v>5325.86</v>
      </c>
      <c r="N1819" s="493" t="str">
        <f t="shared" si="30"/>
        <v>C397</v>
      </c>
      <c r="O1819" s="493" t="s">
        <v>99</v>
      </c>
      <c r="P1819" s="493" t="s">
        <v>8005</v>
      </c>
    </row>
    <row r="1820" spans="1:16">
      <c r="A1820" s="761" t="s">
        <v>2339</v>
      </c>
      <c r="B1820" s="761" t="s">
        <v>2340</v>
      </c>
      <c r="C1820" s="761" t="s">
        <v>2527</v>
      </c>
      <c r="D1820" s="761">
        <v>52052130</v>
      </c>
      <c r="E1820" s="761" t="s">
        <v>2972</v>
      </c>
      <c r="F1820" s="761">
        <v>143005474</v>
      </c>
      <c r="G1820" s="761" t="s">
        <v>3605</v>
      </c>
      <c r="H1820" s="761" t="s">
        <v>7845</v>
      </c>
      <c r="I1820" s="761" t="s">
        <v>6867</v>
      </c>
      <c r="J1820" s="761">
        <v>2</v>
      </c>
      <c r="K1820" s="746">
        <v>6486.76</v>
      </c>
      <c r="L1820" s="746">
        <v>932.14</v>
      </c>
      <c r="M1820" s="746">
        <v>5554.62</v>
      </c>
      <c r="N1820" s="493" t="str">
        <f t="shared" si="30"/>
        <v>C397</v>
      </c>
      <c r="O1820" s="493" t="s">
        <v>99</v>
      </c>
      <c r="P1820" s="493" t="s">
        <v>8005</v>
      </c>
    </row>
    <row r="1821" spans="1:16">
      <c r="A1821" s="761" t="s">
        <v>2339</v>
      </c>
      <c r="B1821" s="761" t="s">
        <v>2340</v>
      </c>
      <c r="C1821" s="761" t="s">
        <v>2487</v>
      </c>
      <c r="D1821" s="761">
        <v>52052137</v>
      </c>
      <c r="E1821" s="761" t="s">
        <v>2972</v>
      </c>
      <c r="F1821" s="761">
        <v>143005545</v>
      </c>
      <c r="G1821" s="761" t="s">
        <v>3609</v>
      </c>
      <c r="H1821" s="761" t="s">
        <v>7846</v>
      </c>
      <c r="I1821" s="761" t="s">
        <v>6867</v>
      </c>
      <c r="J1821" s="761">
        <v>2</v>
      </c>
      <c r="K1821" s="746">
        <v>6006.66</v>
      </c>
      <c r="L1821" s="746">
        <v>863.15</v>
      </c>
      <c r="M1821" s="746">
        <v>5143.51</v>
      </c>
      <c r="N1821" s="493" t="str">
        <f t="shared" si="30"/>
        <v>C397</v>
      </c>
      <c r="O1821" s="493" t="s">
        <v>99</v>
      </c>
      <c r="P1821" s="493" t="s">
        <v>8005</v>
      </c>
    </row>
    <row r="1822" spans="1:16">
      <c r="A1822" s="761" t="s">
        <v>2339</v>
      </c>
      <c r="B1822" s="761" t="s">
        <v>2340</v>
      </c>
      <c r="C1822" s="761" t="s">
        <v>2487</v>
      </c>
      <c r="D1822" s="761">
        <v>52052140</v>
      </c>
      <c r="E1822" s="761" t="s">
        <v>2972</v>
      </c>
      <c r="F1822" s="761">
        <v>143005546</v>
      </c>
      <c r="G1822" s="761" t="s">
        <v>3610</v>
      </c>
      <c r="H1822" s="761" t="s">
        <v>7847</v>
      </c>
      <c r="I1822" s="761" t="s">
        <v>6867</v>
      </c>
      <c r="J1822" s="761">
        <v>2</v>
      </c>
      <c r="K1822" s="746">
        <v>4874.3900000000003</v>
      </c>
      <c r="L1822" s="746">
        <v>700.45</v>
      </c>
      <c r="M1822" s="746">
        <v>4173.9400000000005</v>
      </c>
      <c r="N1822" s="493" t="str">
        <f t="shared" si="30"/>
        <v>C397</v>
      </c>
      <c r="O1822" s="493" t="s">
        <v>99</v>
      </c>
      <c r="P1822" s="493" t="s">
        <v>8005</v>
      </c>
    </row>
    <row r="1823" spans="1:16">
      <c r="A1823" s="761" t="s">
        <v>2339</v>
      </c>
      <c r="B1823" s="761" t="s">
        <v>2340</v>
      </c>
      <c r="C1823" s="761" t="s">
        <v>2487</v>
      </c>
      <c r="D1823" s="761">
        <v>52052143</v>
      </c>
      <c r="E1823" s="761" t="s">
        <v>2972</v>
      </c>
      <c r="F1823" s="761">
        <v>143005548</v>
      </c>
      <c r="G1823" s="761" t="s">
        <v>3612</v>
      </c>
      <c r="H1823" s="761" t="s">
        <v>3612</v>
      </c>
      <c r="I1823" s="761" t="s">
        <v>6867</v>
      </c>
      <c r="J1823" s="761">
        <v>2</v>
      </c>
      <c r="K1823" s="746">
        <v>4944.99</v>
      </c>
      <c r="L1823" s="746">
        <v>710.59</v>
      </c>
      <c r="M1823" s="746">
        <v>4234.3999999999996</v>
      </c>
      <c r="N1823" s="493" t="str">
        <f t="shared" si="30"/>
        <v>C397</v>
      </c>
      <c r="O1823" s="493" t="s">
        <v>99</v>
      </c>
      <c r="P1823" s="493" t="s">
        <v>8005</v>
      </c>
    </row>
    <row r="1824" spans="1:16">
      <c r="A1824" s="761" t="s">
        <v>2339</v>
      </c>
      <c r="B1824" s="761" t="s">
        <v>2340</v>
      </c>
      <c r="C1824" s="761" t="s">
        <v>2487</v>
      </c>
      <c r="D1824" s="761">
        <v>52052146</v>
      </c>
      <c r="E1824" s="761" t="s">
        <v>2972</v>
      </c>
      <c r="F1824" s="761">
        <v>143005549</v>
      </c>
      <c r="G1824" s="761" t="s">
        <v>3613</v>
      </c>
      <c r="H1824" s="761" t="s">
        <v>3613</v>
      </c>
      <c r="I1824" s="761" t="s">
        <v>6867</v>
      </c>
      <c r="J1824" s="761">
        <v>2</v>
      </c>
      <c r="K1824" s="746">
        <v>4944.99</v>
      </c>
      <c r="L1824" s="746">
        <v>710.59</v>
      </c>
      <c r="M1824" s="746">
        <v>4234.3999999999996</v>
      </c>
      <c r="N1824" s="493" t="str">
        <f t="shared" si="30"/>
        <v>C397</v>
      </c>
      <c r="O1824" s="493" t="s">
        <v>99</v>
      </c>
      <c r="P1824" s="493" t="s">
        <v>8005</v>
      </c>
    </row>
    <row r="1825" spans="1:16">
      <c r="A1825" s="761" t="s">
        <v>2339</v>
      </c>
      <c r="B1825" s="761" t="s">
        <v>2340</v>
      </c>
      <c r="C1825" s="761" t="s">
        <v>2487</v>
      </c>
      <c r="D1825" s="761">
        <v>52052149</v>
      </c>
      <c r="E1825" s="761" t="s">
        <v>2972</v>
      </c>
      <c r="F1825" s="761">
        <v>143005550</v>
      </c>
      <c r="G1825" s="761" t="s">
        <v>3614</v>
      </c>
      <c r="H1825" s="761" t="s">
        <v>7848</v>
      </c>
      <c r="I1825" s="761" t="s">
        <v>6867</v>
      </c>
      <c r="J1825" s="761">
        <v>2</v>
      </c>
      <c r="K1825" s="746">
        <v>7039.45</v>
      </c>
      <c r="L1825" s="746">
        <v>1011.57</v>
      </c>
      <c r="M1825" s="746">
        <v>6027.88</v>
      </c>
      <c r="N1825" s="493" t="str">
        <f t="shared" si="30"/>
        <v>C397</v>
      </c>
      <c r="O1825" s="493" t="s">
        <v>99</v>
      </c>
      <c r="P1825" s="493" t="s">
        <v>8005</v>
      </c>
    </row>
    <row r="1826" spans="1:16">
      <c r="A1826" s="761" t="s">
        <v>2339</v>
      </c>
      <c r="B1826" s="761" t="s">
        <v>2340</v>
      </c>
      <c r="C1826" s="761" t="s">
        <v>2487</v>
      </c>
      <c r="D1826" s="761">
        <v>52052152</v>
      </c>
      <c r="E1826" s="761" t="s">
        <v>2972</v>
      </c>
      <c r="F1826" s="761">
        <v>143005551</v>
      </c>
      <c r="G1826" s="761" t="s">
        <v>3615</v>
      </c>
      <c r="H1826" s="761" t="s">
        <v>7849</v>
      </c>
      <c r="I1826" s="761" t="s">
        <v>6867</v>
      </c>
      <c r="J1826" s="761">
        <v>2</v>
      </c>
      <c r="K1826" s="746">
        <v>5552.43</v>
      </c>
      <c r="L1826" s="746">
        <v>797.88</v>
      </c>
      <c r="M1826" s="746">
        <v>4754.55</v>
      </c>
      <c r="N1826" s="493" t="str">
        <f t="shared" si="30"/>
        <v>C397</v>
      </c>
      <c r="O1826" s="493" t="s">
        <v>99</v>
      </c>
      <c r="P1826" s="493" t="s">
        <v>8005</v>
      </c>
    </row>
    <row r="1827" spans="1:16">
      <c r="A1827" s="761" t="s">
        <v>2339</v>
      </c>
      <c r="B1827" s="761" t="s">
        <v>2340</v>
      </c>
      <c r="C1827" s="761" t="s">
        <v>2487</v>
      </c>
      <c r="D1827" s="761">
        <v>52052155</v>
      </c>
      <c r="E1827" s="761" t="s">
        <v>2972</v>
      </c>
      <c r="F1827" s="761">
        <v>143005552</v>
      </c>
      <c r="G1827" s="761" t="s">
        <v>3616</v>
      </c>
      <c r="H1827" s="761" t="s">
        <v>7850</v>
      </c>
      <c r="I1827" s="761" t="s">
        <v>6867</v>
      </c>
      <c r="J1827" s="761">
        <v>2</v>
      </c>
      <c r="K1827" s="746">
        <v>6762.37</v>
      </c>
      <c r="L1827" s="746">
        <v>971.75</v>
      </c>
      <c r="M1827" s="746">
        <v>5790.62</v>
      </c>
      <c r="N1827" s="493" t="str">
        <f t="shared" si="30"/>
        <v>C397</v>
      </c>
      <c r="O1827" s="493" t="s">
        <v>99</v>
      </c>
      <c r="P1827" s="493" t="s">
        <v>8005</v>
      </c>
    </row>
    <row r="1828" spans="1:16">
      <c r="A1828" s="761" t="s">
        <v>2339</v>
      </c>
      <c r="B1828" s="761" t="s">
        <v>2340</v>
      </c>
      <c r="C1828" s="761" t="s">
        <v>2487</v>
      </c>
      <c r="D1828" s="761">
        <v>52052158</v>
      </c>
      <c r="E1828" s="761" t="s">
        <v>2972</v>
      </c>
      <c r="F1828" s="761">
        <v>143005553</v>
      </c>
      <c r="G1828" s="761" t="s">
        <v>3617</v>
      </c>
      <c r="H1828" s="761" t="s">
        <v>7851</v>
      </c>
      <c r="I1828" s="761" t="s">
        <v>6867</v>
      </c>
      <c r="J1828" s="761">
        <v>2</v>
      </c>
      <c r="K1828" s="746">
        <v>6007.74</v>
      </c>
      <c r="L1828" s="746">
        <v>863.31000000000006</v>
      </c>
      <c r="M1828" s="746">
        <v>5144.43</v>
      </c>
      <c r="N1828" s="493" t="str">
        <f t="shared" si="30"/>
        <v>C397</v>
      </c>
      <c r="O1828" s="493" t="s">
        <v>99</v>
      </c>
      <c r="P1828" s="493" t="s">
        <v>8005</v>
      </c>
    </row>
    <row r="1829" spans="1:16">
      <c r="A1829" s="761" t="s">
        <v>2339</v>
      </c>
      <c r="B1829" s="761" t="s">
        <v>2340</v>
      </c>
      <c r="C1829" s="761" t="s">
        <v>2487</v>
      </c>
      <c r="D1829" s="761">
        <v>52052161</v>
      </c>
      <c r="E1829" s="761" t="s">
        <v>2972</v>
      </c>
      <c r="F1829" s="761">
        <v>143005554</v>
      </c>
      <c r="G1829" s="761" t="s">
        <v>3618</v>
      </c>
      <c r="H1829" s="761" t="s">
        <v>7852</v>
      </c>
      <c r="I1829" s="761" t="s">
        <v>6867</v>
      </c>
      <c r="J1829" s="761">
        <v>2</v>
      </c>
      <c r="K1829" s="746">
        <v>6007.75</v>
      </c>
      <c r="L1829" s="746">
        <v>863.31000000000006</v>
      </c>
      <c r="M1829" s="746">
        <v>5144.4400000000005</v>
      </c>
      <c r="N1829" s="493" t="str">
        <f t="shared" si="30"/>
        <v>C397</v>
      </c>
      <c r="O1829" s="493" t="s">
        <v>99</v>
      </c>
      <c r="P1829" s="493" t="s">
        <v>8005</v>
      </c>
    </row>
    <row r="1830" spans="1:16">
      <c r="A1830" s="761" t="s">
        <v>2339</v>
      </c>
      <c r="B1830" s="761" t="s">
        <v>2340</v>
      </c>
      <c r="C1830" s="761" t="s">
        <v>2487</v>
      </c>
      <c r="D1830" s="761">
        <v>52052164</v>
      </c>
      <c r="E1830" s="761" t="s">
        <v>2972</v>
      </c>
      <c r="F1830" s="761">
        <v>143005555</v>
      </c>
      <c r="G1830" s="761" t="s">
        <v>3619</v>
      </c>
      <c r="H1830" s="761" t="s">
        <v>7853</v>
      </c>
      <c r="I1830" s="761" t="s">
        <v>6867</v>
      </c>
      <c r="J1830" s="761">
        <v>2</v>
      </c>
      <c r="K1830" s="746">
        <v>5542.95</v>
      </c>
      <c r="L1830" s="746">
        <v>796.52</v>
      </c>
      <c r="M1830" s="746">
        <v>4746.43</v>
      </c>
      <c r="N1830" s="493" t="str">
        <f t="shared" si="30"/>
        <v>C397</v>
      </c>
      <c r="O1830" s="493" t="s">
        <v>99</v>
      </c>
      <c r="P1830" s="493" t="s">
        <v>8005</v>
      </c>
    </row>
    <row r="1831" spans="1:16">
      <c r="A1831" s="761" t="s">
        <v>2339</v>
      </c>
      <c r="B1831" s="761" t="s">
        <v>2340</v>
      </c>
      <c r="C1831" s="761" t="s">
        <v>2487</v>
      </c>
      <c r="D1831" s="761">
        <v>52052167</v>
      </c>
      <c r="E1831" s="761" t="s">
        <v>2972</v>
      </c>
      <c r="F1831" s="761">
        <v>143005556</v>
      </c>
      <c r="G1831" s="761" t="s">
        <v>3620</v>
      </c>
      <c r="H1831" s="761" t="s">
        <v>7854</v>
      </c>
      <c r="I1831" s="761" t="s">
        <v>6867</v>
      </c>
      <c r="J1831" s="761">
        <v>2</v>
      </c>
      <c r="K1831" s="746">
        <v>8797.18</v>
      </c>
      <c r="L1831" s="746">
        <v>1264.1500000000001</v>
      </c>
      <c r="M1831" s="746">
        <v>7533.03</v>
      </c>
      <c r="N1831" s="493" t="str">
        <f t="shared" si="30"/>
        <v>C397</v>
      </c>
      <c r="O1831" s="493" t="s">
        <v>99</v>
      </c>
      <c r="P1831" s="493" t="s">
        <v>8005</v>
      </c>
    </row>
    <row r="1832" spans="1:16">
      <c r="A1832" s="761" t="s">
        <v>2339</v>
      </c>
      <c r="B1832" s="761" t="s">
        <v>2340</v>
      </c>
      <c r="C1832" s="761" t="s">
        <v>2487</v>
      </c>
      <c r="D1832" s="761">
        <v>52052170</v>
      </c>
      <c r="E1832" s="761" t="s">
        <v>2972</v>
      </c>
      <c r="F1832" s="761">
        <v>143005557</v>
      </c>
      <c r="G1832" s="761" t="s">
        <v>3621</v>
      </c>
      <c r="H1832" s="761" t="s">
        <v>7855</v>
      </c>
      <c r="I1832" s="761" t="s">
        <v>6867</v>
      </c>
      <c r="J1832" s="761">
        <v>2</v>
      </c>
      <c r="K1832" s="746">
        <v>5574.01</v>
      </c>
      <c r="L1832" s="746">
        <v>800.98</v>
      </c>
      <c r="M1832" s="746">
        <v>4773.03</v>
      </c>
      <c r="N1832" s="493" t="str">
        <f t="shared" si="30"/>
        <v>C397</v>
      </c>
      <c r="O1832" s="493" t="s">
        <v>99</v>
      </c>
      <c r="P1832" s="493" t="s">
        <v>8005</v>
      </c>
    </row>
    <row r="1833" spans="1:16">
      <c r="A1833" s="761" t="s">
        <v>2339</v>
      </c>
      <c r="B1833" s="761" t="s">
        <v>2340</v>
      </c>
      <c r="C1833" s="761" t="s">
        <v>2487</v>
      </c>
      <c r="D1833" s="761">
        <v>52052173</v>
      </c>
      <c r="E1833" s="761" t="s">
        <v>2972</v>
      </c>
      <c r="F1833" s="761">
        <v>143005558</v>
      </c>
      <c r="G1833" s="761" t="s">
        <v>3622</v>
      </c>
      <c r="H1833" s="761" t="s">
        <v>7856</v>
      </c>
      <c r="I1833" s="761" t="s">
        <v>6867</v>
      </c>
      <c r="J1833" s="761">
        <v>2</v>
      </c>
      <c r="K1833" s="746">
        <v>13816.380000000001</v>
      </c>
      <c r="L1833" s="746">
        <v>1985.41</v>
      </c>
      <c r="M1833" s="746">
        <v>11830.97</v>
      </c>
      <c r="N1833" s="493" t="str">
        <f t="shared" si="30"/>
        <v>C397</v>
      </c>
      <c r="O1833" s="493" t="s">
        <v>99</v>
      </c>
      <c r="P1833" s="493" t="s">
        <v>8005</v>
      </c>
    </row>
    <row r="1834" spans="1:16">
      <c r="A1834" s="761" t="s">
        <v>2339</v>
      </c>
      <c r="B1834" s="761" t="s">
        <v>2340</v>
      </c>
      <c r="C1834" s="761" t="s">
        <v>2487</v>
      </c>
      <c r="D1834" s="761">
        <v>52052176</v>
      </c>
      <c r="E1834" s="761" t="s">
        <v>2972</v>
      </c>
      <c r="F1834" s="761">
        <v>143005559</v>
      </c>
      <c r="G1834" s="761" t="s">
        <v>3623</v>
      </c>
      <c r="H1834" s="761" t="s">
        <v>7857</v>
      </c>
      <c r="I1834" s="761" t="s">
        <v>6867</v>
      </c>
      <c r="J1834" s="761">
        <v>2</v>
      </c>
      <c r="K1834" s="746">
        <v>7021.59</v>
      </c>
      <c r="L1834" s="746">
        <v>1009</v>
      </c>
      <c r="M1834" s="746">
        <v>6012.59</v>
      </c>
      <c r="N1834" s="493" t="str">
        <f t="shared" si="30"/>
        <v>C397</v>
      </c>
      <c r="O1834" s="493" t="s">
        <v>99</v>
      </c>
      <c r="P1834" s="493" t="s">
        <v>8005</v>
      </c>
    </row>
    <row r="1835" spans="1:16">
      <c r="A1835" s="761" t="s">
        <v>2339</v>
      </c>
      <c r="B1835" s="761" t="s">
        <v>2340</v>
      </c>
      <c r="C1835" s="761" t="s">
        <v>2487</v>
      </c>
      <c r="D1835" s="761">
        <v>52052179</v>
      </c>
      <c r="E1835" s="761" t="s">
        <v>2972</v>
      </c>
      <c r="F1835" s="761">
        <v>143005600</v>
      </c>
      <c r="G1835" s="761" t="s">
        <v>3626</v>
      </c>
      <c r="H1835" s="761" t="s">
        <v>7858</v>
      </c>
      <c r="I1835" s="761" t="s">
        <v>6867</v>
      </c>
      <c r="J1835" s="761">
        <v>2</v>
      </c>
      <c r="K1835" s="746">
        <v>12095.41</v>
      </c>
      <c r="L1835" s="746">
        <v>1738.1000000000001</v>
      </c>
      <c r="M1835" s="746">
        <v>10357.31</v>
      </c>
      <c r="N1835" s="493" t="str">
        <f t="shared" si="30"/>
        <v>C397</v>
      </c>
      <c r="O1835" s="493" t="s">
        <v>99</v>
      </c>
      <c r="P1835" s="493" t="s">
        <v>8005</v>
      </c>
    </row>
    <row r="1836" spans="1:16">
      <c r="A1836" s="761" t="s">
        <v>2339</v>
      </c>
      <c r="B1836" s="761" t="s">
        <v>2340</v>
      </c>
      <c r="C1836" s="761" t="s">
        <v>2487</v>
      </c>
      <c r="D1836" s="761">
        <v>52052182</v>
      </c>
      <c r="E1836" s="761" t="s">
        <v>2972</v>
      </c>
      <c r="F1836" s="761">
        <v>143005602</v>
      </c>
      <c r="G1836" s="761" t="s">
        <v>3628</v>
      </c>
      <c r="H1836" s="761" t="s">
        <v>7859</v>
      </c>
      <c r="I1836" s="761" t="s">
        <v>6867</v>
      </c>
      <c r="J1836" s="761">
        <v>2</v>
      </c>
      <c r="K1836" s="746">
        <v>6246.84</v>
      </c>
      <c r="L1836" s="746">
        <v>897.67000000000007</v>
      </c>
      <c r="M1836" s="746">
        <v>5349.17</v>
      </c>
      <c r="N1836" s="493" t="str">
        <f t="shared" si="30"/>
        <v>C397</v>
      </c>
      <c r="O1836" s="493" t="s">
        <v>99</v>
      </c>
      <c r="P1836" s="493" t="s">
        <v>8005</v>
      </c>
    </row>
    <row r="1837" spans="1:16">
      <c r="A1837" s="761" t="s">
        <v>2339</v>
      </c>
      <c r="B1837" s="761" t="s">
        <v>2340</v>
      </c>
      <c r="C1837" s="761" t="s">
        <v>2487</v>
      </c>
      <c r="D1837" s="761">
        <v>52052185</v>
      </c>
      <c r="E1837" s="761" t="s">
        <v>2972</v>
      </c>
      <c r="F1837" s="761">
        <v>143005603</v>
      </c>
      <c r="G1837" s="761" t="s">
        <v>3629</v>
      </c>
      <c r="H1837" s="761" t="s">
        <v>7860</v>
      </c>
      <c r="I1837" s="761" t="s">
        <v>6867</v>
      </c>
      <c r="J1837" s="761">
        <v>2</v>
      </c>
      <c r="K1837" s="746">
        <v>6263.2</v>
      </c>
      <c r="L1837" s="746">
        <v>900.02</v>
      </c>
      <c r="M1837" s="746">
        <v>5363.18</v>
      </c>
      <c r="N1837" s="493" t="str">
        <f t="shared" si="30"/>
        <v>C397</v>
      </c>
      <c r="O1837" s="493" t="s">
        <v>99</v>
      </c>
      <c r="P1837" s="493" t="s">
        <v>8005</v>
      </c>
    </row>
    <row r="1838" spans="1:16">
      <c r="A1838" s="761" t="s">
        <v>2339</v>
      </c>
      <c r="B1838" s="761" t="s">
        <v>2340</v>
      </c>
      <c r="C1838" s="761" t="s">
        <v>2487</v>
      </c>
      <c r="D1838" s="761">
        <v>52052188</v>
      </c>
      <c r="E1838" s="761" t="s">
        <v>2972</v>
      </c>
      <c r="F1838" s="761">
        <v>143005620</v>
      </c>
      <c r="G1838" s="761" t="s">
        <v>3630</v>
      </c>
      <c r="H1838" s="761" t="s">
        <v>7861</v>
      </c>
      <c r="I1838" s="761" t="s">
        <v>6867</v>
      </c>
      <c r="J1838" s="761">
        <v>2</v>
      </c>
      <c r="K1838" s="746">
        <v>7343.91</v>
      </c>
      <c r="L1838" s="746">
        <v>1055.32</v>
      </c>
      <c r="M1838" s="746">
        <v>6288.59</v>
      </c>
      <c r="N1838" s="493" t="str">
        <f t="shared" si="30"/>
        <v>C397</v>
      </c>
      <c r="O1838" s="493" t="s">
        <v>99</v>
      </c>
      <c r="P1838" s="493" t="s">
        <v>8005</v>
      </c>
    </row>
    <row r="1839" spans="1:16">
      <c r="A1839" s="761" t="s">
        <v>2339</v>
      </c>
      <c r="B1839" s="761" t="s">
        <v>2340</v>
      </c>
      <c r="C1839" s="761" t="s">
        <v>2487</v>
      </c>
      <c r="D1839" s="761">
        <v>52052191</v>
      </c>
      <c r="E1839" s="761" t="s">
        <v>2972</v>
      </c>
      <c r="F1839" s="761">
        <v>143005621</v>
      </c>
      <c r="G1839" s="761" t="s">
        <v>3631</v>
      </c>
      <c r="H1839" s="761" t="s">
        <v>7862</v>
      </c>
      <c r="I1839" s="761" t="s">
        <v>6867</v>
      </c>
      <c r="J1839" s="761">
        <v>2</v>
      </c>
      <c r="K1839" s="746">
        <v>7021.59</v>
      </c>
      <c r="L1839" s="746">
        <v>1009</v>
      </c>
      <c r="M1839" s="746">
        <v>6012.59</v>
      </c>
      <c r="N1839" s="493" t="str">
        <f t="shared" si="30"/>
        <v>C397</v>
      </c>
      <c r="O1839" s="493" t="s">
        <v>99</v>
      </c>
      <c r="P1839" s="493" t="s">
        <v>8005</v>
      </c>
    </row>
    <row r="1840" spans="1:16">
      <c r="A1840" s="761" t="s">
        <v>2339</v>
      </c>
      <c r="B1840" s="761" t="s">
        <v>2340</v>
      </c>
      <c r="C1840" s="761" t="s">
        <v>2487</v>
      </c>
      <c r="D1840" s="761">
        <v>52052194</v>
      </c>
      <c r="E1840" s="761" t="s">
        <v>2972</v>
      </c>
      <c r="F1840" s="761">
        <v>143005622</v>
      </c>
      <c r="G1840" s="761" t="s">
        <v>3632</v>
      </c>
      <c r="H1840" s="761" t="s">
        <v>7863</v>
      </c>
      <c r="I1840" s="761" t="s">
        <v>6867</v>
      </c>
      <c r="J1840" s="761">
        <v>2</v>
      </c>
      <c r="K1840" s="746">
        <v>7021.59</v>
      </c>
      <c r="L1840" s="746">
        <v>1009</v>
      </c>
      <c r="M1840" s="746">
        <v>6012.59</v>
      </c>
      <c r="N1840" s="493" t="str">
        <f t="shared" si="30"/>
        <v>C397</v>
      </c>
      <c r="O1840" s="493" t="s">
        <v>99</v>
      </c>
      <c r="P1840" s="493" t="s">
        <v>8005</v>
      </c>
    </row>
    <row r="1841" spans="1:16">
      <c r="A1841" s="761" t="s">
        <v>2339</v>
      </c>
      <c r="B1841" s="761" t="s">
        <v>2340</v>
      </c>
      <c r="C1841" s="761" t="s">
        <v>2487</v>
      </c>
      <c r="D1841" s="761">
        <v>52052197</v>
      </c>
      <c r="E1841" s="761" t="s">
        <v>2972</v>
      </c>
      <c r="F1841" s="761">
        <v>143005623</v>
      </c>
      <c r="G1841" s="761" t="s">
        <v>3633</v>
      </c>
      <c r="H1841" s="761" t="s">
        <v>7864</v>
      </c>
      <c r="I1841" s="761" t="s">
        <v>6867</v>
      </c>
      <c r="J1841" s="761">
        <v>3</v>
      </c>
      <c r="K1841" s="746">
        <v>6945.28</v>
      </c>
      <c r="L1841" s="746">
        <v>998.03</v>
      </c>
      <c r="M1841" s="746">
        <v>5947.25</v>
      </c>
      <c r="N1841" s="493" t="str">
        <f t="shared" si="30"/>
        <v>C397</v>
      </c>
      <c r="O1841" s="493" t="s">
        <v>99</v>
      </c>
      <c r="P1841" s="493" t="s">
        <v>8005</v>
      </c>
    </row>
    <row r="1842" spans="1:16">
      <c r="A1842" s="761" t="s">
        <v>2339</v>
      </c>
      <c r="B1842" s="761" t="s">
        <v>2340</v>
      </c>
      <c r="C1842" s="761" t="s">
        <v>2487</v>
      </c>
      <c r="D1842" s="761">
        <v>52052200</v>
      </c>
      <c r="E1842" s="761" t="s">
        <v>2972</v>
      </c>
      <c r="F1842" s="761">
        <v>143005624</v>
      </c>
      <c r="G1842" s="761" t="s">
        <v>3634</v>
      </c>
      <c r="H1842" s="761" t="s">
        <v>7865</v>
      </c>
      <c r="I1842" s="761" t="s">
        <v>6867</v>
      </c>
      <c r="J1842" s="761">
        <v>2</v>
      </c>
      <c r="K1842" s="746">
        <v>13822.04</v>
      </c>
      <c r="L1842" s="746">
        <v>1986.22</v>
      </c>
      <c r="M1842" s="746">
        <v>11835.82</v>
      </c>
      <c r="N1842" s="493" t="str">
        <f t="shared" si="30"/>
        <v>C397</v>
      </c>
      <c r="O1842" s="493" t="s">
        <v>99</v>
      </c>
      <c r="P1842" s="493" t="s">
        <v>8005</v>
      </c>
    </row>
    <row r="1843" spans="1:16">
      <c r="A1843" s="761" t="s">
        <v>2339</v>
      </c>
      <c r="B1843" s="761" t="s">
        <v>2340</v>
      </c>
      <c r="C1843" s="761" t="s">
        <v>2487</v>
      </c>
      <c r="D1843" s="761">
        <v>52052203</v>
      </c>
      <c r="E1843" s="761" t="s">
        <v>2972</v>
      </c>
      <c r="F1843" s="761">
        <v>143005625</v>
      </c>
      <c r="G1843" s="761" t="s">
        <v>3635</v>
      </c>
      <c r="H1843" s="761" t="s">
        <v>7866</v>
      </c>
      <c r="I1843" s="761" t="s">
        <v>6867</v>
      </c>
      <c r="J1843" s="761">
        <v>2</v>
      </c>
      <c r="K1843" s="746">
        <v>13847.37</v>
      </c>
      <c r="L1843" s="746">
        <v>1989.8600000000001</v>
      </c>
      <c r="M1843" s="746">
        <v>11857.51</v>
      </c>
      <c r="N1843" s="493" t="str">
        <f t="shared" si="30"/>
        <v>C397</v>
      </c>
      <c r="O1843" s="493" t="s">
        <v>99</v>
      </c>
      <c r="P1843" s="493" t="s">
        <v>8005</v>
      </c>
    </row>
    <row r="1844" spans="1:16">
      <c r="A1844" s="761" t="s">
        <v>2339</v>
      </c>
      <c r="B1844" s="761" t="s">
        <v>2340</v>
      </c>
      <c r="C1844" s="761" t="s">
        <v>2487</v>
      </c>
      <c r="D1844" s="761">
        <v>52052206</v>
      </c>
      <c r="E1844" s="761" t="s">
        <v>2972</v>
      </c>
      <c r="F1844" s="761">
        <v>143005626</v>
      </c>
      <c r="G1844" s="761" t="s">
        <v>3636</v>
      </c>
      <c r="H1844" s="761" t="s">
        <v>7867</v>
      </c>
      <c r="I1844" s="761" t="s">
        <v>6867</v>
      </c>
      <c r="J1844" s="761">
        <v>2</v>
      </c>
      <c r="K1844" s="746">
        <v>7021.59</v>
      </c>
      <c r="L1844" s="746">
        <v>1009</v>
      </c>
      <c r="M1844" s="746">
        <v>6012.59</v>
      </c>
      <c r="N1844" s="493" t="str">
        <f t="shared" si="30"/>
        <v>C397</v>
      </c>
      <c r="O1844" s="493" t="s">
        <v>99</v>
      </c>
      <c r="P1844" s="493" t="s">
        <v>8005</v>
      </c>
    </row>
    <row r="1845" spans="1:16">
      <c r="A1845" s="761" t="s">
        <v>2339</v>
      </c>
      <c r="B1845" s="761" t="s">
        <v>2340</v>
      </c>
      <c r="C1845" s="761" t="s">
        <v>2487</v>
      </c>
      <c r="D1845" s="761">
        <v>52052209</v>
      </c>
      <c r="E1845" s="761" t="s">
        <v>2972</v>
      </c>
      <c r="F1845" s="761">
        <v>143005627</v>
      </c>
      <c r="G1845" s="761" t="s">
        <v>3637</v>
      </c>
      <c r="H1845" s="761" t="s">
        <v>7868</v>
      </c>
      <c r="I1845" s="761" t="s">
        <v>6867</v>
      </c>
      <c r="J1845" s="761">
        <v>2</v>
      </c>
      <c r="K1845" s="746">
        <v>7021.59</v>
      </c>
      <c r="L1845" s="746">
        <v>1009</v>
      </c>
      <c r="M1845" s="746">
        <v>6012.59</v>
      </c>
      <c r="N1845" s="493" t="str">
        <f t="shared" si="30"/>
        <v>C397</v>
      </c>
      <c r="O1845" s="493" t="s">
        <v>99</v>
      </c>
      <c r="P1845" s="493" t="s">
        <v>8005</v>
      </c>
    </row>
    <row r="1846" spans="1:16">
      <c r="A1846" s="761" t="s">
        <v>2339</v>
      </c>
      <c r="B1846" s="761" t="s">
        <v>2340</v>
      </c>
      <c r="C1846" s="761" t="s">
        <v>2487</v>
      </c>
      <c r="D1846" s="761">
        <v>52052212</v>
      </c>
      <c r="E1846" s="761" t="s">
        <v>2972</v>
      </c>
      <c r="F1846" s="761">
        <v>143005628</v>
      </c>
      <c r="G1846" s="761" t="s">
        <v>3638</v>
      </c>
      <c r="H1846" s="761" t="s">
        <v>7869</v>
      </c>
      <c r="I1846" s="761" t="s">
        <v>6867</v>
      </c>
      <c r="J1846" s="761">
        <v>2</v>
      </c>
      <c r="K1846" s="746">
        <v>14004.470000000001</v>
      </c>
      <c r="L1846" s="746">
        <v>2012.43</v>
      </c>
      <c r="M1846" s="746">
        <v>11992.04</v>
      </c>
      <c r="N1846" s="493" t="str">
        <f t="shared" si="30"/>
        <v>C397</v>
      </c>
      <c r="O1846" s="493" t="s">
        <v>99</v>
      </c>
      <c r="P1846" s="493" t="s">
        <v>8005</v>
      </c>
    </row>
    <row r="1847" spans="1:16">
      <c r="A1847" s="761" t="s">
        <v>2339</v>
      </c>
      <c r="B1847" s="761" t="s">
        <v>2340</v>
      </c>
      <c r="C1847" s="761" t="s">
        <v>2487</v>
      </c>
      <c r="D1847" s="761">
        <v>52052215</v>
      </c>
      <c r="E1847" s="761" t="s">
        <v>2972</v>
      </c>
      <c r="F1847" s="761">
        <v>143005631</v>
      </c>
      <c r="G1847" s="761" t="s">
        <v>3640</v>
      </c>
      <c r="H1847" s="761" t="s">
        <v>7870</v>
      </c>
      <c r="I1847" s="761" t="s">
        <v>6867</v>
      </c>
      <c r="J1847" s="761">
        <v>2</v>
      </c>
      <c r="K1847" s="746">
        <v>6399.09</v>
      </c>
      <c r="L1847" s="746">
        <v>919.55000000000007</v>
      </c>
      <c r="M1847" s="746">
        <v>5479.54</v>
      </c>
      <c r="N1847" s="493" t="str">
        <f t="shared" si="30"/>
        <v>C397</v>
      </c>
      <c r="O1847" s="493" t="s">
        <v>99</v>
      </c>
      <c r="P1847" s="493" t="s">
        <v>8005</v>
      </c>
    </row>
    <row r="1848" spans="1:16">
      <c r="A1848" s="761" t="s">
        <v>2339</v>
      </c>
      <c r="B1848" s="761" t="s">
        <v>2340</v>
      </c>
      <c r="C1848" s="761" t="s">
        <v>2487</v>
      </c>
      <c r="D1848" s="761">
        <v>52052223</v>
      </c>
      <c r="E1848" s="761" t="s">
        <v>2972</v>
      </c>
      <c r="F1848" s="761">
        <v>143005700</v>
      </c>
      <c r="G1848" s="761" t="s">
        <v>3646</v>
      </c>
      <c r="H1848" s="761" t="s">
        <v>7871</v>
      </c>
      <c r="I1848" s="761" t="s">
        <v>6867</v>
      </c>
      <c r="J1848" s="761">
        <v>2</v>
      </c>
      <c r="K1848" s="746">
        <v>6217.59</v>
      </c>
      <c r="L1848" s="746">
        <v>893.46</v>
      </c>
      <c r="M1848" s="746">
        <v>5324.13</v>
      </c>
      <c r="N1848" s="493" t="str">
        <f t="shared" si="30"/>
        <v>C397</v>
      </c>
      <c r="O1848" s="493" t="s">
        <v>99</v>
      </c>
      <c r="P1848" s="493" t="s">
        <v>8005</v>
      </c>
    </row>
    <row r="1849" spans="1:16">
      <c r="A1849" s="761" t="s">
        <v>2339</v>
      </c>
      <c r="B1849" s="761" t="s">
        <v>2340</v>
      </c>
      <c r="C1849" s="761" t="s">
        <v>2487</v>
      </c>
      <c r="D1849" s="761">
        <v>52052226</v>
      </c>
      <c r="E1849" s="761" t="s">
        <v>2972</v>
      </c>
      <c r="F1849" s="761">
        <v>143005701</v>
      </c>
      <c r="G1849" s="761" t="s">
        <v>3647</v>
      </c>
      <c r="H1849" s="761" t="s">
        <v>7872</v>
      </c>
      <c r="I1849" s="761" t="s">
        <v>6867</v>
      </c>
      <c r="J1849" s="761">
        <v>2</v>
      </c>
      <c r="K1849" s="746">
        <v>6217.59</v>
      </c>
      <c r="L1849" s="746">
        <v>893.46</v>
      </c>
      <c r="M1849" s="746">
        <v>5324.13</v>
      </c>
      <c r="N1849" s="493" t="str">
        <f t="shared" si="30"/>
        <v>C397</v>
      </c>
      <c r="O1849" s="493" t="s">
        <v>99</v>
      </c>
      <c r="P1849" s="493" t="s">
        <v>8005</v>
      </c>
    </row>
    <row r="1850" spans="1:16">
      <c r="A1850" s="761" t="s">
        <v>2339</v>
      </c>
      <c r="B1850" s="761" t="s">
        <v>2340</v>
      </c>
      <c r="C1850" s="761" t="s">
        <v>2487</v>
      </c>
      <c r="D1850" s="761">
        <v>52052229</v>
      </c>
      <c r="E1850" s="761" t="s">
        <v>2972</v>
      </c>
      <c r="F1850" s="761">
        <v>143005702</v>
      </c>
      <c r="G1850" s="761" t="s">
        <v>3648</v>
      </c>
      <c r="H1850" s="761" t="s">
        <v>7873</v>
      </c>
      <c r="I1850" s="761" t="s">
        <v>6867</v>
      </c>
      <c r="J1850" s="761">
        <v>2</v>
      </c>
      <c r="K1850" s="746">
        <v>6217.59</v>
      </c>
      <c r="L1850" s="746">
        <v>893.46</v>
      </c>
      <c r="M1850" s="746">
        <v>5324.13</v>
      </c>
      <c r="N1850" s="493" t="str">
        <f t="shared" si="30"/>
        <v>C397</v>
      </c>
      <c r="O1850" s="493" t="s">
        <v>99</v>
      </c>
      <c r="P1850" s="493" t="s">
        <v>8005</v>
      </c>
    </row>
    <row r="1851" spans="1:16">
      <c r="A1851" s="761" t="s">
        <v>2339</v>
      </c>
      <c r="B1851" s="761" t="s">
        <v>2340</v>
      </c>
      <c r="C1851" s="761" t="s">
        <v>2487</v>
      </c>
      <c r="D1851" s="761">
        <v>52052232</v>
      </c>
      <c r="E1851" s="761" t="s">
        <v>2972</v>
      </c>
      <c r="F1851" s="761">
        <v>143005703</v>
      </c>
      <c r="G1851" s="761" t="s">
        <v>3649</v>
      </c>
      <c r="H1851" s="761" t="s">
        <v>7874</v>
      </c>
      <c r="I1851" s="761" t="s">
        <v>6867</v>
      </c>
      <c r="J1851" s="761">
        <v>2</v>
      </c>
      <c r="K1851" s="746">
        <v>13068.470000000001</v>
      </c>
      <c r="L1851" s="746">
        <v>1877.93</v>
      </c>
      <c r="M1851" s="746">
        <v>11190.54</v>
      </c>
      <c r="N1851" s="493" t="str">
        <f t="shared" si="30"/>
        <v>C397</v>
      </c>
      <c r="O1851" s="493" t="s">
        <v>99</v>
      </c>
      <c r="P1851" s="493" t="s">
        <v>8005</v>
      </c>
    </row>
    <row r="1852" spans="1:16">
      <c r="A1852" s="761" t="s">
        <v>2339</v>
      </c>
      <c r="B1852" s="761" t="s">
        <v>2340</v>
      </c>
      <c r="C1852" s="761" t="s">
        <v>2487</v>
      </c>
      <c r="D1852" s="761">
        <v>52052235</v>
      </c>
      <c r="E1852" s="761" t="s">
        <v>2972</v>
      </c>
      <c r="F1852" s="761">
        <v>143005704</v>
      </c>
      <c r="G1852" s="761" t="s">
        <v>3650</v>
      </c>
      <c r="H1852" s="761" t="s">
        <v>7875</v>
      </c>
      <c r="I1852" s="761" t="s">
        <v>6867</v>
      </c>
      <c r="J1852" s="761">
        <v>2</v>
      </c>
      <c r="K1852" s="746">
        <v>13068.460000000001</v>
      </c>
      <c r="L1852" s="746">
        <v>1877.93</v>
      </c>
      <c r="M1852" s="746">
        <v>11190.53</v>
      </c>
      <c r="N1852" s="493" t="str">
        <f t="shared" si="30"/>
        <v>C397</v>
      </c>
      <c r="O1852" s="493" t="s">
        <v>99</v>
      </c>
      <c r="P1852" s="493" t="s">
        <v>8005</v>
      </c>
    </row>
    <row r="1853" spans="1:16">
      <c r="A1853" s="761" t="s">
        <v>2339</v>
      </c>
      <c r="B1853" s="761" t="s">
        <v>2340</v>
      </c>
      <c r="C1853" s="761" t="s">
        <v>2487</v>
      </c>
      <c r="D1853" s="761">
        <v>52052238</v>
      </c>
      <c r="E1853" s="761" t="s">
        <v>2972</v>
      </c>
      <c r="F1853" s="761">
        <v>143005705</v>
      </c>
      <c r="G1853" s="761" t="s">
        <v>3651</v>
      </c>
      <c r="H1853" s="761" t="s">
        <v>7876</v>
      </c>
      <c r="I1853" s="761" t="s">
        <v>6867</v>
      </c>
      <c r="J1853" s="761">
        <v>2</v>
      </c>
      <c r="K1853" s="746">
        <v>13068.470000000001</v>
      </c>
      <c r="L1853" s="746">
        <v>1877.93</v>
      </c>
      <c r="M1853" s="746">
        <v>11190.54</v>
      </c>
      <c r="N1853" s="493" t="str">
        <f t="shared" si="30"/>
        <v>C397</v>
      </c>
      <c r="O1853" s="493" t="s">
        <v>99</v>
      </c>
      <c r="P1853" s="493" t="s">
        <v>8005</v>
      </c>
    </row>
    <row r="1854" spans="1:16">
      <c r="A1854" s="761" t="s">
        <v>2339</v>
      </c>
      <c r="B1854" s="761" t="s">
        <v>2340</v>
      </c>
      <c r="C1854" s="761" t="s">
        <v>2487</v>
      </c>
      <c r="D1854" s="761">
        <v>52052241</v>
      </c>
      <c r="E1854" s="761" t="s">
        <v>2972</v>
      </c>
      <c r="F1854" s="761">
        <v>143005706</v>
      </c>
      <c r="G1854" s="761" t="s">
        <v>3652</v>
      </c>
      <c r="H1854" s="761" t="s">
        <v>7877</v>
      </c>
      <c r="I1854" s="761" t="s">
        <v>6867</v>
      </c>
      <c r="J1854" s="761">
        <v>2</v>
      </c>
      <c r="K1854" s="746">
        <v>13068.460000000001</v>
      </c>
      <c r="L1854" s="746">
        <v>1877.93</v>
      </c>
      <c r="M1854" s="746">
        <v>11190.53</v>
      </c>
      <c r="N1854" s="493" t="str">
        <f t="shared" si="30"/>
        <v>C397</v>
      </c>
      <c r="O1854" s="493" t="s">
        <v>99</v>
      </c>
      <c r="P1854" s="493" t="s">
        <v>8005</v>
      </c>
    </row>
    <row r="1855" spans="1:16">
      <c r="A1855" s="761" t="s">
        <v>2339</v>
      </c>
      <c r="B1855" s="761" t="s">
        <v>2340</v>
      </c>
      <c r="C1855" s="761" t="s">
        <v>2487</v>
      </c>
      <c r="D1855" s="761">
        <v>52052244</v>
      </c>
      <c r="E1855" s="761" t="s">
        <v>2972</v>
      </c>
      <c r="F1855" s="761">
        <v>143005707</v>
      </c>
      <c r="G1855" s="761" t="s">
        <v>3653</v>
      </c>
      <c r="H1855" s="761" t="s">
        <v>7878</v>
      </c>
      <c r="I1855" s="761" t="s">
        <v>6867</v>
      </c>
      <c r="J1855" s="761">
        <v>2</v>
      </c>
      <c r="K1855" s="746">
        <v>6495.38</v>
      </c>
      <c r="L1855" s="746">
        <v>933.38</v>
      </c>
      <c r="M1855" s="746">
        <v>5562</v>
      </c>
      <c r="N1855" s="493" t="str">
        <f t="shared" si="30"/>
        <v>C397</v>
      </c>
      <c r="O1855" s="493" t="s">
        <v>99</v>
      </c>
      <c r="P1855" s="493" t="s">
        <v>8005</v>
      </c>
    </row>
    <row r="1856" spans="1:16">
      <c r="A1856" s="761" t="s">
        <v>2339</v>
      </c>
      <c r="B1856" s="761" t="s">
        <v>2340</v>
      </c>
      <c r="C1856" s="761" t="s">
        <v>2487</v>
      </c>
      <c r="D1856" s="761">
        <v>52052247</v>
      </c>
      <c r="E1856" s="761" t="s">
        <v>2972</v>
      </c>
      <c r="F1856" s="761">
        <v>143005708</v>
      </c>
      <c r="G1856" s="761" t="s">
        <v>3654</v>
      </c>
      <c r="H1856" s="761" t="s">
        <v>7879</v>
      </c>
      <c r="I1856" s="761" t="s">
        <v>6867</v>
      </c>
      <c r="J1856" s="761">
        <v>2</v>
      </c>
      <c r="K1856" s="746">
        <v>6217.59</v>
      </c>
      <c r="L1856" s="746">
        <v>893.46</v>
      </c>
      <c r="M1856" s="746">
        <v>5324.13</v>
      </c>
      <c r="N1856" s="493" t="str">
        <f t="shared" si="30"/>
        <v>C397</v>
      </c>
      <c r="O1856" s="493" t="s">
        <v>99</v>
      </c>
      <c r="P1856" s="493" t="s">
        <v>8005</v>
      </c>
    </row>
    <row r="1857" spans="1:16">
      <c r="A1857" s="761" t="s">
        <v>2339</v>
      </c>
      <c r="B1857" s="761" t="s">
        <v>2340</v>
      </c>
      <c r="C1857" s="761" t="s">
        <v>2487</v>
      </c>
      <c r="D1857" s="761">
        <v>52052250</v>
      </c>
      <c r="E1857" s="761" t="s">
        <v>2972</v>
      </c>
      <c r="F1857" s="761">
        <v>143005709</v>
      </c>
      <c r="G1857" s="761" t="s">
        <v>3655</v>
      </c>
      <c r="H1857" s="761" t="s">
        <v>7880</v>
      </c>
      <c r="I1857" s="761" t="s">
        <v>6867</v>
      </c>
      <c r="J1857" s="761">
        <v>2</v>
      </c>
      <c r="K1857" s="746">
        <v>6217.59</v>
      </c>
      <c r="L1857" s="746">
        <v>893.46</v>
      </c>
      <c r="M1857" s="746">
        <v>5324.13</v>
      </c>
      <c r="N1857" s="493" t="str">
        <f t="shared" si="30"/>
        <v>C397</v>
      </c>
      <c r="O1857" s="493" t="s">
        <v>99</v>
      </c>
      <c r="P1857" s="493" t="s">
        <v>8005</v>
      </c>
    </row>
    <row r="1858" spans="1:16">
      <c r="A1858" s="761" t="s">
        <v>2339</v>
      </c>
      <c r="B1858" s="761" t="s">
        <v>2340</v>
      </c>
      <c r="C1858" s="761" t="s">
        <v>2487</v>
      </c>
      <c r="D1858" s="761">
        <v>52052253</v>
      </c>
      <c r="E1858" s="761" t="s">
        <v>2972</v>
      </c>
      <c r="F1858" s="761">
        <v>143005710</v>
      </c>
      <c r="G1858" s="761" t="s">
        <v>3656</v>
      </c>
      <c r="H1858" s="761" t="s">
        <v>7881</v>
      </c>
      <c r="I1858" s="761" t="s">
        <v>6867</v>
      </c>
      <c r="J1858" s="761">
        <v>2</v>
      </c>
      <c r="K1858" s="746">
        <v>6217.59</v>
      </c>
      <c r="L1858" s="746">
        <v>893.46</v>
      </c>
      <c r="M1858" s="746">
        <v>5324.13</v>
      </c>
      <c r="N1858" s="493" t="str">
        <f t="shared" si="30"/>
        <v>C397</v>
      </c>
      <c r="O1858" s="493" t="s">
        <v>99</v>
      </c>
      <c r="P1858" s="493" t="s">
        <v>8005</v>
      </c>
    </row>
    <row r="1859" spans="1:16">
      <c r="A1859" s="761" t="s">
        <v>2339</v>
      </c>
      <c r="B1859" s="761" t="s">
        <v>2340</v>
      </c>
      <c r="C1859" s="761" t="s">
        <v>2487</v>
      </c>
      <c r="D1859" s="761">
        <v>52052256</v>
      </c>
      <c r="E1859" s="761" t="s">
        <v>2972</v>
      </c>
      <c r="F1859" s="761">
        <v>143005711</v>
      </c>
      <c r="G1859" s="761" t="s">
        <v>3657</v>
      </c>
      <c r="H1859" s="761" t="s">
        <v>7882</v>
      </c>
      <c r="I1859" s="761" t="s">
        <v>6867</v>
      </c>
      <c r="J1859" s="761">
        <v>2</v>
      </c>
      <c r="K1859" s="746">
        <v>6217.42</v>
      </c>
      <c r="L1859" s="746">
        <v>893.44</v>
      </c>
      <c r="M1859" s="746">
        <v>5323.9800000000005</v>
      </c>
      <c r="N1859" s="493" t="str">
        <f t="shared" si="30"/>
        <v>C397</v>
      </c>
      <c r="O1859" s="493" t="s">
        <v>99</v>
      </c>
      <c r="P1859" s="493" t="s">
        <v>8005</v>
      </c>
    </row>
    <row r="1860" spans="1:16">
      <c r="A1860" s="761" t="s">
        <v>2339</v>
      </c>
      <c r="B1860" s="761" t="s">
        <v>2340</v>
      </c>
      <c r="C1860" s="761" t="s">
        <v>2487</v>
      </c>
      <c r="D1860" s="761">
        <v>52052259</v>
      </c>
      <c r="E1860" s="761" t="s">
        <v>2972</v>
      </c>
      <c r="F1860" s="761">
        <v>143005715</v>
      </c>
      <c r="G1860" s="761" t="s">
        <v>3661</v>
      </c>
      <c r="H1860" s="761" t="s">
        <v>7883</v>
      </c>
      <c r="I1860" s="761" t="s">
        <v>6867</v>
      </c>
      <c r="J1860" s="761">
        <v>2</v>
      </c>
      <c r="K1860" s="746">
        <v>4928.97</v>
      </c>
      <c r="L1860" s="746">
        <v>708.29</v>
      </c>
      <c r="M1860" s="746">
        <v>4220.68</v>
      </c>
      <c r="N1860" s="493" t="str">
        <f t="shared" si="30"/>
        <v>C397</v>
      </c>
      <c r="O1860" s="493" t="s">
        <v>99</v>
      </c>
      <c r="P1860" s="493" t="s">
        <v>8005</v>
      </c>
    </row>
    <row r="1861" spans="1:16">
      <c r="A1861" s="761" t="s">
        <v>2339</v>
      </c>
      <c r="B1861" s="761" t="s">
        <v>2340</v>
      </c>
      <c r="C1861" s="761" t="s">
        <v>2487</v>
      </c>
      <c r="D1861" s="761">
        <v>52052262</v>
      </c>
      <c r="E1861" s="761" t="s">
        <v>2972</v>
      </c>
      <c r="F1861" s="761">
        <v>143005716</v>
      </c>
      <c r="G1861" s="761" t="s">
        <v>3662</v>
      </c>
      <c r="H1861" s="761" t="s">
        <v>7884</v>
      </c>
      <c r="I1861" s="761" t="s">
        <v>6867</v>
      </c>
      <c r="J1861" s="761">
        <v>2</v>
      </c>
      <c r="K1861" s="746">
        <v>6162.04</v>
      </c>
      <c r="L1861" s="746">
        <v>885.48</v>
      </c>
      <c r="M1861" s="746">
        <v>5276.56</v>
      </c>
      <c r="N1861" s="493" t="str">
        <f t="shared" si="30"/>
        <v>C397</v>
      </c>
      <c r="O1861" s="493" t="s">
        <v>99</v>
      </c>
      <c r="P1861" s="493" t="s">
        <v>8005</v>
      </c>
    </row>
    <row r="1862" spans="1:16">
      <c r="A1862" s="761" t="s">
        <v>2339</v>
      </c>
      <c r="B1862" s="761" t="s">
        <v>2340</v>
      </c>
      <c r="C1862" s="761" t="s">
        <v>2487</v>
      </c>
      <c r="D1862" s="761">
        <v>52052265</v>
      </c>
      <c r="E1862" s="761" t="s">
        <v>2972</v>
      </c>
      <c r="F1862" s="761">
        <v>143005717</v>
      </c>
      <c r="G1862" s="761" t="s">
        <v>3663</v>
      </c>
      <c r="H1862" s="761" t="s">
        <v>7885</v>
      </c>
      <c r="I1862" s="761" t="s">
        <v>6867</v>
      </c>
      <c r="J1862" s="761">
        <v>2</v>
      </c>
      <c r="K1862" s="746">
        <v>6162.05</v>
      </c>
      <c r="L1862" s="746">
        <v>885.48</v>
      </c>
      <c r="M1862" s="746">
        <v>5276.57</v>
      </c>
      <c r="N1862" s="493" t="str">
        <f t="shared" si="30"/>
        <v>C397</v>
      </c>
      <c r="O1862" s="493" t="s">
        <v>99</v>
      </c>
      <c r="P1862" s="493" t="s">
        <v>8005</v>
      </c>
    </row>
    <row r="1863" spans="1:16">
      <c r="A1863" s="761" t="s">
        <v>2339</v>
      </c>
      <c r="B1863" s="761" t="s">
        <v>2340</v>
      </c>
      <c r="C1863" s="761" t="s">
        <v>2487</v>
      </c>
      <c r="D1863" s="761">
        <v>52052268</v>
      </c>
      <c r="E1863" s="761" t="s">
        <v>2972</v>
      </c>
      <c r="F1863" s="761">
        <v>143005720</v>
      </c>
      <c r="G1863" s="761" t="s">
        <v>3666</v>
      </c>
      <c r="H1863" s="761" t="s">
        <v>3666</v>
      </c>
      <c r="I1863" s="761" t="s">
        <v>6867</v>
      </c>
      <c r="J1863" s="761">
        <v>2</v>
      </c>
      <c r="K1863" s="746">
        <v>6172.56</v>
      </c>
      <c r="L1863" s="746">
        <v>886.99</v>
      </c>
      <c r="M1863" s="746">
        <v>5285.57</v>
      </c>
      <c r="N1863" s="493" t="str">
        <f t="shared" si="30"/>
        <v>C397</v>
      </c>
      <c r="O1863" s="493" t="s">
        <v>99</v>
      </c>
      <c r="P1863" s="493" t="s">
        <v>8005</v>
      </c>
    </row>
    <row r="1864" spans="1:16">
      <c r="A1864" s="761" t="s">
        <v>2339</v>
      </c>
      <c r="B1864" s="761" t="s">
        <v>2340</v>
      </c>
      <c r="C1864" s="761" t="s">
        <v>2487</v>
      </c>
      <c r="D1864" s="761">
        <v>52052271</v>
      </c>
      <c r="E1864" s="761" t="s">
        <v>2972</v>
      </c>
      <c r="F1864" s="761">
        <v>143005722</v>
      </c>
      <c r="G1864" s="761" t="s">
        <v>3668</v>
      </c>
      <c r="H1864" s="761" t="s">
        <v>7886</v>
      </c>
      <c r="I1864" s="761" t="s">
        <v>6867</v>
      </c>
      <c r="J1864" s="761">
        <v>2</v>
      </c>
      <c r="K1864" s="746">
        <v>13112.28</v>
      </c>
      <c r="L1864" s="746">
        <v>1884.23</v>
      </c>
      <c r="M1864" s="746">
        <v>11228.050000000001</v>
      </c>
      <c r="N1864" s="493" t="str">
        <f t="shared" si="30"/>
        <v>C397</v>
      </c>
      <c r="O1864" s="493" t="s">
        <v>99</v>
      </c>
      <c r="P1864" s="493" t="s">
        <v>8005</v>
      </c>
    </row>
    <row r="1865" spans="1:16">
      <c r="A1865" s="761" t="s">
        <v>2339</v>
      </c>
      <c r="B1865" s="761" t="s">
        <v>2340</v>
      </c>
      <c r="C1865" s="761" t="s">
        <v>2487</v>
      </c>
      <c r="D1865" s="761">
        <v>52052274</v>
      </c>
      <c r="E1865" s="761" t="s">
        <v>2972</v>
      </c>
      <c r="F1865" s="761">
        <v>143005723</v>
      </c>
      <c r="G1865" s="761" t="s">
        <v>3669</v>
      </c>
      <c r="H1865" s="761" t="s">
        <v>7887</v>
      </c>
      <c r="I1865" s="761" t="s">
        <v>6867</v>
      </c>
      <c r="J1865" s="761">
        <v>2</v>
      </c>
      <c r="K1865" s="746">
        <v>6087.51</v>
      </c>
      <c r="L1865" s="746">
        <v>874.77</v>
      </c>
      <c r="M1865" s="746">
        <v>5212.74</v>
      </c>
      <c r="N1865" s="493" t="str">
        <f t="shared" si="30"/>
        <v>C397</v>
      </c>
      <c r="O1865" s="493" t="s">
        <v>99</v>
      </c>
      <c r="P1865" s="493" t="s">
        <v>8005</v>
      </c>
    </row>
    <row r="1866" spans="1:16">
      <c r="A1866" s="761" t="s">
        <v>2339</v>
      </c>
      <c r="B1866" s="761" t="s">
        <v>2340</v>
      </c>
      <c r="C1866" s="761" t="s">
        <v>2487</v>
      </c>
      <c r="D1866" s="761">
        <v>52052277</v>
      </c>
      <c r="E1866" s="761" t="s">
        <v>2972</v>
      </c>
      <c r="F1866" s="761">
        <v>143005724</v>
      </c>
      <c r="G1866" s="761" t="s">
        <v>3670</v>
      </c>
      <c r="H1866" s="761" t="s">
        <v>7888</v>
      </c>
      <c r="I1866" s="761" t="s">
        <v>6867</v>
      </c>
      <c r="J1866" s="761">
        <v>2</v>
      </c>
      <c r="K1866" s="746">
        <v>13032.470000000001</v>
      </c>
      <c r="L1866" s="746">
        <v>1872.76</v>
      </c>
      <c r="M1866" s="746">
        <v>11159.710000000001</v>
      </c>
      <c r="N1866" s="493" t="str">
        <f t="shared" si="30"/>
        <v>C397</v>
      </c>
      <c r="O1866" s="493" t="s">
        <v>99</v>
      </c>
      <c r="P1866" s="493" t="s">
        <v>8005</v>
      </c>
    </row>
    <row r="1867" spans="1:16">
      <c r="A1867" s="761" t="s">
        <v>2339</v>
      </c>
      <c r="B1867" s="761" t="s">
        <v>2340</v>
      </c>
      <c r="C1867" s="761" t="s">
        <v>2487</v>
      </c>
      <c r="D1867" s="761">
        <v>52052280</v>
      </c>
      <c r="E1867" s="761" t="s">
        <v>2972</v>
      </c>
      <c r="F1867" s="761">
        <v>143005725</v>
      </c>
      <c r="G1867" s="761" t="s">
        <v>3671</v>
      </c>
      <c r="H1867" s="761" t="s">
        <v>7889</v>
      </c>
      <c r="I1867" s="761" t="s">
        <v>6867</v>
      </c>
      <c r="J1867" s="761">
        <v>2</v>
      </c>
      <c r="K1867" s="746">
        <v>6112.79</v>
      </c>
      <c r="L1867" s="746">
        <v>878.4</v>
      </c>
      <c r="M1867" s="746">
        <v>5234.3900000000003</v>
      </c>
      <c r="N1867" s="493" t="str">
        <f t="shared" si="30"/>
        <v>C397</v>
      </c>
      <c r="O1867" s="493" t="s">
        <v>99</v>
      </c>
      <c r="P1867" s="493" t="s">
        <v>8005</v>
      </c>
    </row>
    <row r="1868" spans="1:16">
      <c r="A1868" s="761" t="s">
        <v>2339</v>
      </c>
      <c r="B1868" s="761" t="s">
        <v>2340</v>
      </c>
      <c r="C1868" s="761" t="s">
        <v>2487</v>
      </c>
      <c r="D1868" s="761">
        <v>52052283</v>
      </c>
      <c r="E1868" s="761" t="s">
        <v>2972</v>
      </c>
      <c r="F1868" s="761">
        <v>143005726</v>
      </c>
      <c r="G1868" s="761" t="s">
        <v>3672</v>
      </c>
      <c r="H1868" s="761" t="s">
        <v>7890</v>
      </c>
      <c r="I1868" s="761" t="s">
        <v>6867</v>
      </c>
      <c r="J1868" s="761">
        <v>2</v>
      </c>
      <c r="K1868" s="746">
        <v>6164.5</v>
      </c>
      <c r="L1868" s="746">
        <v>885.84</v>
      </c>
      <c r="M1868" s="746">
        <v>5278.66</v>
      </c>
      <c r="N1868" s="493" t="str">
        <f t="shared" si="30"/>
        <v>C397</v>
      </c>
      <c r="O1868" s="493" t="s">
        <v>99</v>
      </c>
      <c r="P1868" s="493" t="s">
        <v>8005</v>
      </c>
    </row>
    <row r="1869" spans="1:16">
      <c r="A1869" s="761" t="s">
        <v>2339</v>
      </c>
      <c r="B1869" s="761" t="s">
        <v>2340</v>
      </c>
      <c r="C1869" s="761" t="s">
        <v>2487</v>
      </c>
      <c r="D1869" s="761">
        <v>52052286</v>
      </c>
      <c r="E1869" s="761" t="s">
        <v>2972</v>
      </c>
      <c r="F1869" s="761">
        <v>143005727</v>
      </c>
      <c r="G1869" s="761" t="s">
        <v>3673</v>
      </c>
      <c r="H1869" s="761" t="s">
        <v>7891</v>
      </c>
      <c r="I1869" s="761" t="s">
        <v>6867</v>
      </c>
      <c r="J1869" s="761">
        <v>2</v>
      </c>
      <c r="K1869" s="746">
        <v>13032.470000000001</v>
      </c>
      <c r="L1869" s="746">
        <v>1872.76</v>
      </c>
      <c r="M1869" s="746">
        <v>11159.710000000001</v>
      </c>
      <c r="N1869" s="493" t="str">
        <f t="shared" si="30"/>
        <v>C397</v>
      </c>
      <c r="O1869" s="493" t="s">
        <v>99</v>
      </c>
      <c r="P1869" s="493" t="s">
        <v>8005</v>
      </c>
    </row>
    <row r="1870" spans="1:16">
      <c r="A1870" s="761" t="s">
        <v>2339</v>
      </c>
      <c r="B1870" s="761" t="s">
        <v>2340</v>
      </c>
      <c r="C1870" s="761" t="s">
        <v>2487</v>
      </c>
      <c r="D1870" s="761">
        <v>52052289</v>
      </c>
      <c r="E1870" s="761" t="s">
        <v>2972</v>
      </c>
      <c r="F1870" s="761">
        <v>143005728</v>
      </c>
      <c r="G1870" s="761" t="s">
        <v>3674</v>
      </c>
      <c r="H1870" s="761" t="s">
        <v>7892</v>
      </c>
      <c r="I1870" s="761" t="s">
        <v>6867</v>
      </c>
      <c r="J1870" s="761">
        <v>2</v>
      </c>
      <c r="K1870" s="746">
        <v>12947.45</v>
      </c>
      <c r="L1870" s="746">
        <v>1860.54</v>
      </c>
      <c r="M1870" s="746">
        <v>11086.91</v>
      </c>
      <c r="N1870" s="493" t="str">
        <f t="shared" si="30"/>
        <v>C397</v>
      </c>
      <c r="O1870" s="493" t="s">
        <v>99</v>
      </c>
      <c r="P1870" s="493" t="s">
        <v>8005</v>
      </c>
    </row>
    <row r="1871" spans="1:16">
      <c r="A1871" s="761" t="s">
        <v>2339</v>
      </c>
      <c r="B1871" s="761" t="s">
        <v>2340</v>
      </c>
      <c r="C1871" s="761" t="s">
        <v>2487</v>
      </c>
      <c r="D1871" s="761">
        <v>52052292</v>
      </c>
      <c r="E1871" s="761" t="s">
        <v>2972</v>
      </c>
      <c r="F1871" s="761">
        <v>143005730</v>
      </c>
      <c r="G1871" s="761" t="s">
        <v>3675</v>
      </c>
      <c r="H1871" s="761" t="s">
        <v>7893</v>
      </c>
      <c r="I1871" s="761" t="s">
        <v>6867</v>
      </c>
      <c r="J1871" s="761">
        <v>2</v>
      </c>
      <c r="K1871" s="746">
        <v>13032.53</v>
      </c>
      <c r="L1871" s="746">
        <v>1872.77</v>
      </c>
      <c r="M1871" s="746">
        <v>11159.76</v>
      </c>
      <c r="N1871" s="493" t="str">
        <f t="shared" si="30"/>
        <v>C397</v>
      </c>
      <c r="O1871" s="493" t="s">
        <v>99</v>
      </c>
      <c r="P1871" s="493" t="s">
        <v>8005</v>
      </c>
    </row>
    <row r="1872" spans="1:16">
      <c r="A1872" s="761" t="s">
        <v>2339</v>
      </c>
      <c r="B1872" s="761" t="s">
        <v>2340</v>
      </c>
      <c r="C1872" s="761" t="s">
        <v>2542</v>
      </c>
      <c r="D1872" s="761">
        <v>52521324</v>
      </c>
      <c r="E1872" s="761" t="s">
        <v>2972</v>
      </c>
      <c r="F1872" s="761">
        <v>143003394</v>
      </c>
      <c r="G1872" s="761" t="s">
        <v>3335</v>
      </c>
      <c r="H1872" s="761" t="s">
        <v>7894</v>
      </c>
      <c r="I1872" s="761" t="s">
        <v>6867</v>
      </c>
      <c r="J1872" s="761">
        <v>2</v>
      </c>
      <c r="K1872" s="746">
        <v>19316.55</v>
      </c>
      <c r="L1872" s="746">
        <v>2775.78</v>
      </c>
      <c r="M1872" s="746">
        <v>16540.77</v>
      </c>
      <c r="N1872" s="493" t="str">
        <f t="shared" si="30"/>
        <v>C397</v>
      </c>
      <c r="O1872" s="493" t="s">
        <v>99</v>
      </c>
      <c r="P1872" s="493" t="s">
        <v>8005</v>
      </c>
    </row>
    <row r="1873" spans="1:16">
      <c r="A1873" s="761" t="s">
        <v>2339</v>
      </c>
      <c r="B1873" s="761" t="s">
        <v>2340</v>
      </c>
      <c r="C1873" s="761" t="s">
        <v>2524</v>
      </c>
      <c r="D1873" s="761">
        <v>52521327</v>
      </c>
      <c r="E1873" s="761" t="s">
        <v>2972</v>
      </c>
      <c r="F1873" s="761">
        <v>143003589</v>
      </c>
      <c r="G1873" s="761" t="s">
        <v>3360</v>
      </c>
      <c r="H1873" s="761" t="s">
        <v>7895</v>
      </c>
      <c r="I1873" s="761" t="s">
        <v>6867</v>
      </c>
      <c r="J1873" s="761">
        <v>2</v>
      </c>
      <c r="K1873" s="746">
        <v>29802.33</v>
      </c>
      <c r="L1873" s="746">
        <v>4282.58</v>
      </c>
      <c r="M1873" s="746">
        <v>25519.75</v>
      </c>
      <c r="N1873" s="493" t="str">
        <f t="shared" ref="N1873:N1936" si="31">LEFT(E1873,4)</f>
        <v>C397</v>
      </c>
      <c r="O1873" s="493" t="s">
        <v>99</v>
      </c>
      <c r="P1873" s="493" t="s">
        <v>8005</v>
      </c>
    </row>
    <row r="1874" spans="1:16">
      <c r="A1874" s="761" t="s">
        <v>2339</v>
      </c>
      <c r="B1874" s="761" t="s">
        <v>2340</v>
      </c>
      <c r="C1874" s="761" t="s">
        <v>2542</v>
      </c>
      <c r="D1874" s="761">
        <v>52806873</v>
      </c>
      <c r="E1874" s="761" t="s">
        <v>2972</v>
      </c>
      <c r="F1874" s="761">
        <v>143003382</v>
      </c>
      <c r="G1874" s="761" t="s">
        <v>3330</v>
      </c>
      <c r="H1874" s="761" t="s">
        <v>7896</v>
      </c>
      <c r="I1874" s="761" t="s">
        <v>6867</v>
      </c>
      <c r="J1874" s="761">
        <v>2</v>
      </c>
      <c r="K1874" s="746">
        <v>10059.300000000001</v>
      </c>
      <c r="L1874" s="746">
        <v>1445.52</v>
      </c>
      <c r="M1874" s="746">
        <v>8613.7800000000007</v>
      </c>
      <c r="N1874" s="493" t="str">
        <f t="shared" si="31"/>
        <v>C397</v>
      </c>
      <c r="O1874" s="493" t="s">
        <v>99</v>
      </c>
      <c r="P1874" s="493" t="s">
        <v>8005</v>
      </c>
    </row>
    <row r="1875" spans="1:16">
      <c r="A1875" s="761" t="s">
        <v>2339</v>
      </c>
      <c r="B1875" s="761" t="s">
        <v>2340</v>
      </c>
      <c r="C1875" s="761" t="s">
        <v>2473</v>
      </c>
      <c r="D1875" s="761">
        <v>52806876</v>
      </c>
      <c r="E1875" s="761" t="s">
        <v>2972</v>
      </c>
      <c r="F1875" s="761">
        <v>143003750</v>
      </c>
      <c r="G1875" s="761" t="s">
        <v>3404</v>
      </c>
      <c r="H1875" s="761" t="s">
        <v>7897</v>
      </c>
      <c r="I1875" s="761" t="s">
        <v>6867</v>
      </c>
      <c r="J1875" s="761">
        <v>2</v>
      </c>
      <c r="K1875" s="746">
        <v>16461.25</v>
      </c>
      <c r="L1875" s="746">
        <v>2365.4700000000003</v>
      </c>
      <c r="M1875" s="746">
        <v>14095.78</v>
      </c>
      <c r="N1875" s="493" t="str">
        <f t="shared" si="31"/>
        <v>C397</v>
      </c>
      <c r="O1875" s="493" t="s">
        <v>99</v>
      </c>
      <c r="P1875" s="493" t="s">
        <v>8005</v>
      </c>
    </row>
    <row r="1876" spans="1:16">
      <c r="A1876" s="761" t="s">
        <v>2339</v>
      </c>
      <c r="B1876" s="761" t="s">
        <v>2340</v>
      </c>
      <c r="C1876" s="761" t="s">
        <v>2476</v>
      </c>
      <c r="D1876" s="761">
        <v>53319930</v>
      </c>
      <c r="E1876" s="761" t="s">
        <v>2972</v>
      </c>
      <c r="F1876" s="761">
        <v>143005253</v>
      </c>
      <c r="G1876" s="761" t="s">
        <v>3564</v>
      </c>
      <c r="H1876" s="761" t="s">
        <v>3564</v>
      </c>
      <c r="I1876" s="761" t="s">
        <v>6867</v>
      </c>
      <c r="J1876" s="761">
        <v>3</v>
      </c>
      <c r="K1876" s="746">
        <v>193541.48</v>
      </c>
      <c r="L1876" s="746">
        <v>27811.81</v>
      </c>
      <c r="M1876" s="746">
        <v>165729.67000000001</v>
      </c>
      <c r="N1876" s="493" t="str">
        <f t="shared" si="31"/>
        <v>C397</v>
      </c>
      <c r="O1876" s="493" t="s">
        <v>99</v>
      </c>
      <c r="P1876" s="493" t="s">
        <v>8005</v>
      </c>
    </row>
    <row r="1877" spans="1:16">
      <c r="A1877" s="761" t="s">
        <v>2339</v>
      </c>
      <c r="B1877" s="761" t="s">
        <v>2340</v>
      </c>
      <c r="C1877" s="761" t="s">
        <v>2476</v>
      </c>
      <c r="D1877" s="761">
        <v>53319933</v>
      </c>
      <c r="E1877" s="761" t="s">
        <v>2972</v>
      </c>
      <c r="F1877" s="761">
        <v>143005254</v>
      </c>
      <c r="G1877" s="761" t="s">
        <v>3565</v>
      </c>
      <c r="H1877" s="761" t="s">
        <v>3565</v>
      </c>
      <c r="I1877" s="761" t="s">
        <v>6867</v>
      </c>
      <c r="J1877" s="761">
        <v>4</v>
      </c>
      <c r="K1877" s="746">
        <v>219239.69</v>
      </c>
      <c r="L1877" s="746">
        <v>31504.63</v>
      </c>
      <c r="M1877" s="746">
        <v>187735.06</v>
      </c>
      <c r="N1877" s="493" t="str">
        <f t="shared" si="31"/>
        <v>C397</v>
      </c>
      <c r="O1877" s="493" t="s">
        <v>99</v>
      </c>
      <c r="P1877" s="493" t="s">
        <v>8005</v>
      </c>
    </row>
    <row r="1878" spans="1:16">
      <c r="A1878" s="761" t="s">
        <v>2339</v>
      </c>
      <c r="B1878" s="761" t="s">
        <v>2340</v>
      </c>
      <c r="C1878" s="761" t="s">
        <v>2476</v>
      </c>
      <c r="D1878" s="761">
        <v>53319945</v>
      </c>
      <c r="E1878" s="761" t="s">
        <v>2972</v>
      </c>
      <c r="F1878" s="761">
        <v>143005327</v>
      </c>
      <c r="G1878" s="761" t="s">
        <v>3576</v>
      </c>
      <c r="H1878" s="761" t="s">
        <v>7898</v>
      </c>
      <c r="I1878" s="761" t="s">
        <v>6867</v>
      </c>
      <c r="J1878" s="761">
        <v>3</v>
      </c>
      <c r="K1878" s="746">
        <v>926078.75</v>
      </c>
      <c r="L1878" s="746">
        <v>133077.01999999999</v>
      </c>
      <c r="M1878" s="746">
        <v>793001.73</v>
      </c>
      <c r="N1878" s="493" t="str">
        <f t="shared" si="31"/>
        <v>C397</v>
      </c>
      <c r="O1878" s="493" t="s">
        <v>99</v>
      </c>
      <c r="P1878" s="493" t="s">
        <v>8005</v>
      </c>
    </row>
    <row r="1879" spans="1:16">
      <c r="A1879" s="761" t="s">
        <v>2339</v>
      </c>
      <c r="B1879" s="761" t="s">
        <v>2340</v>
      </c>
      <c r="C1879" s="761" t="s">
        <v>2512</v>
      </c>
      <c r="D1879" s="761">
        <v>53677384</v>
      </c>
      <c r="E1879" s="761" t="s">
        <v>2972</v>
      </c>
      <c r="F1879" s="761">
        <v>143005673</v>
      </c>
      <c r="G1879" s="761" t="s">
        <v>3645</v>
      </c>
      <c r="H1879" s="761" t="s">
        <v>3645</v>
      </c>
      <c r="I1879" s="761" t="s">
        <v>6867</v>
      </c>
      <c r="J1879" s="761">
        <v>1</v>
      </c>
      <c r="K1879" s="746">
        <v>30421.41</v>
      </c>
      <c r="L1879" s="746">
        <v>4371.54</v>
      </c>
      <c r="M1879" s="746">
        <v>26049.87</v>
      </c>
      <c r="N1879" s="493" t="str">
        <f t="shared" si="31"/>
        <v>C397</v>
      </c>
      <c r="O1879" s="493" t="s">
        <v>99</v>
      </c>
      <c r="P1879" s="493" t="s">
        <v>8005</v>
      </c>
    </row>
    <row r="1880" spans="1:16">
      <c r="A1880" s="761" t="s">
        <v>2339</v>
      </c>
      <c r="B1880" s="761" t="s">
        <v>2340</v>
      </c>
      <c r="C1880" s="761" t="s">
        <v>2490</v>
      </c>
      <c r="D1880" s="761">
        <v>53677403</v>
      </c>
      <c r="E1880" s="761" t="s">
        <v>2972</v>
      </c>
      <c r="F1880" s="761">
        <v>143006001</v>
      </c>
      <c r="G1880" s="761" t="s">
        <v>3713</v>
      </c>
      <c r="H1880" s="761" t="s">
        <v>3713</v>
      </c>
      <c r="I1880" s="761" t="s">
        <v>6867</v>
      </c>
      <c r="J1880" s="761">
        <v>5</v>
      </c>
      <c r="K1880" s="746">
        <v>31916.04</v>
      </c>
      <c r="L1880" s="746">
        <v>4586.32</v>
      </c>
      <c r="M1880" s="746">
        <v>27329.72</v>
      </c>
      <c r="N1880" s="493" t="str">
        <f t="shared" si="31"/>
        <v>C397</v>
      </c>
      <c r="O1880" s="493" t="s">
        <v>99</v>
      </c>
      <c r="P1880" s="493" t="s">
        <v>8005</v>
      </c>
    </row>
    <row r="1881" spans="1:16">
      <c r="A1881" s="761" t="s">
        <v>2339</v>
      </c>
      <c r="B1881" s="761" t="s">
        <v>2340</v>
      </c>
      <c r="C1881" s="761" t="s">
        <v>2490</v>
      </c>
      <c r="D1881" s="761">
        <v>53677406</v>
      </c>
      <c r="E1881" s="761" t="s">
        <v>2972</v>
      </c>
      <c r="F1881" s="761">
        <v>143006003</v>
      </c>
      <c r="G1881" s="761" t="s">
        <v>3714</v>
      </c>
      <c r="H1881" s="761" t="s">
        <v>3714</v>
      </c>
      <c r="I1881" s="761" t="s">
        <v>6867</v>
      </c>
      <c r="J1881" s="761">
        <v>1</v>
      </c>
      <c r="K1881" s="746">
        <v>24159.45</v>
      </c>
      <c r="L1881" s="746">
        <v>3471.7000000000003</v>
      </c>
      <c r="M1881" s="746">
        <v>20687.75</v>
      </c>
      <c r="N1881" s="493" t="str">
        <f t="shared" si="31"/>
        <v>C397</v>
      </c>
      <c r="O1881" s="493" t="s">
        <v>99</v>
      </c>
      <c r="P1881" s="493" t="s">
        <v>8005</v>
      </c>
    </row>
    <row r="1882" spans="1:16">
      <c r="A1882" s="761" t="s">
        <v>2339</v>
      </c>
      <c r="B1882" s="761" t="s">
        <v>2340</v>
      </c>
      <c r="C1882" s="761" t="s">
        <v>2596</v>
      </c>
      <c r="D1882" s="761">
        <v>53677409</v>
      </c>
      <c r="E1882" s="761" t="s">
        <v>2972</v>
      </c>
      <c r="F1882" s="761">
        <v>143006004</v>
      </c>
      <c r="G1882" s="761" t="s">
        <v>3715</v>
      </c>
      <c r="H1882" s="761" t="s">
        <v>3715</v>
      </c>
      <c r="I1882" s="761" t="s">
        <v>6867</v>
      </c>
      <c r="J1882" s="761">
        <v>1</v>
      </c>
      <c r="K1882" s="746">
        <v>31358.25</v>
      </c>
      <c r="L1882" s="746">
        <v>4506.16</v>
      </c>
      <c r="M1882" s="746">
        <v>26852.09</v>
      </c>
      <c r="N1882" s="493" t="str">
        <f t="shared" si="31"/>
        <v>C397</v>
      </c>
      <c r="O1882" s="493" t="s">
        <v>99</v>
      </c>
      <c r="P1882" s="493" t="s">
        <v>8005</v>
      </c>
    </row>
    <row r="1883" spans="1:16">
      <c r="A1883" s="761" t="s">
        <v>2339</v>
      </c>
      <c r="B1883" s="761" t="s">
        <v>2340</v>
      </c>
      <c r="C1883" s="761" t="s">
        <v>2596</v>
      </c>
      <c r="D1883" s="761">
        <v>53677412</v>
      </c>
      <c r="E1883" s="761" t="s">
        <v>2972</v>
      </c>
      <c r="F1883" s="761">
        <v>143006005</v>
      </c>
      <c r="G1883" s="761" t="s">
        <v>3716</v>
      </c>
      <c r="H1883" s="761" t="s">
        <v>3716</v>
      </c>
      <c r="I1883" s="761" t="s">
        <v>6867</v>
      </c>
      <c r="J1883" s="761">
        <v>1</v>
      </c>
      <c r="K1883" s="746">
        <v>34495.57</v>
      </c>
      <c r="L1883" s="746">
        <v>4956.99</v>
      </c>
      <c r="M1883" s="746">
        <v>29538.58</v>
      </c>
      <c r="N1883" s="493" t="str">
        <f t="shared" si="31"/>
        <v>C397</v>
      </c>
      <c r="O1883" s="493" t="s">
        <v>99</v>
      </c>
      <c r="P1883" s="493" t="s">
        <v>8005</v>
      </c>
    </row>
    <row r="1884" spans="1:16">
      <c r="A1884" s="761" t="s">
        <v>2339</v>
      </c>
      <c r="B1884" s="761" t="s">
        <v>2340</v>
      </c>
      <c r="C1884" s="761" t="s">
        <v>2509</v>
      </c>
      <c r="D1884" s="761">
        <v>53824276</v>
      </c>
      <c r="E1884" s="761" t="s">
        <v>2972</v>
      </c>
      <c r="F1884" s="761">
        <v>143003070</v>
      </c>
      <c r="G1884" s="761" t="s">
        <v>3309</v>
      </c>
      <c r="H1884" s="761" t="s">
        <v>3309</v>
      </c>
      <c r="I1884" s="761" t="s">
        <v>6867</v>
      </c>
      <c r="J1884" s="761">
        <v>4</v>
      </c>
      <c r="K1884" s="746">
        <v>31568.530000000002</v>
      </c>
      <c r="L1884" s="746">
        <v>4536.38</v>
      </c>
      <c r="M1884" s="746">
        <v>27032.15</v>
      </c>
      <c r="N1884" s="493" t="str">
        <f t="shared" si="31"/>
        <v>C397</v>
      </c>
      <c r="O1884" s="493" t="s">
        <v>99</v>
      </c>
      <c r="P1884" s="493" t="s">
        <v>8005</v>
      </c>
    </row>
    <row r="1885" spans="1:16">
      <c r="A1885" s="761" t="s">
        <v>2339</v>
      </c>
      <c r="B1885" s="761" t="s">
        <v>2340</v>
      </c>
      <c r="C1885" s="761" t="s">
        <v>2524</v>
      </c>
      <c r="D1885" s="761">
        <v>53824279</v>
      </c>
      <c r="E1885" s="761" t="s">
        <v>2972</v>
      </c>
      <c r="F1885" s="761">
        <v>143003078</v>
      </c>
      <c r="G1885" s="761" t="s">
        <v>3310</v>
      </c>
      <c r="H1885" s="761" t="s">
        <v>3310</v>
      </c>
      <c r="I1885" s="761" t="s">
        <v>6867</v>
      </c>
      <c r="J1885" s="761">
        <v>5</v>
      </c>
      <c r="K1885" s="746">
        <v>40204.81</v>
      </c>
      <c r="L1885" s="746">
        <v>5777.41</v>
      </c>
      <c r="M1885" s="746">
        <v>34427.4</v>
      </c>
      <c r="N1885" s="493" t="str">
        <f t="shared" si="31"/>
        <v>C397</v>
      </c>
      <c r="O1885" s="493" t="s">
        <v>99</v>
      </c>
      <c r="P1885" s="493" t="s">
        <v>8005</v>
      </c>
    </row>
    <row r="1886" spans="1:16">
      <c r="A1886" s="761" t="s">
        <v>2339</v>
      </c>
      <c r="B1886" s="761" t="s">
        <v>2340</v>
      </c>
      <c r="C1886" s="761" t="s">
        <v>2473</v>
      </c>
      <c r="D1886" s="761">
        <v>53824287</v>
      </c>
      <c r="E1886" s="761" t="s">
        <v>2972</v>
      </c>
      <c r="F1886" s="761">
        <v>143003669</v>
      </c>
      <c r="G1886" s="761" t="s">
        <v>3379</v>
      </c>
      <c r="H1886" s="761" t="s">
        <v>7899</v>
      </c>
      <c r="I1886" s="761" t="s">
        <v>6867</v>
      </c>
      <c r="J1886" s="761">
        <v>2</v>
      </c>
      <c r="K1886" s="746">
        <v>2579.2600000000002</v>
      </c>
      <c r="L1886" s="746">
        <v>370.64</v>
      </c>
      <c r="M1886" s="746">
        <v>2208.62</v>
      </c>
      <c r="N1886" s="493" t="str">
        <f t="shared" si="31"/>
        <v>C397</v>
      </c>
      <c r="O1886" s="493" t="s">
        <v>99</v>
      </c>
      <c r="P1886" s="493" t="s">
        <v>8005</v>
      </c>
    </row>
    <row r="1887" spans="1:16">
      <c r="A1887" s="761" t="s">
        <v>2339</v>
      </c>
      <c r="B1887" s="761" t="s">
        <v>2340</v>
      </c>
      <c r="C1887" s="761" t="s">
        <v>2476</v>
      </c>
      <c r="D1887" s="761">
        <v>53824290</v>
      </c>
      <c r="E1887" s="761" t="s">
        <v>2972</v>
      </c>
      <c r="F1887" s="761">
        <v>143003725</v>
      </c>
      <c r="G1887" s="761" t="s">
        <v>3384</v>
      </c>
      <c r="H1887" s="761" t="s">
        <v>7900</v>
      </c>
      <c r="I1887" s="761" t="s">
        <v>6867</v>
      </c>
      <c r="J1887" s="761">
        <v>5</v>
      </c>
      <c r="K1887" s="746">
        <v>38617</v>
      </c>
      <c r="L1887" s="746">
        <v>5549.24</v>
      </c>
      <c r="M1887" s="746">
        <v>33067.760000000002</v>
      </c>
      <c r="N1887" s="493" t="str">
        <f t="shared" si="31"/>
        <v>C397</v>
      </c>
      <c r="O1887" s="493" t="s">
        <v>99</v>
      </c>
      <c r="P1887" s="493" t="s">
        <v>8005</v>
      </c>
    </row>
    <row r="1888" spans="1:16">
      <c r="A1888" s="761" t="s">
        <v>2339</v>
      </c>
      <c r="B1888" s="761" t="s">
        <v>2340</v>
      </c>
      <c r="C1888" s="761" t="s">
        <v>2476</v>
      </c>
      <c r="D1888" s="761">
        <v>53824293</v>
      </c>
      <c r="E1888" s="761" t="s">
        <v>2972</v>
      </c>
      <c r="F1888" s="761">
        <v>143003730</v>
      </c>
      <c r="G1888" s="761" t="s">
        <v>3387</v>
      </c>
      <c r="H1888" s="761" t="s">
        <v>3387</v>
      </c>
      <c r="I1888" s="761" t="s">
        <v>6867</v>
      </c>
      <c r="J1888" s="761">
        <v>3</v>
      </c>
      <c r="K1888" s="746">
        <v>52755.5</v>
      </c>
      <c r="L1888" s="746">
        <v>7580.9400000000005</v>
      </c>
      <c r="M1888" s="746">
        <v>45174.559999999998</v>
      </c>
      <c r="N1888" s="493" t="str">
        <f t="shared" si="31"/>
        <v>C397</v>
      </c>
      <c r="O1888" s="493" t="s">
        <v>99</v>
      </c>
      <c r="P1888" s="493" t="s">
        <v>8005</v>
      </c>
    </row>
    <row r="1889" spans="1:16">
      <c r="A1889" s="761" t="s">
        <v>2339</v>
      </c>
      <c r="B1889" s="761" t="s">
        <v>2340</v>
      </c>
      <c r="C1889" s="761" t="s">
        <v>2517</v>
      </c>
      <c r="D1889" s="761">
        <v>53824296</v>
      </c>
      <c r="E1889" s="761" t="s">
        <v>2972</v>
      </c>
      <c r="F1889" s="761">
        <v>143003739</v>
      </c>
      <c r="G1889" s="761" t="s">
        <v>3394</v>
      </c>
      <c r="H1889" s="761" t="s">
        <v>7901</v>
      </c>
      <c r="I1889" s="761" t="s">
        <v>6867</v>
      </c>
      <c r="J1889" s="761">
        <v>2</v>
      </c>
      <c r="K1889" s="746">
        <v>6897.87</v>
      </c>
      <c r="L1889" s="746">
        <v>991.22</v>
      </c>
      <c r="M1889" s="746">
        <v>5906.6500000000005</v>
      </c>
      <c r="N1889" s="493" t="str">
        <f t="shared" si="31"/>
        <v>C397</v>
      </c>
      <c r="O1889" s="493" t="s">
        <v>99</v>
      </c>
      <c r="P1889" s="493" t="s">
        <v>8005</v>
      </c>
    </row>
    <row r="1890" spans="1:16">
      <c r="A1890" s="761" t="s">
        <v>2339</v>
      </c>
      <c r="B1890" s="761" t="s">
        <v>2340</v>
      </c>
      <c r="C1890" s="761" t="s">
        <v>2473</v>
      </c>
      <c r="D1890" s="761">
        <v>53824299</v>
      </c>
      <c r="E1890" s="761" t="s">
        <v>2972</v>
      </c>
      <c r="F1890" s="761">
        <v>143003743</v>
      </c>
      <c r="G1890" s="761" t="s">
        <v>3397</v>
      </c>
      <c r="H1890" s="761" t="s">
        <v>7902</v>
      </c>
      <c r="I1890" s="761" t="s">
        <v>6867</v>
      </c>
      <c r="J1890" s="761">
        <v>2</v>
      </c>
      <c r="K1890" s="746">
        <v>4184.7300000000005</v>
      </c>
      <c r="L1890" s="746">
        <v>601.34</v>
      </c>
      <c r="M1890" s="746">
        <v>3583.39</v>
      </c>
      <c r="N1890" s="493" t="str">
        <f t="shared" si="31"/>
        <v>C397</v>
      </c>
      <c r="O1890" s="493" t="s">
        <v>99</v>
      </c>
      <c r="P1890" s="493" t="s">
        <v>8005</v>
      </c>
    </row>
    <row r="1891" spans="1:16">
      <c r="A1891" s="761" t="s">
        <v>2339</v>
      </c>
      <c r="B1891" s="761" t="s">
        <v>2340</v>
      </c>
      <c r="C1891" s="761" t="s">
        <v>2517</v>
      </c>
      <c r="D1891" s="761">
        <v>53824302</v>
      </c>
      <c r="E1891" s="761" t="s">
        <v>2972</v>
      </c>
      <c r="F1891" s="761">
        <v>143003758</v>
      </c>
      <c r="G1891" s="761" t="s">
        <v>3408</v>
      </c>
      <c r="H1891" s="761" t="s">
        <v>7903</v>
      </c>
      <c r="I1891" s="761" t="s">
        <v>6867</v>
      </c>
      <c r="J1891" s="761">
        <v>2</v>
      </c>
      <c r="K1891" s="746">
        <v>3075.1800000000003</v>
      </c>
      <c r="L1891" s="746">
        <v>441.90000000000003</v>
      </c>
      <c r="M1891" s="746">
        <v>2633.28</v>
      </c>
      <c r="N1891" s="493" t="str">
        <f t="shared" si="31"/>
        <v>C397</v>
      </c>
      <c r="O1891" s="493" t="s">
        <v>99</v>
      </c>
      <c r="P1891" s="493" t="s">
        <v>8005</v>
      </c>
    </row>
    <row r="1892" spans="1:16">
      <c r="A1892" s="761" t="s">
        <v>2339</v>
      </c>
      <c r="B1892" s="761" t="s">
        <v>2340</v>
      </c>
      <c r="C1892" s="761" t="s">
        <v>2473</v>
      </c>
      <c r="D1892" s="761">
        <v>53824305</v>
      </c>
      <c r="E1892" s="761" t="s">
        <v>2972</v>
      </c>
      <c r="F1892" s="761">
        <v>143003790</v>
      </c>
      <c r="G1892" s="761" t="s">
        <v>3423</v>
      </c>
      <c r="H1892" s="761" t="s">
        <v>3423</v>
      </c>
      <c r="I1892" s="761" t="s">
        <v>6867</v>
      </c>
      <c r="J1892" s="761">
        <v>2</v>
      </c>
      <c r="K1892" s="746">
        <v>2356.21</v>
      </c>
      <c r="L1892" s="746">
        <v>338.59000000000003</v>
      </c>
      <c r="M1892" s="746">
        <v>2017.6200000000001</v>
      </c>
      <c r="N1892" s="493" t="str">
        <f t="shared" si="31"/>
        <v>C397</v>
      </c>
      <c r="O1892" s="493" t="s">
        <v>99</v>
      </c>
      <c r="P1892" s="493" t="s">
        <v>8005</v>
      </c>
    </row>
    <row r="1893" spans="1:16">
      <c r="A1893" s="761" t="s">
        <v>2339</v>
      </c>
      <c r="B1893" s="761" t="s">
        <v>2340</v>
      </c>
      <c r="C1893" s="761" t="s">
        <v>2473</v>
      </c>
      <c r="D1893" s="761">
        <v>53824308</v>
      </c>
      <c r="E1893" s="761" t="s">
        <v>2972</v>
      </c>
      <c r="F1893" s="761">
        <v>143003791</v>
      </c>
      <c r="G1893" s="761" t="s">
        <v>3424</v>
      </c>
      <c r="H1893" s="761" t="s">
        <v>7904</v>
      </c>
      <c r="I1893" s="761" t="s">
        <v>6867</v>
      </c>
      <c r="J1893" s="761">
        <v>2</v>
      </c>
      <c r="K1893" s="746">
        <v>2071.5</v>
      </c>
      <c r="L1893" s="746">
        <v>297.67</v>
      </c>
      <c r="M1893" s="746">
        <v>1773.83</v>
      </c>
      <c r="N1893" s="493" t="str">
        <f t="shared" si="31"/>
        <v>C397</v>
      </c>
      <c r="O1893" s="493" t="s">
        <v>99</v>
      </c>
      <c r="P1893" s="493" t="s">
        <v>8005</v>
      </c>
    </row>
    <row r="1894" spans="1:16">
      <c r="A1894" s="761" t="s">
        <v>2339</v>
      </c>
      <c r="B1894" s="761" t="s">
        <v>2340</v>
      </c>
      <c r="C1894" s="761" t="s">
        <v>2509</v>
      </c>
      <c r="D1894" s="761">
        <v>53824311</v>
      </c>
      <c r="E1894" s="761" t="s">
        <v>2972</v>
      </c>
      <c r="F1894" s="761">
        <v>143003809</v>
      </c>
      <c r="G1894" s="761" t="s">
        <v>3437</v>
      </c>
      <c r="H1894" s="761" t="s">
        <v>7905</v>
      </c>
      <c r="I1894" s="761" t="s">
        <v>6867</v>
      </c>
      <c r="J1894" s="761">
        <v>8</v>
      </c>
      <c r="K1894" s="746">
        <v>9870.07</v>
      </c>
      <c r="L1894" s="746">
        <v>1418.32</v>
      </c>
      <c r="M1894" s="746">
        <v>8451.75</v>
      </c>
      <c r="N1894" s="493" t="str">
        <f t="shared" si="31"/>
        <v>C397</v>
      </c>
      <c r="O1894" s="493" t="s">
        <v>99</v>
      </c>
      <c r="P1894" s="493" t="s">
        <v>8005</v>
      </c>
    </row>
    <row r="1895" spans="1:16">
      <c r="A1895" s="761" t="s">
        <v>2339</v>
      </c>
      <c r="B1895" s="761" t="s">
        <v>2340</v>
      </c>
      <c r="C1895" s="761" t="s">
        <v>2509</v>
      </c>
      <c r="D1895" s="761">
        <v>53824314</v>
      </c>
      <c r="E1895" s="761" t="s">
        <v>2972</v>
      </c>
      <c r="F1895" s="761">
        <v>143003813</v>
      </c>
      <c r="G1895" s="761" t="s">
        <v>3441</v>
      </c>
      <c r="H1895" s="761" t="s">
        <v>7906</v>
      </c>
      <c r="I1895" s="761" t="s">
        <v>6867</v>
      </c>
      <c r="J1895" s="761">
        <v>2</v>
      </c>
      <c r="K1895" s="746">
        <v>12719.34</v>
      </c>
      <c r="L1895" s="746">
        <v>1827.76</v>
      </c>
      <c r="M1895" s="746">
        <v>10891.58</v>
      </c>
      <c r="N1895" s="493" t="str">
        <f t="shared" si="31"/>
        <v>C397</v>
      </c>
      <c r="O1895" s="493" t="s">
        <v>99</v>
      </c>
      <c r="P1895" s="493" t="s">
        <v>8005</v>
      </c>
    </row>
    <row r="1896" spans="1:16">
      <c r="A1896" s="761" t="s">
        <v>2339</v>
      </c>
      <c r="B1896" s="761" t="s">
        <v>2340</v>
      </c>
      <c r="C1896" s="761" t="s">
        <v>2509</v>
      </c>
      <c r="D1896" s="761">
        <v>53824317</v>
      </c>
      <c r="E1896" s="761" t="s">
        <v>2972</v>
      </c>
      <c r="F1896" s="761">
        <v>143003816</v>
      </c>
      <c r="G1896" s="761" t="s">
        <v>3442</v>
      </c>
      <c r="H1896" s="761" t="s">
        <v>7907</v>
      </c>
      <c r="I1896" s="761" t="s">
        <v>6867</v>
      </c>
      <c r="J1896" s="761">
        <v>2</v>
      </c>
      <c r="K1896" s="746">
        <v>19517.670000000002</v>
      </c>
      <c r="L1896" s="746">
        <v>2804.68</v>
      </c>
      <c r="M1896" s="746">
        <v>16712.990000000002</v>
      </c>
      <c r="N1896" s="493" t="str">
        <f t="shared" si="31"/>
        <v>C397</v>
      </c>
      <c r="O1896" s="493" t="s">
        <v>99</v>
      </c>
      <c r="P1896" s="493" t="s">
        <v>8005</v>
      </c>
    </row>
    <row r="1897" spans="1:16">
      <c r="A1897" s="761" t="s">
        <v>2339</v>
      </c>
      <c r="B1897" s="761" t="s">
        <v>2340</v>
      </c>
      <c r="C1897" s="761" t="s">
        <v>2517</v>
      </c>
      <c r="D1897" s="761">
        <v>53824320</v>
      </c>
      <c r="E1897" s="761" t="s">
        <v>2972</v>
      </c>
      <c r="F1897" s="761">
        <v>143003821</v>
      </c>
      <c r="G1897" s="761" t="s">
        <v>3445</v>
      </c>
      <c r="H1897" s="761" t="s">
        <v>3445</v>
      </c>
      <c r="I1897" s="761" t="s">
        <v>6867</v>
      </c>
      <c r="J1897" s="761">
        <v>2</v>
      </c>
      <c r="K1897" s="746">
        <v>10713</v>
      </c>
      <c r="L1897" s="746">
        <v>1539.45</v>
      </c>
      <c r="M1897" s="746">
        <v>9173.5500000000011</v>
      </c>
      <c r="N1897" s="493" t="str">
        <f t="shared" si="31"/>
        <v>C397</v>
      </c>
      <c r="O1897" s="493" t="s">
        <v>99</v>
      </c>
      <c r="P1897" s="493" t="s">
        <v>8005</v>
      </c>
    </row>
    <row r="1898" spans="1:16">
      <c r="A1898" s="761" t="s">
        <v>2339</v>
      </c>
      <c r="B1898" s="761" t="s">
        <v>2340</v>
      </c>
      <c r="C1898" s="761" t="s">
        <v>2487</v>
      </c>
      <c r="D1898" s="761">
        <v>53824323</v>
      </c>
      <c r="E1898" s="761" t="s">
        <v>2972</v>
      </c>
      <c r="F1898" s="761">
        <v>143004125</v>
      </c>
      <c r="G1898" s="761" t="s">
        <v>3487</v>
      </c>
      <c r="H1898" s="761" t="s">
        <v>7908</v>
      </c>
      <c r="I1898" s="761" t="s">
        <v>6867</v>
      </c>
      <c r="J1898" s="761">
        <v>2</v>
      </c>
      <c r="K1898" s="746">
        <v>13379.28</v>
      </c>
      <c r="L1898" s="746">
        <v>1922.6000000000001</v>
      </c>
      <c r="M1898" s="746">
        <v>11456.68</v>
      </c>
      <c r="N1898" s="493" t="str">
        <f t="shared" si="31"/>
        <v>C397</v>
      </c>
      <c r="O1898" s="493" t="s">
        <v>99</v>
      </c>
      <c r="P1898" s="493" t="s">
        <v>8005</v>
      </c>
    </row>
    <row r="1899" spans="1:16">
      <c r="A1899" s="761" t="s">
        <v>2339</v>
      </c>
      <c r="B1899" s="761" t="s">
        <v>2340</v>
      </c>
      <c r="C1899" s="761" t="s">
        <v>2487</v>
      </c>
      <c r="D1899" s="761">
        <v>53824338</v>
      </c>
      <c r="E1899" s="761" t="s">
        <v>2972</v>
      </c>
      <c r="F1899" s="761">
        <v>143005601</v>
      </c>
      <c r="G1899" s="761" t="s">
        <v>3627</v>
      </c>
      <c r="H1899" s="761" t="s">
        <v>7909</v>
      </c>
      <c r="I1899" s="761" t="s">
        <v>6867</v>
      </c>
      <c r="J1899" s="761">
        <v>6</v>
      </c>
      <c r="K1899" s="746">
        <v>5279.96</v>
      </c>
      <c r="L1899" s="746">
        <v>758.73</v>
      </c>
      <c r="M1899" s="746">
        <v>4521.2300000000005</v>
      </c>
      <c r="N1899" s="493" t="str">
        <f t="shared" si="31"/>
        <v>C397</v>
      </c>
      <c r="O1899" s="493" t="s">
        <v>99</v>
      </c>
      <c r="P1899" s="493" t="s">
        <v>8005</v>
      </c>
    </row>
    <row r="1900" spans="1:16">
      <c r="A1900" s="761" t="s">
        <v>2339</v>
      </c>
      <c r="B1900" s="761" t="s">
        <v>2340</v>
      </c>
      <c r="C1900" s="761" t="s">
        <v>2487</v>
      </c>
      <c r="D1900" s="761">
        <v>53824341</v>
      </c>
      <c r="E1900" s="761" t="s">
        <v>2972</v>
      </c>
      <c r="F1900" s="761">
        <v>143005718</v>
      </c>
      <c r="G1900" s="761" t="s">
        <v>3664</v>
      </c>
      <c r="H1900" s="761" t="s">
        <v>7910</v>
      </c>
      <c r="I1900" s="761" t="s">
        <v>6867</v>
      </c>
      <c r="J1900" s="761">
        <v>2</v>
      </c>
      <c r="K1900" s="746">
        <v>5612.42</v>
      </c>
      <c r="L1900" s="746">
        <v>806.5</v>
      </c>
      <c r="M1900" s="746">
        <v>4805.92</v>
      </c>
      <c r="N1900" s="493" t="str">
        <f t="shared" si="31"/>
        <v>C397</v>
      </c>
      <c r="O1900" s="493" t="s">
        <v>99</v>
      </c>
      <c r="P1900" s="493" t="s">
        <v>8005</v>
      </c>
    </row>
    <row r="1901" spans="1:16">
      <c r="A1901" s="761" t="s">
        <v>2339</v>
      </c>
      <c r="B1901" s="761" t="s">
        <v>2340</v>
      </c>
      <c r="C1901" s="761" t="s">
        <v>2487</v>
      </c>
      <c r="D1901" s="761">
        <v>53824344</v>
      </c>
      <c r="E1901" s="761" t="s">
        <v>2972</v>
      </c>
      <c r="F1901" s="761">
        <v>143005719</v>
      </c>
      <c r="G1901" s="761" t="s">
        <v>3665</v>
      </c>
      <c r="H1901" s="761" t="s">
        <v>7911</v>
      </c>
      <c r="I1901" s="761" t="s">
        <v>6867</v>
      </c>
      <c r="J1901" s="761">
        <v>6</v>
      </c>
      <c r="K1901" s="746">
        <v>5374.71</v>
      </c>
      <c r="L1901" s="746">
        <v>772.34</v>
      </c>
      <c r="M1901" s="746">
        <v>4602.37</v>
      </c>
      <c r="N1901" s="493" t="str">
        <f t="shared" si="31"/>
        <v>C397</v>
      </c>
      <c r="O1901" s="493" t="s">
        <v>99</v>
      </c>
      <c r="P1901" s="493" t="s">
        <v>8005</v>
      </c>
    </row>
    <row r="1902" spans="1:16">
      <c r="A1902" s="761" t="s">
        <v>2339</v>
      </c>
      <c r="B1902" s="761" t="s">
        <v>2340</v>
      </c>
      <c r="C1902" s="761" t="s">
        <v>2476</v>
      </c>
      <c r="D1902" s="761">
        <v>53979583</v>
      </c>
      <c r="E1902" s="761" t="s">
        <v>2972</v>
      </c>
      <c r="F1902" s="761">
        <v>143006024</v>
      </c>
      <c r="G1902" s="761" t="s">
        <v>3717</v>
      </c>
      <c r="H1902" s="761" t="s">
        <v>3717</v>
      </c>
      <c r="I1902" s="761" t="s">
        <v>6867</v>
      </c>
      <c r="J1902" s="761">
        <v>10</v>
      </c>
      <c r="K1902" s="746">
        <v>53418.48</v>
      </c>
      <c r="L1902" s="746">
        <v>7676.21</v>
      </c>
      <c r="M1902" s="746">
        <v>45742.270000000004</v>
      </c>
      <c r="N1902" s="493" t="str">
        <f t="shared" si="31"/>
        <v>C397</v>
      </c>
      <c r="O1902" s="493" t="s">
        <v>99</v>
      </c>
      <c r="P1902" s="493" t="s">
        <v>8005</v>
      </c>
    </row>
    <row r="1903" spans="1:16">
      <c r="A1903" s="761" t="s">
        <v>2339</v>
      </c>
      <c r="B1903" s="761" t="s">
        <v>2340</v>
      </c>
      <c r="C1903" s="761" t="s">
        <v>2476</v>
      </c>
      <c r="D1903" s="761">
        <v>56390566</v>
      </c>
      <c r="E1903" s="761" t="s">
        <v>2972</v>
      </c>
      <c r="F1903" s="761">
        <v>143005255</v>
      </c>
      <c r="G1903" s="761" t="s">
        <v>3566</v>
      </c>
      <c r="H1903" s="761" t="s">
        <v>3566</v>
      </c>
      <c r="I1903" s="761" t="s">
        <v>6867</v>
      </c>
      <c r="J1903" s="761">
        <v>4</v>
      </c>
      <c r="K1903" s="746">
        <v>29714.02</v>
      </c>
      <c r="L1903" s="746">
        <v>4269.8900000000003</v>
      </c>
      <c r="M1903" s="746">
        <v>25444.13</v>
      </c>
      <c r="N1903" s="493" t="str">
        <f t="shared" si="31"/>
        <v>C397</v>
      </c>
      <c r="O1903" s="493" t="s">
        <v>99</v>
      </c>
      <c r="P1903" s="493" t="s">
        <v>8005</v>
      </c>
    </row>
    <row r="1904" spans="1:16">
      <c r="A1904" s="761" t="s">
        <v>2339</v>
      </c>
      <c r="B1904" s="761" t="s">
        <v>2340</v>
      </c>
      <c r="C1904" s="761" t="s">
        <v>2527</v>
      </c>
      <c r="D1904" s="761">
        <v>56390569</v>
      </c>
      <c r="E1904" s="761" t="s">
        <v>2972</v>
      </c>
      <c r="F1904" s="761">
        <v>143005256</v>
      </c>
      <c r="G1904" s="761" t="s">
        <v>3567</v>
      </c>
      <c r="H1904" s="761" t="s">
        <v>3567</v>
      </c>
      <c r="I1904" s="761" t="s">
        <v>6867</v>
      </c>
      <c r="J1904" s="761">
        <v>4</v>
      </c>
      <c r="K1904" s="746">
        <v>43892.56</v>
      </c>
      <c r="L1904" s="746">
        <v>6307.34</v>
      </c>
      <c r="M1904" s="746">
        <v>37585.22</v>
      </c>
      <c r="N1904" s="493" t="str">
        <f t="shared" si="31"/>
        <v>C397</v>
      </c>
      <c r="O1904" s="493" t="s">
        <v>99</v>
      </c>
      <c r="P1904" s="493" t="s">
        <v>8005</v>
      </c>
    </row>
    <row r="1905" spans="1:16">
      <c r="A1905" s="761" t="s">
        <v>2339</v>
      </c>
      <c r="B1905" s="761" t="s">
        <v>2340</v>
      </c>
      <c r="C1905" s="761" t="s">
        <v>2476</v>
      </c>
      <c r="D1905" s="761">
        <v>56450996</v>
      </c>
      <c r="E1905" s="761" t="s">
        <v>2972</v>
      </c>
      <c r="F1905" s="761">
        <v>143005731</v>
      </c>
      <c r="G1905" s="761" t="s">
        <v>3676</v>
      </c>
      <c r="H1905" s="761" t="s">
        <v>3676</v>
      </c>
      <c r="I1905" s="761" t="s">
        <v>6867</v>
      </c>
      <c r="J1905" s="761">
        <v>2</v>
      </c>
      <c r="K1905" s="746">
        <v>3198.39</v>
      </c>
      <c r="L1905" s="746">
        <v>459.61</v>
      </c>
      <c r="M1905" s="746">
        <v>2738.78</v>
      </c>
      <c r="N1905" s="493" t="str">
        <f t="shared" si="31"/>
        <v>C397</v>
      </c>
      <c r="O1905" s="493" t="s">
        <v>99</v>
      </c>
      <c r="P1905" s="493" t="s">
        <v>8005</v>
      </c>
    </row>
    <row r="1906" spans="1:16">
      <c r="A1906" s="761" t="s">
        <v>2339</v>
      </c>
      <c r="B1906" s="761" t="s">
        <v>2340</v>
      </c>
      <c r="C1906" s="761" t="s">
        <v>2476</v>
      </c>
      <c r="D1906" s="761">
        <v>56450999</v>
      </c>
      <c r="E1906" s="761" t="s">
        <v>2972</v>
      </c>
      <c r="F1906" s="761">
        <v>143005732</v>
      </c>
      <c r="G1906" s="761" t="s">
        <v>3677</v>
      </c>
      <c r="H1906" s="761" t="s">
        <v>3677</v>
      </c>
      <c r="I1906" s="761" t="s">
        <v>6867</v>
      </c>
      <c r="J1906" s="761">
        <v>2</v>
      </c>
      <c r="K1906" s="746">
        <v>4208.4400000000005</v>
      </c>
      <c r="L1906" s="746">
        <v>604.75</v>
      </c>
      <c r="M1906" s="746">
        <v>3603.69</v>
      </c>
      <c r="N1906" s="493" t="str">
        <f t="shared" si="31"/>
        <v>C397</v>
      </c>
      <c r="O1906" s="493" t="s">
        <v>99</v>
      </c>
      <c r="P1906" s="493" t="s">
        <v>8005</v>
      </c>
    </row>
    <row r="1907" spans="1:16">
      <c r="A1907" s="761" t="s">
        <v>2339</v>
      </c>
      <c r="B1907" s="761" t="s">
        <v>2340</v>
      </c>
      <c r="C1907" s="761" t="s">
        <v>2517</v>
      </c>
      <c r="D1907" s="761">
        <v>56451002</v>
      </c>
      <c r="E1907" s="761" t="s">
        <v>2972</v>
      </c>
      <c r="F1907" s="761">
        <v>143005733</v>
      </c>
      <c r="G1907" s="761" t="s">
        <v>3678</v>
      </c>
      <c r="H1907" s="761" t="s">
        <v>3678</v>
      </c>
      <c r="I1907" s="761" t="s">
        <v>6867</v>
      </c>
      <c r="J1907" s="761">
        <v>2</v>
      </c>
      <c r="K1907" s="746">
        <v>3198.39</v>
      </c>
      <c r="L1907" s="746">
        <v>459.61</v>
      </c>
      <c r="M1907" s="746">
        <v>2738.78</v>
      </c>
      <c r="N1907" s="493" t="str">
        <f t="shared" si="31"/>
        <v>C397</v>
      </c>
      <c r="O1907" s="493" t="s">
        <v>99</v>
      </c>
      <c r="P1907" s="493" t="s">
        <v>8005</v>
      </c>
    </row>
    <row r="1908" spans="1:16">
      <c r="A1908" s="761" t="s">
        <v>2339</v>
      </c>
      <c r="B1908" s="761" t="s">
        <v>2340</v>
      </c>
      <c r="C1908" s="761" t="s">
        <v>2476</v>
      </c>
      <c r="D1908" s="761">
        <v>56451005</v>
      </c>
      <c r="E1908" s="761" t="s">
        <v>2972</v>
      </c>
      <c r="F1908" s="761">
        <v>143005734</v>
      </c>
      <c r="G1908" s="761" t="s">
        <v>3679</v>
      </c>
      <c r="H1908" s="761" t="s">
        <v>3679</v>
      </c>
      <c r="I1908" s="761" t="s">
        <v>6867</v>
      </c>
      <c r="J1908" s="761">
        <v>2</v>
      </c>
      <c r="K1908" s="746">
        <v>6228.5</v>
      </c>
      <c r="L1908" s="746">
        <v>895.03</v>
      </c>
      <c r="M1908" s="746">
        <v>5333.47</v>
      </c>
      <c r="N1908" s="493" t="str">
        <f t="shared" si="31"/>
        <v>C397</v>
      </c>
      <c r="O1908" s="493" t="s">
        <v>99</v>
      </c>
      <c r="P1908" s="493" t="s">
        <v>8005</v>
      </c>
    </row>
    <row r="1909" spans="1:16">
      <c r="A1909" s="761" t="s">
        <v>2339</v>
      </c>
      <c r="B1909" s="761" t="s">
        <v>2340</v>
      </c>
      <c r="C1909" s="761" t="s">
        <v>2509</v>
      </c>
      <c r="D1909" s="761">
        <v>56540264</v>
      </c>
      <c r="E1909" s="761" t="s">
        <v>2972</v>
      </c>
      <c r="F1909" s="761">
        <v>143003806</v>
      </c>
      <c r="G1909" s="761" t="s">
        <v>3434</v>
      </c>
      <c r="H1909" s="761" t="s">
        <v>7912</v>
      </c>
      <c r="I1909" s="761" t="s">
        <v>6867</v>
      </c>
      <c r="J1909" s="761">
        <v>3</v>
      </c>
      <c r="K1909" s="746">
        <v>11433.22</v>
      </c>
      <c r="L1909" s="746">
        <v>1642.95</v>
      </c>
      <c r="M1909" s="746">
        <v>9790.27</v>
      </c>
      <c r="N1909" s="493" t="str">
        <f t="shared" si="31"/>
        <v>C397</v>
      </c>
      <c r="O1909" s="493" t="s">
        <v>99</v>
      </c>
      <c r="P1909" s="493" t="s">
        <v>8005</v>
      </c>
    </row>
    <row r="1910" spans="1:16">
      <c r="A1910" s="761" t="s">
        <v>2339</v>
      </c>
      <c r="B1910" s="761" t="s">
        <v>2340</v>
      </c>
      <c r="C1910" s="761" t="s">
        <v>2527</v>
      </c>
      <c r="D1910" s="761">
        <v>56540290</v>
      </c>
      <c r="E1910" s="761" t="s">
        <v>2972</v>
      </c>
      <c r="F1910" s="761">
        <v>143005462</v>
      </c>
      <c r="G1910" s="761" t="s">
        <v>3593</v>
      </c>
      <c r="H1910" s="761" t="s">
        <v>7913</v>
      </c>
      <c r="I1910" s="761" t="s">
        <v>6867</v>
      </c>
      <c r="J1910" s="761">
        <v>2</v>
      </c>
      <c r="K1910" s="746">
        <v>13382.550000000001</v>
      </c>
      <c r="L1910" s="746">
        <v>1923.07</v>
      </c>
      <c r="M1910" s="746">
        <v>11459.48</v>
      </c>
      <c r="N1910" s="493" t="str">
        <f t="shared" si="31"/>
        <v>C397</v>
      </c>
      <c r="O1910" s="493" t="s">
        <v>99</v>
      </c>
      <c r="P1910" s="493" t="s">
        <v>8005</v>
      </c>
    </row>
    <row r="1911" spans="1:16">
      <c r="A1911" s="761" t="s">
        <v>2339</v>
      </c>
      <c r="B1911" s="761" t="s">
        <v>2340</v>
      </c>
      <c r="C1911" s="761" t="s">
        <v>2473</v>
      </c>
      <c r="D1911" s="761">
        <v>56901800</v>
      </c>
      <c r="E1911" s="761" t="s">
        <v>2972</v>
      </c>
      <c r="F1911" s="761">
        <v>143003187</v>
      </c>
      <c r="G1911" s="761" t="s">
        <v>3324</v>
      </c>
      <c r="H1911" s="761" t="s">
        <v>3324</v>
      </c>
      <c r="I1911" s="761" t="s">
        <v>6867</v>
      </c>
      <c r="J1911" s="761">
        <v>2</v>
      </c>
      <c r="K1911" s="746">
        <v>3585.23</v>
      </c>
      <c r="L1911" s="746">
        <v>515.20000000000005</v>
      </c>
      <c r="M1911" s="746">
        <v>3070.03</v>
      </c>
      <c r="N1911" s="493" t="str">
        <f t="shared" si="31"/>
        <v>C397</v>
      </c>
      <c r="O1911" s="493" t="s">
        <v>99</v>
      </c>
      <c r="P1911" s="493" t="s">
        <v>8005</v>
      </c>
    </row>
    <row r="1912" spans="1:16">
      <c r="A1912" s="761" t="s">
        <v>2339</v>
      </c>
      <c r="B1912" s="761" t="s">
        <v>2340</v>
      </c>
      <c r="C1912" s="761" t="s">
        <v>2524</v>
      </c>
      <c r="D1912" s="761">
        <v>56901808</v>
      </c>
      <c r="E1912" s="761" t="s">
        <v>2972</v>
      </c>
      <c r="F1912" s="761">
        <v>143003647</v>
      </c>
      <c r="G1912" s="761" t="s">
        <v>3371</v>
      </c>
      <c r="H1912" s="761" t="s">
        <v>3371</v>
      </c>
      <c r="I1912" s="761" t="s">
        <v>6867</v>
      </c>
      <c r="J1912" s="761">
        <v>2</v>
      </c>
      <c r="K1912" s="746">
        <v>6975.1900000000005</v>
      </c>
      <c r="L1912" s="746">
        <v>1002.33</v>
      </c>
      <c r="M1912" s="746">
        <v>5972.86</v>
      </c>
      <c r="N1912" s="493" t="str">
        <f t="shared" si="31"/>
        <v>C397</v>
      </c>
      <c r="O1912" s="493" t="s">
        <v>99</v>
      </c>
      <c r="P1912" s="493" t="s">
        <v>8005</v>
      </c>
    </row>
    <row r="1913" spans="1:16">
      <c r="A1913" s="761" t="s">
        <v>2339</v>
      </c>
      <c r="B1913" s="761" t="s">
        <v>2340</v>
      </c>
      <c r="C1913" s="761" t="s">
        <v>2605</v>
      </c>
      <c r="D1913" s="761">
        <v>56901826</v>
      </c>
      <c r="E1913" s="761" t="s">
        <v>2972</v>
      </c>
      <c r="F1913" s="761">
        <v>143004776</v>
      </c>
      <c r="G1913" s="761" t="s">
        <v>3536</v>
      </c>
      <c r="H1913" s="761" t="s">
        <v>3536</v>
      </c>
      <c r="I1913" s="761" t="s">
        <v>6867</v>
      </c>
      <c r="J1913" s="761">
        <v>1</v>
      </c>
      <c r="K1913" s="746">
        <v>3004.4700000000003</v>
      </c>
      <c r="L1913" s="746">
        <v>431.74</v>
      </c>
      <c r="M1913" s="746">
        <v>2572.73</v>
      </c>
      <c r="N1913" s="493" t="str">
        <f t="shared" si="31"/>
        <v>C397</v>
      </c>
      <c r="O1913" s="493" t="s">
        <v>99</v>
      </c>
      <c r="P1913" s="493" t="s">
        <v>8005</v>
      </c>
    </row>
    <row r="1914" spans="1:16">
      <c r="A1914" s="761" t="s">
        <v>2339</v>
      </c>
      <c r="B1914" s="761" t="s">
        <v>2340</v>
      </c>
      <c r="C1914" s="761" t="s">
        <v>2476</v>
      </c>
      <c r="D1914" s="761">
        <v>56901837</v>
      </c>
      <c r="E1914" s="761" t="s">
        <v>2972</v>
      </c>
      <c r="F1914" s="761">
        <v>143005252</v>
      </c>
      <c r="G1914" s="761" t="s">
        <v>3563</v>
      </c>
      <c r="H1914" s="761" t="s">
        <v>3563</v>
      </c>
      <c r="I1914" s="761" t="s">
        <v>6867</v>
      </c>
      <c r="J1914" s="761">
        <v>2</v>
      </c>
      <c r="K1914" s="746">
        <v>54407.39</v>
      </c>
      <c r="L1914" s="746">
        <v>7818.31</v>
      </c>
      <c r="M1914" s="746">
        <v>46589.08</v>
      </c>
      <c r="N1914" s="493" t="str">
        <f t="shared" si="31"/>
        <v>C397</v>
      </c>
      <c r="O1914" s="493" t="s">
        <v>99</v>
      </c>
      <c r="P1914" s="493" t="s">
        <v>8005</v>
      </c>
    </row>
    <row r="1915" spans="1:16">
      <c r="A1915" s="761" t="s">
        <v>2339</v>
      </c>
      <c r="B1915" s="761" t="s">
        <v>2340</v>
      </c>
      <c r="C1915" s="761" t="s">
        <v>2476</v>
      </c>
      <c r="D1915" s="761">
        <v>56901853</v>
      </c>
      <c r="E1915" s="761" t="s">
        <v>2972</v>
      </c>
      <c r="F1915" s="761">
        <v>143005330</v>
      </c>
      <c r="G1915" s="761" t="s">
        <v>3577</v>
      </c>
      <c r="H1915" s="761" t="s">
        <v>7914</v>
      </c>
      <c r="I1915" s="761" t="s">
        <v>6867</v>
      </c>
      <c r="J1915" s="761">
        <v>2</v>
      </c>
      <c r="K1915" s="746">
        <v>65074.29</v>
      </c>
      <c r="L1915" s="746">
        <v>9351.14</v>
      </c>
      <c r="M1915" s="746">
        <v>55723.15</v>
      </c>
      <c r="N1915" s="493" t="str">
        <f t="shared" si="31"/>
        <v>C397</v>
      </c>
      <c r="O1915" s="493" t="s">
        <v>99</v>
      </c>
      <c r="P1915" s="493" t="s">
        <v>8005</v>
      </c>
    </row>
    <row r="1916" spans="1:16">
      <c r="A1916" s="761" t="s">
        <v>2339</v>
      </c>
      <c r="B1916" s="761" t="s">
        <v>2340</v>
      </c>
      <c r="C1916" s="761" t="s">
        <v>2487</v>
      </c>
      <c r="D1916" s="761">
        <v>56901862</v>
      </c>
      <c r="E1916" s="761" t="s">
        <v>2972</v>
      </c>
      <c r="F1916" s="761">
        <v>143005630</v>
      </c>
      <c r="G1916" s="761" t="s">
        <v>3639</v>
      </c>
      <c r="H1916" s="761" t="s">
        <v>7915</v>
      </c>
      <c r="I1916" s="761" t="s">
        <v>6867</v>
      </c>
      <c r="J1916" s="761">
        <v>3</v>
      </c>
      <c r="K1916" s="746">
        <v>10691.87</v>
      </c>
      <c r="L1916" s="746">
        <v>1536.42</v>
      </c>
      <c r="M1916" s="746">
        <v>9155.4500000000007</v>
      </c>
      <c r="N1916" s="493" t="str">
        <f t="shared" si="31"/>
        <v>C397</v>
      </c>
      <c r="O1916" s="493" t="s">
        <v>99</v>
      </c>
      <c r="P1916" s="493" t="s">
        <v>8005</v>
      </c>
    </row>
    <row r="1917" spans="1:16">
      <c r="A1917" s="761" t="s">
        <v>2339</v>
      </c>
      <c r="B1917" s="761" t="s">
        <v>2340</v>
      </c>
      <c r="C1917" s="761" t="s">
        <v>2487</v>
      </c>
      <c r="D1917" s="761">
        <v>56901865</v>
      </c>
      <c r="E1917" s="761" t="s">
        <v>2972</v>
      </c>
      <c r="F1917" s="761">
        <v>143005712</v>
      </c>
      <c r="G1917" s="761" t="s">
        <v>3658</v>
      </c>
      <c r="H1917" s="761" t="s">
        <v>7916</v>
      </c>
      <c r="I1917" s="761" t="s">
        <v>6867</v>
      </c>
      <c r="J1917" s="761">
        <v>2</v>
      </c>
      <c r="K1917" s="746">
        <v>11087.07</v>
      </c>
      <c r="L1917" s="746">
        <v>1593.21</v>
      </c>
      <c r="M1917" s="746">
        <v>9493.86</v>
      </c>
      <c r="N1917" s="493" t="str">
        <f t="shared" si="31"/>
        <v>C397</v>
      </c>
      <c r="O1917" s="493" t="s">
        <v>99</v>
      </c>
      <c r="P1917" s="493" t="s">
        <v>8005</v>
      </c>
    </row>
    <row r="1918" spans="1:16">
      <c r="A1918" s="761" t="s">
        <v>2339</v>
      </c>
      <c r="B1918" s="761" t="s">
        <v>2340</v>
      </c>
      <c r="C1918" s="761" t="s">
        <v>2476</v>
      </c>
      <c r="D1918" s="761">
        <v>56901880</v>
      </c>
      <c r="E1918" s="761" t="s">
        <v>2972</v>
      </c>
      <c r="F1918" s="761">
        <v>143005966</v>
      </c>
      <c r="G1918" s="761" t="s">
        <v>3712</v>
      </c>
      <c r="H1918" s="761" t="s">
        <v>3712</v>
      </c>
      <c r="I1918" s="761" t="s">
        <v>6867</v>
      </c>
      <c r="J1918" s="761">
        <v>9</v>
      </c>
      <c r="K1918" s="746">
        <v>31145.23</v>
      </c>
      <c r="L1918" s="746">
        <v>4475.55</v>
      </c>
      <c r="M1918" s="746">
        <v>26669.68</v>
      </c>
      <c r="N1918" s="493" t="str">
        <f t="shared" si="31"/>
        <v>C397</v>
      </c>
      <c r="O1918" s="493" t="s">
        <v>99</v>
      </c>
      <c r="P1918" s="493" t="s">
        <v>8005</v>
      </c>
    </row>
    <row r="1919" spans="1:16">
      <c r="A1919" s="761" t="s">
        <v>2339</v>
      </c>
      <c r="B1919" s="761" t="s">
        <v>2340</v>
      </c>
      <c r="C1919" s="761" t="s">
        <v>2527</v>
      </c>
      <c r="D1919" s="761">
        <v>56901885</v>
      </c>
      <c r="E1919" s="761" t="s">
        <v>2972</v>
      </c>
      <c r="F1919" s="761">
        <v>143006026</v>
      </c>
      <c r="G1919" s="761" t="s">
        <v>3718</v>
      </c>
      <c r="H1919" s="761" t="s">
        <v>3718</v>
      </c>
      <c r="I1919" s="761" t="s">
        <v>6867</v>
      </c>
      <c r="J1919" s="761">
        <v>5</v>
      </c>
      <c r="K1919" s="746">
        <v>8097.66</v>
      </c>
      <c r="L1919" s="746">
        <v>1163.6300000000001</v>
      </c>
      <c r="M1919" s="746">
        <v>6934.03</v>
      </c>
      <c r="N1919" s="493" t="str">
        <f t="shared" si="31"/>
        <v>C397</v>
      </c>
      <c r="O1919" s="493" t="s">
        <v>99</v>
      </c>
      <c r="P1919" s="493" t="s">
        <v>8005</v>
      </c>
    </row>
    <row r="1920" spans="1:16">
      <c r="A1920" s="761" t="s">
        <v>2339</v>
      </c>
      <c r="B1920" s="761" t="s">
        <v>2340</v>
      </c>
      <c r="C1920" s="761" t="s">
        <v>2527</v>
      </c>
      <c r="D1920" s="761">
        <v>56901888</v>
      </c>
      <c r="E1920" s="761" t="s">
        <v>2972</v>
      </c>
      <c r="F1920" s="761">
        <v>143006027</v>
      </c>
      <c r="G1920" s="761" t="s">
        <v>3719</v>
      </c>
      <c r="H1920" s="761" t="s">
        <v>3719</v>
      </c>
      <c r="I1920" s="761" t="s">
        <v>6867</v>
      </c>
      <c r="J1920" s="761">
        <v>5</v>
      </c>
      <c r="K1920" s="746">
        <v>28530.59</v>
      </c>
      <c r="L1920" s="746">
        <v>4099.83</v>
      </c>
      <c r="M1920" s="746">
        <v>24430.760000000002</v>
      </c>
      <c r="N1920" s="493" t="str">
        <f t="shared" si="31"/>
        <v>C397</v>
      </c>
      <c r="O1920" s="493" t="s">
        <v>99</v>
      </c>
      <c r="P1920" s="493" t="s">
        <v>8005</v>
      </c>
    </row>
    <row r="1921" spans="1:16">
      <c r="A1921" s="761" t="s">
        <v>2339</v>
      </c>
      <c r="B1921" s="761" t="s">
        <v>2340</v>
      </c>
      <c r="C1921" s="761" t="s">
        <v>2524</v>
      </c>
      <c r="D1921" s="761">
        <v>56901891</v>
      </c>
      <c r="E1921" s="761" t="s">
        <v>2972</v>
      </c>
      <c r="F1921" s="761">
        <v>143006054</v>
      </c>
      <c r="G1921" s="761" t="s">
        <v>3726</v>
      </c>
      <c r="H1921" s="761" t="s">
        <v>3726</v>
      </c>
      <c r="I1921" s="761" t="s">
        <v>6867</v>
      </c>
      <c r="J1921" s="761">
        <v>2</v>
      </c>
      <c r="K1921" s="746">
        <v>20330.37</v>
      </c>
      <c r="L1921" s="746">
        <v>2921.46</v>
      </c>
      <c r="M1921" s="746">
        <v>17408.91</v>
      </c>
      <c r="N1921" s="493" t="str">
        <f t="shared" si="31"/>
        <v>C397</v>
      </c>
      <c r="O1921" s="493" t="s">
        <v>99</v>
      </c>
      <c r="P1921" s="493" t="s">
        <v>8005</v>
      </c>
    </row>
    <row r="1922" spans="1:16">
      <c r="A1922" s="761" t="s">
        <v>2339</v>
      </c>
      <c r="B1922" s="761" t="s">
        <v>2340</v>
      </c>
      <c r="C1922" s="761" t="s">
        <v>2476</v>
      </c>
      <c r="D1922" s="761">
        <v>56972646</v>
      </c>
      <c r="E1922" s="761" t="s">
        <v>2972</v>
      </c>
      <c r="F1922" s="761">
        <v>143006048</v>
      </c>
      <c r="G1922" s="761" t="s">
        <v>3723</v>
      </c>
      <c r="H1922" s="761" t="s">
        <v>7917</v>
      </c>
      <c r="I1922" s="761" t="s">
        <v>6867</v>
      </c>
      <c r="J1922" s="761">
        <v>4</v>
      </c>
      <c r="K1922" s="746">
        <v>32421.49</v>
      </c>
      <c r="L1922" s="746">
        <v>4658.95</v>
      </c>
      <c r="M1922" s="746">
        <v>27762.54</v>
      </c>
      <c r="N1922" s="493" t="str">
        <f t="shared" si="31"/>
        <v>C397</v>
      </c>
      <c r="O1922" s="493" t="s">
        <v>99</v>
      </c>
      <c r="P1922" s="493" t="s">
        <v>8005</v>
      </c>
    </row>
    <row r="1923" spans="1:16">
      <c r="A1923" s="761" t="s">
        <v>2339</v>
      </c>
      <c r="B1923" s="761" t="s">
        <v>2340</v>
      </c>
      <c r="C1923" s="761" t="s">
        <v>2476</v>
      </c>
      <c r="D1923" s="761">
        <v>56972649</v>
      </c>
      <c r="E1923" s="761" t="s">
        <v>2972</v>
      </c>
      <c r="F1923" s="761">
        <v>143006051</v>
      </c>
      <c r="G1923" s="761" t="s">
        <v>3724</v>
      </c>
      <c r="H1923" s="761" t="s">
        <v>7918</v>
      </c>
      <c r="I1923" s="761" t="s">
        <v>6867</v>
      </c>
      <c r="J1923" s="761">
        <v>2</v>
      </c>
      <c r="K1923" s="746">
        <v>4334.2700000000004</v>
      </c>
      <c r="L1923" s="746">
        <v>622.83000000000004</v>
      </c>
      <c r="M1923" s="746">
        <v>3711.44</v>
      </c>
      <c r="N1923" s="493" t="str">
        <f t="shared" si="31"/>
        <v>C397</v>
      </c>
      <c r="O1923" s="493" t="s">
        <v>99</v>
      </c>
      <c r="P1923" s="493" t="s">
        <v>8005</v>
      </c>
    </row>
    <row r="1924" spans="1:16">
      <c r="A1924" s="761" t="s">
        <v>2339</v>
      </c>
      <c r="B1924" s="761" t="s">
        <v>2340</v>
      </c>
      <c r="C1924" s="761" t="s">
        <v>2509</v>
      </c>
      <c r="D1924" s="761">
        <v>57360865</v>
      </c>
      <c r="E1924" s="761" t="s">
        <v>2972</v>
      </c>
      <c r="F1924" s="761">
        <v>143003812</v>
      </c>
      <c r="G1924" s="761" t="s">
        <v>3440</v>
      </c>
      <c r="H1924" s="761" t="s">
        <v>7919</v>
      </c>
      <c r="I1924" s="761" t="s">
        <v>6867</v>
      </c>
      <c r="J1924" s="761">
        <v>3</v>
      </c>
      <c r="K1924" s="746">
        <v>5562.96</v>
      </c>
      <c r="L1924" s="746">
        <v>799.39</v>
      </c>
      <c r="M1924" s="746">
        <v>4763.57</v>
      </c>
      <c r="N1924" s="493" t="str">
        <f t="shared" si="31"/>
        <v>C397</v>
      </c>
      <c r="O1924" s="493" t="s">
        <v>99</v>
      </c>
      <c r="P1924" s="493" t="s">
        <v>8005</v>
      </c>
    </row>
    <row r="1925" spans="1:16">
      <c r="A1925" s="761" t="s">
        <v>2339</v>
      </c>
      <c r="B1925" s="761" t="s">
        <v>2340</v>
      </c>
      <c r="C1925" s="761" t="s">
        <v>2487</v>
      </c>
      <c r="D1925" s="761">
        <v>57360895</v>
      </c>
      <c r="E1925" s="761" t="s">
        <v>2972</v>
      </c>
      <c r="F1925" s="761">
        <v>143005713</v>
      </c>
      <c r="G1925" s="761" t="s">
        <v>3659</v>
      </c>
      <c r="H1925" s="761" t="s">
        <v>7920</v>
      </c>
      <c r="I1925" s="761" t="s">
        <v>6867</v>
      </c>
      <c r="J1925" s="761">
        <v>2</v>
      </c>
      <c r="K1925" s="746">
        <v>5126.83</v>
      </c>
      <c r="L1925" s="746">
        <v>736.72</v>
      </c>
      <c r="M1925" s="746">
        <v>4390.1099999999997</v>
      </c>
      <c r="N1925" s="493" t="str">
        <f t="shared" si="31"/>
        <v>C397</v>
      </c>
      <c r="O1925" s="493" t="s">
        <v>99</v>
      </c>
      <c r="P1925" s="493" t="s">
        <v>8005</v>
      </c>
    </row>
    <row r="1926" spans="1:16">
      <c r="A1926" s="761" t="s">
        <v>2339</v>
      </c>
      <c r="B1926" s="761" t="s">
        <v>2340</v>
      </c>
      <c r="C1926" s="761" t="s">
        <v>2487</v>
      </c>
      <c r="D1926" s="761">
        <v>57360898</v>
      </c>
      <c r="E1926" s="761" t="s">
        <v>2972</v>
      </c>
      <c r="F1926" s="761">
        <v>143005714</v>
      </c>
      <c r="G1926" s="761" t="s">
        <v>3660</v>
      </c>
      <c r="H1926" s="761" t="s">
        <v>7921</v>
      </c>
      <c r="I1926" s="761" t="s">
        <v>6867</v>
      </c>
      <c r="J1926" s="761">
        <v>2</v>
      </c>
      <c r="K1926" s="746">
        <v>5115.54</v>
      </c>
      <c r="L1926" s="746">
        <v>735.1</v>
      </c>
      <c r="M1926" s="746">
        <v>4380.4400000000005</v>
      </c>
      <c r="N1926" s="493" t="str">
        <f t="shared" si="31"/>
        <v>C397</v>
      </c>
      <c r="O1926" s="493" t="s">
        <v>99</v>
      </c>
      <c r="P1926" s="493" t="s">
        <v>8005</v>
      </c>
    </row>
    <row r="1927" spans="1:16">
      <c r="A1927" s="761" t="s">
        <v>2339</v>
      </c>
      <c r="B1927" s="761" t="s">
        <v>2340</v>
      </c>
      <c r="C1927" s="761" t="s">
        <v>2487</v>
      </c>
      <c r="D1927" s="761">
        <v>57360901</v>
      </c>
      <c r="E1927" s="761" t="s">
        <v>2972</v>
      </c>
      <c r="F1927" s="761">
        <v>143005820</v>
      </c>
      <c r="G1927" s="761" t="s">
        <v>3683</v>
      </c>
      <c r="H1927" s="761" t="s">
        <v>7922</v>
      </c>
      <c r="I1927" s="761" t="s">
        <v>6867</v>
      </c>
      <c r="J1927" s="761">
        <v>2</v>
      </c>
      <c r="K1927" s="746">
        <v>6397.58</v>
      </c>
      <c r="L1927" s="746">
        <v>919.33</v>
      </c>
      <c r="M1927" s="746">
        <v>5478.25</v>
      </c>
      <c r="N1927" s="493" t="str">
        <f t="shared" si="31"/>
        <v>C397</v>
      </c>
      <c r="O1927" s="493" t="s">
        <v>99</v>
      </c>
      <c r="P1927" s="493" t="s">
        <v>8005</v>
      </c>
    </row>
    <row r="1928" spans="1:16">
      <c r="A1928" s="761" t="s">
        <v>2339</v>
      </c>
      <c r="B1928" s="761" t="s">
        <v>2340</v>
      </c>
      <c r="C1928" s="761" t="s">
        <v>2487</v>
      </c>
      <c r="D1928" s="761">
        <v>57360904</v>
      </c>
      <c r="E1928" s="761" t="s">
        <v>2972</v>
      </c>
      <c r="F1928" s="761">
        <v>143005821</v>
      </c>
      <c r="G1928" s="761" t="s">
        <v>3684</v>
      </c>
      <c r="H1928" s="761" t="s">
        <v>7923</v>
      </c>
      <c r="I1928" s="761" t="s">
        <v>6867</v>
      </c>
      <c r="J1928" s="761">
        <v>2</v>
      </c>
      <c r="K1928" s="746">
        <v>6397.59</v>
      </c>
      <c r="L1928" s="746">
        <v>919.33</v>
      </c>
      <c r="M1928" s="746">
        <v>5478.26</v>
      </c>
      <c r="N1928" s="493" t="str">
        <f t="shared" si="31"/>
        <v>C397</v>
      </c>
      <c r="O1928" s="493" t="s">
        <v>99</v>
      </c>
      <c r="P1928" s="493" t="s">
        <v>8005</v>
      </c>
    </row>
    <row r="1929" spans="1:16">
      <c r="A1929" s="761" t="s">
        <v>2339</v>
      </c>
      <c r="B1929" s="761" t="s">
        <v>2340</v>
      </c>
      <c r="C1929" s="761" t="s">
        <v>2487</v>
      </c>
      <c r="D1929" s="761">
        <v>57360907</v>
      </c>
      <c r="E1929" s="761" t="s">
        <v>2972</v>
      </c>
      <c r="F1929" s="761">
        <v>143005822</v>
      </c>
      <c r="G1929" s="761" t="s">
        <v>3685</v>
      </c>
      <c r="H1929" s="761" t="s">
        <v>7924</v>
      </c>
      <c r="I1929" s="761" t="s">
        <v>6867</v>
      </c>
      <c r="J1929" s="761">
        <v>2</v>
      </c>
      <c r="K1929" s="746">
        <v>6397.58</v>
      </c>
      <c r="L1929" s="746">
        <v>919.33</v>
      </c>
      <c r="M1929" s="746">
        <v>5478.25</v>
      </c>
      <c r="N1929" s="493" t="str">
        <f t="shared" si="31"/>
        <v>C397</v>
      </c>
      <c r="O1929" s="493" t="s">
        <v>99</v>
      </c>
      <c r="P1929" s="493" t="s">
        <v>8005</v>
      </c>
    </row>
    <row r="1930" spans="1:16">
      <c r="A1930" s="761" t="s">
        <v>2339</v>
      </c>
      <c r="B1930" s="761" t="s">
        <v>2340</v>
      </c>
      <c r="C1930" s="761" t="s">
        <v>2487</v>
      </c>
      <c r="D1930" s="761">
        <v>57360910</v>
      </c>
      <c r="E1930" s="761" t="s">
        <v>2972</v>
      </c>
      <c r="F1930" s="761">
        <v>143005823</v>
      </c>
      <c r="G1930" s="761" t="s">
        <v>3686</v>
      </c>
      <c r="H1930" s="761" t="s">
        <v>7925</v>
      </c>
      <c r="I1930" s="761" t="s">
        <v>6867</v>
      </c>
      <c r="J1930" s="761">
        <v>2</v>
      </c>
      <c r="K1930" s="746">
        <v>6397.59</v>
      </c>
      <c r="L1930" s="746">
        <v>919.33</v>
      </c>
      <c r="M1930" s="746">
        <v>5478.26</v>
      </c>
      <c r="N1930" s="493" t="str">
        <f t="shared" si="31"/>
        <v>C397</v>
      </c>
      <c r="O1930" s="493" t="s">
        <v>99</v>
      </c>
      <c r="P1930" s="493" t="s">
        <v>8005</v>
      </c>
    </row>
    <row r="1931" spans="1:16">
      <c r="A1931" s="761" t="s">
        <v>2339</v>
      </c>
      <c r="B1931" s="761" t="s">
        <v>2340</v>
      </c>
      <c r="C1931" s="761" t="s">
        <v>2487</v>
      </c>
      <c r="D1931" s="761">
        <v>57360913</v>
      </c>
      <c r="E1931" s="761" t="s">
        <v>2972</v>
      </c>
      <c r="F1931" s="761">
        <v>143005826</v>
      </c>
      <c r="G1931" s="761" t="s">
        <v>3689</v>
      </c>
      <c r="H1931" s="761" t="s">
        <v>7926</v>
      </c>
      <c r="I1931" s="761" t="s">
        <v>6867</v>
      </c>
      <c r="J1931" s="761">
        <v>2</v>
      </c>
      <c r="K1931" s="746">
        <v>13073.32</v>
      </c>
      <c r="L1931" s="746">
        <v>1878.63</v>
      </c>
      <c r="M1931" s="746">
        <v>11194.69</v>
      </c>
      <c r="N1931" s="493" t="str">
        <f t="shared" si="31"/>
        <v>C397</v>
      </c>
      <c r="O1931" s="493" t="s">
        <v>99</v>
      </c>
      <c r="P1931" s="493" t="s">
        <v>8005</v>
      </c>
    </row>
    <row r="1932" spans="1:16">
      <c r="A1932" s="761" t="s">
        <v>2339</v>
      </c>
      <c r="B1932" s="761" t="s">
        <v>2340</v>
      </c>
      <c r="C1932" s="761" t="s">
        <v>2487</v>
      </c>
      <c r="D1932" s="761">
        <v>57360916</v>
      </c>
      <c r="E1932" s="761" t="s">
        <v>2972</v>
      </c>
      <c r="F1932" s="761">
        <v>143005827</v>
      </c>
      <c r="G1932" s="761" t="s">
        <v>3690</v>
      </c>
      <c r="H1932" s="761" t="s">
        <v>7927</v>
      </c>
      <c r="I1932" s="761" t="s">
        <v>6867</v>
      </c>
      <c r="J1932" s="761">
        <v>2</v>
      </c>
      <c r="K1932" s="746">
        <v>13600.5</v>
      </c>
      <c r="L1932" s="746">
        <v>1954.38</v>
      </c>
      <c r="M1932" s="746">
        <v>11646.12</v>
      </c>
      <c r="N1932" s="493" t="str">
        <f t="shared" si="31"/>
        <v>C397</v>
      </c>
      <c r="O1932" s="493" t="s">
        <v>99</v>
      </c>
      <c r="P1932" s="493" t="s">
        <v>8005</v>
      </c>
    </row>
    <row r="1933" spans="1:16">
      <c r="A1933" s="761" t="s">
        <v>2339</v>
      </c>
      <c r="B1933" s="761" t="s">
        <v>2340</v>
      </c>
      <c r="C1933" s="761" t="s">
        <v>2487</v>
      </c>
      <c r="D1933" s="761">
        <v>57360919</v>
      </c>
      <c r="E1933" s="761" t="s">
        <v>2972</v>
      </c>
      <c r="F1933" s="761">
        <v>143005828</v>
      </c>
      <c r="G1933" s="761" t="s">
        <v>3691</v>
      </c>
      <c r="H1933" s="761" t="s">
        <v>3691</v>
      </c>
      <c r="I1933" s="761" t="s">
        <v>6867</v>
      </c>
      <c r="J1933" s="761">
        <v>2</v>
      </c>
      <c r="K1933" s="746">
        <v>6427.68</v>
      </c>
      <c r="L1933" s="746">
        <v>923.65</v>
      </c>
      <c r="M1933" s="746">
        <v>5504.03</v>
      </c>
      <c r="N1933" s="493" t="str">
        <f t="shared" si="31"/>
        <v>C397</v>
      </c>
      <c r="O1933" s="493" t="s">
        <v>99</v>
      </c>
      <c r="P1933" s="493" t="s">
        <v>8005</v>
      </c>
    </row>
    <row r="1934" spans="1:16">
      <c r="A1934" s="761" t="s">
        <v>2339</v>
      </c>
      <c r="B1934" s="761" t="s">
        <v>2340</v>
      </c>
      <c r="C1934" s="761" t="s">
        <v>2487</v>
      </c>
      <c r="D1934" s="761">
        <v>57360922</v>
      </c>
      <c r="E1934" s="761" t="s">
        <v>2972</v>
      </c>
      <c r="F1934" s="761">
        <v>143005829</v>
      </c>
      <c r="G1934" s="761" t="s">
        <v>3692</v>
      </c>
      <c r="H1934" s="761" t="s">
        <v>7928</v>
      </c>
      <c r="I1934" s="761" t="s">
        <v>6867</v>
      </c>
      <c r="J1934" s="761">
        <v>2</v>
      </c>
      <c r="K1934" s="746">
        <v>13224.380000000001</v>
      </c>
      <c r="L1934" s="746">
        <v>1900.3400000000001</v>
      </c>
      <c r="M1934" s="746">
        <v>11324.04</v>
      </c>
      <c r="N1934" s="493" t="str">
        <f t="shared" si="31"/>
        <v>C397</v>
      </c>
      <c r="O1934" s="493" t="s">
        <v>99</v>
      </c>
      <c r="P1934" s="493" t="s">
        <v>8005</v>
      </c>
    </row>
    <row r="1935" spans="1:16">
      <c r="A1935" s="761" t="s">
        <v>2339</v>
      </c>
      <c r="B1935" s="761" t="s">
        <v>2340</v>
      </c>
      <c r="C1935" s="761" t="s">
        <v>2487</v>
      </c>
      <c r="D1935" s="761">
        <v>57360925</v>
      </c>
      <c r="E1935" s="761" t="s">
        <v>2972</v>
      </c>
      <c r="F1935" s="761">
        <v>143005830</v>
      </c>
      <c r="G1935" s="761" t="s">
        <v>3693</v>
      </c>
      <c r="H1935" s="761" t="s">
        <v>3693</v>
      </c>
      <c r="I1935" s="761" t="s">
        <v>6867</v>
      </c>
      <c r="J1935" s="761">
        <v>3</v>
      </c>
      <c r="K1935" s="746">
        <v>5356.84</v>
      </c>
      <c r="L1935" s="746">
        <v>769.78</v>
      </c>
      <c r="M1935" s="746">
        <v>4587.0600000000004</v>
      </c>
      <c r="N1935" s="493" t="str">
        <f t="shared" si="31"/>
        <v>C397</v>
      </c>
      <c r="O1935" s="493" t="s">
        <v>99</v>
      </c>
      <c r="P1935" s="493" t="s">
        <v>8005</v>
      </c>
    </row>
    <row r="1936" spans="1:16">
      <c r="A1936" s="761" t="s">
        <v>2339</v>
      </c>
      <c r="B1936" s="761" t="s">
        <v>2340</v>
      </c>
      <c r="C1936" s="761" t="s">
        <v>2487</v>
      </c>
      <c r="D1936" s="761">
        <v>57360928</v>
      </c>
      <c r="E1936" s="761" t="s">
        <v>2972</v>
      </c>
      <c r="F1936" s="761">
        <v>143005831</v>
      </c>
      <c r="G1936" s="761" t="s">
        <v>3694</v>
      </c>
      <c r="H1936" s="761" t="s">
        <v>7929</v>
      </c>
      <c r="I1936" s="761" t="s">
        <v>6867</v>
      </c>
      <c r="J1936" s="761">
        <v>2</v>
      </c>
      <c r="K1936" s="746">
        <v>12685.82</v>
      </c>
      <c r="L1936" s="746">
        <v>1822.95</v>
      </c>
      <c r="M1936" s="746">
        <v>10862.87</v>
      </c>
      <c r="N1936" s="493" t="str">
        <f t="shared" si="31"/>
        <v>C397</v>
      </c>
      <c r="O1936" s="493" t="s">
        <v>99</v>
      </c>
      <c r="P1936" s="493" t="s">
        <v>8005</v>
      </c>
    </row>
    <row r="1937" spans="1:16">
      <c r="A1937" s="761" t="s">
        <v>2339</v>
      </c>
      <c r="B1937" s="761" t="s">
        <v>2340</v>
      </c>
      <c r="C1937" s="761" t="s">
        <v>2487</v>
      </c>
      <c r="D1937" s="761">
        <v>57360931</v>
      </c>
      <c r="E1937" s="761" t="s">
        <v>2972</v>
      </c>
      <c r="F1937" s="761">
        <v>143005832</v>
      </c>
      <c r="G1937" s="761" t="s">
        <v>3695</v>
      </c>
      <c r="H1937" s="761" t="s">
        <v>7930</v>
      </c>
      <c r="I1937" s="761" t="s">
        <v>6867</v>
      </c>
      <c r="J1937" s="761">
        <v>3</v>
      </c>
      <c r="K1937" s="746">
        <v>5990.87</v>
      </c>
      <c r="L1937" s="746">
        <v>860.88</v>
      </c>
      <c r="M1937" s="746">
        <v>5129.99</v>
      </c>
      <c r="N1937" s="493" t="str">
        <f t="shared" ref="N1937:N2000" si="32">LEFT(E1937,4)</f>
        <v>C397</v>
      </c>
      <c r="O1937" s="493" t="s">
        <v>99</v>
      </c>
      <c r="P1937" s="493" t="s">
        <v>8005</v>
      </c>
    </row>
    <row r="1938" spans="1:16">
      <c r="A1938" s="761" t="s">
        <v>2339</v>
      </c>
      <c r="B1938" s="761" t="s">
        <v>2340</v>
      </c>
      <c r="C1938" s="761" t="s">
        <v>2487</v>
      </c>
      <c r="D1938" s="761">
        <v>57360934</v>
      </c>
      <c r="E1938" s="761" t="s">
        <v>2972</v>
      </c>
      <c r="F1938" s="761">
        <v>143005834</v>
      </c>
      <c r="G1938" s="761" t="s">
        <v>3697</v>
      </c>
      <c r="H1938" s="761" t="s">
        <v>3697</v>
      </c>
      <c r="I1938" s="761" t="s">
        <v>6867</v>
      </c>
      <c r="J1938" s="761">
        <v>3</v>
      </c>
      <c r="K1938" s="746">
        <v>5357.05</v>
      </c>
      <c r="L1938" s="746">
        <v>769.81000000000006</v>
      </c>
      <c r="M1938" s="746">
        <v>4587.24</v>
      </c>
      <c r="N1938" s="493" t="str">
        <f t="shared" si="32"/>
        <v>C397</v>
      </c>
      <c r="O1938" s="493" t="s">
        <v>99</v>
      </c>
      <c r="P1938" s="493" t="s">
        <v>8005</v>
      </c>
    </row>
    <row r="1939" spans="1:16">
      <c r="A1939" s="761" t="s">
        <v>2339</v>
      </c>
      <c r="B1939" s="761" t="s">
        <v>2340</v>
      </c>
      <c r="C1939" s="761" t="s">
        <v>2487</v>
      </c>
      <c r="D1939" s="761">
        <v>57360937</v>
      </c>
      <c r="E1939" s="761" t="s">
        <v>2972</v>
      </c>
      <c r="F1939" s="761">
        <v>143005835</v>
      </c>
      <c r="G1939" s="761" t="s">
        <v>3698</v>
      </c>
      <c r="H1939" s="761" t="s">
        <v>7931</v>
      </c>
      <c r="I1939" s="761" t="s">
        <v>6867</v>
      </c>
      <c r="J1939" s="761">
        <v>3</v>
      </c>
      <c r="K1939" s="746">
        <v>5895.33</v>
      </c>
      <c r="L1939" s="746">
        <v>847.16</v>
      </c>
      <c r="M1939" s="746">
        <v>5048.17</v>
      </c>
      <c r="N1939" s="493" t="str">
        <f t="shared" si="32"/>
        <v>C397</v>
      </c>
      <c r="O1939" s="493" t="s">
        <v>99</v>
      </c>
      <c r="P1939" s="493" t="s">
        <v>8005</v>
      </c>
    </row>
    <row r="1940" spans="1:16">
      <c r="A1940" s="761" t="s">
        <v>2339</v>
      </c>
      <c r="B1940" s="761" t="s">
        <v>2340</v>
      </c>
      <c r="C1940" s="761" t="s">
        <v>2487</v>
      </c>
      <c r="D1940" s="761">
        <v>57360940</v>
      </c>
      <c r="E1940" s="761" t="s">
        <v>2972</v>
      </c>
      <c r="F1940" s="761">
        <v>143005836</v>
      </c>
      <c r="G1940" s="761" t="s">
        <v>3699</v>
      </c>
      <c r="H1940" s="761" t="s">
        <v>3699</v>
      </c>
      <c r="I1940" s="761" t="s">
        <v>6867</v>
      </c>
      <c r="J1940" s="761">
        <v>3</v>
      </c>
      <c r="K1940" s="746">
        <v>5357.06</v>
      </c>
      <c r="L1940" s="746">
        <v>769.81000000000006</v>
      </c>
      <c r="M1940" s="746">
        <v>4587.25</v>
      </c>
      <c r="N1940" s="493" t="str">
        <f t="shared" si="32"/>
        <v>C397</v>
      </c>
      <c r="O1940" s="493" t="s">
        <v>99</v>
      </c>
      <c r="P1940" s="493" t="s">
        <v>8005</v>
      </c>
    </row>
    <row r="1941" spans="1:16">
      <c r="A1941" s="761" t="s">
        <v>2339</v>
      </c>
      <c r="B1941" s="761" t="s">
        <v>2340</v>
      </c>
      <c r="C1941" s="761" t="s">
        <v>2487</v>
      </c>
      <c r="D1941" s="761">
        <v>57360943</v>
      </c>
      <c r="E1941" s="761" t="s">
        <v>2972</v>
      </c>
      <c r="F1941" s="761">
        <v>143005837</v>
      </c>
      <c r="G1941" s="761" t="s">
        <v>3700</v>
      </c>
      <c r="H1941" s="761" t="s">
        <v>7932</v>
      </c>
      <c r="I1941" s="761" t="s">
        <v>6867</v>
      </c>
      <c r="J1941" s="761">
        <v>3</v>
      </c>
      <c r="K1941" s="746">
        <v>5357.06</v>
      </c>
      <c r="L1941" s="746">
        <v>769.81000000000006</v>
      </c>
      <c r="M1941" s="746">
        <v>4587.25</v>
      </c>
      <c r="N1941" s="493" t="str">
        <f t="shared" si="32"/>
        <v>C397</v>
      </c>
      <c r="O1941" s="493" t="s">
        <v>99</v>
      </c>
      <c r="P1941" s="493" t="s">
        <v>8005</v>
      </c>
    </row>
    <row r="1942" spans="1:16">
      <c r="A1942" s="761" t="s">
        <v>2339</v>
      </c>
      <c r="B1942" s="761" t="s">
        <v>2340</v>
      </c>
      <c r="C1942" s="761" t="s">
        <v>2487</v>
      </c>
      <c r="D1942" s="761">
        <v>57360946</v>
      </c>
      <c r="E1942" s="761" t="s">
        <v>2972</v>
      </c>
      <c r="F1942" s="761">
        <v>143005838</v>
      </c>
      <c r="G1942" s="761" t="s">
        <v>3701</v>
      </c>
      <c r="H1942" s="761" t="s">
        <v>7933</v>
      </c>
      <c r="I1942" s="761" t="s">
        <v>6867</v>
      </c>
      <c r="J1942" s="761">
        <v>3</v>
      </c>
      <c r="K1942" s="746">
        <v>12382.68</v>
      </c>
      <c r="L1942" s="746">
        <v>1779.38</v>
      </c>
      <c r="M1942" s="746">
        <v>10603.300000000001</v>
      </c>
      <c r="N1942" s="493" t="str">
        <f t="shared" si="32"/>
        <v>C397</v>
      </c>
      <c r="O1942" s="493" t="s">
        <v>99</v>
      </c>
      <c r="P1942" s="493" t="s">
        <v>8005</v>
      </c>
    </row>
    <row r="1943" spans="1:16">
      <c r="A1943" s="761" t="s">
        <v>2339</v>
      </c>
      <c r="B1943" s="761" t="s">
        <v>2340</v>
      </c>
      <c r="C1943" s="761" t="s">
        <v>2487</v>
      </c>
      <c r="D1943" s="761">
        <v>57360949</v>
      </c>
      <c r="E1943" s="761" t="s">
        <v>2972</v>
      </c>
      <c r="F1943" s="761">
        <v>143005840</v>
      </c>
      <c r="G1943" s="761" t="s">
        <v>3703</v>
      </c>
      <c r="H1943" s="761" t="s">
        <v>7934</v>
      </c>
      <c r="I1943" s="761" t="s">
        <v>6867</v>
      </c>
      <c r="J1943" s="761">
        <v>3</v>
      </c>
      <c r="K1943" s="746">
        <v>5642.56</v>
      </c>
      <c r="L1943" s="746">
        <v>810.83</v>
      </c>
      <c r="M1943" s="746">
        <v>4831.7300000000005</v>
      </c>
      <c r="N1943" s="493" t="str">
        <f t="shared" si="32"/>
        <v>C397</v>
      </c>
      <c r="O1943" s="493" t="s">
        <v>99</v>
      </c>
      <c r="P1943" s="493" t="s">
        <v>8005</v>
      </c>
    </row>
    <row r="1944" spans="1:16">
      <c r="A1944" s="761" t="s">
        <v>2339</v>
      </c>
      <c r="B1944" s="761" t="s">
        <v>2340</v>
      </c>
      <c r="C1944" s="761" t="s">
        <v>2487</v>
      </c>
      <c r="D1944" s="761">
        <v>57360952</v>
      </c>
      <c r="E1944" s="761" t="s">
        <v>2972</v>
      </c>
      <c r="F1944" s="761">
        <v>143005841</v>
      </c>
      <c r="G1944" s="761" t="s">
        <v>3704</v>
      </c>
      <c r="H1944" s="761" t="s">
        <v>7935</v>
      </c>
      <c r="I1944" s="761" t="s">
        <v>6867</v>
      </c>
      <c r="J1944" s="761">
        <v>3</v>
      </c>
      <c r="K1944" s="746">
        <v>12381.6</v>
      </c>
      <c r="L1944" s="746">
        <v>1779.23</v>
      </c>
      <c r="M1944" s="746">
        <v>10602.37</v>
      </c>
      <c r="N1944" s="493" t="str">
        <f t="shared" si="32"/>
        <v>C397</v>
      </c>
      <c r="O1944" s="493" t="s">
        <v>99</v>
      </c>
      <c r="P1944" s="493" t="s">
        <v>8005</v>
      </c>
    </row>
    <row r="1945" spans="1:16">
      <c r="A1945" s="761" t="s">
        <v>2339</v>
      </c>
      <c r="B1945" s="761" t="s">
        <v>2340</v>
      </c>
      <c r="C1945" s="761" t="s">
        <v>2487</v>
      </c>
      <c r="D1945" s="761">
        <v>57360955</v>
      </c>
      <c r="E1945" s="761" t="s">
        <v>2972</v>
      </c>
      <c r="F1945" s="761">
        <v>143005842</v>
      </c>
      <c r="G1945" s="761" t="s">
        <v>3705</v>
      </c>
      <c r="H1945" s="761" t="s">
        <v>7936</v>
      </c>
      <c r="I1945" s="761" t="s">
        <v>6867</v>
      </c>
      <c r="J1945" s="761">
        <v>3</v>
      </c>
      <c r="K1945" s="746">
        <v>5620.53</v>
      </c>
      <c r="L1945" s="746">
        <v>807.67000000000007</v>
      </c>
      <c r="M1945" s="746">
        <v>4812.8599999999997</v>
      </c>
      <c r="N1945" s="493" t="str">
        <f t="shared" si="32"/>
        <v>C397</v>
      </c>
      <c r="O1945" s="493" t="s">
        <v>99</v>
      </c>
      <c r="P1945" s="493" t="s">
        <v>8005</v>
      </c>
    </row>
    <row r="1946" spans="1:16">
      <c r="A1946" s="761" t="s">
        <v>2339</v>
      </c>
      <c r="B1946" s="761" t="s">
        <v>2340</v>
      </c>
      <c r="C1946" s="761" t="s">
        <v>2487</v>
      </c>
      <c r="D1946" s="761">
        <v>57360958</v>
      </c>
      <c r="E1946" s="761" t="s">
        <v>2972</v>
      </c>
      <c r="F1946" s="761">
        <v>143005844</v>
      </c>
      <c r="G1946" s="761" t="s">
        <v>3706</v>
      </c>
      <c r="H1946" s="761" t="s">
        <v>7937</v>
      </c>
      <c r="I1946" s="761" t="s">
        <v>6867</v>
      </c>
      <c r="J1946" s="761">
        <v>3</v>
      </c>
      <c r="K1946" s="746">
        <v>5635.63</v>
      </c>
      <c r="L1946" s="746">
        <v>809.84</v>
      </c>
      <c r="M1946" s="746">
        <v>4825.79</v>
      </c>
      <c r="N1946" s="493" t="str">
        <f t="shared" si="32"/>
        <v>C397</v>
      </c>
      <c r="O1946" s="493" t="s">
        <v>99</v>
      </c>
      <c r="P1946" s="493" t="s">
        <v>8005</v>
      </c>
    </row>
    <row r="1947" spans="1:16">
      <c r="A1947" s="761" t="s">
        <v>2339</v>
      </c>
      <c r="B1947" s="761" t="s">
        <v>2340</v>
      </c>
      <c r="C1947" s="761" t="s">
        <v>2487</v>
      </c>
      <c r="D1947" s="761">
        <v>57360961</v>
      </c>
      <c r="E1947" s="761" t="s">
        <v>2972</v>
      </c>
      <c r="F1947" s="761">
        <v>143005845</v>
      </c>
      <c r="G1947" s="761" t="s">
        <v>3707</v>
      </c>
      <c r="H1947" s="761" t="s">
        <v>7938</v>
      </c>
      <c r="I1947" s="761" t="s">
        <v>6867</v>
      </c>
      <c r="J1947" s="761">
        <v>3</v>
      </c>
      <c r="K1947" s="746">
        <v>12458.45</v>
      </c>
      <c r="L1947" s="746">
        <v>1790.27</v>
      </c>
      <c r="M1947" s="746">
        <v>10668.18</v>
      </c>
      <c r="N1947" s="493" t="str">
        <f t="shared" si="32"/>
        <v>C397</v>
      </c>
      <c r="O1947" s="493" t="s">
        <v>99</v>
      </c>
      <c r="P1947" s="493" t="s">
        <v>8005</v>
      </c>
    </row>
    <row r="1948" spans="1:16">
      <c r="A1948" s="761" t="s">
        <v>2339</v>
      </c>
      <c r="B1948" s="761" t="s">
        <v>2340</v>
      </c>
      <c r="C1948" s="761" t="s">
        <v>2487</v>
      </c>
      <c r="D1948" s="761">
        <v>57360964</v>
      </c>
      <c r="E1948" s="761" t="s">
        <v>2972</v>
      </c>
      <c r="F1948" s="761">
        <v>143005846</v>
      </c>
      <c r="G1948" s="761" t="s">
        <v>3708</v>
      </c>
      <c r="H1948" s="761" t="s">
        <v>7939</v>
      </c>
      <c r="I1948" s="761" t="s">
        <v>6867</v>
      </c>
      <c r="J1948" s="761">
        <v>3</v>
      </c>
      <c r="K1948" s="746">
        <v>5642.24</v>
      </c>
      <c r="L1948" s="746">
        <v>810.79</v>
      </c>
      <c r="M1948" s="746">
        <v>4831.45</v>
      </c>
      <c r="N1948" s="493" t="str">
        <f t="shared" si="32"/>
        <v>C397</v>
      </c>
      <c r="O1948" s="493" t="s">
        <v>99</v>
      </c>
      <c r="P1948" s="493" t="s">
        <v>8005</v>
      </c>
    </row>
    <row r="1949" spans="1:16">
      <c r="A1949" s="761" t="s">
        <v>2339</v>
      </c>
      <c r="B1949" s="761" t="s">
        <v>2340</v>
      </c>
      <c r="C1949" s="761" t="s">
        <v>2527</v>
      </c>
      <c r="D1949" s="761">
        <v>57360996</v>
      </c>
      <c r="E1949" s="761" t="s">
        <v>2972</v>
      </c>
      <c r="F1949" s="761">
        <v>143006236</v>
      </c>
      <c r="G1949" s="761" t="s">
        <v>3734</v>
      </c>
      <c r="H1949" s="761" t="s">
        <v>3734</v>
      </c>
      <c r="I1949" s="761" t="s">
        <v>6867</v>
      </c>
      <c r="J1949" s="761">
        <v>4</v>
      </c>
      <c r="K1949" s="746">
        <v>35845.25</v>
      </c>
      <c r="L1949" s="746">
        <v>5150.9400000000005</v>
      </c>
      <c r="M1949" s="746">
        <v>30694.31</v>
      </c>
      <c r="N1949" s="493" t="str">
        <f t="shared" si="32"/>
        <v>C397</v>
      </c>
      <c r="O1949" s="493" t="s">
        <v>99</v>
      </c>
      <c r="P1949" s="493" t="s">
        <v>8005</v>
      </c>
    </row>
    <row r="1950" spans="1:16">
      <c r="A1950" s="761" t="s">
        <v>2339</v>
      </c>
      <c r="B1950" s="761" t="s">
        <v>2340</v>
      </c>
      <c r="C1950" s="761" t="s">
        <v>2509</v>
      </c>
      <c r="D1950" s="761">
        <v>57360999</v>
      </c>
      <c r="E1950" s="761" t="s">
        <v>2972</v>
      </c>
      <c r="F1950" s="761">
        <v>143006260</v>
      </c>
      <c r="G1950" s="761" t="s">
        <v>3735</v>
      </c>
      <c r="H1950" s="761" t="s">
        <v>3735</v>
      </c>
      <c r="I1950" s="761" t="s">
        <v>6867</v>
      </c>
      <c r="J1950" s="761">
        <v>2</v>
      </c>
      <c r="K1950" s="746">
        <v>16841.8</v>
      </c>
      <c r="L1950" s="746">
        <v>2420.16</v>
      </c>
      <c r="M1950" s="746">
        <v>14421.64</v>
      </c>
      <c r="N1950" s="493" t="str">
        <f t="shared" si="32"/>
        <v>C397</v>
      </c>
      <c r="O1950" s="493" t="s">
        <v>99</v>
      </c>
      <c r="P1950" s="493" t="s">
        <v>8005</v>
      </c>
    </row>
    <row r="1951" spans="1:16">
      <c r="A1951" s="761" t="s">
        <v>2339</v>
      </c>
      <c r="B1951" s="761" t="s">
        <v>2340</v>
      </c>
      <c r="C1951" s="761" t="s">
        <v>2487</v>
      </c>
      <c r="D1951" s="761">
        <v>57389183</v>
      </c>
      <c r="E1951" s="761" t="s">
        <v>2972</v>
      </c>
      <c r="F1951" s="761">
        <v>143005547</v>
      </c>
      <c r="G1951" s="761" t="s">
        <v>3611</v>
      </c>
      <c r="H1951" s="761" t="s">
        <v>7940</v>
      </c>
      <c r="I1951" s="761" t="s">
        <v>6867</v>
      </c>
      <c r="J1951" s="761">
        <v>2</v>
      </c>
      <c r="K1951" s="746">
        <v>3410.84</v>
      </c>
      <c r="L1951" s="746">
        <v>490.14</v>
      </c>
      <c r="M1951" s="746">
        <v>2920.7000000000003</v>
      </c>
      <c r="N1951" s="493" t="str">
        <f t="shared" si="32"/>
        <v>C397</v>
      </c>
      <c r="O1951" s="493" t="s">
        <v>99</v>
      </c>
      <c r="P1951" s="493" t="s">
        <v>8005</v>
      </c>
    </row>
    <row r="1952" spans="1:16">
      <c r="A1952" s="761" t="s">
        <v>2339</v>
      </c>
      <c r="B1952" s="761" t="s">
        <v>2340</v>
      </c>
      <c r="C1952" s="761" t="s">
        <v>2487</v>
      </c>
      <c r="D1952" s="761">
        <v>57389328</v>
      </c>
      <c r="E1952" s="761" t="s">
        <v>2972</v>
      </c>
      <c r="F1952" s="761">
        <v>143005721</v>
      </c>
      <c r="G1952" s="761" t="s">
        <v>3667</v>
      </c>
      <c r="H1952" s="761" t="s">
        <v>3667</v>
      </c>
      <c r="I1952" s="761" t="s">
        <v>6867</v>
      </c>
      <c r="J1952" s="761">
        <v>2</v>
      </c>
      <c r="K1952" s="746">
        <v>5991.52</v>
      </c>
      <c r="L1952" s="746">
        <v>860.98</v>
      </c>
      <c r="M1952" s="746">
        <v>5130.54</v>
      </c>
      <c r="N1952" s="493" t="str">
        <f t="shared" si="32"/>
        <v>C397</v>
      </c>
      <c r="O1952" s="493" t="s">
        <v>99</v>
      </c>
      <c r="P1952" s="493" t="s">
        <v>8005</v>
      </c>
    </row>
    <row r="1953" spans="1:65">
      <c r="A1953" s="761" t="s">
        <v>2339</v>
      </c>
      <c r="B1953" s="761" t="s">
        <v>2340</v>
      </c>
      <c r="C1953" s="761" t="s">
        <v>2487</v>
      </c>
      <c r="D1953" s="761">
        <v>57389498</v>
      </c>
      <c r="E1953" s="761" t="s">
        <v>2972</v>
      </c>
      <c r="F1953" s="761">
        <v>143005824</v>
      </c>
      <c r="G1953" s="761" t="s">
        <v>3687</v>
      </c>
      <c r="H1953" s="761" t="s">
        <v>7941</v>
      </c>
      <c r="I1953" s="761" t="s">
        <v>6867</v>
      </c>
      <c r="J1953" s="761">
        <v>2</v>
      </c>
      <c r="K1953" s="746">
        <v>9033.52</v>
      </c>
      <c r="L1953" s="746">
        <v>1298.1100000000001</v>
      </c>
      <c r="M1953" s="746">
        <v>7735.41</v>
      </c>
      <c r="N1953" s="493" t="str">
        <f t="shared" si="32"/>
        <v>C397</v>
      </c>
      <c r="O1953" s="493" t="s">
        <v>99</v>
      </c>
      <c r="P1953" s="493" t="s">
        <v>8005</v>
      </c>
    </row>
    <row r="1954" spans="1:65">
      <c r="A1954" s="761" t="s">
        <v>2339</v>
      </c>
      <c r="B1954" s="761" t="s">
        <v>2340</v>
      </c>
      <c r="C1954" s="761" t="s">
        <v>2487</v>
      </c>
      <c r="D1954" s="761">
        <v>57389669</v>
      </c>
      <c r="E1954" s="761" t="s">
        <v>2972</v>
      </c>
      <c r="F1954" s="761">
        <v>143005825</v>
      </c>
      <c r="G1954" s="761" t="s">
        <v>3688</v>
      </c>
      <c r="H1954" s="761" t="s">
        <v>7942</v>
      </c>
      <c r="I1954" s="761" t="s">
        <v>6867</v>
      </c>
      <c r="J1954" s="761">
        <v>2</v>
      </c>
      <c r="K1954" s="746">
        <v>9033.51</v>
      </c>
      <c r="L1954" s="746">
        <v>1298.1100000000001</v>
      </c>
      <c r="M1954" s="746">
        <v>7735.4000000000005</v>
      </c>
      <c r="N1954" s="493" t="str">
        <f t="shared" si="32"/>
        <v>C397</v>
      </c>
      <c r="O1954" s="493" t="s">
        <v>99</v>
      </c>
      <c r="P1954" s="493" t="s">
        <v>8005</v>
      </c>
    </row>
    <row r="1955" spans="1:65">
      <c r="A1955" s="761" t="s">
        <v>2339</v>
      </c>
      <c r="B1955" s="761" t="s">
        <v>2340</v>
      </c>
      <c r="C1955" s="761" t="s">
        <v>2517</v>
      </c>
      <c r="D1955" s="761">
        <v>57917016</v>
      </c>
      <c r="E1955" s="761" t="s">
        <v>2972</v>
      </c>
      <c r="F1955" s="761">
        <v>143003106</v>
      </c>
      <c r="G1955" s="761" t="s">
        <v>3319</v>
      </c>
      <c r="H1955" s="761" t="s">
        <v>7943</v>
      </c>
      <c r="I1955" s="761" t="s">
        <v>6867</v>
      </c>
      <c r="J1955" s="761">
        <v>2</v>
      </c>
      <c r="K1955" s="746">
        <v>4046.08</v>
      </c>
      <c r="L1955" s="746">
        <v>581.41999999999996</v>
      </c>
      <c r="M1955" s="746">
        <v>3464.66</v>
      </c>
      <c r="N1955" s="493" t="str">
        <f t="shared" si="32"/>
        <v>C397</v>
      </c>
      <c r="O1955" s="493" t="s">
        <v>99</v>
      </c>
      <c r="P1955" s="493" t="s">
        <v>8005</v>
      </c>
    </row>
    <row r="1956" spans="1:65">
      <c r="A1956" s="761" t="s">
        <v>2339</v>
      </c>
      <c r="B1956" s="761" t="s">
        <v>2340</v>
      </c>
      <c r="C1956" s="761" t="s">
        <v>2596</v>
      </c>
      <c r="D1956" s="761">
        <v>57917056</v>
      </c>
      <c r="E1956" s="761" t="s">
        <v>2972</v>
      </c>
      <c r="F1956" s="761">
        <v>143005735</v>
      </c>
      <c r="G1956" s="761" t="s">
        <v>3680</v>
      </c>
      <c r="H1956" s="761" t="s">
        <v>3680</v>
      </c>
      <c r="I1956" s="761" t="s">
        <v>6867</v>
      </c>
      <c r="J1956" s="761">
        <v>3</v>
      </c>
      <c r="K1956" s="746">
        <v>23495.64</v>
      </c>
      <c r="L1956" s="746">
        <v>3376.31</v>
      </c>
      <c r="M1956" s="746">
        <v>20119.330000000002</v>
      </c>
      <c r="N1956" s="493" t="str">
        <f t="shared" si="32"/>
        <v>C397</v>
      </c>
      <c r="O1956" s="493" t="s">
        <v>99</v>
      </c>
      <c r="P1956" s="493" t="s">
        <v>8005</v>
      </c>
    </row>
    <row r="1957" spans="1:65">
      <c r="A1957" s="761" t="s">
        <v>2339</v>
      </c>
      <c r="B1957" s="761" t="s">
        <v>2340</v>
      </c>
      <c r="C1957" s="761" t="s">
        <v>2476</v>
      </c>
      <c r="D1957" s="761">
        <v>57917059</v>
      </c>
      <c r="E1957" s="761" t="s">
        <v>2972</v>
      </c>
      <c r="F1957" s="761">
        <v>143005737</v>
      </c>
      <c r="G1957" s="761" t="s">
        <v>3681</v>
      </c>
      <c r="H1957" s="761" t="s">
        <v>3681</v>
      </c>
      <c r="I1957" s="761" t="s">
        <v>6867</v>
      </c>
      <c r="J1957" s="761">
        <v>2</v>
      </c>
      <c r="K1957" s="746">
        <v>15555.74</v>
      </c>
      <c r="L1957" s="746">
        <v>2235.35</v>
      </c>
      <c r="M1957" s="746">
        <v>13320.39</v>
      </c>
      <c r="N1957" s="493" t="str">
        <f t="shared" si="32"/>
        <v>C397</v>
      </c>
      <c r="O1957" s="493" t="s">
        <v>99</v>
      </c>
      <c r="P1957" s="493" t="s">
        <v>8005</v>
      </c>
    </row>
    <row r="1958" spans="1:65">
      <c r="A1958" s="761" t="s">
        <v>2339</v>
      </c>
      <c r="B1958" s="761" t="s">
        <v>2340</v>
      </c>
      <c r="C1958" s="761" t="s">
        <v>2476</v>
      </c>
      <c r="D1958" s="761">
        <v>57917062</v>
      </c>
      <c r="E1958" s="761" t="s">
        <v>2972</v>
      </c>
      <c r="F1958" s="761">
        <v>143005748</v>
      </c>
      <c r="G1958" s="761" t="s">
        <v>3682</v>
      </c>
      <c r="H1958" s="761" t="s">
        <v>3682</v>
      </c>
      <c r="I1958" s="761" t="s">
        <v>6867</v>
      </c>
      <c r="J1958" s="761">
        <v>2</v>
      </c>
      <c r="K1958" s="746">
        <v>11397.880000000001</v>
      </c>
      <c r="L1958" s="746">
        <v>1637.8700000000001</v>
      </c>
      <c r="M1958" s="746">
        <v>9760.01</v>
      </c>
      <c r="N1958" s="493" t="str">
        <f t="shared" si="32"/>
        <v>C397</v>
      </c>
      <c r="O1958" s="493" t="s">
        <v>99</v>
      </c>
      <c r="P1958" s="493" t="s">
        <v>8005</v>
      </c>
    </row>
    <row r="1959" spans="1:65">
      <c r="A1959" s="761" t="s">
        <v>2339</v>
      </c>
      <c r="B1959" s="761" t="s">
        <v>2340</v>
      </c>
      <c r="C1959" s="761" t="s">
        <v>2476</v>
      </c>
      <c r="D1959" s="761">
        <v>57917094</v>
      </c>
      <c r="E1959" s="761" t="s">
        <v>2972</v>
      </c>
      <c r="F1959" s="761">
        <v>143005960</v>
      </c>
      <c r="G1959" s="761" t="s">
        <v>3710</v>
      </c>
      <c r="H1959" s="761" t="s">
        <v>3710</v>
      </c>
      <c r="I1959" s="761" t="s">
        <v>6867</v>
      </c>
      <c r="J1959" s="761">
        <v>6</v>
      </c>
      <c r="K1959" s="746">
        <v>35113.629999999997</v>
      </c>
      <c r="L1959" s="746">
        <v>5045.8100000000004</v>
      </c>
      <c r="M1959" s="746">
        <v>30067.82</v>
      </c>
      <c r="N1959" s="493" t="str">
        <f t="shared" si="32"/>
        <v>C397</v>
      </c>
      <c r="O1959" s="493" t="s">
        <v>99</v>
      </c>
      <c r="P1959" s="493" t="s">
        <v>8005</v>
      </c>
    </row>
    <row r="1960" spans="1:65">
      <c r="A1960" s="761" t="s">
        <v>2339</v>
      </c>
      <c r="B1960" s="761" t="s">
        <v>2340</v>
      </c>
      <c r="C1960" s="761" t="s">
        <v>2473</v>
      </c>
      <c r="D1960" s="761">
        <v>57917114</v>
      </c>
      <c r="E1960" s="761" t="s">
        <v>2972</v>
      </c>
      <c r="F1960" s="761">
        <v>143006030</v>
      </c>
      <c r="G1960" s="761" t="s">
        <v>3721</v>
      </c>
      <c r="H1960" s="761" t="s">
        <v>7944</v>
      </c>
      <c r="I1960" s="761" t="s">
        <v>6867</v>
      </c>
      <c r="J1960" s="761">
        <v>2</v>
      </c>
      <c r="K1960" s="746">
        <v>12593.81</v>
      </c>
      <c r="L1960" s="746">
        <v>1809.72</v>
      </c>
      <c r="M1960" s="746">
        <v>10784.09</v>
      </c>
      <c r="N1960" s="493" t="str">
        <f t="shared" si="32"/>
        <v>C397</v>
      </c>
      <c r="O1960" s="493" t="s">
        <v>99</v>
      </c>
      <c r="P1960" s="493" t="s">
        <v>8005</v>
      </c>
    </row>
    <row r="1961" spans="1:65">
      <c r="A1961" s="761" t="s">
        <v>2339</v>
      </c>
      <c r="B1961" s="761" t="s">
        <v>2340</v>
      </c>
      <c r="C1961" s="761" t="s">
        <v>2527</v>
      </c>
      <c r="D1961" s="761">
        <v>57917119</v>
      </c>
      <c r="E1961" s="761" t="s">
        <v>2972</v>
      </c>
      <c r="F1961" s="761">
        <v>143006088</v>
      </c>
      <c r="G1961" s="761" t="s">
        <v>3729</v>
      </c>
      <c r="H1961" s="761" t="s">
        <v>3729</v>
      </c>
      <c r="I1961" s="761" t="s">
        <v>6867</v>
      </c>
      <c r="J1961" s="761">
        <v>2</v>
      </c>
      <c r="K1961" s="746">
        <v>6587.27</v>
      </c>
      <c r="L1961" s="746">
        <v>946.59</v>
      </c>
      <c r="M1961" s="746">
        <v>5640.68</v>
      </c>
      <c r="N1961" s="493" t="str">
        <f t="shared" si="32"/>
        <v>C397</v>
      </c>
      <c r="O1961" s="493" t="s">
        <v>99</v>
      </c>
      <c r="P1961" s="493" t="s">
        <v>8005</v>
      </c>
    </row>
    <row r="1962" spans="1:65">
      <c r="A1962" s="761" t="s">
        <v>2339</v>
      </c>
      <c r="B1962" s="761" t="s">
        <v>2340</v>
      </c>
      <c r="C1962" s="761" t="s">
        <v>2476</v>
      </c>
      <c r="D1962" s="761">
        <v>57956223</v>
      </c>
      <c r="E1962" s="761" t="s">
        <v>2972</v>
      </c>
      <c r="F1962" s="761">
        <v>143005929</v>
      </c>
      <c r="G1962" s="761" t="s">
        <v>3709</v>
      </c>
      <c r="H1962" s="761" t="s">
        <v>7945</v>
      </c>
      <c r="I1962" s="761" t="s">
        <v>6867</v>
      </c>
      <c r="J1962" s="761">
        <v>2</v>
      </c>
      <c r="K1962" s="746">
        <v>8015.21</v>
      </c>
      <c r="L1962" s="746">
        <v>1151.78</v>
      </c>
      <c r="M1962" s="746">
        <v>6863.43</v>
      </c>
      <c r="N1962" s="493" t="str">
        <f t="shared" si="32"/>
        <v>C397</v>
      </c>
      <c r="O1962" s="493" t="s">
        <v>99</v>
      </c>
      <c r="P1962" s="493" t="s">
        <v>8005</v>
      </c>
    </row>
    <row r="1963" spans="1:65">
      <c r="A1963" s="761" t="s">
        <v>2339</v>
      </c>
      <c r="B1963" s="761" t="s">
        <v>2340</v>
      </c>
      <c r="C1963" s="761" t="s">
        <v>2476</v>
      </c>
      <c r="D1963" s="761">
        <v>58131262</v>
      </c>
      <c r="E1963" s="761" t="s">
        <v>2972</v>
      </c>
      <c r="F1963" s="761">
        <v>143006076</v>
      </c>
      <c r="G1963" s="761" t="s">
        <v>3728</v>
      </c>
      <c r="H1963" s="761" t="s">
        <v>3728</v>
      </c>
      <c r="I1963" s="761" t="s">
        <v>6867</v>
      </c>
      <c r="J1963" s="761">
        <v>8</v>
      </c>
      <c r="K1963" s="746">
        <v>12073.39</v>
      </c>
      <c r="L1963" s="746">
        <v>1734.94</v>
      </c>
      <c r="M1963" s="746">
        <v>10338.450000000001</v>
      </c>
      <c r="N1963" s="493" t="str">
        <f t="shared" si="32"/>
        <v>C397</v>
      </c>
      <c r="O1963" s="493" t="s">
        <v>99</v>
      </c>
      <c r="P1963" s="493" t="s">
        <v>8005</v>
      </c>
    </row>
    <row r="1964" spans="1:65">
      <c r="A1964" s="761" t="s">
        <v>2339</v>
      </c>
      <c r="B1964" s="761" t="s">
        <v>2340</v>
      </c>
      <c r="C1964" s="761" t="s">
        <v>2512</v>
      </c>
      <c r="D1964" s="761">
        <v>58131296</v>
      </c>
      <c r="E1964" s="761" t="s">
        <v>2972</v>
      </c>
      <c r="F1964" s="761">
        <v>143006207</v>
      </c>
      <c r="G1964" s="761" t="s">
        <v>3731</v>
      </c>
      <c r="H1964" s="761" t="s">
        <v>7946</v>
      </c>
      <c r="I1964" s="761" t="s">
        <v>6867</v>
      </c>
      <c r="J1964" s="761">
        <v>1</v>
      </c>
      <c r="K1964" s="746">
        <v>122.59</v>
      </c>
      <c r="L1964" s="746">
        <v>17.62</v>
      </c>
      <c r="M1964" s="746">
        <v>104.97</v>
      </c>
      <c r="N1964" s="493" t="str">
        <f t="shared" si="32"/>
        <v>C397</v>
      </c>
      <c r="O1964" s="493" t="s">
        <v>99</v>
      </c>
      <c r="P1964" s="493" t="s">
        <v>8005</v>
      </c>
    </row>
    <row r="1965" spans="1:65">
      <c r="A1965" s="761" t="s">
        <v>2339</v>
      </c>
      <c r="B1965" s="761" t="s">
        <v>2340</v>
      </c>
      <c r="C1965" s="761" t="s">
        <v>2509</v>
      </c>
      <c r="D1965" s="761">
        <v>58131302</v>
      </c>
      <c r="E1965" s="761" t="s">
        <v>2972</v>
      </c>
      <c r="F1965" s="761">
        <v>143006235</v>
      </c>
      <c r="G1965" s="761" t="s">
        <v>3733</v>
      </c>
      <c r="H1965" s="761" t="s">
        <v>3733</v>
      </c>
      <c r="I1965" s="761" t="s">
        <v>6867</v>
      </c>
      <c r="J1965" s="761">
        <v>2</v>
      </c>
      <c r="K1965" s="746">
        <v>52367.94</v>
      </c>
      <c r="L1965" s="746">
        <v>7525.24</v>
      </c>
      <c r="M1965" s="746">
        <v>44842.700000000004</v>
      </c>
      <c r="N1965" s="493" t="str">
        <f t="shared" si="32"/>
        <v>C397</v>
      </c>
      <c r="O1965" s="493" t="s">
        <v>99</v>
      </c>
      <c r="P1965" s="493" t="s">
        <v>8005</v>
      </c>
    </row>
    <row r="1966" spans="1:65" s="1720" customFormat="1">
      <c r="A1966" s="762" t="s">
        <v>2339</v>
      </c>
      <c r="B1966" s="762" t="s">
        <v>2340</v>
      </c>
      <c r="C1966" s="762" t="s">
        <v>2476</v>
      </c>
      <c r="D1966" s="762">
        <v>58533288</v>
      </c>
      <c r="E1966" s="762" t="s">
        <v>2972</v>
      </c>
      <c r="F1966" s="762">
        <v>143005961</v>
      </c>
      <c r="G1966" s="762" t="s">
        <v>3711</v>
      </c>
      <c r="H1966" s="762" t="s">
        <v>7947</v>
      </c>
      <c r="I1966" s="762" t="s">
        <v>6867</v>
      </c>
      <c r="J1966" s="762">
        <v>16</v>
      </c>
      <c r="K1966" s="1911">
        <v>3306481.25</v>
      </c>
      <c r="L1966" s="1911">
        <v>301122.5</v>
      </c>
      <c r="M1966" s="1911">
        <v>3005358.75</v>
      </c>
      <c r="N1966" s="1752" t="str">
        <f t="shared" si="32"/>
        <v>C397</v>
      </c>
      <c r="O1966" s="1752" t="s">
        <v>99</v>
      </c>
      <c r="P1966" s="1752" t="s">
        <v>8005</v>
      </c>
      <c r="Q1966" s="761"/>
      <c r="R1966" s="761"/>
      <c r="S1966" s="761"/>
      <c r="T1966" s="761"/>
      <c r="U1966" s="761"/>
      <c r="V1966" s="761"/>
      <c r="W1966" s="761"/>
      <c r="X1966" s="761"/>
      <c r="Y1966" s="761"/>
      <c r="Z1966" s="761"/>
      <c r="AA1966" s="761"/>
      <c r="AB1966" s="761"/>
      <c r="AC1966" s="761"/>
      <c r="AD1966" s="761"/>
      <c r="AE1966" s="761"/>
      <c r="AF1966" s="761"/>
      <c r="AG1966" s="761"/>
      <c r="AH1966" s="761"/>
      <c r="AI1966" s="761"/>
      <c r="AJ1966" s="761"/>
      <c r="AK1966" s="761"/>
      <c r="AL1966" s="761"/>
      <c r="AM1966" s="761"/>
      <c r="AN1966" s="761"/>
      <c r="AO1966" s="761"/>
      <c r="AP1966" s="761"/>
      <c r="AQ1966" s="761"/>
      <c r="AR1966" s="761"/>
      <c r="AS1966" s="761"/>
      <c r="AT1966" s="761"/>
      <c r="AU1966" s="761"/>
      <c r="AV1966" s="761"/>
      <c r="AW1966" s="761"/>
      <c r="AX1966" s="761"/>
      <c r="AY1966" s="761"/>
      <c r="AZ1966" s="761"/>
      <c r="BA1966" s="761"/>
      <c r="BB1966" s="761"/>
      <c r="BC1966" s="761"/>
      <c r="BD1966" s="761"/>
      <c r="BE1966" s="761"/>
      <c r="BF1966" s="761"/>
      <c r="BG1966" s="761"/>
      <c r="BH1966" s="761"/>
      <c r="BI1966" s="761"/>
      <c r="BJ1966" s="761"/>
      <c r="BK1966" s="761"/>
      <c r="BL1966" s="761"/>
      <c r="BM1966" s="761"/>
    </row>
    <row r="1967" spans="1:65" s="1720" customFormat="1">
      <c r="A1967" s="762" t="s">
        <v>2339</v>
      </c>
      <c r="B1967" s="762" t="s">
        <v>2340</v>
      </c>
      <c r="C1967" s="762" t="s">
        <v>2509</v>
      </c>
      <c r="D1967" s="762">
        <v>59041348</v>
      </c>
      <c r="E1967" s="762" t="s">
        <v>2972</v>
      </c>
      <c r="F1967" s="762">
        <v>143005337</v>
      </c>
      <c r="G1967" s="762" t="s">
        <v>3580</v>
      </c>
      <c r="H1967" s="762" t="s">
        <v>3580</v>
      </c>
      <c r="I1967" s="762" t="s">
        <v>6867</v>
      </c>
      <c r="J1967" s="762">
        <v>3</v>
      </c>
      <c r="K1967" s="1911">
        <v>177429.05000000002</v>
      </c>
      <c r="L1967" s="1911">
        <v>16158.53</v>
      </c>
      <c r="M1967" s="1911">
        <v>161270.51999999999</v>
      </c>
      <c r="N1967" s="1752" t="str">
        <f t="shared" si="32"/>
        <v>C397</v>
      </c>
      <c r="O1967" s="1752" t="s">
        <v>99</v>
      </c>
      <c r="P1967" s="1752" t="s">
        <v>8005</v>
      </c>
      <c r="Q1967" s="761"/>
      <c r="R1967" s="761"/>
      <c r="S1967" s="761"/>
      <c r="T1967" s="761"/>
      <c r="U1967" s="761"/>
      <c r="V1967" s="761"/>
      <c r="W1967" s="761"/>
      <c r="X1967" s="761"/>
      <c r="Y1967" s="761"/>
      <c r="Z1967" s="761"/>
      <c r="AA1967" s="761"/>
      <c r="AB1967" s="761"/>
      <c r="AC1967" s="761"/>
      <c r="AD1967" s="761"/>
      <c r="AE1967" s="761"/>
      <c r="AF1967" s="761"/>
      <c r="AG1967" s="761"/>
      <c r="AH1967" s="761"/>
      <c r="AI1967" s="761"/>
      <c r="AJ1967" s="761"/>
      <c r="AK1967" s="761"/>
      <c r="AL1967" s="761"/>
      <c r="AM1967" s="761"/>
      <c r="AN1967" s="761"/>
      <c r="AO1967" s="761"/>
      <c r="AP1967" s="761"/>
      <c r="AQ1967" s="761"/>
      <c r="AR1967" s="761"/>
      <c r="AS1967" s="761"/>
      <c r="AT1967" s="761"/>
      <c r="AU1967" s="761"/>
      <c r="AV1967" s="761"/>
      <c r="AW1967" s="761"/>
      <c r="AX1967" s="761"/>
      <c r="AY1967" s="761"/>
      <c r="AZ1967" s="761"/>
      <c r="BA1967" s="761"/>
      <c r="BB1967" s="761"/>
      <c r="BC1967" s="761"/>
      <c r="BD1967" s="761"/>
      <c r="BE1967" s="761"/>
      <c r="BF1967" s="761"/>
      <c r="BG1967" s="761"/>
      <c r="BH1967" s="761"/>
      <c r="BI1967" s="761"/>
      <c r="BJ1967" s="761"/>
      <c r="BK1967" s="761"/>
      <c r="BL1967" s="761"/>
      <c r="BM1967" s="761"/>
    </row>
    <row r="1968" spans="1:65" s="1720" customFormat="1">
      <c r="A1968" s="762" t="s">
        <v>2339</v>
      </c>
      <c r="B1968" s="762" t="s">
        <v>2340</v>
      </c>
      <c r="C1968" s="762" t="s">
        <v>2490</v>
      </c>
      <c r="D1968" s="762">
        <v>59105321</v>
      </c>
      <c r="E1968" s="762" t="s">
        <v>2972</v>
      </c>
      <c r="F1968" s="762">
        <v>143005475</v>
      </c>
      <c r="G1968" s="762" t="s">
        <v>3606</v>
      </c>
      <c r="H1968" s="762" t="s">
        <v>3606</v>
      </c>
      <c r="I1968" s="762" t="s">
        <v>6867</v>
      </c>
      <c r="J1968" s="762">
        <v>3</v>
      </c>
      <c r="K1968" s="1911">
        <v>485845.61</v>
      </c>
      <c r="L1968" s="1911">
        <v>44246.14</v>
      </c>
      <c r="M1968" s="1911">
        <v>441599.47000000003</v>
      </c>
      <c r="N1968" s="1752" t="str">
        <f t="shared" si="32"/>
        <v>C397</v>
      </c>
      <c r="O1968" s="1752" t="s">
        <v>99</v>
      </c>
      <c r="P1968" s="1752" t="s">
        <v>8005</v>
      </c>
      <c r="Q1968" s="761"/>
      <c r="R1968" s="761"/>
      <c r="S1968" s="761"/>
      <c r="T1968" s="761"/>
      <c r="U1968" s="761"/>
      <c r="V1968" s="761"/>
      <c r="W1968" s="761"/>
      <c r="X1968" s="761"/>
      <c r="Y1968" s="761"/>
      <c r="Z1968" s="761"/>
      <c r="AA1968" s="761"/>
      <c r="AB1968" s="761"/>
      <c r="AC1968" s="761"/>
      <c r="AD1968" s="761"/>
      <c r="AE1968" s="761"/>
      <c r="AF1968" s="761"/>
      <c r="AG1968" s="761"/>
      <c r="AH1968" s="761"/>
      <c r="AI1968" s="761"/>
      <c r="AJ1968" s="761"/>
      <c r="AK1968" s="761"/>
      <c r="AL1968" s="761"/>
      <c r="AM1968" s="761"/>
      <c r="AN1968" s="761"/>
      <c r="AO1968" s="761"/>
      <c r="AP1968" s="761"/>
      <c r="AQ1968" s="761"/>
      <c r="AR1968" s="761"/>
      <c r="AS1968" s="761"/>
      <c r="AT1968" s="761"/>
      <c r="AU1968" s="761"/>
      <c r="AV1968" s="761"/>
      <c r="AW1968" s="761"/>
      <c r="AX1968" s="761"/>
      <c r="AY1968" s="761"/>
      <c r="AZ1968" s="761"/>
      <c r="BA1968" s="761"/>
      <c r="BB1968" s="761"/>
      <c r="BC1968" s="761"/>
      <c r="BD1968" s="761"/>
      <c r="BE1968" s="761"/>
      <c r="BF1968" s="761"/>
      <c r="BG1968" s="761"/>
      <c r="BH1968" s="761"/>
      <c r="BI1968" s="761"/>
      <c r="BJ1968" s="761"/>
      <c r="BK1968" s="761"/>
      <c r="BL1968" s="761"/>
      <c r="BM1968" s="761"/>
    </row>
    <row r="1969" spans="1:65" s="1720" customFormat="1">
      <c r="A1969" s="762" t="s">
        <v>2339</v>
      </c>
      <c r="B1969" s="762" t="s">
        <v>2340</v>
      </c>
      <c r="C1969" s="762" t="s">
        <v>2517</v>
      </c>
      <c r="D1969" s="762">
        <v>59105324</v>
      </c>
      <c r="E1969" s="762" t="s">
        <v>2972</v>
      </c>
      <c r="F1969" s="762">
        <v>143005560</v>
      </c>
      <c r="G1969" s="762" t="s">
        <v>3624</v>
      </c>
      <c r="H1969" s="762" t="s">
        <v>3624</v>
      </c>
      <c r="I1969" s="762" t="s">
        <v>6867</v>
      </c>
      <c r="J1969" s="762">
        <v>6</v>
      </c>
      <c r="K1969" s="1911">
        <v>1709699.22</v>
      </c>
      <c r="L1969" s="1911">
        <v>155702.96</v>
      </c>
      <c r="M1969" s="1911">
        <v>1553996.26</v>
      </c>
      <c r="N1969" s="1752" t="str">
        <f t="shared" si="32"/>
        <v>C397</v>
      </c>
      <c r="O1969" s="1752" t="s">
        <v>99</v>
      </c>
      <c r="P1969" s="1752" t="s">
        <v>8005</v>
      </c>
      <c r="Q1969" s="761"/>
      <c r="R1969" s="761"/>
      <c r="S1969" s="761"/>
      <c r="T1969" s="761"/>
      <c r="U1969" s="761"/>
      <c r="V1969" s="761"/>
      <c r="W1969" s="761"/>
      <c r="X1969" s="761"/>
      <c r="Y1969" s="761"/>
      <c r="Z1969" s="761"/>
      <c r="AA1969" s="761"/>
      <c r="AB1969" s="761"/>
      <c r="AC1969" s="761"/>
      <c r="AD1969" s="761"/>
      <c r="AE1969" s="761"/>
      <c r="AF1969" s="761"/>
      <c r="AG1969" s="761"/>
      <c r="AH1969" s="761"/>
      <c r="AI1969" s="761"/>
      <c r="AJ1969" s="761"/>
      <c r="AK1969" s="761"/>
      <c r="AL1969" s="761"/>
      <c r="AM1969" s="761"/>
      <c r="AN1969" s="761"/>
      <c r="AO1969" s="761"/>
      <c r="AP1969" s="761"/>
      <c r="AQ1969" s="761"/>
      <c r="AR1969" s="761"/>
      <c r="AS1969" s="761"/>
      <c r="AT1969" s="761"/>
      <c r="AU1969" s="761"/>
      <c r="AV1969" s="761"/>
      <c r="AW1969" s="761"/>
      <c r="AX1969" s="761"/>
      <c r="AY1969" s="761"/>
      <c r="AZ1969" s="761"/>
      <c r="BA1969" s="761"/>
      <c r="BB1969" s="761"/>
      <c r="BC1969" s="761"/>
      <c r="BD1969" s="761"/>
      <c r="BE1969" s="761"/>
      <c r="BF1969" s="761"/>
      <c r="BG1969" s="761"/>
      <c r="BH1969" s="761"/>
      <c r="BI1969" s="761"/>
      <c r="BJ1969" s="761"/>
      <c r="BK1969" s="761"/>
      <c r="BL1969" s="761"/>
      <c r="BM1969" s="761"/>
    </row>
    <row r="1970" spans="1:65" s="1720" customFormat="1">
      <c r="A1970" s="762" t="s">
        <v>2339</v>
      </c>
      <c r="B1970" s="762" t="s">
        <v>2340</v>
      </c>
      <c r="C1970" s="762" t="s">
        <v>2524</v>
      </c>
      <c r="D1970" s="762">
        <v>59903572</v>
      </c>
      <c r="E1970" s="762" t="s">
        <v>2972</v>
      </c>
      <c r="F1970" s="762">
        <v>143006206</v>
      </c>
      <c r="G1970" s="762" t="s">
        <v>3730</v>
      </c>
      <c r="H1970" s="762" t="s">
        <v>3730</v>
      </c>
      <c r="I1970" s="762" t="s">
        <v>6867</v>
      </c>
      <c r="J1970" s="762">
        <v>1</v>
      </c>
      <c r="K1970" s="1911">
        <v>79757.600000000006</v>
      </c>
      <c r="L1970" s="1911">
        <v>7263.55</v>
      </c>
      <c r="M1970" s="1911">
        <v>72494.05</v>
      </c>
      <c r="N1970" s="1752" t="str">
        <f t="shared" si="32"/>
        <v>C397</v>
      </c>
      <c r="O1970" s="1752" t="s">
        <v>99</v>
      </c>
      <c r="P1970" s="1752" t="s">
        <v>8005</v>
      </c>
      <c r="Q1970" s="761"/>
      <c r="R1970" s="761"/>
      <c r="S1970" s="761"/>
      <c r="T1970" s="761"/>
      <c r="U1970" s="761"/>
      <c r="V1970" s="761"/>
      <c r="W1970" s="761"/>
      <c r="X1970" s="761"/>
      <c r="Y1970" s="761"/>
      <c r="Z1970" s="761"/>
      <c r="AA1970" s="761"/>
      <c r="AB1970" s="761"/>
      <c r="AC1970" s="761"/>
      <c r="AD1970" s="761"/>
      <c r="AE1970" s="761"/>
      <c r="AF1970" s="761"/>
      <c r="AG1970" s="761"/>
      <c r="AH1970" s="761"/>
      <c r="AI1970" s="761"/>
      <c r="AJ1970" s="761"/>
      <c r="AK1970" s="761"/>
      <c r="AL1970" s="761"/>
      <c r="AM1970" s="761"/>
      <c r="AN1970" s="761"/>
      <c r="AO1970" s="761"/>
      <c r="AP1970" s="761"/>
      <c r="AQ1970" s="761"/>
      <c r="AR1970" s="761"/>
      <c r="AS1970" s="761"/>
      <c r="AT1970" s="761"/>
      <c r="AU1970" s="761"/>
      <c r="AV1970" s="761"/>
      <c r="AW1970" s="761"/>
      <c r="AX1970" s="761"/>
      <c r="AY1970" s="761"/>
      <c r="AZ1970" s="761"/>
      <c r="BA1970" s="761"/>
      <c r="BB1970" s="761"/>
      <c r="BC1970" s="761"/>
      <c r="BD1970" s="761"/>
      <c r="BE1970" s="761"/>
      <c r="BF1970" s="761"/>
      <c r="BG1970" s="761"/>
      <c r="BH1970" s="761"/>
      <c r="BI1970" s="761"/>
      <c r="BJ1970" s="761"/>
      <c r="BK1970" s="761"/>
      <c r="BL1970" s="761"/>
      <c r="BM1970" s="761"/>
    </row>
    <row r="1971" spans="1:65" s="1720" customFormat="1">
      <c r="A1971" s="762" t="s">
        <v>2339</v>
      </c>
      <c r="B1971" s="762" t="s">
        <v>2340</v>
      </c>
      <c r="C1971" s="762" t="s">
        <v>2527</v>
      </c>
      <c r="D1971" s="762">
        <v>60414571</v>
      </c>
      <c r="E1971" s="762" t="s">
        <v>2972</v>
      </c>
      <c r="F1971" s="762">
        <v>143003785</v>
      </c>
      <c r="G1971" s="762" t="s">
        <v>3420</v>
      </c>
      <c r="H1971" s="762" t="s">
        <v>3420</v>
      </c>
      <c r="I1971" s="762" t="s">
        <v>6867</v>
      </c>
      <c r="J1971" s="762">
        <v>4</v>
      </c>
      <c r="K1971" s="1911">
        <v>530841.07000000007</v>
      </c>
      <c r="L1971" s="1911">
        <v>48343.9</v>
      </c>
      <c r="M1971" s="1911">
        <v>482497.17</v>
      </c>
      <c r="N1971" s="1752" t="str">
        <f t="shared" si="32"/>
        <v>C397</v>
      </c>
      <c r="O1971" s="1752" t="s">
        <v>99</v>
      </c>
      <c r="P1971" s="1752" t="s">
        <v>8005</v>
      </c>
      <c r="Q1971" s="761"/>
      <c r="R1971" s="761"/>
      <c r="S1971" s="761"/>
      <c r="T1971" s="761"/>
      <c r="U1971" s="761"/>
      <c r="V1971" s="761"/>
      <c r="W1971" s="761"/>
      <c r="X1971" s="761"/>
      <c r="Y1971" s="761"/>
      <c r="Z1971" s="761"/>
      <c r="AA1971" s="761"/>
      <c r="AB1971" s="761"/>
      <c r="AC1971" s="761"/>
      <c r="AD1971" s="761"/>
      <c r="AE1971" s="761"/>
      <c r="AF1971" s="761"/>
      <c r="AG1971" s="761"/>
      <c r="AH1971" s="761"/>
      <c r="AI1971" s="761"/>
      <c r="AJ1971" s="761"/>
      <c r="AK1971" s="761"/>
      <c r="AL1971" s="761"/>
      <c r="AM1971" s="761"/>
      <c r="AN1971" s="761"/>
      <c r="AO1971" s="761"/>
      <c r="AP1971" s="761"/>
      <c r="AQ1971" s="761"/>
      <c r="AR1971" s="761"/>
      <c r="AS1971" s="761"/>
      <c r="AT1971" s="761"/>
      <c r="AU1971" s="761"/>
      <c r="AV1971" s="761"/>
      <c r="AW1971" s="761"/>
      <c r="AX1971" s="761"/>
      <c r="AY1971" s="761"/>
      <c r="AZ1971" s="761"/>
      <c r="BA1971" s="761"/>
      <c r="BB1971" s="761"/>
      <c r="BC1971" s="761"/>
      <c r="BD1971" s="761"/>
      <c r="BE1971" s="761"/>
      <c r="BF1971" s="761"/>
      <c r="BG1971" s="761"/>
      <c r="BH1971" s="761"/>
      <c r="BI1971" s="761"/>
      <c r="BJ1971" s="761"/>
      <c r="BK1971" s="761"/>
      <c r="BL1971" s="761"/>
      <c r="BM1971" s="761"/>
    </row>
    <row r="1972" spans="1:65" s="1720" customFormat="1">
      <c r="A1972" s="762" t="s">
        <v>2339</v>
      </c>
      <c r="B1972" s="762" t="s">
        <v>2340</v>
      </c>
      <c r="C1972" s="762" t="s">
        <v>2487</v>
      </c>
      <c r="D1972" s="762">
        <v>60414574</v>
      </c>
      <c r="E1972" s="762" t="s">
        <v>2972</v>
      </c>
      <c r="F1972" s="762">
        <v>143003797</v>
      </c>
      <c r="G1972" s="762" t="s">
        <v>3430</v>
      </c>
      <c r="H1972" s="762" t="s">
        <v>3430</v>
      </c>
      <c r="I1972" s="762" t="s">
        <v>6867</v>
      </c>
      <c r="J1972" s="762">
        <v>1</v>
      </c>
      <c r="K1972" s="1911">
        <v>304600.03999999998</v>
      </c>
      <c r="L1972" s="1911">
        <v>27740.04</v>
      </c>
      <c r="M1972" s="1911">
        <v>276860</v>
      </c>
      <c r="N1972" s="1752" t="str">
        <f t="shared" si="32"/>
        <v>C397</v>
      </c>
      <c r="O1972" s="1752" t="s">
        <v>99</v>
      </c>
      <c r="P1972" s="1752" t="s">
        <v>8005</v>
      </c>
      <c r="Q1972" s="761"/>
      <c r="R1972" s="761"/>
      <c r="S1972" s="761"/>
      <c r="T1972" s="761"/>
      <c r="U1972" s="761"/>
      <c r="V1972" s="761"/>
      <c r="W1972" s="761"/>
      <c r="X1972" s="761"/>
      <c r="Y1972" s="761"/>
      <c r="Z1972" s="761"/>
      <c r="AA1972" s="761"/>
      <c r="AB1972" s="761"/>
      <c r="AC1972" s="761"/>
      <c r="AD1972" s="761"/>
      <c r="AE1972" s="761"/>
      <c r="AF1972" s="761"/>
      <c r="AG1972" s="761"/>
      <c r="AH1972" s="761"/>
      <c r="AI1972" s="761"/>
      <c r="AJ1972" s="761"/>
      <c r="AK1972" s="761"/>
      <c r="AL1972" s="761"/>
      <c r="AM1972" s="761"/>
      <c r="AN1972" s="761"/>
      <c r="AO1972" s="761"/>
      <c r="AP1972" s="761"/>
      <c r="AQ1972" s="761"/>
      <c r="AR1972" s="761"/>
      <c r="AS1972" s="761"/>
      <c r="AT1972" s="761"/>
      <c r="AU1972" s="761"/>
      <c r="AV1972" s="761"/>
      <c r="AW1972" s="761"/>
      <c r="AX1972" s="761"/>
      <c r="AY1972" s="761"/>
      <c r="AZ1972" s="761"/>
      <c r="BA1972" s="761"/>
      <c r="BB1972" s="761"/>
      <c r="BC1972" s="761"/>
      <c r="BD1972" s="761"/>
      <c r="BE1972" s="761"/>
      <c r="BF1972" s="761"/>
      <c r="BG1972" s="761"/>
      <c r="BH1972" s="761"/>
      <c r="BI1972" s="761"/>
      <c r="BJ1972" s="761"/>
      <c r="BK1972" s="761"/>
      <c r="BL1972" s="761"/>
      <c r="BM1972" s="761"/>
    </row>
    <row r="1973" spans="1:65" s="1720" customFormat="1">
      <c r="A1973" s="762" t="s">
        <v>2339</v>
      </c>
      <c r="B1973" s="762" t="s">
        <v>2340</v>
      </c>
      <c r="C1973" s="762" t="s">
        <v>2596</v>
      </c>
      <c r="D1973" s="762">
        <v>60890205</v>
      </c>
      <c r="E1973" s="762" t="s">
        <v>2972</v>
      </c>
      <c r="F1973" s="762">
        <v>143006075</v>
      </c>
      <c r="G1973" s="762" t="s">
        <v>3727</v>
      </c>
      <c r="H1973" s="762" t="s">
        <v>3727</v>
      </c>
      <c r="I1973" s="762" t="s">
        <v>6867</v>
      </c>
      <c r="J1973" s="762">
        <v>2</v>
      </c>
      <c r="K1973" s="1911">
        <v>22056.14</v>
      </c>
      <c r="L1973" s="1911">
        <v>2008.66</v>
      </c>
      <c r="M1973" s="1911">
        <v>20047.48</v>
      </c>
      <c r="N1973" s="1752" t="str">
        <f t="shared" si="32"/>
        <v>C397</v>
      </c>
      <c r="O1973" s="1752" t="s">
        <v>99</v>
      </c>
      <c r="P1973" s="1752" t="s">
        <v>8005</v>
      </c>
      <c r="Q1973" s="761"/>
      <c r="R1973" s="761"/>
      <c r="S1973" s="761"/>
      <c r="T1973" s="761"/>
      <c r="U1973" s="761"/>
      <c r="V1973" s="761"/>
      <c r="W1973" s="761"/>
      <c r="X1973" s="761"/>
      <c r="Y1973" s="761"/>
      <c r="Z1973" s="761"/>
      <c r="AA1973" s="761"/>
      <c r="AB1973" s="761"/>
      <c r="AC1973" s="761"/>
      <c r="AD1973" s="761"/>
      <c r="AE1973" s="761"/>
      <c r="AF1973" s="761"/>
      <c r="AG1973" s="761"/>
      <c r="AH1973" s="761"/>
      <c r="AI1973" s="761"/>
      <c r="AJ1973" s="761"/>
      <c r="AK1973" s="761"/>
      <c r="AL1973" s="761"/>
      <c r="AM1973" s="761"/>
      <c r="AN1973" s="761"/>
      <c r="AO1973" s="761"/>
      <c r="AP1973" s="761"/>
      <c r="AQ1973" s="761"/>
      <c r="AR1973" s="761"/>
      <c r="AS1973" s="761"/>
      <c r="AT1973" s="761"/>
      <c r="AU1973" s="761"/>
      <c r="AV1973" s="761"/>
      <c r="AW1973" s="761"/>
      <c r="AX1973" s="761"/>
      <c r="AY1973" s="761"/>
      <c r="AZ1973" s="761"/>
      <c r="BA1973" s="761"/>
      <c r="BB1973" s="761"/>
      <c r="BC1973" s="761"/>
      <c r="BD1973" s="761"/>
      <c r="BE1973" s="761"/>
      <c r="BF1973" s="761"/>
      <c r="BG1973" s="761"/>
      <c r="BH1973" s="761"/>
      <c r="BI1973" s="761"/>
      <c r="BJ1973" s="761"/>
      <c r="BK1973" s="761"/>
      <c r="BL1973" s="761"/>
      <c r="BM1973" s="761"/>
    </row>
    <row r="1974" spans="1:65" s="1720" customFormat="1">
      <c r="A1974" s="762" t="s">
        <v>2339</v>
      </c>
      <c r="B1974" s="762" t="s">
        <v>2340</v>
      </c>
      <c r="C1974" s="762" t="s">
        <v>2473</v>
      </c>
      <c r="D1974" s="762">
        <v>62670767</v>
      </c>
      <c r="E1974" s="762" t="s">
        <v>2972</v>
      </c>
      <c r="F1974" s="762">
        <v>143004194</v>
      </c>
      <c r="G1974" s="762" t="s">
        <v>3502</v>
      </c>
      <c r="H1974" s="762" t="s">
        <v>3502</v>
      </c>
      <c r="I1974" s="762" t="s">
        <v>6867</v>
      </c>
      <c r="J1974" s="762">
        <v>2</v>
      </c>
      <c r="K1974" s="1911">
        <v>283759.64</v>
      </c>
      <c r="L1974" s="1911">
        <v>25842.100000000002</v>
      </c>
      <c r="M1974" s="1911">
        <v>257917.54</v>
      </c>
      <c r="N1974" s="1752" t="str">
        <f t="shared" si="32"/>
        <v>C397</v>
      </c>
      <c r="O1974" s="1752" t="s">
        <v>99</v>
      </c>
      <c r="P1974" s="1752" t="s">
        <v>8005</v>
      </c>
      <c r="Q1974" s="761"/>
      <c r="R1974" s="761"/>
      <c r="S1974" s="761"/>
      <c r="T1974" s="761"/>
      <c r="U1974" s="761"/>
      <c r="V1974" s="761"/>
      <c r="W1974" s="761"/>
      <c r="X1974" s="761"/>
      <c r="Y1974" s="761"/>
      <c r="Z1974" s="761"/>
      <c r="AA1974" s="761"/>
      <c r="AB1974" s="761"/>
      <c r="AC1974" s="761"/>
      <c r="AD1974" s="761"/>
      <c r="AE1974" s="761"/>
      <c r="AF1974" s="761"/>
      <c r="AG1974" s="761"/>
      <c r="AH1974" s="761"/>
      <c r="AI1974" s="761"/>
      <c r="AJ1974" s="761"/>
      <c r="AK1974" s="761"/>
      <c r="AL1974" s="761"/>
      <c r="AM1974" s="761"/>
      <c r="AN1974" s="761"/>
      <c r="AO1974" s="761"/>
      <c r="AP1974" s="761"/>
      <c r="AQ1974" s="761"/>
      <c r="AR1974" s="761"/>
      <c r="AS1974" s="761"/>
      <c r="AT1974" s="761"/>
      <c r="AU1974" s="761"/>
      <c r="AV1974" s="761"/>
      <c r="AW1974" s="761"/>
      <c r="AX1974" s="761"/>
      <c r="AY1974" s="761"/>
      <c r="AZ1974" s="761"/>
      <c r="BA1974" s="761"/>
      <c r="BB1974" s="761"/>
      <c r="BC1974" s="761"/>
      <c r="BD1974" s="761"/>
      <c r="BE1974" s="761"/>
      <c r="BF1974" s="761"/>
      <c r="BG1974" s="761"/>
      <c r="BH1974" s="761"/>
      <c r="BI1974" s="761"/>
      <c r="BJ1974" s="761"/>
      <c r="BK1974" s="761"/>
      <c r="BL1974" s="761"/>
      <c r="BM1974" s="761"/>
    </row>
    <row r="1975" spans="1:65" s="1720" customFormat="1">
      <c r="A1975" s="762" t="s">
        <v>2339</v>
      </c>
      <c r="B1975" s="762" t="s">
        <v>2340</v>
      </c>
      <c r="C1975" s="762" t="s">
        <v>2531</v>
      </c>
      <c r="D1975" s="762">
        <v>62898256</v>
      </c>
      <c r="E1975" s="762" t="s">
        <v>2972</v>
      </c>
      <c r="F1975" s="762">
        <v>143004931</v>
      </c>
      <c r="G1975" s="762" t="s">
        <v>3545</v>
      </c>
      <c r="H1975" s="762" t="s">
        <v>3545</v>
      </c>
      <c r="I1975" s="762" t="s">
        <v>6867</v>
      </c>
      <c r="J1975" s="762">
        <v>1</v>
      </c>
      <c r="K1975" s="1911">
        <v>2280.62</v>
      </c>
      <c r="L1975" s="1911">
        <v>207.70000000000002</v>
      </c>
      <c r="M1975" s="1911">
        <v>2072.92</v>
      </c>
      <c r="N1975" s="1752" t="str">
        <f t="shared" si="32"/>
        <v>C397</v>
      </c>
      <c r="O1975" s="1752" t="s">
        <v>99</v>
      </c>
      <c r="P1975" s="1752" t="s">
        <v>8005</v>
      </c>
      <c r="Q1975" s="761"/>
      <c r="R1975" s="761"/>
      <c r="S1975" s="761"/>
      <c r="T1975" s="761"/>
      <c r="U1975" s="761"/>
      <c r="V1975" s="761"/>
      <c r="W1975" s="761"/>
      <c r="X1975" s="761"/>
      <c r="Y1975" s="761"/>
      <c r="Z1975" s="761"/>
      <c r="AA1975" s="761"/>
      <c r="AB1975" s="761"/>
      <c r="AC1975" s="761"/>
      <c r="AD1975" s="761"/>
      <c r="AE1975" s="761"/>
      <c r="AF1975" s="761"/>
      <c r="AG1975" s="761"/>
      <c r="AH1975" s="761"/>
      <c r="AI1975" s="761"/>
      <c r="AJ1975" s="761"/>
      <c r="AK1975" s="761"/>
      <c r="AL1975" s="761"/>
      <c r="AM1975" s="761"/>
      <c r="AN1975" s="761"/>
      <c r="AO1975" s="761"/>
      <c r="AP1975" s="761"/>
      <c r="AQ1975" s="761"/>
      <c r="AR1975" s="761"/>
      <c r="AS1975" s="761"/>
      <c r="AT1975" s="761"/>
      <c r="AU1975" s="761"/>
      <c r="AV1975" s="761"/>
      <c r="AW1975" s="761"/>
      <c r="AX1975" s="761"/>
      <c r="AY1975" s="761"/>
      <c r="AZ1975" s="761"/>
      <c r="BA1975" s="761"/>
      <c r="BB1975" s="761"/>
      <c r="BC1975" s="761"/>
      <c r="BD1975" s="761"/>
      <c r="BE1975" s="761"/>
      <c r="BF1975" s="761"/>
      <c r="BG1975" s="761"/>
      <c r="BH1975" s="761"/>
      <c r="BI1975" s="761"/>
      <c r="BJ1975" s="761"/>
      <c r="BK1975" s="761"/>
      <c r="BL1975" s="761"/>
      <c r="BM1975" s="761"/>
    </row>
    <row r="1976" spans="1:65" s="1720" customFormat="1">
      <c r="A1976" s="1752" t="s">
        <v>2339</v>
      </c>
      <c r="B1976" s="1752" t="s">
        <v>2340</v>
      </c>
      <c r="C1976" s="1752" t="s">
        <v>2512</v>
      </c>
      <c r="D1976" s="1752">
        <v>62898264</v>
      </c>
      <c r="E1976" s="1752" t="s">
        <v>2972</v>
      </c>
      <c r="F1976" s="1752">
        <v>143005023</v>
      </c>
      <c r="G1976" s="1752" t="s">
        <v>3555</v>
      </c>
      <c r="H1976" s="762" t="s">
        <v>3555</v>
      </c>
      <c r="I1976" s="1752" t="s">
        <v>6867</v>
      </c>
      <c r="J1976" s="1752">
        <v>1</v>
      </c>
      <c r="K1976" s="1911">
        <v>-11512.47</v>
      </c>
      <c r="L1976" s="1911">
        <v>-1048.45</v>
      </c>
      <c r="M1976" s="1911">
        <v>-10464.02</v>
      </c>
      <c r="N1976" s="1752" t="str">
        <f t="shared" si="32"/>
        <v>C397</v>
      </c>
      <c r="O1976" s="1752" t="s">
        <v>99</v>
      </c>
      <c r="P1976" s="1752" t="s">
        <v>8005</v>
      </c>
      <c r="Q1976" s="761"/>
      <c r="R1976" s="761"/>
      <c r="S1976" s="761"/>
      <c r="T1976" s="761"/>
      <c r="U1976" s="761"/>
      <c r="V1976" s="761"/>
      <c r="W1976" s="761"/>
      <c r="X1976" s="761"/>
      <c r="Y1976" s="761"/>
      <c r="Z1976" s="761"/>
      <c r="AA1976" s="761"/>
      <c r="AB1976" s="761"/>
      <c r="AC1976" s="761"/>
      <c r="AD1976" s="761"/>
      <c r="AE1976" s="761"/>
      <c r="AF1976" s="761"/>
      <c r="AG1976" s="761"/>
      <c r="AH1976" s="761"/>
      <c r="AI1976" s="761"/>
      <c r="AJ1976" s="761"/>
      <c r="AK1976" s="761"/>
      <c r="AL1976" s="761"/>
      <c r="AM1976" s="761"/>
      <c r="AN1976" s="761"/>
      <c r="AO1976" s="761"/>
      <c r="AP1976" s="761"/>
      <c r="AQ1976" s="761"/>
      <c r="AR1976" s="761"/>
      <c r="AS1976" s="761"/>
      <c r="AT1976" s="761"/>
      <c r="AU1976" s="761"/>
      <c r="AV1976" s="761"/>
      <c r="AW1976" s="761"/>
      <c r="AX1976" s="761"/>
      <c r="AY1976" s="761"/>
      <c r="AZ1976" s="761"/>
      <c r="BA1976" s="761"/>
      <c r="BB1976" s="761"/>
      <c r="BC1976" s="761"/>
      <c r="BD1976" s="761"/>
      <c r="BE1976" s="761"/>
      <c r="BF1976" s="761"/>
      <c r="BG1976" s="761"/>
      <c r="BH1976" s="761"/>
      <c r="BI1976" s="761"/>
      <c r="BJ1976" s="761"/>
      <c r="BK1976" s="761"/>
      <c r="BL1976" s="761"/>
      <c r="BM1976" s="761"/>
    </row>
    <row r="1977" spans="1:65" s="1720" customFormat="1">
      <c r="A1977" s="762" t="s">
        <v>2339</v>
      </c>
      <c r="B1977" s="762" t="s">
        <v>2340</v>
      </c>
      <c r="C1977" s="762" t="s">
        <v>2476</v>
      </c>
      <c r="D1977" s="762">
        <v>58744564</v>
      </c>
      <c r="E1977" s="762" t="s">
        <v>2972</v>
      </c>
      <c r="F1977" s="762">
        <v>143006204</v>
      </c>
      <c r="G1977" s="762" t="s">
        <v>2895</v>
      </c>
      <c r="H1977" s="762" t="s">
        <v>7948</v>
      </c>
      <c r="I1977" s="762" t="s">
        <v>6867</v>
      </c>
      <c r="J1977" s="762">
        <v>18</v>
      </c>
      <c r="K1977" s="1911">
        <v>34083.06</v>
      </c>
      <c r="L1977" s="1911">
        <v>3103.96</v>
      </c>
      <c r="M1977" s="1911">
        <v>30979.100000000002</v>
      </c>
      <c r="N1977" s="1752" t="str">
        <f t="shared" si="32"/>
        <v>C397</v>
      </c>
      <c r="O1977" s="1752" t="s">
        <v>99</v>
      </c>
      <c r="P1977" s="1752" t="s">
        <v>8005</v>
      </c>
      <c r="Q1977" s="761"/>
      <c r="R1977" s="761"/>
      <c r="S1977" s="761"/>
      <c r="T1977" s="761"/>
      <c r="U1977" s="761"/>
      <c r="V1977" s="761"/>
      <c r="W1977" s="761"/>
      <c r="X1977" s="761"/>
      <c r="Y1977" s="761"/>
      <c r="Z1977" s="761"/>
      <c r="AA1977" s="761"/>
      <c r="AB1977" s="761"/>
      <c r="AC1977" s="761"/>
      <c r="AD1977" s="761"/>
      <c r="AE1977" s="761"/>
      <c r="AF1977" s="761"/>
      <c r="AG1977" s="761"/>
      <c r="AH1977" s="761"/>
      <c r="AI1977" s="761"/>
      <c r="AJ1977" s="761"/>
      <c r="AK1977" s="761"/>
      <c r="AL1977" s="761"/>
      <c r="AM1977" s="761"/>
      <c r="AN1977" s="761"/>
      <c r="AO1977" s="761"/>
      <c r="AP1977" s="761"/>
      <c r="AQ1977" s="761"/>
      <c r="AR1977" s="761"/>
      <c r="AS1977" s="761"/>
      <c r="AT1977" s="761"/>
      <c r="AU1977" s="761"/>
      <c r="AV1977" s="761"/>
      <c r="AW1977" s="761"/>
      <c r="AX1977" s="761"/>
      <c r="AY1977" s="761"/>
      <c r="AZ1977" s="761"/>
      <c r="BA1977" s="761"/>
      <c r="BB1977" s="761"/>
      <c r="BC1977" s="761"/>
      <c r="BD1977" s="761"/>
      <c r="BE1977" s="761"/>
      <c r="BF1977" s="761"/>
      <c r="BG1977" s="761"/>
      <c r="BH1977" s="761"/>
      <c r="BI1977" s="761"/>
      <c r="BJ1977" s="761"/>
      <c r="BK1977" s="761"/>
      <c r="BL1977" s="761"/>
      <c r="BM1977" s="761"/>
    </row>
    <row r="1978" spans="1:65" s="1720" customFormat="1">
      <c r="A1978" s="762" t="s">
        <v>2339</v>
      </c>
      <c r="B1978" s="762" t="s">
        <v>2340</v>
      </c>
      <c r="C1978" s="762" t="s">
        <v>2476</v>
      </c>
      <c r="D1978" s="762">
        <v>58744567</v>
      </c>
      <c r="E1978" s="762" t="s">
        <v>2972</v>
      </c>
      <c r="F1978" s="762">
        <v>143006233</v>
      </c>
      <c r="G1978" s="762" t="s">
        <v>3732</v>
      </c>
      <c r="H1978" s="762" t="s">
        <v>3732</v>
      </c>
      <c r="I1978" s="762" t="s">
        <v>6867</v>
      </c>
      <c r="J1978" s="762">
        <v>2</v>
      </c>
      <c r="K1978" s="1911">
        <v>20774.16</v>
      </c>
      <c r="L1978" s="1911">
        <v>1891.91</v>
      </c>
      <c r="M1978" s="1911">
        <v>18882.25</v>
      </c>
      <c r="N1978" s="1752" t="str">
        <f t="shared" si="32"/>
        <v>C397</v>
      </c>
      <c r="O1978" s="1752" t="s">
        <v>99</v>
      </c>
      <c r="P1978" s="1752" t="s">
        <v>8005</v>
      </c>
      <c r="Q1978" s="761"/>
      <c r="R1978" s="761"/>
      <c r="S1978" s="761"/>
      <c r="T1978" s="761"/>
      <c r="U1978" s="761"/>
      <c r="V1978" s="761"/>
      <c r="W1978" s="761"/>
      <c r="X1978" s="761"/>
      <c r="Y1978" s="761"/>
      <c r="Z1978" s="761"/>
      <c r="AA1978" s="761"/>
      <c r="AB1978" s="761"/>
      <c r="AC1978" s="761"/>
      <c r="AD1978" s="761"/>
      <c r="AE1978" s="761"/>
      <c r="AF1978" s="761"/>
      <c r="AG1978" s="761"/>
      <c r="AH1978" s="761"/>
      <c r="AI1978" s="761"/>
      <c r="AJ1978" s="761"/>
      <c r="AK1978" s="761"/>
      <c r="AL1978" s="761"/>
      <c r="AM1978" s="761"/>
      <c r="AN1978" s="761"/>
      <c r="AO1978" s="761"/>
      <c r="AP1978" s="761"/>
      <c r="AQ1978" s="761"/>
      <c r="AR1978" s="761"/>
      <c r="AS1978" s="761"/>
      <c r="AT1978" s="761"/>
      <c r="AU1978" s="761"/>
      <c r="AV1978" s="761"/>
      <c r="AW1978" s="761"/>
      <c r="AX1978" s="761"/>
      <c r="AY1978" s="761"/>
      <c r="AZ1978" s="761"/>
      <c r="BA1978" s="761"/>
      <c r="BB1978" s="761"/>
      <c r="BC1978" s="761"/>
      <c r="BD1978" s="761"/>
      <c r="BE1978" s="761"/>
      <c r="BF1978" s="761"/>
      <c r="BG1978" s="761"/>
      <c r="BH1978" s="761"/>
      <c r="BI1978" s="761"/>
      <c r="BJ1978" s="761"/>
      <c r="BK1978" s="761"/>
      <c r="BL1978" s="761"/>
      <c r="BM1978" s="761"/>
    </row>
    <row r="1979" spans="1:65" s="1720" customFormat="1">
      <c r="A1979" s="762" t="s">
        <v>2339</v>
      </c>
      <c r="B1979" s="762" t="s">
        <v>2340</v>
      </c>
      <c r="C1979" s="762" t="s">
        <v>2476</v>
      </c>
      <c r="D1979" s="762">
        <v>59957499</v>
      </c>
      <c r="E1979" s="762" t="s">
        <v>2972</v>
      </c>
      <c r="F1979" s="762">
        <v>143006028</v>
      </c>
      <c r="G1979" s="762" t="s">
        <v>3720</v>
      </c>
      <c r="H1979" s="762" t="s">
        <v>3720</v>
      </c>
      <c r="I1979" s="762" t="s">
        <v>6867</v>
      </c>
      <c r="J1979" s="762">
        <v>5</v>
      </c>
      <c r="K1979" s="1911">
        <v>33486.61</v>
      </c>
      <c r="L1979" s="1911">
        <v>3049.64</v>
      </c>
      <c r="M1979" s="1911">
        <v>30436.97</v>
      </c>
      <c r="N1979" s="1752" t="str">
        <f t="shared" si="32"/>
        <v>C397</v>
      </c>
      <c r="O1979" s="1752" t="s">
        <v>99</v>
      </c>
      <c r="P1979" s="1752" t="s">
        <v>8005</v>
      </c>
      <c r="Q1979" s="761"/>
      <c r="R1979" s="761"/>
      <c r="S1979" s="761"/>
      <c r="T1979" s="761"/>
      <c r="U1979" s="761"/>
      <c r="V1979" s="761"/>
      <c r="W1979" s="761"/>
      <c r="X1979" s="761"/>
      <c r="Y1979" s="761"/>
      <c r="Z1979" s="761"/>
      <c r="AA1979" s="761"/>
      <c r="AB1979" s="761"/>
      <c r="AC1979" s="761"/>
      <c r="AD1979" s="761"/>
      <c r="AE1979" s="761"/>
      <c r="AF1979" s="761"/>
      <c r="AG1979" s="761"/>
      <c r="AH1979" s="761"/>
      <c r="AI1979" s="761"/>
      <c r="AJ1979" s="761"/>
      <c r="AK1979" s="761"/>
      <c r="AL1979" s="761"/>
      <c r="AM1979" s="761"/>
      <c r="AN1979" s="761"/>
      <c r="AO1979" s="761"/>
      <c r="AP1979" s="761"/>
      <c r="AQ1979" s="761"/>
      <c r="AR1979" s="761"/>
      <c r="AS1979" s="761"/>
      <c r="AT1979" s="761"/>
      <c r="AU1979" s="761"/>
      <c r="AV1979" s="761"/>
      <c r="AW1979" s="761"/>
      <c r="AX1979" s="761"/>
      <c r="AY1979" s="761"/>
      <c r="AZ1979" s="761"/>
      <c r="BA1979" s="761"/>
      <c r="BB1979" s="761"/>
      <c r="BC1979" s="761"/>
      <c r="BD1979" s="761"/>
      <c r="BE1979" s="761"/>
      <c r="BF1979" s="761"/>
      <c r="BG1979" s="761"/>
      <c r="BH1979" s="761"/>
      <c r="BI1979" s="761"/>
      <c r="BJ1979" s="761"/>
      <c r="BK1979" s="761"/>
      <c r="BL1979" s="761"/>
      <c r="BM1979" s="761"/>
    </row>
    <row r="1980" spans="1:65" s="1720" customFormat="1">
      <c r="A1980" s="762" t="s">
        <v>2339</v>
      </c>
      <c r="B1980" s="762" t="s">
        <v>2340</v>
      </c>
      <c r="C1980" s="762" t="s">
        <v>2473</v>
      </c>
      <c r="D1980" s="762">
        <v>60066934</v>
      </c>
      <c r="E1980" s="762" t="s">
        <v>2972</v>
      </c>
      <c r="F1980" s="762">
        <v>143006052</v>
      </c>
      <c r="G1980" s="762" t="s">
        <v>3725</v>
      </c>
      <c r="H1980" s="762" t="s">
        <v>3725</v>
      </c>
      <c r="I1980" s="762" t="s">
        <v>6867</v>
      </c>
      <c r="J1980" s="762">
        <v>4</v>
      </c>
      <c r="K1980" s="1911">
        <v>40969.89</v>
      </c>
      <c r="L1980" s="1911">
        <v>3731.14</v>
      </c>
      <c r="M1980" s="1911">
        <v>37238.75</v>
      </c>
      <c r="N1980" s="1752" t="str">
        <f t="shared" si="32"/>
        <v>C397</v>
      </c>
      <c r="O1980" s="1752" t="s">
        <v>99</v>
      </c>
      <c r="P1980" s="1752" t="s">
        <v>8005</v>
      </c>
      <c r="Q1980" s="761"/>
      <c r="R1980" s="761"/>
      <c r="S1980" s="761"/>
      <c r="T1980" s="761"/>
      <c r="U1980" s="761"/>
      <c r="V1980" s="761"/>
      <c r="W1980" s="761"/>
      <c r="X1980" s="761"/>
      <c r="Y1980" s="761"/>
      <c r="Z1980" s="761"/>
      <c r="AA1980" s="761"/>
      <c r="AB1980" s="761"/>
      <c r="AC1980" s="761"/>
      <c r="AD1980" s="761"/>
      <c r="AE1980" s="761"/>
      <c r="AF1980" s="761"/>
      <c r="AG1980" s="761"/>
      <c r="AH1980" s="761"/>
      <c r="AI1980" s="761"/>
      <c r="AJ1980" s="761"/>
      <c r="AK1980" s="761"/>
      <c r="AL1980" s="761"/>
      <c r="AM1980" s="761"/>
      <c r="AN1980" s="761"/>
      <c r="AO1980" s="761"/>
      <c r="AP1980" s="761"/>
      <c r="AQ1980" s="761"/>
      <c r="AR1980" s="761"/>
      <c r="AS1980" s="761"/>
      <c r="AT1980" s="761"/>
      <c r="AU1980" s="761"/>
      <c r="AV1980" s="761"/>
      <c r="AW1980" s="761"/>
      <c r="AX1980" s="761"/>
      <c r="AY1980" s="761"/>
      <c r="AZ1980" s="761"/>
      <c r="BA1980" s="761"/>
      <c r="BB1980" s="761"/>
      <c r="BC1980" s="761"/>
      <c r="BD1980" s="761"/>
      <c r="BE1980" s="761"/>
      <c r="BF1980" s="761"/>
      <c r="BG1980" s="761"/>
      <c r="BH1980" s="761"/>
      <c r="BI1980" s="761"/>
      <c r="BJ1980" s="761"/>
      <c r="BK1980" s="761"/>
      <c r="BL1980" s="761"/>
      <c r="BM1980" s="761"/>
    </row>
    <row r="1981" spans="1:65" s="1720" customFormat="1">
      <c r="A1981" s="762" t="s">
        <v>2339</v>
      </c>
      <c r="B1981" s="762" t="s">
        <v>2340</v>
      </c>
      <c r="C1981" s="762" t="s">
        <v>2476</v>
      </c>
      <c r="D1981" s="762">
        <v>60414577</v>
      </c>
      <c r="E1981" s="762" t="s">
        <v>2972</v>
      </c>
      <c r="F1981" s="762">
        <v>143005299</v>
      </c>
      <c r="G1981" s="762" t="s">
        <v>3569</v>
      </c>
      <c r="H1981" s="762" t="s">
        <v>3569</v>
      </c>
      <c r="I1981" s="762" t="s">
        <v>6867</v>
      </c>
      <c r="J1981" s="762">
        <v>7</v>
      </c>
      <c r="K1981" s="1911">
        <v>2132129.13</v>
      </c>
      <c r="L1981" s="1911">
        <v>194173.81</v>
      </c>
      <c r="M1981" s="1911">
        <v>1937955.32</v>
      </c>
      <c r="N1981" s="1752" t="str">
        <f t="shared" si="32"/>
        <v>C397</v>
      </c>
      <c r="O1981" s="1752" t="s">
        <v>99</v>
      </c>
      <c r="P1981" s="1752" t="s">
        <v>8005</v>
      </c>
      <c r="Q1981" s="761"/>
      <c r="R1981" s="761"/>
      <c r="S1981" s="761"/>
      <c r="T1981" s="761"/>
      <c r="U1981" s="761"/>
      <c r="V1981" s="761"/>
      <c r="W1981" s="761"/>
      <c r="X1981" s="761"/>
      <c r="Y1981" s="761"/>
      <c r="Z1981" s="761"/>
      <c r="AA1981" s="761"/>
      <c r="AB1981" s="761"/>
      <c r="AC1981" s="761"/>
      <c r="AD1981" s="761"/>
      <c r="AE1981" s="761"/>
      <c r="AF1981" s="761"/>
      <c r="AG1981" s="761"/>
      <c r="AH1981" s="761"/>
      <c r="AI1981" s="761"/>
      <c r="AJ1981" s="761"/>
      <c r="AK1981" s="761"/>
      <c r="AL1981" s="761"/>
      <c r="AM1981" s="761"/>
      <c r="AN1981" s="761"/>
      <c r="AO1981" s="761"/>
      <c r="AP1981" s="761"/>
      <c r="AQ1981" s="761"/>
      <c r="AR1981" s="761"/>
      <c r="AS1981" s="761"/>
      <c r="AT1981" s="761"/>
      <c r="AU1981" s="761"/>
      <c r="AV1981" s="761"/>
      <c r="AW1981" s="761"/>
      <c r="AX1981" s="761"/>
      <c r="AY1981" s="761"/>
      <c r="AZ1981" s="761"/>
      <c r="BA1981" s="761"/>
      <c r="BB1981" s="761"/>
      <c r="BC1981" s="761"/>
      <c r="BD1981" s="761"/>
      <c r="BE1981" s="761"/>
      <c r="BF1981" s="761"/>
      <c r="BG1981" s="761"/>
      <c r="BH1981" s="761"/>
      <c r="BI1981" s="761"/>
      <c r="BJ1981" s="761"/>
      <c r="BK1981" s="761"/>
      <c r="BL1981" s="761"/>
      <c r="BM1981" s="761"/>
    </row>
    <row r="1982" spans="1:65" s="1720" customFormat="1">
      <c r="A1982" s="762" t="s">
        <v>2339</v>
      </c>
      <c r="B1982" s="762" t="s">
        <v>2340</v>
      </c>
      <c r="C1982" s="762" t="s">
        <v>2744</v>
      </c>
      <c r="D1982" s="762">
        <v>61702579</v>
      </c>
      <c r="E1982" s="762" t="s">
        <v>2972</v>
      </c>
      <c r="F1982" s="762">
        <v>143006761</v>
      </c>
      <c r="G1982" s="762" t="s">
        <v>3738</v>
      </c>
      <c r="H1982" s="762" t="s">
        <v>3738</v>
      </c>
      <c r="I1982" s="762" t="s">
        <v>6867</v>
      </c>
      <c r="J1982" s="762">
        <v>5</v>
      </c>
      <c r="K1982" s="1911">
        <v>39954.83</v>
      </c>
      <c r="L1982" s="1911">
        <v>3638.7000000000003</v>
      </c>
      <c r="M1982" s="1911">
        <v>36316.129999999997</v>
      </c>
      <c r="N1982" s="1752" t="str">
        <f t="shared" si="32"/>
        <v>C397</v>
      </c>
      <c r="O1982" s="1752" t="s">
        <v>99</v>
      </c>
      <c r="P1982" s="1752" t="s">
        <v>8005</v>
      </c>
      <c r="Q1982" s="761"/>
      <c r="R1982" s="761"/>
      <c r="S1982" s="761"/>
      <c r="T1982" s="761"/>
      <c r="U1982" s="761"/>
      <c r="V1982" s="761"/>
      <c r="W1982" s="761"/>
      <c r="X1982" s="761"/>
      <c r="Y1982" s="761"/>
      <c r="Z1982" s="761"/>
      <c r="AA1982" s="761"/>
      <c r="AB1982" s="761"/>
      <c r="AC1982" s="761"/>
      <c r="AD1982" s="761"/>
      <c r="AE1982" s="761"/>
      <c r="AF1982" s="761"/>
      <c r="AG1982" s="761"/>
      <c r="AH1982" s="761"/>
      <c r="AI1982" s="761"/>
      <c r="AJ1982" s="761"/>
      <c r="AK1982" s="761"/>
      <c r="AL1982" s="761"/>
      <c r="AM1982" s="761"/>
      <c r="AN1982" s="761"/>
      <c r="AO1982" s="761"/>
      <c r="AP1982" s="761"/>
      <c r="AQ1982" s="761"/>
      <c r="AR1982" s="761"/>
      <c r="AS1982" s="761"/>
      <c r="AT1982" s="761"/>
      <c r="AU1982" s="761"/>
      <c r="AV1982" s="761"/>
      <c r="AW1982" s="761"/>
      <c r="AX1982" s="761"/>
      <c r="AY1982" s="761"/>
      <c r="AZ1982" s="761"/>
      <c r="BA1982" s="761"/>
      <c r="BB1982" s="761"/>
      <c r="BC1982" s="761"/>
      <c r="BD1982" s="761"/>
      <c r="BE1982" s="761"/>
      <c r="BF1982" s="761"/>
      <c r="BG1982" s="761"/>
      <c r="BH1982" s="761"/>
      <c r="BI1982" s="761"/>
      <c r="BJ1982" s="761"/>
      <c r="BK1982" s="761"/>
      <c r="BL1982" s="761"/>
      <c r="BM1982" s="761"/>
    </row>
    <row r="1983" spans="1:65" s="1720" customFormat="1">
      <c r="A1983" s="762" t="s">
        <v>2339</v>
      </c>
      <c r="B1983" s="762" t="s">
        <v>2340</v>
      </c>
      <c r="C1983" s="762" t="s">
        <v>2512</v>
      </c>
      <c r="D1983" s="762">
        <v>62517548</v>
      </c>
      <c r="E1983" s="762" t="s">
        <v>2972</v>
      </c>
      <c r="F1983" s="762">
        <v>143006526</v>
      </c>
      <c r="G1983" s="762" t="s">
        <v>3737</v>
      </c>
      <c r="H1983" s="762" t="s">
        <v>3737</v>
      </c>
      <c r="I1983" s="762" t="s">
        <v>6867</v>
      </c>
      <c r="J1983" s="762">
        <v>2</v>
      </c>
      <c r="K1983" s="1911">
        <v>12759.92</v>
      </c>
      <c r="L1983" s="1911">
        <v>1162.05</v>
      </c>
      <c r="M1983" s="1911">
        <v>11597.87</v>
      </c>
      <c r="N1983" s="1752" t="str">
        <f t="shared" si="32"/>
        <v>C397</v>
      </c>
      <c r="O1983" s="1752" t="s">
        <v>99</v>
      </c>
      <c r="P1983" s="1752" t="s">
        <v>8005</v>
      </c>
      <c r="Q1983" s="761"/>
      <c r="R1983" s="761"/>
      <c r="S1983" s="761"/>
      <c r="T1983" s="761"/>
      <c r="U1983" s="761"/>
      <c r="V1983" s="761"/>
      <c r="W1983" s="761"/>
      <c r="X1983" s="761"/>
      <c r="Y1983" s="761"/>
      <c r="Z1983" s="761"/>
      <c r="AA1983" s="761"/>
      <c r="AB1983" s="761"/>
      <c r="AC1983" s="761"/>
      <c r="AD1983" s="761"/>
      <c r="AE1983" s="761"/>
      <c r="AF1983" s="761"/>
      <c r="AG1983" s="761"/>
      <c r="AH1983" s="761"/>
      <c r="AI1983" s="761"/>
      <c r="AJ1983" s="761"/>
      <c r="AK1983" s="761"/>
      <c r="AL1983" s="761"/>
      <c r="AM1983" s="761"/>
      <c r="AN1983" s="761"/>
      <c r="AO1983" s="761"/>
      <c r="AP1983" s="761"/>
      <c r="AQ1983" s="761"/>
      <c r="AR1983" s="761"/>
      <c r="AS1983" s="761"/>
      <c r="AT1983" s="761"/>
      <c r="AU1983" s="761"/>
      <c r="AV1983" s="761"/>
      <c r="AW1983" s="761"/>
      <c r="AX1983" s="761"/>
      <c r="AY1983" s="761"/>
      <c r="AZ1983" s="761"/>
      <c r="BA1983" s="761"/>
      <c r="BB1983" s="761"/>
      <c r="BC1983" s="761"/>
      <c r="BD1983" s="761"/>
      <c r="BE1983" s="761"/>
      <c r="BF1983" s="761"/>
      <c r="BG1983" s="761"/>
      <c r="BH1983" s="761"/>
      <c r="BI1983" s="761"/>
      <c r="BJ1983" s="761"/>
      <c r="BK1983" s="761"/>
      <c r="BL1983" s="761"/>
      <c r="BM1983" s="761"/>
    </row>
    <row r="1984" spans="1:65" s="1720" customFormat="1">
      <c r="A1984" s="762" t="s">
        <v>2339</v>
      </c>
      <c r="B1984" s="762" t="s">
        <v>2340</v>
      </c>
      <c r="C1984" s="762" t="s">
        <v>2531</v>
      </c>
      <c r="D1984" s="762">
        <v>62898213</v>
      </c>
      <c r="E1984" s="762" t="s">
        <v>2972</v>
      </c>
      <c r="F1984" s="762">
        <v>143002732</v>
      </c>
      <c r="G1984" s="762" t="s">
        <v>3300</v>
      </c>
      <c r="H1984" s="762" t="s">
        <v>3300</v>
      </c>
      <c r="I1984" s="762" t="s">
        <v>6867</v>
      </c>
      <c r="J1984" s="762">
        <v>2</v>
      </c>
      <c r="K1984" s="1911">
        <v>9606.58</v>
      </c>
      <c r="L1984" s="1911">
        <v>874.87</v>
      </c>
      <c r="M1984" s="1911">
        <v>8731.7100000000009</v>
      </c>
      <c r="N1984" s="1752" t="str">
        <f t="shared" si="32"/>
        <v>C397</v>
      </c>
      <c r="O1984" s="1752" t="s">
        <v>99</v>
      </c>
      <c r="P1984" s="1752" t="s">
        <v>8005</v>
      </c>
      <c r="Q1984" s="761"/>
      <c r="R1984" s="761"/>
      <c r="S1984" s="761"/>
      <c r="T1984" s="761"/>
      <c r="U1984" s="761"/>
      <c r="V1984" s="761"/>
      <c r="W1984" s="761"/>
      <c r="X1984" s="761"/>
      <c r="Y1984" s="761"/>
      <c r="Z1984" s="761"/>
      <c r="AA1984" s="761"/>
      <c r="AB1984" s="761"/>
      <c r="AC1984" s="761"/>
      <c r="AD1984" s="761"/>
      <c r="AE1984" s="761"/>
      <c r="AF1984" s="761"/>
      <c r="AG1984" s="761"/>
      <c r="AH1984" s="761"/>
      <c r="AI1984" s="761"/>
      <c r="AJ1984" s="761"/>
      <c r="AK1984" s="761"/>
      <c r="AL1984" s="761"/>
      <c r="AM1984" s="761"/>
      <c r="AN1984" s="761"/>
      <c r="AO1984" s="761"/>
      <c r="AP1984" s="761"/>
      <c r="AQ1984" s="761"/>
      <c r="AR1984" s="761"/>
      <c r="AS1984" s="761"/>
      <c r="AT1984" s="761"/>
      <c r="AU1984" s="761"/>
      <c r="AV1984" s="761"/>
      <c r="AW1984" s="761"/>
      <c r="AX1984" s="761"/>
      <c r="AY1984" s="761"/>
      <c r="AZ1984" s="761"/>
      <c r="BA1984" s="761"/>
      <c r="BB1984" s="761"/>
      <c r="BC1984" s="761"/>
      <c r="BD1984" s="761"/>
      <c r="BE1984" s="761"/>
      <c r="BF1984" s="761"/>
      <c r="BG1984" s="761"/>
      <c r="BH1984" s="761"/>
      <c r="BI1984" s="761"/>
      <c r="BJ1984" s="761"/>
      <c r="BK1984" s="761"/>
      <c r="BL1984" s="761"/>
      <c r="BM1984" s="761"/>
    </row>
    <row r="1985" spans="1:65" s="1720" customFormat="1">
      <c r="A1985" s="762" t="s">
        <v>2339</v>
      </c>
      <c r="B1985" s="762" t="s">
        <v>2340</v>
      </c>
      <c r="C1985" s="762" t="s">
        <v>2542</v>
      </c>
      <c r="D1985" s="762">
        <v>62898216</v>
      </c>
      <c r="E1985" s="762" t="s">
        <v>2972</v>
      </c>
      <c r="F1985" s="762">
        <v>143003384</v>
      </c>
      <c r="G1985" s="762" t="s">
        <v>3332</v>
      </c>
      <c r="H1985" s="762" t="s">
        <v>7949</v>
      </c>
      <c r="I1985" s="762" t="s">
        <v>6867</v>
      </c>
      <c r="J1985" s="762">
        <v>2</v>
      </c>
      <c r="K1985" s="1911">
        <v>3730.27</v>
      </c>
      <c r="L1985" s="1911">
        <v>339.72</v>
      </c>
      <c r="M1985" s="1911">
        <v>3390.55</v>
      </c>
      <c r="N1985" s="1752" t="str">
        <f t="shared" si="32"/>
        <v>C397</v>
      </c>
      <c r="O1985" s="1752" t="s">
        <v>99</v>
      </c>
      <c r="P1985" s="1752" t="s">
        <v>8005</v>
      </c>
      <c r="Q1985" s="761"/>
      <c r="R1985" s="761"/>
      <c r="S1985" s="761"/>
      <c r="T1985" s="761"/>
      <c r="U1985" s="761"/>
      <c r="V1985" s="761"/>
      <c r="W1985" s="761"/>
      <c r="X1985" s="761"/>
      <c r="Y1985" s="761"/>
      <c r="Z1985" s="761"/>
      <c r="AA1985" s="761"/>
      <c r="AB1985" s="761"/>
      <c r="AC1985" s="761"/>
      <c r="AD1985" s="761"/>
      <c r="AE1985" s="761"/>
      <c r="AF1985" s="761"/>
      <c r="AG1985" s="761"/>
      <c r="AH1985" s="761"/>
      <c r="AI1985" s="761"/>
      <c r="AJ1985" s="761"/>
      <c r="AK1985" s="761"/>
      <c r="AL1985" s="761"/>
      <c r="AM1985" s="761"/>
      <c r="AN1985" s="761"/>
      <c r="AO1985" s="761"/>
      <c r="AP1985" s="761"/>
      <c r="AQ1985" s="761"/>
      <c r="AR1985" s="761"/>
      <c r="AS1985" s="761"/>
      <c r="AT1985" s="761"/>
      <c r="AU1985" s="761"/>
      <c r="AV1985" s="761"/>
      <c r="AW1985" s="761"/>
      <c r="AX1985" s="761"/>
      <c r="AY1985" s="761"/>
      <c r="AZ1985" s="761"/>
      <c r="BA1985" s="761"/>
      <c r="BB1985" s="761"/>
      <c r="BC1985" s="761"/>
      <c r="BD1985" s="761"/>
      <c r="BE1985" s="761"/>
      <c r="BF1985" s="761"/>
      <c r="BG1985" s="761"/>
      <c r="BH1985" s="761"/>
      <c r="BI1985" s="761"/>
      <c r="BJ1985" s="761"/>
      <c r="BK1985" s="761"/>
      <c r="BL1985" s="761"/>
      <c r="BM1985" s="761"/>
    </row>
    <row r="1986" spans="1:65" s="1720" customFormat="1">
      <c r="A1986" s="762" t="s">
        <v>2339</v>
      </c>
      <c r="B1986" s="762" t="s">
        <v>2340</v>
      </c>
      <c r="C1986" s="762" t="s">
        <v>2524</v>
      </c>
      <c r="D1986" s="762">
        <v>62898219</v>
      </c>
      <c r="E1986" s="762" t="s">
        <v>2972</v>
      </c>
      <c r="F1986" s="762">
        <v>143003587</v>
      </c>
      <c r="G1986" s="762" t="s">
        <v>3358</v>
      </c>
      <c r="H1986" s="762" t="s">
        <v>7950</v>
      </c>
      <c r="I1986" s="762" t="s">
        <v>6867</v>
      </c>
      <c r="J1986" s="762">
        <v>2</v>
      </c>
      <c r="K1986" s="1911">
        <v>17518.02</v>
      </c>
      <c r="L1986" s="1911">
        <v>1595.3700000000001</v>
      </c>
      <c r="M1986" s="1911">
        <v>15922.65</v>
      </c>
      <c r="N1986" s="1752" t="str">
        <f t="shared" si="32"/>
        <v>C397</v>
      </c>
      <c r="O1986" s="1752" t="s">
        <v>99</v>
      </c>
      <c r="P1986" s="1752" t="s">
        <v>8005</v>
      </c>
      <c r="Q1986" s="761"/>
      <c r="R1986" s="761"/>
      <c r="S1986" s="761"/>
      <c r="T1986" s="761"/>
      <c r="U1986" s="761"/>
      <c r="V1986" s="761"/>
      <c r="W1986" s="761"/>
      <c r="X1986" s="761"/>
      <c r="Y1986" s="761"/>
      <c r="Z1986" s="761"/>
      <c r="AA1986" s="761"/>
      <c r="AB1986" s="761"/>
      <c r="AC1986" s="761"/>
      <c r="AD1986" s="761"/>
      <c r="AE1986" s="761"/>
      <c r="AF1986" s="761"/>
      <c r="AG1986" s="761"/>
      <c r="AH1986" s="761"/>
      <c r="AI1986" s="761"/>
      <c r="AJ1986" s="761"/>
      <c r="AK1986" s="761"/>
      <c r="AL1986" s="761"/>
      <c r="AM1986" s="761"/>
      <c r="AN1986" s="761"/>
      <c r="AO1986" s="761"/>
      <c r="AP1986" s="761"/>
      <c r="AQ1986" s="761"/>
      <c r="AR1986" s="761"/>
      <c r="AS1986" s="761"/>
      <c r="AT1986" s="761"/>
      <c r="AU1986" s="761"/>
      <c r="AV1986" s="761"/>
      <c r="AW1986" s="761"/>
      <c r="AX1986" s="761"/>
      <c r="AY1986" s="761"/>
      <c r="AZ1986" s="761"/>
      <c r="BA1986" s="761"/>
      <c r="BB1986" s="761"/>
      <c r="BC1986" s="761"/>
      <c r="BD1986" s="761"/>
      <c r="BE1986" s="761"/>
      <c r="BF1986" s="761"/>
      <c r="BG1986" s="761"/>
      <c r="BH1986" s="761"/>
      <c r="BI1986" s="761"/>
      <c r="BJ1986" s="761"/>
      <c r="BK1986" s="761"/>
      <c r="BL1986" s="761"/>
      <c r="BM1986" s="761"/>
    </row>
    <row r="1987" spans="1:65" s="1720" customFormat="1">
      <c r="A1987" s="762" t="s">
        <v>2339</v>
      </c>
      <c r="B1987" s="762" t="s">
        <v>2340</v>
      </c>
      <c r="C1987" s="762" t="s">
        <v>2524</v>
      </c>
      <c r="D1987" s="762">
        <v>62898222</v>
      </c>
      <c r="E1987" s="762" t="s">
        <v>2972</v>
      </c>
      <c r="F1987" s="762">
        <v>143003593</v>
      </c>
      <c r="G1987" s="762" t="s">
        <v>3363</v>
      </c>
      <c r="H1987" s="762" t="s">
        <v>7951</v>
      </c>
      <c r="I1987" s="762" t="s">
        <v>6867</v>
      </c>
      <c r="J1987" s="762">
        <v>2</v>
      </c>
      <c r="K1987" s="1911">
        <v>7132.03</v>
      </c>
      <c r="L1987" s="1911">
        <v>649.52</v>
      </c>
      <c r="M1987" s="1911">
        <v>6482.51</v>
      </c>
      <c r="N1987" s="1752" t="str">
        <f t="shared" si="32"/>
        <v>C397</v>
      </c>
      <c r="O1987" s="1752" t="s">
        <v>99</v>
      </c>
      <c r="P1987" s="1752" t="s">
        <v>8005</v>
      </c>
      <c r="Q1987" s="761"/>
      <c r="R1987" s="761"/>
      <c r="S1987" s="761"/>
      <c r="T1987" s="761"/>
      <c r="U1987" s="761"/>
      <c r="V1987" s="761"/>
      <c r="W1987" s="761"/>
      <c r="X1987" s="761"/>
      <c r="Y1987" s="761"/>
      <c r="Z1987" s="761"/>
      <c r="AA1987" s="761"/>
      <c r="AB1987" s="761"/>
      <c r="AC1987" s="761"/>
      <c r="AD1987" s="761"/>
      <c r="AE1987" s="761"/>
      <c r="AF1987" s="761"/>
      <c r="AG1987" s="761"/>
      <c r="AH1987" s="761"/>
      <c r="AI1987" s="761"/>
      <c r="AJ1987" s="761"/>
      <c r="AK1987" s="761"/>
      <c r="AL1987" s="761"/>
      <c r="AM1987" s="761"/>
      <c r="AN1987" s="761"/>
      <c r="AO1987" s="761"/>
      <c r="AP1987" s="761"/>
      <c r="AQ1987" s="761"/>
      <c r="AR1987" s="761"/>
      <c r="AS1987" s="761"/>
      <c r="AT1987" s="761"/>
      <c r="AU1987" s="761"/>
      <c r="AV1987" s="761"/>
      <c r="AW1987" s="761"/>
      <c r="AX1987" s="761"/>
      <c r="AY1987" s="761"/>
      <c r="AZ1987" s="761"/>
      <c r="BA1987" s="761"/>
      <c r="BB1987" s="761"/>
      <c r="BC1987" s="761"/>
      <c r="BD1987" s="761"/>
      <c r="BE1987" s="761"/>
      <c r="BF1987" s="761"/>
      <c r="BG1987" s="761"/>
      <c r="BH1987" s="761"/>
      <c r="BI1987" s="761"/>
      <c r="BJ1987" s="761"/>
      <c r="BK1987" s="761"/>
      <c r="BL1987" s="761"/>
      <c r="BM1987" s="761"/>
    </row>
    <row r="1988" spans="1:65" s="1720" customFormat="1">
      <c r="A1988" s="762" t="s">
        <v>2339</v>
      </c>
      <c r="B1988" s="762" t="s">
        <v>2340</v>
      </c>
      <c r="C1988" s="762" t="s">
        <v>2517</v>
      </c>
      <c r="D1988" s="762">
        <v>62898229</v>
      </c>
      <c r="E1988" s="762" t="s">
        <v>2972</v>
      </c>
      <c r="F1988" s="762">
        <v>143003660</v>
      </c>
      <c r="G1988" s="762" t="s">
        <v>3377</v>
      </c>
      <c r="H1988" s="762" t="s">
        <v>3377</v>
      </c>
      <c r="I1988" s="762" t="s">
        <v>6867</v>
      </c>
      <c r="J1988" s="762">
        <v>2</v>
      </c>
      <c r="K1988" s="1911">
        <v>31.27</v>
      </c>
      <c r="L1988" s="1911">
        <v>2.85</v>
      </c>
      <c r="M1988" s="1911">
        <v>28.42</v>
      </c>
      <c r="N1988" s="1752" t="str">
        <f t="shared" si="32"/>
        <v>C397</v>
      </c>
      <c r="O1988" s="1752" t="s">
        <v>99</v>
      </c>
      <c r="P1988" s="1752" t="s">
        <v>8005</v>
      </c>
      <c r="Q1988" s="761"/>
      <c r="R1988" s="761"/>
      <c r="S1988" s="761"/>
      <c r="T1988" s="761"/>
      <c r="U1988" s="761"/>
      <c r="V1988" s="761"/>
      <c r="W1988" s="761"/>
      <c r="X1988" s="761"/>
      <c r="Y1988" s="761"/>
      <c r="Z1988" s="761"/>
      <c r="AA1988" s="761"/>
      <c r="AB1988" s="761"/>
      <c r="AC1988" s="761"/>
      <c r="AD1988" s="761"/>
      <c r="AE1988" s="761"/>
      <c r="AF1988" s="761"/>
      <c r="AG1988" s="761"/>
      <c r="AH1988" s="761"/>
      <c r="AI1988" s="761"/>
      <c r="AJ1988" s="761"/>
      <c r="AK1988" s="761"/>
      <c r="AL1988" s="761"/>
      <c r="AM1988" s="761"/>
      <c r="AN1988" s="761"/>
      <c r="AO1988" s="761"/>
      <c r="AP1988" s="761"/>
      <c r="AQ1988" s="761"/>
      <c r="AR1988" s="761"/>
      <c r="AS1988" s="761"/>
      <c r="AT1988" s="761"/>
      <c r="AU1988" s="761"/>
      <c r="AV1988" s="761"/>
      <c r="AW1988" s="761"/>
      <c r="AX1988" s="761"/>
      <c r="AY1988" s="761"/>
      <c r="AZ1988" s="761"/>
      <c r="BA1988" s="761"/>
      <c r="BB1988" s="761"/>
      <c r="BC1988" s="761"/>
      <c r="BD1988" s="761"/>
      <c r="BE1988" s="761"/>
      <c r="BF1988" s="761"/>
      <c r="BG1988" s="761"/>
      <c r="BH1988" s="761"/>
      <c r="BI1988" s="761"/>
      <c r="BJ1988" s="761"/>
      <c r="BK1988" s="761"/>
      <c r="BL1988" s="761"/>
      <c r="BM1988" s="761"/>
    </row>
    <row r="1989" spans="1:65" s="1720" customFormat="1">
      <c r="A1989" s="762" t="s">
        <v>2339</v>
      </c>
      <c r="B1989" s="762" t="s">
        <v>2340</v>
      </c>
      <c r="C1989" s="762" t="s">
        <v>2527</v>
      </c>
      <c r="D1989" s="762">
        <v>62898232</v>
      </c>
      <c r="E1989" s="762" t="s">
        <v>2972</v>
      </c>
      <c r="F1989" s="762">
        <v>143003782</v>
      </c>
      <c r="G1989" s="762" t="s">
        <v>3419</v>
      </c>
      <c r="H1989" s="762" t="s">
        <v>7952</v>
      </c>
      <c r="I1989" s="762" t="s">
        <v>6867</v>
      </c>
      <c r="J1989" s="762">
        <v>2</v>
      </c>
      <c r="K1989" s="1911">
        <v>85603.07</v>
      </c>
      <c r="L1989" s="1911">
        <v>7795.9000000000005</v>
      </c>
      <c r="M1989" s="1911">
        <v>77807.17</v>
      </c>
      <c r="N1989" s="1752" t="str">
        <f t="shared" si="32"/>
        <v>C397</v>
      </c>
      <c r="O1989" s="1752" t="s">
        <v>99</v>
      </c>
      <c r="P1989" s="1752" t="s">
        <v>8005</v>
      </c>
      <c r="Q1989" s="761"/>
      <c r="R1989" s="761"/>
      <c r="S1989" s="761"/>
      <c r="T1989" s="761"/>
      <c r="U1989" s="761"/>
      <c r="V1989" s="761"/>
      <c r="W1989" s="761"/>
      <c r="X1989" s="761"/>
      <c r="Y1989" s="761"/>
      <c r="Z1989" s="761"/>
      <c r="AA1989" s="761"/>
      <c r="AB1989" s="761"/>
      <c r="AC1989" s="761"/>
      <c r="AD1989" s="761"/>
      <c r="AE1989" s="761"/>
      <c r="AF1989" s="761"/>
      <c r="AG1989" s="761"/>
      <c r="AH1989" s="761"/>
      <c r="AI1989" s="761"/>
      <c r="AJ1989" s="761"/>
      <c r="AK1989" s="761"/>
      <c r="AL1989" s="761"/>
      <c r="AM1989" s="761"/>
      <c r="AN1989" s="761"/>
      <c r="AO1989" s="761"/>
      <c r="AP1989" s="761"/>
      <c r="AQ1989" s="761"/>
      <c r="AR1989" s="761"/>
      <c r="AS1989" s="761"/>
      <c r="AT1989" s="761"/>
      <c r="AU1989" s="761"/>
      <c r="AV1989" s="761"/>
      <c r="AW1989" s="761"/>
      <c r="AX1989" s="761"/>
      <c r="AY1989" s="761"/>
      <c r="AZ1989" s="761"/>
      <c r="BA1989" s="761"/>
      <c r="BB1989" s="761"/>
      <c r="BC1989" s="761"/>
      <c r="BD1989" s="761"/>
      <c r="BE1989" s="761"/>
      <c r="BF1989" s="761"/>
      <c r="BG1989" s="761"/>
      <c r="BH1989" s="761"/>
      <c r="BI1989" s="761"/>
      <c r="BJ1989" s="761"/>
      <c r="BK1989" s="761"/>
      <c r="BL1989" s="761"/>
      <c r="BM1989" s="761"/>
    </row>
    <row r="1990" spans="1:65" s="1720" customFormat="1">
      <c r="A1990" s="762" t="s">
        <v>2339</v>
      </c>
      <c r="B1990" s="762" t="s">
        <v>2340</v>
      </c>
      <c r="C1990" s="762" t="s">
        <v>2487</v>
      </c>
      <c r="D1990" s="762">
        <v>62898237</v>
      </c>
      <c r="E1990" s="762" t="s">
        <v>2972</v>
      </c>
      <c r="F1990" s="762">
        <v>143003794</v>
      </c>
      <c r="G1990" s="762" t="s">
        <v>3427</v>
      </c>
      <c r="H1990" s="762" t="s">
        <v>7953</v>
      </c>
      <c r="I1990" s="762" t="s">
        <v>6867</v>
      </c>
      <c r="J1990" s="762">
        <v>2</v>
      </c>
      <c r="K1990" s="1911">
        <v>85.47</v>
      </c>
      <c r="L1990" s="1911">
        <v>7.78</v>
      </c>
      <c r="M1990" s="1911">
        <v>77.69</v>
      </c>
      <c r="N1990" s="1752" t="str">
        <f t="shared" si="32"/>
        <v>C397</v>
      </c>
      <c r="O1990" s="1752" t="s">
        <v>99</v>
      </c>
      <c r="P1990" s="1752" t="s">
        <v>8005</v>
      </c>
      <c r="Q1990" s="761"/>
      <c r="R1990" s="761"/>
      <c r="S1990" s="761"/>
      <c r="T1990" s="761"/>
      <c r="U1990" s="761"/>
      <c r="V1990" s="761"/>
      <c r="W1990" s="761"/>
      <c r="X1990" s="761"/>
      <c r="Y1990" s="761"/>
      <c r="Z1990" s="761"/>
      <c r="AA1990" s="761"/>
      <c r="AB1990" s="761"/>
      <c r="AC1990" s="761"/>
      <c r="AD1990" s="761"/>
      <c r="AE1990" s="761"/>
      <c r="AF1990" s="761"/>
      <c r="AG1990" s="761"/>
      <c r="AH1990" s="761"/>
      <c r="AI1990" s="761"/>
      <c r="AJ1990" s="761"/>
      <c r="AK1990" s="761"/>
      <c r="AL1990" s="761"/>
      <c r="AM1990" s="761"/>
      <c r="AN1990" s="761"/>
      <c r="AO1990" s="761"/>
      <c r="AP1990" s="761"/>
      <c r="AQ1990" s="761"/>
      <c r="AR1990" s="761"/>
      <c r="AS1990" s="761"/>
      <c r="AT1990" s="761"/>
      <c r="AU1990" s="761"/>
      <c r="AV1990" s="761"/>
      <c r="AW1990" s="761"/>
      <c r="AX1990" s="761"/>
      <c r="AY1990" s="761"/>
      <c r="AZ1990" s="761"/>
      <c r="BA1990" s="761"/>
      <c r="BB1990" s="761"/>
      <c r="BC1990" s="761"/>
      <c r="BD1990" s="761"/>
      <c r="BE1990" s="761"/>
      <c r="BF1990" s="761"/>
      <c r="BG1990" s="761"/>
      <c r="BH1990" s="761"/>
      <c r="BI1990" s="761"/>
      <c r="BJ1990" s="761"/>
      <c r="BK1990" s="761"/>
      <c r="BL1990" s="761"/>
      <c r="BM1990" s="761"/>
    </row>
    <row r="1991" spans="1:65" s="1720" customFormat="1">
      <c r="A1991" s="762" t="s">
        <v>2339</v>
      </c>
      <c r="B1991" s="762" t="s">
        <v>2340</v>
      </c>
      <c r="C1991" s="762" t="s">
        <v>2509</v>
      </c>
      <c r="D1991" s="762">
        <v>62898242</v>
      </c>
      <c r="E1991" s="762" t="s">
        <v>2972</v>
      </c>
      <c r="F1991" s="762">
        <v>143003811</v>
      </c>
      <c r="G1991" s="762" t="s">
        <v>3439</v>
      </c>
      <c r="H1991" s="762" t="s">
        <v>7954</v>
      </c>
      <c r="I1991" s="762" t="s">
        <v>6867</v>
      </c>
      <c r="J1991" s="762">
        <v>2</v>
      </c>
      <c r="K1991" s="1911">
        <v>431.33</v>
      </c>
      <c r="L1991" s="1911">
        <v>39.28</v>
      </c>
      <c r="M1991" s="1911">
        <v>392.05</v>
      </c>
      <c r="N1991" s="1752" t="str">
        <f t="shared" si="32"/>
        <v>C397</v>
      </c>
      <c r="O1991" s="1752" t="s">
        <v>99</v>
      </c>
      <c r="P1991" s="1752" t="s">
        <v>8005</v>
      </c>
      <c r="Q1991" s="761"/>
      <c r="R1991" s="761"/>
      <c r="S1991" s="761"/>
      <c r="T1991" s="761"/>
      <c r="U1991" s="761"/>
      <c r="V1991" s="761"/>
      <c r="W1991" s="761"/>
      <c r="X1991" s="761"/>
      <c r="Y1991" s="761"/>
      <c r="Z1991" s="761"/>
      <c r="AA1991" s="761"/>
      <c r="AB1991" s="761"/>
      <c r="AC1991" s="761"/>
      <c r="AD1991" s="761"/>
      <c r="AE1991" s="761"/>
      <c r="AF1991" s="761"/>
      <c r="AG1991" s="761"/>
      <c r="AH1991" s="761"/>
      <c r="AI1991" s="761"/>
      <c r="AJ1991" s="761"/>
      <c r="AK1991" s="761"/>
      <c r="AL1991" s="761"/>
      <c r="AM1991" s="761"/>
      <c r="AN1991" s="761"/>
      <c r="AO1991" s="761"/>
      <c r="AP1991" s="761"/>
      <c r="AQ1991" s="761"/>
      <c r="AR1991" s="761"/>
      <c r="AS1991" s="761"/>
      <c r="AT1991" s="761"/>
      <c r="AU1991" s="761"/>
      <c r="AV1991" s="761"/>
      <c r="AW1991" s="761"/>
      <c r="AX1991" s="761"/>
      <c r="AY1991" s="761"/>
      <c r="AZ1991" s="761"/>
      <c r="BA1991" s="761"/>
      <c r="BB1991" s="761"/>
      <c r="BC1991" s="761"/>
      <c r="BD1991" s="761"/>
      <c r="BE1991" s="761"/>
      <c r="BF1991" s="761"/>
      <c r="BG1991" s="761"/>
      <c r="BH1991" s="761"/>
      <c r="BI1991" s="761"/>
      <c r="BJ1991" s="761"/>
      <c r="BK1991" s="761"/>
      <c r="BL1991" s="761"/>
      <c r="BM1991" s="761"/>
    </row>
    <row r="1992" spans="1:65" s="1720" customFormat="1">
      <c r="A1992" s="762" t="s">
        <v>2339</v>
      </c>
      <c r="B1992" s="762" t="s">
        <v>2340</v>
      </c>
      <c r="C1992" s="762" t="s">
        <v>2517</v>
      </c>
      <c r="D1992" s="762">
        <v>62898245</v>
      </c>
      <c r="E1992" s="762" t="s">
        <v>2972</v>
      </c>
      <c r="F1992" s="762">
        <v>143004017</v>
      </c>
      <c r="G1992" s="762" t="s">
        <v>3469</v>
      </c>
      <c r="H1992" s="762" t="s">
        <v>7955</v>
      </c>
      <c r="I1992" s="762" t="s">
        <v>6867</v>
      </c>
      <c r="J1992" s="762">
        <v>2</v>
      </c>
      <c r="K1992" s="1911">
        <v>11729.91</v>
      </c>
      <c r="L1992" s="1911">
        <v>1068.25</v>
      </c>
      <c r="M1992" s="1911">
        <v>10661.66</v>
      </c>
      <c r="N1992" s="1752" t="str">
        <f t="shared" si="32"/>
        <v>C397</v>
      </c>
      <c r="O1992" s="1752" t="s">
        <v>99</v>
      </c>
      <c r="P1992" s="1752" t="s">
        <v>8005</v>
      </c>
      <c r="Q1992" s="761"/>
      <c r="R1992" s="761"/>
      <c r="S1992" s="761"/>
      <c r="T1992" s="761"/>
      <c r="U1992" s="761"/>
      <c r="V1992" s="761"/>
      <c r="W1992" s="761"/>
      <c r="X1992" s="761"/>
      <c r="Y1992" s="761"/>
      <c r="Z1992" s="761"/>
      <c r="AA1992" s="761"/>
      <c r="AB1992" s="761"/>
      <c r="AC1992" s="761"/>
      <c r="AD1992" s="761"/>
      <c r="AE1992" s="761"/>
      <c r="AF1992" s="761"/>
      <c r="AG1992" s="761"/>
      <c r="AH1992" s="761"/>
      <c r="AI1992" s="761"/>
      <c r="AJ1992" s="761"/>
      <c r="AK1992" s="761"/>
      <c r="AL1992" s="761"/>
      <c r="AM1992" s="761"/>
      <c r="AN1992" s="761"/>
      <c r="AO1992" s="761"/>
      <c r="AP1992" s="761"/>
      <c r="AQ1992" s="761"/>
      <c r="AR1992" s="761"/>
      <c r="AS1992" s="761"/>
      <c r="AT1992" s="761"/>
      <c r="AU1992" s="761"/>
      <c r="AV1992" s="761"/>
      <c r="AW1992" s="761"/>
      <c r="AX1992" s="761"/>
      <c r="AY1992" s="761"/>
      <c r="AZ1992" s="761"/>
      <c r="BA1992" s="761"/>
      <c r="BB1992" s="761"/>
      <c r="BC1992" s="761"/>
      <c r="BD1992" s="761"/>
      <c r="BE1992" s="761"/>
      <c r="BF1992" s="761"/>
      <c r="BG1992" s="761"/>
      <c r="BH1992" s="761"/>
      <c r="BI1992" s="761"/>
      <c r="BJ1992" s="761"/>
      <c r="BK1992" s="761"/>
      <c r="BL1992" s="761"/>
      <c r="BM1992" s="761"/>
    </row>
    <row r="1993" spans="1:65" s="1720" customFormat="1">
      <c r="A1993" s="762" t="s">
        <v>2339</v>
      </c>
      <c r="B1993" s="762" t="s">
        <v>2340</v>
      </c>
      <c r="C1993" s="762" t="s">
        <v>2512</v>
      </c>
      <c r="D1993" s="762">
        <v>62898248</v>
      </c>
      <c r="E1993" s="762" t="s">
        <v>2972</v>
      </c>
      <c r="F1993" s="762">
        <v>143004186</v>
      </c>
      <c r="G1993" s="762" t="s">
        <v>3500</v>
      </c>
      <c r="H1993" s="762" t="s">
        <v>7956</v>
      </c>
      <c r="I1993" s="762" t="s">
        <v>6867</v>
      </c>
      <c r="J1993" s="762">
        <v>2</v>
      </c>
      <c r="K1993" s="1911">
        <v>32698.13</v>
      </c>
      <c r="L1993" s="1911">
        <v>2977.83</v>
      </c>
      <c r="M1993" s="1911">
        <v>29720.3</v>
      </c>
      <c r="N1993" s="1752" t="str">
        <f t="shared" si="32"/>
        <v>C397</v>
      </c>
      <c r="O1993" s="1752" t="s">
        <v>99</v>
      </c>
      <c r="P1993" s="1752" t="s">
        <v>8005</v>
      </c>
      <c r="Q1993" s="761"/>
      <c r="R1993" s="761"/>
      <c r="S1993" s="761"/>
      <c r="T1993" s="761"/>
      <c r="U1993" s="761"/>
      <c r="V1993" s="761"/>
      <c r="W1993" s="761"/>
      <c r="X1993" s="761"/>
      <c r="Y1993" s="761"/>
      <c r="Z1993" s="761"/>
      <c r="AA1993" s="761"/>
      <c r="AB1993" s="761"/>
      <c r="AC1993" s="761"/>
      <c r="AD1993" s="761"/>
      <c r="AE1993" s="761"/>
      <c r="AF1993" s="761"/>
      <c r="AG1993" s="761"/>
      <c r="AH1993" s="761"/>
      <c r="AI1993" s="761"/>
      <c r="AJ1993" s="761"/>
      <c r="AK1993" s="761"/>
      <c r="AL1993" s="761"/>
      <c r="AM1993" s="761"/>
      <c r="AN1993" s="761"/>
      <c r="AO1993" s="761"/>
      <c r="AP1993" s="761"/>
      <c r="AQ1993" s="761"/>
      <c r="AR1993" s="761"/>
      <c r="AS1993" s="761"/>
      <c r="AT1993" s="761"/>
      <c r="AU1993" s="761"/>
      <c r="AV1993" s="761"/>
      <c r="AW1993" s="761"/>
      <c r="AX1993" s="761"/>
      <c r="AY1993" s="761"/>
      <c r="AZ1993" s="761"/>
      <c r="BA1993" s="761"/>
      <c r="BB1993" s="761"/>
      <c r="BC1993" s="761"/>
      <c r="BD1993" s="761"/>
      <c r="BE1993" s="761"/>
      <c r="BF1993" s="761"/>
      <c r="BG1993" s="761"/>
      <c r="BH1993" s="761"/>
      <c r="BI1993" s="761"/>
      <c r="BJ1993" s="761"/>
      <c r="BK1993" s="761"/>
      <c r="BL1993" s="761"/>
      <c r="BM1993" s="761"/>
    </row>
    <row r="1994" spans="1:65" s="1720" customFormat="1">
      <c r="A1994" s="762" t="s">
        <v>2339</v>
      </c>
      <c r="B1994" s="762" t="s">
        <v>2340</v>
      </c>
      <c r="C1994" s="762" t="s">
        <v>2476</v>
      </c>
      <c r="D1994" s="762">
        <v>62898251</v>
      </c>
      <c r="E1994" s="762" t="s">
        <v>2972</v>
      </c>
      <c r="F1994" s="762">
        <v>143004205</v>
      </c>
      <c r="G1994" s="762" t="s">
        <v>3505</v>
      </c>
      <c r="H1994" s="762" t="s">
        <v>7957</v>
      </c>
      <c r="I1994" s="762" t="s">
        <v>6867</v>
      </c>
      <c r="J1994" s="762">
        <v>2</v>
      </c>
      <c r="K1994" s="1911">
        <v>16258.29</v>
      </c>
      <c r="L1994" s="1911">
        <v>1480.65</v>
      </c>
      <c r="M1994" s="1911">
        <v>14777.64</v>
      </c>
      <c r="N1994" s="1752" t="str">
        <f t="shared" si="32"/>
        <v>C397</v>
      </c>
      <c r="O1994" s="1752" t="s">
        <v>99</v>
      </c>
      <c r="P1994" s="1752" t="s">
        <v>8005</v>
      </c>
      <c r="Q1994" s="761"/>
      <c r="R1994" s="761"/>
      <c r="S1994" s="761"/>
      <c r="T1994" s="761"/>
      <c r="U1994" s="761"/>
      <c r="V1994" s="761"/>
      <c r="W1994" s="761"/>
      <c r="X1994" s="761"/>
      <c r="Y1994" s="761"/>
      <c r="Z1994" s="761"/>
      <c r="AA1994" s="761"/>
      <c r="AB1994" s="761"/>
      <c r="AC1994" s="761"/>
      <c r="AD1994" s="761"/>
      <c r="AE1994" s="761"/>
      <c r="AF1994" s="761"/>
      <c r="AG1994" s="761"/>
      <c r="AH1994" s="761"/>
      <c r="AI1994" s="761"/>
      <c r="AJ1994" s="761"/>
      <c r="AK1994" s="761"/>
      <c r="AL1994" s="761"/>
      <c r="AM1994" s="761"/>
      <c r="AN1994" s="761"/>
      <c r="AO1994" s="761"/>
      <c r="AP1994" s="761"/>
      <c r="AQ1994" s="761"/>
      <c r="AR1994" s="761"/>
      <c r="AS1994" s="761"/>
      <c r="AT1994" s="761"/>
      <c r="AU1994" s="761"/>
      <c r="AV1994" s="761"/>
      <c r="AW1994" s="761"/>
      <c r="AX1994" s="761"/>
      <c r="AY1994" s="761"/>
      <c r="AZ1994" s="761"/>
      <c r="BA1994" s="761"/>
      <c r="BB1994" s="761"/>
      <c r="BC1994" s="761"/>
      <c r="BD1994" s="761"/>
      <c r="BE1994" s="761"/>
      <c r="BF1994" s="761"/>
      <c r="BG1994" s="761"/>
      <c r="BH1994" s="761"/>
      <c r="BI1994" s="761"/>
      <c r="BJ1994" s="761"/>
      <c r="BK1994" s="761"/>
      <c r="BL1994" s="761"/>
      <c r="BM1994" s="761"/>
    </row>
    <row r="1995" spans="1:65" s="1720" customFormat="1">
      <c r="A1995" s="762" t="s">
        <v>2339</v>
      </c>
      <c r="B1995" s="762" t="s">
        <v>2340</v>
      </c>
      <c r="C1995" s="762" t="s">
        <v>2487</v>
      </c>
      <c r="D1995" s="762">
        <v>62898269</v>
      </c>
      <c r="E1995" s="762" t="s">
        <v>2972</v>
      </c>
      <c r="F1995" s="762">
        <v>143005833</v>
      </c>
      <c r="G1995" s="762" t="s">
        <v>3696</v>
      </c>
      <c r="H1995" s="762" t="s">
        <v>7958</v>
      </c>
      <c r="I1995" s="762" t="s">
        <v>6867</v>
      </c>
      <c r="J1995" s="762">
        <v>2</v>
      </c>
      <c r="K1995" s="1911">
        <v>989.55000000000007</v>
      </c>
      <c r="L1995" s="1911">
        <v>90.12</v>
      </c>
      <c r="M1995" s="1911">
        <v>899.43000000000006</v>
      </c>
      <c r="N1995" s="1752" t="str">
        <f t="shared" si="32"/>
        <v>C397</v>
      </c>
      <c r="O1995" s="1752" t="s">
        <v>99</v>
      </c>
      <c r="P1995" s="1752" t="s">
        <v>8005</v>
      </c>
      <c r="Q1995" s="761"/>
      <c r="R1995" s="761"/>
      <c r="S1995" s="761"/>
      <c r="T1995" s="761"/>
      <c r="U1995" s="761"/>
      <c r="V1995" s="761"/>
      <c r="W1995" s="761"/>
      <c r="X1995" s="761"/>
      <c r="Y1995" s="761"/>
      <c r="Z1995" s="761"/>
      <c r="AA1995" s="761"/>
      <c r="AB1995" s="761"/>
      <c r="AC1995" s="761"/>
      <c r="AD1995" s="761"/>
      <c r="AE1995" s="761"/>
      <c r="AF1995" s="761"/>
      <c r="AG1995" s="761"/>
      <c r="AH1995" s="761"/>
      <c r="AI1995" s="761"/>
      <c r="AJ1995" s="761"/>
      <c r="AK1995" s="761"/>
      <c r="AL1995" s="761"/>
      <c r="AM1995" s="761"/>
      <c r="AN1995" s="761"/>
      <c r="AO1995" s="761"/>
      <c r="AP1995" s="761"/>
      <c r="AQ1995" s="761"/>
      <c r="AR1995" s="761"/>
      <c r="AS1995" s="761"/>
      <c r="AT1995" s="761"/>
      <c r="AU1995" s="761"/>
      <c r="AV1995" s="761"/>
      <c r="AW1995" s="761"/>
      <c r="AX1995" s="761"/>
      <c r="AY1995" s="761"/>
      <c r="AZ1995" s="761"/>
      <c r="BA1995" s="761"/>
      <c r="BB1995" s="761"/>
      <c r="BC1995" s="761"/>
      <c r="BD1995" s="761"/>
      <c r="BE1995" s="761"/>
      <c r="BF1995" s="761"/>
      <c r="BG1995" s="761"/>
      <c r="BH1995" s="761"/>
      <c r="BI1995" s="761"/>
      <c r="BJ1995" s="761"/>
      <c r="BK1995" s="761"/>
      <c r="BL1995" s="761"/>
      <c r="BM1995" s="761"/>
    </row>
    <row r="1996" spans="1:65" s="1720" customFormat="1">
      <c r="A1996" s="762" t="s">
        <v>2339</v>
      </c>
      <c r="B1996" s="762" t="s">
        <v>2340</v>
      </c>
      <c r="C1996" s="762" t="s">
        <v>2487</v>
      </c>
      <c r="D1996" s="762">
        <v>62898272</v>
      </c>
      <c r="E1996" s="762" t="s">
        <v>2972</v>
      </c>
      <c r="F1996" s="762">
        <v>143005839</v>
      </c>
      <c r="G1996" s="762" t="s">
        <v>3702</v>
      </c>
      <c r="H1996" s="762" t="s">
        <v>3702</v>
      </c>
      <c r="I1996" s="762" t="s">
        <v>6867</v>
      </c>
      <c r="J1996" s="762">
        <v>2</v>
      </c>
      <c r="K1996" s="1911">
        <v>8461.34</v>
      </c>
      <c r="L1996" s="1911">
        <v>770.58</v>
      </c>
      <c r="M1996" s="1911">
        <v>7690.76</v>
      </c>
      <c r="N1996" s="1752" t="str">
        <f t="shared" si="32"/>
        <v>C397</v>
      </c>
      <c r="O1996" s="1752" t="s">
        <v>99</v>
      </c>
      <c r="P1996" s="1752" t="s">
        <v>8005</v>
      </c>
      <c r="Q1996" s="761"/>
      <c r="R1996" s="761"/>
      <c r="S1996" s="761"/>
      <c r="T1996" s="761"/>
      <c r="U1996" s="761"/>
      <c r="V1996" s="761"/>
      <c r="W1996" s="761"/>
      <c r="X1996" s="761"/>
      <c r="Y1996" s="761"/>
      <c r="Z1996" s="761"/>
      <c r="AA1996" s="761"/>
      <c r="AB1996" s="761"/>
      <c r="AC1996" s="761"/>
      <c r="AD1996" s="761"/>
      <c r="AE1996" s="761"/>
      <c r="AF1996" s="761"/>
      <c r="AG1996" s="761"/>
      <c r="AH1996" s="761"/>
      <c r="AI1996" s="761"/>
      <c r="AJ1996" s="761"/>
      <c r="AK1996" s="761"/>
      <c r="AL1996" s="761"/>
      <c r="AM1996" s="761"/>
      <c r="AN1996" s="761"/>
      <c r="AO1996" s="761"/>
      <c r="AP1996" s="761"/>
      <c r="AQ1996" s="761"/>
      <c r="AR1996" s="761"/>
      <c r="AS1996" s="761"/>
      <c r="AT1996" s="761"/>
      <c r="AU1996" s="761"/>
      <c r="AV1996" s="761"/>
      <c r="AW1996" s="761"/>
      <c r="AX1996" s="761"/>
      <c r="AY1996" s="761"/>
      <c r="AZ1996" s="761"/>
      <c r="BA1996" s="761"/>
      <c r="BB1996" s="761"/>
      <c r="BC1996" s="761"/>
      <c r="BD1996" s="761"/>
      <c r="BE1996" s="761"/>
      <c r="BF1996" s="761"/>
      <c r="BG1996" s="761"/>
      <c r="BH1996" s="761"/>
      <c r="BI1996" s="761"/>
      <c r="BJ1996" s="761"/>
      <c r="BK1996" s="761"/>
      <c r="BL1996" s="761"/>
      <c r="BM1996" s="761"/>
    </row>
    <row r="1997" spans="1:65" s="1720" customFormat="1">
      <c r="A1997" s="762" t="s">
        <v>2339</v>
      </c>
      <c r="B1997" s="762" t="s">
        <v>2340</v>
      </c>
      <c r="C1997" s="762" t="s">
        <v>2476</v>
      </c>
      <c r="D1997" s="762">
        <v>62898330</v>
      </c>
      <c r="E1997" s="762" t="s">
        <v>2972</v>
      </c>
      <c r="F1997" s="762">
        <v>143006474</v>
      </c>
      <c r="G1997" s="762" t="s">
        <v>3736</v>
      </c>
      <c r="H1997" s="762" t="s">
        <v>7959</v>
      </c>
      <c r="I1997" s="762" t="s">
        <v>6867</v>
      </c>
      <c r="J1997" s="762">
        <v>2</v>
      </c>
      <c r="K1997" s="1911">
        <v>5468.6900000000005</v>
      </c>
      <c r="L1997" s="1911">
        <v>498.04</v>
      </c>
      <c r="M1997" s="1911">
        <v>4970.6500000000005</v>
      </c>
      <c r="N1997" s="1752" t="str">
        <f t="shared" si="32"/>
        <v>C397</v>
      </c>
      <c r="O1997" s="1752" t="s">
        <v>99</v>
      </c>
      <c r="P1997" s="1752" t="s">
        <v>8005</v>
      </c>
      <c r="Q1997" s="761"/>
      <c r="R1997" s="761"/>
      <c r="S1997" s="761"/>
      <c r="T1997" s="761"/>
      <c r="U1997" s="761"/>
      <c r="V1997" s="761"/>
      <c r="W1997" s="761"/>
      <c r="X1997" s="761"/>
      <c r="Y1997" s="761"/>
      <c r="Z1997" s="761"/>
      <c r="AA1997" s="761"/>
      <c r="AB1997" s="761"/>
      <c r="AC1997" s="761"/>
      <c r="AD1997" s="761"/>
      <c r="AE1997" s="761"/>
      <c r="AF1997" s="761"/>
      <c r="AG1997" s="761"/>
      <c r="AH1997" s="761"/>
      <c r="AI1997" s="761"/>
      <c r="AJ1997" s="761"/>
      <c r="AK1997" s="761"/>
      <c r="AL1997" s="761"/>
      <c r="AM1997" s="761"/>
      <c r="AN1997" s="761"/>
      <c r="AO1997" s="761"/>
      <c r="AP1997" s="761"/>
      <c r="AQ1997" s="761"/>
      <c r="AR1997" s="761"/>
      <c r="AS1997" s="761"/>
      <c r="AT1997" s="761"/>
      <c r="AU1997" s="761"/>
      <c r="AV1997" s="761"/>
      <c r="AW1997" s="761"/>
      <c r="AX1997" s="761"/>
      <c r="AY1997" s="761"/>
      <c r="AZ1997" s="761"/>
      <c r="BA1997" s="761"/>
      <c r="BB1997" s="761"/>
      <c r="BC1997" s="761"/>
      <c r="BD1997" s="761"/>
      <c r="BE1997" s="761"/>
      <c r="BF1997" s="761"/>
      <c r="BG1997" s="761"/>
      <c r="BH1997" s="761"/>
      <c r="BI1997" s="761"/>
      <c r="BJ1997" s="761"/>
      <c r="BK1997" s="761"/>
      <c r="BL1997" s="761"/>
      <c r="BM1997" s="761"/>
    </row>
    <row r="1998" spans="1:65" s="1720" customFormat="1">
      <c r="A1998" s="762" t="s">
        <v>2339</v>
      </c>
      <c r="B1998" s="762" t="s">
        <v>2340</v>
      </c>
      <c r="C1998" s="762" t="s">
        <v>2476</v>
      </c>
      <c r="D1998" s="762">
        <v>62898415</v>
      </c>
      <c r="E1998" s="762" t="s">
        <v>2972</v>
      </c>
      <c r="F1998" s="762">
        <v>143006783</v>
      </c>
      <c r="G1998" s="762" t="s">
        <v>3739</v>
      </c>
      <c r="H1998" s="762" t="s">
        <v>3739</v>
      </c>
      <c r="I1998" s="762" t="s">
        <v>6867</v>
      </c>
      <c r="J1998" s="762">
        <v>7</v>
      </c>
      <c r="K1998" s="1911">
        <v>18158.03</v>
      </c>
      <c r="L1998" s="1911">
        <v>1653.66</v>
      </c>
      <c r="M1998" s="1911">
        <v>16504.37</v>
      </c>
      <c r="N1998" s="1752" t="str">
        <f t="shared" si="32"/>
        <v>C397</v>
      </c>
      <c r="O1998" s="1752" t="s">
        <v>99</v>
      </c>
      <c r="P1998" s="1752" t="s">
        <v>8005</v>
      </c>
      <c r="Q1998" s="761"/>
      <c r="R1998" s="761"/>
      <c r="S1998" s="761"/>
      <c r="T1998" s="761"/>
      <c r="U1998" s="761"/>
      <c r="V1998" s="761"/>
      <c r="W1998" s="761"/>
      <c r="X1998" s="761"/>
      <c r="Y1998" s="761"/>
      <c r="Z1998" s="761"/>
      <c r="AA1998" s="761"/>
      <c r="AB1998" s="761"/>
      <c r="AC1998" s="761"/>
      <c r="AD1998" s="761"/>
      <c r="AE1998" s="761"/>
      <c r="AF1998" s="761"/>
      <c r="AG1998" s="761"/>
      <c r="AH1998" s="761"/>
      <c r="AI1998" s="761"/>
      <c r="AJ1998" s="761"/>
      <c r="AK1998" s="761"/>
      <c r="AL1998" s="761"/>
      <c r="AM1998" s="761"/>
      <c r="AN1998" s="761"/>
      <c r="AO1998" s="761"/>
      <c r="AP1998" s="761"/>
      <c r="AQ1998" s="761"/>
      <c r="AR1998" s="761"/>
      <c r="AS1998" s="761"/>
      <c r="AT1998" s="761"/>
      <c r="AU1998" s="761"/>
      <c r="AV1998" s="761"/>
      <c r="AW1998" s="761"/>
      <c r="AX1998" s="761"/>
      <c r="AY1998" s="761"/>
      <c r="AZ1998" s="761"/>
      <c r="BA1998" s="761"/>
      <c r="BB1998" s="761"/>
      <c r="BC1998" s="761"/>
      <c r="BD1998" s="761"/>
      <c r="BE1998" s="761"/>
      <c r="BF1998" s="761"/>
      <c r="BG1998" s="761"/>
      <c r="BH1998" s="761"/>
      <c r="BI1998" s="761"/>
      <c r="BJ1998" s="761"/>
      <c r="BK1998" s="761"/>
      <c r="BL1998" s="761"/>
      <c r="BM1998" s="761"/>
    </row>
    <row r="1999" spans="1:65" s="1691" customFormat="1">
      <c r="A1999" s="762" t="s">
        <v>2339</v>
      </c>
      <c r="B1999" s="762" t="s">
        <v>2340</v>
      </c>
      <c r="C1999" s="762" t="s">
        <v>2476</v>
      </c>
      <c r="D1999" s="762">
        <v>63265715</v>
      </c>
      <c r="E1999" s="762" t="s">
        <v>2972</v>
      </c>
      <c r="F1999" s="762">
        <v>143006508</v>
      </c>
      <c r="G1999" s="762" t="s">
        <v>6960</v>
      </c>
      <c r="H1999" s="1917" t="s">
        <v>7960</v>
      </c>
      <c r="I1999" s="762" t="s">
        <v>6867</v>
      </c>
      <c r="J1999" s="762">
        <v>3</v>
      </c>
      <c r="K1999" s="1911">
        <v>965149.85</v>
      </c>
      <c r="L1999" s="1911">
        <v>31143.15</v>
      </c>
      <c r="M1999" s="1911">
        <v>934006.70000000007</v>
      </c>
      <c r="N1999" s="1752" t="str">
        <f t="shared" si="32"/>
        <v>C397</v>
      </c>
      <c r="O1999" s="1752" t="s">
        <v>99</v>
      </c>
      <c r="P1999" s="1752" t="s">
        <v>8005</v>
      </c>
      <c r="Q1999" s="761"/>
      <c r="R1999" s="761"/>
      <c r="S1999" s="761"/>
      <c r="T1999" s="761"/>
      <c r="U1999" s="761"/>
      <c r="V1999" s="761"/>
      <c r="W1999" s="761"/>
      <c r="X1999" s="761"/>
      <c r="Y1999" s="761"/>
      <c r="Z1999" s="761"/>
      <c r="AA1999" s="761"/>
      <c r="AB1999" s="761"/>
      <c r="AC1999" s="761"/>
      <c r="AD1999" s="761"/>
      <c r="AE1999" s="761"/>
      <c r="AF1999" s="761"/>
      <c r="AG1999" s="761"/>
      <c r="AH1999" s="761"/>
      <c r="AI1999" s="761"/>
      <c r="AJ1999" s="761"/>
      <c r="AK1999" s="761"/>
      <c r="AL1999" s="761"/>
      <c r="AM1999" s="761"/>
      <c r="AN1999" s="761"/>
      <c r="AO1999" s="761"/>
      <c r="AP1999" s="761"/>
      <c r="AQ1999" s="761"/>
      <c r="AR1999" s="761"/>
      <c r="AS1999" s="761"/>
      <c r="AT1999" s="761"/>
      <c r="AU1999" s="761"/>
      <c r="AV1999" s="761"/>
      <c r="AW1999" s="761"/>
      <c r="AX1999" s="761"/>
      <c r="AY1999" s="761"/>
      <c r="AZ1999" s="761"/>
      <c r="BA1999" s="761"/>
      <c r="BB1999" s="761"/>
      <c r="BC1999" s="761"/>
      <c r="BD1999" s="761"/>
      <c r="BE1999" s="761"/>
      <c r="BF1999" s="761"/>
      <c r="BG1999" s="761"/>
      <c r="BH1999" s="761"/>
      <c r="BI1999" s="761"/>
      <c r="BJ1999" s="761"/>
      <c r="BK1999" s="761"/>
      <c r="BL1999" s="761"/>
      <c r="BM1999" s="761"/>
    </row>
    <row r="2000" spans="1:65" s="1691" customFormat="1">
      <c r="A2000" s="762" t="s">
        <v>2339</v>
      </c>
      <c r="B2000" s="762" t="s">
        <v>2340</v>
      </c>
      <c r="C2000" s="762" t="s">
        <v>2524</v>
      </c>
      <c r="D2000" s="762">
        <v>63877989</v>
      </c>
      <c r="E2000" s="762" t="s">
        <v>2972</v>
      </c>
      <c r="F2000" s="762">
        <v>143007363</v>
      </c>
      <c r="G2000" s="762" t="s">
        <v>6962</v>
      </c>
      <c r="H2000" s="1917"/>
      <c r="I2000" s="762" t="s">
        <v>6867</v>
      </c>
      <c r="J2000" s="762">
        <v>1</v>
      </c>
      <c r="K2000" s="1911">
        <v>14330.94</v>
      </c>
      <c r="L2000" s="1911">
        <v>462.43</v>
      </c>
      <c r="M2000" s="1911">
        <v>13868.51</v>
      </c>
      <c r="N2000" s="1752" t="str">
        <f t="shared" si="32"/>
        <v>C397</v>
      </c>
      <c r="O2000" s="1752" t="s">
        <v>99</v>
      </c>
      <c r="P2000" s="1752" t="s">
        <v>8005</v>
      </c>
      <c r="Q2000" s="761"/>
      <c r="R2000" s="761"/>
      <c r="S2000" s="761"/>
      <c r="T2000" s="761"/>
      <c r="U2000" s="761"/>
      <c r="V2000" s="761"/>
      <c r="W2000" s="761"/>
      <c r="X2000" s="761"/>
      <c r="Y2000" s="761"/>
      <c r="Z2000" s="761"/>
      <c r="AA2000" s="761"/>
      <c r="AB2000" s="761"/>
      <c r="AC2000" s="761"/>
      <c r="AD2000" s="761"/>
      <c r="AE2000" s="761"/>
      <c r="AF2000" s="761"/>
      <c r="AG2000" s="761"/>
      <c r="AH2000" s="761"/>
      <c r="AI2000" s="761"/>
      <c r="AJ2000" s="761"/>
      <c r="AK2000" s="761"/>
      <c r="AL2000" s="761"/>
      <c r="AM2000" s="761"/>
      <c r="AN2000" s="761"/>
      <c r="AO2000" s="761"/>
      <c r="AP2000" s="761"/>
      <c r="AQ2000" s="761"/>
      <c r="AR2000" s="761"/>
      <c r="AS2000" s="761"/>
      <c r="AT2000" s="761"/>
      <c r="AU2000" s="761"/>
      <c r="AV2000" s="761"/>
      <c r="AW2000" s="761"/>
      <c r="AX2000" s="761"/>
      <c r="AY2000" s="761"/>
      <c r="AZ2000" s="761"/>
      <c r="BA2000" s="761"/>
      <c r="BB2000" s="761"/>
      <c r="BC2000" s="761"/>
      <c r="BD2000" s="761"/>
      <c r="BE2000" s="761"/>
      <c r="BF2000" s="761"/>
      <c r="BG2000" s="761"/>
      <c r="BH2000" s="761"/>
      <c r="BI2000" s="761"/>
      <c r="BJ2000" s="761"/>
      <c r="BK2000" s="761"/>
      <c r="BL2000" s="761"/>
      <c r="BM2000" s="761"/>
    </row>
    <row r="2001" spans="1:65" s="1691" customFormat="1">
      <c r="A2001" s="762" t="s">
        <v>2339</v>
      </c>
      <c r="B2001" s="762" t="s">
        <v>2340</v>
      </c>
      <c r="C2001" s="762" t="s">
        <v>2542</v>
      </c>
      <c r="D2001" s="762">
        <v>64678916</v>
      </c>
      <c r="E2001" s="762" t="s">
        <v>2972</v>
      </c>
      <c r="F2001" s="762">
        <v>143003388</v>
      </c>
      <c r="G2001" s="762" t="s">
        <v>6963</v>
      </c>
      <c r="H2001" s="1917" t="s">
        <v>7961</v>
      </c>
      <c r="I2001" s="762" t="s">
        <v>6867</v>
      </c>
      <c r="J2001" s="762">
        <v>1</v>
      </c>
      <c r="K2001" s="1911">
        <v>78137.97</v>
      </c>
      <c r="L2001" s="1911">
        <v>2521.33</v>
      </c>
      <c r="M2001" s="1911">
        <v>75616.639999999999</v>
      </c>
      <c r="N2001" s="1752" t="str">
        <f t="shared" ref="N2001:N2064" si="33">LEFT(E2001,4)</f>
        <v>C397</v>
      </c>
      <c r="O2001" s="1752" t="s">
        <v>99</v>
      </c>
      <c r="P2001" s="1752" t="s">
        <v>8005</v>
      </c>
      <c r="Q2001" s="761"/>
      <c r="R2001" s="761"/>
      <c r="S2001" s="761"/>
      <c r="T2001" s="761"/>
      <c r="U2001" s="761"/>
      <c r="V2001" s="761"/>
      <c r="W2001" s="761"/>
      <c r="X2001" s="761"/>
      <c r="Y2001" s="761"/>
      <c r="Z2001" s="761"/>
      <c r="AA2001" s="761"/>
      <c r="AB2001" s="761"/>
      <c r="AC2001" s="761"/>
      <c r="AD2001" s="761"/>
      <c r="AE2001" s="761"/>
      <c r="AF2001" s="761"/>
      <c r="AG2001" s="761"/>
      <c r="AH2001" s="761"/>
      <c r="AI2001" s="761"/>
      <c r="AJ2001" s="761"/>
      <c r="AK2001" s="761"/>
      <c r="AL2001" s="761"/>
      <c r="AM2001" s="761"/>
      <c r="AN2001" s="761"/>
      <c r="AO2001" s="761"/>
      <c r="AP2001" s="761"/>
      <c r="AQ2001" s="761"/>
      <c r="AR2001" s="761"/>
      <c r="AS2001" s="761"/>
      <c r="AT2001" s="761"/>
      <c r="AU2001" s="761"/>
      <c r="AV2001" s="761"/>
      <c r="AW2001" s="761"/>
      <c r="AX2001" s="761"/>
      <c r="AY2001" s="761"/>
      <c r="AZ2001" s="761"/>
      <c r="BA2001" s="761"/>
      <c r="BB2001" s="761"/>
      <c r="BC2001" s="761"/>
      <c r="BD2001" s="761"/>
      <c r="BE2001" s="761"/>
      <c r="BF2001" s="761"/>
      <c r="BG2001" s="761"/>
      <c r="BH2001" s="761"/>
      <c r="BI2001" s="761"/>
      <c r="BJ2001" s="761"/>
      <c r="BK2001" s="761"/>
      <c r="BL2001" s="761"/>
      <c r="BM2001" s="761"/>
    </row>
    <row r="2002" spans="1:65" s="1691" customFormat="1">
      <c r="A2002" s="762" t="s">
        <v>2339</v>
      </c>
      <c r="B2002" s="762" t="s">
        <v>2340</v>
      </c>
      <c r="C2002" s="762" t="s">
        <v>2531</v>
      </c>
      <c r="D2002" s="762">
        <v>64679054</v>
      </c>
      <c r="E2002" s="762" t="s">
        <v>2972</v>
      </c>
      <c r="F2002" s="762">
        <v>143007269</v>
      </c>
      <c r="G2002" s="762" t="s">
        <v>6961</v>
      </c>
      <c r="H2002" s="1917" t="s">
        <v>7495</v>
      </c>
      <c r="I2002" s="762" t="s">
        <v>6867</v>
      </c>
      <c r="J2002" s="762">
        <v>1</v>
      </c>
      <c r="K2002" s="1911">
        <v>9906.68</v>
      </c>
      <c r="L2002" s="1911">
        <v>319.67</v>
      </c>
      <c r="M2002" s="1911">
        <v>9587.01</v>
      </c>
      <c r="N2002" s="1752" t="str">
        <f t="shared" si="33"/>
        <v>C397</v>
      </c>
      <c r="O2002" s="1752" t="s">
        <v>99</v>
      </c>
      <c r="P2002" s="1752" t="s">
        <v>8005</v>
      </c>
      <c r="Q2002" s="761"/>
      <c r="R2002" s="761"/>
      <c r="S2002" s="761"/>
      <c r="T2002" s="761"/>
      <c r="U2002" s="761"/>
      <c r="V2002" s="761"/>
      <c r="W2002" s="761"/>
      <c r="X2002" s="761"/>
      <c r="Y2002" s="761"/>
      <c r="Z2002" s="761"/>
      <c r="AA2002" s="761"/>
      <c r="AB2002" s="761"/>
      <c r="AC2002" s="761"/>
      <c r="AD2002" s="761"/>
      <c r="AE2002" s="761"/>
      <c r="AF2002" s="761"/>
      <c r="AG2002" s="761"/>
      <c r="AH2002" s="761"/>
      <c r="AI2002" s="761"/>
      <c r="AJ2002" s="761"/>
      <c r="AK2002" s="761"/>
      <c r="AL2002" s="761"/>
      <c r="AM2002" s="761"/>
      <c r="AN2002" s="761"/>
      <c r="AO2002" s="761"/>
      <c r="AP2002" s="761"/>
      <c r="AQ2002" s="761"/>
      <c r="AR2002" s="761"/>
      <c r="AS2002" s="761"/>
      <c r="AT2002" s="761"/>
      <c r="AU2002" s="761"/>
      <c r="AV2002" s="761"/>
      <c r="AW2002" s="761"/>
      <c r="AX2002" s="761"/>
      <c r="AY2002" s="761"/>
      <c r="AZ2002" s="761"/>
      <c r="BA2002" s="761"/>
      <c r="BB2002" s="761"/>
      <c r="BC2002" s="761"/>
      <c r="BD2002" s="761"/>
      <c r="BE2002" s="761"/>
      <c r="BF2002" s="761"/>
      <c r="BG2002" s="761"/>
      <c r="BH2002" s="761"/>
      <c r="BI2002" s="761"/>
      <c r="BJ2002" s="761"/>
      <c r="BK2002" s="761"/>
      <c r="BL2002" s="761"/>
      <c r="BM2002" s="761"/>
    </row>
    <row r="2003" spans="1:65" s="1691" customFormat="1">
      <c r="A2003" s="762" t="s">
        <v>2339</v>
      </c>
      <c r="B2003" s="762" t="s">
        <v>2340</v>
      </c>
      <c r="C2003" s="762" t="s">
        <v>2487</v>
      </c>
      <c r="D2003" s="762">
        <v>65704896</v>
      </c>
      <c r="E2003" s="762" t="s">
        <v>2972</v>
      </c>
      <c r="F2003" s="762">
        <v>143006840</v>
      </c>
      <c r="G2003" s="762" t="s">
        <v>6964</v>
      </c>
      <c r="H2003" s="1917" t="s">
        <v>7962</v>
      </c>
      <c r="I2003" s="762" t="s">
        <v>6867</v>
      </c>
      <c r="J2003" s="762">
        <v>2</v>
      </c>
      <c r="K2003" s="1911">
        <v>11189.77</v>
      </c>
      <c r="L2003" s="1911">
        <v>361.07</v>
      </c>
      <c r="M2003" s="1911">
        <v>10828.7</v>
      </c>
      <c r="N2003" s="1752" t="str">
        <f t="shared" si="33"/>
        <v>C397</v>
      </c>
      <c r="O2003" s="1752" t="s">
        <v>99</v>
      </c>
      <c r="P2003" s="1752" t="s">
        <v>8005</v>
      </c>
      <c r="Q2003" s="761"/>
      <c r="R2003" s="761"/>
      <c r="S2003" s="761"/>
      <c r="T2003" s="761"/>
      <c r="U2003" s="761"/>
      <c r="V2003" s="761"/>
      <c r="W2003" s="761"/>
      <c r="X2003" s="761"/>
      <c r="Y2003" s="761"/>
      <c r="Z2003" s="761"/>
      <c r="AA2003" s="761"/>
      <c r="AB2003" s="761"/>
      <c r="AC2003" s="761"/>
      <c r="AD2003" s="761"/>
      <c r="AE2003" s="761"/>
      <c r="AF2003" s="761"/>
      <c r="AG2003" s="761"/>
      <c r="AH2003" s="761"/>
      <c r="AI2003" s="761"/>
      <c r="AJ2003" s="761"/>
      <c r="AK2003" s="761"/>
      <c r="AL2003" s="761"/>
      <c r="AM2003" s="761"/>
      <c r="AN2003" s="761"/>
      <c r="AO2003" s="761"/>
      <c r="AP2003" s="761"/>
      <c r="AQ2003" s="761"/>
      <c r="AR2003" s="761"/>
      <c r="AS2003" s="761"/>
      <c r="AT2003" s="761"/>
      <c r="AU2003" s="761"/>
      <c r="AV2003" s="761"/>
      <c r="AW2003" s="761"/>
      <c r="AX2003" s="761"/>
      <c r="AY2003" s="761"/>
      <c r="AZ2003" s="761"/>
      <c r="BA2003" s="761"/>
      <c r="BB2003" s="761"/>
      <c r="BC2003" s="761"/>
      <c r="BD2003" s="761"/>
      <c r="BE2003" s="761"/>
      <c r="BF2003" s="761"/>
      <c r="BG2003" s="761"/>
      <c r="BH2003" s="761"/>
      <c r="BI2003" s="761"/>
      <c r="BJ2003" s="761"/>
      <c r="BK2003" s="761"/>
      <c r="BL2003" s="761"/>
      <c r="BM2003" s="761"/>
    </row>
    <row r="2004" spans="1:65" s="1691" customFormat="1">
      <c r="A2004" s="762" t="s">
        <v>2339</v>
      </c>
      <c r="B2004" s="762" t="s">
        <v>2340</v>
      </c>
      <c r="C2004" s="762" t="s">
        <v>2476</v>
      </c>
      <c r="D2004" s="762">
        <v>66071531</v>
      </c>
      <c r="E2004" s="762" t="s">
        <v>2972</v>
      </c>
      <c r="F2004" s="762">
        <v>143007093</v>
      </c>
      <c r="G2004" s="762" t="s">
        <v>6965</v>
      </c>
      <c r="H2004" s="1917" t="s">
        <v>7963</v>
      </c>
      <c r="I2004" s="762" t="s">
        <v>6867</v>
      </c>
      <c r="J2004" s="762">
        <v>13</v>
      </c>
      <c r="K2004" s="1911">
        <v>25609.71</v>
      </c>
      <c r="L2004" s="1911">
        <v>826.37</v>
      </c>
      <c r="M2004" s="1911">
        <v>24783.34</v>
      </c>
      <c r="N2004" s="1752" t="str">
        <f t="shared" si="33"/>
        <v>C397</v>
      </c>
      <c r="O2004" s="1752" t="s">
        <v>99</v>
      </c>
      <c r="P2004" s="1752" t="s">
        <v>8005</v>
      </c>
      <c r="Q2004" s="761"/>
      <c r="R2004" s="761"/>
      <c r="S2004" s="761"/>
      <c r="T2004" s="761"/>
      <c r="U2004" s="761"/>
      <c r="V2004" s="761"/>
      <c r="W2004" s="761"/>
      <c r="X2004" s="761"/>
      <c r="Y2004" s="761"/>
      <c r="Z2004" s="761"/>
      <c r="AA2004" s="761"/>
      <c r="AB2004" s="761"/>
      <c r="AC2004" s="761"/>
      <c r="AD2004" s="761"/>
      <c r="AE2004" s="761"/>
      <c r="AF2004" s="761"/>
      <c r="AG2004" s="761"/>
      <c r="AH2004" s="761"/>
      <c r="AI2004" s="761"/>
      <c r="AJ2004" s="761"/>
      <c r="AK2004" s="761"/>
      <c r="AL2004" s="761"/>
      <c r="AM2004" s="761"/>
      <c r="AN2004" s="761"/>
      <c r="AO2004" s="761"/>
      <c r="AP2004" s="761"/>
      <c r="AQ2004" s="761"/>
      <c r="AR2004" s="761"/>
      <c r="AS2004" s="761"/>
      <c r="AT2004" s="761"/>
      <c r="AU2004" s="761"/>
      <c r="AV2004" s="761"/>
      <c r="AW2004" s="761"/>
      <c r="AX2004" s="761"/>
      <c r="AY2004" s="761"/>
      <c r="AZ2004" s="761"/>
      <c r="BA2004" s="761"/>
      <c r="BB2004" s="761"/>
      <c r="BC2004" s="761"/>
      <c r="BD2004" s="761"/>
      <c r="BE2004" s="761"/>
      <c r="BF2004" s="761"/>
      <c r="BG2004" s="761"/>
      <c r="BH2004" s="761"/>
      <c r="BI2004" s="761"/>
      <c r="BJ2004" s="761"/>
      <c r="BK2004" s="761"/>
      <c r="BL2004" s="761"/>
      <c r="BM2004" s="761"/>
    </row>
    <row r="2005" spans="1:65" s="1691" customFormat="1">
      <c r="A2005" s="762" t="s">
        <v>2339</v>
      </c>
      <c r="B2005" s="762" t="s">
        <v>2340</v>
      </c>
      <c r="C2005" s="762" t="s">
        <v>2476</v>
      </c>
      <c r="D2005" s="762">
        <v>66071534</v>
      </c>
      <c r="E2005" s="762" t="s">
        <v>2972</v>
      </c>
      <c r="F2005" s="762">
        <v>143007094</v>
      </c>
      <c r="G2005" s="762" t="s">
        <v>6966</v>
      </c>
      <c r="H2005" s="1917" t="s">
        <v>7964</v>
      </c>
      <c r="I2005" s="762" t="s">
        <v>6867</v>
      </c>
      <c r="J2005" s="762">
        <v>2</v>
      </c>
      <c r="K2005" s="1911">
        <v>5988.56</v>
      </c>
      <c r="L2005" s="1911">
        <v>193.24</v>
      </c>
      <c r="M2005" s="1911">
        <v>5795.32</v>
      </c>
      <c r="N2005" s="1752" t="str">
        <f t="shared" si="33"/>
        <v>C397</v>
      </c>
      <c r="O2005" s="1752" t="s">
        <v>99</v>
      </c>
      <c r="P2005" s="1752" t="s">
        <v>8005</v>
      </c>
      <c r="Q2005" s="761"/>
      <c r="R2005" s="761"/>
      <c r="S2005" s="761"/>
      <c r="T2005" s="761"/>
      <c r="U2005" s="761"/>
      <c r="V2005" s="761"/>
      <c r="W2005" s="761"/>
      <c r="X2005" s="761"/>
      <c r="Y2005" s="761"/>
      <c r="Z2005" s="761"/>
      <c r="AA2005" s="761"/>
      <c r="AB2005" s="761"/>
      <c r="AC2005" s="761"/>
      <c r="AD2005" s="761"/>
      <c r="AE2005" s="761"/>
      <c r="AF2005" s="761"/>
      <c r="AG2005" s="761"/>
      <c r="AH2005" s="761"/>
      <c r="AI2005" s="761"/>
      <c r="AJ2005" s="761"/>
      <c r="AK2005" s="761"/>
      <c r="AL2005" s="761"/>
      <c r="AM2005" s="761"/>
      <c r="AN2005" s="761"/>
      <c r="AO2005" s="761"/>
      <c r="AP2005" s="761"/>
      <c r="AQ2005" s="761"/>
      <c r="AR2005" s="761"/>
      <c r="AS2005" s="761"/>
      <c r="AT2005" s="761"/>
      <c r="AU2005" s="761"/>
      <c r="AV2005" s="761"/>
      <c r="AW2005" s="761"/>
      <c r="AX2005" s="761"/>
      <c r="AY2005" s="761"/>
      <c r="AZ2005" s="761"/>
      <c r="BA2005" s="761"/>
      <c r="BB2005" s="761"/>
      <c r="BC2005" s="761"/>
      <c r="BD2005" s="761"/>
      <c r="BE2005" s="761"/>
      <c r="BF2005" s="761"/>
      <c r="BG2005" s="761"/>
      <c r="BH2005" s="761"/>
      <c r="BI2005" s="761"/>
      <c r="BJ2005" s="761"/>
      <c r="BK2005" s="761"/>
      <c r="BL2005" s="761"/>
      <c r="BM2005" s="761"/>
    </row>
    <row r="2006" spans="1:65" s="1691" customFormat="1">
      <c r="A2006" s="762" t="s">
        <v>2339</v>
      </c>
      <c r="B2006" s="762" t="s">
        <v>2340</v>
      </c>
      <c r="C2006" s="762" t="s">
        <v>2476</v>
      </c>
      <c r="D2006" s="762">
        <v>66946119</v>
      </c>
      <c r="E2006" s="762" t="s">
        <v>2972</v>
      </c>
      <c r="F2006" s="762">
        <v>143007488</v>
      </c>
      <c r="G2006" s="762" t="s">
        <v>6968</v>
      </c>
      <c r="H2006" s="1917"/>
      <c r="I2006" s="762" t="s">
        <v>6867</v>
      </c>
      <c r="J2006" s="762">
        <v>2</v>
      </c>
      <c r="K2006" s="1911">
        <v>14108.33</v>
      </c>
      <c r="L2006" s="1911">
        <v>455.24</v>
      </c>
      <c r="M2006" s="1911">
        <v>13653.09</v>
      </c>
      <c r="N2006" s="1752" t="str">
        <f t="shared" si="33"/>
        <v>C397</v>
      </c>
      <c r="O2006" s="1752" t="s">
        <v>99</v>
      </c>
      <c r="P2006" s="1752" t="s">
        <v>8005</v>
      </c>
      <c r="Q2006" s="761"/>
      <c r="R2006" s="761"/>
      <c r="S2006" s="761"/>
      <c r="T2006" s="761"/>
      <c r="U2006" s="761"/>
      <c r="V2006" s="761"/>
      <c r="W2006" s="761"/>
      <c r="X2006" s="761"/>
      <c r="Y2006" s="761"/>
      <c r="Z2006" s="761"/>
      <c r="AA2006" s="761"/>
      <c r="AB2006" s="761"/>
      <c r="AC2006" s="761"/>
      <c r="AD2006" s="761"/>
      <c r="AE2006" s="761"/>
      <c r="AF2006" s="761"/>
      <c r="AG2006" s="761"/>
      <c r="AH2006" s="761"/>
      <c r="AI2006" s="761"/>
      <c r="AJ2006" s="761"/>
      <c r="AK2006" s="761"/>
      <c r="AL2006" s="761"/>
      <c r="AM2006" s="761"/>
      <c r="AN2006" s="761"/>
      <c r="AO2006" s="761"/>
      <c r="AP2006" s="761"/>
      <c r="AQ2006" s="761"/>
      <c r="AR2006" s="761"/>
      <c r="AS2006" s="761"/>
      <c r="AT2006" s="761"/>
      <c r="AU2006" s="761"/>
      <c r="AV2006" s="761"/>
      <c r="AW2006" s="761"/>
      <c r="AX2006" s="761"/>
      <c r="AY2006" s="761"/>
      <c r="AZ2006" s="761"/>
      <c r="BA2006" s="761"/>
      <c r="BB2006" s="761"/>
      <c r="BC2006" s="761"/>
      <c r="BD2006" s="761"/>
      <c r="BE2006" s="761"/>
      <c r="BF2006" s="761"/>
      <c r="BG2006" s="761"/>
      <c r="BH2006" s="761"/>
      <c r="BI2006" s="761"/>
      <c r="BJ2006" s="761"/>
      <c r="BK2006" s="761"/>
      <c r="BL2006" s="761"/>
      <c r="BM2006" s="761"/>
    </row>
    <row r="2007" spans="1:65" s="1691" customFormat="1">
      <c r="A2007" s="762" t="s">
        <v>2339</v>
      </c>
      <c r="B2007" s="762" t="s">
        <v>2340</v>
      </c>
      <c r="C2007" s="762" t="s">
        <v>2517</v>
      </c>
      <c r="D2007" s="762">
        <v>66946131</v>
      </c>
      <c r="E2007" s="762" t="s">
        <v>2972</v>
      </c>
      <c r="F2007" s="762">
        <v>143007801</v>
      </c>
      <c r="G2007" s="762" t="s">
        <v>6967</v>
      </c>
      <c r="H2007" s="1917"/>
      <c r="I2007" s="762" t="s">
        <v>6867</v>
      </c>
      <c r="J2007" s="762">
        <v>2</v>
      </c>
      <c r="K2007" s="1911">
        <v>29325.57</v>
      </c>
      <c r="L2007" s="1911">
        <v>946.27</v>
      </c>
      <c r="M2007" s="1911">
        <v>28379.3</v>
      </c>
      <c r="N2007" s="1752" t="str">
        <f t="shared" si="33"/>
        <v>C397</v>
      </c>
      <c r="O2007" s="1752" t="s">
        <v>99</v>
      </c>
      <c r="P2007" s="1752" t="s">
        <v>8005</v>
      </c>
      <c r="Q2007" s="761"/>
      <c r="R2007" s="761"/>
      <c r="S2007" s="761"/>
      <c r="T2007" s="761"/>
      <c r="U2007" s="761"/>
      <c r="V2007" s="761"/>
      <c r="W2007" s="761"/>
      <c r="X2007" s="761"/>
      <c r="Y2007" s="761"/>
      <c r="Z2007" s="761"/>
      <c r="AA2007" s="761"/>
      <c r="AB2007" s="761"/>
      <c r="AC2007" s="761"/>
      <c r="AD2007" s="761"/>
      <c r="AE2007" s="761"/>
      <c r="AF2007" s="761"/>
      <c r="AG2007" s="761"/>
      <c r="AH2007" s="761"/>
      <c r="AI2007" s="761"/>
      <c r="AJ2007" s="761"/>
      <c r="AK2007" s="761"/>
      <c r="AL2007" s="761"/>
      <c r="AM2007" s="761"/>
      <c r="AN2007" s="761"/>
      <c r="AO2007" s="761"/>
      <c r="AP2007" s="761"/>
      <c r="AQ2007" s="761"/>
      <c r="AR2007" s="761"/>
      <c r="AS2007" s="761"/>
      <c r="AT2007" s="761"/>
      <c r="AU2007" s="761"/>
      <c r="AV2007" s="761"/>
      <c r="AW2007" s="761"/>
      <c r="AX2007" s="761"/>
      <c r="AY2007" s="761"/>
      <c r="AZ2007" s="761"/>
      <c r="BA2007" s="761"/>
      <c r="BB2007" s="761"/>
      <c r="BC2007" s="761"/>
      <c r="BD2007" s="761"/>
      <c r="BE2007" s="761"/>
      <c r="BF2007" s="761"/>
      <c r="BG2007" s="761"/>
      <c r="BH2007" s="761"/>
      <c r="BI2007" s="761"/>
      <c r="BJ2007" s="761"/>
      <c r="BK2007" s="761"/>
      <c r="BL2007" s="761"/>
      <c r="BM2007" s="761"/>
    </row>
    <row r="2008" spans="1:65" s="1691" customFormat="1">
      <c r="A2008" s="762" t="s">
        <v>2339</v>
      </c>
      <c r="B2008" s="762" t="s">
        <v>2340</v>
      </c>
      <c r="C2008" s="762" t="s">
        <v>2476</v>
      </c>
      <c r="D2008" s="762">
        <v>67451089</v>
      </c>
      <c r="E2008" s="762" t="s">
        <v>2972</v>
      </c>
      <c r="F2008" s="762">
        <v>143007265</v>
      </c>
      <c r="G2008" s="762" t="s">
        <v>6969</v>
      </c>
      <c r="H2008" s="1917" t="s">
        <v>7965</v>
      </c>
      <c r="I2008" s="762" t="s">
        <v>6867</v>
      </c>
      <c r="J2008" s="762">
        <v>6</v>
      </c>
      <c r="K2008" s="1911">
        <v>44582.15</v>
      </c>
      <c r="L2008" s="1911">
        <v>1438.56</v>
      </c>
      <c r="M2008" s="1911">
        <v>43143.590000000004</v>
      </c>
      <c r="N2008" s="1752" t="str">
        <f t="shared" si="33"/>
        <v>C397</v>
      </c>
      <c r="O2008" s="1752" t="s">
        <v>99</v>
      </c>
      <c r="P2008" s="1752" t="s">
        <v>8005</v>
      </c>
      <c r="Q2008" s="761"/>
      <c r="R2008" s="761"/>
      <c r="S2008" s="761"/>
      <c r="T2008" s="761"/>
      <c r="U2008" s="761"/>
      <c r="V2008" s="761"/>
      <c r="W2008" s="761"/>
      <c r="X2008" s="761"/>
      <c r="Y2008" s="761"/>
      <c r="Z2008" s="761"/>
      <c r="AA2008" s="761"/>
      <c r="AB2008" s="761"/>
      <c r="AC2008" s="761"/>
      <c r="AD2008" s="761"/>
      <c r="AE2008" s="761"/>
      <c r="AF2008" s="761"/>
      <c r="AG2008" s="761"/>
      <c r="AH2008" s="761"/>
      <c r="AI2008" s="761"/>
      <c r="AJ2008" s="761"/>
      <c r="AK2008" s="761"/>
      <c r="AL2008" s="761"/>
      <c r="AM2008" s="761"/>
      <c r="AN2008" s="761"/>
      <c r="AO2008" s="761"/>
      <c r="AP2008" s="761"/>
      <c r="AQ2008" s="761"/>
      <c r="AR2008" s="761"/>
      <c r="AS2008" s="761"/>
      <c r="AT2008" s="761"/>
      <c r="AU2008" s="761"/>
      <c r="AV2008" s="761"/>
      <c r="AW2008" s="761"/>
      <c r="AX2008" s="761"/>
      <c r="AY2008" s="761"/>
      <c r="AZ2008" s="761"/>
      <c r="BA2008" s="761"/>
      <c r="BB2008" s="761"/>
      <c r="BC2008" s="761"/>
      <c r="BD2008" s="761"/>
      <c r="BE2008" s="761"/>
      <c r="BF2008" s="761"/>
      <c r="BG2008" s="761"/>
      <c r="BH2008" s="761"/>
      <c r="BI2008" s="761"/>
      <c r="BJ2008" s="761"/>
      <c r="BK2008" s="761"/>
      <c r="BL2008" s="761"/>
      <c r="BM2008" s="761"/>
    </row>
    <row r="2009" spans="1:65" s="1691" customFormat="1">
      <c r="A2009" s="762" t="s">
        <v>2339</v>
      </c>
      <c r="B2009" s="762" t="s">
        <v>2340</v>
      </c>
      <c r="C2009" s="762" t="s">
        <v>2517</v>
      </c>
      <c r="D2009" s="762">
        <v>67797782</v>
      </c>
      <c r="E2009" s="762" t="s">
        <v>2972</v>
      </c>
      <c r="F2009" s="762">
        <v>143006465</v>
      </c>
      <c r="G2009" s="762" t="s">
        <v>6970</v>
      </c>
      <c r="H2009" s="1917" t="s">
        <v>7966</v>
      </c>
      <c r="I2009" s="762" t="s">
        <v>6867</v>
      </c>
      <c r="J2009" s="762">
        <v>2</v>
      </c>
      <c r="K2009" s="1911">
        <v>17377.939999999999</v>
      </c>
      <c r="L2009" s="1911">
        <v>560.75</v>
      </c>
      <c r="M2009" s="1911">
        <v>16817.189999999999</v>
      </c>
      <c r="N2009" s="1752" t="str">
        <f t="shared" si="33"/>
        <v>C397</v>
      </c>
      <c r="O2009" s="1752" t="s">
        <v>99</v>
      </c>
      <c r="P2009" s="1752" t="s">
        <v>8005</v>
      </c>
      <c r="Q2009" s="761"/>
      <c r="R2009" s="761"/>
      <c r="S2009" s="761"/>
      <c r="T2009" s="761"/>
      <c r="U2009" s="761"/>
      <c r="V2009" s="761"/>
      <c r="W2009" s="761"/>
      <c r="X2009" s="761"/>
      <c r="Y2009" s="761"/>
      <c r="Z2009" s="761"/>
      <c r="AA2009" s="761"/>
      <c r="AB2009" s="761"/>
      <c r="AC2009" s="761"/>
      <c r="AD2009" s="761"/>
      <c r="AE2009" s="761"/>
      <c r="AF2009" s="761"/>
      <c r="AG2009" s="761"/>
      <c r="AH2009" s="761"/>
      <c r="AI2009" s="761"/>
      <c r="AJ2009" s="761"/>
      <c r="AK2009" s="761"/>
      <c r="AL2009" s="761"/>
      <c r="AM2009" s="761"/>
      <c r="AN2009" s="761"/>
      <c r="AO2009" s="761"/>
      <c r="AP2009" s="761"/>
      <c r="AQ2009" s="761"/>
      <c r="AR2009" s="761"/>
      <c r="AS2009" s="761"/>
      <c r="AT2009" s="761"/>
      <c r="AU2009" s="761"/>
      <c r="AV2009" s="761"/>
      <c r="AW2009" s="761"/>
      <c r="AX2009" s="761"/>
      <c r="AY2009" s="761"/>
      <c r="AZ2009" s="761"/>
      <c r="BA2009" s="761"/>
      <c r="BB2009" s="761"/>
      <c r="BC2009" s="761"/>
      <c r="BD2009" s="761"/>
      <c r="BE2009" s="761"/>
      <c r="BF2009" s="761"/>
      <c r="BG2009" s="761"/>
      <c r="BH2009" s="761"/>
      <c r="BI2009" s="761"/>
      <c r="BJ2009" s="761"/>
      <c r="BK2009" s="761"/>
      <c r="BL2009" s="761"/>
      <c r="BM2009" s="761"/>
    </row>
    <row r="2010" spans="1:65" s="1691" customFormat="1">
      <c r="A2010" s="762" t="s">
        <v>2339</v>
      </c>
      <c r="B2010" s="762" t="s">
        <v>2340</v>
      </c>
      <c r="C2010" s="762" t="s">
        <v>2527</v>
      </c>
      <c r="D2010" s="762">
        <v>67797785</v>
      </c>
      <c r="E2010" s="762" t="s">
        <v>2972</v>
      </c>
      <c r="F2010" s="762">
        <v>143006466</v>
      </c>
      <c r="G2010" s="762" t="s">
        <v>6971</v>
      </c>
      <c r="H2010" s="1917" t="s">
        <v>7967</v>
      </c>
      <c r="I2010" s="762" t="s">
        <v>6867</v>
      </c>
      <c r="J2010" s="762">
        <v>3</v>
      </c>
      <c r="K2010" s="1911">
        <v>28573.91</v>
      </c>
      <c r="L2010" s="1911">
        <v>922.01</v>
      </c>
      <c r="M2010" s="1911">
        <v>27651.9</v>
      </c>
      <c r="N2010" s="1752" t="str">
        <f t="shared" si="33"/>
        <v>C397</v>
      </c>
      <c r="O2010" s="1752" t="s">
        <v>99</v>
      </c>
      <c r="P2010" s="1752" t="s">
        <v>8005</v>
      </c>
      <c r="Q2010" s="761"/>
      <c r="R2010" s="761"/>
      <c r="S2010" s="761"/>
      <c r="T2010" s="761"/>
      <c r="U2010" s="761"/>
      <c r="V2010" s="761"/>
      <c r="W2010" s="761"/>
      <c r="X2010" s="761"/>
      <c r="Y2010" s="761"/>
      <c r="Z2010" s="761"/>
      <c r="AA2010" s="761"/>
      <c r="AB2010" s="761"/>
      <c r="AC2010" s="761"/>
      <c r="AD2010" s="761"/>
      <c r="AE2010" s="761"/>
      <c r="AF2010" s="761"/>
      <c r="AG2010" s="761"/>
      <c r="AH2010" s="761"/>
      <c r="AI2010" s="761"/>
      <c r="AJ2010" s="761"/>
      <c r="AK2010" s="761"/>
      <c r="AL2010" s="761"/>
      <c r="AM2010" s="761"/>
      <c r="AN2010" s="761"/>
      <c r="AO2010" s="761"/>
      <c r="AP2010" s="761"/>
      <c r="AQ2010" s="761"/>
      <c r="AR2010" s="761"/>
      <c r="AS2010" s="761"/>
      <c r="AT2010" s="761"/>
      <c r="AU2010" s="761"/>
      <c r="AV2010" s="761"/>
      <c r="AW2010" s="761"/>
      <c r="AX2010" s="761"/>
      <c r="AY2010" s="761"/>
      <c r="AZ2010" s="761"/>
      <c r="BA2010" s="761"/>
      <c r="BB2010" s="761"/>
      <c r="BC2010" s="761"/>
      <c r="BD2010" s="761"/>
      <c r="BE2010" s="761"/>
      <c r="BF2010" s="761"/>
      <c r="BG2010" s="761"/>
      <c r="BH2010" s="761"/>
      <c r="BI2010" s="761"/>
      <c r="BJ2010" s="761"/>
      <c r="BK2010" s="761"/>
      <c r="BL2010" s="761"/>
      <c r="BM2010" s="761"/>
    </row>
    <row r="2011" spans="1:65" s="1691" customFormat="1">
      <c r="A2011" s="762" t="s">
        <v>2339</v>
      </c>
      <c r="B2011" s="762" t="s">
        <v>2340</v>
      </c>
      <c r="C2011" s="762" t="s">
        <v>2487</v>
      </c>
      <c r="D2011" s="762">
        <v>67797803</v>
      </c>
      <c r="E2011" s="762" t="s">
        <v>2972</v>
      </c>
      <c r="F2011" s="762">
        <v>143007045</v>
      </c>
      <c r="G2011" s="762" t="s">
        <v>6972</v>
      </c>
      <c r="H2011" s="1917" t="s">
        <v>7968</v>
      </c>
      <c r="I2011" s="762" t="s">
        <v>6867</v>
      </c>
      <c r="J2011" s="762">
        <v>3</v>
      </c>
      <c r="K2011" s="1911">
        <v>85856.25</v>
      </c>
      <c r="L2011" s="1911">
        <v>2770.38</v>
      </c>
      <c r="M2011" s="1911">
        <v>83085.87</v>
      </c>
      <c r="N2011" s="1752" t="str">
        <f t="shared" si="33"/>
        <v>C397</v>
      </c>
      <c r="O2011" s="1752" t="s">
        <v>99</v>
      </c>
      <c r="P2011" s="1752" t="s">
        <v>8005</v>
      </c>
      <c r="Q2011" s="761"/>
      <c r="R2011" s="761"/>
      <c r="S2011" s="761"/>
      <c r="T2011" s="761"/>
      <c r="U2011" s="761"/>
      <c r="V2011" s="761"/>
      <c r="W2011" s="761"/>
      <c r="X2011" s="761"/>
      <c r="Y2011" s="761"/>
      <c r="Z2011" s="761"/>
      <c r="AA2011" s="761"/>
      <c r="AB2011" s="761"/>
      <c r="AC2011" s="761"/>
      <c r="AD2011" s="761"/>
      <c r="AE2011" s="761"/>
      <c r="AF2011" s="761"/>
      <c r="AG2011" s="761"/>
      <c r="AH2011" s="761"/>
      <c r="AI2011" s="761"/>
      <c r="AJ2011" s="761"/>
      <c r="AK2011" s="761"/>
      <c r="AL2011" s="761"/>
      <c r="AM2011" s="761"/>
      <c r="AN2011" s="761"/>
      <c r="AO2011" s="761"/>
      <c r="AP2011" s="761"/>
      <c r="AQ2011" s="761"/>
      <c r="AR2011" s="761"/>
      <c r="AS2011" s="761"/>
      <c r="AT2011" s="761"/>
      <c r="AU2011" s="761"/>
      <c r="AV2011" s="761"/>
      <c r="AW2011" s="761"/>
      <c r="AX2011" s="761"/>
      <c r="AY2011" s="761"/>
      <c r="AZ2011" s="761"/>
      <c r="BA2011" s="761"/>
      <c r="BB2011" s="761"/>
      <c r="BC2011" s="761"/>
      <c r="BD2011" s="761"/>
      <c r="BE2011" s="761"/>
      <c r="BF2011" s="761"/>
      <c r="BG2011" s="761"/>
      <c r="BH2011" s="761"/>
      <c r="BI2011" s="761"/>
      <c r="BJ2011" s="761"/>
      <c r="BK2011" s="761"/>
      <c r="BL2011" s="761"/>
      <c r="BM2011" s="761"/>
    </row>
    <row r="2012" spans="1:65" s="1691" customFormat="1">
      <c r="A2012" s="762" t="s">
        <v>2339</v>
      </c>
      <c r="B2012" s="762" t="s">
        <v>2340</v>
      </c>
      <c r="C2012" s="762" t="s">
        <v>2476</v>
      </c>
      <c r="D2012" s="762">
        <v>67797809</v>
      </c>
      <c r="E2012" s="762" t="s">
        <v>2972</v>
      </c>
      <c r="F2012" s="762">
        <v>143007091</v>
      </c>
      <c r="G2012" s="762" t="s">
        <v>6974</v>
      </c>
      <c r="H2012" s="1917" t="s">
        <v>7969</v>
      </c>
      <c r="I2012" s="762" t="s">
        <v>6867</v>
      </c>
      <c r="J2012" s="762">
        <v>3</v>
      </c>
      <c r="K2012" s="1911">
        <v>373039.09</v>
      </c>
      <c r="L2012" s="1911">
        <v>12037.11</v>
      </c>
      <c r="M2012" s="1911">
        <v>361001.98</v>
      </c>
      <c r="N2012" s="1752" t="str">
        <f t="shared" si="33"/>
        <v>C397</v>
      </c>
      <c r="O2012" s="1752" t="s">
        <v>99</v>
      </c>
      <c r="P2012" s="1752" t="s">
        <v>8005</v>
      </c>
      <c r="Q2012" s="761"/>
      <c r="R2012" s="761"/>
      <c r="S2012" s="761"/>
      <c r="T2012" s="761"/>
      <c r="U2012" s="761"/>
      <c r="V2012" s="761"/>
      <c r="W2012" s="761"/>
      <c r="X2012" s="761"/>
      <c r="Y2012" s="761"/>
      <c r="Z2012" s="761"/>
      <c r="AA2012" s="761"/>
      <c r="AB2012" s="761"/>
      <c r="AC2012" s="761"/>
      <c r="AD2012" s="761"/>
      <c r="AE2012" s="761"/>
      <c r="AF2012" s="761"/>
      <c r="AG2012" s="761"/>
      <c r="AH2012" s="761"/>
      <c r="AI2012" s="761"/>
      <c r="AJ2012" s="761"/>
      <c r="AK2012" s="761"/>
      <c r="AL2012" s="761"/>
      <c r="AM2012" s="761"/>
      <c r="AN2012" s="761"/>
      <c r="AO2012" s="761"/>
      <c r="AP2012" s="761"/>
      <c r="AQ2012" s="761"/>
      <c r="AR2012" s="761"/>
      <c r="AS2012" s="761"/>
      <c r="AT2012" s="761"/>
      <c r="AU2012" s="761"/>
      <c r="AV2012" s="761"/>
      <c r="AW2012" s="761"/>
      <c r="AX2012" s="761"/>
      <c r="AY2012" s="761"/>
      <c r="AZ2012" s="761"/>
      <c r="BA2012" s="761"/>
      <c r="BB2012" s="761"/>
      <c r="BC2012" s="761"/>
      <c r="BD2012" s="761"/>
      <c r="BE2012" s="761"/>
      <c r="BF2012" s="761"/>
      <c r="BG2012" s="761"/>
      <c r="BH2012" s="761"/>
      <c r="BI2012" s="761"/>
      <c r="BJ2012" s="761"/>
      <c r="BK2012" s="761"/>
      <c r="BL2012" s="761"/>
      <c r="BM2012" s="761"/>
    </row>
    <row r="2013" spans="1:65" s="1691" customFormat="1">
      <c r="A2013" s="762" t="s">
        <v>2339</v>
      </c>
      <c r="B2013" s="762" t="s">
        <v>2340</v>
      </c>
      <c r="C2013" s="762" t="s">
        <v>2476</v>
      </c>
      <c r="D2013" s="762">
        <v>67797812</v>
      </c>
      <c r="E2013" s="762" t="s">
        <v>2972</v>
      </c>
      <c r="F2013" s="762">
        <v>143007092</v>
      </c>
      <c r="G2013" s="762" t="s">
        <v>6975</v>
      </c>
      <c r="H2013" s="1917" t="s">
        <v>7970</v>
      </c>
      <c r="I2013" s="762" t="s">
        <v>6867</v>
      </c>
      <c r="J2013" s="762">
        <v>2</v>
      </c>
      <c r="K2013" s="1911">
        <v>67398.61</v>
      </c>
      <c r="L2013" s="1911">
        <v>2174.8000000000002</v>
      </c>
      <c r="M2013" s="1911">
        <v>65223.810000000005</v>
      </c>
      <c r="N2013" s="1752" t="str">
        <f t="shared" si="33"/>
        <v>C397</v>
      </c>
      <c r="O2013" s="1752" t="s">
        <v>99</v>
      </c>
      <c r="P2013" s="1752" t="s">
        <v>8005</v>
      </c>
      <c r="Q2013" s="761"/>
      <c r="R2013" s="761"/>
      <c r="S2013" s="761"/>
      <c r="T2013" s="761"/>
      <c r="U2013" s="761"/>
      <c r="V2013" s="761"/>
      <c r="W2013" s="761"/>
      <c r="X2013" s="761"/>
      <c r="Y2013" s="761"/>
      <c r="Z2013" s="761"/>
      <c r="AA2013" s="761"/>
      <c r="AB2013" s="761"/>
      <c r="AC2013" s="761"/>
      <c r="AD2013" s="761"/>
      <c r="AE2013" s="761"/>
      <c r="AF2013" s="761"/>
      <c r="AG2013" s="761"/>
      <c r="AH2013" s="761"/>
      <c r="AI2013" s="761"/>
      <c r="AJ2013" s="761"/>
      <c r="AK2013" s="761"/>
      <c r="AL2013" s="761"/>
      <c r="AM2013" s="761"/>
      <c r="AN2013" s="761"/>
      <c r="AO2013" s="761"/>
      <c r="AP2013" s="761"/>
      <c r="AQ2013" s="761"/>
      <c r="AR2013" s="761"/>
      <c r="AS2013" s="761"/>
      <c r="AT2013" s="761"/>
      <c r="AU2013" s="761"/>
      <c r="AV2013" s="761"/>
      <c r="AW2013" s="761"/>
      <c r="AX2013" s="761"/>
      <c r="AY2013" s="761"/>
      <c r="AZ2013" s="761"/>
      <c r="BA2013" s="761"/>
      <c r="BB2013" s="761"/>
      <c r="BC2013" s="761"/>
      <c r="BD2013" s="761"/>
      <c r="BE2013" s="761"/>
      <c r="BF2013" s="761"/>
      <c r="BG2013" s="761"/>
      <c r="BH2013" s="761"/>
      <c r="BI2013" s="761"/>
      <c r="BJ2013" s="761"/>
      <c r="BK2013" s="761"/>
      <c r="BL2013" s="761"/>
      <c r="BM2013" s="761"/>
    </row>
    <row r="2014" spans="1:65" s="1691" customFormat="1">
      <c r="A2014" s="762" t="s">
        <v>2339</v>
      </c>
      <c r="B2014" s="762" t="s">
        <v>2340</v>
      </c>
      <c r="C2014" s="762" t="s">
        <v>2476</v>
      </c>
      <c r="D2014" s="762">
        <v>67797818</v>
      </c>
      <c r="E2014" s="762" t="s">
        <v>2972</v>
      </c>
      <c r="F2014" s="762">
        <v>143007196</v>
      </c>
      <c r="G2014" s="762" t="s">
        <v>6976</v>
      </c>
      <c r="H2014" s="1917" t="s">
        <v>7971</v>
      </c>
      <c r="I2014" s="762" t="s">
        <v>6867</v>
      </c>
      <c r="J2014" s="762">
        <v>3</v>
      </c>
      <c r="K2014" s="1911">
        <v>112585.38</v>
      </c>
      <c r="L2014" s="1911">
        <v>3632.87</v>
      </c>
      <c r="M2014" s="1911">
        <v>108952.51000000001</v>
      </c>
      <c r="N2014" s="1752" t="str">
        <f t="shared" si="33"/>
        <v>C397</v>
      </c>
      <c r="O2014" s="1752" t="s">
        <v>99</v>
      </c>
      <c r="P2014" s="1752" t="s">
        <v>8005</v>
      </c>
      <c r="Q2014" s="761"/>
      <c r="R2014" s="761"/>
      <c r="S2014" s="761"/>
      <c r="T2014" s="761"/>
      <c r="U2014" s="761"/>
      <c r="V2014" s="761"/>
      <c r="W2014" s="761"/>
      <c r="X2014" s="761"/>
      <c r="Y2014" s="761"/>
      <c r="Z2014" s="761"/>
      <c r="AA2014" s="761"/>
      <c r="AB2014" s="761"/>
      <c r="AC2014" s="761"/>
      <c r="AD2014" s="761"/>
      <c r="AE2014" s="761"/>
      <c r="AF2014" s="761"/>
      <c r="AG2014" s="761"/>
      <c r="AH2014" s="761"/>
      <c r="AI2014" s="761"/>
      <c r="AJ2014" s="761"/>
      <c r="AK2014" s="761"/>
      <c r="AL2014" s="761"/>
      <c r="AM2014" s="761"/>
      <c r="AN2014" s="761"/>
      <c r="AO2014" s="761"/>
      <c r="AP2014" s="761"/>
      <c r="AQ2014" s="761"/>
      <c r="AR2014" s="761"/>
      <c r="AS2014" s="761"/>
      <c r="AT2014" s="761"/>
      <c r="AU2014" s="761"/>
      <c r="AV2014" s="761"/>
      <c r="AW2014" s="761"/>
      <c r="AX2014" s="761"/>
      <c r="AY2014" s="761"/>
      <c r="AZ2014" s="761"/>
      <c r="BA2014" s="761"/>
      <c r="BB2014" s="761"/>
      <c r="BC2014" s="761"/>
      <c r="BD2014" s="761"/>
      <c r="BE2014" s="761"/>
      <c r="BF2014" s="761"/>
      <c r="BG2014" s="761"/>
      <c r="BH2014" s="761"/>
      <c r="BI2014" s="761"/>
      <c r="BJ2014" s="761"/>
      <c r="BK2014" s="761"/>
      <c r="BL2014" s="761"/>
      <c r="BM2014" s="761"/>
    </row>
    <row r="2015" spans="1:65" s="1691" customFormat="1">
      <c r="A2015" s="762" t="s">
        <v>2339</v>
      </c>
      <c r="B2015" s="762" t="s">
        <v>2340</v>
      </c>
      <c r="C2015" s="762" t="s">
        <v>2476</v>
      </c>
      <c r="D2015" s="762">
        <v>67797821</v>
      </c>
      <c r="E2015" s="762" t="s">
        <v>2972</v>
      </c>
      <c r="F2015" s="762">
        <v>143007197</v>
      </c>
      <c r="G2015" s="762" t="s">
        <v>6977</v>
      </c>
      <c r="H2015" s="1917" t="s">
        <v>7972</v>
      </c>
      <c r="I2015" s="762" t="s">
        <v>6867</v>
      </c>
      <c r="J2015" s="762">
        <v>3</v>
      </c>
      <c r="K2015" s="1911">
        <v>62198.29</v>
      </c>
      <c r="L2015" s="1911">
        <v>2006.99</v>
      </c>
      <c r="M2015" s="1911">
        <v>60191.3</v>
      </c>
      <c r="N2015" s="1752" t="str">
        <f t="shared" si="33"/>
        <v>C397</v>
      </c>
      <c r="O2015" s="1752" t="s">
        <v>99</v>
      </c>
      <c r="P2015" s="1752" t="s">
        <v>8005</v>
      </c>
      <c r="Q2015" s="761"/>
      <c r="R2015" s="761"/>
      <c r="S2015" s="761"/>
      <c r="T2015" s="761"/>
      <c r="U2015" s="761"/>
      <c r="V2015" s="761"/>
      <c r="W2015" s="761"/>
      <c r="X2015" s="761"/>
      <c r="Y2015" s="761"/>
      <c r="Z2015" s="761"/>
      <c r="AA2015" s="761"/>
      <c r="AB2015" s="761"/>
      <c r="AC2015" s="761"/>
      <c r="AD2015" s="761"/>
      <c r="AE2015" s="761"/>
      <c r="AF2015" s="761"/>
      <c r="AG2015" s="761"/>
      <c r="AH2015" s="761"/>
      <c r="AI2015" s="761"/>
      <c r="AJ2015" s="761"/>
      <c r="AK2015" s="761"/>
      <c r="AL2015" s="761"/>
      <c r="AM2015" s="761"/>
      <c r="AN2015" s="761"/>
      <c r="AO2015" s="761"/>
      <c r="AP2015" s="761"/>
      <c r="AQ2015" s="761"/>
      <c r="AR2015" s="761"/>
      <c r="AS2015" s="761"/>
      <c r="AT2015" s="761"/>
      <c r="AU2015" s="761"/>
      <c r="AV2015" s="761"/>
      <c r="AW2015" s="761"/>
      <c r="AX2015" s="761"/>
      <c r="AY2015" s="761"/>
      <c r="AZ2015" s="761"/>
      <c r="BA2015" s="761"/>
      <c r="BB2015" s="761"/>
      <c r="BC2015" s="761"/>
      <c r="BD2015" s="761"/>
      <c r="BE2015" s="761"/>
      <c r="BF2015" s="761"/>
      <c r="BG2015" s="761"/>
      <c r="BH2015" s="761"/>
      <c r="BI2015" s="761"/>
      <c r="BJ2015" s="761"/>
      <c r="BK2015" s="761"/>
      <c r="BL2015" s="761"/>
      <c r="BM2015" s="761"/>
    </row>
    <row r="2016" spans="1:65" s="1691" customFormat="1">
      <c r="A2016" s="762" t="s">
        <v>2339</v>
      </c>
      <c r="B2016" s="762" t="s">
        <v>2340</v>
      </c>
      <c r="C2016" s="762" t="s">
        <v>2527</v>
      </c>
      <c r="D2016" s="762">
        <v>67797849</v>
      </c>
      <c r="E2016" s="762" t="s">
        <v>2972</v>
      </c>
      <c r="F2016" s="762">
        <v>143007565</v>
      </c>
      <c r="G2016" s="762" t="s">
        <v>6973</v>
      </c>
      <c r="H2016" s="1917"/>
      <c r="I2016" s="762" t="s">
        <v>6867</v>
      </c>
      <c r="J2016" s="762">
        <v>2</v>
      </c>
      <c r="K2016" s="1911">
        <v>3147.65</v>
      </c>
      <c r="L2016" s="1911">
        <v>101.57000000000001</v>
      </c>
      <c r="M2016" s="1911">
        <v>3046.08</v>
      </c>
      <c r="N2016" s="1752" t="str">
        <f t="shared" si="33"/>
        <v>C397</v>
      </c>
      <c r="O2016" s="1752" t="s">
        <v>99</v>
      </c>
      <c r="P2016" s="1752" t="s">
        <v>8005</v>
      </c>
      <c r="Q2016" s="761"/>
      <c r="R2016" s="761"/>
      <c r="S2016" s="761"/>
      <c r="T2016" s="761"/>
      <c r="U2016" s="761"/>
      <c r="V2016" s="761"/>
      <c r="W2016" s="761"/>
      <c r="X2016" s="761"/>
      <c r="Y2016" s="761"/>
      <c r="Z2016" s="761"/>
      <c r="AA2016" s="761"/>
      <c r="AB2016" s="761"/>
      <c r="AC2016" s="761"/>
      <c r="AD2016" s="761"/>
      <c r="AE2016" s="761"/>
      <c r="AF2016" s="761"/>
      <c r="AG2016" s="761"/>
      <c r="AH2016" s="761"/>
      <c r="AI2016" s="761"/>
      <c r="AJ2016" s="761"/>
      <c r="AK2016" s="761"/>
      <c r="AL2016" s="761"/>
      <c r="AM2016" s="761"/>
      <c r="AN2016" s="761"/>
      <c r="AO2016" s="761"/>
      <c r="AP2016" s="761"/>
      <c r="AQ2016" s="761"/>
      <c r="AR2016" s="761"/>
      <c r="AS2016" s="761"/>
      <c r="AT2016" s="761"/>
      <c r="AU2016" s="761"/>
      <c r="AV2016" s="761"/>
      <c r="AW2016" s="761"/>
      <c r="AX2016" s="761"/>
      <c r="AY2016" s="761"/>
      <c r="AZ2016" s="761"/>
      <c r="BA2016" s="761"/>
      <c r="BB2016" s="761"/>
      <c r="BC2016" s="761"/>
      <c r="BD2016" s="761"/>
      <c r="BE2016" s="761"/>
      <c r="BF2016" s="761"/>
      <c r="BG2016" s="761"/>
      <c r="BH2016" s="761"/>
      <c r="BI2016" s="761"/>
      <c r="BJ2016" s="761"/>
      <c r="BK2016" s="761"/>
      <c r="BL2016" s="761"/>
      <c r="BM2016" s="761"/>
    </row>
    <row r="2017" spans="1:65" s="1691" customFormat="1">
      <c r="A2017" s="762" t="s">
        <v>2339</v>
      </c>
      <c r="B2017" s="762" t="s">
        <v>2340</v>
      </c>
      <c r="C2017" s="762" t="s">
        <v>2542</v>
      </c>
      <c r="D2017" s="762">
        <v>67797852</v>
      </c>
      <c r="E2017" s="762" t="s">
        <v>2972</v>
      </c>
      <c r="F2017" s="762">
        <v>143007581</v>
      </c>
      <c r="G2017" s="762" t="s">
        <v>6978</v>
      </c>
      <c r="H2017" s="1917"/>
      <c r="I2017" s="762" t="s">
        <v>6867</v>
      </c>
      <c r="J2017" s="762">
        <v>1</v>
      </c>
      <c r="K2017" s="1911">
        <v>10948.1</v>
      </c>
      <c r="L2017" s="1911">
        <v>353.27</v>
      </c>
      <c r="M2017" s="1911">
        <v>10594.83</v>
      </c>
      <c r="N2017" s="1752" t="str">
        <f t="shared" si="33"/>
        <v>C397</v>
      </c>
      <c r="O2017" s="1752" t="s">
        <v>99</v>
      </c>
      <c r="P2017" s="1752" t="s">
        <v>8005</v>
      </c>
      <c r="Q2017" s="761"/>
      <c r="R2017" s="761"/>
      <c r="S2017" s="761"/>
      <c r="T2017" s="761"/>
      <c r="U2017" s="761"/>
      <c r="V2017" s="761"/>
      <c r="W2017" s="761"/>
      <c r="X2017" s="761"/>
      <c r="Y2017" s="761"/>
      <c r="Z2017" s="761"/>
      <c r="AA2017" s="761"/>
      <c r="AB2017" s="761"/>
      <c r="AC2017" s="761"/>
      <c r="AD2017" s="761"/>
      <c r="AE2017" s="761"/>
      <c r="AF2017" s="761"/>
      <c r="AG2017" s="761"/>
      <c r="AH2017" s="761"/>
      <c r="AI2017" s="761"/>
      <c r="AJ2017" s="761"/>
      <c r="AK2017" s="761"/>
      <c r="AL2017" s="761"/>
      <c r="AM2017" s="761"/>
      <c r="AN2017" s="761"/>
      <c r="AO2017" s="761"/>
      <c r="AP2017" s="761"/>
      <c r="AQ2017" s="761"/>
      <c r="AR2017" s="761"/>
      <c r="AS2017" s="761"/>
      <c r="AT2017" s="761"/>
      <c r="AU2017" s="761"/>
      <c r="AV2017" s="761"/>
      <c r="AW2017" s="761"/>
      <c r="AX2017" s="761"/>
      <c r="AY2017" s="761"/>
      <c r="AZ2017" s="761"/>
      <c r="BA2017" s="761"/>
      <c r="BB2017" s="761"/>
      <c r="BC2017" s="761"/>
      <c r="BD2017" s="761"/>
      <c r="BE2017" s="761"/>
      <c r="BF2017" s="761"/>
      <c r="BG2017" s="761"/>
      <c r="BH2017" s="761"/>
      <c r="BI2017" s="761"/>
      <c r="BJ2017" s="761"/>
      <c r="BK2017" s="761"/>
      <c r="BL2017" s="761"/>
      <c r="BM2017" s="761"/>
    </row>
    <row r="2018" spans="1:65" s="1691" customFormat="1">
      <c r="A2018" s="762" t="s">
        <v>2339</v>
      </c>
      <c r="B2018" s="762" t="s">
        <v>2340</v>
      </c>
      <c r="C2018" s="762" t="s">
        <v>2476</v>
      </c>
      <c r="D2018" s="762">
        <v>67959626</v>
      </c>
      <c r="E2018" s="762" t="s">
        <v>2972</v>
      </c>
      <c r="F2018" s="762">
        <v>143006432</v>
      </c>
      <c r="G2018" s="762" t="s">
        <v>6980</v>
      </c>
      <c r="H2018" s="1917" t="s">
        <v>7973</v>
      </c>
      <c r="I2018" s="762" t="s">
        <v>6867</v>
      </c>
      <c r="J2018" s="762">
        <v>2</v>
      </c>
      <c r="K2018" s="1911">
        <v>9356.7800000000007</v>
      </c>
      <c r="L2018" s="1911">
        <v>301.92</v>
      </c>
      <c r="M2018" s="1911">
        <v>9054.86</v>
      </c>
      <c r="N2018" s="1752" t="str">
        <f t="shared" si="33"/>
        <v>C397</v>
      </c>
      <c r="O2018" s="1752" t="s">
        <v>99</v>
      </c>
      <c r="P2018" s="1752" t="s">
        <v>8005</v>
      </c>
      <c r="Q2018" s="761"/>
      <c r="R2018" s="761"/>
      <c r="S2018" s="761"/>
      <c r="T2018" s="761"/>
      <c r="U2018" s="761"/>
      <c r="V2018" s="761"/>
      <c r="W2018" s="761"/>
      <c r="X2018" s="761"/>
      <c r="Y2018" s="761"/>
      <c r="Z2018" s="761"/>
      <c r="AA2018" s="761"/>
      <c r="AB2018" s="761"/>
      <c r="AC2018" s="761"/>
      <c r="AD2018" s="761"/>
      <c r="AE2018" s="761"/>
      <c r="AF2018" s="761"/>
      <c r="AG2018" s="761"/>
      <c r="AH2018" s="761"/>
      <c r="AI2018" s="761"/>
      <c r="AJ2018" s="761"/>
      <c r="AK2018" s="761"/>
      <c r="AL2018" s="761"/>
      <c r="AM2018" s="761"/>
      <c r="AN2018" s="761"/>
      <c r="AO2018" s="761"/>
      <c r="AP2018" s="761"/>
      <c r="AQ2018" s="761"/>
      <c r="AR2018" s="761"/>
      <c r="AS2018" s="761"/>
      <c r="AT2018" s="761"/>
      <c r="AU2018" s="761"/>
      <c r="AV2018" s="761"/>
      <c r="AW2018" s="761"/>
      <c r="AX2018" s="761"/>
      <c r="AY2018" s="761"/>
      <c r="AZ2018" s="761"/>
      <c r="BA2018" s="761"/>
      <c r="BB2018" s="761"/>
      <c r="BC2018" s="761"/>
      <c r="BD2018" s="761"/>
      <c r="BE2018" s="761"/>
      <c r="BF2018" s="761"/>
      <c r="BG2018" s="761"/>
      <c r="BH2018" s="761"/>
      <c r="BI2018" s="761"/>
      <c r="BJ2018" s="761"/>
      <c r="BK2018" s="761"/>
      <c r="BL2018" s="761"/>
      <c r="BM2018" s="761"/>
    </row>
    <row r="2019" spans="1:65" s="1691" customFormat="1">
      <c r="A2019" s="1752" t="s">
        <v>2339</v>
      </c>
      <c r="B2019" s="1752" t="s">
        <v>2340</v>
      </c>
      <c r="C2019" s="1752" t="s">
        <v>2512</v>
      </c>
      <c r="D2019" s="1752">
        <v>67959639</v>
      </c>
      <c r="E2019" s="1752" t="s">
        <v>2972</v>
      </c>
      <c r="F2019" s="1752">
        <v>143006525</v>
      </c>
      <c r="G2019" s="1752" t="s">
        <v>6981</v>
      </c>
      <c r="H2019" s="1917" t="s">
        <v>7974</v>
      </c>
      <c r="I2019" s="1752" t="s">
        <v>6867</v>
      </c>
      <c r="J2019" s="1752">
        <v>2</v>
      </c>
      <c r="K2019" s="1911">
        <v>-186172.18</v>
      </c>
      <c r="L2019" s="1911">
        <v>-6007.34</v>
      </c>
      <c r="M2019" s="1911">
        <v>-180164.84</v>
      </c>
      <c r="N2019" s="1752" t="str">
        <f t="shared" si="33"/>
        <v>C397</v>
      </c>
      <c r="O2019" s="1752" t="s">
        <v>99</v>
      </c>
      <c r="P2019" s="1752" t="s">
        <v>8005</v>
      </c>
      <c r="Q2019" s="761"/>
      <c r="R2019" s="761"/>
      <c r="S2019" s="761"/>
      <c r="T2019" s="761"/>
      <c r="U2019" s="761"/>
      <c r="V2019" s="761"/>
      <c r="W2019" s="761"/>
      <c r="X2019" s="761"/>
      <c r="Y2019" s="761"/>
      <c r="Z2019" s="761"/>
      <c r="AA2019" s="761"/>
      <c r="AB2019" s="761"/>
      <c r="AC2019" s="761"/>
      <c r="AD2019" s="761"/>
      <c r="AE2019" s="761"/>
      <c r="AF2019" s="761"/>
      <c r="AG2019" s="761"/>
      <c r="AH2019" s="761"/>
      <c r="AI2019" s="761"/>
      <c r="AJ2019" s="761"/>
      <c r="AK2019" s="761"/>
      <c r="AL2019" s="761"/>
      <c r="AM2019" s="761"/>
      <c r="AN2019" s="761"/>
      <c r="AO2019" s="761"/>
      <c r="AP2019" s="761"/>
      <c r="AQ2019" s="761"/>
      <c r="AR2019" s="761"/>
      <c r="AS2019" s="761"/>
      <c r="AT2019" s="761"/>
      <c r="AU2019" s="761"/>
      <c r="AV2019" s="761"/>
      <c r="AW2019" s="761"/>
      <c r="AX2019" s="761"/>
      <c r="AY2019" s="761"/>
      <c r="AZ2019" s="761"/>
      <c r="BA2019" s="761"/>
      <c r="BB2019" s="761"/>
      <c r="BC2019" s="761"/>
      <c r="BD2019" s="761"/>
      <c r="BE2019" s="761"/>
      <c r="BF2019" s="761"/>
      <c r="BG2019" s="761"/>
      <c r="BH2019" s="761"/>
      <c r="BI2019" s="761"/>
      <c r="BJ2019" s="761"/>
      <c r="BK2019" s="761"/>
      <c r="BL2019" s="761"/>
      <c r="BM2019" s="761"/>
    </row>
    <row r="2020" spans="1:65" s="1691" customFormat="1">
      <c r="A2020" s="762" t="s">
        <v>2339</v>
      </c>
      <c r="B2020" s="762" t="s">
        <v>2340</v>
      </c>
      <c r="C2020" s="762" t="s">
        <v>2582</v>
      </c>
      <c r="D2020" s="762">
        <v>67959642</v>
      </c>
      <c r="E2020" s="762" t="s">
        <v>2972</v>
      </c>
      <c r="F2020" s="762">
        <v>143006528</v>
      </c>
      <c r="G2020" s="762" t="s">
        <v>6985</v>
      </c>
      <c r="H2020" s="1917" t="s">
        <v>7975</v>
      </c>
      <c r="I2020" s="762" t="s">
        <v>6867</v>
      </c>
      <c r="J2020" s="762">
        <v>2</v>
      </c>
      <c r="K2020" s="1911">
        <v>38905.93</v>
      </c>
      <c r="L2020" s="1911">
        <v>1255.4000000000001</v>
      </c>
      <c r="M2020" s="1911">
        <v>37650.53</v>
      </c>
      <c r="N2020" s="1752" t="str">
        <f t="shared" si="33"/>
        <v>C397</v>
      </c>
      <c r="O2020" s="1752" t="s">
        <v>99</v>
      </c>
      <c r="P2020" s="1752" t="s">
        <v>8005</v>
      </c>
      <c r="Q2020" s="761"/>
      <c r="R2020" s="761"/>
      <c r="S2020" s="761"/>
      <c r="T2020" s="761"/>
      <c r="U2020" s="761"/>
      <c r="V2020" s="761"/>
      <c r="W2020" s="761"/>
      <c r="X2020" s="761"/>
      <c r="Y2020" s="761"/>
      <c r="Z2020" s="761"/>
      <c r="AA2020" s="761"/>
      <c r="AB2020" s="761"/>
      <c r="AC2020" s="761"/>
      <c r="AD2020" s="761"/>
      <c r="AE2020" s="761"/>
      <c r="AF2020" s="761"/>
      <c r="AG2020" s="761"/>
      <c r="AH2020" s="761"/>
      <c r="AI2020" s="761"/>
      <c r="AJ2020" s="761"/>
      <c r="AK2020" s="761"/>
      <c r="AL2020" s="761"/>
      <c r="AM2020" s="761"/>
      <c r="AN2020" s="761"/>
      <c r="AO2020" s="761"/>
      <c r="AP2020" s="761"/>
      <c r="AQ2020" s="761"/>
      <c r="AR2020" s="761"/>
      <c r="AS2020" s="761"/>
      <c r="AT2020" s="761"/>
      <c r="AU2020" s="761"/>
      <c r="AV2020" s="761"/>
      <c r="AW2020" s="761"/>
      <c r="AX2020" s="761"/>
      <c r="AY2020" s="761"/>
      <c r="AZ2020" s="761"/>
      <c r="BA2020" s="761"/>
      <c r="BB2020" s="761"/>
      <c r="BC2020" s="761"/>
      <c r="BD2020" s="761"/>
      <c r="BE2020" s="761"/>
      <c r="BF2020" s="761"/>
      <c r="BG2020" s="761"/>
      <c r="BH2020" s="761"/>
      <c r="BI2020" s="761"/>
      <c r="BJ2020" s="761"/>
      <c r="BK2020" s="761"/>
      <c r="BL2020" s="761"/>
      <c r="BM2020" s="761"/>
    </row>
    <row r="2021" spans="1:65" s="1691" customFormat="1">
      <c r="A2021" s="762" t="s">
        <v>2339</v>
      </c>
      <c r="B2021" s="762" t="s">
        <v>2340</v>
      </c>
      <c r="C2021" s="762" t="s">
        <v>2828</v>
      </c>
      <c r="D2021" s="762">
        <v>67959645</v>
      </c>
      <c r="E2021" s="762" t="s">
        <v>2972</v>
      </c>
      <c r="F2021" s="762">
        <v>143006530</v>
      </c>
      <c r="G2021" s="762" t="s">
        <v>6986</v>
      </c>
      <c r="H2021" s="1917" t="s">
        <v>7976</v>
      </c>
      <c r="I2021" s="762" t="s">
        <v>6867</v>
      </c>
      <c r="J2021" s="762">
        <v>2</v>
      </c>
      <c r="K2021" s="1911">
        <v>41233.86</v>
      </c>
      <c r="L2021" s="1911">
        <v>1330.52</v>
      </c>
      <c r="M2021" s="1911">
        <v>39903.340000000004</v>
      </c>
      <c r="N2021" s="1752" t="str">
        <f t="shared" si="33"/>
        <v>C397</v>
      </c>
      <c r="O2021" s="1752" t="s">
        <v>99</v>
      </c>
      <c r="P2021" s="1752" t="s">
        <v>8005</v>
      </c>
      <c r="Q2021" s="761"/>
      <c r="R2021" s="761"/>
      <c r="S2021" s="761"/>
      <c r="T2021" s="761"/>
      <c r="U2021" s="761"/>
      <c r="V2021" s="761"/>
      <c r="W2021" s="761"/>
      <c r="X2021" s="761"/>
      <c r="Y2021" s="761"/>
      <c r="Z2021" s="761"/>
      <c r="AA2021" s="761"/>
      <c r="AB2021" s="761"/>
      <c r="AC2021" s="761"/>
      <c r="AD2021" s="761"/>
      <c r="AE2021" s="761"/>
      <c r="AF2021" s="761"/>
      <c r="AG2021" s="761"/>
      <c r="AH2021" s="761"/>
      <c r="AI2021" s="761"/>
      <c r="AJ2021" s="761"/>
      <c r="AK2021" s="761"/>
      <c r="AL2021" s="761"/>
      <c r="AM2021" s="761"/>
      <c r="AN2021" s="761"/>
      <c r="AO2021" s="761"/>
      <c r="AP2021" s="761"/>
      <c r="AQ2021" s="761"/>
      <c r="AR2021" s="761"/>
      <c r="AS2021" s="761"/>
      <c r="AT2021" s="761"/>
      <c r="AU2021" s="761"/>
      <c r="AV2021" s="761"/>
      <c r="AW2021" s="761"/>
      <c r="AX2021" s="761"/>
      <c r="AY2021" s="761"/>
      <c r="AZ2021" s="761"/>
      <c r="BA2021" s="761"/>
      <c r="BB2021" s="761"/>
      <c r="BC2021" s="761"/>
      <c r="BD2021" s="761"/>
      <c r="BE2021" s="761"/>
      <c r="BF2021" s="761"/>
      <c r="BG2021" s="761"/>
      <c r="BH2021" s="761"/>
      <c r="BI2021" s="761"/>
      <c r="BJ2021" s="761"/>
      <c r="BK2021" s="761"/>
      <c r="BL2021" s="761"/>
      <c r="BM2021" s="761"/>
    </row>
    <row r="2022" spans="1:65" s="1691" customFormat="1">
      <c r="A2022" s="762" t="s">
        <v>2339</v>
      </c>
      <c r="B2022" s="762" t="s">
        <v>2340</v>
      </c>
      <c r="C2022" s="762" t="s">
        <v>2527</v>
      </c>
      <c r="D2022" s="762">
        <v>67959696</v>
      </c>
      <c r="E2022" s="762" t="s">
        <v>2972</v>
      </c>
      <c r="F2022" s="762">
        <v>143007047</v>
      </c>
      <c r="G2022" s="762" t="s">
        <v>6987</v>
      </c>
      <c r="H2022" s="1917" t="s">
        <v>7968</v>
      </c>
      <c r="I2022" s="762" t="s">
        <v>6867</v>
      </c>
      <c r="J2022" s="762">
        <v>2</v>
      </c>
      <c r="K2022" s="1911">
        <v>12300.09</v>
      </c>
      <c r="L2022" s="1911">
        <v>396.90000000000003</v>
      </c>
      <c r="M2022" s="1911">
        <v>11903.19</v>
      </c>
      <c r="N2022" s="1752" t="str">
        <f t="shared" si="33"/>
        <v>C397</v>
      </c>
      <c r="O2022" s="1752" t="s">
        <v>99</v>
      </c>
      <c r="P2022" s="1752" t="s">
        <v>8005</v>
      </c>
      <c r="Q2022" s="761"/>
      <c r="R2022" s="761"/>
      <c r="S2022" s="761"/>
      <c r="T2022" s="761"/>
      <c r="U2022" s="761"/>
      <c r="V2022" s="761"/>
      <c r="W2022" s="761"/>
      <c r="X2022" s="761"/>
      <c r="Y2022" s="761"/>
      <c r="Z2022" s="761"/>
      <c r="AA2022" s="761"/>
      <c r="AB2022" s="761"/>
      <c r="AC2022" s="761"/>
      <c r="AD2022" s="761"/>
      <c r="AE2022" s="761"/>
      <c r="AF2022" s="761"/>
      <c r="AG2022" s="761"/>
      <c r="AH2022" s="761"/>
      <c r="AI2022" s="761"/>
      <c r="AJ2022" s="761"/>
      <c r="AK2022" s="761"/>
      <c r="AL2022" s="761"/>
      <c r="AM2022" s="761"/>
      <c r="AN2022" s="761"/>
      <c r="AO2022" s="761"/>
      <c r="AP2022" s="761"/>
      <c r="AQ2022" s="761"/>
      <c r="AR2022" s="761"/>
      <c r="AS2022" s="761"/>
      <c r="AT2022" s="761"/>
      <c r="AU2022" s="761"/>
      <c r="AV2022" s="761"/>
      <c r="AW2022" s="761"/>
      <c r="AX2022" s="761"/>
      <c r="AY2022" s="761"/>
      <c r="AZ2022" s="761"/>
      <c r="BA2022" s="761"/>
      <c r="BB2022" s="761"/>
      <c r="BC2022" s="761"/>
      <c r="BD2022" s="761"/>
      <c r="BE2022" s="761"/>
      <c r="BF2022" s="761"/>
      <c r="BG2022" s="761"/>
      <c r="BH2022" s="761"/>
      <c r="BI2022" s="761"/>
      <c r="BJ2022" s="761"/>
      <c r="BK2022" s="761"/>
      <c r="BL2022" s="761"/>
      <c r="BM2022" s="761"/>
    </row>
    <row r="2023" spans="1:65" s="1691" customFormat="1">
      <c r="A2023" s="762" t="s">
        <v>2339</v>
      </c>
      <c r="B2023" s="762" t="s">
        <v>2340</v>
      </c>
      <c r="C2023" s="762" t="s">
        <v>2476</v>
      </c>
      <c r="D2023" s="762">
        <v>67959723</v>
      </c>
      <c r="E2023" s="762" t="s">
        <v>2972</v>
      </c>
      <c r="F2023" s="762">
        <v>143007216</v>
      </c>
      <c r="G2023" s="762" t="s">
        <v>6982</v>
      </c>
      <c r="H2023" s="1917" t="s">
        <v>7977</v>
      </c>
      <c r="I2023" s="762" t="s">
        <v>6867</v>
      </c>
      <c r="J2023" s="762">
        <v>2</v>
      </c>
      <c r="K2023" s="1911">
        <v>19197.11</v>
      </c>
      <c r="L2023" s="1911">
        <v>619.45000000000005</v>
      </c>
      <c r="M2023" s="1911">
        <v>18577.66</v>
      </c>
      <c r="N2023" s="1752" t="str">
        <f t="shared" si="33"/>
        <v>C397</v>
      </c>
      <c r="O2023" s="1752" t="s">
        <v>99</v>
      </c>
      <c r="P2023" s="1752" t="s">
        <v>8005</v>
      </c>
      <c r="Q2023" s="761"/>
      <c r="R2023" s="761"/>
      <c r="S2023" s="761"/>
      <c r="T2023" s="761"/>
      <c r="U2023" s="761"/>
      <c r="V2023" s="761"/>
      <c r="W2023" s="761"/>
      <c r="X2023" s="761"/>
      <c r="Y2023" s="761"/>
      <c r="Z2023" s="761"/>
      <c r="AA2023" s="761"/>
      <c r="AB2023" s="761"/>
      <c r="AC2023" s="761"/>
      <c r="AD2023" s="761"/>
      <c r="AE2023" s="761"/>
      <c r="AF2023" s="761"/>
      <c r="AG2023" s="761"/>
      <c r="AH2023" s="761"/>
      <c r="AI2023" s="761"/>
      <c r="AJ2023" s="761"/>
      <c r="AK2023" s="761"/>
      <c r="AL2023" s="761"/>
      <c r="AM2023" s="761"/>
      <c r="AN2023" s="761"/>
      <c r="AO2023" s="761"/>
      <c r="AP2023" s="761"/>
      <c r="AQ2023" s="761"/>
      <c r="AR2023" s="761"/>
      <c r="AS2023" s="761"/>
      <c r="AT2023" s="761"/>
      <c r="AU2023" s="761"/>
      <c r="AV2023" s="761"/>
      <c r="AW2023" s="761"/>
      <c r="AX2023" s="761"/>
      <c r="AY2023" s="761"/>
      <c r="AZ2023" s="761"/>
      <c r="BA2023" s="761"/>
      <c r="BB2023" s="761"/>
      <c r="BC2023" s="761"/>
      <c r="BD2023" s="761"/>
      <c r="BE2023" s="761"/>
      <c r="BF2023" s="761"/>
      <c r="BG2023" s="761"/>
      <c r="BH2023" s="761"/>
      <c r="BI2023" s="761"/>
      <c r="BJ2023" s="761"/>
      <c r="BK2023" s="761"/>
      <c r="BL2023" s="761"/>
      <c r="BM2023" s="761"/>
    </row>
    <row r="2024" spans="1:65" s="1691" customFormat="1">
      <c r="A2024" s="762" t="s">
        <v>2339</v>
      </c>
      <c r="B2024" s="762" t="s">
        <v>2340</v>
      </c>
      <c r="C2024" s="762" t="s">
        <v>2476</v>
      </c>
      <c r="D2024" s="762">
        <v>67959744</v>
      </c>
      <c r="E2024" s="762" t="s">
        <v>2972</v>
      </c>
      <c r="F2024" s="762">
        <v>143007270</v>
      </c>
      <c r="G2024" s="762" t="s">
        <v>6983</v>
      </c>
      <c r="H2024" s="1917" t="s">
        <v>7978</v>
      </c>
      <c r="I2024" s="762" t="s">
        <v>6867</v>
      </c>
      <c r="J2024" s="762">
        <v>2</v>
      </c>
      <c r="K2024" s="1911">
        <v>4839.8</v>
      </c>
      <c r="L2024" s="1911">
        <v>156.17000000000002</v>
      </c>
      <c r="M2024" s="1911">
        <v>4683.63</v>
      </c>
      <c r="N2024" s="1752" t="str">
        <f t="shared" si="33"/>
        <v>C397</v>
      </c>
      <c r="O2024" s="1752" t="s">
        <v>99</v>
      </c>
      <c r="P2024" s="1752" t="s">
        <v>8005</v>
      </c>
      <c r="Q2024" s="761"/>
      <c r="R2024" s="761"/>
      <c r="S2024" s="761"/>
      <c r="T2024" s="761"/>
      <c r="U2024" s="761"/>
      <c r="V2024" s="761"/>
      <c r="W2024" s="761"/>
      <c r="X2024" s="761"/>
      <c r="Y2024" s="761"/>
      <c r="Z2024" s="761"/>
      <c r="AA2024" s="761"/>
      <c r="AB2024" s="761"/>
      <c r="AC2024" s="761"/>
      <c r="AD2024" s="761"/>
      <c r="AE2024" s="761"/>
      <c r="AF2024" s="761"/>
      <c r="AG2024" s="761"/>
      <c r="AH2024" s="761"/>
      <c r="AI2024" s="761"/>
      <c r="AJ2024" s="761"/>
      <c r="AK2024" s="761"/>
      <c r="AL2024" s="761"/>
      <c r="AM2024" s="761"/>
      <c r="AN2024" s="761"/>
      <c r="AO2024" s="761"/>
      <c r="AP2024" s="761"/>
      <c r="AQ2024" s="761"/>
      <c r="AR2024" s="761"/>
      <c r="AS2024" s="761"/>
      <c r="AT2024" s="761"/>
      <c r="AU2024" s="761"/>
      <c r="AV2024" s="761"/>
      <c r="AW2024" s="761"/>
      <c r="AX2024" s="761"/>
      <c r="AY2024" s="761"/>
      <c r="AZ2024" s="761"/>
      <c r="BA2024" s="761"/>
      <c r="BB2024" s="761"/>
      <c r="BC2024" s="761"/>
      <c r="BD2024" s="761"/>
      <c r="BE2024" s="761"/>
      <c r="BF2024" s="761"/>
      <c r="BG2024" s="761"/>
      <c r="BH2024" s="761"/>
      <c r="BI2024" s="761"/>
      <c r="BJ2024" s="761"/>
      <c r="BK2024" s="761"/>
      <c r="BL2024" s="761"/>
      <c r="BM2024" s="761"/>
    </row>
    <row r="2025" spans="1:65" s="1691" customFormat="1">
      <c r="A2025" s="762" t="s">
        <v>2339</v>
      </c>
      <c r="B2025" s="762" t="s">
        <v>2340</v>
      </c>
      <c r="C2025" s="762" t="s">
        <v>2531</v>
      </c>
      <c r="D2025" s="762">
        <v>67959747</v>
      </c>
      <c r="E2025" s="762" t="s">
        <v>2972</v>
      </c>
      <c r="F2025" s="762">
        <v>143007272</v>
      </c>
      <c r="G2025" s="762" t="s">
        <v>6984</v>
      </c>
      <c r="H2025" s="1917" t="s">
        <v>7979</v>
      </c>
      <c r="I2025" s="762" t="s">
        <v>6867</v>
      </c>
      <c r="J2025" s="762">
        <v>2</v>
      </c>
      <c r="K2025" s="1911">
        <v>26.900000000000002</v>
      </c>
      <c r="L2025" s="1911">
        <v>0.87</v>
      </c>
      <c r="M2025" s="1911">
        <v>26.03</v>
      </c>
      <c r="N2025" s="1752" t="str">
        <f t="shared" si="33"/>
        <v>C397</v>
      </c>
      <c r="O2025" s="1752" t="s">
        <v>99</v>
      </c>
      <c r="P2025" s="1752" t="s">
        <v>8005</v>
      </c>
      <c r="Q2025" s="761"/>
      <c r="R2025" s="761"/>
      <c r="S2025" s="761"/>
      <c r="T2025" s="761"/>
      <c r="U2025" s="761"/>
      <c r="V2025" s="761"/>
      <c r="W2025" s="761"/>
      <c r="X2025" s="761"/>
      <c r="Y2025" s="761"/>
      <c r="Z2025" s="761"/>
      <c r="AA2025" s="761"/>
      <c r="AB2025" s="761"/>
      <c r="AC2025" s="761"/>
      <c r="AD2025" s="761"/>
      <c r="AE2025" s="761"/>
      <c r="AF2025" s="761"/>
      <c r="AG2025" s="761"/>
      <c r="AH2025" s="761"/>
      <c r="AI2025" s="761"/>
      <c r="AJ2025" s="761"/>
      <c r="AK2025" s="761"/>
      <c r="AL2025" s="761"/>
      <c r="AM2025" s="761"/>
      <c r="AN2025" s="761"/>
      <c r="AO2025" s="761"/>
      <c r="AP2025" s="761"/>
      <c r="AQ2025" s="761"/>
      <c r="AR2025" s="761"/>
      <c r="AS2025" s="761"/>
      <c r="AT2025" s="761"/>
      <c r="AU2025" s="761"/>
      <c r="AV2025" s="761"/>
      <c r="AW2025" s="761"/>
      <c r="AX2025" s="761"/>
      <c r="AY2025" s="761"/>
      <c r="AZ2025" s="761"/>
      <c r="BA2025" s="761"/>
      <c r="BB2025" s="761"/>
      <c r="BC2025" s="761"/>
      <c r="BD2025" s="761"/>
      <c r="BE2025" s="761"/>
      <c r="BF2025" s="761"/>
      <c r="BG2025" s="761"/>
      <c r="BH2025" s="761"/>
      <c r="BI2025" s="761"/>
      <c r="BJ2025" s="761"/>
      <c r="BK2025" s="761"/>
      <c r="BL2025" s="761"/>
      <c r="BM2025" s="761"/>
    </row>
    <row r="2026" spans="1:65" s="1691" customFormat="1">
      <c r="A2026" s="762" t="s">
        <v>2339</v>
      </c>
      <c r="B2026" s="762" t="s">
        <v>2340</v>
      </c>
      <c r="C2026" s="762" t="s">
        <v>2517</v>
      </c>
      <c r="D2026" s="762">
        <v>67959803</v>
      </c>
      <c r="E2026" s="762" t="s">
        <v>2972</v>
      </c>
      <c r="F2026" s="762">
        <v>143007730</v>
      </c>
      <c r="G2026" s="762" t="s">
        <v>6979</v>
      </c>
      <c r="H2026" s="762"/>
      <c r="I2026" s="762" t="s">
        <v>6867</v>
      </c>
      <c r="J2026" s="762">
        <v>2</v>
      </c>
      <c r="K2026" s="1911">
        <v>135268.06</v>
      </c>
      <c r="L2026" s="1911">
        <v>4364.79</v>
      </c>
      <c r="M2026" s="1911">
        <v>130903.27</v>
      </c>
      <c r="N2026" s="1752" t="str">
        <f t="shared" si="33"/>
        <v>C397</v>
      </c>
      <c r="O2026" s="1752" t="s">
        <v>99</v>
      </c>
      <c r="P2026" s="1752" t="s">
        <v>8005</v>
      </c>
      <c r="Q2026" s="761"/>
      <c r="R2026" s="761"/>
      <c r="S2026" s="761"/>
      <c r="T2026" s="761"/>
      <c r="U2026" s="761"/>
      <c r="V2026" s="761"/>
      <c r="W2026" s="761"/>
      <c r="X2026" s="761"/>
      <c r="Y2026" s="761"/>
      <c r="Z2026" s="761"/>
      <c r="AA2026" s="761"/>
      <c r="AB2026" s="761"/>
      <c r="AC2026" s="761"/>
      <c r="AD2026" s="761"/>
      <c r="AE2026" s="761"/>
      <c r="AF2026" s="761"/>
      <c r="AG2026" s="761"/>
      <c r="AH2026" s="761"/>
      <c r="AI2026" s="761"/>
      <c r="AJ2026" s="761"/>
      <c r="AK2026" s="761"/>
      <c r="AL2026" s="761"/>
      <c r="AM2026" s="761"/>
      <c r="AN2026" s="761"/>
      <c r="AO2026" s="761"/>
      <c r="AP2026" s="761"/>
      <c r="AQ2026" s="761"/>
      <c r="AR2026" s="761"/>
      <c r="AS2026" s="761"/>
      <c r="AT2026" s="761"/>
      <c r="AU2026" s="761"/>
      <c r="AV2026" s="761"/>
      <c r="AW2026" s="761"/>
      <c r="AX2026" s="761"/>
      <c r="AY2026" s="761"/>
      <c r="AZ2026" s="761"/>
      <c r="BA2026" s="761"/>
      <c r="BB2026" s="761"/>
      <c r="BC2026" s="761"/>
      <c r="BD2026" s="761"/>
      <c r="BE2026" s="761"/>
      <c r="BF2026" s="761"/>
      <c r="BG2026" s="761"/>
      <c r="BH2026" s="761"/>
      <c r="BI2026" s="761"/>
      <c r="BJ2026" s="761"/>
      <c r="BK2026" s="761"/>
      <c r="BL2026" s="761"/>
      <c r="BM2026" s="761"/>
    </row>
    <row r="2027" spans="1:65">
      <c r="A2027" s="761" t="s">
        <v>2339</v>
      </c>
      <c r="B2027" s="761" t="s">
        <v>2340</v>
      </c>
      <c r="C2027" s="761" t="s">
        <v>2476</v>
      </c>
      <c r="D2027" s="761">
        <v>40676617</v>
      </c>
      <c r="E2027" s="761" t="s">
        <v>3740</v>
      </c>
      <c r="F2027" s="761">
        <v>143002527</v>
      </c>
      <c r="G2027" s="761" t="s">
        <v>3286</v>
      </c>
      <c r="H2027" s="761" t="s">
        <v>7635</v>
      </c>
      <c r="I2027" s="761" t="s">
        <v>6867</v>
      </c>
      <c r="J2027" s="761">
        <v>9</v>
      </c>
      <c r="K2027" s="746">
        <v>1559293.04</v>
      </c>
      <c r="L2027" s="746">
        <v>657155.07000000007</v>
      </c>
      <c r="M2027" s="746">
        <v>902137.97</v>
      </c>
      <c r="N2027" s="493" t="str">
        <f t="shared" si="33"/>
        <v>C397</v>
      </c>
      <c r="O2027" s="493" t="s">
        <v>99</v>
      </c>
      <c r="P2027" s="493" t="s">
        <v>8005</v>
      </c>
    </row>
    <row r="2028" spans="1:65">
      <c r="A2028" s="761" t="s">
        <v>2339</v>
      </c>
      <c r="B2028" s="761" t="s">
        <v>2340</v>
      </c>
      <c r="C2028" s="761" t="s">
        <v>2517</v>
      </c>
      <c r="D2028" s="761">
        <v>40676624</v>
      </c>
      <c r="E2028" s="761" t="s">
        <v>3740</v>
      </c>
      <c r="F2028" s="761">
        <v>143002527</v>
      </c>
      <c r="G2028" s="761" t="s">
        <v>3286</v>
      </c>
      <c r="H2028" s="761" t="s">
        <v>7635</v>
      </c>
      <c r="I2028" s="761" t="s">
        <v>6867</v>
      </c>
      <c r="J2028" s="761">
        <v>3</v>
      </c>
      <c r="K2028" s="746">
        <v>188376.75</v>
      </c>
      <c r="L2028" s="746">
        <v>79390.3</v>
      </c>
      <c r="M2028" s="746">
        <v>108986.45</v>
      </c>
      <c r="N2028" s="493" t="str">
        <f t="shared" si="33"/>
        <v>C397</v>
      </c>
      <c r="O2028" s="493" t="s">
        <v>99</v>
      </c>
      <c r="P2028" s="493" t="s">
        <v>8005</v>
      </c>
    </row>
    <row r="2029" spans="1:65">
      <c r="A2029" s="761" t="s">
        <v>2339</v>
      </c>
      <c r="B2029" s="761" t="s">
        <v>2340</v>
      </c>
      <c r="C2029" s="761" t="s">
        <v>2473</v>
      </c>
      <c r="D2029" s="761">
        <v>40676631</v>
      </c>
      <c r="E2029" s="761" t="s">
        <v>3740</v>
      </c>
      <c r="F2029" s="761">
        <v>143002580</v>
      </c>
      <c r="G2029" s="761" t="s">
        <v>3287</v>
      </c>
      <c r="H2029" s="761" t="s">
        <v>7652</v>
      </c>
      <c r="I2029" s="761" t="s">
        <v>6867</v>
      </c>
      <c r="J2029" s="761">
        <v>7</v>
      </c>
      <c r="K2029" s="746">
        <v>762019.08</v>
      </c>
      <c r="L2029" s="746">
        <v>279251.06</v>
      </c>
      <c r="M2029" s="746">
        <v>482768.02</v>
      </c>
      <c r="N2029" s="493" t="str">
        <f t="shared" si="33"/>
        <v>C397</v>
      </c>
      <c r="O2029" s="493" t="s">
        <v>99</v>
      </c>
      <c r="P2029" s="493" t="s">
        <v>8005</v>
      </c>
    </row>
    <row r="2030" spans="1:65">
      <c r="A2030" s="761" t="s">
        <v>2339</v>
      </c>
      <c r="B2030" s="761" t="s">
        <v>2340</v>
      </c>
      <c r="C2030" s="761" t="s">
        <v>2476</v>
      </c>
      <c r="D2030" s="761">
        <v>40676638</v>
      </c>
      <c r="E2030" s="761" t="s">
        <v>3740</v>
      </c>
      <c r="F2030" s="761">
        <v>143002580</v>
      </c>
      <c r="G2030" s="761" t="s">
        <v>3287</v>
      </c>
      <c r="H2030" s="761" t="s">
        <v>7652</v>
      </c>
      <c r="I2030" s="761" t="s">
        <v>6867</v>
      </c>
      <c r="J2030" s="761">
        <v>2</v>
      </c>
      <c r="K2030" s="746">
        <v>320847.43</v>
      </c>
      <c r="L2030" s="746">
        <v>117578.40000000001</v>
      </c>
      <c r="M2030" s="746">
        <v>203269.03</v>
      </c>
      <c r="N2030" s="493" t="str">
        <f t="shared" si="33"/>
        <v>C397</v>
      </c>
      <c r="O2030" s="493" t="s">
        <v>99</v>
      </c>
      <c r="P2030" s="493" t="s">
        <v>8005</v>
      </c>
    </row>
    <row r="2031" spans="1:65">
      <c r="A2031" s="761" t="s">
        <v>2339</v>
      </c>
      <c r="B2031" s="761" t="s">
        <v>2340</v>
      </c>
      <c r="C2031" s="761" t="s">
        <v>2517</v>
      </c>
      <c r="D2031" s="761">
        <v>40676645</v>
      </c>
      <c r="E2031" s="761" t="s">
        <v>3740</v>
      </c>
      <c r="F2031" s="761">
        <v>143002580</v>
      </c>
      <c r="G2031" s="761" t="s">
        <v>3287</v>
      </c>
      <c r="H2031" s="761" t="s">
        <v>7652</v>
      </c>
      <c r="I2031" s="761" t="s">
        <v>6867</v>
      </c>
      <c r="J2031" s="761">
        <v>27</v>
      </c>
      <c r="K2031" s="746">
        <v>2928868.09</v>
      </c>
      <c r="L2031" s="746">
        <v>1073318.95</v>
      </c>
      <c r="M2031" s="746">
        <v>1855549.1400000001</v>
      </c>
      <c r="N2031" s="493" t="str">
        <f t="shared" si="33"/>
        <v>C397</v>
      </c>
      <c r="O2031" s="493" t="s">
        <v>99</v>
      </c>
      <c r="P2031" s="493" t="s">
        <v>8005</v>
      </c>
    </row>
    <row r="2032" spans="1:65">
      <c r="A2032" s="761" t="s">
        <v>2339</v>
      </c>
      <c r="B2032" s="761" t="s">
        <v>2340</v>
      </c>
      <c r="C2032" s="761" t="s">
        <v>2527</v>
      </c>
      <c r="D2032" s="761">
        <v>40676652</v>
      </c>
      <c r="E2032" s="761" t="s">
        <v>3740</v>
      </c>
      <c r="F2032" s="761">
        <v>143002584</v>
      </c>
      <c r="G2032" s="761" t="s">
        <v>3741</v>
      </c>
      <c r="H2032" s="761" t="s">
        <v>7980</v>
      </c>
      <c r="I2032" s="761" t="s">
        <v>6867</v>
      </c>
      <c r="J2032" s="761">
        <v>2</v>
      </c>
      <c r="K2032" s="746">
        <v>1101480.6599999999</v>
      </c>
      <c r="L2032" s="746">
        <v>403650.84</v>
      </c>
      <c r="M2032" s="746">
        <v>697829.82000000007</v>
      </c>
      <c r="N2032" s="493" t="str">
        <f t="shared" si="33"/>
        <v>C397</v>
      </c>
      <c r="O2032" s="493" t="s">
        <v>99</v>
      </c>
      <c r="P2032" s="493" t="s">
        <v>8005</v>
      </c>
    </row>
    <row r="2033" spans="1:16">
      <c r="A2033" s="761" t="s">
        <v>2339</v>
      </c>
      <c r="B2033" s="761" t="s">
        <v>2340</v>
      </c>
      <c r="C2033" s="761" t="s">
        <v>2542</v>
      </c>
      <c r="D2033" s="761">
        <v>40676659</v>
      </c>
      <c r="E2033" s="761" t="s">
        <v>3740</v>
      </c>
      <c r="F2033" s="761">
        <v>143002584</v>
      </c>
      <c r="G2033" s="761" t="s">
        <v>3741</v>
      </c>
      <c r="H2033" s="761" t="s">
        <v>7980</v>
      </c>
      <c r="I2033" s="761" t="s">
        <v>6867</v>
      </c>
      <c r="J2033" s="761">
        <v>3</v>
      </c>
      <c r="K2033" s="746">
        <v>44147.43</v>
      </c>
      <c r="L2033" s="746">
        <v>16178.36</v>
      </c>
      <c r="M2033" s="746">
        <v>27969.07</v>
      </c>
      <c r="N2033" s="493" t="str">
        <f t="shared" si="33"/>
        <v>C397</v>
      </c>
      <c r="O2033" s="493" t="s">
        <v>99</v>
      </c>
      <c r="P2033" s="493" t="s">
        <v>8005</v>
      </c>
    </row>
    <row r="2034" spans="1:16">
      <c r="A2034" s="761" t="s">
        <v>2339</v>
      </c>
      <c r="B2034" s="761" t="s">
        <v>2340</v>
      </c>
      <c r="C2034" s="761" t="s">
        <v>2524</v>
      </c>
      <c r="D2034" s="761">
        <v>40676666</v>
      </c>
      <c r="E2034" s="761" t="s">
        <v>3740</v>
      </c>
      <c r="F2034" s="761">
        <v>143002584</v>
      </c>
      <c r="G2034" s="761" t="s">
        <v>3741</v>
      </c>
      <c r="H2034" s="761" t="s">
        <v>7980</v>
      </c>
      <c r="I2034" s="761" t="s">
        <v>6867</v>
      </c>
      <c r="J2034" s="761">
        <v>2</v>
      </c>
      <c r="K2034" s="746">
        <v>790386.98</v>
      </c>
      <c r="L2034" s="746">
        <v>289646.82</v>
      </c>
      <c r="M2034" s="746">
        <v>500740.16000000003</v>
      </c>
      <c r="N2034" s="493" t="str">
        <f t="shared" si="33"/>
        <v>C397</v>
      </c>
      <c r="O2034" s="493" t="s">
        <v>99</v>
      </c>
      <c r="P2034" s="493" t="s">
        <v>8005</v>
      </c>
    </row>
    <row r="2035" spans="1:16">
      <c r="A2035" s="761" t="s">
        <v>2339</v>
      </c>
      <c r="B2035" s="761" t="s">
        <v>2340</v>
      </c>
      <c r="C2035" s="761" t="s">
        <v>2487</v>
      </c>
      <c r="D2035" s="761">
        <v>40676673</v>
      </c>
      <c r="E2035" s="761" t="s">
        <v>3740</v>
      </c>
      <c r="F2035" s="761">
        <v>143002584</v>
      </c>
      <c r="G2035" s="761" t="s">
        <v>3741</v>
      </c>
      <c r="H2035" s="761" t="s">
        <v>7980</v>
      </c>
      <c r="I2035" s="761" t="s">
        <v>6867</v>
      </c>
      <c r="J2035" s="761">
        <v>2</v>
      </c>
      <c r="K2035" s="746">
        <v>167662.29</v>
      </c>
      <c r="L2035" s="746">
        <v>61441.86</v>
      </c>
      <c r="M2035" s="746">
        <v>106220.43000000001</v>
      </c>
      <c r="N2035" s="493" t="str">
        <f t="shared" si="33"/>
        <v>C397</v>
      </c>
      <c r="O2035" s="493" t="s">
        <v>99</v>
      </c>
      <c r="P2035" s="493" t="s">
        <v>8005</v>
      </c>
    </row>
    <row r="2036" spans="1:16">
      <c r="A2036" s="761" t="s">
        <v>2339</v>
      </c>
      <c r="B2036" s="761" t="s">
        <v>2340</v>
      </c>
      <c r="C2036" s="761" t="s">
        <v>2509</v>
      </c>
      <c r="D2036" s="761">
        <v>40676680</v>
      </c>
      <c r="E2036" s="761" t="s">
        <v>3740</v>
      </c>
      <c r="F2036" s="761">
        <v>143002584</v>
      </c>
      <c r="G2036" s="761" t="s">
        <v>3741</v>
      </c>
      <c r="H2036" s="761" t="s">
        <v>7980</v>
      </c>
      <c r="I2036" s="761" t="s">
        <v>6867</v>
      </c>
      <c r="J2036" s="761">
        <v>4</v>
      </c>
      <c r="K2036" s="746">
        <v>222514.96</v>
      </c>
      <c r="L2036" s="746">
        <v>81543.28</v>
      </c>
      <c r="M2036" s="746">
        <v>140971.68</v>
      </c>
      <c r="N2036" s="493" t="str">
        <f t="shared" si="33"/>
        <v>C397</v>
      </c>
      <c r="O2036" s="493" t="s">
        <v>99</v>
      </c>
      <c r="P2036" s="493" t="s">
        <v>8005</v>
      </c>
    </row>
    <row r="2037" spans="1:16">
      <c r="A2037" s="761" t="s">
        <v>2339</v>
      </c>
      <c r="B2037" s="761" t="s">
        <v>2340</v>
      </c>
      <c r="C2037" s="761" t="s">
        <v>2542</v>
      </c>
      <c r="D2037" s="761">
        <v>40676687</v>
      </c>
      <c r="E2037" s="761" t="s">
        <v>3740</v>
      </c>
      <c r="F2037" s="761">
        <v>143002625</v>
      </c>
      <c r="G2037" s="761" t="s">
        <v>3292</v>
      </c>
      <c r="H2037" s="761" t="s">
        <v>7658</v>
      </c>
      <c r="I2037" s="761" t="s">
        <v>6867</v>
      </c>
      <c r="J2037" s="761">
        <v>0</v>
      </c>
      <c r="K2037" s="746">
        <v>327911.8</v>
      </c>
      <c r="L2037" s="746">
        <v>102687.44</v>
      </c>
      <c r="M2037" s="746">
        <v>225224.36000000002</v>
      </c>
      <c r="N2037" s="493" t="str">
        <f t="shared" si="33"/>
        <v>C397</v>
      </c>
      <c r="O2037" s="493" t="s">
        <v>99</v>
      </c>
      <c r="P2037" s="493" t="s">
        <v>8005</v>
      </c>
    </row>
    <row r="2038" spans="1:16">
      <c r="A2038" s="761" t="s">
        <v>2339</v>
      </c>
      <c r="B2038" s="761" t="s">
        <v>2340</v>
      </c>
      <c r="C2038" s="761" t="s">
        <v>2524</v>
      </c>
      <c r="D2038" s="761">
        <v>40676694</v>
      </c>
      <c r="E2038" s="761" t="s">
        <v>3740</v>
      </c>
      <c r="F2038" s="761">
        <v>143002625</v>
      </c>
      <c r="G2038" s="761" t="s">
        <v>3292</v>
      </c>
      <c r="H2038" s="761" t="s">
        <v>7658</v>
      </c>
      <c r="I2038" s="761" t="s">
        <v>6867</v>
      </c>
      <c r="J2038" s="761">
        <v>0</v>
      </c>
      <c r="K2038" s="746">
        <v>246845.71</v>
      </c>
      <c r="L2038" s="746">
        <v>77301.13</v>
      </c>
      <c r="M2038" s="746">
        <v>169544.58000000002</v>
      </c>
      <c r="N2038" s="493" t="str">
        <f t="shared" si="33"/>
        <v>C397</v>
      </c>
      <c r="O2038" s="493" t="s">
        <v>99</v>
      </c>
      <c r="P2038" s="493" t="s">
        <v>8005</v>
      </c>
    </row>
    <row r="2039" spans="1:16">
      <c r="A2039" s="761" t="s">
        <v>2339</v>
      </c>
      <c r="B2039" s="761" t="s">
        <v>2340</v>
      </c>
      <c r="C2039" s="761" t="s">
        <v>2487</v>
      </c>
      <c r="D2039" s="761">
        <v>40676701</v>
      </c>
      <c r="E2039" s="761" t="s">
        <v>3740</v>
      </c>
      <c r="F2039" s="761">
        <v>143002625</v>
      </c>
      <c r="G2039" s="761" t="s">
        <v>3292</v>
      </c>
      <c r="H2039" s="761" t="s">
        <v>7658</v>
      </c>
      <c r="I2039" s="761" t="s">
        <v>6867</v>
      </c>
      <c r="J2039" s="761">
        <v>0</v>
      </c>
      <c r="K2039" s="746">
        <v>1135994.03</v>
      </c>
      <c r="L2039" s="746">
        <v>355742.96</v>
      </c>
      <c r="M2039" s="746">
        <v>780251.07000000007</v>
      </c>
      <c r="N2039" s="493" t="str">
        <f t="shared" si="33"/>
        <v>C397</v>
      </c>
      <c r="O2039" s="493" t="s">
        <v>99</v>
      </c>
      <c r="P2039" s="493" t="s">
        <v>8005</v>
      </c>
    </row>
    <row r="2040" spans="1:16">
      <c r="A2040" s="761" t="s">
        <v>2339</v>
      </c>
      <c r="B2040" s="761" t="s">
        <v>2340</v>
      </c>
      <c r="C2040" s="761" t="s">
        <v>2509</v>
      </c>
      <c r="D2040" s="761">
        <v>40676708</v>
      </c>
      <c r="E2040" s="761" t="s">
        <v>3740</v>
      </c>
      <c r="F2040" s="761">
        <v>143002625</v>
      </c>
      <c r="G2040" s="761" t="s">
        <v>3292</v>
      </c>
      <c r="H2040" s="761" t="s">
        <v>7658</v>
      </c>
      <c r="I2040" s="761" t="s">
        <v>6867</v>
      </c>
      <c r="J2040" s="761">
        <v>0</v>
      </c>
      <c r="K2040" s="746">
        <v>454390.48</v>
      </c>
      <c r="L2040" s="746">
        <v>142294.95000000001</v>
      </c>
      <c r="M2040" s="746">
        <v>312095.53000000003</v>
      </c>
      <c r="N2040" s="493" t="str">
        <f t="shared" si="33"/>
        <v>C397</v>
      </c>
      <c r="O2040" s="493" t="s">
        <v>99</v>
      </c>
      <c r="P2040" s="493" t="s">
        <v>8005</v>
      </c>
    </row>
    <row r="2041" spans="1:16">
      <c r="A2041" s="761" t="s">
        <v>2339</v>
      </c>
      <c r="B2041" s="761" t="s">
        <v>2340</v>
      </c>
      <c r="C2041" s="761" t="s">
        <v>2517</v>
      </c>
      <c r="D2041" s="761">
        <v>40676715</v>
      </c>
      <c r="E2041" s="761" t="s">
        <v>3740</v>
      </c>
      <c r="F2041" s="761">
        <v>143002625</v>
      </c>
      <c r="G2041" s="761" t="s">
        <v>3292</v>
      </c>
      <c r="H2041" s="761" t="s">
        <v>7658</v>
      </c>
      <c r="I2041" s="761" t="s">
        <v>6867</v>
      </c>
      <c r="J2041" s="761">
        <v>0</v>
      </c>
      <c r="K2041" s="746">
        <v>820478.98</v>
      </c>
      <c r="L2041" s="746">
        <v>256937.64</v>
      </c>
      <c r="M2041" s="746">
        <v>563541.34</v>
      </c>
      <c r="N2041" s="493" t="str">
        <f t="shared" si="33"/>
        <v>C397</v>
      </c>
      <c r="O2041" s="493" t="s">
        <v>99</v>
      </c>
      <c r="P2041" s="493" t="s">
        <v>8005</v>
      </c>
    </row>
    <row r="2042" spans="1:16">
      <c r="A2042" s="761" t="s">
        <v>2339</v>
      </c>
      <c r="B2042" s="761" t="s">
        <v>2340</v>
      </c>
      <c r="C2042" s="761" t="s">
        <v>2527</v>
      </c>
      <c r="D2042" s="761">
        <v>40676722</v>
      </c>
      <c r="E2042" s="761" t="s">
        <v>3740</v>
      </c>
      <c r="F2042" s="761">
        <v>143002625</v>
      </c>
      <c r="G2042" s="761" t="s">
        <v>3292</v>
      </c>
      <c r="H2042" s="761" t="s">
        <v>7658</v>
      </c>
      <c r="I2042" s="761" t="s">
        <v>6867</v>
      </c>
      <c r="J2042" s="761">
        <v>0</v>
      </c>
      <c r="K2042" s="746">
        <v>143377.93</v>
      </c>
      <c r="L2042" s="746">
        <v>44899.61</v>
      </c>
      <c r="M2042" s="746">
        <v>98478.32</v>
      </c>
      <c r="N2042" s="493" t="str">
        <f t="shared" si="33"/>
        <v>C397</v>
      </c>
      <c r="O2042" s="493" t="s">
        <v>99</v>
      </c>
      <c r="P2042" s="493" t="s">
        <v>8005</v>
      </c>
    </row>
    <row r="2043" spans="1:16">
      <c r="A2043" s="761" t="s">
        <v>2339</v>
      </c>
      <c r="B2043" s="761" t="s">
        <v>2340</v>
      </c>
      <c r="C2043" s="761" t="s">
        <v>2473</v>
      </c>
      <c r="D2043" s="761">
        <v>40676729</v>
      </c>
      <c r="E2043" s="761" t="s">
        <v>3740</v>
      </c>
      <c r="F2043" s="761">
        <v>143002625</v>
      </c>
      <c r="G2043" s="761" t="s">
        <v>3292</v>
      </c>
      <c r="H2043" s="761" t="s">
        <v>7658</v>
      </c>
      <c r="I2043" s="761" t="s">
        <v>6867</v>
      </c>
      <c r="J2043" s="761">
        <v>0</v>
      </c>
      <c r="K2043" s="746">
        <v>657928.77</v>
      </c>
      <c r="L2043" s="746">
        <v>206034.12</v>
      </c>
      <c r="M2043" s="746">
        <v>451894.65</v>
      </c>
      <c r="N2043" s="493" t="str">
        <f t="shared" si="33"/>
        <v>C397</v>
      </c>
      <c r="O2043" s="493" t="s">
        <v>99</v>
      </c>
      <c r="P2043" s="493" t="s">
        <v>8005</v>
      </c>
    </row>
    <row r="2044" spans="1:16">
      <c r="A2044" s="761" t="s">
        <v>2339</v>
      </c>
      <c r="B2044" s="761" t="s">
        <v>2340</v>
      </c>
      <c r="C2044" s="761" t="s">
        <v>3751</v>
      </c>
      <c r="D2044" s="761">
        <v>41448672</v>
      </c>
      <c r="E2044" s="761" t="s">
        <v>3740</v>
      </c>
      <c r="F2044" s="761">
        <v>143003752</v>
      </c>
      <c r="G2044" s="761" t="s">
        <v>3400</v>
      </c>
      <c r="H2044" s="761" t="s">
        <v>7765</v>
      </c>
      <c r="I2044" s="761" t="s">
        <v>6867</v>
      </c>
      <c r="J2044" s="761">
        <v>0</v>
      </c>
      <c r="K2044" s="746">
        <v>27.26</v>
      </c>
      <c r="L2044" s="746">
        <v>8.5400000000000009</v>
      </c>
      <c r="M2044" s="746">
        <v>18.72</v>
      </c>
      <c r="N2044" s="493" t="str">
        <f t="shared" si="33"/>
        <v>C397</v>
      </c>
      <c r="O2044" s="493" t="s">
        <v>99</v>
      </c>
      <c r="P2044" s="493" t="s">
        <v>8005</v>
      </c>
    </row>
    <row r="2045" spans="1:16">
      <c r="A2045" s="761" t="s">
        <v>2339</v>
      </c>
      <c r="B2045" s="761" t="s">
        <v>2340</v>
      </c>
      <c r="C2045" s="761" t="s">
        <v>2476</v>
      </c>
      <c r="D2045" s="761">
        <v>44445739</v>
      </c>
      <c r="E2045" s="761" t="s">
        <v>3740</v>
      </c>
      <c r="F2045" s="761">
        <v>143003902</v>
      </c>
      <c r="G2045" s="761" t="s">
        <v>3753</v>
      </c>
      <c r="H2045" s="761" t="s">
        <v>7981</v>
      </c>
      <c r="I2045" s="761" t="s">
        <v>6867</v>
      </c>
      <c r="J2045" s="761">
        <v>0</v>
      </c>
      <c r="K2045" s="746">
        <v>1686567.98</v>
      </c>
      <c r="L2045" s="746">
        <v>528158.31000000006</v>
      </c>
      <c r="M2045" s="746">
        <v>1158409.67</v>
      </c>
      <c r="N2045" s="493" t="str">
        <f t="shared" si="33"/>
        <v>C397</v>
      </c>
      <c r="O2045" s="493" t="s">
        <v>99</v>
      </c>
      <c r="P2045" s="493" t="s">
        <v>8005</v>
      </c>
    </row>
    <row r="2046" spans="1:16">
      <c r="A2046" s="761" t="s">
        <v>2339</v>
      </c>
      <c r="B2046" s="761" t="s">
        <v>2340</v>
      </c>
      <c r="C2046" s="761" t="s">
        <v>2473</v>
      </c>
      <c r="D2046" s="761">
        <v>43986573</v>
      </c>
      <c r="E2046" s="761" t="s">
        <v>3740</v>
      </c>
      <c r="F2046" s="761">
        <v>143003552</v>
      </c>
      <c r="G2046" s="761" t="s">
        <v>3747</v>
      </c>
      <c r="H2046" s="761" t="s">
        <v>7982</v>
      </c>
      <c r="I2046" s="761" t="s">
        <v>6867</v>
      </c>
      <c r="J2046" s="761">
        <v>0</v>
      </c>
      <c r="K2046" s="746">
        <v>302345.68</v>
      </c>
      <c r="L2046" s="746">
        <v>78733.210000000006</v>
      </c>
      <c r="M2046" s="746">
        <v>223612.47</v>
      </c>
      <c r="N2046" s="493" t="str">
        <f t="shared" si="33"/>
        <v>C397</v>
      </c>
      <c r="O2046" s="493" t="s">
        <v>99</v>
      </c>
      <c r="P2046" s="493" t="s">
        <v>8005</v>
      </c>
    </row>
    <row r="2047" spans="1:16">
      <c r="A2047" s="761" t="s">
        <v>2339</v>
      </c>
      <c r="B2047" s="761" t="s">
        <v>2340</v>
      </c>
      <c r="C2047" s="761" t="s">
        <v>2490</v>
      </c>
      <c r="D2047" s="761">
        <v>44445679</v>
      </c>
      <c r="E2047" s="761" t="s">
        <v>3740</v>
      </c>
      <c r="F2047" s="761">
        <v>143002595</v>
      </c>
      <c r="G2047" s="761" t="s">
        <v>3743</v>
      </c>
      <c r="H2047" s="761" t="s">
        <v>3743</v>
      </c>
      <c r="I2047" s="761" t="s">
        <v>6867</v>
      </c>
      <c r="J2047" s="761">
        <v>0</v>
      </c>
      <c r="K2047" s="746">
        <v>11411.09</v>
      </c>
      <c r="L2047" s="746">
        <v>2971.54</v>
      </c>
      <c r="M2047" s="746">
        <v>8439.5499999999993</v>
      </c>
      <c r="N2047" s="493" t="str">
        <f t="shared" si="33"/>
        <v>C397</v>
      </c>
      <c r="O2047" s="493" t="s">
        <v>99</v>
      </c>
      <c r="P2047" s="493" t="s">
        <v>8005</v>
      </c>
    </row>
    <row r="2048" spans="1:16">
      <c r="A2048" s="761" t="s">
        <v>2339</v>
      </c>
      <c r="B2048" s="761" t="s">
        <v>2340</v>
      </c>
      <c r="C2048" s="761" t="s">
        <v>2487</v>
      </c>
      <c r="D2048" s="761">
        <v>47205778</v>
      </c>
      <c r="E2048" s="761" t="s">
        <v>3740</v>
      </c>
      <c r="F2048" s="761">
        <v>143002724</v>
      </c>
      <c r="G2048" s="761" t="s">
        <v>3744</v>
      </c>
      <c r="H2048" s="761" t="s">
        <v>3744</v>
      </c>
      <c r="I2048" s="761" t="s">
        <v>6867</v>
      </c>
      <c r="J2048" s="761">
        <v>0</v>
      </c>
      <c r="K2048" s="746">
        <v>418078.4</v>
      </c>
      <c r="L2048" s="746">
        <v>108870.93000000001</v>
      </c>
      <c r="M2048" s="746">
        <v>309207.47000000003</v>
      </c>
      <c r="N2048" s="493" t="str">
        <f t="shared" si="33"/>
        <v>C397</v>
      </c>
      <c r="O2048" s="493" t="s">
        <v>99</v>
      </c>
      <c r="P2048" s="493" t="s">
        <v>8005</v>
      </c>
    </row>
    <row r="2049" spans="1:65">
      <c r="A2049" s="761" t="s">
        <v>2339</v>
      </c>
      <c r="B2049" s="761" t="s">
        <v>2340</v>
      </c>
      <c r="C2049" s="761" t="s">
        <v>2476</v>
      </c>
      <c r="D2049" s="761">
        <v>47205793</v>
      </c>
      <c r="E2049" s="761" t="s">
        <v>3740</v>
      </c>
      <c r="F2049" s="761">
        <v>143003867</v>
      </c>
      <c r="G2049" s="761" t="s">
        <v>3752</v>
      </c>
      <c r="H2049" s="761" t="s">
        <v>7983</v>
      </c>
      <c r="I2049" s="761" t="s">
        <v>6867</v>
      </c>
      <c r="J2049" s="761">
        <v>0</v>
      </c>
      <c r="K2049" s="746">
        <v>1561575.9500000002</v>
      </c>
      <c r="L2049" s="746">
        <v>406646.75</v>
      </c>
      <c r="M2049" s="746">
        <v>1154929.2</v>
      </c>
      <c r="N2049" s="493" t="str">
        <f t="shared" si="33"/>
        <v>C397</v>
      </c>
      <c r="O2049" s="493" t="s">
        <v>99</v>
      </c>
      <c r="P2049" s="493" t="s">
        <v>8005</v>
      </c>
    </row>
    <row r="2050" spans="1:65">
      <c r="A2050" s="761" t="s">
        <v>2339</v>
      </c>
      <c r="B2050" s="761" t="s">
        <v>2340</v>
      </c>
      <c r="C2050" s="761" t="s">
        <v>2473</v>
      </c>
      <c r="D2050" s="761">
        <v>47205800</v>
      </c>
      <c r="E2050" s="761" t="s">
        <v>3740</v>
      </c>
      <c r="F2050" s="761">
        <v>143004207</v>
      </c>
      <c r="G2050" s="761" t="s">
        <v>3755</v>
      </c>
      <c r="H2050" s="761" t="s">
        <v>3755</v>
      </c>
      <c r="I2050" s="761" t="s">
        <v>6867</v>
      </c>
      <c r="J2050" s="761">
        <v>0</v>
      </c>
      <c r="K2050" s="746">
        <v>273878.34999999998</v>
      </c>
      <c r="L2050" s="746">
        <v>56720.630000000005</v>
      </c>
      <c r="M2050" s="746">
        <v>217157.72</v>
      </c>
      <c r="N2050" s="493" t="str">
        <f t="shared" si="33"/>
        <v>C397</v>
      </c>
      <c r="O2050" s="493" t="s">
        <v>99</v>
      </c>
      <c r="P2050" s="493" t="s">
        <v>8005</v>
      </c>
    </row>
    <row r="2051" spans="1:65">
      <c r="A2051" s="761" t="s">
        <v>2339</v>
      </c>
      <c r="B2051" s="761" t="s">
        <v>2340</v>
      </c>
      <c r="C2051" s="761" t="s">
        <v>3757</v>
      </c>
      <c r="D2051" s="761">
        <v>51353727</v>
      </c>
      <c r="E2051" s="761" t="s">
        <v>3740</v>
      </c>
      <c r="F2051" s="761">
        <v>143005328</v>
      </c>
      <c r="G2051" s="761" t="s">
        <v>3758</v>
      </c>
      <c r="H2051" s="761" t="s">
        <v>7984</v>
      </c>
      <c r="I2051" s="761" t="s">
        <v>6867</v>
      </c>
      <c r="J2051" s="761">
        <v>0</v>
      </c>
      <c r="K2051" s="746">
        <v>996770.73</v>
      </c>
      <c r="L2051" s="746">
        <v>206432.77000000002</v>
      </c>
      <c r="M2051" s="746">
        <v>790337.96</v>
      </c>
      <c r="N2051" s="493" t="str">
        <f t="shared" si="33"/>
        <v>C397</v>
      </c>
      <c r="O2051" s="493" t="s">
        <v>99</v>
      </c>
      <c r="P2051" s="493" t="s">
        <v>8005</v>
      </c>
    </row>
    <row r="2052" spans="1:65">
      <c r="A2052" s="761" t="s">
        <v>2339</v>
      </c>
      <c r="B2052" s="761" t="s">
        <v>2340</v>
      </c>
      <c r="C2052" s="761" t="s">
        <v>2476</v>
      </c>
      <c r="D2052" s="761">
        <v>51437193</v>
      </c>
      <c r="E2052" s="761" t="s">
        <v>3740</v>
      </c>
      <c r="F2052" s="761">
        <v>143004200</v>
      </c>
      <c r="G2052" s="761" t="s">
        <v>3754</v>
      </c>
      <c r="H2052" s="761" t="s">
        <v>7985</v>
      </c>
      <c r="I2052" s="761" t="s">
        <v>6867</v>
      </c>
      <c r="J2052" s="761">
        <v>0</v>
      </c>
      <c r="K2052" s="746">
        <v>1413173.35</v>
      </c>
      <c r="L2052" s="746">
        <v>292670.41000000003</v>
      </c>
      <c r="M2052" s="746">
        <v>1120502.94</v>
      </c>
      <c r="N2052" s="493" t="str">
        <f t="shared" si="33"/>
        <v>C397</v>
      </c>
      <c r="O2052" s="493" t="s">
        <v>99</v>
      </c>
      <c r="P2052" s="493" t="s">
        <v>8005</v>
      </c>
    </row>
    <row r="2053" spans="1:65">
      <c r="A2053" s="761" t="s">
        <v>2339</v>
      </c>
      <c r="B2053" s="761" t="s">
        <v>2340</v>
      </c>
      <c r="C2053" s="761" t="s">
        <v>3751</v>
      </c>
      <c r="D2053" s="761">
        <v>51817628</v>
      </c>
      <c r="E2053" s="761" t="s">
        <v>3740</v>
      </c>
      <c r="F2053" s="761">
        <v>143005243</v>
      </c>
      <c r="G2053" s="761" t="s">
        <v>3756</v>
      </c>
      <c r="H2053" s="761" t="s">
        <v>7986</v>
      </c>
      <c r="I2053" s="761" t="s">
        <v>6867</v>
      </c>
      <c r="J2053" s="761">
        <v>0</v>
      </c>
      <c r="K2053" s="746">
        <v>467863.5</v>
      </c>
      <c r="L2053" s="746">
        <v>71171.09</v>
      </c>
      <c r="M2053" s="746">
        <v>396692.41000000003</v>
      </c>
      <c r="N2053" s="493" t="str">
        <f t="shared" si="33"/>
        <v>C397</v>
      </c>
      <c r="O2053" s="493" t="s">
        <v>99</v>
      </c>
      <c r="P2053" s="493" t="s">
        <v>8005</v>
      </c>
    </row>
    <row r="2054" spans="1:65">
      <c r="A2054" s="761" t="s">
        <v>2339</v>
      </c>
      <c r="B2054" s="761" t="s">
        <v>2340</v>
      </c>
      <c r="C2054" s="761" t="s">
        <v>2473</v>
      </c>
      <c r="D2054" s="761">
        <v>56972613</v>
      </c>
      <c r="E2054" s="761" t="s">
        <v>3740</v>
      </c>
      <c r="F2054" s="761">
        <v>143003604</v>
      </c>
      <c r="G2054" s="761" t="s">
        <v>3750</v>
      </c>
      <c r="H2054" s="761" t="s">
        <v>3750</v>
      </c>
      <c r="I2054" s="761" t="s">
        <v>6867</v>
      </c>
      <c r="J2054" s="761">
        <v>593</v>
      </c>
      <c r="K2054" s="746">
        <v>5432697.2300000004</v>
      </c>
      <c r="L2054" s="746">
        <v>826418.32000000007</v>
      </c>
      <c r="M2054" s="746">
        <v>4606278.91</v>
      </c>
      <c r="N2054" s="493" t="str">
        <f t="shared" si="33"/>
        <v>C397</v>
      </c>
      <c r="O2054" s="493" t="s">
        <v>99</v>
      </c>
      <c r="P2054" s="493" t="s">
        <v>8005</v>
      </c>
    </row>
    <row r="2055" spans="1:65">
      <c r="A2055" s="761" t="s">
        <v>2339</v>
      </c>
      <c r="B2055" s="761" t="s">
        <v>2340</v>
      </c>
      <c r="C2055" s="761" t="s">
        <v>2476</v>
      </c>
      <c r="D2055" s="761">
        <v>57971805</v>
      </c>
      <c r="E2055" s="761" t="s">
        <v>3740</v>
      </c>
      <c r="F2055" s="761">
        <v>143002592</v>
      </c>
      <c r="G2055" s="761" t="s">
        <v>3742</v>
      </c>
      <c r="H2055" s="761" t="s">
        <v>7987</v>
      </c>
      <c r="I2055" s="761" t="s">
        <v>6867</v>
      </c>
      <c r="J2055" s="761">
        <v>1563</v>
      </c>
      <c r="K2055" s="746">
        <v>15528290.199999999</v>
      </c>
      <c r="L2055" s="746">
        <v>2362153.2599999998</v>
      </c>
      <c r="M2055" s="746">
        <v>13166136.939999999</v>
      </c>
      <c r="N2055" s="493" t="str">
        <f t="shared" si="33"/>
        <v>C397</v>
      </c>
      <c r="O2055" s="493" t="s">
        <v>99</v>
      </c>
      <c r="P2055" s="493" t="s">
        <v>8005</v>
      </c>
    </row>
    <row r="2056" spans="1:65">
      <c r="A2056" s="761" t="s">
        <v>2339</v>
      </c>
      <c r="B2056" s="761" t="s">
        <v>2340</v>
      </c>
      <c r="C2056" s="761" t="s">
        <v>2509</v>
      </c>
      <c r="D2056" s="761">
        <v>57971822</v>
      </c>
      <c r="E2056" s="761" t="s">
        <v>3740</v>
      </c>
      <c r="F2056" s="761">
        <v>143003221</v>
      </c>
      <c r="G2056" s="761" t="s">
        <v>3325</v>
      </c>
      <c r="H2056" s="761" t="s">
        <v>7988</v>
      </c>
      <c r="I2056" s="761" t="s">
        <v>6867</v>
      </c>
      <c r="J2056" s="761">
        <v>0</v>
      </c>
      <c r="K2056" s="746">
        <v>365929.2</v>
      </c>
      <c r="L2056" s="746">
        <v>55664.91</v>
      </c>
      <c r="M2056" s="746">
        <v>310264.28999999998</v>
      </c>
      <c r="N2056" s="493" t="str">
        <f t="shared" si="33"/>
        <v>C397</v>
      </c>
      <c r="O2056" s="493" t="s">
        <v>99</v>
      </c>
      <c r="P2056" s="493" t="s">
        <v>8005</v>
      </c>
    </row>
    <row r="2057" spans="1:65">
      <c r="A2057" s="761" t="s">
        <v>2339</v>
      </c>
      <c r="B2057" s="761" t="s">
        <v>2340</v>
      </c>
      <c r="C2057" s="761" t="s">
        <v>2524</v>
      </c>
      <c r="D2057" s="761">
        <v>57971897</v>
      </c>
      <c r="E2057" s="761" t="s">
        <v>3740</v>
      </c>
      <c r="F2057" s="761">
        <v>143003596</v>
      </c>
      <c r="G2057" s="761" t="s">
        <v>3748</v>
      </c>
      <c r="H2057" s="761" t="s">
        <v>3748</v>
      </c>
      <c r="I2057" s="761" t="s">
        <v>6867</v>
      </c>
      <c r="J2057" s="761">
        <v>0</v>
      </c>
      <c r="K2057" s="746">
        <v>94099.02</v>
      </c>
      <c r="L2057" s="746">
        <v>14314.28</v>
      </c>
      <c r="M2057" s="746">
        <v>79784.740000000005</v>
      </c>
      <c r="N2057" s="493" t="str">
        <f t="shared" si="33"/>
        <v>C397</v>
      </c>
      <c r="O2057" s="493" t="s">
        <v>99</v>
      </c>
      <c r="P2057" s="493" t="s">
        <v>8005</v>
      </c>
    </row>
    <row r="2058" spans="1:65">
      <c r="A2058" s="761" t="s">
        <v>2339</v>
      </c>
      <c r="B2058" s="761" t="s">
        <v>2340</v>
      </c>
      <c r="C2058" s="761" t="s">
        <v>2527</v>
      </c>
      <c r="D2058" s="761">
        <v>58136488</v>
      </c>
      <c r="E2058" s="761" t="s">
        <v>3740</v>
      </c>
      <c r="F2058" s="761">
        <v>143002843</v>
      </c>
      <c r="G2058" s="761" t="s">
        <v>3745</v>
      </c>
      <c r="H2058" s="761" t="s">
        <v>7989</v>
      </c>
      <c r="I2058" s="761" t="s">
        <v>6867</v>
      </c>
      <c r="J2058" s="761">
        <v>83</v>
      </c>
      <c r="K2058" s="746">
        <v>552878.72</v>
      </c>
      <c r="L2058" s="746">
        <v>84103.55</v>
      </c>
      <c r="M2058" s="746">
        <v>468775.17</v>
      </c>
      <c r="N2058" s="493" t="str">
        <f t="shared" si="33"/>
        <v>C397</v>
      </c>
      <c r="O2058" s="493" t="s">
        <v>99</v>
      </c>
      <c r="P2058" s="493" t="s">
        <v>8005</v>
      </c>
    </row>
    <row r="2059" spans="1:65">
      <c r="A2059" s="761" t="s">
        <v>2339</v>
      </c>
      <c r="B2059" s="761" t="s">
        <v>2340</v>
      </c>
      <c r="C2059" s="761" t="s">
        <v>2517</v>
      </c>
      <c r="D2059" s="761">
        <v>58136493</v>
      </c>
      <c r="E2059" s="761" t="s">
        <v>3740</v>
      </c>
      <c r="F2059" s="761">
        <v>143003104</v>
      </c>
      <c r="G2059" s="761" t="s">
        <v>3746</v>
      </c>
      <c r="H2059" s="761" t="s">
        <v>7990</v>
      </c>
      <c r="I2059" s="761" t="s">
        <v>6867</v>
      </c>
      <c r="J2059" s="761">
        <v>11</v>
      </c>
      <c r="K2059" s="746">
        <v>57496.31</v>
      </c>
      <c r="L2059" s="746">
        <v>8746.3000000000011</v>
      </c>
      <c r="M2059" s="746">
        <v>48750.01</v>
      </c>
      <c r="N2059" s="493" t="str">
        <f t="shared" si="33"/>
        <v>C397</v>
      </c>
      <c r="O2059" s="493" t="s">
        <v>99</v>
      </c>
      <c r="P2059" s="493" t="s">
        <v>8005</v>
      </c>
    </row>
    <row r="2060" spans="1:65">
      <c r="A2060" s="761" t="s">
        <v>2339</v>
      </c>
      <c r="B2060" s="761" t="s">
        <v>2340</v>
      </c>
      <c r="C2060" s="761" t="s">
        <v>2512</v>
      </c>
      <c r="D2060" s="761">
        <v>58136498</v>
      </c>
      <c r="E2060" s="761" t="s">
        <v>3740</v>
      </c>
      <c r="F2060" s="761">
        <v>143003601</v>
      </c>
      <c r="G2060" s="761" t="s">
        <v>3749</v>
      </c>
      <c r="H2060" s="761" t="s">
        <v>3749</v>
      </c>
      <c r="I2060" s="761" t="s">
        <v>6867</v>
      </c>
      <c r="J2060" s="761">
        <v>1224</v>
      </c>
      <c r="K2060" s="746">
        <v>10233003.460000001</v>
      </c>
      <c r="L2060" s="746">
        <v>1556637.73</v>
      </c>
      <c r="M2060" s="746">
        <v>8676365.7300000004</v>
      </c>
      <c r="N2060" s="493" t="str">
        <f t="shared" si="33"/>
        <v>C397</v>
      </c>
      <c r="O2060" s="493" t="s">
        <v>99</v>
      </c>
      <c r="P2060" s="493" t="s">
        <v>8005</v>
      </c>
    </row>
    <row r="2061" spans="1:65" s="1720" customFormat="1">
      <c r="A2061" s="762" t="s">
        <v>2339</v>
      </c>
      <c r="B2061" s="762" t="s">
        <v>2340</v>
      </c>
      <c r="C2061" s="762" t="s">
        <v>2476</v>
      </c>
      <c r="D2061" s="762">
        <v>58490912</v>
      </c>
      <c r="E2061" s="762" t="s">
        <v>3740</v>
      </c>
      <c r="F2061" s="762">
        <v>143005964</v>
      </c>
      <c r="G2061" s="762" t="s">
        <v>3759</v>
      </c>
      <c r="H2061" s="762" t="s">
        <v>7991</v>
      </c>
      <c r="I2061" s="762" t="s">
        <v>6867</v>
      </c>
      <c r="J2061" s="762">
        <v>0</v>
      </c>
      <c r="K2061" s="1911">
        <v>1169676.04</v>
      </c>
      <c r="L2061" s="1911">
        <v>110351.95</v>
      </c>
      <c r="M2061" s="1911">
        <v>1059324.0900000001</v>
      </c>
      <c r="N2061" s="1752" t="str">
        <f t="shared" si="33"/>
        <v>C397</v>
      </c>
      <c r="O2061" s="1752" t="s">
        <v>99</v>
      </c>
      <c r="P2061" s="1752" t="s">
        <v>8005</v>
      </c>
      <c r="Q2061" s="761"/>
      <c r="R2061" s="761"/>
      <c r="S2061" s="761"/>
      <c r="T2061" s="761"/>
      <c r="U2061" s="761"/>
      <c r="V2061" s="761"/>
      <c r="W2061" s="761"/>
      <c r="X2061" s="761"/>
      <c r="Y2061" s="761"/>
      <c r="Z2061" s="761"/>
      <c r="AA2061" s="761"/>
      <c r="AB2061" s="761"/>
      <c r="AC2061" s="761"/>
      <c r="AD2061" s="761"/>
      <c r="AE2061" s="761"/>
      <c r="AF2061" s="761"/>
      <c r="AG2061" s="761"/>
      <c r="AH2061" s="761"/>
      <c r="AI2061" s="761"/>
      <c r="AJ2061" s="761"/>
      <c r="AK2061" s="761"/>
      <c r="AL2061" s="761"/>
      <c r="AM2061" s="761"/>
      <c r="AN2061" s="761"/>
      <c r="AO2061" s="761"/>
      <c r="AP2061" s="761"/>
      <c r="AQ2061" s="761"/>
      <c r="AR2061" s="761"/>
      <c r="AS2061" s="761"/>
      <c r="AT2061" s="761"/>
      <c r="AU2061" s="761"/>
      <c r="AV2061" s="761"/>
      <c r="AW2061" s="761"/>
      <c r="AX2061" s="761"/>
      <c r="AY2061" s="761"/>
      <c r="AZ2061" s="761"/>
      <c r="BA2061" s="761"/>
      <c r="BB2061" s="761"/>
      <c r="BC2061" s="761"/>
      <c r="BD2061" s="761"/>
      <c r="BE2061" s="761"/>
      <c r="BF2061" s="761"/>
      <c r="BG2061" s="761"/>
      <c r="BH2061" s="761"/>
      <c r="BI2061" s="761"/>
      <c r="BJ2061" s="761"/>
      <c r="BK2061" s="761"/>
      <c r="BL2061" s="761"/>
      <c r="BM2061" s="761"/>
    </row>
    <row r="2062" spans="1:65">
      <c r="A2062" s="761" t="s">
        <v>2339</v>
      </c>
      <c r="B2062" s="761" t="s">
        <v>2340</v>
      </c>
      <c r="C2062" s="761" t="s">
        <v>2517</v>
      </c>
      <c r="D2062" s="761">
        <v>5365597</v>
      </c>
      <c r="E2062" s="761" t="s">
        <v>3760</v>
      </c>
      <c r="F2062" s="761">
        <v>130003901</v>
      </c>
      <c r="G2062" s="761" t="s">
        <v>3761</v>
      </c>
      <c r="H2062" s="761" t="s">
        <v>7992</v>
      </c>
      <c r="I2062" s="761" t="s">
        <v>6867</v>
      </c>
      <c r="J2062" s="761">
        <v>1</v>
      </c>
      <c r="K2062" s="746">
        <v>218701.53</v>
      </c>
      <c r="L2062" s="746">
        <v>1038637.19</v>
      </c>
      <c r="M2062" s="746">
        <v>-819935.66</v>
      </c>
      <c r="N2062" s="493" t="str">
        <f t="shared" si="33"/>
        <v>C398</v>
      </c>
      <c r="O2062" s="493" t="s">
        <v>99</v>
      </c>
      <c r="P2062" s="493" t="s">
        <v>8010</v>
      </c>
    </row>
    <row r="2063" spans="1:65">
      <c r="A2063" s="761" t="s">
        <v>2339</v>
      </c>
      <c r="B2063" s="761" t="s">
        <v>2340</v>
      </c>
      <c r="C2063" s="761" t="s">
        <v>2447</v>
      </c>
      <c r="D2063" s="761">
        <v>6781240</v>
      </c>
      <c r="E2063" s="761" t="s">
        <v>3760</v>
      </c>
      <c r="F2063" s="761">
        <v>130005022</v>
      </c>
      <c r="G2063" s="761" t="s">
        <v>3764</v>
      </c>
      <c r="H2063" s="761" t="s">
        <v>3764</v>
      </c>
      <c r="I2063" s="761" t="s">
        <v>6867</v>
      </c>
      <c r="J2063" s="761">
        <v>0</v>
      </c>
      <c r="K2063" s="746">
        <v>12120.11</v>
      </c>
      <c r="L2063" s="746">
        <v>57559.71</v>
      </c>
      <c r="M2063" s="746">
        <v>-45439.6</v>
      </c>
      <c r="N2063" s="493" t="str">
        <f t="shared" si="33"/>
        <v>C398</v>
      </c>
      <c r="O2063" s="493" t="s">
        <v>99</v>
      </c>
      <c r="P2063" s="493" t="s">
        <v>8010</v>
      </c>
    </row>
    <row r="2064" spans="1:65">
      <c r="A2064" s="761" t="s">
        <v>2339</v>
      </c>
      <c r="B2064" s="761" t="s">
        <v>2340</v>
      </c>
      <c r="C2064" s="761" t="s">
        <v>2356</v>
      </c>
      <c r="D2064" s="761">
        <v>6883151</v>
      </c>
      <c r="E2064" s="761" t="s">
        <v>3760</v>
      </c>
      <c r="F2064" s="761">
        <v>130004741</v>
      </c>
      <c r="G2064" s="761" t="s">
        <v>3763</v>
      </c>
      <c r="H2064" s="761" t="s">
        <v>3763</v>
      </c>
      <c r="I2064" s="761" t="s">
        <v>6867</v>
      </c>
      <c r="J2064" s="761">
        <v>1</v>
      </c>
      <c r="K2064" s="746">
        <v>27190.78</v>
      </c>
      <c r="L2064" s="746">
        <v>129131.95</v>
      </c>
      <c r="M2064" s="746">
        <v>-101941.17</v>
      </c>
      <c r="N2064" s="493" t="str">
        <f t="shared" si="33"/>
        <v>C398</v>
      </c>
      <c r="O2064" s="493" t="s">
        <v>390</v>
      </c>
      <c r="P2064" s="493" t="s">
        <v>8010</v>
      </c>
    </row>
    <row r="2065" spans="1:16">
      <c r="A2065" s="761" t="s">
        <v>2339</v>
      </c>
      <c r="B2065" s="761" t="s">
        <v>2340</v>
      </c>
      <c r="C2065" s="761" t="s">
        <v>2350</v>
      </c>
      <c r="D2065" s="761">
        <v>27792524</v>
      </c>
      <c r="E2065" s="761" t="s">
        <v>3760</v>
      </c>
      <c r="F2065" s="761">
        <v>130004301</v>
      </c>
      <c r="G2065" s="761" t="s">
        <v>3762</v>
      </c>
      <c r="H2065" s="761" t="s">
        <v>3762</v>
      </c>
      <c r="I2065" s="761" t="s">
        <v>6867</v>
      </c>
      <c r="J2065" s="761">
        <v>0</v>
      </c>
      <c r="K2065" s="746">
        <v>38174.81</v>
      </c>
      <c r="L2065" s="746">
        <v>181296.30000000002</v>
      </c>
      <c r="M2065" s="746">
        <v>-143121.49</v>
      </c>
      <c r="N2065" s="493" t="str">
        <f t="shared" ref="N2065:N2080" si="34">LEFT(E2065,4)</f>
        <v>C398</v>
      </c>
      <c r="O2065" s="493" t="s">
        <v>390</v>
      </c>
      <c r="P2065" s="493" t="s">
        <v>8010</v>
      </c>
    </row>
    <row r="2066" spans="1:16">
      <c r="A2066" s="761" t="s">
        <v>2339</v>
      </c>
      <c r="B2066" s="761" t="s">
        <v>2340</v>
      </c>
      <c r="C2066" s="761" t="s">
        <v>2683</v>
      </c>
      <c r="D2066" s="761">
        <v>6085699</v>
      </c>
      <c r="E2066" s="761" t="s">
        <v>3760</v>
      </c>
      <c r="F2066" s="761">
        <v>131202560</v>
      </c>
      <c r="G2066" s="761" t="s">
        <v>3765</v>
      </c>
      <c r="H2066" s="761" t="s">
        <v>7993</v>
      </c>
      <c r="I2066" s="761" t="s">
        <v>6867</v>
      </c>
      <c r="J2066" s="761">
        <v>1</v>
      </c>
      <c r="K2066" s="746">
        <v>4458.92</v>
      </c>
      <c r="L2066" s="746">
        <v>21175.89</v>
      </c>
      <c r="M2066" s="746">
        <v>-16716.97</v>
      </c>
      <c r="N2066" s="493" t="str">
        <f t="shared" si="34"/>
        <v>C398</v>
      </c>
      <c r="O2066" s="493" t="s">
        <v>99</v>
      </c>
      <c r="P2066" s="493" t="s">
        <v>8010</v>
      </c>
    </row>
    <row r="2067" spans="1:16">
      <c r="A2067" s="761" t="s">
        <v>2339</v>
      </c>
      <c r="B2067" s="761" t="s">
        <v>2340</v>
      </c>
      <c r="C2067" s="761" t="s">
        <v>2497</v>
      </c>
      <c r="D2067" s="761">
        <v>7300061</v>
      </c>
      <c r="E2067" s="761" t="s">
        <v>3760</v>
      </c>
      <c r="F2067" s="761">
        <v>131203601</v>
      </c>
      <c r="G2067" s="761" t="s">
        <v>3766</v>
      </c>
      <c r="H2067" s="761" t="s">
        <v>7994</v>
      </c>
      <c r="I2067" s="761" t="s">
        <v>6867</v>
      </c>
      <c r="J2067" s="761">
        <v>0</v>
      </c>
      <c r="K2067" s="746">
        <v>11889.53</v>
      </c>
      <c r="L2067" s="746">
        <v>56464.66</v>
      </c>
      <c r="M2067" s="746">
        <v>-44575.13</v>
      </c>
      <c r="N2067" s="493" t="str">
        <f t="shared" si="34"/>
        <v>C398</v>
      </c>
      <c r="O2067" s="493" t="s">
        <v>99</v>
      </c>
      <c r="P2067" s="493" t="s">
        <v>8010</v>
      </c>
    </row>
    <row r="2068" spans="1:16">
      <c r="A2068" s="761" t="s">
        <v>2339</v>
      </c>
      <c r="B2068" s="761" t="s">
        <v>2340</v>
      </c>
      <c r="C2068" s="761" t="s">
        <v>2691</v>
      </c>
      <c r="D2068" s="761">
        <v>8067511</v>
      </c>
      <c r="E2068" s="761" t="s">
        <v>3760</v>
      </c>
      <c r="F2068" s="761">
        <v>131203741</v>
      </c>
      <c r="G2068" s="761" t="s">
        <v>3767</v>
      </c>
      <c r="H2068" s="761" t="s">
        <v>7995</v>
      </c>
      <c r="I2068" s="761" t="s">
        <v>6867</v>
      </c>
      <c r="J2068" s="761">
        <v>0</v>
      </c>
      <c r="K2068" s="746">
        <v>201155.07</v>
      </c>
      <c r="L2068" s="746">
        <v>903296.66</v>
      </c>
      <c r="M2068" s="746">
        <v>-702141.59</v>
      </c>
      <c r="N2068" s="493" t="str">
        <f t="shared" si="34"/>
        <v>C398</v>
      </c>
      <c r="O2068" s="493" t="s">
        <v>99</v>
      </c>
      <c r="P2068" s="493" t="s">
        <v>8010</v>
      </c>
    </row>
    <row r="2069" spans="1:16">
      <c r="A2069" s="761" t="s">
        <v>2339</v>
      </c>
      <c r="B2069" s="761" t="s">
        <v>2340</v>
      </c>
      <c r="C2069" s="761" t="s">
        <v>2364</v>
      </c>
      <c r="D2069" s="761">
        <v>7670088</v>
      </c>
      <c r="E2069" s="761" t="s">
        <v>3760</v>
      </c>
      <c r="F2069" s="761">
        <v>131201100</v>
      </c>
      <c r="G2069" s="761" t="s">
        <v>2369</v>
      </c>
      <c r="H2069" s="761" t="s">
        <v>2369</v>
      </c>
      <c r="I2069" s="761" t="s">
        <v>6867</v>
      </c>
      <c r="J2069" s="761">
        <v>0</v>
      </c>
      <c r="K2069" s="746">
        <v>6452.37</v>
      </c>
      <c r="L2069" s="746">
        <v>28974.68</v>
      </c>
      <c r="M2069" s="746">
        <v>-22522.31</v>
      </c>
      <c r="N2069" s="493" t="str">
        <f t="shared" si="34"/>
        <v>C398</v>
      </c>
      <c r="O2069" s="493" t="s">
        <v>99</v>
      </c>
      <c r="P2069" s="493" t="s">
        <v>8010</v>
      </c>
    </row>
    <row r="2070" spans="1:16">
      <c r="A2070" s="761" t="s">
        <v>2339</v>
      </c>
      <c r="B2070" s="761" t="s">
        <v>2340</v>
      </c>
      <c r="C2070" s="761" t="s">
        <v>2361</v>
      </c>
      <c r="D2070" s="761">
        <v>10529884</v>
      </c>
      <c r="E2070" s="761" t="s">
        <v>3760</v>
      </c>
      <c r="F2070" s="761">
        <v>143000101</v>
      </c>
      <c r="G2070" s="761" t="s">
        <v>3768</v>
      </c>
      <c r="H2070" s="761" t="s">
        <v>3768</v>
      </c>
      <c r="I2070" s="761" t="s">
        <v>6867</v>
      </c>
      <c r="J2070" s="761">
        <v>1</v>
      </c>
      <c r="K2070" s="746">
        <v>4619.95</v>
      </c>
      <c r="L2070" s="746">
        <v>19551.580000000002</v>
      </c>
      <c r="M2070" s="746">
        <v>-14931.630000000001</v>
      </c>
      <c r="N2070" s="493" t="str">
        <f t="shared" si="34"/>
        <v>C398</v>
      </c>
      <c r="O2070" s="493" t="s">
        <v>99</v>
      </c>
      <c r="P2070" s="493" t="s">
        <v>8010</v>
      </c>
    </row>
    <row r="2071" spans="1:16">
      <c r="A2071" s="761" t="s">
        <v>2339</v>
      </c>
      <c r="B2071" s="761" t="s">
        <v>2340</v>
      </c>
      <c r="C2071" s="761" t="s">
        <v>2497</v>
      </c>
      <c r="D2071" s="761">
        <v>11922080</v>
      </c>
      <c r="E2071" s="761" t="s">
        <v>3760</v>
      </c>
      <c r="F2071" s="761">
        <v>143000820</v>
      </c>
      <c r="G2071" s="761" t="s">
        <v>3769</v>
      </c>
      <c r="H2071" s="761" t="s">
        <v>7996</v>
      </c>
      <c r="I2071" s="761" t="s">
        <v>6867</v>
      </c>
      <c r="J2071" s="761">
        <v>1</v>
      </c>
      <c r="K2071" s="746">
        <v>4741.21</v>
      </c>
      <c r="L2071" s="746">
        <v>18838.87</v>
      </c>
      <c r="M2071" s="746">
        <v>-14097.66</v>
      </c>
      <c r="N2071" s="493" t="str">
        <f t="shared" si="34"/>
        <v>C398</v>
      </c>
      <c r="O2071" s="493" t="s">
        <v>99</v>
      </c>
      <c r="P2071" s="493" t="s">
        <v>8010</v>
      </c>
    </row>
    <row r="2072" spans="1:16">
      <c r="A2072" s="761" t="s">
        <v>2339</v>
      </c>
      <c r="B2072" s="761" t="s">
        <v>2340</v>
      </c>
      <c r="C2072" s="761" t="s">
        <v>2476</v>
      </c>
      <c r="D2072" s="761">
        <v>12233143</v>
      </c>
      <c r="E2072" s="761" t="s">
        <v>3760</v>
      </c>
      <c r="F2072" s="761">
        <v>143001200</v>
      </c>
      <c r="G2072" s="761" t="s">
        <v>3770</v>
      </c>
      <c r="H2072" s="761" t="s">
        <v>7997</v>
      </c>
      <c r="I2072" s="761" t="s">
        <v>6867</v>
      </c>
      <c r="J2072" s="761">
        <v>1</v>
      </c>
      <c r="K2072" s="746">
        <v>51620.200000000004</v>
      </c>
      <c r="L2072" s="746">
        <v>205109.28</v>
      </c>
      <c r="M2072" s="746">
        <v>-153489.08000000002</v>
      </c>
      <c r="N2072" s="493" t="str">
        <f t="shared" si="34"/>
        <v>C398</v>
      </c>
      <c r="O2072" s="493" t="s">
        <v>99</v>
      </c>
      <c r="P2072" s="493" t="s">
        <v>8010</v>
      </c>
    </row>
    <row r="2073" spans="1:16">
      <c r="A2073" s="761" t="s">
        <v>2339</v>
      </c>
      <c r="B2073" s="761" t="s">
        <v>2340</v>
      </c>
      <c r="C2073" s="761" t="s">
        <v>2476</v>
      </c>
      <c r="D2073" s="761">
        <v>15588602</v>
      </c>
      <c r="E2073" s="761" t="s">
        <v>3760</v>
      </c>
      <c r="F2073" s="761">
        <v>143001387</v>
      </c>
      <c r="G2073" s="761" t="s">
        <v>3771</v>
      </c>
      <c r="H2073" s="761" t="s">
        <v>7998</v>
      </c>
      <c r="I2073" s="761" t="s">
        <v>6867</v>
      </c>
      <c r="J2073" s="761">
        <v>1</v>
      </c>
      <c r="K2073" s="746">
        <v>4243.54</v>
      </c>
      <c r="L2073" s="746">
        <v>15764.2</v>
      </c>
      <c r="M2073" s="746">
        <v>-11520.66</v>
      </c>
      <c r="N2073" s="493" t="str">
        <f t="shared" si="34"/>
        <v>C398</v>
      </c>
      <c r="O2073" s="493" t="s">
        <v>99</v>
      </c>
      <c r="P2073" s="493" t="s">
        <v>8010</v>
      </c>
    </row>
    <row r="2074" spans="1:16">
      <c r="A2074" s="761" t="s">
        <v>2339</v>
      </c>
      <c r="B2074" s="761" t="s">
        <v>2340</v>
      </c>
      <c r="C2074" s="761" t="s">
        <v>2361</v>
      </c>
      <c r="D2074" s="761">
        <v>15588605</v>
      </c>
      <c r="E2074" s="761" t="s">
        <v>3760</v>
      </c>
      <c r="F2074" s="761">
        <v>143001542</v>
      </c>
      <c r="G2074" s="761" t="s">
        <v>3772</v>
      </c>
      <c r="H2074" s="761" t="s">
        <v>3772</v>
      </c>
      <c r="I2074" s="761" t="s">
        <v>6867</v>
      </c>
      <c r="J2074" s="761">
        <v>1</v>
      </c>
      <c r="K2074" s="746">
        <v>4830.95</v>
      </c>
      <c r="L2074" s="746">
        <v>17946.36</v>
      </c>
      <c r="M2074" s="746">
        <v>-13115.41</v>
      </c>
      <c r="N2074" s="493" t="str">
        <f t="shared" si="34"/>
        <v>C398</v>
      </c>
      <c r="O2074" s="493" t="s">
        <v>99</v>
      </c>
      <c r="P2074" s="493" t="s">
        <v>8010</v>
      </c>
    </row>
    <row r="2075" spans="1:16">
      <c r="A2075" s="761" t="s">
        <v>2339</v>
      </c>
      <c r="B2075" s="761" t="s">
        <v>2340</v>
      </c>
      <c r="C2075" s="761" t="s">
        <v>2494</v>
      </c>
      <c r="D2075" s="761">
        <v>23268588</v>
      </c>
      <c r="E2075" s="761" t="s">
        <v>3760</v>
      </c>
      <c r="F2075" s="761">
        <v>143001600</v>
      </c>
      <c r="G2075" s="761" t="s">
        <v>3773</v>
      </c>
      <c r="H2075" s="761" t="s">
        <v>7999</v>
      </c>
      <c r="I2075" s="761" t="s">
        <v>6867</v>
      </c>
      <c r="J2075" s="761">
        <v>1</v>
      </c>
      <c r="K2075" s="746">
        <v>1767.8700000000001</v>
      </c>
      <c r="L2075" s="746">
        <v>6567.41</v>
      </c>
      <c r="M2075" s="746">
        <v>-4799.54</v>
      </c>
      <c r="N2075" s="493" t="str">
        <f t="shared" si="34"/>
        <v>C398</v>
      </c>
      <c r="O2075" s="493" t="s">
        <v>99</v>
      </c>
      <c r="P2075" s="493" t="s">
        <v>8010</v>
      </c>
    </row>
    <row r="2076" spans="1:16">
      <c r="A2076" s="761" t="s">
        <v>2339</v>
      </c>
      <c r="B2076" s="761" t="s">
        <v>2340</v>
      </c>
      <c r="C2076" s="761" t="s">
        <v>2447</v>
      </c>
      <c r="D2076" s="761">
        <v>26676501</v>
      </c>
      <c r="E2076" s="761" t="s">
        <v>3760</v>
      </c>
      <c r="F2076" s="761">
        <v>143002152</v>
      </c>
      <c r="G2076" s="761" t="s">
        <v>3774</v>
      </c>
      <c r="H2076" s="761" t="s">
        <v>8000</v>
      </c>
      <c r="I2076" s="761" t="s">
        <v>6867</v>
      </c>
      <c r="J2076" s="761">
        <v>1</v>
      </c>
      <c r="K2076" s="746">
        <v>4383.1900000000005</v>
      </c>
      <c r="L2076" s="746">
        <v>12883.04</v>
      </c>
      <c r="M2076" s="746">
        <v>-8499.85</v>
      </c>
      <c r="N2076" s="493" t="str">
        <f t="shared" si="34"/>
        <v>C398</v>
      </c>
      <c r="O2076" s="493" t="s">
        <v>99</v>
      </c>
      <c r="P2076" s="493" t="s">
        <v>8010</v>
      </c>
    </row>
    <row r="2077" spans="1:16">
      <c r="A2077" s="761" t="s">
        <v>2339</v>
      </c>
      <c r="B2077" s="761" t="s">
        <v>2340</v>
      </c>
      <c r="C2077" s="761" t="s">
        <v>2367</v>
      </c>
      <c r="D2077" s="761">
        <v>27568829</v>
      </c>
      <c r="E2077" s="761" t="s">
        <v>3760</v>
      </c>
      <c r="F2077" s="761">
        <v>143002520</v>
      </c>
      <c r="G2077" s="761" t="s">
        <v>3776</v>
      </c>
      <c r="H2077" s="761" t="s">
        <v>8001</v>
      </c>
      <c r="I2077" s="761" t="s">
        <v>6867</v>
      </c>
      <c r="J2077" s="761">
        <v>1</v>
      </c>
      <c r="K2077" s="746">
        <v>6305.4800000000005</v>
      </c>
      <c r="L2077" s="746">
        <v>18533.03</v>
      </c>
      <c r="M2077" s="746">
        <v>-12227.550000000001</v>
      </c>
      <c r="N2077" s="493" t="str">
        <f t="shared" si="34"/>
        <v>C398</v>
      </c>
      <c r="O2077" s="493" t="s">
        <v>390</v>
      </c>
      <c r="P2077" s="493" t="s">
        <v>8010</v>
      </c>
    </row>
    <row r="2078" spans="1:16">
      <c r="A2078" s="761" t="s">
        <v>2339</v>
      </c>
      <c r="B2078" s="761" t="s">
        <v>2340</v>
      </c>
      <c r="C2078" s="761" t="s">
        <v>2709</v>
      </c>
      <c r="D2078" s="761">
        <v>28899592</v>
      </c>
      <c r="E2078" s="761" t="s">
        <v>3760</v>
      </c>
      <c r="F2078" s="761">
        <v>143002320</v>
      </c>
      <c r="G2078" s="761" t="s">
        <v>3775</v>
      </c>
      <c r="H2078" s="761" t="s">
        <v>8002</v>
      </c>
      <c r="I2078" s="761" t="s">
        <v>6867</v>
      </c>
      <c r="J2078" s="761">
        <v>1</v>
      </c>
      <c r="K2078" s="746">
        <v>29667.72</v>
      </c>
      <c r="L2078" s="746">
        <v>87199.180000000008</v>
      </c>
      <c r="M2078" s="746">
        <v>-57531.46</v>
      </c>
      <c r="N2078" s="493" t="str">
        <f t="shared" si="34"/>
        <v>C398</v>
      </c>
      <c r="O2078" s="493" t="s">
        <v>99</v>
      </c>
      <c r="P2078" s="493" t="s">
        <v>8010</v>
      </c>
    </row>
    <row r="2079" spans="1:16">
      <c r="A2079" s="761" t="s">
        <v>2339</v>
      </c>
      <c r="B2079" s="761" t="s">
        <v>2340</v>
      </c>
      <c r="C2079" s="761" t="s">
        <v>2631</v>
      </c>
      <c r="D2079" s="761">
        <v>39244961</v>
      </c>
      <c r="E2079" s="761" t="s">
        <v>3777</v>
      </c>
      <c r="F2079" s="761" t="s">
        <v>3778</v>
      </c>
      <c r="I2079" s="761" t="s">
        <v>6867</v>
      </c>
      <c r="J2079" s="761">
        <v>0</v>
      </c>
      <c r="K2079" s="746">
        <v>1033449.18</v>
      </c>
      <c r="L2079" s="746">
        <v>397679.16000000003</v>
      </c>
      <c r="M2079" s="746">
        <v>635770.02</v>
      </c>
      <c r="N2079" s="493" t="str">
        <f t="shared" si="34"/>
        <v>C399</v>
      </c>
      <c r="O2079" s="493" t="s">
        <v>99</v>
      </c>
      <c r="P2079" s="493" t="s">
        <v>8010</v>
      </c>
    </row>
    <row r="2080" spans="1:16">
      <c r="A2080" s="761" t="s">
        <v>2339</v>
      </c>
      <c r="B2080" s="761" t="s">
        <v>2340</v>
      </c>
      <c r="C2080" s="761" t="s">
        <v>2631</v>
      </c>
      <c r="D2080" s="761">
        <v>39244964</v>
      </c>
      <c r="E2080" s="761" t="s">
        <v>3777</v>
      </c>
      <c r="F2080" s="761" t="s">
        <v>3778</v>
      </c>
      <c r="I2080" s="761" t="s">
        <v>6867</v>
      </c>
      <c r="J2080" s="761">
        <v>0</v>
      </c>
      <c r="K2080" s="746">
        <v>225057.25</v>
      </c>
      <c r="L2080" s="746">
        <v>86603.75</v>
      </c>
      <c r="M2080" s="746">
        <v>138453.5</v>
      </c>
      <c r="N2080" s="493" t="str">
        <f t="shared" si="34"/>
        <v>C399</v>
      </c>
      <c r="O2080" s="493" t="s">
        <v>99</v>
      </c>
      <c r="P2080" s="493" t="s">
        <v>8010</v>
      </c>
    </row>
    <row r="2081" spans="10:13" ht="12" thickBot="1">
      <c r="J2081" s="764" t="s">
        <v>196</v>
      </c>
      <c r="K2081" s="1915">
        <f>SUM(K2:K2080)</f>
        <v>517963355.4499979</v>
      </c>
      <c r="L2081" s="1915">
        <f t="shared" ref="L2081:M2081" si="35">SUM(L2:L2080)</f>
        <v>174679235.26000035</v>
      </c>
      <c r="M2081" s="1915">
        <f t="shared" si="35"/>
        <v>343284120.18999922</v>
      </c>
    </row>
    <row r="2082" spans="10:13" ht="12" thickTop="1">
      <c r="J2082" s="765" t="s">
        <v>3779</v>
      </c>
      <c r="K2082" s="1907">
        <v>517963355.4499979</v>
      </c>
      <c r="L2082" s="1907">
        <v>174679235.26000035</v>
      </c>
      <c r="M2082" s="1907">
        <v>343284120.18999922</v>
      </c>
    </row>
    <row r="2083" spans="10:13">
      <c r="J2083" s="766" t="s">
        <v>3780</v>
      </c>
      <c r="K2083" s="1908">
        <f>K2081-K2082</f>
        <v>0</v>
      </c>
      <c r="L2083" s="1908">
        <f>L2081-L2082</f>
        <v>0</v>
      </c>
      <c r="M2083" s="1908">
        <f>M2081-M2082</f>
        <v>0</v>
      </c>
    </row>
  </sheetData>
  <autoFilter ref="A1:P2083" xr:uid="{00000000-0009-0000-0000-00001D000000}"/>
  <sortState xmlns:xlrd2="http://schemas.microsoft.com/office/spreadsheetml/2017/richdata2" ref="A2:P2019">
    <sortCondition ref="F2:F2019"/>
    <sortCondition ref="I2:I2019"/>
    <sortCondition ref="D2:D2019"/>
  </sortState>
  <pageMargins left="0.7" right="0.7" top="0.75" bottom="0.75" header="0.3" footer="0.3"/>
  <pageSetup orientation="portrait" horizontalDpi="360" verticalDpi="360" r:id="rId1"/>
  <customProperties>
    <customPr name="_pios_id" r:id="rId2"/>
  </customProperties>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B2:O58"/>
  <sheetViews>
    <sheetView zoomScaleNormal="100" workbookViewId="0">
      <pane ySplit="4" topLeftCell="A5" activePane="bottomLeft" state="frozen"/>
      <selection sqref="A1:XFD1048576"/>
      <selection pane="bottomLeft" sqref="A1:XFD1048576"/>
    </sheetView>
  </sheetViews>
  <sheetFormatPr defaultRowHeight="12" customHeight="1"/>
  <cols>
    <col min="1" max="1" width="3.5" customWidth="1"/>
    <col min="2" max="2" width="18.125" bestFit="1" customWidth="1"/>
    <col min="3" max="3" width="13.75" customWidth="1"/>
    <col min="4" max="4" width="11.875" customWidth="1"/>
    <col min="5" max="5" width="13.625" bestFit="1" customWidth="1"/>
    <col min="6" max="6" width="17.875" customWidth="1"/>
    <col min="7" max="8" width="11.75" bestFit="1" customWidth="1"/>
    <col min="9" max="9" width="12.5" bestFit="1" customWidth="1"/>
    <col min="10" max="10" width="11.875" bestFit="1" customWidth="1"/>
    <col min="13" max="13" width="14.375" bestFit="1" customWidth="1"/>
    <col min="14" max="14" width="13.75" customWidth="1"/>
    <col min="15" max="15" width="17.125" customWidth="1"/>
  </cols>
  <sheetData>
    <row r="2" spans="2:15" ht="12" customHeight="1">
      <c r="B2" s="767" t="s">
        <v>3781</v>
      </c>
      <c r="C2" s="768"/>
      <c r="D2" s="769"/>
      <c r="E2" s="769"/>
      <c r="F2" s="769"/>
      <c r="G2" s="769"/>
      <c r="H2" s="768"/>
      <c r="I2" s="768"/>
      <c r="J2" s="768"/>
      <c r="K2" s="768"/>
      <c r="M2" s="1903" t="s">
        <v>8294</v>
      </c>
    </row>
    <row r="3" spans="2:15" ht="12" customHeight="1">
      <c r="B3" s="770"/>
      <c r="C3" s="770"/>
      <c r="D3" s="754"/>
      <c r="E3" s="769"/>
      <c r="F3" s="1901" t="s">
        <v>510</v>
      </c>
      <c r="G3" s="1901"/>
      <c r="H3" s="1901"/>
      <c r="I3" s="1901"/>
      <c r="J3" s="3664" t="s">
        <v>3782</v>
      </c>
      <c r="K3" s="770"/>
    </row>
    <row r="4" spans="2:15" ht="12" customHeight="1">
      <c r="B4" s="3695" t="s">
        <v>2286</v>
      </c>
      <c r="C4" s="3695" t="s">
        <v>350</v>
      </c>
      <c r="D4" s="3696" t="s">
        <v>2287</v>
      </c>
      <c r="E4" s="771" t="s">
        <v>2288</v>
      </c>
      <c r="F4" s="1902" t="s">
        <v>8293</v>
      </c>
      <c r="G4" s="1902" t="s">
        <v>105</v>
      </c>
      <c r="H4" s="1902" t="s">
        <v>106</v>
      </c>
      <c r="I4" s="1902" t="s">
        <v>511</v>
      </c>
      <c r="J4" s="3665"/>
      <c r="K4" s="770"/>
      <c r="M4" s="3695" t="s">
        <v>2286</v>
      </c>
      <c r="N4" s="3695" t="s">
        <v>350</v>
      </c>
      <c r="O4" s="3696" t="s">
        <v>2287</v>
      </c>
    </row>
    <row r="5" spans="2:15" ht="11.25" customHeight="1">
      <c r="B5" s="3696" t="s">
        <v>3784</v>
      </c>
      <c r="C5" s="3696" t="s">
        <v>390</v>
      </c>
      <c r="D5" s="3697">
        <v>114201.76000000001</v>
      </c>
      <c r="E5" s="754"/>
      <c r="F5" s="754">
        <f>SUM(D5:E5)</f>
        <v>114201.76000000001</v>
      </c>
      <c r="G5" s="754">
        <f>$F5*VLOOKUP($C5,Ratio,2,FALSE)</f>
        <v>0</v>
      </c>
      <c r="H5" s="754">
        <f>$F5*VLOOKUP($C5,Ratio,3,FALSE)</f>
        <v>0</v>
      </c>
      <c r="I5" s="754">
        <f>$F5*VLOOKUP($C5,Ratio,4,FALSE)</f>
        <v>114201.76000000001</v>
      </c>
      <c r="J5" s="3666">
        <f>F5-SUM(G5:I5)</f>
        <v>0</v>
      </c>
      <c r="K5" s="770"/>
      <c r="M5" s="3696" t="s">
        <v>3788</v>
      </c>
      <c r="N5" s="3696" t="s">
        <v>950</v>
      </c>
      <c r="O5" s="3697">
        <v>22243545.989999998</v>
      </c>
    </row>
    <row r="6" spans="2:15" ht="12" customHeight="1" thickBot="1">
      <c r="B6" s="3696" t="s">
        <v>3785</v>
      </c>
      <c r="C6" s="3696"/>
      <c r="D6" s="3697">
        <v>114201.76000000001</v>
      </c>
      <c r="E6" s="754"/>
      <c r="F6" s="773">
        <f>SUM(F5)</f>
        <v>114201.76000000001</v>
      </c>
      <c r="G6" s="773">
        <f>SUM(G5)</f>
        <v>0</v>
      </c>
      <c r="H6" s="773">
        <f>SUM(H5)</f>
        <v>0</v>
      </c>
      <c r="I6" s="773">
        <f>SUM(I5)</f>
        <v>114201.76000000001</v>
      </c>
      <c r="J6" s="3667">
        <f>SUM(J5)</f>
        <v>0</v>
      </c>
      <c r="K6" s="770"/>
      <c r="M6" s="3696" t="s">
        <v>3789</v>
      </c>
      <c r="N6" s="3696"/>
      <c r="O6" s="3697">
        <v>22243545.989999998</v>
      </c>
    </row>
    <row r="7" spans="2:15" ht="12" customHeight="1" thickTop="1">
      <c r="B7" s="3696" t="s">
        <v>3786</v>
      </c>
      <c r="C7" s="3696" t="s">
        <v>390</v>
      </c>
      <c r="D7" s="3697">
        <v>23171963.399999995</v>
      </c>
      <c r="E7" s="754"/>
      <c r="F7" s="754">
        <f>SUM(D7:E7)</f>
        <v>23171963.399999995</v>
      </c>
      <c r="G7" s="754">
        <f>$F7*VLOOKUP($C7,Ratio,2,FALSE)</f>
        <v>0</v>
      </c>
      <c r="H7" s="754">
        <f>$F7*VLOOKUP($C7,Ratio,3,FALSE)</f>
        <v>0</v>
      </c>
      <c r="I7" s="754">
        <f>$F7*VLOOKUP($C7,Ratio,4,FALSE)</f>
        <v>23171963.399999995</v>
      </c>
      <c r="J7" s="3666">
        <f>F7-SUM(G7:I7)</f>
        <v>0</v>
      </c>
      <c r="K7" s="770"/>
      <c r="M7" s="3696" t="s">
        <v>2301</v>
      </c>
      <c r="N7" s="3696"/>
      <c r="O7" s="3702">
        <v>22243545.989999998</v>
      </c>
    </row>
    <row r="8" spans="2:15" ht="12" customHeight="1">
      <c r="B8" s="3696"/>
      <c r="C8" s="3696" t="s">
        <v>392</v>
      </c>
      <c r="D8" s="3697">
        <v>55800230.459999993</v>
      </c>
      <c r="E8" s="754"/>
      <c r="F8" s="754">
        <f>SUM(D8:E8)</f>
        <v>55800230.459999993</v>
      </c>
      <c r="G8" s="754">
        <f>$F8*VLOOKUP($C8,Ratio,2,FALSE)</f>
        <v>55800230.459999993</v>
      </c>
      <c r="H8" s="754">
        <f>$F8*VLOOKUP($C8,Ratio,3,FALSE)</f>
        <v>0</v>
      </c>
      <c r="I8" s="754">
        <f>$F8*VLOOKUP($C8,Ratio,4,FALSE)</f>
        <v>0</v>
      </c>
      <c r="J8" s="3666">
        <f>F8-SUM(G8:I8)</f>
        <v>0</v>
      </c>
      <c r="K8" s="770"/>
    </row>
    <row r="9" spans="2:15" ht="12" customHeight="1">
      <c r="B9" s="3696"/>
      <c r="C9" s="3696" t="s">
        <v>99</v>
      </c>
      <c r="D9" s="3697">
        <v>48907.01</v>
      </c>
      <c r="E9" s="754"/>
      <c r="F9" s="754">
        <f>SUM(D9:E9)</f>
        <v>48907.01</v>
      </c>
      <c r="G9" s="754">
        <f>$F9*VLOOKUP($C9,Ratio,2,FALSE)</f>
        <v>17073.019669870595</v>
      </c>
      <c r="H9" s="754">
        <f>$F9*VLOOKUP($C9,Ratio,3,FALSE)</f>
        <v>0</v>
      </c>
      <c r="I9" s="754">
        <f>$F9*VLOOKUP($C9,Ratio,4,FALSE)</f>
        <v>31833.990330129411</v>
      </c>
      <c r="J9" s="3666">
        <f>F9-SUM(G9:I9)</f>
        <v>0</v>
      </c>
      <c r="K9" s="770"/>
    </row>
    <row r="10" spans="2:15" ht="12" customHeight="1">
      <c r="B10" s="3696"/>
      <c r="C10" s="3696" t="s">
        <v>109</v>
      </c>
      <c r="D10" s="3697">
        <v>502126.89</v>
      </c>
      <c r="E10" s="754"/>
      <c r="F10" s="754">
        <f>SUM(D10:E10)</f>
        <v>502126.89</v>
      </c>
      <c r="G10" s="754">
        <f>$F10*VLOOKUP($C10,Ratio,2,FALSE)</f>
        <v>0</v>
      </c>
      <c r="H10" s="754">
        <f>$F10*VLOOKUP($C10,Ratio,3,FALSE)</f>
        <v>0</v>
      </c>
      <c r="I10" s="754">
        <f>$F10*VLOOKUP($C10,Ratio,4,FALSE)</f>
        <v>502126.89</v>
      </c>
      <c r="J10" s="3666">
        <f>F10-SUM(G10:I10)</f>
        <v>0</v>
      </c>
      <c r="K10" s="770"/>
    </row>
    <row r="11" spans="2:15" ht="12" customHeight="1">
      <c r="B11" s="3696"/>
      <c r="C11" s="3696" t="s">
        <v>391</v>
      </c>
      <c r="D11" s="3697">
        <v>673421.44</v>
      </c>
      <c r="E11" s="754"/>
      <c r="F11" s="754">
        <f>SUM(D11:E11)</f>
        <v>673421.44</v>
      </c>
      <c r="G11" s="754">
        <f>$F11*VLOOKUP($C11,Ratio,2,FALSE)</f>
        <v>0</v>
      </c>
      <c r="H11" s="754">
        <f>$F11*VLOOKUP($C11,Ratio,3,FALSE)</f>
        <v>0</v>
      </c>
      <c r="I11" s="754">
        <f>$F11*VLOOKUP($C11,Ratio,4,FALSE)</f>
        <v>673421.44</v>
      </c>
      <c r="J11" s="3666">
        <f>F11-SUM(G11:I11)</f>
        <v>0</v>
      </c>
      <c r="K11" s="770"/>
    </row>
    <row r="12" spans="2:15" ht="12" customHeight="1">
      <c r="B12" s="3696" t="s">
        <v>3787</v>
      </c>
      <c r="C12" s="3696"/>
      <c r="D12" s="3697">
        <v>80196649.199999988</v>
      </c>
      <c r="E12" s="754"/>
      <c r="F12" s="773">
        <f>SUM(F7:F11)</f>
        <v>80196649.199999988</v>
      </c>
      <c r="G12" s="2071">
        <f>SUM(G7:G11)</f>
        <v>55817303.479669861</v>
      </c>
      <c r="H12" s="2071">
        <f>SUM(H7:H11)</f>
        <v>0</v>
      </c>
      <c r="I12" s="2071">
        <f>SUM(I7:I11)</f>
        <v>24379345.720330127</v>
      </c>
      <c r="J12" s="3668">
        <f>SUM(J7:J11)</f>
        <v>0</v>
      </c>
      <c r="K12" s="770"/>
    </row>
    <row r="13" spans="2:15" ht="12" customHeight="1">
      <c r="B13" s="3696" t="s">
        <v>3788</v>
      </c>
      <c r="C13" s="3696" t="s">
        <v>390</v>
      </c>
      <c r="D13" s="3697">
        <v>34920941.879999995</v>
      </c>
      <c r="E13" s="774"/>
      <c r="F13" s="754">
        <f t="shared" ref="F13:F17" si="0">SUM(D13:E13)</f>
        <v>34920941.879999995</v>
      </c>
      <c r="G13" s="754">
        <f t="shared" ref="G13:G18" si="1">$F13*VLOOKUP($C13,Ratio,2,FALSE)</f>
        <v>0</v>
      </c>
      <c r="H13" s="754">
        <f t="shared" ref="H13:H18" si="2">$F13*VLOOKUP($C13,Ratio,3,FALSE)</f>
        <v>0</v>
      </c>
      <c r="I13" s="754">
        <f t="shared" ref="I13:I18" si="3">$F13*VLOOKUP($C13,Ratio,4,FALSE)</f>
        <v>34920941.879999995</v>
      </c>
      <c r="J13" s="3666">
        <f>F13-SUM(G13:I13)</f>
        <v>0</v>
      </c>
      <c r="K13" s="770"/>
    </row>
    <row r="14" spans="2:15" ht="12" customHeight="1">
      <c r="B14" s="3696"/>
      <c r="C14" s="3696" t="s">
        <v>95</v>
      </c>
      <c r="D14" s="3697">
        <v>14534663.950000001</v>
      </c>
      <c r="E14" s="754"/>
      <c r="F14" s="754">
        <f t="shared" si="0"/>
        <v>14534663.950000001</v>
      </c>
      <c r="G14" s="754">
        <f t="shared" si="1"/>
        <v>4939316.7761965171</v>
      </c>
      <c r="H14" s="754">
        <f t="shared" si="2"/>
        <v>0</v>
      </c>
      <c r="I14" s="754">
        <f t="shared" si="3"/>
        <v>9595347.1738034841</v>
      </c>
      <c r="J14" s="3666">
        <f>F14-SUM(G14:I14)</f>
        <v>0</v>
      </c>
      <c r="K14" s="770"/>
    </row>
    <row r="15" spans="2:15" ht="12" customHeight="1">
      <c r="B15" s="3696"/>
      <c r="C15" s="3696" t="s">
        <v>392</v>
      </c>
      <c r="D15" s="3697">
        <v>5377252.3500000006</v>
      </c>
      <c r="E15" s="754"/>
      <c r="F15" s="754">
        <f t="shared" si="0"/>
        <v>5377252.3500000006</v>
      </c>
      <c r="G15" s="754">
        <f t="shared" si="1"/>
        <v>5377252.3500000006</v>
      </c>
      <c r="H15" s="754">
        <f t="shared" si="2"/>
        <v>0</v>
      </c>
      <c r="I15" s="754">
        <f t="shared" si="3"/>
        <v>0</v>
      </c>
      <c r="J15" s="3666">
        <f>F15-SUM(G15:I15)</f>
        <v>0</v>
      </c>
      <c r="K15" s="770"/>
    </row>
    <row r="16" spans="2:15" ht="12" customHeight="1">
      <c r="B16" s="3696"/>
      <c r="C16" s="3696" t="s">
        <v>99</v>
      </c>
      <c r="D16" s="3697">
        <v>14092.130000000001</v>
      </c>
      <c r="E16" s="754"/>
      <c r="F16" s="754">
        <f t="shared" si="0"/>
        <v>14092.130000000001</v>
      </c>
      <c r="G16" s="754">
        <f t="shared" si="1"/>
        <v>4919.4422779142187</v>
      </c>
      <c r="H16" s="754">
        <f t="shared" si="2"/>
        <v>0</v>
      </c>
      <c r="I16" s="754">
        <f t="shared" si="3"/>
        <v>9172.6877220857823</v>
      </c>
      <c r="J16" s="3666">
        <f>F16-SUM(G16:I16)</f>
        <v>0</v>
      </c>
      <c r="K16" s="770"/>
    </row>
    <row r="17" spans="2:13" ht="12" customHeight="1">
      <c r="B17" s="3696"/>
      <c r="C17" s="3696" t="s">
        <v>109</v>
      </c>
      <c r="D17" s="3697">
        <v>20463468.490000006</v>
      </c>
      <c r="E17" s="754"/>
      <c r="F17" s="754">
        <f t="shared" si="0"/>
        <v>20463468.490000006</v>
      </c>
      <c r="G17" s="754">
        <f t="shared" si="1"/>
        <v>0</v>
      </c>
      <c r="H17" s="754">
        <f t="shared" si="2"/>
        <v>0</v>
      </c>
      <c r="I17" s="754">
        <f t="shared" si="3"/>
        <v>20463468.490000006</v>
      </c>
      <c r="J17" s="3666">
        <f>F17-SUM(G17:I17)</f>
        <v>0</v>
      </c>
      <c r="K17" s="770"/>
    </row>
    <row r="18" spans="2:13" ht="12" customHeight="1">
      <c r="B18" s="3696"/>
      <c r="C18" s="3696" t="s">
        <v>391</v>
      </c>
      <c r="D18" s="3697">
        <v>219848.77000000002</v>
      </c>
      <c r="E18" s="754"/>
      <c r="F18" s="754">
        <f>SUM(D18:E18)</f>
        <v>219848.77000000002</v>
      </c>
      <c r="G18" s="754">
        <f t="shared" si="1"/>
        <v>0</v>
      </c>
      <c r="H18" s="754">
        <f t="shared" si="2"/>
        <v>0</v>
      </c>
      <c r="I18" s="754">
        <f t="shared" si="3"/>
        <v>219848.77000000002</v>
      </c>
      <c r="J18" s="3666">
        <f t="shared" ref="J18:J19" si="4">F18-SUM(G18:I18)</f>
        <v>0</v>
      </c>
      <c r="K18" s="770"/>
    </row>
    <row r="19" spans="2:13" ht="12" customHeight="1">
      <c r="B19" s="3696" t="s">
        <v>3789</v>
      </c>
      <c r="C19" s="3696"/>
      <c r="D19" s="3697">
        <v>75530267.570000008</v>
      </c>
      <c r="E19" s="754"/>
      <c r="F19" s="773">
        <f>SUM(F13:F18)</f>
        <v>75530267.570000008</v>
      </c>
      <c r="G19" s="773">
        <f t="shared" ref="G19:I19" si="5">SUM(G13:G18)</f>
        <v>10321488.568474432</v>
      </c>
      <c r="H19" s="773">
        <f t="shared" si="5"/>
        <v>0</v>
      </c>
      <c r="I19" s="773">
        <f t="shared" si="5"/>
        <v>65208779.001525573</v>
      </c>
      <c r="J19" s="3666">
        <f t="shared" si="4"/>
        <v>0</v>
      </c>
      <c r="K19" s="770"/>
    </row>
    <row r="20" spans="2:13" ht="12" customHeight="1" thickBot="1">
      <c r="B20" s="3696" t="s">
        <v>2301</v>
      </c>
      <c r="C20" s="3696"/>
      <c r="D20" s="3702">
        <v>155841118.53</v>
      </c>
      <c r="E20" s="775">
        <f>SUM(E3:E18)</f>
        <v>0</v>
      </c>
      <c r="F20" s="776">
        <f>F6+F12+F19+F28</f>
        <v>156025894.38</v>
      </c>
      <c r="G20" s="776">
        <f t="shared" ref="G20:I20" si="6">G6+G12+G19+G28</f>
        <v>66139457.048144296</v>
      </c>
      <c r="H20" s="776">
        <f t="shared" si="6"/>
        <v>0</v>
      </c>
      <c r="I20" s="776">
        <f t="shared" si="6"/>
        <v>89886437.331855699</v>
      </c>
      <c r="J20" s="3669">
        <f>SUM(F20)-SUM(G20:I20)</f>
        <v>0</v>
      </c>
      <c r="K20" s="780"/>
    </row>
    <row r="21" spans="2:13" ht="12" customHeight="1" thickTop="1">
      <c r="B21" s="493"/>
      <c r="C21" s="3672" t="s">
        <v>3782</v>
      </c>
      <c r="D21" s="3659">
        <f>D20+O7-'E Intangible'!K138</f>
        <v>0</v>
      </c>
      <c r="E21" s="3659">
        <f>E20-'FERC CWIP Adjustments to Plant'!N5</f>
        <v>0</v>
      </c>
      <c r="F21" s="778" t="s">
        <v>8350</v>
      </c>
      <c r="G21" s="1913">
        <f>G20/F20</f>
        <v>0.42390051543022789</v>
      </c>
      <c r="H21" s="1913">
        <f>H20/F20</f>
        <v>0</v>
      </c>
      <c r="I21" s="1913">
        <f>I20/F20</f>
        <v>0.57609948456977211</v>
      </c>
      <c r="J21" s="3670">
        <f>SUM(G21:I21)</f>
        <v>1</v>
      </c>
      <c r="K21" s="780"/>
    </row>
    <row r="22" spans="2:13" ht="12" customHeight="1">
      <c r="B22" s="493"/>
      <c r="C22" s="777"/>
      <c r="D22" s="1697"/>
      <c r="E22" s="1697"/>
      <c r="F22" s="778"/>
      <c r="G22" s="1698"/>
      <c r="H22" s="1698"/>
      <c r="I22" s="1698"/>
      <c r="J22" s="1699"/>
      <c r="K22" s="780"/>
    </row>
    <row r="23" spans="2:13" ht="12" customHeight="1">
      <c r="B23" s="493"/>
      <c r="C23" s="777"/>
      <c r="D23" s="1697"/>
      <c r="E23" s="1697"/>
      <c r="F23" s="778"/>
      <c r="G23" s="1698"/>
      <c r="H23" s="1698"/>
      <c r="I23" s="1698"/>
      <c r="J23" s="1699"/>
      <c r="K23" s="780"/>
    </row>
    <row r="24" spans="2:13" ht="12" customHeight="1">
      <c r="C24" s="777"/>
      <c r="D24" s="1697"/>
      <c r="E24" s="1697"/>
      <c r="F24" s="1901" t="s">
        <v>510</v>
      </c>
      <c r="G24" s="1901"/>
      <c r="H24" s="1901"/>
      <c r="I24" s="1901"/>
      <c r="J24" s="1699"/>
      <c r="K24" s="780"/>
    </row>
    <row r="25" spans="2:13" ht="12" customHeight="1">
      <c r="B25" s="493" t="s">
        <v>3790</v>
      </c>
      <c r="C25" s="493" t="s">
        <v>350</v>
      </c>
      <c r="D25" s="746" t="s">
        <v>2287</v>
      </c>
      <c r="E25" s="771" t="s">
        <v>2288</v>
      </c>
      <c r="F25" s="1902" t="s">
        <v>8293</v>
      </c>
      <c r="G25" s="1902" t="s">
        <v>105</v>
      </c>
      <c r="H25" s="1902" t="s">
        <v>106</v>
      </c>
      <c r="I25" s="1902" t="s">
        <v>511</v>
      </c>
      <c r="J25" s="3664" t="s">
        <v>3782</v>
      </c>
      <c r="K25" s="770"/>
    </row>
    <row r="26" spans="2:13" ht="12" customHeight="1">
      <c r="B26" s="781" t="s">
        <v>3791</v>
      </c>
      <c r="C26" s="770" t="s">
        <v>392</v>
      </c>
      <c r="D26" s="782">
        <f>'E Intangible'!K149</f>
        <v>665</v>
      </c>
      <c r="E26" s="782"/>
      <c r="F26" s="782">
        <f>SUM(D26:E26)</f>
        <v>665</v>
      </c>
      <c r="G26" s="754">
        <f>$F26*VLOOKUP($C26,Ratio,2,FALSE)</f>
        <v>665</v>
      </c>
      <c r="H26" s="754">
        <f>$F26*VLOOKUP($C26,Ratio,3,FALSE)</f>
        <v>0</v>
      </c>
      <c r="I26" s="754">
        <f>$F26*VLOOKUP($C26,Ratio,4,FALSE)</f>
        <v>0</v>
      </c>
      <c r="J26" s="3666">
        <f>F26-SUM(G26:I26)</f>
        <v>0</v>
      </c>
      <c r="K26" s="783" t="s">
        <v>3792</v>
      </c>
    </row>
    <row r="27" spans="2:13" ht="12" customHeight="1">
      <c r="B27" s="770" t="s">
        <v>3793</v>
      </c>
      <c r="C27" s="770" t="s">
        <v>390</v>
      </c>
      <c r="D27" s="782">
        <f>SUM('E Intangible'!K144:K148)</f>
        <v>184110.85</v>
      </c>
      <c r="E27" s="782"/>
      <c r="F27" s="782">
        <f>SUM(D27:E27)</f>
        <v>184110.85</v>
      </c>
      <c r="G27" s="754">
        <f>$F27*VLOOKUP($C27,Ratio,2,FALSE)</f>
        <v>0</v>
      </c>
      <c r="H27" s="754">
        <f>$F27*VLOOKUP($C27,Ratio,3,FALSE)</f>
        <v>0</v>
      </c>
      <c r="I27" s="754">
        <f>$F27*VLOOKUP($C27,Ratio,4,FALSE)</f>
        <v>184110.85</v>
      </c>
      <c r="J27" s="3666">
        <f>F27-SUM(G27:I27)</f>
        <v>0</v>
      </c>
      <c r="K27" s="783" t="s">
        <v>3792</v>
      </c>
    </row>
    <row r="28" spans="2:13" ht="12" customHeight="1" thickBot="1">
      <c r="B28" s="493"/>
      <c r="C28" s="784" t="s">
        <v>196</v>
      </c>
      <c r="D28" s="785">
        <f t="shared" ref="D28:I28" si="7">SUM(D26:D27)</f>
        <v>184775.85</v>
      </c>
      <c r="E28" s="785">
        <f t="shared" si="7"/>
        <v>0</v>
      </c>
      <c r="F28" s="775">
        <f t="shared" si="7"/>
        <v>184775.85</v>
      </c>
      <c r="G28" s="775">
        <f t="shared" si="7"/>
        <v>665</v>
      </c>
      <c r="H28" s="775">
        <f t="shared" si="7"/>
        <v>0</v>
      </c>
      <c r="I28" s="775">
        <f t="shared" si="7"/>
        <v>184110.85</v>
      </c>
      <c r="J28" s="3671">
        <f>SUM(F28)-SUM(G28:I28)</f>
        <v>0</v>
      </c>
      <c r="K28" s="770"/>
    </row>
    <row r="29" spans="2:13" ht="16.5" thickTop="1">
      <c r="B29" s="493"/>
      <c r="C29" s="3672" t="s">
        <v>3782</v>
      </c>
      <c r="D29" s="3659">
        <f>D28-'E Intangible'!K150</f>
        <v>0</v>
      </c>
      <c r="E29" s="787"/>
      <c r="F29" s="787"/>
      <c r="G29" s="770"/>
      <c r="H29" s="770"/>
      <c r="I29" s="770"/>
      <c r="J29" s="770"/>
      <c r="K29" s="770"/>
    </row>
    <row r="30" spans="2:13" ht="12" customHeight="1">
      <c r="B30" s="493"/>
      <c r="C30" s="777"/>
      <c r="D30" s="1697"/>
      <c r="E30" s="787"/>
      <c r="F30" s="787"/>
      <c r="G30" s="770"/>
      <c r="H30" s="770"/>
      <c r="I30" s="770"/>
      <c r="J30" s="770"/>
      <c r="K30" s="770"/>
    </row>
    <row r="31" spans="2:13" ht="12" customHeight="1">
      <c r="B31" s="493"/>
      <c r="C31" s="777"/>
      <c r="D31" s="1697"/>
      <c r="E31" s="787"/>
      <c r="F31" s="787"/>
      <c r="G31" s="770"/>
      <c r="H31" s="770"/>
      <c r="I31" s="770"/>
      <c r="J31" s="770"/>
      <c r="K31" s="770"/>
      <c r="M31" s="1903" t="s">
        <v>8294</v>
      </c>
    </row>
    <row r="32" spans="2:13" ht="12" customHeight="1">
      <c r="B32" s="768"/>
      <c r="C32" s="768"/>
      <c r="D32" s="769"/>
      <c r="E32" s="754"/>
      <c r="F32" s="770"/>
      <c r="G32" s="770"/>
      <c r="H32" s="770"/>
      <c r="I32" s="770"/>
      <c r="J32" s="770"/>
      <c r="K32" s="770"/>
      <c r="L32" s="770"/>
    </row>
    <row r="33" spans="2:15" ht="12" customHeight="1">
      <c r="B33" s="750" t="s">
        <v>3794</v>
      </c>
      <c r="C33" s="770"/>
      <c r="D33" s="754"/>
      <c r="E33" s="770"/>
      <c r="F33" s="1901" t="s">
        <v>510</v>
      </c>
      <c r="G33" s="1901"/>
      <c r="H33" s="1901"/>
      <c r="I33" s="1901"/>
      <c r="J33" s="3664" t="s">
        <v>3782</v>
      </c>
      <c r="K33" s="770"/>
      <c r="L33" s="770"/>
      <c r="M33" s="3695" t="s">
        <v>2286</v>
      </c>
      <c r="N33" s="3695" t="s">
        <v>350</v>
      </c>
      <c r="O33" s="3696" t="s">
        <v>2304</v>
      </c>
    </row>
    <row r="34" spans="2:15" ht="12" customHeight="1">
      <c r="B34" s="3695" t="s">
        <v>2286</v>
      </c>
      <c r="C34" s="3695" t="s">
        <v>350</v>
      </c>
      <c r="D34" s="3696" t="s">
        <v>2304</v>
      </c>
      <c r="E34" s="771" t="s">
        <v>3795</v>
      </c>
      <c r="F34" s="1902" t="s">
        <v>8293</v>
      </c>
      <c r="G34" s="1902" t="s">
        <v>105</v>
      </c>
      <c r="H34" s="1902" t="s">
        <v>106</v>
      </c>
      <c r="I34" s="1902" t="s">
        <v>511</v>
      </c>
      <c r="J34" s="3665"/>
      <c r="K34" s="770"/>
      <c r="L34" s="770"/>
      <c r="M34" s="3696" t="s">
        <v>3788</v>
      </c>
      <c r="N34" s="3696" t="s">
        <v>950</v>
      </c>
      <c r="O34" s="3697">
        <v>0</v>
      </c>
    </row>
    <row r="35" spans="2:15" ht="12" customHeight="1">
      <c r="B35" s="3696" t="s">
        <v>3784</v>
      </c>
      <c r="C35" s="3696" t="s">
        <v>390</v>
      </c>
      <c r="D35" s="3697">
        <v>0</v>
      </c>
      <c r="E35" s="754"/>
      <c r="F35" s="754">
        <f>SUM(D35:E35)</f>
        <v>0</v>
      </c>
      <c r="G35" s="754">
        <f>$F35*VLOOKUP($C35,Ratio,2,FALSE)</f>
        <v>0</v>
      </c>
      <c r="H35" s="754">
        <f>$F35*VLOOKUP($C35,Ratio,3,FALSE)</f>
        <v>0</v>
      </c>
      <c r="I35" s="754">
        <f>$F35*VLOOKUP($C35,Ratio,4,FALSE)</f>
        <v>0</v>
      </c>
      <c r="J35" s="3666">
        <f>F35-SUM(G35:I35)</f>
        <v>0</v>
      </c>
      <c r="K35" s="770"/>
      <c r="L35" s="770"/>
      <c r="M35" s="3696" t="s">
        <v>3789</v>
      </c>
      <c r="N35" s="3696"/>
      <c r="O35" s="3697">
        <v>0</v>
      </c>
    </row>
    <row r="36" spans="2:15" ht="12" customHeight="1" thickBot="1">
      <c r="B36" s="3696" t="s">
        <v>3785</v>
      </c>
      <c r="C36" s="3696"/>
      <c r="D36" s="3697">
        <v>0</v>
      </c>
      <c r="E36" s="754"/>
      <c r="F36" s="773">
        <f>SUM(F35)</f>
        <v>0</v>
      </c>
      <c r="G36" s="773">
        <f t="shared" ref="G36:I36" si="8">SUM(G35)</f>
        <v>0</v>
      </c>
      <c r="H36" s="773">
        <f t="shared" si="8"/>
        <v>0</v>
      </c>
      <c r="I36" s="773">
        <f t="shared" si="8"/>
        <v>0</v>
      </c>
      <c r="J36" s="3667">
        <f>SUM(J35)</f>
        <v>0</v>
      </c>
      <c r="K36" s="770"/>
      <c r="L36" s="770"/>
      <c r="M36" s="3696" t="s">
        <v>2301</v>
      </c>
      <c r="N36" s="3696"/>
      <c r="O36" s="3697">
        <v>0</v>
      </c>
    </row>
    <row r="37" spans="2:15" ht="12" customHeight="1" thickTop="1">
      <c r="B37" s="3696" t="s">
        <v>3786</v>
      </c>
      <c r="C37" s="3696" t="s">
        <v>390</v>
      </c>
      <c r="D37" s="3697">
        <v>7765546.46</v>
      </c>
      <c r="E37" s="745">
        <f>'E Intangible Adj. Notes'!M5</f>
        <v>3648406.92</v>
      </c>
      <c r="F37" s="754">
        <f>SUM(D37:E37)</f>
        <v>11413953.379999999</v>
      </c>
      <c r="G37" s="754">
        <f>$F37*VLOOKUP($C37,Ratio,2,FALSE)</f>
        <v>0</v>
      </c>
      <c r="H37" s="754">
        <f>$F37*VLOOKUP($C37,Ratio,3,FALSE)</f>
        <v>0</v>
      </c>
      <c r="I37" s="754">
        <f>$F37*VLOOKUP($C37,Ratio,4,FALSE)</f>
        <v>11413953.379999999</v>
      </c>
      <c r="J37" s="3666">
        <f>F37-SUM(G37:I37)</f>
        <v>0</v>
      </c>
      <c r="K37" s="770"/>
      <c r="L37" s="770"/>
    </row>
    <row r="38" spans="2:15" ht="12" customHeight="1">
      <c r="B38" s="3696"/>
      <c r="C38" s="3696" t="s">
        <v>392</v>
      </c>
      <c r="D38" s="3697">
        <v>19225365.869999997</v>
      </c>
      <c r="E38" s="754"/>
      <c r="F38" s="754">
        <f t="shared" ref="F38:F41" si="9">SUM(D38:E38)</f>
        <v>19225365.869999997</v>
      </c>
      <c r="G38" s="754">
        <f>$F38*VLOOKUP($C38,Ratio,2,FALSE)</f>
        <v>19225365.869999997</v>
      </c>
      <c r="H38" s="754">
        <f>$F38*VLOOKUP($C38,Ratio,3,FALSE)</f>
        <v>0</v>
      </c>
      <c r="I38" s="754">
        <f>$F38*VLOOKUP($C38,Ratio,4,FALSE)</f>
        <v>0</v>
      </c>
      <c r="J38" s="3666">
        <f>F38-SUM(G38:I38)</f>
        <v>0</v>
      </c>
      <c r="K38" s="770"/>
      <c r="L38" s="770"/>
    </row>
    <row r="39" spans="2:15" ht="12" customHeight="1">
      <c r="B39" s="3696"/>
      <c r="C39" s="3696" t="s">
        <v>99</v>
      </c>
      <c r="D39" s="3697">
        <v>15939.53</v>
      </c>
      <c r="E39" s="493"/>
      <c r="F39" s="754">
        <f t="shared" si="9"/>
        <v>15939.53</v>
      </c>
      <c r="G39" s="754">
        <f>$F39*VLOOKUP($C39,Ratio,2,FALSE)</f>
        <v>5564.3538465854372</v>
      </c>
      <c r="H39" s="754">
        <f>$F39*VLOOKUP($C39,Ratio,3,FALSE)</f>
        <v>0</v>
      </c>
      <c r="I39" s="754">
        <f>$F39*VLOOKUP($C39,Ratio,4,FALSE)</f>
        <v>10375.176153414564</v>
      </c>
      <c r="J39" s="3666">
        <f>F39-SUM(G39:I39)</f>
        <v>0</v>
      </c>
      <c r="K39" s="770"/>
    </row>
    <row r="40" spans="2:15" ht="12" customHeight="1">
      <c r="B40" s="3696"/>
      <c r="C40" s="3696" t="s">
        <v>109</v>
      </c>
      <c r="D40" s="3697">
        <v>66842.44</v>
      </c>
      <c r="E40" s="493"/>
      <c r="F40" s="754">
        <f t="shared" si="9"/>
        <v>66842.44</v>
      </c>
      <c r="G40" s="754">
        <f>$F40*VLOOKUP($C40,Ratio,2,FALSE)</f>
        <v>0</v>
      </c>
      <c r="H40" s="754">
        <f>$F40*VLOOKUP($C40,Ratio,3,FALSE)</f>
        <v>0</v>
      </c>
      <c r="I40" s="754">
        <f>$F40*VLOOKUP($C40,Ratio,4,FALSE)</f>
        <v>66842.44</v>
      </c>
      <c r="J40" s="3666">
        <f>F40-SUM(G40:I40)</f>
        <v>0</v>
      </c>
      <c r="K40" s="770"/>
    </row>
    <row r="41" spans="2:15" ht="12" customHeight="1">
      <c r="B41" s="3696"/>
      <c r="C41" s="3696" t="s">
        <v>391</v>
      </c>
      <c r="D41" s="3697">
        <v>142322.60999999999</v>
      </c>
      <c r="E41" s="754"/>
      <c r="F41" s="754">
        <f t="shared" si="9"/>
        <v>142322.60999999999</v>
      </c>
      <c r="G41" s="754">
        <f>$F41*VLOOKUP($C39,Ratio,2,FALSE)</f>
        <v>49683.608137101837</v>
      </c>
      <c r="H41" s="754">
        <f>$F41*VLOOKUP($C39,Ratio,3,FALSE)</f>
        <v>0</v>
      </c>
      <c r="I41" s="754">
        <f>$F41*VLOOKUP($C39,Ratio,4,FALSE)</f>
        <v>92639.001862898163</v>
      </c>
      <c r="J41" s="3666">
        <f>F41-SUM(G41:I41)</f>
        <v>0</v>
      </c>
      <c r="K41" s="770"/>
    </row>
    <row r="42" spans="2:15" ht="12" customHeight="1">
      <c r="B42" s="3696" t="s">
        <v>3787</v>
      </c>
      <c r="C42" s="3696"/>
      <c r="D42" s="3697">
        <v>27216016.91</v>
      </c>
      <c r="E42" s="754"/>
      <c r="F42" s="773">
        <f>SUM(F37:F41)</f>
        <v>30864423.829999998</v>
      </c>
      <c r="G42" s="2071">
        <f>SUM(G37:G41)</f>
        <v>19280613.831983685</v>
      </c>
      <c r="H42" s="2071">
        <f>SUM(H37:H41)</f>
        <v>0</v>
      </c>
      <c r="I42" s="2071">
        <f>SUM(I37:I41)</f>
        <v>11583809.998016311</v>
      </c>
      <c r="J42" s="3668">
        <f>SUM(J37:J41)</f>
        <v>0</v>
      </c>
      <c r="K42" s="770"/>
    </row>
    <row r="43" spans="2:15" ht="12" customHeight="1">
      <c r="B43" s="3696" t="s">
        <v>3788</v>
      </c>
      <c r="C43" s="3696" t="s">
        <v>390</v>
      </c>
      <c r="D43" s="3697">
        <v>7580664.2599999988</v>
      </c>
      <c r="E43" s="754"/>
      <c r="F43" s="754">
        <f>SUM(D43:E43)</f>
        <v>7580664.2599999988</v>
      </c>
      <c r="G43" s="754">
        <f t="shared" ref="G43:G48" si="10">$F43*VLOOKUP($C43,Ratio,2,FALSE)</f>
        <v>0</v>
      </c>
      <c r="H43" s="754">
        <f t="shared" ref="H43:H48" si="11">$F43*VLOOKUP($C43,Ratio,3,FALSE)</f>
        <v>0</v>
      </c>
      <c r="I43" s="754">
        <f t="shared" ref="I43:I48" si="12">$F43*VLOOKUP($C43,Ratio,4,FALSE)</f>
        <v>7580664.2599999988</v>
      </c>
      <c r="J43" s="3666">
        <f t="shared" ref="J43:J48" si="13">F43-SUM(G43:I43)</f>
        <v>0</v>
      </c>
      <c r="K43" s="770"/>
    </row>
    <row r="44" spans="2:15" ht="12" customHeight="1">
      <c r="B44" s="3696"/>
      <c r="C44" s="3696" t="s">
        <v>95</v>
      </c>
      <c r="D44" s="3697">
        <v>2763501.4299999997</v>
      </c>
      <c r="E44" s="754"/>
      <c r="F44" s="754">
        <f t="shared" ref="F44:F47" si="14">SUM(D44:E44)</f>
        <v>2763501.4299999997</v>
      </c>
      <c r="G44" s="754">
        <f t="shared" si="10"/>
        <v>939121.05716362724</v>
      </c>
      <c r="H44" s="754">
        <f t="shared" si="11"/>
        <v>0</v>
      </c>
      <c r="I44" s="754">
        <f t="shared" si="12"/>
        <v>1824380.3728363723</v>
      </c>
      <c r="J44" s="3666">
        <f t="shared" si="13"/>
        <v>0</v>
      </c>
      <c r="K44" s="770"/>
    </row>
    <row r="45" spans="2:15" ht="12" customHeight="1">
      <c r="B45" s="3696"/>
      <c r="C45" s="3696" t="s">
        <v>392</v>
      </c>
      <c r="D45" s="3697">
        <v>2501511.6900000004</v>
      </c>
      <c r="E45" s="754"/>
      <c r="F45" s="754">
        <f t="shared" si="14"/>
        <v>2501511.6900000004</v>
      </c>
      <c r="G45" s="754">
        <f t="shared" si="10"/>
        <v>2501511.6900000004</v>
      </c>
      <c r="H45" s="754">
        <f t="shared" si="11"/>
        <v>0</v>
      </c>
      <c r="I45" s="754">
        <f t="shared" si="12"/>
        <v>0</v>
      </c>
      <c r="J45" s="3666">
        <f t="shared" si="13"/>
        <v>0</v>
      </c>
      <c r="K45" s="770"/>
    </row>
    <row r="46" spans="2:15" ht="12" customHeight="1">
      <c r="B46" s="3696"/>
      <c r="C46" s="3696" t="s">
        <v>99</v>
      </c>
      <c r="D46" s="3697">
        <v>316.74</v>
      </c>
      <c r="E46" s="754"/>
      <c r="F46" s="754">
        <f t="shared" si="14"/>
        <v>316.74</v>
      </c>
      <c r="G46" s="754">
        <f t="shared" si="10"/>
        <v>110.57122997776416</v>
      </c>
      <c r="H46" s="754">
        <f t="shared" si="11"/>
        <v>0</v>
      </c>
      <c r="I46" s="754">
        <f t="shared" si="12"/>
        <v>206.16877002223586</v>
      </c>
      <c r="J46" s="3666">
        <f t="shared" si="13"/>
        <v>0</v>
      </c>
      <c r="K46" s="770"/>
    </row>
    <row r="47" spans="2:15" ht="12" customHeight="1">
      <c r="B47" s="3696"/>
      <c r="C47" s="3696" t="s">
        <v>109</v>
      </c>
      <c r="D47" s="3697">
        <v>4987953.9699999988</v>
      </c>
      <c r="E47" s="754"/>
      <c r="F47" s="754">
        <f t="shared" si="14"/>
        <v>4987953.9699999988</v>
      </c>
      <c r="G47" s="754">
        <f t="shared" si="10"/>
        <v>0</v>
      </c>
      <c r="H47" s="754">
        <f t="shared" si="11"/>
        <v>0</v>
      </c>
      <c r="I47" s="754">
        <f t="shared" si="12"/>
        <v>4987953.9699999988</v>
      </c>
      <c r="J47" s="3666">
        <f t="shared" si="13"/>
        <v>0</v>
      </c>
      <c r="K47" s="770"/>
    </row>
    <row r="48" spans="2:15" ht="12" customHeight="1">
      <c r="B48" s="3696"/>
      <c r="C48" s="3696" t="s">
        <v>391</v>
      </c>
      <c r="D48" s="3697">
        <v>65604.490000000005</v>
      </c>
      <c r="E48" s="754"/>
      <c r="F48" s="754">
        <f t="shared" ref="F48" si="15">SUM(D48:E48)</f>
        <v>65604.490000000005</v>
      </c>
      <c r="G48" s="754">
        <f t="shared" si="10"/>
        <v>0</v>
      </c>
      <c r="H48" s="754">
        <f t="shared" si="11"/>
        <v>0</v>
      </c>
      <c r="I48" s="754">
        <f t="shared" si="12"/>
        <v>65604.490000000005</v>
      </c>
      <c r="J48" s="3666">
        <f t="shared" si="13"/>
        <v>0</v>
      </c>
      <c r="K48" s="770"/>
    </row>
    <row r="49" spans="2:11" ht="12" customHeight="1">
      <c r="B49" s="3696" t="s">
        <v>3789</v>
      </c>
      <c r="C49" s="3696"/>
      <c r="D49" s="3697">
        <v>17899552.579999994</v>
      </c>
      <c r="E49" s="754"/>
      <c r="F49" s="773">
        <f>SUM(F43:F48)</f>
        <v>17899552.579999994</v>
      </c>
      <c r="G49" s="2071">
        <f t="shared" ref="G49:I49" si="16">SUM(G43:G48)</f>
        <v>3440743.3183936053</v>
      </c>
      <c r="H49" s="2071">
        <f t="shared" si="16"/>
        <v>0</v>
      </c>
      <c r="I49" s="2071">
        <f t="shared" si="16"/>
        <v>14458809.261606393</v>
      </c>
      <c r="J49" s="3668">
        <f>SUM(J43:J47)</f>
        <v>0</v>
      </c>
      <c r="K49" s="770"/>
    </row>
    <row r="50" spans="2:11" ht="12" customHeight="1" thickBot="1">
      <c r="B50" s="3696" t="s">
        <v>2301</v>
      </c>
      <c r="C50" s="3696"/>
      <c r="D50" s="3697">
        <v>45115569.490000002</v>
      </c>
      <c r="E50" s="775">
        <f>SUM(E33:E49)</f>
        <v>3648406.92</v>
      </c>
      <c r="F50" s="776">
        <f>F36+F42+F49+F57</f>
        <v>48948752.259999998</v>
      </c>
      <c r="G50" s="776">
        <f>G36+G42+G49+G57</f>
        <v>22722022.150377292</v>
      </c>
      <c r="H50" s="776">
        <f>H36+H42+H49+H57</f>
        <v>0</v>
      </c>
      <c r="I50" s="776">
        <f>I36+I42+I49+I57</f>
        <v>26226730.109622706</v>
      </c>
      <c r="J50" s="3669">
        <f>SUM(F50)-SUM(G50:I50)</f>
        <v>0</v>
      </c>
      <c r="K50" s="770"/>
    </row>
    <row r="51" spans="2:11" ht="12" customHeight="1" thickTop="1">
      <c r="B51" s="493"/>
      <c r="C51" s="3672" t="s">
        <v>3782</v>
      </c>
      <c r="D51" s="3659">
        <f>D50-'E Intangible'!L139</f>
        <v>0</v>
      </c>
      <c r="E51" s="3659">
        <f>'E Intangible Adj. Notes'!M5-E50</f>
        <v>0</v>
      </c>
      <c r="F51" s="778" t="s">
        <v>2307</v>
      </c>
      <c r="G51" s="779">
        <f>G50/F50</f>
        <v>0.46420023190142279</v>
      </c>
      <c r="H51" s="779">
        <f>H50/F50</f>
        <v>0</v>
      </c>
      <c r="I51" s="779">
        <f>I50/F50</f>
        <v>0.53579976809857721</v>
      </c>
      <c r="J51" s="3670">
        <f>SUM(G51:I51)</f>
        <v>1</v>
      </c>
      <c r="K51" s="779"/>
    </row>
    <row r="52" spans="2:11" ht="12" customHeight="1">
      <c r="B52" s="493"/>
      <c r="C52" s="493"/>
      <c r="D52" s="745"/>
      <c r="E52" s="754"/>
      <c r="F52" s="778"/>
      <c r="G52" s="779"/>
      <c r="H52" s="779"/>
      <c r="I52" s="779"/>
      <c r="J52" s="779"/>
      <c r="K52" s="779"/>
    </row>
    <row r="53" spans="2:11" ht="12" customHeight="1">
      <c r="C53" s="777"/>
      <c r="D53" s="1697"/>
      <c r="E53" s="754"/>
      <c r="F53" s="778"/>
      <c r="G53" s="779"/>
      <c r="H53" s="779"/>
      <c r="I53" s="779"/>
      <c r="J53" s="779"/>
      <c r="K53" s="770"/>
    </row>
    <row r="54" spans="2:11" ht="12" customHeight="1">
      <c r="B54" s="493" t="s">
        <v>3790</v>
      </c>
      <c r="C54" s="493" t="s">
        <v>350</v>
      </c>
      <c r="D54" s="746" t="s">
        <v>2287</v>
      </c>
      <c r="E54" s="771" t="s">
        <v>2288</v>
      </c>
      <c r="F54" s="515" t="s">
        <v>3783</v>
      </c>
      <c r="G54" s="770"/>
      <c r="H54" s="770"/>
      <c r="I54" s="770"/>
      <c r="J54" s="770"/>
      <c r="K54" s="770"/>
    </row>
    <row r="55" spans="2:11" ht="12" customHeight="1">
      <c r="B55" s="781" t="s">
        <v>3791</v>
      </c>
      <c r="C55" s="770" t="s">
        <v>392</v>
      </c>
      <c r="D55" s="782">
        <f>'E Intangible'!L149</f>
        <v>665</v>
      </c>
      <c r="E55" s="782"/>
      <c r="F55" s="782">
        <f>SUM(D55:E55)</f>
        <v>665</v>
      </c>
      <c r="G55" s="754">
        <f>$F55*VLOOKUP($C55,Ratio,2,FALSE)</f>
        <v>665</v>
      </c>
      <c r="H55" s="754">
        <f>$F55*VLOOKUP($C55,Ratio,3,FALSE)</f>
        <v>0</v>
      </c>
      <c r="I55" s="754">
        <f>$F55*VLOOKUP($C55,Ratio,4,FALSE)</f>
        <v>0</v>
      </c>
      <c r="J55" s="772">
        <f>F55-SUM(G55:I55)</f>
        <v>0</v>
      </c>
      <c r="K55" s="783" t="s">
        <v>3792</v>
      </c>
    </row>
    <row r="56" spans="2:11" ht="12" customHeight="1">
      <c r="B56" s="770" t="s">
        <v>3793</v>
      </c>
      <c r="C56" s="770" t="s">
        <v>390</v>
      </c>
      <c r="D56" s="782">
        <f>SUM('E Intangible'!L144:L148)</f>
        <v>184110.85</v>
      </c>
      <c r="E56" s="782"/>
      <c r="F56" s="782">
        <f>SUM(D56:E56)</f>
        <v>184110.85</v>
      </c>
      <c r="G56" s="754">
        <f>$F56*VLOOKUP($C56,Ratio,2,FALSE)</f>
        <v>0</v>
      </c>
      <c r="H56" s="754">
        <f>$F56*VLOOKUP($C56,Ratio,3,FALSE)</f>
        <v>0</v>
      </c>
      <c r="I56" s="754">
        <f>$F56*VLOOKUP($C56,Ratio,4,FALSE)</f>
        <v>184110.85</v>
      </c>
      <c r="J56" s="772">
        <f>F56-SUM(G56:I56)</f>
        <v>0</v>
      </c>
      <c r="K56" s="783" t="s">
        <v>3792</v>
      </c>
    </row>
    <row r="57" spans="2:11" ht="12" customHeight="1" thickBot="1">
      <c r="B57" s="493"/>
      <c r="C57" s="784" t="s">
        <v>196</v>
      </c>
      <c r="D57" s="785">
        <f t="shared" ref="D57:I57" si="17">SUM(D55:D56)</f>
        <v>184775.85</v>
      </c>
      <c r="E57" s="785">
        <f t="shared" si="17"/>
        <v>0</v>
      </c>
      <c r="F57" s="775">
        <f t="shared" si="17"/>
        <v>184775.85</v>
      </c>
      <c r="G57" s="2072">
        <f t="shared" si="17"/>
        <v>665</v>
      </c>
      <c r="H57" s="2072">
        <f t="shared" si="17"/>
        <v>0</v>
      </c>
      <c r="I57" s="2072">
        <f t="shared" si="17"/>
        <v>184110.85</v>
      </c>
      <c r="J57" s="786">
        <f>SUM(F57)-SUM(G57:I57)</f>
        <v>0</v>
      </c>
      <c r="K57" s="770"/>
    </row>
    <row r="58" spans="2:11" ht="12" customHeight="1" thickTop="1">
      <c r="B58" s="493"/>
      <c r="C58" s="3672" t="s">
        <v>3782</v>
      </c>
      <c r="D58" s="3659">
        <f>D57-'E Intangible'!L150</f>
        <v>0</v>
      </c>
      <c r="E58" s="787"/>
      <c r="F58" s="787"/>
      <c r="G58" s="770"/>
      <c r="H58" s="493"/>
      <c r="I58" s="770"/>
      <c r="J58" s="770"/>
      <c r="K58" s="770"/>
    </row>
  </sheetData>
  <pageMargins left="0.7" right="0.7" top="0.75" bottom="0.75" header="0.3" footer="0.3"/>
  <pageSetup orientation="portrait" r:id="rId5"/>
  <customProperties>
    <customPr name="_pios_id" r:id="rId6"/>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92D050"/>
  </sheetPr>
  <dimension ref="A1:AB153"/>
  <sheetViews>
    <sheetView zoomScaleNormal="100" workbookViewId="0">
      <pane ySplit="1" topLeftCell="A2" activePane="bottomLeft" state="frozen"/>
      <selection sqref="A1:XFD1048576"/>
      <selection pane="bottomLeft" sqref="A1:XFD1048576"/>
    </sheetView>
  </sheetViews>
  <sheetFormatPr defaultColWidth="15.25" defaultRowHeight="12" customHeight="1"/>
  <cols>
    <col min="1" max="1" width="15.25" style="761"/>
    <col min="2" max="2" width="7.5" style="761" customWidth="1"/>
    <col min="3" max="3" width="7" style="761" customWidth="1"/>
    <col min="4" max="4" width="8" style="761" customWidth="1"/>
    <col min="5" max="5" width="12.625" style="761" customWidth="1"/>
    <col min="6" max="6" width="9.625" style="761" customWidth="1"/>
    <col min="7" max="8" width="32.5" style="761" customWidth="1"/>
    <col min="9" max="9" width="7.5" style="761" customWidth="1"/>
    <col min="10" max="10" width="4.75" style="761" customWidth="1"/>
    <col min="11" max="13" width="15.25" style="746"/>
    <col min="14" max="14" width="9.625" style="761" bestFit="1" customWidth="1"/>
    <col min="15" max="15" width="16.5" style="761" customWidth="1"/>
    <col min="16" max="16" width="33.875" style="761" customWidth="1"/>
    <col min="17" max="17" width="51.875" style="761" customWidth="1"/>
    <col min="18" max="16384" width="15.25" style="761"/>
  </cols>
  <sheetData>
    <row r="1" spans="1:17" s="763" customFormat="1" ht="12" customHeight="1">
      <c r="A1" s="763" t="s">
        <v>2326</v>
      </c>
      <c r="B1" s="763" t="s">
        <v>2327</v>
      </c>
      <c r="C1" s="763" t="s">
        <v>2328</v>
      </c>
      <c r="D1" s="763" t="s">
        <v>2329</v>
      </c>
      <c r="E1" s="763" t="s">
        <v>2330</v>
      </c>
      <c r="F1" s="757" t="s">
        <v>2331</v>
      </c>
      <c r="G1" s="758" t="s">
        <v>2332</v>
      </c>
      <c r="H1" s="759" t="s">
        <v>2333</v>
      </c>
      <c r="I1" s="507" t="s">
        <v>2334</v>
      </c>
      <c r="J1" s="507" t="s">
        <v>2335</v>
      </c>
      <c r="K1" s="1904" t="s">
        <v>2336</v>
      </c>
      <c r="L1" s="1904" t="s">
        <v>2337</v>
      </c>
      <c r="M1" s="1904" t="s">
        <v>2338</v>
      </c>
      <c r="N1" s="1695" t="s">
        <v>2286</v>
      </c>
      <c r="O1" s="1695" t="s">
        <v>350</v>
      </c>
      <c r="P1" s="1749" t="s">
        <v>8127</v>
      </c>
      <c r="Q1" s="1703" t="s">
        <v>8128</v>
      </c>
    </row>
    <row r="2" spans="1:17" ht="12" customHeight="1">
      <c r="A2" s="493" t="s">
        <v>3796</v>
      </c>
      <c r="B2" s="493" t="s">
        <v>510</v>
      </c>
      <c r="C2" s="493" t="s">
        <v>3797</v>
      </c>
      <c r="D2" s="493">
        <v>48</v>
      </c>
      <c r="E2" s="493" t="s">
        <v>3798</v>
      </c>
      <c r="F2" s="493" t="s">
        <v>2357</v>
      </c>
      <c r="G2" s="493"/>
      <c r="H2" s="493"/>
      <c r="I2" s="493" t="s">
        <v>6867</v>
      </c>
      <c r="J2" s="493">
        <v>0</v>
      </c>
      <c r="K2" s="791">
        <v>114201.76000000001</v>
      </c>
      <c r="L2" s="791">
        <v>0</v>
      </c>
      <c r="M2" s="791">
        <v>114201.76000000001</v>
      </c>
      <c r="N2" s="493" t="s">
        <v>3784</v>
      </c>
      <c r="O2" s="493" t="s">
        <v>390</v>
      </c>
      <c r="P2" s="493"/>
      <c r="Q2" s="493"/>
    </row>
    <row r="3" spans="1:17" ht="12" customHeight="1">
      <c r="A3" s="493" t="s">
        <v>3796</v>
      </c>
      <c r="B3" s="493" t="s">
        <v>510</v>
      </c>
      <c r="C3" s="493" t="s">
        <v>3797</v>
      </c>
      <c r="D3" s="493">
        <v>49758</v>
      </c>
      <c r="E3" s="493" t="s">
        <v>3799</v>
      </c>
      <c r="F3" s="493" t="s">
        <v>2357</v>
      </c>
      <c r="G3" s="493"/>
      <c r="H3" s="493"/>
      <c r="I3" s="493" t="s">
        <v>6867</v>
      </c>
      <c r="J3" s="493">
        <v>1</v>
      </c>
      <c r="K3" s="791">
        <v>8096.1100000000006</v>
      </c>
      <c r="L3" s="791">
        <v>7620.6100000000006</v>
      </c>
      <c r="M3" s="791">
        <v>475.5</v>
      </c>
      <c r="N3" s="493" t="s">
        <v>3786</v>
      </c>
      <c r="O3" s="493" t="s">
        <v>390</v>
      </c>
      <c r="P3" s="493"/>
      <c r="Q3" s="493"/>
    </row>
    <row r="4" spans="1:17" ht="12" customHeight="1">
      <c r="A4" s="493" t="s">
        <v>3796</v>
      </c>
      <c r="B4" s="493" t="s">
        <v>510</v>
      </c>
      <c r="C4" s="493" t="s">
        <v>3800</v>
      </c>
      <c r="D4" s="493">
        <v>49960</v>
      </c>
      <c r="E4" s="493" t="s">
        <v>3799</v>
      </c>
      <c r="F4" s="493" t="s">
        <v>2357</v>
      </c>
      <c r="G4" s="493"/>
      <c r="H4" s="493"/>
      <c r="I4" s="493" t="s">
        <v>6867</v>
      </c>
      <c r="J4" s="493">
        <v>1</v>
      </c>
      <c r="K4" s="791">
        <v>548.16999999999996</v>
      </c>
      <c r="L4" s="791">
        <v>476.8</v>
      </c>
      <c r="M4" s="791">
        <v>71.37</v>
      </c>
      <c r="N4" s="493" t="s">
        <v>3786</v>
      </c>
      <c r="O4" s="493" t="s">
        <v>390</v>
      </c>
      <c r="P4" s="493"/>
      <c r="Q4" s="493"/>
    </row>
    <row r="5" spans="1:17" ht="12" customHeight="1">
      <c r="A5" s="493" t="s">
        <v>3796</v>
      </c>
      <c r="B5" s="493" t="s">
        <v>510</v>
      </c>
      <c r="C5" s="493" t="s">
        <v>3797</v>
      </c>
      <c r="D5" s="493">
        <v>56984</v>
      </c>
      <c r="E5" s="493" t="s">
        <v>3799</v>
      </c>
      <c r="F5" s="493" t="s">
        <v>2357</v>
      </c>
      <c r="G5" s="493"/>
      <c r="H5" s="493"/>
      <c r="I5" s="493" t="s">
        <v>6867</v>
      </c>
      <c r="J5" s="493">
        <v>1</v>
      </c>
      <c r="K5" s="791">
        <v>807.34</v>
      </c>
      <c r="L5" s="791">
        <v>696.51</v>
      </c>
      <c r="M5" s="791">
        <v>110.83</v>
      </c>
      <c r="N5" s="493" t="s">
        <v>3786</v>
      </c>
      <c r="O5" s="493" t="s">
        <v>390</v>
      </c>
      <c r="P5" s="493"/>
      <c r="Q5" s="493"/>
    </row>
    <row r="6" spans="1:17" ht="12" customHeight="1">
      <c r="A6" s="493" t="s">
        <v>3796</v>
      </c>
      <c r="B6" s="493" t="s">
        <v>510</v>
      </c>
      <c r="C6" s="493" t="s">
        <v>3797</v>
      </c>
      <c r="D6" s="493">
        <v>56986</v>
      </c>
      <c r="E6" s="493" t="s">
        <v>3799</v>
      </c>
      <c r="F6" s="493" t="s">
        <v>2357</v>
      </c>
      <c r="G6" s="493"/>
      <c r="H6" s="493"/>
      <c r="I6" s="493" t="s">
        <v>6867</v>
      </c>
      <c r="J6" s="493">
        <v>1</v>
      </c>
      <c r="K6" s="791">
        <v>5800.86</v>
      </c>
      <c r="L6" s="791">
        <v>5004.5600000000004</v>
      </c>
      <c r="M6" s="791">
        <v>796.30000000000007</v>
      </c>
      <c r="N6" s="493" t="s">
        <v>3786</v>
      </c>
      <c r="O6" s="493" t="s">
        <v>390</v>
      </c>
      <c r="P6" s="493"/>
      <c r="Q6" s="493"/>
    </row>
    <row r="7" spans="1:17" ht="12" customHeight="1">
      <c r="A7" s="493" t="s">
        <v>3796</v>
      </c>
      <c r="B7" s="493" t="s">
        <v>510</v>
      </c>
      <c r="C7" s="493" t="s">
        <v>3801</v>
      </c>
      <c r="D7" s="493">
        <v>57430</v>
      </c>
      <c r="E7" s="493" t="s">
        <v>3799</v>
      </c>
      <c r="F7" s="493" t="s">
        <v>2357</v>
      </c>
      <c r="G7" s="493"/>
      <c r="H7" s="493"/>
      <c r="I7" s="493" t="s">
        <v>6867</v>
      </c>
      <c r="J7" s="493">
        <v>1</v>
      </c>
      <c r="K7" s="791">
        <v>226.76</v>
      </c>
      <c r="L7" s="791">
        <v>195.63</v>
      </c>
      <c r="M7" s="791">
        <v>31.13</v>
      </c>
      <c r="N7" s="493" t="s">
        <v>3786</v>
      </c>
      <c r="O7" s="493" t="s">
        <v>390</v>
      </c>
      <c r="P7" s="493"/>
      <c r="Q7" s="493"/>
    </row>
    <row r="8" spans="1:17" ht="12" customHeight="1">
      <c r="A8" s="493" t="s">
        <v>3796</v>
      </c>
      <c r="B8" s="493" t="s">
        <v>510</v>
      </c>
      <c r="C8" s="493" t="s">
        <v>3801</v>
      </c>
      <c r="D8" s="493">
        <v>75790</v>
      </c>
      <c r="E8" s="493" t="s">
        <v>3799</v>
      </c>
      <c r="F8" s="493" t="s">
        <v>2357</v>
      </c>
      <c r="G8" s="493"/>
      <c r="H8" s="493"/>
      <c r="I8" s="493" t="s">
        <v>6867</v>
      </c>
      <c r="J8" s="493">
        <v>1</v>
      </c>
      <c r="K8" s="791">
        <v>5314.1500000000005</v>
      </c>
      <c r="L8" s="791">
        <v>4431.9000000000005</v>
      </c>
      <c r="M8" s="791">
        <v>882.25</v>
      </c>
      <c r="N8" s="493" t="s">
        <v>3786</v>
      </c>
      <c r="O8" s="493" t="s">
        <v>390</v>
      </c>
      <c r="P8" s="493"/>
      <c r="Q8" s="493"/>
    </row>
    <row r="9" spans="1:17" ht="12" customHeight="1">
      <c r="A9" s="493" t="s">
        <v>3796</v>
      </c>
      <c r="B9" s="493" t="s">
        <v>510</v>
      </c>
      <c r="C9" s="493" t="s">
        <v>3910</v>
      </c>
      <c r="D9" s="493">
        <v>78761</v>
      </c>
      <c r="E9" s="493" t="s">
        <v>3911</v>
      </c>
      <c r="F9" s="493" t="s">
        <v>2357</v>
      </c>
      <c r="G9" s="493"/>
      <c r="H9" s="493"/>
      <c r="I9" s="493" t="s">
        <v>6867</v>
      </c>
      <c r="J9" s="493">
        <v>1</v>
      </c>
      <c r="K9" s="791">
        <v>13330342.369999999</v>
      </c>
      <c r="L9" s="791">
        <v>6396196.5999999996</v>
      </c>
      <c r="M9" s="791">
        <v>6934145.7699999996</v>
      </c>
      <c r="N9" s="493" t="s">
        <v>3786</v>
      </c>
      <c r="O9" s="493" t="s">
        <v>392</v>
      </c>
      <c r="P9" s="493"/>
      <c r="Q9" s="493"/>
    </row>
    <row r="10" spans="1:17" ht="12" customHeight="1">
      <c r="A10" s="493" t="s">
        <v>3796</v>
      </c>
      <c r="B10" s="493" t="s">
        <v>510</v>
      </c>
      <c r="C10" s="493" t="s">
        <v>3910</v>
      </c>
      <c r="D10" s="493">
        <v>81525</v>
      </c>
      <c r="E10" s="493" t="s">
        <v>3911</v>
      </c>
      <c r="F10" s="493" t="s">
        <v>2357</v>
      </c>
      <c r="G10" s="493"/>
      <c r="H10" s="493"/>
      <c r="I10" s="493" t="s">
        <v>6867</v>
      </c>
      <c r="J10" s="493">
        <v>1</v>
      </c>
      <c r="K10" s="791">
        <v>17484.53</v>
      </c>
      <c r="L10" s="791">
        <v>8260.2999999999993</v>
      </c>
      <c r="M10" s="791">
        <v>9224.23</v>
      </c>
      <c r="N10" s="493" t="s">
        <v>3786</v>
      </c>
      <c r="O10" s="493" t="s">
        <v>392</v>
      </c>
      <c r="P10" s="493"/>
      <c r="Q10" s="493"/>
    </row>
    <row r="11" spans="1:17" ht="12" customHeight="1">
      <c r="A11" s="493" t="s">
        <v>3796</v>
      </c>
      <c r="B11" s="493" t="s">
        <v>510</v>
      </c>
      <c r="C11" s="493" t="s">
        <v>3797</v>
      </c>
      <c r="D11" s="493">
        <v>81617</v>
      </c>
      <c r="E11" s="493" t="s">
        <v>3799</v>
      </c>
      <c r="F11" s="493" t="s">
        <v>2357</v>
      </c>
      <c r="G11" s="493"/>
      <c r="H11" s="493"/>
      <c r="I11" s="493" t="s">
        <v>6867</v>
      </c>
      <c r="J11" s="493">
        <v>1</v>
      </c>
      <c r="K11" s="791">
        <v>18789.68</v>
      </c>
      <c r="L11" s="791">
        <v>17770.100000000002</v>
      </c>
      <c r="M11" s="791">
        <v>1019.58</v>
      </c>
      <c r="N11" s="493" t="s">
        <v>3786</v>
      </c>
      <c r="O11" s="493" t="s">
        <v>390</v>
      </c>
      <c r="P11" s="493"/>
      <c r="Q11" s="493"/>
    </row>
    <row r="12" spans="1:17" ht="12" customHeight="1">
      <c r="A12" s="493" t="s">
        <v>3796</v>
      </c>
      <c r="B12" s="493" t="s">
        <v>510</v>
      </c>
      <c r="C12" s="493" t="s">
        <v>3797</v>
      </c>
      <c r="D12" s="493">
        <v>81625</v>
      </c>
      <c r="E12" s="493" t="s">
        <v>3799</v>
      </c>
      <c r="F12" s="493" t="s">
        <v>2357</v>
      </c>
      <c r="G12" s="493"/>
      <c r="H12" s="493"/>
      <c r="I12" s="493" t="s">
        <v>6867</v>
      </c>
      <c r="J12" s="493">
        <v>1</v>
      </c>
      <c r="K12" s="791">
        <v>2927</v>
      </c>
      <c r="L12" s="791">
        <v>2768.17</v>
      </c>
      <c r="M12" s="791">
        <v>158.83000000000001</v>
      </c>
      <c r="N12" s="493" t="s">
        <v>3786</v>
      </c>
      <c r="O12" s="493" t="s">
        <v>390</v>
      </c>
      <c r="P12" s="493"/>
      <c r="Q12" s="493"/>
    </row>
    <row r="13" spans="1:17" ht="12" customHeight="1">
      <c r="A13" s="493" t="s">
        <v>3796</v>
      </c>
      <c r="B13" s="493" t="s">
        <v>510</v>
      </c>
      <c r="C13" s="493" t="s">
        <v>3910</v>
      </c>
      <c r="D13" s="493">
        <v>83082</v>
      </c>
      <c r="E13" s="493" t="s">
        <v>3911</v>
      </c>
      <c r="F13" s="493" t="s">
        <v>2357</v>
      </c>
      <c r="G13" s="493"/>
      <c r="H13" s="493"/>
      <c r="I13" s="493" t="s">
        <v>6867</v>
      </c>
      <c r="J13" s="493">
        <v>1</v>
      </c>
      <c r="K13" s="791">
        <v>608014.69000000006</v>
      </c>
      <c r="L13" s="791">
        <v>276040.37</v>
      </c>
      <c r="M13" s="791">
        <v>331974.32</v>
      </c>
      <c r="N13" s="493" t="s">
        <v>3786</v>
      </c>
      <c r="O13" s="493" t="s">
        <v>392</v>
      </c>
      <c r="P13" s="493"/>
      <c r="Q13" s="493"/>
    </row>
    <row r="14" spans="1:17" ht="12" customHeight="1">
      <c r="A14" s="493" t="s">
        <v>3796</v>
      </c>
      <c r="B14" s="493" t="s">
        <v>510</v>
      </c>
      <c r="C14" s="493" t="s">
        <v>3801</v>
      </c>
      <c r="D14" s="493">
        <v>83205</v>
      </c>
      <c r="E14" s="493" t="s">
        <v>3799</v>
      </c>
      <c r="F14" s="493" t="s">
        <v>2357</v>
      </c>
      <c r="G14" s="493"/>
      <c r="H14" s="493"/>
      <c r="I14" s="493" t="s">
        <v>6867</v>
      </c>
      <c r="J14" s="493">
        <v>1</v>
      </c>
      <c r="K14" s="791">
        <v>4419.08</v>
      </c>
      <c r="L14" s="791">
        <v>3167.6800000000003</v>
      </c>
      <c r="M14" s="791">
        <v>1251.4000000000001</v>
      </c>
      <c r="N14" s="493" t="s">
        <v>3786</v>
      </c>
      <c r="O14" s="493" t="s">
        <v>390</v>
      </c>
      <c r="P14" s="493"/>
      <c r="Q14" s="493"/>
    </row>
    <row r="15" spans="1:17" ht="12" customHeight="1">
      <c r="A15" s="493" t="s">
        <v>3796</v>
      </c>
      <c r="B15" s="493" t="s">
        <v>510</v>
      </c>
      <c r="C15" s="493" t="s">
        <v>3800</v>
      </c>
      <c r="D15" s="493">
        <v>85967</v>
      </c>
      <c r="E15" s="493" t="s">
        <v>3799</v>
      </c>
      <c r="F15" s="493" t="s">
        <v>2357</v>
      </c>
      <c r="G15" s="493"/>
      <c r="H15" s="493"/>
      <c r="I15" s="493" t="s">
        <v>6867</v>
      </c>
      <c r="J15" s="493">
        <v>1</v>
      </c>
      <c r="K15" s="791">
        <v>13327.73</v>
      </c>
      <c r="L15" s="791">
        <v>9553.58</v>
      </c>
      <c r="M15" s="791">
        <v>3774.15</v>
      </c>
      <c r="N15" s="493" t="s">
        <v>3786</v>
      </c>
      <c r="O15" s="493" t="s">
        <v>390</v>
      </c>
      <c r="P15" s="493"/>
      <c r="Q15" s="493"/>
    </row>
    <row r="16" spans="1:17" ht="12" customHeight="1">
      <c r="A16" s="493" t="s">
        <v>3796</v>
      </c>
      <c r="B16" s="493" t="s">
        <v>510</v>
      </c>
      <c r="C16" s="493" t="s">
        <v>3910</v>
      </c>
      <c r="D16" s="493">
        <v>86440</v>
      </c>
      <c r="E16" s="493" t="s">
        <v>3911</v>
      </c>
      <c r="F16" s="493" t="s">
        <v>2357</v>
      </c>
      <c r="G16" s="493"/>
      <c r="H16" s="493"/>
      <c r="I16" s="493" t="s">
        <v>6867</v>
      </c>
      <c r="J16" s="493">
        <v>2</v>
      </c>
      <c r="K16" s="791">
        <v>1032218.68</v>
      </c>
      <c r="L16" s="791">
        <v>387644.96</v>
      </c>
      <c r="M16" s="791">
        <v>644573.72</v>
      </c>
      <c r="N16" s="493" t="s">
        <v>3786</v>
      </c>
      <c r="O16" s="493" t="s">
        <v>392</v>
      </c>
      <c r="P16" s="493"/>
      <c r="Q16" s="493"/>
    </row>
    <row r="17" spans="1:17" ht="12" customHeight="1">
      <c r="A17" s="493" t="s">
        <v>3796</v>
      </c>
      <c r="B17" s="493" t="s">
        <v>510</v>
      </c>
      <c r="C17" s="493" t="s">
        <v>3797</v>
      </c>
      <c r="D17" s="493">
        <v>91991</v>
      </c>
      <c r="E17" s="493" t="s">
        <v>3799</v>
      </c>
      <c r="F17" s="493" t="s">
        <v>2357</v>
      </c>
      <c r="G17" s="493"/>
      <c r="H17" s="493"/>
      <c r="I17" s="493" t="s">
        <v>6867</v>
      </c>
      <c r="J17" s="493">
        <v>1</v>
      </c>
      <c r="K17" s="791">
        <v>7002.62</v>
      </c>
      <c r="L17" s="791">
        <v>6922.04</v>
      </c>
      <c r="M17" s="791">
        <v>80.58</v>
      </c>
      <c r="N17" s="493" t="s">
        <v>3786</v>
      </c>
      <c r="O17" s="493" t="s">
        <v>390</v>
      </c>
      <c r="P17" s="493"/>
      <c r="Q17" s="493"/>
    </row>
    <row r="18" spans="1:17" ht="12" customHeight="1">
      <c r="A18" s="493" t="s">
        <v>3796</v>
      </c>
      <c r="B18" s="493" t="s">
        <v>510</v>
      </c>
      <c r="C18" s="493" t="s">
        <v>3802</v>
      </c>
      <c r="D18" s="493">
        <v>3029036</v>
      </c>
      <c r="E18" s="493" t="s">
        <v>3799</v>
      </c>
      <c r="F18" s="493">
        <v>130001845</v>
      </c>
      <c r="G18" s="493" t="s">
        <v>3803</v>
      </c>
      <c r="H18" s="493" t="s">
        <v>3804</v>
      </c>
      <c r="I18" s="493" t="s">
        <v>6867</v>
      </c>
      <c r="J18" s="493">
        <v>1</v>
      </c>
      <c r="K18" s="791">
        <v>4563.1000000000004</v>
      </c>
      <c r="L18" s="791">
        <v>3457.19</v>
      </c>
      <c r="M18" s="791">
        <v>1105.9100000000001</v>
      </c>
      <c r="N18" s="493" t="s">
        <v>3786</v>
      </c>
      <c r="O18" s="493" t="s">
        <v>390</v>
      </c>
      <c r="P18" s="493"/>
      <c r="Q18" s="493"/>
    </row>
    <row r="19" spans="1:17" ht="12" customHeight="1">
      <c r="A19" s="493" t="s">
        <v>3796</v>
      </c>
      <c r="B19" s="493" t="s">
        <v>510</v>
      </c>
      <c r="C19" s="493" t="s">
        <v>3912</v>
      </c>
      <c r="D19" s="493">
        <v>5127684</v>
      </c>
      <c r="E19" s="493" t="s">
        <v>3913</v>
      </c>
      <c r="F19" s="493">
        <v>103000085</v>
      </c>
      <c r="G19" s="493" t="s">
        <v>3914</v>
      </c>
      <c r="H19" s="493" t="s">
        <v>3914</v>
      </c>
      <c r="I19" s="493" t="s">
        <v>6867</v>
      </c>
      <c r="J19" s="493">
        <v>1</v>
      </c>
      <c r="K19" s="791">
        <v>39719237.369999997</v>
      </c>
      <c r="L19" s="791">
        <v>11939281.42</v>
      </c>
      <c r="M19" s="791">
        <v>27779955.949999999</v>
      </c>
      <c r="N19" s="493" t="s">
        <v>3786</v>
      </c>
      <c r="O19" s="493" t="s">
        <v>392</v>
      </c>
      <c r="P19" s="493"/>
    </row>
    <row r="20" spans="1:17" ht="12" customHeight="1">
      <c r="A20" s="493" t="s">
        <v>3796</v>
      </c>
      <c r="B20" s="493" t="s">
        <v>510</v>
      </c>
      <c r="C20" s="493" t="s">
        <v>3797</v>
      </c>
      <c r="D20" s="493">
        <v>6301802</v>
      </c>
      <c r="E20" s="493" t="s">
        <v>3799</v>
      </c>
      <c r="F20" s="493">
        <v>130000422</v>
      </c>
      <c r="G20" s="493" t="s">
        <v>3805</v>
      </c>
      <c r="H20" s="493" t="s">
        <v>3806</v>
      </c>
      <c r="I20" s="493" t="s">
        <v>6867</v>
      </c>
      <c r="J20" s="493">
        <v>1</v>
      </c>
      <c r="K20" s="791">
        <v>15702.44</v>
      </c>
      <c r="L20" s="791">
        <v>11896.800000000001</v>
      </c>
      <c r="M20" s="791">
        <v>3805.64</v>
      </c>
      <c r="N20" s="493" t="s">
        <v>3786</v>
      </c>
      <c r="O20" s="493" t="s">
        <v>390</v>
      </c>
      <c r="P20" s="493"/>
      <c r="Q20" s="493"/>
    </row>
    <row r="21" spans="1:17" ht="12" customHeight="1">
      <c r="A21" s="493" t="s">
        <v>3796</v>
      </c>
      <c r="B21" s="493" t="s">
        <v>510</v>
      </c>
      <c r="C21" s="493" t="s">
        <v>3807</v>
      </c>
      <c r="D21" s="493">
        <v>12193388</v>
      </c>
      <c r="E21" s="493" t="s">
        <v>3799</v>
      </c>
      <c r="F21" s="493" t="s">
        <v>2357</v>
      </c>
      <c r="G21" s="493"/>
      <c r="H21" s="493"/>
      <c r="I21" s="493" t="s">
        <v>6867</v>
      </c>
      <c r="J21" s="493">
        <v>0</v>
      </c>
      <c r="K21" s="791">
        <v>43991.5</v>
      </c>
      <c r="L21" s="791">
        <v>31533.98</v>
      </c>
      <c r="M21" s="791">
        <v>12457.52</v>
      </c>
      <c r="N21" s="493" t="s">
        <v>3786</v>
      </c>
      <c r="O21" s="493" t="s">
        <v>390</v>
      </c>
      <c r="P21" s="493"/>
      <c r="Q21" s="493"/>
    </row>
    <row r="22" spans="1:17" ht="12" customHeight="1">
      <c r="A22" s="493" t="s">
        <v>3796</v>
      </c>
      <c r="B22" s="493" t="s">
        <v>510</v>
      </c>
      <c r="C22" s="493" t="s">
        <v>3800</v>
      </c>
      <c r="D22" s="493">
        <v>17963556</v>
      </c>
      <c r="E22" s="493" t="s">
        <v>3799</v>
      </c>
      <c r="F22" s="493">
        <v>130005886</v>
      </c>
      <c r="G22" s="493" t="s">
        <v>3808</v>
      </c>
      <c r="H22" s="493" t="s">
        <v>3809</v>
      </c>
      <c r="I22" s="493" t="s">
        <v>6867</v>
      </c>
      <c r="J22" s="493">
        <v>1</v>
      </c>
      <c r="K22" s="791">
        <v>6714.77</v>
      </c>
      <c r="L22" s="791">
        <v>6642.17</v>
      </c>
      <c r="M22" s="791">
        <v>72.600000000000009</v>
      </c>
      <c r="N22" s="493" t="s">
        <v>3786</v>
      </c>
      <c r="O22" s="493" t="s">
        <v>390</v>
      </c>
      <c r="P22" s="493"/>
      <c r="Q22" s="493"/>
    </row>
    <row r="23" spans="1:17" ht="12" customHeight="1">
      <c r="A23" s="493" t="s">
        <v>3796</v>
      </c>
      <c r="B23" s="493" t="s">
        <v>510</v>
      </c>
      <c r="C23" s="493" t="s">
        <v>3797</v>
      </c>
      <c r="D23" s="493">
        <v>17963559</v>
      </c>
      <c r="E23" s="493" t="s">
        <v>3799</v>
      </c>
      <c r="F23" s="493">
        <v>130006201</v>
      </c>
      <c r="G23" s="493" t="s">
        <v>3810</v>
      </c>
      <c r="H23" s="493" t="s">
        <v>3811</v>
      </c>
      <c r="I23" s="493" t="s">
        <v>6867</v>
      </c>
      <c r="J23" s="493">
        <v>1</v>
      </c>
      <c r="K23" s="791">
        <v>14368.74</v>
      </c>
      <c r="L23" s="791">
        <v>14213.39</v>
      </c>
      <c r="M23" s="791">
        <v>155.35</v>
      </c>
      <c r="N23" s="493" t="s">
        <v>3786</v>
      </c>
      <c r="O23" s="493" t="s">
        <v>390</v>
      </c>
      <c r="P23" s="493"/>
      <c r="Q23" s="493"/>
    </row>
    <row r="24" spans="1:17" ht="12" customHeight="1">
      <c r="A24" s="493" t="s">
        <v>3796</v>
      </c>
      <c r="B24" s="493" t="s">
        <v>510</v>
      </c>
      <c r="C24" s="493" t="s">
        <v>3797</v>
      </c>
      <c r="D24" s="493">
        <v>17963572</v>
      </c>
      <c r="E24" s="493" t="s">
        <v>3799</v>
      </c>
      <c r="F24" s="493">
        <v>141000641</v>
      </c>
      <c r="G24" s="493" t="s">
        <v>3812</v>
      </c>
      <c r="H24" s="493" t="s">
        <v>3813</v>
      </c>
      <c r="I24" s="493" t="s">
        <v>6867</v>
      </c>
      <c r="J24" s="493">
        <v>1</v>
      </c>
      <c r="K24" s="791">
        <v>7276.17</v>
      </c>
      <c r="L24" s="791">
        <v>7197.5</v>
      </c>
      <c r="M24" s="791">
        <v>78.67</v>
      </c>
      <c r="N24" s="493" t="s">
        <v>3786</v>
      </c>
      <c r="O24" s="493" t="s">
        <v>390</v>
      </c>
      <c r="P24" s="493"/>
      <c r="Q24" s="493"/>
    </row>
    <row r="25" spans="1:17" ht="12" customHeight="1">
      <c r="A25" s="493" t="s">
        <v>3796</v>
      </c>
      <c r="B25" s="493" t="s">
        <v>510</v>
      </c>
      <c r="C25" s="493" t="s">
        <v>3800</v>
      </c>
      <c r="D25" s="493">
        <v>19199550</v>
      </c>
      <c r="E25" s="493" t="s">
        <v>3799</v>
      </c>
      <c r="F25" s="493">
        <v>130006101</v>
      </c>
      <c r="G25" s="493" t="s">
        <v>3814</v>
      </c>
      <c r="H25" s="493" t="s">
        <v>3815</v>
      </c>
      <c r="I25" s="493" t="s">
        <v>6867</v>
      </c>
      <c r="J25" s="493">
        <v>1</v>
      </c>
      <c r="K25" s="791">
        <v>39780.379999999997</v>
      </c>
      <c r="L25" s="791">
        <v>39350.29</v>
      </c>
      <c r="M25" s="791">
        <v>430.09000000000003</v>
      </c>
      <c r="N25" s="493" t="s">
        <v>3786</v>
      </c>
      <c r="O25" s="493" t="s">
        <v>390</v>
      </c>
      <c r="P25" s="493"/>
      <c r="Q25" s="493"/>
    </row>
    <row r="26" spans="1:17" ht="12" customHeight="1">
      <c r="A26" s="493" t="s">
        <v>3796</v>
      </c>
      <c r="B26" s="493" t="s">
        <v>510</v>
      </c>
      <c r="C26" s="493" t="s">
        <v>3915</v>
      </c>
      <c r="D26" s="493">
        <v>23406171</v>
      </c>
      <c r="E26" s="493" t="s">
        <v>3913</v>
      </c>
      <c r="F26" s="493">
        <v>103007279</v>
      </c>
      <c r="G26" s="493" t="s">
        <v>3916</v>
      </c>
      <c r="H26" s="493" t="s">
        <v>3917</v>
      </c>
      <c r="I26" s="493" t="s">
        <v>6867</v>
      </c>
      <c r="J26" s="493">
        <v>1</v>
      </c>
      <c r="K26" s="791">
        <v>222357.94</v>
      </c>
      <c r="L26" s="791">
        <v>74965.150000000009</v>
      </c>
      <c r="M26" s="791">
        <v>147392.79</v>
      </c>
      <c r="N26" s="493" t="s">
        <v>3786</v>
      </c>
      <c r="O26" s="493" t="s">
        <v>392</v>
      </c>
      <c r="P26" s="493"/>
    </row>
    <row r="27" spans="1:17" ht="12" customHeight="1">
      <c r="A27" s="493" t="s">
        <v>3796</v>
      </c>
      <c r="B27" s="493" t="s">
        <v>510</v>
      </c>
      <c r="C27" s="493" t="s">
        <v>3816</v>
      </c>
      <c r="D27" s="493">
        <v>27906141</v>
      </c>
      <c r="E27" s="493" t="s">
        <v>3799</v>
      </c>
      <c r="F27" s="493">
        <v>130005885</v>
      </c>
      <c r="G27" s="493" t="s">
        <v>3817</v>
      </c>
      <c r="H27" s="493" t="s">
        <v>3817</v>
      </c>
      <c r="I27" s="493" t="s">
        <v>6867</v>
      </c>
      <c r="J27" s="493">
        <v>1</v>
      </c>
      <c r="K27" s="791">
        <v>15588.89</v>
      </c>
      <c r="L27" s="791">
        <v>8398.84</v>
      </c>
      <c r="M27" s="791">
        <v>7190.05</v>
      </c>
      <c r="N27" s="493" t="s">
        <v>3786</v>
      </c>
      <c r="O27" s="493" t="s">
        <v>390</v>
      </c>
      <c r="P27" s="493"/>
      <c r="Q27" s="493"/>
    </row>
    <row r="28" spans="1:17" ht="12" customHeight="1">
      <c r="A28" s="493" t="s">
        <v>3796</v>
      </c>
      <c r="B28" s="493" t="s">
        <v>510</v>
      </c>
      <c r="C28" s="493" t="s">
        <v>3800</v>
      </c>
      <c r="D28" s="493">
        <v>29058496</v>
      </c>
      <c r="E28" s="493" t="s">
        <v>3799</v>
      </c>
      <c r="F28" s="493">
        <v>141002065</v>
      </c>
      <c r="G28" s="493" t="s">
        <v>3818</v>
      </c>
      <c r="H28" s="493" t="s">
        <v>3818</v>
      </c>
      <c r="I28" s="493" t="s">
        <v>6867</v>
      </c>
      <c r="J28" s="493">
        <v>1</v>
      </c>
      <c r="K28" s="791">
        <v>3195.98</v>
      </c>
      <c r="L28" s="791">
        <v>1721.9</v>
      </c>
      <c r="M28" s="791">
        <v>1474.08</v>
      </c>
      <c r="N28" s="493" t="s">
        <v>3786</v>
      </c>
      <c r="O28" s="493" t="s">
        <v>390</v>
      </c>
      <c r="P28" s="493"/>
      <c r="Q28" s="493"/>
    </row>
    <row r="29" spans="1:17" ht="12" customHeight="1">
      <c r="A29" s="493" t="s">
        <v>3796</v>
      </c>
      <c r="B29" s="493" t="s">
        <v>510</v>
      </c>
      <c r="C29" s="493" t="s">
        <v>3800</v>
      </c>
      <c r="D29" s="493">
        <v>29058499</v>
      </c>
      <c r="E29" s="493" t="s">
        <v>3799</v>
      </c>
      <c r="F29" s="493">
        <v>141002721</v>
      </c>
      <c r="G29" s="493" t="s">
        <v>3819</v>
      </c>
      <c r="H29" s="493" t="s">
        <v>3820</v>
      </c>
      <c r="I29" s="493" t="s">
        <v>6867</v>
      </c>
      <c r="J29" s="493">
        <v>1</v>
      </c>
      <c r="K29" s="791">
        <v>9446.5</v>
      </c>
      <c r="L29" s="791">
        <v>5089.5</v>
      </c>
      <c r="M29" s="791">
        <v>4357</v>
      </c>
      <c r="N29" s="493" t="s">
        <v>3786</v>
      </c>
      <c r="O29" s="493" t="s">
        <v>390</v>
      </c>
      <c r="P29" s="493"/>
      <c r="Q29" s="493"/>
    </row>
    <row r="30" spans="1:17" ht="12" customHeight="1">
      <c r="A30" s="493" t="s">
        <v>3796</v>
      </c>
      <c r="B30" s="493" t="s">
        <v>510</v>
      </c>
      <c r="C30" s="493" t="s">
        <v>3816</v>
      </c>
      <c r="D30" s="493">
        <v>29291178</v>
      </c>
      <c r="E30" s="493" t="s">
        <v>3799</v>
      </c>
      <c r="F30" s="493">
        <v>141002961</v>
      </c>
      <c r="G30" s="493" t="s">
        <v>3821</v>
      </c>
      <c r="H30" s="493" t="s">
        <v>3822</v>
      </c>
      <c r="I30" s="493" t="s">
        <v>6867</v>
      </c>
      <c r="J30" s="493">
        <v>1</v>
      </c>
      <c r="K30" s="791">
        <v>5966.97</v>
      </c>
      <c r="L30" s="791">
        <v>3214.83</v>
      </c>
      <c r="M30" s="791">
        <v>2752.14</v>
      </c>
      <c r="N30" s="493" t="s">
        <v>3786</v>
      </c>
      <c r="O30" s="493" t="s">
        <v>390</v>
      </c>
      <c r="P30" s="493"/>
      <c r="Q30" s="493"/>
    </row>
    <row r="31" spans="1:17" ht="12" customHeight="1">
      <c r="A31" s="493" t="s">
        <v>3796</v>
      </c>
      <c r="B31" s="493" t="s">
        <v>510</v>
      </c>
      <c r="C31" s="493" t="s">
        <v>3823</v>
      </c>
      <c r="D31" s="493">
        <v>30785887</v>
      </c>
      <c r="E31" s="493" t="s">
        <v>3799</v>
      </c>
      <c r="F31" s="493">
        <v>141002029</v>
      </c>
      <c r="G31" s="493" t="s">
        <v>3824</v>
      </c>
      <c r="H31" s="493" t="s">
        <v>3825</v>
      </c>
      <c r="I31" s="493" t="s">
        <v>6867</v>
      </c>
      <c r="J31" s="493">
        <v>1</v>
      </c>
      <c r="K31" s="791">
        <v>59.96</v>
      </c>
      <c r="L31" s="791">
        <v>32.56</v>
      </c>
      <c r="M31" s="791">
        <v>27.400000000000002</v>
      </c>
      <c r="N31" s="493" t="s">
        <v>3786</v>
      </c>
      <c r="O31" s="493" t="s">
        <v>390</v>
      </c>
      <c r="P31" s="493"/>
      <c r="Q31" s="493"/>
    </row>
    <row r="32" spans="1:17" ht="12" customHeight="1">
      <c r="A32" s="493" t="s">
        <v>3796</v>
      </c>
      <c r="B32" s="493" t="s">
        <v>510</v>
      </c>
      <c r="C32" s="493" t="s">
        <v>3801</v>
      </c>
      <c r="D32" s="493">
        <v>30785890</v>
      </c>
      <c r="E32" s="493" t="s">
        <v>3799</v>
      </c>
      <c r="F32" s="493">
        <v>141002036</v>
      </c>
      <c r="G32" s="493" t="s">
        <v>3826</v>
      </c>
      <c r="H32" s="493" t="s">
        <v>3827</v>
      </c>
      <c r="I32" s="493" t="s">
        <v>6867</v>
      </c>
      <c r="J32" s="493">
        <v>1</v>
      </c>
      <c r="K32" s="791">
        <v>108171.35</v>
      </c>
      <c r="L32" s="791">
        <v>58746.450000000004</v>
      </c>
      <c r="M32" s="791">
        <v>49424.9</v>
      </c>
      <c r="N32" s="493" t="s">
        <v>3786</v>
      </c>
      <c r="O32" s="493" t="s">
        <v>390</v>
      </c>
      <c r="P32" s="493"/>
      <c r="Q32" s="493"/>
    </row>
    <row r="33" spans="1:28" ht="12" customHeight="1">
      <c r="A33" s="493" t="s">
        <v>3796</v>
      </c>
      <c r="B33" s="493" t="s">
        <v>510</v>
      </c>
      <c r="C33" s="493" t="s">
        <v>3912</v>
      </c>
      <c r="D33" s="493">
        <v>32266099</v>
      </c>
      <c r="E33" s="493" t="s">
        <v>3913</v>
      </c>
      <c r="F33" s="493">
        <v>103007846</v>
      </c>
      <c r="G33" s="493" t="s">
        <v>3918</v>
      </c>
      <c r="H33" s="493" t="s">
        <v>3919</v>
      </c>
      <c r="I33" s="493" t="s">
        <v>6867</v>
      </c>
      <c r="J33" s="493">
        <v>1</v>
      </c>
      <c r="K33" s="791">
        <v>409059.13</v>
      </c>
      <c r="L33" s="791">
        <v>61726.080000000002</v>
      </c>
      <c r="M33" s="791">
        <v>347333.05</v>
      </c>
      <c r="N33" s="493" t="s">
        <v>3786</v>
      </c>
      <c r="O33" s="493" t="s">
        <v>392</v>
      </c>
      <c r="P33" s="493"/>
    </row>
    <row r="34" spans="1:28" ht="12" customHeight="1">
      <c r="A34" s="493" t="s">
        <v>3796</v>
      </c>
      <c r="B34" s="493" t="s">
        <v>510</v>
      </c>
      <c r="C34" s="493" t="s">
        <v>3797</v>
      </c>
      <c r="D34" s="493">
        <v>32788886</v>
      </c>
      <c r="E34" s="493" t="s">
        <v>3799</v>
      </c>
      <c r="F34" s="493">
        <v>141002954</v>
      </c>
      <c r="G34" s="493" t="s">
        <v>3828</v>
      </c>
      <c r="H34" s="493" t="s">
        <v>3829</v>
      </c>
      <c r="I34" s="493" t="s">
        <v>6867</v>
      </c>
      <c r="J34" s="493">
        <v>1</v>
      </c>
      <c r="K34" s="791">
        <v>22400</v>
      </c>
      <c r="L34" s="791">
        <v>12165.15</v>
      </c>
      <c r="M34" s="791">
        <v>10234.85</v>
      </c>
      <c r="N34" s="493" t="s">
        <v>3786</v>
      </c>
      <c r="O34" s="493" t="s">
        <v>390</v>
      </c>
      <c r="P34" s="493"/>
      <c r="Q34" s="493"/>
    </row>
    <row r="35" spans="1:28" ht="12" customHeight="1">
      <c r="A35" s="493" t="s">
        <v>3796</v>
      </c>
      <c r="B35" s="493" t="s">
        <v>510</v>
      </c>
      <c r="C35" s="493" t="s">
        <v>3801</v>
      </c>
      <c r="D35" s="493">
        <v>33001835</v>
      </c>
      <c r="E35" s="493" t="s">
        <v>3799</v>
      </c>
      <c r="F35" s="493">
        <v>141002062</v>
      </c>
      <c r="G35" s="493" t="s">
        <v>3830</v>
      </c>
      <c r="H35" s="493" t="s">
        <v>3831</v>
      </c>
      <c r="I35" s="493" t="s">
        <v>6867</v>
      </c>
      <c r="J35" s="493">
        <v>1</v>
      </c>
      <c r="K35" s="791">
        <v>18827.75</v>
      </c>
      <c r="L35" s="791">
        <v>10225.1</v>
      </c>
      <c r="M35" s="791">
        <v>8602.65</v>
      </c>
      <c r="N35" s="493" t="s">
        <v>3786</v>
      </c>
      <c r="O35" s="493" t="s">
        <v>390</v>
      </c>
      <c r="P35" s="493"/>
      <c r="Q35" s="493"/>
    </row>
    <row r="36" spans="1:28" ht="12" customHeight="1">
      <c r="A36" s="493" t="s">
        <v>3796</v>
      </c>
      <c r="B36" s="493" t="s">
        <v>510</v>
      </c>
      <c r="C36" s="493" t="s">
        <v>3801</v>
      </c>
      <c r="D36" s="493">
        <v>33001838</v>
      </c>
      <c r="E36" s="493" t="s">
        <v>3799</v>
      </c>
      <c r="F36" s="493">
        <v>141002063</v>
      </c>
      <c r="G36" s="493" t="s">
        <v>3832</v>
      </c>
      <c r="H36" s="493" t="s">
        <v>3832</v>
      </c>
      <c r="I36" s="493" t="s">
        <v>6867</v>
      </c>
      <c r="J36" s="493">
        <v>1</v>
      </c>
      <c r="K36" s="791">
        <v>13811.89</v>
      </c>
      <c r="L36" s="791">
        <v>7501.06</v>
      </c>
      <c r="M36" s="791">
        <v>6310.83</v>
      </c>
      <c r="N36" s="493" t="s">
        <v>3786</v>
      </c>
      <c r="O36" s="493" t="s">
        <v>390</v>
      </c>
      <c r="P36" s="493"/>
      <c r="Q36" s="493"/>
    </row>
    <row r="37" spans="1:28" ht="12" customHeight="1">
      <c r="A37" s="493" t="s">
        <v>3796</v>
      </c>
      <c r="B37" s="493" t="s">
        <v>510</v>
      </c>
      <c r="C37" s="493" t="s">
        <v>3833</v>
      </c>
      <c r="D37" s="493">
        <v>33001855</v>
      </c>
      <c r="E37" s="493" t="s">
        <v>3799</v>
      </c>
      <c r="F37" s="493">
        <v>141003254</v>
      </c>
      <c r="G37" s="493" t="s">
        <v>3834</v>
      </c>
      <c r="H37" s="493" t="s">
        <v>3835</v>
      </c>
      <c r="I37" s="493" t="s">
        <v>6867</v>
      </c>
      <c r="J37" s="493">
        <v>1</v>
      </c>
      <c r="K37" s="791">
        <v>10033.85</v>
      </c>
      <c r="L37" s="791">
        <v>5449.25</v>
      </c>
      <c r="M37" s="791">
        <v>4584.6000000000004</v>
      </c>
      <c r="N37" s="493" t="s">
        <v>3786</v>
      </c>
      <c r="O37" s="493" t="s">
        <v>390</v>
      </c>
      <c r="P37" s="493"/>
      <c r="Q37" s="493"/>
    </row>
    <row r="38" spans="1:28" ht="12" customHeight="1">
      <c r="A38" s="493" t="s">
        <v>3796</v>
      </c>
      <c r="B38" s="493" t="s">
        <v>510</v>
      </c>
      <c r="C38" s="493" t="s">
        <v>3801</v>
      </c>
      <c r="D38" s="493">
        <v>35621631</v>
      </c>
      <c r="E38" s="493" t="s">
        <v>3799</v>
      </c>
      <c r="F38" s="493">
        <v>141004140</v>
      </c>
      <c r="G38" s="493" t="s">
        <v>3826</v>
      </c>
      <c r="H38" s="493" t="s">
        <v>3827</v>
      </c>
      <c r="I38" s="493" t="s">
        <v>6867</v>
      </c>
      <c r="J38" s="493">
        <v>4</v>
      </c>
      <c r="K38" s="791">
        <v>2510.6799999999998</v>
      </c>
      <c r="L38" s="791">
        <v>1386.22</v>
      </c>
      <c r="M38" s="791">
        <v>1124.46</v>
      </c>
      <c r="N38" s="493" t="s">
        <v>3786</v>
      </c>
      <c r="O38" s="493" t="s">
        <v>390</v>
      </c>
      <c r="P38" s="493"/>
      <c r="Q38" s="493"/>
    </row>
    <row r="39" spans="1:28" ht="12" customHeight="1">
      <c r="A39" s="493" t="s">
        <v>3796</v>
      </c>
      <c r="B39" s="493" t="s">
        <v>510</v>
      </c>
      <c r="C39" s="493" t="s">
        <v>3823</v>
      </c>
      <c r="D39" s="493">
        <v>36472367</v>
      </c>
      <c r="E39" s="493" t="s">
        <v>3799</v>
      </c>
      <c r="F39" s="493">
        <v>141004280</v>
      </c>
      <c r="G39" s="493" t="s">
        <v>3824</v>
      </c>
      <c r="H39" s="493" t="s">
        <v>3825</v>
      </c>
      <c r="I39" s="493" t="s">
        <v>6867</v>
      </c>
      <c r="J39" s="493">
        <v>2</v>
      </c>
      <c r="K39" s="791">
        <v>38.74</v>
      </c>
      <c r="L39" s="791">
        <v>21.39</v>
      </c>
      <c r="M39" s="791">
        <v>17.350000000000001</v>
      </c>
      <c r="N39" s="493" t="s">
        <v>3786</v>
      </c>
      <c r="O39" s="493" t="s">
        <v>390</v>
      </c>
      <c r="P39" s="493"/>
      <c r="Q39" s="493"/>
    </row>
    <row r="40" spans="1:28" ht="12" customHeight="1">
      <c r="A40" s="493" t="s">
        <v>3796</v>
      </c>
      <c r="B40" s="493" t="s">
        <v>510</v>
      </c>
      <c r="C40" s="493" t="s">
        <v>3801</v>
      </c>
      <c r="D40" s="493">
        <v>36472370</v>
      </c>
      <c r="E40" s="493" t="s">
        <v>3799</v>
      </c>
      <c r="F40" s="493">
        <v>141004281</v>
      </c>
      <c r="G40" s="493" t="s">
        <v>3826</v>
      </c>
      <c r="H40" s="493" t="s">
        <v>3827</v>
      </c>
      <c r="I40" s="493" t="s">
        <v>6867</v>
      </c>
      <c r="J40" s="493">
        <v>2</v>
      </c>
      <c r="K40" s="791">
        <v>2068.71</v>
      </c>
      <c r="L40" s="791">
        <v>1142.19</v>
      </c>
      <c r="M40" s="791">
        <v>926.52</v>
      </c>
      <c r="N40" s="493" t="s">
        <v>3786</v>
      </c>
      <c r="O40" s="493" t="s">
        <v>390</v>
      </c>
      <c r="P40" s="493"/>
      <c r="Q40" s="493"/>
    </row>
    <row r="41" spans="1:28" ht="12" customHeight="1">
      <c r="A41" s="493" t="s">
        <v>3796</v>
      </c>
      <c r="B41" s="493" t="s">
        <v>510</v>
      </c>
      <c r="C41" s="493" t="s">
        <v>3823</v>
      </c>
      <c r="D41" s="493">
        <v>37541392</v>
      </c>
      <c r="E41" s="493" t="s">
        <v>3799</v>
      </c>
      <c r="F41" s="493">
        <v>141004388</v>
      </c>
      <c r="G41" s="493" t="s">
        <v>3824</v>
      </c>
      <c r="H41" s="493" t="s">
        <v>3825</v>
      </c>
      <c r="I41" s="493" t="s">
        <v>6867</v>
      </c>
      <c r="J41" s="493">
        <v>1</v>
      </c>
      <c r="K41" s="791">
        <v>21560.53</v>
      </c>
      <c r="L41" s="791">
        <v>11904.16</v>
      </c>
      <c r="M41" s="791">
        <v>9656.3700000000008</v>
      </c>
      <c r="N41" s="493" t="s">
        <v>3786</v>
      </c>
      <c r="O41" s="493" t="s">
        <v>390</v>
      </c>
      <c r="P41" s="493"/>
      <c r="Q41" s="493"/>
    </row>
    <row r="42" spans="1:28" ht="12" customHeight="1">
      <c r="A42" s="493" t="s">
        <v>3796</v>
      </c>
      <c r="B42" s="493" t="s">
        <v>510</v>
      </c>
      <c r="C42" s="493" t="s">
        <v>3797</v>
      </c>
      <c r="D42" s="493">
        <v>37541395</v>
      </c>
      <c r="E42" s="493" t="s">
        <v>3799</v>
      </c>
      <c r="F42" s="493">
        <v>141004389</v>
      </c>
      <c r="G42" s="493" t="s">
        <v>3836</v>
      </c>
      <c r="H42" s="493" t="s">
        <v>3837</v>
      </c>
      <c r="I42" s="493" t="s">
        <v>6867</v>
      </c>
      <c r="J42" s="493">
        <v>1</v>
      </c>
      <c r="K42" s="791">
        <v>8328.44</v>
      </c>
      <c r="L42" s="791">
        <v>4598.3599999999997</v>
      </c>
      <c r="M42" s="791">
        <v>3730.08</v>
      </c>
      <c r="N42" s="493" t="s">
        <v>3786</v>
      </c>
      <c r="O42" s="493" t="s">
        <v>390</v>
      </c>
      <c r="P42" s="493"/>
      <c r="Q42" s="493"/>
    </row>
    <row r="43" spans="1:28" ht="12" customHeight="1">
      <c r="A43" s="493" t="s">
        <v>3796</v>
      </c>
      <c r="B43" s="493" t="s">
        <v>510</v>
      </c>
      <c r="C43" s="493" t="s">
        <v>3816</v>
      </c>
      <c r="D43" s="493">
        <v>44534274</v>
      </c>
      <c r="E43" s="493" t="s">
        <v>3799</v>
      </c>
      <c r="F43" s="493">
        <v>141002061</v>
      </c>
      <c r="G43" s="493" t="s">
        <v>3978</v>
      </c>
      <c r="H43" s="493" t="s">
        <v>3979</v>
      </c>
      <c r="I43" s="493" t="s">
        <v>6867</v>
      </c>
      <c r="J43" s="493">
        <v>2</v>
      </c>
      <c r="K43" s="791">
        <v>48907.01</v>
      </c>
      <c r="L43" s="791">
        <v>15939.53</v>
      </c>
      <c r="M43" s="791">
        <v>32967.480000000003</v>
      </c>
      <c r="N43" s="493" t="s">
        <v>3786</v>
      </c>
      <c r="O43" s="493" t="s">
        <v>99</v>
      </c>
      <c r="P43" s="493"/>
    </row>
    <row r="44" spans="1:28" ht="12" customHeight="1">
      <c r="A44" s="493" t="s">
        <v>3796</v>
      </c>
      <c r="B44" s="493" t="s">
        <v>510</v>
      </c>
      <c r="C44" s="493" t="s">
        <v>3807</v>
      </c>
      <c r="D44" s="493">
        <v>44534277</v>
      </c>
      <c r="E44" s="493" t="s">
        <v>3799</v>
      </c>
      <c r="F44" s="493">
        <v>141002067</v>
      </c>
      <c r="G44" s="493" t="s">
        <v>3838</v>
      </c>
      <c r="H44" s="493" t="s">
        <v>3838</v>
      </c>
      <c r="I44" s="493" t="s">
        <v>6867</v>
      </c>
      <c r="J44" s="493">
        <v>1</v>
      </c>
      <c r="K44" s="791">
        <v>5883.95</v>
      </c>
      <c r="L44" s="791">
        <v>1917.67</v>
      </c>
      <c r="M44" s="791">
        <v>3966.28</v>
      </c>
      <c r="N44" s="493" t="s">
        <v>3786</v>
      </c>
      <c r="O44" s="493" t="s">
        <v>390</v>
      </c>
      <c r="P44" s="493"/>
    </row>
    <row r="45" spans="1:28" ht="12" customHeight="1">
      <c r="A45" s="493" t="s">
        <v>3796</v>
      </c>
      <c r="B45" s="493" t="s">
        <v>510</v>
      </c>
      <c r="C45" s="493" t="s">
        <v>3797</v>
      </c>
      <c r="D45" s="493">
        <v>44740844</v>
      </c>
      <c r="E45" s="493" t="s">
        <v>3799</v>
      </c>
      <c r="F45" s="493">
        <v>141003382</v>
      </c>
      <c r="G45" s="493" t="s">
        <v>3839</v>
      </c>
      <c r="H45" s="493" t="s">
        <v>3840</v>
      </c>
      <c r="I45" s="493" t="s">
        <v>6867</v>
      </c>
      <c r="J45" s="493">
        <v>1</v>
      </c>
      <c r="K45" s="791">
        <v>13478.36</v>
      </c>
      <c r="L45" s="791">
        <v>4392.8</v>
      </c>
      <c r="M45" s="791">
        <v>9085.56</v>
      </c>
      <c r="N45" s="493" t="s">
        <v>3786</v>
      </c>
      <c r="O45" s="493" t="s">
        <v>390</v>
      </c>
      <c r="P45" s="493"/>
    </row>
    <row r="46" spans="1:28" ht="12" customHeight="1">
      <c r="A46" s="493" t="s">
        <v>3796</v>
      </c>
      <c r="B46" s="493" t="s">
        <v>510</v>
      </c>
      <c r="C46" s="493" t="s">
        <v>3801</v>
      </c>
      <c r="D46" s="493">
        <v>44740847</v>
      </c>
      <c r="E46" s="493" t="s">
        <v>3799</v>
      </c>
      <c r="F46" s="493">
        <v>141003383</v>
      </c>
      <c r="G46" s="493" t="s">
        <v>3841</v>
      </c>
      <c r="H46" s="493" t="s">
        <v>3842</v>
      </c>
      <c r="I46" s="493" t="s">
        <v>6867</v>
      </c>
      <c r="J46" s="493">
        <v>1</v>
      </c>
      <c r="K46" s="791">
        <v>8016.56</v>
      </c>
      <c r="L46" s="791">
        <v>2612.7200000000003</v>
      </c>
      <c r="M46" s="791">
        <v>5403.84</v>
      </c>
      <c r="N46" s="493" t="s">
        <v>3786</v>
      </c>
      <c r="O46" s="493" t="s">
        <v>390</v>
      </c>
      <c r="P46" s="493"/>
    </row>
    <row r="47" spans="1:28" ht="12" customHeight="1">
      <c r="A47" s="1752" t="s">
        <v>3796</v>
      </c>
      <c r="B47" s="1752" t="s">
        <v>510</v>
      </c>
      <c r="C47" s="1752" t="s">
        <v>3797</v>
      </c>
      <c r="D47" s="1752">
        <v>50297678</v>
      </c>
      <c r="E47" s="1752" t="s">
        <v>3799</v>
      </c>
      <c r="F47" s="1752">
        <v>141003380</v>
      </c>
      <c r="G47" s="1752" t="s">
        <v>3843</v>
      </c>
      <c r="H47" s="1752" t="s">
        <v>3843</v>
      </c>
      <c r="I47" s="1752" t="s">
        <v>6867</v>
      </c>
      <c r="J47" s="1752">
        <v>7</v>
      </c>
      <c r="K47" s="1911">
        <v>59629.69</v>
      </c>
      <c r="L47" s="1911">
        <v>13895.68</v>
      </c>
      <c r="M47" s="1911">
        <v>45734.01</v>
      </c>
      <c r="N47" s="1752" t="s">
        <v>3786</v>
      </c>
      <c r="O47" s="1752" t="s">
        <v>390</v>
      </c>
      <c r="P47" s="1752" t="s">
        <v>8324</v>
      </c>
      <c r="Q47" s="762" t="s">
        <v>8322</v>
      </c>
      <c r="R47" s="763"/>
      <c r="S47" s="763"/>
      <c r="T47" s="763"/>
      <c r="U47" s="763"/>
      <c r="V47" s="763"/>
      <c r="W47" s="763"/>
      <c r="X47" s="763"/>
      <c r="Y47" s="763"/>
      <c r="Z47" s="763"/>
      <c r="AA47" s="763"/>
      <c r="AB47" s="763"/>
    </row>
    <row r="48" spans="1:28" ht="12" customHeight="1">
      <c r="A48" s="1752" t="s">
        <v>3796</v>
      </c>
      <c r="B48" s="1752" t="s">
        <v>510</v>
      </c>
      <c r="C48" s="1752" t="s">
        <v>3912</v>
      </c>
      <c r="D48" s="1752">
        <v>51153734</v>
      </c>
      <c r="E48" s="1752" t="s">
        <v>3913</v>
      </c>
      <c r="F48" s="1752">
        <v>103008978</v>
      </c>
      <c r="G48" s="1752" t="s">
        <v>3920</v>
      </c>
      <c r="H48" s="1752" t="s">
        <v>3921</v>
      </c>
      <c r="I48" s="1752" t="s">
        <v>6867</v>
      </c>
      <c r="J48" s="1752">
        <v>1</v>
      </c>
      <c r="K48" s="1911">
        <v>88088.78</v>
      </c>
      <c r="L48" s="1911">
        <v>25325.420000000002</v>
      </c>
      <c r="M48" s="1911">
        <v>62763.360000000001</v>
      </c>
      <c r="N48" s="1752" t="s">
        <v>3786</v>
      </c>
      <c r="O48" s="1752" t="s">
        <v>392</v>
      </c>
      <c r="P48" s="1752" t="s">
        <v>8011</v>
      </c>
      <c r="Q48" s="1752" t="s">
        <v>6993</v>
      </c>
      <c r="R48" s="763"/>
      <c r="S48" s="763"/>
      <c r="T48" s="763"/>
      <c r="U48" s="763"/>
      <c r="V48" s="763"/>
      <c r="W48" s="763"/>
      <c r="X48" s="763"/>
      <c r="Y48" s="763"/>
      <c r="Z48" s="763"/>
      <c r="AA48" s="763"/>
      <c r="AB48" s="763"/>
    </row>
    <row r="49" spans="1:28" s="763" customFormat="1" ht="12" customHeight="1">
      <c r="A49" s="1752" t="s">
        <v>3796</v>
      </c>
      <c r="B49" s="1752" t="s">
        <v>510</v>
      </c>
      <c r="C49" s="1752" t="s">
        <v>3797</v>
      </c>
      <c r="D49" s="1752">
        <v>51528133</v>
      </c>
      <c r="E49" s="1752" t="s">
        <v>3799</v>
      </c>
      <c r="F49" s="1752">
        <v>141005540</v>
      </c>
      <c r="G49" s="1752" t="s">
        <v>3844</v>
      </c>
      <c r="H49" s="1752" t="s">
        <v>3845</v>
      </c>
      <c r="I49" s="1752" t="s">
        <v>6867</v>
      </c>
      <c r="J49" s="1752">
        <v>2</v>
      </c>
      <c r="K49" s="1911">
        <v>12000</v>
      </c>
      <c r="L49" s="1911">
        <v>2796.39</v>
      </c>
      <c r="M49" s="1911">
        <v>9203.61</v>
      </c>
      <c r="N49" s="1752" t="s">
        <v>3786</v>
      </c>
      <c r="O49" s="1752" t="s">
        <v>390</v>
      </c>
      <c r="P49" s="1752" t="s">
        <v>8324</v>
      </c>
      <c r="Q49" s="762" t="s">
        <v>8323</v>
      </c>
    </row>
    <row r="50" spans="1:28" s="763" customFormat="1" ht="12" customHeight="1">
      <c r="A50" s="1752" t="s">
        <v>3796</v>
      </c>
      <c r="B50" s="1752" t="s">
        <v>510</v>
      </c>
      <c r="C50" s="1752" t="s">
        <v>3797</v>
      </c>
      <c r="D50" s="1752">
        <v>52234512</v>
      </c>
      <c r="E50" s="1752" t="s">
        <v>3799</v>
      </c>
      <c r="F50" s="1752">
        <v>141002031</v>
      </c>
      <c r="G50" s="1752" t="s">
        <v>3836</v>
      </c>
      <c r="H50" s="1752" t="s">
        <v>3837</v>
      </c>
      <c r="I50" s="1752" t="s">
        <v>6867</v>
      </c>
      <c r="J50" s="1752">
        <v>0</v>
      </c>
      <c r="K50" s="1911">
        <v>411757.86</v>
      </c>
      <c r="L50" s="1911">
        <v>227342.80000000002</v>
      </c>
      <c r="M50" s="1911">
        <v>184415.06</v>
      </c>
      <c r="N50" s="1752" t="s">
        <v>3786</v>
      </c>
      <c r="O50" s="1752" t="s">
        <v>390</v>
      </c>
      <c r="P50" s="1752" t="s">
        <v>8324</v>
      </c>
      <c r="Q50" s="1752" t="s">
        <v>8325</v>
      </c>
    </row>
    <row r="51" spans="1:28" s="763" customFormat="1" ht="12" customHeight="1">
      <c r="A51" s="1752" t="s">
        <v>3796</v>
      </c>
      <c r="B51" s="1752" t="s">
        <v>510</v>
      </c>
      <c r="C51" s="1752" t="s">
        <v>3802</v>
      </c>
      <c r="D51" s="1752">
        <v>52234517</v>
      </c>
      <c r="E51" s="1752" t="s">
        <v>3799</v>
      </c>
      <c r="F51" s="1752">
        <v>141002032</v>
      </c>
      <c r="G51" s="1752" t="s">
        <v>3846</v>
      </c>
      <c r="H51" s="1752" t="s">
        <v>3847</v>
      </c>
      <c r="I51" s="1752" t="s">
        <v>6867</v>
      </c>
      <c r="J51" s="1752">
        <v>0</v>
      </c>
      <c r="K51" s="1911">
        <v>150277</v>
      </c>
      <c r="L51" s="1911">
        <v>48977.54</v>
      </c>
      <c r="M51" s="1911">
        <v>101299.46</v>
      </c>
      <c r="N51" s="1752" t="s">
        <v>3786</v>
      </c>
      <c r="O51" s="1752" t="s">
        <v>390</v>
      </c>
      <c r="P51" s="1752" t="s">
        <v>8324</v>
      </c>
      <c r="Q51" s="1752" t="s">
        <v>8326</v>
      </c>
    </row>
    <row r="52" spans="1:28" s="763" customFormat="1" ht="12" customHeight="1">
      <c r="A52" s="1752" t="s">
        <v>3796</v>
      </c>
      <c r="B52" s="1752" t="s">
        <v>510</v>
      </c>
      <c r="C52" s="1752" t="s">
        <v>3800</v>
      </c>
      <c r="D52" s="1752">
        <v>52234522</v>
      </c>
      <c r="E52" s="1752" t="s">
        <v>3799</v>
      </c>
      <c r="F52" s="1752">
        <v>141002035</v>
      </c>
      <c r="G52" s="1752" t="s">
        <v>3848</v>
      </c>
      <c r="H52" s="1752" t="s">
        <v>3849</v>
      </c>
      <c r="I52" s="1752" t="s">
        <v>6867</v>
      </c>
      <c r="J52" s="1752">
        <v>0</v>
      </c>
      <c r="K52" s="1911">
        <v>355465.29</v>
      </c>
      <c r="L52" s="1911">
        <v>115851.51000000001</v>
      </c>
      <c r="M52" s="1911">
        <v>239613.78</v>
      </c>
      <c r="N52" s="1752" t="s">
        <v>3786</v>
      </c>
      <c r="O52" s="1752" t="s">
        <v>390</v>
      </c>
      <c r="P52" s="1752" t="s">
        <v>8324</v>
      </c>
      <c r="Q52" s="1752" t="s">
        <v>8326</v>
      </c>
    </row>
    <row r="53" spans="1:28" s="763" customFormat="1" ht="12" customHeight="1">
      <c r="A53" s="1752" t="s">
        <v>3796</v>
      </c>
      <c r="B53" s="1752" t="s">
        <v>510</v>
      </c>
      <c r="C53" s="1752" t="s">
        <v>3807</v>
      </c>
      <c r="D53" s="1752">
        <v>52234527</v>
      </c>
      <c r="E53" s="1752" t="s">
        <v>3799</v>
      </c>
      <c r="F53" s="1752">
        <v>141002037</v>
      </c>
      <c r="G53" s="1752" t="s">
        <v>3850</v>
      </c>
      <c r="H53" s="1752" t="s">
        <v>3851</v>
      </c>
      <c r="I53" s="1752" t="s">
        <v>6867</v>
      </c>
      <c r="J53" s="1752">
        <v>0</v>
      </c>
      <c r="K53" s="1911">
        <v>214717.54</v>
      </c>
      <c r="L53" s="1911">
        <v>69979.69</v>
      </c>
      <c r="M53" s="1911">
        <v>144737.85</v>
      </c>
      <c r="N53" s="1752" t="s">
        <v>3786</v>
      </c>
      <c r="O53" s="1752" t="s">
        <v>390</v>
      </c>
      <c r="P53" s="1752" t="s">
        <v>8324</v>
      </c>
      <c r="Q53" s="1752" t="s">
        <v>8332</v>
      </c>
    </row>
    <row r="54" spans="1:28" s="788" customFormat="1" ht="12" customHeight="1">
      <c r="A54" s="1752" t="s">
        <v>3796</v>
      </c>
      <c r="B54" s="1752" t="s">
        <v>510</v>
      </c>
      <c r="C54" s="1752" t="s">
        <v>3802</v>
      </c>
      <c r="D54" s="1752">
        <v>52234534</v>
      </c>
      <c r="E54" s="1752" t="s">
        <v>3799</v>
      </c>
      <c r="F54" s="1752">
        <v>141002934</v>
      </c>
      <c r="G54" s="1752" t="s">
        <v>3852</v>
      </c>
      <c r="H54" s="1752" t="s">
        <v>3852</v>
      </c>
      <c r="I54" s="1752" t="s">
        <v>6867</v>
      </c>
      <c r="J54" s="1752">
        <v>0</v>
      </c>
      <c r="K54" s="1911">
        <v>636268.94000000006</v>
      </c>
      <c r="L54" s="1911">
        <v>207369.66</v>
      </c>
      <c r="M54" s="1911">
        <v>428899.28</v>
      </c>
      <c r="N54" s="1752" t="s">
        <v>3786</v>
      </c>
      <c r="O54" s="1752" t="s">
        <v>390</v>
      </c>
      <c r="P54" s="1752" t="s">
        <v>8324</v>
      </c>
      <c r="Q54" s="762" t="s">
        <v>8327</v>
      </c>
      <c r="R54" s="763"/>
      <c r="S54" s="763"/>
      <c r="T54" s="763"/>
      <c r="U54" s="763"/>
      <c r="V54" s="763"/>
      <c r="W54" s="763"/>
      <c r="X54" s="763"/>
      <c r="Y54" s="763"/>
      <c r="Z54" s="763"/>
      <c r="AA54" s="763"/>
      <c r="AB54" s="763"/>
    </row>
    <row r="55" spans="1:28" s="763" customFormat="1" ht="12" customHeight="1">
      <c r="A55" s="1752" t="s">
        <v>3796</v>
      </c>
      <c r="B55" s="1752" t="s">
        <v>510</v>
      </c>
      <c r="C55" s="1752" t="s">
        <v>3816</v>
      </c>
      <c r="D55" s="1752">
        <v>52234539</v>
      </c>
      <c r="E55" s="1752" t="s">
        <v>3799</v>
      </c>
      <c r="F55" s="1752">
        <v>141003105</v>
      </c>
      <c r="G55" s="1752" t="s">
        <v>3853</v>
      </c>
      <c r="H55" s="1752" t="s">
        <v>3854</v>
      </c>
      <c r="I55" s="1752" t="s">
        <v>6867</v>
      </c>
      <c r="J55" s="1752">
        <v>0</v>
      </c>
      <c r="K55" s="1911">
        <v>287332.42</v>
      </c>
      <c r="L55" s="1911">
        <v>93645.98</v>
      </c>
      <c r="M55" s="1911">
        <v>193686.44</v>
      </c>
      <c r="N55" s="1752" t="s">
        <v>3786</v>
      </c>
      <c r="O55" s="1752" t="s">
        <v>390</v>
      </c>
      <c r="P55" s="1752" t="s">
        <v>8324</v>
      </c>
      <c r="Q55" s="1752" t="s">
        <v>8326</v>
      </c>
    </row>
    <row r="56" spans="1:28" s="763" customFormat="1" ht="12" customHeight="1">
      <c r="A56" s="1752" t="s">
        <v>3796</v>
      </c>
      <c r="B56" s="1752" t="s">
        <v>510</v>
      </c>
      <c r="C56" s="1752" t="s">
        <v>3823</v>
      </c>
      <c r="D56" s="1752">
        <v>54196089</v>
      </c>
      <c r="E56" s="1752" t="s">
        <v>3799</v>
      </c>
      <c r="F56" s="1752">
        <v>141005443</v>
      </c>
      <c r="G56" s="1752" t="s">
        <v>4004</v>
      </c>
      <c r="H56" s="1752" t="s">
        <v>4004</v>
      </c>
      <c r="I56" s="1752" t="s">
        <v>6867</v>
      </c>
      <c r="J56" s="1752">
        <v>1</v>
      </c>
      <c r="K56" s="1911">
        <v>417877.57</v>
      </c>
      <c r="L56" s="1911">
        <v>97379.199999999997</v>
      </c>
      <c r="M56" s="1911">
        <v>320498.37</v>
      </c>
      <c r="N56" s="1752" t="s">
        <v>3786</v>
      </c>
      <c r="O56" s="1752" t="s">
        <v>391</v>
      </c>
      <c r="P56" s="1752" t="s">
        <v>8329</v>
      </c>
      <c r="Q56" s="762" t="s">
        <v>8328</v>
      </c>
    </row>
    <row r="57" spans="1:28" s="763" customFormat="1" ht="12" customHeight="1">
      <c r="A57" s="1752" t="s">
        <v>3796</v>
      </c>
      <c r="B57" s="1752" t="s">
        <v>510</v>
      </c>
      <c r="C57" s="1752" t="s">
        <v>3797</v>
      </c>
      <c r="D57" s="1752">
        <v>57552082</v>
      </c>
      <c r="E57" s="1752" t="s">
        <v>3799</v>
      </c>
      <c r="F57" s="1752">
        <v>141003253</v>
      </c>
      <c r="G57" s="1752" t="s">
        <v>3855</v>
      </c>
      <c r="H57" s="1752" t="s">
        <v>3856</v>
      </c>
      <c r="I57" s="1752" t="s">
        <v>6867</v>
      </c>
      <c r="J57" s="1752">
        <v>0</v>
      </c>
      <c r="K57" s="1911">
        <v>20439097.829999998</v>
      </c>
      <c r="L57" s="1911">
        <v>6661410.8200000003</v>
      </c>
      <c r="M57" s="1911">
        <v>13777687.01</v>
      </c>
      <c r="N57" s="1752" t="s">
        <v>3786</v>
      </c>
      <c r="O57" s="1752" t="s">
        <v>390</v>
      </c>
      <c r="P57" s="1752" t="s">
        <v>8324</v>
      </c>
      <c r="Q57" s="762" t="s">
        <v>8331</v>
      </c>
    </row>
    <row r="58" spans="1:28" s="763" customFormat="1" ht="12" customHeight="1">
      <c r="A58" s="1752" t="s">
        <v>3796</v>
      </c>
      <c r="B58" s="1752" t="s">
        <v>510</v>
      </c>
      <c r="C58" s="1752" t="s">
        <v>3797</v>
      </c>
      <c r="D58" s="1752">
        <v>58131017</v>
      </c>
      <c r="E58" s="1752" t="s">
        <v>3799</v>
      </c>
      <c r="F58" s="1752">
        <v>141005441</v>
      </c>
      <c r="G58" s="1752" t="s">
        <v>3982</v>
      </c>
      <c r="H58" s="1752" t="s">
        <v>3982</v>
      </c>
      <c r="I58" s="1752" t="s">
        <v>6867</v>
      </c>
      <c r="J58" s="1752">
        <v>1</v>
      </c>
      <c r="K58" s="1911">
        <v>205507.1</v>
      </c>
      <c r="L58" s="1911">
        <v>47889.91</v>
      </c>
      <c r="M58" s="1911">
        <v>157617.19</v>
      </c>
      <c r="N58" s="1752" t="s">
        <v>3786</v>
      </c>
      <c r="O58" s="1752" t="s">
        <v>109</v>
      </c>
      <c r="P58" s="1752" t="s">
        <v>8324</v>
      </c>
      <c r="Q58" s="762" t="s">
        <v>8333</v>
      </c>
    </row>
    <row r="59" spans="1:28" s="763" customFormat="1" ht="12" customHeight="1">
      <c r="A59" s="1752" t="s">
        <v>3796</v>
      </c>
      <c r="B59" s="1752" t="s">
        <v>510</v>
      </c>
      <c r="C59" s="1752" t="s">
        <v>3797</v>
      </c>
      <c r="D59" s="1752">
        <v>59041323</v>
      </c>
      <c r="E59" s="1752" t="s">
        <v>3799</v>
      </c>
      <c r="F59" s="1752">
        <v>141006613</v>
      </c>
      <c r="G59" s="1752" t="s">
        <v>3983</v>
      </c>
      <c r="H59" s="1752" t="s">
        <v>3983</v>
      </c>
      <c r="I59" s="1752" t="s">
        <v>6867</v>
      </c>
      <c r="J59" s="1752">
        <v>5</v>
      </c>
      <c r="K59" s="1911">
        <v>255543.87</v>
      </c>
      <c r="L59" s="1911">
        <v>44943.41</v>
      </c>
      <c r="M59" s="1911">
        <v>210600.46</v>
      </c>
      <c r="N59" s="1752" t="s">
        <v>3786</v>
      </c>
      <c r="O59" s="1752" t="s">
        <v>391</v>
      </c>
      <c r="P59" s="1752" t="s">
        <v>8330</v>
      </c>
      <c r="Q59" s="762" t="s">
        <v>8334</v>
      </c>
    </row>
    <row r="60" spans="1:28" s="763" customFormat="1" ht="12" customHeight="1">
      <c r="A60" s="1752" t="s">
        <v>3796</v>
      </c>
      <c r="B60" s="1752" t="s">
        <v>510</v>
      </c>
      <c r="C60" s="1752" t="s">
        <v>3912</v>
      </c>
      <c r="D60" s="1752">
        <v>60729875</v>
      </c>
      <c r="E60" s="1752" t="s">
        <v>3913</v>
      </c>
      <c r="F60" s="1752">
        <v>103008478</v>
      </c>
      <c r="G60" s="1752" t="s">
        <v>3980</v>
      </c>
      <c r="H60" s="1752" t="s">
        <v>3981</v>
      </c>
      <c r="I60" s="1752" t="s">
        <v>6867</v>
      </c>
      <c r="J60" s="1752">
        <v>1</v>
      </c>
      <c r="K60" s="1911">
        <v>326040</v>
      </c>
      <c r="L60" s="1911">
        <v>51779.22</v>
      </c>
      <c r="M60" s="1911">
        <v>274260.78000000003</v>
      </c>
      <c r="N60" s="1752" t="s">
        <v>3786</v>
      </c>
      <c r="O60" s="1752" t="s">
        <v>392</v>
      </c>
      <c r="P60" s="1752" t="s">
        <v>8011</v>
      </c>
      <c r="Q60" s="1912" t="s">
        <v>8335</v>
      </c>
    </row>
    <row r="61" spans="1:28" s="763" customFormat="1" ht="12" customHeight="1">
      <c r="A61" s="1752" t="s">
        <v>3796</v>
      </c>
      <c r="B61" s="1752" t="s">
        <v>510</v>
      </c>
      <c r="C61" s="1752" t="s">
        <v>3823</v>
      </c>
      <c r="D61" s="1752">
        <v>61702402</v>
      </c>
      <c r="E61" s="1752" t="s">
        <v>3799</v>
      </c>
      <c r="F61" s="1752">
        <v>141005601</v>
      </c>
      <c r="G61" s="1752" t="s">
        <v>3857</v>
      </c>
      <c r="H61" s="1752" t="s">
        <v>3857</v>
      </c>
      <c r="I61" s="1752" t="s">
        <v>6867</v>
      </c>
      <c r="J61" s="1752">
        <v>2</v>
      </c>
      <c r="K61" s="1911">
        <v>19145.63</v>
      </c>
      <c r="L61" s="1911">
        <v>3367.21</v>
      </c>
      <c r="M61" s="1911">
        <v>15778.42</v>
      </c>
      <c r="N61" s="1752" t="s">
        <v>3786</v>
      </c>
      <c r="O61" s="1752" t="s">
        <v>390</v>
      </c>
      <c r="P61" s="1752" t="s">
        <v>8336</v>
      </c>
      <c r="Q61" s="762" t="s">
        <v>3858</v>
      </c>
    </row>
    <row r="62" spans="1:28" s="763" customFormat="1" ht="12" customHeight="1">
      <c r="A62" s="1752" t="s">
        <v>3796</v>
      </c>
      <c r="B62" s="1752" t="s">
        <v>510</v>
      </c>
      <c r="C62" s="1752" t="s">
        <v>3797</v>
      </c>
      <c r="D62" s="1752">
        <v>63877806</v>
      </c>
      <c r="E62" s="1752" t="s">
        <v>3799</v>
      </c>
      <c r="F62" s="1752">
        <v>141007617</v>
      </c>
      <c r="G62" s="1752" t="s">
        <v>6991</v>
      </c>
      <c r="H62" s="1752" t="s">
        <v>8306</v>
      </c>
      <c r="I62" s="1752" t="s">
        <v>6867</v>
      </c>
      <c r="J62" s="1752">
        <v>1</v>
      </c>
      <c r="K62" s="1911">
        <v>296619.78999999998</v>
      </c>
      <c r="L62" s="1911">
        <v>18952.53</v>
      </c>
      <c r="M62" s="1911">
        <v>277667.26</v>
      </c>
      <c r="N62" s="1752" t="s">
        <v>3786</v>
      </c>
      <c r="O62" s="1752" t="s">
        <v>109</v>
      </c>
      <c r="P62" s="1752" t="s">
        <v>8324</v>
      </c>
      <c r="Q62" s="762" t="s">
        <v>8337</v>
      </c>
    </row>
    <row r="63" spans="1:28" s="763" customFormat="1" ht="12" customHeight="1">
      <c r="A63" s="1752" t="s">
        <v>3796</v>
      </c>
      <c r="B63" s="1752" t="s">
        <v>510</v>
      </c>
      <c r="C63" s="1752" t="s">
        <v>3912</v>
      </c>
      <c r="D63" s="1752">
        <v>65184461</v>
      </c>
      <c r="E63" s="1752" t="s">
        <v>3913</v>
      </c>
      <c r="F63" s="1752">
        <v>103008901</v>
      </c>
      <c r="G63" s="1752" t="s">
        <v>6994</v>
      </c>
      <c r="H63" s="1752" t="s">
        <v>8310</v>
      </c>
      <c r="I63" s="1752" t="s">
        <v>6867</v>
      </c>
      <c r="J63" s="1752">
        <v>1</v>
      </c>
      <c r="K63" s="1911">
        <v>47386.97</v>
      </c>
      <c r="L63" s="1911">
        <v>4146.3500000000004</v>
      </c>
      <c r="M63" s="1911">
        <v>43240.62</v>
      </c>
      <c r="N63" s="1752" t="s">
        <v>3786</v>
      </c>
      <c r="O63" s="1752" t="s">
        <v>392</v>
      </c>
      <c r="P63" s="1752" t="s">
        <v>8011</v>
      </c>
      <c r="Q63" s="1752" t="s">
        <v>7258</v>
      </c>
    </row>
    <row r="64" spans="1:28" s="763" customFormat="1" ht="12" customHeight="1">
      <c r="A64" s="1752" t="s">
        <v>3796</v>
      </c>
      <c r="B64" s="1752" t="s">
        <v>510</v>
      </c>
      <c r="C64" s="1752" t="s">
        <v>3816</v>
      </c>
      <c r="D64" s="1752">
        <v>68172298</v>
      </c>
      <c r="E64" s="1752" t="s">
        <v>3799</v>
      </c>
      <c r="F64" s="1752">
        <v>141005621</v>
      </c>
      <c r="G64" s="1752" t="s">
        <v>6992</v>
      </c>
      <c r="H64" s="1752" t="s">
        <v>6992</v>
      </c>
      <c r="I64" s="1752" t="s">
        <v>6867</v>
      </c>
      <c r="J64" s="1752">
        <v>1</v>
      </c>
      <c r="K64" s="1911">
        <v>117225.49</v>
      </c>
      <c r="L64" s="1911">
        <v>7490.13</v>
      </c>
      <c r="M64" s="1911">
        <v>109735.36</v>
      </c>
      <c r="N64" s="1752" t="s">
        <v>3786</v>
      </c>
      <c r="O64" s="1752" t="s">
        <v>390</v>
      </c>
      <c r="P64" s="1752" t="s">
        <v>8324</v>
      </c>
      <c r="Q64" s="762" t="s">
        <v>8338</v>
      </c>
    </row>
    <row r="65" spans="1:28" s="763" customFormat="1" ht="12" customHeight="1">
      <c r="A65" s="1910" t="s">
        <v>3796</v>
      </c>
      <c r="B65" s="1910" t="s">
        <v>510</v>
      </c>
      <c r="C65" s="1910" t="s">
        <v>3891</v>
      </c>
      <c r="D65" s="1910">
        <v>17389625</v>
      </c>
      <c r="E65" s="1910" t="s">
        <v>3892</v>
      </c>
      <c r="F65" s="1910">
        <v>103005200</v>
      </c>
      <c r="G65" s="1910" t="s">
        <v>3893</v>
      </c>
      <c r="H65" s="1910" t="s">
        <v>3894</v>
      </c>
      <c r="I65" s="1910" t="s">
        <v>6867</v>
      </c>
      <c r="J65" s="1910">
        <v>1</v>
      </c>
      <c r="K65" s="1766">
        <v>22243545.989999998</v>
      </c>
      <c r="L65" s="1766">
        <v>0</v>
      </c>
      <c r="M65" s="1766">
        <v>22243545.989999998</v>
      </c>
      <c r="N65" s="1910" t="s">
        <v>3788</v>
      </c>
      <c r="O65" s="1910" t="s">
        <v>950</v>
      </c>
      <c r="P65" s="1910" t="s">
        <v>3895</v>
      </c>
      <c r="Q65" s="1910"/>
      <c r="R65" s="761"/>
      <c r="S65" s="761"/>
      <c r="T65" s="761"/>
      <c r="U65" s="761"/>
      <c r="V65" s="761"/>
      <c r="W65" s="761"/>
      <c r="X65" s="761"/>
      <c r="Y65" s="761"/>
      <c r="Z65" s="761"/>
      <c r="AA65" s="761"/>
      <c r="AB65" s="761"/>
    </row>
    <row r="66" spans="1:28" s="763" customFormat="1" ht="12" customHeight="1">
      <c r="A66" s="493" t="s">
        <v>3796</v>
      </c>
      <c r="B66" s="493" t="s">
        <v>510</v>
      </c>
      <c r="C66" s="493" t="s">
        <v>3797</v>
      </c>
      <c r="D66" s="493">
        <v>43986426</v>
      </c>
      <c r="E66" s="493" t="s">
        <v>3859</v>
      </c>
      <c r="F66" s="493">
        <v>141004261</v>
      </c>
      <c r="G66" s="493" t="s">
        <v>3861</v>
      </c>
      <c r="H66" s="493" t="s">
        <v>3862</v>
      </c>
      <c r="I66" s="493" t="s">
        <v>6867</v>
      </c>
      <c r="J66" s="493">
        <v>1</v>
      </c>
      <c r="K66" s="791">
        <v>405438.56</v>
      </c>
      <c r="L66" s="791">
        <v>339577.68</v>
      </c>
      <c r="M66" s="791">
        <v>65860.88</v>
      </c>
      <c r="N66" s="493" t="s">
        <v>3788</v>
      </c>
      <c r="O66" s="493" t="s">
        <v>390</v>
      </c>
      <c r="P66" s="493"/>
      <c r="Q66" s="493"/>
      <c r="R66" s="761"/>
      <c r="S66" s="761"/>
      <c r="T66" s="761"/>
      <c r="U66" s="761"/>
      <c r="V66" s="761"/>
      <c r="W66" s="761"/>
      <c r="X66" s="761"/>
      <c r="Y66" s="761"/>
      <c r="Z66" s="761"/>
      <c r="AA66" s="761"/>
      <c r="AB66" s="761"/>
    </row>
    <row r="67" spans="1:28" s="763" customFormat="1" ht="12" customHeight="1">
      <c r="A67" s="493" t="s">
        <v>3796</v>
      </c>
      <c r="B67" s="493" t="s">
        <v>510</v>
      </c>
      <c r="C67" s="493" t="s">
        <v>3896</v>
      </c>
      <c r="D67" s="493">
        <v>43991897</v>
      </c>
      <c r="E67" s="493" t="s">
        <v>3859</v>
      </c>
      <c r="F67" s="493">
        <v>141004685</v>
      </c>
      <c r="G67" s="493" t="s">
        <v>3897</v>
      </c>
      <c r="H67" s="493" t="s">
        <v>3898</v>
      </c>
      <c r="I67" s="493" t="s">
        <v>6867</v>
      </c>
      <c r="J67" s="493">
        <v>1</v>
      </c>
      <c r="K67" s="791">
        <v>10828.29</v>
      </c>
      <c r="L67" s="791">
        <v>9069.3000000000011</v>
      </c>
      <c r="M67" s="791">
        <v>1758.99</v>
      </c>
      <c r="N67" s="493" t="s">
        <v>3788</v>
      </c>
      <c r="O67" s="493" t="s">
        <v>95</v>
      </c>
      <c r="P67" s="493"/>
      <c r="Q67" s="761"/>
      <c r="R67" s="761"/>
      <c r="S67" s="761"/>
      <c r="T67" s="761"/>
      <c r="U67" s="761"/>
      <c r="V67" s="761"/>
      <c r="W67" s="761"/>
      <c r="X67" s="761"/>
      <c r="Y67" s="761"/>
      <c r="Z67" s="761"/>
      <c r="AA67" s="761"/>
      <c r="AB67" s="761"/>
    </row>
    <row r="68" spans="1:28" s="763" customFormat="1" ht="12" customHeight="1">
      <c r="A68" s="493" t="s">
        <v>3796</v>
      </c>
      <c r="B68" s="493" t="s">
        <v>510</v>
      </c>
      <c r="C68" s="493" t="s">
        <v>3797</v>
      </c>
      <c r="D68" s="493">
        <v>44534413</v>
      </c>
      <c r="E68" s="493" t="s">
        <v>3859</v>
      </c>
      <c r="F68" s="493">
        <v>141004743</v>
      </c>
      <c r="G68" s="493" t="s">
        <v>3899</v>
      </c>
      <c r="H68" s="493" t="s">
        <v>3899</v>
      </c>
      <c r="I68" s="493" t="s">
        <v>6867</v>
      </c>
      <c r="J68" s="493">
        <v>1</v>
      </c>
      <c r="K68" s="791">
        <v>38694.71</v>
      </c>
      <c r="L68" s="791">
        <v>32409</v>
      </c>
      <c r="M68" s="791">
        <v>6285.71</v>
      </c>
      <c r="N68" s="493" t="s">
        <v>3788</v>
      </c>
      <c r="O68" s="493" t="s">
        <v>95</v>
      </c>
      <c r="P68" s="493"/>
      <c r="Q68" s="761"/>
      <c r="R68" s="761"/>
      <c r="S68" s="761"/>
      <c r="T68" s="761"/>
      <c r="U68" s="761"/>
      <c r="V68" s="761"/>
      <c r="W68" s="761"/>
      <c r="X68" s="761"/>
      <c r="Y68" s="761"/>
      <c r="Z68" s="761"/>
      <c r="AA68" s="761"/>
      <c r="AB68" s="761"/>
    </row>
    <row r="69" spans="1:28" s="763" customFormat="1" ht="12" customHeight="1">
      <c r="A69" s="1752" t="s">
        <v>3796</v>
      </c>
      <c r="B69" s="1752" t="s">
        <v>510</v>
      </c>
      <c r="C69" s="1752" t="s">
        <v>3823</v>
      </c>
      <c r="D69" s="1752">
        <v>45059373</v>
      </c>
      <c r="E69" s="1752" t="s">
        <v>3859</v>
      </c>
      <c r="F69" s="1752">
        <v>141004985</v>
      </c>
      <c r="G69" s="1752" t="s">
        <v>3922</v>
      </c>
      <c r="H69" s="1752" t="s">
        <v>3923</v>
      </c>
      <c r="I69" s="1752" t="s">
        <v>6867</v>
      </c>
      <c r="J69" s="1752">
        <v>1</v>
      </c>
      <c r="K69" s="1911">
        <v>25881.82</v>
      </c>
      <c r="L69" s="1911">
        <v>19199.02</v>
      </c>
      <c r="M69" s="1911">
        <v>6682.8</v>
      </c>
      <c r="N69" s="1752" t="s">
        <v>3788</v>
      </c>
      <c r="O69" s="1752" t="s">
        <v>392</v>
      </c>
      <c r="P69" s="1752"/>
      <c r="Q69" s="762" t="s">
        <v>8295</v>
      </c>
    </row>
    <row r="70" spans="1:28" s="763" customFormat="1" ht="12" customHeight="1">
      <c r="A70" s="1752" t="s">
        <v>3796</v>
      </c>
      <c r="B70" s="1752" t="s">
        <v>510</v>
      </c>
      <c r="C70" s="1752" t="s">
        <v>3797</v>
      </c>
      <c r="D70" s="1752">
        <v>45479333</v>
      </c>
      <c r="E70" s="1752" t="s">
        <v>3859</v>
      </c>
      <c r="F70" s="1752">
        <v>141004701</v>
      </c>
      <c r="G70" s="1752" t="s">
        <v>3924</v>
      </c>
      <c r="H70" s="1752" t="s">
        <v>3925</v>
      </c>
      <c r="I70" s="1752" t="s">
        <v>6867</v>
      </c>
      <c r="J70" s="1752">
        <v>1</v>
      </c>
      <c r="K70" s="1911">
        <v>1009425.72</v>
      </c>
      <c r="L70" s="1911">
        <v>748787.54</v>
      </c>
      <c r="M70" s="1911">
        <v>260638.18</v>
      </c>
      <c r="N70" s="1752" t="s">
        <v>3788</v>
      </c>
      <c r="O70" s="1752" t="s">
        <v>392</v>
      </c>
      <c r="P70" s="1752"/>
      <c r="Q70" s="762" t="s">
        <v>8296</v>
      </c>
    </row>
    <row r="71" spans="1:28" s="763" customFormat="1" ht="12" customHeight="1">
      <c r="A71" s="1752" t="s">
        <v>3796</v>
      </c>
      <c r="B71" s="1752" t="s">
        <v>510</v>
      </c>
      <c r="C71" s="1752" t="s">
        <v>3797</v>
      </c>
      <c r="D71" s="1752">
        <v>46648204</v>
      </c>
      <c r="E71" s="1752" t="s">
        <v>3859</v>
      </c>
      <c r="F71" s="1752">
        <v>141004700</v>
      </c>
      <c r="G71" s="1752" t="s">
        <v>3926</v>
      </c>
      <c r="H71" s="1752" t="s">
        <v>3927</v>
      </c>
      <c r="I71" s="1752" t="s">
        <v>6867</v>
      </c>
      <c r="J71" s="1752">
        <v>1</v>
      </c>
      <c r="K71" s="1911">
        <v>691275.63</v>
      </c>
      <c r="L71" s="1911">
        <v>512785.21</v>
      </c>
      <c r="M71" s="1911">
        <v>178490.42</v>
      </c>
      <c r="N71" s="1752" t="s">
        <v>3788</v>
      </c>
      <c r="O71" s="1752" t="s">
        <v>392</v>
      </c>
      <c r="P71" s="1752"/>
      <c r="Q71" s="762" t="s">
        <v>8296</v>
      </c>
    </row>
    <row r="72" spans="1:28" s="763" customFormat="1" ht="12" customHeight="1">
      <c r="A72" s="1752" t="s">
        <v>3796</v>
      </c>
      <c r="B72" s="1752" t="s">
        <v>510</v>
      </c>
      <c r="C72" s="1752" t="s">
        <v>3797</v>
      </c>
      <c r="D72" s="1752">
        <v>47865860</v>
      </c>
      <c r="E72" s="1752" t="s">
        <v>3859</v>
      </c>
      <c r="F72" s="1752">
        <v>141004702</v>
      </c>
      <c r="G72" s="1752" t="s">
        <v>3928</v>
      </c>
      <c r="H72" s="1752" t="s">
        <v>3929</v>
      </c>
      <c r="I72" s="1752" t="s">
        <v>6867</v>
      </c>
      <c r="J72" s="1752">
        <v>1</v>
      </c>
      <c r="K72" s="1911">
        <v>569388.46</v>
      </c>
      <c r="L72" s="1911">
        <v>422369.84</v>
      </c>
      <c r="M72" s="1911">
        <v>147018.62</v>
      </c>
      <c r="N72" s="1752" t="s">
        <v>3788</v>
      </c>
      <c r="O72" s="1752" t="s">
        <v>392</v>
      </c>
      <c r="P72" s="1752"/>
      <c r="Q72" s="762" t="s">
        <v>8296</v>
      </c>
      <c r="R72" s="788"/>
      <c r="S72" s="788"/>
      <c r="T72" s="788"/>
      <c r="U72" s="788"/>
      <c r="V72" s="788"/>
      <c r="W72" s="788"/>
      <c r="X72" s="788"/>
      <c r="Y72" s="788"/>
      <c r="Z72" s="788"/>
      <c r="AA72" s="788"/>
      <c r="AB72" s="788"/>
    </row>
    <row r="73" spans="1:28" s="763" customFormat="1" ht="12" customHeight="1">
      <c r="A73" s="1752" t="s">
        <v>3796</v>
      </c>
      <c r="B73" s="1752" t="s">
        <v>510</v>
      </c>
      <c r="C73" s="1752" t="s">
        <v>3915</v>
      </c>
      <c r="D73" s="1752">
        <v>48474793</v>
      </c>
      <c r="E73" s="1752" t="s">
        <v>3859</v>
      </c>
      <c r="F73" s="1752">
        <v>103008120</v>
      </c>
      <c r="G73" s="1752" t="s">
        <v>3930</v>
      </c>
      <c r="H73" s="1752" t="s">
        <v>3931</v>
      </c>
      <c r="I73" s="1752" t="s">
        <v>6867</v>
      </c>
      <c r="J73" s="1752">
        <v>0</v>
      </c>
      <c r="K73" s="1911">
        <v>86733.8</v>
      </c>
      <c r="L73" s="1911">
        <v>64338.75</v>
      </c>
      <c r="M73" s="1911">
        <v>22395.05</v>
      </c>
      <c r="N73" s="1752" t="s">
        <v>3788</v>
      </c>
      <c r="O73" s="1752" t="s">
        <v>392</v>
      </c>
      <c r="P73" s="1752"/>
      <c r="Q73" s="762" t="s">
        <v>8297</v>
      </c>
    </row>
    <row r="74" spans="1:28" s="763" customFormat="1" ht="12" customHeight="1">
      <c r="A74" s="1752" t="s">
        <v>3796</v>
      </c>
      <c r="B74" s="1752" t="s">
        <v>510</v>
      </c>
      <c r="C74" s="1752" t="s">
        <v>3797</v>
      </c>
      <c r="D74" s="1752">
        <v>48922402</v>
      </c>
      <c r="E74" s="1752" t="s">
        <v>3859</v>
      </c>
      <c r="F74" s="1752">
        <v>141005346</v>
      </c>
      <c r="G74" s="1752" t="s">
        <v>3932</v>
      </c>
      <c r="H74" s="1752" t="s">
        <v>3933</v>
      </c>
      <c r="I74" s="1752" t="s">
        <v>6867</v>
      </c>
      <c r="J74" s="1752">
        <v>1</v>
      </c>
      <c r="K74" s="1911">
        <v>14254.630000000001</v>
      </c>
      <c r="L74" s="1911">
        <v>10574.02</v>
      </c>
      <c r="M74" s="1911">
        <v>3680.61</v>
      </c>
      <c r="N74" s="1752" t="s">
        <v>3788</v>
      </c>
      <c r="O74" s="1752" t="s">
        <v>392</v>
      </c>
      <c r="P74" s="1752"/>
      <c r="Q74" s="762" t="s">
        <v>8298</v>
      </c>
    </row>
    <row r="75" spans="1:28" s="763" customFormat="1" ht="12" customHeight="1">
      <c r="A75" s="1752" t="s">
        <v>3796</v>
      </c>
      <c r="B75" s="1752" t="s">
        <v>510</v>
      </c>
      <c r="C75" s="1752" t="s">
        <v>3797</v>
      </c>
      <c r="D75" s="1752">
        <v>49413632</v>
      </c>
      <c r="E75" s="1752" t="s">
        <v>3859</v>
      </c>
      <c r="F75" s="1752">
        <v>141005183</v>
      </c>
      <c r="G75" s="1752" t="s">
        <v>3934</v>
      </c>
      <c r="H75" s="1752" t="s">
        <v>3935</v>
      </c>
      <c r="I75" s="1752" t="s">
        <v>6867</v>
      </c>
      <c r="J75" s="1752">
        <v>1</v>
      </c>
      <c r="K75" s="1911">
        <v>41534.14</v>
      </c>
      <c r="L75" s="1911">
        <v>30809.84</v>
      </c>
      <c r="M75" s="1911">
        <v>10724.300000000001</v>
      </c>
      <c r="N75" s="1752" t="s">
        <v>3788</v>
      </c>
      <c r="O75" s="1752" t="s">
        <v>392</v>
      </c>
      <c r="P75" s="1752"/>
      <c r="Q75" s="762" t="s">
        <v>8299</v>
      </c>
    </row>
    <row r="76" spans="1:28" s="763" customFormat="1" ht="12" customHeight="1">
      <c r="A76" s="1752" t="s">
        <v>3796</v>
      </c>
      <c r="B76" s="1752" t="s">
        <v>510</v>
      </c>
      <c r="C76" s="1752" t="s">
        <v>3797</v>
      </c>
      <c r="D76" s="1752">
        <v>49944948</v>
      </c>
      <c r="E76" s="1752" t="s">
        <v>3859</v>
      </c>
      <c r="F76" s="1752">
        <v>141004987</v>
      </c>
      <c r="G76" s="1752" t="s">
        <v>3984</v>
      </c>
      <c r="H76" s="1752" t="s">
        <v>3985</v>
      </c>
      <c r="I76" s="1752" t="s">
        <v>6867</v>
      </c>
      <c r="J76" s="1752">
        <v>1</v>
      </c>
      <c r="K76" s="1911">
        <v>308925.99</v>
      </c>
      <c r="L76" s="1911">
        <v>229159.93</v>
      </c>
      <c r="M76" s="1911">
        <v>79766.06</v>
      </c>
      <c r="N76" s="1752" t="s">
        <v>3788</v>
      </c>
      <c r="O76" s="1752" t="s">
        <v>109</v>
      </c>
      <c r="P76" s="1752"/>
      <c r="Q76" s="762" t="s">
        <v>8301</v>
      </c>
    </row>
    <row r="77" spans="1:28" s="763" customFormat="1" ht="12" customHeight="1">
      <c r="A77" s="1752" t="s">
        <v>3796</v>
      </c>
      <c r="B77" s="1752" t="s">
        <v>510</v>
      </c>
      <c r="C77" s="1752" t="s">
        <v>3797</v>
      </c>
      <c r="D77" s="1752">
        <v>49944958</v>
      </c>
      <c r="E77" s="1752" t="s">
        <v>3859</v>
      </c>
      <c r="F77" s="1752">
        <v>141004998</v>
      </c>
      <c r="G77" s="1752" t="s">
        <v>3986</v>
      </c>
      <c r="H77" s="1752" t="s">
        <v>3987</v>
      </c>
      <c r="I77" s="1752" t="s">
        <v>6867</v>
      </c>
      <c r="J77" s="1752">
        <v>1</v>
      </c>
      <c r="K77" s="1911">
        <v>340624.79</v>
      </c>
      <c r="L77" s="1911">
        <v>252673.96</v>
      </c>
      <c r="M77" s="1911">
        <v>87950.83</v>
      </c>
      <c r="N77" s="1752" t="s">
        <v>3788</v>
      </c>
      <c r="O77" s="1752" t="s">
        <v>109</v>
      </c>
      <c r="P77" s="1752"/>
      <c r="Q77" s="1912" t="s">
        <v>8339</v>
      </c>
    </row>
    <row r="78" spans="1:28" s="763" customFormat="1" ht="12" customHeight="1">
      <c r="A78" s="1752" t="s">
        <v>3796</v>
      </c>
      <c r="B78" s="1752" t="s">
        <v>510</v>
      </c>
      <c r="C78" s="1752" t="s">
        <v>3797</v>
      </c>
      <c r="D78" s="1752">
        <v>49945037</v>
      </c>
      <c r="E78" s="1752" t="s">
        <v>3859</v>
      </c>
      <c r="F78" s="1752">
        <v>141005240</v>
      </c>
      <c r="G78" s="1752" t="s">
        <v>3863</v>
      </c>
      <c r="H78" s="1752" t="s">
        <v>3864</v>
      </c>
      <c r="I78" s="1752" t="s">
        <v>6867</v>
      </c>
      <c r="J78" s="1752">
        <v>1</v>
      </c>
      <c r="K78" s="1911">
        <v>22949.760000000002</v>
      </c>
      <c r="L78" s="1911">
        <v>17024.03</v>
      </c>
      <c r="M78" s="1911">
        <v>5925.7300000000005</v>
      </c>
      <c r="N78" s="1752" t="s">
        <v>3788</v>
      </c>
      <c r="O78" s="1752" t="s">
        <v>390</v>
      </c>
      <c r="P78" s="1752"/>
      <c r="Q78" s="762" t="s">
        <v>8300</v>
      </c>
    </row>
    <row r="79" spans="1:28" s="763" customFormat="1" ht="12" customHeight="1">
      <c r="A79" s="1752" t="s">
        <v>3796</v>
      </c>
      <c r="B79" s="1752" t="s">
        <v>510</v>
      </c>
      <c r="C79" s="1752" t="s">
        <v>3797</v>
      </c>
      <c r="D79" s="1752">
        <v>49945055</v>
      </c>
      <c r="E79" s="1752" t="s">
        <v>3859</v>
      </c>
      <c r="F79" s="1752">
        <v>141005302</v>
      </c>
      <c r="G79" s="1752" t="s">
        <v>3865</v>
      </c>
      <c r="H79" s="1752" t="s">
        <v>3866</v>
      </c>
      <c r="I79" s="1752" t="s">
        <v>6867</v>
      </c>
      <c r="J79" s="1752">
        <v>1</v>
      </c>
      <c r="K79" s="1911">
        <v>63591.71</v>
      </c>
      <c r="L79" s="1911">
        <v>47172.05</v>
      </c>
      <c r="M79" s="1911">
        <v>16419.66</v>
      </c>
      <c r="N79" s="1752" t="s">
        <v>3788</v>
      </c>
      <c r="O79" s="1752" t="s">
        <v>390</v>
      </c>
      <c r="P79" s="1752"/>
      <c r="Q79" s="762" t="s">
        <v>8302</v>
      </c>
    </row>
    <row r="80" spans="1:28" s="763" customFormat="1" ht="12" customHeight="1">
      <c r="A80" s="1752" t="s">
        <v>3796</v>
      </c>
      <c r="B80" s="1752" t="s">
        <v>510</v>
      </c>
      <c r="C80" s="1752" t="s">
        <v>3801</v>
      </c>
      <c r="D80" s="1752">
        <v>50479271</v>
      </c>
      <c r="E80" s="1752" t="s">
        <v>3859</v>
      </c>
      <c r="F80" s="1752">
        <v>141005283</v>
      </c>
      <c r="G80" s="1752" t="s">
        <v>3936</v>
      </c>
      <c r="H80" s="1752" t="s">
        <v>3936</v>
      </c>
      <c r="I80" s="1752" t="s">
        <v>6867</v>
      </c>
      <c r="J80" s="1752">
        <v>1</v>
      </c>
      <c r="K80" s="1911">
        <v>57272.75</v>
      </c>
      <c r="L80" s="1911">
        <v>12972.24</v>
      </c>
      <c r="M80" s="1911">
        <v>44300.51</v>
      </c>
      <c r="N80" s="1752" t="s">
        <v>3788</v>
      </c>
      <c r="O80" s="1752" t="s">
        <v>392</v>
      </c>
      <c r="P80" s="1752"/>
      <c r="Q80" s="762" t="s">
        <v>8303</v>
      </c>
    </row>
    <row r="81" spans="1:17" s="763" customFormat="1" ht="12" customHeight="1">
      <c r="A81" s="1752" t="s">
        <v>3796</v>
      </c>
      <c r="B81" s="1752" t="s">
        <v>510</v>
      </c>
      <c r="C81" s="1752" t="s">
        <v>3797</v>
      </c>
      <c r="D81" s="1752">
        <v>50997799</v>
      </c>
      <c r="E81" s="1752" t="s">
        <v>3859</v>
      </c>
      <c r="F81" s="1752">
        <v>141003947</v>
      </c>
      <c r="G81" s="1752" t="s">
        <v>3988</v>
      </c>
      <c r="H81" s="1752" t="s">
        <v>3989</v>
      </c>
      <c r="I81" s="1752" t="s">
        <v>6867</v>
      </c>
      <c r="J81" s="1752">
        <v>1</v>
      </c>
      <c r="K81" s="1911">
        <v>18883634.539999999</v>
      </c>
      <c r="L81" s="1911">
        <v>4277129.63</v>
      </c>
      <c r="M81" s="1911">
        <v>14606504.91</v>
      </c>
      <c r="N81" s="1752" t="s">
        <v>3788</v>
      </c>
      <c r="O81" s="1752" t="s">
        <v>109</v>
      </c>
      <c r="P81" s="1752"/>
      <c r="Q81" s="762" t="s">
        <v>8304</v>
      </c>
    </row>
    <row r="82" spans="1:17" s="763" customFormat="1" ht="12" customHeight="1">
      <c r="A82" s="1752" t="s">
        <v>3796</v>
      </c>
      <c r="B82" s="1752" t="s">
        <v>510</v>
      </c>
      <c r="C82" s="1752" t="s">
        <v>3797</v>
      </c>
      <c r="D82" s="1752">
        <v>50997858</v>
      </c>
      <c r="E82" s="1752" t="s">
        <v>3859</v>
      </c>
      <c r="F82" s="1752">
        <v>141005481</v>
      </c>
      <c r="G82" s="1752" t="s">
        <v>3937</v>
      </c>
      <c r="H82" s="1752" t="s">
        <v>3938</v>
      </c>
      <c r="I82" s="1752" t="s">
        <v>6867</v>
      </c>
      <c r="J82" s="1752">
        <v>1</v>
      </c>
      <c r="K82" s="1911">
        <v>14002.77</v>
      </c>
      <c r="L82" s="1911">
        <v>3171.62</v>
      </c>
      <c r="M82" s="1911">
        <v>10831.15</v>
      </c>
      <c r="N82" s="1752" t="s">
        <v>3788</v>
      </c>
      <c r="O82" s="1752" t="s">
        <v>392</v>
      </c>
      <c r="P82" s="1752"/>
      <c r="Q82" s="762" t="s">
        <v>8305</v>
      </c>
    </row>
    <row r="83" spans="1:17" s="763" customFormat="1" ht="12" customHeight="1">
      <c r="A83" s="1752" t="s">
        <v>3796</v>
      </c>
      <c r="B83" s="1752" t="s">
        <v>510</v>
      </c>
      <c r="C83" s="1752" t="s">
        <v>3797</v>
      </c>
      <c r="D83" s="1752">
        <v>53009558</v>
      </c>
      <c r="E83" s="1752" t="s">
        <v>3859</v>
      </c>
      <c r="F83" s="1752">
        <v>141005767</v>
      </c>
      <c r="G83" s="1752" t="s">
        <v>3990</v>
      </c>
      <c r="H83" s="1752" t="s">
        <v>3991</v>
      </c>
      <c r="I83" s="1752" t="s">
        <v>6867</v>
      </c>
      <c r="J83" s="1752">
        <v>1</v>
      </c>
      <c r="K83" s="1911">
        <v>14120.210000000001</v>
      </c>
      <c r="L83" s="1911">
        <v>3198.2200000000003</v>
      </c>
      <c r="M83" s="1911">
        <v>10921.99</v>
      </c>
      <c r="N83" s="1752" t="s">
        <v>3788</v>
      </c>
      <c r="O83" s="1752" t="s">
        <v>109</v>
      </c>
      <c r="P83" s="1752"/>
      <c r="Q83" s="762" t="s">
        <v>6995</v>
      </c>
    </row>
    <row r="84" spans="1:17" s="763" customFormat="1" ht="12" customHeight="1">
      <c r="A84" s="1752" t="s">
        <v>3796</v>
      </c>
      <c r="B84" s="1752" t="s">
        <v>510</v>
      </c>
      <c r="C84" s="1752" t="s">
        <v>3797</v>
      </c>
      <c r="D84" s="1752">
        <v>53506920</v>
      </c>
      <c r="E84" s="1752" t="s">
        <v>3859</v>
      </c>
      <c r="F84" s="1752">
        <v>141005781</v>
      </c>
      <c r="G84" s="1752" t="s">
        <v>3900</v>
      </c>
      <c r="H84" s="1752" t="s">
        <v>3901</v>
      </c>
      <c r="I84" s="1752" t="s">
        <v>6867</v>
      </c>
      <c r="J84" s="1752">
        <v>1</v>
      </c>
      <c r="K84" s="1911">
        <v>31214.010000000002</v>
      </c>
      <c r="L84" s="1911">
        <v>7069.95</v>
      </c>
      <c r="M84" s="1911">
        <v>24144.06</v>
      </c>
      <c r="N84" s="1752" t="s">
        <v>3788</v>
      </c>
      <c r="O84" s="1752" t="s">
        <v>95</v>
      </c>
      <c r="P84" s="1752"/>
      <c r="Q84" s="762" t="s">
        <v>6996</v>
      </c>
    </row>
    <row r="85" spans="1:17" s="763" customFormat="1" ht="12" customHeight="1">
      <c r="A85" s="1752" t="s">
        <v>3796</v>
      </c>
      <c r="B85" s="1752" t="s">
        <v>510</v>
      </c>
      <c r="C85" s="1752" t="s">
        <v>3797</v>
      </c>
      <c r="D85" s="1752">
        <v>54015134</v>
      </c>
      <c r="E85" s="1752" t="s">
        <v>3859</v>
      </c>
      <c r="F85" s="1752">
        <v>141005303</v>
      </c>
      <c r="G85" s="1752" t="s">
        <v>3939</v>
      </c>
      <c r="H85" s="1752" t="s">
        <v>3939</v>
      </c>
      <c r="I85" s="1752" t="s">
        <v>6867</v>
      </c>
      <c r="J85" s="1752">
        <v>0</v>
      </c>
      <c r="K85" s="1911">
        <v>2173786.21</v>
      </c>
      <c r="L85" s="1911">
        <v>492361.01</v>
      </c>
      <c r="M85" s="1911">
        <v>1681425.2000000002</v>
      </c>
      <c r="N85" s="1752" t="s">
        <v>3788</v>
      </c>
      <c r="O85" s="1752" t="s">
        <v>392</v>
      </c>
      <c r="P85" s="1752"/>
      <c r="Q85" s="762" t="s">
        <v>6990</v>
      </c>
    </row>
    <row r="86" spans="1:17" s="763" customFormat="1" ht="12" customHeight="1">
      <c r="A86" s="1752" t="s">
        <v>3796</v>
      </c>
      <c r="B86" s="1752" t="s">
        <v>510</v>
      </c>
      <c r="C86" s="1752" t="s">
        <v>3797</v>
      </c>
      <c r="D86" s="1752">
        <v>56540230</v>
      </c>
      <c r="E86" s="1752" t="s">
        <v>3859</v>
      </c>
      <c r="F86" s="1752">
        <v>141005049</v>
      </c>
      <c r="G86" s="1752" t="s">
        <v>3867</v>
      </c>
      <c r="H86" s="1752" t="s">
        <v>3867</v>
      </c>
      <c r="I86" s="1752" t="s">
        <v>6867</v>
      </c>
      <c r="J86" s="1752">
        <v>1</v>
      </c>
      <c r="K86" s="1911">
        <v>25794497.960000001</v>
      </c>
      <c r="L86" s="1911">
        <v>5842435.2199999997</v>
      </c>
      <c r="M86" s="1911">
        <v>19952062.739999998</v>
      </c>
      <c r="N86" s="1752" t="s">
        <v>3788</v>
      </c>
      <c r="O86" s="1752" t="s">
        <v>390</v>
      </c>
      <c r="P86" s="1752"/>
      <c r="Q86" s="762" t="s">
        <v>6997</v>
      </c>
    </row>
    <row r="87" spans="1:17" s="763" customFormat="1" ht="12" customHeight="1">
      <c r="A87" s="1752" t="s">
        <v>3796</v>
      </c>
      <c r="B87" s="1752" t="s">
        <v>510</v>
      </c>
      <c r="C87" s="1752" t="s">
        <v>3797</v>
      </c>
      <c r="D87" s="1752">
        <v>57306014</v>
      </c>
      <c r="E87" s="1752" t="s">
        <v>3859</v>
      </c>
      <c r="F87" s="1752">
        <v>141005752</v>
      </c>
      <c r="G87" s="1752" t="s">
        <v>3940</v>
      </c>
      <c r="H87" s="1752" t="s">
        <v>3941</v>
      </c>
      <c r="I87" s="1752" t="s">
        <v>6867</v>
      </c>
      <c r="J87" s="1752">
        <v>1</v>
      </c>
      <c r="K87" s="1911">
        <v>104257.04000000001</v>
      </c>
      <c r="L87" s="1911">
        <v>23614.14</v>
      </c>
      <c r="M87" s="1911">
        <v>80642.900000000009</v>
      </c>
      <c r="N87" s="1752" t="s">
        <v>3788</v>
      </c>
      <c r="O87" s="1752" t="s">
        <v>392</v>
      </c>
      <c r="P87" s="1752"/>
      <c r="Q87" s="762" t="s">
        <v>6989</v>
      </c>
    </row>
    <row r="88" spans="1:17" s="763" customFormat="1" ht="12" customHeight="1">
      <c r="A88" s="1752" t="s">
        <v>3796</v>
      </c>
      <c r="B88" s="1752" t="s">
        <v>510</v>
      </c>
      <c r="C88" s="1752" t="s">
        <v>3797</v>
      </c>
      <c r="D88" s="1752">
        <v>58131025</v>
      </c>
      <c r="E88" s="1752" t="s">
        <v>3859</v>
      </c>
      <c r="F88" s="1752">
        <v>141005595</v>
      </c>
      <c r="G88" s="1752" t="s">
        <v>3992</v>
      </c>
      <c r="H88" s="1752" t="s">
        <v>3992</v>
      </c>
      <c r="I88" s="1752" t="s">
        <v>6867</v>
      </c>
      <c r="J88" s="1752">
        <v>1</v>
      </c>
      <c r="K88" s="1911">
        <v>135082.29999999999</v>
      </c>
      <c r="L88" s="1911">
        <v>30596.04</v>
      </c>
      <c r="M88" s="1911">
        <v>104486.26000000001</v>
      </c>
      <c r="N88" s="1752" t="s">
        <v>3788</v>
      </c>
      <c r="O88" s="1752" t="s">
        <v>109</v>
      </c>
      <c r="P88" s="1752"/>
      <c r="Q88" s="762" t="s">
        <v>6998</v>
      </c>
    </row>
    <row r="89" spans="1:17" s="763" customFormat="1" ht="12" customHeight="1">
      <c r="A89" s="1752" t="s">
        <v>3796</v>
      </c>
      <c r="B89" s="1752" t="s">
        <v>510</v>
      </c>
      <c r="C89" s="1752" t="s">
        <v>3797</v>
      </c>
      <c r="D89" s="1752">
        <v>58131036</v>
      </c>
      <c r="E89" s="1752" t="s">
        <v>3859</v>
      </c>
      <c r="F89" s="1752">
        <v>141005683</v>
      </c>
      <c r="G89" s="1752" t="s">
        <v>3868</v>
      </c>
      <c r="H89" s="1752" t="s">
        <v>3869</v>
      </c>
      <c r="I89" s="1752" t="s">
        <v>6867</v>
      </c>
      <c r="J89" s="1752">
        <v>1</v>
      </c>
      <c r="K89" s="1911">
        <v>30844.16</v>
      </c>
      <c r="L89" s="1911">
        <v>6986.18</v>
      </c>
      <c r="M89" s="1911">
        <v>23857.98</v>
      </c>
      <c r="N89" s="1752" t="s">
        <v>3788</v>
      </c>
      <c r="O89" s="1752" t="s">
        <v>390</v>
      </c>
      <c r="P89" s="1752"/>
      <c r="Q89" s="762" t="s">
        <v>6997</v>
      </c>
    </row>
    <row r="90" spans="1:17" s="763" customFormat="1" ht="12" customHeight="1">
      <c r="A90" s="1752" t="s">
        <v>3796</v>
      </c>
      <c r="B90" s="1752" t="s">
        <v>510</v>
      </c>
      <c r="C90" s="1752" t="s">
        <v>3797</v>
      </c>
      <c r="D90" s="1752">
        <v>58340937</v>
      </c>
      <c r="E90" s="1752" t="s">
        <v>3859</v>
      </c>
      <c r="F90" s="1752">
        <v>141005560</v>
      </c>
      <c r="G90" s="1752" t="s">
        <v>3870</v>
      </c>
      <c r="H90" s="1752" t="s">
        <v>3871</v>
      </c>
      <c r="I90" s="1752" t="s">
        <v>6867</v>
      </c>
      <c r="J90" s="1752">
        <v>1</v>
      </c>
      <c r="K90" s="1911">
        <v>157967.89000000001</v>
      </c>
      <c r="L90" s="1911">
        <v>35779.61</v>
      </c>
      <c r="M90" s="1911">
        <v>122188.28</v>
      </c>
      <c r="N90" s="1752" t="s">
        <v>3788</v>
      </c>
      <c r="O90" s="1752" t="s">
        <v>95</v>
      </c>
      <c r="P90" s="1752"/>
      <c r="Q90" s="762" t="s">
        <v>3872</v>
      </c>
    </row>
    <row r="91" spans="1:17" s="763" customFormat="1" ht="12" customHeight="1">
      <c r="A91" s="1752" t="s">
        <v>3796</v>
      </c>
      <c r="B91" s="1752" t="s">
        <v>510</v>
      </c>
      <c r="C91" s="1752" t="s">
        <v>3797</v>
      </c>
      <c r="D91" s="1752">
        <v>58533066</v>
      </c>
      <c r="E91" s="1752" t="s">
        <v>3859</v>
      </c>
      <c r="F91" s="1752">
        <v>141005166</v>
      </c>
      <c r="G91" s="1752" t="s">
        <v>3873</v>
      </c>
      <c r="H91" s="1752" t="s">
        <v>3874</v>
      </c>
      <c r="I91" s="1752" t="s">
        <v>6867</v>
      </c>
      <c r="J91" s="1752">
        <v>1</v>
      </c>
      <c r="K91" s="1911">
        <v>981697.70000000007</v>
      </c>
      <c r="L91" s="1911">
        <v>316361.12</v>
      </c>
      <c r="M91" s="1911">
        <v>665336.57999999996</v>
      </c>
      <c r="N91" s="1752" t="s">
        <v>3788</v>
      </c>
      <c r="O91" s="1752" t="s">
        <v>390</v>
      </c>
      <c r="P91" s="1752"/>
      <c r="Q91" s="762" t="s">
        <v>3875</v>
      </c>
    </row>
    <row r="92" spans="1:17" s="763" customFormat="1" ht="12" customHeight="1">
      <c r="A92" s="1752" t="s">
        <v>3796</v>
      </c>
      <c r="B92" s="1752" t="s">
        <v>510</v>
      </c>
      <c r="C92" s="1752" t="s">
        <v>3797</v>
      </c>
      <c r="D92" s="1752">
        <v>58533075</v>
      </c>
      <c r="E92" s="1752" t="s">
        <v>3859</v>
      </c>
      <c r="F92" s="1752">
        <v>141005326</v>
      </c>
      <c r="G92" s="1752" t="s">
        <v>3876</v>
      </c>
      <c r="H92" s="1752" t="s">
        <v>3877</v>
      </c>
      <c r="I92" s="1752" t="s">
        <v>6867</v>
      </c>
      <c r="J92" s="1752">
        <v>1</v>
      </c>
      <c r="K92" s="1911">
        <v>60669.58</v>
      </c>
      <c r="L92" s="1911">
        <v>19551.330000000002</v>
      </c>
      <c r="M92" s="1911">
        <v>41118.25</v>
      </c>
      <c r="N92" s="1752" t="s">
        <v>3788</v>
      </c>
      <c r="O92" s="1752" t="s">
        <v>390</v>
      </c>
      <c r="P92" s="1752"/>
      <c r="Q92" s="762" t="s">
        <v>3878</v>
      </c>
    </row>
    <row r="93" spans="1:17" s="763" customFormat="1" ht="12" customHeight="1">
      <c r="A93" s="1752" t="s">
        <v>3796</v>
      </c>
      <c r="B93" s="1752" t="s">
        <v>510</v>
      </c>
      <c r="C93" s="1752" t="s">
        <v>3797</v>
      </c>
      <c r="D93" s="1752">
        <v>58533108</v>
      </c>
      <c r="E93" s="1752" t="s">
        <v>3859</v>
      </c>
      <c r="F93" s="1752">
        <v>141005680</v>
      </c>
      <c r="G93" s="1752" t="s">
        <v>3993</v>
      </c>
      <c r="H93" s="1752" t="s">
        <v>3994</v>
      </c>
      <c r="I93" s="1752" t="s">
        <v>6867</v>
      </c>
      <c r="J93" s="1752">
        <v>1</v>
      </c>
      <c r="K93" s="1911">
        <v>408588.05</v>
      </c>
      <c r="L93" s="1911">
        <v>131671.26</v>
      </c>
      <c r="M93" s="1911">
        <v>276916.78999999998</v>
      </c>
      <c r="N93" s="1752" t="s">
        <v>3788</v>
      </c>
      <c r="O93" s="1752" t="s">
        <v>109</v>
      </c>
      <c r="P93" s="1752"/>
      <c r="Q93" s="762" t="s">
        <v>3995</v>
      </c>
    </row>
    <row r="94" spans="1:17" s="763" customFormat="1" ht="12" customHeight="1">
      <c r="A94" s="1752" t="s">
        <v>3796</v>
      </c>
      <c r="B94" s="1752" t="s">
        <v>510</v>
      </c>
      <c r="C94" s="1752" t="s">
        <v>3797</v>
      </c>
      <c r="D94" s="1752">
        <v>59041320</v>
      </c>
      <c r="E94" s="1752" t="s">
        <v>3859</v>
      </c>
      <c r="F94" s="1752">
        <v>141006098</v>
      </c>
      <c r="G94" s="1752" t="s">
        <v>3880</v>
      </c>
      <c r="H94" s="1752" t="s">
        <v>3880</v>
      </c>
      <c r="I94" s="1752" t="s">
        <v>6867</v>
      </c>
      <c r="J94" s="1752">
        <v>1</v>
      </c>
      <c r="K94" s="1911">
        <v>49001.72</v>
      </c>
      <c r="L94" s="1911">
        <v>15791.26</v>
      </c>
      <c r="M94" s="1911">
        <v>33210.46</v>
      </c>
      <c r="N94" s="1752" t="s">
        <v>3788</v>
      </c>
      <c r="O94" s="1752" t="s">
        <v>390</v>
      </c>
      <c r="P94" s="1752"/>
      <c r="Q94" s="762" t="s">
        <v>3881</v>
      </c>
    </row>
    <row r="95" spans="1:17" s="763" customFormat="1" ht="12" customHeight="1">
      <c r="A95" s="1752" t="s">
        <v>3796</v>
      </c>
      <c r="B95" s="1752" t="s">
        <v>510</v>
      </c>
      <c r="C95" s="1752" t="s">
        <v>3797</v>
      </c>
      <c r="D95" s="1752">
        <v>59148285</v>
      </c>
      <c r="E95" s="1752" t="s">
        <v>3859</v>
      </c>
      <c r="F95" s="1752">
        <v>141005763</v>
      </c>
      <c r="G95" s="1752" t="s">
        <v>3996</v>
      </c>
      <c r="H95" s="1752" t="s">
        <v>3997</v>
      </c>
      <c r="I95" s="1752" t="s">
        <v>6867</v>
      </c>
      <c r="J95" s="1752">
        <v>1</v>
      </c>
      <c r="K95" s="1911">
        <v>66953.850000000006</v>
      </c>
      <c r="L95" s="1911">
        <v>21576.49</v>
      </c>
      <c r="M95" s="1911">
        <v>45377.36</v>
      </c>
      <c r="N95" s="1752" t="s">
        <v>3788</v>
      </c>
      <c r="O95" s="1752" t="s">
        <v>109</v>
      </c>
      <c r="P95" s="1752"/>
      <c r="Q95" s="762" t="s">
        <v>3998</v>
      </c>
    </row>
    <row r="96" spans="1:17" s="763" customFormat="1" ht="12" customHeight="1">
      <c r="A96" s="1752" t="s">
        <v>3796</v>
      </c>
      <c r="B96" s="1752" t="s">
        <v>510</v>
      </c>
      <c r="C96" s="1752" t="s">
        <v>3797</v>
      </c>
      <c r="D96" s="1752">
        <v>59204269</v>
      </c>
      <c r="E96" s="1752" t="s">
        <v>3859</v>
      </c>
      <c r="F96" s="1752">
        <v>141006923</v>
      </c>
      <c r="G96" s="1752" t="s">
        <v>4005</v>
      </c>
      <c r="H96" s="1752" t="s">
        <v>4006</v>
      </c>
      <c r="I96" s="1752" t="s">
        <v>6867</v>
      </c>
      <c r="J96" s="1752">
        <v>1</v>
      </c>
      <c r="K96" s="1911">
        <v>28219.920000000002</v>
      </c>
      <c r="L96" s="1911">
        <v>9094.130000000001</v>
      </c>
      <c r="M96" s="1911">
        <v>19125.79</v>
      </c>
      <c r="N96" s="1752" t="s">
        <v>3788</v>
      </c>
      <c r="O96" s="1752" t="s">
        <v>391</v>
      </c>
      <c r="P96" s="1752"/>
      <c r="Q96" s="762" t="s">
        <v>4007</v>
      </c>
    </row>
    <row r="97" spans="1:17" s="763" customFormat="1" ht="12" customHeight="1">
      <c r="A97" s="1752" t="s">
        <v>3796</v>
      </c>
      <c r="B97" s="1752" t="s">
        <v>510</v>
      </c>
      <c r="C97" s="1752" t="s">
        <v>3797</v>
      </c>
      <c r="D97" s="1752">
        <v>59379661</v>
      </c>
      <c r="E97" s="1752" t="s">
        <v>3859</v>
      </c>
      <c r="F97" s="1752">
        <v>141005591</v>
      </c>
      <c r="G97" s="1752" t="s">
        <v>4008</v>
      </c>
      <c r="H97" s="1752" t="s">
        <v>4008</v>
      </c>
      <c r="I97" s="1752" t="s">
        <v>6867</v>
      </c>
      <c r="J97" s="1752">
        <v>1</v>
      </c>
      <c r="K97" s="1911">
        <v>2297928.9700000002</v>
      </c>
      <c r="L97" s="1911">
        <v>740528.75</v>
      </c>
      <c r="M97" s="1911">
        <v>1557400.22</v>
      </c>
      <c r="N97" s="1752" t="s">
        <v>3788</v>
      </c>
      <c r="O97" s="1752" t="s">
        <v>95</v>
      </c>
      <c r="P97" s="1752"/>
      <c r="Q97" s="762" t="s">
        <v>4009</v>
      </c>
    </row>
    <row r="98" spans="1:17" s="763" customFormat="1" ht="12" customHeight="1">
      <c r="A98" s="1752" t="s">
        <v>3796</v>
      </c>
      <c r="B98" s="1752" t="s">
        <v>510</v>
      </c>
      <c r="C98" s="1752" t="s">
        <v>3797</v>
      </c>
      <c r="D98" s="1752">
        <v>59903533</v>
      </c>
      <c r="E98" s="1752" t="s">
        <v>3859</v>
      </c>
      <c r="F98" s="1752">
        <v>141007041</v>
      </c>
      <c r="G98" s="1752" t="s">
        <v>3882</v>
      </c>
      <c r="H98" s="1752" t="s">
        <v>3883</v>
      </c>
      <c r="I98" s="1752" t="s">
        <v>6867</v>
      </c>
      <c r="J98" s="1752">
        <v>1</v>
      </c>
      <c r="K98" s="1911">
        <v>1956354.69</v>
      </c>
      <c r="L98" s="1911">
        <v>630453.30000000005</v>
      </c>
      <c r="M98" s="1911">
        <v>1325901.3900000001</v>
      </c>
      <c r="N98" s="1752" t="s">
        <v>3788</v>
      </c>
      <c r="O98" s="1752" t="s">
        <v>95</v>
      </c>
      <c r="P98" s="1752"/>
      <c r="Q98" s="762" t="s">
        <v>3884</v>
      </c>
    </row>
    <row r="99" spans="1:17" s="763" customFormat="1" ht="12" customHeight="1">
      <c r="A99" s="1752" t="s">
        <v>3796</v>
      </c>
      <c r="B99" s="1752" t="s">
        <v>510</v>
      </c>
      <c r="C99" s="1752" t="s">
        <v>3942</v>
      </c>
      <c r="D99" s="1752">
        <v>60027267</v>
      </c>
      <c r="E99" s="1752" t="s">
        <v>3859</v>
      </c>
      <c r="F99" s="1752">
        <v>141005753</v>
      </c>
      <c r="G99" s="1752" t="s">
        <v>3943</v>
      </c>
      <c r="H99" s="1752" t="s">
        <v>3943</v>
      </c>
      <c r="I99" s="1752" t="s">
        <v>6867</v>
      </c>
      <c r="J99" s="1752">
        <v>1</v>
      </c>
      <c r="K99" s="1911">
        <v>49426.48</v>
      </c>
      <c r="L99" s="1911">
        <v>15928.140000000001</v>
      </c>
      <c r="M99" s="1911">
        <v>33498.340000000004</v>
      </c>
      <c r="N99" s="1752" t="s">
        <v>3788</v>
      </c>
      <c r="O99" s="1752" t="s">
        <v>392</v>
      </c>
      <c r="P99" s="1752"/>
      <c r="Q99" s="762" t="s">
        <v>3944</v>
      </c>
    </row>
    <row r="100" spans="1:17" s="763" customFormat="1" ht="12" customHeight="1">
      <c r="A100" s="1752" t="s">
        <v>3796</v>
      </c>
      <c r="B100" s="1752" t="s">
        <v>510</v>
      </c>
      <c r="C100" s="1752" t="s">
        <v>3942</v>
      </c>
      <c r="D100" s="1752">
        <v>60027273</v>
      </c>
      <c r="E100" s="1752" t="s">
        <v>3859</v>
      </c>
      <c r="F100" s="1752">
        <v>141005755</v>
      </c>
      <c r="G100" s="1752" t="s">
        <v>3945</v>
      </c>
      <c r="H100" s="1752" t="s">
        <v>3946</v>
      </c>
      <c r="I100" s="1752" t="s">
        <v>6867</v>
      </c>
      <c r="J100" s="1752">
        <v>1</v>
      </c>
      <c r="K100" s="1911">
        <v>68905.149999999994</v>
      </c>
      <c r="L100" s="1911">
        <v>22205.32</v>
      </c>
      <c r="M100" s="1911">
        <v>46699.83</v>
      </c>
      <c r="N100" s="1752" t="s">
        <v>3788</v>
      </c>
      <c r="O100" s="1752" t="s">
        <v>95</v>
      </c>
      <c r="P100" s="1752"/>
      <c r="Q100" s="762" t="s">
        <v>3947</v>
      </c>
    </row>
    <row r="101" spans="1:17" s="763" customFormat="1" ht="12" customHeight="1">
      <c r="A101" s="1752" t="s">
        <v>3796</v>
      </c>
      <c r="B101" s="1752" t="s">
        <v>510</v>
      </c>
      <c r="C101" s="1752" t="s">
        <v>3823</v>
      </c>
      <c r="D101" s="1752">
        <v>60027279</v>
      </c>
      <c r="E101" s="1752" t="s">
        <v>3859</v>
      </c>
      <c r="F101" s="1752">
        <v>141005759</v>
      </c>
      <c r="G101" s="1752" t="s">
        <v>3948</v>
      </c>
      <c r="H101" s="1752" t="s">
        <v>3948</v>
      </c>
      <c r="I101" s="1752" t="s">
        <v>6867</v>
      </c>
      <c r="J101" s="1752">
        <v>1</v>
      </c>
      <c r="K101" s="1911">
        <v>92030.91</v>
      </c>
      <c r="L101" s="1911">
        <v>29657.81</v>
      </c>
      <c r="M101" s="1911">
        <v>62373.1</v>
      </c>
      <c r="N101" s="1752" t="s">
        <v>3788</v>
      </c>
      <c r="O101" s="1752" t="s">
        <v>392</v>
      </c>
      <c r="P101" s="1752"/>
      <c r="Q101" s="762" t="s">
        <v>3947</v>
      </c>
    </row>
    <row r="102" spans="1:17" s="763" customFormat="1" ht="12" customHeight="1">
      <c r="A102" s="1752" t="s">
        <v>3796</v>
      </c>
      <c r="B102" s="1752" t="s">
        <v>510</v>
      </c>
      <c r="C102" s="1752" t="s">
        <v>3797</v>
      </c>
      <c r="D102" s="1752">
        <v>60066907</v>
      </c>
      <c r="E102" s="1752" t="s">
        <v>3859</v>
      </c>
      <c r="F102" s="1752">
        <v>141005200</v>
      </c>
      <c r="G102" s="1752" t="s">
        <v>3949</v>
      </c>
      <c r="H102" s="1752" t="s">
        <v>3949</v>
      </c>
      <c r="I102" s="1752" t="s">
        <v>6867</v>
      </c>
      <c r="J102" s="1752">
        <v>1</v>
      </c>
      <c r="K102" s="1911">
        <v>65089.94</v>
      </c>
      <c r="L102" s="1911">
        <v>20975.83</v>
      </c>
      <c r="M102" s="1911">
        <v>44114.11</v>
      </c>
      <c r="N102" s="1752" t="s">
        <v>3788</v>
      </c>
      <c r="O102" s="1752" t="s">
        <v>392</v>
      </c>
      <c r="P102" s="1752"/>
      <c r="Q102" s="762" t="s">
        <v>3950</v>
      </c>
    </row>
    <row r="103" spans="1:17" s="763" customFormat="1" ht="12" customHeight="1">
      <c r="A103" s="1752" t="s">
        <v>3796</v>
      </c>
      <c r="B103" s="1752" t="s">
        <v>510</v>
      </c>
      <c r="C103" s="1752" t="s">
        <v>3797</v>
      </c>
      <c r="D103" s="1752">
        <v>60414544</v>
      </c>
      <c r="E103" s="1752" t="s">
        <v>3859</v>
      </c>
      <c r="F103" s="1752">
        <v>141005201</v>
      </c>
      <c r="G103" s="1752" t="s">
        <v>3951</v>
      </c>
      <c r="H103" s="1752" t="s">
        <v>3951</v>
      </c>
      <c r="I103" s="1752" t="s">
        <v>6867</v>
      </c>
      <c r="J103" s="1752">
        <v>1</v>
      </c>
      <c r="K103" s="1911">
        <v>39403.14</v>
      </c>
      <c r="L103" s="1911">
        <v>12698.02</v>
      </c>
      <c r="M103" s="1911">
        <v>26705.119999999999</v>
      </c>
      <c r="N103" s="1752" t="s">
        <v>3788</v>
      </c>
      <c r="O103" s="1752" t="s">
        <v>392</v>
      </c>
      <c r="P103" s="1752"/>
      <c r="Q103" s="762" t="s">
        <v>3952</v>
      </c>
    </row>
    <row r="104" spans="1:17" s="763" customFormat="1" ht="12" customHeight="1">
      <c r="A104" s="1752" t="s">
        <v>3796</v>
      </c>
      <c r="B104" s="1752" t="s">
        <v>510</v>
      </c>
      <c r="C104" s="1752" t="s">
        <v>3797</v>
      </c>
      <c r="D104" s="1752">
        <v>60414555</v>
      </c>
      <c r="E104" s="1752" t="s">
        <v>3859</v>
      </c>
      <c r="F104" s="1752">
        <v>141006038</v>
      </c>
      <c r="G104" s="1752" t="s">
        <v>3953</v>
      </c>
      <c r="H104" s="1752" t="s">
        <v>3954</v>
      </c>
      <c r="I104" s="1752" t="s">
        <v>6867</v>
      </c>
      <c r="J104" s="1752">
        <v>1</v>
      </c>
      <c r="K104" s="1911">
        <v>105740.5</v>
      </c>
      <c r="L104" s="1911">
        <v>34075.85</v>
      </c>
      <c r="M104" s="1911">
        <v>71664.650000000009</v>
      </c>
      <c r="N104" s="1752" t="s">
        <v>3788</v>
      </c>
      <c r="O104" s="1752" t="s">
        <v>95</v>
      </c>
      <c r="P104" s="1752"/>
      <c r="Q104" s="762" t="s">
        <v>3955</v>
      </c>
    </row>
    <row r="105" spans="1:17" s="763" customFormat="1" ht="12" customHeight="1">
      <c r="A105" s="1752" t="s">
        <v>3796</v>
      </c>
      <c r="B105" s="1752" t="s">
        <v>510</v>
      </c>
      <c r="C105" s="1752" t="s">
        <v>3797</v>
      </c>
      <c r="D105" s="1752">
        <v>60484515</v>
      </c>
      <c r="E105" s="1752" t="s">
        <v>3859</v>
      </c>
      <c r="F105" s="1752">
        <v>141006089</v>
      </c>
      <c r="G105" s="1752" t="s">
        <v>3956</v>
      </c>
      <c r="H105" s="1752" t="s">
        <v>3957</v>
      </c>
      <c r="I105" s="1752" t="s">
        <v>6867</v>
      </c>
      <c r="J105" s="1752">
        <v>1</v>
      </c>
      <c r="K105" s="1911">
        <v>174136.85</v>
      </c>
      <c r="L105" s="1911">
        <v>56117.200000000004</v>
      </c>
      <c r="M105" s="1911">
        <v>118019.65000000001</v>
      </c>
      <c r="N105" s="1752" t="s">
        <v>3788</v>
      </c>
      <c r="O105" s="1752" t="s">
        <v>391</v>
      </c>
      <c r="P105" s="1752"/>
      <c r="Q105" s="762" t="s">
        <v>3958</v>
      </c>
    </row>
    <row r="106" spans="1:17" s="763" customFormat="1" ht="12" customHeight="1">
      <c r="A106" s="1752" t="s">
        <v>3796</v>
      </c>
      <c r="B106" s="1752" t="s">
        <v>510</v>
      </c>
      <c r="C106" s="1752" t="s">
        <v>3797</v>
      </c>
      <c r="D106" s="1752">
        <v>60890172</v>
      </c>
      <c r="E106" s="1752" t="s">
        <v>3859</v>
      </c>
      <c r="F106" s="1752">
        <v>141006748</v>
      </c>
      <c r="G106" s="1752" t="s">
        <v>3999</v>
      </c>
      <c r="H106" s="1752" t="s">
        <v>4000</v>
      </c>
      <c r="I106" s="1752" t="s">
        <v>6867</v>
      </c>
      <c r="J106" s="1752">
        <v>1</v>
      </c>
      <c r="K106" s="1911">
        <v>117021.46</v>
      </c>
      <c r="L106" s="1911">
        <v>37711.24</v>
      </c>
      <c r="M106" s="1911">
        <v>79310.22</v>
      </c>
      <c r="N106" s="1752" t="s">
        <v>3788</v>
      </c>
      <c r="O106" s="1752" t="s">
        <v>109</v>
      </c>
      <c r="P106" s="1752"/>
      <c r="Q106" s="762" t="s">
        <v>4001</v>
      </c>
    </row>
    <row r="107" spans="1:17" s="763" customFormat="1" ht="12" customHeight="1">
      <c r="A107" s="1752" t="s">
        <v>3796</v>
      </c>
      <c r="B107" s="1752" t="s">
        <v>510</v>
      </c>
      <c r="C107" s="1752" t="s">
        <v>3797</v>
      </c>
      <c r="D107" s="1752">
        <v>61702427</v>
      </c>
      <c r="E107" s="1752" t="s">
        <v>3859</v>
      </c>
      <c r="F107" s="1752">
        <v>141007101</v>
      </c>
      <c r="G107" s="1752" t="s">
        <v>3885</v>
      </c>
      <c r="H107" s="1752" t="s">
        <v>3886</v>
      </c>
      <c r="I107" s="1752" t="s">
        <v>6867</v>
      </c>
      <c r="J107" s="1752">
        <v>1</v>
      </c>
      <c r="K107" s="1911">
        <v>17534.38</v>
      </c>
      <c r="L107" s="1911">
        <v>5650.62</v>
      </c>
      <c r="M107" s="1911">
        <v>11883.76</v>
      </c>
      <c r="N107" s="1752" t="s">
        <v>3788</v>
      </c>
      <c r="O107" s="1752" t="s">
        <v>390</v>
      </c>
      <c r="P107" s="1752"/>
      <c r="Q107" s="762" t="s">
        <v>3887</v>
      </c>
    </row>
    <row r="108" spans="1:17" s="763" customFormat="1" ht="12" customHeight="1">
      <c r="A108" s="1752" t="s">
        <v>3796</v>
      </c>
      <c r="B108" s="1752" t="s">
        <v>510</v>
      </c>
      <c r="C108" s="1752" t="s">
        <v>3942</v>
      </c>
      <c r="D108" s="1752">
        <v>61896865</v>
      </c>
      <c r="E108" s="1752" t="s">
        <v>3859</v>
      </c>
      <c r="F108" s="1752">
        <v>141004949</v>
      </c>
      <c r="G108" s="1752" t="s">
        <v>3959</v>
      </c>
      <c r="H108" s="1752" t="s">
        <v>3960</v>
      </c>
      <c r="I108" s="1752" t="s">
        <v>6867</v>
      </c>
      <c r="J108" s="1752">
        <v>1</v>
      </c>
      <c r="K108" s="1911">
        <v>83999.63</v>
      </c>
      <c r="L108" s="1911">
        <v>27069.65</v>
      </c>
      <c r="M108" s="1911">
        <v>56929.98</v>
      </c>
      <c r="N108" s="1752" t="s">
        <v>3788</v>
      </c>
      <c r="O108" s="1752" t="s">
        <v>95</v>
      </c>
      <c r="P108" s="1752"/>
      <c r="Q108" s="762" t="s">
        <v>3904</v>
      </c>
    </row>
    <row r="109" spans="1:17" s="763" customFormat="1" ht="12" customHeight="1">
      <c r="A109" s="1752" t="s">
        <v>3796</v>
      </c>
      <c r="B109" s="1752" t="s">
        <v>510</v>
      </c>
      <c r="C109" s="1752" t="s">
        <v>3797</v>
      </c>
      <c r="D109" s="1752">
        <v>62035353</v>
      </c>
      <c r="E109" s="1752" t="s">
        <v>3859</v>
      </c>
      <c r="F109" s="1752">
        <v>141004942</v>
      </c>
      <c r="G109" s="1752" t="s">
        <v>3902</v>
      </c>
      <c r="H109" s="1752" t="s">
        <v>3903</v>
      </c>
      <c r="I109" s="1752" t="s">
        <v>6867</v>
      </c>
      <c r="J109" s="1752">
        <v>1</v>
      </c>
      <c r="K109" s="1911">
        <v>430497.02</v>
      </c>
      <c r="L109" s="1911">
        <v>138731.63</v>
      </c>
      <c r="M109" s="1911">
        <v>291765.39</v>
      </c>
      <c r="N109" s="1752" t="s">
        <v>3788</v>
      </c>
      <c r="O109" s="1752" t="s">
        <v>95</v>
      </c>
      <c r="P109" s="1752"/>
      <c r="Q109" s="762" t="s">
        <v>3904</v>
      </c>
    </row>
    <row r="110" spans="1:17" s="763" customFormat="1" ht="12" customHeight="1">
      <c r="A110" s="1752" t="s">
        <v>3796</v>
      </c>
      <c r="B110" s="1752" t="s">
        <v>510</v>
      </c>
      <c r="C110" s="1752" t="s">
        <v>3797</v>
      </c>
      <c r="D110" s="1752">
        <v>62035359</v>
      </c>
      <c r="E110" s="1752" t="s">
        <v>3859</v>
      </c>
      <c r="F110" s="1752">
        <v>141004951</v>
      </c>
      <c r="G110" s="1752" t="s">
        <v>3961</v>
      </c>
      <c r="H110" s="1752" t="s">
        <v>3962</v>
      </c>
      <c r="I110" s="1752" t="s">
        <v>6867</v>
      </c>
      <c r="J110" s="1752">
        <v>1</v>
      </c>
      <c r="K110" s="1911">
        <v>68533.600000000006</v>
      </c>
      <c r="L110" s="1911">
        <v>22085.58</v>
      </c>
      <c r="M110" s="1911">
        <v>46448.020000000004</v>
      </c>
      <c r="N110" s="1752" t="s">
        <v>3788</v>
      </c>
      <c r="O110" s="1752" t="s">
        <v>95</v>
      </c>
      <c r="P110" s="1752"/>
      <c r="Q110" s="762" t="s">
        <v>3904</v>
      </c>
    </row>
    <row r="111" spans="1:17" s="763" customFormat="1" ht="12" customHeight="1">
      <c r="A111" s="1752" t="s">
        <v>3796</v>
      </c>
      <c r="B111" s="1752" t="s">
        <v>510</v>
      </c>
      <c r="C111" s="1752" t="s">
        <v>3801</v>
      </c>
      <c r="D111" s="1752">
        <v>62035362</v>
      </c>
      <c r="E111" s="1752" t="s">
        <v>3859</v>
      </c>
      <c r="F111" s="1752">
        <v>141004952</v>
      </c>
      <c r="G111" s="1752" t="s">
        <v>3963</v>
      </c>
      <c r="H111" s="1752" t="s">
        <v>3964</v>
      </c>
      <c r="I111" s="1752" t="s">
        <v>6867</v>
      </c>
      <c r="J111" s="1752">
        <v>1</v>
      </c>
      <c r="K111" s="1911">
        <v>174523.26</v>
      </c>
      <c r="L111" s="1911">
        <v>56241.73</v>
      </c>
      <c r="M111" s="1911">
        <v>118281.53</v>
      </c>
      <c r="N111" s="1752" t="s">
        <v>3788</v>
      </c>
      <c r="O111" s="1752" t="s">
        <v>95</v>
      </c>
      <c r="P111" s="1752"/>
      <c r="Q111" s="762" t="s">
        <v>3904</v>
      </c>
    </row>
    <row r="112" spans="1:17" s="763" customFormat="1" ht="12" customHeight="1">
      <c r="A112" s="1752" t="s">
        <v>3796</v>
      </c>
      <c r="B112" s="1752" t="s">
        <v>510</v>
      </c>
      <c r="C112" s="1752" t="s">
        <v>3823</v>
      </c>
      <c r="D112" s="1752">
        <v>62035365</v>
      </c>
      <c r="E112" s="1752" t="s">
        <v>3859</v>
      </c>
      <c r="F112" s="1752">
        <v>141004953</v>
      </c>
      <c r="G112" s="1752" t="s">
        <v>3965</v>
      </c>
      <c r="H112" s="1752" t="s">
        <v>3966</v>
      </c>
      <c r="I112" s="1752" t="s">
        <v>6867</v>
      </c>
      <c r="J112" s="1752">
        <v>1</v>
      </c>
      <c r="K112" s="1911">
        <v>68425.05</v>
      </c>
      <c r="L112" s="1911">
        <v>22050.600000000002</v>
      </c>
      <c r="M112" s="1911">
        <v>46374.450000000004</v>
      </c>
      <c r="N112" s="1752" t="s">
        <v>3788</v>
      </c>
      <c r="O112" s="1752" t="s">
        <v>95</v>
      </c>
      <c r="P112" s="1752"/>
      <c r="Q112" s="762" t="s">
        <v>3904</v>
      </c>
    </row>
    <row r="113" spans="1:17" s="763" customFormat="1" ht="12" customHeight="1">
      <c r="A113" s="1752" t="s">
        <v>3796</v>
      </c>
      <c r="B113" s="1752" t="s">
        <v>510</v>
      </c>
      <c r="C113" s="1752" t="s">
        <v>3797</v>
      </c>
      <c r="D113" s="1752">
        <v>62035378</v>
      </c>
      <c r="E113" s="1752" t="s">
        <v>3859</v>
      </c>
      <c r="F113" s="1752">
        <v>141005663</v>
      </c>
      <c r="G113" s="1752" t="s">
        <v>3905</v>
      </c>
      <c r="H113" s="1752" t="s">
        <v>3906</v>
      </c>
      <c r="I113" s="1752" t="s">
        <v>6867</v>
      </c>
      <c r="J113" s="1752">
        <v>1</v>
      </c>
      <c r="K113" s="1911">
        <v>122098</v>
      </c>
      <c r="L113" s="1911">
        <v>39347.200000000004</v>
      </c>
      <c r="M113" s="1911">
        <v>82750.8</v>
      </c>
      <c r="N113" s="1752" t="s">
        <v>3788</v>
      </c>
      <c r="O113" s="1752" t="s">
        <v>95</v>
      </c>
      <c r="P113" s="1752"/>
      <c r="Q113" s="762" t="s">
        <v>3904</v>
      </c>
    </row>
    <row r="114" spans="1:17" s="763" customFormat="1" ht="12" customHeight="1">
      <c r="A114" s="1752" t="s">
        <v>3796</v>
      </c>
      <c r="B114" s="1752" t="s">
        <v>510</v>
      </c>
      <c r="C114" s="1752" t="s">
        <v>3797</v>
      </c>
      <c r="D114" s="1752">
        <v>62124075</v>
      </c>
      <c r="E114" s="1752" t="s">
        <v>3859</v>
      </c>
      <c r="F114" s="1752">
        <v>141007001</v>
      </c>
      <c r="G114" s="1752" t="s">
        <v>3967</v>
      </c>
      <c r="H114" s="1752" t="s">
        <v>3968</v>
      </c>
      <c r="I114" s="1752" t="s">
        <v>6867</v>
      </c>
      <c r="J114" s="1752">
        <v>1</v>
      </c>
      <c r="K114" s="1911">
        <v>14369.43</v>
      </c>
      <c r="L114" s="1911">
        <v>4630.68</v>
      </c>
      <c r="M114" s="1911">
        <v>9738.75</v>
      </c>
      <c r="N114" s="1752" t="s">
        <v>3788</v>
      </c>
      <c r="O114" s="1752" t="s">
        <v>392</v>
      </c>
      <c r="P114" s="1752"/>
      <c r="Q114" s="762" t="s">
        <v>3969</v>
      </c>
    </row>
    <row r="115" spans="1:17" s="763" customFormat="1" ht="12" customHeight="1">
      <c r="A115" s="1752" t="s">
        <v>3796</v>
      </c>
      <c r="B115" s="1752" t="s">
        <v>510</v>
      </c>
      <c r="C115" s="1752" t="s">
        <v>3800</v>
      </c>
      <c r="D115" s="1752">
        <v>62433167</v>
      </c>
      <c r="E115" s="1752" t="s">
        <v>3859</v>
      </c>
      <c r="F115" s="1752">
        <v>141005757</v>
      </c>
      <c r="G115" s="1752" t="s">
        <v>3970</v>
      </c>
      <c r="H115" s="1752" t="s">
        <v>3970</v>
      </c>
      <c r="I115" s="1752" t="s">
        <v>6867</v>
      </c>
      <c r="J115" s="1752">
        <v>1</v>
      </c>
      <c r="K115" s="1911">
        <v>91742.56</v>
      </c>
      <c r="L115" s="1911">
        <v>29564.880000000001</v>
      </c>
      <c r="M115" s="1911">
        <v>62177.68</v>
      </c>
      <c r="N115" s="1752" t="s">
        <v>3788</v>
      </c>
      <c r="O115" s="1752" t="s">
        <v>392</v>
      </c>
      <c r="P115" s="1752"/>
      <c r="Q115" s="762" t="s">
        <v>3944</v>
      </c>
    </row>
    <row r="116" spans="1:17" s="763" customFormat="1" ht="12" customHeight="1">
      <c r="A116" s="1752" t="s">
        <v>3796</v>
      </c>
      <c r="B116" s="1752" t="s">
        <v>510</v>
      </c>
      <c r="C116" s="1752" t="s">
        <v>3797</v>
      </c>
      <c r="D116" s="1752">
        <v>62433197</v>
      </c>
      <c r="E116" s="1752" t="s">
        <v>3859</v>
      </c>
      <c r="F116" s="1752">
        <v>141007160</v>
      </c>
      <c r="G116" s="1752" t="s">
        <v>4002</v>
      </c>
      <c r="H116" s="1752" t="s">
        <v>4002</v>
      </c>
      <c r="I116" s="1752" t="s">
        <v>6867</v>
      </c>
      <c r="J116" s="1752">
        <v>1</v>
      </c>
      <c r="K116" s="1911">
        <v>100516.68000000001</v>
      </c>
      <c r="L116" s="1911">
        <v>32392.420000000002</v>
      </c>
      <c r="M116" s="1911">
        <v>68124.259999999995</v>
      </c>
      <c r="N116" s="1752" t="s">
        <v>3788</v>
      </c>
      <c r="O116" s="1752" t="s">
        <v>95</v>
      </c>
      <c r="P116" s="1752"/>
      <c r="Q116" s="762" t="s">
        <v>4003</v>
      </c>
    </row>
    <row r="117" spans="1:17" s="763" customFormat="1" ht="12" customHeight="1">
      <c r="A117" s="1752" t="s">
        <v>3796</v>
      </c>
      <c r="B117" s="1752" t="s">
        <v>510</v>
      </c>
      <c r="C117" s="1752" t="s">
        <v>3797</v>
      </c>
      <c r="D117" s="1752">
        <v>62517482</v>
      </c>
      <c r="E117" s="1752" t="s">
        <v>3859</v>
      </c>
      <c r="F117" s="1752">
        <v>141006612</v>
      </c>
      <c r="G117" s="1752" t="s">
        <v>3971</v>
      </c>
      <c r="H117" s="1752" t="s">
        <v>3972</v>
      </c>
      <c r="I117" s="1752" t="s">
        <v>6867</v>
      </c>
      <c r="J117" s="1752">
        <v>1</v>
      </c>
      <c r="K117" s="1911">
        <v>2387676.64</v>
      </c>
      <c r="L117" s="1911">
        <v>769450.76</v>
      </c>
      <c r="M117" s="1911">
        <v>1618225.88</v>
      </c>
      <c r="N117" s="1752" t="s">
        <v>3788</v>
      </c>
      <c r="O117" s="1752" t="s">
        <v>95</v>
      </c>
      <c r="P117" s="1752" t="s">
        <v>8349</v>
      </c>
      <c r="Q117" s="762" t="s">
        <v>3973</v>
      </c>
    </row>
    <row r="118" spans="1:17" s="763" customFormat="1" ht="12" customHeight="1">
      <c r="A118" s="1752" t="s">
        <v>3796</v>
      </c>
      <c r="B118" s="1752" t="s">
        <v>510</v>
      </c>
      <c r="C118" s="1752" t="s">
        <v>3797</v>
      </c>
      <c r="D118" s="1752">
        <v>62895461</v>
      </c>
      <c r="E118" s="1752" t="s">
        <v>3859</v>
      </c>
      <c r="F118" s="1752">
        <v>141005068</v>
      </c>
      <c r="G118" s="1752" t="s">
        <v>3888</v>
      </c>
      <c r="H118" s="1752" t="s">
        <v>3889</v>
      </c>
      <c r="I118" s="1752" t="s">
        <v>6867</v>
      </c>
      <c r="J118" s="1752">
        <v>1</v>
      </c>
      <c r="K118" s="1911">
        <v>2674136.7199999997</v>
      </c>
      <c r="L118" s="1911">
        <v>861765.16</v>
      </c>
      <c r="M118" s="1911">
        <v>1812371.56</v>
      </c>
      <c r="N118" s="1752" t="s">
        <v>3788</v>
      </c>
      <c r="O118" s="1752" t="s">
        <v>390</v>
      </c>
      <c r="P118" s="1752"/>
      <c r="Q118" s="762" t="s">
        <v>3890</v>
      </c>
    </row>
    <row r="119" spans="1:17" s="763" customFormat="1" ht="12" customHeight="1">
      <c r="A119" s="1752" t="s">
        <v>3796</v>
      </c>
      <c r="B119" s="1752" t="s">
        <v>510</v>
      </c>
      <c r="C119" s="1752" t="s">
        <v>3797</v>
      </c>
      <c r="D119" s="1752">
        <v>62895605</v>
      </c>
      <c r="E119" s="1752" t="s">
        <v>3859</v>
      </c>
      <c r="F119" s="1752">
        <v>141007000</v>
      </c>
      <c r="G119" s="1752" t="s">
        <v>3975</v>
      </c>
      <c r="H119" s="1752" t="s">
        <v>3976</v>
      </c>
      <c r="I119" s="1752" t="s">
        <v>6867</v>
      </c>
      <c r="J119" s="1752">
        <v>1</v>
      </c>
      <c r="K119" s="1911">
        <v>103361.48</v>
      </c>
      <c r="L119" s="1911">
        <v>33309.19</v>
      </c>
      <c r="M119" s="1911">
        <v>70052.290000000008</v>
      </c>
      <c r="N119" s="1752" t="s">
        <v>3788</v>
      </c>
      <c r="O119" s="1752" t="s">
        <v>392</v>
      </c>
      <c r="P119" s="1752"/>
      <c r="Q119" s="762" t="s">
        <v>3977</v>
      </c>
    </row>
    <row r="120" spans="1:17" s="763" customFormat="1" ht="12" customHeight="1">
      <c r="A120" s="1752" t="s">
        <v>3796</v>
      </c>
      <c r="B120" s="1752" t="s">
        <v>510</v>
      </c>
      <c r="C120" s="1752" t="s">
        <v>3797</v>
      </c>
      <c r="D120" s="1752">
        <v>62895608</v>
      </c>
      <c r="E120" s="1752" t="s">
        <v>3859</v>
      </c>
      <c r="F120" s="1752">
        <v>141007143</v>
      </c>
      <c r="G120" s="1752" t="s">
        <v>3907</v>
      </c>
      <c r="H120" s="1752" t="s">
        <v>3908</v>
      </c>
      <c r="I120" s="1752" t="s">
        <v>6867</v>
      </c>
      <c r="J120" s="1752">
        <v>1</v>
      </c>
      <c r="K120" s="1911">
        <v>35865.040000000001</v>
      </c>
      <c r="L120" s="1911">
        <v>11557.84</v>
      </c>
      <c r="M120" s="1911">
        <v>24307.200000000001</v>
      </c>
      <c r="N120" s="1752" t="s">
        <v>3788</v>
      </c>
      <c r="O120" s="1752" t="s">
        <v>392</v>
      </c>
      <c r="P120" s="1752"/>
      <c r="Q120" s="762" t="s">
        <v>3909</v>
      </c>
    </row>
    <row r="121" spans="1:17" s="763" customFormat="1" ht="12" customHeight="1">
      <c r="A121" s="1752" t="s">
        <v>3796</v>
      </c>
      <c r="B121" s="1752" t="s">
        <v>510</v>
      </c>
      <c r="C121" s="1752" t="s">
        <v>3801</v>
      </c>
      <c r="D121" s="1752">
        <v>63265594</v>
      </c>
      <c r="E121" s="1752" t="s">
        <v>3859</v>
      </c>
      <c r="F121" s="1752">
        <v>141005761</v>
      </c>
      <c r="G121" s="1752" t="s">
        <v>6999</v>
      </c>
      <c r="H121" s="1752" t="s">
        <v>6999</v>
      </c>
      <c r="I121" s="1752" t="s">
        <v>6867</v>
      </c>
      <c r="J121" s="1752">
        <v>1</v>
      </c>
      <c r="K121" s="1911">
        <v>98150.400000000009</v>
      </c>
      <c r="L121" s="1911">
        <v>2206.0700000000002</v>
      </c>
      <c r="M121" s="1911">
        <v>95944.33</v>
      </c>
      <c r="N121" s="1752" t="s">
        <v>3788</v>
      </c>
      <c r="O121" s="1752" t="s">
        <v>392</v>
      </c>
      <c r="P121" s="1752" t="s">
        <v>8341</v>
      </c>
      <c r="Q121" s="762" t="s">
        <v>8340</v>
      </c>
    </row>
    <row r="122" spans="1:17" s="763" customFormat="1" ht="12" customHeight="1">
      <c r="A122" s="1752" t="s">
        <v>3796</v>
      </c>
      <c r="B122" s="1752" t="s">
        <v>510</v>
      </c>
      <c r="C122" s="1752" t="s">
        <v>3797</v>
      </c>
      <c r="D122" s="1752">
        <v>63265616</v>
      </c>
      <c r="E122" s="1752" t="s">
        <v>3859</v>
      </c>
      <c r="F122" s="1752">
        <v>141006610</v>
      </c>
      <c r="G122" s="1752" t="s">
        <v>7000</v>
      </c>
      <c r="H122" s="1752" t="s">
        <v>7000</v>
      </c>
      <c r="I122" s="1752" t="s">
        <v>6867</v>
      </c>
      <c r="J122" s="1752">
        <v>1</v>
      </c>
      <c r="K122" s="1911">
        <v>155913.93</v>
      </c>
      <c r="L122" s="1911">
        <v>3504.39</v>
      </c>
      <c r="M122" s="1911">
        <v>152409.54</v>
      </c>
      <c r="N122" s="1752" t="s">
        <v>3788</v>
      </c>
      <c r="O122" s="1752" t="s">
        <v>109</v>
      </c>
      <c r="P122" s="1752" t="s">
        <v>8343</v>
      </c>
      <c r="Q122" s="762" t="s">
        <v>8342</v>
      </c>
    </row>
    <row r="123" spans="1:17" s="763" customFormat="1" ht="12" customHeight="1">
      <c r="A123" s="1752" t="s">
        <v>3796</v>
      </c>
      <c r="B123" s="1752" t="s">
        <v>510</v>
      </c>
      <c r="C123" s="1752" t="s">
        <v>3797</v>
      </c>
      <c r="D123" s="1752">
        <v>64449645</v>
      </c>
      <c r="E123" s="1752" t="s">
        <v>3859</v>
      </c>
      <c r="F123" s="1752">
        <v>141007546</v>
      </c>
      <c r="G123" s="1752" t="s">
        <v>7002</v>
      </c>
      <c r="H123" s="1752" t="s">
        <v>7002</v>
      </c>
      <c r="I123" s="1752" t="s">
        <v>6867</v>
      </c>
      <c r="J123" s="1752">
        <v>1</v>
      </c>
      <c r="K123" s="1911">
        <v>32603.37</v>
      </c>
      <c r="L123" s="1911">
        <v>732.81000000000006</v>
      </c>
      <c r="M123" s="1911">
        <v>31870.560000000001</v>
      </c>
      <c r="N123" s="1752" t="s">
        <v>3788</v>
      </c>
      <c r="O123" s="1752" t="s">
        <v>109</v>
      </c>
      <c r="P123" s="1752" t="s">
        <v>8344</v>
      </c>
      <c r="Q123" s="762" t="s">
        <v>7250</v>
      </c>
    </row>
    <row r="124" spans="1:17" s="763" customFormat="1" ht="12" customHeight="1">
      <c r="A124" s="1752" t="s">
        <v>3796</v>
      </c>
      <c r="B124" s="1752" t="s">
        <v>510</v>
      </c>
      <c r="C124" s="1752" t="s">
        <v>3797</v>
      </c>
      <c r="D124" s="1752">
        <v>64678740</v>
      </c>
      <c r="E124" s="1752" t="s">
        <v>3859</v>
      </c>
      <c r="F124" s="1752">
        <v>141006677</v>
      </c>
      <c r="G124" s="1752" t="s">
        <v>7001</v>
      </c>
      <c r="H124" s="1752" t="s">
        <v>8307</v>
      </c>
      <c r="I124" s="1752" t="s">
        <v>6867</v>
      </c>
      <c r="J124" s="1752">
        <v>1</v>
      </c>
      <c r="K124" s="1911">
        <v>81510.960000000006</v>
      </c>
      <c r="L124" s="1911">
        <v>1832.08</v>
      </c>
      <c r="M124" s="1911">
        <v>79678.880000000005</v>
      </c>
      <c r="N124" s="1752" t="s">
        <v>3788</v>
      </c>
      <c r="O124" s="1752" t="s">
        <v>390</v>
      </c>
      <c r="P124" s="1752" t="s">
        <v>8018</v>
      </c>
      <c r="Q124" s="762" t="s">
        <v>3879</v>
      </c>
    </row>
    <row r="125" spans="1:17" s="763" customFormat="1" ht="12" customHeight="1">
      <c r="A125" s="1752" t="s">
        <v>3796</v>
      </c>
      <c r="B125" s="1752" t="s">
        <v>510</v>
      </c>
      <c r="C125" s="1752" t="s">
        <v>3797</v>
      </c>
      <c r="D125" s="1752">
        <v>64905463</v>
      </c>
      <c r="E125" s="1752" t="s">
        <v>3859</v>
      </c>
      <c r="F125" s="1752">
        <v>141007566</v>
      </c>
      <c r="G125" s="1752" t="s">
        <v>7003</v>
      </c>
      <c r="H125" s="1752" t="s">
        <v>8308</v>
      </c>
      <c r="I125" s="1752" t="s">
        <v>6867</v>
      </c>
      <c r="J125" s="1752">
        <v>1</v>
      </c>
      <c r="K125" s="1911">
        <v>17492</v>
      </c>
      <c r="L125" s="1911">
        <v>393.16</v>
      </c>
      <c r="M125" s="1911">
        <v>17098.84</v>
      </c>
      <c r="N125" s="1752" t="s">
        <v>3788</v>
      </c>
      <c r="O125" s="1752" t="s">
        <v>391</v>
      </c>
      <c r="P125" s="1752" t="s">
        <v>8019</v>
      </c>
      <c r="Q125" s="762" t="s">
        <v>7251</v>
      </c>
    </row>
    <row r="126" spans="1:17" s="763" customFormat="1" ht="12" customHeight="1">
      <c r="A126" s="1752" t="s">
        <v>3796</v>
      </c>
      <c r="B126" s="1752" t="s">
        <v>510</v>
      </c>
      <c r="C126" s="1752" t="s">
        <v>3797</v>
      </c>
      <c r="D126" s="1752">
        <v>65089072</v>
      </c>
      <c r="E126" s="1752" t="s">
        <v>3859</v>
      </c>
      <c r="F126" s="1752">
        <v>141007901</v>
      </c>
      <c r="G126" s="1752" t="s">
        <v>7004</v>
      </c>
      <c r="H126" s="1752" t="s">
        <v>8309</v>
      </c>
      <c r="I126" s="1752" t="s">
        <v>6867</v>
      </c>
      <c r="J126" s="1752">
        <v>1</v>
      </c>
      <c r="K126" s="1911">
        <v>250899.25</v>
      </c>
      <c r="L126" s="1911">
        <v>5639.33</v>
      </c>
      <c r="M126" s="1911">
        <v>245259.92</v>
      </c>
      <c r="N126" s="1752" t="s">
        <v>3788</v>
      </c>
      <c r="O126" s="1752" t="s">
        <v>390</v>
      </c>
      <c r="P126" s="1752" t="s">
        <v>8022</v>
      </c>
      <c r="Q126" s="762" t="s">
        <v>8345</v>
      </c>
    </row>
    <row r="127" spans="1:17" s="763" customFormat="1" ht="12" customHeight="1">
      <c r="A127" s="1752" t="s">
        <v>3796</v>
      </c>
      <c r="B127" s="1752" t="s">
        <v>510</v>
      </c>
      <c r="C127" s="1752" t="s">
        <v>3797</v>
      </c>
      <c r="D127" s="1752">
        <v>66096335</v>
      </c>
      <c r="E127" s="1752" t="s">
        <v>3859</v>
      </c>
      <c r="F127" s="1752">
        <v>141007722</v>
      </c>
      <c r="G127" s="1752" t="s">
        <v>7005</v>
      </c>
      <c r="H127" s="1752" t="s">
        <v>8311</v>
      </c>
      <c r="I127" s="1752" t="s">
        <v>6867</v>
      </c>
      <c r="J127" s="1752">
        <v>1</v>
      </c>
      <c r="K127" s="1911">
        <v>63212.11</v>
      </c>
      <c r="L127" s="1911">
        <v>1420.79</v>
      </c>
      <c r="M127" s="1911">
        <v>61791.32</v>
      </c>
      <c r="N127" s="1752" t="s">
        <v>3788</v>
      </c>
      <c r="O127" s="1752" t="s">
        <v>390</v>
      </c>
      <c r="P127" s="1752" t="s">
        <v>8346</v>
      </c>
      <c r="Q127" s="762" t="s">
        <v>7254</v>
      </c>
    </row>
    <row r="128" spans="1:17" s="763" customFormat="1" ht="12" customHeight="1">
      <c r="A128" s="1752" t="s">
        <v>3796</v>
      </c>
      <c r="B128" s="1752" t="s">
        <v>510</v>
      </c>
      <c r="C128" s="1752" t="s">
        <v>3797</v>
      </c>
      <c r="D128" s="1752">
        <v>67251433</v>
      </c>
      <c r="E128" s="1752" t="s">
        <v>3859</v>
      </c>
      <c r="F128" s="1752">
        <v>141007003</v>
      </c>
      <c r="G128" s="1752" t="s">
        <v>7006</v>
      </c>
      <c r="H128" s="1752" t="s">
        <v>8312</v>
      </c>
      <c r="I128" s="1752" t="s">
        <v>6867</v>
      </c>
      <c r="J128" s="1752">
        <v>1</v>
      </c>
      <c r="K128" s="1911">
        <v>43840.73</v>
      </c>
      <c r="L128" s="1911">
        <v>985.38</v>
      </c>
      <c r="M128" s="1911">
        <v>42855.35</v>
      </c>
      <c r="N128" s="1752" t="s">
        <v>3788</v>
      </c>
      <c r="O128" s="1752" t="s">
        <v>95</v>
      </c>
      <c r="P128" s="1752" t="s">
        <v>8020</v>
      </c>
      <c r="Q128" s="762" t="s">
        <v>7248</v>
      </c>
    </row>
    <row r="129" spans="1:17" s="763" customFormat="1" ht="12" customHeight="1">
      <c r="A129" s="1752" t="s">
        <v>3796</v>
      </c>
      <c r="B129" s="1752" t="s">
        <v>510</v>
      </c>
      <c r="C129" s="1752" t="s">
        <v>3797</v>
      </c>
      <c r="D129" s="1752">
        <v>67734535</v>
      </c>
      <c r="E129" s="1752" t="s">
        <v>3859</v>
      </c>
      <c r="F129" s="1752">
        <v>141007405</v>
      </c>
      <c r="G129" s="1752" t="s">
        <v>7007</v>
      </c>
      <c r="H129" s="1752" t="s">
        <v>8313</v>
      </c>
      <c r="I129" s="1752" t="s">
        <v>6867</v>
      </c>
      <c r="J129" s="1752">
        <v>2</v>
      </c>
      <c r="K129" s="1911">
        <v>143896.11000000002</v>
      </c>
      <c r="L129" s="1911">
        <v>3234.28</v>
      </c>
      <c r="M129" s="1911">
        <v>140661.83000000002</v>
      </c>
      <c r="N129" s="1752" t="s">
        <v>3788</v>
      </c>
      <c r="O129" s="1752" t="s">
        <v>95</v>
      </c>
      <c r="P129" s="1752" t="s">
        <v>8227</v>
      </c>
      <c r="Q129" s="762" t="s">
        <v>7255</v>
      </c>
    </row>
    <row r="130" spans="1:17" s="763" customFormat="1" ht="12" customHeight="1">
      <c r="A130" s="1752" t="s">
        <v>3796</v>
      </c>
      <c r="B130" s="1752" t="s">
        <v>510</v>
      </c>
      <c r="C130" s="1752" t="s">
        <v>3823</v>
      </c>
      <c r="D130" s="1752">
        <v>67734540</v>
      </c>
      <c r="E130" s="1752" t="s">
        <v>3859</v>
      </c>
      <c r="F130" s="1752">
        <v>141007529</v>
      </c>
      <c r="G130" s="1752" t="s">
        <v>7009</v>
      </c>
      <c r="H130" s="1752" t="s">
        <v>8314</v>
      </c>
      <c r="I130" s="1752" t="s">
        <v>6867</v>
      </c>
      <c r="J130" s="1752">
        <v>1</v>
      </c>
      <c r="K130" s="1911">
        <v>14092.130000000001</v>
      </c>
      <c r="L130" s="1911">
        <v>316.74</v>
      </c>
      <c r="M130" s="1911">
        <v>13775.39</v>
      </c>
      <c r="N130" s="1752" t="s">
        <v>3788</v>
      </c>
      <c r="O130" s="1752" t="s">
        <v>99</v>
      </c>
      <c r="P130" s="1752" t="s">
        <v>8021</v>
      </c>
      <c r="Q130" s="762" t="s">
        <v>7257</v>
      </c>
    </row>
    <row r="131" spans="1:17" s="763" customFormat="1" ht="12" customHeight="1">
      <c r="A131" s="1752" t="s">
        <v>3796</v>
      </c>
      <c r="B131" s="1752" t="s">
        <v>510</v>
      </c>
      <c r="C131" s="1752" t="s">
        <v>3797</v>
      </c>
      <c r="D131" s="1752">
        <v>67734550</v>
      </c>
      <c r="E131" s="1752" t="s">
        <v>3859</v>
      </c>
      <c r="F131" s="1752">
        <v>141007710</v>
      </c>
      <c r="G131" s="1752" t="s">
        <v>7008</v>
      </c>
      <c r="H131" s="1752" t="s">
        <v>8315</v>
      </c>
      <c r="I131" s="1752" t="s">
        <v>6867</v>
      </c>
      <c r="J131" s="1752">
        <v>2</v>
      </c>
      <c r="K131" s="1911">
        <v>1778107.76</v>
      </c>
      <c r="L131" s="1911">
        <v>39965.590000000004</v>
      </c>
      <c r="M131" s="1911">
        <v>1738142.17</v>
      </c>
      <c r="N131" s="1752" t="s">
        <v>3788</v>
      </c>
      <c r="O131" s="1752" t="s">
        <v>95</v>
      </c>
      <c r="P131" s="1752" t="s">
        <v>8227</v>
      </c>
      <c r="Q131" s="762" t="s">
        <v>7256</v>
      </c>
    </row>
    <row r="132" spans="1:17" s="763" customFormat="1" ht="13.5" customHeight="1">
      <c r="A132" s="1752" t="s">
        <v>3796</v>
      </c>
      <c r="B132" s="1752" t="s">
        <v>510</v>
      </c>
      <c r="C132" s="1752" t="s">
        <v>3797</v>
      </c>
      <c r="D132" s="1752">
        <v>67734609</v>
      </c>
      <c r="E132" s="1752" t="s">
        <v>3859</v>
      </c>
      <c r="F132" s="1752">
        <v>141008374</v>
      </c>
      <c r="G132" s="1752" t="s">
        <v>7010</v>
      </c>
      <c r="H132" s="1752" t="s">
        <v>8316</v>
      </c>
      <c r="I132" s="1752" t="s">
        <v>6867</v>
      </c>
      <c r="J132" s="1752">
        <v>2</v>
      </c>
      <c r="K132" s="1911">
        <v>48038.01</v>
      </c>
      <c r="L132" s="1911">
        <v>1079.72</v>
      </c>
      <c r="M132" s="1911">
        <v>46958.29</v>
      </c>
      <c r="N132" s="1752" t="s">
        <v>3788</v>
      </c>
      <c r="O132" s="1752" t="s">
        <v>390</v>
      </c>
      <c r="P132" s="1752" t="s">
        <v>8348</v>
      </c>
      <c r="Q132" s="762" t="s">
        <v>8347</v>
      </c>
    </row>
    <row r="133" spans="1:17" s="763" customFormat="1" ht="12" customHeight="1">
      <c r="A133" s="1752" t="s">
        <v>3796</v>
      </c>
      <c r="B133" s="1752" t="s">
        <v>510</v>
      </c>
      <c r="C133" s="1752" t="s">
        <v>3797</v>
      </c>
      <c r="D133" s="1752">
        <v>68172352</v>
      </c>
      <c r="E133" s="1752" t="s">
        <v>3859</v>
      </c>
      <c r="F133" s="1752">
        <v>141007369</v>
      </c>
      <c r="G133" s="1752" t="s">
        <v>7012</v>
      </c>
      <c r="H133" s="1752" t="s">
        <v>8317</v>
      </c>
      <c r="I133" s="1752" t="s">
        <v>6867</v>
      </c>
      <c r="J133" s="1752">
        <v>1</v>
      </c>
      <c r="K133" s="1911">
        <v>4294742.08</v>
      </c>
      <c r="L133" s="1911">
        <v>96530.64</v>
      </c>
      <c r="M133" s="1911">
        <v>4198211.4400000004</v>
      </c>
      <c r="N133" s="1752" t="s">
        <v>3788</v>
      </c>
      <c r="O133" s="1752" t="s">
        <v>390</v>
      </c>
      <c r="P133" s="1752" t="s">
        <v>8348</v>
      </c>
      <c r="Q133" s="762" t="s">
        <v>7249</v>
      </c>
    </row>
    <row r="134" spans="1:17" s="763" customFormat="1" ht="12" customHeight="1">
      <c r="A134" s="1752" t="s">
        <v>3796</v>
      </c>
      <c r="B134" s="1752" t="s">
        <v>510</v>
      </c>
      <c r="C134" s="1752" t="s">
        <v>3797</v>
      </c>
      <c r="D134" s="1752">
        <v>68172360</v>
      </c>
      <c r="E134" s="1752" t="s">
        <v>3859</v>
      </c>
      <c r="F134" s="1752">
        <v>141007552</v>
      </c>
      <c r="G134" s="1752" t="s">
        <v>7011</v>
      </c>
      <c r="H134" s="1752" t="s">
        <v>8318</v>
      </c>
      <c r="I134" s="1752" t="s">
        <v>6867</v>
      </c>
      <c r="J134" s="1752">
        <v>1</v>
      </c>
      <c r="K134" s="1911">
        <v>3879131.76</v>
      </c>
      <c r="L134" s="1911">
        <v>87189.19</v>
      </c>
      <c r="M134" s="1911">
        <v>3791942.5700000003</v>
      </c>
      <c r="N134" s="1752" t="s">
        <v>3788</v>
      </c>
      <c r="O134" s="1752" t="s">
        <v>95</v>
      </c>
      <c r="P134" s="1752" t="s">
        <v>8349</v>
      </c>
      <c r="Q134" s="762" t="s">
        <v>3974</v>
      </c>
    </row>
    <row r="135" spans="1:17" s="763" customFormat="1" ht="12" customHeight="1">
      <c r="A135" s="1752" t="s">
        <v>3796</v>
      </c>
      <c r="B135" s="1752" t="s">
        <v>510</v>
      </c>
      <c r="C135" s="1752" t="s">
        <v>3797</v>
      </c>
      <c r="D135" s="1752">
        <v>68172369</v>
      </c>
      <c r="E135" s="1752" t="s">
        <v>3859</v>
      </c>
      <c r="F135" s="1752">
        <v>141007612</v>
      </c>
      <c r="G135" s="1752" t="s">
        <v>7013</v>
      </c>
      <c r="H135" s="1752" t="s">
        <v>8319</v>
      </c>
      <c r="I135" s="1752" t="s">
        <v>6867</v>
      </c>
      <c r="J135" s="1752">
        <v>1</v>
      </c>
      <c r="K135" s="1911">
        <v>175823.08000000002</v>
      </c>
      <c r="L135" s="1911">
        <v>3951.88</v>
      </c>
      <c r="M135" s="1911">
        <v>171871.2</v>
      </c>
      <c r="N135" s="1752" t="s">
        <v>3788</v>
      </c>
      <c r="O135" s="1752" t="s">
        <v>95</v>
      </c>
      <c r="P135" s="1752" t="s">
        <v>8023</v>
      </c>
      <c r="Q135" s="762" t="s">
        <v>7252</v>
      </c>
    </row>
    <row r="136" spans="1:17" s="763" customFormat="1" ht="12" customHeight="1">
      <c r="A136" s="1752" t="s">
        <v>3796</v>
      </c>
      <c r="B136" s="1752" t="s">
        <v>510</v>
      </c>
      <c r="C136" s="1752" t="s">
        <v>3797</v>
      </c>
      <c r="D136" s="1752">
        <v>68172416</v>
      </c>
      <c r="E136" s="1752" t="s">
        <v>3859</v>
      </c>
      <c r="F136" s="1752">
        <v>141007709</v>
      </c>
      <c r="G136" s="1752" t="s">
        <v>7014</v>
      </c>
      <c r="H136" s="1752" t="s">
        <v>8320</v>
      </c>
      <c r="I136" s="1752" t="s">
        <v>6867</v>
      </c>
      <c r="J136" s="1752">
        <v>1</v>
      </c>
      <c r="K136" s="1911">
        <v>409960.42</v>
      </c>
      <c r="L136" s="1911">
        <v>9214.4600000000009</v>
      </c>
      <c r="M136" s="1911">
        <v>400745.96</v>
      </c>
      <c r="N136" s="1752" t="s">
        <v>3788</v>
      </c>
      <c r="O136" s="1752" t="s">
        <v>95</v>
      </c>
      <c r="P136" s="1752" t="s">
        <v>8227</v>
      </c>
      <c r="Q136" s="762" t="s">
        <v>7256</v>
      </c>
    </row>
    <row r="137" spans="1:17" s="763" customFormat="1" ht="12" customHeight="1">
      <c r="A137" s="1752" t="s">
        <v>3796</v>
      </c>
      <c r="B137" s="1752" t="s">
        <v>510</v>
      </c>
      <c r="C137" s="1752" t="s">
        <v>3797</v>
      </c>
      <c r="D137" s="1752">
        <v>68172486</v>
      </c>
      <c r="E137" s="1752" t="s">
        <v>3859</v>
      </c>
      <c r="F137" s="1752">
        <v>141008350</v>
      </c>
      <c r="G137" s="1752" t="s">
        <v>7015</v>
      </c>
      <c r="H137" s="1752" t="s">
        <v>7015</v>
      </c>
      <c r="I137" s="1752" t="s">
        <v>6867</v>
      </c>
      <c r="J137" s="1752">
        <v>1</v>
      </c>
      <c r="K137" s="1911">
        <v>82177.22</v>
      </c>
      <c r="L137" s="1911">
        <v>1847.05</v>
      </c>
      <c r="M137" s="1911">
        <v>80330.17</v>
      </c>
      <c r="N137" s="1752" t="s">
        <v>3788</v>
      </c>
      <c r="O137" s="1752" t="s">
        <v>390</v>
      </c>
      <c r="P137" s="1752" t="s">
        <v>8035</v>
      </c>
      <c r="Q137" s="762" t="s">
        <v>7253</v>
      </c>
    </row>
    <row r="138" spans="1:17" ht="12" customHeight="1" thickBot="1">
      <c r="J138" s="1906" t="s">
        <v>196</v>
      </c>
      <c r="K138" s="775">
        <f>SUM(K2:K137)</f>
        <v>178084664.51999992</v>
      </c>
      <c r="L138" s="775">
        <f>SUM(L2:L137)</f>
        <v>45115569.490000002</v>
      </c>
      <c r="M138" s="775">
        <f>SUM(M2:M137)</f>
        <v>132969095.03000005</v>
      </c>
    </row>
    <row r="139" spans="1:17" ht="12" customHeight="1" thickTop="1">
      <c r="A139" s="493"/>
      <c r="J139" s="765" t="s">
        <v>4010</v>
      </c>
      <c r="K139" s="1907">
        <f>178084664.52</f>
        <v>178084664.52000001</v>
      </c>
      <c r="L139" s="1907">
        <v>45115569.490000002</v>
      </c>
      <c r="M139" s="1907">
        <v>132969095.03000005</v>
      </c>
    </row>
    <row r="140" spans="1:17" ht="12" customHeight="1">
      <c r="J140" s="766" t="s">
        <v>3780</v>
      </c>
      <c r="K140" s="1908">
        <f>K138-K139</f>
        <v>0</v>
      </c>
      <c r="L140" s="1908">
        <f>L138-L139</f>
        <v>0</v>
      </c>
      <c r="M140" s="1908">
        <f>M138-M139</f>
        <v>0</v>
      </c>
    </row>
    <row r="142" spans="1:17" ht="12" customHeight="1">
      <c r="A142" s="1909" t="s">
        <v>8321</v>
      </c>
      <c r="B142" s="1690"/>
    </row>
    <row r="143" spans="1:17" ht="12" customHeight="1">
      <c r="A143" s="763" t="s">
        <v>2326</v>
      </c>
      <c r="B143" s="763" t="s">
        <v>2327</v>
      </c>
      <c r="C143" s="763" t="s">
        <v>2328</v>
      </c>
      <c r="D143" s="763" t="s">
        <v>2329</v>
      </c>
      <c r="E143" s="763" t="s">
        <v>2330</v>
      </c>
      <c r="F143" s="763" t="s">
        <v>4011</v>
      </c>
      <c r="G143" s="763" t="s">
        <v>4012</v>
      </c>
      <c r="H143" s="763" t="s">
        <v>2333</v>
      </c>
      <c r="I143" s="763" t="s">
        <v>2334</v>
      </c>
      <c r="J143" s="763" t="s">
        <v>2335</v>
      </c>
      <c r="K143" s="1904" t="s">
        <v>2336</v>
      </c>
      <c r="L143" s="1904" t="s">
        <v>2337</v>
      </c>
      <c r="M143" s="1904" t="s">
        <v>2338</v>
      </c>
      <c r="N143" s="760" t="s">
        <v>2286</v>
      </c>
      <c r="O143" s="760" t="s">
        <v>350</v>
      </c>
    </row>
    <row r="144" spans="1:17" ht="12" customHeight="1">
      <c r="A144" s="761" t="s">
        <v>4013</v>
      </c>
      <c r="B144" s="761" t="s">
        <v>510</v>
      </c>
      <c r="C144" s="761" t="s">
        <v>4014</v>
      </c>
      <c r="D144" s="761">
        <v>81278</v>
      </c>
      <c r="E144" s="761" t="s">
        <v>4015</v>
      </c>
      <c r="F144" s="761" t="s">
        <v>2357</v>
      </c>
      <c r="I144" s="1715" t="s">
        <v>6867</v>
      </c>
      <c r="J144" s="761">
        <v>0</v>
      </c>
      <c r="K144" s="746">
        <v>23833.38</v>
      </c>
      <c r="L144" s="746">
        <v>23833.38</v>
      </c>
      <c r="M144" s="746">
        <v>0</v>
      </c>
      <c r="N144" s="761" t="s">
        <v>4016</v>
      </c>
      <c r="O144" s="789" t="s">
        <v>390</v>
      </c>
    </row>
    <row r="145" spans="1:17" ht="12" customHeight="1">
      <c r="A145" s="761" t="s">
        <v>4013</v>
      </c>
      <c r="B145" s="761" t="s">
        <v>510</v>
      </c>
      <c r="C145" s="761" t="s">
        <v>4014</v>
      </c>
      <c r="D145" s="761">
        <v>105252</v>
      </c>
      <c r="E145" s="761" t="s">
        <v>4015</v>
      </c>
      <c r="F145" s="761" t="s">
        <v>2357</v>
      </c>
      <c r="I145" s="761" t="s">
        <v>6867</v>
      </c>
      <c r="J145" s="761">
        <v>0</v>
      </c>
      <c r="K145" s="746">
        <v>7919.91</v>
      </c>
      <c r="L145" s="746">
        <v>7919.91</v>
      </c>
      <c r="M145" s="746">
        <v>0</v>
      </c>
      <c r="N145" s="761" t="s">
        <v>4016</v>
      </c>
      <c r="O145" s="789" t="s">
        <v>390</v>
      </c>
    </row>
    <row r="146" spans="1:17" ht="12" customHeight="1">
      <c r="A146" s="761" t="s">
        <v>4013</v>
      </c>
      <c r="B146" s="761" t="s">
        <v>510</v>
      </c>
      <c r="C146" s="761" t="s">
        <v>4017</v>
      </c>
      <c r="D146" s="761">
        <v>5657936</v>
      </c>
      <c r="E146" s="761" t="s">
        <v>4018</v>
      </c>
      <c r="F146" s="761">
        <v>131102580</v>
      </c>
      <c r="G146" s="761" t="s">
        <v>4019</v>
      </c>
      <c r="H146" s="761" t="s">
        <v>4019</v>
      </c>
      <c r="I146" s="761" t="s">
        <v>6867</v>
      </c>
      <c r="J146" s="761">
        <v>1500</v>
      </c>
      <c r="K146" s="746">
        <v>14333.33</v>
      </c>
      <c r="L146" s="746">
        <v>14333.33</v>
      </c>
      <c r="M146" s="746">
        <v>0</v>
      </c>
      <c r="N146" s="761" t="s">
        <v>4016</v>
      </c>
      <c r="O146" s="789" t="s">
        <v>390</v>
      </c>
      <c r="P146" s="789"/>
      <c r="Q146" s="789"/>
    </row>
    <row r="147" spans="1:17" ht="12" customHeight="1">
      <c r="A147" s="761" t="s">
        <v>4013</v>
      </c>
      <c r="B147" s="761" t="s">
        <v>510</v>
      </c>
      <c r="C147" s="761" t="s">
        <v>4014</v>
      </c>
      <c r="D147" s="761">
        <v>5865255</v>
      </c>
      <c r="E147" s="761" t="s">
        <v>4015</v>
      </c>
      <c r="F147" s="761">
        <v>131102700</v>
      </c>
      <c r="G147" s="761" t="s">
        <v>4020</v>
      </c>
      <c r="H147" s="761" t="s">
        <v>4020</v>
      </c>
      <c r="I147" s="761" t="s">
        <v>6867</v>
      </c>
      <c r="J147" s="761">
        <v>0</v>
      </c>
      <c r="K147" s="746">
        <v>126397.63</v>
      </c>
      <c r="L147" s="746">
        <v>126397.63</v>
      </c>
      <c r="M147" s="746">
        <v>0</v>
      </c>
      <c r="N147" s="761" t="s">
        <v>4016</v>
      </c>
      <c r="O147" s="789" t="s">
        <v>390</v>
      </c>
      <c r="P147" s="789"/>
      <c r="Q147" s="789"/>
    </row>
    <row r="148" spans="1:17" ht="12" customHeight="1">
      <c r="A148" s="761" t="s">
        <v>4013</v>
      </c>
      <c r="B148" s="761" t="s">
        <v>510</v>
      </c>
      <c r="C148" s="761" t="s">
        <v>4014</v>
      </c>
      <c r="D148" s="761">
        <v>5962174</v>
      </c>
      <c r="E148" s="761" t="s">
        <v>4015</v>
      </c>
      <c r="F148" s="761">
        <v>131102700</v>
      </c>
      <c r="G148" s="761" t="s">
        <v>4020</v>
      </c>
      <c r="H148" s="761" t="s">
        <v>4020</v>
      </c>
      <c r="I148" s="761" t="s">
        <v>6867</v>
      </c>
      <c r="J148" s="761">
        <v>0</v>
      </c>
      <c r="K148" s="746">
        <v>11626.6</v>
      </c>
      <c r="L148" s="746">
        <v>11626.6</v>
      </c>
      <c r="M148" s="746">
        <v>0</v>
      </c>
      <c r="N148" s="761" t="s">
        <v>4016</v>
      </c>
      <c r="O148" s="789" t="s">
        <v>390</v>
      </c>
      <c r="P148" s="789"/>
      <c r="Q148" s="789"/>
    </row>
    <row r="149" spans="1:17" ht="12" customHeight="1">
      <c r="A149" s="761" t="s">
        <v>4013</v>
      </c>
      <c r="B149" s="761" t="s">
        <v>510</v>
      </c>
      <c r="C149" s="761" t="s">
        <v>4014</v>
      </c>
      <c r="D149" s="761">
        <v>5962176</v>
      </c>
      <c r="E149" s="761" t="s">
        <v>4015</v>
      </c>
      <c r="F149" s="761">
        <v>131102700</v>
      </c>
      <c r="G149" s="761" t="s">
        <v>4020</v>
      </c>
      <c r="H149" s="761" t="s">
        <v>4020</v>
      </c>
      <c r="I149" s="761" t="s">
        <v>6867</v>
      </c>
      <c r="J149" s="761">
        <v>0</v>
      </c>
      <c r="K149" s="746">
        <v>665</v>
      </c>
      <c r="L149" s="746">
        <v>665</v>
      </c>
      <c r="M149" s="746">
        <v>0</v>
      </c>
      <c r="N149" s="761" t="s">
        <v>4016</v>
      </c>
      <c r="O149" s="789" t="s">
        <v>392</v>
      </c>
      <c r="P149" s="789"/>
      <c r="Q149" s="789"/>
    </row>
    <row r="150" spans="1:17" ht="12" customHeight="1" thickBot="1">
      <c r="J150" s="1906" t="s">
        <v>196</v>
      </c>
      <c r="K150" s="775">
        <f>SUM(K144:K149)</f>
        <v>184775.85</v>
      </c>
      <c r="L150" s="775">
        <f t="shared" ref="L150:M150" si="0">SUM(L144:L149)</f>
        <v>184775.85</v>
      </c>
      <c r="M150" s="775">
        <f t="shared" si="0"/>
        <v>0</v>
      </c>
    </row>
    <row r="151" spans="1:17" ht="12" customHeight="1" thickTop="1">
      <c r="J151" s="765" t="s">
        <v>4021</v>
      </c>
      <c r="K151" s="1907">
        <v>184775.85</v>
      </c>
      <c r="L151" s="1907">
        <v>184775.85</v>
      </c>
      <c r="M151" s="1907">
        <v>0</v>
      </c>
    </row>
    <row r="152" spans="1:17" ht="12" customHeight="1">
      <c r="J152" s="766" t="s">
        <v>3780</v>
      </c>
      <c r="K152" s="1908">
        <f>K150-K151</f>
        <v>0</v>
      </c>
      <c r="L152" s="1908">
        <f>L150-L151</f>
        <v>0</v>
      </c>
      <c r="M152" s="1908">
        <f>M150-M151</f>
        <v>0</v>
      </c>
    </row>
    <row r="153" spans="1:17" ht="12" customHeight="1">
      <c r="L153" s="1905">
        <f>SUM(L138,L150)</f>
        <v>45300345.340000004</v>
      </c>
    </row>
  </sheetData>
  <autoFilter ref="A1:Q140" xr:uid="{00000000-0009-0000-0000-00001F000000}"/>
  <sortState xmlns:xlrd2="http://schemas.microsoft.com/office/spreadsheetml/2017/richdata2" ref="A2:AB137">
    <sortCondition ref="N2:N137"/>
    <sortCondition ref="D2:D137"/>
  </sortState>
  <pageMargins left="0.7" right="0.7" top="0.75" bottom="0.75" header="0.3" footer="0.3"/>
  <pageSetup orientation="portrait" horizontalDpi="360" verticalDpi="360" r:id="rId1"/>
  <customProperties>
    <customPr name="_pios_id" r:id="rId2"/>
  </customProperties>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92D050"/>
  </sheetPr>
  <dimension ref="B1:O54"/>
  <sheetViews>
    <sheetView zoomScaleNormal="100" workbookViewId="0">
      <pane ySplit="4" topLeftCell="A5" activePane="bottomLeft" state="frozen"/>
      <selection sqref="A1:XFD1048576"/>
      <selection pane="bottomLeft" sqref="A1:XFD1048576"/>
    </sheetView>
  </sheetViews>
  <sheetFormatPr defaultColWidth="9" defaultRowHeight="11.25"/>
  <cols>
    <col min="1" max="1" width="3.75" style="493" customWidth="1"/>
    <col min="2" max="2" width="18.125" style="493" bestFit="1" customWidth="1"/>
    <col min="3" max="3" width="13.75" style="493" customWidth="1"/>
    <col min="4" max="4" width="17.125" style="493" customWidth="1"/>
    <col min="5" max="5" width="13.625" style="493" bestFit="1" customWidth="1"/>
    <col min="6" max="6" width="12.375" style="493" bestFit="1" customWidth="1"/>
    <col min="7" max="7" width="15.25" style="493" customWidth="1"/>
    <col min="8" max="9" width="11.25" style="493" bestFit="1" customWidth="1"/>
    <col min="10" max="10" width="12" style="493" bestFit="1" customWidth="1"/>
    <col min="11" max="11" width="9.75" style="493" bestFit="1" customWidth="1"/>
    <col min="12" max="12" width="16.25" style="493" bestFit="1" customWidth="1"/>
    <col min="13" max="13" width="9" style="493"/>
    <col min="14" max="14" width="13.75" style="493" customWidth="1"/>
    <col min="15" max="15" width="17.125" style="493" customWidth="1"/>
    <col min="16" max="16384" width="9" style="493"/>
  </cols>
  <sheetData>
    <row r="1" spans="2:15" ht="12" customHeight="1"/>
    <row r="2" spans="2:15" ht="12" customHeight="1">
      <c r="B2" s="767" t="s">
        <v>3781</v>
      </c>
      <c r="C2" s="770"/>
      <c r="D2" s="754"/>
      <c r="E2" s="770"/>
      <c r="F2" s="770"/>
      <c r="G2" s="770"/>
      <c r="H2" s="770"/>
      <c r="I2" s="770"/>
      <c r="J2" s="770"/>
      <c r="K2" s="770"/>
      <c r="L2" s="770"/>
      <c r="M2" s="1903" t="s">
        <v>8294</v>
      </c>
    </row>
    <row r="3" spans="2:15" ht="12" customHeight="1">
      <c r="B3" s="770"/>
      <c r="C3" s="770"/>
      <c r="D3" s="754"/>
      <c r="E3" s="771" t="s">
        <v>2288</v>
      </c>
      <c r="F3" s="507"/>
      <c r="G3" s="1901" t="s">
        <v>510</v>
      </c>
      <c r="H3" s="1901"/>
      <c r="I3" s="1901"/>
      <c r="J3" s="1901"/>
      <c r="K3" s="790"/>
      <c r="L3" s="770"/>
    </row>
    <row r="4" spans="2:15" ht="12" customHeight="1">
      <c r="B4" s="3695" t="s">
        <v>2286</v>
      </c>
      <c r="C4" s="3695" t="s">
        <v>350</v>
      </c>
      <c r="D4" s="3696" t="s">
        <v>2287</v>
      </c>
      <c r="E4" s="770"/>
      <c r="F4" s="512" t="s">
        <v>196</v>
      </c>
      <c r="G4" s="1902" t="s">
        <v>8293</v>
      </c>
      <c r="H4" s="1902" t="s">
        <v>105</v>
      </c>
      <c r="I4" s="1902" t="s">
        <v>106</v>
      </c>
      <c r="J4" s="1902" t="s">
        <v>511</v>
      </c>
      <c r="K4" s="3673" t="s">
        <v>2289</v>
      </c>
      <c r="L4" s="770"/>
      <c r="M4" s="3695" t="s">
        <v>2286</v>
      </c>
      <c r="N4" s="3695" t="s">
        <v>350</v>
      </c>
      <c r="O4" s="3696" t="s">
        <v>2287</v>
      </c>
    </row>
    <row r="5" spans="2:15" ht="12" customHeight="1">
      <c r="B5" s="3696" t="s">
        <v>4022</v>
      </c>
      <c r="C5" s="3696" t="s">
        <v>390</v>
      </c>
      <c r="D5" s="3697">
        <v>484459.76999999996</v>
      </c>
      <c r="E5" s="754"/>
      <c r="F5" s="754">
        <f>SUM(D5:E5)</f>
        <v>484459.76999999996</v>
      </c>
      <c r="G5" s="791">
        <f>F5*'Four Factor Allocator'!$C$5</f>
        <v>318096.28669482633</v>
      </c>
      <c r="H5" s="791">
        <f>$G5*VLOOKUP($C5,Ratio,2,FALSE)</f>
        <v>0</v>
      </c>
      <c r="I5" s="791">
        <f>$G5*VLOOKUP($C5,Ratio,3,FALSE)</f>
        <v>0</v>
      </c>
      <c r="J5" s="791">
        <f>$G5*VLOOKUP($C5,Ratio,4,FALSE)</f>
        <v>318096.28669482633</v>
      </c>
      <c r="K5" s="1892">
        <f>G5-SUM(H5:J5)</f>
        <v>0</v>
      </c>
      <c r="L5" s="770"/>
      <c r="M5" s="3696" t="s">
        <v>4024</v>
      </c>
      <c r="N5" s="3696" t="s">
        <v>988</v>
      </c>
      <c r="O5" s="3697">
        <v>184420.38</v>
      </c>
    </row>
    <row r="6" spans="2:15" ht="12" customHeight="1">
      <c r="B6" s="3696"/>
      <c r="C6" s="3696" t="s">
        <v>95</v>
      </c>
      <c r="D6" s="3697">
        <v>633.75</v>
      </c>
      <c r="E6" s="754"/>
      <c r="F6" s="754">
        <f>SUM(D6:E6)</f>
        <v>633.75</v>
      </c>
      <c r="G6" s="791">
        <f>F6*'Four Factor Allocator'!$C$5</f>
        <v>416.12025224064774</v>
      </c>
      <c r="H6" s="791">
        <f>$G6*VLOOKUP($C6,Ratio,2,FALSE)</f>
        <v>141.41020046131564</v>
      </c>
      <c r="I6" s="791">
        <f>$G6*VLOOKUP($C6,Ratio,3,FALSE)</f>
        <v>0</v>
      </c>
      <c r="J6" s="791">
        <f>$G6*VLOOKUP($C6,Ratio,4,FALSE)</f>
        <v>274.7100517793321</v>
      </c>
      <c r="K6" s="1892">
        <f t="shared" ref="K6:K14" si="0">G6-SUM(H6:J6)</f>
        <v>0</v>
      </c>
      <c r="L6" s="770"/>
      <c r="M6" s="3696" t="s">
        <v>4025</v>
      </c>
      <c r="N6" s="3696"/>
      <c r="O6" s="3697">
        <v>184420.38</v>
      </c>
    </row>
    <row r="7" spans="2:15" ht="12" customHeight="1">
      <c r="B7" s="3696" t="s">
        <v>4023</v>
      </c>
      <c r="C7" s="3696"/>
      <c r="D7" s="3697">
        <v>485093.51999999996</v>
      </c>
      <c r="E7" s="754"/>
      <c r="F7" s="773">
        <f>SUM(F5:F6)</f>
        <v>485093.51999999996</v>
      </c>
      <c r="G7" s="773">
        <f>SUM(G5:G6)</f>
        <v>318512.40694706695</v>
      </c>
      <c r="H7" s="773">
        <f>SUM(H5:H6)</f>
        <v>141.41020046131564</v>
      </c>
      <c r="I7" s="773">
        <f>SUM(I5:I6)</f>
        <v>0</v>
      </c>
      <c r="J7" s="773">
        <f>SUM(J5:J6)</f>
        <v>318370.99674660567</v>
      </c>
      <c r="K7" s="1892">
        <f t="shared" si="0"/>
        <v>0</v>
      </c>
      <c r="L7" s="770"/>
      <c r="M7" s="3696" t="s">
        <v>2301</v>
      </c>
      <c r="N7" s="3696"/>
      <c r="O7" s="3698">
        <v>184420.38</v>
      </c>
    </row>
    <row r="8" spans="2:15" ht="12" customHeight="1">
      <c r="B8" s="3696" t="s">
        <v>4024</v>
      </c>
      <c r="C8" s="3696" t="s">
        <v>390</v>
      </c>
      <c r="D8" s="3697">
        <v>95527559.729999959</v>
      </c>
      <c r="F8" s="754">
        <f t="shared" ref="F8:F13" si="1">SUM(D8:E8)</f>
        <v>95527559.729999959</v>
      </c>
      <c r="G8" s="791">
        <f>F8*'Four Factor Allocator'!$C$5</f>
        <v>62723396.056459367</v>
      </c>
      <c r="H8" s="791">
        <f t="shared" ref="H8:H13" si="2">$G8*VLOOKUP($C8,Ratio,2,FALSE)</f>
        <v>0</v>
      </c>
      <c r="I8" s="791">
        <f t="shared" ref="I8:I13" si="3">$G8*VLOOKUP($C8,Ratio,3,FALSE)</f>
        <v>0</v>
      </c>
      <c r="J8" s="791">
        <f t="shared" ref="J8:J13" si="4">$G8*VLOOKUP($C8,Ratio,4,FALSE)</f>
        <v>62723396.056459367</v>
      </c>
      <c r="K8" s="1892">
        <f t="shared" si="0"/>
        <v>0</v>
      </c>
      <c r="L8" s="770"/>
    </row>
    <row r="9" spans="2:15" ht="12" customHeight="1">
      <c r="B9" s="3696"/>
      <c r="C9" s="3696" t="s">
        <v>95</v>
      </c>
      <c r="D9" s="3697">
        <v>297399239.37</v>
      </c>
      <c r="F9" s="754">
        <f t="shared" si="1"/>
        <v>297399239.37</v>
      </c>
      <c r="G9" s="791">
        <f>F9*'Four Factor Allocator'!$C$5</f>
        <v>195272341.62180856</v>
      </c>
      <c r="H9" s="791">
        <f t="shared" si="2"/>
        <v>66359425.72994791</v>
      </c>
      <c r="I9" s="791">
        <f t="shared" si="3"/>
        <v>0</v>
      </c>
      <c r="J9" s="791">
        <f t="shared" si="4"/>
        <v>128912915.89186065</v>
      </c>
      <c r="K9" s="1892">
        <f t="shared" si="0"/>
        <v>0</v>
      </c>
      <c r="L9" s="770"/>
    </row>
    <row r="10" spans="2:15" ht="12" customHeight="1">
      <c r="B10" s="3696"/>
      <c r="C10" s="3696" t="s">
        <v>392</v>
      </c>
      <c r="D10" s="3697">
        <v>6933769.790000001</v>
      </c>
      <c r="E10" s="792"/>
      <c r="F10" s="754">
        <f t="shared" si="1"/>
        <v>6933769.790000001</v>
      </c>
      <c r="G10" s="791">
        <f>F10*'Four Factor Allocator'!$C$5</f>
        <v>4552713.2686286131</v>
      </c>
      <c r="H10" s="791">
        <f t="shared" si="2"/>
        <v>4552713.2686286131</v>
      </c>
      <c r="I10" s="791">
        <f t="shared" si="3"/>
        <v>0</v>
      </c>
      <c r="J10" s="791">
        <f t="shared" si="4"/>
        <v>0</v>
      </c>
      <c r="K10" s="1892">
        <f t="shared" si="0"/>
        <v>0</v>
      </c>
      <c r="L10" s="770"/>
    </row>
    <row r="11" spans="2:15" ht="12" customHeight="1">
      <c r="B11" s="3696"/>
      <c r="C11" s="3696" t="s">
        <v>99</v>
      </c>
      <c r="D11" s="3697">
        <v>50428249.590000004</v>
      </c>
      <c r="E11" s="792"/>
      <c r="F11" s="754">
        <f t="shared" si="1"/>
        <v>50428249.590000004</v>
      </c>
      <c r="G11" s="791">
        <f>F11*'Four Factor Allocator'!$C$5</f>
        <v>33111188.859085038</v>
      </c>
      <c r="H11" s="791">
        <f t="shared" si="2"/>
        <v>11558833.35914338</v>
      </c>
      <c r="I11" s="791">
        <f t="shared" si="3"/>
        <v>0</v>
      </c>
      <c r="J11" s="791">
        <f t="shared" si="4"/>
        <v>21552355.499941658</v>
      </c>
      <c r="K11" s="1892">
        <f t="shared" si="0"/>
        <v>0</v>
      </c>
      <c r="L11" s="770"/>
    </row>
    <row r="12" spans="2:15" ht="12" customHeight="1">
      <c r="B12" s="3696"/>
      <c r="C12" s="3696" t="s">
        <v>108</v>
      </c>
      <c r="D12" s="3697">
        <v>2781523.46</v>
      </c>
      <c r="E12" s="792"/>
      <c r="F12" s="754">
        <f t="shared" si="1"/>
        <v>2781523.46</v>
      </c>
      <c r="G12" s="791">
        <f>F12*'Four Factor Allocator'!$C$5</f>
        <v>1826348.3136701842</v>
      </c>
      <c r="H12" s="791">
        <f t="shared" si="2"/>
        <v>638989.22045060701</v>
      </c>
      <c r="I12" s="791">
        <f t="shared" si="3"/>
        <v>0</v>
      </c>
      <c r="J12" s="791">
        <f t="shared" si="4"/>
        <v>1187359.0928700201</v>
      </c>
      <c r="K12" s="1892">
        <f t="shared" si="0"/>
        <v>3.4955726005136967E-4</v>
      </c>
      <c r="L12" s="770"/>
    </row>
    <row r="13" spans="2:15" ht="12" customHeight="1">
      <c r="B13" s="3696"/>
      <c r="C13" s="3696" t="s">
        <v>109</v>
      </c>
      <c r="D13" s="3697">
        <v>1031804.22</v>
      </c>
      <c r="E13" s="792"/>
      <c r="F13" s="754">
        <f t="shared" si="1"/>
        <v>1031804.22</v>
      </c>
      <c r="G13" s="791">
        <f>F13*'Four Factor Allocator'!$C$5</f>
        <v>677482.65449998388</v>
      </c>
      <c r="H13" s="791">
        <f t="shared" si="2"/>
        <v>0</v>
      </c>
      <c r="I13" s="791">
        <f t="shared" si="3"/>
        <v>0</v>
      </c>
      <c r="J13" s="791">
        <f t="shared" si="4"/>
        <v>677482.65449998388</v>
      </c>
      <c r="K13" s="1892">
        <f t="shared" si="0"/>
        <v>0</v>
      </c>
      <c r="L13" s="770"/>
    </row>
    <row r="14" spans="2:15" ht="12" customHeight="1">
      <c r="B14" s="3696" t="s">
        <v>4025</v>
      </c>
      <c r="C14" s="3696"/>
      <c r="D14" s="3697">
        <v>454102146.16000003</v>
      </c>
      <c r="E14" s="754"/>
      <c r="F14" s="773">
        <f>SUM(F8:F13)</f>
        <v>454102146.16000003</v>
      </c>
      <c r="G14" s="773">
        <f t="shared" ref="G14:J14" si="5">SUM(G8:G13)</f>
        <v>298163470.77415174</v>
      </c>
      <c r="H14" s="773">
        <f t="shared" si="5"/>
        <v>83109961.578170508</v>
      </c>
      <c r="I14" s="773">
        <f t="shared" si="5"/>
        <v>0</v>
      </c>
      <c r="J14" s="773">
        <f t="shared" si="5"/>
        <v>215053509.19563168</v>
      </c>
      <c r="K14" s="1892">
        <f t="shared" si="0"/>
        <v>3.4958124160766602E-4</v>
      </c>
      <c r="L14" s="770"/>
    </row>
    <row r="15" spans="2:15" ht="12" customHeight="1" thickBot="1">
      <c r="B15" s="3696" t="s">
        <v>2301</v>
      </c>
      <c r="C15" s="3696"/>
      <c r="D15" s="3698">
        <v>454587239.68000001</v>
      </c>
      <c r="E15" s="775">
        <f>SUM(E3:E14)</f>
        <v>0</v>
      </c>
      <c r="F15" s="748">
        <f>F7+F14</f>
        <v>454587239.68000001</v>
      </c>
      <c r="G15" s="748">
        <f t="shared" ref="G15:J15" si="6">G7+G14</f>
        <v>298481983.18109882</v>
      </c>
      <c r="H15" s="748">
        <f t="shared" si="6"/>
        <v>83110102.98837097</v>
      </c>
      <c r="I15" s="748">
        <f t="shared" si="6"/>
        <v>0</v>
      </c>
      <c r="J15" s="748">
        <f t="shared" si="6"/>
        <v>215371880.19237828</v>
      </c>
      <c r="K15" s="3674">
        <f>SUM(K5:K13,K21:K22)</f>
        <v>3.4955726005136967E-4</v>
      </c>
      <c r="L15" s="770"/>
    </row>
    <row r="16" spans="2:15" ht="12" customHeight="1" thickTop="1">
      <c r="C16" s="3672" t="s">
        <v>3782</v>
      </c>
      <c r="D16" s="3659">
        <f>'C Intangible New'!K396-D15-O7</f>
        <v>5.9127341955900192E-7</v>
      </c>
      <c r="E16" s="3659">
        <f>SUM('FERC CWIP Adjustments to Plant'!E4:E6)-E15</f>
        <v>0</v>
      </c>
      <c r="F16" s="770"/>
      <c r="G16" s="1946" t="s">
        <v>4026</v>
      </c>
      <c r="H16" s="1944">
        <f>H14/$G$14</f>
        <v>0.27873958323058079</v>
      </c>
      <c r="I16" s="1944">
        <f t="shared" ref="I16:J16" si="7">I14/$G$14</f>
        <v>0</v>
      </c>
      <c r="J16" s="1944">
        <f t="shared" si="7"/>
        <v>0.72126041676824693</v>
      </c>
      <c r="K16" s="3675">
        <f>SUM(H16:J16)</f>
        <v>0.99999999999882772</v>
      </c>
      <c r="L16" s="770"/>
    </row>
    <row r="17" spans="2:15" ht="12" customHeight="1">
      <c r="E17" s="770"/>
      <c r="F17" s="770"/>
      <c r="G17" s="546"/>
      <c r="H17" s="793"/>
      <c r="I17" s="793"/>
      <c r="J17" s="793"/>
      <c r="K17" s="793"/>
      <c r="L17" s="793"/>
    </row>
    <row r="18" spans="2:15" ht="12" customHeight="1">
      <c r="C18" s="507"/>
      <c r="D18" s="507"/>
      <c r="E18" s="770"/>
      <c r="F18" s="770"/>
      <c r="G18" s="546"/>
      <c r="H18" s="793"/>
      <c r="I18" s="793"/>
      <c r="J18" s="793"/>
      <c r="K18" s="793"/>
      <c r="L18" s="793"/>
    </row>
    <row r="19" spans="2:15" ht="12" customHeight="1">
      <c r="D19" s="746"/>
      <c r="E19" s="770"/>
      <c r="F19" s="507"/>
      <c r="G19" s="1901" t="s">
        <v>510</v>
      </c>
      <c r="H19" s="1901"/>
      <c r="I19" s="1901"/>
      <c r="J19" s="1901"/>
      <c r="K19" s="770"/>
      <c r="L19" s="770"/>
    </row>
    <row r="20" spans="2:15" ht="12" customHeight="1">
      <c r="B20" s="493" t="s">
        <v>3790</v>
      </c>
      <c r="C20" s="493" t="s">
        <v>350</v>
      </c>
      <c r="D20" s="746" t="s">
        <v>2287</v>
      </c>
      <c r="E20" s="771" t="s">
        <v>2288</v>
      </c>
      <c r="F20" s="512" t="s">
        <v>196</v>
      </c>
      <c r="G20" s="1902" t="s">
        <v>8293</v>
      </c>
      <c r="H20" s="1902" t="s">
        <v>105</v>
      </c>
      <c r="I20" s="1902" t="s">
        <v>106</v>
      </c>
      <c r="J20" s="1902" t="s">
        <v>511</v>
      </c>
      <c r="K20" s="770"/>
      <c r="L20" s="770"/>
    </row>
    <row r="21" spans="2:15" ht="12" customHeight="1">
      <c r="B21" s="781" t="s">
        <v>4027</v>
      </c>
      <c r="C21" s="770" t="s">
        <v>99</v>
      </c>
      <c r="D21" s="782">
        <f>SUM('C Intangible New'!K402:K489)</f>
        <v>40462750.369999982</v>
      </c>
      <c r="E21" s="782"/>
      <c r="F21" s="782">
        <f>SUM(D21:E21)</f>
        <v>40462750.369999982</v>
      </c>
      <c r="G21" s="794">
        <f>F21*'Four Factor Allocator'!$C$5</f>
        <v>26567842.035999615</v>
      </c>
      <c r="H21" s="794">
        <f>$G21*VLOOKUP($C21,Ratio,2,FALSE)</f>
        <v>9274606.8440216687</v>
      </c>
      <c r="I21" s="794">
        <f>$G21*VLOOKUP($C21,Ratio,3,FALSE)</f>
        <v>0</v>
      </c>
      <c r="J21" s="794">
        <f>$G21*VLOOKUP($C21,Ratio,4,FALSE)</f>
        <v>17293235.191977948</v>
      </c>
      <c r="K21" s="1892">
        <f>G21-SUM(H21:J21)</f>
        <v>0</v>
      </c>
      <c r="L21" s="783" t="s">
        <v>3792</v>
      </c>
    </row>
    <row r="22" spans="2:15" ht="12" customHeight="1">
      <c r="B22" s="770" t="s">
        <v>3793</v>
      </c>
      <c r="C22" s="770" t="s">
        <v>390</v>
      </c>
      <c r="D22" s="782">
        <v>0</v>
      </c>
      <c r="E22" s="782"/>
      <c r="F22" s="782">
        <f>SUM(D22:E22)</f>
        <v>0</v>
      </c>
      <c r="G22" s="794">
        <f>F22*'Four Factor Allocator'!$C$5</f>
        <v>0</v>
      </c>
      <c r="H22" s="794">
        <f>$G22*VLOOKUP($C22,Ratio,2,FALSE)</f>
        <v>0</v>
      </c>
      <c r="I22" s="794">
        <f>$G22*VLOOKUP($C22,Ratio,3,FALSE)</f>
        <v>0</v>
      </c>
      <c r="J22" s="794">
        <f>$G22*VLOOKUP($C22,Ratio,4,FALSE)</f>
        <v>0</v>
      </c>
      <c r="K22" s="1892">
        <f>G22-SUM(H22:J22)</f>
        <v>0</v>
      </c>
      <c r="L22" s="783" t="s">
        <v>3792</v>
      </c>
    </row>
    <row r="23" spans="2:15" ht="12" customHeight="1" thickBot="1">
      <c r="C23" s="784" t="s">
        <v>196</v>
      </c>
      <c r="D23" s="795">
        <f>SUM(D21:D22)</f>
        <v>40462750.369999982</v>
      </c>
      <c r="E23" s="785">
        <f>SUM(E21:E22)</f>
        <v>0</v>
      </c>
      <c r="F23" s="785">
        <f>SUM(D23:E23)</f>
        <v>40462750.369999982</v>
      </c>
      <c r="G23" s="785">
        <f>SUBTOTAL(9,G21:G22)</f>
        <v>26567842.035999615</v>
      </c>
      <c r="H23" s="785">
        <f>SUBTOTAL(9,H21:H22)</f>
        <v>9274606.8440216687</v>
      </c>
      <c r="I23" s="785">
        <f>SUBTOTAL(9,I21:I22)</f>
        <v>0</v>
      </c>
      <c r="J23" s="785">
        <f>SUBTOTAL(9,J21:J22)</f>
        <v>17293235.191977948</v>
      </c>
      <c r="K23" s="1892">
        <f>SUBTOTAL(9,K21:K22)</f>
        <v>0</v>
      </c>
      <c r="L23" s="783" t="s">
        <v>3792</v>
      </c>
    </row>
    <row r="24" spans="2:15" ht="12" customHeight="1" thickTop="1">
      <c r="C24" s="3672" t="s">
        <v>3782</v>
      </c>
      <c r="D24" s="3659">
        <f>D23-'C Intangible New'!K490</f>
        <v>0</v>
      </c>
      <c r="E24" s="787"/>
      <c r="F24" s="787"/>
      <c r="G24" s="770"/>
      <c r="H24" s="770"/>
      <c r="I24" s="770"/>
      <c r="J24" s="770"/>
      <c r="K24" s="770"/>
      <c r="L24" s="770"/>
    </row>
    <row r="25" spans="2:15" ht="12" customHeight="1">
      <c r="B25" s="770"/>
      <c r="C25" s="770"/>
      <c r="D25" s="754"/>
      <c r="E25" s="770"/>
      <c r="F25" s="770"/>
      <c r="G25" s="770"/>
      <c r="H25" s="770"/>
      <c r="I25" s="770"/>
      <c r="J25" s="770"/>
      <c r="K25" s="770"/>
      <c r="L25" s="770"/>
    </row>
    <row r="26" spans="2:15" ht="12" customHeight="1">
      <c r="B26" s="750" t="s">
        <v>3794</v>
      </c>
      <c r="C26" s="770"/>
      <c r="D26" s="754"/>
      <c r="E26" s="770"/>
      <c r="F26" s="770"/>
      <c r="G26" s="770"/>
      <c r="H26" s="770"/>
      <c r="I26" s="770"/>
      <c r="J26" s="770"/>
      <c r="K26" s="770"/>
      <c r="L26" s="770"/>
    </row>
    <row r="27" spans="2:15" ht="12" customHeight="1">
      <c r="B27" s="770"/>
      <c r="C27" s="770"/>
      <c r="D27" s="754"/>
      <c r="E27" s="771" t="s">
        <v>2288</v>
      </c>
      <c r="F27" s="507"/>
      <c r="G27" s="1901" t="s">
        <v>510</v>
      </c>
      <c r="H27" s="1901"/>
      <c r="I27" s="1901"/>
      <c r="J27" s="1901"/>
      <c r="K27" s="790"/>
      <c r="L27" s="770"/>
    </row>
    <row r="28" spans="2:15" ht="12" customHeight="1">
      <c r="B28" s="3695" t="s">
        <v>2286</v>
      </c>
      <c r="C28" s="3695" t="s">
        <v>350</v>
      </c>
      <c r="D28" s="3696" t="s">
        <v>2304</v>
      </c>
      <c r="E28" s="770"/>
      <c r="F28" s="512" t="s">
        <v>196</v>
      </c>
      <c r="G28" s="1902" t="s">
        <v>8293</v>
      </c>
      <c r="H28" s="1902" t="s">
        <v>105</v>
      </c>
      <c r="I28" s="1902" t="s">
        <v>106</v>
      </c>
      <c r="J28" s="1902" t="s">
        <v>511</v>
      </c>
      <c r="K28" s="3673" t="s">
        <v>2289</v>
      </c>
      <c r="L28" s="770"/>
      <c r="M28" s="1903" t="s">
        <v>8294</v>
      </c>
    </row>
    <row r="29" spans="2:15" ht="12" customHeight="1">
      <c r="B29" s="3696" t="s">
        <v>4022</v>
      </c>
      <c r="C29" s="3696" t="s">
        <v>390</v>
      </c>
      <c r="D29" s="3697">
        <v>240592.66999999998</v>
      </c>
      <c r="E29" s="754"/>
      <c r="F29" s="754">
        <f t="shared" ref="F29:F37" si="8">SUM(D29:E29)</f>
        <v>240592.66999999998</v>
      </c>
      <c r="G29" s="754">
        <f>F29*'Four Factor Allocator'!$C$5</f>
        <v>157973.14797262472</v>
      </c>
      <c r="H29" s="754">
        <f>$G29*VLOOKUP($C29,Ratio,2,FALSE)</f>
        <v>0</v>
      </c>
      <c r="I29" s="754">
        <f>$G29*VLOOKUP($C29,Ratio,3,FALSE)</f>
        <v>0</v>
      </c>
      <c r="J29" s="754">
        <f>$G29*VLOOKUP($C29,Ratio,4,FALSE)</f>
        <v>157973.14797262472</v>
      </c>
      <c r="K29" s="1892">
        <f t="shared" ref="K29:K38" si="9">G29-SUM(H29:J29)</f>
        <v>0</v>
      </c>
      <c r="L29" s="770"/>
    </row>
    <row r="30" spans="2:15" ht="12" customHeight="1">
      <c r="B30" s="3696"/>
      <c r="C30" s="3696" t="s">
        <v>95</v>
      </c>
      <c r="D30" s="3697">
        <v>203.28</v>
      </c>
      <c r="E30" s="754"/>
      <c r="F30" s="754">
        <f t="shared" si="8"/>
        <v>203.28</v>
      </c>
      <c r="G30" s="754">
        <f>F30*'Four Factor Allocator'!$C$5</f>
        <v>133.47364871870434</v>
      </c>
      <c r="H30" s="754">
        <f>$G30*VLOOKUP($C30,Ratio,2,FALSE)</f>
        <v>45.358367731402353</v>
      </c>
      <c r="I30" s="754">
        <f>$G30*VLOOKUP($C30,Ratio,3,FALSE)</f>
        <v>0</v>
      </c>
      <c r="J30" s="754">
        <f>$G30*VLOOKUP($C30,Ratio,4,FALSE)</f>
        <v>88.115280987301986</v>
      </c>
      <c r="K30" s="1892">
        <f t="shared" si="9"/>
        <v>0</v>
      </c>
      <c r="L30" s="770"/>
      <c r="M30" s="3695" t="s">
        <v>2286</v>
      </c>
      <c r="N30" s="3695" t="s">
        <v>350</v>
      </c>
      <c r="O30" s="3696" t="s">
        <v>2304</v>
      </c>
    </row>
    <row r="31" spans="2:15" ht="12" customHeight="1">
      <c r="B31" s="3696" t="s">
        <v>4023</v>
      </c>
      <c r="C31" s="3696"/>
      <c r="D31" s="3697">
        <v>240795.94999999998</v>
      </c>
      <c r="E31" s="754"/>
      <c r="F31" s="773">
        <f t="shared" si="8"/>
        <v>240795.94999999998</v>
      </c>
      <c r="G31" s="773">
        <f>SUM(G29:G30)</f>
        <v>158106.62162134342</v>
      </c>
      <c r="H31" s="773">
        <f>SUM(H29:H30)</f>
        <v>45.358367731402353</v>
      </c>
      <c r="I31" s="773">
        <f>SUM(I29:I30)</f>
        <v>0</v>
      </c>
      <c r="J31" s="773">
        <f>SUM(J29:J30)</f>
        <v>158061.26325361204</v>
      </c>
      <c r="K31" s="1892">
        <f t="shared" si="9"/>
        <v>0</v>
      </c>
      <c r="L31" s="770"/>
      <c r="M31" s="3696" t="s">
        <v>4024</v>
      </c>
      <c r="N31" s="3696" t="s">
        <v>988</v>
      </c>
      <c r="O31" s="3697">
        <v>23679.809999999998</v>
      </c>
    </row>
    <row r="32" spans="2:15" ht="12" customHeight="1">
      <c r="B32" s="3696" t="s">
        <v>4024</v>
      </c>
      <c r="C32" s="3696" t="s">
        <v>390</v>
      </c>
      <c r="D32" s="3697">
        <v>47856613.430000007</v>
      </c>
      <c r="E32" s="754"/>
      <c r="F32" s="754">
        <f t="shared" si="8"/>
        <v>47856613.430000007</v>
      </c>
      <c r="G32" s="754">
        <f>F32*'Four Factor Allocator'!$C$5</f>
        <v>31422652.547336921</v>
      </c>
      <c r="H32" s="754">
        <f t="shared" ref="H32:H37" si="10">$G32*VLOOKUP($C32,Ratio,2,FALSE)</f>
        <v>0</v>
      </c>
      <c r="I32" s="754">
        <f t="shared" ref="I32:I37" si="11">$G32*VLOOKUP($C32,Ratio,3,FALSE)</f>
        <v>0</v>
      </c>
      <c r="J32" s="754">
        <f t="shared" ref="J32:J37" si="12">$G32*VLOOKUP($C32,Ratio,4,FALSE)</f>
        <v>31422652.547336921</v>
      </c>
      <c r="K32" s="1892">
        <f t="shared" si="9"/>
        <v>0</v>
      </c>
      <c r="L32" s="770"/>
      <c r="M32" s="3696" t="s">
        <v>4025</v>
      </c>
      <c r="N32" s="3696"/>
      <c r="O32" s="3697">
        <v>23679.809999999998</v>
      </c>
    </row>
    <row r="33" spans="2:15" ht="12" customHeight="1">
      <c r="B33" s="3696"/>
      <c r="C33" s="3696" t="s">
        <v>95</v>
      </c>
      <c r="D33" s="3697">
        <v>144904432.38999996</v>
      </c>
      <c r="E33" s="796"/>
      <c r="F33" s="754">
        <f t="shared" si="8"/>
        <v>144904432.38999996</v>
      </c>
      <c r="G33" s="754">
        <f>F33*'Four Factor Allocator'!$C$5</f>
        <v>95144250.819589213</v>
      </c>
      <c r="H33" s="754">
        <f t="shared" si="10"/>
        <v>32332883.364107374</v>
      </c>
      <c r="I33" s="754">
        <f t="shared" si="11"/>
        <v>0</v>
      </c>
      <c r="J33" s="754">
        <f t="shared" si="12"/>
        <v>62811367.455481835</v>
      </c>
      <c r="K33" s="1892">
        <f t="shared" si="9"/>
        <v>0</v>
      </c>
      <c r="L33" s="770"/>
      <c r="M33" s="3696" t="s">
        <v>2301</v>
      </c>
      <c r="N33" s="3696"/>
      <c r="O33" s="3698">
        <v>23679.809999999998</v>
      </c>
    </row>
    <row r="34" spans="2:15" ht="12" customHeight="1">
      <c r="B34" s="3696"/>
      <c r="C34" s="3696" t="s">
        <v>392</v>
      </c>
      <c r="D34" s="3697">
        <v>4789766.1000000006</v>
      </c>
      <c r="E34" s="754"/>
      <c r="F34" s="754">
        <f t="shared" si="8"/>
        <v>4789766.1000000006</v>
      </c>
      <c r="G34" s="754">
        <f>F34*'Four Factor Allocator'!$C$5</f>
        <v>3144960.4381944044</v>
      </c>
      <c r="H34" s="754">
        <f t="shared" si="10"/>
        <v>3144960.4381944044</v>
      </c>
      <c r="I34" s="754">
        <f t="shared" si="11"/>
        <v>0</v>
      </c>
      <c r="J34" s="754">
        <f t="shared" si="12"/>
        <v>0</v>
      </c>
      <c r="K34" s="1892">
        <f t="shared" si="9"/>
        <v>0</v>
      </c>
      <c r="L34" s="770"/>
    </row>
    <row r="35" spans="2:15" ht="12" customHeight="1">
      <c r="B35" s="3696"/>
      <c r="C35" s="3696" t="s">
        <v>99</v>
      </c>
      <c r="D35" s="3697">
        <v>31775307.259999998</v>
      </c>
      <c r="E35" s="754"/>
      <c r="F35" s="754">
        <f t="shared" si="8"/>
        <v>31775307.259999998</v>
      </c>
      <c r="G35" s="754">
        <f>F35*'Four Factor Allocator'!$C$5</f>
        <v>20863666.859258831</v>
      </c>
      <c r="H35" s="754">
        <f t="shared" si="10"/>
        <v>7283327.986596466</v>
      </c>
      <c r="I35" s="754">
        <f t="shared" si="11"/>
        <v>0</v>
      </c>
      <c r="J35" s="754">
        <f t="shared" si="12"/>
        <v>13580338.872662365</v>
      </c>
      <c r="K35" s="1892">
        <f t="shared" si="9"/>
        <v>0</v>
      </c>
      <c r="L35" s="770"/>
    </row>
    <row r="36" spans="2:15" ht="12" customHeight="1">
      <c r="B36" s="3696"/>
      <c r="C36" s="3696" t="s">
        <v>108</v>
      </c>
      <c r="D36" s="3697">
        <v>1340294.21</v>
      </c>
      <c r="E36" s="754"/>
      <c r="F36" s="754">
        <f t="shared" si="8"/>
        <v>1340294.21</v>
      </c>
      <c r="G36" s="754">
        <f>F36*'Four Factor Allocator'!$C$5</f>
        <v>880037.1830246622</v>
      </c>
      <c r="H36" s="754">
        <f t="shared" si="10"/>
        <v>307900.89126998128</v>
      </c>
      <c r="I36" s="754">
        <f t="shared" si="11"/>
        <v>0</v>
      </c>
      <c r="J36" s="754">
        <f t="shared" si="12"/>
        <v>572136.2915862446</v>
      </c>
      <c r="K36" s="1892">
        <f t="shared" si="9"/>
        <v>1.6843632329255342E-4</v>
      </c>
      <c r="L36" s="770"/>
    </row>
    <row r="37" spans="2:15" ht="12" customHeight="1">
      <c r="B37" s="3696"/>
      <c r="C37" s="3696" t="s">
        <v>109</v>
      </c>
      <c r="D37" s="3697">
        <v>396779.82</v>
      </c>
      <c r="E37" s="754"/>
      <c r="F37" s="754">
        <f t="shared" si="8"/>
        <v>396779.82</v>
      </c>
      <c r="G37" s="754">
        <f>F37*'Four Factor Allocator'!$C$5</f>
        <v>260525.63121483047</v>
      </c>
      <c r="H37" s="754">
        <f t="shared" si="10"/>
        <v>0</v>
      </c>
      <c r="I37" s="754">
        <f t="shared" si="11"/>
        <v>0</v>
      </c>
      <c r="J37" s="754">
        <f t="shared" si="12"/>
        <v>260525.63121483047</v>
      </c>
      <c r="K37" s="1892">
        <f t="shared" si="9"/>
        <v>0</v>
      </c>
      <c r="L37" s="770"/>
    </row>
    <row r="38" spans="2:15" ht="12" customHeight="1">
      <c r="B38" s="3696" t="s">
        <v>4025</v>
      </c>
      <c r="C38" s="3696"/>
      <c r="D38" s="3697">
        <v>231063193.20999995</v>
      </c>
      <c r="E38" s="754"/>
      <c r="F38" s="773">
        <f>SUM(F32:F37)</f>
        <v>231063193.20999995</v>
      </c>
      <c r="G38" s="773">
        <f>SUM(G32:G37)</f>
        <v>151716093.47861886</v>
      </c>
      <c r="H38" s="773">
        <f>SUM(H32:H37)</f>
        <v>43069072.680168226</v>
      </c>
      <c r="I38" s="773">
        <f>SUM(I32:I37)</f>
        <v>0</v>
      </c>
      <c r="J38" s="773">
        <f>SUM(J32:J37)</f>
        <v>108647020.79828221</v>
      </c>
      <c r="K38" s="1892">
        <f t="shared" si="9"/>
        <v>1.6844272613525391E-4</v>
      </c>
      <c r="L38" s="770"/>
    </row>
    <row r="39" spans="2:15" ht="12" customHeight="1" thickBot="1">
      <c r="B39" s="3696" t="s">
        <v>2301</v>
      </c>
      <c r="C39" s="3696"/>
      <c r="D39" s="3698">
        <v>231303989.15999997</v>
      </c>
      <c r="E39" s="775">
        <f>SUM(E27:E38)</f>
        <v>0</v>
      </c>
      <c r="F39" s="775">
        <f>F31+F38+F47</f>
        <v>268716800.68999994</v>
      </c>
      <c r="G39" s="775">
        <f>G31+G38+G47</f>
        <v>176439452.28311265</v>
      </c>
      <c r="H39" s="2072">
        <f>H31+H38+H47</f>
        <v>51644637.861021794</v>
      </c>
      <c r="I39" s="2072">
        <f>I31+I38+I47</f>
        <v>0</v>
      </c>
      <c r="J39" s="2072">
        <f>J31+J38+J47</f>
        <v>124794814.42192245</v>
      </c>
      <c r="K39" s="3674">
        <f>SUM(K29:K37,K45:K46)</f>
        <v>1.6843632329255342E-4</v>
      </c>
      <c r="L39" s="770"/>
    </row>
    <row r="40" spans="2:15" ht="12" customHeight="1" thickTop="1">
      <c r="C40" s="3672" t="s">
        <v>3782</v>
      </c>
      <c r="D40" s="3659">
        <f>'C Intangible New'!L396-D39-O33</f>
        <v>-2.0622974261641502E-7</v>
      </c>
      <c r="E40" s="770"/>
      <c r="F40" s="770"/>
      <c r="G40" s="1512" t="s">
        <v>4026</v>
      </c>
      <c r="H40" s="1945">
        <f>SUM(H32:H37)/SUM($G$32:$G$37)</f>
        <v>0.28387939402247986</v>
      </c>
      <c r="I40" s="1945">
        <f>SUM(I32:I37)/SUM($G$32:$G$37)</f>
        <v>0</v>
      </c>
      <c r="J40" s="1945">
        <f>SUM(J32:J37)/SUM($G$32:$G$37)</f>
        <v>0.71612060597641003</v>
      </c>
      <c r="K40" s="3663">
        <f>SUBTOTAL(9,H40:J40)</f>
        <v>0.99999999999888989</v>
      </c>
      <c r="L40" s="770"/>
    </row>
    <row r="41" spans="2:15" ht="12" customHeight="1">
      <c r="E41" s="1936" t="s">
        <v>2303</v>
      </c>
      <c r="F41" s="1928">
        <f>'FERC p200-201 Utility Plant'!$I$31</f>
        <v>268740481</v>
      </c>
    </row>
    <row r="42" spans="2:15" ht="12" customHeight="1">
      <c r="E42" s="3660" t="s">
        <v>3782</v>
      </c>
      <c r="F42" s="1892">
        <f>F41-F39-O33</f>
        <v>0.50000006199115887</v>
      </c>
      <c r="I42" s="1732"/>
    </row>
    <row r="43" spans="2:15" ht="12" customHeight="1">
      <c r="B43" s="770"/>
      <c r="C43" s="770"/>
      <c r="D43" s="754"/>
      <c r="E43" s="770"/>
      <c r="F43" s="507"/>
      <c r="G43" s="1901" t="s">
        <v>510</v>
      </c>
      <c r="H43" s="1901"/>
      <c r="I43" s="1901"/>
      <c r="J43" s="1901"/>
      <c r="K43" s="770"/>
      <c r="L43" s="770"/>
    </row>
    <row r="44" spans="2:15" ht="12" customHeight="1">
      <c r="B44" s="493" t="s">
        <v>3790</v>
      </c>
      <c r="C44" s="493" t="s">
        <v>350</v>
      </c>
      <c r="D44" s="746" t="s">
        <v>2287</v>
      </c>
      <c r="E44" s="771" t="s">
        <v>2288</v>
      </c>
      <c r="F44" s="512" t="s">
        <v>196</v>
      </c>
      <c r="G44" s="1902" t="s">
        <v>8293</v>
      </c>
      <c r="H44" s="1902" t="s">
        <v>105</v>
      </c>
      <c r="I44" s="1902" t="s">
        <v>106</v>
      </c>
      <c r="J44" s="1902" t="s">
        <v>511</v>
      </c>
      <c r="K44" s="3673" t="s">
        <v>2289</v>
      </c>
      <c r="L44" s="770"/>
    </row>
    <row r="45" spans="2:15" ht="12" customHeight="1">
      <c r="B45" s="781" t="s">
        <v>4027</v>
      </c>
      <c r="C45" s="770" t="s">
        <v>99</v>
      </c>
      <c r="D45" s="782">
        <f>SUM('C Intangible New'!L402:L489)</f>
        <v>37412811.530000009</v>
      </c>
      <c r="E45" s="782"/>
      <c r="F45" s="782">
        <f>SUM(D45:E45)</f>
        <v>37412811.530000009</v>
      </c>
      <c r="G45" s="782">
        <f>F45*'Four Factor Allocator'!$C$5</f>
        <v>24565252.182872452</v>
      </c>
      <c r="H45" s="782">
        <f>$G45*VLOOKUP($C45,Ratio,2,FALSE)</f>
        <v>8575519.8224858344</v>
      </c>
      <c r="I45" s="782">
        <f>$G45*VLOOKUP($C45,Ratio,3,FALSE)</f>
        <v>0</v>
      </c>
      <c r="J45" s="782">
        <f>$G45*VLOOKUP($C45,Ratio,4,FALSE)</f>
        <v>15989732.360386619</v>
      </c>
      <c r="K45" s="1892">
        <f>G45-SUM(H45:J45)</f>
        <v>0</v>
      </c>
      <c r="L45" s="770"/>
    </row>
    <row r="46" spans="2:15" ht="12" customHeight="1">
      <c r="B46" s="770" t="s">
        <v>3793</v>
      </c>
      <c r="C46" s="770" t="s">
        <v>390</v>
      </c>
      <c r="D46" s="782">
        <v>0</v>
      </c>
      <c r="E46" s="782"/>
      <c r="F46" s="782">
        <f>SUM(D46:E46)</f>
        <v>0</v>
      </c>
      <c r="G46" s="782">
        <f>F46*'Four Factor Allocator'!$C$5</f>
        <v>0</v>
      </c>
      <c r="H46" s="782">
        <f>$G46*VLOOKUP($C46,Ratio,2,FALSE)</f>
        <v>0</v>
      </c>
      <c r="I46" s="782">
        <f>$G46*VLOOKUP($C46,Ratio,3,FALSE)</f>
        <v>0</v>
      </c>
      <c r="J46" s="782">
        <f>$G46*VLOOKUP($C46,Ratio,4,FALSE)</f>
        <v>0</v>
      </c>
      <c r="K46" s="1892">
        <f>G46-SUM(H46:J46)</f>
        <v>0</v>
      </c>
      <c r="L46" s="783" t="s">
        <v>3792</v>
      </c>
    </row>
    <row r="47" spans="2:15" ht="12" customHeight="1" thickBot="1">
      <c r="C47" s="784" t="s">
        <v>196</v>
      </c>
      <c r="D47" s="795">
        <f>SUM(D45:D46)</f>
        <v>37412811.530000009</v>
      </c>
      <c r="E47" s="785">
        <f>SUM(E45:E46)</f>
        <v>0</v>
      </c>
      <c r="F47" s="785">
        <f>SUM(D47:D47)</f>
        <v>37412811.530000009</v>
      </c>
      <c r="G47" s="785">
        <f>SUBTOTAL(9,G45:G46)</f>
        <v>24565252.182872452</v>
      </c>
      <c r="H47" s="785">
        <f>SUBTOTAL(9,H45:H46)</f>
        <v>8575519.8224858344</v>
      </c>
      <c r="I47" s="785">
        <f>SUBTOTAL(9,I45:I46)</f>
        <v>0</v>
      </c>
      <c r="J47" s="785">
        <f>SUBTOTAL(9,J45:J46)</f>
        <v>15989732.360386619</v>
      </c>
      <c r="K47" s="1892">
        <f>G47-SUM(H47:J47)</f>
        <v>0</v>
      </c>
      <c r="L47" s="783" t="s">
        <v>3792</v>
      </c>
    </row>
    <row r="48" spans="2:15" ht="12" customHeight="1" thickTop="1">
      <c r="B48" s="770"/>
      <c r="C48" s="3672" t="s">
        <v>3782</v>
      </c>
      <c r="D48" s="3659">
        <f>D47-'C Intangible New'!L490</f>
        <v>0</v>
      </c>
    </row>
    <row r="49" ht="12" customHeight="1"/>
    <row r="50" ht="12" customHeight="1"/>
    <row r="51" ht="12" customHeight="1"/>
    <row r="52" ht="12" customHeight="1"/>
    <row r="53" ht="12" customHeight="1"/>
    <row r="54" ht="12" customHeight="1"/>
  </sheetData>
  <pageMargins left="0.7" right="0.7" top="0.75" bottom="0.75" header="0.3" footer="0.3"/>
  <customProperties>
    <customPr name="_pios_id" r:id="rId5"/>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92D050"/>
  </sheetPr>
  <dimension ref="A1:Q492"/>
  <sheetViews>
    <sheetView zoomScaleNormal="100" workbookViewId="0">
      <pane ySplit="1" topLeftCell="A2" activePane="bottomLeft" state="frozen"/>
      <selection sqref="A1:XFD1048576"/>
      <selection pane="bottomLeft" sqref="A1:XFD1048576"/>
    </sheetView>
  </sheetViews>
  <sheetFormatPr defaultColWidth="15.5" defaultRowHeight="10.5" customHeight="1" outlineLevelCol="1"/>
  <cols>
    <col min="1" max="1" width="7.875" style="799" customWidth="1" outlineLevel="1"/>
    <col min="2" max="2" width="11.75" style="799" customWidth="1" outlineLevel="1"/>
    <col min="3" max="3" width="21.875" style="799" customWidth="1" outlineLevel="1"/>
    <col min="4" max="4" width="8.75" style="799" bestFit="1" customWidth="1" outlineLevel="1"/>
    <col min="5" max="5" width="4.25" style="799" customWidth="1" outlineLevel="1"/>
    <col min="6" max="6" width="8.5" style="799" customWidth="1"/>
    <col min="7" max="7" width="31.75" style="799" bestFit="1" customWidth="1"/>
    <col min="8" max="8" width="34.375" style="1747" customWidth="1"/>
    <col min="9" max="9" width="7.375" style="799" bestFit="1" customWidth="1"/>
    <col min="10" max="10" width="8.25" style="799" customWidth="1"/>
    <col min="11" max="11" width="12" style="800" bestFit="1" customWidth="1"/>
    <col min="12" max="12" width="16.375" style="800" bestFit="1" customWidth="1"/>
    <col min="13" max="13" width="14.75" style="800" bestFit="1" customWidth="1"/>
    <col min="14" max="14" width="7.25" style="799" customWidth="1"/>
    <col min="15" max="15" width="14.875" style="799" customWidth="1"/>
    <col min="16" max="16" width="29.125" style="1747" customWidth="1"/>
    <col min="17" max="17" width="81" style="1701" customWidth="1"/>
    <col min="18" max="16384" width="15.5" style="799"/>
  </cols>
  <sheetData>
    <row r="1" spans="1:17" s="1701" customFormat="1" ht="10.5" customHeight="1">
      <c r="A1" s="1701" t="s">
        <v>2326</v>
      </c>
      <c r="B1" s="1701" t="s">
        <v>2327</v>
      </c>
      <c r="C1" s="1701" t="s">
        <v>2328</v>
      </c>
      <c r="D1" s="1701" t="s">
        <v>2329</v>
      </c>
      <c r="E1" s="1701" t="s">
        <v>2330</v>
      </c>
      <c r="F1" s="797" t="s">
        <v>2331</v>
      </c>
      <c r="G1" s="797" t="s">
        <v>2332</v>
      </c>
      <c r="H1" s="798" t="s">
        <v>2333</v>
      </c>
      <c r="I1" s="1701" t="s">
        <v>2334</v>
      </c>
      <c r="J1" s="1701" t="s">
        <v>2335</v>
      </c>
      <c r="K1" s="1702" t="s">
        <v>2336</v>
      </c>
      <c r="L1" s="1702" t="s">
        <v>2337</v>
      </c>
      <c r="M1" s="1702" t="s">
        <v>2338</v>
      </c>
      <c r="N1" s="1703" t="s">
        <v>2286</v>
      </c>
      <c r="O1" s="1703" t="s">
        <v>350</v>
      </c>
      <c r="P1" s="1749" t="s">
        <v>8127</v>
      </c>
      <c r="Q1" s="1703" t="s">
        <v>8128</v>
      </c>
    </row>
    <row r="2" spans="1:17" ht="10.5" customHeight="1">
      <c r="A2" s="799" t="s">
        <v>4028</v>
      </c>
      <c r="B2" s="799" t="s">
        <v>2340</v>
      </c>
      <c r="C2" s="799" t="s">
        <v>4029</v>
      </c>
      <c r="D2" s="799">
        <v>14539052</v>
      </c>
      <c r="E2" s="799" t="s">
        <v>4030</v>
      </c>
      <c r="F2" s="799">
        <v>130005601</v>
      </c>
      <c r="G2" s="799" t="s">
        <v>4031</v>
      </c>
      <c r="H2" s="1747" t="s">
        <v>4032</v>
      </c>
      <c r="I2" s="799" t="s">
        <v>6867</v>
      </c>
      <c r="J2" s="799">
        <v>1</v>
      </c>
      <c r="K2" s="1893">
        <v>5504160.0199999996</v>
      </c>
      <c r="L2" s="1893">
        <v>1965627.4100000001</v>
      </c>
      <c r="M2" s="1893">
        <v>3538532.61</v>
      </c>
      <c r="N2" s="799" t="s">
        <v>4024</v>
      </c>
      <c r="O2" s="799" t="s">
        <v>95</v>
      </c>
    </row>
    <row r="3" spans="1:17" ht="10.5" customHeight="1">
      <c r="A3" s="799" t="s">
        <v>4028</v>
      </c>
      <c r="B3" s="799" t="s">
        <v>2340</v>
      </c>
      <c r="C3" s="799" t="s">
        <v>3797</v>
      </c>
      <c r="D3" s="799">
        <v>21305106</v>
      </c>
      <c r="E3" s="799" t="s">
        <v>4030</v>
      </c>
      <c r="F3" s="799">
        <v>143001360</v>
      </c>
      <c r="G3" s="799" t="s">
        <v>4033</v>
      </c>
      <c r="H3" s="1747" t="s">
        <v>4033</v>
      </c>
      <c r="I3" s="799" t="s">
        <v>6867</v>
      </c>
      <c r="J3" s="799">
        <v>1</v>
      </c>
      <c r="K3" s="1893">
        <v>2755684.87</v>
      </c>
      <c r="L3" s="1893">
        <v>2606435.21</v>
      </c>
      <c r="M3" s="1893">
        <v>149249.66</v>
      </c>
      <c r="N3" s="799" t="s">
        <v>4024</v>
      </c>
      <c r="O3" s="799" t="s">
        <v>392</v>
      </c>
    </row>
    <row r="4" spans="1:17" ht="10.5" customHeight="1">
      <c r="A4" s="799" t="s">
        <v>4028</v>
      </c>
      <c r="B4" s="799" t="s">
        <v>2340</v>
      </c>
      <c r="C4" s="799" t="s">
        <v>3797</v>
      </c>
      <c r="D4" s="799">
        <v>24530666</v>
      </c>
      <c r="E4" s="799" t="s">
        <v>4034</v>
      </c>
      <c r="F4" s="799">
        <v>143001808</v>
      </c>
      <c r="G4" s="799" t="s">
        <v>4035</v>
      </c>
      <c r="H4" s="1747" t="s">
        <v>4036</v>
      </c>
      <c r="I4" s="799" t="s">
        <v>6867</v>
      </c>
      <c r="J4" s="799">
        <v>0</v>
      </c>
      <c r="K4" s="1893">
        <v>18643.25</v>
      </c>
      <c r="L4" s="1893">
        <v>14992.24</v>
      </c>
      <c r="M4" s="1893">
        <v>3651.01</v>
      </c>
      <c r="N4" s="799" t="s">
        <v>4022</v>
      </c>
      <c r="O4" s="799" t="s">
        <v>390</v>
      </c>
    </row>
    <row r="5" spans="1:17" ht="10.5" customHeight="1">
      <c r="A5" s="799" t="s">
        <v>4028</v>
      </c>
      <c r="B5" s="799" t="s">
        <v>2340</v>
      </c>
      <c r="C5" s="799" t="s">
        <v>3797</v>
      </c>
      <c r="D5" s="799">
        <v>25784448</v>
      </c>
      <c r="E5" s="799" t="s">
        <v>4034</v>
      </c>
      <c r="F5" s="799">
        <v>130005490</v>
      </c>
      <c r="G5" s="799" t="s">
        <v>4037</v>
      </c>
      <c r="H5" s="1747" t="s">
        <v>4038</v>
      </c>
      <c r="I5" s="799" t="s">
        <v>6867</v>
      </c>
      <c r="J5" s="799">
        <v>1</v>
      </c>
      <c r="K5" s="1893">
        <v>5985.75</v>
      </c>
      <c r="L5" s="1893">
        <v>4294.0600000000004</v>
      </c>
      <c r="M5" s="1893">
        <v>1691.69</v>
      </c>
      <c r="N5" s="799" t="s">
        <v>4022</v>
      </c>
      <c r="O5" s="799" t="s">
        <v>390</v>
      </c>
    </row>
    <row r="6" spans="1:17" ht="10.5" customHeight="1">
      <c r="A6" s="799" t="s">
        <v>4028</v>
      </c>
      <c r="B6" s="799" t="s">
        <v>2340</v>
      </c>
      <c r="C6" s="799" t="s">
        <v>3800</v>
      </c>
      <c r="D6" s="799">
        <v>29058521</v>
      </c>
      <c r="E6" s="799" t="s">
        <v>4034</v>
      </c>
      <c r="F6" s="799">
        <v>143001982</v>
      </c>
      <c r="G6" s="799" t="s">
        <v>4039</v>
      </c>
      <c r="H6" s="1747" t="s">
        <v>4040</v>
      </c>
      <c r="I6" s="799" t="s">
        <v>6867</v>
      </c>
      <c r="J6" s="799">
        <v>1</v>
      </c>
      <c r="K6" s="1893">
        <v>13057.710000000001</v>
      </c>
      <c r="L6" s="1893">
        <v>9367.35</v>
      </c>
      <c r="M6" s="1893">
        <v>3690.36</v>
      </c>
      <c r="N6" s="799" t="s">
        <v>4022</v>
      </c>
      <c r="O6" s="799" t="s">
        <v>390</v>
      </c>
    </row>
    <row r="7" spans="1:17" ht="10.5" customHeight="1">
      <c r="A7" s="799" t="s">
        <v>4028</v>
      </c>
      <c r="B7" s="799" t="s">
        <v>2340</v>
      </c>
      <c r="C7" s="799" t="s">
        <v>3807</v>
      </c>
      <c r="D7" s="799">
        <v>29058524</v>
      </c>
      <c r="E7" s="799" t="s">
        <v>4034</v>
      </c>
      <c r="F7" s="799">
        <v>143002001</v>
      </c>
      <c r="G7" s="799" t="s">
        <v>4041</v>
      </c>
      <c r="H7" s="1747" t="s">
        <v>4042</v>
      </c>
      <c r="I7" s="799" t="s">
        <v>6867</v>
      </c>
      <c r="J7" s="799">
        <v>1</v>
      </c>
      <c r="K7" s="1893">
        <v>17367.16</v>
      </c>
      <c r="L7" s="1893">
        <v>12458.86</v>
      </c>
      <c r="M7" s="1893">
        <v>4908.3</v>
      </c>
      <c r="N7" s="799" t="s">
        <v>4022</v>
      </c>
      <c r="O7" s="799" t="s">
        <v>390</v>
      </c>
    </row>
    <row r="8" spans="1:17" ht="10.5" customHeight="1">
      <c r="A8" s="799" t="s">
        <v>4028</v>
      </c>
      <c r="B8" s="799" t="s">
        <v>2340</v>
      </c>
      <c r="C8" s="799" t="s">
        <v>3797</v>
      </c>
      <c r="D8" s="799">
        <v>29058527</v>
      </c>
      <c r="E8" s="799" t="s">
        <v>4034</v>
      </c>
      <c r="F8" s="799">
        <v>143002254</v>
      </c>
      <c r="G8" s="799" t="s">
        <v>4043</v>
      </c>
      <c r="H8" s="1747" t="s">
        <v>4044</v>
      </c>
      <c r="I8" s="799" t="s">
        <v>6867</v>
      </c>
      <c r="J8" s="799">
        <v>1</v>
      </c>
      <c r="K8" s="1893">
        <v>6816.33</v>
      </c>
      <c r="L8" s="1893">
        <v>4889.9000000000005</v>
      </c>
      <c r="M8" s="1893">
        <v>1926.43</v>
      </c>
      <c r="N8" s="799" t="s">
        <v>4022</v>
      </c>
      <c r="O8" s="799" t="s">
        <v>390</v>
      </c>
    </row>
    <row r="9" spans="1:17" ht="10.5" customHeight="1">
      <c r="A9" s="799" t="s">
        <v>4028</v>
      </c>
      <c r="B9" s="799" t="s">
        <v>2340</v>
      </c>
      <c r="C9" s="799" t="s">
        <v>3797</v>
      </c>
      <c r="D9" s="799">
        <v>29291044</v>
      </c>
      <c r="E9" s="799" t="s">
        <v>4034</v>
      </c>
      <c r="F9" s="799">
        <v>130001349</v>
      </c>
      <c r="G9" s="799" t="s">
        <v>4045</v>
      </c>
      <c r="H9" s="1747" t="s">
        <v>4046</v>
      </c>
      <c r="I9" s="799" t="s">
        <v>6867</v>
      </c>
      <c r="J9" s="799">
        <v>1</v>
      </c>
      <c r="K9" s="1893">
        <v>23546.98</v>
      </c>
      <c r="L9" s="1893">
        <v>16892.14</v>
      </c>
      <c r="M9" s="1893">
        <v>6654.84</v>
      </c>
      <c r="N9" s="799" t="s">
        <v>4022</v>
      </c>
      <c r="O9" s="799" t="s">
        <v>390</v>
      </c>
    </row>
    <row r="10" spans="1:17" ht="10.5" customHeight="1">
      <c r="A10" s="799" t="s">
        <v>4028</v>
      </c>
      <c r="B10" s="799" t="s">
        <v>2340</v>
      </c>
      <c r="C10" s="799" t="s">
        <v>3860</v>
      </c>
      <c r="D10" s="799">
        <v>29627792</v>
      </c>
      <c r="E10" s="799" t="s">
        <v>4030</v>
      </c>
      <c r="F10" s="799">
        <v>143002085</v>
      </c>
      <c r="G10" s="799" t="s">
        <v>4047</v>
      </c>
      <c r="H10" s="1747" t="s">
        <v>4047</v>
      </c>
      <c r="I10" s="799" t="s">
        <v>6867</v>
      </c>
      <c r="J10" s="799">
        <v>1</v>
      </c>
      <c r="K10" s="1893">
        <v>18291370.149999999</v>
      </c>
      <c r="L10" s="1893">
        <v>12638620.300000001</v>
      </c>
      <c r="M10" s="1893">
        <v>5652749.8499999996</v>
      </c>
      <c r="N10" s="799" t="s">
        <v>4024</v>
      </c>
      <c r="O10" s="799" t="s">
        <v>95</v>
      </c>
    </row>
    <row r="11" spans="1:17" ht="10.5" customHeight="1">
      <c r="A11" s="799" t="s">
        <v>4028</v>
      </c>
      <c r="B11" s="799" t="s">
        <v>2340</v>
      </c>
      <c r="C11" s="799" t="s">
        <v>3860</v>
      </c>
      <c r="D11" s="799">
        <v>29627795</v>
      </c>
      <c r="E11" s="799" t="s">
        <v>4030</v>
      </c>
      <c r="F11" s="799">
        <v>143002086</v>
      </c>
      <c r="G11" s="799" t="s">
        <v>4048</v>
      </c>
      <c r="H11" s="1747" t="s">
        <v>4048</v>
      </c>
      <c r="I11" s="799" t="s">
        <v>6867</v>
      </c>
      <c r="J11" s="799">
        <v>1</v>
      </c>
      <c r="K11" s="1893">
        <v>15878335.949999999</v>
      </c>
      <c r="L11" s="1893">
        <v>10971308.189999999</v>
      </c>
      <c r="M11" s="1893">
        <v>4907027.76</v>
      </c>
      <c r="N11" s="799" t="s">
        <v>4024</v>
      </c>
      <c r="O11" s="799" t="s">
        <v>95</v>
      </c>
    </row>
    <row r="12" spans="1:17" ht="10.5" customHeight="1">
      <c r="A12" s="799" t="s">
        <v>4028</v>
      </c>
      <c r="B12" s="799" t="s">
        <v>2340</v>
      </c>
      <c r="C12" s="799" t="s">
        <v>3860</v>
      </c>
      <c r="D12" s="799">
        <v>29672986</v>
      </c>
      <c r="E12" s="799" t="s">
        <v>4030</v>
      </c>
      <c r="F12" s="799">
        <v>143002101</v>
      </c>
      <c r="G12" s="799" t="s">
        <v>4049</v>
      </c>
      <c r="H12" s="1747" t="s">
        <v>4049</v>
      </c>
      <c r="I12" s="799" t="s">
        <v>6867</v>
      </c>
      <c r="J12" s="799">
        <v>1</v>
      </c>
      <c r="K12" s="1893">
        <v>1619237.63</v>
      </c>
      <c r="L12" s="1893">
        <v>1575816.5899999999</v>
      </c>
      <c r="M12" s="1893">
        <v>43421.04</v>
      </c>
      <c r="N12" s="799" t="s">
        <v>4024</v>
      </c>
      <c r="O12" s="799" t="s">
        <v>95</v>
      </c>
    </row>
    <row r="13" spans="1:17" ht="10.5" customHeight="1">
      <c r="A13" s="799" t="s">
        <v>4028</v>
      </c>
      <c r="B13" s="799" t="s">
        <v>2340</v>
      </c>
      <c r="C13" s="799" t="s">
        <v>3860</v>
      </c>
      <c r="D13" s="799">
        <v>30561555</v>
      </c>
      <c r="E13" s="799" t="s">
        <v>4030</v>
      </c>
      <c r="F13" s="799">
        <v>143002027</v>
      </c>
      <c r="G13" s="799" t="s">
        <v>4050</v>
      </c>
      <c r="H13" s="1747" t="s">
        <v>4051</v>
      </c>
      <c r="I13" s="799" t="s">
        <v>6867</v>
      </c>
      <c r="J13" s="799">
        <v>1</v>
      </c>
      <c r="K13" s="1893">
        <v>2082435.87</v>
      </c>
      <c r="L13" s="1893">
        <v>1438881.62</v>
      </c>
      <c r="M13" s="1893">
        <v>643554.25</v>
      </c>
      <c r="N13" s="799" t="s">
        <v>4024</v>
      </c>
      <c r="O13" s="799" t="s">
        <v>390</v>
      </c>
    </row>
    <row r="14" spans="1:17" ht="10.5" customHeight="1">
      <c r="A14" s="799" t="s">
        <v>4028</v>
      </c>
      <c r="B14" s="799" t="s">
        <v>2340</v>
      </c>
      <c r="C14" s="799" t="s">
        <v>3860</v>
      </c>
      <c r="D14" s="799">
        <v>30561584</v>
      </c>
      <c r="E14" s="799" t="s">
        <v>4030</v>
      </c>
      <c r="F14" s="799">
        <v>143002318</v>
      </c>
      <c r="G14" s="799" t="s">
        <v>4052</v>
      </c>
      <c r="H14" s="1747" t="s">
        <v>4053</v>
      </c>
      <c r="I14" s="799" t="s">
        <v>6867</v>
      </c>
      <c r="J14" s="799">
        <v>1</v>
      </c>
      <c r="K14" s="1893">
        <v>1807565.48</v>
      </c>
      <c r="L14" s="1893">
        <v>1248956.94</v>
      </c>
      <c r="M14" s="1893">
        <v>558608.54</v>
      </c>
      <c r="N14" s="799" t="s">
        <v>4024</v>
      </c>
      <c r="O14" s="799" t="s">
        <v>390</v>
      </c>
    </row>
    <row r="15" spans="1:17" ht="10.5" customHeight="1">
      <c r="A15" s="799" t="s">
        <v>4028</v>
      </c>
      <c r="B15" s="799" t="s">
        <v>2340</v>
      </c>
      <c r="C15" s="799" t="s">
        <v>3800</v>
      </c>
      <c r="D15" s="799">
        <v>31288062</v>
      </c>
      <c r="E15" s="799" t="s">
        <v>4034</v>
      </c>
      <c r="F15" s="799">
        <v>143001983</v>
      </c>
      <c r="G15" s="799" t="s">
        <v>4054</v>
      </c>
      <c r="H15" s="1747" t="s">
        <v>4054</v>
      </c>
      <c r="I15" s="799" t="s">
        <v>6867</v>
      </c>
      <c r="J15" s="799">
        <v>1</v>
      </c>
      <c r="K15" s="1893">
        <v>7891.59</v>
      </c>
      <c r="L15" s="1893">
        <v>3604.2400000000002</v>
      </c>
      <c r="M15" s="1893">
        <v>4287.3500000000004</v>
      </c>
      <c r="N15" s="799" t="s">
        <v>4022</v>
      </c>
      <c r="O15" s="799" t="s">
        <v>390</v>
      </c>
    </row>
    <row r="16" spans="1:17" ht="10.5" customHeight="1">
      <c r="A16" s="799" t="s">
        <v>4028</v>
      </c>
      <c r="B16" s="799" t="s">
        <v>2340</v>
      </c>
      <c r="C16" s="799" t="s">
        <v>3797</v>
      </c>
      <c r="D16" s="799">
        <v>33169016</v>
      </c>
      <c r="E16" s="799" t="s">
        <v>4034</v>
      </c>
      <c r="F16" s="799">
        <v>143002000</v>
      </c>
      <c r="G16" s="799" t="s">
        <v>4055</v>
      </c>
      <c r="H16" s="1747" t="s">
        <v>4056</v>
      </c>
      <c r="I16" s="799" t="s">
        <v>6867</v>
      </c>
      <c r="J16" s="799">
        <v>0</v>
      </c>
      <c r="K16" s="1893">
        <v>98972.900000000009</v>
      </c>
      <c r="L16" s="1893">
        <v>45202.86</v>
      </c>
      <c r="M16" s="1893">
        <v>53770.04</v>
      </c>
      <c r="N16" s="799" t="s">
        <v>4022</v>
      </c>
      <c r="O16" s="799" t="s">
        <v>390</v>
      </c>
    </row>
    <row r="17" spans="1:15" ht="10.5" customHeight="1">
      <c r="A17" s="799" t="s">
        <v>4028</v>
      </c>
      <c r="B17" s="799" t="s">
        <v>2340</v>
      </c>
      <c r="C17" s="799" t="s">
        <v>3797</v>
      </c>
      <c r="D17" s="799">
        <v>33169019</v>
      </c>
      <c r="E17" s="799" t="s">
        <v>4034</v>
      </c>
      <c r="F17" s="799">
        <v>143002640</v>
      </c>
      <c r="G17" s="799" t="s">
        <v>4057</v>
      </c>
      <c r="H17" s="1747" t="s">
        <v>4057</v>
      </c>
      <c r="I17" s="799" t="s">
        <v>6867</v>
      </c>
      <c r="J17" s="799">
        <v>0</v>
      </c>
      <c r="K17" s="1893">
        <v>15550.04</v>
      </c>
      <c r="L17" s="1893">
        <v>7102.01</v>
      </c>
      <c r="M17" s="1893">
        <v>8448.0300000000007</v>
      </c>
      <c r="N17" s="799" t="s">
        <v>4022</v>
      </c>
      <c r="O17" s="799" t="s">
        <v>390</v>
      </c>
    </row>
    <row r="18" spans="1:15" ht="10.5" customHeight="1">
      <c r="A18" s="799" t="s">
        <v>4028</v>
      </c>
      <c r="B18" s="799" t="s">
        <v>2340</v>
      </c>
      <c r="C18" s="799" t="s">
        <v>4058</v>
      </c>
      <c r="D18" s="799">
        <v>33176799</v>
      </c>
      <c r="E18" s="799" t="s">
        <v>4034</v>
      </c>
      <c r="F18" s="799">
        <v>142000787</v>
      </c>
      <c r="G18" s="799" t="s">
        <v>4059</v>
      </c>
      <c r="H18" s="1747" t="s">
        <v>4059</v>
      </c>
      <c r="I18" s="799" t="s">
        <v>6867</v>
      </c>
      <c r="J18" s="799">
        <v>0</v>
      </c>
      <c r="K18" s="1893">
        <v>4640.25</v>
      </c>
      <c r="L18" s="1893">
        <v>2119.29</v>
      </c>
      <c r="M18" s="1893">
        <v>2520.96</v>
      </c>
      <c r="N18" s="799" t="s">
        <v>4022</v>
      </c>
      <c r="O18" s="799" t="s">
        <v>390</v>
      </c>
    </row>
    <row r="19" spans="1:15" ht="10.5" customHeight="1">
      <c r="A19" s="799" t="s">
        <v>4028</v>
      </c>
      <c r="B19" s="799" t="s">
        <v>2340</v>
      </c>
      <c r="C19" s="799" t="s">
        <v>3860</v>
      </c>
      <c r="D19" s="799">
        <v>33532261</v>
      </c>
      <c r="E19" s="799" t="s">
        <v>4030</v>
      </c>
      <c r="F19" s="799">
        <v>143002450</v>
      </c>
      <c r="G19" s="799" t="s">
        <v>4060</v>
      </c>
      <c r="H19" s="1747" t="s">
        <v>4061</v>
      </c>
      <c r="I19" s="799" t="s">
        <v>6867</v>
      </c>
      <c r="J19" s="799">
        <v>1</v>
      </c>
      <c r="K19" s="1893">
        <v>4753919.1500000004</v>
      </c>
      <c r="L19" s="1893">
        <v>3284771.92</v>
      </c>
      <c r="M19" s="1893">
        <v>1469147.23</v>
      </c>
      <c r="N19" s="799" t="s">
        <v>4024</v>
      </c>
      <c r="O19" s="799" t="s">
        <v>390</v>
      </c>
    </row>
    <row r="20" spans="1:15" ht="10.5" customHeight="1">
      <c r="A20" s="799" t="s">
        <v>4028</v>
      </c>
      <c r="B20" s="799" t="s">
        <v>2340</v>
      </c>
      <c r="C20" s="799" t="s">
        <v>3860</v>
      </c>
      <c r="D20" s="799">
        <v>35582127</v>
      </c>
      <c r="E20" s="799" t="s">
        <v>4030</v>
      </c>
      <c r="F20" s="799">
        <v>143002462</v>
      </c>
      <c r="G20" s="799" t="s">
        <v>4062</v>
      </c>
      <c r="H20" s="1747" t="s">
        <v>4063</v>
      </c>
      <c r="I20" s="799" t="s">
        <v>6867</v>
      </c>
      <c r="J20" s="799">
        <v>1</v>
      </c>
      <c r="K20" s="1893">
        <v>1886758.44</v>
      </c>
      <c r="L20" s="1893">
        <v>1188030.49</v>
      </c>
      <c r="M20" s="1893">
        <v>698727.95000000007</v>
      </c>
      <c r="N20" s="799" t="s">
        <v>4024</v>
      </c>
      <c r="O20" s="799" t="s">
        <v>95</v>
      </c>
    </row>
    <row r="21" spans="1:15" ht="10.5" customHeight="1">
      <c r="A21" s="799" t="s">
        <v>4028</v>
      </c>
      <c r="B21" s="799" t="s">
        <v>2340</v>
      </c>
      <c r="C21" s="799" t="s">
        <v>3860</v>
      </c>
      <c r="D21" s="799">
        <v>35582130</v>
      </c>
      <c r="E21" s="799" t="s">
        <v>4030</v>
      </c>
      <c r="F21" s="799">
        <v>143002463</v>
      </c>
      <c r="G21" s="799" t="s">
        <v>4064</v>
      </c>
      <c r="H21" s="1747" t="s">
        <v>4065</v>
      </c>
      <c r="I21" s="799" t="s">
        <v>6867</v>
      </c>
      <c r="J21" s="799">
        <v>1</v>
      </c>
      <c r="K21" s="1893">
        <v>1377636.73</v>
      </c>
      <c r="L21" s="1893">
        <v>867453.09</v>
      </c>
      <c r="M21" s="1893">
        <v>510183.64</v>
      </c>
      <c r="N21" s="799" t="s">
        <v>4024</v>
      </c>
      <c r="O21" s="799" t="s">
        <v>95</v>
      </c>
    </row>
    <row r="22" spans="1:15" ht="10.5" customHeight="1">
      <c r="A22" s="799" t="s">
        <v>4028</v>
      </c>
      <c r="B22" s="799" t="s">
        <v>2340</v>
      </c>
      <c r="C22" s="799" t="s">
        <v>3860</v>
      </c>
      <c r="D22" s="799">
        <v>35582163</v>
      </c>
      <c r="E22" s="799" t="s">
        <v>4030</v>
      </c>
      <c r="F22" s="799">
        <v>143003166</v>
      </c>
      <c r="G22" s="799" t="s">
        <v>4066</v>
      </c>
      <c r="H22" s="1747" t="s">
        <v>4066</v>
      </c>
      <c r="I22" s="799" t="s">
        <v>6867</v>
      </c>
      <c r="J22" s="799">
        <v>1</v>
      </c>
      <c r="K22" s="1893">
        <v>6551618.6699999999</v>
      </c>
      <c r="L22" s="1893">
        <v>4125341.41</v>
      </c>
      <c r="M22" s="1893">
        <v>2426277.2599999998</v>
      </c>
      <c r="N22" s="799" t="s">
        <v>4024</v>
      </c>
      <c r="O22" s="799" t="s">
        <v>95</v>
      </c>
    </row>
    <row r="23" spans="1:15" ht="10.5" customHeight="1">
      <c r="A23" s="799" t="s">
        <v>4028</v>
      </c>
      <c r="B23" s="799" t="s">
        <v>2340</v>
      </c>
      <c r="C23" s="799" t="s">
        <v>3860</v>
      </c>
      <c r="D23" s="799">
        <v>35582166</v>
      </c>
      <c r="E23" s="799" t="s">
        <v>4030</v>
      </c>
      <c r="F23" s="799">
        <v>143003167</v>
      </c>
      <c r="G23" s="799" t="s">
        <v>4067</v>
      </c>
      <c r="H23" s="1747" t="s">
        <v>4067</v>
      </c>
      <c r="I23" s="799" t="s">
        <v>6867</v>
      </c>
      <c r="J23" s="799">
        <v>1</v>
      </c>
      <c r="K23" s="1893">
        <v>17489750.84</v>
      </c>
      <c r="L23" s="1893">
        <v>11012727.859999999</v>
      </c>
      <c r="M23" s="1893">
        <v>6477022.9800000004</v>
      </c>
      <c r="N23" s="799" t="s">
        <v>4024</v>
      </c>
      <c r="O23" s="799" t="s">
        <v>95</v>
      </c>
    </row>
    <row r="24" spans="1:15" ht="10.5" customHeight="1">
      <c r="A24" s="799" t="s">
        <v>4028</v>
      </c>
      <c r="B24" s="799" t="s">
        <v>2340</v>
      </c>
      <c r="C24" s="799" t="s">
        <v>3860</v>
      </c>
      <c r="D24" s="799">
        <v>35582173</v>
      </c>
      <c r="E24" s="799" t="s">
        <v>4030</v>
      </c>
      <c r="F24" s="799">
        <v>143003180</v>
      </c>
      <c r="G24" s="799" t="s">
        <v>4068</v>
      </c>
      <c r="H24" s="1747" t="s">
        <v>4068</v>
      </c>
      <c r="I24" s="799" t="s">
        <v>6867</v>
      </c>
      <c r="J24" s="799">
        <v>1</v>
      </c>
      <c r="K24" s="1893">
        <v>5771881.1100000003</v>
      </c>
      <c r="L24" s="1893">
        <v>3634366.01</v>
      </c>
      <c r="M24" s="1893">
        <v>2137515.1</v>
      </c>
      <c r="N24" s="799" t="s">
        <v>4024</v>
      </c>
      <c r="O24" s="799" t="s">
        <v>95</v>
      </c>
    </row>
    <row r="25" spans="1:15" ht="10.5" customHeight="1">
      <c r="A25" s="799" t="s">
        <v>4028</v>
      </c>
      <c r="B25" s="799" t="s">
        <v>2340</v>
      </c>
      <c r="C25" s="799" t="s">
        <v>3860</v>
      </c>
      <c r="D25" s="799">
        <v>36219914</v>
      </c>
      <c r="E25" s="799" t="s">
        <v>4030</v>
      </c>
      <c r="F25" s="799">
        <v>143002317</v>
      </c>
      <c r="G25" s="799" t="s">
        <v>4069</v>
      </c>
      <c r="H25" s="1747" t="s">
        <v>4069</v>
      </c>
      <c r="I25" s="799" t="s">
        <v>6867</v>
      </c>
      <c r="J25" s="799">
        <v>1</v>
      </c>
      <c r="K25" s="1893">
        <v>153113.26</v>
      </c>
      <c r="L25" s="1893">
        <v>96410.45</v>
      </c>
      <c r="M25" s="1893">
        <v>56702.81</v>
      </c>
      <c r="N25" s="799" t="s">
        <v>4024</v>
      </c>
      <c r="O25" s="799" t="s">
        <v>390</v>
      </c>
    </row>
    <row r="26" spans="1:15" ht="10.5" customHeight="1">
      <c r="A26" s="799" t="s">
        <v>4028</v>
      </c>
      <c r="B26" s="799" t="s">
        <v>2340</v>
      </c>
      <c r="C26" s="799" t="s">
        <v>3860</v>
      </c>
      <c r="D26" s="799">
        <v>37380517</v>
      </c>
      <c r="E26" s="799" t="s">
        <v>4030</v>
      </c>
      <c r="F26" s="799">
        <v>143003146</v>
      </c>
      <c r="G26" s="799" t="s">
        <v>4070</v>
      </c>
      <c r="H26" s="1747" t="s">
        <v>4071</v>
      </c>
      <c r="I26" s="799" t="s">
        <v>6867</v>
      </c>
      <c r="J26" s="799">
        <v>1</v>
      </c>
      <c r="K26" s="1893">
        <v>35797473.310000002</v>
      </c>
      <c r="L26" s="1893">
        <v>22540505.879999999</v>
      </c>
      <c r="M26" s="1893">
        <v>13256967.43</v>
      </c>
      <c r="N26" s="799" t="s">
        <v>4024</v>
      </c>
      <c r="O26" s="799" t="s">
        <v>95</v>
      </c>
    </row>
    <row r="27" spans="1:15" ht="10.5" customHeight="1">
      <c r="A27" s="799" t="s">
        <v>4028</v>
      </c>
      <c r="B27" s="799" t="s">
        <v>2340</v>
      </c>
      <c r="C27" s="799" t="s">
        <v>3860</v>
      </c>
      <c r="D27" s="799">
        <v>37380520</v>
      </c>
      <c r="E27" s="799" t="s">
        <v>4030</v>
      </c>
      <c r="F27" s="799">
        <v>143003147</v>
      </c>
      <c r="G27" s="799" t="s">
        <v>4072</v>
      </c>
      <c r="H27" s="1747" t="s">
        <v>4073</v>
      </c>
      <c r="I27" s="799" t="s">
        <v>6867</v>
      </c>
      <c r="J27" s="799">
        <v>1</v>
      </c>
      <c r="K27" s="1893">
        <v>18836617</v>
      </c>
      <c r="L27" s="1893">
        <v>11860805.720000001</v>
      </c>
      <c r="M27" s="1893">
        <v>6975811.2800000003</v>
      </c>
      <c r="N27" s="799" t="s">
        <v>4024</v>
      </c>
      <c r="O27" s="799" t="s">
        <v>390</v>
      </c>
    </row>
    <row r="28" spans="1:15" ht="10.5" customHeight="1">
      <c r="A28" s="799" t="s">
        <v>4028</v>
      </c>
      <c r="B28" s="799" t="s">
        <v>2340</v>
      </c>
      <c r="C28" s="799" t="s">
        <v>3797</v>
      </c>
      <c r="D28" s="799">
        <v>37380526</v>
      </c>
      <c r="E28" s="799" t="s">
        <v>4030</v>
      </c>
      <c r="F28" s="799">
        <v>143004075</v>
      </c>
      <c r="G28" s="799" t="s">
        <v>4074</v>
      </c>
      <c r="H28" s="1747" t="s">
        <v>4075</v>
      </c>
      <c r="I28" s="799" t="s">
        <v>6867</v>
      </c>
      <c r="J28" s="799">
        <v>1</v>
      </c>
      <c r="K28" s="1893">
        <v>2085348.97</v>
      </c>
      <c r="L28" s="1893">
        <v>1313076.49</v>
      </c>
      <c r="M28" s="1893">
        <v>772272.48</v>
      </c>
      <c r="N28" s="799" t="s">
        <v>4024</v>
      </c>
      <c r="O28" s="799" t="s">
        <v>390</v>
      </c>
    </row>
    <row r="29" spans="1:15" ht="10.5" customHeight="1">
      <c r="A29" s="799" t="s">
        <v>4028</v>
      </c>
      <c r="B29" s="799" t="s">
        <v>2340</v>
      </c>
      <c r="C29" s="799" t="s">
        <v>3860</v>
      </c>
      <c r="D29" s="799">
        <v>37736956</v>
      </c>
      <c r="E29" s="799" t="s">
        <v>4030</v>
      </c>
      <c r="F29" s="799">
        <v>143002761</v>
      </c>
      <c r="G29" s="799" t="s">
        <v>4076</v>
      </c>
      <c r="H29" s="1747" t="s">
        <v>4077</v>
      </c>
      <c r="I29" s="799" t="s">
        <v>6867</v>
      </c>
      <c r="J29" s="799">
        <v>1</v>
      </c>
      <c r="K29" s="1893">
        <v>992061.04</v>
      </c>
      <c r="L29" s="1893">
        <v>624668.6</v>
      </c>
      <c r="M29" s="1893">
        <v>367392.44</v>
      </c>
      <c r="N29" s="799" t="s">
        <v>4024</v>
      </c>
      <c r="O29" s="799" t="s">
        <v>99</v>
      </c>
    </row>
    <row r="30" spans="1:15" ht="10.5" customHeight="1">
      <c r="A30" s="799" t="s">
        <v>4028</v>
      </c>
      <c r="B30" s="799" t="s">
        <v>2340</v>
      </c>
      <c r="C30" s="799" t="s">
        <v>3860</v>
      </c>
      <c r="D30" s="799">
        <v>37736959</v>
      </c>
      <c r="E30" s="799" t="s">
        <v>4030</v>
      </c>
      <c r="F30" s="799">
        <v>143002762</v>
      </c>
      <c r="G30" s="799" t="s">
        <v>4078</v>
      </c>
      <c r="H30" s="1747" t="s">
        <v>4079</v>
      </c>
      <c r="I30" s="799" t="s">
        <v>6867</v>
      </c>
      <c r="J30" s="799">
        <v>1</v>
      </c>
      <c r="K30" s="1893">
        <v>4069157.54</v>
      </c>
      <c r="L30" s="1893">
        <v>2562216.2999999998</v>
      </c>
      <c r="M30" s="1893">
        <v>1506941.24</v>
      </c>
      <c r="N30" s="799" t="s">
        <v>4024</v>
      </c>
      <c r="O30" s="799" t="s">
        <v>99</v>
      </c>
    </row>
    <row r="31" spans="1:15" ht="10.5" customHeight="1">
      <c r="A31" s="799" t="s">
        <v>4028</v>
      </c>
      <c r="B31" s="799" t="s">
        <v>2340</v>
      </c>
      <c r="C31" s="799" t="s">
        <v>3860</v>
      </c>
      <c r="D31" s="799">
        <v>37736964</v>
      </c>
      <c r="E31" s="799" t="s">
        <v>4030</v>
      </c>
      <c r="F31" s="799">
        <v>143003143</v>
      </c>
      <c r="G31" s="799" t="s">
        <v>4080</v>
      </c>
      <c r="H31" s="1747" t="s">
        <v>4080</v>
      </c>
      <c r="I31" s="799" t="s">
        <v>6867</v>
      </c>
      <c r="J31" s="799">
        <v>1</v>
      </c>
      <c r="K31" s="1893">
        <v>357262.98</v>
      </c>
      <c r="L31" s="1893">
        <v>224956.89</v>
      </c>
      <c r="M31" s="1893">
        <v>132306.09</v>
      </c>
      <c r="N31" s="799" t="s">
        <v>4024</v>
      </c>
      <c r="O31" s="799" t="s">
        <v>99</v>
      </c>
    </row>
    <row r="32" spans="1:15" ht="10.5" customHeight="1">
      <c r="A32" s="799" t="s">
        <v>4028</v>
      </c>
      <c r="B32" s="799" t="s">
        <v>2340</v>
      </c>
      <c r="C32" s="799" t="s">
        <v>3797</v>
      </c>
      <c r="D32" s="799">
        <v>37736987</v>
      </c>
      <c r="E32" s="799" t="s">
        <v>4030</v>
      </c>
      <c r="F32" s="799">
        <v>143003708</v>
      </c>
      <c r="G32" s="799" t="s">
        <v>4081</v>
      </c>
      <c r="H32" s="1747" t="s">
        <v>4082</v>
      </c>
      <c r="I32" s="799" t="s">
        <v>6867</v>
      </c>
      <c r="J32" s="799">
        <v>1</v>
      </c>
      <c r="K32" s="1893">
        <v>45496.17</v>
      </c>
      <c r="L32" s="1893">
        <v>28647.46</v>
      </c>
      <c r="M32" s="1893">
        <v>16848.71</v>
      </c>
      <c r="N32" s="799" t="s">
        <v>4024</v>
      </c>
      <c r="O32" s="799" t="s">
        <v>99</v>
      </c>
    </row>
    <row r="33" spans="1:15" ht="10.5" customHeight="1">
      <c r="A33" s="799" t="s">
        <v>4028</v>
      </c>
      <c r="B33" s="799" t="s">
        <v>2340</v>
      </c>
      <c r="C33" s="799" t="s">
        <v>3797</v>
      </c>
      <c r="D33" s="799">
        <v>37737019</v>
      </c>
      <c r="E33" s="799" t="s">
        <v>4030</v>
      </c>
      <c r="F33" s="799">
        <v>143004101</v>
      </c>
      <c r="G33" s="799" t="s">
        <v>4083</v>
      </c>
      <c r="H33" s="1747" t="s">
        <v>4084</v>
      </c>
      <c r="I33" s="799" t="s">
        <v>6867</v>
      </c>
      <c r="J33" s="799">
        <v>1</v>
      </c>
      <c r="K33" s="1893">
        <v>727933.72</v>
      </c>
      <c r="L33" s="1893">
        <v>458356.21</v>
      </c>
      <c r="M33" s="1893">
        <v>269577.51</v>
      </c>
      <c r="N33" s="799" t="s">
        <v>4024</v>
      </c>
      <c r="O33" s="799" t="s">
        <v>95</v>
      </c>
    </row>
    <row r="34" spans="1:15" ht="10.5" customHeight="1">
      <c r="A34" s="799" t="s">
        <v>4028</v>
      </c>
      <c r="B34" s="799" t="s">
        <v>2340</v>
      </c>
      <c r="C34" s="799" t="s">
        <v>3860</v>
      </c>
      <c r="D34" s="799">
        <v>38138149</v>
      </c>
      <c r="E34" s="799" t="s">
        <v>4030</v>
      </c>
      <c r="F34" s="799">
        <v>143003144</v>
      </c>
      <c r="G34" s="799" t="s">
        <v>4085</v>
      </c>
      <c r="H34" s="1747" t="s">
        <v>4086</v>
      </c>
      <c r="I34" s="799" t="s">
        <v>6867</v>
      </c>
      <c r="J34" s="799">
        <v>1</v>
      </c>
      <c r="K34" s="1893">
        <v>43479309.659999996</v>
      </c>
      <c r="L34" s="1893">
        <v>27377508.649999999</v>
      </c>
      <c r="M34" s="1893">
        <v>16101801.01</v>
      </c>
      <c r="N34" s="799" t="s">
        <v>4024</v>
      </c>
      <c r="O34" s="799" t="s">
        <v>99</v>
      </c>
    </row>
    <row r="35" spans="1:15" ht="10.5" customHeight="1">
      <c r="A35" s="799" t="s">
        <v>4028</v>
      </c>
      <c r="B35" s="799" t="s">
        <v>2340</v>
      </c>
      <c r="C35" s="799" t="s">
        <v>3860</v>
      </c>
      <c r="D35" s="799">
        <v>38138152</v>
      </c>
      <c r="E35" s="799" t="s">
        <v>4030</v>
      </c>
      <c r="F35" s="799">
        <v>143003152</v>
      </c>
      <c r="G35" s="799" t="s">
        <v>4087</v>
      </c>
      <c r="H35" s="1747" t="s">
        <v>4088</v>
      </c>
      <c r="I35" s="799" t="s">
        <v>6867</v>
      </c>
      <c r="J35" s="799">
        <v>1</v>
      </c>
      <c r="K35" s="1893">
        <v>10672070.060000001</v>
      </c>
      <c r="L35" s="1893">
        <v>6719855.7800000003</v>
      </c>
      <c r="M35" s="1893">
        <v>3952214.2800000003</v>
      </c>
      <c r="N35" s="799" t="s">
        <v>4024</v>
      </c>
      <c r="O35" s="799" t="s">
        <v>390</v>
      </c>
    </row>
    <row r="36" spans="1:15" ht="10.5" customHeight="1">
      <c r="A36" s="799" t="s">
        <v>4028</v>
      </c>
      <c r="B36" s="799" t="s">
        <v>2340</v>
      </c>
      <c r="C36" s="799" t="s">
        <v>3860</v>
      </c>
      <c r="D36" s="799">
        <v>38138158</v>
      </c>
      <c r="E36" s="799" t="s">
        <v>4030</v>
      </c>
      <c r="F36" s="799">
        <v>143003231</v>
      </c>
      <c r="G36" s="799" t="s">
        <v>4089</v>
      </c>
      <c r="H36" s="1747" t="s">
        <v>4090</v>
      </c>
      <c r="I36" s="799" t="s">
        <v>6867</v>
      </c>
      <c r="J36" s="799">
        <v>1</v>
      </c>
      <c r="K36" s="1893">
        <v>1290681.4100000001</v>
      </c>
      <c r="L36" s="1893">
        <v>812700.15</v>
      </c>
      <c r="M36" s="1893">
        <v>477981.26</v>
      </c>
      <c r="N36" s="799" t="s">
        <v>4024</v>
      </c>
      <c r="O36" s="799" t="s">
        <v>95</v>
      </c>
    </row>
    <row r="37" spans="1:15" ht="10.5" customHeight="1">
      <c r="A37" s="799" t="s">
        <v>4028</v>
      </c>
      <c r="B37" s="799" t="s">
        <v>2340</v>
      </c>
      <c r="C37" s="799" t="s">
        <v>3797</v>
      </c>
      <c r="D37" s="799">
        <v>38661109</v>
      </c>
      <c r="E37" s="799" t="s">
        <v>4030</v>
      </c>
      <c r="F37" s="799">
        <v>143004300</v>
      </c>
      <c r="G37" s="799" t="s">
        <v>4091</v>
      </c>
      <c r="H37" s="1747" t="s">
        <v>4092</v>
      </c>
      <c r="I37" s="799" t="s">
        <v>6867</v>
      </c>
      <c r="J37" s="799">
        <v>1</v>
      </c>
      <c r="K37" s="1893">
        <v>167140.38</v>
      </c>
      <c r="L37" s="1893">
        <v>105242.87</v>
      </c>
      <c r="M37" s="1893">
        <v>61897.51</v>
      </c>
      <c r="N37" s="799" t="s">
        <v>4024</v>
      </c>
      <c r="O37" s="799" t="s">
        <v>95</v>
      </c>
    </row>
    <row r="38" spans="1:15" ht="10.5" customHeight="1">
      <c r="A38" s="799" t="s">
        <v>4028</v>
      </c>
      <c r="B38" s="799" t="s">
        <v>2340</v>
      </c>
      <c r="C38" s="799" t="s">
        <v>3797</v>
      </c>
      <c r="D38" s="799">
        <v>39079398</v>
      </c>
      <c r="E38" s="799" t="s">
        <v>4030</v>
      </c>
      <c r="F38" s="799">
        <v>143004245</v>
      </c>
      <c r="G38" s="799" t="s">
        <v>4093</v>
      </c>
      <c r="H38" s="1747" t="s">
        <v>4094</v>
      </c>
      <c r="I38" s="799" t="s">
        <v>6867</v>
      </c>
      <c r="J38" s="799">
        <v>1</v>
      </c>
      <c r="K38" s="1893">
        <v>47435.83</v>
      </c>
      <c r="L38" s="1893">
        <v>29868.799999999999</v>
      </c>
      <c r="M38" s="1893">
        <v>17567.03</v>
      </c>
      <c r="N38" s="799" t="s">
        <v>4024</v>
      </c>
      <c r="O38" s="799" t="s">
        <v>95</v>
      </c>
    </row>
    <row r="39" spans="1:15" ht="10.5" customHeight="1">
      <c r="A39" s="799" t="s">
        <v>4028</v>
      </c>
      <c r="B39" s="799" t="s">
        <v>2340</v>
      </c>
      <c r="C39" s="799" t="s">
        <v>3797</v>
      </c>
      <c r="D39" s="799">
        <v>39238890</v>
      </c>
      <c r="E39" s="799" t="s">
        <v>4030</v>
      </c>
      <c r="F39" s="799">
        <v>143004660</v>
      </c>
      <c r="G39" s="799" t="s">
        <v>4095</v>
      </c>
      <c r="H39" s="1747" t="s">
        <v>4095</v>
      </c>
      <c r="I39" s="799" t="s">
        <v>6867</v>
      </c>
      <c r="J39" s="799">
        <v>1</v>
      </c>
      <c r="K39" s="1893">
        <v>19718.7</v>
      </c>
      <c r="L39" s="1893">
        <v>12416.220000000001</v>
      </c>
      <c r="M39" s="1893">
        <v>7302.4800000000005</v>
      </c>
      <c r="N39" s="799" t="s">
        <v>4024</v>
      </c>
      <c r="O39" s="799" t="s">
        <v>95</v>
      </c>
    </row>
    <row r="40" spans="1:15" ht="10.5" customHeight="1">
      <c r="A40" s="799" t="s">
        <v>4028</v>
      </c>
      <c r="B40" s="799" t="s">
        <v>2340</v>
      </c>
      <c r="C40" s="799" t="s">
        <v>3797</v>
      </c>
      <c r="D40" s="799">
        <v>39238893</v>
      </c>
      <c r="E40" s="799" t="s">
        <v>4030</v>
      </c>
      <c r="F40" s="799">
        <v>143004662</v>
      </c>
      <c r="G40" s="799" t="s">
        <v>4096</v>
      </c>
      <c r="H40" s="1747" t="s">
        <v>4097</v>
      </c>
      <c r="I40" s="799" t="s">
        <v>6867</v>
      </c>
      <c r="J40" s="799">
        <v>1</v>
      </c>
      <c r="K40" s="1893">
        <v>60239.1</v>
      </c>
      <c r="L40" s="1893">
        <v>37930.6</v>
      </c>
      <c r="M40" s="1893">
        <v>22308.5</v>
      </c>
      <c r="N40" s="799" t="s">
        <v>4024</v>
      </c>
      <c r="O40" s="799" t="s">
        <v>95</v>
      </c>
    </row>
    <row r="41" spans="1:15" ht="10.5" customHeight="1">
      <c r="A41" s="799" t="s">
        <v>4028</v>
      </c>
      <c r="B41" s="799" t="s">
        <v>2340</v>
      </c>
      <c r="C41" s="799" t="s">
        <v>3797</v>
      </c>
      <c r="D41" s="799">
        <v>39244618</v>
      </c>
      <c r="E41" s="799" t="s">
        <v>4030</v>
      </c>
      <c r="F41" s="799">
        <v>143003701</v>
      </c>
      <c r="G41" s="799" t="s">
        <v>4098</v>
      </c>
      <c r="H41" s="1747" t="s">
        <v>4099</v>
      </c>
      <c r="I41" s="799" t="s">
        <v>6867</v>
      </c>
      <c r="J41" s="799">
        <v>1</v>
      </c>
      <c r="K41" s="1893">
        <v>6341984.6799999997</v>
      </c>
      <c r="L41" s="1893">
        <v>3993341.7</v>
      </c>
      <c r="M41" s="1893">
        <v>2348642.98</v>
      </c>
      <c r="N41" s="799" t="s">
        <v>4024</v>
      </c>
      <c r="O41" s="799" t="s">
        <v>95</v>
      </c>
    </row>
    <row r="42" spans="1:15" ht="10.5" customHeight="1">
      <c r="A42" s="799" t="s">
        <v>4028</v>
      </c>
      <c r="B42" s="799" t="s">
        <v>2340</v>
      </c>
      <c r="C42" s="799" t="s">
        <v>3797</v>
      </c>
      <c r="D42" s="799">
        <v>39516072</v>
      </c>
      <c r="E42" s="799" t="s">
        <v>4030</v>
      </c>
      <c r="F42" s="799">
        <v>143004761</v>
      </c>
      <c r="G42" s="799" t="s">
        <v>4100</v>
      </c>
      <c r="H42" s="1747" t="s">
        <v>4101</v>
      </c>
      <c r="I42" s="799" t="s">
        <v>6867</v>
      </c>
      <c r="J42" s="799">
        <v>1</v>
      </c>
      <c r="K42" s="1893">
        <v>336499.02</v>
      </c>
      <c r="L42" s="1893">
        <v>243506.31</v>
      </c>
      <c r="M42" s="1893">
        <v>92992.71</v>
      </c>
      <c r="N42" s="799" t="s">
        <v>4024</v>
      </c>
      <c r="O42" s="799" t="s">
        <v>95</v>
      </c>
    </row>
    <row r="43" spans="1:15" ht="10.5" customHeight="1">
      <c r="A43" s="799" t="s">
        <v>4028</v>
      </c>
      <c r="B43" s="799" t="s">
        <v>2340</v>
      </c>
      <c r="C43" s="799" t="s">
        <v>3860</v>
      </c>
      <c r="D43" s="799">
        <v>40123617</v>
      </c>
      <c r="E43" s="799" t="s">
        <v>4030</v>
      </c>
      <c r="F43" s="799">
        <v>143002710</v>
      </c>
      <c r="G43" s="799" t="s">
        <v>4102</v>
      </c>
      <c r="H43" s="1747" t="s">
        <v>4102</v>
      </c>
      <c r="I43" s="799" t="s">
        <v>6867</v>
      </c>
      <c r="J43" s="799">
        <v>1</v>
      </c>
      <c r="K43" s="1893">
        <v>2182381.12</v>
      </c>
      <c r="L43" s="1893">
        <v>1579272.31</v>
      </c>
      <c r="M43" s="1893">
        <v>603108.81000000006</v>
      </c>
      <c r="N43" s="799" t="s">
        <v>4024</v>
      </c>
      <c r="O43" s="799" t="s">
        <v>95</v>
      </c>
    </row>
    <row r="44" spans="1:15" ht="10.5" customHeight="1">
      <c r="A44" s="799" t="s">
        <v>4028</v>
      </c>
      <c r="B44" s="799" t="s">
        <v>2340</v>
      </c>
      <c r="C44" s="799" t="s">
        <v>3860</v>
      </c>
      <c r="D44" s="799">
        <v>41712635</v>
      </c>
      <c r="E44" s="799" t="s">
        <v>4030</v>
      </c>
      <c r="F44" s="799">
        <v>143003014</v>
      </c>
      <c r="G44" s="799" t="s">
        <v>4103</v>
      </c>
      <c r="H44" s="1747" t="s">
        <v>4104</v>
      </c>
      <c r="I44" s="799" t="s">
        <v>6867</v>
      </c>
      <c r="J44" s="799">
        <v>1</v>
      </c>
      <c r="K44" s="1893">
        <v>10844767.1</v>
      </c>
      <c r="L44" s="1893">
        <v>7847777</v>
      </c>
      <c r="M44" s="1893">
        <v>2996990.1</v>
      </c>
      <c r="N44" s="799" t="s">
        <v>4024</v>
      </c>
      <c r="O44" s="799" t="s">
        <v>95</v>
      </c>
    </row>
    <row r="45" spans="1:15" ht="10.5" customHeight="1">
      <c r="A45" s="799" t="s">
        <v>4028</v>
      </c>
      <c r="B45" s="799" t="s">
        <v>2340</v>
      </c>
      <c r="C45" s="799" t="s">
        <v>3797</v>
      </c>
      <c r="D45" s="799">
        <v>41712650</v>
      </c>
      <c r="E45" s="799" t="s">
        <v>4030</v>
      </c>
      <c r="F45" s="799">
        <v>143004241</v>
      </c>
      <c r="G45" s="799" t="s">
        <v>4105</v>
      </c>
      <c r="H45" s="1747" t="s">
        <v>4106</v>
      </c>
      <c r="I45" s="799" t="s">
        <v>6867</v>
      </c>
      <c r="J45" s="799">
        <v>1</v>
      </c>
      <c r="K45" s="1893">
        <v>734743.68</v>
      </c>
      <c r="L45" s="1893">
        <v>531694.64</v>
      </c>
      <c r="M45" s="1893">
        <v>203049.04</v>
      </c>
      <c r="N45" s="799" t="s">
        <v>4024</v>
      </c>
      <c r="O45" s="799" t="s">
        <v>99</v>
      </c>
    </row>
    <row r="46" spans="1:15" ht="10.5" customHeight="1">
      <c r="A46" s="799" t="s">
        <v>4028</v>
      </c>
      <c r="B46" s="799" t="s">
        <v>2340</v>
      </c>
      <c r="C46" s="799" t="s">
        <v>3797</v>
      </c>
      <c r="D46" s="799">
        <v>41712667</v>
      </c>
      <c r="E46" s="799" t="s">
        <v>4030</v>
      </c>
      <c r="F46" s="799">
        <v>143004819</v>
      </c>
      <c r="G46" s="799" t="s">
        <v>4107</v>
      </c>
      <c r="H46" s="1747" t="s">
        <v>4107</v>
      </c>
      <c r="I46" s="799" t="s">
        <v>6867</v>
      </c>
      <c r="J46" s="799">
        <v>1</v>
      </c>
      <c r="K46" s="1893">
        <v>104392.03</v>
      </c>
      <c r="L46" s="1893">
        <v>75542.92</v>
      </c>
      <c r="M46" s="1893">
        <v>28849.11</v>
      </c>
      <c r="N46" s="799" t="s">
        <v>4024</v>
      </c>
      <c r="O46" s="799" t="s">
        <v>95</v>
      </c>
    </row>
    <row r="47" spans="1:15" ht="10.5" customHeight="1">
      <c r="A47" s="799" t="s">
        <v>4028</v>
      </c>
      <c r="B47" s="799" t="s">
        <v>2340</v>
      </c>
      <c r="C47" s="799" t="s">
        <v>3797</v>
      </c>
      <c r="D47" s="799">
        <v>41712670</v>
      </c>
      <c r="E47" s="799" t="s">
        <v>4030</v>
      </c>
      <c r="F47" s="799">
        <v>143004821</v>
      </c>
      <c r="G47" s="799" t="s">
        <v>4108</v>
      </c>
      <c r="H47" s="1747" t="s">
        <v>4109</v>
      </c>
      <c r="I47" s="799" t="s">
        <v>6867</v>
      </c>
      <c r="J47" s="799">
        <v>1</v>
      </c>
      <c r="K47" s="1893">
        <v>12771.61</v>
      </c>
      <c r="L47" s="1893">
        <v>9242.130000000001</v>
      </c>
      <c r="M47" s="1893">
        <v>3529.48</v>
      </c>
      <c r="N47" s="799" t="s">
        <v>4024</v>
      </c>
      <c r="O47" s="799" t="s">
        <v>390</v>
      </c>
    </row>
    <row r="48" spans="1:15" ht="10.5" customHeight="1">
      <c r="A48" s="799" t="s">
        <v>4028</v>
      </c>
      <c r="B48" s="799" t="s">
        <v>2340</v>
      </c>
      <c r="C48" s="799" t="s">
        <v>3797</v>
      </c>
      <c r="D48" s="799">
        <v>41736579</v>
      </c>
      <c r="E48" s="799" t="s">
        <v>4030</v>
      </c>
      <c r="F48" s="799">
        <v>143004550</v>
      </c>
      <c r="G48" s="799" t="s">
        <v>4110</v>
      </c>
      <c r="H48" s="1747" t="s">
        <v>4111</v>
      </c>
      <c r="I48" s="799" t="s">
        <v>6867</v>
      </c>
      <c r="J48" s="799">
        <v>1</v>
      </c>
      <c r="K48" s="1893">
        <v>3813761.06</v>
      </c>
      <c r="L48" s="1893">
        <v>2759814.58</v>
      </c>
      <c r="M48" s="1893">
        <v>1053946.48</v>
      </c>
      <c r="N48" s="799" t="s">
        <v>4024</v>
      </c>
      <c r="O48" s="799" t="s">
        <v>390</v>
      </c>
    </row>
    <row r="49" spans="1:15" ht="10.5" customHeight="1">
      <c r="A49" s="799" t="s">
        <v>4028</v>
      </c>
      <c r="B49" s="799" t="s">
        <v>2340</v>
      </c>
      <c r="C49" s="799" t="s">
        <v>3797</v>
      </c>
      <c r="D49" s="799">
        <v>43080598</v>
      </c>
      <c r="E49" s="799" t="s">
        <v>4030</v>
      </c>
      <c r="F49" s="799">
        <v>143005101</v>
      </c>
      <c r="G49" s="799" t="s">
        <v>4112</v>
      </c>
      <c r="H49" s="1747" t="s">
        <v>4113</v>
      </c>
      <c r="I49" s="799" t="s">
        <v>6867</v>
      </c>
      <c r="J49" s="799">
        <v>1</v>
      </c>
      <c r="K49" s="1893">
        <v>16657.510000000002</v>
      </c>
      <c r="L49" s="1893">
        <v>12054.15</v>
      </c>
      <c r="M49" s="1893">
        <v>4603.3599999999997</v>
      </c>
      <c r="N49" s="799" t="s">
        <v>4024</v>
      </c>
      <c r="O49" s="799" t="s">
        <v>95</v>
      </c>
    </row>
    <row r="50" spans="1:15" ht="10.5" customHeight="1">
      <c r="A50" s="799" t="s">
        <v>4028</v>
      </c>
      <c r="B50" s="799" t="s">
        <v>2340</v>
      </c>
      <c r="C50" s="799" t="s">
        <v>3797</v>
      </c>
      <c r="D50" s="799">
        <v>43566352</v>
      </c>
      <c r="E50" s="799" t="s">
        <v>4030</v>
      </c>
      <c r="F50" s="799">
        <v>143004749</v>
      </c>
      <c r="G50" s="799" t="s">
        <v>4114</v>
      </c>
      <c r="H50" s="1747" t="s">
        <v>4115</v>
      </c>
      <c r="I50" s="799" t="s">
        <v>6867</v>
      </c>
      <c r="J50" s="799">
        <v>1</v>
      </c>
      <c r="K50" s="1893">
        <v>3012227.99</v>
      </c>
      <c r="L50" s="1893">
        <v>2179788.0299999998</v>
      </c>
      <c r="M50" s="1893">
        <v>832439.96</v>
      </c>
      <c r="N50" s="799" t="s">
        <v>4024</v>
      </c>
      <c r="O50" s="799" t="s">
        <v>390</v>
      </c>
    </row>
    <row r="51" spans="1:15" ht="10.5" customHeight="1">
      <c r="A51" s="799" t="s">
        <v>4028</v>
      </c>
      <c r="B51" s="799" t="s">
        <v>2340</v>
      </c>
      <c r="C51" s="799" t="s">
        <v>3797</v>
      </c>
      <c r="D51" s="799">
        <v>43566355</v>
      </c>
      <c r="E51" s="799" t="s">
        <v>4030</v>
      </c>
      <c r="F51" s="799">
        <v>143004750</v>
      </c>
      <c r="G51" s="799" t="s">
        <v>4116</v>
      </c>
      <c r="H51" s="1747" t="s">
        <v>4116</v>
      </c>
      <c r="I51" s="799" t="s">
        <v>6867</v>
      </c>
      <c r="J51" s="799">
        <v>1</v>
      </c>
      <c r="K51" s="1893">
        <v>4135102.6</v>
      </c>
      <c r="L51" s="1893">
        <v>2992352.23</v>
      </c>
      <c r="M51" s="1893">
        <v>1142750.3700000001</v>
      </c>
      <c r="N51" s="799" t="s">
        <v>4024</v>
      </c>
      <c r="O51" s="799" t="s">
        <v>390</v>
      </c>
    </row>
    <row r="52" spans="1:15" ht="10.5" customHeight="1">
      <c r="A52" s="799" t="s">
        <v>4028</v>
      </c>
      <c r="B52" s="799" t="s">
        <v>2340</v>
      </c>
      <c r="C52" s="799" t="s">
        <v>3797</v>
      </c>
      <c r="D52" s="799">
        <v>43986580</v>
      </c>
      <c r="E52" s="799" t="s">
        <v>4030</v>
      </c>
      <c r="F52" s="799">
        <v>143004536</v>
      </c>
      <c r="G52" s="799" t="s">
        <v>4117</v>
      </c>
      <c r="H52" s="1747" t="s">
        <v>4117</v>
      </c>
      <c r="I52" s="799" t="s">
        <v>6867</v>
      </c>
      <c r="J52" s="799">
        <v>1</v>
      </c>
      <c r="K52" s="1893">
        <v>9662314.0999999996</v>
      </c>
      <c r="L52" s="1893">
        <v>6992099.0999999996</v>
      </c>
      <c r="M52" s="1893">
        <v>2670215</v>
      </c>
      <c r="N52" s="799" t="s">
        <v>4024</v>
      </c>
      <c r="O52" s="799" t="s">
        <v>95</v>
      </c>
    </row>
    <row r="53" spans="1:15" ht="10.5" customHeight="1">
      <c r="A53" s="799" t="s">
        <v>4028</v>
      </c>
      <c r="B53" s="799" t="s">
        <v>2340</v>
      </c>
      <c r="C53" s="799" t="s">
        <v>3797</v>
      </c>
      <c r="D53" s="799">
        <v>43986583</v>
      </c>
      <c r="E53" s="799" t="s">
        <v>4030</v>
      </c>
      <c r="F53" s="799">
        <v>143004549</v>
      </c>
      <c r="G53" s="799" t="s">
        <v>4118</v>
      </c>
      <c r="H53" s="1747" t="s">
        <v>4119</v>
      </c>
      <c r="I53" s="799" t="s">
        <v>6867</v>
      </c>
      <c r="J53" s="799">
        <v>1</v>
      </c>
      <c r="K53" s="1893">
        <v>3333700.39</v>
      </c>
      <c r="L53" s="1893">
        <v>2412420.39</v>
      </c>
      <c r="M53" s="1893">
        <v>921280</v>
      </c>
      <c r="N53" s="799" t="s">
        <v>4024</v>
      </c>
      <c r="O53" s="799" t="s">
        <v>95</v>
      </c>
    </row>
    <row r="54" spans="1:15" ht="10.5" customHeight="1">
      <c r="A54" s="799" t="s">
        <v>4028</v>
      </c>
      <c r="B54" s="799" t="s">
        <v>2340</v>
      </c>
      <c r="C54" s="799" t="s">
        <v>4120</v>
      </c>
      <c r="D54" s="799">
        <v>43986596</v>
      </c>
      <c r="E54" s="799" t="s">
        <v>4030</v>
      </c>
      <c r="F54" s="799">
        <v>143004837</v>
      </c>
      <c r="G54" s="799" t="s">
        <v>4121</v>
      </c>
      <c r="H54" s="1747" t="s">
        <v>4121</v>
      </c>
      <c r="I54" s="799" t="s">
        <v>6867</v>
      </c>
      <c r="J54" s="799">
        <v>1</v>
      </c>
      <c r="K54" s="1893">
        <v>32984.21</v>
      </c>
      <c r="L54" s="1893">
        <v>23868.91</v>
      </c>
      <c r="M54" s="1893">
        <v>9115.3000000000011</v>
      </c>
      <c r="N54" s="799" t="s">
        <v>4024</v>
      </c>
      <c r="O54" s="799" t="s">
        <v>390</v>
      </c>
    </row>
    <row r="55" spans="1:15" ht="10.5" customHeight="1">
      <c r="A55" s="799" t="s">
        <v>4028</v>
      </c>
      <c r="B55" s="799" t="s">
        <v>2340</v>
      </c>
      <c r="C55" s="799" t="s">
        <v>3797</v>
      </c>
      <c r="D55" s="799">
        <v>43986604</v>
      </c>
      <c r="E55" s="799" t="s">
        <v>4030</v>
      </c>
      <c r="F55" s="799">
        <v>143004839</v>
      </c>
      <c r="G55" s="799" t="s">
        <v>4122</v>
      </c>
      <c r="H55" s="1747" t="s">
        <v>4122</v>
      </c>
      <c r="I55" s="799" t="s">
        <v>6867</v>
      </c>
      <c r="J55" s="799">
        <v>1</v>
      </c>
      <c r="K55" s="1893">
        <v>88303.77</v>
      </c>
      <c r="L55" s="1893">
        <v>63900.71</v>
      </c>
      <c r="M55" s="1893">
        <v>24403.06</v>
      </c>
      <c r="N55" s="799" t="s">
        <v>4024</v>
      </c>
      <c r="O55" s="799" t="s">
        <v>390</v>
      </c>
    </row>
    <row r="56" spans="1:15" ht="10.5" customHeight="1">
      <c r="A56" s="799" t="s">
        <v>4028</v>
      </c>
      <c r="B56" s="799" t="s">
        <v>2340</v>
      </c>
      <c r="C56" s="799" t="s">
        <v>3797</v>
      </c>
      <c r="D56" s="799">
        <v>43986620</v>
      </c>
      <c r="E56" s="799" t="s">
        <v>4030</v>
      </c>
      <c r="F56" s="799">
        <v>143005083</v>
      </c>
      <c r="G56" s="799" t="s">
        <v>4123</v>
      </c>
      <c r="H56" s="1747" t="s">
        <v>4124</v>
      </c>
      <c r="I56" s="799" t="s">
        <v>6867</v>
      </c>
      <c r="J56" s="799">
        <v>1</v>
      </c>
      <c r="K56" s="1893">
        <v>1079896.8999999999</v>
      </c>
      <c r="L56" s="1893">
        <v>781463.54</v>
      </c>
      <c r="M56" s="1893">
        <v>298433.36</v>
      </c>
      <c r="N56" s="799" t="s">
        <v>4024</v>
      </c>
      <c r="O56" s="799" t="s">
        <v>95</v>
      </c>
    </row>
    <row r="57" spans="1:15" ht="10.5" customHeight="1">
      <c r="A57" s="799" t="s">
        <v>4028</v>
      </c>
      <c r="B57" s="799" t="s">
        <v>2340</v>
      </c>
      <c r="C57" s="799" t="s">
        <v>3797</v>
      </c>
      <c r="D57" s="799">
        <v>44534507</v>
      </c>
      <c r="E57" s="799" t="s">
        <v>4030</v>
      </c>
      <c r="F57" s="799">
        <v>143004045</v>
      </c>
      <c r="G57" s="799" t="s">
        <v>4125</v>
      </c>
      <c r="H57" s="1747" t="s">
        <v>4125</v>
      </c>
      <c r="I57" s="799" t="s">
        <v>6867</v>
      </c>
      <c r="J57" s="799">
        <v>1</v>
      </c>
      <c r="K57" s="1893">
        <v>2999189.3</v>
      </c>
      <c r="L57" s="1893">
        <v>2170352.63</v>
      </c>
      <c r="M57" s="1893">
        <v>828836.67</v>
      </c>
      <c r="N57" s="799" t="s">
        <v>4024</v>
      </c>
      <c r="O57" s="799" t="s">
        <v>95</v>
      </c>
    </row>
    <row r="58" spans="1:15" ht="10.5" customHeight="1">
      <c r="A58" s="799" t="s">
        <v>4028</v>
      </c>
      <c r="B58" s="799" t="s">
        <v>2340</v>
      </c>
      <c r="C58" s="799" t="s">
        <v>3797</v>
      </c>
      <c r="D58" s="799">
        <v>44534537</v>
      </c>
      <c r="E58" s="799" t="s">
        <v>4030</v>
      </c>
      <c r="F58" s="799">
        <v>143004742</v>
      </c>
      <c r="G58" s="799" t="s">
        <v>4126</v>
      </c>
      <c r="H58" s="1747" t="s">
        <v>4126</v>
      </c>
      <c r="I58" s="799" t="s">
        <v>6867</v>
      </c>
      <c r="J58" s="799">
        <v>1</v>
      </c>
      <c r="K58" s="1893">
        <v>1618915.4</v>
      </c>
      <c r="L58" s="1893">
        <v>1171522.3500000001</v>
      </c>
      <c r="M58" s="1893">
        <v>447393.05</v>
      </c>
      <c r="N58" s="799" t="s">
        <v>4024</v>
      </c>
      <c r="O58" s="799" t="s">
        <v>95</v>
      </c>
    </row>
    <row r="59" spans="1:15" ht="10.5" customHeight="1">
      <c r="A59" s="799" t="s">
        <v>4028</v>
      </c>
      <c r="B59" s="799" t="s">
        <v>2340</v>
      </c>
      <c r="C59" s="799" t="s">
        <v>3797</v>
      </c>
      <c r="D59" s="799">
        <v>44534702</v>
      </c>
      <c r="E59" s="799" t="s">
        <v>4030</v>
      </c>
      <c r="F59" s="799">
        <v>143005102</v>
      </c>
      <c r="G59" s="799" t="s">
        <v>4127</v>
      </c>
      <c r="H59" s="1747" t="s">
        <v>4127</v>
      </c>
      <c r="I59" s="799" t="s">
        <v>6867</v>
      </c>
      <c r="J59" s="799">
        <v>1</v>
      </c>
      <c r="K59" s="1893">
        <v>6291099.8099999996</v>
      </c>
      <c r="L59" s="1893">
        <v>4552531.92</v>
      </c>
      <c r="M59" s="1893">
        <v>1738567.8900000001</v>
      </c>
      <c r="N59" s="799" t="s">
        <v>4024</v>
      </c>
      <c r="O59" s="799" t="s">
        <v>95</v>
      </c>
    </row>
    <row r="60" spans="1:15" ht="10.5" customHeight="1">
      <c r="A60" s="799" t="s">
        <v>4028</v>
      </c>
      <c r="B60" s="799" t="s">
        <v>2340</v>
      </c>
      <c r="C60" s="799" t="s">
        <v>3797</v>
      </c>
      <c r="D60" s="799">
        <v>45059436</v>
      </c>
      <c r="E60" s="799" t="s">
        <v>4030</v>
      </c>
      <c r="F60" s="799">
        <v>143004817</v>
      </c>
      <c r="G60" s="799" t="s">
        <v>4128</v>
      </c>
      <c r="H60" s="1747" t="s">
        <v>4129</v>
      </c>
      <c r="I60" s="799" t="s">
        <v>6867</v>
      </c>
      <c r="J60" s="799">
        <v>1</v>
      </c>
      <c r="K60" s="1893">
        <v>288746.5</v>
      </c>
      <c r="L60" s="1893">
        <v>211769.7</v>
      </c>
      <c r="M60" s="1893">
        <v>76976.800000000003</v>
      </c>
      <c r="N60" s="799" t="s">
        <v>4024</v>
      </c>
      <c r="O60" s="799" t="s">
        <v>95</v>
      </c>
    </row>
    <row r="61" spans="1:15" ht="10.5" customHeight="1">
      <c r="A61" s="799" t="s">
        <v>4028</v>
      </c>
      <c r="B61" s="799" t="s">
        <v>2340</v>
      </c>
      <c r="C61" s="799" t="s">
        <v>3797</v>
      </c>
      <c r="D61" s="799">
        <v>45059465</v>
      </c>
      <c r="E61" s="799" t="s">
        <v>4030</v>
      </c>
      <c r="F61" s="799">
        <v>143005080</v>
      </c>
      <c r="G61" s="799" t="s">
        <v>4130</v>
      </c>
      <c r="H61" s="1747" t="s">
        <v>4130</v>
      </c>
      <c r="I61" s="799" t="s">
        <v>6867</v>
      </c>
      <c r="J61" s="799">
        <v>1</v>
      </c>
      <c r="K61" s="1893">
        <v>74679.88</v>
      </c>
      <c r="L61" s="1893">
        <v>54771.01</v>
      </c>
      <c r="M61" s="1893">
        <v>19908.87</v>
      </c>
      <c r="N61" s="799" t="s">
        <v>4024</v>
      </c>
      <c r="O61" s="799" t="s">
        <v>95</v>
      </c>
    </row>
    <row r="62" spans="1:15" ht="10.5" customHeight="1">
      <c r="A62" s="799" t="s">
        <v>4028</v>
      </c>
      <c r="B62" s="799" t="s">
        <v>2340</v>
      </c>
      <c r="C62" s="799" t="s">
        <v>4120</v>
      </c>
      <c r="D62" s="799">
        <v>45059473</v>
      </c>
      <c r="E62" s="799" t="s">
        <v>4030</v>
      </c>
      <c r="F62" s="799">
        <v>143005100</v>
      </c>
      <c r="G62" s="799" t="s">
        <v>4131</v>
      </c>
      <c r="H62" s="1747" t="s">
        <v>4132</v>
      </c>
      <c r="I62" s="799" t="s">
        <v>6867</v>
      </c>
      <c r="J62" s="799">
        <v>1</v>
      </c>
      <c r="K62" s="1893">
        <v>84110.78</v>
      </c>
      <c r="L62" s="1893">
        <v>61687.73</v>
      </c>
      <c r="M62" s="1893">
        <v>22423.05</v>
      </c>
      <c r="N62" s="799" t="s">
        <v>4024</v>
      </c>
      <c r="O62" s="799" t="s">
        <v>95</v>
      </c>
    </row>
    <row r="63" spans="1:15" ht="10.5" customHeight="1">
      <c r="A63" s="799" t="s">
        <v>4028</v>
      </c>
      <c r="B63" s="799" t="s">
        <v>2340</v>
      </c>
      <c r="C63" s="799" t="s">
        <v>3797</v>
      </c>
      <c r="D63" s="799">
        <v>45895524</v>
      </c>
      <c r="E63" s="799" t="s">
        <v>4030</v>
      </c>
      <c r="F63" s="799">
        <v>143004846</v>
      </c>
      <c r="G63" s="799" t="s">
        <v>4135</v>
      </c>
      <c r="H63" s="1747" t="s">
        <v>4135</v>
      </c>
      <c r="I63" s="799" t="s">
        <v>6867</v>
      </c>
      <c r="J63" s="799">
        <v>1</v>
      </c>
      <c r="K63" s="1893">
        <v>1347803.02</v>
      </c>
      <c r="L63" s="1893">
        <v>988492.83000000007</v>
      </c>
      <c r="M63" s="1893">
        <v>359310.19</v>
      </c>
      <c r="N63" s="799" t="s">
        <v>4024</v>
      </c>
      <c r="O63" s="799" t="s">
        <v>392</v>
      </c>
    </row>
    <row r="64" spans="1:15" ht="10.5" customHeight="1">
      <c r="A64" s="799" t="s">
        <v>4028</v>
      </c>
      <c r="B64" s="799" t="s">
        <v>2340</v>
      </c>
      <c r="C64" s="799" t="s">
        <v>3797</v>
      </c>
      <c r="D64" s="799">
        <v>47029884</v>
      </c>
      <c r="E64" s="799" t="s">
        <v>4030</v>
      </c>
      <c r="F64" s="799">
        <v>143005401</v>
      </c>
      <c r="G64" s="799" t="s">
        <v>4136</v>
      </c>
      <c r="H64" s="1747" t="s">
        <v>4136</v>
      </c>
      <c r="I64" s="799" t="s">
        <v>6867</v>
      </c>
      <c r="J64" s="799">
        <v>1</v>
      </c>
      <c r="K64" s="1893">
        <v>13187.84</v>
      </c>
      <c r="L64" s="1893">
        <v>9672.1</v>
      </c>
      <c r="M64" s="1893">
        <v>3515.7400000000002</v>
      </c>
      <c r="N64" s="799" t="s">
        <v>4024</v>
      </c>
      <c r="O64" s="799" t="s">
        <v>95</v>
      </c>
    </row>
    <row r="65" spans="1:15" ht="10.5" customHeight="1">
      <c r="A65" s="799" t="s">
        <v>4028</v>
      </c>
      <c r="B65" s="799" t="s">
        <v>2340</v>
      </c>
      <c r="C65" s="799" t="s">
        <v>3797</v>
      </c>
      <c r="D65" s="799">
        <v>47398061</v>
      </c>
      <c r="E65" s="799" t="s">
        <v>4030</v>
      </c>
      <c r="F65" s="799">
        <v>143005480</v>
      </c>
      <c r="G65" s="799" t="s">
        <v>4137</v>
      </c>
      <c r="H65" s="1747" t="s">
        <v>4138</v>
      </c>
      <c r="I65" s="799" t="s">
        <v>6867</v>
      </c>
      <c r="J65" s="799">
        <v>1</v>
      </c>
      <c r="K65" s="1893">
        <v>37136.57</v>
      </c>
      <c r="L65" s="1893">
        <v>27236.350000000002</v>
      </c>
      <c r="M65" s="1893">
        <v>9900.2199999999993</v>
      </c>
      <c r="N65" s="799" t="s">
        <v>4024</v>
      </c>
      <c r="O65" s="799" t="s">
        <v>95</v>
      </c>
    </row>
    <row r="66" spans="1:15" ht="10.5" customHeight="1">
      <c r="A66" s="799" t="s">
        <v>4028</v>
      </c>
      <c r="B66" s="799" t="s">
        <v>2340</v>
      </c>
      <c r="C66" s="799" t="s">
        <v>3797</v>
      </c>
      <c r="D66" s="799">
        <v>47398064</v>
      </c>
      <c r="E66" s="799" t="s">
        <v>4030</v>
      </c>
      <c r="F66" s="799">
        <v>143005511</v>
      </c>
      <c r="G66" s="799" t="s">
        <v>4139</v>
      </c>
      <c r="H66" s="1747" t="s">
        <v>4140</v>
      </c>
      <c r="I66" s="799" t="s">
        <v>6867</v>
      </c>
      <c r="J66" s="799">
        <v>1</v>
      </c>
      <c r="K66" s="1893">
        <v>14113.15</v>
      </c>
      <c r="L66" s="1893">
        <v>10350.73</v>
      </c>
      <c r="M66" s="1893">
        <v>3762.42</v>
      </c>
      <c r="N66" s="799" t="s">
        <v>4024</v>
      </c>
      <c r="O66" s="799" t="s">
        <v>95</v>
      </c>
    </row>
    <row r="67" spans="1:15" ht="10.5" customHeight="1">
      <c r="A67" s="799" t="s">
        <v>4028</v>
      </c>
      <c r="B67" s="799" t="s">
        <v>2340</v>
      </c>
      <c r="C67" s="799" t="s">
        <v>3797</v>
      </c>
      <c r="D67" s="799">
        <v>47398067</v>
      </c>
      <c r="E67" s="799" t="s">
        <v>4030</v>
      </c>
      <c r="F67" s="799">
        <v>143005512</v>
      </c>
      <c r="G67" s="799" t="s">
        <v>4141</v>
      </c>
      <c r="H67" s="1747" t="s">
        <v>4142</v>
      </c>
      <c r="I67" s="799" t="s">
        <v>6867</v>
      </c>
      <c r="J67" s="799">
        <v>1</v>
      </c>
      <c r="K67" s="1893">
        <v>15736</v>
      </c>
      <c r="L67" s="1893">
        <v>11540.95</v>
      </c>
      <c r="M67" s="1893">
        <v>4195.05</v>
      </c>
      <c r="N67" s="799" t="s">
        <v>4024</v>
      </c>
      <c r="O67" s="799" t="s">
        <v>95</v>
      </c>
    </row>
    <row r="68" spans="1:15" ht="10.5" customHeight="1">
      <c r="A68" s="799" t="s">
        <v>4028</v>
      </c>
      <c r="B68" s="799" t="s">
        <v>2340</v>
      </c>
      <c r="C68" s="799" t="s">
        <v>3797</v>
      </c>
      <c r="D68" s="799">
        <v>47865944</v>
      </c>
      <c r="E68" s="799" t="s">
        <v>4030</v>
      </c>
      <c r="F68" s="799">
        <v>143005226</v>
      </c>
      <c r="G68" s="799" t="s">
        <v>4143</v>
      </c>
      <c r="H68" s="1747" t="s">
        <v>4144</v>
      </c>
      <c r="I68" s="799" t="s">
        <v>6867</v>
      </c>
      <c r="J68" s="799">
        <v>1</v>
      </c>
      <c r="K68" s="1893">
        <v>110356.71</v>
      </c>
      <c r="L68" s="1893">
        <v>80936.77</v>
      </c>
      <c r="M68" s="1893">
        <v>29419.940000000002</v>
      </c>
      <c r="N68" s="799" t="s">
        <v>4024</v>
      </c>
      <c r="O68" s="799" t="s">
        <v>95</v>
      </c>
    </row>
    <row r="69" spans="1:15" ht="10.5" customHeight="1">
      <c r="A69" s="799" t="s">
        <v>4028</v>
      </c>
      <c r="B69" s="799" t="s">
        <v>2340</v>
      </c>
      <c r="C69" s="799" t="s">
        <v>3797</v>
      </c>
      <c r="D69" s="799">
        <v>47865957</v>
      </c>
      <c r="E69" s="799" t="s">
        <v>4030</v>
      </c>
      <c r="F69" s="799">
        <v>143005420</v>
      </c>
      <c r="G69" s="799" t="s">
        <v>4145</v>
      </c>
      <c r="H69" s="1747" t="s">
        <v>4146</v>
      </c>
      <c r="I69" s="799" t="s">
        <v>6867</v>
      </c>
      <c r="J69" s="799">
        <v>1</v>
      </c>
      <c r="K69" s="1893">
        <v>77473.72</v>
      </c>
      <c r="L69" s="1893">
        <v>56820.04</v>
      </c>
      <c r="M69" s="1893">
        <v>20653.68</v>
      </c>
      <c r="N69" s="799" t="s">
        <v>4024</v>
      </c>
      <c r="O69" s="799" t="s">
        <v>95</v>
      </c>
    </row>
    <row r="70" spans="1:15" ht="10.5" customHeight="1">
      <c r="A70" s="799" t="s">
        <v>4028</v>
      </c>
      <c r="B70" s="799" t="s">
        <v>2340</v>
      </c>
      <c r="C70" s="799" t="s">
        <v>3797</v>
      </c>
      <c r="D70" s="799">
        <v>47865960</v>
      </c>
      <c r="E70" s="799" t="s">
        <v>4030</v>
      </c>
      <c r="F70" s="799">
        <v>143005483</v>
      </c>
      <c r="G70" s="799" t="s">
        <v>4147</v>
      </c>
      <c r="H70" s="1747" t="s">
        <v>4148</v>
      </c>
      <c r="I70" s="799" t="s">
        <v>6867</v>
      </c>
      <c r="J70" s="799">
        <v>1</v>
      </c>
      <c r="K70" s="1893">
        <v>14727.75</v>
      </c>
      <c r="L70" s="1893">
        <v>10801.49</v>
      </c>
      <c r="M70" s="1893">
        <v>3926.26</v>
      </c>
      <c r="N70" s="799" t="s">
        <v>4024</v>
      </c>
      <c r="O70" s="799" t="s">
        <v>390</v>
      </c>
    </row>
    <row r="71" spans="1:15" ht="10.5" customHeight="1">
      <c r="A71" s="799" t="s">
        <v>4028</v>
      </c>
      <c r="B71" s="799" t="s">
        <v>2340</v>
      </c>
      <c r="C71" s="799" t="s">
        <v>3797</v>
      </c>
      <c r="D71" s="799">
        <v>47865963</v>
      </c>
      <c r="E71" s="799" t="s">
        <v>4030</v>
      </c>
      <c r="F71" s="799">
        <v>143005524</v>
      </c>
      <c r="G71" s="799" t="s">
        <v>4149</v>
      </c>
      <c r="H71" s="1747" t="s">
        <v>4149</v>
      </c>
      <c r="I71" s="799" t="s">
        <v>6867</v>
      </c>
      <c r="J71" s="799">
        <v>1</v>
      </c>
      <c r="K71" s="1893">
        <v>258132.88</v>
      </c>
      <c r="L71" s="1893">
        <v>189317.35</v>
      </c>
      <c r="M71" s="1893">
        <v>68815.53</v>
      </c>
      <c r="N71" s="799" t="s">
        <v>4024</v>
      </c>
      <c r="O71" s="799" t="s">
        <v>95</v>
      </c>
    </row>
    <row r="72" spans="1:15" ht="10.5" customHeight="1">
      <c r="A72" s="799" t="s">
        <v>4028</v>
      </c>
      <c r="B72" s="799" t="s">
        <v>2340</v>
      </c>
      <c r="C72" s="799" t="s">
        <v>3797</v>
      </c>
      <c r="D72" s="799">
        <v>48333568</v>
      </c>
      <c r="E72" s="799" t="s">
        <v>4030</v>
      </c>
      <c r="F72" s="799">
        <v>143005460</v>
      </c>
      <c r="G72" s="799" t="s">
        <v>4150</v>
      </c>
      <c r="H72" s="1747" t="s">
        <v>4150</v>
      </c>
      <c r="I72" s="799" t="s">
        <v>6867</v>
      </c>
      <c r="J72" s="799">
        <v>1</v>
      </c>
      <c r="K72" s="1893">
        <v>47375.54</v>
      </c>
      <c r="L72" s="1893">
        <v>34745.72</v>
      </c>
      <c r="M72" s="1893">
        <v>12629.82</v>
      </c>
      <c r="N72" s="799" t="s">
        <v>4024</v>
      </c>
      <c r="O72" s="799" t="s">
        <v>95</v>
      </c>
    </row>
    <row r="73" spans="1:15" ht="10.5" customHeight="1">
      <c r="A73" s="799" t="s">
        <v>4028</v>
      </c>
      <c r="B73" s="799" t="s">
        <v>2340</v>
      </c>
      <c r="C73" s="799" t="s">
        <v>3797</v>
      </c>
      <c r="D73" s="799">
        <v>48333576</v>
      </c>
      <c r="E73" s="799" t="s">
        <v>4030</v>
      </c>
      <c r="F73" s="799">
        <v>143005508</v>
      </c>
      <c r="G73" s="799" t="s">
        <v>4151</v>
      </c>
      <c r="H73" s="1747" t="s">
        <v>4152</v>
      </c>
      <c r="I73" s="799" t="s">
        <v>6867</v>
      </c>
      <c r="J73" s="799">
        <v>1</v>
      </c>
      <c r="K73" s="1893">
        <v>62678.21</v>
      </c>
      <c r="L73" s="1893">
        <v>45968.85</v>
      </c>
      <c r="M73" s="1893">
        <v>16709.36</v>
      </c>
      <c r="N73" s="799" t="s">
        <v>4024</v>
      </c>
      <c r="O73" s="799" t="s">
        <v>390</v>
      </c>
    </row>
    <row r="74" spans="1:15" ht="10.5" customHeight="1">
      <c r="A74" s="799" t="s">
        <v>4028</v>
      </c>
      <c r="B74" s="799" t="s">
        <v>2340</v>
      </c>
      <c r="C74" s="799" t="s">
        <v>3797</v>
      </c>
      <c r="D74" s="799">
        <v>48333579</v>
      </c>
      <c r="E74" s="799" t="s">
        <v>4030</v>
      </c>
      <c r="F74" s="799">
        <v>143005520</v>
      </c>
      <c r="G74" s="799" t="s">
        <v>4153</v>
      </c>
      <c r="H74" s="1747" t="s">
        <v>4154</v>
      </c>
      <c r="I74" s="799" t="s">
        <v>6867</v>
      </c>
      <c r="J74" s="799">
        <v>1</v>
      </c>
      <c r="K74" s="1893">
        <v>77061.900000000009</v>
      </c>
      <c r="L74" s="1893">
        <v>56518</v>
      </c>
      <c r="M74" s="1893">
        <v>20543.900000000001</v>
      </c>
      <c r="N74" s="799" t="s">
        <v>4024</v>
      </c>
      <c r="O74" s="799" t="s">
        <v>99</v>
      </c>
    </row>
    <row r="75" spans="1:15" ht="10.5" customHeight="1">
      <c r="A75" s="799" t="s">
        <v>4028</v>
      </c>
      <c r="B75" s="799" t="s">
        <v>2340</v>
      </c>
      <c r="C75" s="799" t="s">
        <v>3797</v>
      </c>
      <c r="D75" s="799">
        <v>48333582</v>
      </c>
      <c r="E75" s="799" t="s">
        <v>4030</v>
      </c>
      <c r="F75" s="799">
        <v>143005522</v>
      </c>
      <c r="G75" s="799" t="s">
        <v>4155</v>
      </c>
      <c r="H75" s="1747" t="s">
        <v>4156</v>
      </c>
      <c r="I75" s="799" t="s">
        <v>6867</v>
      </c>
      <c r="J75" s="799">
        <v>1</v>
      </c>
      <c r="K75" s="1893">
        <v>15585.300000000001</v>
      </c>
      <c r="L75" s="1893">
        <v>11430.42</v>
      </c>
      <c r="M75" s="1893">
        <v>4154.88</v>
      </c>
      <c r="N75" s="799" t="s">
        <v>4024</v>
      </c>
      <c r="O75" s="799" t="s">
        <v>390</v>
      </c>
    </row>
    <row r="76" spans="1:15" ht="10.5" customHeight="1">
      <c r="A76" s="799" t="s">
        <v>4028</v>
      </c>
      <c r="B76" s="799" t="s">
        <v>2340</v>
      </c>
      <c r="C76" s="799" t="s">
        <v>3797</v>
      </c>
      <c r="D76" s="799">
        <v>48333587</v>
      </c>
      <c r="E76" s="799" t="s">
        <v>4030</v>
      </c>
      <c r="F76" s="799">
        <v>143005525</v>
      </c>
      <c r="G76" s="799" t="s">
        <v>4157</v>
      </c>
      <c r="H76" s="1747" t="s">
        <v>4158</v>
      </c>
      <c r="I76" s="799" t="s">
        <v>6867</v>
      </c>
      <c r="J76" s="799">
        <v>1</v>
      </c>
      <c r="K76" s="1893">
        <v>21960.850000000002</v>
      </c>
      <c r="L76" s="1893">
        <v>16106.32</v>
      </c>
      <c r="M76" s="1893">
        <v>5854.53</v>
      </c>
      <c r="N76" s="799" t="s">
        <v>4024</v>
      </c>
      <c r="O76" s="799" t="s">
        <v>95</v>
      </c>
    </row>
    <row r="77" spans="1:15" ht="10.5" customHeight="1">
      <c r="A77" s="799" t="s">
        <v>4028</v>
      </c>
      <c r="B77" s="799" t="s">
        <v>2340</v>
      </c>
      <c r="C77" s="799" t="s">
        <v>3797</v>
      </c>
      <c r="D77" s="799">
        <v>48333590</v>
      </c>
      <c r="E77" s="799" t="s">
        <v>4030</v>
      </c>
      <c r="F77" s="799">
        <v>143005527</v>
      </c>
      <c r="G77" s="799" t="s">
        <v>4159</v>
      </c>
      <c r="H77" s="1747" t="s">
        <v>4160</v>
      </c>
      <c r="I77" s="799" t="s">
        <v>6867</v>
      </c>
      <c r="J77" s="799">
        <v>1</v>
      </c>
      <c r="K77" s="1893">
        <v>20859</v>
      </c>
      <c r="L77" s="1893">
        <v>15298.210000000001</v>
      </c>
      <c r="M77" s="1893">
        <v>5560.79</v>
      </c>
      <c r="N77" s="799" t="s">
        <v>4024</v>
      </c>
      <c r="O77" s="799" t="s">
        <v>390</v>
      </c>
    </row>
    <row r="78" spans="1:15" ht="10.5" customHeight="1">
      <c r="A78" s="799" t="s">
        <v>4028</v>
      </c>
      <c r="B78" s="799" t="s">
        <v>2340</v>
      </c>
      <c r="C78" s="799" t="s">
        <v>3797</v>
      </c>
      <c r="D78" s="799">
        <v>48333593</v>
      </c>
      <c r="E78" s="799" t="s">
        <v>4030</v>
      </c>
      <c r="F78" s="799">
        <v>143005534</v>
      </c>
      <c r="G78" s="799" t="s">
        <v>4161</v>
      </c>
      <c r="H78" s="1747" t="s">
        <v>4162</v>
      </c>
      <c r="I78" s="799" t="s">
        <v>6867</v>
      </c>
      <c r="J78" s="799">
        <v>1</v>
      </c>
      <c r="K78" s="1893">
        <v>202814</v>
      </c>
      <c r="L78" s="1893">
        <v>148745.91</v>
      </c>
      <c r="M78" s="1893">
        <v>54068.090000000004</v>
      </c>
      <c r="N78" s="799" t="s">
        <v>4024</v>
      </c>
      <c r="O78" s="799" t="s">
        <v>390</v>
      </c>
    </row>
    <row r="79" spans="1:15" ht="10.5" customHeight="1">
      <c r="A79" s="799" t="s">
        <v>4028</v>
      </c>
      <c r="B79" s="799" t="s">
        <v>2340</v>
      </c>
      <c r="C79" s="799" t="s">
        <v>3797</v>
      </c>
      <c r="D79" s="799">
        <v>48333596</v>
      </c>
      <c r="E79" s="799" t="s">
        <v>4030</v>
      </c>
      <c r="F79" s="799">
        <v>143005563</v>
      </c>
      <c r="G79" s="799" t="s">
        <v>4163</v>
      </c>
      <c r="H79" s="1747" t="s">
        <v>4164</v>
      </c>
      <c r="I79" s="799" t="s">
        <v>6867</v>
      </c>
      <c r="J79" s="799">
        <v>1</v>
      </c>
      <c r="K79" s="1893">
        <v>20615.86</v>
      </c>
      <c r="L79" s="1893">
        <v>15119.89</v>
      </c>
      <c r="M79" s="1893">
        <v>5495.97</v>
      </c>
      <c r="N79" s="799" t="s">
        <v>4024</v>
      </c>
      <c r="O79" s="799" t="s">
        <v>95</v>
      </c>
    </row>
    <row r="80" spans="1:15" ht="10.5" customHeight="1">
      <c r="A80" s="799" t="s">
        <v>4028</v>
      </c>
      <c r="B80" s="799" t="s">
        <v>2340</v>
      </c>
      <c r="C80" s="799" t="s">
        <v>3797</v>
      </c>
      <c r="D80" s="799">
        <v>48333599</v>
      </c>
      <c r="E80" s="799" t="s">
        <v>4030</v>
      </c>
      <c r="F80" s="799">
        <v>143005632</v>
      </c>
      <c r="G80" s="799" t="s">
        <v>4165</v>
      </c>
      <c r="H80" s="1747" t="s">
        <v>4165</v>
      </c>
      <c r="I80" s="799" t="s">
        <v>6867</v>
      </c>
      <c r="J80" s="799">
        <v>1</v>
      </c>
      <c r="K80" s="1893">
        <v>51599.520000000004</v>
      </c>
      <c r="L80" s="1893">
        <v>37843.629999999997</v>
      </c>
      <c r="M80" s="1893">
        <v>13755.89</v>
      </c>
      <c r="N80" s="799" t="s">
        <v>4024</v>
      </c>
      <c r="O80" s="799" t="s">
        <v>390</v>
      </c>
    </row>
    <row r="81" spans="1:15" ht="10.5" customHeight="1">
      <c r="A81" s="799" t="s">
        <v>4028</v>
      </c>
      <c r="B81" s="799" t="s">
        <v>2340</v>
      </c>
      <c r="C81" s="799" t="s">
        <v>3860</v>
      </c>
      <c r="D81" s="799">
        <v>48885100</v>
      </c>
      <c r="E81" s="799" t="s">
        <v>4034</v>
      </c>
      <c r="F81" s="799">
        <v>143002928</v>
      </c>
      <c r="G81" s="799" t="s">
        <v>4166</v>
      </c>
      <c r="H81" s="1747" t="s">
        <v>4166</v>
      </c>
      <c r="I81" s="799" t="s">
        <v>6867</v>
      </c>
      <c r="J81" s="799">
        <v>1</v>
      </c>
      <c r="K81" s="1893">
        <v>633.75</v>
      </c>
      <c r="L81" s="1893">
        <v>203.28</v>
      </c>
      <c r="M81" s="1893">
        <v>430.47</v>
      </c>
      <c r="N81" s="799" t="s">
        <v>4022</v>
      </c>
      <c r="O81" s="799" t="s">
        <v>95</v>
      </c>
    </row>
    <row r="82" spans="1:15" ht="10.5" customHeight="1">
      <c r="A82" s="799" t="s">
        <v>4028</v>
      </c>
      <c r="B82" s="799" t="s">
        <v>2340</v>
      </c>
      <c r="C82" s="799" t="s">
        <v>3797</v>
      </c>
      <c r="D82" s="799">
        <v>49413677</v>
      </c>
      <c r="E82" s="799" t="s">
        <v>4030</v>
      </c>
      <c r="F82" s="799">
        <v>143005177</v>
      </c>
      <c r="G82" s="799" t="s">
        <v>4167</v>
      </c>
      <c r="H82" s="1747" t="s">
        <v>4167</v>
      </c>
      <c r="I82" s="799" t="s">
        <v>6867</v>
      </c>
      <c r="J82" s="799">
        <v>1</v>
      </c>
      <c r="K82" s="1893">
        <v>319299.83</v>
      </c>
      <c r="L82" s="1893">
        <v>234177.84</v>
      </c>
      <c r="M82" s="1893">
        <v>85121.99</v>
      </c>
      <c r="N82" s="799" t="s">
        <v>4024</v>
      </c>
      <c r="O82" s="799" t="s">
        <v>95</v>
      </c>
    </row>
    <row r="83" spans="1:15" ht="10.5" customHeight="1">
      <c r="A83" s="799" t="s">
        <v>4028</v>
      </c>
      <c r="B83" s="799" t="s">
        <v>2340</v>
      </c>
      <c r="C83" s="799" t="s">
        <v>3797</v>
      </c>
      <c r="D83" s="799">
        <v>49413690</v>
      </c>
      <c r="E83" s="799" t="s">
        <v>4030</v>
      </c>
      <c r="F83" s="799">
        <v>143005340</v>
      </c>
      <c r="G83" s="799" t="s">
        <v>4168</v>
      </c>
      <c r="H83" s="1747" t="s">
        <v>4168</v>
      </c>
      <c r="I83" s="799" t="s">
        <v>6867</v>
      </c>
      <c r="J83" s="799">
        <v>1</v>
      </c>
      <c r="K83" s="1893">
        <v>7410591.3399999999</v>
      </c>
      <c r="L83" s="1893">
        <v>5435005.2000000002</v>
      </c>
      <c r="M83" s="1893">
        <v>1975586.1400000001</v>
      </c>
      <c r="N83" s="799" t="s">
        <v>4024</v>
      </c>
      <c r="O83" s="799" t="s">
        <v>390</v>
      </c>
    </row>
    <row r="84" spans="1:15" ht="10.5" customHeight="1">
      <c r="A84" s="799" t="s">
        <v>4028</v>
      </c>
      <c r="B84" s="799" t="s">
        <v>2340</v>
      </c>
      <c r="C84" s="799" t="s">
        <v>3797</v>
      </c>
      <c r="D84" s="799">
        <v>49413693</v>
      </c>
      <c r="E84" s="799" t="s">
        <v>4030</v>
      </c>
      <c r="F84" s="799">
        <v>143005363</v>
      </c>
      <c r="G84" s="799" t="s">
        <v>4169</v>
      </c>
      <c r="H84" s="1747" t="s">
        <v>4169</v>
      </c>
      <c r="I84" s="799" t="s">
        <v>6867</v>
      </c>
      <c r="J84" s="799">
        <v>1</v>
      </c>
      <c r="K84" s="1893">
        <v>71677.540000000008</v>
      </c>
      <c r="L84" s="1893">
        <v>52569.06</v>
      </c>
      <c r="M84" s="1893">
        <v>19108.48</v>
      </c>
      <c r="N84" s="799" t="s">
        <v>4024</v>
      </c>
      <c r="O84" s="799" t="s">
        <v>99</v>
      </c>
    </row>
    <row r="85" spans="1:15" ht="10.5" customHeight="1">
      <c r="A85" s="799" t="s">
        <v>4028</v>
      </c>
      <c r="B85" s="799" t="s">
        <v>2340</v>
      </c>
      <c r="C85" s="799" t="s">
        <v>3797</v>
      </c>
      <c r="D85" s="799">
        <v>49413713</v>
      </c>
      <c r="E85" s="799" t="s">
        <v>4030</v>
      </c>
      <c r="F85" s="799">
        <v>143005507</v>
      </c>
      <c r="G85" s="799" t="s">
        <v>4170</v>
      </c>
      <c r="H85" s="1747" t="s">
        <v>4171</v>
      </c>
      <c r="I85" s="799" t="s">
        <v>6867</v>
      </c>
      <c r="J85" s="799">
        <v>1</v>
      </c>
      <c r="K85" s="1893">
        <v>20679.350000000002</v>
      </c>
      <c r="L85" s="1893">
        <v>15166.45</v>
      </c>
      <c r="M85" s="1893">
        <v>5512.9000000000005</v>
      </c>
      <c r="N85" s="799" t="s">
        <v>4024</v>
      </c>
      <c r="O85" s="799" t="s">
        <v>109</v>
      </c>
    </row>
    <row r="86" spans="1:15" ht="10.5" customHeight="1">
      <c r="A86" s="799" t="s">
        <v>4028</v>
      </c>
      <c r="B86" s="799" t="s">
        <v>2340</v>
      </c>
      <c r="C86" s="799" t="s">
        <v>3797</v>
      </c>
      <c r="D86" s="799">
        <v>49413716</v>
      </c>
      <c r="E86" s="799" t="s">
        <v>4030</v>
      </c>
      <c r="F86" s="799">
        <v>143005510</v>
      </c>
      <c r="G86" s="799" t="s">
        <v>4172</v>
      </c>
      <c r="H86" s="1747" t="s">
        <v>4173</v>
      </c>
      <c r="I86" s="799" t="s">
        <v>6867</v>
      </c>
      <c r="J86" s="799">
        <v>1</v>
      </c>
      <c r="K86" s="1893">
        <v>71790.87</v>
      </c>
      <c r="L86" s="1893">
        <v>52652.17</v>
      </c>
      <c r="M86" s="1893">
        <v>19138.7</v>
      </c>
      <c r="N86" s="799" t="s">
        <v>4024</v>
      </c>
      <c r="O86" s="799" t="s">
        <v>95</v>
      </c>
    </row>
    <row r="87" spans="1:15" ht="10.5" customHeight="1">
      <c r="A87" s="799" t="s">
        <v>4028</v>
      </c>
      <c r="B87" s="799" t="s">
        <v>2340</v>
      </c>
      <c r="C87" s="799" t="s">
        <v>3797</v>
      </c>
      <c r="D87" s="799">
        <v>49945125</v>
      </c>
      <c r="E87" s="799" t="s">
        <v>4030</v>
      </c>
      <c r="F87" s="799">
        <v>143004537</v>
      </c>
      <c r="G87" s="799" t="s">
        <v>4174</v>
      </c>
      <c r="H87" s="1747" t="s">
        <v>4174</v>
      </c>
      <c r="I87" s="799" t="s">
        <v>6867</v>
      </c>
      <c r="J87" s="799">
        <v>1</v>
      </c>
      <c r="K87" s="1893">
        <v>2203558.9900000002</v>
      </c>
      <c r="L87" s="1893">
        <v>1616113.21</v>
      </c>
      <c r="M87" s="1893">
        <v>587445.78</v>
      </c>
      <c r="N87" s="799" t="s">
        <v>4024</v>
      </c>
      <c r="O87" s="799" t="s">
        <v>95</v>
      </c>
    </row>
    <row r="88" spans="1:15" ht="10.5" customHeight="1">
      <c r="A88" s="799" t="s">
        <v>4028</v>
      </c>
      <c r="B88" s="799" t="s">
        <v>2340</v>
      </c>
      <c r="C88" s="799" t="s">
        <v>3797</v>
      </c>
      <c r="D88" s="799">
        <v>49945156</v>
      </c>
      <c r="E88" s="799" t="s">
        <v>4030</v>
      </c>
      <c r="F88" s="799">
        <v>143005227</v>
      </c>
      <c r="G88" s="799" t="s">
        <v>4175</v>
      </c>
      <c r="H88" s="1747" t="s">
        <v>4175</v>
      </c>
      <c r="I88" s="799" t="s">
        <v>6867</v>
      </c>
      <c r="J88" s="799">
        <v>1</v>
      </c>
      <c r="K88" s="1893">
        <v>3853950.21</v>
      </c>
      <c r="L88" s="1893">
        <v>2826527.4</v>
      </c>
      <c r="M88" s="1893">
        <v>1027422.81</v>
      </c>
      <c r="N88" s="799" t="s">
        <v>4024</v>
      </c>
      <c r="O88" s="799" t="s">
        <v>95</v>
      </c>
    </row>
    <row r="89" spans="1:15" ht="10.5" customHeight="1">
      <c r="A89" s="799" t="s">
        <v>4028</v>
      </c>
      <c r="B89" s="799" t="s">
        <v>2340</v>
      </c>
      <c r="C89" s="799" t="s">
        <v>3797</v>
      </c>
      <c r="D89" s="799">
        <v>49945159</v>
      </c>
      <c r="E89" s="799" t="s">
        <v>4030</v>
      </c>
      <c r="F89" s="799">
        <v>143005241</v>
      </c>
      <c r="G89" s="799" t="s">
        <v>4176</v>
      </c>
      <c r="H89" s="1747" t="s">
        <v>4177</v>
      </c>
      <c r="I89" s="799" t="s">
        <v>6867</v>
      </c>
      <c r="J89" s="799">
        <v>1</v>
      </c>
      <c r="K89" s="1893">
        <v>5514678.2599999998</v>
      </c>
      <c r="L89" s="1893">
        <v>4044522.72</v>
      </c>
      <c r="M89" s="1893">
        <v>1470155.54</v>
      </c>
      <c r="N89" s="799" t="s">
        <v>4024</v>
      </c>
      <c r="O89" s="799" t="s">
        <v>95</v>
      </c>
    </row>
    <row r="90" spans="1:15" ht="10.5" customHeight="1">
      <c r="A90" s="799" t="s">
        <v>4028</v>
      </c>
      <c r="B90" s="799" t="s">
        <v>2340</v>
      </c>
      <c r="C90" s="799" t="s">
        <v>3797</v>
      </c>
      <c r="D90" s="799">
        <v>49945175</v>
      </c>
      <c r="E90" s="799" t="s">
        <v>4030</v>
      </c>
      <c r="F90" s="799">
        <v>143005261</v>
      </c>
      <c r="G90" s="799" t="s">
        <v>4178</v>
      </c>
      <c r="H90" s="1747" t="s">
        <v>4179</v>
      </c>
      <c r="I90" s="799" t="s">
        <v>6867</v>
      </c>
      <c r="J90" s="799">
        <v>1</v>
      </c>
      <c r="K90" s="1893">
        <v>23379.94</v>
      </c>
      <c r="L90" s="1893">
        <v>17147.09</v>
      </c>
      <c r="M90" s="1893">
        <v>6232.85</v>
      </c>
      <c r="N90" s="799" t="s">
        <v>4024</v>
      </c>
      <c r="O90" s="799" t="s">
        <v>95</v>
      </c>
    </row>
    <row r="91" spans="1:15" ht="10.5" customHeight="1">
      <c r="A91" s="799" t="s">
        <v>4028</v>
      </c>
      <c r="B91" s="799" t="s">
        <v>2340</v>
      </c>
      <c r="C91" s="799" t="s">
        <v>3797</v>
      </c>
      <c r="D91" s="799">
        <v>49945178</v>
      </c>
      <c r="E91" s="799" t="s">
        <v>4030</v>
      </c>
      <c r="F91" s="799">
        <v>143005262</v>
      </c>
      <c r="G91" s="799" t="s">
        <v>4180</v>
      </c>
      <c r="H91" s="1747" t="s">
        <v>4181</v>
      </c>
      <c r="I91" s="799" t="s">
        <v>6867</v>
      </c>
      <c r="J91" s="799">
        <v>1</v>
      </c>
      <c r="K91" s="1893">
        <v>217659.92</v>
      </c>
      <c r="L91" s="1893">
        <v>159634.06</v>
      </c>
      <c r="M91" s="1893">
        <v>58025.86</v>
      </c>
      <c r="N91" s="799" t="s">
        <v>4024</v>
      </c>
      <c r="O91" s="799" t="s">
        <v>95</v>
      </c>
    </row>
    <row r="92" spans="1:15" ht="10.5" customHeight="1">
      <c r="A92" s="799" t="s">
        <v>4028</v>
      </c>
      <c r="B92" s="799" t="s">
        <v>2340</v>
      </c>
      <c r="C92" s="799" t="s">
        <v>3797</v>
      </c>
      <c r="D92" s="799">
        <v>49945207</v>
      </c>
      <c r="E92" s="799" t="s">
        <v>4030</v>
      </c>
      <c r="F92" s="799">
        <v>143005280</v>
      </c>
      <c r="G92" s="799" t="s">
        <v>4182</v>
      </c>
      <c r="H92" s="1747" t="s">
        <v>4183</v>
      </c>
      <c r="I92" s="799" t="s">
        <v>6867</v>
      </c>
      <c r="J92" s="799">
        <v>1</v>
      </c>
      <c r="K92" s="1893">
        <v>832363.25</v>
      </c>
      <c r="L92" s="1893">
        <v>610463.91</v>
      </c>
      <c r="M92" s="1893">
        <v>221899.34</v>
      </c>
      <c r="N92" s="799" t="s">
        <v>4024</v>
      </c>
      <c r="O92" s="799" t="s">
        <v>108</v>
      </c>
    </row>
    <row r="93" spans="1:15" ht="10.5" customHeight="1">
      <c r="A93" s="799" t="s">
        <v>4028</v>
      </c>
      <c r="B93" s="799" t="s">
        <v>2340</v>
      </c>
      <c r="C93" s="799" t="s">
        <v>3797</v>
      </c>
      <c r="D93" s="799">
        <v>49945210</v>
      </c>
      <c r="E93" s="799" t="s">
        <v>4030</v>
      </c>
      <c r="F93" s="799">
        <v>143005281</v>
      </c>
      <c r="G93" s="799" t="s">
        <v>4184</v>
      </c>
      <c r="H93" s="1747" t="s">
        <v>4184</v>
      </c>
      <c r="I93" s="799" t="s">
        <v>6867</v>
      </c>
      <c r="J93" s="799">
        <v>1</v>
      </c>
      <c r="K93" s="1893">
        <v>131379.32</v>
      </c>
      <c r="L93" s="1893">
        <v>96354.97</v>
      </c>
      <c r="M93" s="1893">
        <v>35024.35</v>
      </c>
      <c r="N93" s="799" t="s">
        <v>4024</v>
      </c>
      <c r="O93" s="799" t="s">
        <v>108</v>
      </c>
    </row>
    <row r="94" spans="1:15" ht="10.5" customHeight="1">
      <c r="A94" s="799" t="s">
        <v>4028</v>
      </c>
      <c r="B94" s="799" t="s">
        <v>2340</v>
      </c>
      <c r="C94" s="799" t="s">
        <v>3797</v>
      </c>
      <c r="D94" s="799">
        <v>49945218</v>
      </c>
      <c r="E94" s="799" t="s">
        <v>4030</v>
      </c>
      <c r="F94" s="799">
        <v>143005289</v>
      </c>
      <c r="G94" s="799" t="s">
        <v>4185</v>
      </c>
      <c r="H94" s="1747" t="s">
        <v>4186</v>
      </c>
      <c r="I94" s="799" t="s">
        <v>6867</v>
      </c>
      <c r="J94" s="799">
        <v>1</v>
      </c>
      <c r="K94" s="1893">
        <v>205582.34</v>
      </c>
      <c r="L94" s="1893">
        <v>150776.24</v>
      </c>
      <c r="M94" s="1893">
        <v>54806.1</v>
      </c>
      <c r="N94" s="799" t="s">
        <v>4024</v>
      </c>
      <c r="O94" s="799" t="s">
        <v>99</v>
      </c>
    </row>
    <row r="95" spans="1:15" ht="10.5" customHeight="1">
      <c r="A95" s="799" t="s">
        <v>4028</v>
      </c>
      <c r="B95" s="799" t="s">
        <v>2340</v>
      </c>
      <c r="C95" s="799" t="s">
        <v>3797</v>
      </c>
      <c r="D95" s="799">
        <v>49945221</v>
      </c>
      <c r="E95" s="799" t="s">
        <v>4030</v>
      </c>
      <c r="F95" s="799">
        <v>143005300</v>
      </c>
      <c r="G95" s="799" t="s">
        <v>4187</v>
      </c>
      <c r="H95" s="1747" t="s">
        <v>4187</v>
      </c>
      <c r="I95" s="799" t="s">
        <v>6867</v>
      </c>
      <c r="J95" s="799">
        <v>1</v>
      </c>
      <c r="K95" s="1893">
        <v>720243.76</v>
      </c>
      <c r="L95" s="1893">
        <v>528234.31000000006</v>
      </c>
      <c r="M95" s="1893">
        <v>192009.45</v>
      </c>
      <c r="N95" s="799" t="s">
        <v>4024</v>
      </c>
      <c r="O95" s="799" t="s">
        <v>95</v>
      </c>
    </row>
    <row r="96" spans="1:15" ht="10.5" customHeight="1">
      <c r="A96" s="799" t="s">
        <v>4028</v>
      </c>
      <c r="B96" s="799" t="s">
        <v>2340</v>
      </c>
      <c r="C96" s="799" t="s">
        <v>3797</v>
      </c>
      <c r="D96" s="799">
        <v>49945233</v>
      </c>
      <c r="E96" s="799" t="s">
        <v>4030</v>
      </c>
      <c r="F96" s="799">
        <v>143005316</v>
      </c>
      <c r="G96" s="799" t="s">
        <v>4188</v>
      </c>
      <c r="H96" s="1747" t="s">
        <v>4189</v>
      </c>
      <c r="I96" s="799" t="s">
        <v>6867</v>
      </c>
      <c r="J96" s="799">
        <v>1</v>
      </c>
      <c r="K96" s="1893">
        <v>1387230.1400000001</v>
      </c>
      <c r="L96" s="1893">
        <v>1017409.1</v>
      </c>
      <c r="M96" s="1893">
        <v>369821.04</v>
      </c>
      <c r="N96" s="799" t="s">
        <v>4024</v>
      </c>
      <c r="O96" s="799" t="s">
        <v>95</v>
      </c>
    </row>
    <row r="97" spans="1:15" ht="10.5" customHeight="1">
      <c r="A97" s="799" t="s">
        <v>4028</v>
      </c>
      <c r="B97" s="799" t="s">
        <v>2340</v>
      </c>
      <c r="C97" s="799" t="s">
        <v>3797</v>
      </c>
      <c r="D97" s="799">
        <v>49945238</v>
      </c>
      <c r="E97" s="799" t="s">
        <v>4030</v>
      </c>
      <c r="F97" s="799">
        <v>143005332</v>
      </c>
      <c r="G97" s="799" t="s">
        <v>4190</v>
      </c>
      <c r="H97" s="1747" t="s">
        <v>4191</v>
      </c>
      <c r="I97" s="799" t="s">
        <v>6867</v>
      </c>
      <c r="J97" s="799">
        <v>1</v>
      </c>
      <c r="K97" s="1893">
        <v>74926.22</v>
      </c>
      <c r="L97" s="1893">
        <v>54951.67</v>
      </c>
      <c r="M97" s="1893">
        <v>19974.55</v>
      </c>
      <c r="N97" s="799" t="s">
        <v>4024</v>
      </c>
      <c r="O97" s="799" t="s">
        <v>95</v>
      </c>
    </row>
    <row r="98" spans="1:15" ht="10.5" customHeight="1">
      <c r="A98" s="799" t="s">
        <v>4028</v>
      </c>
      <c r="B98" s="799" t="s">
        <v>2340</v>
      </c>
      <c r="C98" s="799" t="s">
        <v>3797</v>
      </c>
      <c r="D98" s="799">
        <v>49945241</v>
      </c>
      <c r="E98" s="799" t="s">
        <v>4030</v>
      </c>
      <c r="F98" s="799">
        <v>143005333</v>
      </c>
      <c r="G98" s="799" t="s">
        <v>4192</v>
      </c>
      <c r="H98" s="1747" t="s">
        <v>4193</v>
      </c>
      <c r="I98" s="799" t="s">
        <v>6867</v>
      </c>
      <c r="J98" s="799">
        <v>1</v>
      </c>
      <c r="K98" s="1893">
        <v>165217.93</v>
      </c>
      <c r="L98" s="1893">
        <v>121172.56</v>
      </c>
      <c r="M98" s="1893">
        <v>44045.37</v>
      </c>
      <c r="N98" s="799" t="s">
        <v>4024</v>
      </c>
      <c r="O98" s="799" t="s">
        <v>95</v>
      </c>
    </row>
    <row r="99" spans="1:15" ht="10.5" customHeight="1">
      <c r="A99" s="799" t="s">
        <v>4028</v>
      </c>
      <c r="B99" s="799" t="s">
        <v>2340</v>
      </c>
      <c r="C99" s="799" t="s">
        <v>3797</v>
      </c>
      <c r="D99" s="799">
        <v>49945246</v>
      </c>
      <c r="E99" s="799" t="s">
        <v>4030</v>
      </c>
      <c r="F99" s="799">
        <v>143005361</v>
      </c>
      <c r="G99" s="799" t="s">
        <v>4194</v>
      </c>
      <c r="H99" s="1747" t="s">
        <v>4194</v>
      </c>
      <c r="I99" s="799" t="s">
        <v>6867</v>
      </c>
      <c r="J99" s="799">
        <v>1</v>
      </c>
      <c r="K99" s="1893">
        <v>14818.130000000001</v>
      </c>
      <c r="L99" s="1893">
        <v>10867.77</v>
      </c>
      <c r="M99" s="1893">
        <v>3950.36</v>
      </c>
      <c r="N99" s="799" t="s">
        <v>4024</v>
      </c>
      <c r="O99" s="799" t="s">
        <v>390</v>
      </c>
    </row>
    <row r="100" spans="1:15" ht="10.5" customHeight="1">
      <c r="A100" s="799" t="s">
        <v>4028</v>
      </c>
      <c r="B100" s="799" t="s">
        <v>2340</v>
      </c>
      <c r="C100" s="799" t="s">
        <v>3797</v>
      </c>
      <c r="D100" s="799">
        <v>49945254</v>
      </c>
      <c r="E100" s="799" t="s">
        <v>4030</v>
      </c>
      <c r="F100" s="799">
        <v>143005423</v>
      </c>
      <c r="G100" s="799" t="s">
        <v>4195</v>
      </c>
      <c r="H100" s="1747" t="s">
        <v>4196</v>
      </c>
      <c r="I100" s="799" t="s">
        <v>6867</v>
      </c>
      <c r="J100" s="799">
        <v>1</v>
      </c>
      <c r="K100" s="1893">
        <v>24388.19</v>
      </c>
      <c r="L100" s="1893">
        <v>17886.55</v>
      </c>
      <c r="M100" s="1893">
        <v>6501.64</v>
      </c>
      <c r="N100" s="799" t="s">
        <v>4024</v>
      </c>
      <c r="O100" s="799" t="s">
        <v>95</v>
      </c>
    </row>
    <row r="101" spans="1:15" ht="10.5" customHeight="1">
      <c r="A101" s="799" t="s">
        <v>4028</v>
      </c>
      <c r="B101" s="799" t="s">
        <v>2340</v>
      </c>
      <c r="C101" s="799" t="s">
        <v>3797</v>
      </c>
      <c r="D101" s="799">
        <v>49945257</v>
      </c>
      <c r="E101" s="799" t="s">
        <v>4030</v>
      </c>
      <c r="F101" s="799">
        <v>143005424</v>
      </c>
      <c r="G101" s="799" t="s">
        <v>4197</v>
      </c>
      <c r="H101" s="1747" t="s">
        <v>4197</v>
      </c>
      <c r="I101" s="799" t="s">
        <v>6867</v>
      </c>
      <c r="J101" s="799">
        <v>1</v>
      </c>
      <c r="K101" s="1893">
        <v>243752</v>
      </c>
      <c r="L101" s="1893">
        <v>178770.27</v>
      </c>
      <c r="M101" s="1893">
        <v>64981.73</v>
      </c>
      <c r="N101" s="799" t="s">
        <v>4024</v>
      </c>
      <c r="O101" s="799" t="s">
        <v>95</v>
      </c>
    </row>
    <row r="102" spans="1:15" ht="10.5" customHeight="1">
      <c r="A102" s="799" t="s">
        <v>4028</v>
      </c>
      <c r="B102" s="799" t="s">
        <v>2340</v>
      </c>
      <c r="C102" s="799" t="s">
        <v>3797</v>
      </c>
      <c r="D102" s="799">
        <v>49945260</v>
      </c>
      <c r="E102" s="799" t="s">
        <v>4030</v>
      </c>
      <c r="F102" s="799">
        <v>143005437</v>
      </c>
      <c r="G102" s="799" t="s">
        <v>4198</v>
      </c>
      <c r="H102" s="1747" t="s">
        <v>4199</v>
      </c>
      <c r="I102" s="799" t="s">
        <v>6867</v>
      </c>
      <c r="J102" s="799">
        <v>1</v>
      </c>
      <c r="K102" s="1893">
        <v>47711.66</v>
      </c>
      <c r="L102" s="1893">
        <v>34992.230000000003</v>
      </c>
      <c r="M102" s="1893">
        <v>12719.43</v>
      </c>
      <c r="N102" s="799" t="s">
        <v>4024</v>
      </c>
      <c r="O102" s="799" t="s">
        <v>95</v>
      </c>
    </row>
    <row r="103" spans="1:15" ht="10.5" customHeight="1">
      <c r="A103" s="799" t="s">
        <v>4028</v>
      </c>
      <c r="B103" s="799" t="s">
        <v>2340</v>
      </c>
      <c r="C103" s="799" t="s">
        <v>3797</v>
      </c>
      <c r="D103" s="799">
        <v>49945276</v>
      </c>
      <c r="E103" s="799" t="s">
        <v>4030</v>
      </c>
      <c r="F103" s="799">
        <v>143005532</v>
      </c>
      <c r="G103" s="799" t="s">
        <v>4200</v>
      </c>
      <c r="H103" s="1747" t="s">
        <v>4200</v>
      </c>
      <c r="I103" s="799" t="s">
        <v>6867</v>
      </c>
      <c r="J103" s="799">
        <v>1</v>
      </c>
      <c r="K103" s="1893">
        <v>374402.42</v>
      </c>
      <c r="L103" s="1893">
        <v>274590.65000000002</v>
      </c>
      <c r="M103" s="1893">
        <v>99811.77</v>
      </c>
      <c r="N103" s="799" t="s">
        <v>4024</v>
      </c>
      <c r="O103" s="799" t="s">
        <v>95</v>
      </c>
    </row>
    <row r="104" spans="1:15" ht="10.5" customHeight="1">
      <c r="A104" s="799" t="s">
        <v>4028</v>
      </c>
      <c r="B104" s="799" t="s">
        <v>2340</v>
      </c>
      <c r="C104" s="799" t="s">
        <v>3797</v>
      </c>
      <c r="D104" s="799">
        <v>49945282</v>
      </c>
      <c r="E104" s="799" t="s">
        <v>4030</v>
      </c>
      <c r="F104" s="799">
        <v>143005537</v>
      </c>
      <c r="G104" s="799" t="s">
        <v>4201</v>
      </c>
      <c r="H104" s="1747" t="s">
        <v>4202</v>
      </c>
      <c r="I104" s="799" t="s">
        <v>6867</v>
      </c>
      <c r="J104" s="799">
        <v>1</v>
      </c>
      <c r="K104" s="1893">
        <v>31950.280000000002</v>
      </c>
      <c r="L104" s="1893">
        <v>23432.670000000002</v>
      </c>
      <c r="M104" s="1893">
        <v>8517.61</v>
      </c>
      <c r="N104" s="799" t="s">
        <v>4024</v>
      </c>
      <c r="O104" s="799" t="s">
        <v>95</v>
      </c>
    </row>
    <row r="105" spans="1:15" ht="10.5" customHeight="1">
      <c r="A105" s="799" t="s">
        <v>4028</v>
      </c>
      <c r="B105" s="799" t="s">
        <v>2340</v>
      </c>
      <c r="C105" s="799" t="s">
        <v>3797</v>
      </c>
      <c r="D105" s="799">
        <v>49945285</v>
      </c>
      <c r="E105" s="799" t="s">
        <v>4030</v>
      </c>
      <c r="F105" s="799">
        <v>143005538</v>
      </c>
      <c r="G105" s="799" t="s">
        <v>4203</v>
      </c>
      <c r="H105" s="1747" t="s">
        <v>4204</v>
      </c>
      <c r="I105" s="799" t="s">
        <v>6867</v>
      </c>
      <c r="J105" s="799">
        <v>1</v>
      </c>
      <c r="K105" s="1893">
        <v>12477.74</v>
      </c>
      <c r="L105" s="1893">
        <v>9151.31</v>
      </c>
      <c r="M105" s="1893">
        <v>3326.4300000000003</v>
      </c>
      <c r="N105" s="799" t="s">
        <v>4024</v>
      </c>
      <c r="O105" s="799" t="s">
        <v>95</v>
      </c>
    </row>
    <row r="106" spans="1:15" ht="10.5" customHeight="1">
      <c r="A106" s="799" t="s">
        <v>4028</v>
      </c>
      <c r="B106" s="799" t="s">
        <v>2340</v>
      </c>
      <c r="C106" s="799" t="s">
        <v>3797</v>
      </c>
      <c r="D106" s="799">
        <v>49945288</v>
      </c>
      <c r="E106" s="799" t="s">
        <v>4030</v>
      </c>
      <c r="F106" s="799">
        <v>143005564</v>
      </c>
      <c r="G106" s="799" t="s">
        <v>4205</v>
      </c>
      <c r="H106" s="1747" t="s">
        <v>4206</v>
      </c>
      <c r="I106" s="799" t="s">
        <v>6867</v>
      </c>
      <c r="J106" s="799">
        <v>1</v>
      </c>
      <c r="K106" s="1893">
        <v>46563.75</v>
      </c>
      <c r="L106" s="1893">
        <v>34150.340000000004</v>
      </c>
      <c r="M106" s="1893">
        <v>12413.41</v>
      </c>
      <c r="N106" s="799" t="s">
        <v>4024</v>
      </c>
      <c r="O106" s="799" t="s">
        <v>390</v>
      </c>
    </row>
    <row r="107" spans="1:15" ht="10.5" customHeight="1">
      <c r="A107" s="799" t="s">
        <v>4028</v>
      </c>
      <c r="B107" s="799" t="s">
        <v>2340</v>
      </c>
      <c r="C107" s="799" t="s">
        <v>3797</v>
      </c>
      <c r="D107" s="799">
        <v>49945296</v>
      </c>
      <c r="E107" s="799" t="s">
        <v>4030</v>
      </c>
      <c r="F107" s="799">
        <v>143005639</v>
      </c>
      <c r="G107" s="799" t="s">
        <v>4207</v>
      </c>
      <c r="H107" s="1747" t="s">
        <v>4208</v>
      </c>
      <c r="I107" s="799" t="s">
        <v>6867</v>
      </c>
      <c r="J107" s="799">
        <v>1</v>
      </c>
      <c r="K107" s="1893">
        <v>13981.31</v>
      </c>
      <c r="L107" s="1893">
        <v>10254.040000000001</v>
      </c>
      <c r="M107" s="1893">
        <v>3727.27</v>
      </c>
      <c r="N107" s="799" t="s">
        <v>4024</v>
      </c>
      <c r="O107" s="799" t="s">
        <v>392</v>
      </c>
    </row>
    <row r="108" spans="1:15" ht="10.5" customHeight="1">
      <c r="A108" s="799" t="s">
        <v>4028</v>
      </c>
      <c r="B108" s="799" t="s">
        <v>2340</v>
      </c>
      <c r="C108" s="799" t="s">
        <v>3797</v>
      </c>
      <c r="D108" s="799">
        <v>49945299</v>
      </c>
      <c r="E108" s="799" t="s">
        <v>4030</v>
      </c>
      <c r="F108" s="799">
        <v>143005661</v>
      </c>
      <c r="G108" s="799" t="s">
        <v>4209</v>
      </c>
      <c r="H108" s="1747" t="s">
        <v>4209</v>
      </c>
      <c r="I108" s="799" t="s">
        <v>6867</v>
      </c>
      <c r="J108" s="799">
        <v>1</v>
      </c>
      <c r="K108" s="1893">
        <v>265892.34000000003</v>
      </c>
      <c r="L108" s="1893">
        <v>195008.22</v>
      </c>
      <c r="M108" s="1893">
        <v>70884.12</v>
      </c>
      <c r="N108" s="799" t="s">
        <v>4024</v>
      </c>
      <c r="O108" s="799" t="s">
        <v>95</v>
      </c>
    </row>
    <row r="109" spans="1:15" ht="10.5" customHeight="1">
      <c r="A109" s="799" t="s">
        <v>4028</v>
      </c>
      <c r="B109" s="799" t="s">
        <v>2340</v>
      </c>
      <c r="C109" s="799" t="s">
        <v>3797</v>
      </c>
      <c r="D109" s="799">
        <v>49945305</v>
      </c>
      <c r="E109" s="799" t="s">
        <v>4030</v>
      </c>
      <c r="F109" s="799">
        <v>143005669</v>
      </c>
      <c r="G109" s="799" t="s">
        <v>4210</v>
      </c>
      <c r="H109" s="1747" t="s">
        <v>4211</v>
      </c>
      <c r="I109" s="799" t="s">
        <v>6867</v>
      </c>
      <c r="J109" s="799">
        <v>1</v>
      </c>
      <c r="K109" s="1893">
        <v>14631</v>
      </c>
      <c r="L109" s="1893">
        <v>10730.53</v>
      </c>
      <c r="M109" s="1893">
        <v>3900.4700000000003</v>
      </c>
      <c r="N109" s="799" t="s">
        <v>4024</v>
      </c>
      <c r="O109" s="799" t="s">
        <v>95</v>
      </c>
    </row>
    <row r="110" spans="1:15" ht="10.5" customHeight="1">
      <c r="A110" s="799" t="s">
        <v>4028</v>
      </c>
      <c r="B110" s="799" t="s">
        <v>2340</v>
      </c>
      <c r="C110" s="799" t="s">
        <v>3797</v>
      </c>
      <c r="D110" s="799">
        <v>49945308</v>
      </c>
      <c r="E110" s="799" t="s">
        <v>4030</v>
      </c>
      <c r="F110" s="799">
        <v>143005671</v>
      </c>
      <c r="G110" s="799" t="s">
        <v>4212</v>
      </c>
      <c r="H110" s="1747" t="s">
        <v>4213</v>
      </c>
      <c r="I110" s="799" t="s">
        <v>6867</v>
      </c>
      <c r="J110" s="799">
        <v>1</v>
      </c>
      <c r="K110" s="1893">
        <v>70265.38</v>
      </c>
      <c r="L110" s="1893">
        <v>51533.36</v>
      </c>
      <c r="M110" s="1893">
        <v>18732.02</v>
      </c>
      <c r="N110" s="799" t="s">
        <v>4024</v>
      </c>
      <c r="O110" s="799" t="s">
        <v>95</v>
      </c>
    </row>
    <row r="111" spans="1:15" ht="10.5" customHeight="1">
      <c r="A111" s="799" t="s">
        <v>4028</v>
      </c>
      <c r="B111" s="799" t="s">
        <v>2340</v>
      </c>
      <c r="C111" s="799" t="s">
        <v>3797</v>
      </c>
      <c r="D111" s="799">
        <v>49945316</v>
      </c>
      <c r="E111" s="799" t="s">
        <v>4030</v>
      </c>
      <c r="F111" s="799">
        <v>143005746</v>
      </c>
      <c r="G111" s="799" t="s">
        <v>4214</v>
      </c>
      <c r="H111" s="1747" t="s">
        <v>4215</v>
      </c>
      <c r="I111" s="799" t="s">
        <v>6867</v>
      </c>
      <c r="J111" s="799">
        <v>1</v>
      </c>
      <c r="K111" s="1893">
        <v>15779.91</v>
      </c>
      <c r="L111" s="1893">
        <v>11573.15</v>
      </c>
      <c r="M111" s="1893">
        <v>4206.76</v>
      </c>
      <c r="N111" s="799" t="s">
        <v>4024</v>
      </c>
      <c r="O111" s="799" t="s">
        <v>390</v>
      </c>
    </row>
    <row r="112" spans="1:15" ht="10.5" customHeight="1">
      <c r="A112" s="799" t="s">
        <v>4028</v>
      </c>
      <c r="B112" s="799" t="s">
        <v>2340</v>
      </c>
      <c r="C112" s="799" t="s">
        <v>3797</v>
      </c>
      <c r="D112" s="799">
        <v>49945320</v>
      </c>
      <c r="E112" s="799" t="s">
        <v>4030</v>
      </c>
      <c r="F112" s="799">
        <v>143005747</v>
      </c>
      <c r="G112" s="799" t="s">
        <v>4216</v>
      </c>
      <c r="H112" s="1747" t="s">
        <v>4217</v>
      </c>
      <c r="I112" s="799" t="s">
        <v>6867</v>
      </c>
      <c r="J112" s="799">
        <v>1</v>
      </c>
      <c r="K112" s="1893">
        <v>21288.7</v>
      </c>
      <c r="L112" s="1893">
        <v>15613.36</v>
      </c>
      <c r="M112" s="1893">
        <v>5675.34</v>
      </c>
      <c r="N112" s="799" t="s">
        <v>4024</v>
      </c>
      <c r="O112" s="799" t="s">
        <v>95</v>
      </c>
    </row>
    <row r="113" spans="1:15" ht="10.5" customHeight="1">
      <c r="A113" s="799" t="s">
        <v>4028</v>
      </c>
      <c r="B113" s="799" t="s">
        <v>2340</v>
      </c>
      <c r="C113" s="799" t="s">
        <v>3797</v>
      </c>
      <c r="D113" s="799">
        <v>49945323</v>
      </c>
      <c r="E113" s="799" t="s">
        <v>4030</v>
      </c>
      <c r="F113" s="799">
        <v>143005761</v>
      </c>
      <c r="G113" s="799" t="s">
        <v>4218</v>
      </c>
      <c r="H113" s="1747" t="s">
        <v>4219</v>
      </c>
      <c r="I113" s="799" t="s">
        <v>6867</v>
      </c>
      <c r="J113" s="799">
        <v>1</v>
      </c>
      <c r="K113" s="1893">
        <v>51782.99</v>
      </c>
      <c r="L113" s="1893">
        <v>37978.19</v>
      </c>
      <c r="M113" s="1893">
        <v>13804.800000000001</v>
      </c>
      <c r="N113" s="799" t="s">
        <v>4024</v>
      </c>
      <c r="O113" s="799" t="s">
        <v>95</v>
      </c>
    </row>
    <row r="114" spans="1:15" ht="10.5" customHeight="1">
      <c r="A114" s="799" t="s">
        <v>4028</v>
      </c>
      <c r="B114" s="799" t="s">
        <v>2340</v>
      </c>
      <c r="C114" s="799" t="s">
        <v>3797</v>
      </c>
      <c r="D114" s="799">
        <v>49945326</v>
      </c>
      <c r="E114" s="799" t="s">
        <v>4030</v>
      </c>
      <c r="F114" s="799">
        <v>143005802</v>
      </c>
      <c r="G114" s="799" t="s">
        <v>4220</v>
      </c>
      <c r="H114" s="1747" t="s">
        <v>4221</v>
      </c>
      <c r="I114" s="799" t="s">
        <v>6867</v>
      </c>
      <c r="J114" s="799">
        <v>1</v>
      </c>
      <c r="K114" s="1893">
        <v>12580.6</v>
      </c>
      <c r="L114" s="1893">
        <v>9226.74</v>
      </c>
      <c r="M114" s="1893">
        <v>3353.86</v>
      </c>
      <c r="N114" s="799" t="s">
        <v>4024</v>
      </c>
      <c r="O114" s="799" t="s">
        <v>390</v>
      </c>
    </row>
    <row r="115" spans="1:15" ht="10.5" customHeight="1">
      <c r="A115" s="799" t="s">
        <v>4028</v>
      </c>
      <c r="B115" s="799" t="s">
        <v>2340</v>
      </c>
      <c r="C115" s="799" t="s">
        <v>3807</v>
      </c>
      <c r="D115" s="799">
        <v>50297700</v>
      </c>
      <c r="E115" s="799" t="s">
        <v>4034</v>
      </c>
      <c r="F115" s="799">
        <v>143002258</v>
      </c>
      <c r="G115" s="799" t="s">
        <v>4222</v>
      </c>
      <c r="H115" s="1747" t="s">
        <v>4222</v>
      </c>
      <c r="I115" s="799" t="s">
        <v>6867</v>
      </c>
      <c r="J115" s="799">
        <v>2</v>
      </c>
      <c r="K115" s="1893">
        <v>49483.76</v>
      </c>
      <c r="L115" s="1893">
        <v>13438.51</v>
      </c>
      <c r="M115" s="1893">
        <v>36045.25</v>
      </c>
      <c r="N115" s="799" t="s">
        <v>4022</v>
      </c>
      <c r="O115" s="799" t="s">
        <v>390</v>
      </c>
    </row>
    <row r="116" spans="1:15" ht="10.5" customHeight="1">
      <c r="A116" s="799" t="s">
        <v>4028</v>
      </c>
      <c r="B116" s="799" t="s">
        <v>2340</v>
      </c>
      <c r="C116" s="799" t="s">
        <v>3797</v>
      </c>
      <c r="D116" s="799">
        <v>50297733</v>
      </c>
      <c r="E116" s="799" t="s">
        <v>4034</v>
      </c>
      <c r="F116" s="799">
        <v>143005305</v>
      </c>
      <c r="G116" s="799" t="s">
        <v>4223</v>
      </c>
      <c r="H116" s="1747" t="s">
        <v>4224</v>
      </c>
      <c r="I116" s="799" t="s">
        <v>6867</v>
      </c>
      <c r="J116" s="799">
        <v>1</v>
      </c>
      <c r="K116" s="1893">
        <v>329</v>
      </c>
      <c r="L116" s="1893">
        <v>89.350000000000009</v>
      </c>
      <c r="M116" s="1893">
        <v>239.65</v>
      </c>
      <c r="N116" s="799" t="s">
        <v>4022</v>
      </c>
      <c r="O116" s="799" t="s">
        <v>390</v>
      </c>
    </row>
    <row r="117" spans="1:15" ht="10.5" customHeight="1">
      <c r="A117" s="799" t="s">
        <v>4028</v>
      </c>
      <c r="B117" s="799" t="s">
        <v>2340</v>
      </c>
      <c r="C117" s="799" t="s">
        <v>3860</v>
      </c>
      <c r="D117" s="799">
        <v>50479305</v>
      </c>
      <c r="E117" s="799" t="s">
        <v>4030</v>
      </c>
      <c r="F117" s="799">
        <v>143002783</v>
      </c>
      <c r="G117" s="799" t="s">
        <v>4225</v>
      </c>
      <c r="H117" s="1747" t="s">
        <v>4226</v>
      </c>
      <c r="I117" s="799" t="s">
        <v>6867</v>
      </c>
      <c r="J117" s="799">
        <v>1</v>
      </c>
      <c r="K117" s="1893">
        <v>11478.75</v>
      </c>
      <c r="L117" s="1893">
        <v>5425.93</v>
      </c>
      <c r="M117" s="1893">
        <v>6052.82</v>
      </c>
      <c r="N117" s="799" t="s">
        <v>4024</v>
      </c>
      <c r="O117" s="799" t="s">
        <v>390</v>
      </c>
    </row>
    <row r="118" spans="1:15" ht="10.5" customHeight="1">
      <c r="A118" s="799" t="s">
        <v>4028</v>
      </c>
      <c r="B118" s="799" t="s">
        <v>2340</v>
      </c>
      <c r="C118" s="799" t="s">
        <v>3797</v>
      </c>
      <c r="D118" s="799">
        <v>50479310</v>
      </c>
      <c r="E118" s="799" t="s">
        <v>4030</v>
      </c>
      <c r="F118" s="799">
        <v>143005189</v>
      </c>
      <c r="G118" s="799" t="s">
        <v>4227</v>
      </c>
      <c r="H118" s="1747" t="s">
        <v>4227</v>
      </c>
      <c r="I118" s="799" t="s">
        <v>6867</v>
      </c>
      <c r="J118" s="799">
        <v>1</v>
      </c>
      <c r="K118" s="1893">
        <v>4881452.78</v>
      </c>
      <c r="L118" s="1893">
        <v>2307428.66</v>
      </c>
      <c r="M118" s="1893">
        <v>2574024.12</v>
      </c>
      <c r="N118" s="799" t="s">
        <v>4024</v>
      </c>
      <c r="O118" s="799" t="s">
        <v>390</v>
      </c>
    </row>
    <row r="119" spans="1:15" ht="10.5" customHeight="1">
      <c r="A119" s="799" t="s">
        <v>4028</v>
      </c>
      <c r="B119" s="799" t="s">
        <v>2340</v>
      </c>
      <c r="C119" s="799" t="s">
        <v>3797</v>
      </c>
      <c r="D119" s="799">
        <v>50479315</v>
      </c>
      <c r="E119" s="799" t="s">
        <v>4030</v>
      </c>
      <c r="F119" s="799">
        <v>143005269</v>
      </c>
      <c r="G119" s="799" t="s">
        <v>4228</v>
      </c>
      <c r="H119" s="1747" t="s">
        <v>4229</v>
      </c>
      <c r="I119" s="799" t="s">
        <v>6867</v>
      </c>
      <c r="J119" s="799">
        <v>1</v>
      </c>
      <c r="K119" s="1893">
        <v>549246.1</v>
      </c>
      <c r="L119" s="1893">
        <v>259624.80000000002</v>
      </c>
      <c r="M119" s="1893">
        <v>289621.3</v>
      </c>
      <c r="N119" s="799" t="s">
        <v>4024</v>
      </c>
      <c r="O119" s="799" t="s">
        <v>95</v>
      </c>
    </row>
    <row r="120" spans="1:15" ht="10.5" customHeight="1">
      <c r="A120" s="799" t="s">
        <v>4028</v>
      </c>
      <c r="B120" s="799" t="s">
        <v>2340</v>
      </c>
      <c r="C120" s="799" t="s">
        <v>3797</v>
      </c>
      <c r="D120" s="799">
        <v>50479318</v>
      </c>
      <c r="E120" s="799" t="s">
        <v>4030</v>
      </c>
      <c r="F120" s="799">
        <v>143005270</v>
      </c>
      <c r="G120" s="799" t="s">
        <v>4230</v>
      </c>
      <c r="H120" s="1747" t="s">
        <v>4231</v>
      </c>
      <c r="I120" s="799" t="s">
        <v>6867</v>
      </c>
      <c r="J120" s="799">
        <v>1</v>
      </c>
      <c r="K120" s="1893">
        <v>388553.61</v>
      </c>
      <c r="L120" s="1893">
        <v>183666.58000000002</v>
      </c>
      <c r="M120" s="1893">
        <v>204887.03</v>
      </c>
      <c r="N120" s="799" t="s">
        <v>4024</v>
      </c>
      <c r="O120" s="799" t="s">
        <v>390</v>
      </c>
    </row>
    <row r="121" spans="1:15" ht="10.5" customHeight="1">
      <c r="A121" s="799" t="s">
        <v>4028</v>
      </c>
      <c r="B121" s="799" t="s">
        <v>2340</v>
      </c>
      <c r="C121" s="799" t="s">
        <v>3797</v>
      </c>
      <c r="D121" s="799">
        <v>50479325</v>
      </c>
      <c r="E121" s="799" t="s">
        <v>4030</v>
      </c>
      <c r="F121" s="799">
        <v>143005291</v>
      </c>
      <c r="G121" s="799" t="s">
        <v>4232</v>
      </c>
      <c r="H121" s="1747" t="s">
        <v>4232</v>
      </c>
      <c r="I121" s="799" t="s">
        <v>6867</v>
      </c>
      <c r="J121" s="799">
        <v>1</v>
      </c>
      <c r="K121" s="1893">
        <v>553912.44000000006</v>
      </c>
      <c r="L121" s="1893">
        <v>261830.54</v>
      </c>
      <c r="M121" s="1893">
        <v>292081.90000000002</v>
      </c>
      <c r="N121" s="799" t="s">
        <v>4024</v>
      </c>
      <c r="O121" s="799" t="s">
        <v>95</v>
      </c>
    </row>
    <row r="122" spans="1:15" ht="10.5" customHeight="1">
      <c r="A122" s="799" t="s">
        <v>4028</v>
      </c>
      <c r="B122" s="799" t="s">
        <v>2340</v>
      </c>
      <c r="C122" s="799" t="s">
        <v>3797</v>
      </c>
      <c r="D122" s="799">
        <v>50479346</v>
      </c>
      <c r="E122" s="799" t="s">
        <v>4030</v>
      </c>
      <c r="F122" s="799">
        <v>143005670</v>
      </c>
      <c r="G122" s="799" t="s">
        <v>4233</v>
      </c>
      <c r="H122" s="1747" t="s">
        <v>4234</v>
      </c>
      <c r="I122" s="799" t="s">
        <v>6867</v>
      </c>
      <c r="J122" s="799">
        <v>1</v>
      </c>
      <c r="K122" s="1893">
        <v>11587.67</v>
      </c>
      <c r="L122" s="1893">
        <v>5477.41</v>
      </c>
      <c r="M122" s="1893">
        <v>6110.26</v>
      </c>
      <c r="N122" s="799" t="s">
        <v>4024</v>
      </c>
      <c r="O122" s="799" t="s">
        <v>95</v>
      </c>
    </row>
    <row r="123" spans="1:15" ht="10.5" customHeight="1">
      <c r="A123" s="799" t="s">
        <v>4028</v>
      </c>
      <c r="B123" s="799" t="s">
        <v>2340</v>
      </c>
      <c r="C123" s="799" t="s">
        <v>3797</v>
      </c>
      <c r="D123" s="799">
        <v>50479351</v>
      </c>
      <c r="E123" s="799" t="s">
        <v>4030</v>
      </c>
      <c r="F123" s="799">
        <v>143005801</v>
      </c>
      <c r="G123" s="799" t="s">
        <v>4235</v>
      </c>
      <c r="H123" s="1747" t="s">
        <v>4236</v>
      </c>
      <c r="I123" s="799" t="s">
        <v>6867</v>
      </c>
      <c r="J123" s="799">
        <v>1</v>
      </c>
      <c r="K123" s="1893">
        <v>485529.99</v>
      </c>
      <c r="L123" s="1893">
        <v>229506.64</v>
      </c>
      <c r="M123" s="1893">
        <v>256023.35</v>
      </c>
      <c r="N123" s="799" t="s">
        <v>4024</v>
      </c>
      <c r="O123" s="799" t="s">
        <v>95</v>
      </c>
    </row>
    <row r="124" spans="1:15" ht="10.5" customHeight="1">
      <c r="A124" s="799" t="s">
        <v>4028</v>
      </c>
      <c r="B124" s="799" t="s">
        <v>2340</v>
      </c>
      <c r="C124" s="799" t="s">
        <v>3797</v>
      </c>
      <c r="D124" s="799">
        <v>51571611</v>
      </c>
      <c r="E124" s="799" t="s">
        <v>4030</v>
      </c>
      <c r="F124" s="799">
        <v>143005404</v>
      </c>
      <c r="G124" s="799" t="s">
        <v>4237</v>
      </c>
      <c r="H124" s="1747" t="s">
        <v>4237</v>
      </c>
      <c r="I124" s="799" t="s">
        <v>6867</v>
      </c>
      <c r="J124" s="799">
        <v>1</v>
      </c>
      <c r="K124" s="1893">
        <v>922815.68</v>
      </c>
      <c r="L124" s="1893">
        <v>436208.53</v>
      </c>
      <c r="M124" s="1893">
        <v>486607.15</v>
      </c>
      <c r="N124" s="799" t="s">
        <v>4024</v>
      </c>
      <c r="O124" s="799" t="s">
        <v>390</v>
      </c>
    </row>
    <row r="125" spans="1:15" ht="10.5" customHeight="1">
      <c r="A125" s="799" t="s">
        <v>4028</v>
      </c>
      <c r="B125" s="799" t="s">
        <v>2340</v>
      </c>
      <c r="C125" s="799" t="s">
        <v>3797</v>
      </c>
      <c r="D125" s="799">
        <v>51571616</v>
      </c>
      <c r="E125" s="799" t="s">
        <v>4030</v>
      </c>
      <c r="F125" s="799">
        <v>143005523</v>
      </c>
      <c r="G125" s="799" t="s">
        <v>4238</v>
      </c>
      <c r="H125" s="1747" t="s">
        <v>4239</v>
      </c>
      <c r="I125" s="799" t="s">
        <v>6867</v>
      </c>
      <c r="J125" s="799">
        <v>1</v>
      </c>
      <c r="K125" s="1893">
        <v>18617.560000000001</v>
      </c>
      <c r="L125" s="1893">
        <v>8800.39</v>
      </c>
      <c r="M125" s="1893">
        <v>9817.17</v>
      </c>
      <c r="N125" s="799" t="s">
        <v>4024</v>
      </c>
      <c r="O125" s="799" t="s">
        <v>109</v>
      </c>
    </row>
    <row r="126" spans="1:15" ht="10.5" customHeight="1">
      <c r="A126" s="799" t="s">
        <v>4028</v>
      </c>
      <c r="B126" s="799" t="s">
        <v>2340</v>
      </c>
      <c r="C126" s="799" t="s">
        <v>3797</v>
      </c>
      <c r="D126" s="799">
        <v>51571627</v>
      </c>
      <c r="E126" s="799" t="s">
        <v>4030</v>
      </c>
      <c r="F126" s="799">
        <v>143005634</v>
      </c>
      <c r="G126" s="799" t="s">
        <v>4240</v>
      </c>
      <c r="H126" s="1747" t="s">
        <v>4241</v>
      </c>
      <c r="I126" s="799" t="s">
        <v>6867</v>
      </c>
      <c r="J126" s="799">
        <v>1</v>
      </c>
      <c r="K126" s="1893">
        <v>10301.56</v>
      </c>
      <c r="L126" s="1893">
        <v>4869.4800000000005</v>
      </c>
      <c r="M126" s="1893">
        <v>5432.08</v>
      </c>
      <c r="N126" s="799" t="s">
        <v>4024</v>
      </c>
      <c r="O126" s="799" t="s">
        <v>109</v>
      </c>
    </row>
    <row r="127" spans="1:15" ht="10.5" customHeight="1">
      <c r="A127" s="799" t="s">
        <v>4028</v>
      </c>
      <c r="B127" s="799" t="s">
        <v>2340</v>
      </c>
      <c r="C127" s="799" t="s">
        <v>3797</v>
      </c>
      <c r="D127" s="799">
        <v>51571638</v>
      </c>
      <c r="E127" s="799" t="s">
        <v>4030</v>
      </c>
      <c r="F127" s="799">
        <v>143005860</v>
      </c>
      <c r="G127" s="799" t="s">
        <v>4242</v>
      </c>
      <c r="H127" s="1747" t="s">
        <v>4243</v>
      </c>
      <c r="I127" s="799" t="s">
        <v>6867</v>
      </c>
      <c r="J127" s="799">
        <v>1</v>
      </c>
      <c r="K127" s="1893">
        <v>55931.69</v>
      </c>
      <c r="L127" s="1893">
        <v>26438.52</v>
      </c>
      <c r="M127" s="1893">
        <v>29493.170000000002</v>
      </c>
      <c r="N127" s="799" t="s">
        <v>4024</v>
      </c>
      <c r="O127" s="799" t="s">
        <v>95</v>
      </c>
    </row>
    <row r="128" spans="1:15" ht="10.5" customHeight="1">
      <c r="A128" s="799" t="s">
        <v>4028</v>
      </c>
      <c r="B128" s="799" t="s">
        <v>2340</v>
      </c>
      <c r="C128" s="799" t="s">
        <v>3797</v>
      </c>
      <c r="D128" s="799">
        <v>51571641</v>
      </c>
      <c r="E128" s="799" t="s">
        <v>4030</v>
      </c>
      <c r="F128" s="799">
        <v>143005876</v>
      </c>
      <c r="G128" s="799" t="s">
        <v>4244</v>
      </c>
      <c r="H128" s="1747" t="s">
        <v>4245</v>
      </c>
      <c r="I128" s="799" t="s">
        <v>6867</v>
      </c>
      <c r="J128" s="799">
        <v>1</v>
      </c>
      <c r="K128" s="1893">
        <v>42337.71</v>
      </c>
      <c r="L128" s="1893">
        <v>20012.740000000002</v>
      </c>
      <c r="M128" s="1893">
        <v>22324.97</v>
      </c>
      <c r="N128" s="799" t="s">
        <v>4024</v>
      </c>
      <c r="O128" s="799" t="s">
        <v>95</v>
      </c>
    </row>
    <row r="129" spans="1:15" ht="10.5" customHeight="1">
      <c r="A129" s="799" t="s">
        <v>4028</v>
      </c>
      <c r="B129" s="799" t="s">
        <v>2340</v>
      </c>
      <c r="C129" s="799" t="s">
        <v>3797</v>
      </c>
      <c r="D129" s="799">
        <v>51571644</v>
      </c>
      <c r="E129" s="799" t="s">
        <v>4030</v>
      </c>
      <c r="F129" s="799">
        <v>143005944</v>
      </c>
      <c r="G129" s="799" t="s">
        <v>4246</v>
      </c>
      <c r="H129" s="1747" t="s">
        <v>4246</v>
      </c>
      <c r="I129" s="799" t="s">
        <v>6867</v>
      </c>
      <c r="J129" s="799">
        <v>1</v>
      </c>
      <c r="K129" s="1893">
        <v>39192.239999999998</v>
      </c>
      <c r="L129" s="1893">
        <v>18525.900000000001</v>
      </c>
      <c r="M129" s="1893">
        <v>20666.34</v>
      </c>
      <c r="N129" s="799" t="s">
        <v>4024</v>
      </c>
      <c r="O129" s="799" t="s">
        <v>392</v>
      </c>
    </row>
    <row r="130" spans="1:15" ht="10.5" customHeight="1">
      <c r="A130" s="799" t="s">
        <v>4028</v>
      </c>
      <c r="B130" s="799" t="s">
        <v>2340</v>
      </c>
      <c r="C130" s="799" t="s">
        <v>3797</v>
      </c>
      <c r="D130" s="799">
        <v>52052028</v>
      </c>
      <c r="E130" s="799" t="s">
        <v>4030</v>
      </c>
      <c r="F130" s="799">
        <v>143005190</v>
      </c>
      <c r="G130" s="799" t="s">
        <v>4247</v>
      </c>
      <c r="H130" s="1747" t="s">
        <v>4248</v>
      </c>
      <c r="I130" s="799" t="s">
        <v>6867</v>
      </c>
      <c r="J130" s="799">
        <v>1</v>
      </c>
      <c r="K130" s="1893">
        <v>1446250.07</v>
      </c>
      <c r="L130" s="1893">
        <v>683632.31</v>
      </c>
      <c r="M130" s="1893">
        <v>762617.76</v>
      </c>
      <c r="N130" s="799" t="s">
        <v>4024</v>
      </c>
      <c r="O130" s="799" t="s">
        <v>392</v>
      </c>
    </row>
    <row r="131" spans="1:15" ht="10.5" customHeight="1">
      <c r="A131" s="799" t="s">
        <v>4028</v>
      </c>
      <c r="B131" s="799" t="s">
        <v>2340</v>
      </c>
      <c r="C131" s="799" t="s">
        <v>3797</v>
      </c>
      <c r="D131" s="799">
        <v>52052031</v>
      </c>
      <c r="E131" s="799" t="s">
        <v>4030</v>
      </c>
      <c r="F131" s="799">
        <v>143005194</v>
      </c>
      <c r="G131" s="799" t="s">
        <v>4249</v>
      </c>
      <c r="H131" s="1747" t="s">
        <v>4249</v>
      </c>
      <c r="I131" s="799" t="s">
        <v>6867</v>
      </c>
      <c r="J131" s="799">
        <v>1</v>
      </c>
      <c r="K131" s="1893">
        <v>2351780.37</v>
      </c>
      <c r="L131" s="1893">
        <v>1111670.17</v>
      </c>
      <c r="M131" s="1893">
        <v>1240110.2</v>
      </c>
      <c r="N131" s="799" t="s">
        <v>4024</v>
      </c>
      <c r="O131" s="799" t="s">
        <v>95</v>
      </c>
    </row>
    <row r="132" spans="1:15" ht="10.5" customHeight="1">
      <c r="A132" s="799" t="s">
        <v>4028</v>
      </c>
      <c r="B132" s="799" t="s">
        <v>2340</v>
      </c>
      <c r="C132" s="799" t="s">
        <v>3797</v>
      </c>
      <c r="D132" s="799">
        <v>52052295</v>
      </c>
      <c r="E132" s="799" t="s">
        <v>4030</v>
      </c>
      <c r="F132" s="799">
        <v>143005877</v>
      </c>
      <c r="G132" s="799" t="s">
        <v>4250</v>
      </c>
      <c r="H132" s="1747" t="s">
        <v>4251</v>
      </c>
      <c r="I132" s="799" t="s">
        <v>6867</v>
      </c>
      <c r="J132" s="799">
        <v>1</v>
      </c>
      <c r="K132" s="1893">
        <v>36703.79</v>
      </c>
      <c r="L132" s="1893">
        <v>17349.63</v>
      </c>
      <c r="M132" s="1893">
        <v>19354.16</v>
      </c>
      <c r="N132" s="799" t="s">
        <v>4024</v>
      </c>
      <c r="O132" s="799" t="s">
        <v>95</v>
      </c>
    </row>
    <row r="133" spans="1:15" ht="10.5" customHeight="1">
      <c r="A133" s="799" t="s">
        <v>4028</v>
      </c>
      <c r="B133" s="799" t="s">
        <v>2340</v>
      </c>
      <c r="C133" s="799" t="s">
        <v>3797</v>
      </c>
      <c r="D133" s="799">
        <v>52052310</v>
      </c>
      <c r="E133" s="799" t="s">
        <v>4030</v>
      </c>
      <c r="F133" s="799">
        <v>143005948</v>
      </c>
      <c r="G133" s="799" t="s">
        <v>4252</v>
      </c>
      <c r="H133" s="1747" t="s">
        <v>4253</v>
      </c>
      <c r="I133" s="799" t="s">
        <v>6867</v>
      </c>
      <c r="J133" s="799">
        <v>1</v>
      </c>
      <c r="K133" s="1893">
        <v>13234.07</v>
      </c>
      <c r="L133" s="1893">
        <v>6255.6500000000005</v>
      </c>
      <c r="M133" s="1893">
        <v>6978.42</v>
      </c>
      <c r="N133" s="799" t="s">
        <v>4024</v>
      </c>
      <c r="O133" s="799" t="s">
        <v>99</v>
      </c>
    </row>
    <row r="134" spans="1:15" ht="10.5" customHeight="1">
      <c r="A134" s="799" t="s">
        <v>4028</v>
      </c>
      <c r="B134" s="799" t="s">
        <v>2340</v>
      </c>
      <c r="C134" s="799" t="s">
        <v>3797</v>
      </c>
      <c r="D134" s="799">
        <v>52052313</v>
      </c>
      <c r="E134" s="799" t="s">
        <v>4030</v>
      </c>
      <c r="F134" s="799">
        <v>143005968</v>
      </c>
      <c r="G134" s="799" t="s">
        <v>4254</v>
      </c>
      <c r="H134" s="1747" t="s">
        <v>4255</v>
      </c>
      <c r="I134" s="799" t="s">
        <v>6867</v>
      </c>
      <c r="J134" s="799">
        <v>1</v>
      </c>
      <c r="K134" s="1893">
        <v>14097.630000000001</v>
      </c>
      <c r="L134" s="1893">
        <v>6663.85</v>
      </c>
      <c r="M134" s="1893">
        <v>7433.78</v>
      </c>
      <c r="N134" s="799" t="s">
        <v>4024</v>
      </c>
      <c r="O134" s="799" t="s">
        <v>390</v>
      </c>
    </row>
    <row r="135" spans="1:15" ht="10.5" customHeight="1">
      <c r="A135" s="799" t="s">
        <v>4028</v>
      </c>
      <c r="B135" s="799" t="s">
        <v>2340</v>
      </c>
      <c r="C135" s="799" t="s">
        <v>4256</v>
      </c>
      <c r="D135" s="799">
        <v>52234740</v>
      </c>
      <c r="E135" s="799" t="s">
        <v>4034</v>
      </c>
      <c r="F135" s="799">
        <v>143002262</v>
      </c>
      <c r="G135" s="799" t="s">
        <v>4257</v>
      </c>
      <c r="H135" s="1747" t="s">
        <v>4257</v>
      </c>
      <c r="I135" s="799" t="s">
        <v>6867</v>
      </c>
      <c r="J135" s="799">
        <v>0</v>
      </c>
      <c r="K135" s="1893">
        <v>204249.45</v>
      </c>
      <c r="L135" s="1893">
        <v>101273.73</v>
      </c>
      <c r="M135" s="1893">
        <v>102975.72</v>
      </c>
      <c r="N135" s="799" t="s">
        <v>4022</v>
      </c>
      <c r="O135" s="799" t="s">
        <v>390</v>
      </c>
    </row>
    <row r="136" spans="1:15" ht="10.5" customHeight="1">
      <c r="A136" s="799" t="s">
        <v>4028</v>
      </c>
      <c r="B136" s="799" t="s">
        <v>2340</v>
      </c>
      <c r="C136" s="799" t="s">
        <v>3797</v>
      </c>
      <c r="D136" s="799">
        <v>52521368</v>
      </c>
      <c r="E136" s="799" t="s">
        <v>4030</v>
      </c>
      <c r="F136" s="799">
        <v>143005780</v>
      </c>
      <c r="G136" s="799" t="s">
        <v>4258</v>
      </c>
      <c r="H136" s="1747" t="s">
        <v>4259</v>
      </c>
      <c r="I136" s="799" t="s">
        <v>6867</v>
      </c>
      <c r="J136" s="799">
        <v>1</v>
      </c>
      <c r="K136" s="1893">
        <v>33056.300000000003</v>
      </c>
      <c r="L136" s="1893">
        <v>15625.48</v>
      </c>
      <c r="M136" s="1893">
        <v>17430.82</v>
      </c>
      <c r="N136" s="799" t="s">
        <v>4024</v>
      </c>
      <c r="O136" s="799" t="s">
        <v>95</v>
      </c>
    </row>
    <row r="137" spans="1:15" ht="10.5" customHeight="1">
      <c r="A137" s="799" t="s">
        <v>4028</v>
      </c>
      <c r="B137" s="799" t="s">
        <v>2340</v>
      </c>
      <c r="C137" s="799" t="s">
        <v>3797</v>
      </c>
      <c r="D137" s="799">
        <v>52521373</v>
      </c>
      <c r="E137" s="799" t="s">
        <v>4030</v>
      </c>
      <c r="F137" s="799">
        <v>143006062</v>
      </c>
      <c r="G137" s="799" t="s">
        <v>4260</v>
      </c>
      <c r="H137" s="1747" t="s">
        <v>4261</v>
      </c>
      <c r="I137" s="799" t="s">
        <v>6867</v>
      </c>
      <c r="J137" s="799">
        <v>1</v>
      </c>
      <c r="K137" s="1893">
        <v>59672.79</v>
      </c>
      <c r="L137" s="1893">
        <v>28206.91</v>
      </c>
      <c r="M137" s="1893">
        <v>31465.88</v>
      </c>
      <c r="N137" s="799" t="s">
        <v>4024</v>
      </c>
      <c r="O137" s="799" t="s">
        <v>95</v>
      </c>
    </row>
    <row r="138" spans="1:15" ht="10.5" customHeight="1">
      <c r="A138" s="799" t="s">
        <v>4028</v>
      </c>
      <c r="B138" s="799" t="s">
        <v>2340</v>
      </c>
      <c r="C138" s="799" t="s">
        <v>3797</v>
      </c>
      <c r="D138" s="799">
        <v>53009593</v>
      </c>
      <c r="E138" s="799" t="s">
        <v>4030</v>
      </c>
      <c r="F138" s="799">
        <v>143005225</v>
      </c>
      <c r="G138" s="799" t="s">
        <v>4262</v>
      </c>
      <c r="H138" s="1747" t="s">
        <v>4263</v>
      </c>
      <c r="I138" s="799" t="s">
        <v>6867</v>
      </c>
      <c r="J138" s="799">
        <v>1</v>
      </c>
      <c r="K138" s="1893">
        <v>936102.49</v>
      </c>
      <c r="L138" s="1893">
        <v>442489.11</v>
      </c>
      <c r="M138" s="1893">
        <v>493613.38</v>
      </c>
      <c r="N138" s="799" t="s">
        <v>4024</v>
      </c>
      <c r="O138" s="799" t="s">
        <v>95</v>
      </c>
    </row>
    <row r="139" spans="1:15" ht="10.5" customHeight="1">
      <c r="A139" s="799" t="s">
        <v>4028</v>
      </c>
      <c r="B139" s="799" t="s">
        <v>2340</v>
      </c>
      <c r="C139" s="799" t="s">
        <v>3797</v>
      </c>
      <c r="D139" s="799">
        <v>53018713</v>
      </c>
      <c r="E139" s="799" t="s">
        <v>4030</v>
      </c>
      <c r="F139" s="799">
        <v>143005529</v>
      </c>
      <c r="G139" s="799" t="s">
        <v>4264</v>
      </c>
      <c r="H139" s="1747" t="s">
        <v>4264</v>
      </c>
      <c r="I139" s="799" t="s">
        <v>6867</v>
      </c>
      <c r="J139" s="799">
        <v>1</v>
      </c>
      <c r="K139" s="1893">
        <v>509189.33</v>
      </c>
      <c r="L139" s="1893">
        <v>240690.24</v>
      </c>
      <c r="M139" s="1893">
        <v>268499.09000000003</v>
      </c>
      <c r="N139" s="799" t="s">
        <v>4024</v>
      </c>
      <c r="O139" s="799" t="s">
        <v>390</v>
      </c>
    </row>
    <row r="140" spans="1:15" ht="10.5" customHeight="1">
      <c r="A140" s="799" t="s">
        <v>4028</v>
      </c>
      <c r="B140" s="799" t="s">
        <v>2340</v>
      </c>
      <c r="C140" s="799" t="s">
        <v>3797</v>
      </c>
      <c r="D140" s="799">
        <v>53506956</v>
      </c>
      <c r="E140" s="799" t="s">
        <v>4030</v>
      </c>
      <c r="F140" s="799">
        <v>143005295</v>
      </c>
      <c r="G140" s="799" t="s">
        <v>4265</v>
      </c>
      <c r="H140" s="1747" t="s">
        <v>4266</v>
      </c>
      <c r="I140" s="799" t="s">
        <v>6867</v>
      </c>
      <c r="J140" s="799">
        <v>1</v>
      </c>
      <c r="K140" s="1893">
        <v>2510327.2599999998</v>
      </c>
      <c r="L140" s="1893">
        <v>1186614.17</v>
      </c>
      <c r="M140" s="1893">
        <v>1323713.0900000001</v>
      </c>
      <c r="N140" s="799" t="s">
        <v>4024</v>
      </c>
      <c r="O140" s="799" t="s">
        <v>390</v>
      </c>
    </row>
    <row r="141" spans="1:15" ht="10.5" customHeight="1">
      <c r="A141" s="799" t="s">
        <v>4028</v>
      </c>
      <c r="B141" s="799" t="s">
        <v>2340</v>
      </c>
      <c r="C141" s="799" t="s">
        <v>3797</v>
      </c>
      <c r="D141" s="799">
        <v>53506963</v>
      </c>
      <c r="E141" s="799" t="s">
        <v>4030</v>
      </c>
      <c r="F141" s="799">
        <v>143005536</v>
      </c>
      <c r="G141" s="799" t="s">
        <v>4267</v>
      </c>
      <c r="H141" s="1747" t="s">
        <v>4268</v>
      </c>
      <c r="I141" s="799" t="s">
        <v>6867</v>
      </c>
      <c r="J141" s="799">
        <v>1</v>
      </c>
      <c r="K141" s="1893">
        <v>761551.05</v>
      </c>
      <c r="L141" s="1893">
        <v>359979.87</v>
      </c>
      <c r="M141" s="1893">
        <v>401571.18</v>
      </c>
      <c r="N141" s="799" t="s">
        <v>4024</v>
      </c>
      <c r="O141" s="799" t="s">
        <v>109</v>
      </c>
    </row>
    <row r="142" spans="1:15" ht="10.5" customHeight="1">
      <c r="A142" s="799" t="s">
        <v>4028</v>
      </c>
      <c r="B142" s="799" t="s">
        <v>2340</v>
      </c>
      <c r="C142" s="799" t="s">
        <v>3797</v>
      </c>
      <c r="D142" s="799">
        <v>53506974</v>
      </c>
      <c r="E142" s="799" t="s">
        <v>4030</v>
      </c>
      <c r="F142" s="799">
        <v>143005950</v>
      </c>
      <c r="G142" s="799" t="s">
        <v>4269</v>
      </c>
      <c r="H142" s="1747" t="s">
        <v>4270</v>
      </c>
      <c r="I142" s="799" t="s">
        <v>6867</v>
      </c>
      <c r="J142" s="799">
        <v>1</v>
      </c>
      <c r="K142" s="1893">
        <v>41725.550000000003</v>
      </c>
      <c r="L142" s="1893">
        <v>19723.38</v>
      </c>
      <c r="M142" s="1893">
        <v>22002.170000000002</v>
      </c>
      <c r="N142" s="799" t="s">
        <v>4024</v>
      </c>
      <c r="O142" s="799" t="s">
        <v>392</v>
      </c>
    </row>
    <row r="143" spans="1:15" ht="10.5" customHeight="1">
      <c r="A143" s="799" t="s">
        <v>4028</v>
      </c>
      <c r="B143" s="799" t="s">
        <v>2340</v>
      </c>
      <c r="C143" s="799" t="s">
        <v>3797</v>
      </c>
      <c r="D143" s="799">
        <v>53506977</v>
      </c>
      <c r="E143" s="799" t="s">
        <v>4030</v>
      </c>
      <c r="F143" s="799">
        <v>143005953</v>
      </c>
      <c r="G143" s="799" t="s">
        <v>4271</v>
      </c>
      <c r="H143" s="1747" t="s">
        <v>4272</v>
      </c>
      <c r="I143" s="799" t="s">
        <v>6867</v>
      </c>
      <c r="J143" s="799">
        <v>1</v>
      </c>
      <c r="K143" s="1893">
        <v>50246.57</v>
      </c>
      <c r="L143" s="1893">
        <v>23751.200000000001</v>
      </c>
      <c r="M143" s="1893">
        <v>26495.37</v>
      </c>
      <c r="N143" s="799" t="s">
        <v>4024</v>
      </c>
      <c r="O143" s="799" t="s">
        <v>95</v>
      </c>
    </row>
    <row r="144" spans="1:15" ht="10.5" customHeight="1">
      <c r="A144" s="799" t="s">
        <v>4028</v>
      </c>
      <c r="B144" s="799" t="s">
        <v>2340</v>
      </c>
      <c r="C144" s="799" t="s">
        <v>3797</v>
      </c>
      <c r="D144" s="799">
        <v>53506980</v>
      </c>
      <c r="E144" s="799" t="s">
        <v>4030</v>
      </c>
      <c r="F144" s="799">
        <v>143005971</v>
      </c>
      <c r="G144" s="799" t="s">
        <v>4273</v>
      </c>
      <c r="H144" s="1747" t="s">
        <v>4274</v>
      </c>
      <c r="I144" s="799" t="s">
        <v>6867</v>
      </c>
      <c r="J144" s="799">
        <v>1</v>
      </c>
      <c r="K144" s="1893">
        <v>14094.2</v>
      </c>
      <c r="L144" s="1893">
        <v>6662.2300000000005</v>
      </c>
      <c r="M144" s="1893">
        <v>7431.97</v>
      </c>
      <c r="N144" s="799" t="s">
        <v>4024</v>
      </c>
      <c r="O144" s="799" t="s">
        <v>390</v>
      </c>
    </row>
    <row r="145" spans="1:15" ht="10.5" customHeight="1">
      <c r="A145" s="799" t="s">
        <v>4028</v>
      </c>
      <c r="B145" s="799" t="s">
        <v>2340</v>
      </c>
      <c r="C145" s="799" t="s">
        <v>3797</v>
      </c>
      <c r="D145" s="799">
        <v>53506983</v>
      </c>
      <c r="E145" s="799" t="s">
        <v>4030</v>
      </c>
      <c r="F145" s="799">
        <v>143005980</v>
      </c>
      <c r="G145" s="799" t="s">
        <v>4275</v>
      </c>
      <c r="H145" s="1747" t="s">
        <v>4276</v>
      </c>
      <c r="I145" s="799" t="s">
        <v>6867</v>
      </c>
      <c r="J145" s="799">
        <v>1</v>
      </c>
      <c r="K145" s="1893">
        <v>83184.350000000006</v>
      </c>
      <c r="L145" s="1893">
        <v>39320.660000000003</v>
      </c>
      <c r="M145" s="1893">
        <v>43863.69</v>
      </c>
      <c r="N145" s="799" t="s">
        <v>4024</v>
      </c>
      <c r="O145" s="799" t="s">
        <v>95</v>
      </c>
    </row>
    <row r="146" spans="1:15" ht="10.5" customHeight="1">
      <c r="A146" s="799" t="s">
        <v>4028</v>
      </c>
      <c r="B146" s="799" t="s">
        <v>2340</v>
      </c>
      <c r="C146" s="799" t="s">
        <v>3797</v>
      </c>
      <c r="D146" s="799">
        <v>53506986</v>
      </c>
      <c r="E146" s="799" t="s">
        <v>4030</v>
      </c>
      <c r="F146" s="799">
        <v>143006007</v>
      </c>
      <c r="G146" s="799" t="s">
        <v>4277</v>
      </c>
      <c r="H146" s="1747" t="s">
        <v>4278</v>
      </c>
      <c r="I146" s="799" t="s">
        <v>6867</v>
      </c>
      <c r="J146" s="799">
        <v>1</v>
      </c>
      <c r="K146" s="1893">
        <v>10035.700000000001</v>
      </c>
      <c r="L146" s="1893">
        <v>4743.8100000000004</v>
      </c>
      <c r="M146" s="1893">
        <v>5291.89</v>
      </c>
      <c r="N146" s="799" t="s">
        <v>4024</v>
      </c>
      <c r="O146" s="799" t="s">
        <v>95</v>
      </c>
    </row>
    <row r="147" spans="1:15" ht="10.5" customHeight="1">
      <c r="A147" s="799" t="s">
        <v>4028</v>
      </c>
      <c r="B147" s="799" t="s">
        <v>2340</v>
      </c>
      <c r="C147" s="799" t="s">
        <v>3797</v>
      </c>
      <c r="D147" s="799">
        <v>53506989</v>
      </c>
      <c r="E147" s="799" t="s">
        <v>4030</v>
      </c>
      <c r="F147" s="799">
        <v>143006013</v>
      </c>
      <c r="G147" s="799" t="s">
        <v>4279</v>
      </c>
      <c r="H147" s="1747" t="s">
        <v>4279</v>
      </c>
      <c r="I147" s="799" t="s">
        <v>6867</v>
      </c>
      <c r="J147" s="799">
        <v>1</v>
      </c>
      <c r="K147" s="1893">
        <v>38466.090000000004</v>
      </c>
      <c r="L147" s="1893">
        <v>18182.650000000001</v>
      </c>
      <c r="M147" s="1893">
        <v>20283.439999999999</v>
      </c>
      <c r="N147" s="799" t="s">
        <v>4024</v>
      </c>
      <c r="O147" s="799" t="s">
        <v>99</v>
      </c>
    </row>
    <row r="148" spans="1:15" ht="10.5" customHeight="1">
      <c r="A148" s="799" t="s">
        <v>4028</v>
      </c>
      <c r="B148" s="799" t="s">
        <v>2340</v>
      </c>
      <c r="C148" s="799" t="s">
        <v>3797</v>
      </c>
      <c r="D148" s="799">
        <v>53506992</v>
      </c>
      <c r="E148" s="799" t="s">
        <v>4030</v>
      </c>
      <c r="F148" s="799">
        <v>143006015</v>
      </c>
      <c r="G148" s="799" t="s">
        <v>4280</v>
      </c>
      <c r="H148" s="1747" t="s">
        <v>4281</v>
      </c>
      <c r="I148" s="799" t="s">
        <v>6867</v>
      </c>
      <c r="J148" s="799">
        <v>1</v>
      </c>
      <c r="K148" s="1893">
        <v>20970.78</v>
      </c>
      <c r="L148" s="1893">
        <v>9912.74</v>
      </c>
      <c r="M148" s="1893">
        <v>11058.04</v>
      </c>
      <c r="N148" s="799" t="s">
        <v>4024</v>
      </c>
      <c r="O148" s="799" t="s">
        <v>95</v>
      </c>
    </row>
    <row r="149" spans="1:15" ht="10.5" customHeight="1">
      <c r="A149" s="799" t="s">
        <v>4028</v>
      </c>
      <c r="B149" s="799" t="s">
        <v>2340</v>
      </c>
      <c r="C149" s="799" t="s">
        <v>3797</v>
      </c>
      <c r="D149" s="799">
        <v>53506998</v>
      </c>
      <c r="E149" s="799" t="s">
        <v>4030</v>
      </c>
      <c r="F149" s="799">
        <v>143006085</v>
      </c>
      <c r="G149" s="799" t="s">
        <v>4282</v>
      </c>
      <c r="H149" s="1747" t="s">
        <v>4282</v>
      </c>
      <c r="I149" s="799" t="s">
        <v>6867</v>
      </c>
      <c r="J149" s="799">
        <v>1</v>
      </c>
      <c r="K149" s="1893">
        <v>39474.700000000004</v>
      </c>
      <c r="L149" s="1893">
        <v>18659.420000000002</v>
      </c>
      <c r="M149" s="1893">
        <v>20815.28</v>
      </c>
      <c r="N149" s="799" t="s">
        <v>4024</v>
      </c>
      <c r="O149" s="799" t="s">
        <v>99</v>
      </c>
    </row>
    <row r="150" spans="1:15" ht="10.5" customHeight="1">
      <c r="A150" s="799" t="s">
        <v>4028</v>
      </c>
      <c r="B150" s="799" t="s">
        <v>2340</v>
      </c>
      <c r="C150" s="799" t="s">
        <v>3797</v>
      </c>
      <c r="D150" s="799">
        <v>56506072</v>
      </c>
      <c r="E150" s="799" t="s">
        <v>4030</v>
      </c>
      <c r="F150" s="799">
        <v>143006141</v>
      </c>
      <c r="G150" s="799" t="s">
        <v>4283</v>
      </c>
      <c r="H150" s="1747" t="s">
        <v>4284</v>
      </c>
      <c r="I150" s="799" t="s">
        <v>6867</v>
      </c>
      <c r="J150" s="799">
        <v>1</v>
      </c>
      <c r="K150" s="1893">
        <v>175631.94</v>
      </c>
      <c r="L150" s="1893">
        <v>83019.990000000005</v>
      </c>
      <c r="M150" s="1893">
        <v>92611.95</v>
      </c>
      <c r="N150" s="799" t="s">
        <v>4024</v>
      </c>
      <c r="O150" s="799" t="s">
        <v>95</v>
      </c>
    </row>
    <row r="151" spans="1:15" ht="10.5" customHeight="1">
      <c r="A151" s="799" t="s">
        <v>4028</v>
      </c>
      <c r="B151" s="799" t="s">
        <v>2340</v>
      </c>
      <c r="C151" s="799" t="s">
        <v>3797</v>
      </c>
      <c r="D151" s="799">
        <v>56540299</v>
      </c>
      <c r="E151" s="799" t="s">
        <v>4030</v>
      </c>
      <c r="F151" s="799">
        <v>143005880</v>
      </c>
      <c r="G151" s="799" t="s">
        <v>4285</v>
      </c>
      <c r="H151" s="1747" t="s">
        <v>4286</v>
      </c>
      <c r="I151" s="799" t="s">
        <v>6867</v>
      </c>
      <c r="J151" s="799">
        <v>1</v>
      </c>
      <c r="K151" s="1893">
        <v>706713.86</v>
      </c>
      <c r="L151" s="1893">
        <v>334058.71000000002</v>
      </c>
      <c r="M151" s="1893">
        <v>372655.15</v>
      </c>
      <c r="N151" s="799" t="s">
        <v>4024</v>
      </c>
      <c r="O151" s="799" t="s">
        <v>392</v>
      </c>
    </row>
    <row r="152" spans="1:15" ht="10.5" customHeight="1">
      <c r="A152" s="799" t="s">
        <v>4028</v>
      </c>
      <c r="B152" s="799" t="s">
        <v>2340</v>
      </c>
      <c r="C152" s="799" t="s">
        <v>3797</v>
      </c>
      <c r="D152" s="799">
        <v>56540304</v>
      </c>
      <c r="E152" s="799" t="s">
        <v>4030</v>
      </c>
      <c r="F152" s="799">
        <v>143005903</v>
      </c>
      <c r="G152" s="799" t="s">
        <v>4287</v>
      </c>
      <c r="H152" s="1747" t="s">
        <v>4287</v>
      </c>
      <c r="I152" s="799" t="s">
        <v>6867</v>
      </c>
      <c r="J152" s="799">
        <v>1</v>
      </c>
      <c r="K152" s="1893">
        <v>549846.94000000006</v>
      </c>
      <c r="L152" s="1893">
        <v>259908.81</v>
      </c>
      <c r="M152" s="1893">
        <v>289938.13</v>
      </c>
      <c r="N152" s="799" t="s">
        <v>4024</v>
      </c>
      <c r="O152" s="799" t="s">
        <v>95</v>
      </c>
    </row>
    <row r="153" spans="1:15" ht="10.5" customHeight="1">
      <c r="A153" s="799" t="s">
        <v>4028</v>
      </c>
      <c r="B153" s="799" t="s">
        <v>2340</v>
      </c>
      <c r="C153" s="799" t="s">
        <v>3797</v>
      </c>
      <c r="D153" s="799">
        <v>56540309</v>
      </c>
      <c r="E153" s="799" t="s">
        <v>4030</v>
      </c>
      <c r="F153" s="799">
        <v>143005917</v>
      </c>
      <c r="G153" s="799" t="s">
        <v>4288</v>
      </c>
      <c r="H153" s="1747" t="s">
        <v>4289</v>
      </c>
      <c r="I153" s="799" t="s">
        <v>6867</v>
      </c>
      <c r="J153" s="799">
        <v>1</v>
      </c>
      <c r="K153" s="1893">
        <v>1929046.26</v>
      </c>
      <c r="L153" s="1893">
        <v>911846.70000000007</v>
      </c>
      <c r="M153" s="1893">
        <v>1017199.56</v>
      </c>
      <c r="N153" s="799" t="s">
        <v>4024</v>
      </c>
      <c r="O153" s="799" t="s">
        <v>95</v>
      </c>
    </row>
    <row r="154" spans="1:15" ht="10.5" customHeight="1">
      <c r="A154" s="799" t="s">
        <v>4028</v>
      </c>
      <c r="B154" s="799" t="s">
        <v>2340</v>
      </c>
      <c r="C154" s="799" t="s">
        <v>3797</v>
      </c>
      <c r="D154" s="799">
        <v>56540314</v>
      </c>
      <c r="E154" s="799" t="s">
        <v>4030</v>
      </c>
      <c r="F154" s="799">
        <v>143005970</v>
      </c>
      <c r="G154" s="799" t="s">
        <v>4290</v>
      </c>
      <c r="H154" s="1747" t="s">
        <v>4291</v>
      </c>
      <c r="I154" s="799" t="s">
        <v>6867</v>
      </c>
      <c r="J154" s="799">
        <v>1</v>
      </c>
      <c r="K154" s="1893">
        <v>60922.8</v>
      </c>
      <c r="L154" s="1893">
        <v>28797.78</v>
      </c>
      <c r="M154" s="1893">
        <v>32125.02</v>
      </c>
      <c r="N154" s="799" t="s">
        <v>4024</v>
      </c>
      <c r="O154" s="799" t="s">
        <v>95</v>
      </c>
    </row>
    <row r="155" spans="1:15" ht="10.5" customHeight="1">
      <c r="A155" s="799" t="s">
        <v>4028</v>
      </c>
      <c r="B155" s="799" t="s">
        <v>2340</v>
      </c>
      <c r="C155" s="799" t="s">
        <v>3797</v>
      </c>
      <c r="D155" s="799">
        <v>56540319</v>
      </c>
      <c r="E155" s="799" t="s">
        <v>4030</v>
      </c>
      <c r="F155" s="799">
        <v>143005983</v>
      </c>
      <c r="G155" s="799" t="s">
        <v>4292</v>
      </c>
      <c r="H155" s="1747" t="s">
        <v>4293</v>
      </c>
      <c r="I155" s="799" t="s">
        <v>6867</v>
      </c>
      <c r="J155" s="799">
        <v>1</v>
      </c>
      <c r="K155" s="1893">
        <v>13732.61</v>
      </c>
      <c r="L155" s="1893">
        <v>6491.31</v>
      </c>
      <c r="M155" s="1893">
        <v>7241.3</v>
      </c>
      <c r="N155" s="799" t="s">
        <v>4024</v>
      </c>
      <c r="O155" s="799" t="s">
        <v>95</v>
      </c>
    </row>
    <row r="156" spans="1:15" ht="10.5" customHeight="1">
      <c r="A156" s="799" t="s">
        <v>4028</v>
      </c>
      <c r="B156" s="799" t="s">
        <v>2340</v>
      </c>
      <c r="C156" s="799" t="s">
        <v>3797</v>
      </c>
      <c r="D156" s="799">
        <v>56540330</v>
      </c>
      <c r="E156" s="799" t="s">
        <v>4030</v>
      </c>
      <c r="F156" s="799">
        <v>143006061</v>
      </c>
      <c r="G156" s="799" t="s">
        <v>4294</v>
      </c>
      <c r="H156" s="1747" t="s">
        <v>4295</v>
      </c>
      <c r="I156" s="799" t="s">
        <v>6867</v>
      </c>
      <c r="J156" s="799">
        <v>1</v>
      </c>
      <c r="K156" s="1893">
        <v>22638.18</v>
      </c>
      <c r="L156" s="1893">
        <v>10700.91</v>
      </c>
      <c r="M156" s="1893">
        <v>11937.27</v>
      </c>
      <c r="N156" s="799" t="s">
        <v>4024</v>
      </c>
      <c r="O156" s="799" t="s">
        <v>95</v>
      </c>
    </row>
    <row r="157" spans="1:15" ht="10.5" customHeight="1">
      <c r="A157" s="799" t="s">
        <v>4028</v>
      </c>
      <c r="B157" s="799" t="s">
        <v>2340</v>
      </c>
      <c r="C157" s="799" t="s">
        <v>3797</v>
      </c>
      <c r="D157" s="799">
        <v>56540335</v>
      </c>
      <c r="E157" s="799" t="s">
        <v>4030</v>
      </c>
      <c r="F157" s="799">
        <v>143006082</v>
      </c>
      <c r="G157" s="799" t="s">
        <v>4296</v>
      </c>
      <c r="H157" s="1747" t="s">
        <v>4297</v>
      </c>
      <c r="I157" s="799" t="s">
        <v>6867</v>
      </c>
      <c r="J157" s="799">
        <v>1</v>
      </c>
      <c r="K157" s="1893">
        <v>160538.66</v>
      </c>
      <c r="L157" s="1893">
        <v>75885.5</v>
      </c>
      <c r="M157" s="1893">
        <v>84653.16</v>
      </c>
      <c r="N157" s="799" t="s">
        <v>4024</v>
      </c>
      <c r="O157" s="799" t="s">
        <v>95</v>
      </c>
    </row>
    <row r="158" spans="1:15" ht="10.5" customHeight="1">
      <c r="A158" s="799" t="s">
        <v>4028</v>
      </c>
      <c r="B158" s="799" t="s">
        <v>2340</v>
      </c>
      <c r="C158" s="799" t="s">
        <v>3797</v>
      </c>
      <c r="D158" s="799">
        <v>57126253</v>
      </c>
      <c r="E158" s="799" t="s">
        <v>4030</v>
      </c>
      <c r="F158" s="799">
        <v>143005891</v>
      </c>
      <c r="G158" s="799" t="s">
        <v>4298</v>
      </c>
      <c r="H158" s="1747" t="s">
        <v>4298</v>
      </c>
      <c r="I158" s="799" t="s">
        <v>6867</v>
      </c>
      <c r="J158" s="799">
        <v>1</v>
      </c>
      <c r="K158" s="1893">
        <v>157581.21</v>
      </c>
      <c r="L158" s="1893">
        <v>74487.540000000008</v>
      </c>
      <c r="M158" s="1893">
        <v>83093.67</v>
      </c>
      <c r="N158" s="799" t="s">
        <v>4024</v>
      </c>
      <c r="O158" s="799" t="s">
        <v>95</v>
      </c>
    </row>
    <row r="159" spans="1:15" ht="10.5" customHeight="1">
      <c r="A159" s="799" t="s">
        <v>4028</v>
      </c>
      <c r="B159" s="799" t="s">
        <v>2340</v>
      </c>
      <c r="C159" s="799" t="s">
        <v>3797</v>
      </c>
      <c r="D159" s="799">
        <v>57126286</v>
      </c>
      <c r="E159" s="799" t="s">
        <v>4030</v>
      </c>
      <c r="F159" s="799">
        <v>143006063</v>
      </c>
      <c r="G159" s="799" t="s">
        <v>4299</v>
      </c>
      <c r="H159" s="1747" t="s">
        <v>4300</v>
      </c>
      <c r="I159" s="799" t="s">
        <v>6867</v>
      </c>
      <c r="J159" s="799">
        <v>1</v>
      </c>
      <c r="K159" s="1893">
        <v>64567.590000000004</v>
      </c>
      <c r="L159" s="1893">
        <v>30520.65</v>
      </c>
      <c r="M159" s="1893">
        <v>34046.94</v>
      </c>
      <c r="N159" s="799" t="s">
        <v>4024</v>
      </c>
      <c r="O159" s="799" t="s">
        <v>390</v>
      </c>
    </row>
    <row r="160" spans="1:15" ht="10.5" customHeight="1">
      <c r="A160" s="799" t="s">
        <v>4028</v>
      </c>
      <c r="B160" s="799" t="s">
        <v>2340</v>
      </c>
      <c r="C160" s="799" t="s">
        <v>3797</v>
      </c>
      <c r="D160" s="799">
        <v>57306025</v>
      </c>
      <c r="E160" s="799" t="s">
        <v>4030</v>
      </c>
      <c r="F160" s="799">
        <v>143005178</v>
      </c>
      <c r="G160" s="799" t="s">
        <v>4301</v>
      </c>
      <c r="H160" s="1747" t="s">
        <v>4301</v>
      </c>
      <c r="I160" s="799" t="s">
        <v>6867</v>
      </c>
      <c r="J160" s="799">
        <v>1</v>
      </c>
      <c r="K160" s="1893">
        <v>401605.17</v>
      </c>
      <c r="L160" s="1893">
        <v>294541.43</v>
      </c>
      <c r="M160" s="1893">
        <v>107063.74</v>
      </c>
      <c r="N160" s="799" t="s">
        <v>4024</v>
      </c>
      <c r="O160" s="799" t="s">
        <v>95</v>
      </c>
    </row>
    <row r="161" spans="1:15" ht="10.5" customHeight="1">
      <c r="A161" s="799" t="s">
        <v>4028</v>
      </c>
      <c r="B161" s="799" t="s">
        <v>2340</v>
      </c>
      <c r="C161" s="799" t="s">
        <v>3797</v>
      </c>
      <c r="D161" s="799">
        <v>57306040</v>
      </c>
      <c r="E161" s="799" t="s">
        <v>4030</v>
      </c>
      <c r="F161" s="799">
        <v>143005343</v>
      </c>
      <c r="G161" s="799" t="s">
        <v>4302</v>
      </c>
      <c r="H161" s="1747" t="s">
        <v>4302</v>
      </c>
      <c r="I161" s="799" t="s">
        <v>6867</v>
      </c>
      <c r="J161" s="799">
        <v>1</v>
      </c>
      <c r="K161" s="1893">
        <v>1936680.53</v>
      </c>
      <c r="L161" s="1893">
        <v>915455.37</v>
      </c>
      <c r="M161" s="1893">
        <v>1021225.16</v>
      </c>
      <c r="N161" s="799" t="s">
        <v>4024</v>
      </c>
      <c r="O161" s="799" t="s">
        <v>95</v>
      </c>
    </row>
    <row r="162" spans="1:15" ht="10.5" customHeight="1">
      <c r="A162" s="799" t="s">
        <v>4028</v>
      </c>
      <c r="B162" s="799" t="s">
        <v>2340</v>
      </c>
      <c r="C162" s="799" t="s">
        <v>3797</v>
      </c>
      <c r="D162" s="799">
        <v>57306045</v>
      </c>
      <c r="E162" s="799" t="s">
        <v>4030</v>
      </c>
      <c r="F162" s="799">
        <v>143005526</v>
      </c>
      <c r="G162" s="799" t="s">
        <v>4303</v>
      </c>
      <c r="H162" s="1747" t="s">
        <v>4304</v>
      </c>
      <c r="I162" s="799" t="s">
        <v>6867</v>
      </c>
      <c r="J162" s="799">
        <v>1</v>
      </c>
      <c r="K162" s="1893">
        <v>26904.850000000002</v>
      </c>
      <c r="L162" s="1893">
        <v>19732.3</v>
      </c>
      <c r="M162" s="1893">
        <v>7172.55</v>
      </c>
      <c r="N162" s="799" t="s">
        <v>4024</v>
      </c>
      <c r="O162" s="799" t="s">
        <v>95</v>
      </c>
    </row>
    <row r="163" spans="1:15" ht="10.5" customHeight="1">
      <c r="A163" s="799" t="s">
        <v>4028</v>
      </c>
      <c r="B163" s="799" t="s">
        <v>2340</v>
      </c>
      <c r="C163" s="799" t="s">
        <v>3797</v>
      </c>
      <c r="D163" s="799">
        <v>57306050</v>
      </c>
      <c r="E163" s="799" t="s">
        <v>4030</v>
      </c>
      <c r="F163" s="799">
        <v>143005528</v>
      </c>
      <c r="G163" s="799" t="s">
        <v>4305</v>
      </c>
      <c r="H163" s="1747" t="s">
        <v>4306</v>
      </c>
      <c r="I163" s="799" t="s">
        <v>6867</v>
      </c>
      <c r="J163" s="799">
        <v>1</v>
      </c>
      <c r="K163" s="1893">
        <v>54315.3</v>
      </c>
      <c r="L163" s="1893">
        <v>39835.410000000003</v>
      </c>
      <c r="M163" s="1893">
        <v>14479.89</v>
      </c>
      <c r="N163" s="799" t="s">
        <v>4024</v>
      </c>
      <c r="O163" s="799" t="s">
        <v>95</v>
      </c>
    </row>
    <row r="164" spans="1:15" ht="10.5" customHeight="1">
      <c r="A164" s="799" t="s">
        <v>4028</v>
      </c>
      <c r="B164" s="799" t="s">
        <v>2340</v>
      </c>
      <c r="C164" s="799" t="s">
        <v>3797</v>
      </c>
      <c r="D164" s="799">
        <v>57306057</v>
      </c>
      <c r="E164" s="799" t="s">
        <v>4030</v>
      </c>
      <c r="F164" s="799">
        <v>143005637</v>
      </c>
      <c r="G164" s="799" t="s">
        <v>4307</v>
      </c>
      <c r="H164" s="1747" t="s">
        <v>4307</v>
      </c>
      <c r="I164" s="799" t="s">
        <v>6867</v>
      </c>
      <c r="J164" s="799">
        <v>1</v>
      </c>
      <c r="K164" s="1893">
        <v>237840.65</v>
      </c>
      <c r="L164" s="1893">
        <v>174434.82</v>
      </c>
      <c r="M164" s="1893">
        <v>63405.83</v>
      </c>
      <c r="N164" s="799" t="s">
        <v>4024</v>
      </c>
      <c r="O164" s="799" t="s">
        <v>95</v>
      </c>
    </row>
    <row r="165" spans="1:15" ht="10.5" customHeight="1">
      <c r="A165" s="799" t="s">
        <v>4028</v>
      </c>
      <c r="B165" s="799" t="s">
        <v>2340</v>
      </c>
      <c r="C165" s="799" t="s">
        <v>3797</v>
      </c>
      <c r="D165" s="799">
        <v>57306066</v>
      </c>
      <c r="E165" s="799" t="s">
        <v>4030</v>
      </c>
      <c r="F165" s="799">
        <v>143005942</v>
      </c>
      <c r="G165" s="799" t="s">
        <v>4308</v>
      </c>
      <c r="H165" s="1747" t="s">
        <v>4309</v>
      </c>
      <c r="I165" s="799" t="s">
        <v>6867</v>
      </c>
      <c r="J165" s="799">
        <v>1</v>
      </c>
      <c r="K165" s="1893">
        <v>276484.3</v>
      </c>
      <c r="L165" s="1893">
        <v>202776.48</v>
      </c>
      <c r="M165" s="1893">
        <v>73707.820000000007</v>
      </c>
      <c r="N165" s="799" t="s">
        <v>4024</v>
      </c>
      <c r="O165" s="799" t="s">
        <v>95</v>
      </c>
    </row>
    <row r="166" spans="1:15" ht="10.5" customHeight="1">
      <c r="A166" s="799" t="s">
        <v>4028</v>
      </c>
      <c r="B166" s="799" t="s">
        <v>2340</v>
      </c>
      <c r="C166" s="799" t="s">
        <v>3797</v>
      </c>
      <c r="D166" s="799">
        <v>57552283</v>
      </c>
      <c r="E166" s="799" t="s">
        <v>4030</v>
      </c>
      <c r="F166" s="799">
        <v>143006237</v>
      </c>
      <c r="G166" s="799" t="s">
        <v>4310</v>
      </c>
      <c r="H166" s="1747" t="s">
        <v>4311</v>
      </c>
      <c r="I166" s="799" t="s">
        <v>6867</v>
      </c>
      <c r="J166" s="799">
        <v>1</v>
      </c>
      <c r="K166" s="1893">
        <v>153391</v>
      </c>
      <c r="L166" s="1893">
        <v>72506.86</v>
      </c>
      <c r="M166" s="1893">
        <v>80884.14</v>
      </c>
      <c r="N166" s="799" t="s">
        <v>4024</v>
      </c>
      <c r="O166" s="799" t="s">
        <v>392</v>
      </c>
    </row>
    <row r="167" spans="1:15" ht="10.5" customHeight="1">
      <c r="A167" s="799" t="s">
        <v>4028</v>
      </c>
      <c r="B167" s="799" t="s">
        <v>2340</v>
      </c>
      <c r="C167" s="799" t="s">
        <v>3797</v>
      </c>
      <c r="D167" s="799">
        <v>57858055</v>
      </c>
      <c r="E167" s="799" t="s">
        <v>4030</v>
      </c>
      <c r="F167" s="799">
        <v>143005230</v>
      </c>
      <c r="G167" s="799" t="s">
        <v>4312</v>
      </c>
      <c r="H167" s="1747" t="s">
        <v>4313</v>
      </c>
      <c r="I167" s="799" t="s">
        <v>6867</v>
      </c>
      <c r="J167" s="799">
        <v>1</v>
      </c>
      <c r="K167" s="1893">
        <v>1292004.25</v>
      </c>
      <c r="L167" s="1893">
        <v>610721.39</v>
      </c>
      <c r="M167" s="1893">
        <v>681282.86</v>
      </c>
      <c r="N167" s="799" t="s">
        <v>4024</v>
      </c>
      <c r="O167" s="799" t="s">
        <v>95</v>
      </c>
    </row>
    <row r="168" spans="1:15" ht="10.5" customHeight="1">
      <c r="A168" s="799" t="s">
        <v>4028</v>
      </c>
      <c r="B168" s="799" t="s">
        <v>2340</v>
      </c>
      <c r="C168" s="799" t="s">
        <v>3797</v>
      </c>
      <c r="D168" s="799">
        <v>57858058</v>
      </c>
      <c r="E168" s="799" t="s">
        <v>4030</v>
      </c>
      <c r="F168" s="799">
        <v>143005231</v>
      </c>
      <c r="G168" s="799" t="s">
        <v>4314</v>
      </c>
      <c r="H168" s="1747" t="s">
        <v>4315</v>
      </c>
      <c r="I168" s="799" t="s">
        <v>6867</v>
      </c>
      <c r="J168" s="799">
        <v>1</v>
      </c>
      <c r="K168" s="1893">
        <v>252714</v>
      </c>
      <c r="L168" s="1893">
        <v>119456.14</v>
      </c>
      <c r="M168" s="1893">
        <v>133257.86000000002</v>
      </c>
      <c r="N168" s="799" t="s">
        <v>4024</v>
      </c>
      <c r="O168" s="799" t="s">
        <v>95</v>
      </c>
    </row>
    <row r="169" spans="1:15" ht="10.5" customHeight="1">
      <c r="A169" s="799" t="s">
        <v>4028</v>
      </c>
      <c r="B169" s="799" t="s">
        <v>2340</v>
      </c>
      <c r="C169" s="799" t="s">
        <v>3797</v>
      </c>
      <c r="D169" s="799">
        <v>57858071</v>
      </c>
      <c r="E169" s="799" t="s">
        <v>4030</v>
      </c>
      <c r="F169" s="799">
        <v>143005898</v>
      </c>
      <c r="G169" s="799" t="s">
        <v>4316</v>
      </c>
      <c r="H169" s="1747" t="s">
        <v>4317</v>
      </c>
      <c r="I169" s="799" t="s">
        <v>6867</v>
      </c>
      <c r="J169" s="799">
        <v>1</v>
      </c>
      <c r="K169" s="1893">
        <v>174977.47</v>
      </c>
      <c r="L169" s="1893">
        <v>82710.63</v>
      </c>
      <c r="M169" s="1893">
        <v>92266.84</v>
      </c>
      <c r="N169" s="799" t="s">
        <v>4024</v>
      </c>
      <c r="O169" s="799" t="s">
        <v>95</v>
      </c>
    </row>
    <row r="170" spans="1:15" ht="10.5" customHeight="1">
      <c r="A170" s="799" t="s">
        <v>4028</v>
      </c>
      <c r="B170" s="799" t="s">
        <v>2340</v>
      </c>
      <c r="C170" s="799" t="s">
        <v>3797</v>
      </c>
      <c r="D170" s="799">
        <v>57917041</v>
      </c>
      <c r="E170" s="799" t="s">
        <v>4030</v>
      </c>
      <c r="F170" s="799">
        <v>143005193</v>
      </c>
      <c r="G170" s="799" t="s">
        <v>4318</v>
      </c>
      <c r="H170" s="1747" t="s">
        <v>4318</v>
      </c>
      <c r="I170" s="799" t="s">
        <v>6867</v>
      </c>
      <c r="J170" s="799">
        <v>1</v>
      </c>
      <c r="K170" s="1893">
        <v>2583742.5499999998</v>
      </c>
      <c r="L170" s="1893">
        <v>1221317.07</v>
      </c>
      <c r="M170" s="1893">
        <v>1362425.48</v>
      </c>
      <c r="N170" s="799" t="s">
        <v>4024</v>
      </c>
      <c r="O170" s="799" t="s">
        <v>95</v>
      </c>
    </row>
    <row r="171" spans="1:15" ht="10.5" customHeight="1">
      <c r="A171" s="799" t="s">
        <v>4028</v>
      </c>
      <c r="B171" s="799" t="s">
        <v>2340</v>
      </c>
      <c r="C171" s="799" t="s">
        <v>3797</v>
      </c>
      <c r="D171" s="799">
        <v>57917053</v>
      </c>
      <c r="E171" s="799" t="s">
        <v>4030</v>
      </c>
      <c r="F171" s="799">
        <v>143005288</v>
      </c>
      <c r="G171" s="799" t="s">
        <v>4319</v>
      </c>
      <c r="H171" s="1747" t="s">
        <v>4320</v>
      </c>
      <c r="I171" s="799" t="s">
        <v>6867</v>
      </c>
      <c r="J171" s="799">
        <v>1</v>
      </c>
      <c r="K171" s="1893">
        <v>7320692.7000000002</v>
      </c>
      <c r="L171" s="1893">
        <v>3460440.34</v>
      </c>
      <c r="M171" s="1893">
        <v>3860252.36</v>
      </c>
      <c r="N171" s="799" t="s">
        <v>4024</v>
      </c>
      <c r="O171" s="799" t="s">
        <v>95</v>
      </c>
    </row>
    <row r="172" spans="1:15" ht="10.5" customHeight="1">
      <c r="A172" s="799" t="s">
        <v>4028</v>
      </c>
      <c r="B172" s="799" t="s">
        <v>2340</v>
      </c>
      <c r="C172" s="799" t="s">
        <v>3797</v>
      </c>
      <c r="D172" s="799">
        <v>57917068</v>
      </c>
      <c r="E172" s="799" t="s">
        <v>4030</v>
      </c>
      <c r="F172" s="799">
        <v>143005872</v>
      </c>
      <c r="G172" s="799" t="s">
        <v>4321</v>
      </c>
      <c r="H172" s="1747" t="s">
        <v>4322</v>
      </c>
      <c r="I172" s="799" t="s">
        <v>6867</v>
      </c>
      <c r="J172" s="799">
        <v>1</v>
      </c>
      <c r="K172" s="1893">
        <v>219353.31</v>
      </c>
      <c r="L172" s="1893">
        <v>103686.78</v>
      </c>
      <c r="M172" s="1893">
        <v>115666.53</v>
      </c>
      <c r="N172" s="799" t="s">
        <v>4024</v>
      </c>
      <c r="O172" s="799" t="s">
        <v>95</v>
      </c>
    </row>
    <row r="173" spans="1:15" ht="10.5" customHeight="1">
      <c r="A173" s="799" t="s">
        <v>4028</v>
      </c>
      <c r="B173" s="799" t="s">
        <v>2340</v>
      </c>
      <c r="C173" s="799" t="s">
        <v>3797</v>
      </c>
      <c r="D173" s="799">
        <v>57917071</v>
      </c>
      <c r="E173" s="799" t="s">
        <v>4030</v>
      </c>
      <c r="F173" s="799">
        <v>143005873</v>
      </c>
      <c r="G173" s="799" t="s">
        <v>4323</v>
      </c>
      <c r="H173" s="1747" t="s">
        <v>4324</v>
      </c>
      <c r="I173" s="799" t="s">
        <v>6867</v>
      </c>
      <c r="J173" s="799">
        <v>1</v>
      </c>
      <c r="K173" s="1893">
        <v>64677.86</v>
      </c>
      <c r="L173" s="1893">
        <v>30572.77</v>
      </c>
      <c r="M173" s="1893">
        <v>34105.090000000004</v>
      </c>
      <c r="N173" s="799" t="s">
        <v>4024</v>
      </c>
      <c r="O173" s="799" t="s">
        <v>390</v>
      </c>
    </row>
    <row r="174" spans="1:15" ht="10.5" customHeight="1">
      <c r="A174" s="799" t="s">
        <v>4028</v>
      </c>
      <c r="B174" s="799" t="s">
        <v>2340</v>
      </c>
      <c r="C174" s="799" t="s">
        <v>3797</v>
      </c>
      <c r="D174" s="799">
        <v>57917074</v>
      </c>
      <c r="E174" s="799" t="s">
        <v>4030</v>
      </c>
      <c r="F174" s="799">
        <v>143005874</v>
      </c>
      <c r="G174" s="799" t="s">
        <v>4325</v>
      </c>
      <c r="H174" s="1747" t="s">
        <v>4326</v>
      </c>
      <c r="I174" s="799" t="s">
        <v>6867</v>
      </c>
      <c r="J174" s="799">
        <v>1</v>
      </c>
      <c r="K174" s="1893">
        <v>85622.12</v>
      </c>
      <c r="L174" s="1893">
        <v>40472.980000000003</v>
      </c>
      <c r="M174" s="1893">
        <v>45149.14</v>
      </c>
      <c r="N174" s="799" t="s">
        <v>4024</v>
      </c>
      <c r="O174" s="799" t="s">
        <v>390</v>
      </c>
    </row>
    <row r="175" spans="1:15" ht="10.5" customHeight="1">
      <c r="A175" s="799" t="s">
        <v>4028</v>
      </c>
      <c r="B175" s="799" t="s">
        <v>2340</v>
      </c>
      <c r="C175" s="799" t="s">
        <v>3797</v>
      </c>
      <c r="D175" s="799">
        <v>57917079</v>
      </c>
      <c r="E175" s="799" t="s">
        <v>4030</v>
      </c>
      <c r="F175" s="799">
        <v>143005881</v>
      </c>
      <c r="G175" s="799" t="s">
        <v>4327</v>
      </c>
      <c r="H175" s="1747" t="s">
        <v>4328</v>
      </c>
      <c r="I175" s="799" t="s">
        <v>6867</v>
      </c>
      <c r="J175" s="799">
        <v>1</v>
      </c>
      <c r="K175" s="1893">
        <v>1107213.94</v>
      </c>
      <c r="L175" s="1893">
        <v>523372.3</v>
      </c>
      <c r="M175" s="1893">
        <v>583841.64</v>
      </c>
      <c r="N175" s="799" t="s">
        <v>4024</v>
      </c>
      <c r="O175" s="799" t="s">
        <v>390</v>
      </c>
    </row>
    <row r="176" spans="1:15" ht="10.5" customHeight="1">
      <c r="A176" s="799" t="s">
        <v>4028</v>
      </c>
      <c r="B176" s="799" t="s">
        <v>2340</v>
      </c>
      <c r="C176" s="799" t="s">
        <v>3797</v>
      </c>
      <c r="D176" s="799">
        <v>57917082</v>
      </c>
      <c r="E176" s="799" t="s">
        <v>4030</v>
      </c>
      <c r="F176" s="799">
        <v>143005887</v>
      </c>
      <c r="G176" s="799" t="s">
        <v>4329</v>
      </c>
      <c r="H176" s="1747" t="s">
        <v>4330</v>
      </c>
      <c r="I176" s="799" t="s">
        <v>6867</v>
      </c>
      <c r="J176" s="799">
        <v>1</v>
      </c>
      <c r="K176" s="1893">
        <v>1596118.6600000001</v>
      </c>
      <c r="L176" s="1893">
        <v>754474.15</v>
      </c>
      <c r="M176" s="1893">
        <v>841644.51</v>
      </c>
      <c r="N176" s="799" t="s">
        <v>4024</v>
      </c>
      <c r="O176" s="799" t="s">
        <v>95</v>
      </c>
    </row>
    <row r="177" spans="1:15" ht="10.5" customHeight="1">
      <c r="A177" s="799" t="s">
        <v>4028</v>
      </c>
      <c r="B177" s="799" t="s">
        <v>2340</v>
      </c>
      <c r="C177" s="799" t="s">
        <v>3797</v>
      </c>
      <c r="D177" s="799">
        <v>57917089</v>
      </c>
      <c r="E177" s="799" t="s">
        <v>4030</v>
      </c>
      <c r="F177" s="799">
        <v>143005912</v>
      </c>
      <c r="G177" s="799" t="s">
        <v>4331</v>
      </c>
      <c r="H177" s="1747" t="s">
        <v>4332</v>
      </c>
      <c r="I177" s="799" t="s">
        <v>6867</v>
      </c>
      <c r="J177" s="799">
        <v>1</v>
      </c>
      <c r="K177" s="1893">
        <v>269876.69</v>
      </c>
      <c r="L177" s="1893">
        <v>127568.83</v>
      </c>
      <c r="M177" s="1893">
        <v>142307.86000000002</v>
      </c>
      <c r="N177" s="799" t="s">
        <v>4024</v>
      </c>
      <c r="O177" s="799" t="s">
        <v>95</v>
      </c>
    </row>
    <row r="178" spans="1:15" ht="10.5" customHeight="1">
      <c r="A178" s="799" t="s">
        <v>4028</v>
      </c>
      <c r="B178" s="799" t="s">
        <v>2340</v>
      </c>
      <c r="C178" s="799" t="s">
        <v>3797</v>
      </c>
      <c r="D178" s="799">
        <v>57917108</v>
      </c>
      <c r="E178" s="799" t="s">
        <v>4030</v>
      </c>
      <c r="F178" s="799">
        <v>143006012</v>
      </c>
      <c r="G178" s="799" t="s">
        <v>4333</v>
      </c>
      <c r="H178" s="1747" t="s">
        <v>4334</v>
      </c>
      <c r="I178" s="799" t="s">
        <v>6867</v>
      </c>
      <c r="J178" s="799">
        <v>1</v>
      </c>
      <c r="K178" s="1893">
        <v>1545942.13</v>
      </c>
      <c r="L178" s="1893">
        <v>730756.05</v>
      </c>
      <c r="M178" s="1893">
        <v>815186.08000000007</v>
      </c>
      <c r="N178" s="799" t="s">
        <v>4024</v>
      </c>
      <c r="O178" s="799" t="s">
        <v>95</v>
      </c>
    </row>
    <row r="179" spans="1:15" ht="10.5" customHeight="1">
      <c r="A179" s="799" t="s">
        <v>4028</v>
      </c>
      <c r="B179" s="799" t="s">
        <v>2340</v>
      </c>
      <c r="C179" s="799" t="s">
        <v>3797</v>
      </c>
      <c r="D179" s="799">
        <v>57956202</v>
      </c>
      <c r="E179" s="799" t="s">
        <v>4034</v>
      </c>
      <c r="F179" s="799">
        <v>143005307</v>
      </c>
      <c r="G179" s="799" t="s">
        <v>4335</v>
      </c>
      <c r="H179" s="1747" t="s">
        <v>4336</v>
      </c>
      <c r="I179" s="799" t="s">
        <v>6867</v>
      </c>
      <c r="J179" s="799">
        <v>1</v>
      </c>
      <c r="K179" s="1893">
        <v>17925.600000000002</v>
      </c>
      <c r="L179" s="1893">
        <v>4868.13</v>
      </c>
      <c r="M179" s="1893">
        <v>13057.470000000001</v>
      </c>
      <c r="N179" s="799" t="s">
        <v>4022</v>
      </c>
      <c r="O179" s="799" t="s">
        <v>390</v>
      </c>
    </row>
    <row r="180" spans="1:15" ht="10.5" customHeight="1">
      <c r="A180" s="799" t="s">
        <v>4028</v>
      </c>
      <c r="B180" s="799" t="s">
        <v>2340</v>
      </c>
      <c r="C180" s="799" t="s">
        <v>3797</v>
      </c>
      <c r="D180" s="799">
        <v>57956207</v>
      </c>
      <c r="E180" s="799" t="s">
        <v>4030</v>
      </c>
      <c r="F180" s="799">
        <v>143005509</v>
      </c>
      <c r="G180" s="799" t="s">
        <v>4337</v>
      </c>
      <c r="H180" s="1747" t="s">
        <v>4338</v>
      </c>
      <c r="I180" s="799" t="s">
        <v>6867</v>
      </c>
      <c r="J180" s="799">
        <v>1</v>
      </c>
      <c r="K180" s="1893">
        <v>22451.91</v>
      </c>
      <c r="L180" s="1893">
        <v>10612.86</v>
      </c>
      <c r="M180" s="1893">
        <v>11839.050000000001</v>
      </c>
      <c r="N180" s="799" t="s">
        <v>4024</v>
      </c>
      <c r="O180" s="799" t="s">
        <v>95</v>
      </c>
    </row>
    <row r="181" spans="1:15" ht="10.5" customHeight="1">
      <c r="A181" s="799" t="s">
        <v>4028</v>
      </c>
      <c r="B181" s="799" t="s">
        <v>2340</v>
      </c>
      <c r="C181" s="799" t="s">
        <v>3797</v>
      </c>
      <c r="D181" s="799">
        <v>57956218</v>
      </c>
      <c r="E181" s="799" t="s">
        <v>4030</v>
      </c>
      <c r="F181" s="799">
        <v>143005895</v>
      </c>
      <c r="G181" s="799" t="s">
        <v>4339</v>
      </c>
      <c r="H181" s="1747" t="s">
        <v>4340</v>
      </c>
      <c r="I181" s="799" t="s">
        <v>6867</v>
      </c>
      <c r="J181" s="799">
        <v>1</v>
      </c>
      <c r="K181" s="1893">
        <v>269331.34999999998</v>
      </c>
      <c r="L181" s="1893">
        <v>127311.05</v>
      </c>
      <c r="M181" s="1893">
        <v>142020.30000000002</v>
      </c>
      <c r="N181" s="799" t="s">
        <v>4024</v>
      </c>
      <c r="O181" s="799" t="s">
        <v>95</v>
      </c>
    </row>
    <row r="182" spans="1:15" ht="10.5" customHeight="1">
      <c r="A182" s="799" t="s">
        <v>4028</v>
      </c>
      <c r="B182" s="799" t="s">
        <v>2340</v>
      </c>
      <c r="C182" s="799" t="s">
        <v>3797</v>
      </c>
      <c r="D182" s="799">
        <v>58131159</v>
      </c>
      <c r="E182" s="799" t="s">
        <v>4030</v>
      </c>
      <c r="F182" s="799">
        <v>143005317</v>
      </c>
      <c r="G182" s="799" t="s">
        <v>4341</v>
      </c>
      <c r="H182" s="1747" t="s">
        <v>4341</v>
      </c>
      <c r="I182" s="799" t="s">
        <v>6867</v>
      </c>
      <c r="J182" s="799">
        <v>1</v>
      </c>
      <c r="K182" s="1893">
        <v>2866002.98</v>
      </c>
      <c r="L182" s="1893">
        <v>1354739.6</v>
      </c>
      <c r="M182" s="1893">
        <v>1511263.38</v>
      </c>
      <c r="N182" s="799" t="s">
        <v>4024</v>
      </c>
      <c r="O182" s="799" t="s">
        <v>95</v>
      </c>
    </row>
    <row r="183" spans="1:15" ht="10.5" customHeight="1">
      <c r="A183" s="799" t="s">
        <v>4028</v>
      </c>
      <c r="B183" s="799" t="s">
        <v>2340</v>
      </c>
      <c r="C183" s="799" t="s">
        <v>3797</v>
      </c>
      <c r="D183" s="799">
        <v>58131192</v>
      </c>
      <c r="E183" s="799" t="s">
        <v>4030</v>
      </c>
      <c r="F183" s="799">
        <v>143005878</v>
      </c>
      <c r="G183" s="799" t="s">
        <v>4342</v>
      </c>
      <c r="H183" s="1747" t="s">
        <v>4343</v>
      </c>
      <c r="I183" s="799" t="s">
        <v>6867</v>
      </c>
      <c r="J183" s="799">
        <v>1</v>
      </c>
      <c r="K183" s="1893">
        <v>108733.33</v>
      </c>
      <c r="L183" s="1893">
        <v>51397.49</v>
      </c>
      <c r="M183" s="1893">
        <v>57335.840000000004</v>
      </c>
      <c r="N183" s="799" t="s">
        <v>4024</v>
      </c>
      <c r="O183" s="799" t="s">
        <v>390</v>
      </c>
    </row>
    <row r="184" spans="1:15" ht="10.5" customHeight="1">
      <c r="A184" s="799" t="s">
        <v>4028</v>
      </c>
      <c r="B184" s="799" t="s">
        <v>2340</v>
      </c>
      <c r="C184" s="799" t="s">
        <v>3797</v>
      </c>
      <c r="D184" s="799">
        <v>58131195</v>
      </c>
      <c r="E184" s="799" t="s">
        <v>4030</v>
      </c>
      <c r="F184" s="799">
        <v>143005879</v>
      </c>
      <c r="G184" s="799" t="s">
        <v>4344</v>
      </c>
      <c r="H184" s="1747" t="s">
        <v>4345</v>
      </c>
      <c r="I184" s="799" t="s">
        <v>6867</v>
      </c>
      <c r="J184" s="799">
        <v>1</v>
      </c>
      <c r="K184" s="1893">
        <v>28940.66</v>
      </c>
      <c r="L184" s="1893">
        <v>13680.050000000001</v>
      </c>
      <c r="M184" s="1893">
        <v>15260.61</v>
      </c>
      <c r="N184" s="799" t="s">
        <v>4024</v>
      </c>
      <c r="O184" s="799" t="s">
        <v>95</v>
      </c>
    </row>
    <row r="185" spans="1:15" ht="10.5" customHeight="1">
      <c r="A185" s="799" t="s">
        <v>4028</v>
      </c>
      <c r="B185" s="799" t="s">
        <v>2340</v>
      </c>
      <c r="C185" s="799" t="s">
        <v>3797</v>
      </c>
      <c r="D185" s="799">
        <v>58131210</v>
      </c>
      <c r="E185" s="799" t="s">
        <v>4030</v>
      </c>
      <c r="F185" s="799">
        <v>143005911</v>
      </c>
      <c r="G185" s="799" t="s">
        <v>4346</v>
      </c>
      <c r="H185" s="1747" t="s">
        <v>4347</v>
      </c>
      <c r="I185" s="799" t="s">
        <v>6867</v>
      </c>
      <c r="J185" s="799">
        <v>1</v>
      </c>
      <c r="K185" s="1893">
        <v>61295.96</v>
      </c>
      <c r="L185" s="1893">
        <v>28974.170000000002</v>
      </c>
      <c r="M185" s="1893">
        <v>32321.79</v>
      </c>
      <c r="N185" s="799" t="s">
        <v>4024</v>
      </c>
      <c r="O185" s="799" t="s">
        <v>95</v>
      </c>
    </row>
    <row r="186" spans="1:15" ht="10.5" customHeight="1">
      <c r="A186" s="799" t="s">
        <v>4028</v>
      </c>
      <c r="B186" s="799" t="s">
        <v>2340</v>
      </c>
      <c r="C186" s="799" t="s">
        <v>3797</v>
      </c>
      <c r="D186" s="799">
        <v>58131217</v>
      </c>
      <c r="E186" s="799" t="s">
        <v>4030</v>
      </c>
      <c r="F186" s="799">
        <v>143005949</v>
      </c>
      <c r="G186" s="799" t="s">
        <v>4348</v>
      </c>
      <c r="H186" s="1747" t="s">
        <v>4349</v>
      </c>
      <c r="I186" s="799" t="s">
        <v>6867</v>
      </c>
      <c r="J186" s="799">
        <v>1</v>
      </c>
      <c r="K186" s="1893">
        <v>13658.66</v>
      </c>
      <c r="L186" s="1893">
        <v>6456.35</v>
      </c>
      <c r="M186" s="1893">
        <v>7202.31</v>
      </c>
      <c r="N186" s="799" t="s">
        <v>4024</v>
      </c>
      <c r="O186" s="799" t="s">
        <v>95</v>
      </c>
    </row>
    <row r="187" spans="1:15" ht="10.5" customHeight="1">
      <c r="A187" s="799" t="s">
        <v>4028</v>
      </c>
      <c r="B187" s="799" t="s">
        <v>2340</v>
      </c>
      <c r="C187" s="799" t="s">
        <v>3797</v>
      </c>
      <c r="D187" s="799">
        <v>58131222</v>
      </c>
      <c r="E187" s="799" t="s">
        <v>4030</v>
      </c>
      <c r="F187" s="799">
        <v>143005952</v>
      </c>
      <c r="G187" s="799" t="s">
        <v>4350</v>
      </c>
      <c r="H187" s="1747" t="s">
        <v>4351</v>
      </c>
      <c r="I187" s="799" t="s">
        <v>6867</v>
      </c>
      <c r="J187" s="799">
        <v>1</v>
      </c>
      <c r="K187" s="1893">
        <v>13528.210000000001</v>
      </c>
      <c r="L187" s="1893">
        <v>6394.6900000000005</v>
      </c>
      <c r="M187" s="1893">
        <v>7133.52</v>
      </c>
      <c r="N187" s="799" t="s">
        <v>4024</v>
      </c>
      <c r="O187" s="799" t="s">
        <v>95</v>
      </c>
    </row>
    <row r="188" spans="1:15" ht="10.5" customHeight="1">
      <c r="A188" s="799" t="s">
        <v>4028</v>
      </c>
      <c r="B188" s="799" t="s">
        <v>2340</v>
      </c>
      <c r="C188" s="799" t="s">
        <v>3797</v>
      </c>
      <c r="D188" s="799">
        <v>58131233</v>
      </c>
      <c r="E188" s="799" t="s">
        <v>4030</v>
      </c>
      <c r="F188" s="799">
        <v>143005969</v>
      </c>
      <c r="G188" s="799" t="s">
        <v>4352</v>
      </c>
      <c r="H188" s="1747" t="s">
        <v>4353</v>
      </c>
      <c r="I188" s="799" t="s">
        <v>6867</v>
      </c>
      <c r="J188" s="799">
        <v>1</v>
      </c>
      <c r="K188" s="1893">
        <v>17432.14</v>
      </c>
      <c r="L188" s="1893">
        <v>8240.0499999999993</v>
      </c>
      <c r="M188" s="1893">
        <v>9192.09</v>
      </c>
      <c r="N188" s="799" t="s">
        <v>4024</v>
      </c>
      <c r="O188" s="799" t="s">
        <v>390</v>
      </c>
    </row>
    <row r="189" spans="1:15" ht="10.5" customHeight="1">
      <c r="A189" s="799" t="s">
        <v>4028</v>
      </c>
      <c r="B189" s="799" t="s">
        <v>2340</v>
      </c>
      <c r="C189" s="799" t="s">
        <v>3797</v>
      </c>
      <c r="D189" s="799">
        <v>58131238</v>
      </c>
      <c r="E189" s="799" t="s">
        <v>4030</v>
      </c>
      <c r="F189" s="799">
        <v>143005984</v>
      </c>
      <c r="G189" s="799" t="s">
        <v>4354</v>
      </c>
      <c r="H189" s="1747" t="s">
        <v>4355</v>
      </c>
      <c r="I189" s="799" t="s">
        <v>6867</v>
      </c>
      <c r="J189" s="799">
        <v>1</v>
      </c>
      <c r="K189" s="1893">
        <v>77956.58</v>
      </c>
      <c r="L189" s="1893">
        <v>36849.53</v>
      </c>
      <c r="M189" s="1893">
        <v>41107.050000000003</v>
      </c>
      <c r="N189" s="799" t="s">
        <v>4024</v>
      </c>
      <c r="O189" s="799" t="s">
        <v>95</v>
      </c>
    </row>
    <row r="190" spans="1:15" ht="10.5" customHeight="1">
      <c r="A190" s="799" t="s">
        <v>4028</v>
      </c>
      <c r="B190" s="799" t="s">
        <v>2340</v>
      </c>
      <c r="C190" s="799" t="s">
        <v>3797</v>
      </c>
      <c r="D190" s="799">
        <v>58131265</v>
      </c>
      <c r="E190" s="799" t="s">
        <v>4030</v>
      </c>
      <c r="F190" s="799">
        <v>143006081</v>
      </c>
      <c r="G190" s="799" t="s">
        <v>4356</v>
      </c>
      <c r="H190" s="1747" t="s">
        <v>4357</v>
      </c>
      <c r="I190" s="799" t="s">
        <v>6867</v>
      </c>
      <c r="J190" s="799">
        <v>1</v>
      </c>
      <c r="K190" s="1893">
        <v>234818.19</v>
      </c>
      <c r="L190" s="1893">
        <v>110996.92</v>
      </c>
      <c r="M190" s="1893">
        <v>123821.27</v>
      </c>
      <c r="N190" s="799" t="s">
        <v>4024</v>
      </c>
      <c r="O190" s="799" t="s">
        <v>390</v>
      </c>
    </row>
    <row r="191" spans="1:15" ht="10.5" customHeight="1">
      <c r="A191" s="799" t="s">
        <v>4028</v>
      </c>
      <c r="B191" s="799" t="s">
        <v>2340</v>
      </c>
      <c r="C191" s="799" t="s">
        <v>3797</v>
      </c>
      <c r="D191" s="799">
        <v>58131268</v>
      </c>
      <c r="E191" s="799" t="s">
        <v>4030</v>
      </c>
      <c r="F191" s="799">
        <v>143006083</v>
      </c>
      <c r="G191" s="799" t="s">
        <v>4358</v>
      </c>
      <c r="H191" s="1747" t="s">
        <v>4358</v>
      </c>
      <c r="I191" s="799" t="s">
        <v>6867</v>
      </c>
      <c r="J191" s="799">
        <v>1</v>
      </c>
      <c r="K191" s="1893">
        <v>12564.91</v>
      </c>
      <c r="L191" s="1893">
        <v>5939.35</v>
      </c>
      <c r="M191" s="1893">
        <v>6625.56</v>
      </c>
      <c r="N191" s="799" t="s">
        <v>4024</v>
      </c>
      <c r="O191" s="799" t="s">
        <v>95</v>
      </c>
    </row>
    <row r="192" spans="1:15" ht="10.5" customHeight="1">
      <c r="A192" s="799" t="s">
        <v>4028</v>
      </c>
      <c r="B192" s="799" t="s">
        <v>2340</v>
      </c>
      <c r="C192" s="799" t="s">
        <v>3797</v>
      </c>
      <c r="D192" s="799">
        <v>58131271</v>
      </c>
      <c r="E192" s="799" t="s">
        <v>4030</v>
      </c>
      <c r="F192" s="799">
        <v>143006084</v>
      </c>
      <c r="G192" s="799" t="s">
        <v>4359</v>
      </c>
      <c r="H192" s="1747" t="s">
        <v>4359</v>
      </c>
      <c r="I192" s="799" t="s">
        <v>6867</v>
      </c>
      <c r="J192" s="799">
        <v>1</v>
      </c>
      <c r="K192" s="1893">
        <v>27223.96</v>
      </c>
      <c r="L192" s="1893">
        <v>12868.58</v>
      </c>
      <c r="M192" s="1893">
        <v>14355.380000000001</v>
      </c>
      <c r="N192" s="799" t="s">
        <v>4024</v>
      </c>
      <c r="O192" s="799" t="s">
        <v>95</v>
      </c>
    </row>
    <row r="193" spans="1:17" ht="10.5" customHeight="1">
      <c r="A193" s="799" t="s">
        <v>4028</v>
      </c>
      <c r="B193" s="799" t="s">
        <v>2340</v>
      </c>
      <c r="C193" s="799" t="s">
        <v>3797</v>
      </c>
      <c r="D193" s="799">
        <v>58131276</v>
      </c>
      <c r="E193" s="799" t="s">
        <v>4030</v>
      </c>
      <c r="F193" s="799">
        <v>143006101</v>
      </c>
      <c r="G193" s="799" t="s">
        <v>4360</v>
      </c>
      <c r="H193" s="1747" t="s">
        <v>4361</v>
      </c>
      <c r="I193" s="799" t="s">
        <v>6867</v>
      </c>
      <c r="J193" s="799">
        <v>1</v>
      </c>
      <c r="K193" s="1893">
        <v>18706.3</v>
      </c>
      <c r="L193" s="1893">
        <v>8842.34</v>
      </c>
      <c r="M193" s="1893">
        <v>9863.9600000000009</v>
      </c>
      <c r="N193" s="799" t="s">
        <v>4024</v>
      </c>
      <c r="O193" s="799" t="s">
        <v>390</v>
      </c>
    </row>
    <row r="194" spans="1:17" ht="10.5" customHeight="1">
      <c r="A194" s="799" t="s">
        <v>4028</v>
      </c>
      <c r="B194" s="799" t="s">
        <v>2340</v>
      </c>
      <c r="C194" s="799" t="s">
        <v>3797</v>
      </c>
      <c r="D194" s="799">
        <v>58131279</v>
      </c>
      <c r="E194" s="799" t="s">
        <v>4030</v>
      </c>
      <c r="F194" s="799">
        <v>143006102</v>
      </c>
      <c r="G194" s="799" t="s">
        <v>4362</v>
      </c>
      <c r="H194" s="1747" t="s">
        <v>4363</v>
      </c>
      <c r="I194" s="799" t="s">
        <v>6867</v>
      </c>
      <c r="J194" s="799">
        <v>1</v>
      </c>
      <c r="K194" s="1893">
        <v>169718.16</v>
      </c>
      <c r="L194" s="1893">
        <v>80224.59</v>
      </c>
      <c r="M194" s="1893">
        <v>89493.57</v>
      </c>
      <c r="N194" s="799" t="s">
        <v>4024</v>
      </c>
      <c r="O194" s="799" t="s">
        <v>95</v>
      </c>
    </row>
    <row r="195" spans="1:17" ht="10.5" customHeight="1">
      <c r="A195" s="799" t="s">
        <v>4028</v>
      </c>
      <c r="B195" s="799" t="s">
        <v>2340</v>
      </c>
      <c r="C195" s="799" t="s">
        <v>3797</v>
      </c>
      <c r="D195" s="799">
        <v>58131282</v>
      </c>
      <c r="E195" s="799" t="s">
        <v>4030</v>
      </c>
      <c r="F195" s="799">
        <v>143006103</v>
      </c>
      <c r="G195" s="799" t="s">
        <v>4364</v>
      </c>
      <c r="H195" s="1747" t="s">
        <v>4364</v>
      </c>
      <c r="I195" s="799" t="s">
        <v>6867</v>
      </c>
      <c r="J195" s="799">
        <v>1</v>
      </c>
      <c r="K195" s="1893">
        <v>85389.96</v>
      </c>
      <c r="L195" s="1893">
        <v>40363.24</v>
      </c>
      <c r="M195" s="1893">
        <v>45026.720000000001</v>
      </c>
      <c r="N195" s="799" t="s">
        <v>4024</v>
      </c>
      <c r="O195" s="799" t="s">
        <v>95</v>
      </c>
    </row>
    <row r="196" spans="1:17" ht="10.5" customHeight="1">
      <c r="A196" s="799" t="s">
        <v>4028</v>
      </c>
      <c r="B196" s="799" t="s">
        <v>2340</v>
      </c>
      <c r="C196" s="799" t="s">
        <v>3797</v>
      </c>
      <c r="D196" s="799">
        <v>58131285</v>
      </c>
      <c r="E196" s="799" t="s">
        <v>4030</v>
      </c>
      <c r="F196" s="799">
        <v>143006104</v>
      </c>
      <c r="G196" s="799" t="s">
        <v>4365</v>
      </c>
      <c r="H196" s="1747" t="s">
        <v>4365</v>
      </c>
      <c r="I196" s="799" t="s">
        <v>6867</v>
      </c>
      <c r="J196" s="799">
        <v>1</v>
      </c>
      <c r="K196" s="1893">
        <v>100568.42</v>
      </c>
      <c r="L196" s="1893">
        <v>47537.99</v>
      </c>
      <c r="M196" s="1893">
        <v>53030.43</v>
      </c>
      <c r="N196" s="799" t="s">
        <v>4024</v>
      </c>
      <c r="O196" s="799" t="s">
        <v>95</v>
      </c>
    </row>
    <row r="197" spans="1:17" ht="10.5" customHeight="1">
      <c r="A197" s="799" t="s">
        <v>4028</v>
      </c>
      <c r="B197" s="799" t="s">
        <v>2340</v>
      </c>
      <c r="C197" s="799" t="s">
        <v>3797</v>
      </c>
      <c r="D197" s="799">
        <v>58131288</v>
      </c>
      <c r="E197" s="799" t="s">
        <v>4030</v>
      </c>
      <c r="F197" s="799">
        <v>143006105</v>
      </c>
      <c r="G197" s="799" t="s">
        <v>4366</v>
      </c>
      <c r="H197" s="1747" t="s">
        <v>4366</v>
      </c>
      <c r="I197" s="799" t="s">
        <v>6867</v>
      </c>
      <c r="J197" s="799">
        <v>1</v>
      </c>
      <c r="K197" s="1893">
        <v>35626.26</v>
      </c>
      <c r="L197" s="1893">
        <v>16840.28</v>
      </c>
      <c r="M197" s="1893">
        <v>18785.98</v>
      </c>
      <c r="N197" s="799" t="s">
        <v>4024</v>
      </c>
      <c r="O197" s="799" t="s">
        <v>99</v>
      </c>
    </row>
    <row r="198" spans="1:17" ht="10.5" customHeight="1">
      <c r="A198" s="799" t="s">
        <v>4028</v>
      </c>
      <c r="B198" s="799" t="s">
        <v>2340</v>
      </c>
      <c r="C198" s="799" t="s">
        <v>3797</v>
      </c>
      <c r="D198" s="799">
        <v>58131309</v>
      </c>
      <c r="E198" s="799" t="s">
        <v>4030</v>
      </c>
      <c r="F198" s="799">
        <v>143006300</v>
      </c>
      <c r="G198" s="799" t="s">
        <v>4367</v>
      </c>
      <c r="H198" s="1747" t="s">
        <v>4368</v>
      </c>
      <c r="I198" s="799" t="s">
        <v>6867</v>
      </c>
      <c r="J198" s="799">
        <v>1</v>
      </c>
      <c r="K198" s="1893">
        <v>29231.040000000001</v>
      </c>
      <c r="L198" s="1893">
        <v>13817.31</v>
      </c>
      <c r="M198" s="1893">
        <v>15413.73</v>
      </c>
      <c r="N198" s="799" t="s">
        <v>4024</v>
      </c>
      <c r="O198" s="799" t="s">
        <v>95</v>
      </c>
    </row>
    <row r="199" spans="1:17" ht="10.5" customHeight="1">
      <c r="A199" s="799" t="s">
        <v>4028</v>
      </c>
      <c r="B199" s="799" t="s">
        <v>2340</v>
      </c>
      <c r="C199" s="799" t="s">
        <v>3797</v>
      </c>
      <c r="D199" s="799">
        <v>58131312</v>
      </c>
      <c r="E199" s="799" t="s">
        <v>4030</v>
      </c>
      <c r="F199" s="799">
        <v>143006305</v>
      </c>
      <c r="G199" s="799" t="s">
        <v>4369</v>
      </c>
      <c r="H199" s="1747" t="s">
        <v>4369</v>
      </c>
      <c r="I199" s="799" t="s">
        <v>6867</v>
      </c>
      <c r="J199" s="799">
        <v>1</v>
      </c>
      <c r="K199" s="1893">
        <v>22751.58</v>
      </c>
      <c r="L199" s="1893">
        <v>10754.51</v>
      </c>
      <c r="M199" s="1893">
        <v>11997.07</v>
      </c>
      <c r="N199" s="799" t="s">
        <v>4024</v>
      </c>
      <c r="O199" s="799" t="s">
        <v>99</v>
      </c>
    </row>
    <row r="200" spans="1:17" ht="10.5" customHeight="1">
      <c r="A200" s="1721" t="s">
        <v>4028</v>
      </c>
      <c r="B200" s="1721" t="s">
        <v>2340</v>
      </c>
      <c r="C200" s="1721" t="s">
        <v>3797</v>
      </c>
      <c r="D200" s="1721">
        <v>58341016</v>
      </c>
      <c r="E200" s="1721" t="s">
        <v>4030</v>
      </c>
      <c r="F200" s="1721">
        <v>143003512</v>
      </c>
      <c r="G200" s="1721" t="s">
        <v>4370</v>
      </c>
      <c r="H200" s="1894" t="s">
        <v>4371</v>
      </c>
      <c r="I200" s="1721" t="s">
        <v>6867</v>
      </c>
      <c r="J200" s="1721">
        <v>1</v>
      </c>
      <c r="K200" s="1896">
        <v>126005.22</v>
      </c>
      <c r="L200" s="1896">
        <v>59561.79</v>
      </c>
      <c r="M200" s="1896">
        <v>66443.430000000008</v>
      </c>
      <c r="N200" s="1721" t="s">
        <v>4024</v>
      </c>
      <c r="O200" s="1721" t="s">
        <v>99</v>
      </c>
      <c r="P200" s="1895"/>
      <c r="Q200" s="1701" t="s">
        <v>4372</v>
      </c>
    </row>
    <row r="201" spans="1:17" ht="10.5" customHeight="1">
      <c r="A201" s="1721" t="s">
        <v>4028</v>
      </c>
      <c r="B201" s="1721" t="s">
        <v>2340</v>
      </c>
      <c r="C201" s="1721" t="s">
        <v>3797</v>
      </c>
      <c r="D201" s="1721">
        <v>58341074</v>
      </c>
      <c r="E201" s="1721" t="s">
        <v>4030</v>
      </c>
      <c r="F201" s="1721">
        <v>143005883</v>
      </c>
      <c r="G201" s="1721" t="s">
        <v>4373</v>
      </c>
      <c r="H201" s="1894" t="s">
        <v>4373</v>
      </c>
      <c r="I201" s="1721" t="s">
        <v>6867</v>
      </c>
      <c r="J201" s="1721">
        <v>1</v>
      </c>
      <c r="K201" s="1896">
        <v>539823.54</v>
      </c>
      <c r="L201" s="1896">
        <v>255170.82</v>
      </c>
      <c r="M201" s="1896">
        <v>284652.72000000003</v>
      </c>
      <c r="N201" s="1721" t="s">
        <v>4024</v>
      </c>
      <c r="O201" s="1721" t="s">
        <v>95</v>
      </c>
      <c r="P201" s="1894"/>
      <c r="Q201" s="1701" t="s">
        <v>8231</v>
      </c>
    </row>
    <row r="202" spans="1:17" ht="10.5" customHeight="1">
      <c r="A202" s="1721" t="s">
        <v>4028</v>
      </c>
      <c r="B202" s="1721" t="s">
        <v>2340</v>
      </c>
      <c r="C202" s="1721" t="s">
        <v>3797</v>
      </c>
      <c r="D202" s="1721">
        <v>58341077</v>
      </c>
      <c r="E202" s="1721" t="s">
        <v>4030</v>
      </c>
      <c r="F202" s="1721">
        <v>143005885</v>
      </c>
      <c r="G202" s="1721" t="s">
        <v>4374</v>
      </c>
      <c r="H202" s="1894" t="s">
        <v>4374</v>
      </c>
      <c r="I202" s="1721" t="s">
        <v>6867</v>
      </c>
      <c r="J202" s="1721">
        <v>1</v>
      </c>
      <c r="K202" s="1896">
        <v>2283675.2599999998</v>
      </c>
      <c r="L202" s="1896">
        <v>673630.54</v>
      </c>
      <c r="M202" s="1896">
        <v>1610044.72</v>
      </c>
      <c r="N202" s="1721" t="s">
        <v>4024</v>
      </c>
      <c r="O202" s="1721" t="s">
        <v>95</v>
      </c>
      <c r="P202" s="1894"/>
      <c r="Q202" s="1701" t="s">
        <v>8232</v>
      </c>
    </row>
    <row r="203" spans="1:17" ht="10.5" customHeight="1">
      <c r="A203" s="1721" t="s">
        <v>4028</v>
      </c>
      <c r="B203" s="1721" t="s">
        <v>2340</v>
      </c>
      <c r="C203" s="1721" t="s">
        <v>3797</v>
      </c>
      <c r="D203" s="1721">
        <v>58341080</v>
      </c>
      <c r="E203" s="1721" t="s">
        <v>4030</v>
      </c>
      <c r="F203" s="1721">
        <v>143005886</v>
      </c>
      <c r="G203" s="1721" t="s">
        <v>4375</v>
      </c>
      <c r="H203" s="1894" t="s">
        <v>4376</v>
      </c>
      <c r="I203" s="1721" t="s">
        <v>6867</v>
      </c>
      <c r="J203" s="1721">
        <v>1</v>
      </c>
      <c r="K203" s="1896">
        <v>1802364.33</v>
      </c>
      <c r="L203" s="1896">
        <v>851965.04</v>
      </c>
      <c r="M203" s="1896">
        <v>950399.29</v>
      </c>
      <c r="N203" s="1721" t="s">
        <v>4024</v>
      </c>
      <c r="O203" s="1721" t="s">
        <v>390</v>
      </c>
      <c r="P203" s="1894"/>
      <c r="Q203" s="1701" t="s">
        <v>4377</v>
      </c>
    </row>
    <row r="204" spans="1:17" ht="10.5" customHeight="1">
      <c r="A204" s="1721" t="s">
        <v>4028</v>
      </c>
      <c r="B204" s="1721" t="s">
        <v>2340</v>
      </c>
      <c r="C204" s="1721" t="s">
        <v>3797</v>
      </c>
      <c r="D204" s="1721">
        <v>58341087</v>
      </c>
      <c r="E204" s="1721" t="s">
        <v>4030</v>
      </c>
      <c r="F204" s="1721">
        <v>143005893</v>
      </c>
      <c r="G204" s="1721" t="s">
        <v>4378</v>
      </c>
      <c r="H204" s="1894" t="s">
        <v>4379</v>
      </c>
      <c r="I204" s="1721" t="s">
        <v>6867</v>
      </c>
      <c r="J204" s="1721">
        <v>1</v>
      </c>
      <c r="K204" s="1896">
        <v>312301.53000000003</v>
      </c>
      <c r="L204" s="1896">
        <v>147622.75</v>
      </c>
      <c r="M204" s="1896">
        <v>164678.78</v>
      </c>
      <c r="N204" s="1721" t="s">
        <v>4024</v>
      </c>
      <c r="O204" s="1721" t="s">
        <v>95</v>
      </c>
      <c r="P204" s="1894"/>
      <c r="Q204" s="1701" t="s">
        <v>4380</v>
      </c>
    </row>
    <row r="205" spans="1:17" ht="10.5" customHeight="1">
      <c r="A205" s="1721" t="s">
        <v>4028</v>
      </c>
      <c r="B205" s="1721" t="s">
        <v>2340</v>
      </c>
      <c r="C205" s="1721" t="s">
        <v>3797</v>
      </c>
      <c r="D205" s="1721">
        <v>58341092</v>
      </c>
      <c r="E205" s="1721" t="s">
        <v>4030</v>
      </c>
      <c r="F205" s="1721">
        <v>143005909</v>
      </c>
      <c r="G205" s="1721" t="s">
        <v>4381</v>
      </c>
      <c r="H205" s="1894" t="s">
        <v>4382</v>
      </c>
      <c r="I205" s="1721" t="s">
        <v>6867</v>
      </c>
      <c r="J205" s="1721">
        <v>1</v>
      </c>
      <c r="K205" s="1896">
        <v>447725.04000000004</v>
      </c>
      <c r="L205" s="1896">
        <v>211636.5</v>
      </c>
      <c r="M205" s="1896">
        <v>236088.54</v>
      </c>
      <c r="N205" s="1721" t="s">
        <v>4024</v>
      </c>
      <c r="O205" s="1721" t="s">
        <v>95</v>
      </c>
      <c r="P205" s="1894"/>
      <c r="Q205" s="1701" t="s">
        <v>4383</v>
      </c>
    </row>
    <row r="206" spans="1:17" ht="10.5" customHeight="1">
      <c r="A206" s="1721" t="s">
        <v>4028</v>
      </c>
      <c r="B206" s="1721" t="s">
        <v>2340</v>
      </c>
      <c r="C206" s="1721" t="s">
        <v>3797</v>
      </c>
      <c r="D206" s="1721">
        <v>58341099</v>
      </c>
      <c r="E206" s="1721" t="s">
        <v>4030</v>
      </c>
      <c r="F206" s="1721">
        <v>143005921</v>
      </c>
      <c r="G206" s="1721" t="s">
        <v>4384</v>
      </c>
      <c r="H206" s="1894" t="s">
        <v>4384</v>
      </c>
      <c r="I206" s="1721" t="s">
        <v>6867</v>
      </c>
      <c r="J206" s="1721">
        <v>1</v>
      </c>
      <c r="K206" s="1896">
        <v>476363.03</v>
      </c>
      <c r="L206" s="1896">
        <v>225173.48</v>
      </c>
      <c r="M206" s="1896">
        <v>251189.55000000002</v>
      </c>
      <c r="N206" s="1721" t="s">
        <v>4024</v>
      </c>
      <c r="O206" s="1721" t="s">
        <v>95</v>
      </c>
      <c r="P206" s="1895"/>
      <c r="Q206" s="1701" t="s">
        <v>8233</v>
      </c>
    </row>
    <row r="207" spans="1:17" ht="10.5" customHeight="1">
      <c r="A207" s="1721" t="s">
        <v>4028</v>
      </c>
      <c r="B207" s="1721" t="s">
        <v>2340</v>
      </c>
      <c r="C207" s="1721" t="s">
        <v>3797</v>
      </c>
      <c r="D207" s="1721">
        <v>58341102</v>
      </c>
      <c r="E207" s="1721" t="s">
        <v>4030</v>
      </c>
      <c r="F207" s="1721">
        <v>143005923</v>
      </c>
      <c r="G207" s="1721" t="s">
        <v>4385</v>
      </c>
      <c r="H207" s="1894" t="s">
        <v>4386</v>
      </c>
      <c r="I207" s="1721" t="s">
        <v>6867</v>
      </c>
      <c r="J207" s="1721">
        <v>1</v>
      </c>
      <c r="K207" s="1896">
        <v>538296.48</v>
      </c>
      <c r="L207" s="1896">
        <v>254448.99000000002</v>
      </c>
      <c r="M207" s="1896">
        <v>283847.49</v>
      </c>
      <c r="N207" s="1721" t="s">
        <v>4024</v>
      </c>
      <c r="O207" s="1721" t="s">
        <v>95</v>
      </c>
      <c r="P207" s="1894"/>
      <c r="Q207" s="1701" t="s">
        <v>8234</v>
      </c>
    </row>
    <row r="208" spans="1:17" ht="10.5" customHeight="1">
      <c r="A208" s="1721" t="s">
        <v>4028</v>
      </c>
      <c r="B208" s="1721" t="s">
        <v>2340</v>
      </c>
      <c r="C208" s="1721" t="s">
        <v>3797</v>
      </c>
      <c r="D208" s="1721">
        <v>58341105</v>
      </c>
      <c r="E208" s="1721" t="s">
        <v>4030</v>
      </c>
      <c r="F208" s="1721">
        <v>143005940</v>
      </c>
      <c r="G208" s="1721" t="s">
        <v>4387</v>
      </c>
      <c r="H208" s="1894" t="s">
        <v>4388</v>
      </c>
      <c r="I208" s="1721" t="s">
        <v>6867</v>
      </c>
      <c r="J208" s="1721">
        <v>1</v>
      </c>
      <c r="K208" s="1896">
        <v>633638.55000000005</v>
      </c>
      <c r="L208" s="1896">
        <v>299516.52</v>
      </c>
      <c r="M208" s="1896">
        <v>334122.03000000003</v>
      </c>
      <c r="N208" s="1721" t="s">
        <v>4024</v>
      </c>
      <c r="O208" s="1721" t="s">
        <v>108</v>
      </c>
      <c r="P208" s="1895"/>
      <c r="Q208" s="1701" t="s">
        <v>4389</v>
      </c>
    </row>
    <row r="209" spans="1:17" ht="10.5" customHeight="1">
      <c r="A209" s="1721" t="s">
        <v>4028</v>
      </c>
      <c r="B209" s="1721" t="s">
        <v>2340</v>
      </c>
      <c r="C209" s="1721" t="s">
        <v>3797</v>
      </c>
      <c r="D209" s="1721">
        <v>58341108</v>
      </c>
      <c r="E209" s="1721" t="s">
        <v>4030</v>
      </c>
      <c r="F209" s="1721">
        <v>143005946</v>
      </c>
      <c r="G209" s="1721" t="s">
        <v>4390</v>
      </c>
      <c r="H209" s="1894" t="s">
        <v>4391</v>
      </c>
      <c r="I209" s="1721" t="s">
        <v>6867</v>
      </c>
      <c r="J209" s="1721">
        <v>1</v>
      </c>
      <c r="K209" s="1896">
        <v>3098069.85</v>
      </c>
      <c r="L209" s="1896">
        <v>913857.8</v>
      </c>
      <c r="M209" s="1896">
        <v>2184212.0499999998</v>
      </c>
      <c r="N209" s="1721" t="s">
        <v>4024</v>
      </c>
      <c r="O209" s="1721" t="s">
        <v>95</v>
      </c>
      <c r="P209" s="1894"/>
      <c r="Q209" s="1701" t="s">
        <v>4392</v>
      </c>
    </row>
    <row r="210" spans="1:17" ht="10.5" customHeight="1">
      <c r="A210" s="1721" t="s">
        <v>4028</v>
      </c>
      <c r="B210" s="1721" t="s">
        <v>2340</v>
      </c>
      <c r="C210" s="1721" t="s">
        <v>3797</v>
      </c>
      <c r="D210" s="1721">
        <v>58341111</v>
      </c>
      <c r="E210" s="1721" t="s">
        <v>4030</v>
      </c>
      <c r="F210" s="1721">
        <v>143005947</v>
      </c>
      <c r="G210" s="1721" t="s">
        <v>4393</v>
      </c>
      <c r="H210" s="1894" t="s">
        <v>4394</v>
      </c>
      <c r="I210" s="1721" t="s">
        <v>6867</v>
      </c>
      <c r="J210" s="1721">
        <v>1</v>
      </c>
      <c r="K210" s="1896">
        <v>1705073.15</v>
      </c>
      <c r="L210" s="1896">
        <v>502956.51</v>
      </c>
      <c r="M210" s="1896">
        <v>1202116.6400000001</v>
      </c>
      <c r="N210" s="1721" t="s">
        <v>4024</v>
      </c>
      <c r="O210" s="1721" t="s">
        <v>95</v>
      </c>
      <c r="P210" s="1894"/>
      <c r="Q210" s="1701" t="s">
        <v>4395</v>
      </c>
    </row>
    <row r="211" spans="1:17" ht="10.5" customHeight="1">
      <c r="A211" s="1721" t="s">
        <v>4028</v>
      </c>
      <c r="B211" s="1721" t="s">
        <v>2340</v>
      </c>
      <c r="C211" s="1721" t="s">
        <v>3797</v>
      </c>
      <c r="D211" s="1721">
        <v>58341116</v>
      </c>
      <c r="E211" s="1721" t="s">
        <v>4030</v>
      </c>
      <c r="F211" s="1721">
        <v>143005955</v>
      </c>
      <c r="G211" s="1721" t="s">
        <v>4396</v>
      </c>
      <c r="H211" s="1894" t="s">
        <v>4397</v>
      </c>
      <c r="I211" s="1721" t="s">
        <v>6867</v>
      </c>
      <c r="J211" s="1721">
        <v>1</v>
      </c>
      <c r="K211" s="1896">
        <v>524957.73</v>
      </c>
      <c r="L211" s="1896">
        <v>248143.85</v>
      </c>
      <c r="M211" s="1896">
        <v>276813.88</v>
      </c>
      <c r="N211" s="1721" t="s">
        <v>4024</v>
      </c>
      <c r="O211" s="1721" t="s">
        <v>95</v>
      </c>
      <c r="P211" s="1895"/>
      <c r="Q211" s="1701" t="s">
        <v>4398</v>
      </c>
    </row>
    <row r="212" spans="1:17" ht="10.5" customHeight="1">
      <c r="A212" s="1721" t="s">
        <v>4028</v>
      </c>
      <c r="B212" s="1721" t="s">
        <v>2340</v>
      </c>
      <c r="C212" s="1721" t="s">
        <v>3797</v>
      </c>
      <c r="D212" s="1721">
        <v>58341144</v>
      </c>
      <c r="E212" s="1721" t="s">
        <v>4030</v>
      </c>
      <c r="F212" s="1721">
        <v>143006073</v>
      </c>
      <c r="G212" s="1721" t="s">
        <v>4399</v>
      </c>
      <c r="H212" s="1894" t="s">
        <v>4399</v>
      </c>
      <c r="I212" s="1721" t="s">
        <v>6867</v>
      </c>
      <c r="J212" s="1721">
        <v>1</v>
      </c>
      <c r="K212" s="1896">
        <v>59322.22</v>
      </c>
      <c r="L212" s="1896">
        <v>28041.200000000001</v>
      </c>
      <c r="M212" s="1896">
        <v>31281.02</v>
      </c>
      <c r="N212" s="1721" t="s">
        <v>4024</v>
      </c>
      <c r="O212" s="1721" t="s">
        <v>95</v>
      </c>
      <c r="P212" s="1894"/>
      <c r="Q212" s="1701" t="s">
        <v>4400</v>
      </c>
    </row>
    <row r="213" spans="1:17" ht="10.5" customHeight="1">
      <c r="A213" s="1721" t="s">
        <v>4028</v>
      </c>
      <c r="B213" s="1721" t="s">
        <v>2340</v>
      </c>
      <c r="C213" s="1721" t="s">
        <v>3797</v>
      </c>
      <c r="D213" s="1721">
        <v>58341161</v>
      </c>
      <c r="E213" s="1721" t="s">
        <v>4030</v>
      </c>
      <c r="F213" s="1721">
        <v>143006115</v>
      </c>
      <c r="G213" s="1721" t="s">
        <v>4401</v>
      </c>
      <c r="H213" s="1894" t="s">
        <v>4402</v>
      </c>
      <c r="I213" s="1721" t="s">
        <v>6867</v>
      </c>
      <c r="J213" s="1721">
        <v>1</v>
      </c>
      <c r="K213" s="1896">
        <v>12718.16</v>
      </c>
      <c r="L213" s="1896">
        <v>6011.79</v>
      </c>
      <c r="M213" s="1896">
        <v>6706.37</v>
      </c>
      <c r="N213" s="1721" t="s">
        <v>4024</v>
      </c>
      <c r="O213" s="1721" t="s">
        <v>95</v>
      </c>
      <c r="P213" s="1894"/>
      <c r="Q213" s="1701" t="s">
        <v>4403</v>
      </c>
    </row>
    <row r="214" spans="1:17" ht="10.5" customHeight="1">
      <c r="A214" s="1721" t="s">
        <v>4028</v>
      </c>
      <c r="B214" s="1721" t="s">
        <v>2340</v>
      </c>
      <c r="C214" s="1721" t="s">
        <v>3797</v>
      </c>
      <c r="D214" s="1721">
        <v>58341170</v>
      </c>
      <c r="E214" s="1721" t="s">
        <v>4030</v>
      </c>
      <c r="F214" s="1721">
        <v>143006281</v>
      </c>
      <c r="G214" s="1721" t="s">
        <v>4404</v>
      </c>
      <c r="H214" s="1894" t="s">
        <v>4405</v>
      </c>
      <c r="I214" s="1721" t="s">
        <v>6867</v>
      </c>
      <c r="J214" s="1721">
        <v>1</v>
      </c>
      <c r="K214" s="1896">
        <v>34776.53</v>
      </c>
      <c r="L214" s="1896">
        <v>10258.26</v>
      </c>
      <c r="M214" s="1896">
        <v>24518.27</v>
      </c>
      <c r="N214" s="1721" t="s">
        <v>4024</v>
      </c>
      <c r="O214" s="1721" t="s">
        <v>95</v>
      </c>
      <c r="P214" s="1895"/>
      <c r="Q214" s="1701" t="s">
        <v>8235</v>
      </c>
    </row>
    <row r="215" spans="1:17" ht="10.5" customHeight="1">
      <c r="A215" s="1721" t="s">
        <v>4028</v>
      </c>
      <c r="B215" s="1721" t="s">
        <v>2340</v>
      </c>
      <c r="C215" s="1721" t="s">
        <v>3797</v>
      </c>
      <c r="D215" s="1721">
        <v>58533309</v>
      </c>
      <c r="E215" s="1721" t="s">
        <v>4030</v>
      </c>
      <c r="F215" s="1721">
        <v>143006016</v>
      </c>
      <c r="G215" s="1721" t="s">
        <v>4406</v>
      </c>
      <c r="H215" s="1894" t="s">
        <v>4407</v>
      </c>
      <c r="I215" s="1721" t="s">
        <v>6867</v>
      </c>
      <c r="J215" s="1721">
        <v>1</v>
      </c>
      <c r="K215" s="1896">
        <v>120338.82</v>
      </c>
      <c r="L215" s="1896">
        <v>35497.120000000003</v>
      </c>
      <c r="M215" s="1896">
        <v>84841.7</v>
      </c>
      <c r="N215" s="1721" t="s">
        <v>4024</v>
      </c>
      <c r="O215" s="1721" t="s">
        <v>99</v>
      </c>
      <c r="P215" s="1895"/>
      <c r="Q215" s="1701" t="s">
        <v>4408</v>
      </c>
    </row>
    <row r="216" spans="1:17" ht="10.5" customHeight="1">
      <c r="A216" s="1721" t="s">
        <v>4028</v>
      </c>
      <c r="B216" s="1721" t="s">
        <v>2340</v>
      </c>
      <c r="C216" s="1721" t="s">
        <v>3797</v>
      </c>
      <c r="D216" s="1721">
        <v>58533343</v>
      </c>
      <c r="E216" s="1721" t="s">
        <v>4030</v>
      </c>
      <c r="F216" s="1721">
        <v>143006361</v>
      </c>
      <c r="G216" s="1721" t="s">
        <v>4409</v>
      </c>
      <c r="H216" s="1894" t="s">
        <v>4410</v>
      </c>
      <c r="I216" s="1721" t="s">
        <v>6867</v>
      </c>
      <c r="J216" s="1721">
        <v>1</v>
      </c>
      <c r="K216" s="1896">
        <v>245413.94</v>
      </c>
      <c r="L216" s="1896">
        <v>72391.350000000006</v>
      </c>
      <c r="M216" s="1896">
        <v>173022.59</v>
      </c>
      <c r="N216" s="1721" t="s">
        <v>4024</v>
      </c>
      <c r="O216" s="1721" t="s">
        <v>95</v>
      </c>
      <c r="P216" s="1894"/>
      <c r="Q216" s="1701" t="s">
        <v>4411</v>
      </c>
    </row>
    <row r="217" spans="1:17" ht="10.5" customHeight="1">
      <c r="A217" s="1721" t="s">
        <v>4028</v>
      </c>
      <c r="B217" s="1721" t="s">
        <v>2340</v>
      </c>
      <c r="C217" s="1721" t="s">
        <v>3797</v>
      </c>
      <c r="D217" s="1721">
        <v>58630188</v>
      </c>
      <c r="E217" s="1721" t="s">
        <v>4030</v>
      </c>
      <c r="F217" s="1721">
        <v>143006301</v>
      </c>
      <c r="G217" s="1721" t="s">
        <v>4412</v>
      </c>
      <c r="H217" s="1894" t="s">
        <v>4413</v>
      </c>
      <c r="I217" s="1721" t="s">
        <v>6867</v>
      </c>
      <c r="J217" s="1721">
        <v>1</v>
      </c>
      <c r="K217" s="1896">
        <v>82937.62</v>
      </c>
      <c r="L217" s="1896">
        <v>39204.03</v>
      </c>
      <c r="M217" s="1896">
        <v>43733.590000000004</v>
      </c>
      <c r="N217" s="1721" t="s">
        <v>4024</v>
      </c>
      <c r="O217" s="1721" t="s">
        <v>390</v>
      </c>
      <c r="P217" s="1894"/>
      <c r="Q217" s="1701" t="s">
        <v>4414</v>
      </c>
    </row>
    <row r="218" spans="1:17" ht="10.5" customHeight="1">
      <c r="A218" s="1721" t="s">
        <v>4028</v>
      </c>
      <c r="B218" s="1721" t="s">
        <v>2340</v>
      </c>
      <c r="C218" s="1721" t="s">
        <v>3797</v>
      </c>
      <c r="D218" s="1721">
        <v>58630193</v>
      </c>
      <c r="E218" s="1721" t="s">
        <v>4030</v>
      </c>
      <c r="F218" s="1721">
        <v>143006302</v>
      </c>
      <c r="G218" s="1721" t="s">
        <v>4415</v>
      </c>
      <c r="H218" s="1894" t="s">
        <v>4416</v>
      </c>
      <c r="I218" s="1721" t="s">
        <v>6867</v>
      </c>
      <c r="J218" s="1721">
        <v>1</v>
      </c>
      <c r="K218" s="1896">
        <v>12484.95</v>
      </c>
      <c r="L218" s="1896">
        <v>5901.55</v>
      </c>
      <c r="M218" s="1896">
        <v>6583.4000000000005</v>
      </c>
      <c r="N218" s="1721" t="s">
        <v>4024</v>
      </c>
      <c r="O218" s="1721" t="s">
        <v>95</v>
      </c>
      <c r="P218" s="1894"/>
      <c r="Q218" s="1701" t="s">
        <v>4417</v>
      </c>
    </row>
    <row r="219" spans="1:17" ht="10.5" customHeight="1">
      <c r="A219" s="1721" t="s">
        <v>4028</v>
      </c>
      <c r="B219" s="1721" t="s">
        <v>2340</v>
      </c>
      <c r="C219" s="1721" t="s">
        <v>3797</v>
      </c>
      <c r="D219" s="1721">
        <v>58630198</v>
      </c>
      <c r="E219" s="1721" t="s">
        <v>4030</v>
      </c>
      <c r="F219" s="1721">
        <v>143006304</v>
      </c>
      <c r="G219" s="1721" t="s">
        <v>4418</v>
      </c>
      <c r="H219" s="1894" t="s">
        <v>4418</v>
      </c>
      <c r="I219" s="1721" t="s">
        <v>6867</v>
      </c>
      <c r="J219" s="1721">
        <v>1</v>
      </c>
      <c r="K219" s="1896">
        <v>14791.82</v>
      </c>
      <c r="L219" s="1896">
        <v>6991.99</v>
      </c>
      <c r="M219" s="1896">
        <v>7799.83</v>
      </c>
      <c r="N219" s="1721" t="s">
        <v>4024</v>
      </c>
      <c r="O219" s="1721" t="s">
        <v>95</v>
      </c>
      <c r="P219" s="1894"/>
      <c r="Q219" s="1701" t="s">
        <v>4419</v>
      </c>
    </row>
    <row r="220" spans="1:17" ht="10.5" customHeight="1">
      <c r="A220" s="1721" t="s">
        <v>4028</v>
      </c>
      <c r="B220" s="1721" t="s">
        <v>2340</v>
      </c>
      <c r="C220" s="1721" t="s">
        <v>3797</v>
      </c>
      <c r="D220" s="1721">
        <v>58744574</v>
      </c>
      <c r="E220" s="1721" t="s">
        <v>4030</v>
      </c>
      <c r="F220" s="1721">
        <v>143006363</v>
      </c>
      <c r="G220" s="1721" t="s">
        <v>4420</v>
      </c>
      <c r="H220" s="1894" t="s">
        <v>4421</v>
      </c>
      <c r="I220" s="1721" t="s">
        <v>6867</v>
      </c>
      <c r="J220" s="1721">
        <v>1</v>
      </c>
      <c r="K220" s="1896">
        <v>157030.16</v>
      </c>
      <c r="L220" s="1896">
        <v>46320.21</v>
      </c>
      <c r="M220" s="1896">
        <v>110709.95</v>
      </c>
      <c r="N220" s="1721" t="s">
        <v>4024</v>
      </c>
      <c r="O220" s="1721" t="s">
        <v>392</v>
      </c>
      <c r="P220" s="1894"/>
      <c r="Q220" s="1701" t="s">
        <v>8236</v>
      </c>
    </row>
    <row r="221" spans="1:17" ht="10.5" customHeight="1">
      <c r="A221" s="1721" t="s">
        <v>4028</v>
      </c>
      <c r="B221" s="1721" t="s">
        <v>2340</v>
      </c>
      <c r="C221" s="1721" t="s">
        <v>3797</v>
      </c>
      <c r="D221" s="1721">
        <v>59105327</v>
      </c>
      <c r="E221" s="1721" t="s">
        <v>4030</v>
      </c>
      <c r="F221" s="1721">
        <v>143005760</v>
      </c>
      <c r="G221" s="1721" t="s">
        <v>4422</v>
      </c>
      <c r="H221" s="1894" t="s">
        <v>4423</v>
      </c>
      <c r="I221" s="1721" t="s">
        <v>6867</v>
      </c>
      <c r="J221" s="1721">
        <v>1</v>
      </c>
      <c r="K221" s="1896">
        <v>71858.100000000006</v>
      </c>
      <c r="L221" s="1896">
        <v>52701.48</v>
      </c>
      <c r="M221" s="1896">
        <v>19156.62</v>
      </c>
      <c r="N221" s="1721" t="s">
        <v>4024</v>
      </c>
      <c r="O221" s="1721" t="s">
        <v>390</v>
      </c>
      <c r="P221" s="1894"/>
      <c r="Q221" s="1701" t="s">
        <v>4424</v>
      </c>
    </row>
    <row r="222" spans="1:17" ht="10.5" customHeight="1">
      <c r="A222" s="1721" t="s">
        <v>4028</v>
      </c>
      <c r="B222" s="1721" t="s">
        <v>2340</v>
      </c>
      <c r="C222" s="1721" t="s">
        <v>3797</v>
      </c>
      <c r="D222" s="1721">
        <v>59105345</v>
      </c>
      <c r="E222" s="1721" t="s">
        <v>4030</v>
      </c>
      <c r="F222" s="1721">
        <v>143005910</v>
      </c>
      <c r="G222" s="1721" t="s">
        <v>4425</v>
      </c>
      <c r="H222" s="1894" t="s">
        <v>4426</v>
      </c>
      <c r="I222" s="1721" t="s">
        <v>6867</v>
      </c>
      <c r="J222" s="1721">
        <v>1</v>
      </c>
      <c r="K222" s="1896">
        <v>28274.06</v>
      </c>
      <c r="L222" s="1896">
        <v>8340.18</v>
      </c>
      <c r="M222" s="1896">
        <v>19933.88</v>
      </c>
      <c r="N222" s="1721" t="s">
        <v>4024</v>
      </c>
      <c r="O222" s="1721" t="s">
        <v>390</v>
      </c>
      <c r="P222" s="1894"/>
      <c r="Q222" s="1701" t="s">
        <v>4427</v>
      </c>
    </row>
    <row r="223" spans="1:17" ht="10.5" customHeight="1">
      <c r="A223" s="1721" t="s">
        <v>4028</v>
      </c>
      <c r="B223" s="1721" t="s">
        <v>2340</v>
      </c>
      <c r="C223" s="1721" t="s">
        <v>3797</v>
      </c>
      <c r="D223" s="1721">
        <v>59148389</v>
      </c>
      <c r="E223" s="1721" t="s">
        <v>4030</v>
      </c>
      <c r="F223" s="1721">
        <v>143005928</v>
      </c>
      <c r="G223" s="1721" t="s">
        <v>4428</v>
      </c>
      <c r="H223" s="1894" t="s">
        <v>4428</v>
      </c>
      <c r="I223" s="1721" t="s">
        <v>6867</v>
      </c>
      <c r="J223" s="1721">
        <v>1</v>
      </c>
      <c r="K223" s="1896">
        <v>2029399.2</v>
      </c>
      <c r="L223" s="1896">
        <v>598625.07000000007</v>
      </c>
      <c r="M223" s="1896">
        <v>1430774.13</v>
      </c>
      <c r="N223" s="1721" t="s">
        <v>4024</v>
      </c>
      <c r="O223" s="1721" t="s">
        <v>95</v>
      </c>
      <c r="P223" s="1894"/>
      <c r="Q223" s="1701" t="s">
        <v>4429</v>
      </c>
    </row>
    <row r="224" spans="1:17" ht="10.5" customHeight="1">
      <c r="A224" s="1721" t="s">
        <v>4028</v>
      </c>
      <c r="B224" s="1721" t="s">
        <v>2340</v>
      </c>
      <c r="C224" s="1721" t="s">
        <v>3797</v>
      </c>
      <c r="D224" s="1721">
        <v>59204339</v>
      </c>
      <c r="E224" s="1721" t="s">
        <v>4030</v>
      </c>
      <c r="F224" s="1721">
        <v>143006443</v>
      </c>
      <c r="G224" s="1721" t="s">
        <v>4430</v>
      </c>
      <c r="H224" s="1894" t="s">
        <v>4431</v>
      </c>
      <c r="I224" s="1721" t="s">
        <v>6867</v>
      </c>
      <c r="J224" s="1721">
        <v>1</v>
      </c>
      <c r="K224" s="1896">
        <v>268392.27</v>
      </c>
      <c r="L224" s="1896">
        <v>79169.41</v>
      </c>
      <c r="M224" s="1896">
        <v>189222.86000000002</v>
      </c>
      <c r="N224" s="1721" t="s">
        <v>4024</v>
      </c>
      <c r="O224" s="1721" t="s">
        <v>390</v>
      </c>
      <c r="P224" s="1894"/>
      <c r="Q224" s="1701" t="s">
        <v>4432</v>
      </c>
    </row>
    <row r="225" spans="1:17" ht="10.5" customHeight="1">
      <c r="A225" s="1721" t="s">
        <v>4028</v>
      </c>
      <c r="B225" s="1721" t="s">
        <v>2340</v>
      </c>
      <c r="C225" s="1721" t="s">
        <v>3797</v>
      </c>
      <c r="D225" s="1721">
        <v>59379783</v>
      </c>
      <c r="E225" s="1721" t="s">
        <v>4030</v>
      </c>
      <c r="F225" s="1721">
        <v>143005238</v>
      </c>
      <c r="G225" s="1721" t="s">
        <v>4433</v>
      </c>
      <c r="H225" s="1894" t="s">
        <v>4434</v>
      </c>
      <c r="I225" s="1721" t="s">
        <v>6867</v>
      </c>
      <c r="J225" s="1721">
        <v>1</v>
      </c>
      <c r="K225" s="1896">
        <v>539916.93000000005</v>
      </c>
      <c r="L225" s="1896">
        <v>159262.81</v>
      </c>
      <c r="M225" s="1896">
        <v>380654.12</v>
      </c>
      <c r="N225" s="1721" t="s">
        <v>4024</v>
      </c>
      <c r="O225" s="1721" t="s">
        <v>95</v>
      </c>
      <c r="P225" s="1894"/>
      <c r="Q225" s="1701" t="s">
        <v>4435</v>
      </c>
    </row>
    <row r="226" spans="1:17" ht="10.5" customHeight="1">
      <c r="A226" s="1721" t="s">
        <v>4028</v>
      </c>
      <c r="B226" s="1721" t="s">
        <v>2340</v>
      </c>
      <c r="C226" s="1721" t="s">
        <v>3797</v>
      </c>
      <c r="D226" s="1721">
        <v>59379826</v>
      </c>
      <c r="E226" s="1721" t="s">
        <v>4030</v>
      </c>
      <c r="F226" s="1721">
        <v>143005899</v>
      </c>
      <c r="G226" s="1721" t="s">
        <v>4436</v>
      </c>
      <c r="H226" s="1894" t="s">
        <v>4437</v>
      </c>
      <c r="I226" s="1721" t="s">
        <v>6867</v>
      </c>
      <c r="J226" s="1721">
        <v>1</v>
      </c>
      <c r="K226" s="1896">
        <v>305888.91000000003</v>
      </c>
      <c r="L226" s="1896">
        <v>90230.040000000008</v>
      </c>
      <c r="M226" s="1896">
        <v>215658.87</v>
      </c>
      <c r="N226" s="1721" t="s">
        <v>4024</v>
      </c>
      <c r="O226" s="1721" t="s">
        <v>95</v>
      </c>
      <c r="P226" s="1894"/>
      <c r="Q226" s="1701" t="s">
        <v>4438</v>
      </c>
    </row>
    <row r="227" spans="1:17" ht="10.5" customHeight="1">
      <c r="A227" s="1721" t="s">
        <v>4028</v>
      </c>
      <c r="B227" s="1721" t="s">
        <v>2340</v>
      </c>
      <c r="C227" s="1721" t="s">
        <v>3797</v>
      </c>
      <c r="D227" s="1721">
        <v>59622179</v>
      </c>
      <c r="E227" s="1721" t="s">
        <v>4030</v>
      </c>
      <c r="F227" s="1721">
        <v>143006445</v>
      </c>
      <c r="G227" s="1721" t="s">
        <v>4439</v>
      </c>
      <c r="H227" s="1894" t="s">
        <v>4440</v>
      </c>
      <c r="I227" s="1721" t="s">
        <v>6867</v>
      </c>
      <c r="J227" s="1721">
        <v>1</v>
      </c>
      <c r="K227" s="1896">
        <v>70151.490000000005</v>
      </c>
      <c r="L227" s="1896">
        <v>20693.04</v>
      </c>
      <c r="M227" s="1896">
        <v>49458.450000000004</v>
      </c>
      <c r="N227" s="1721" t="s">
        <v>4024</v>
      </c>
      <c r="O227" s="1721" t="s">
        <v>95</v>
      </c>
      <c r="P227" s="1894"/>
      <c r="Q227" s="1701" t="s">
        <v>4432</v>
      </c>
    </row>
    <row r="228" spans="1:17" ht="10.5" customHeight="1">
      <c r="A228" s="1721" t="s">
        <v>4028</v>
      </c>
      <c r="B228" s="1721" t="s">
        <v>2340</v>
      </c>
      <c r="C228" s="1721" t="s">
        <v>3797</v>
      </c>
      <c r="D228" s="1721">
        <v>59622182</v>
      </c>
      <c r="E228" s="1721" t="s">
        <v>4030</v>
      </c>
      <c r="F228" s="1721">
        <v>143006446</v>
      </c>
      <c r="G228" s="1721" t="s">
        <v>4441</v>
      </c>
      <c r="H228" s="1894" t="s">
        <v>4442</v>
      </c>
      <c r="I228" s="1721" t="s">
        <v>6867</v>
      </c>
      <c r="J228" s="1721">
        <v>1</v>
      </c>
      <c r="K228" s="1896">
        <v>23061.040000000001</v>
      </c>
      <c r="L228" s="1896">
        <v>6802.46</v>
      </c>
      <c r="M228" s="1896">
        <v>16258.58</v>
      </c>
      <c r="N228" s="1721" t="s">
        <v>4024</v>
      </c>
      <c r="O228" s="1721" t="s">
        <v>95</v>
      </c>
      <c r="P228" s="1894"/>
      <c r="Q228" s="1701" t="s">
        <v>4432</v>
      </c>
    </row>
    <row r="229" spans="1:17" ht="10.5" customHeight="1">
      <c r="A229" s="1721" t="s">
        <v>4028</v>
      </c>
      <c r="B229" s="1721" t="s">
        <v>2340</v>
      </c>
      <c r="C229" s="1721" t="s">
        <v>3797</v>
      </c>
      <c r="D229" s="1721">
        <v>59903561</v>
      </c>
      <c r="E229" s="1721" t="s">
        <v>4030</v>
      </c>
      <c r="F229" s="1721">
        <v>143005892</v>
      </c>
      <c r="G229" s="1721" t="s">
        <v>4443</v>
      </c>
      <c r="H229" s="1894" t="s">
        <v>4444</v>
      </c>
      <c r="I229" s="1721" t="s">
        <v>6867</v>
      </c>
      <c r="J229" s="1721">
        <v>1</v>
      </c>
      <c r="K229" s="1896">
        <v>139490.20000000001</v>
      </c>
      <c r="L229" s="1896">
        <v>41146.33</v>
      </c>
      <c r="M229" s="1896">
        <v>98343.87</v>
      </c>
      <c r="N229" s="1721" t="s">
        <v>4024</v>
      </c>
      <c r="O229" s="1721" t="s">
        <v>390</v>
      </c>
      <c r="P229" s="1894"/>
      <c r="Q229" s="1701" t="s">
        <v>4445</v>
      </c>
    </row>
    <row r="230" spans="1:17" ht="10.5" customHeight="1">
      <c r="A230" s="1721" t="s">
        <v>4028</v>
      </c>
      <c r="B230" s="1721" t="s">
        <v>2340</v>
      </c>
      <c r="C230" s="1721" t="s">
        <v>3797</v>
      </c>
      <c r="D230" s="1721">
        <v>60027372</v>
      </c>
      <c r="E230" s="1721" t="s">
        <v>4030</v>
      </c>
      <c r="F230" s="1721">
        <v>143006424</v>
      </c>
      <c r="G230" s="1721" t="s">
        <v>4446</v>
      </c>
      <c r="H230" s="1894" t="s">
        <v>4447</v>
      </c>
      <c r="I230" s="1721" t="s">
        <v>6867</v>
      </c>
      <c r="J230" s="1721">
        <v>1</v>
      </c>
      <c r="K230" s="1896">
        <v>58931.3</v>
      </c>
      <c r="L230" s="1896">
        <v>17383.349999999999</v>
      </c>
      <c r="M230" s="1896">
        <v>41547.950000000004</v>
      </c>
      <c r="N230" s="1721" t="s">
        <v>4024</v>
      </c>
      <c r="O230" s="1721" t="s">
        <v>95</v>
      </c>
      <c r="P230" s="1894"/>
      <c r="Q230" s="1701" t="s">
        <v>8207</v>
      </c>
    </row>
    <row r="231" spans="1:17" ht="10.5" customHeight="1">
      <c r="A231" s="1721" t="s">
        <v>4028</v>
      </c>
      <c r="B231" s="1721" t="s">
        <v>2340</v>
      </c>
      <c r="C231" s="1721" t="s">
        <v>3797</v>
      </c>
      <c r="D231" s="1721">
        <v>60027375</v>
      </c>
      <c r="E231" s="1721" t="s">
        <v>4030</v>
      </c>
      <c r="F231" s="1721">
        <v>143006442</v>
      </c>
      <c r="G231" s="1721" t="s">
        <v>4448</v>
      </c>
      <c r="H231" s="1894" t="s">
        <v>4449</v>
      </c>
      <c r="I231" s="1721" t="s">
        <v>6867</v>
      </c>
      <c r="J231" s="1721">
        <v>1</v>
      </c>
      <c r="K231" s="1896">
        <v>184584.23</v>
      </c>
      <c r="L231" s="1896">
        <v>54448.01</v>
      </c>
      <c r="M231" s="1896">
        <v>130136.22</v>
      </c>
      <c r="N231" s="1721" t="s">
        <v>4024</v>
      </c>
      <c r="O231" s="1721" t="s">
        <v>95</v>
      </c>
      <c r="P231" s="1894"/>
      <c r="Q231" s="1701" t="s">
        <v>4450</v>
      </c>
    </row>
    <row r="232" spans="1:17" ht="10.5" customHeight="1">
      <c r="A232" s="1721" t="s">
        <v>4028</v>
      </c>
      <c r="B232" s="1721" t="s">
        <v>2340</v>
      </c>
      <c r="C232" s="1721" t="s">
        <v>3797</v>
      </c>
      <c r="D232" s="1721">
        <v>60027382</v>
      </c>
      <c r="E232" s="1721" t="s">
        <v>4030</v>
      </c>
      <c r="F232" s="1721">
        <v>143006721</v>
      </c>
      <c r="G232" s="1721" t="s">
        <v>4451</v>
      </c>
      <c r="H232" s="1894" t="s">
        <v>4452</v>
      </c>
      <c r="I232" s="1721" t="s">
        <v>6867</v>
      </c>
      <c r="J232" s="1721">
        <v>1</v>
      </c>
      <c r="K232" s="1896">
        <v>32227.41</v>
      </c>
      <c r="L232" s="1896">
        <v>9506.33</v>
      </c>
      <c r="M232" s="1896">
        <v>22721.08</v>
      </c>
      <c r="N232" s="1721" t="s">
        <v>4024</v>
      </c>
      <c r="O232" s="1721" t="s">
        <v>95</v>
      </c>
      <c r="P232" s="1894"/>
      <c r="Q232" s="1701" t="s">
        <v>4453</v>
      </c>
    </row>
    <row r="233" spans="1:17" ht="10.5" customHeight="1">
      <c r="A233" s="1721" t="s">
        <v>4028</v>
      </c>
      <c r="B233" s="1721" t="s">
        <v>2340</v>
      </c>
      <c r="C233" s="1721" t="s">
        <v>3797</v>
      </c>
      <c r="D233" s="1721">
        <v>60066937</v>
      </c>
      <c r="E233" s="1721" t="s">
        <v>4030</v>
      </c>
      <c r="F233" s="1721">
        <v>143006476</v>
      </c>
      <c r="G233" s="1721" t="s">
        <v>4454</v>
      </c>
      <c r="H233" s="1894" t="s">
        <v>4454</v>
      </c>
      <c r="I233" s="1721" t="s">
        <v>6867</v>
      </c>
      <c r="J233" s="1721">
        <v>1</v>
      </c>
      <c r="K233" s="1896">
        <v>223986.72</v>
      </c>
      <c r="L233" s="1896">
        <v>66070.820000000007</v>
      </c>
      <c r="M233" s="1896">
        <v>157915.9</v>
      </c>
      <c r="N233" s="1721" t="s">
        <v>4024</v>
      </c>
      <c r="O233" s="1721" t="s">
        <v>390</v>
      </c>
      <c r="P233" s="1894"/>
      <c r="Q233" s="1701" t="s">
        <v>8237</v>
      </c>
    </row>
    <row r="234" spans="1:17" ht="10.5" customHeight="1">
      <c r="A234" s="1721" t="s">
        <v>4028</v>
      </c>
      <c r="B234" s="1721" t="s">
        <v>2340</v>
      </c>
      <c r="C234" s="1721" t="s">
        <v>3797</v>
      </c>
      <c r="D234" s="1721">
        <v>60066940</v>
      </c>
      <c r="E234" s="1721" t="s">
        <v>4030</v>
      </c>
      <c r="F234" s="1721">
        <v>143006477</v>
      </c>
      <c r="G234" s="1721" t="s">
        <v>4455</v>
      </c>
      <c r="H234" s="1894" t="s">
        <v>4456</v>
      </c>
      <c r="I234" s="1721" t="s">
        <v>6867</v>
      </c>
      <c r="J234" s="1721">
        <v>1</v>
      </c>
      <c r="K234" s="1896">
        <v>159092.21</v>
      </c>
      <c r="L234" s="1896">
        <v>46928.46</v>
      </c>
      <c r="M234" s="1896">
        <v>112163.75</v>
      </c>
      <c r="N234" s="1721" t="s">
        <v>4024</v>
      </c>
      <c r="O234" s="1721" t="s">
        <v>390</v>
      </c>
      <c r="P234" s="1894"/>
      <c r="Q234" s="1701" t="s">
        <v>8208</v>
      </c>
    </row>
    <row r="235" spans="1:17" ht="10.5" customHeight="1">
      <c r="A235" s="1721" t="s">
        <v>4028</v>
      </c>
      <c r="B235" s="1721" t="s">
        <v>2340</v>
      </c>
      <c r="C235" s="1721" t="s">
        <v>3797</v>
      </c>
      <c r="D235" s="1721">
        <v>60305819</v>
      </c>
      <c r="E235" s="1721" t="s">
        <v>4030</v>
      </c>
      <c r="F235" s="1721">
        <v>143006460</v>
      </c>
      <c r="G235" s="1721" t="s">
        <v>4457</v>
      </c>
      <c r="H235" s="1894" t="s">
        <v>4457</v>
      </c>
      <c r="I235" s="1721" t="s">
        <v>6867</v>
      </c>
      <c r="J235" s="1721">
        <v>1</v>
      </c>
      <c r="K235" s="1896">
        <v>208660.84</v>
      </c>
      <c r="L235" s="1896">
        <v>61550.04</v>
      </c>
      <c r="M235" s="1896">
        <v>147110.80000000002</v>
      </c>
      <c r="N235" s="1721" t="s">
        <v>4024</v>
      </c>
      <c r="O235" s="1721" t="s">
        <v>95</v>
      </c>
      <c r="P235" s="1894"/>
      <c r="Q235" s="1701" t="s">
        <v>8238</v>
      </c>
    </row>
    <row r="236" spans="1:17" ht="10.5" customHeight="1">
      <c r="A236" s="1721" t="s">
        <v>4028</v>
      </c>
      <c r="B236" s="1721" t="s">
        <v>2340</v>
      </c>
      <c r="C236" s="1721" t="s">
        <v>3797</v>
      </c>
      <c r="D236" s="1721">
        <v>60484612</v>
      </c>
      <c r="E236" s="1721" t="s">
        <v>4030</v>
      </c>
      <c r="F236" s="1721">
        <v>143005888</v>
      </c>
      <c r="G236" s="1721" t="s">
        <v>4458</v>
      </c>
      <c r="H236" s="1894" t="s">
        <v>4458</v>
      </c>
      <c r="I236" s="1721" t="s">
        <v>6867</v>
      </c>
      <c r="J236" s="1721">
        <v>1</v>
      </c>
      <c r="K236" s="1896">
        <v>3614400.62</v>
      </c>
      <c r="L236" s="1896">
        <v>1066163.24</v>
      </c>
      <c r="M236" s="1896">
        <v>2548237.38</v>
      </c>
      <c r="N236" s="1721" t="s">
        <v>4024</v>
      </c>
      <c r="O236" s="1721" t="s">
        <v>95</v>
      </c>
      <c r="P236" s="1894"/>
      <c r="Q236" s="1701" t="s">
        <v>4459</v>
      </c>
    </row>
    <row r="237" spans="1:17" ht="10.5" customHeight="1">
      <c r="A237" s="1721" t="s">
        <v>4028</v>
      </c>
      <c r="B237" s="1721" t="s">
        <v>2340</v>
      </c>
      <c r="C237" s="1721" t="s">
        <v>3797</v>
      </c>
      <c r="D237" s="1721">
        <v>60484639</v>
      </c>
      <c r="E237" s="1721" t="s">
        <v>4030</v>
      </c>
      <c r="F237" s="1721">
        <v>143006700</v>
      </c>
      <c r="G237" s="1721" t="s">
        <v>4460</v>
      </c>
      <c r="H237" s="1894" t="s">
        <v>4461</v>
      </c>
      <c r="I237" s="1721" t="s">
        <v>6867</v>
      </c>
      <c r="J237" s="1721">
        <v>1</v>
      </c>
      <c r="K237" s="1896">
        <v>220318.43</v>
      </c>
      <c r="L237" s="1896">
        <v>64988.76</v>
      </c>
      <c r="M237" s="1896">
        <v>155329.67000000001</v>
      </c>
      <c r="N237" s="1721" t="s">
        <v>4024</v>
      </c>
      <c r="O237" s="1721" t="s">
        <v>390</v>
      </c>
      <c r="P237" s="1894"/>
      <c r="Q237" s="1701" t="s">
        <v>4462</v>
      </c>
    </row>
    <row r="238" spans="1:17" ht="10.5" customHeight="1">
      <c r="A238" s="1721" t="s">
        <v>4028</v>
      </c>
      <c r="B238" s="1721" t="s">
        <v>2340</v>
      </c>
      <c r="C238" s="1721" t="s">
        <v>3797</v>
      </c>
      <c r="D238" s="1721">
        <v>60674315</v>
      </c>
      <c r="E238" s="1721" t="s">
        <v>4030</v>
      </c>
      <c r="F238" s="1721">
        <v>143006680</v>
      </c>
      <c r="G238" s="1721" t="s">
        <v>4463</v>
      </c>
      <c r="H238" s="1894" t="s">
        <v>4464</v>
      </c>
      <c r="I238" s="1721" t="s">
        <v>6867</v>
      </c>
      <c r="J238" s="1721">
        <v>1</v>
      </c>
      <c r="K238" s="1896">
        <v>14308.66</v>
      </c>
      <c r="L238" s="1896">
        <v>4220.72</v>
      </c>
      <c r="M238" s="1896">
        <v>10087.94</v>
      </c>
      <c r="N238" s="1721" t="s">
        <v>4024</v>
      </c>
      <c r="O238" s="1721" t="s">
        <v>95</v>
      </c>
      <c r="P238" s="1894"/>
      <c r="Q238" s="1701" t="s">
        <v>4465</v>
      </c>
    </row>
    <row r="239" spans="1:17" ht="10.5" customHeight="1">
      <c r="A239" s="1721" t="s">
        <v>4028</v>
      </c>
      <c r="B239" s="1721" t="s">
        <v>2340</v>
      </c>
      <c r="C239" s="1721" t="s">
        <v>3797</v>
      </c>
      <c r="D239" s="1721">
        <v>61053077</v>
      </c>
      <c r="E239" s="1721" t="s">
        <v>4030</v>
      </c>
      <c r="F239" s="1721">
        <v>143006479</v>
      </c>
      <c r="G239" s="1721" t="s">
        <v>4466</v>
      </c>
      <c r="H239" s="1894" t="s">
        <v>4467</v>
      </c>
      <c r="I239" s="1721" t="s">
        <v>6867</v>
      </c>
      <c r="J239" s="1721">
        <v>1</v>
      </c>
      <c r="K239" s="1896">
        <v>130372.92</v>
      </c>
      <c r="L239" s="1896">
        <v>38456.950000000004</v>
      </c>
      <c r="M239" s="1896">
        <v>91915.97</v>
      </c>
      <c r="N239" s="1721" t="s">
        <v>4024</v>
      </c>
      <c r="O239" s="1721" t="s">
        <v>108</v>
      </c>
      <c r="P239" s="1894"/>
      <c r="Q239" s="1701" t="s">
        <v>4468</v>
      </c>
    </row>
    <row r="240" spans="1:17" ht="10.5" customHeight="1">
      <c r="A240" s="1721" t="s">
        <v>4028</v>
      </c>
      <c r="B240" s="1721" t="s">
        <v>2340</v>
      </c>
      <c r="C240" s="1721" t="s">
        <v>3797</v>
      </c>
      <c r="D240" s="1721">
        <v>61053086</v>
      </c>
      <c r="E240" s="1721" t="s">
        <v>4030</v>
      </c>
      <c r="F240" s="1721">
        <v>143006760</v>
      </c>
      <c r="G240" s="1721" t="s">
        <v>4469</v>
      </c>
      <c r="H240" s="1894" t="s">
        <v>4470</v>
      </c>
      <c r="I240" s="1721" t="s">
        <v>6867</v>
      </c>
      <c r="J240" s="1721">
        <v>1</v>
      </c>
      <c r="K240" s="1896">
        <v>38737.57</v>
      </c>
      <c r="L240" s="1896">
        <v>11426.67</v>
      </c>
      <c r="M240" s="1896">
        <v>27310.9</v>
      </c>
      <c r="N240" s="1721" t="s">
        <v>4024</v>
      </c>
      <c r="O240" s="1721" t="s">
        <v>390</v>
      </c>
      <c r="P240" s="1894"/>
      <c r="Q240" s="1701" t="s">
        <v>8209</v>
      </c>
    </row>
    <row r="241" spans="1:17" ht="10.5" customHeight="1">
      <c r="A241" s="1721" t="s">
        <v>4028</v>
      </c>
      <c r="B241" s="1721" t="s">
        <v>2340</v>
      </c>
      <c r="C241" s="1721" t="s">
        <v>3797</v>
      </c>
      <c r="D241" s="1721">
        <v>61167624</v>
      </c>
      <c r="E241" s="1721" t="s">
        <v>4030</v>
      </c>
      <c r="F241" s="1721">
        <v>143006072</v>
      </c>
      <c r="G241" s="1721" t="s">
        <v>4471</v>
      </c>
      <c r="H241" s="1894" t="s">
        <v>4472</v>
      </c>
      <c r="I241" s="1721" t="s">
        <v>6867</v>
      </c>
      <c r="J241" s="1721">
        <v>1</v>
      </c>
      <c r="K241" s="1896">
        <v>46948.090000000004</v>
      </c>
      <c r="L241" s="1896">
        <v>13848.58</v>
      </c>
      <c r="M241" s="1896">
        <v>33099.51</v>
      </c>
      <c r="N241" s="1721" t="s">
        <v>4024</v>
      </c>
      <c r="O241" s="1721" t="s">
        <v>95</v>
      </c>
      <c r="P241" s="1894"/>
      <c r="Q241" s="1701" t="s">
        <v>4473</v>
      </c>
    </row>
    <row r="242" spans="1:17" ht="10.5" customHeight="1">
      <c r="A242" s="1721" t="s">
        <v>4028</v>
      </c>
      <c r="B242" s="1721" t="s">
        <v>2340</v>
      </c>
      <c r="C242" s="1721" t="s">
        <v>3797</v>
      </c>
      <c r="D242" s="1721">
        <v>61312615</v>
      </c>
      <c r="E242" s="1721" t="s">
        <v>4030</v>
      </c>
      <c r="F242" s="1721">
        <v>143006662</v>
      </c>
      <c r="G242" s="1721" t="s">
        <v>4474</v>
      </c>
      <c r="H242" s="1894" t="s">
        <v>4474</v>
      </c>
      <c r="I242" s="1721" t="s">
        <v>6867</v>
      </c>
      <c r="J242" s="1721">
        <v>1</v>
      </c>
      <c r="K242" s="1896">
        <v>87196.84</v>
      </c>
      <c r="L242" s="1896">
        <v>25721.02</v>
      </c>
      <c r="M242" s="1896">
        <v>61475.82</v>
      </c>
      <c r="N242" s="1721" t="s">
        <v>4024</v>
      </c>
      <c r="O242" s="1721" t="s">
        <v>95</v>
      </c>
      <c r="P242" s="1894"/>
      <c r="Q242" s="1701" t="s">
        <v>4475</v>
      </c>
    </row>
    <row r="243" spans="1:17" ht="10.5" customHeight="1">
      <c r="A243" s="1721" t="s">
        <v>4028</v>
      </c>
      <c r="B243" s="1721" t="s">
        <v>2340</v>
      </c>
      <c r="C243" s="1721" t="s">
        <v>3797</v>
      </c>
      <c r="D243" s="1721">
        <v>61702502</v>
      </c>
      <c r="E243" s="1721" t="s">
        <v>4030</v>
      </c>
      <c r="F243" s="1721">
        <v>143005882</v>
      </c>
      <c r="G243" s="1721" t="s">
        <v>4476</v>
      </c>
      <c r="H243" s="1894" t="s">
        <v>4476</v>
      </c>
      <c r="I243" s="1721" t="s">
        <v>6867</v>
      </c>
      <c r="J243" s="1721">
        <v>1</v>
      </c>
      <c r="K243" s="1896">
        <v>5151207.0999999996</v>
      </c>
      <c r="L243" s="1896">
        <v>1519485.04</v>
      </c>
      <c r="M243" s="1896">
        <v>3631722.06</v>
      </c>
      <c r="N243" s="1721" t="s">
        <v>4024</v>
      </c>
      <c r="O243" s="1721" t="s">
        <v>95</v>
      </c>
      <c r="P243" s="1894"/>
      <c r="Q243" s="1701" t="s">
        <v>4477</v>
      </c>
    </row>
    <row r="244" spans="1:17" ht="10.5" customHeight="1">
      <c r="A244" s="1721" t="s">
        <v>4028</v>
      </c>
      <c r="B244" s="1721" t="s">
        <v>2340</v>
      </c>
      <c r="C244" s="1721" t="s">
        <v>3797</v>
      </c>
      <c r="D244" s="1721">
        <v>62124226</v>
      </c>
      <c r="E244" s="1721" t="s">
        <v>4030</v>
      </c>
      <c r="F244" s="1721">
        <v>143006447</v>
      </c>
      <c r="G244" s="1721" t="s">
        <v>4478</v>
      </c>
      <c r="H244" s="1894" t="s">
        <v>4479</v>
      </c>
      <c r="I244" s="1721" t="s">
        <v>6867</v>
      </c>
      <c r="J244" s="1721">
        <v>1</v>
      </c>
      <c r="K244" s="1896">
        <v>29506.670000000002</v>
      </c>
      <c r="L244" s="1896">
        <v>8703.77</v>
      </c>
      <c r="M244" s="1896">
        <v>20802.900000000001</v>
      </c>
      <c r="N244" s="1721" t="s">
        <v>4024</v>
      </c>
      <c r="O244" s="1721" t="s">
        <v>95</v>
      </c>
      <c r="P244" s="1894"/>
      <c r="Q244" s="1701" t="s">
        <v>8239</v>
      </c>
    </row>
    <row r="245" spans="1:17" ht="10.5" customHeight="1">
      <c r="A245" s="1721" t="s">
        <v>4028</v>
      </c>
      <c r="B245" s="1721" t="s">
        <v>2340</v>
      </c>
      <c r="C245" s="1721" t="s">
        <v>3797</v>
      </c>
      <c r="D245" s="1721">
        <v>62433307</v>
      </c>
      <c r="E245" s="1721" t="s">
        <v>4030</v>
      </c>
      <c r="F245" s="1721">
        <v>143006521</v>
      </c>
      <c r="G245" s="1721" t="s">
        <v>4481</v>
      </c>
      <c r="H245" s="1894" t="s">
        <v>4482</v>
      </c>
      <c r="I245" s="1721" t="s">
        <v>6867</v>
      </c>
      <c r="J245" s="1721">
        <v>1</v>
      </c>
      <c r="K245" s="1896">
        <v>1961451.9100000001</v>
      </c>
      <c r="L245" s="1896">
        <v>578582.22</v>
      </c>
      <c r="M245" s="1896">
        <v>1382869.69</v>
      </c>
      <c r="N245" s="1721" t="s">
        <v>4024</v>
      </c>
      <c r="O245" s="1721" t="s">
        <v>390</v>
      </c>
      <c r="P245" s="1894"/>
      <c r="Q245" s="1701" t="s">
        <v>4483</v>
      </c>
    </row>
    <row r="246" spans="1:17" ht="10.5" customHeight="1">
      <c r="A246" s="1721" t="s">
        <v>4028</v>
      </c>
      <c r="B246" s="1721" t="s">
        <v>2340</v>
      </c>
      <c r="C246" s="1721" t="s">
        <v>3797</v>
      </c>
      <c r="D246" s="1721">
        <v>62670802</v>
      </c>
      <c r="E246" s="1721" t="s">
        <v>4030</v>
      </c>
      <c r="F246" s="1721">
        <v>143006459</v>
      </c>
      <c r="G246" s="1721" t="s">
        <v>4484</v>
      </c>
      <c r="H246" s="1894" t="s">
        <v>4485</v>
      </c>
      <c r="I246" s="1721" t="s">
        <v>6867</v>
      </c>
      <c r="J246" s="1721">
        <v>1</v>
      </c>
      <c r="K246" s="1896">
        <v>256985.73</v>
      </c>
      <c r="L246" s="1896">
        <v>75804.75</v>
      </c>
      <c r="M246" s="1896">
        <v>181180.98</v>
      </c>
      <c r="N246" s="1721" t="s">
        <v>4024</v>
      </c>
      <c r="O246" s="1721" t="s">
        <v>390</v>
      </c>
      <c r="P246" s="1894"/>
      <c r="Q246" s="1701" t="s">
        <v>4486</v>
      </c>
    </row>
    <row r="247" spans="1:17" ht="10.5" customHeight="1">
      <c r="A247" s="1721" t="s">
        <v>4028</v>
      </c>
      <c r="B247" s="1721" t="s">
        <v>2340</v>
      </c>
      <c r="C247" s="1721" t="s">
        <v>3797</v>
      </c>
      <c r="D247" s="1721">
        <v>62898293</v>
      </c>
      <c r="E247" s="1721" t="s">
        <v>4030</v>
      </c>
      <c r="F247" s="1721">
        <v>143006342</v>
      </c>
      <c r="G247" s="1721" t="s">
        <v>2908</v>
      </c>
      <c r="H247" s="1894" t="s">
        <v>4487</v>
      </c>
      <c r="I247" s="1721" t="s">
        <v>6867</v>
      </c>
      <c r="J247" s="1721">
        <v>1</v>
      </c>
      <c r="K247" s="1896">
        <v>577362.82999999996</v>
      </c>
      <c r="L247" s="1896">
        <v>170308.47</v>
      </c>
      <c r="M247" s="1896">
        <v>407054.36</v>
      </c>
      <c r="N247" s="1721" t="s">
        <v>4024</v>
      </c>
      <c r="O247" s="1721" t="s">
        <v>95</v>
      </c>
      <c r="P247" s="1894"/>
      <c r="Q247" s="1701" t="s">
        <v>4488</v>
      </c>
    </row>
    <row r="248" spans="1:17" ht="10.5" customHeight="1">
      <c r="A248" s="1721" t="s">
        <v>4028</v>
      </c>
      <c r="B248" s="1721" t="s">
        <v>2340</v>
      </c>
      <c r="C248" s="1721" t="s">
        <v>3797</v>
      </c>
      <c r="D248" s="1721">
        <v>62898296</v>
      </c>
      <c r="E248" s="1721" t="s">
        <v>4030</v>
      </c>
      <c r="F248" s="1721">
        <v>143006425</v>
      </c>
      <c r="G248" s="1721" t="s">
        <v>4489</v>
      </c>
      <c r="H248" s="1894" t="s">
        <v>4490</v>
      </c>
      <c r="I248" s="1721" t="s">
        <v>6867</v>
      </c>
      <c r="J248" s="1721">
        <v>1</v>
      </c>
      <c r="K248" s="1896">
        <v>163733.63</v>
      </c>
      <c r="L248" s="1896">
        <v>48297.57</v>
      </c>
      <c r="M248" s="1896">
        <v>115436.06</v>
      </c>
      <c r="N248" s="1721" t="s">
        <v>4024</v>
      </c>
      <c r="O248" s="1721" t="s">
        <v>95</v>
      </c>
      <c r="P248" s="1894"/>
      <c r="Q248" s="1701" t="s">
        <v>4491</v>
      </c>
    </row>
    <row r="249" spans="1:17" ht="10.5" customHeight="1">
      <c r="A249" s="1721" t="s">
        <v>4028</v>
      </c>
      <c r="B249" s="1721" t="s">
        <v>2340</v>
      </c>
      <c r="C249" s="1721" t="s">
        <v>3797</v>
      </c>
      <c r="D249" s="1721">
        <v>62898304</v>
      </c>
      <c r="E249" s="1721" t="s">
        <v>4030</v>
      </c>
      <c r="F249" s="1721">
        <v>143006439</v>
      </c>
      <c r="G249" s="1721" t="s">
        <v>4492</v>
      </c>
      <c r="H249" s="1894" t="s">
        <v>4492</v>
      </c>
      <c r="I249" s="1721" t="s">
        <v>6867</v>
      </c>
      <c r="J249" s="1721">
        <v>1</v>
      </c>
      <c r="K249" s="1896">
        <v>189498.13</v>
      </c>
      <c r="L249" s="1896">
        <v>55897.5</v>
      </c>
      <c r="M249" s="1896">
        <v>133600.63</v>
      </c>
      <c r="N249" s="1721" t="s">
        <v>4024</v>
      </c>
      <c r="O249" s="1721" t="s">
        <v>95</v>
      </c>
      <c r="P249" s="1894"/>
      <c r="Q249" s="1701" t="s">
        <v>8210</v>
      </c>
    </row>
    <row r="250" spans="1:17" ht="10.5" customHeight="1">
      <c r="A250" s="1721" t="s">
        <v>4028</v>
      </c>
      <c r="B250" s="1721" t="s">
        <v>2340</v>
      </c>
      <c r="C250" s="1721" t="s">
        <v>3797</v>
      </c>
      <c r="D250" s="1721">
        <v>62898307</v>
      </c>
      <c r="E250" s="1721" t="s">
        <v>4030</v>
      </c>
      <c r="F250" s="1721">
        <v>143006440</v>
      </c>
      <c r="G250" s="1721" t="s">
        <v>4262</v>
      </c>
      <c r="H250" s="1894" t="s">
        <v>4263</v>
      </c>
      <c r="I250" s="1721" t="s">
        <v>6867</v>
      </c>
      <c r="J250" s="1721">
        <v>1</v>
      </c>
      <c r="K250" s="1896">
        <v>71282.820000000007</v>
      </c>
      <c r="L250" s="1896">
        <v>21026.760000000002</v>
      </c>
      <c r="M250" s="1896">
        <v>50256.06</v>
      </c>
      <c r="N250" s="1721" t="s">
        <v>4024</v>
      </c>
      <c r="O250" s="1721" t="s">
        <v>95</v>
      </c>
      <c r="P250" s="1894"/>
      <c r="Q250" s="1701" t="s">
        <v>4493</v>
      </c>
    </row>
    <row r="251" spans="1:17" ht="10.5" customHeight="1">
      <c r="A251" s="1721" t="s">
        <v>4028</v>
      </c>
      <c r="B251" s="1721" t="s">
        <v>2340</v>
      </c>
      <c r="C251" s="1721" t="s">
        <v>3797</v>
      </c>
      <c r="D251" s="1721">
        <v>62898310</v>
      </c>
      <c r="E251" s="1721" t="s">
        <v>4030</v>
      </c>
      <c r="F251" s="1721">
        <v>143006451</v>
      </c>
      <c r="G251" s="1721" t="s">
        <v>4494</v>
      </c>
      <c r="H251" s="1894" t="s">
        <v>4495</v>
      </c>
      <c r="I251" s="1721" t="s">
        <v>6867</v>
      </c>
      <c r="J251" s="1721">
        <v>1</v>
      </c>
      <c r="K251" s="1896">
        <v>11161854.619999999</v>
      </c>
      <c r="L251" s="1896">
        <v>3292484.81</v>
      </c>
      <c r="M251" s="1896">
        <v>7869369.8100000005</v>
      </c>
      <c r="N251" s="1721" t="s">
        <v>4024</v>
      </c>
      <c r="O251" s="1721" t="s">
        <v>95</v>
      </c>
      <c r="P251" s="1894"/>
      <c r="Q251" s="1701" t="s">
        <v>4496</v>
      </c>
    </row>
    <row r="252" spans="1:17" ht="10.5" customHeight="1">
      <c r="A252" s="1721" t="s">
        <v>4028</v>
      </c>
      <c r="B252" s="1721" t="s">
        <v>2340</v>
      </c>
      <c r="C252" s="1721" t="s">
        <v>3797</v>
      </c>
      <c r="D252" s="1721">
        <v>62898313</v>
      </c>
      <c r="E252" s="1721" t="s">
        <v>4030</v>
      </c>
      <c r="F252" s="1721">
        <v>143006457</v>
      </c>
      <c r="G252" s="1721" t="s">
        <v>4497</v>
      </c>
      <c r="H252" s="1894" t="s">
        <v>4498</v>
      </c>
      <c r="I252" s="1721" t="s">
        <v>6867</v>
      </c>
      <c r="J252" s="1721">
        <v>1</v>
      </c>
      <c r="K252" s="1896">
        <v>102804.48</v>
      </c>
      <c r="L252" s="1896">
        <v>30324.91</v>
      </c>
      <c r="M252" s="1896">
        <v>72479.570000000007</v>
      </c>
      <c r="N252" s="1721" t="s">
        <v>4024</v>
      </c>
      <c r="O252" s="1721" t="s">
        <v>95</v>
      </c>
      <c r="P252" s="1894"/>
      <c r="Q252" s="1701" t="s">
        <v>4499</v>
      </c>
    </row>
    <row r="253" spans="1:17" ht="10.5" customHeight="1">
      <c r="A253" s="1721" t="s">
        <v>4028</v>
      </c>
      <c r="B253" s="1721" t="s">
        <v>2340</v>
      </c>
      <c r="C253" s="1721" t="s">
        <v>3797</v>
      </c>
      <c r="D253" s="1721">
        <v>62898316</v>
      </c>
      <c r="E253" s="1721" t="s">
        <v>4030</v>
      </c>
      <c r="F253" s="1721">
        <v>143006458</v>
      </c>
      <c r="G253" s="1721" t="s">
        <v>4500</v>
      </c>
      <c r="H253" s="1894" t="s">
        <v>4500</v>
      </c>
      <c r="I253" s="1721" t="s">
        <v>6867</v>
      </c>
      <c r="J253" s="1721">
        <v>1</v>
      </c>
      <c r="K253" s="1896">
        <v>45286.71</v>
      </c>
      <c r="L253" s="1896">
        <v>13358.52</v>
      </c>
      <c r="M253" s="1896">
        <v>31928.190000000002</v>
      </c>
      <c r="N253" s="1721" t="s">
        <v>4024</v>
      </c>
      <c r="O253" s="1721" t="s">
        <v>95</v>
      </c>
      <c r="P253" s="1894"/>
      <c r="Q253" s="1701" t="s">
        <v>4501</v>
      </c>
    </row>
    <row r="254" spans="1:17" ht="10.5" customHeight="1">
      <c r="A254" s="1721" t="s">
        <v>4028</v>
      </c>
      <c r="B254" s="1721" t="s">
        <v>2340</v>
      </c>
      <c r="C254" s="1721" t="s">
        <v>3797</v>
      </c>
      <c r="D254" s="1721">
        <v>62898338</v>
      </c>
      <c r="E254" s="1721" t="s">
        <v>4030</v>
      </c>
      <c r="F254" s="1721">
        <v>143006478</v>
      </c>
      <c r="G254" s="1721" t="s">
        <v>4502</v>
      </c>
      <c r="H254" s="1894" t="s">
        <v>4502</v>
      </c>
      <c r="I254" s="1721" t="s">
        <v>6867</v>
      </c>
      <c r="J254" s="1721">
        <v>1</v>
      </c>
      <c r="K254" s="1896">
        <v>257573.72</v>
      </c>
      <c r="L254" s="1896">
        <v>75978.19</v>
      </c>
      <c r="M254" s="1896">
        <v>181595.53</v>
      </c>
      <c r="N254" s="1721" t="s">
        <v>4024</v>
      </c>
      <c r="O254" s="1721" t="s">
        <v>95</v>
      </c>
      <c r="P254" s="1894"/>
      <c r="Q254" s="1701" t="s">
        <v>4503</v>
      </c>
    </row>
    <row r="255" spans="1:17" ht="10.5" customHeight="1">
      <c r="A255" s="1721" t="s">
        <v>4028</v>
      </c>
      <c r="B255" s="1721" t="s">
        <v>2340</v>
      </c>
      <c r="C255" s="1721" t="s">
        <v>3797</v>
      </c>
      <c r="D255" s="1721">
        <v>62898362</v>
      </c>
      <c r="E255" s="1721" t="s">
        <v>4030</v>
      </c>
      <c r="F255" s="1721">
        <v>143006488</v>
      </c>
      <c r="G255" s="1721" t="s">
        <v>4504</v>
      </c>
      <c r="H255" s="1894" t="s">
        <v>4505</v>
      </c>
      <c r="I255" s="1721" t="s">
        <v>6867</v>
      </c>
      <c r="J255" s="1721">
        <v>1</v>
      </c>
      <c r="K255" s="1896">
        <v>1121293.2</v>
      </c>
      <c r="L255" s="1896">
        <v>330755.14</v>
      </c>
      <c r="M255" s="1896">
        <v>790538.06</v>
      </c>
      <c r="N255" s="1721" t="s">
        <v>4024</v>
      </c>
      <c r="O255" s="1721" t="s">
        <v>95</v>
      </c>
      <c r="P255" s="1894"/>
      <c r="Q255" s="1701" t="s">
        <v>4506</v>
      </c>
    </row>
    <row r="256" spans="1:17" ht="10.5" customHeight="1">
      <c r="A256" s="1721" t="s">
        <v>4028</v>
      </c>
      <c r="B256" s="1721" t="s">
        <v>2340</v>
      </c>
      <c r="C256" s="1721" t="s">
        <v>3797</v>
      </c>
      <c r="D256" s="1721">
        <v>62898385</v>
      </c>
      <c r="E256" s="1721" t="s">
        <v>4030</v>
      </c>
      <c r="F256" s="1721">
        <v>143006511</v>
      </c>
      <c r="G256" s="1721" t="s">
        <v>4507</v>
      </c>
      <c r="H256" s="1894" t="s">
        <v>4507</v>
      </c>
      <c r="I256" s="1721" t="s">
        <v>6867</v>
      </c>
      <c r="J256" s="1721">
        <v>1</v>
      </c>
      <c r="K256" s="1896">
        <v>273699.68</v>
      </c>
      <c r="L256" s="1896">
        <v>80734.97</v>
      </c>
      <c r="M256" s="1896">
        <v>192964.71</v>
      </c>
      <c r="N256" s="1721" t="s">
        <v>4024</v>
      </c>
      <c r="O256" s="1721" t="s">
        <v>95</v>
      </c>
      <c r="P256" s="1894"/>
      <c r="Q256" s="1701" t="s">
        <v>8211</v>
      </c>
    </row>
    <row r="257" spans="1:17" ht="10.5" customHeight="1">
      <c r="A257" s="1721" t="s">
        <v>4028</v>
      </c>
      <c r="B257" s="1721" t="s">
        <v>2340</v>
      </c>
      <c r="C257" s="1721" t="s">
        <v>3797</v>
      </c>
      <c r="D257" s="1721">
        <v>62898388</v>
      </c>
      <c r="E257" s="1721" t="s">
        <v>4030</v>
      </c>
      <c r="F257" s="1721">
        <v>143006512</v>
      </c>
      <c r="G257" s="1721" t="s">
        <v>4508</v>
      </c>
      <c r="H257" s="1894" t="s">
        <v>4508</v>
      </c>
      <c r="I257" s="1721" t="s">
        <v>6867</v>
      </c>
      <c r="J257" s="1721">
        <v>1</v>
      </c>
      <c r="K257" s="1896">
        <v>734437.08</v>
      </c>
      <c r="L257" s="1896">
        <v>216641.68</v>
      </c>
      <c r="M257" s="1896">
        <v>517795.4</v>
      </c>
      <c r="N257" s="1721" t="s">
        <v>4024</v>
      </c>
      <c r="O257" s="1721" t="s">
        <v>108</v>
      </c>
      <c r="P257" s="1894"/>
      <c r="Q257" s="1701" t="s">
        <v>4509</v>
      </c>
    </row>
    <row r="258" spans="1:17" ht="10.5" customHeight="1">
      <c r="A258" s="1721" t="s">
        <v>4028</v>
      </c>
      <c r="B258" s="1721" t="s">
        <v>2340</v>
      </c>
      <c r="C258" s="1721" t="s">
        <v>3797</v>
      </c>
      <c r="D258" s="1721">
        <v>62898391</v>
      </c>
      <c r="E258" s="1721" t="s">
        <v>4030</v>
      </c>
      <c r="F258" s="1721">
        <v>143006701</v>
      </c>
      <c r="G258" s="1721" t="s">
        <v>4510</v>
      </c>
      <c r="H258" s="1894" t="s">
        <v>4511</v>
      </c>
      <c r="I258" s="1721" t="s">
        <v>6867</v>
      </c>
      <c r="J258" s="1721">
        <v>1</v>
      </c>
      <c r="K258" s="1896">
        <v>294313.01</v>
      </c>
      <c r="L258" s="1896">
        <v>86815.42</v>
      </c>
      <c r="M258" s="1896">
        <v>207497.59</v>
      </c>
      <c r="N258" s="1721" t="s">
        <v>4024</v>
      </c>
      <c r="O258" s="1721" t="s">
        <v>390</v>
      </c>
      <c r="P258" s="1894"/>
      <c r="Q258" s="1701" t="s">
        <v>4512</v>
      </c>
    </row>
    <row r="259" spans="1:17" ht="10.5" customHeight="1">
      <c r="A259" s="1721" t="s">
        <v>4028</v>
      </c>
      <c r="B259" s="1721" t="s">
        <v>2340</v>
      </c>
      <c r="C259" s="1721" t="s">
        <v>3797</v>
      </c>
      <c r="D259" s="1721">
        <v>62898397</v>
      </c>
      <c r="E259" s="1721" t="s">
        <v>4030</v>
      </c>
      <c r="F259" s="1721">
        <v>143006726</v>
      </c>
      <c r="G259" s="1721" t="s">
        <v>4513</v>
      </c>
      <c r="H259" s="1894" t="s">
        <v>4514</v>
      </c>
      <c r="I259" s="1721" t="s">
        <v>6867</v>
      </c>
      <c r="J259" s="1721">
        <v>1</v>
      </c>
      <c r="K259" s="1896">
        <v>59443.68</v>
      </c>
      <c r="L259" s="1896">
        <v>17534.490000000002</v>
      </c>
      <c r="M259" s="1896">
        <v>41909.19</v>
      </c>
      <c r="N259" s="1721" t="s">
        <v>4024</v>
      </c>
      <c r="O259" s="1721" t="s">
        <v>95</v>
      </c>
      <c r="P259" s="1894"/>
      <c r="Q259" s="1701" t="s">
        <v>4515</v>
      </c>
    </row>
    <row r="260" spans="1:17" ht="10.5" customHeight="1">
      <c r="A260" s="1721" t="s">
        <v>4028</v>
      </c>
      <c r="B260" s="1721" t="s">
        <v>2340</v>
      </c>
      <c r="C260" s="1721" t="s">
        <v>3797</v>
      </c>
      <c r="D260" s="1721">
        <v>62898403</v>
      </c>
      <c r="E260" s="1721" t="s">
        <v>4030</v>
      </c>
      <c r="F260" s="1721">
        <v>143006728</v>
      </c>
      <c r="G260" s="1721" t="s">
        <v>4516</v>
      </c>
      <c r="H260" s="1894" t="s">
        <v>4517</v>
      </c>
      <c r="I260" s="1721" t="s">
        <v>6867</v>
      </c>
      <c r="J260" s="1721">
        <v>1</v>
      </c>
      <c r="K260" s="1896">
        <v>212874.49</v>
      </c>
      <c r="L260" s="1896">
        <v>62792.97</v>
      </c>
      <c r="M260" s="1896">
        <v>150081.51999999999</v>
      </c>
      <c r="N260" s="1721" t="s">
        <v>4024</v>
      </c>
      <c r="O260" s="1721" t="s">
        <v>390</v>
      </c>
      <c r="P260" s="1894"/>
      <c r="Q260" s="1701" t="s">
        <v>8212</v>
      </c>
    </row>
    <row r="261" spans="1:17" ht="10.5" customHeight="1">
      <c r="A261" s="1721" t="s">
        <v>4028</v>
      </c>
      <c r="B261" s="1721" t="s">
        <v>2340</v>
      </c>
      <c r="C261" s="1721" t="s">
        <v>3797</v>
      </c>
      <c r="D261" s="1721">
        <v>62898406</v>
      </c>
      <c r="E261" s="1721" t="s">
        <v>4030</v>
      </c>
      <c r="F261" s="1721">
        <v>143006746</v>
      </c>
      <c r="G261" s="1721" t="s">
        <v>4518</v>
      </c>
      <c r="H261" s="1894" t="s">
        <v>4519</v>
      </c>
      <c r="I261" s="1721" t="s">
        <v>6867</v>
      </c>
      <c r="J261" s="1721">
        <v>1</v>
      </c>
      <c r="K261" s="1896">
        <v>94019.49</v>
      </c>
      <c r="L261" s="1896">
        <v>27733.54</v>
      </c>
      <c r="M261" s="1896">
        <v>66285.95</v>
      </c>
      <c r="N261" s="1721" t="s">
        <v>4024</v>
      </c>
      <c r="O261" s="1721" t="s">
        <v>390</v>
      </c>
      <c r="P261" s="1894"/>
      <c r="Q261" s="1701" t="s">
        <v>8213</v>
      </c>
    </row>
    <row r="262" spans="1:17" ht="10.5" customHeight="1">
      <c r="A262" s="1721" t="s">
        <v>4028</v>
      </c>
      <c r="B262" s="1721" t="s">
        <v>2340</v>
      </c>
      <c r="C262" s="1721" t="s">
        <v>3797</v>
      </c>
      <c r="D262" s="1721">
        <v>62898409</v>
      </c>
      <c r="E262" s="1721" t="s">
        <v>4030</v>
      </c>
      <c r="F262" s="1721">
        <v>143006747</v>
      </c>
      <c r="G262" s="1721" t="s">
        <v>4520</v>
      </c>
      <c r="H262" s="1894" t="s">
        <v>4521</v>
      </c>
      <c r="I262" s="1721" t="s">
        <v>6867</v>
      </c>
      <c r="J262" s="1721">
        <v>1</v>
      </c>
      <c r="K262" s="1896">
        <v>65187.79</v>
      </c>
      <c r="L262" s="1896">
        <v>19228.87</v>
      </c>
      <c r="M262" s="1896">
        <v>45958.92</v>
      </c>
      <c r="N262" s="1721" t="s">
        <v>4024</v>
      </c>
      <c r="O262" s="1721" t="s">
        <v>390</v>
      </c>
      <c r="P262" s="1894"/>
      <c r="Q262" s="1701" t="s">
        <v>8214</v>
      </c>
    </row>
    <row r="263" spans="1:17" ht="10.5" customHeight="1">
      <c r="A263" s="1721" t="s">
        <v>4028</v>
      </c>
      <c r="B263" s="1721" t="s">
        <v>2340</v>
      </c>
      <c r="C263" s="1721" t="s">
        <v>3797</v>
      </c>
      <c r="D263" s="1721">
        <v>62898412</v>
      </c>
      <c r="E263" s="1721" t="s">
        <v>4030</v>
      </c>
      <c r="F263" s="1721">
        <v>143006766</v>
      </c>
      <c r="G263" s="1721" t="s">
        <v>4522</v>
      </c>
      <c r="H263" s="1894" t="s">
        <v>4523</v>
      </c>
      <c r="I263" s="1721" t="s">
        <v>6867</v>
      </c>
      <c r="J263" s="1721">
        <v>1</v>
      </c>
      <c r="K263" s="1896">
        <v>248243.34</v>
      </c>
      <c r="L263" s="1896">
        <v>73225.95</v>
      </c>
      <c r="M263" s="1896">
        <v>175017.39</v>
      </c>
      <c r="N263" s="1721" t="s">
        <v>4024</v>
      </c>
      <c r="O263" s="1721" t="s">
        <v>390</v>
      </c>
      <c r="P263" s="1894"/>
      <c r="Q263" s="1701" t="s">
        <v>8215</v>
      </c>
    </row>
    <row r="264" spans="1:17" ht="10.5" customHeight="1">
      <c r="A264" s="1721" t="s">
        <v>4028</v>
      </c>
      <c r="B264" s="1721" t="s">
        <v>2340</v>
      </c>
      <c r="C264" s="1721" t="s">
        <v>3797</v>
      </c>
      <c r="D264" s="1721">
        <v>62898421</v>
      </c>
      <c r="E264" s="1721" t="s">
        <v>4030</v>
      </c>
      <c r="F264" s="1721">
        <v>143006802</v>
      </c>
      <c r="G264" s="1721" t="s">
        <v>4524</v>
      </c>
      <c r="H264" s="1894" t="s">
        <v>4525</v>
      </c>
      <c r="I264" s="1721" t="s">
        <v>6867</v>
      </c>
      <c r="J264" s="1721">
        <v>1</v>
      </c>
      <c r="K264" s="1896">
        <v>83647.820000000007</v>
      </c>
      <c r="L264" s="1896">
        <v>24674.14</v>
      </c>
      <c r="M264" s="1896">
        <v>58973.68</v>
      </c>
      <c r="N264" s="1721" t="s">
        <v>4024</v>
      </c>
      <c r="O264" s="1721" t="s">
        <v>95</v>
      </c>
      <c r="P264" s="1894"/>
      <c r="Q264" s="1701" t="s">
        <v>4526</v>
      </c>
    </row>
    <row r="265" spans="1:17" ht="10.5" customHeight="1">
      <c r="A265" s="1721" t="s">
        <v>4028</v>
      </c>
      <c r="B265" s="1721" t="s">
        <v>2340</v>
      </c>
      <c r="C265" s="1721" t="s">
        <v>3797</v>
      </c>
      <c r="D265" s="1721">
        <v>62898424</v>
      </c>
      <c r="E265" s="1721" t="s">
        <v>4030</v>
      </c>
      <c r="F265" s="1721">
        <v>143006821</v>
      </c>
      <c r="G265" s="1721" t="s">
        <v>4527</v>
      </c>
      <c r="H265" s="1894" t="s">
        <v>4528</v>
      </c>
      <c r="I265" s="1721" t="s">
        <v>6867</v>
      </c>
      <c r="J265" s="1721">
        <v>1</v>
      </c>
      <c r="K265" s="1896">
        <v>126440.5</v>
      </c>
      <c r="L265" s="1896">
        <v>37296.980000000003</v>
      </c>
      <c r="M265" s="1896">
        <v>89143.52</v>
      </c>
      <c r="N265" s="1721" t="s">
        <v>4024</v>
      </c>
      <c r="O265" s="1721" t="s">
        <v>390</v>
      </c>
      <c r="P265" s="1894"/>
      <c r="Q265" s="1701" t="s">
        <v>8216</v>
      </c>
    </row>
    <row r="266" spans="1:17" ht="10.5" customHeight="1">
      <c r="A266" s="1721" t="s">
        <v>4028</v>
      </c>
      <c r="B266" s="1721" t="s">
        <v>2340</v>
      </c>
      <c r="C266" s="1721" t="s">
        <v>3797</v>
      </c>
      <c r="D266" s="1721">
        <v>62898427</v>
      </c>
      <c r="E266" s="1721" t="s">
        <v>4030</v>
      </c>
      <c r="F266" s="1721">
        <v>143006861</v>
      </c>
      <c r="G266" s="1721" t="s">
        <v>4529</v>
      </c>
      <c r="H266" s="1894" t="s">
        <v>4529</v>
      </c>
      <c r="I266" s="1721" t="s">
        <v>6867</v>
      </c>
      <c r="J266" s="1721">
        <v>1</v>
      </c>
      <c r="K266" s="1896">
        <v>33483.64</v>
      </c>
      <c r="L266" s="1896">
        <v>9876.89</v>
      </c>
      <c r="M266" s="1896">
        <v>23606.75</v>
      </c>
      <c r="N266" s="1721" t="s">
        <v>4024</v>
      </c>
      <c r="O266" s="1721" t="s">
        <v>95</v>
      </c>
      <c r="P266" s="1894"/>
      <c r="Q266" s="1701" t="s">
        <v>4530</v>
      </c>
    </row>
    <row r="267" spans="1:17" ht="10.5" customHeight="1">
      <c r="A267" s="1721" t="s">
        <v>4028</v>
      </c>
      <c r="B267" s="1721" t="s">
        <v>2340</v>
      </c>
      <c r="C267" s="1721" t="s">
        <v>3797</v>
      </c>
      <c r="D267" s="1721">
        <v>62898436</v>
      </c>
      <c r="E267" s="1721" t="s">
        <v>4030</v>
      </c>
      <c r="F267" s="1721">
        <v>143007104</v>
      </c>
      <c r="G267" s="1721" t="s">
        <v>4531</v>
      </c>
      <c r="H267" s="1894" t="s">
        <v>4532</v>
      </c>
      <c r="I267" s="1721" t="s">
        <v>6867</v>
      </c>
      <c r="J267" s="1721">
        <v>1</v>
      </c>
      <c r="K267" s="1896">
        <v>66716.86</v>
      </c>
      <c r="L267" s="1896">
        <v>19679.91</v>
      </c>
      <c r="M267" s="1896">
        <v>47036.950000000004</v>
      </c>
      <c r="N267" s="1721" t="s">
        <v>4024</v>
      </c>
      <c r="O267" s="1721" t="s">
        <v>95</v>
      </c>
      <c r="P267" s="1894"/>
      <c r="Q267" s="1701" t="s">
        <v>4533</v>
      </c>
    </row>
    <row r="268" spans="1:17" ht="10.5" customHeight="1">
      <c r="A268" s="1721" t="s">
        <v>4028</v>
      </c>
      <c r="B268" s="1721" t="s">
        <v>2340</v>
      </c>
      <c r="C268" s="1721" t="s">
        <v>3797</v>
      </c>
      <c r="D268" s="1721">
        <v>62898439</v>
      </c>
      <c r="E268" s="1721" t="s">
        <v>4030</v>
      </c>
      <c r="F268" s="1721">
        <v>143007142</v>
      </c>
      <c r="G268" s="1721" t="s">
        <v>4534</v>
      </c>
      <c r="H268" s="1894" t="s">
        <v>4535</v>
      </c>
      <c r="I268" s="1721" t="s">
        <v>6867</v>
      </c>
      <c r="J268" s="1721">
        <v>1</v>
      </c>
      <c r="K268" s="1896">
        <v>24422.53</v>
      </c>
      <c r="L268" s="1896">
        <v>7204.07</v>
      </c>
      <c r="M268" s="1896">
        <v>17218.46</v>
      </c>
      <c r="N268" s="1721" t="s">
        <v>4024</v>
      </c>
      <c r="O268" s="1721" t="s">
        <v>108</v>
      </c>
      <c r="P268" s="1894"/>
      <c r="Q268" s="1701" t="s">
        <v>4536</v>
      </c>
    </row>
    <row r="269" spans="1:17" ht="10.5" customHeight="1">
      <c r="A269" s="1721" t="s">
        <v>4028</v>
      </c>
      <c r="B269" s="1721" t="s">
        <v>2340</v>
      </c>
      <c r="C269" s="1721" t="s">
        <v>3797</v>
      </c>
      <c r="D269" s="1721">
        <v>63116626</v>
      </c>
      <c r="E269" s="1721" t="s">
        <v>4030</v>
      </c>
      <c r="F269" s="1721">
        <v>143006450</v>
      </c>
      <c r="G269" s="1721" t="s">
        <v>4537</v>
      </c>
      <c r="H269" s="1894" t="s">
        <v>4537</v>
      </c>
      <c r="I269" s="1721" t="s">
        <v>6867</v>
      </c>
      <c r="J269" s="1721">
        <v>1</v>
      </c>
      <c r="K269" s="1896">
        <v>1785158.94</v>
      </c>
      <c r="L269" s="1896">
        <v>526579.94000000006</v>
      </c>
      <c r="M269" s="1896">
        <v>1258579</v>
      </c>
      <c r="N269" s="1721" t="s">
        <v>4024</v>
      </c>
      <c r="O269" s="1721" t="s">
        <v>95</v>
      </c>
      <c r="P269" s="1894"/>
      <c r="Q269" s="1701" t="s">
        <v>4538</v>
      </c>
    </row>
    <row r="270" spans="1:17" ht="10.5" customHeight="1">
      <c r="A270" s="1721" t="s">
        <v>4028</v>
      </c>
      <c r="B270" s="1721" t="s">
        <v>2340</v>
      </c>
      <c r="C270" s="1721" t="s">
        <v>3797</v>
      </c>
      <c r="D270" s="1721">
        <v>63116631</v>
      </c>
      <c r="E270" s="1721" t="s">
        <v>4030</v>
      </c>
      <c r="F270" s="1721">
        <v>143006452</v>
      </c>
      <c r="G270" s="1721" t="s">
        <v>4539</v>
      </c>
      <c r="H270" s="1894" t="s">
        <v>4539</v>
      </c>
      <c r="I270" s="1721" t="s">
        <v>6867</v>
      </c>
      <c r="J270" s="1721">
        <v>1</v>
      </c>
      <c r="K270" s="1896">
        <v>140663.20000000001</v>
      </c>
      <c r="L270" s="1896">
        <v>41492.340000000004</v>
      </c>
      <c r="M270" s="1896">
        <v>99170.86</v>
      </c>
      <c r="N270" s="1721" t="s">
        <v>4024</v>
      </c>
      <c r="O270" s="1721" t="s">
        <v>95</v>
      </c>
      <c r="P270" s="1894"/>
      <c r="Q270" s="1701" t="s">
        <v>4540</v>
      </c>
    </row>
    <row r="271" spans="1:17" ht="10.5" customHeight="1">
      <c r="A271" s="1721" t="s">
        <v>4028</v>
      </c>
      <c r="B271" s="1721" t="s">
        <v>2340</v>
      </c>
      <c r="C271" s="1721" t="s">
        <v>3797</v>
      </c>
      <c r="D271" s="1721">
        <v>63116634</v>
      </c>
      <c r="E271" s="1721" t="s">
        <v>4030</v>
      </c>
      <c r="F271" s="1721">
        <v>143006453</v>
      </c>
      <c r="G271" s="1721" t="s">
        <v>4541</v>
      </c>
      <c r="H271" s="1894" t="s">
        <v>4542</v>
      </c>
      <c r="I271" s="1721" t="s">
        <v>6867</v>
      </c>
      <c r="J271" s="1721">
        <v>1</v>
      </c>
      <c r="K271" s="1896">
        <v>256071.15</v>
      </c>
      <c r="L271" s="1896">
        <v>75534.97</v>
      </c>
      <c r="M271" s="1896">
        <v>180536.18</v>
      </c>
      <c r="N271" s="1721" t="s">
        <v>4024</v>
      </c>
      <c r="O271" s="1721" t="s">
        <v>95</v>
      </c>
      <c r="P271" s="1894"/>
      <c r="Q271" s="1701" t="s">
        <v>4543</v>
      </c>
    </row>
    <row r="272" spans="1:17" ht="10.5" customHeight="1">
      <c r="A272" s="1721" t="s">
        <v>4028</v>
      </c>
      <c r="B272" s="1721" t="s">
        <v>2340</v>
      </c>
      <c r="C272" s="1721" t="s">
        <v>3797</v>
      </c>
      <c r="D272" s="1721">
        <v>63116675</v>
      </c>
      <c r="E272" s="1721" t="s">
        <v>4030</v>
      </c>
      <c r="F272" s="1721">
        <v>143006494</v>
      </c>
      <c r="G272" s="1721" t="s">
        <v>4544</v>
      </c>
      <c r="H272" s="1894" t="s">
        <v>4545</v>
      </c>
      <c r="I272" s="1721" t="s">
        <v>6867</v>
      </c>
      <c r="J272" s="1721">
        <v>1</v>
      </c>
      <c r="K272" s="1896">
        <v>589424.81000000006</v>
      </c>
      <c r="L272" s="1896">
        <v>173866.47</v>
      </c>
      <c r="M272" s="1896">
        <v>415558.34</v>
      </c>
      <c r="N272" s="1721" t="s">
        <v>4024</v>
      </c>
      <c r="O272" s="1721" t="s">
        <v>95</v>
      </c>
      <c r="P272" s="1894"/>
      <c r="Q272" s="1701" t="s">
        <v>4546</v>
      </c>
    </row>
    <row r="273" spans="1:17" ht="10.5" customHeight="1">
      <c r="A273" s="1721" t="s">
        <v>4028</v>
      </c>
      <c r="B273" s="1721" t="s">
        <v>2340</v>
      </c>
      <c r="C273" s="1721" t="s">
        <v>3797</v>
      </c>
      <c r="D273" s="1721">
        <v>63265740</v>
      </c>
      <c r="E273" s="1721" t="s">
        <v>4030</v>
      </c>
      <c r="F273" s="1721">
        <v>143006748</v>
      </c>
      <c r="G273" s="1721" t="s">
        <v>4550</v>
      </c>
      <c r="H273" s="1894" t="s">
        <v>4551</v>
      </c>
      <c r="I273" s="1721" t="s">
        <v>6867</v>
      </c>
      <c r="J273" s="1721">
        <v>1</v>
      </c>
      <c r="K273" s="1896">
        <v>235673.76</v>
      </c>
      <c r="L273" s="1896">
        <v>69518.22</v>
      </c>
      <c r="M273" s="1896">
        <v>166155.54</v>
      </c>
      <c r="N273" s="1721" t="s">
        <v>4024</v>
      </c>
      <c r="O273" s="1721" t="s">
        <v>108</v>
      </c>
      <c r="P273" s="1894" t="s">
        <v>8223</v>
      </c>
      <c r="Q273" s="1701" t="s">
        <v>7176</v>
      </c>
    </row>
    <row r="274" spans="1:17" ht="10.5" customHeight="1">
      <c r="A274" s="1721" t="s">
        <v>4028</v>
      </c>
      <c r="B274" s="1721" t="s">
        <v>2340</v>
      </c>
      <c r="C274" s="1721" t="s">
        <v>3797</v>
      </c>
      <c r="D274" s="1721">
        <v>64678985</v>
      </c>
      <c r="E274" s="1721" t="s">
        <v>4030</v>
      </c>
      <c r="F274" s="1721">
        <v>143006620</v>
      </c>
      <c r="G274" s="1721" t="s">
        <v>4480</v>
      </c>
      <c r="H274" s="1894" t="s">
        <v>4480</v>
      </c>
      <c r="I274" s="1721" t="s">
        <v>6867</v>
      </c>
      <c r="J274" s="1721">
        <v>1</v>
      </c>
      <c r="K274" s="1896">
        <v>11040.73</v>
      </c>
      <c r="L274" s="1896">
        <v>3256.76</v>
      </c>
      <c r="M274" s="1896">
        <v>7783.97</v>
      </c>
      <c r="N274" s="1721" t="s">
        <v>4024</v>
      </c>
      <c r="O274" s="1721" t="s">
        <v>95</v>
      </c>
      <c r="P274" s="1894" t="s">
        <v>8222</v>
      </c>
      <c r="Q274" s="1701" t="s">
        <v>7177</v>
      </c>
    </row>
    <row r="275" spans="1:17" ht="10.5" customHeight="1">
      <c r="A275" s="1721" t="s">
        <v>4028</v>
      </c>
      <c r="B275" s="1721" t="s">
        <v>2340</v>
      </c>
      <c r="C275" s="1721" t="s">
        <v>3797</v>
      </c>
      <c r="D275" s="1721">
        <v>64678995</v>
      </c>
      <c r="E275" s="1721" t="s">
        <v>4030</v>
      </c>
      <c r="F275" s="1721">
        <v>143006708</v>
      </c>
      <c r="G275" s="1721" t="s">
        <v>4547</v>
      </c>
      <c r="H275" s="1894" t="s">
        <v>4548</v>
      </c>
      <c r="I275" s="1721" t="s">
        <v>6867</v>
      </c>
      <c r="J275" s="1721">
        <v>1</v>
      </c>
      <c r="K275" s="1896">
        <v>83513.900000000009</v>
      </c>
      <c r="L275" s="1896">
        <v>24634.639999999999</v>
      </c>
      <c r="M275" s="1896">
        <v>58879.26</v>
      </c>
      <c r="N275" s="1721" t="s">
        <v>4024</v>
      </c>
      <c r="O275" s="1721" t="s">
        <v>95</v>
      </c>
      <c r="P275" s="1894" t="s">
        <v>8221</v>
      </c>
      <c r="Q275" s="1701" t="s">
        <v>4549</v>
      </c>
    </row>
    <row r="276" spans="1:17" ht="10.5" customHeight="1">
      <c r="A276" s="1721" t="s">
        <v>4028</v>
      </c>
      <c r="B276" s="1721" t="s">
        <v>2340</v>
      </c>
      <c r="C276" s="1721" t="s">
        <v>3797</v>
      </c>
      <c r="D276" s="1721">
        <v>64679031</v>
      </c>
      <c r="E276" s="1721" t="s">
        <v>4030</v>
      </c>
      <c r="F276" s="1721">
        <v>143007000</v>
      </c>
      <c r="G276" s="1721" t="s">
        <v>4552</v>
      </c>
      <c r="H276" s="1894" t="s">
        <v>4553</v>
      </c>
      <c r="I276" s="1721" t="s">
        <v>6867</v>
      </c>
      <c r="J276" s="1721">
        <v>1</v>
      </c>
      <c r="K276" s="1896">
        <v>102509</v>
      </c>
      <c r="L276" s="1896">
        <v>30237.75</v>
      </c>
      <c r="M276" s="1896">
        <v>72271.25</v>
      </c>
      <c r="N276" s="1721" t="s">
        <v>4024</v>
      </c>
      <c r="O276" s="1721" t="s">
        <v>95</v>
      </c>
      <c r="P276" s="1894" t="s">
        <v>8222</v>
      </c>
      <c r="Q276" s="1701" t="s">
        <v>7178</v>
      </c>
    </row>
    <row r="277" spans="1:17" ht="10.5" customHeight="1">
      <c r="A277" s="1721" t="s">
        <v>4028</v>
      </c>
      <c r="B277" s="1721" t="s">
        <v>2340</v>
      </c>
      <c r="C277" s="1721" t="s">
        <v>3797</v>
      </c>
      <c r="D277" s="1721">
        <v>63265722</v>
      </c>
      <c r="E277" s="1721" t="s">
        <v>4030</v>
      </c>
      <c r="F277" s="1721">
        <v>143006522</v>
      </c>
      <c r="G277" s="1721" t="s">
        <v>7016</v>
      </c>
      <c r="H277" s="1894" t="s">
        <v>8129</v>
      </c>
      <c r="I277" s="1721" t="s">
        <v>6867</v>
      </c>
      <c r="J277" s="1721">
        <v>1</v>
      </c>
      <c r="K277" s="1896">
        <v>212438.2</v>
      </c>
      <c r="L277" s="1896">
        <v>7667.09</v>
      </c>
      <c r="M277" s="1896">
        <v>204771.11000000002</v>
      </c>
      <c r="N277" s="1721" t="s">
        <v>4024</v>
      </c>
      <c r="O277" s="1721" t="s">
        <v>95</v>
      </c>
      <c r="P277" s="1894" t="s">
        <v>8222</v>
      </c>
      <c r="Q277" s="1701" t="s">
        <v>8217</v>
      </c>
    </row>
    <row r="278" spans="1:17" ht="10.5" customHeight="1">
      <c r="A278" s="1721" t="s">
        <v>4028</v>
      </c>
      <c r="B278" s="1721" t="s">
        <v>2340</v>
      </c>
      <c r="C278" s="1721" t="s">
        <v>3797</v>
      </c>
      <c r="D278" s="1721">
        <v>63355575</v>
      </c>
      <c r="E278" s="1721" t="s">
        <v>4030</v>
      </c>
      <c r="F278" s="1721">
        <v>143005945</v>
      </c>
      <c r="G278" s="1721" t="s">
        <v>7017</v>
      </c>
      <c r="H278" s="1894" t="s">
        <v>8130</v>
      </c>
      <c r="I278" s="1721" t="s">
        <v>6867</v>
      </c>
      <c r="J278" s="1721">
        <v>1</v>
      </c>
      <c r="K278" s="1896">
        <v>744122.07000000007</v>
      </c>
      <c r="L278" s="1896">
        <v>26856.05</v>
      </c>
      <c r="M278" s="1896">
        <v>717266.02</v>
      </c>
      <c r="N278" s="1721" t="s">
        <v>4024</v>
      </c>
      <c r="O278" s="1721" t="s">
        <v>390</v>
      </c>
      <c r="P278" s="1894" t="s">
        <v>8224</v>
      </c>
      <c r="Q278" s="1701" t="s">
        <v>8218</v>
      </c>
    </row>
    <row r="279" spans="1:17" ht="10.5" customHeight="1">
      <c r="A279" s="1721" t="s">
        <v>4028</v>
      </c>
      <c r="B279" s="1721" t="s">
        <v>2340</v>
      </c>
      <c r="C279" s="1721" t="s">
        <v>3797</v>
      </c>
      <c r="D279" s="1721">
        <v>63355586</v>
      </c>
      <c r="E279" s="1721" t="s">
        <v>4030</v>
      </c>
      <c r="F279" s="1721">
        <v>143006420</v>
      </c>
      <c r="G279" s="1721" t="s">
        <v>7018</v>
      </c>
      <c r="H279" s="1894" t="s">
        <v>7018</v>
      </c>
      <c r="I279" s="1721" t="s">
        <v>6867</v>
      </c>
      <c r="J279" s="1721">
        <v>1</v>
      </c>
      <c r="K279" s="1896">
        <v>37832.629999999997</v>
      </c>
      <c r="L279" s="1896">
        <v>11159.74</v>
      </c>
      <c r="M279" s="1896">
        <v>26672.89</v>
      </c>
      <c r="N279" s="1721" t="s">
        <v>4024</v>
      </c>
      <c r="O279" s="1721" t="s">
        <v>390</v>
      </c>
      <c r="P279" s="1894" t="s">
        <v>8225</v>
      </c>
      <c r="Q279" s="1701" t="s">
        <v>7179</v>
      </c>
    </row>
    <row r="280" spans="1:17" ht="10.5" customHeight="1">
      <c r="A280" s="1721" t="s">
        <v>4028</v>
      </c>
      <c r="B280" s="1721" t="s">
        <v>2340</v>
      </c>
      <c r="C280" s="1721" t="s">
        <v>3797</v>
      </c>
      <c r="D280" s="1721">
        <v>63355614</v>
      </c>
      <c r="E280" s="1721" t="s">
        <v>4030</v>
      </c>
      <c r="F280" s="1721">
        <v>143006468</v>
      </c>
      <c r="G280" s="1721" t="s">
        <v>7019</v>
      </c>
      <c r="H280" s="1894" t="s">
        <v>8131</v>
      </c>
      <c r="I280" s="1721" t="s">
        <v>6867</v>
      </c>
      <c r="J280" s="1721">
        <v>1</v>
      </c>
      <c r="K280" s="1896">
        <v>737739.57000000007</v>
      </c>
      <c r="L280" s="1896">
        <v>26625.7</v>
      </c>
      <c r="M280" s="1896">
        <v>711113.87</v>
      </c>
      <c r="N280" s="1721" t="s">
        <v>4024</v>
      </c>
      <c r="O280" s="1721" t="s">
        <v>95</v>
      </c>
      <c r="P280" s="1894" t="s">
        <v>8222</v>
      </c>
      <c r="Q280" s="1701" t="s">
        <v>8219</v>
      </c>
    </row>
    <row r="281" spans="1:17" ht="10.5" customHeight="1">
      <c r="A281" s="1721" t="s">
        <v>4028</v>
      </c>
      <c r="B281" s="1721" t="s">
        <v>2340</v>
      </c>
      <c r="C281" s="1721" t="s">
        <v>3797</v>
      </c>
      <c r="D281" s="1721">
        <v>63355650</v>
      </c>
      <c r="E281" s="1721" t="s">
        <v>4030</v>
      </c>
      <c r="F281" s="1721">
        <v>143006707</v>
      </c>
      <c r="G281" s="1721" t="s">
        <v>7020</v>
      </c>
      <c r="H281" s="1894" t="s">
        <v>8132</v>
      </c>
      <c r="I281" s="1721" t="s">
        <v>6867</v>
      </c>
      <c r="J281" s="1721">
        <v>1</v>
      </c>
      <c r="K281" s="1896">
        <v>20536.79</v>
      </c>
      <c r="L281" s="1896">
        <v>741.19</v>
      </c>
      <c r="M281" s="1896">
        <v>19795.600000000002</v>
      </c>
      <c r="N281" s="1721" t="s">
        <v>4024</v>
      </c>
      <c r="O281" s="1721" t="s">
        <v>95</v>
      </c>
      <c r="P281" s="1894" t="s">
        <v>8222</v>
      </c>
      <c r="Q281" s="1701" t="s">
        <v>7180</v>
      </c>
    </row>
    <row r="282" spans="1:17" ht="10.5" customHeight="1">
      <c r="A282" s="1897" t="s">
        <v>4028</v>
      </c>
      <c r="B282" s="1897" t="s">
        <v>2340</v>
      </c>
      <c r="C282" s="1897" t="s">
        <v>3797</v>
      </c>
      <c r="D282" s="1897">
        <v>63355672</v>
      </c>
      <c r="E282" s="1897" t="s">
        <v>4030</v>
      </c>
      <c r="F282" s="1897">
        <v>143007100</v>
      </c>
      <c r="G282" s="1897" t="s">
        <v>7021</v>
      </c>
      <c r="H282" s="1898" t="s">
        <v>7021</v>
      </c>
      <c r="I282" s="1897" t="s">
        <v>6867</v>
      </c>
      <c r="J282" s="1897">
        <v>1</v>
      </c>
      <c r="K282" s="1899">
        <v>86238.400000000009</v>
      </c>
      <c r="L282" s="1899">
        <v>3112.42</v>
      </c>
      <c r="M282" s="1899">
        <v>83125.98</v>
      </c>
      <c r="N282" s="1897" t="s">
        <v>4024</v>
      </c>
      <c r="O282" s="1897" t="s">
        <v>988</v>
      </c>
      <c r="P282" s="1898" t="s">
        <v>8226</v>
      </c>
      <c r="Q282" s="1900" t="s">
        <v>7181</v>
      </c>
    </row>
    <row r="283" spans="1:17" ht="10.5" customHeight="1">
      <c r="A283" s="1721" t="s">
        <v>4028</v>
      </c>
      <c r="B283" s="1721" t="s">
        <v>2340</v>
      </c>
      <c r="C283" s="1721" t="s">
        <v>3797</v>
      </c>
      <c r="D283" s="1721">
        <v>63355684</v>
      </c>
      <c r="E283" s="1721" t="s">
        <v>4030</v>
      </c>
      <c r="F283" s="1721">
        <v>143007191</v>
      </c>
      <c r="G283" s="1721" t="s">
        <v>7022</v>
      </c>
      <c r="H283" s="1894" t="s">
        <v>8133</v>
      </c>
      <c r="I283" s="1721" t="s">
        <v>6867</v>
      </c>
      <c r="J283" s="1721">
        <v>1</v>
      </c>
      <c r="K283" s="1896">
        <v>38647.5</v>
      </c>
      <c r="L283" s="1896">
        <v>1394.82</v>
      </c>
      <c r="M283" s="1896">
        <v>37252.68</v>
      </c>
      <c r="N283" s="1721" t="s">
        <v>4024</v>
      </c>
      <c r="O283" s="1721" t="s">
        <v>95</v>
      </c>
      <c r="P283" s="1894" t="s">
        <v>8227</v>
      </c>
      <c r="Q283" s="1701" t="s">
        <v>7182</v>
      </c>
    </row>
    <row r="284" spans="1:17" ht="10.5" customHeight="1">
      <c r="A284" s="1721" t="s">
        <v>4028</v>
      </c>
      <c r="B284" s="1721" t="s">
        <v>2340</v>
      </c>
      <c r="C284" s="1721" t="s">
        <v>3797</v>
      </c>
      <c r="D284" s="1721">
        <v>63631863</v>
      </c>
      <c r="E284" s="1721" t="s">
        <v>4030</v>
      </c>
      <c r="F284" s="1721">
        <v>143006426</v>
      </c>
      <c r="G284" s="1721" t="s">
        <v>7023</v>
      </c>
      <c r="H284" s="1894" t="s">
        <v>7023</v>
      </c>
      <c r="I284" s="1721" t="s">
        <v>6867</v>
      </c>
      <c r="J284" s="1721">
        <v>1</v>
      </c>
      <c r="K284" s="1896">
        <v>3016387.93</v>
      </c>
      <c r="L284" s="1896">
        <v>108864.22</v>
      </c>
      <c r="M284" s="1896">
        <v>2907523.71</v>
      </c>
      <c r="N284" s="1721" t="s">
        <v>4024</v>
      </c>
      <c r="O284" s="1721" t="s">
        <v>95</v>
      </c>
      <c r="P284" s="1894" t="s">
        <v>8228</v>
      </c>
      <c r="Q284" s="1701" t="s">
        <v>8220</v>
      </c>
    </row>
    <row r="285" spans="1:17" ht="10.5" customHeight="1">
      <c r="A285" s="1897" t="s">
        <v>4028</v>
      </c>
      <c r="B285" s="1897" t="s">
        <v>2340</v>
      </c>
      <c r="C285" s="1897" t="s">
        <v>3797</v>
      </c>
      <c r="D285" s="1897">
        <v>63631870</v>
      </c>
      <c r="E285" s="1897" t="s">
        <v>4030</v>
      </c>
      <c r="F285" s="1897">
        <v>143006444</v>
      </c>
      <c r="G285" s="1897" t="s">
        <v>7024</v>
      </c>
      <c r="H285" s="1898" t="s">
        <v>8134</v>
      </c>
      <c r="I285" s="1897" t="s">
        <v>6867</v>
      </c>
      <c r="J285" s="1897">
        <v>1</v>
      </c>
      <c r="K285" s="1899">
        <v>65758.47</v>
      </c>
      <c r="L285" s="1899">
        <v>19397.2</v>
      </c>
      <c r="M285" s="1899">
        <v>46361.270000000004</v>
      </c>
      <c r="N285" s="1897" t="s">
        <v>4024</v>
      </c>
      <c r="O285" s="1897" t="s">
        <v>988</v>
      </c>
      <c r="P285" s="1898" t="s">
        <v>8226</v>
      </c>
      <c r="Q285" s="1900" t="s">
        <v>7183</v>
      </c>
    </row>
    <row r="286" spans="1:17" ht="10.5" customHeight="1">
      <c r="A286" s="1721" t="s">
        <v>4028</v>
      </c>
      <c r="B286" s="1721" t="s">
        <v>2340</v>
      </c>
      <c r="C286" s="1721" t="s">
        <v>3797</v>
      </c>
      <c r="D286" s="1721">
        <v>63703068</v>
      </c>
      <c r="E286" s="1721" t="s">
        <v>4030</v>
      </c>
      <c r="F286" s="1721">
        <v>143005896</v>
      </c>
      <c r="G286" s="1721" t="s">
        <v>7025</v>
      </c>
      <c r="H286" s="1894" t="s">
        <v>8135</v>
      </c>
      <c r="I286" s="1721" t="s">
        <v>6867</v>
      </c>
      <c r="J286" s="1721">
        <v>1</v>
      </c>
      <c r="K286" s="1896">
        <v>16812.05</v>
      </c>
      <c r="L286" s="1896">
        <v>606.76</v>
      </c>
      <c r="M286" s="1896">
        <v>16205.29</v>
      </c>
      <c r="N286" s="1721" t="s">
        <v>4024</v>
      </c>
      <c r="O286" s="1721" t="s">
        <v>95</v>
      </c>
      <c r="P286" s="1894" t="s">
        <v>8227</v>
      </c>
      <c r="Q286" s="1701" t="s">
        <v>8230</v>
      </c>
    </row>
    <row r="287" spans="1:17" ht="10.5" customHeight="1">
      <c r="A287" s="1721" t="s">
        <v>4028</v>
      </c>
      <c r="B287" s="1721" t="s">
        <v>2340</v>
      </c>
      <c r="C287" s="1721" t="s">
        <v>3797</v>
      </c>
      <c r="D287" s="1721">
        <v>63703071</v>
      </c>
      <c r="E287" s="1721" t="s">
        <v>4030</v>
      </c>
      <c r="F287" s="1721">
        <v>143005920</v>
      </c>
      <c r="G287" s="1721" t="s">
        <v>7026</v>
      </c>
      <c r="H287" s="1894" t="s">
        <v>8136</v>
      </c>
      <c r="I287" s="1721" t="s">
        <v>6867</v>
      </c>
      <c r="J287" s="1721">
        <v>1</v>
      </c>
      <c r="K287" s="1896">
        <v>11682.27</v>
      </c>
      <c r="L287" s="1896">
        <v>421.62</v>
      </c>
      <c r="M287" s="1896">
        <v>11260.65</v>
      </c>
      <c r="N287" s="1721" t="s">
        <v>4024</v>
      </c>
      <c r="O287" s="1721" t="s">
        <v>95</v>
      </c>
      <c r="P287" s="1894" t="s">
        <v>8227</v>
      </c>
      <c r="Q287" s="1701" t="s">
        <v>7184</v>
      </c>
    </row>
    <row r="288" spans="1:17" ht="10.5" customHeight="1">
      <c r="A288" s="1721" t="s">
        <v>4028</v>
      </c>
      <c r="B288" s="1721" t="s">
        <v>2340</v>
      </c>
      <c r="C288" s="1721" t="s">
        <v>3797</v>
      </c>
      <c r="D288" s="1721">
        <v>63986822</v>
      </c>
      <c r="E288" s="1721" t="s">
        <v>4030</v>
      </c>
      <c r="F288" s="1721">
        <v>143007462</v>
      </c>
      <c r="G288" s="1721" t="s">
        <v>7028</v>
      </c>
      <c r="H288" s="1894" t="s">
        <v>7028</v>
      </c>
      <c r="I288" s="1721" t="s">
        <v>6867</v>
      </c>
      <c r="J288" s="1721">
        <v>1</v>
      </c>
      <c r="K288" s="1896">
        <v>61142.200000000004</v>
      </c>
      <c r="L288" s="1896">
        <v>2206.6799999999998</v>
      </c>
      <c r="M288" s="1896">
        <v>58935.520000000004</v>
      </c>
      <c r="N288" s="1721" t="s">
        <v>4024</v>
      </c>
      <c r="O288" s="1721" t="s">
        <v>95</v>
      </c>
      <c r="P288" s="1894" t="s">
        <v>8227</v>
      </c>
      <c r="Q288" s="1701" t="s">
        <v>7185</v>
      </c>
    </row>
    <row r="289" spans="1:17" ht="10.5" customHeight="1">
      <c r="A289" s="1721" t="s">
        <v>4028</v>
      </c>
      <c r="B289" s="1721" t="s">
        <v>2340</v>
      </c>
      <c r="C289" s="1721" t="s">
        <v>3797</v>
      </c>
      <c r="D289" s="1721">
        <v>64102451</v>
      </c>
      <c r="E289" s="1721" t="s">
        <v>4030</v>
      </c>
      <c r="F289" s="1721">
        <v>143006780</v>
      </c>
      <c r="G289" s="1721" t="s">
        <v>7029</v>
      </c>
      <c r="H289" s="1894" t="s">
        <v>8137</v>
      </c>
      <c r="I289" s="1721" t="s">
        <v>6867</v>
      </c>
      <c r="J289" s="1721">
        <v>1</v>
      </c>
      <c r="K289" s="1896">
        <v>31187.46</v>
      </c>
      <c r="L289" s="1896">
        <v>1125.58</v>
      </c>
      <c r="M289" s="1896">
        <v>30061.88</v>
      </c>
      <c r="N289" s="1721" t="s">
        <v>4024</v>
      </c>
      <c r="O289" s="1721" t="s">
        <v>95</v>
      </c>
      <c r="P289" s="1894" t="s">
        <v>8261</v>
      </c>
      <c r="Q289" s="1750" t="s">
        <v>8245</v>
      </c>
    </row>
    <row r="290" spans="1:17" ht="10.5" customHeight="1">
      <c r="A290" s="1721" t="s">
        <v>4028</v>
      </c>
      <c r="B290" s="1721" t="s">
        <v>2340</v>
      </c>
      <c r="C290" s="1721" t="s">
        <v>3797</v>
      </c>
      <c r="D290" s="1721">
        <v>64102493</v>
      </c>
      <c r="E290" s="1721" t="s">
        <v>4030</v>
      </c>
      <c r="F290" s="1721">
        <v>143007263</v>
      </c>
      <c r="G290" s="1721" t="s">
        <v>7030</v>
      </c>
      <c r="H290" s="1894" t="s">
        <v>8138</v>
      </c>
      <c r="I290" s="1721" t="s">
        <v>6867</v>
      </c>
      <c r="J290" s="1721">
        <v>1</v>
      </c>
      <c r="K290" s="1896">
        <v>261979.96</v>
      </c>
      <c r="L290" s="1896">
        <v>9455.1</v>
      </c>
      <c r="M290" s="1896">
        <v>252524.86000000002</v>
      </c>
      <c r="N290" s="1721" t="s">
        <v>4024</v>
      </c>
      <c r="O290" s="1721" t="s">
        <v>390</v>
      </c>
      <c r="P290" s="1894" t="s">
        <v>8225</v>
      </c>
      <c r="Q290" s="1701" t="s">
        <v>8246</v>
      </c>
    </row>
    <row r="291" spans="1:17" ht="10.5" customHeight="1">
      <c r="A291" s="1721" t="s">
        <v>4028</v>
      </c>
      <c r="B291" s="1721" t="s">
        <v>2340</v>
      </c>
      <c r="C291" s="1721" t="s">
        <v>3797</v>
      </c>
      <c r="D291" s="1721">
        <v>64285983</v>
      </c>
      <c r="E291" s="1721" t="s">
        <v>4030</v>
      </c>
      <c r="F291" s="1721">
        <v>143007192</v>
      </c>
      <c r="G291" s="1721" t="s">
        <v>7031</v>
      </c>
      <c r="H291" s="1894" t="s">
        <v>8139</v>
      </c>
      <c r="I291" s="1721" t="s">
        <v>6867</v>
      </c>
      <c r="J291" s="1721">
        <v>1</v>
      </c>
      <c r="K291" s="1896">
        <v>23589.34</v>
      </c>
      <c r="L291" s="1896">
        <v>851.36</v>
      </c>
      <c r="M291" s="1896">
        <v>22737.98</v>
      </c>
      <c r="N291" s="1721" t="s">
        <v>4024</v>
      </c>
      <c r="O291" s="1721" t="s">
        <v>95</v>
      </c>
      <c r="P291" s="1894" t="s">
        <v>8227</v>
      </c>
      <c r="Q291" s="1701" t="s">
        <v>7186</v>
      </c>
    </row>
    <row r="292" spans="1:17" ht="10.5" customHeight="1">
      <c r="A292" s="1721" t="s">
        <v>4028</v>
      </c>
      <c r="B292" s="1721" t="s">
        <v>2340</v>
      </c>
      <c r="C292" s="1721" t="s">
        <v>3797</v>
      </c>
      <c r="D292" s="1721">
        <v>64449714</v>
      </c>
      <c r="E292" s="1721" t="s">
        <v>4030</v>
      </c>
      <c r="F292" s="1721">
        <v>143007243</v>
      </c>
      <c r="G292" s="1721" t="s">
        <v>7032</v>
      </c>
      <c r="H292" s="1894" t="s">
        <v>7032</v>
      </c>
      <c r="I292" s="1721" t="s">
        <v>6867</v>
      </c>
      <c r="J292" s="1721">
        <v>1</v>
      </c>
      <c r="K292" s="1896">
        <v>27461.93</v>
      </c>
      <c r="L292" s="1896">
        <v>991.13</v>
      </c>
      <c r="M292" s="1896">
        <v>26470.799999999999</v>
      </c>
      <c r="N292" s="1721" t="s">
        <v>4024</v>
      </c>
      <c r="O292" s="1721" t="s">
        <v>95</v>
      </c>
      <c r="P292" s="1894" t="s">
        <v>8227</v>
      </c>
      <c r="Q292" s="1701" t="s">
        <v>7187</v>
      </c>
    </row>
    <row r="293" spans="1:17" ht="10.5" customHeight="1">
      <c r="A293" s="1721" t="s">
        <v>4028</v>
      </c>
      <c r="B293" s="1721" t="s">
        <v>2340</v>
      </c>
      <c r="C293" s="1721" t="s">
        <v>3797</v>
      </c>
      <c r="D293" s="1721">
        <v>64449717</v>
      </c>
      <c r="E293" s="1721" t="s">
        <v>4030</v>
      </c>
      <c r="F293" s="1721">
        <v>143007244</v>
      </c>
      <c r="G293" s="1721" t="s">
        <v>7033</v>
      </c>
      <c r="H293" s="1894" t="s">
        <v>8140</v>
      </c>
      <c r="I293" s="1721" t="s">
        <v>6867</v>
      </c>
      <c r="J293" s="1721">
        <v>1</v>
      </c>
      <c r="K293" s="1896">
        <v>136058.4</v>
      </c>
      <c r="L293" s="1896">
        <v>4910.47</v>
      </c>
      <c r="M293" s="1896">
        <v>131147.93</v>
      </c>
      <c r="N293" s="1721" t="s">
        <v>4024</v>
      </c>
      <c r="O293" s="1721" t="s">
        <v>95</v>
      </c>
      <c r="P293" s="1894" t="s">
        <v>8227</v>
      </c>
      <c r="Q293" s="1701" t="s">
        <v>7188</v>
      </c>
    </row>
    <row r="294" spans="1:17" ht="10.5" customHeight="1">
      <c r="A294" s="1721" t="s">
        <v>4028</v>
      </c>
      <c r="B294" s="1721" t="s">
        <v>2340</v>
      </c>
      <c r="C294" s="1721" t="s">
        <v>3797</v>
      </c>
      <c r="D294" s="1721">
        <v>64449720</v>
      </c>
      <c r="E294" s="1721" t="s">
        <v>4030</v>
      </c>
      <c r="F294" s="1721">
        <v>143007245</v>
      </c>
      <c r="G294" s="1721" t="s">
        <v>7034</v>
      </c>
      <c r="H294" s="1894" t="s">
        <v>7034</v>
      </c>
      <c r="I294" s="1721" t="s">
        <v>6867</v>
      </c>
      <c r="J294" s="1721">
        <v>1</v>
      </c>
      <c r="K294" s="1896">
        <v>104822.86</v>
      </c>
      <c r="L294" s="1896">
        <v>3783.15</v>
      </c>
      <c r="M294" s="1896">
        <v>101039.71</v>
      </c>
      <c r="N294" s="1721" t="s">
        <v>4024</v>
      </c>
      <c r="O294" s="1721" t="s">
        <v>390</v>
      </c>
      <c r="P294" s="1894" t="s">
        <v>8229</v>
      </c>
      <c r="Q294" s="1701" t="s">
        <v>7189</v>
      </c>
    </row>
    <row r="295" spans="1:17" ht="10.5" customHeight="1">
      <c r="A295" s="1721" t="s">
        <v>4028</v>
      </c>
      <c r="B295" s="1721" t="s">
        <v>2340</v>
      </c>
      <c r="C295" s="1721" t="s">
        <v>3797</v>
      </c>
      <c r="D295" s="1721">
        <v>64678962</v>
      </c>
      <c r="E295" s="1721" t="s">
        <v>4030</v>
      </c>
      <c r="F295" s="1721">
        <v>143006448</v>
      </c>
      <c r="G295" s="1721" t="s">
        <v>7027</v>
      </c>
      <c r="H295" s="1894" t="s">
        <v>8141</v>
      </c>
      <c r="I295" s="1721" t="s">
        <v>6867</v>
      </c>
      <c r="J295" s="1721">
        <v>1</v>
      </c>
      <c r="K295" s="1896">
        <v>10967.960000000001</v>
      </c>
      <c r="L295" s="1896">
        <v>395.84000000000003</v>
      </c>
      <c r="M295" s="1896">
        <v>10572.12</v>
      </c>
      <c r="N295" s="1721" t="s">
        <v>4024</v>
      </c>
      <c r="O295" s="1721" t="s">
        <v>95</v>
      </c>
      <c r="P295" s="1894" t="s">
        <v>8227</v>
      </c>
      <c r="Q295" s="1701" t="s">
        <v>7190</v>
      </c>
    </row>
    <row r="296" spans="1:17" ht="10.5" customHeight="1">
      <c r="A296" s="1721" t="s">
        <v>4028</v>
      </c>
      <c r="B296" s="1721" t="s">
        <v>2340</v>
      </c>
      <c r="C296" s="1721" t="s">
        <v>3797</v>
      </c>
      <c r="D296" s="1721">
        <v>64679000</v>
      </c>
      <c r="E296" s="1721" t="s">
        <v>4030</v>
      </c>
      <c r="F296" s="1721">
        <v>143006722</v>
      </c>
      <c r="G296" s="1721" t="s">
        <v>7035</v>
      </c>
      <c r="H296" s="1894" t="s">
        <v>8142</v>
      </c>
      <c r="I296" s="1721" t="s">
        <v>6867</v>
      </c>
      <c r="J296" s="1721">
        <v>1</v>
      </c>
      <c r="K296" s="1896">
        <v>345492.01</v>
      </c>
      <c r="L296" s="1896">
        <v>12469.12</v>
      </c>
      <c r="M296" s="1896">
        <v>333022.89</v>
      </c>
      <c r="N296" s="1721" t="s">
        <v>4024</v>
      </c>
      <c r="O296" s="1721" t="s">
        <v>95</v>
      </c>
      <c r="P296" s="1894" t="s">
        <v>8227</v>
      </c>
      <c r="Q296" s="1701" t="s">
        <v>8248</v>
      </c>
    </row>
    <row r="297" spans="1:17" ht="10.5" customHeight="1">
      <c r="A297" s="1721" t="s">
        <v>4028</v>
      </c>
      <c r="B297" s="1721" t="s">
        <v>2340</v>
      </c>
      <c r="C297" s="1721" t="s">
        <v>3797</v>
      </c>
      <c r="D297" s="1721">
        <v>64679003</v>
      </c>
      <c r="E297" s="1721" t="s">
        <v>4030</v>
      </c>
      <c r="F297" s="1721">
        <v>143006723</v>
      </c>
      <c r="G297" s="1721" t="s">
        <v>7036</v>
      </c>
      <c r="H297" s="1894" t="s">
        <v>8143</v>
      </c>
      <c r="I297" s="1721" t="s">
        <v>6867</v>
      </c>
      <c r="J297" s="1721">
        <v>1</v>
      </c>
      <c r="K297" s="1896">
        <v>462247.31</v>
      </c>
      <c r="L297" s="1896">
        <v>16682.93</v>
      </c>
      <c r="M297" s="1896">
        <v>445564.38</v>
      </c>
      <c r="N297" s="1721" t="s">
        <v>4024</v>
      </c>
      <c r="O297" s="1721" t="s">
        <v>95</v>
      </c>
      <c r="P297" s="1894" t="s">
        <v>8227</v>
      </c>
      <c r="Q297" s="1750" t="s">
        <v>8240</v>
      </c>
    </row>
    <row r="298" spans="1:17" ht="10.5" customHeight="1">
      <c r="A298" s="1721" t="s">
        <v>4028</v>
      </c>
      <c r="B298" s="1721" t="s">
        <v>2340</v>
      </c>
      <c r="C298" s="1721" t="s">
        <v>3797</v>
      </c>
      <c r="D298" s="1721">
        <v>64816065</v>
      </c>
      <c r="E298" s="1721" t="s">
        <v>4030</v>
      </c>
      <c r="F298" s="1721">
        <v>143006449</v>
      </c>
      <c r="G298" s="1721" t="s">
        <v>7037</v>
      </c>
      <c r="H298" s="1894" t="s">
        <v>8144</v>
      </c>
      <c r="I298" s="1721" t="s">
        <v>6867</v>
      </c>
      <c r="J298" s="1721">
        <v>1</v>
      </c>
      <c r="K298" s="1896">
        <v>38336.700000000004</v>
      </c>
      <c r="L298" s="1896">
        <v>1383.6100000000001</v>
      </c>
      <c r="M298" s="1896">
        <v>36953.090000000004</v>
      </c>
      <c r="N298" s="1721" t="s">
        <v>4024</v>
      </c>
      <c r="O298" s="1721" t="s">
        <v>95</v>
      </c>
      <c r="P298" s="1894" t="s">
        <v>8227</v>
      </c>
      <c r="Q298" s="1701" t="s">
        <v>7191</v>
      </c>
    </row>
    <row r="299" spans="1:17" ht="10.5" customHeight="1">
      <c r="A299" s="1721" t="s">
        <v>4028</v>
      </c>
      <c r="B299" s="1721" t="s">
        <v>2340</v>
      </c>
      <c r="C299" s="1721" t="s">
        <v>3797</v>
      </c>
      <c r="D299" s="1721">
        <v>64816092</v>
      </c>
      <c r="E299" s="1721" t="s">
        <v>4030</v>
      </c>
      <c r="F299" s="1721">
        <v>143006801</v>
      </c>
      <c r="G299" s="1721" t="s">
        <v>7038</v>
      </c>
      <c r="H299" s="1894" t="s">
        <v>8145</v>
      </c>
      <c r="I299" s="1721" t="s">
        <v>6867</v>
      </c>
      <c r="J299" s="1721">
        <v>1</v>
      </c>
      <c r="K299" s="1896">
        <v>1356429.56</v>
      </c>
      <c r="L299" s="1896">
        <v>48954.79</v>
      </c>
      <c r="M299" s="1896">
        <v>1307474.77</v>
      </c>
      <c r="N299" s="1721" t="s">
        <v>4024</v>
      </c>
      <c r="O299" s="1721" t="s">
        <v>95</v>
      </c>
      <c r="P299" s="1894" t="s">
        <v>8227</v>
      </c>
      <c r="Q299" s="1701" t="s">
        <v>7192</v>
      </c>
    </row>
    <row r="300" spans="1:17" ht="10.5" customHeight="1">
      <c r="A300" s="1721" t="s">
        <v>4028</v>
      </c>
      <c r="B300" s="1721" t="s">
        <v>2340</v>
      </c>
      <c r="C300" s="1721" t="s">
        <v>3797</v>
      </c>
      <c r="D300" s="1721">
        <v>64905503</v>
      </c>
      <c r="E300" s="1721" t="s">
        <v>4030</v>
      </c>
      <c r="F300" s="1721">
        <v>143007106</v>
      </c>
      <c r="G300" s="1721" t="s">
        <v>7039</v>
      </c>
      <c r="H300" s="1894" t="s">
        <v>7039</v>
      </c>
      <c r="I300" s="1721" t="s">
        <v>6867</v>
      </c>
      <c r="J300" s="1721">
        <v>1</v>
      </c>
      <c r="K300" s="1896">
        <v>122672.06</v>
      </c>
      <c r="L300" s="1896">
        <v>4427.3500000000004</v>
      </c>
      <c r="M300" s="1896">
        <v>118244.71</v>
      </c>
      <c r="N300" s="1721" t="s">
        <v>4024</v>
      </c>
      <c r="O300" s="1721" t="s">
        <v>95</v>
      </c>
      <c r="P300" s="1894" t="s">
        <v>8249</v>
      </c>
      <c r="Q300" s="1701" t="s">
        <v>7193</v>
      </c>
    </row>
    <row r="301" spans="1:17" ht="10.5" customHeight="1">
      <c r="A301" s="1721" t="s">
        <v>4028</v>
      </c>
      <c r="B301" s="1721" t="s">
        <v>2340</v>
      </c>
      <c r="C301" s="1721" t="s">
        <v>3797</v>
      </c>
      <c r="D301" s="1721">
        <v>65089188</v>
      </c>
      <c r="E301" s="1721" t="s">
        <v>4030</v>
      </c>
      <c r="F301" s="1721">
        <v>143006820</v>
      </c>
      <c r="G301" s="1721" t="s">
        <v>7040</v>
      </c>
      <c r="H301" s="1894" t="s">
        <v>8146</v>
      </c>
      <c r="I301" s="1721" t="s">
        <v>6867</v>
      </c>
      <c r="J301" s="1721">
        <v>1</v>
      </c>
      <c r="K301" s="1896">
        <v>115491.54000000001</v>
      </c>
      <c r="L301" s="1896">
        <v>4168.2</v>
      </c>
      <c r="M301" s="1896">
        <v>111323.34</v>
      </c>
      <c r="N301" s="1721" t="s">
        <v>4024</v>
      </c>
      <c r="O301" s="1721" t="s">
        <v>95</v>
      </c>
      <c r="P301" s="1894" t="s">
        <v>8227</v>
      </c>
      <c r="Q301" s="1701" t="s">
        <v>7194</v>
      </c>
    </row>
    <row r="302" spans="1:17" ht="10.5" customHeight="1">
      <c r="A302" s="1721" t="s">
        <v>4028</v>
      </c>
      <c r="B302" s="1721" t="s">
        <v>2340</v>
      </c>
      <c r="C302" s="1721" t="s">
        <v>3797</v>
      </c>
      <c r="D302" s="1721">
        <v>65324060</v>
      </c>
      <c r="E302" s="1721" t="s">
        <v>4030</v>
      </c>
      <c r="F302" s="1721">
        <v>143006441</v>
      </c>
      <c r="G302" s="1721" t="s">
        <v>7041</v>
      </c>
      <c r="H302" s="1894" t="s">
        <v>8147</v>
      </c>
      <c r="I302" s="1721" t="s">
        <v>6867</v>
      </c>
      <c r="J302" s="1721">
        <v>1</v>
      </c>
      <c r="K302" s="1896">
        <v>1951908.99</v>
      </c>
      <c r="L302" s="1896">
        <v>70446.19</v>
      </c>
      <c r="M302" s="1896">
        <v>1881462.8</v>
      </c>
      <c r="N302" s="1721" t="s">
        <v>4024</v>
      </c>
      <c r="O302" s="1721" t="s">
        <v>390</v>
      </c>
      <c r="P302" s="1894" t="s">
        <v>8229</v>
      </c>
      <c r="Q302" s="1701" t="s">
        <v>7195</v>
      </c>
    </row>
    <row r="303" spans="1:17" ht="10.5" customHeight="1">
      <c r="A303" s="1721" t="s">
        <v>4028</v>
      </c>
      <c r="B303" s="1721" t="s">
        <v>2340</v>
      </c>
      <c r="C303" s="1721" t="s">
        <v>3797</v>
      </c>
      <c r="D303" s="1721">
        <v>65324090</v>
      </c>
      <c r="E303" s="1721" t="s">
        <v>4030</v>
      </c>
      <c r="F303" s="1721">
        <v>143007589</v>
      </c>
      <c r="G303" s="1721" t="s">
        <v>7042</v>
      </c>
      <c r="H303" s="1894" t="s">
        <v>8148</v>
      </c>
      <c r="I303" s="1721" t="s">
        <v>6867</v>
      </c>
      <c r="J303" s="1721">
        <v>1</v>
      </c>
      <c r="K303" s="1896">
        <v>92336.94</v>
      </c>
      <c r="L303" s="1896">
        <v>3332.53</v>
      </c>
      <c r="M303" s="1896">
        <v>89004.41</v>
      </c>
      <c r="N303" s="1721" t="s">
        <v>4024</v>
      </c>
      <c r="O303" s="1721" t="s">
        <v>95</v>
      </c>
      <c r="P303" s="1894" t="s">
        <v>8227</v>
      </c>
      <c r="Q303" s="1701" t="s">
        <v>7196</v>
      </c>
    </row>
    <row r="304" spans="1:17" ht="10.5" customHeight="1">
      <c r="A304" s="1721" t="s">
        <v>4028</v>
      </c>
      <c r="B304" s="1721" t="s">
        <v>2340</v>
      </c>
      <c r="C304" s="1721" t="s">
        <v>3797</v>
      </c>
      <c r="D304" s="1721">
        <v>65501992</v>
      </c>
      <c r="E304" s="1721" t="s">
        <v>4030</v>
      </c>
      <c r="F304" s="1721">
        <v>143005206</v>
      </c>
      <c r="G304" s="1721" t="s">
        <v>4133</v>
      </c>
      <c r="H304" s="1894" t="s">
        <v>4134</v>
      </c>
      <c r="I304" s="1721" t="s">
        <v>6867</v>
      </c>
      <c r="J304" s="1721">
        <v>1</v>
      </c>
      <c r="K304" s="1896">
        <v>215501.25</v>
      </c>
      <c r="L304" s="1896">
        <v>7777.64</v>
      </c>
      <c r="M304" s="1896">
        <v>207723.61000000002</v>
      </c>
      <c r="N304" s="1721" t="s">
        <v>4024</v>
      </c>
      <c r="O304" s="1721" t="s">
        <v>95</v>
      </c>
      <c r="P304" s="1894" t="s">
        <v>8227</v>
      </c>
      <c r="Q304" s="1750" t="s">
        <v>8250</v>
      </c>
    </row>
    <row r="305" spans="1:17" ht="10.5" customHeight="1">
      <c r="A305" s="1721" t="s">
        <v>4028</v>
      </c>
      <c r="B305" s="1721" t="s">
        <v>2340</v>
      </c>
      <c r="C305" s="1721" t="s">
        <v>3797</v>
      </c>
      <c r="D305" s="1721">
        <v>65501995</v>
      </c>
      <c r="E305" s="1721" t="s">
        <v>4030</v>
      </c>
      <c r="F305" s="1721">
        <v>143005902</v>
      </c>
      <c r="G305" s="1721" t="s">
        <v>7043</v>
      </c>
      <c r="H305" s="1894" t="s">
        <v>8149</v>
      </c>
      <c r="I305" s="1721" t="s">
        <v>6867</v>
      </c>
      <c r="J305" s="1721">
        <v>1</v>
      </c>
      <c r="K305" s="1896">
        <v>46884.63</v>
      </c>
      <c r="L305" s="1896">
        <v>1692.1100000000001</v>
      </c>
      <c r="M305" s="1896">
        <v>45192.520000000004</v>
      </c>
      <c r="N305" s="1721" t="s">
        <v>4024</v>
      </c>
      <c r="O305" s="1721" t="s">
        <v>95</v>
      </c>
      <c r="P305" s="1894" t="s">
        <v>8227</v>
      </c>
      <c r="Q305" s="1750" t="s">
        <v>8251</v>
      </c>
    </row>
    <row r="306" spans="1:17" ht="10.5" customHeight="1">
      <c r="A306" s="1721" t="s">
        <v>4028</v>
      </c>
      <c r="B306" s="1721" t="s">
        <v>2340</v>
      </c>
      <c r="C306" s="1721" t="s">
        <v>3797</v>
      </c>
      <c r="D306" s="1721">
        <v>65502034</v>
      </c>
      <c r="E306" s="1721" t="s">
        <v>4030</v>
      </c>
      <c r="F306" s="1721">
        <v>143007217</v>
      </c>
      <c r="G306" s="1721" t="s">
        <v>7044</v>
      </c>
      <c r="H306" s="1894" t="s">
        <v>8150</v>
      </c>
      <c r="I306" s="1721" t="s">
        <v>6867</v>
      </c>
      <c r="J306" s="1721">
        <v>1</v>
      </c>
      <c r="K306" s="1896">
        <v>198083.83000000002</v>
      </c>
      <c r="L306" s="1896">
        <v>7149.03</v>
      </c>
      <c r="M306" s="1896">
        <v>190934.80000000002</v>
      </c>
      <c r="N306" s="1721" t="s">
        <v>4024</v>
      </c>
      <c r="O306" s="1721" t="s">
        <v>390</v>
      </c>
      <c r="P306" s="1894" t="s">
        <v>8229</v>
      </c>
      <c r="Q306" s="1701" t="s">
        <v>8252</v>
      </c>
    </row>
    <row r="307" spans="1:17" ht="10.5" customHeight="1">
      <c r="A307" s="1721" t="s">
        <v>4028</v>
      </c>
      <c r="B307" s="1721" t="s">
        <v>2340</v>
      </c>
      <c r="C307" s="1721" t="s">
        <v>3797</v>
      </c>
      <c r="D307" s="1721">
        <v>65620443</v>
      </c>
      <c r="E307" s="1721" t="s">
        <v>4030</v>
      </c>
      <c r="F307" s="1721">
        <v>143007248</v>
      </c>
      <c r="G307" s="1721" t="s">
        <v>7045</v>
      </c>
      <c r="H307" s="1894" t="s">
        <v>8151</v>
      </c>
      <c r="I307" s="1721" t="s">
        <v>6867</v>
      </c>
      <c r="J307" s="1721">
        <v>1</v>
      </c>
      <c r="K307" s="1896">
        <v>35417.21</v>
      </c>
      <c r="L307" s="1896">
        <v>1278.24</v>
      </c>
      <c r="M307" s="1896">
        <v>34138.97</v>
      </c>
      <c r="N307" s="1721" t="s">
        <v>4024</v>
      </c>
      <c r="O307" s="1721" t="s">
        <v>95</v>
      </c>
      <c r="P307" s="1894" t="s">
        <v>8227</v>
      </c>
      <c r="Q307" s="1701" t="s">
        <v>7197</v>
      </c>
    </row>
    <row r="308" spans="1:17" ht="10.5" customHeight="1">
      <c r="A308" s="1721" t="s">
        <v>4028</v>
      </c>
      <c r="B308" s="1721" t="s">
        <v>2340</v>
      </c>
      <c r="C308" s="1721" t="s">
        <v>3797</v>
      </c>
      <c r="D308" s="1721">
        <v>65894605</v>
      </c>
      <c r="E308" s="1721" t="s">
        <v>4030</v>
      </c>
      <c r="F308" s="1721">
        <v>143007501</v>
      </c>
      <c r="G308" s="1721" t="s">
        <v>7046</v>
      </c>
      <c r="H308" s="1894" t="s">
        <v>7046</v>
      </c>
      <c r="I308" s="1721" t="s">
        <v>6867</v>
      </c>
      <c r="J308" s="1721">
        <v>1</v>
      </c>
      <c r="K308" s="1896">
        <v>59428.91</v>
      </c>
      <c r="L308" s="1896">
        <v>2144.84</v>
      </c>
      <c r="M308" s="1896">
        <v>57284.07</v>
      </c>
      <c r="N308" s="1721" t="s">
        <v>4024</v>
      </c>
      <c r="O308" s="1721" t="s">
        <v>390</v>
      </c>
      <c r="P308" s="1894" t="s">
        <v>8259</v>
      </c>
      <c r="Q308" s="1701" t="s">
        <v>8257</v>
      </c>
    </row>
    <row r="309" spans="1:17" ht="10.5" customHeight="1">
      <c r="A309" s="1721" t="s">
        <v>4028</v>
      </c>
      <c r="B309" s="1721" t="s">
        <v>2340</v>
      </c>
      <c r="C309" s="1721" t="s">
        <v>3797</v>
      </c>
      <c r="D309" s="1721">
        <v>65894608</v>
      </c>
      <c r="E309" s="1721" t="s">
        <v>4030</v>
      </c>
      <c r="F309" s="1721">
        <v>143007502</v>
      </c>
      <c r="G309" s="1721" t="s">
        <v>7047</v>
      </c>
      <c r="H309" s="1894" t="s">
        <v>8152</v>
      </c>
      <c r="I309" s="1721" t="s">
        <v>6867</v>
      </c>
      <c r="J309" s="1721">
        <v>1</v>
      </c>
      <c r="K309" s="1896">
        <v>59428.91</v>
      </c>
      <c r="L309" s="1896">
        <v>2144.84</v>
      </c>
      <c r="M309" s="1896">
        <v>57284.07</v>
      </c>
      <c r="N309" s="1721" t="s">
        <v>4024</v>
      </c>
      <c r="O309" s="1721" t="s">
        <v>390</v>
      </c>
      <c r="P309" s="1894" t="s">
        <v>8259</v>
      </c>
      <c r="Q309" s="1701" t="s">
        <v>8258</v>
      </c>
    </row>
    <row r="310" spans="1:17" ht="10.5" customHeight="1">
      <c r="A310" s="1721" t="s">
        <v>4028</v>
      </c>
      <c r="B310" s="1721" t="s">
        <v>2340</v>
      </c>
      <c r="C310" s="1721" t="s">
        <v>3797</v>
      </c>
      <c r="D310" s="1721">
        <v>66096355</v>
      </c>
      <c r="E310" s="1721" t="s">
        <v>4030</v>
      </c>
      <c r="F310" s="1721">
        <v>143007043</v>
      </c>
      <c r="G310" s="1721" t="s">
        <v>7048</v>
      </c>
      <c r="H310" s="1894" t="s">
        <v>8153</v>
      </c>
      <c r="I310" s="1721" t="s">
        <v>6867</v>
      </c>
      <c r="J310" s="1721">
        <v>1</v>
      </c>
      <c r="K310" s="1896">
        <v>295861.72000000003</v>
      </c>
      <c r="L310" s="1896">
        <v>10677.92</v>
      </c>
      <c r="M310" s="1896">
        <v>285183.8</v>
      </c>
      <c r="N310" s="1721" t="s">
        <v>4024</v>
      </c>
      <c r="O310" s="1721" t="s">
        <v>95</v>
      </c>
      <c r="P310" s="1894" t="s">
        <v>8260</v>
      </c>
      <c r="Q310" s="1701" t="s">
        <v>7198</v>
      </c>
    </row>
    <row r="311" spans="1:17" ht="10.5" customHeight="1">
      <c r="A311" s="1721" t="s">
        <v>4028</v>
      </c>
      <c r="B311" s="1721" t="s">
        <v>2340</v>
      </c>
      <c r="C311" s="1721" t="s">
        <v>3797</v>
      </c>
      <c r="D311" s="1721">
        <v>66096368</v>
      </c>
      <c r="E311" s="1721" t="s">
        <v>4030</v>
      </c>
      <c r="F311" s="1721">
        <v>143007253</v>
      </c>
      <c r="G311" s="1721" t="s">
        <v>7049</v>
      </c>
      <c r="H311" s="1894" t="s">
        <v>8154</v>
      </c>
      <c r="I311" s="1721" t="s">
        <v>6867</v>
      </c>
      <c r="J311" s="1721">
        <v>1</v>
      </c>
      <c r="K311" s="1896">
        <v>772496.25</v>
      </c>
      <c r="L311" s="1896">
        <v>27880.100000000002</v>
      </c>
      <c r="M311" s="1896">
        <v>744616.15</v>
      </c>
      <c r="N311" s="1721" t="s">
        <v>4024</v>
      </c>
      <c r="O311" s="1721" t="s">
        <v>95</v>
      </c>
      <c r="P311" s="1894" t="s">
        <v>8227</v>
      </c>
      <c r="Q311" s="1701" t="s">
        <v>7199</v>
      </c>
    </row>
    <row r="312" spans="1:17" ht="10.5" customHeight="1">
      <c r="A312" s="1721" t="s">
        <v>4028</v>
      </c>
      <c r="B312" s="1721" t="s">
        <v>2340</v>
      </c>
      <c r="C312" s="1721" t="s">
        <v>3797</v>
      </c>
      <c r="D312" s="1721">
        <v>66096373</v>
      </c>
      <c r="E312" s="1721" t="s">
        <v>4030</v>
      </c>
      <c r="F312" s="1721">
        <v>143007592</v>
      </c>
      <c r="G312" s="1721" t="s">
        <v>7050</v>
      </c>
      <c r="H312" s="1894" t="s">
        <v>7050</v>
      </c>
      <c r="I312" s="1721" t="s">
        <v>6867</v>
      </c>
      <c r="J312" s="1721">
        <v>1</v>
      </c>
      <c r="K312" s="1896">
        <v>117879.44</v>
      </c>
      <c r="L312" s="1896">
        <v>4254.38</v>
      </c>
      <c r="M312" s="1896">
        <v>113625.06</v>
      </c>
      <c r="N312" s="1721" t="s">
        <v>4024</v>
      </c>
      <c r="O312" s="1721" t="s">
        <v>390</v>
      </c>
      <c r="P312" s="1894" t="s">
        <v>8262</v>
      </c>
      <c r="Q312" s="1701" t="s">
        <v>8263</v>
      </c>
    </row>
    <row r="313" spans="1:17" ht="10.5" customHeight="1">
      <c r="A313" s="1721" t="s">
        <v>4028</v>
      </c>
      <c r="B313" s="1721" t="s">
        <v>2340</v>
      </c>
      <c r="C313" s="1721" t="s">
        <v>3797</v>
      </c>
      <c r="D313" s="1721">
        <v>66096376</v>
      </c>
      <c r="E313" s="1721" t="s">
        <v>4030</v>
      </c>
      <c r="F313" s="1721">
        <v>143007609</v>
      </c>
      <c r="G313" s="1721" t="s">
        <v>7051</v>
      </c>
      <c r="H313" s="1894" t="s">
        <v>7051</v>
      </c>
      <c r="I313" s="1721" t="s">
        <v>6867</v>
      </c>
      <c r="J313" s="1721">
        <v>1</v>
      </c>
      <c r="K313" s="1896">
        <v>220654.7</v>
      </c>
      <c r="L313" s="1896">
        <v>7963.63</v>
      </c>
      <c r="M313" s="1896">
        <v>212691.07</v>
      </c>
      <c r="N313" s="1721" t="s">
        <v>4024</v>
      </c>
      <c r="O313" s="1721" t="s">
        <v>109</v>
      </c>
      <c r="P313" s="1894" t="s">
        <v>8247</v>
      </c>
      <c r="Q313" s="1750" t="s">
        <v>8264</v>
      </c>
    </row>
    <row r="314" spans="1:17" ht="10.5" customHeight="1">
      <c r="A314" s="1721" t="s">
        <v>4028</v>
      </c>
      <c r="B314" s="1721" t="s">
        <v>2340</v>
      </c>
      <c r="C314" s="1721" t="s">
        <v>3797</v>
      </c>
      <c r="D314" s="1721">
        <v>66609907</v>
      </c>
      <c r="E314" s="1721" t="s">
        <v>4030</v>
      </c>
      <c r="F314" s="1721">
        <v>143007219</v>
      </c>
      <c r="G314" s="1721" t="s">
        <v>7056</v>
      </c>
      <c r="H314" s="1894" t="s">
        <v>8155</v>
      </c>
      <c r="I314" s="1721" t="s">
        <v>6867</v>
      </c>
      <c r="J314" s="1721">
        <v>2</v>
      </c>
      <c r="K314" s="1896">
        <v>3059.73</v>
      </c>
      <c r="L314" s="1896">
        <v>110.43</v>
      </c>
      <c r="M314" s="1896">
        <v>2949.3</v>
      </c>
      <c r="N314" s="1721" t="s">
        <v>4024</v>
      </c>
      <c r="O314" s="1721" t="s">
        <v>390</v>
      </c>
      <c r="P314" s="1894" t="s">
        <v>8266</v>
      </c>
      <c r="Q314" s="1701" t="s">
        <v>8265</v>
      </c>
    </row>
    <row r="315" spans="1:17" ht="10.5" customHeight="1">
      <c r="A315" s="1721" t="s">
        <v>4028</v>
      </c>
      <c r="B315" s="1721" t="s">
        <v>2340</v>
      </c>
      <c r="C315" s="1721" t="s">
        <v>3797</v>
      </c>
      <c r="D315" s="1721">
        <v>66819010</v>
      </c>
      <c r="E315" s="1721" t="s">
        <v>4030</v>
      </c>
      <c r="F315" s="1721">
        <v>143005900</v>
      </c>
      <c r="G315" s="1721" t="s">
        <v>7052</v>
      </c>
      <c r="H315" s="1894" t="s">
        <v>7052</v>
      </c>
      <c r="I315" s="1721" t="s">
        <v>6867</v>
      </c>
      <c r="J315" s="1721">
        <v>1</v>
      </c>
      <c r="K315" s="1896">
        <v>987834.08000000007</v>
      </c>
      <c r="L315" s="1896">
        <v>35651.840000000004</v>
      </c>
      <c r="M315" s="1896">
        <v>952182.24</v>
      </c>
      <c r="N315" s="1721" t="s">
        <v>4024</v>
      </c>
      <c r="O315" s="1721" t="s">
        <v>390</v>
      </c>
      <c r="P315" s="1894" t="s">
        <v>8269</v>
      </c>
      <c r="Q315" s="1701" t="s">
        <v>8268</v>
      </c>
    </row>
    <row r="316" spans="1:17" ht="10.5" customHeight="1">
      <c r="A316" s="1721" t="s">
        <v>4028</v>
      </c>
      <c r="B316" s="1721" t="s">
        <v>2340</v>
      </c>
      <c r="C316" s="1721" t="s">
        <v>3797</v>
      </c>
      <c r="D316" s="1721">
        <v>66819015</v>
      </c>
      <c r="E316" s="1721" t="s">
        <v>4030</v>
      </c>
      <c r="F316" s="1721">
        <v>143006067</v>
      </c>
      <c r="G316" s="1721" t="s">
        <v>6908</v>
      </c>
      <c r="H316" s="1894" t="s">
        <v>8156</v>
      </c>
      <c r="I316" s="1721" t="s">
        <v>6867</v>
      </c>
      <c r="J316" s="1721">
        <v>1</v>
      </c>
      <c r="K316" s="1896">
        <v>158084.51</v>
      </c>
      <c r="L316" s="1896">
        <v>5705.42</v>
      </c>
      <c r="M316" s="1896">
        <v>152379.09</v>
      </c>
      <c r="N316" s="1721" t="s">
        <v>4024</v>
      </c>
      <c r="O316" s="1721" t="s">
        <v>392</v>
      </c>
      <c r="P316" s="1894" t="s">
        <v>8272</v>
      </c>
      <c r="Q316" s="1701" t="s">
        <v>8270</v>
      </c>
    </row>
    <row r="317" spans="1:17" ht="10.5" customHeight="1">
      <c r="A317" s="1721" t="s">
        <v>4028</v>
      </c>
      <c r="B317" s="1721" t="s">
        <v>2340</v>
      </c>
      <c r="C317" s="1721" t="s">
        <v>3797</v>
      </c>
      <c r="D317" s="1721">
        <v>66819020</v>
      </c>
      <c r="E317" s="1721" t="s">
        <v>4030</v>
      </c>
      <c r="F317" s="1721">
        <v>143006069</v>
      </c>
      <c r="G317" s="1721" t="s">
        <v>6909</v>
      </c>
      <c r="H317" s="1894" t="s">
        <v>8157</v>
      </c>
      <c r="I317" s="1721" t="s">
        <v>6867</v>
      </c>
      <c r="J317" s="1721">
        <v>1</v>
      </c>
      <c r="K317" s="1896">
        <v>372807.74</v>
      </c>
      <c r="L317" s="1896">
        <v>13454.970000000001</v>
      </c>
      <c r="M317" s="1896">
        <v>359352.77</v>
      </c>
      <c r="N317" s="1721" t="s">
        <v>4024</v>
      </c>
      <c r="O317" s="1721" t="s">
        <v>390</v>
      </c>
      <c r="P317" s="1894" t="s">
        <v>8269</v>
      </c>
      <c r="Q317" s="1701" t="s">
        <v>8271</v>
      </c>
    </row>
    <row r="318" spans="1:17" ht="10.5" customHeight="1">
      <c r="A318" s="1721" t="s">
        <v>4028</v>
      </c>
      <c r="B318" s="1721" t="s">
        <v>2340</v>
      </c>
      <c r="C318" s="1721" t="s">
        <v>3797</v>
      </c>
      <c r="D318" s="1721">
        <v>66819037</v>
      </c>
      <c r="E318" s="1721" t="s">
        <v>4030</v>
      </c>
      <c r="F318" s="1721">
        <v>143006520</v>
      </c>
      <c r="G318" s="1721" t="s">
        <v>7053</v>
      </c>
      <c r="H318" s="1894" t="s">
        <v>8158</v>
      </c>
      <c r="I318" s="1721" t="s">
        <v>6867</v>
      </c>
      <c r="J318" s="1721">
        <v>1</v>
      </c>
      <c r="K318" s="1896">
        <v>162419.6</v>
      </c>
      <c r="L318" s="1896">
        <v>5861.87</v>
      </c>
      <c r="M318" s="1896">
        <v>156557.73000000001</v>
      </c>
      <c r="N318" s="1721" t="s">
        <v>4024</v>
      </c>
      <c r="O318" s="1721" t="s">
        <v>95</v>
      </c>
      <c r="P318" s="1894" t="s">
        <v>8227</v>
      </c>
      <c r="Q318" s="1701" t="s">
        <v>4438</v>
      </c>
    </row>
    <row r="319" spans="1:17" ht="10.5" customHeight="1">
      <c r="A319" s="1721" t="s">
        <v>4028</v>
      </c>
      <c r="B319" s="1721" t="s">
        <v>2340</v>
      </c>
      <c r="C319" s="1721" t="s">
        <v>3797</v>
      </c>
      <c r="D319" s="1721">
        <v>66819074</v>
      </c>
      <c r="E319" s="1721" t="s">
        <v>4030</v>
      </c>
      <c r="F319" s="1721">
        <v>143007254</v>
      </c>
      <c r="G319" s="1721" t="s">
        <v>7054</v>
      </c>
      <c r="H319" s="1894" t="s">
        <v>8159</v>
      </c>
      <c r="I319" s="1721" t="s">
        <v>6867</v>
      </c>
      <c r="J319" s="1721">
        <v>1</v>
      </c>
      <c r="K319" s="1896">
        <v>184143.81</v>
      </c>
      <c r="L319" s="1896">
        <v>6645.92</v>
      </c>
      <c r="M319" s="1896">
        <v>177497.89</v>
      </c>
      <c r="N319" s="1721" t="s">
        <v>4024</v>
      </c>
      <c r="O319" s="1721" t="s">
        <v>95</v>
      </c>
      <c r="P319" s="1894" t="s">
        <v>8227</v>
      </c>
      <c r="Q319" s="1701" t="s">
        <v>7200</v>
      </c>
    </row>
    <row r="320" spans="1:17" ht="10.5" customHeight="1">
      <c r="A320" s="1721" t="s">
        <v>4028</v>
      </c>
      <c r="B320" s="1721" t="s">
        <v>2340</v>
      </c>
      <c r="C320" s="1721" t="s">
        <v>3797</v>
      </c>
      <c r="D320" s="1721">
        <v>67066558</v>
      </c>
      <c r="E320" s="1721" t="s">
        <v>4030</v>
      </c>
      <c r="F320" s="1721">
        <v>143006514</v>
      </c>
      <c r="G320" s="1721" t="s">
        <v>7055</v>
      </c>
      <c r="H320" s="1894" t="s">
        <v>7055</v>
      </c>
      <c r="I320" s="1721" t="s">
        <v>6867</v>
      </c>
      <c r="J320" s="1721">
        <v>1</v>
      </c>
      <c r="K320" s="1896">
        <v>3262565.93</v>
      </c>
      <c r="L320" s="1896">
        <v>117749.01000000001</v>
      </c>
      <c r="M320" s="1896">
        <v>3144816.92</v>
      </c>
      <c r="N320" s="1721" t="s">
        <v>4024</v>
      </c>
      <c r="O320" s="1721" t="s">
        <v>390</v>
      </c>
      <c r="P320" s="1894" t="s">
        <v>8266</v>
      </c>
      <c r="Q320" s="1701" t="s">
        <v>7201</v>
      </c>
    </row>
    <row r="321" spans="1:17" ht="10.5" customHeight="1">
      <c r="A321" s="1721" t="s">
        <v>4028</v>
      </c>
      <c r="B321" s="1721" t="s">
        <v>2340</v>
      </c>
      <c r="C321" s="1721" t="s">
        <v>3797</v>
      </c>
      <c r="D321" s="1721">
        <v>67251670</v>
      </c>
      <c r="E321" s="1721" t="s">
        <v>4030</v>
      </c>
      <c r="F321" s="1721">
        <v>143007463</v>
      </c>
      <c r="G321" s="1721" t="s">
        <v>7057</v>
      </c>
      <c r="H321" s="1894" t="s">
        <v>8160</v>
      </c>
      <c r="I321" s="1721" t="s">
        <v>6867</v>
      </c>
      <c r="J321" s="1721">
        <v>1</v>
      </c>
      <c r="K321" s="1896">
        <v>19284.350000000002</v>
      </c>
      <c r="L321" s="1896">
        <v>695.99</v>
      </c>
      <c r="M321" s="1896">
        <v>18588.36</v>
      </c>
      <c r="N321" s="1721" t="s">
        <v>4024</v>
      </c>
      <c r="O321" s="1721" t="s">
        <v>95</v>
      </c>
      <c r="P321" s="1894" t="s">
        <v>8227</v>
      </c>
      <c r="Q321" s="1701" t="s">
        <v>7202</v>
      </c>
    </row>
    <row r="322" spans="1:17" ht="10.5" customHeight="1">
      <c r="A322" s="1721" t="s">
        <v>4028</v>
      </c>
      <c r="B322" s="1721" t="s">
        <v>2340</v>
      </c>
      <c r="C322" s="1721" t="s">
        <v>3797</v>
      </c>
      <c r="D322" s="1721">
        <v>67251683</v>
      </c>
      <c r="E322" s="1721" t="s">
        <v>4030</v>
      </c>
      <c r="F322" s="1721">
        <v>143007640</v>
      </c>
      <c r="G322" s="1721" t="s">
        <v>7058</v>
      </c>
      <c r="H322" s="1894" t="s">
        <v>8161</v>
      </c>
      <c r="I322" s="1721" t="s">
        <v>6867</v>
      </c>
      <c r="J322" s="1721">
        <v>1</v>
      </c>
      <c r="K322" s="1896">
        <v>3937.71</v>
      </c>
      <c r="L322" s="1896">
        <v>142.12</v>
      </c>
      <c r="M322" s="1896">
        <v>3795.59</v>
      </c>
      <c r="N322" s="1721" t="s">
        <v>4024</v>
      </c>
      <c r="O322" s="1721" t="s">
        <v>95</v>
      </c>
      <c r="P322" s="1894" t="s">
        <v>8227</v>
      </c>
      <c r="Q322" s="1701" t="s">
        <v>7203</v>
      </c>
    </row>
    <row r="323" spans="1:17" ht="10.5" customHeight="1">
      <c r="A323" s="1721" t="s">
        <v>4028</v>
      </c>
      <c r="B323" s="1721" t="s">
        <v>2340</v>
      </c>
      <c r="C323" s="1721" t="s">
        <v>3797</v>
      </c>
      <c r="D323" s="1721">
        <v>67251686</v>
      </c>
      <c r="E323" s="1721" t="s">
        <v>4030</v>
      </c>
      <c r="F323" s="1721">
        <v>143007687</v>
      </c>
      <c r="G323" s="1721" t="s">
        <v>7059</v>
      </c>
      <c r="H323" s="1894" t="s">
        <v>7059</v>
      </c>
      <c r="I323" s="1721" t="s">
        <v>6867</v>
      </c>
      <c r="J323" s="1721">
        <v>1</v>
      </c>
      <c r="K323" s="1896">
        <v>25892.3</v>
      </c>
      <c r="L323" s="1896">
        <v>934.48</v>
      </c>
      <c r="M323" s="1896">
        <v>24957.82</v>
      </c>
      <c r="N323" s="1721" t="s">
        <v>4024</v>
      </c>
      <c r="O323" s="1721" t="s">
        <v>392</v>
      </c>
      <c r="P323" s="1894" t="s">
        <v>8272</v>
      </c>
      <c r="Q323" s="1701" t="s">
        <v>7204</v>
      </c>
    </row>
    <row r="324" spans="1:17" ht="10.5" customHeight="1">
      <c r="A324" s="1721" t="s">
        <v>4028</v>
      </c>
      <c r="B324" s="1721" t="s">
        <v>2340</v>
      </c>
      <c r="C324" s="1721" t="s">
        <v>3797</v>
      </c>
      <c r="D324" s="1721">
        <v>67251689</v>
      </c>
      <c r="E324" s="1721" t="s">
        <v>4030</v>
      </c>
      <c r="F324" s="1721">
        <v>143007727</v>
      </c>
      <c r="G324" s="1721" t="s">
        <v>7060</v>
      </c>
      <c r="H324" s="1894" t="s">
        <v>8162</v>
      </c>
      <c r="I324" s="1721" t="s">
        <v>6867</v>
      </c>
      <c r="J324" s="1721">
        <v>1</v>
      </c>
      <c r="K324" s="1896">
        <v>25592.34</v>
      </c>
      <c r="L324" s="1896">
        <v>923.65</v>
      </c>
      <c r="M324" s="1896">
        <v>24668.690000000002</v>
      </c>
      <c r="N324" s="1721" t="s">
        <v>4024</v>
      </c>
      <c r="O324" s="1721" t="s">
        <v>95</v>
      </c>
      <c r="P324" s="1894" t="s">
        <v>8260</v>
      </c>
      <c r="Q324" s="1701" t="s">
        <v>7205</v>
      </c>
    </row>
    <row r="325" spans="1:17" ht="10.5" customHeight="1">
      <c r="A325" s="1721" t="s">
        <v>4028</v>
      </c>
      <c r="B325" s="1721" t="s">
        <v>2340</v>
      </c>
      <c r="C325" s="1721" t="s">
        <v>3797</v>
      </c>
      <c r="D325" s="1721">
        <v>67734751</v>
      </c>
      <c r="E325" s="1721" t="s">
        <v>4030</v>
      </c>
      <c r="F325" s="1721">
        <v>143007361</v>
      </c>
      <c r="G325" s="1721" t="s">
        <v>7061</v>
      </c>
      <c r="H325" s="1894" t="s">
        <v>8163</v>
      </c>
      <c r="I325" s="1721" t="s">
        <v>6867</v>
      </c>
      <c r="J325" s="1721">
        <v>2</v>
      </c>
      <c r="K325" s="1896">
        <v>377515.02</v>
      </c>
      <c r="L325" s="1896">
        <v>13624.86</v>
      </c>
      <c r="M325" s="1896">
        <v>363890.16000000003</v>
      </c>
      <c r="N325" s="1721" t="s">
        <v>4024</v>
      </c>
      <c r="O325" s="1721" t="s">
        <v>390</v>
      </c>
      <c r="P325" s="1894" t="s">
        <v>8259</v>
      </c>
      <c r="Q325" s="1701" t="s">
        <v>8267</v>
      </c>
    </row>
    <row r="326" spans="1:17" ht="10.5" customHeight="1">
      <c r="A326" s="1721" t="s">
        <v>4028</v>
      </c>
      <c r="B326" s="1721" t="s">
        <v>2340</v>
      </c>
      <c r="C326" s="1721" t="s">
        <v>3797</v>
      </c>
      <c r="D326" s="1721">
        <v>67734754</v>
      </c>
      <c r="E326" s="1721" t="s">
        <v>4030</v>
      </c>
      <c r="F326" s="1721">
        <v>143007560</v>
      </c>
      <c r="G326" s="1721" t="s">
        <v>7062</v>
      </c>
      <c r="H326" s="1894" t="s">
        <v>8164</v>
      </c>
      <c r="I326" s="1721" t="s">
        <v>6867</v>
      </c>
      <c r="J326" s="1721">
        <v>1</v>
      </c>
      <c r="K326" s="1896">
        <v>47674.66</v>
      </c>
      <c r="L326" s="1896">
        <v>1720.6200000000001</v>
      </c>
      <c r="M326" s="1896">
        <v>45954.04</v>
      </c>
      <c r="N326" s="1721" t="s">
        <v>4024</v>
      </c>
      <c r="O326" s="1721" t="s">
        <v>390</v>
      </c>
      <c r="P326" s="1894" t="s">
        <v>8225</v>
      </c>
      <c r="Q326" s="1750" t="s">
        <v>8273</v>
      </c>
    </row>
    <row r="327" spans="1:17" ht="10.5" customHeight="1">
      <c r="A327" s="1721" t="s">
        <v>4028</v>
      </c>
      <c r="B327" s="1721" t="s">
        <v>2340</v>
      </c>
      <c r="C327" s="1721" t="s">
        <v>3797</v>
      </c>
      <c r="D327" s="1721">
        <v>67734757</v>
      </c>
      <c r="E327" s="1721" t="s">
        <v>4030</v>
      </c>
      <c r="F327" s="1721">
        <v>143007563</v>
      </c>
      <c r="G327" s="1721" t="s">
        <v>7063</v>
      </c>
      <c r="H327" s="1894" t="s">
        <v>8165</v>
      </c>
      <c r="I327" s="1721" t="s">
        <v>6867</v>
      </c>
      <c r="J327" s="1721">
        <v>1</v>
      </c>
      <c r="K327" s="1896">
        <v>85985.01</v>
      </c>
      <c r="L327" s="1896">
        <v>3103.28</v>
      </c>
      <c r="M327" s="1896">
        <v>82881.73</v>
      </c>
      <c r="N327" s="1721" t="s">
        <v>4024</v>
      </c>
      <c r="O327" s="1721" t="s">
        <v>95</v>
      </c>
      <c r="P327" s="1894" t="s">
        <v>8227</v>
      </c>
      <c r="Q327" s="1750" t="s">
        <v>8274</v>
      </c>
    </row>
    <row r="328" spans="1:17" ht="10.5" customHeight="1">
      <c r="A328" s="1721" t="s">
        <v>4028</v>
      </c>
      <c r="B328" s="1721" t="s">
        <v>2340</v>
      </c>
      <c r="C328" s="1721" t="s">
        <v>3797</v>
      </c>
      <c r="D328" s="1721">
        <v>67734764</v>
      </c>
      <c r="E328" s="1721" t="s">
        <v>4030</v>
      </c>
      <c r="F328" s="1721">
        <v>143007641</v>
      </c>
      <c r="G328" s="1721" t="s">
        <v>7064</v>
      </c>
      <c r="H328" s="1894" t="s">
        <v>7064</v>
      </c>
      <c r="I328" s="1721" t="s">
        <v>6867</v>
      </c>
      <c r="J328" s="1721">
        <v>1</v>
      </c>
      <c r="K328" s="1896">
        <v>19769.100000000002</v>
      </c>
      <c r="L328" s="1896">
        <v>713.49</v>
      </c>
      <c r="M328" s="1896">
        <v>19055.61</v>
      </c>
      <c r="N328" s="1721" t="s">
        <v>4024</v>
      </c>
      <c r="O328" s="1721" t="s">
        <v>95</v>
      </c>
      <c r="P328" s="1894" t="s">
        <v>8276</v>
      </c>
      <c r="Q328" s="1701" t="s">
        <v>8275</v>
      </c>
    </row>
    <row r="329" spans="1:17" ht="10.5" customHeight="1">
      <c r="A329" s="1721" t="s">
        <v>4028</v>
      </c>
      <c r="B329" s="1721" t="s">
        <v>2340</v>
      </c>
      <c r="C329" s="1721" t="s">
        <v>3797</v>
      </c>
      <c r="D329" s="1721">
        <v>67734767</v>
      </c>
      <c r="E329" s="1721" t="s">
        <v>4030</v>
      </c>
      <c r="F329" s="1721">
        <v>143007804</v>
      </c>
      <c r="G329" s="1721" t="s">
        <v>7065</v>
      </c>
      <c r="H329" s="1894" t="s">
        <v>8166</v>
      </c>
      <c r="I329" s="1721" t="s">
        <v>6867</v>
      </c>
      <c r="J329" s="1721">
        <v>1</v>
      </c>
      <c r="K329" s="1896">
        <v>13581.52</v>
      </c>
      <c r="L329" s="1896">
        <v>490.17</v>
      </c>
      <c r="M329" s="1896">
        <v>13091.35</v>
      </c>
      <c r="N329" s="1721" t="s">
        <v>4024</v>
      </c>
      <c r="O329" s="1721" t="s">
        <v>95</v>
      </c>
      <c r="P329" s="1894" t="s">
        <v>8227</v>
      </c>
      <c r="Q329" s="1701" t="s">
        <v>8277</v>
      </c>
    </row>
    <row r="330" spans="1:17" ht="10.5" customHeight="1">
      <c r="A330" s="1721" t="s">
        <v>4028</v>
      </c>
      <c r="B330" s="1721" t="s">
        <v>2340</v>
      </c>
      <c r="C330" s="1721" t="s">
        <v>3797</v>
      </c>
      <c r="D330" s="1721">
        <v>67734770</v>
      </c>
      <c r="E330" s="1721" t="s">
        <v>4030</v>
      </c>
      <c r="F330" s="1721">
        <v>143007838</v>
      </c>
      <c r="G330" s="1721" t="s">
        <v>7066</v>
      </c>
      <c r="H330" s="1894" t="s">
        <v>8167</v>
      </c>
      <c r="I330" s="1721" t="s">
        <v>6867</v>
      </c>
      <c r="J330" s="1721">
        <v>2</v>
      </c>
      <c r="K330" s="1896">
        <v>61027.42</v>
      </c>
      <c r="L330" s="1896">
        <v>2202.54</v>
      </c>
      <c r="M330" s="1896">
        <v>58824.880000000005</v>
      </c>
      <c r="N330" s="1721" t="s">
        <v>4024</v>
      </c>
      <c r="O330" s="1721" t="s">
        <v>95</v>
      </c>
      <c r="P330" s="1894" t="s">
        <v>8227</v>
      </c>
      <c r="Q330" s="1701" t="s">
        <v>7206</v>
      </c>
    </row>
    <row r="331" spans="1:17" ht="10.5" customHeight="1">
      <c r="A331" s="1721" t="s">
        <v>4028</v>
      </c>
      <c r="B331" s="1721" t="s">
        <v>2340</v>
      </c>
      <c r="C331" s="1721" t="s">
        <v>3797</v>
      </c>
      <c r="D331" s="1721">
        <v>68173295</v>
      </c>
      <c r="E331" s="1721" t="s">
        <v>4030</v>
      </c>
      <c r="F331" s="1721">
        <v>143006400</v>
      </c>
      <c r="G331" s="1721" t="s">
        <v>7067</v>
      </c>
      <c r="H331" s="1894" t="s">
        <v>8168</v>
      </c>
      <c r="I331" s="1721" t="s">
        <v>6867</v>
      </c>
      <c r="J331" s="1721">
        <v>1</v>
      </c>
      <c r="K331" s="1896">
        <v>3579613.96</v>
      </c>
      <c r="L331" s="1896">
        <v>129191.56</v>
      </c>
      <c r="M331" s="1896">
        <v>3450422.4</v>
      </c>
      <c r="N331" s="1721" t="s">
        <v>4024</v>
      </c>
      <c r="O331" s="1721" t="s">
        <v>95</v>
      </c>
      <c r="P331" s="1894" t="s">
        <v>8227</v>
      </c>
      <c r="Q331" s="1701" t="s">
        <v>8253</v>
      </c>
    </row>
    <row r="332" spans="1:17" ht="10.5" customHeight="1">
      <c r="A332" s="1721" t="s">
        <v>4028</v>
      </c>
      <c r="B332" s="1721" t="s">
        <v>2340</v>
      </c>
      <c r="C332" s="1721" t="s">
        <v>3797</v>
      </c>
      <c r="D332" s="1721">
        <v>68173326</v>
      </c>
      <c r="E332" s="1721" t="s">
        <v>4030</v>
      </c>
      <c r="F332" s="1721">
        <v>143006725</v>
      </c>
      <c r="G332" s="1721" t="s">
        <v>6946</v>
      </c>
      <c r="H332" s="1894" t="s">
        <v>8169</v>
      </c>
      <c r="I332" s="1721" t="s">
        <v>6867</v>
      </c>
      <c r="J332" s="1721">
        <v>1</v>
      </c>
      <c r="K332" s="1896">
        <v>612627.72</v>
      </c>
      <c r="L332" s="1896">
        <v>22110.3</v>
      </c>
      <c r="M332" s="1896">
        <v>590517.42000000004</v>
      </c>
      <c r="N332" s="1721" t="s">
        <v>4024</v>
      </c>
      <c r="O332" s="1721" t="s">
        <v>95</v>
      </c>
      <c r="P332" s="1894" t="s">
        <v>8227</v>
      </c>
      <c r="Q332" s="1701" t="s">
        <v>8254</v>
      </c>
    </row>
    <row r="333" spans="1:17" ht="10.5" customHeight="1">
      <c r="A333" s="1721" t="s">
        <v>4028</v>
      </c>
      <c r="B333" s="1721" t="s">
        <v>2340</v>
      </c>
      <c r="C333" s="1721" t="s">
        <v>3797</v>
      </c>
      <c r="D333" s="1721">
        <v>68173331</v>
      </c>
      <c r="E333" s="1721" t="s">
        <v>4030</v>
      </c>
      <c r="F333" s="1721">
        <v>143006804</v>
      </c>
      <c r="G333" s="1721" t="s">
        <v>7068</v>
      </c>
      <c r="H333" s="1894" t="s">
        <v>8170</v>
      </c>
      <c r="I333" s="1721" t="s">
        <v>6867</v>
      </c>
      <c r="J333" s="1721">
        <v>1</v>
      </c>
      <c r="K333" s="1896">
        <v>1269752.1400000001</v>
      </c>
      <c r="L333" s="1896">
        <v>45826.520000000004</v>
      </c>
      <c r="M333" s="1896">
        <v>1223925.6200000001</v>
      </c>
      <c r="N333" s="1721" t="s">
        <v>4024</v>
      </c>
      <c r="O333" s="1721" t="s">
        <v>95</v>
      </c>
      <c r="P333" s="1894" t="s">
        <v>8227</v>
      </c>
      <c r="Q333" s="1701" t="s">
        <v>7207</v>
      </c>
    </row>
    <row r="334" spans="1:17" ht="10.5" customHeight="1">
      <c r="A334" s="1721" t="s">
        <v>4028</v>
      </c>
      <c r="B334" s="1721" t="s">
        <v>2340</v>
      </c>
      <c r="C334" s="1721" t="s">
        <v>3797</v>
      </c>
      <c r="D334" s="1721">
        <v>68173334</v>
      </c>
      <c r="E334" s="1721" t="s">
        <v>4030</v>
      </c>
      <c r="F334" s="1721">
        <v>143006920</v>
      </c>
      <c r="G334" s="1721" t="s">
        <v>7069</v>
      </c>
      <c r="H334" s="1894" t="s">
        <v>7069</v>
      </c>
      <c r="I334" s="1721" t="s">
        <v>6867</v>
      </c>
      <c r="J334" s="1721">
        <v>1</v>
      </c>
      <c r="K334" s="1896">
        <v>1906500.52</v>
      </c>
      <c r="L334" s="1896">
        <v>68807.360000000001</v>
      </c>
      <c r="M334" s="1896">
        <v>1837693.1600000001</v>
      </c>
      <c r="N334" s="1721" t="s">
        <v>4024</v>
      </c>
      <c r="O334" s="1721" t="s">
        <v>390</v>
      </c>
      <c r="P334" s="1894" t="s">
        <v>8266</v>
      </c>
      <c r="Q334" s="1701" t="s">
        <v>7208</v>
      </c>
    </row>
    <row r="335" spans="1:17" ht="10.5" customHeight="1">
      <c r="A335" s="1721" t="s">
        <v>4028</v>
      </c>
      <c r="B335" s="1721" t="s">
        <v>2340</v>
      </c>
      <c r="C335" s="1721" t="s">
        <v>3797</v>
      </c>
      <c r="D335" s="1721">
        <v>68173337</v>
      </c>
      <c r="E335" s="1721" t="s">
        <v>4030</v>
      </c>
      <c r="F335" s="1721">
        <v>143006922</v>
      </c>
      <c r="G335" s="1721" t="s">
        <v>7070</v>
      </c>
      <c r="H335" s="1894" t="s">
        <v>8171</v>
      </c>
      <c r="I335" s="1721" t="s">
        <v>6867</v>
      </c>
      <c r="J335" s="1721">
        <v>1</v>
      </c>
      <c r="K335" s="1896">
        <v>681491.97</v>
      </c>
      <c r="L335" s="1896">
        <v>24595.670000000002</v>
      </c>
      <c r="M335" s="1896">
        <v>656896.30000000005</v>
      </c>
      <c r="N335" s="1721" t="s">
        <v>4024</v>
      </c>
      <c r="O335" s="1721" t="s">
        <v>95</v>
      </c>
      <c r="P335" s="1894" t="s">
        <v>8227</v>
      </c>
      <c r="Q335" s="1701" t="s">
        <v>7209</v>
      </c>
    </row>
    <row r="336" spans="1:17" ht="10.5" customHeight="1">
      <c r="A336" s="1721" t="s">
        <v>4028</v>
      </c>
      <c r="B336" s="1721" t="s">
        <v>2340</v>
      </c>
      <c r="C336" s="1721" t="s">
        <v>3797</v>
      </c>
      <c r="D336" s="1721">
        <v>68173360</v>
      </c>
      <c r="E336" s="1721" t="s">
        <v>4030</v>
      </c>
      <c r="F336" s="1721">
        <v>143006965</v>
      </c>
      <c r="G336" s="1721" t="s">
        <v>7071</v>
      </c>
      <c r="H336" s="1894" t="s">
        <v>8172</v>
      </c>
      <c r="I336" s="1721" t="s">
        <v>6867</v>
      </c>
      <c r="J336" s="1721">
        <v>1</v>
      </c>
      <c r="K336" s="1896">
        <v>61431.65</v>
      </c>
      <c r="L336" s="1896">
        <v>2217.12</v>
      </c>
      <c r="M336" s="1896">
        <v>59214.53</v>
      </c>
      <c r="N336" s="1721" t="s">
        <v>4024</v>
      </c>
      <c r="O336" s="1721" t="s">
        <v>392</v>
      </c>
      <c r="P336" s="1894" t="s">
        <v>8272</v>
      </c>
      <c r="Q336" s="1701" t="s">
        <v>8278</v>
      </c>
    </row>
    <row r="337" spans="1:17" ht="10.5" customHeight="1">
      <c r="A337" s="1721" t="s">
        <v>4028</v>
      </c>
      <c r="B337" s="1721" t="s">
        <v>2340</v>
      </c>
      <c r="C337" s="1721" t="s">
        <v>3797</v>
      </c>
      <c r="D337" s="1721">
        <v>68173363</v>
      </c>
      <c r="E337" s="1721" t="s">
        <v>4030</v>
      </c>
      <c r="F337" s="1721">
        <v>143006969</v>
      </c>
      <c r="G337" s="1721" t="s">
        <v>7072</v>
      </c>
      <c r="H337" s="1894" t="s">
        <v>7072</v>
      </c>
      <c r="I337" s="1721" t="s">
        <v>6867</v>
      </c>
      <c r="J337" s="1721">
        <v>1</v>
      </c>
      <c r="K337" s="1896">
        <v>944878.86</v>
      </c>
      <c r="L337" s="1896">
        <v>34101.550000000003</v>
      </c>
      <c r="M337" s="1896">
        <v>910777.31</v>
      </c>
      <c r="N337" s="1721" t="s">
        <v>4024</v>
      </c>
      <c r="O337" s="1721" t="s">
        <v>95</v>
      </c>
      <c r="P337" s="1894" t="s">
        <v>8222</v>
      </c>
      <c r="Q337" s="1701" t="s">
        <v>7210</v>
      </c>
    </row>
    <row r="338" spans="1:17" ht="10.5" customHeight="1">
      <c r="A338" s="1721" t="s">
        <v>4028</v>
      </c>
      <c r="B338" s="1721" t="s">
        <v>2340</v>
      </c>
      <c r="C338" s="1721" t="s">
        <v>3797</v>
      </c>
      <c r="D338" s="1721">
        <v>68173366</v>
      </c>
      <c r="E338" s="1721" t="s">
        <v>4030</v>
      </c>
      <c r="F338" s="1721">
        <v>143006970</v>
      </c>
      <c r="G338" s="1721" t="s">
        <v>7073</v>
      </c>
      <c r="H338" s="1894" t="s">
        <v>8173</v>
      </c>
      <c r="I338" s="1721" t="s">
        <v>6867</v>
      </c>
      <c r="J338" s="1721">
        <v>1</v>
      </c>
      <c r="K338" s="1896">
        <v>957357.45000000007</v>
      </c>
      <c r="L338" s="1896">
        <v>34551.910000000003</v>
      </c>
      <c r="M338" s="1896">
        <v>922805.54</v>
      </c>
      <c r="N338" s="1721" t="s">
        <v>4024</v>
      </c>
      <c r="O338" s="1721" t="s">
        <v>95</v>
      </c>
      <c r="P338" s="1894" t="s">
        <v>8227</v>
      </c>
      <c r="Q338" s="1701" t="s">
        <v>7211</v>
      </c>
    </row>
    <row r="339" spans="1:17" ht="10.5" customHeight="1">
      <c r="A339" s="1721" t="s">
        <v>4028</v>
      </c>
      <c r="B339" s="1721" t="s">
        <v>2340</v>
      </c>
      <c r="C339" s="1721" t="s">
        <v>3797</v>
      </c>
      <c r="D339" s="1721">
        <v>68173369</v>
      </c>
      <c r="E339" s="1721" t="s">
        <v>4030</v>
      </c>
      <c r="F339" s="1721">
        <v>143007020</v>
      </c>
      <c r="G339" s="1721" t="s">
        <v>7074</v>
      </c>
      <c r="H339" s="1894" t="s">
        <v>8174</v>
      </c>
      <c r="I339" s="1721" t="s">
        <v>6867</v>
      </c>
      <c r="J339" s="1721">
        <v>1</v>
      </c>
      <c r="K339" s="1896">
        <v>2761374.23</v>
      </c>
      <c r="L339" s="1896">
        <v>99660.540000000008</v>
      </c>
      <c r="M339" s="1896">
        <v>2661713.69</v>
      </c>
      <c r="N339" s="1721" t="s">
        <v>4024</v>
      </c>
      <c r="O339" s="1721" t="s">
        <v>95</v>
      </c>
      <c r="P339" s="1894" t="s">
        <v>8227</v>
      </c>
      <c r="Q339" s="1701" t="s">
        <v>7212</v>
      </c>
    </row>
    <row r="340" spans="1:17" ht="10.5" customHeight="1">
      <c r="A340" s="1721" t="s">
        <v>4028</v>
      </c>
      <c r="B340" s="1721" t="s">
        <v>2340</v>
      </c>
      <c r="C340" s="1721" t="s">
        <v>3797</v>
      </c>
      <c r="D340" s="1721">
        <v>68173372</v>
      </c>
      <c r="E340" s="1721" t="s">
        <v>4030</v>
      </c>
      <c r="F340" s="1721">
        <v>143007022</v>
      </c>
      <c r="G340" s="1721" t="s">
        <v>7075</v>
      </c>
      <c r="H340" s="1894" t="s">
        <v>7075</v>
      </c>
      <c r="I340" s="1721" t="s">
        <v>6867</v>
      </c>
      <c r="J340" s="1721">
        <v>1</v>
      </c>
      <c r="K340" s="1896">
        <v>2714622</v>
      </c>
      <c r="L340" s="1896">
        <v>97973.21</v>
      </c>
      <c r="M340" s="1896">
        <v>2616648.79</v>
      </c>
      <c r="N340" s="1721" t="s">
        <v>4024</v>
      </c>
      <c r="O340" s="1721" t="s">
        <v>390</v>
      </c>
      <c r="P340" s="1894" t="s">
        <v>8266</v>
      </c>
      <c r="Q340" s="1701" t="s">
        <v>7213</v>
      </c>
    </row>
    <row r="341" spans="1:17" ht="10.5" customHeight="1">
      <c r="A341" s="1721" t="s">
        <v>4028</v>
      </c>
      <c r="B341" s="1721" t="s">
        <v>2340</v>
      </c>
      <c r="C341" s="1721" t="s">
        <v>3797</v>
      </c>
      <c r="D341" s="1721">
        <v>68173375</v>
      </c>
      <c r="E341" s="1721" t="s">
        <v>4030</v>
      </c>
      <c r="F341" s="1721">
        <v>143007023</v>
      </c>
      <c r="G341" s="1721" t="s">
        <v>7076</v>
      </c>
      <c r="H341" s="1894" t="s">
        <v>8175</v>
      </c>
      <c r="I341" s="1721" t="s">
        <v>6867</v>
      </c>
      <c r="J341" s="1721">
        <v>1</v>
      </c>
      <c r="K341" s="1896">
        <v>1332448.03</v>
      </c>
      <c r="L341" s="1896">
        <v>48089.279999999999</v>
      </c>
      <c r="M341" s="1896">
        <v>1284358.75</v>
      </c>
      <c r="N341" s="1721" t="s">
        <v>4024</v>
      </c>
      <c r="O341" s="1721" t="s">
        <v>390</v>
      </c>
      <c r="P341" s="1894" t="s">
        <v>8262</v>
      </c>
      <c r="Q341" s="1701" t="s">
        <v>7214</v>
      </c>
    </row>
    <row r="342" spans="1:17" ht="10.5" customHeight="1">
      <c r="A342" s="1721" t="s">
        <v>4028</v>
      </c>
      <c r="B342" s="1721" t="s">
        <v>2340</v>
      </c>
      <c r="C342" s="1721" t="s">
        <v>3797</v>
      </c>
      <c r="D342" s="1721">
        <v>68173395</v>
      </c>
      <c r="E342" s="1721" t="s">
        <v>4030</v>
      </c>
      <c r="F342" s="1721">
        <v>143007160</v>
      </c>
      <c r="G342" s="1721" t="s">
        <v>7077</v>
      </c>
      <c r="H342" s="1894" t="s">
        <v>8176</v>
      </c>
      <c r="I342" s="1721" t="s">
        <v>6867</v>
      </c>
      <c r="J342" s="1721">
        <v>1</v>
      </c>
      <c r="K342" s="1896">
        <v>740972.78</v>
      </c>
      <c r="L342" s="1896">
        <v>26742.39</v>
      </c>
      <c r="M342" s="1896">
        <v>714230.39</v>
      </c>
      <c r="N342" s="1721" t="s">
        <v>4024</v>
      </c>
      <c r="O342" s="1721" t="s">
        <v>95</v>
      </c>
      <c r="P342" s="1894" t="s">
        <v>8227</v>
      </c>
      <c r="Q342" s="1701" t="s">
        <v>8241</v>
      </c>
    </row>
    <row r="343" spans="1:17" ht="10.5" customHeight="1">
      <c r="A343" s="1721" t="s">
        <v>4028</v>
      </c>
      <c r="B343" s="1721" t="s">
        <v>2340</v>
      </c>
      <c r="C343" s="1721" t="s">
        <v>3797</v>
      </c>
      <c r="D343" s="1721">
        <v>68173400</v>
      </c>
      <c r="E343" s="1721" t="s">
        <v>4030</v>
      </c>
      <c r="F343" s="1721">
        <v>143007183</v>
      </c>
      <c r="G343" s="1721" t="s">
        <v>7078</v>
      </c>
      <c r="H343" s="1894" t="s">
        <v>7078</v>
      </c>
      <c r="I343" s="1721" t="s">
        <v>6867</v>
      </c>
      <c r="J343" s="1721">
        <v>1</v>
      </c>
      <c r="K343" s="1896">
        <v>482646.76</v>
      </c>
      <c r="L343" s="1896">
        <v>17419.170000000002</v>
      </c>
      <c r="M343" s="1896">
        <v>465227.59</v>
      </c>
      <c r="N343" s="1721" t="s">
        <v>4024</v>
      </c>
      <c r="O343" s="1721" t="s">
        <v>95</v>
      </c>
      <c r="P343" s="1894" t="s">
        <v>8227</v>
      </c>
      <c r="Q343" s="1750" t="s">
        <v>8279</v>
      </c>
    </row>
    <row r="344" spans="1:17" ht="10.5" customHeight="1">
      <c r="A344" s="1721" t="s">
        <v>4028</v>
      </c>
      <c r="B344" s="1721" t="s">
        <v>2340</v>
      </c>
      <c r="C344" s="1721" t="s">
        <v>3797</v>
      </c>
      <c r="D344" s="1721">
        <v>68173403</v>
      </c>
      <c r="E344" s="1721" t="s">
        <v>4030</v>
      </c>
      <c r="F344" s="1721">
        <v>143007186</v>
      </c>
      <c r="G344" s="1721" t="s">
        <v>7079</v>
      </c>
      <c r="H344" s="1894" t="s">
        <v>8177</v>
      </c>
      <c r="I344" s="1721" t="s">
        <v>6867</v>
      </c>
      <c r="J344" s="1721">
        <v>1</v>
      </c>
      <c r="K344" s="1896">
        <v>390708.47999999998</v>
      </c>
      <c r="L344" s="1896">
        <v>14101.03</v>
      </c>
      <c r="M344" s="1896">
        <v>376607.45</v>
      </c>
      <c r="N344" s="1721" t="s">
        <v>4024</v>
      </c>
      <c r="O344" s="1721" t="s">
        <v>95</v>
      </c>
      <c r="P344" s="1894" t="s">
        <v>8227</v>
      </c>
      <c r="Q344" s="1701" t="s">
        <v>8255</v>
      </c>
    </row>
    <row r="345" spans="1:17" ht="10.5" customHeight="1">
      <c r="A345" s="1721" t="s">
        <v>4028</v>
      </c>
      <c r="B345" s="1721" t="s">
        <v>2340</v>
      </c>
      <c r="C345" s="1721" t="s">
        <v>3797</v>
      </c>
      <c r="D345" s="1721">
        <v>68173406</v>
      </c>
      <c r="E345" s="1721" t="s">
        <v>4030</v>
      </c>
      <c r="F345" s="1721">
        <v>143007187</v>
      </c>
      <c r="G345" s="1721" t="s">
        <v>7080</v>
      </c>
      <c r="H345" s="1894" t="s">
        <v>7080</v>
      </c>
      <c r="I345" s="1721" t="s">
        <v>6867</v>
      </c>
      <c r="J345" s="1721">
        <v>1</v>
      </c>
      <c r="K345" s="1896">
        <v>485772.88</v>
      </c>
      <c r="L345" s="1896">
        <v>17531.990000000002</v>
      </c>
      <c r="M345" s="1896">
        <v>468240.89</v>
      </c>
      <c r="N345" s="1721" t="s">
        <v>4024</v>
      </c>
      <c r="O345" s="1721" t="s">
        <v>95</v>
      </c>
      <c r="P345" s="1894" t="s">
        <v>8227</v>
      </c>
      <c r="Q345" s="1701" t="s">
        <v>7215</v>
      </c>
    </row>
    <row r="346" spans="1:17" ht="10.5" customHeight="1">
      <c r="A346" s="1721" t="s">
        <v>4028</v>
      </c>
      <c r="B346" s="1721" t="s">
        <v>2340</v>
      </c>
      <c r="C346" s="1721" t="s">
        <v>3797</v>
      </c>
      <c r="D346" s="1721">
        <v>68173409</v>
      </c>
      <c r="E346" s="1721" t="s">
        <v>4030</v>
      </c>
      <c r="F346" s="1721">
        <v>143007188</v>
      </c>
      <c r="G346" s="1721" t="s">
        <v>7081</v>
      </c>
      <c r="H346" s="1894" t="s">
        <v>8178</v>
      </c>
      <c r="I346" s="1721" t="s">
        <v>6867</v>
      </c>
      <c r="J346" s="1721">
        <v>1</v>
      </c>
      <c r="K346" s="1896">
        <v>126827.98</v>
      </c>
      <c r="L346" s="1896">
        <v>4577.34</v>
      </c>
      <c r="M346" s="1896">
        <v>122250.64</v>
      </c>
      <c r="N346" s="1721" t="s">
        <v>4024</v>
      </c>
      <c r="O346" s="1721" t="s">
        <v>95</v>
      </c>
      <c r="P346" s="1894" t="s">
        <v>8227</v>
      </c>
      <c r="Q346" s="1701" t="s">
        <v>7216</v>
      </c>
    </row>
    <row r="347" spans="1:17" ht="10.5" customHeight="1">
      <c r="A347" s="1721" t="s">
        <v>4028</v>
      </c>
      <c r="B347" s="1721" t="s">
        <v>2340</v>
      </c>
      <c r="C347" s="1721" t="s">
        <v>3797</v>
      </c>
      <c r="D347" s="1721">
        <v>68173412</v>
      </c>
      <c r="E347" s="1721" t="s">
        <v>4030</v>
      </c>
      <c r="F347" s="1721">
        <v>143007189</v>
      </c>
      <c r="G347" s="1721" t="s">
        <v>7082</v>
      </c>
      <c r="H347" s="1894" t="s">
        <v>8179</v>
      </c>
      <c r="I347" s="1721" t="s">
        <v>6867</v>
      </c>
      <c r="J347" s="1721">
        <v>1</v>
      </c>
      <c r="K347" s="1896">
        <v>29674.57</v>
      </c>
      <c r="L347" s="1896">
        <v>1070.98</v>
      </c>
      <c r="M347" s="1896">
        <v>28603.59</v>
      </c>
      <c r="N347" s="1721" t="s">
        <v>4024</v>
      </c>
      <c r="O347" s="1721" t="s">
        <v>95</v>
      </c>
      <c r="P347" s="1894" t="s">
        <v>8256</v>
      </c>
      <c r="Q347" s="1701" t="s">
        <v>7217</v>
      </c>
    </row>
    <row r="348" spans="1:17" ht="10.5" customHeight="1">
      <c r="A348" s="1721" t="s">
        <v>4028</v>
      </c>
      <c r="B348" s="1721" t="s">
        <v>2340</v>
      </c>
      <c r="C348" s="1721" t="s">
        <v>3797</v>
      </c>
      <c r="D348" s="1721">
        <v>68173415</v>
      </c>
      <c r="E348" s="1721" t="s">
        <v>4030</v>
      </c>
      <c r="F348" s="1721">
        <v>143007190</v>
      </c>
      <c r="G348" s="1721" t="s">
        <v>7083</v>
      </c>
      <c r="H348" s="1894" t="s">
        <v>7083</v>
      </c>
      <c r="I348" s="1721" t="s">
        <v>6867</v>
      </c>
      <c r="J348" s="1721">
        <v>1</v>
      </c>
      <c r="K348" s="1896">
        <v>879502.35</v>
      </c>
      <c r="L348" s="1896">
        <v>31742.05</v>
      </c>
      <c r="M348" s="1896">
        <v>847760.3</v>
      </c>
      <c r="N348" s="1721" t="s">
        <v>4024</v>
      </c>
      <c r="O348" s="1721" t="s">
        <v>95</v>
      </c>
      <c r="P348" s="1894" t="s">
        <v>8227</v>
      </c>
      <c r="Q348" s="1701" t="s">
        <v>7218</v>
      </c>
    </row>
    <row r="349" spans="1:17" ht="10.5" customHeight="1">
      <c r="A349" s="1721" t="s">
        <v>4028</v>
      </c>
      <c r="B349" s="1721" t="s">
        <v>2340</v>
      </c>
      <c r="C349" s="1721" t="s">
        <v>3797</v>
      </c>
      <c r="D349" s="1721">
        <v>68173422</v>
      </c>
      <c r="E349" s="1721" t="s">
        <v>4030</v>
      </c>
      <c r="F349" s="1721">
        <v>143007200</v>
      </c>
      <c r="G349" s="1721" t="s">
        <v>7084</v>
      </c>
      <c r="H349" s="1894" t="s">
        <v>7084</v>
      </c>
      <c r="I349" s="1721" t="s">
        <v>6867</v>
      </c>
      <c r="J349" s="1721">
        <v>1</v>
      </c>
      <c r="K349" s="1896">
        <v>471605</v>
      </c>
      <c r="L349" s="1896">
        <v>17020.66</v>
      </c>
      <c r="M349" s="1896">
        <v>454584.34</v>
      </c>
      <c r="N349" s="1721" t="s">
        <v>4024</v>
      </c>
      <c r="O349" s="1721" t="s">
        <v>95</v>
      </c>
      <c r="P349" s="1894" t="s">
        <v>8227</v>
      </c>
      <c r="Q349" s="1701" t="s">
        <v>7219</v>
      </c>
    </row>
    <row r="350" spans="1:17" ht="10.5" customHeight="1">
      <c r="A350" s="1721" t="s">
        <v>4028</v>
      </c>
      <c r="B350" s="1721" t="s">
        <v>2340</v>
      </c>
      <c r="C350" s="1721" t="s">
        <v>3797</v>
      </c>
      <c r="D350" s="1721">
        <v>68173425</v>
      </c>
      <c r="E350" s="1721" t="s">
        <v>4030</v>
      </c>
      <c r="F350" s="1721">
        <v>143007201</v>
      </c>
      <c r="G350" s="1721" t="s">
        <v>7085</v>
      </c>
      <c r="H350" s="1894" t="s">
        <v>8180</v>
      </c>
      <c r="I350" s="1721" t="s">
        <v>6867</v>
      </c>
      <c r="J350" s="1721">
        <v>1</v>
      </c>
      <c r="K350" s="1896">
        <v>69954.05</v>
      </c>
      <c r="L350" s="1896">
        <v>2524.71</v>
      </c>
      <c r="M350" s="1896">
        <v>67429.34</v>
      </c>
      <c r="N350" s="1721" t="s">
        <v>4024</v>
      </c>
      <c r="O350" s="1721" t="s">
        <v>95</v>
      </c>
      <c r="P350" s="1894" t="s">
        <v>8227</v>
      </c>
      <c r="Q350" s="1701" t="s">
        <v>8242</v>
      </c>
    </row>
    <row r="351" spans="1:17" ht="10.5" customHeight="1">
      <c r="A351" s="1721" t="s">
        <v>4028</v>
      </c>
      <c r="B351" s="1721" t="s">
        <v>2340</v>
      </c>
      <c r="C351" s="1721" t="s">
        <v>3797</v>
      </c>
      <c r="D351" s="1721">
        <v>68173434</v>
      </c>
      <c r="E351" s="1721" t="s">
        <v>4030</v>
      </c>
      <c r="F351" s="1721">
        <v>143007207</v>
      </c>
      <c r="G351" s="1721" t="s">
        <v>7086</v>
      </c>
      <c r="H351" s="1894" t="s">
        <v>8181</v>
      </c>
      <c r="I351" s="1721" t="s">
        <v>6867</v>
      </c>
      <c r="J351" s="1721">
        <v>1</v>
      </c>
      <c r="K351" s="1896">
        <v>84038.26</v>
      </c>
      <c r="L351" s="1896">
        <v>3033.02</v>
      </c>
      <c r="M351" s="1896">
        <v>81005.240000000005</v>
      </c>
      <c r="N351" s="1721" t="s">
        <v>4024</v>
      </c>
      <c r="O351" s="1721" t="s">
        <v>95</v>
      </c>
      <c r="P351" s="1894" t="s">
        <v>8227</v>
      </c>
      <c r="Q351" s="1701" t="s">
        <v>7220</v>
      </c>
    </row>
    <row r="352" spans="1:17" ht="10.5" customHeight="1">
      <c r="A352" s="1721" t="s">
        <v>4028</v>
      </c>
      <c r="B352" s="1721" t="s">
        <v>2340</v>
      </c>
      <c r="C352" s="1721" t="s">
        <v>3797</v>
      </c>
      <c r="D352" s="1721">
        <v>68173437</v>
      </c>
      <c r="E352" s="1721" t="s">
        <v>4030</v>
      </c>
      <c r="F352" s="1721">
        <v>143007209</v>
      </c>
      <c r="G352" s="1721" t="s">
        <v>7087</v>
      </c>
      <c r="H352" s="1894" t="s">
        <v>8182</v>
      </c>
      <c r="I352" s="1721" t="s">
        <v>6867</v>
      </c>
      <c r="J352" s="1721">
        <v>1</v>
      </c>
      <c r="K352" s="1896">
        <v>175404.75</v>
      </c>
      <c r="L352" s="1896">
        <v>6330.52</v>
      </c>
      <c r="M352" s="1896">
        <v>169074.23</v>
      </c>
      <c r="N352" s="1721" t="s">
        <v>4024</v>
      </c>
      <c r="O352" s="1721" t="s">
        <v>95</v>
      </c>
      <c r="P352" s="1894" t="s">
        <v>8227</v>
      </c>
      <c r="Q352" s="1701" t="s">
        <v>7221</v>
      </c>
    </row>
    <row r="353" spans="1:17" ht="10.5" customHeight="1">
      <c r="A353" s="1721" t="s">
        <v>4028</v>
      </c>
      <c r="B353" s="1721" t="s">
        <v>2340</v>
      </c>
      <c r="C353" s="1721" t="s">
        <v>3797</v>
      </c>
      <c r="D353" s="1721">
        <v>68173440</v>
      </c>
      <c r="E353" s="1721" t="s">
        <v>4030</v>
      </c>
      <c r="F353" s="1721">
        <v>143007210</v>
      </c>
      <c r="G353" s="1721" t="s">
        <v>7088</v>
      </c>
      <c r="H353" s="1894" t="s">
        <v>8183</v>
      </c>
      <c r="I353" s="1721" t="s">
        <v>6867</v>
      </c>
      <c r="J353" s="1721">
        <v>1</v>
      </c>
      <c r="K353" s="1896">
        <v>68963.759999999995</v>
      </c>
      <c r="L353" s="1896">
        <v>2488.9700000000003</v>
      </c>
      <c r="M353" s="1896">
        <v>66474.790000000008</v>
      </c>
      <c r="N353" s="1721" t="s">
        <v>4024</v>
      </c>
      <c r="O353" s="1721" t="s">
        <v>95</v>
      </c>
      <c r="P353" s="1894" t="s">
        <v>8227</v>
      </c>
      <c r="Q353" s="1701" t="s">
        <v>7222</v>
      </c>
    </row>
    <row r="354" spans="1:17" ht="10.5" customHeight="1">
      <c r="A354" s="1721" t="s">
        <v>4028</v>
      </c>
      <c r="B354" s="1721" t="s">
        <v>2340</v>
      </c>
      <c r="C354" s="1721" t="s">
        <v>3797</v>
      </c>
      <c r="D354" s="1721">
        <v>68173443</v>
      </c>
      <c r="E354" s="1721" t="s">
        <v>4030</v>
      </c>
      <c r="F354" s="1721">
        <v>143007211</v>
      </c>
      <c r="G354" s="1721" t="s">
        <v>7089</v>
      </c>
      <c r="H354" s="1894" t="s">
        <v>8184</v>
      </c>
      <c r="I354" s="1721" t="s">
        <v>6867</v>
      </c>
      <c r="J354" s="1721">
        <v>1</v>
      </c>
      <c r="K354" s="1896">
        <v>49287.6</v>
      </c>
      <c r="L354" s="1896">
        <v>1778.83</v>
      </c>
      <c r="M354" s="1896">
        <v>47508.770000000004</v>
      </c>
      <c r="N354" s="1721" t="s">
        <v>4024</v>
      </c>
      <c r="O354" s="1721" t="s">
        <v>95</v>
      </c>
      <c r="P354" s="1894" t="s">
        <v>8031</v>
      </c>
      <c r="Q354" s="1701" t="s">
        <v>7223</v>
      </c>
    </row>
    <row r="355" spans="1:17" ht="10.5" customHeight="1">
      <c r="A355" s="1721" t="s">
        <v>4028</v>
      </c>
      <c r="B355" s="1721" t="s">
        <v>2340</v>
      </c>
      <c r="C355" s="1721" t="s">
        <v>3797</v>
      </c>
      <c r="D355" s="1721">
        <v>68173453</v>
      </c>
      <c r="E355" s="1721" t="s">
        <v>4030</v>
      </c>
      <c r="F355" s="1721">
        <v>143007220</v>
      </c>
      <c r="G355" s="1721" t="s">
        <v>7090</v>
      </c>
      <c r="H355" s="1894" t="s">
        <v>7090</v>
      </c>
      <c r="I355" s="1721" t="s">
        <v>6867</v>
      </c>
      <c r="J355" s="1721">
        <v>1</v>
      </c>
      <c r="K355" s="1896">
        <v>522840.7</v>
      </c>
      <c r="L355" s="1896">
        <v>18869.8</v>
      </c>
      <c r="M355" s="1896">
        <v>503970.9</v>
      </c>
      <c r="N355" s="1721" t="s">
        <v>4024</v>
      </c>
      <c r="O355" s="1721" t="s">
        <v>95</v>
      </c>
      <c r="P355" s="1894" t="s">
        <v>8227</v>
      </c>
      <c r="Q355" s="1701" t="s">
        <v>8280</v>
      </c>
    </row>
    <row r="356" spans="1:17" ht="10.5" customHeight="1">
      <c r="A356" s="1721" t="s">
        <v>4028</v>
      </c>
      <c r="B356" s="1721" t="s">
        <v>2340</v>
      </c>
      <c r="C356" s="1721" t="s">
        <v>3797</v>
      </c>
      <c r="D356" s="1721">
        <v>68173456</v>
      </c>
      <c r="E356" s="1721" t="s">
        <v>4030</v>
      </c>
      <c r="F356" s="1721">
        <v>143007224</v>
      </c>
      <c r="G356" s="1721" t="s">
        <v>7091</v>
      </c>
      <c r="H356" s="1894" t="s">
        <v>7091</v>
      </c>
      <c r="I356" s="1721" t="s">
        <v>6867</v>
      </c>
      <c r="J356" s="1721">
        <v>1</v>
      </c>
      <c r="K356" s="1896">
        <v>492807.55</v>
      </c>
      <c r="L356" s="1896">
        <v>17785.88</v>
      </c>
      <c r="M356" s="1896">
        <v>475021.67</v>
      </c>
      <c r="N356" s="1721" t="s">
        <v>4024</v>
      </c>
      <c r="O356" s="1721" t="s">
        <v>95</v>
      </c>
      <c r="P356" s="1894" t="s">
        <v>8032</v>
      </c>
      <c r="Q356" s="1701" t="s">
        <v>7224</v>
      </c>
    </row>
    <row r="357" spans="1:17" ht="10.5" customHeight="1">
      <c r="A357" s="1721" t="s">
        <v>4028</v>
      </c>
      <c r="B357" s="1721" t="s">
        <v>2340</v>
      </c>
      <c r="C357" s="1721" t="s">
        <v>3797</v>
      </c>
      <c r="D357" s="1721">
        <v>68173459</v>
      </c>
      <c r="E357" s="1721" t="s">
        <v>4030</v>
      </c>
      <c r="F357" s="1721">
        <v>143007240</v>
      </c>
      <c r="G357" s="1721" t="s">
        <v>7092</v>
      </c>
      <c r="H357" s="1894" t="s">
        <v>7092</v>
      </c>
      <c r="I357" s="1721" t="s">
        <v>6867</v>
      </c>
      <c r="J357" s="1721">
        <v>1</v>
      </c>
      <c r="K357" s="1896">
        <v>25196.16</v>
      </c>
      <c r="L357" s="1896">
        <v>909.35</v>
      </c>
      <c r="M357" s="1896">
        <v>24286.81</v>
      </c>
      <c r="N357" s="1721" t="s">
        <v>4024</v>
      </c>
      <c r="O357" s="1721" t="s">
        <v>95</v>
      </c>
      <c r="P357" s="1894" t="s">
        <v>8256</v>
      </c>
      <c r="Q357" s="1701" t="s">
        <v>7225</v>
      </c>
    </row>
    <row r="358" spans="1:17" ht="10.5" customHeight="1">
      <c r="A358" s="1721" t="s">
        <v>4028</v>
      </c>
      <c r="B358" s="1721" t="s">
        <v>2340</v>
      </c>
      <c r="C358" s="1721" t="s">
        <v>3797</v>
      </c>
      <c r="D358" s="1721">
        <v>68173462</v>
      </c>
      <c r="E358" s="1721" t="s">
        <v>4030</v>
      </c>
      <c r="F358" s="1721">
        <v>143007241</v>
      </c>
      <c r="G358" s="1721" t="s">
        <v>7093</v>
      </c>
      <c r="H358" s="1894" t="s">
        <v>7093</v>
      </c>
      <c r="I358" s="1721" t="s">
        <v>6867</v>
      </c>
      <c r="J358" s="1721">
        <v>1</v>
      </c>
      <c r="K358" s="1896">
        <v>109228.35</v>
      </c>
      <c r="L358" s="1896">
        <v>3942.15</v>
      </c>
      <c r="M358" s="1896">
        <v>105286.2</v>
      </c>
      <c r="N358" s="1721" t="s">
        <v>4024</v>
      </c>
      <c r="O358" s="1721" t="s">
        <v>95</v>
      </c>
      <c r="P358" s="1894" t="s">
        <v>8227</v>
      </c>
      <c r="Q358" s="1701" t="s">
        <v>7226</v>
      </c>
    </row>
    <row r="359" spans="1:17" ht="10.5" customHeight="1">
      <c r="A359" s="1721" t="s">
        <v>4028</v>
      </c>
      <c r="B359" s="1721" t="s">
        <v>2340</v>
      </c>
      <c r="C359" s="1721" t="s">
        <v>3797</v>
      </c>
      <c r="D359" s="1721">
        <v>68173467</v>
      </c>
      <c r="E359" s="1721" t="s">
        <v>4030</v>
      </c>
      <c r="F359" s="1721">
        <v>143007247</v>
      </c>
      <c r="G359" s="1721" t="s">
        <v>7094</v>
      </c>
      <c r="H359" s="1894" t="s">
        <v>8185</v>
      </c>
      <c r="I359" s="1721" t="s">
        <v>6867</v>
      </c>
      <c r="J359" s="1721">
        <v>1</v>
      </c>
      <c r="K359" s="1896">
        <v>175716.30000000002</v>
      </c>
      <c r="L359" s="1896">
        <v>6341.76</v>
      </c>
      <c r="M359" s="1896">
        <v>169374.54</v>
      </c>
      <c r="N359" s="1721" t="s">
        <v>4024</v>
      </c>
      <c r="O359" s="1721" t="s">
        <v>95</v>
      </c>
      <c r="P359" s="1894" t="s">
        <v>8227</v>
      </c>
      <c r="Q359" s="1701" t="s">
        <v>8281</v>
      </c>
    </row>
    <row r="360" spans="1:17" ht="10.5" customHeight="1">
      <c r="A360" s="1721" t="s">
        <v>4028</v>
      </c>
      <c r="B360" s="1721" t="s">
        <v>2340</v>
      </c>
      <c r="C360" s="1721" t="s">
        <v>3797</v>
      </c>
      <c r="D360" s="1721">
        <v>68173470</v>
      </c>
      <c r="E360" s="1721" t="s">
        <v>4030</v>
      </c>
      <c r="F360" s="1721">
        <v>143007249</v>
      </c>
      <c r="G360" s="1721" t="s">
        <v>7095</v>
      </c>
      <c r="H360" s="1894" t="s">
        <v>7095</v>
      </c>
      <c r="I360" s="1721" t="s">
        <v>6867</v>
      </c>
      <c r="J360" s="1721">
        <v>1</v>
      </c>
      <c r="K360" s="1896">
        <v>53665.39</v>
      </c>
      <c r="L360" s="1896">
        <v>1936.83</v>
      </c>
      <c r="M360" s="1896">
        <v>51728.56</v>
      </c>
      <c r="N360" s="1721" t="s">
        <v>4024</v>
      </c>
      <c r="O360" s="1721" t="s">
        <v>95</v>
      </c>
      <c r="P360" s="1894" t="s">
        <v>8227</v>
      </c>
      <c r="Q360" s="1701" t="s">
        <v>7227</v>
      </c>
    </row>
    <row r="361" spans="1:17" ht="10.5" customHeight="1">
      <c r="A361" s="1721" t="s">
        <v>4028</v>
      </c>
      <c r="B361" s="1721" t="s">
        <v>2340</v>
      </c>
      <c r="C361" s="1721" t="s">
        <v>3797</v>
      </c>
      <c r="D361" s="1721">
        <v>68173473</v>
      </c>
      <c r="E361" s="1721" t="s">
        <v>4030</v>
      </c>
      <c r="F361" s="1721">
        <v>143007250</v>
      </c>
      <c r="G361" s="1721" t="s">
        <v>7096</v>
      </c>
      <c r="H361" s="1894" t="s">
        <v>8186</v>
      </c>
      <c r="I361" s="1721" t="s">
        <v>6867</v>
      </c>
      <c r="J361" s="1721">
        <v>1</v>
      </c>
      <c r="K361" s="1896">
        <v>137262.08000000002</v>
      </c>
      <c r="L361" s="1896">
        <v>4953.91</v>
      </c>
      <c r="M361" s="1896">
        <v>132308.17000000001</v>
      </c>
      <c r="N361" s="1721" t="s">
        <v>4024</v>
      </c>
      <c r="O361" s="1721" t="s">
        <v>95</v>
      </c>
      <c r="P361" s="1894" t="s">
        <v>8227</v>
      </c>
      <c r="Q361" s="1701" t="s">
        <v>7228</v>
      </c>
    </row>
    <row r="362" spans="1:17" ht="10.5" customHeight="1">
      <c r="A362" s="1721" t="s">
        <v>4028</v>
      </c>
      <c r="B362" s="1721" t="s">
        <v>2340</v>
      </c>
      <c r="C362" s="1721" t="s">
        <v>3797</v>
      </c>
      <c r="D362" s="1721">
        <v>68173476</v>
      </c>
      <c r="E362" s="1721" t="s">
        <v>4030</v>
      </c>
      <c r="F362" s="1721">
        <v>143007251</v>
      </c>
      <c r="G362" s="1721" t="s">
        <v>7097</v>
      </c>
      <c r="H362" s="1894" t="s">
        <v>8187</v>
      </c>
      <c r="I362" s="1721" t="s">
        <v>6867</v>
      </c>
      <c r="J362" s="1721">
        <v>1</v>
      </c>
      <c r="K362" s="1896">
        <v>647845.66</v>
      </c>
      <c r="L362" s="1896">
        <v>23381.350000000002</v>
      </c>
      <c r="M362" s="1896">
        <v>624464.31000000006</v>
      </c>
      <c r="N362" s="1721" t="s">
        <v>4024</v>
      </c>
      <c r="O362" s="1721" t="s">
        <v>95</v>
      </c>
      <c r="P362" s="1894" t="s">
        <v>8227</v>
      </c>
      <c r="Q362" s="1701" t="s">
        <v>8243</v>
      </c>
    </row>
    <row r="363" spans="1:17" ht="10.5" customHeight="1">
      <c r="A363" s="1721" t="s">
        <v>4028</v>
      </c>
      <c r="B363" s="1721" t="s">
        <v>2340</v>
      </c>
      <c r="C363" s="1721" t="s">
        <v>3797</v>
      </c>
      <c r="D363" s="1721">
        <v>68173479</v>
      </c>
      <c r="E363" s="1721" t="s">
        <v>4030</v>
      </c>
      <c r="F363" s="1721">
        <v>143007252</v>
      </c>
      <c r="G363" s="1721" t="s">
        <v>7098</v>
      </c>
      <c r="H363" s="1894" t="s">
        <v>7098</v>
      </c>
      <c r="I363" s="1721" t="s">
        <v>6867</v>
      </c>
      <c r="J363" s="1721">
        <v>1</v>
      </c>
      <c r="K363" s="1896">
        <v>270244.25</v>
      </c>
      <c r="L363" s="1896">
        <v>9753.36</v>
      </c>
      <c r="M363" s="1896">
        <v>260490.89</v>
      </c>
      <c r="N363" s="1721" t="s">
        <v>4024</v>
      </c>
      <c r="O363" s="1721" t="s">
        <v>390</v>
      </c>
      <c r="P363" s="1894" t="s">
        <v>8282</v>
      </c>
      <c r="Q363" s="1701" t="s">
        <v>7229</v>
      </c>
    </row>
    <row r="364" spans="1:17" ht="10.5" customHeight="1">
      <c r="A364" s="1721" t="s">
        <v>4028</v>
      </c>
      <c r="B364" s="1721" t="s">
        <v>2340</v>
      </c>
      <c r="C364" s="1721" t="s">
        <v>3797</v>
      </c>
      <c r="D364" s="1721">
        <v>68173486</v>
      </c>
      <c r="E364" s="1721" t="s">
        <v>4030</v>
      </c>
      <c r="F364" s="1721">
        <v>143007261</v>
      </c>
      <c r="G364" s="1721" t="s">
        <v>7099</v>
      </c>
      <c r="H364" s="1894" t="s">
        <v>8188</v>
      </c>
      <c r="I364" s="1721" t="s">
        <v>6867</v>
      </c>
      <c r="J364" s="1721">
        <v>1</v>
      </c>
      <c r="K364" s="1896">
        <v>41984.41</v>
      </c>
      <c r="L364" s="1896">
        <v>1515.26</v>
      </c>
      <c r="M364" s="1896">
        <v>40469.15</v>
      </c>
      <c r="N364" s="1721" t="s">
        <v>4024</v>
      </c>
      <c r="O364" s="1721" t="s">
        <v>390</v>
      </c>
      <c r="P364" s="1894" t="s">
        <v>8225</v>
      </c>
      <c r="Q364" s="1701" t="s">
        <v>7519</v>
      </c>
    </row>
    <row r="365" spans="1:17" ht="10.5" customHeight="1">
      <c r="A365" s="1721" t="s">
        <v>4028</v>
      </c>
      <c r="B365" s="1721" t="s">
        <v>2340</v>
      </c>
      <c r="C365" s="1721" t="s">
        <v>3797</v>
      </c>
      <c r="D365" s="1721">
        <v>68173501</v>
      </c>
      <c r="E365" s="1721" t="s">
        <v>4030</v>
      </c>
      <c r="F365" s="1721">
        <v>143007286</v>
      </c>
      <c r="G365" s="1721" t="s">
        <v>7100</v>
      </c>
      <c r="H365" s="1894" t="s">
        <v>7100</v>
      </c>
      <c r="I365" s="1721" t="s">
        <v>6867</v>
      </c>
      <c r="J365" s="1721">
        <v>1</v>
      </c>
      <c r="K365" s="1896">
        <v>15208483.640000001</v>
      </c>
      <c r="L365" s="1896">
        <v>548888.17000000004</v>
      </c>
      <c r="M365" s="1896">
        <v>14659595.470000001</v>
      </c>
      <c r="N365" s="1721" t="s">
        <v>4024</v>
      </c>
      <c r="O365" s="1721" t="s">
        <v>95</v>
      </c>
      <c r="P365" s="1894" t="s">
        <v>8227</v>
      </c>
      <c r="Q365" s="1701" t="s">
        <v>7230</v>
      </c>
    </row>
    <row r="366" spans="1:17" ht="10.5" customHeight="1">
      <c r="A366" s="1721" t="s">
        <v>4028</v>
      </c>
      <c r="B366" s="1721" t="s">
        <v>2340</v>
      </c>
      <c r="C366" s="1721" t="s">
        <v>3797</v>
      </c>
      <c r="D366" s="1721">
        <v>68173504</v>
      </c>
      <c r="E366" s="1721" t="s">
        <v>4030</v>
      </c>
      <c r="F366" s="1721">
        <v>143007287</v>
      </c>
      <c r="G366" s="1721" t="s">
        <v>7101</v>
      </c>
      <c r="H366" s="1894" t="s">
        <v>8189</v>
      </c>
      <c r="I366" s="1721" t="s">
        <v>6867</v>
      </c>
      <c r="J366" s="1721">
        <v>1</v>
      </c>
      <c r="K366" s="1896">
        <v>654312.39</v>
      </c>
      <c r="L366" s="1896">
        <v>23614.74</v>
      </c>
      <c r="M366" s="1896">
        <v>630697.65</v>
      </c>
      <c r="N366" s="1721" t="s">
        <v>4024</v>
      </c>
      <c r="O366" s="1721" t="s">
        <v>95</v>
      </c>
      <c r="P366" s="1894" t="s">
        <v>8227</v>
      </c>
      <c r="Q366" s="1701" t="s">
        <v>7231</v>
      </c>
    </row>
    <row r="367" spans="1:17" ht="10.5" customHeight="1">
      <c r="A367" s="1721" t="s">
        <v>4028</v>
      </c>
      <c r="B367" s="1721" t="s">
        <v>2340</v>
      </c>
      <c r="C367" s="1721" t="s">
        <v>3797</v>
      </c>
      <c r="D367" s="1721">
        <v>68173507</v>
      </c>
      <c r="E367" s="1721" t="s">
        <v>4030</v>
      </c>
      <c r="F367" s="1721">
        <v>143007288</v>
      </c>
      <c r="G367" s="1721" t="s">
        <v>6945</v>
      </c>
      <c r="H367" s="1894" t="s">
        <v>8190</v>
      </c>
      <c r="I367" s="1721" t="s">
        <v>6867</v>
      </c>
      <c r="J367" s="1721">
        <v>1</v>
      </c>
      <c r="K367" s="1896">
        <v>352568.22000000003</v>
      </c>
      <c r="L367" s="1896">
        <v>12724.51</v>
      </c>
      <c r="M367" s="1896">
        <v>339843.71</v>
      </c>
      <c r="N367" s="1721" t="s">
        <v>4024</v>
      </c>
      <c r="O367" s="1721" t="s">
        <v>95</v>
      </c>
      <c r="P367" s="1894" t="s">
        <v>8227</v>
      </c>
      <c r="Q367" s="1701" t="s">
        <v>7232</v>
      </c>
    </row>
    <row r="368" spans="1:17" ht="10.5" customHeight="1">
      <c r="A368" s="1721" t="s">
        <v>4028</v>
      </c>
      <c r="B368" s="1721" t="s">
        <v>2340</v>
      </c>
      <c r="C368" s="1721" t="s">
        <v>3797</v>
      </c>
      <c r="D368" s="1721">
        <v>68173524</v>
      </c>
      <c r="E368" s="1721" t="s">
        <v>4030</v>
      </c>
      <c r="F368" s="1721">
        <v>143007302</v>
      </c>
      <c r="G368" s="1721" t="s">
        <v>7102</v>
      </c>
      <c r="H368" s="1894" t="s">
        <v>8191</v>
      </c>
      <c r="I368" s="1721" t="s">
        <v>6867</v>
      </c>
      <c r="J368" s="1721">
        <v>1</v>
      </c>
      <c r="K368" s="1896">
        <v>411370.99</v>
      </c>
      <c r="L368" s="1896">
        <v>14846.76</v>
      </c>
      <c r="M368" s="1896">
        <v>396524.23</v>
      </c>
      <c r="N368" s="1721" t="s">
        <v>4024</v>
      </c>
      <c r="O368" s="1721" t="s">
        <v>390</v>
      </c>
      <c r="P368" s="1894" t="s">
        <v>8266</v>
      </c>
      <c r="Q368" s="1701" t="s">
        <v>7233</v>
      </c>
    </row>
    <row r="369" spans="1:17" ht="10.5" customHeight="1">
      <c r="A369" s="1721" t="s">
        <v>4028</v>
      </c>
      <c r="B369" s="1721" t="s">
        <v>2340</v>
      </c>
      <c r="C369" s="1721" t="s">
        <v>3797</v>
      </c>
      <c r="D369" s="1721">
        <v>68173527</v>
      </c>
      <c r="E369" s="1721" t="s">
        <v>4030</v>
      </c>
      <c r="F369" s="1721">
        <v>143007303</v>
      </c>
      <c r="G369" s="1721" t="s">
        <v>7103</v>
      </c>
      <c r="H369" s="1894" t="s">
        <v>8192</v>
      </c>
      <c r="I369" s="1721" t="s">
        <v>6867</v>
      </c>
      <c r="J369" s="1721">
        <v>1</v>
      </c>
      <c r="K369" s="1896">
        <v>386614.64</v>
      </c>
      <c r="L369" s="1896">
        <v>13953.28</v>
      </c>
      <c r="M369" s="1896">
        <v>372661.36</v>
      </c>
      <c r="N369" s="1721" t="s">
        <v>4024</v>
      </c>
      <c r="O369" s="1721" t="s">
        <v>95</v>
      </c>
      <c r="P369" s="1894" t="s">
        <v>8227</v>
      </c>
      <c r="Q369" s="1701" t="s">
        <v>8285</v>
      </c>
    </row>
    <row r="370" spans="1:17" ht="10.5" customHeight="1">
      <c r="A370" s="1721" t="s">
        <v>4028</v>
      </c>
      <c r="B370" s="1721" t="s">
        <v>2340</v>
      </c>
      <c r="C370" s="1721" t="s">
        <v>3797</v>
      </c>
      <c r="D370" s="1721">
        <v>68173530</v>
      </c>
      <c r="E370" s="1721" t="s">
        <v>4030</v>
      </c>
      <c r="F370" s="1721">
        <v>143007304</v>
      </c>
      <c r="G370" s="1721" t="s">
        <v>7104</v>
      </c>
      <c r="H370" s="1894" t="s">
        <v>8193</v>
      </c>
      <c r="I370" s="1721" t="s">
        <v>6867</v>
      </c>
      <c r="J370" s="1721">
        <v>1</v>
      </c>
      <c r="K370" s="1896">
        <v>426188.61</v>
      </c>
      <c r="L370" s="1896">
        <v>15381.54</v>
      </c>
      <c r="M370" s="1896">
        <v>410807.07</v>
      </c>
      <c r="N370" s="1721" t="s">
        <v>4024</v>
      </c>
      <c r="O370" s="1721" t="s">
        <v>95</v>
      </c>
      <c r="P370" s="1894" t="s">
        <v>8227</v>
      </c>
      <c r="Q370" s="1701" t="s">
        <v>8286</v>
      </c>
    </row>
    <row r="371" spans="1:17" ht="10.5" customHeight="1">
      <c r="A371" s="1721" t="s">
        <v>4028</v>
      </c>
      <c r="B371" s="1721" t="s">
        <v>2340</v>
      </c>
      <c r="C371" s="1721" t="s">
        <v>3797</v>
      </c>
      <c r="D371" s="1721">
        <v>68173538</v>
      </c>
      <c r="E371" s="1721" t="s">
        <v>4030</v>
      </c>
      <c r="F371" s="1721">
        <v>143007360</v>
      </c>
      <c r="G371" s="1721" t="s">
        <v>7105</v>
      </c>
      <c r="H371" s="1894" t="s">
        <v>7105</v>
      </c>
      <c r="I371" s="1721" t="s">
        <v>6867</v>
      </c>
      <c r="J371" s="1721">
        <v>1</v>
      </c>
      <c r="K371" s="1896">
        <v>143662.29</v>
      </c>
      <c r="L371" s="1896">
        <v>5184.9000000000005</v>
      </c>
      <c r="M371" s="1896">
        <v>138477.39000000001</v>
      </c>
      <c r="N371" s="1721" t="s">
        <v>4024</v>
      </c>
      <c r="O371" s="1721" t="s">
        <v>390</v>
      </c>
      <c r="P371" s="1894" t="s">
        <v>8266</v>
      </c>
      <c r="Q371" s="1701" t="s">
        <v>8287</v>
      </c>
    </row>
    <row r="372" spans="1:17" ht="10.5" customHeight="1">
      <c r="A372" s="1721" t="s">
        <v>4028</v>
      </c>
      <c r="B372" s="1721" t="s">
        <v>2340</v>
      </c>
      <c r="C372" s="1721" t="s">
        <v>3797</v>
      </c>
      <c r="D372" s="1721">
        <v>68173570</v>
      </c>
      <c r="E372" s="1721" t="s">
        <v>4030</v>
      </c>
      <c r="F372" s="1721">
        <v>143007461</v>
      </c>
      <c r="G372" s="1721" t="s">
        <v>7106</v>
      </c>
      <c r="H372" s="1894" t="s">
        <v>7106</v>
      </c>
      <c r="I372" s="1721" t="s">
        <v>6867</v>
      </c>
      <c r="J372" s="1721">
        <v>1</v>
      </c>
      <c r="K372" s="1896">
        <v>278769.55</v>
      </c>
      <c r="L372" s="1896">
        <v>10061.050000000001</v>
      </c>
      <c r="M372" s="1896">
        <v>268708.5</v>
      </c>
      <c r="N372" s="1721" t="s">
        <v>4024</v>
      </c>
      <c r="O372" s="1721" t="s">
        <v>95</v>
      </c>
      <c r="P372" s="1894" t="s">
        <v>8227</v>
      </c>
      <c r="Q372" s="1701" t="s">
        <v>7212</v>
      </c>
    </row>
    <row r="373" spans="1:17" ht="10.5" customHeight="1">
      <c r="A373" s="1721" t="s">
        <v>4028</v>
      </c>
      <c r="B373" s="1721" t="s">
        <v>2340</v>
      </c>
      <c r="C373" s="1721" t="s">
        <v>3797</v>
      </c>
      <c r="D373" s="1721">
        <v>68173573</v>
      </c>
      <c r="E373" s="1721" t="s">
        <v>4030</v>
      </c>
      <c r="F373" s="1721">
        <v>143007500</v>
      </c>
      <c r="G373" s="1721" t="s">
        <v>7107</v>
      </c>
      <c r="H373" s="1894" t="s">
        <v>8194</v>
      </c>
      <c r="I373" s="1721" t="s">
        <v>6867</v>
      </c>
      <c r="J373" s="1721">
        <v>1</v>
      </c>
      <c r="K373" s="1896">
        <v>415822.3</v>
      </c>
      <c r="L373" s="1896">
        <v>15007.41</v>
      </c>
      <c r="M373" s="1896">
        <v>400814.89</v>
      </c>
      <c r="N373" s="1721" t="s">
        <v>4024</v>
      </c>
      <c r="O373" s="1721" t="s">
        <v>95</v>
      </c>
      <c r="P373" s="1894" t="s">
        <v>8227</v>
      </c>
      <c r="Q373" s="1701" t="s">
        <v>8288</v>
      </c>
    </row>
    <row r="374" spans="1:17" ht="10.5" customHeight="1">
      <c r="A374" s="1721" t="s">
        <v>4028</v>
      </c>
      <c r="B374" s="1721" t="s">
        <v>2340</v>
      </c>
      <c r="C374" s="1721" t="s">
        <v>3797</v>
      </c>
      <c r="D374" s="1721">
        <v>68173576</v>
      </c>
      <c r="E374" s="1721" t="s">
        <v>4030</v>
      </c>
      <c r="F374" s="1721">
        <v>143007520</v>
      </c>
      <c r="G374" s="1721" t="s">
        <v>7108</v>
      </c>
      <c r="H374" s="1894" t="s">
        <v>7108</v>
      </c>
      <c r="I374" s="1721" t="s">
        <v>6867</v>
      </c>
      <c r="J374" s="1721">
        <v>1</v>
      </c>
      <c r="K374" s="1896">
        <v>71957.8</v>
      </c>
      <c r="L374" s="1896">
        <v>2597.02</v>
      </c>
      <c r="M374" s="1896">
        <v>69360.78</v>
      </c>
      <c r="N374" s="1721" t="s">
        <v>4024</v>
      </c>
      <c r="O374" s="1721" t="s">
        <v>95</v>
      </c>
      <c r="P374" s="1894" t="s">
        <v>8030</v>
      </c>
      <c r="Q374" s="1701" t="s">
        <v>8289</v>
      </c>
    </row>
    <row r="375" spans="1:17" ht="10.5" customHeight="1">
      <c r="A375" s="1721" t="s">
        <v>4028</v>
      </c>
      <c r="B375" s="1721" t="s">
        <v>2340</v>
      </c>
      <c r="C375" s="1721" t="s">
        <v>3797</v>
      </c>
      <c r="D375" s="1721">
        <v>68173583</v>
      </c>
      <c r="E375" s="1721" t="s">
        <v>4030</v>
      </c>
      <c r="F375" s="1721">
        <v>143007586</v>
      </c>
      <c r="G375" s="1721" t="s">
        <v>7109</v>
      </c>
      <c r="H375" s="1894" t="s">
        <v>7109</v>
      </c>
      <c r="I375" s="1721" t="s">
        <v>6867</v>
      </c>
      <c r="J375" s="1721">
        <v>1</v>
      </c>
      <c r="K375" s="1896">
        <v>33145.9</v>
      </c>
      <c r="L375" s="1896">
        <v>1196.27</v>
      </c>
      <c r="M375" s="1896">
        <v>31949.63</v>
      </c>
      <c r="N375" s="1721" t="s">
        <v>4024</v>
      </c>
      <c r="O375" s="1721" t="s">
        <v>95</v>
      </c>
      <c r="P375" s="1894" t="s">
        <v>8227</v>
      </c>
      <c r="Q375" s="1701" t="s">
        <v>7234</v>
      </c>
    </row>
    <row r="376" spans="1:17" ht="10.5" customHeight="1">
      <c r="A376" s="1721" t="s">
        <v>4028</v>
      </c>
      <c r="B376" s="1721" t="s">
        <v>2340</v>
      </c>
      <c r="C376" s="1721" t="s">
        <v>3797</v>
      </c>
      <c r="D376" s="1721">
        <v>68173586</v>
      </c>
      <c r="E376" s="1721" t="s">
        <v>4030</v>
      </c>
      <c r="F376" s="1721">
        <v>143007587</v>
      </c>
      <c r="G376" s="1721" t="s">
        <v>7110</v>
      </c>
      <c r="H376" s="1894" t="s">
        <v>8195</v>
      </c>
      <c r="I376" s="1721" t="s">
        <v>6867</v>
      </c>
      <c r="J376" s="1721">
        <v>1</v>
      </c>
      <c r="K376" s="1896">
        <v>18294.600000000002</v>
      </c>
      <c r="L376" s="1896">
        <v>660.27</v>
      </c>
      <c r="M376" s="1896">
        <v>17634.330000000002</v>
      </c>
      <c r="N376" s="1721" t="s">
        <v>4024</v>
      </c>
      <c r="O376" s="1721" t="s">
        <v>95</v>
      </c>
      <c r="P376" s="1894" t="s">
        <v>8227</v>
      </c>
      <c r="Q376" s="1701" t="s">
        <v>8284</v>
      </c>
    </row>
    <row r="377" spans="1:17" ht="10.5" customHeight="1">
      <c r="A377" s="1721" t="s">
        <v>4028</v>
      </c>
      <c r="B377" s="1721" t="s">
        <v>2340</v>
      </c>
      <c r="C377" s="1721" t="s">
        <v>3797</v>
      </c>
      <c r="D377" s="1721">
        <v>68173589</v>
      </c>
      <c r="E377" s="1721" t="s">
        <v>4030</v>
      </c>
      <c r="F377" s="1721">
        <v>143007588</v>
      </c>
      <c r="G377" s="1721" t="s">
        <v>7111</v>
      </c>
      <c r="H377" s="1894" t="s">
        <v>7111</v>
      </c>
      <c r="I377" s="1721" t="s">
        <v>6867</v>
      </c>
      <c r="J377" s="1721">
        <v>1</v>
      </c>
      <c r="K377" s="1896">
        <v>53032.480000000003</v>
      </c>
      <c r="L377" s="1896">
        <v>1913.99</v>
      </c>
      <c r="M377" s="1896">
        <v>51118.49</v>
      </c>
      <c r="N377" s="1721" t="s">
        <v>4024</v>
      </c>
      <c r="O377" s="1721" t="s">
        <v>95</v>
      </c>
      <c r="P377" s="1894" t="s">
        <v>8227</v>
      </c>
      <c r="Q377" s="1701" t="s">
        <v>7236</v>
      </c>
    </row>
    <row r="378" spans="1:17" ht="10.5" customHeight="1">
      <c r="A378" s="1721" t="s">
        <v>4028</v>
      </c>
      <c r="B378" s="1721" t="s">
        <v>2340</v>
      </c>
      <c r="C378" s="1721" t="s">
        <v>3797</v>
      </c>
      <c r="D378" s="1721">
        <v>68173592</v>
      </c>
      <c r="E378" s="1721" t="s">
        <v>4030</v>
      </c>
      <c r="F378" s="1721">
        <v>143007590</v>
      </c>
      <c r="G378" s="1721" t="s">
        <v>7112</v>
      </c>
      <c r="H378" s="1894" t="s">
        <v>7112</v>
      </c>
      <c r="I378" s="1721" t="s">
        <v>6867</v>
      </c>
      <c r="J378" s="1721">
        <v>1</v>
      </c>
      <c r="K378" s="1896">
        <v>21530.06</v>
      </c>
      <c r="L378" s="1896">
        <v>777.04</v>
      </c>
      <c r="M378" s="1896">
        <v>20753.02</v>
      </c>
      <c r="N378" s="1721" t="s">
        <v>4024</v>
      </c>
      <c r="O378" s="1721" t="s">
        <v>390</v>
      </c>
      <c r="P378" s="1894" t="s">
        <v>8229</v>
      </c>
      <c r="Q378" s="1701" t="s">
        <v>7237</v>
      </c>
    </row>
    <row r="379" spans="1:17" ht="10.5" customHeight="1">
      <c r="A379" s="1721" t="s">
        <v>4028</v>
      </c>
      <c r="B379" s="1721" t="s">
        <v>2340</v>
      </c>
      <c r="C379" s="1721" t="s">
        <v>3797</v>
      </c>
      <c r="D379" s="1721">
        <v>68173597</v>
      </c>
      <c r="E379" s="1721" t="s">
        <v>4030</v>
      </c>
      <c r="F379" s="1721">
        <v>143007594</v>
      </c>
      <c r="G379" s="1721" t="s">
        <v>7113</v>
      </c>
      <c r="H379" s="1894" t="s">
        <v>8196</v>
      </c>
      <c r="I379" s="1721" t="s">
        <v>6867</v>
      </c>
      <c r="J379" s="1721">
        <v>1</v>
      </c>
      <c r="K379" s="1896">
        <v>117482.3</v>
      </c>
      <c r="L379" s="1896">
        <v>4240.04</v>
      </c>
      <c r="M379" s="1896">
        <v>113242.26000000001</v>
      </c>
      <c r="N379" s="1721" t="s">
        <v>4024</v>
      </c>
      <c r="O379" s="1721" t="s">
        <v>95</v>
      </c>
      <c r="P379" s="1894" t="s">
        <v>8228</v>
      </c>
      <c r="Q379" s="1701" t="s">
        <v>7238</v>
      </c>
    </row>
    <row r="380" spans="1:17" ht="10.5" customHeight="1">
      <c r="A380" s="1721" t="s">
        <v>4028</v>
      </c>
      <c r="B380" s="1721" t="s">
        <v>2340</v>
      </c>
      <c r="C380" s="1721" t="s">
        <v>3797</v>
      </c>
      <c r="D380" s="1721">
        <v>68173602</v>
      </c>
      <c r="E380" s="1721" t="s">
        <v>4030</v>
      </c>
      <c r="F380" s="1721">
        <v>143007620</v>
      </c>
      <c r="G380" s="1721" t="s">
        <v>7114</v>
      </c>
      <c r="H380" s="1894" t="s">
        <v>7114</v>
      </c>
      <c r="I380" s="1721" t="s">
        <v>6867</v>
      </c>
      <c r="J380" s="1721">
        <v>1</v>
      </c>
      <c r="K380" s="1896">
        <v>87119.3</v>
      </c>
      <c r="L380" s="1896">
        <v>3144.2200000000003</v>
      </c>
      <c r="M380" s="1896">
        <v>83975.08</v>
      </c>
      <c r="N380" s="1721" t="s">
        <v>4024</v>
      </c>
      <c r="O380" s="1721" t="s">
        <v>390</v>
      </c>
      <c r="P380" s="1894" t="s">
        <v>8225</v>
      </c>
      <c r="Q380" s="1750" t="s">
        <v>8283</v>
      </c>
    </row>
    <row r="381" spans="1:17" ht="10.5" customHeight="1">
      <c r="A381" s="1721" t="s">
        <v>4028</v>
      </c>
      <c r="B381" s="1721" t="s">
        <v>2340</v>
      </c>
      <c r="C381" s="1721" t="s">
        <v>3797</v>
      </c>
      <c r="D381" s="1721">
        <v>68173616</v>
      </c>
      <c r="E381" s="1721" t="s">
        <v>4030</v>
      </c>
      <c r="F381" s="1721">
        <v>143007665</v>
      </c>
      <c r="G381" s="1721" t="s">
        <v>7115</v>
      </c>
      <c r="H381" s="1894" t="s">
        <v>7115</v>
      </c>
      <c r="I381" s="1721" t="s">
        <v>6867</v>
      </c>
      <c r="J381" s="1721">
        <v>1</v>
      </c>
      <c r="K381" s="1896">
        <v>36550.97</v>
      </c>
      <c r="L381" s="1896">
        <v>1319.16</v>
      </c>
      <c r="M381" s="1896">
        <v>35231.81</v>
      </c>
      <c r="N381" s="1721" t="s">
        <v>4024</v>
      </c>
      <c r="O381" s="1721" t="s">
        <v>95</v>
      </c>
      <c r="P381" s="1894" t="s">
        <v>8227</v>
      </c>
      <c r="Q381" s="1701" t="s">
        <v>7239</v>
      </c>
    </row>
    <row r="382" spans="1:17" ht="10.5" customHeight="1">
      <c r="A382" s="1721" t="s">
        <v>4028</v>
      </c>
      <c r="B382" s="1721" t="s">
        <v>2340</v>
      </c>
      <c r="C382" s="1721" t="s">
        <v>3797</v>
      </c>
      <c r="D382" s="1721">
        <v>68173619</v>
      </c>
      <c r="E382" s="1721" t="s">
        <v>4030</v>
      </c>
      <c r="F382" s="1721">
        <v>143007684</v>
      </c>
      <c r="G382" s="1721" t="s">
        <v>7116</v>
      </c>
      <c r="H382" s="1894" t="s">
        <v>8197</v>
      </c>
      <c r="I382" s="1721" t="s">
        <v>6867</v>
      </c>
      <c r="J382" s="1721">
        <v>1</v>
      </c>
      <c r="K382" s="1896">
        <v>178135.94</v>
      </c>
      <c r="L382" s="1896">
        <v>6429.09</v>
      </c>
      <c r="M382" s="1896">
        <v>171706.85</v>
      </c>
      <c r="N382" s="1721" t="s">
        <v>4024</v>
      </c>
      <c r="O382" s="1721" t="s">
        <v>390</v>
      </c>
      <c r="P382" s="1894" t="s">
        <v>8225</v>
      </c>
      <c r="Q382" s="1701" t="s">
        <v>7179</v>
      </c>
    </row>
    <row r="383" spans="1:17" ht="10.5" customHeight="1">
      <c r="A383" s="1721" t="s">
        <v>4028</v>
      </c>
      <c r="B383" s="1721" t="s">
        <v>2340</v>
      </c>
      <c r="C383" s="1721" t="s">
        <v>3797</v>
      </c>
      <c r="D383" s="1721">
        <v>68173622</v>
      </c>
      <c r="E383" s="1721" t="s">
        <v>4030</v>
      </c>
      <c r="F383" s="1721">
        <v>143007728</v>
      </c>
      <c r="G383" s="1721" t="s">
        <v>7117</v>
      </c>
      <c r="H383" s="1894" t="s">
        <v>8198</v>
      </c>
      <c r="I383" s="1721" t="s">
        <v>6867</v>
      </c>
      <c r="J383" s="1721">
        <v>1</v>
      </c>
      <c r="K383" s="1896">
        <v>13831.61</v>
      </c>
      <c r="L383" s="1896">
        <v>499.2</v>
      </c>
      <c r="M383" s="1896">
        <v>13332.41</v>
      </c>
      <c r="N383" s="1721" t="s">
        <v>4024</v>
      </c>
      <c r="O383" s="1721" t="s">
        <v>108</v>
      </c>
      <c r="P383" s="1894" t="s">
        <v>8223</v>
      </c>
      <c r="Q383" s="1701" t="s">
        <v>7240</v>
      </c>
    </row>
    <row r="384" spans="1:17" ht="10.5" customHeight="1">
      <c r="A384" s="1721" t="s">
        <v>4028</v>
      </c>
      <c r="B384" s="1721" t="s">
        <v>2340</v>
      </c>
      <c r="C384" s="1721" t="s">
        <v>3797</v>
      </c>
      <c r="D384" s="1721">
        <v>68173627</v>
      </c>
      <c r="E384" s="1721" t="s">
        <v>4030</v>
      </c>
      <c r="F384" s="1721">
        <v>143007736</v>
      </c>
      <c r="G384" s="1721" t="s">
        <v>7118</v>
      </c>
      <c r="H384" s="1894" t="s">
        <v>7118</v>
      </c>
      <c r="I384" s="1721" t="s">
        <v>6867</v>
      </c>
      <c r="J384" s="1721">
        <v>1</v>
      </c>
      <c r="K384" s="1896">
        <v>28633.58</v>
      </c>
      <c r="L384" s="1896">
        <v>1033.4100000000001</v>
      </c>
      <c r="M384" s="1896">
        <v>27600.170000000002</v>
      </c>
      <c r="N384" s="1721" t="s">
        <v>4024</v>
      </c>
      <c r="O384" s="1721" t="s">
        <v>95</v>
      </c>
      <c r="P384" s="1894" t="s">
        <v>8227</v>
      </c>
      <c r="Q384" s="1701" t="s">
        <v>7235</v>
      </c>
    </row>
    <row r="385" spans="1:17" ht="10.5" customHeight="1">
      <c r="A385" s="1721" t="s">
        <v>4028</v>
      </c>
      <c r="B385" s="1721" t="s">
        <v>2340</v>
      </c>
      <c r="C385" s="1721" t="s">
        <v>3797</v>
      </c>
      <c r="D385" s="1721">
        <v>68173630</v>
      </c>
      <c r="E385" s="1721" t="s">
        <v>4030</v>
      </c>
      <c r="F385" s="1721">
        <v>143007738</v>
      </c>
      <c r="G385" s="1721" t="s">
        <v>7119</v>
      </c>
      <c r="H385" s="1894" t="s">
        <v>7119</v>
      </c>
      <c r="I385" s="1721" t="s">
        <v>6867</v>
      </c>
      <c r="J385" s="1721">
        <v>1</v>
      </c>
      <c r="K385" s="1896">
        <v>44810.33</v>
      </c>
      <c r="L385" s="1896">
        <v>1617.25</v>
      </c>
      <c r="M385" s="1896">
        <v>43193.08</v>
      </c>
      <c r="N385" s="1721" t="s">
        <v>4024</v>
      </c>
      <c r="O385" s="1721" t="s">
        <v>95</v>
      </c>
      <c r="P385" s="1894" t="s">
        <v>8227</v>
      </c>
      <c r="Q385" s="1701" t="s">
        <v>7241</v>
      </c>
    </row>
    <row r="386" spans="1:17" ht="10.5" customHeight="1">
      <c r="A386" s="1721" t="s">
        <v>4028</v>
      </c>
      <c r="B386" s="1721" t="s">
        <v>2340</v>
      </c>
      <c r="C386" s="1721" t="s">
        <v>3797</v>
      </c>
      <c r="D386" s="1721">
        <v>68173633</v>
      </c>
      <c r="E386" s="1721" t="s">
        <v>4030</v>
      </c>
      <c r="F386" s="1721">
        <v>143007739</v>
      </c>
      <c r="G386" s="1721" t="s">
        <v>7120</v>
      </c>
      <c r="H386" s="1894" t="s">
        <v>7120</v>
      </c>
      <c r="I386" s="1721" t="s">
        <v>6867</v>
      </c>
      <c r="J386" s="1721">
        <v>1</v>
      </c>
      <c r="K386" s="1896">
        <v>44628.05</v>
      </c>
      <c r="L386" s="1896">
        <v>1610.67</v>
      </c>
      <c r="M386" s="1896">
        <v>43017.38</v>
      </c>
      <c r="N386" s="1721" t="s">
        <v>4024</v>
      </c>
      <c r="O386" s="1721" t="s">
        <v>95</v>
      </c>
      <c r="P386" s="1894" t="s">
        <v>8227</v>
      </c>
      <c r="Q386" s="1701" t="s">
        <v>7242</v>
      </c>
    </row>
    <row r="387" spans="1:17" ht="10.5" customHeight="1">
      <c r="A387" s="1721" t="s">
        <v>4028</v>
      </c>
      <c r="B387" s="1721" t="s">
        <v>2340</v>
      </c>
      <c r="C387" s="1721" t="s">
        <v>3797</v>
      </c>
      <c r="D387" s="1721">
        <v>68173636</v>
      </c>
      <c r="E387" s="1721" t="s">
        <v>4030</v>
      </c>
      <c r="F387" s="1721">
        <v>143007741</v>
      </c>
      <c r="G387" s="1721" t="s">
        <v>7121</v>
      </c>
      <c r="H387" s="1894" t="s">
        <v>8199</v>
      </c>
      <c r="I387" s="1721" t="s">
        <v>6867</v>
      </c>
      <c r="J387" s="1721">
        <v>1</v>
      </c>
      <c r="K387" s="1896">
        <v>26589.25</v>
      </c>
      <c r="L387" s="1896">
        <v>959.63</v>
      </c>
      <c r="M387" s="1896">
        <v>25629.62</v>
      </c>
      <c r="N387" s="1721" t="s">
        <v>4024</v>
      </c>
      <c r="O387" s="1721" t="s">
        <v>392</v>
      </c>
      <c r="P387" s="1894" t="s">
        <v>8272</v>
      </c>
      <c r="Q387" s="1701" t="s">
        <v>7243</v>
      </c>
    </row>
    <row r="388" spans="1:17" ht="10.5" customHeight="1">
      <c r="A388" s="1721" t="s">
        <v>4028</v>
      </c>
      <c r="B388" s="1721" t="s">
        <v>2340</v>
      </c>
      <c r="C388" s="1721" t="s">
        <v>3797</v>
      </c>
      <c r="D388" s="1721">
        <v>68173639</v>
      </c>
      <c r="E388" s="1721" t="s">
        <v>4030</v>
      </c>
      <c r="F388" s="1721">
        <v>143007745</v>
      </c>
      <c r="G388" s="1721" t="s">
        <v>7122</v>
      </c>
      <c r="H388" s="1894" t="s">
        <v>8200</v>
      </c>
      <c r="I388" s="1721" t="s">
        <v>6867</v>
      </c>
      <c r="J388" s="1721">
        <v>1</v>
      </c>
      <c r="K388" s="1896">
        <v>45404.44</v>
      </c>
      <c r="L388" s="1896">
        <v>1638.69</v>
      </c>
      <c r="M388" s="1896">
        <v>43765.75</v>
      </c>
      <c r="N388" s="1721" t="s">
        <v>4024</v>
      </c>
      <c r="O388" s="1721" t="s">
        <v>108</v>
      </c>
      <c r="P388" s="1894" t="s">
        <v>8223</v>
      </c>
      <c r="Q388" s="1701" t="s">
        <v>7245</v>
      </c>
    </row>
    <row r="389" spans="1:17" ht="10.5" customHeight="1">
      <c r="A389" s="1721" t="s">
        <v>4028</v>
      </c>
      <c r="B389" s="1721" t="s">
        <v>2340</v>
      </c>
      <c r="C389" s="1721" t="s">
        <v>3797</v>
      </c>
      <c r="D389" s="1721">
        <v>68173642</v>
      </c>
      <c r="E389" s="1721" t="s">
        <v>4030</v>
      </c>
      <c r="F389" s="1721">
        <v>143007802</v>
      </c>
      <c r="G389" s="1721" t="s">
        <v>7123</v>
      </c>
      <c r="H389" s="1894" t="s">
        <v>8201</v>
      </c>
      <c r="I389" s="1721" t="s">
        <v>6867</v>
      </c>
      <c r="J389" s="1721">
        <v>1</v>
      </c>
      <c r="K389" s="1896">
        <v>3229430.16</v>
      </c>
      <c r="L389" s="1896">
        <v>116553.11</v>
      </c>
      <c r="M389" s="1896">
        <v>3112877.05</v>
      </c>
      <c r="N389" s="1721" t="s">
        <v>4024</v>
      </c>
      <c r="O389" s="1721" t="s">
        <v>390</v>
      </c>
      <c r="P389" s="1894" t="s">
        <v>8266</v>
      </c>
      <c r="Q389" s="1701" t="s">
        <v>7244</v>
      </c>
    </row>
    <row r="390" spans="1:17" ht="10.5" customHeight="1">
      <c r="A390" s="1721" t="s">
        <v>4028</v>
      </c>
      <c r="B390" s="1721" t="s">
        <v>2340</v>
      </c>
      <c r="C390" s="1721" t="s">
        <v>3797</v>
      </c>
      <c r="D390" s="1721">
        <v>68173645</v>
      </c>
      <c r="E390" s="1721" t="s">
        <v>4030</v>
      </c>
      <c r="F390" s="1721">
        <v>143007807</v>
      </c>
      <c r="G390" s="1721" t="s">
        <v>7124</v>
      </c>
      <c r="H390" s="1894" t="s">
        <v>8202</v>
      </c>
      <c r="I390" s="1721" t="s">
        <v>6867</v>
      </c>
      <c r="J390" s="1721">
        <v>1</v>
      </c>
      <c r="K390" s="1896">
        <v>110807.8</v>
      </c>
      <c r="L390" s="1896">
        <v>3999.1600000000003</v>
      </c>
      <c r="M390" s="1896">
        <v>106808.64</v>
      </c>
      <c r="N390" s="1721" t="s">
        <v>4024</v>
      </c>
      <c r="O390" s="1721" t="s">
        <v>95</v>
      </c>
      <c r="P390" s="1894" t="s">
        <v>8228</v>
      </c>
      <c r="Q390" s="1750" t="s">
        <v>8290</v>
      </c>
    </row>
    <row r="391" spans="1:17" ht="10.5" customHeight="1">
      <c r="A391" s="1721" t="s">
        <v>4028</v>
      </c>
      <c r="B391" s="1721" t="s">
        <v>2340</v>
      </c>
      <c r="C391" s="1721" t="s">
        <v>3797</v>
      </c>
      <c r="D391" s="1721">
        <v>68173648</v>
      </c>
      <c r="E391" s="1721" t="s">
        <v>4030</v>
      </c>
      <c r="F391" s="1721">
        <v>143007808</v>
      </c>
      <c r="G391" s="1721" t="s">
        <v>7125</v>
      </c>
      <c r="H391" s="1894" t="s">
        <v>7125</v>
      </c>
      <c r="I391" s="1721" t="s">
        <v>6867</v>
      </c>
      <c r="J391" s="1721">
        <v>1</v>
      </c>
      <c r="K391" s="1896">
        <v>97295.81</v>
      </c>
      <c r="L391" s="1896">
        <v>3511.5</v>
      </c>
      <c r="M391" s="1896">
        <v>93784.31</v>
      </c>
      <c r="N391" s="1721" t="s">
        <v>4024</v>
      </c>
      <c r="O391" s="1721" t="s">
        <v>95</v>
      </c>
      <c r="P391" s="1894" t="s">
        <v>8030</v>
      </c>
      <c r="Q391" s="1701" t="s">
        <v>7246</v>
      </c>
    </row>
    <row r="392" spans="1:17" ht="10.5" customHeight="1">
      <c r="A392" s="1721" t="s">
        <v>4028</v>
      </c>
      <c r="B392" s="1721" t="s">
        <v>2340</v>
      </c>
      <c r="C392" s="1721" t="s">
        <v>3797</v>
      </c>
      <c r="D392" s="1721">
        <v>68173651</v>
      </c>
      <c r="E392" s="1721" t="s">
        <v>4030</v>
      </c>
      <c r="F392" s="1721">
        <v>143007821</v>
      </c>
      <c r="G392" s="1721" t="s">
        <v>7126</v>
      </c>
      <c r="H392" s="1894" t="s">
        <v>8203</v>
      </c>
      <c r="I392" s="1721" t="s">
        <v>6867</v>
      </c>
      <c r="J392" s="1721">
        <v>1</v>
      </c>
      <c r="K392" s="1896">
        <v>15803.53</v>
      </c>
      <c r="L392" s="1896">
        <v>570.36</v>
      </c>
      <c r="M392" s="1896">
        <v>15233.17</v>
      </c>
      <c r="N392" s="1721" t="s">
        <v>4024</v>
      </c>
      <c r="O392" s="1721" t="s">
        <v>95</v>
      </c>
      <c r="P392" s="1894" t="s">
        <v>8276</v>
      </c>
      <c r="Q392" s="1701" t="s">
        <v>8291</v>
      </c>
    </row>
    <row r="393" spans="1:17" ht="10.5" customHeight="1">
      <c r="A393" s="1897" t="s">
        <v>4028</v>
      </c>
      <c r="B393" s="1897" t="s">
        <v>2340</v>
      </c>
      <c r="C393" s="1897" t="s">
        <v>3797</v>
      </c>
      <c r="D393" s="1897">
        <v>68173654</v>
      </c>
      <c r="E393" s="1897" t="s">
        <v>4030</v>
      </c>
      <c r="F393" s="1897">
        <v>143007834</v>
      </c>
      <c r="G393" s="1897" t="s">
        <v>7127</v>
      </c>
      <c r="H393" s="1898" t="s">
        <v>8204</v>
      </c>
      <c r="I393" s="1897" t="s">
        <v>6867</v>
      </c>
      <c r="J393" s="1897">
        <v>1</v>
      </c>
      <c r="K393" s="1899">
        <v>32423.510000000002</v>
      </c>
      <c r="L393" s="1899">
        <v>1170.19</v>
      </c>
      <c r="M393" s="1899">
        <v>31253.32</v>
      </c>
      <c r="N393" s="1897" t="s">
        <v>4024</v>
      </c>
      <c r="O393" s="1897" t="s">
        <v>988</v>
      </c>
      <c r="P393" s="1898" t="s">
        <v>8226</v>
      </c>
      <c r="Q393" s="1900" t="s">
        <v>7247</v>
      </c>
    </row>
    <row r="394" spans="1:17" ht="10.5" customHeight="1">
      <c r="A394" s="1721" t="s">
        <v>4028</v>
      </c>
      <c r="B394" s="1721" t="s">
        <v>2340</v>
      </c>
      <c r="C394" s="1721" t="s">
        <v>3797</v>
      </c>
      <c r="D394" s="1721">
        <v>68173659</v>
      </c>
      <c r="E394" s="1721" t="s">
        <v>4030</v>
      </c>
      <c r="F394" s="1721">
        <v>143007840</v>
      </c>
      <c r="G394" s="1721" t="s">
        <v>7128</v>
      </c>
      <c r="H394" s="1894" t="s">
        <v>8205</v>
      </c>
      <c r="I394" s="1721" t="s">
        <v>6867</v>
      </c>
      <c r="J394" s="1721">
        <v>1</v>
      </c>
      <c r="K394" s="1896">
        <v>51021.380000000005</v>
      </c>
      <c r="L394" s="1896">
        <v>1841.41</v>
      </c>
      <c r="M394" s="1896">
        <v>49179.97</v>
      </c>
      <c r="N394" s="1721" t="s">
        <v>4024</v>
      </c>
      <c r="O394" s="1721" t="s">
        <v>95</v>
      </c>
      <c r="P394" s="1894" t="s">
        <v>8227</v>
      </c>
      <c r="Q394" s="1701" t="s">
        <v>8292</v>
      </c>
    </row>
    <row r="395" spans="1:17" ht="10.5" customHeight="1">
      <c r="A395" s="1721" t="s">
        <v>4028</v>
      </c>
      <c r="B395" s="1721" t="s">
        <v>2340</v>
      </c>
      <c r="C395" s="1721" t="s">
        <v>3797</v>
      </c>
      <c r="D395" s="1721">
        <v>68173662</v>
      </c>
      <c r="E395" s="1721" t="s">
        <v>4030</v>
      </c>
      <c r="F395" s="1721">
        <v>143008062</v>
      </c>
      <c r="G395" s="1721" t="s">
        <v>7129</v>
      </c>
      <c r="H395" s="1894" t="s">
        <v>8206</v>
      </c>
      <c r="I395" s="1721" t="s">
        <v>6867</v>
      </c>
      <c r="J395" s="1721">
        <v>1</v>
      </c>
      <c r="K395" s="1896">
        <v>8843564.9399999995</v>
      </c>
      <c r="L395" s="1896">
        <v>319172.39</v>
      </c>
      <c r="M395" s="1896">
        <v>8524392.5500000007</v>
      </c>
      <c r="N395" s="1721" t="s">
        <v>4024</v>
      </c>
      <c r="O395" s="1721" t="s">
        <v>95</v>
      </c>
      <c r="P395" s="1894" t="s">
        <v>8227</v>
      </c>
      <c r="Q395" s="1701" t="s">
        <v>8244</v>
      </c>
    </row>
    <row r="396" spans="1:17" ht="10.5" customHeight="1" thickBot="1">
      <c r="G396" s="801"/>
      <c r="J396" s="1704" t="s">
        <v>196</v>
      </c>
      <c r="K396" s="1705">
        <f>SUM(K2:K395)</f>
        <v>454771660.0600006</v>
      </c>
      <c r="L396" s="1705">
        <f t="shared" ref="L396:M396" si="0">SUM(L2:L395)</f>
        <v>231327668.96999976</v>
      </c>
      <c r="M396" s="1705">
        <f t="shared" si="0"/>
        <v>223443991.09000009</v>
      </c>
      <c r="O396" s="1701"/>
    </row>
    <row r="397" spans="1:17" ht="10.5" customHeight="1" thickTop="1">
      <c r="G397" s="801"/>
      <c r="J397" s="1706" t="s">
        <v>4010</v>
      </c>
      <c r="K397" s="1707">
        <v>454771660.06000054</v>
      </c>
      <c r="L397" s="1707">
        <v>231327668.96999976</v>
      </c>
      <c r="M397" s="1707">
        <v>223443991.09000009</v>
      </c>
      <c r="O397" s="1701"/>
    </row>
    <row r="398" spans="1:17" ht="10.5" customHeight="1">
      <c r="G398" s="801"/>
      <c r="J398" s="1708" t="s">
        <v>3780</v>
      </c>
      <c r="K398" s="1709">
        <f>K396-K397</f>
        <v>0</v>
      </c>
      <c r="L398" s="1709">
        <f>L396-L397</f>
        <v>0</v>
      </c>
      <c r="M398" s="1709">
        <f>M396-M397</f>
        <v>0</v>
      </c>
      <c r="O398" s="1701"/>
    </row>
    <row r="399" spans="1:17" ht="10.5" customHeight="1">
      <c r="G399" s="801"/>
      <c r="H399" s="1748"/>
      <c r="J399" s="1708"/>
      <c r="K399" s="1709"/>
      <c r="L399" s="1709"/>
      <c r="M399" s="1709"/>
    </row>
    <row r="400" spans="1:17" ht="10.5" customHeight="1">
      <c r="A400" s="1710" t="s">
        <v>4554</v>
      </c>
      <c r="B400" s="1710"/>
      <c r="C400" s="802"/>
    </row>
    <row r="401" spans="1:17" s="1701" customFormat="1" ht="10.5" customHeight="1">
      <c r="A401" s="1701" t="s">
        <v>2326</v>
      </c>
      <c r="B401" s="1701" t="s">
        <v>2327</v>
      </c>
      <c r="C401" s="1701" t="s">
        <v>2328</v>
      </c>
      <c r="D401" s="1701" t="s">
        <v>2329</v>
      </c>
      <c r="E401" s="1701" t="s">
        <v>2330</v>
      </c>
      <c r="F401" s="797" t="s">
        <v>2331</v>
      </c>
      <c r="G401" s="797" t="s">
        <v>2332</v>
      </c>
      <c r="H401" s="798" t="s">
        <v>2333</v>
      </c>
      <c r="I401" s="1701" t="s">
        <v>2334</v>
      </c>
      <c r="J401" s="1701" t="s">
        <v>2335</v>
      </c>
      <c r="K401" s="1702" t="s">
        <v>2336</v>
      </c>
      <c r="L401" s="1702" t="s">
        <v>2337</v>
      </c>
      <c r="M401" s="1702" t="s">
        <v>2338</v>
      </c>
      <c r="N401" s="1703" t="s">
        <v>2286</v>
      </c>
      <c r="O401" s="1703" t="s">
        <v>350</v>
      </c>
      <c r="P401" s="1749" t="s">
        <v>8127</v>
      </c>
      <c r="Q401" s="1703" t="s">
        <v>8128</v>
      </c>
    </row>
    <row r="402" spans="1:17" ht="10.5" customHeight="1">
      <c r="A402" s="799" t="s">
        <v>2339</v>
      </c>
      <c r="B402" s="799" t="s">
        <v>2340</v>
      </c>
      <c r="C402" s="799" t="s">
        <v>2497</v>
      </c>
      <c r="D402" s="799">
        <v>81541</v>
      </c>
      <c r="E402" s="799" t="s">
        <v>2636</v>
      </c>
      <c r="F402" s="799" t="s">
        <v>2357</v>
      </c>
      <c r="I402" s="1700" t="s">
        <v>6867</v>
      </c>
      <c r="J402" s="799">
        <v>0</v>
      </c>
      <c r="K402" s="800">
        <v>470048.94</v>
      </c>
      <c r="L402" s="800">
        <v>470048.94</v>
      </c>
      <c r="M402" s="800">
        <v>0</v>
      </c>
      <c r="N402" s="799" t="s">
        <v>2292</v>
      </c>
      <c r="O402" s="799" t="s">
        <v>99</v>
      </c>
      <c r="P402" s="1747" t="s">
        <v>2501</v>
      </c>
    </row>
    <row r="403" spans="1:17" ht="10.5" customHeight="1">
      <c r="A403" s="799" t="s">
        <v>2339</v>
      </c>
      <c r="B403" s="799" t="s">
        <v>2340</v>
      </c>
      <c r="C403" s="799" t="s">
        <v>2497</v>
      </c>
      <c r="D403" s="799">
        <v>81543</v>
      </c>
      <c r="E403" s="799" t="s">
        <v>2636</v>
      </c>
      <c r="F403" s="799" t="s">
        <v>2357</v>
      </c>
      <c r="I403" s="799" t="s">
        <v>6867</v>
      </c>
      <c r="J403" s="799">
        <v>0</v>
      </c>
      <c r="K403" s="800">
        <v>3714589.91</v>
      </c>
      <c r="L403" s="800">
        <v>3714589.91</v>
      </c>
      <c r="M403" s="800">
        <v>0</v>
      </c>
      <c r="N403" s="799" t="s">
        <v>2292</v>
      </c>
      <c r="O403" s="799" t="s">
        <v>99</v>
      </c>
      <c r="P403" s="1747" t="s">
        <v>2501</v>
      </c>
    </row>
    <row r="404" spans="1:17" ht="10.5" customHeight="1">
      <c r="A404" s="799" t="s">
        <v>2339</v>
      </c>
      <c r="B404" s="799" t="s">
        <v>2340</v>
      </c>
      <c r="C404" s="799" t="s">
        <v>2497</v>
      </c>
      <c r="D404" s="799">
        <v>81547</v>
      </c>
      <c r="E404" s="799" t="s">
        <v>2636</v>
      </c>
      <c r="F404" s="799" t="s">
        <v>2357</v>
      </c>
      <c r="I404" s="799" t="s">
        <v>6867</v>
      </c>
      <c r="J404" s="799">
        <v>0</v>
      </c>
      <c r="K404" s="800">
        <v>11248000</v>
      </c>
      <c r="L404" s="800">
        <v>11248000</v>
      </c>
      <c r="M404" s="800">
        <v>0</v>
      </c>
      <c r="N404" s="799" t="s">
        <v>2292</v>
      </c>
      <c r="O404" s="799" t="s">
        <v>99</v>
      </c>
      <c r="P404" s="1747" t="s">
        <v>2501</v>
      </c>
    </row>
    <row r="405" spans="1:17" ht="10.5" customHeight="1">
      <c r="A405" s="799" t="s">
        <v>2339</v>
      </c>
      <c r="B405" s="799" t="s">
        <v>2340</v>
      </c>
      <c r="C405" s="799" t="s">
        <v>2497</v>
      </c>
      <c r="D405" s="799">
        <v>81550</v>
      </c>
      <c r="E405" s="799" t="s">
        <v>2636</v>
      </c>
      <c r="F405" s="799" t="s">
        <v>2357</v>
      </c>
      <c r="I405" s="799" t="s">
        <v>6867</v>
      </c>
      <c r="J405" s="799">
        <v>0</v>
      </c>
      <c r="K405" s="800">
        <v>5628705.3399999999</v>
      </c>
      <c r="L405" s="800">
        <v>5628705.3399999999</v>
      </c>
      <c r="M405" s="800">
        <v>0</v>
      </c>
      <c r="N405" s="799" t="s">
        <v>2292</v>
      </c>
      <c r="O405" s="799" t="s">
        <v>99</v>
      </c>
      <c r="P405" s="1747" t="s">
        <v>2501</v>
      </c>
    </row>
    <row r="406" spans="1:17" ht="10.5" customHeight="1">
      <c r="A406" s="799" t="s">
        <v>2339</v>
      </c>
      <c r="B406" s="799" t="s">
        <v>2340</v>
      </c>
      <c r="C406" s="799" t="s">
        <v>2497</v>
      </c>
      <c r="D406" s="799">
        <v>83198</v>
      </c>
      <c r="E406" s="799" t="s">
        <v>2636</v>
      </c>
      <c r="F406" s="799" t="s">
        <v>2357</v>
      </c>
      <c r="I406" s="799" t="s">
        <v>6867</v>
      </c>
      <c r="J406" s="799">
        <v>0</v>
      </c>
      <c r="K406" s="800">
        <v>18141.900000000001</v>
      </c>
      <c r="L406" s="800">
        <v>18141.900000000001</v>
      </c>
      <c r="M406" s="800">
        <v>0</v>
      </c>
      <c r="N406" s="799" t="s">
        <v>2292</v>
      </c>
      <c r="O406" s="799" t="s">
        <v>99</v>
      </c>
      <c r="P406" s="1747" t="s">
        <v>2501</v>
      </c>
    </row>
    <row r="407" spans="1:17" ht="10.5" customHeight="1">
      <c r="A407" s="799" t="s">
        <v>2339</v>
      </c>
      <c r="B407" s="799" t="s">
        <v>2340</v>
      </c>
      <c r="C407" s="799" t="s">
        <v>2497</v>
      </c>
      <c r="D407" s="799">
        <v>86317</v>
      </c>
      <c r="E407" s="799" t="s">
        <v>2636</v>
      </c>
      <c r="F407" s="799" t="s">
        <v>2357</v>
      </c>
      <c r="I407" s="799" t="s">
        <v>6867</v>
      </c>
      <c r="J407" s="799">
        <v>0</v>
      </c>
      <c r="K407" s="800">
        <v>3518.62</v>
      </c>
      <c r="L407" s="800">
        <v>3518.62</v>
      </c>
      <c r="M407" s="800">
        <v>0</v>
      </c>
      <c r="N407" s="799" t="s">
        <v>2292</v>
      </c>
      <c r="O407" s="799" t="s">
        <v>99</v>
      </c>
      <c r="P407" s="1747" t="s">
        <v>2501</v>
      </c>
    </row>
    <row r="408" spans="1:17" ht="10.5" customHeight="1">
      <c r="A408" s="799" t="s">
        <v>2339</v>
      </c>
      <c r="B408" s="799" t="s">
        <v>2340</v>
      </c>
      <c r="C408" s="799" t="s">
        <v>2497</v>
      </c>
      <c r="D408" s="799">
        <v>105478</v>
      </c>
      <c r="E408" s="799" t="s">
        <v>2636</v>
      </c>
      <c r="F408" s="799" t="s">
        <v>2357</v>
      </c>
      <c r="I408" s="799" t="s">
        <v>6867</v>
      </c>
      <c r="J408" s="799">
        <v>0</v>
      </c>
      <c r="K408" s="800">
        <v>112630.27</v>
      </c>
      <c r="L408" s="800">
        <v>112630.27</v>
      </c>
      <c r="M408" s="800">
        <v>0</v>
      </c>
      <c r="N408" s="799" t="s">
        <v>2292</v>
      </c>
      <c r="O408" s="799" t="s">
        <v>99</v>
      </c>
      <c r="P408" s="1747" t="s">
        <v>2501</v>
      </c>
    </row>
    <row r="409" spans="1:17" ht="10.5" customHeight="1">
      <c r="A409" s="799" t="s">
        <v>2339</v>
      </c>
      <c r="B409" s="799" t="s">
        <v>2340</v>
      </c>
      <c r="C409" s="799" t="s">
        <v>2497</v>
      </c>
      <c r="D409" s="799">
        <v>3241785</v>
      </c>
      <c r="E409" s="799" t="s">
        <v>2636</v>
      </c>
      <c r="F409" s="799">
        <v>131202140</v>
      </c>
      <c r="G409" s="799" t="s">
        <v>2637</v>
      </c>
      <c r="H409" s="1747" t="s">
        <v>2638</v>
      </c>
      <c r="I409" s="799" t="s">
        <v>6867</v>
      </c>
      <c r="J409" s="799">
        <v>1</v>
      </c>
      <c r="K409" s="800">
        <v>11285.53</v>
      </c>
      <c r="L409" s="800">
        <v>11285.53</v>
      </c>
      <c r="M409" s="800">
        <v>0</v>
      </c>
      <c r="N409" s="799" t="s">
        <v>2292</v>
      </c>
      <c r="O409" s="799" t="s">
        <v>99</v>
      </c>
      <c r="P409" s="1747" t="s">
        <v>2501</v>
      </c>
    </row>
    <row r="410" spans="1:17" ht="10.5" customHeight="1">
      <c r="A410" s="799" t="s">
        <v>2339</v>
      </c>
      <c r="B410" s="799" t="s">
        <v>2340</v>
      </c>
      <c r="C410" s="799" t="s">
        <v>2647</v>
      </c>
      <c r="D410" s="799">
        <v>3260089</v>
      </c>
      <c r="E410" s="799" t="s">
        <v>2648</v>
      </c>
      <c r="F410" s="799">
        <v>130003341</v>
      </c>
      <c r="G410" s="799" t="s">
        <v>2649</v>
      </c>
      <c r="H410" s="1747" t="s">
        <v>2650</v>
      </c>
      <c r="I410" s="799" t="s">
        <v>6867</v>
      </c>
      <c r="J410" s="799">
        <v>1</v>
      </c>
      <c r="K410" s="800">
        <v>731500</v>
      </c>
      <c r="L410" s="800">
        <v>625476.13</v>
      </c>
      <c r="M410" s="800">
        <v>106023.87</v>
      </c>
      <c r="N410" s="799" t="s">
        <v>2292</v>
      </c>
      <c r="O410" s="799" t="s">
        <v>99</v>
      </c>
      <c r="P410" s="1747" t="s">
        <v>2501</v>
      </c>
    </row>
    <row r="411" spans="1:17" ht="10.5" customHeight="1">
      <c r="A411" s="799" t="s">
        <v>2339</v>
      </c>
      <c r="B411" s="799" t="s">
        <v>2340</v>
      </c>
      <c r="C411" s="799" t="s">
        <v>2647</v>
      </c>
      <c r="D411" s="799">
        <v>4822226</v>
      </c>
      <c r="E411" s="799" t="s">
        <v>2648</v>
      </c>
      <c r="F411" s="799">
        <v>131201501</v>
      </c>
      <c r="G411" s="799" t="s">
        <v>2652</v>
      </c>
      <c r="H411" s="1747" t="s">
        <v>2653</v>
      </c>
      <c r="I411" s="799" t="s">
        <v>6867</v>
      </c>
      <c r="J411" s="799">
        <v>1</v>
      </c>
      <c r="K411" s="800">
        <v>176997.4</v>
      </c>
      <c r="L411" s="800">
        <v>149493.12</v>
      </c>
      <c r="M411" s="800">
        <v>27504.28</v>
      </c>
      <c r="N411" s="799" t="s">
        <v>2292</v>
      </c>
      <c r="O411" s="799" t="s">
        <v>99</v>
      </c>
      <c r="P411" s="1747" t="s">
        <v>2501</v>
      </c>
    </row>
    <row r="412" spans="1:17" ht="10.5" customHeight="1">
      <c r="A412" s="799" t="s">
        <v>2339</v>
      </c>
      <c r="B412" s="799" t="s">
        <v>2340</v>
      </c>
      <c r="C412" s="799" t="s">
        <v>2647</v>
      </c>
      <c r="D412" s="799">
        <v>4822229</v>
      </c>
      <c r="E412" s="799" t="s">
        <v>2648</v>
      </c>
      <c r="F412" s="799">
        <v>131201501</v>
      </c>
      <c r="G412" s="799" t="s">
        <v>2652</v>
      </c>
      <c r="H412" s="1747" t="s">
        <v>2653</v>
      </c>
      <c r="I412" s="799" t="s">
        <v>6867</v>
      </c>
      <c r="J412" s="799">
        <v>0</v>
      </c>
      <c r="K412" s="800">
        <v>1197034.02</v>
      </c>
      <c r="L412" s="800">
        <v>1011022.51</v>
      </c>
      <c r="M412" s="800">
        <v>186011.51</v>
      </c>
      <c r="N412" s="799" t="s">
        <v>2292</v>
      </c>
      <c r="O412" s="799" t="s">
        <v>99</v>
      </c>
      <c r="P412" s="1747" t="s">
        <v>2501</v>
      </c>
    </row>
    <row r="413" spans="1:17" ht="10.5" customHeight="1">
      <c r="A413" s="799" t="s">
        <v>2339</v>
      </c>
      <c r="B413" s="799" t="s">
        <v>2340</v>
      </c>
      <c r="C413" s="799" t="s">
        <v>2623</v>
      </c>
      <c r="D413" s="799">
        <v>5258809</v>
      </c>
      <c r="E413" s="799" t="s">
        <v>2624</v>
      </c>
      <c r="F413" s="799">
        <v>131202540</v>
      </c>
      <c r="G413" s="799" t="s">
        <v>2625</v>
      </c>
      <c r="H413" s="1747" t="s">
        <v>2626</v>
      </c>
      <c r="I413" s="799" t="s">
        <v>6867</v>
      </c>
      <c r="J413" s="799">
        <v>0</v>
      </c>
      <c r="K413" s="800">
        <v>76881.61</v>
      </c>
      <c r="L413" s="800">
        <v>73677.81</v>
      </c>
      <c r="M413" s="800">
        <v>3203.8</v>
      </c>
      <c r="N413" s="799" t="s">
        <v>2292</v>
      </c>
      <c r="O413" s="799" t="s">
        <v>99</v>
      </c>
      <c r="P413" s="1747" t="s">
        <v>2501</v>
      </c>
    </row>
    <row r="414" spans="1:17" ht="10.5" customHeight="1">
      <c r="A414" s="799" t="s">
        <v>2339</v>
      </c>
      <c r="B414" s="799" t="s">
        <v>2340</v>
      </c>
      <c r="C414" s="799" t="s">
        <v>2647</v>
      </c>
      <c r="D414" s="799">
        <v>5286682</v>
      </c>
      <c r="E414" s="799" t="s">
        <v>2648</v>
      </c>
      <c r="F414" s="799">
        <v>131201501</v>
      </c>
      <c r="G414" s="799" t="s">
        <v>2652</v>
      </c>
      <c r="H414" s="1747" t="s">
        <v>2653</v>
      </c>
      <c r="I414" s="799" t="s">
        <v>6867</v>
      </c>
      <c r="J414" s="799">
        <v>0</v>
      </c>
      <c r="K414" s="800">
        <v>227935.31</v>
      </c>
      <c r="L414" s="800">
        <v>192515.61000000002</v>
      </c>
      <c r="M414" s="800">
        <v>35419.700000000004</v>
      </c>
      <c r="N414" s="799" t="s">
        <v>2292</v>
      </c>
      <c r="O414" s="799" t="s">
        <v>99</v>
      </c>
      <c r="P414" s="1747" t="s">
        <v>2501</v>
      </c>
    </row>
    <row r="415" spans="1:17" ht="10.5" customHeight="1">
      <c r="A415" s="799" t="s">
        <v>2339</v>
      </c>
      <c r="B415" s="799" t="s">
        <v>2340</v>
      </c>
      <c r="C415" s="799" t="s">
        <v>2623</v>
      </c>
      <c r="D415" s="799">
        <v>6040148</v>
      </c>
      <c r="E415" s="799" t="s">
        <v>2624</v>
      </c>
      <c r="F415" s="799">
        <v>131202540</v>
      </c>
      <c r="G415" s="799" t="s">
        <v>2625</v>
      </c>
      <c r="H415" s="1747" t="s">
        <v>2626</v>
      </c>
      <c r="I415" s="799" t="s">
        <v>6867</v>
      </c>
      <c r="J415" s="799">
        <v>0</v>
      </c>
      <c r="K415" s="800">
        <v>56256.28</v>
      </c>
      <c r="L415" s="800">
        <v>53911.98</v>
      </c>
      <c r="M415" s="800">
        <v>2344.3000000000002</v>
      </c>
      <c r="N415" s="799" t="s">
        <v>2292</v>
      </c>
      <c r="O415" s="799" t="s">
        <v>99</v>
      </c>
      <c r="P415" s="1747" t="s">
        <v>2501</v>
      </c>
    </row>
    <row r="416" spans="1:17" ht="10.5" customHeight="1">
      <c r="A416" s="799" t="s">
        <v>2339</v>
      </c>
      <c r="B416" s="799" t="s">
        <v>2340</v>
      </c>
      <c r="C416" s="799" t="s">
        <v>2623</v>
      </c>
      <c r="D416" s="799">
        <v>6040150</v>
      </c>
      <c r="E416" s="799" t="s">
        <v>2624</v>
      </c>
      <c r="F416" s="799">
        <v>131202540</v>
      </c>
      <c r="G416" s="799" t="s">
        <v>2625</v>
      </c>
      <c r="H416" s="1747" t="s">
        <v>2626</v>
      </c>
      <c r="I416" s="799" t="s">
        <v>6867</v>
      </c>
      <c r="J416" s="799">
        <v>0</v>
      </c>
      <c r="K416" s="800">
        <v>36596.590000000004</v>
      </c>
      <c r="L416" s="800">
        <v>35071.54</v>
      </c>
      <c r="M416" s="800">
        <v>1525.05</v>
      </c>
      <c r="N416" s="799" t="s">
        <v>2292</v>
      </c>
      <c r="O416" s="799" t="s">
        <v>99</v>
      </c>
      <c r="P416" s="1747" t="s">
        <v>2501</v>
      </c>
    </row>
    <row r="417" spans="1:16" ht="10.5" customHeight="1">
      <c r="A417" s="799" t="s">
        <v>2339</v>
      </c>
      <c r="B417" s="799" t="s">
        <v>2340</v>
      </c>
      <c r="C417" s="799" t="s">
        <v>2623</v>
      </c>
      <c r="D417" s="799">
        <v>6040151</v>
      </c>
      <c r="E417" s="799" t="s">
        <v>2624</v>
      </c>
      <c r="F417" s="799">
        <v>131202540</v>
      </c>
      <c r="G417" s="799" t="s">
        <v>2625</v>
      </c>
      <c r="H417" s="1747" t="s">
        <v>2626</v>
      </c>
      <c r="I417" s="799" t="s">
        <v>6867</v>
      </c>
      <c r="J417" s="799">
        <v>0</v>
      </c>
      <c r="K417" s="800">
        <v>109789.78</v>
      </c>
      <c r="L417" s="800">
        <v>105214.64</v>
      </c>
      <c r="M417" s="800">
        <v>4575.1400000000003</v>
      </c>
      <c r="N417" s="799" t="s">
        <v>2292</v>
      </c>
      <c r="O417" s="799" t="s">
        <v>99</v>
      </c>
      <c r="P417" s="1747" t="s">
        <v>2501</v>
      </c>
    </row>
    <row r="418" spans="1:16" ht="10.5" customHeight="1">
      <c r="A418" s="799" t="s">
        <v>2339</v>
      </c>
      <c r="B418" s="799" t="s">
        <v>2340</v>
      </c>
      <c r="C418" s="799" t="s">
        <v>2623</v>
      </c>
      <c r="D418" s="799">
        <v>6040152</v>
      </c>
      <c r="E418" s="799" t="s">
        <v>2624</v>
      </c>
      <c r="F418" s="799">
        <v>131202540</v>
      </c>
      <c r="G418" s="799" t="s">
        <v>2625</v>
      </c>
      <c r="H418" s="1747" t="s">
        <v>2626</v>
      </c>
      <c r="I418" s="799" t="s">
        <v>6867</v>
      </c>
      <c r="J418" s="799">
        <v>0</v>
      </c>
      <c r="K418" s="800">
        <v>7319.32</v>
      </c>
      <c r="L418" s="800">
        <v>7014.31</v>
      </c>
      <c r="M418" s="800">
        <v>305.01</v>
      </c>
      <c r="N418" s="799" t="s">
        <v>2292</v>
      </c>
      <c r="O418" s="799" t="s">
        <v>99</v>
      </c>
      <c r="P418" s="1747" t="s">
        <v>2501</v>
      </c>
    </row>
    <row r="419" spans="1:16" ht="10.5" customHeight="1">
      <c r="A419" s="799" t="s">
        <v>2339</v>
      </c>
      <c r="B419" s="799" t="s">
        <v>2340</v>
      </c>
      <c r="C419" s="799" t="s">
        <v>2623</v>
      </c>
      <c r="D419" s="799">
        <v>6040153</v>
      </c>
      <c r="E419" s="799" t="s">
        <v>2624</v>
      </c>
      <c r="F419" s="799">
        <v>131202540</v>
      </c>
      <c r="G419" s="799" t="s">
        <v>2625</v>
      </c>
      <c r="H419" s="1747" t="s">
        <v>2626</v>
      </c>
      <c r="I419" s="799" t="s">
        <v>6867</v>
      </c>
      <c r="J419" s="799">
        <v>0</v>
      </c>
      <c r="K419" s="800">
        <v>45621.31</v>
      </c>
      <c r="L419" s="800">
        <v>43720.19</v>
      </c>
      <c r="M419" s="800">
        <v>1901.1200000000001</v>
      </c>
      <c r="N419" s="799" t="s">
        <v>2292</v>
      </c>
      <c r="O419" s="799" t="s">
        <v>99</v>
      </c>
      <c r="P419" s="1747" t="s">
        <v>2501</v>
      </c>
    </row>
    <row r="420" spans="1:16" ht="10.5" customHeight="1">
      <c r="A420" s="799" t="s">
        <v>2339</v>
      </c>
      <c r="B420" s="799" t="s">
        <v>2340</v>
      </c>
      <c r="C420" s="799" t="s">
        <v>2623</v>
      </c>
      <c r="D420" s="799">
        <v>6040154</v>
      </c>
      <c r="E420" s="799" t="s">
        <v>2624</v>
      </c>
      <c r="F420" s="799">
        <v>131202540</v>
      </c>
      <c r="G420" s="799" t="s">
        <v>2625</v>
      </c>
      <c r="H420" s="1747" t="s">
        <v>2626</v>
      </c>
      <c r="I420" s="799" t="s">
        <v>6867</v>
      </c>
      <c r="J420" s="799">
        <v>0</v>
      </c>
      <c r="K420" s="800">
        <v>36596.590000000004</v>
      </c>
      <c r="L420" s="800">
        <v>35071.54</v>
      </c>
      <c r="M420" s="800">
        <v>1525.05</v>
      </c>
      <c r="N420" s="799" t="s">
        <v>2292</v>
      </c>
      <c r="O420" s="799" t="s">
        <v>99</v>
      </c>
      <c r="P420" s="1747" t="s">
        <v>2501</v>
      </c>
    </row>
    <row r="421" spans="1:16" ht="10.5" customHeight="1">
      <c r="A421" s="799" t="s">
        <v>2339</v>
      </c>
      <c r="B421" s="799" t="s">
        <v>2340</v>
      </c>
      <c r="C421" s="799" t="s">
        <v>2497</v>
      </c>
      <c r="D421" s="799">
        <v>6529628</v>
      </c>
      <c r="E421" s="799" t="s">
        <v>2636</v>
      </c>
      <c r="F421" s="799">
        <v>131203200</v>
      </c>
      <c r="G421" s="799" t="s">
        <v>2639</v>
      </c>
      <c r="H421" s="1747" t="s">
        <v>2640</v>
      </c>
      <c r="I421" s="799" t="s">
        <v>6867</v>
      </c>
      <c r="J421" s="799">
        <v>0</v>
      </c>
      <c r="K421" s="800">
        <v>29627.600000000002</v>
      </c>
      <c r="L421" s="800">
        <v>29627.600000000002</v>
      </c>
      <c r="M421" s="800">
        <v>0</v>
      </c>
      <c r="N421" s="799" t="s">
        <v>2292</v>
      </c>
      <c r="O421" s="799" t="s">
        <v>99</v>
      </c>
      <c r="P421" s="1747" t="s">
        <v>2501</v>
      </c>
    </row>
    <row r="422" spans="1:16" ht="10.5" customHeight="1">
      <c r="A422" s="799" t="s">
        <v>2339</v>
      </c>
      <c r="B422" s="799" t="s">
        <v>2340</v>
      </c>
      <c r="C422" s="799" t="s">
        <v>2647</v>
      </c>
      <c r="D422" s="799">
        <v>7141021</v>
      </c>
      <c r="E422" s="799" t="s">
        <v>2648</v>
      </c>
      <c r="F422" s="799">
        <v>131203260</v>
      </c>
      <c r="G422" s="799" t="s">
        <v>2654</v>
      </c>
      <c r="H422" s="1747" t="s">
        <v>2655</v>
      </c>
      <c r="I422" s="799" t="s">
        <v>6867</v>
      </c>
      <c r="J422" s="799">
        <v>0</v>
      </c>
      <c r="K422" s="800">
        <v>59053.440000000002</v>
      </c>
      <c r="L422" s="800">
        <v>49192.57</v>
      </c>
      <c r="M422" s="800">
        <v>9860.8700000000008</v>
      </c>
      <c r="N422" s="799" t="s">
        <v>2292</v>
      </c>
      <c r="O422" s="799" t="s">
        <v>99</v>
      </c>
      <c r="P422" s="1747" t="s">
        <v>2501</v>
      </c>
    </row>
    <row r="423" spans="1:16" ht="10.5" customHeight="1">
      <c r="A423" s="799" t="s">
        <v>2339</v>
      </c>
      <c r="B423" s="799" t="s">
        <v>2340</v>
      </c>
      <c r="C423" s="799" t="s">
        <v>2647</v>
      </c>
      <c r="D423" s="799">
        <v>7300058</v>
      </c>
      <c r="E423" s="799" t="s">
        <v>2648</v>
      </c>
      <c r="F423" s="799">
        <v>131203600</v>
      </c>
      <c r="G423" s="799" t="s">
        <v>2658</v>
      </c>
      <c r="H423" s="1747" t="s">
        <v>2659</v>
      </c>
      <c r="I423" s="799" t="s">
        <v>6867</v>
      </c>
      <c r="J423" s="799">
        <v>0</v>
      </c>
      <c r="K423" s="800">
        <v>43897.03</v>
      </c>
      <c r="L423" s="800">
        <v>36567.01</v>
      </c>
      <c r="M423" s="800">
        <v>7330.02</v>
      </c>
      <c r="N423" s="799" t="s">
        <v>2292</v>
      </c>
      <c r="O423" s="799" t="s">
        <v>99</v>
      </c>
      <c r="P423" s="1747" t="s">
        <v>2501</v>
      </c>
    </row>
    <row r="424" spans="1:16" ht="10.5" customHeight="1">
      <c r="A424" s="799" t="s">
        <v>2339</v>
      </c>
      <c r="B424" s="799" t="s">
        <v>2340</v>
      </c>
      <c r="C424" s="799" t="s">
        <v>2647</v>
      </c>
      <c r="D424" s="799">
        <v>7303332</v>
      </c>
      <c r="E424" s="799" t="s">
        <v>2648</v>
      </c>
      <c r="F424" s="799">
        <v>131203400</v>
      </c>
      <c r="G424" s="799" t="s">
        <v>2656</v>
      </c>
      <c r="H424" s="1747" t="s">
        <v>2657</v>
      </c>
      <c r="I424" s="799" t="s">
        <v>6867</v>
      </c>
      <c r="J424" s="799">
        <v>0</v>
      </c>
      <c r="K424" s="800">
        <v>213736.41</v>
      </c>
      <c r="L424" s="800">
        <v>178046.23</v>
      </c>
      <c r="M424" s="800">
        <v>35690.18</v>
      </c>
      <c r="N424" s="799" t="s">
        <v>2292</v>
      </c>
      <c r="O424" s="799" t="s">
        <v>99</v>
      </c>
      <c r="P424" s="1747" t="s">
        <v>2501</v>
      </c>
    </row>
    <row r="425" spans="1:16" ht="10.5" customHeight="1">
      <c r="A425" s="799" t="s">
        <v>2339</v>
      </c>
      <c r="B425" s="799" t="s">
        <v>2340</v>
      </c>
      <c r="C425" s="799" t="s">
        <v>2647</v>
      </c>
      <c r="D425" s="799">
        <v>7304028</v>
      </c>
      <c r="E425" s="799" t="s">
        <v>2648</v>
      </c>
      <c r="F425" s="799">
        <v>130004981</v>
      </c>
      <c r="G425" s="799" t="s">
        <v>2651</v>
      </c>
      <c r="H425" s="1747" t="s">
        <v>2651</v>
      </c>
      <c r="I425" s="799" t="s">
        <v>6867</v>
      </c>
      <c r="J425" s="799">
        <v>0</v>
      </c>
      <c r="K425" s="800">
        <v>159000</v>
      </c>
      <c r="L425" s="800">
        <v>132449.83000000002</v>
      </c>
      <c r="M425" s="800">
        <v>26550.170000000002</v>
      </c>
      <c r="N425" s="799" t="s">
        <v>2292</v>
      </c>
      <c r="O425" s="799" t="s">
        <v>99</v>
      </c>
      <c r="P425" s="1747" t="s">
        <v>2501</v>
      </c>
    </row>
    <row r="426" spans="1:16" ht="10.5" customHeight="1">
      <c r="A426" s="799" t="s">
        <v>2339</v>
      </c>
      <c r="B426" s="799" t="s">
        <v>2340</v>
      </c>
      <c r="C426" s="799" t="s">
        <v>2494</v>
      </c>
      <c r="D426" s="799">
        <v>9404534</v>
      </c>
      <c r="E426" s="799" t="s">
        <v>2615</v>
      </c>
      <c r="F426" s="799">
        <v>131204320</v>
      </c>
      <c r="G426" s="799" t="s">
        <v>2618</v>
      </c>
      <c r="H426" s="1747" t="s">
        <v>2619</v>
      </c>
      <c r="I426" s="799" t="s">
        <v>6867</v>
      </c>
      <c r="J426" s="799">
        <v>0</v>
      </c>
      <c r="K426" s="800">
        <v>103600.09</v>
      </c>
      <c r="L426" s="800">
        <v>103600.09</v>
      </c>
      <c r="M426" s="800">
        <v>0</v>
      </c>
      <c r="N426" s="799" t="s">
        <v>2292</v>
      </c>
      <c r="O426" s="799" t="s">
        <v>99</v>
      </c>
      <c r="P426" s="1747" t="s">
        <v>2501</v>
      </c>
    </row>
    <row r="427" spans="1:16" ht="10.5" customHeight="1">
      <c r="A427" s="799" t="s">
        <v>2339</v>
      </c>
      <c r="B427" s="799" t="s">
        <v>2340</v>
      </c>
      <c r="C427" s="799" t="s">
        <v>2494</v>
      </c>
      <c r="D427" s="799">
        <v>9404538</v>
      </c>
      <c r="E427" s="799" t="s">
        <v>2615</v>
      </c>
      <c r="F427" s="799">
        <v>131204320</v>
      </c>
      <c r="G427" s="799" t="s">
        <v>2618</v>
      </c>
      <c r="H427" s="1747" t="s">
        <v>2619</v>
      </c>
      <c r="I427" s="799" t="s">
        <v>6867</v>
      </c>
      <c r="J427" s="799">
        <v>0</v>
      </c>
      <c r="K427" s="800">
        <v>388666.57</v>
      </c>
      <c r="L427" s="800">
        <v>388666.57</v>
      </c>
      <c r="M427" s="800">
        <v>0</v>
      </c>
      <c r="N427" s="799" t="s">
        <v>2292</v>
      </c>
      <c r="O427" s="799" t="s">
        <v>99</v>
      </c>
      <c r="P427" s="1747" t="s">
        <v>2501</v>
      </c>
    </row>
    <row r="428" spans="1:16" ht="10.5" customHeight="1">
      <c r="A428" s="799" t="s">
        <v>2339</v>
      </c>
      <c r="B428" s="799" t="s">
        <v>2340</v>
      </c>
      <c r="C428" s="799" t="s">
        <v>2494</v>
      </c>
      <c r="D428" s="799">
        <v>9404540</v>
      </c>
      <c r="E428" s="799" t="s">
        <v>2615</v>
      </c>
      <c r="F428" s="799">
        <v>131204320</v>
      </c>
      <c r="G428" s="799" t="s">
        <v>2618</v>
      </c>
      <c r="H428" s="1747" t="s">
        <v>2619</v>
      </c>
      <c r="I428" s="799" t="s">
        <v>6867</v>
      </c>
      <c r="J428" s="799">
        <v>0</v>
      </c>
      <c r="K428" s="800">
        <v>1366470.6400000001</v>
      </c>
      <c r="L428" s="800">
        <v>1366470.6400000001</v>
      </c>
      <c r="M428" s="800">
        <v>0</v>
      </c>
      <c r="N428" s="799" t="s">
        <v>2292</v>
      </c>
      <c r="O428" s="799" t="s">
        <v>99</v>
      </c>
      <c r="P428" s="1747" t="s">
        <v>2501</v>
      </c>
    </row>
    <row r="429" spans="1:16" ht="10.5" customHeight="1">
      <c r="A429" s="799" t="s">
        <v>2339</v>
      </c>
      <c r="B429" s="799" t="s">
        <v>2340</v>
      </c>
      <c r="C429" s="799" t="s">
        <v>2494</v>
      </c>
      <c r="D429" s="799">
        <v>9404541</v>
      </c>
      <c r="E429" s="799" t="s">
        <v>2615</v>
      </c>
      <c r="F429" s="799">
        <v>131204320</v>
      </c>
      <c r="G429" s="799" t="s">
        <v>2618</v>
      </c>
      <c r="H429" s="1747" t="s">
        <v>2619</v>
      </c>
      <c r="I429" s="799" t="s">
        <v>6867</v>
      </c>
      <c r="J429" s="799">
        <v>0</v>
      </c>
      <c r="K429" s="800">
        <v>26434.9</v>
      </c>
      <c r="L429" s="800">
        <v>26434.9</v>
      </c>
      <c r="M429" s="800">
        <v>0</v>
      </c>
      <c r="N429" s="799" t="s">
        <v>2292</v>
      </c>
      <c r="O429" s="799" t="s">
        <v>99</v>
      </c>
      <c r="P429" s="1747" t="s">
        <v>2501</v>
      </c>
    </row>
    <row r="430" spans="1:16" ht="10.5" customHeight="1">
      <c r="A430" s="799" t="s">
        <v>2339</v>
      </c>
      <c r="B430" s="799" t="s">
        <v>2340</v>
      </c>
      <c r="C430" s="799" t="s">
        <v>2494</v>
      </c>
      <c r="D430" s="799">
        <v>9404542</v>
      </c>
      <c r="E430" s="799" t="s">
        <v>2615</v>
      </c>
      <c r="F430" s="799">
        <v>131204320</v>
      </c>
      <c r="G430" s="799" t="s">
        <v>2618</v>
      </c>
      <c r="H430" s="1747" t="s">
        <v>2619</v>
      </c>
      <c r="I430" s="799" t="s">
        <v>6867</v>
      </c>
      <c r="J430" s="799">
        <v>0</v>
      </c>
      <c r="K430" s="800">
        <v>23810.66</v>
      </c>
      <c r="L430" s="800">
        <v>23810.66</v>
      </c>
      <c r="M430" s="800">
        <v>0</v>
      </c>
      <c r="N430" s="799" t="s">
        <v>2292</v>
      </c>
      <c r="O430" s="799" t="s">
        <v>99</v>
      </c>
      <c r="P430" s="1747" t="s">
        <v>2501</v>
      </c>
    </row>
    <row r="431" spans="1:16" ht="10.5" customHeight="1">
      <c r="A431" s="799" t="s">
        <v>2339</v>
      </c>
      <c r="B431" s="799" t="s">
        <v>2340</v>
      </c>
      <c r="C431" s="799" t="s">
        <v>2494</v>
      </c>
      <c r="D431" s="799">
        <v>9404543</v>
      </c>
      <c r="E431" s="799" t="s">
        <v>2615</v>
      </c>
      <c r="F431" s="799">
        <v>131204320</v>
      </c>
      <c r="G431" s="799" t="s">
        <v>2618</v>
      </c>
      <c r="H431" s="1747" t="s">
        <v>2619</v>
      </c>
      <c r="I431" s="799" t="s">
        <v>6867</v>
      </c>
      <c r="J431" s="799">
        <v>0</v>
      </c>
      <c r="K431" s="800">
        <v>1433000.62</v>
      </c>
      <c r="L431" s="800">
        <v>1433000.62</v>
      </c>
      <c r="M431" s="800">
        <v>0</v>
      </c>
      <c r="N431" s="799" t="s">
        <v>2292</v>
      </c>
      <c r="O431" s="799" t="s">
        <v>99</v>
      </c>
      <c r="P431" s="1747" t="s">
        <v>2501</v>
      </c>
    </row>
    <row r="432" spans="1:16" ht="10.5" customHeight="1">
      <c r="A432" s="799" t="s">
        <v>2339</v>
      </c>
      <c r="B432" s="799" t="s">
        <v>2340</v>
      </c>
      <c r="C432" s="799" t="s">
        <v>2494</v>
      </c>
      <c r="D432" s="799">
        <v>9404544</v>
      </c>
      <c r="E432" s="799" t="s">
        <v>2615</v>
      </c>
      <c r="F432" s="799">
        <v>131204320</v>
      </c>
      <c r="G432" s="799" t="s">
        <v>2618</v>
      </c>
      <c r="H432" s="1747" t="s">
        <v>2619</v>
      </c>
      <c r="I432" s="799" t="s">
        <v>6867</v>
      </c>
      <c r="J432" s="799">
        <v>0</v>
      </c>
      <c r="K432" s="800">
        <v>157393.06</v>
      </c>
      <c r="L432" s="800">
        <v>157393.06</v>
      </c>
      <c r="M432" s="800">
        <v>0</v>
      </c>
      <c r="N432" s="799" t="s">
        <v>2292</v>
      </c>
      <c r="O432" s="799" t="s">
        <v>99</v>
      </c>
      <c r="P432" s="1747" t="s">
        <v>2501</v>
      </c>
    </row>
    <row r="433" spans="1:16" ht="10.5" customHeight="1">
      <c r="A433" s="799" t="s">
        <v>2339</v>
      </c>
      <c r="B433" s="799" t="s">
        <v>2340</v>
      </c>
      <c r="C433" s="799" t="s">
        <v>2494</v>
      </c>
      <c r="D433" s="799">
        <v>9404545</v>
      </c>
      <c r="E433" s="799" t="s">
        <v>2615</v>
      </c>
      <c r="F433" s="799">
        <v>131204320</v>
      </c>
      <c r="G433" s="799" t="s">
        <v>2618</v>
      </c>
      <c r="H433" s="1747" t="s">
        <v>2619</v>
      </c>
      <c r="I433" s="799" t="s">
        <v>6867</v>
      </c>
      <c r="J433" s="799">
        <v>0</v>
      </c>
      <c r="K433" s="800">
        <v>62792.42</v>
      </c>
      <c r="L433" s="800">
        <v>62792.42</v>
      </c>
      <c r="M433" s="800">
        <v>0</v>
      </c>
      <c r="N433" s="799" t="s">
        <v>2292</v>
      </c>
      <c r="O433" s="799" t="s">
        <v>99</v>
      </c>
      <c r="P433" s="1747" t="s">
        <v>2501</v>
      </c>
    </row>
    <row r="434" spans="1:16" ht="10.5" customHeight="1">
      <c r="A434" s="799" t="s">
        <v>2339</v>
      </c>
      <c r="B434" s="799" t="s">
        <v>2340</v>
      </c>
      <c r="C434" s="799" t="s">
        <v>2494</v>
      </c>
      <c r="D434" s="799">
        <v>9404546</v>
      </c>
      <c r="E434" s="799" t="s">
        <v>2615</v>
      </c>
      <c r="F434" s="799">
        <v>131204320</v>
      </c>
      <c r="G434" s="799" t="s">
        <v>2618</v>
      </c>
      <c r="H434" s="1747" t="s">
        <v>2619</v>
      </c>
      <c r="I434" s="799" t="s">
        <v>6867</v>
      </c>
      <c r="J434" s="799">
        <v>0</v>
      </c>
      <c r="K434" s="800">
        <v>4312.8</v>
      </c>
      <c r="L434" s="800">
        <v>4312.8</v>
      </c>
      <c r="M434" s="800">
        <v>0</v>
      </c>
      <c r="N434" s="799" t="s">
        <v>2292</v>
      </c>
      <c r="O434" s="799" t="s">
        <v>99</v>
      </c>
      <c r="P434" s="1747" t="s">
        <v>2501</v>
      </c>
    </row>
    <row r="435" spans="1:16" ht="10.5" customHeight="1">
      <c r="A435" s="799" t="s">
        <v>2339</v>
      </c>
      <c r="B435" s="799" t="s">
        <v>2340</v>
      </c>
      <c r="C435" s="799" t="s">
        <v>2494</v>
      </c>
      <c r="D435" s="799">
        <v>9404547</v>
      </c>
      <c r="E435" s="799" t="s">
        <v>2615</v>
      </c>
      <c r="F435" s="799">
        <v>131204320</v>
      </c>
      <c r="G435" s="799" t="s">
        <v>2618</v>
      </c>
      <c r="H435" s="1747" t="s">
        <v>2619</v>
      </c>
      <c r="I435" s="799" t="s">
        <v>6867</v>
      </c>
      <c r="J435" s="799">
        <v>0</v>
      </c>
      <c r="K435" s="800">
        <v>31767.24</v>
      </c>
      <c r="L435" s="800">
        <v>31767.24</v>
      </c>
      <c r="M435" s="800">
        <v>0</v>
      </c>
      <c r="N435" s="799" t="s">
        <v>2292</v>
      </c>
      <c r="O435" s="799" t="s">
        <v>99</v>
      </c>
      <c r="P435" s="1747" t="s">
        <v>2501</v>
      </c>
    </row>
    <row r="436" spans="1:16" ht="10.5" customHeight="1">
      <c r="A436" s="799" t="s">
        <v>2339</v>
      </c>
      <c r="B436" s="799" t="s">
        <v>2340</v>
      </c>
      <c r="C436" s="799" t="s">
        <v>2494</v>
      </c>
      <c r="D436" s="799">
        <v>9404548</v>
      </c>
      <c r="E436" s="799" t="s">
        <v>2615</v>
      </c>
      <c r="F436" s="799">
        <v>131204320</v>
      </c>
      <c r="G436" s="799" t="s">
        <v>2618</v>
      </c>
      <c r="H436" s="1747" t="s">
        <v>2619</v>
      </c>
      <c r="I436" s="799" t="s">
        <v>6867</v>
      </c>
      <c r="J436" s="799">
        <v>0</v>
      </c>
      <c r="K436" s="800">
        <v>593121.4</v>
      </c>
      <c r="L436" s="800">
        <v>593121.4</v>
      </c>
      <c r="M436" s="800">
        <v>0</v>
      </c>
      <c r="N436" s="799" t="s">
        <v>2292</v>
      </c>
      <c r="O436" s="799" t="s">
        <v>99</v>
      </c>
      <c r="P436" s="1747" t="s">
        <v>2501</v>
      </c>
    </row>
    <row r="437" spans="1:16" ht="10.5" customHeight="1">
      <c r="A437" s="799" t="s">
        <v>2339</v>
      </c>
      <c r="B437" s="799" t="s">
        <v>2340</v>
      </c>
      <c r="C437" s="799" t="s">
        <v>2494</v>
      </c>
      <c r="D437" s="799">
        <v>9404549</v>
      </c>
      <c r="E437" s="799" t="s">
        <v>2615</v>
      </c>
      <c r="F437" s="799">
        <v>131204320</v>
      </c>
      <c r="G437" s="799" t="s">
        <v>2618</v>
      </c>
      <c r="H437" s="1747" t="s">
        <v>2619</v>
      </c>
      <c r="I437" s="799" t="s">
        <v>6867</v>
      </c>
      <c r="J437" s="799">
        <v>0</v>
      </c>
      <c r="K437" s="800">
        <v>156709.94</v>
      </c>
      <c r="L437" s="800">
        <v>156709.94</v>
      </c>
      <c r="M437" s="800">
        <v>0</v>
      </c>
      <c r="N437" s="799" t="s">
        <v>2292</v>
      </c>
      <c r="O437" s="799" t="s">
        <v>99</v>
      </c>
      <c r="P437" s="1747" t="s">
        <v>2501</v>
      </c>
    </row>
    <row r="438" spans="1:16" ht="10.5" customHeight="1">
      <c r="A438" s="799" t="s">
        <v>2339</v>
      </c>
      <c r="B438" s="799" t="s">
        <v>2340</v>
      </c>
      <c r="C438" s="799" t="s">
        <v>2494</v>
      </c>
      <c r="D438" s="799">
        <v>9404550</v>
      </c>
      <c r="E438" s="799" t="s">
        <v>2615</v>
      </c>
      <c r="F438" s="799">
        <v>131204320</v>
      </c>
      <c r="G438" s="799" t="s">
        <v>2618</v>
      </c>
      <c r="H438" s="1747" t="s">
        <v>2619</v>
      </c>
      <c r="I438" s="799" t="s">
        <v>6867</v>
      </c>
      <c r="J438" s="799">
        <v>0</v>
      </c>
      <c r="K438" s="800">
        <v>224017.32</v>
      </c>
      <c r="L438" s="800">
        <v>224017.32</v>
      </c>
      <c r="M438" s="800">
        <v>0</v>
      </c>
      <c r="N438" s="799" t="s">
        <v>2292</v>
      </c>
      <c r="O438" s="799" t="s">
        <v>99</v>
      </c>
      <c r="P438" s="1747" t="s">
        <v>2501</v>
      </c>
    </row>
    <row r="439" spans="1:16" ht="10.5" customHeight="1">
      <c r="A439" s="799" t="s">
        <v>2339</v>
      </c>
      <c r="B439" s="799" t="s">
        <v>2340</v>
      </c>
      <c r="C439" s="799" t="s">
        <v>2494</v>
      </c>
      <c r="D439" s="799">
        <v>9404551</v>
      </c>
      <c r="E439" s="799" t="s">
        <v>2615</v>
      </c>
      <c r="F439" s="799">
        <v>131204320</v>
      </c>
      <c r="G439" s="799" t="s">
        <v>2618</v>
      </c>
      <c r="H439" s="1747" t="s">
        <v>2619</v>
      </c>
      <c r="I439" s="799" t="s">
        <v>6867</v>
      </c>
      <c r="J439" s="799">
        <v>0</v>
      </c>
      <c r="K439" s="800">
        <v>418606.55</v>
      </c>
      <c r="L439" s="800">
        <v>418606.55</v>
      </c>
      <c r="M439" s="800">
        <v>0</v>
      </c>
      <c r="N439" s="799" t="s">
        <v>2292</v>
      </c>
      <c r="O439" s="799" t="s">
        <v>99</v>
      </c>
      <c r="P439" s="1747" t="s">
        <v>2501</v>
      </c>
    </row>
    <row r="440" spans="1:16" ht="10.5" customHeight="1">
      <c r="A440" s="799" t="s">
        <v>2339</v>
      </c>
      <c r="B440" s="799" t="s">
        <v>2340</v>
      </c>
      <c r="C440" s="799" t="s">
        <v>2494</v>
      </c>
      <c r="D440" s="799">
        <v>9404552</v>
      </c>
      <c r="E440" s="799" t="s">
        <v>2615</v>
      </c>
      <c r="F440" s="799">
        <v>131204320</v>
      </c>
      <c r="G440" s="799" t="s">
        <v>2618</v>
      </c>
      <c r="H440" s="1747" t="s">
        <v>2619</v>
      </c>
      <c r="I440" s="799" t="s">
        <v>6867</v>
      </c>
      <c r="J440" s="799">
        <v>0</v>
      </c>
      <c r="K440" s="800">
        <v>41665.26</v>
      </c>
      <c r="L440" s="800">
        <v>41665.26</v>
      </c>
      <c r="M440" s="800">
        <v>0</v>
      </c>
      <c r="N440" s="799" t="s">
        <v>2292</v>
      </c>
      <c r="O440" s="799" t="s">
        <v>99</v>
      </c>
      <c r="P440" s="1747" t="s">
        <v>2501</v>
      </c>
    </row>
    <row r="441" spans="1:16" ht="10.5" customHeight="1">
      <c r="A441" s="799" t="s">
        <v>2339</v>
      </c>
      <c r="B441" s="799" t="s">
        <v>2340</v>
      </c>
      <c r="C441" s="799" t="s">
        <v>2494</v>
      </c>
      <c r="D441" s="799">
        <v>9404554</v>
      </c>
      <c r="E441" s="799" t="s">
        <v>2615</v>
      </c>
      <c r="F441" s="799">
        <v>131203703</v>
      </c>
      <c r="G441" s="799" t="s">
        <v>2616</v>
      </c>
      <c r="H441" s="1747" t="s">
        <v>2617</v>
      </c>
      <c r="I441" s="799" t="s">
        <v>6867</v>
      </c>
      <c r="J441" s="799">
        <v>0</v>
      </c>
      <c r="K441" s="800">
        <v>27579.62</v>
      </c>
      <c r="L441" s="800">
        <v>27579.62</v>
      </c>
      <c r="M441" s="800">
        <v>0</v>
      </c>
      <c r="N441" s="799" t="s">
        <v>2292</v>
      </c>
      <c r="O441" s="799" t="s">
        <v>99</v>
      </c>
      <c r="P441" s="1747" t="s">
        <v>2501</v>
      </c>
    </row>
    <row r="442" spans="1:16" ht="10.5" customHeight="1">
      <c r="A442" s="799" t="s">
        <v>2339</v>
      </c>
      <c r="B442" s="799" t="s">
        <v>2340</v>
      </c>
      <c r="C442" s="799" t="s">
        <v>2494</v>
      </c>
      <c r="D442" s="799">
        <v>9404555</v>
      </c>
      <c r="E442" s="799" t="s">
        <v>2615</v>
      </c>
      <c r="F442" s="799">
        <v>131203703</v>
      </c>
      <c r="G442" s="799" t="s">
        <v>2616</v>
      </c>
      <c r="H442" s="1747" t="s">
        <v>2617</v>
      </c>
      <c r="I442" s="799" t="s">
        <v>6867</v>
      </c>
      <c r="J442" s="799">
        <v>0</v>
      </c>
      <c r="K442" s="800">
        <v>24841.7</v>
      </c>
      <c r="L442" s="800">
        <v>24841.7</v>
      </c>
      <c r="M442" s="800">
        <v>0</v>
      </c>
      <c r="N442" s="799" t="s">
        <v>2292</v>
      </c>
      <c r="O442" s="799" t="s">
        <v>99</v>
      </c>
      <c r="P442" s="1747" t="s">
        <v>2501</v>
      </c>
    </row>
    <row r="443" spans="1:16" ht="10.5" customHeight="1">
      <c r="A443" s="799" t="s">
        <v>2339</v>
      </c>
      <c r="B443" s="799" t="s">
        <v>2340</v>
      </c>
      <c r="C443" s="799" t="s">
        <v>2494</v>
      </c>
      <c r="D443" s="799">
        <v>9404556</v>
      </c>
      <c r="E443" s="799" t="s">
        <v>2615</v>
      </c>
      <c r="F443" s="799">
        <v>131203703</v>
      </c>
      <c r="G443" s="799" t="s">
        <v>2616</v>
      </c>
      <c r="H443" s="1747" t="s">
        <v>2617</v>
      </c>
      <c r="I443" s="799" t="s">
        <v>6867</v>
      </c>
      <c r="J443" s="799">
        <v>0</v>
      </c>
      <c r="K443" s="800">
        <v>1495051.7</v>
      </c>
      <c r="L443" s="800">
        <v>1495051.7</v>
      </c>
      <c r="M443" s="800">
        <v>0</v>
      </c>
      <c r="N443" s="799" t="s">
        <v>2292</v>
      </c>
      <c r="O443" s="799" t="s">
        <v>99</v>
      </c>
      <c r="P443" s="1747" t="s">
        <v>2501</v>
      </c>
    </row>
    <row r="444" spans="1:16" ht="10.5" customHeight="1">
      <c r="A444" s="799" t="s">
        <v>2339</v>
      </c>
      <c r="B444" s="799" t="s">
        <v>2340</v>
      </c>
      <c r="C444" s="799" t="s">
        <v>2494</v>
      </c>
      <c r="D444" s="799">
        <v>9404557</v>
      </c>
      <c r="E444" s="799" t="s">
        <v>2615</v>
      </c>
      <c r="F444" s="799">
        <v>131203703</v>
      </c>
      <c r="G444" s="799" t="s">
        <v>2616</v>
      </c>
      <c r="H444" s="1747" t="s">
        <v>2617</v>
      </c>
      <c r="I444" s="799" t="s">
        <v>6867</v>
      </c>
      <c r="J444" s="799">
        <v>0</v>
      </c>
      <c r="K444" s="800">
        <v>164208.35</v>
      </c>
      <c r="L444" s="800">
        <v>164208.35</v>
      </c>
      <c r="M444" s="800">
        <v>0</v>
      </c>
      <c r="N444" s="799" t="s">
        <v>2292</v>
      </c>
      <c r="O444" s="799" t="s">
        <v>99</v>
      </c>
      <c r="P444" s="1747" t="s">
        <v>2501</v>
      </c>
    </row>
    <row r="445" spans="1:16" ht="10.5" customHeight="1">
      <c r="A445" s="799" t="s">
        <v>2339</v>
      </c>
      <c r="B445" s="799" t="s">
        <v>2340</v>
      </c>
      <c r="C445" s="799" t="s">
        <v>2494</v>
      </c>
      <c r="D445" s="799">
        <v>9404558</v>
      </c>
      <c r="E445" s="799" t="s">
        <v>2615</v>
      </c>
      <c r="F445" s="799">
        <v>131203703</v>
      </c>
      <c r="G445" s="799" t="s">
        <v>2616</v>
      </c>
      <c r="H445" s="1747" t="s">
        <v>2617</v>
      </c>
      <c r="I445" s="799" t="s">
        <v>6867</v>
      </c>
      <c r="J445" s="799">
        <v>0</v>
      </c>
      <c r="K445" s="800">
        <v>65511.43</v>
      </c>
      <c r="L445" s="800">
        <v>65511.43</v>
      </c>
      <c r="M445" s="800">
        <v>0</v>
      </c>
      <c r="N445" s="799" t="s">
        <v>2292</v>
      </c>
      <c r="O445" s="799" t="s">
        <v>99</v>
      </c>
      <c r="P445" s="1747" t="s">
        <v>2501</v>
      </c>
    </row>
    <row r="446" spans="1:16" ht="10.5" customHeight="1">
      <c r="A446" s="799" t="s">
        <v>2339</v>
      </c>
      <c r="B446" s="799" t="s">
        <v>2340</v>
      </c>
      <c r="C446" s="799" t="s">
        <v>2494</v>
      </c>
      <c r="D446" s="799">
        <v>9404559</v>
      </c>
      <c r="E446" s="799" t="s">
        <v>2615</v>
      </c>
      <c r="F446" s="799">
        <v>131203703</v>
      </c>
      <c r="G446" s="799" t="s">
        <v>2616</v>
      </c>
      <c r="H446" s="1747" t="s">
        <v>2617</v>
      </c>
      <c r="I446" s="799" t="s">
        <v>6867</v>
      </c>
      <c r="J446" s="799">
        <v>0</v>
      </c>
      <c r="K446" s="800">
        <v>4499.5600000000004</v>
      </c>
      <c r="L446" s="800">
        <v>4499.5600000000004</v>
      </c>
      <c r="M446" s="800">
        <v>0</v>
      </c>
      <c r="N446" s="799" t="s">
        <v>2292</v>
      </c>
      <c r="O446" s="799" t="s">
        <v>99</v>
      </c>
      <c r="P446" s="1747" t="s">
        <v>2501</v>
      </c>
    </row>
    <row r="447" spans="1:16" ht="10.5" customHeight="1">
      <c r="A447" s="799" t="s">
        <v>2339</v>
      </c>
      <c r="B447" s="799" t="s">
        <v>2340</v>
      </c>
      <c r="C447" s="799" t="s">
        <v>2494</v>
      </c>
      <c r="D447" s="799">
        <v>9404560</v>
      </c>
      <c r="E447" s="799" t="s">
        <v>2615</v>
      </c>
      <c r="F447" s="799">
        <v>131203703</v>
      </c>
      <c r="G447" s="799" t="s">
        <v>2616</v>
      </c>
      <c r="H447" s="1747" t="s">
        <v>2617</v>
      </c>
      <c r="I447" s="799" t="s">
        <v>6867</v>
      </c>
      <c r="J447" s="799">
        <v>0</v>
      </c>
      <c r="K447" s="800">
        <v>38316.42</v>
      </c>
      <c r="L447" s="800">
        <v>38316.42</v>
      </c>
      <c r="M447" s="800">
        <v>0</v>
      </c>
      <c r="N447" s="799" t="s">
        <v>2292</v>
      </c>
      <c r="O447" s="799" t="s">
        <v>99</v>
      </c>
      <c r="P447" s="1747" t="s">
        <v>2501</v>
      </c>
    </row>
    <row r="448" spans="1:16" ht="10.5" customHeight="1">
      <c r="A448" s="799" t="s">
        <v>2339</v>
      </c>
      <c r="B448" s="799" t="s">
        <v>2340</v>
      </c>
      <c r="C448" s="799" t="s">
        <v>2494</v>
      </c>
      <c r="D448" s="799">
        <v>9404561</v>
      </c>
      <c r="E448" s="799" t="s">
        <v>2615</v>
      </c>
      <c r="F448" s="799">
        <v>131203703</v>
      </c>
      <c r="G448" s="799" t="s">
        <v>2616</v>
      </c>
      <c r="H448" s="1747" t="s">
        <v>2617</v>
      </c>
      <c r="I448" s="799" t="s">
        <v>6867</v>
      </c>
      <c r="J448" s="799">
        <v>0</v>
      </c>
      <c r="K448" s="800">
        <v>618804.31000000006</v>
      </c>
      <c r="L448" s="800">
        <v>618804.31000000006</v>
      </c>
      <c r="M448" s="800">
        <v>0</v>
      </c>
      <c r="N448" s="799" t="s">
        <v>2292</v>
      </c>
      <c r="O448" s="799" t="s">
        <v>99</v>
      </c>
      <c r="P448" s="1747" t="s">
        <v>2501</v>
      </c>
    </row>
    <row r="449" spans="1:16" ht="10.5" customHeight="1">
      <c r="A449" s="799" t="s">
        <v>2339</v>
      </c>
      <c r="B449" s="799" t="s">
        <v>2340</v>
      </c>
      <c r="C449" s="799" t="s">
        <v>2494</v>
      </c>
      <c r="D449" s="799">
        <v>9404562</v>
      </c>
      <c r="E449" s="799" t="s">
        <v>2615</v>
      </c>
      <c r="F449" s="799">
        <v>131203703</v>
      </c>
      <c r="G449" s="799" t="s">
        <v>2616</v>
      </c>
      <c r="H449" s="1747" t="s">
        <v>2617</v>
      </c>
      <c r="I449" s="799" t="s">
        <v>6867</v>
      </c>
      <c r="J449" s="799">
        <v>0</v>
      </c>
      <c r="K449" s="800">
        <v>163495.66</v>
      </c>
      <c r="L449" s="800">
        <v>163495.66</v>
      </c>
      <c r="M449" s="800">
        <v>0</v>
      </c>
      <c r="N449" s="799" t="s">
        <v>2292</v>
      </c>
      <c r="O449" s="799" t="s">
        <v>99</v>
      </c>
      <c r="P449" s="1747" t="s">
        <v>2501</v>
      </c>
    </row>
    <row r="450" spans="1:16" ht="10.5" customHeight="1">
      <c r="A450" s="799" t="s">
        <v>2339</v>
      </c>
      <c r="B450" s="799" t="s">
        <v>2340</v>
      </c>
      <c r="C450" s="799" t="s">
        <v>2494</v>
      </c>
      <c r="D450" s="799">
        <v>9404563</v>
      </c>
      <c r="E450" s="799" t="s">
        <v>2615</v>
      </c>
      <c r="F450" s="799">
        <v>131203703</v>
      </c>
      <c r="G450" s="799" t="s">
        <v>2616</v>
      </c>
      <c r="H450" s="1747" t="s">
        <v>2617</v>
      </c>
      <c r="I450" s="799" t="s">
        <v>6867</v>
      </c>
      <c r="J450" s="799">
        <v>0</v>
      </c>
      <c r="K450" s="800">
        <v>233717.55000000002</v>
      </c>
      <c r="L450" s="800">
        <v>233717.55000000002</v>
      </c>
      <c r="M450" s="800">
        <v>0</v>
      </c>
      <c r="N450" s="799" t="s">
        <v>2292</v>
      </c>
      <c r="O450" s="799" t="s">
        <v>99</v>
      </c>
      <c r="P450" s="1747" t="s">
        <v>2501</v>
      </c>
    </row>
    <row r="451" spans="1:16" ht="10.5" customHeight="1">
      <c r="A451" s="799" t="s">
        <v>2339</v>
      </c>
      <c r="B451" s="799" t="s">
        <v>2340</v>
      </c>
      <c r="C451" s="799" t="s">
        <v>2494</v>
      </c>
      <c r="D451" s="799">
        <v>9404564</v>
      </c>
      <c r="E451" s="799" t="s">
        <v>2615</v>
      </c>
      <c r="F451" s="799">
        <v>131203703</v>
      </c>
      <c r="G451" s="799" t="s">
        <v>2616</v>
      </c>
      <c r="H451" s="1747" t="s">
        <v>2617</v>
      </c>
      <c r="I451" s="799" t="s">
        <v>6867</v>
      </c>
      <c r="J451" s="799">
        <v>0</v>
      </c>
      <c r="K451" s="800">
        <v>436732.82</v>
      </c>
      <c r="L451" s="800">
        <v>436732.82</v>
      </c>
      <c r="M451" s="800">
        <v>0</v>
      </c>
      <c r="N451" s="799" t="s">
        <v>2292</v>
      </c>
      <c r="O451" s="799" t="s">
        <v>99</v>
      </c>
      <c r="P451" s="1747" t="s">
        <v>2501</v>
      </c>
    </row>
    <row r="452" spans="1:16" ht="10.5" customHeight="1">
      <c r="A452" s="799" t="s">
        <v>2339</v>
      </c>
      <c r="B452" s="799" t="s">
        <v>2340</v>
      </c>
      <c r="C452" s="799" t="s">
        <v>2494</v>
      </c>
      <c r="D452" s="799">
        <v>9404565</v>
      </c>
      <c r="E452" s="799" t="s">
        <v>2615</v>
      </c>
      <c r="F452" s="799">
        <v>131203703</v>
      </c>
      <c r="G452" s="799" t="s">
        <v>2616</v>
      </c>
      <c r="H452" s="1747" t="s">
        <v>2617</v>
      </c>
      <c r="I452" s="799" t="s">
        <v>6867</v>
      </c>
      <c r="J452" s="799">
        <v>0</v>
      </c>
      <c r="K452" s="800">
        <v>38295.74</v>
      </c>
      <c r="L452" s="800">
        <v>38295.74</v>
      </c>
      <c r="M452" s="800">
        <v>0</v>
      </c>
      <c r="N452" s="799" t="s">
        <v>2292</v>
      </c>
      <c r="O452" s="799" t="s">
        <v>99</v>
      </c>
      <c r="P452" s="1747" t="s">
        <v>2501</v>
      </c>
    </row>
    <row r="453" spans="1:16" ht="10.5" customHeight="1">
      <c r="A453" s="799" t="s">
        <v>2339</v>
      </c>
      <c r="B453" s="799" t="s">
        <v>2340</v>
      </c>
      <c r="C453" s="799" t="s">
        <v>2494</v>
      </c>
      <c r="D453" s="799">
        <v>11853781</v>
      </c>
      <c r="E453" s="799" t="s">
        <v>2615</v>
      </c>
      <c r="F453" s="799">
        <v>131204882</v>
      </c>
      <c r="G453" s="799" t="s">
        <v>2620</v>
      </c>
      <c r="H453" s="1747" t="s">
        <v>2620</v>
      </c>
      <c r="I453" s="799" t="s">
        <v>6867</v>
      </c>
      <c r="J453" s="799">
        <v>1</v>
      </c>
      <c r="K453" s="800">
        <v>6139.52</v>
      </c>
      <c r="L453" s="800">
        <v>6139.52</v>
      </c>
      <c r="M453" s="800">
        <v>0</v>
      </c>
      <c r="N453" s="799" t="s">
        <v>2292</v>
      </c>
      <c r="O453" s="799" t="s">
        <v>99</v>
      </c>
      <c r="P453" s="1747" t="s">
        <v>2501</v>
      </c>
    </row>
    <row r="454" spans="1:16" ht="10.5" customHeight="1">
      <c r="A454" s="799" t="s">
        <v>2339</v>
      </c>
      <c r="B454" s="799" t="s">
        <v>2340</v>
      </c>
      <c r="C454" s="799" t="s">
        <v>2497</v>
      </c>
      <c r="D454" s="799">
        <v>11853806</v>
      </c>
      <c r="E454" s="799" t="s">
        <v>2636</v>
      </c>
      <c r="F454" s="799">
        <v>143000360</v>
      </c>
      <c r="G454" s="799" t="s">
        <v>2641</v>
      </c>
      <c r="H454" s="1747" t="s">
        <v>2642</v>
      </c>
      <c r="I454" s="799" t="s">
        <v>6867</v>
      </c>
      <c r="J454" s="799">
        <v>1</v>
      </c>
      <c r="K454" s="800">
        <v>712740.67</v>
      </c>
      <c r="L454" s="800">
        <v>712740.67</v>
      </c>
      <c r="M454" s="800">
        <v>0</v>
      </c>
      <c r="N454" s="799" t="s">
        <v>2292</v>
      </c>
      <c r="O454" s="799" t="s">
        <v>99</v>
      </c>
      <c r="P454" s="1747" t="s">
        <v>2501</v>
      </c>
    </row>
    <row r="455" spans="1:16" ht="10.5" customHeight="1">
      <c r="A455" s="799" t="s">
        <v>2339</v>
      </c>
      <c r="B455" s="799" t="s">
        <v>2340</v>
      </c>
      <c r="C455" s="799" t="s">
        <v>2647</v>
      </c>
      <c r="D455" s="799">
        <v>12233137</v>
      </c>
      <c r="E455" s="799" t="s">
        <v>2648</v>
      </c>
      <c r="F455" s="799">
        <v>143001040</v>
      </c>
      <c r="G455" s="799" t="s">
        <v>2660</v>
      </c>
      <c r="H455" s="1747" t="s">
        <v>2661</v>
      </c>
      <c r="I455" s="799" t="s">
        <v>6867</v>
      </c>
      <c r="J455" s="799">
        <v>1</v>
      </c>
      <c r="K455" s="800">
        <v>299284.33</v>
      </c>
      <c r="L455" s="800">
        <v>236204.76</v>
      </c>
      <c r="M455" s="800">
        <v>63079.57</v>
      </c>
      <c r="N455" s="799" t="s">
        <v>2292</v>
      </c>
      <c r="O455" s="799" t="s">
        <v>99</v>
      </c>
      <c r="P455" s="1747" t="s">
        <v>2501</v>
      </c>
    </row>
    <row r="456" spans="1:16" ht="10.5" customHeight="1">
      <c r="A456" s="799" t="s">
        <v>2339</v>
      </c>
      <c r="B456" s="799" t="s">
        <v>2340</v>
      </c>
      <c r="C456" s="799" t="s">
        <v>2647</v>
      </c>
      <c r="D456" s="799">
        <v>12233140</v>
      </c>
      <c r="E456" s="799" t="s">
        <v>2648</v>
      </c>
      <c r="F456" s="799">
        <v>143001041</v>
      </c>
      <c r="G456" s="799" t="s">
        <v>2662</v>
      </c>
      <c r="H456" s="1747" t="s">
        <v>2663</v>
      </c>
      <c r="I456" s="799" t="s">
        <v>6867</v>
      </c>
      <c r="J456" s="799">
        <v>0</v>
      </c>
      <c r="K456" s="800">
        <v>1890.45</v>
      </c>
      <c r="L456" s="800">
        <v>1492</v>
      </c>
      <c r="M456" s="800">
        <v>398.45</v>
      </c>
      <c r="N456" s="799" t="s">
        <v>2292</v>
      </c>
      <c r="O456" s="799" t="s">
        <v>99</v>
      </c>
      <c r="P456" s="1747" t="s">
        <v>2501</v>
      </c>
    </row>
    <row r="457" spans="1:16" ht="10.5" customHeight="1">
      <c r="A457" s="799" t="s">
        <v>2339</v>
      </c>
      <c r="B457" s="799" t="s">
        <v>2340</v>
      </c>
      <c r="C457" s="799" t="s">
        <v>2610</v>
      </c>
      <c r="D457" s="799">
        <v>16230523</v>
      </c>
      <c r="E457" s="799" t="s">
        <v>2611</v>
      </c>
      <c r="F457" s="799">
        <v>143001544</v>
      </c>
      <c r="G457" s="799" t="s">
        <v>2612</v>
      </c>
      <c r="H457" s="1747" t="s">
        <v>2612</v>
      </c>
      <c r="I457" s="799" t="s">
        <v>6867</v>
      </c>
      <c r="J457" s="799">
        <v>1</v>
      </c>
      <c r="K457" s="800">
        <v>248063.69</v>
      </c>
      <c r="L457" s="800">
        <v>248063.69</v>
      </c>
      <c r="M457" s="800">
        <v>0</v>
      </c>
      <c r="N457" s="799" t="s">
        <v>2292</v>
      </c>
      <c r="O457" s="799" t="s">
        <v>99</v>
      </c>
      <c r="P457" s="1747" t="s">
        <v>2501</v>
      </c>
    </row>
    <row r="458" spans="1:16" ht="10.5" customHeight="1">
      <c r="A458" s="799" t="s">
        <v>2339</v>
      </c>
      <c r="B458" s="799" t="s">
        <v>2340</v>
      </c>
      <c r="C458" s="799" t="s">
        <v>2647</v>
      </c>
      <c r="D458" s="799">
        <v>17563693</v>
      </c>
      <c r="E458" s="799" t="s">
        <v>2648</v>
      </c>
      <c r="F458" s="799">
        <v>143001061</v>
      </c>
      <c r="G458" s="799" t="s">
        <v>2664</v>
      </c>
      <c r="H458" s="1747" t="s">
        <v>2665</v>
      </c>
      <c r="I458" s="799" t="s">
        <v>6867</v>
      </c>
      <c r="J458" s="799">
        <v>0</v>
      </c>
      <c r="K458" s="800">
        <v>232145</v>
      </c>
      <c r="L458" s="800">
        <v>173914.43</v>
      </c>
      <c r="M458" s="800">
        <v>58230.57</v>
      </c>
      <c r="N458" s="799" t="s">
        <v>2292</v>
      </c>
      <c r="O458" s="799" t="s">
        <v>99</v>
      </c>
      <c r="P458" s="1747" t="s">
        <v>2501</v>
      </c>
    </row>
    <row r="459" spans="1:16" ht="10.5" customHeight="1">
      <c r="A459" s="799" t="s">
        <v>2339</v>
      </c>
      <c r="B459" s="799" t="s">
        <v>2340</v>
      </c>
      <c r="C459" s="799" t="s">
        <v>2647</v>
      </c>
      <c r="D459" s="799">
        <v>20821257</v>
      </c>
      <c r="E459" s="799" t="s">
        <v>2648</v>
      </c>
      <c r="F459" s="799">
        <v>143001543</v>
      </c>
      <c r="G459" s="799" t="s">
        <v>2666</v>
      </c>
      <c r="H459" s="1747" t="s">
        <v>2667</v>
      </c>
      <c r="I459" s="799" t="s">
        <v>6867</v>
      </c>
      <c r="J459" s="799">
        <v>0</v>
      </c>
      <c r="K459" s="800">
        <v>-5589.96</v>
      </c>
      <c r="L459" s="800">
        <v>-4307.55</v>
      </c>
      <c r="M459" s="800">
        <v>-1282.4100000000001</v>
      </c>
      <c r="N459" s="799" t="s">
        <v>2292</v>
      </c>
      <c r="O459" s="799" t="s">
        <v>99</v>
      </c>
      <c r="P459" s="1747" t="s">
        <v>2501</v>
      </c>
    </row>
    <row r="460" spans="1:16" ht="10.5" customHeight="1">
      <c r="A460" s="799" t="s">
        <v>2339</v>
      </c>
      <c r="B460" s="799" t="s">
        <v>2340</v>
      </c>
      <c r="C460" s="799" t="s">
        <v>2497</v>
      </c>
      <c r="D460" s="799">
        <v>22922684</v>
      </c>
      <c r="E460" s="799" t="s">
        <v>2636</v>
      </c>
      <c r="F460" s="799">
        <v>143001660</v>
      </c>
      <c r="G460" s="799" t="s">
        <v>2613</v>
      </c>
      <c r="H460" s="1747" t="s">
        <v>2614</v>
      </c>
      <c r="I460" s="799" t="s">
        <v>6867</v>
      </c>
      <c r="J460" s="799">
        <v>0</v>
      </c>
      <c r="K460" s="800">
        <v>930255.84</v>
      </c>
      <c r="L460" s="800">
        <v>930255.84</v>
      </c>
      <c r="M460" s="800">
        <v>0</v>
      </c>
      <c r="N460" s="799" t="s">
        <v>2292</v>
      </c>
      <c r="O460" s="799" t="s">
        <v>99</v>
      </c>
      <c r="P460" s="1747" t="s">
        <v>2501</v>
      </c>
    </row>
    <row r="461" spans="1:16" ht="10.5" customHeight="1">
      <c r="A461" s="799" t="s">
        <v>2339</v>
      </c>
      <c r="B461" s="799" t="s">
        <v>2340</v>
      </c>
      <c r="C461" s="799" t="s">
        <v>2610</v>
      </c>
      <c r="D461" s="799">
        <v>22922726</v>
      </c>
      <c r="E461" s="799" t="s">
        <v>2611</v>
      </c>
      <c r="F461" s="799">
        <v>143001660</v>
      </c>
      <c r="G461" s="799" t="s">
        <v>2613</v>
      </c>
      <c r="H461" s="1747" t="s">
        <v>2614</v>
      </c>
      <c r="I461" s="799" t="s">
        <v>6867</v>
      </c>
      <c r="J461" s="799">
        <v>0</v>
      </c>
      <c r="K461" s="800">
        <v>926619.01</v>
      </c>
      <c r="L461" s="800">
        <v>926619.01</v>
      </c>
      <c r="M461" s="800">
        <v>0</v>
      </c>
      <c r="N461" s="799" t="s">
        <v>2292</v>
      </c>
      <c r="O461" s="799" t="s">
        <v>99</v>
      </c>
      <c r="P461" s="1747" t="s">
        <v>2501</v>
      </c>
    </row>
    <row r="462" spans="1:16" ht="10.5" customHeight="1">
      <c r="A462" s="799" t="s">
        <v>2339</v>
      </c>
      <c r="B462" s="799" t="s">
        <v>2340</v>
      </c>
      <c r="C462" s="799" t="s">
        <v>2497</v>
      </c>
      <c r="D462" s="799">
        <v>24726034</v>
      </c>
      <c r="E462" s="799" t="s">
        <v>2636</v>
      </c>
      <c r="F462" s="799">
        <v>143002168</v>
      </c>
      <c r="G462" s="799" t="s">
        <v>2643</v>
      </c>
      <c r="H462" s="1747" t="s">
        <v>2644</v>
      </c>
      <c r="I462" s="799" t="s">
        <v>6867</v>
      </c>
      <c r="J462" s="799">
        <v>1</v>
      </c>
      <c r="K462" s="800">
        <v>13278.67</v>
      </c>
      <c r="L462" s="800">
        <v>13278.67</v>
      </c>
      <c r="M462" s="800">
        <v>0</v>
      </c>
      <c r="N462" s="799" t="s">
        <v>2292</v>
      </c>
      <c r="O462" s="799" t="s">
        <v>99</v>
      </c>
      <c r="P462" s="1747" t="s">
        <v>2501</v>
      </c>
    </row>
    <row r="463" spans="1:16" ht="10.5" customHeight="1">
      <c r="A463" s="799" t="s">
        <v>2339</v>
      </c>
      <c r="B463" s="799" t="s">
        <v>2340</v>
      </c>
      <c r="C463" s="799" t="s">
        <v>2627</v>
      </c>
      <c r="D463" s="799">
        <v>25098597</v>
      </c>
      <c r="E463" s="799" t="s">
        <v>2628</v>
      </c>
      <c r="F463" s="799">
        <v>143002366</v>
      </c>
      <c r="G463" s="799" t="s">
        <v>2629</v>
      </c>
      <c r="H463" s="1747" t="s">
        <v>2630</v>
      </c>
      <c r="I463" s="799" t="s">
        <v>6867</v>
      </c>
      <c r="J463" s="799">
        <v>1</v>
      </c>
      <c r="K463" s="800">
        <v>38904.090000000004</v>
      </c>
      <c r="L463" s="800">
        <v>38904.090000000004</v>
      </c>
      <c r="M463" s="800">
        <v>0</v>
      </c>
      <c r="N463" s="799" t="s">
        <v>2292</v>
      </c>
      <c r="O463" s="799" t="s">
        <v>99</v>
      </c>
      <c r="P463" s="1747" t="s">
        <v>2501</v>
      </c>
    </row>
    <row r="464" spans="1:16" ht="10.5" customHeight="1">
      <c r="A464" s="799" t="s">
        <v>2339</v>
      </c>
      <c r="B464" s="799" t="s">
        <v>2340</v>
      </c>
      <c r="C464" s="799" t="s">
        <v>2627</v>
      </c>
      <c r="D464" s="799">
        <v>25098602</v>
      </c>
      <c r="E464" s="799" t="s">
        <v>2628</v>
      </c>
      <c r="F464" s="799">
        <v>143002366</v>
      </c>
      <c r="G464" s="799" t="s">
        <v>2629</v>
      </c>
      <c r="H464" s="1747" t="s">
        <v>2630</v>
      </c>
      <c r="I464" s="799" t="s">
        <v>6867</v>
      </c>
      <c r="J464" s="799">
        <v>1</v>
      </c>
      <c r="K464" s="800">
        <v>73967.25</v>
      </c>
      <c r="L464" s="800">
        <v>73967.25</v>
      </c>
      <c r="M464" s="800">
        <v>0</v>
      </c>
      <c r="N464" s="799" t="s">
        <v>2292</v>
      </c>
      <c r="O464" s="799" t="s">
        <v>99</v>
      </c>
      <c r="P464" s="1747" t="s">
        <v>2501</v>
      </c>
    </row>
    <row r="465" spans="1:16" ht="10.5" customHeight="1">
      <c r="A465" s="799" t="s">
        <v>2339</v>
      </c>
      <c r="B465" s="799" t="s">
        <v>2340</v>
      </c>
      <c r="C465" s="799" t="s">
        <v>2494</v>
      </c>
      <c r="D465" s="799">
        <v>25928415</v>
      </c>
      <c r="E465" s="799" t="s">
        <v>2615</v>
      </c>
      <c r="F465" s="799">
        <v>143002319</v>
      </c>
      <c r="G465" s="799" t="s">
        <v>2621</v>
      </c>
      <c r="H465" s="1747" t="s">
        <v>2622</v>
      </c>
      <c r="I465" s="799" t="s">
        <v>6867</v>
      </c>
      <c r="J465" s="799">
        <v>1</v>
      </c>
      <c r="K465" s="800">
        <v>526508.94000000006</v>
      </c>
      <c r="L465" s="800">
        <v>526508.94000000006</v>
      </c>
      <c r="M465" s="800">
        <v>0</v>
      </c>
      <c r="N465" s="799" t="s">
        <v>2292</v>
      </c>
      <c r="O465" s="799" t="s">
        <v>99</v>
      </c>
      <c r="P465" s="1747" t="s">
        <v>2501</v>
      </c>
    </row>
    <row r="466" spans="1:16" ht="10.5" customHeight="1">
      <c r="A466" s="799" t="s">
        <v>2339</v>
      </c>
      <c r="B466" s="799" t="s">
        <v>2340</v>
      </c>
      <c r="C466" s="799" t="s">
        <v>2647</v>
      </c>
      <c r="D466" s="799">
        <v>25942234</v>
      </c>
      <c r="E466" s="799" t="s">
        <v>2648</v>
      </c>
      <c r="F466" s="799">
        <v>143002151</v>
      </c>
      <c r="G466" s="799" t="s">
        <v>2668</v>
      </c>
      <c r="H466" s="1747" t="s">
        <v>2669</v>
      </c>
      <c r="I466" s="799" t="s">
        <v>6867</v>
      </c>
      <c r="J466" s="799">
        <v>1</v>
      </c>
      <c r="K466" s="800">
        <v>46983.15</v>
      </c>
      <c r="L466" s="800">
        <v>32655.88</v>
      </c>
      <c r="M466" s="800">
        <v>14327.27</v>
      </c>
      <c r="N466" s="799" t="s">
        <v>2292</v>
      </c>
      <c r="O466" s="799" t="s">
        <v>99</v>
      </c>
      <c r="P466" s="1747" t="s">
        <v>2501</v>
      </c>
    </row>
    <row r="467" spans="1:16" ht="10.5" customHeight="1">
      <c r="A467" s="799" t="s">
        <v>2339</v>
      </c>
      <c r="B467" s="799" t="s">
        <v>2340</v>
      </c>
      <c r="C467" s="799" t="s">
        <v>2647</v>
      </c>
      <c r="D467" s="799">
        <v>25942239</v>
      </c>
      <c r="E467" s="799" t="s">
        <v>2648</v>
      </c>
      <c r="F467" s="799">
        <v>143002151</v>
      </c>
      <c r="G467" s="799" t="s">
        <v>2668</v>
      </c>
      <c r="H467" s="1747" t="s">
        <v>2669</v>
      </c>
      <c r="I467" s="799" t="s">
        <v>6867</v>
      </c>
      <c r="J467" s="799">
        <v>1</v>
      </c>
      <c r="K467" s="800">
        <v>32442.74</v>
      </c>
      <c r="L467" s="800">
        <v>22549.49</v>
      </c>
      <c r="M467" s="800">
        <v>9893.25</v>
      </c>
      <c r="N467" s="799" t="s">
        <v>2292</v>
      </c>
      <c r="O467" s="799" t="s">
        <v>99</v>
      </c>
      <c r="P467" s="1747" t="s">
        <v>2501</v>
      </c>
    </row>
    <row r="468" spans="1:16" ht="10.5" customHeight="1">
      <c r="A468" s="799" t="s">
        <v>2339</v>
      </c>
      <c r="B468" s="799" t="s">
        <v>2340</v>
      </c>
      <c r="C468" s="799" t="s">
        <v>2647</v>
      </c>
      <c r="D468" s="799">
        <v>25942242</v>
      </c>
      <c r="E468" s="799" t="s">
        <v>2648</v>
      </c>
      <c r="F468" s="799">
        <v>143002151</v>
      </c>
      <c r="G468" s="799" t="s">
        <v>2668</v>
      </c>
      <c r="H468" s="1747" t="s">
        <v>2669</v>
      </c>
      <c r="I468" s="799" t="s">
        <v>6867</v>
      </c>
      <c r="J468" s="799">
        <v>1</v>
      </c>
      <c r="K468" s="800">
        <v>4622.66</v>
      </c>
      <c r="L468" s="800">
        <v>3213</v>
      </c>
      <c r="M468" s="800">
        <v>1409.66</v>
      </c>
      <c r="N468" s="799" t="s">
        <v>2292</v>
      </c>
      <c r="O468" s="799" t="s">
        <v>99</v>
      </c>
      <c r="P468" s="1747" t="s">
        <v>2501</v>
      </c>
    </row>
    <row r="469" spans="1:16" ht="10.5" customHeight="1">
      <c r="A469" s="799" t="s">
        <v>2339</v>
      </c>
      <c r="B469" s="799" t="s">
        <v>2340</v>
      </c>
      <c r="C469" s="799" t="s">
        <v>2497</v>
      </c>
      <c r="D469" s="799">
        <v>28368905</v>
      </c>
      <c r="E469" s="799" t="s">
        <v>2636</v>
      </c>
      <c r="F469" s="799">
        <v>143002680</v>
      </c>
      <c r="G469" s="799" t="s">
        <v>2645</v>
      </c>
      <c r="H469" s="1747" t="s">
        <v>2646</v>
      </c>
      <c r="I469" s="799" t="s">
        <v>6867</v>
      </c>
      <c r="J469" s="799">
        <v>1</v>
      </c>
      <c r="K469" s="800">
        <v>11211.81</v>
      </c>
      <c r="L469" s="800">
        <v>11211.81</v>
      </c>
      <c r="M469" s="800">
        <v>0</v>
      </c>
      <c r="N469" s="799" t="s">
        <v>2292</v>
      </c>
      <c r="O469" s="799" t="s">
        <v>99</v>
      </c>
      <c r="P469" s="1747" t="s">
        <v>2501</v>
      </c>
    </row>
    <row r="470" spans="1:16" ht="10.5" customHeight="1">
      <c r="A470" s="799" t="s">
        <v>2339</v>
      </c>
      <c r="B470" s="799" t="s">
        <v>2340</v>
      </c>
      <c r="C470" s="799" t="s">
        <v>2631</v>
      </c>
      <c r="D470" s="799">
        <v>51295212</v>
      </c>
      <c r="E470" s="799" t="s">
        <v>2632</v>
      </c>
      <c r="F470" s="799">
        <v>143003500</v>
      </c>
      <c r="G470" s="799" t="s">
        <v>2633</v>
      </c>
      <c r="H470" s="1747" t="s">
        <v>2633</v>
      </c>
      <c r="I470" s="799" t="s">
        <v>6867</v>
      </c>
      <c r="J470" s="799">
        <v>1</v>
      </c>
      <c r="K470" s="800">
        <v>54456.37</v>
      </c>
      <c r="L470" s="800">
        <v>17386.04</v>
      </c>
      <c r="M470" s="800">
        <v>37070.33</v>
      </c>
      <c r="N470" s="799" t="s">
        <v>2292</v>
      </c>
      <c r="O470" s="799" t="s">
        <v>99</v>
      </c>
      <c r="P470" s="1747" t="s">
        <v>2501</v>
      </c>
    </row>
    <row r="471" spans="1:16" ht="10.5" customHeight="1">
      <c r="A471" s="799" t="s">
        <v>2339</v>
      </c>
      <c r="B471" s="799" t="s">
        <v>2340</v>
      </c>
      <c r="C471" s="799" t="s">
        <v>2631</v>
      </c>
      <c r="D471" s="799">
        <v>51295223</v>
      </c>
      <c r="E471" s="799" t="s">
        <v>2632</v>
      </c>
      <c r="F471" s="799">
        <v>143003500</v>
      </c>
      <c r="G471" s="799" t="s">
        <v>2633</v>
      </c>
      <c r="H471" s="1747" t="s">
        <v>2633</v>
      </c>
      <c r="I471" s="799" t="s">
        <v>6867</v>
      </c>
      <c r="J471" s="799">
        <v>1</v>
      </c>
      <c r="K471" s="800">
        <v>54456.37</v>
      </c>
      <c r="L471" s="800">
        <v>17386.04</v>
      </c>
      <c r="M471" s="800">
        <v>37070.33</v>
      </c>
      <c r="N471" s="799" t="s">
        <v>2292</v>
      </c>
      <c r="O471" s="799" t="s">
        <v>99</v>
      </c>
      <c r="P471" s="1747" t="s">
        <v>2501</v>
      </c>
    </row>
    <row r="472" spans="1:16" ht="10.5" customHeight="1">
      <c r="A472" s="799" t="s">
        <v>2339</v>
      </c>
      <c r="B472" s="799" t="s">
        <v>2340</v>
      </c>
      <c r="C472" s="799" t="s">
        <v>2631</v>
      </c>
      <c r="D472" s="799">
        <v>51295234</v>
      </c>
      <c r="E472" s="799" t="s">
        <v>2632</v>
      </c>
      <c r="F472" s="799">
        <v>143003500</v>
      </c>
      <c r="G472" s="799" t="s">
        <v>2633</v>
      </c>
      <c r="H472" s="1747" t="s">
        <v>2633</v>
      </c>
      <c r="I472" s="799" t="s">
        <v>6867</v>
      </c>
      <c r="J472" s="799">
        <v>1</v>
      </c>
      <c r="K472" s="800">
        <v>54456.37</v>
      </c>
      <c r="L472" s="800">
        <v>17386.04</v>
      </c>
      <c r="M472" s="800">
        <v>37070.33</v>
      </c>
      <c r="N472" s="799" t="s">
        <v>2292</v>
      </c>
      <c r="O472" s="799" t="s">
        <v>99</v>
      </c>
      <c r="P472" s="1747" t="s">
        <v>2501</v>
      </c>
    </row>
    <row r="473" spans="1:16" ht="10.5" customHeight="1">
      <c r="A473" s="799" t="s">
        <v>2339</v>
      </c>
      <c r="B473" s="799" t="s">
        <v>2340</v>
      </c>
      <c r="C473" s="799" t="s">
        <v>2631</v>
      </c>
      <c r="D473" s="799">
        <v>51295245</v>
      </c>
      <c r="E473" s="799" t="s">
        <v>2632</v>
      </c>
      <c r="F473" s="799">
        <v>143003500</v>
      </c>
      <c r="G473" s="799" t="s">
        <v>2633</v>
      </c>
      <c r="H473" s="1747" t="s">
        <v>2633</v>
      </c>
      <c r="I473" s="799" t="s">
        <v>6867</v>
      </c>
      <c r="J473" s="799">
        <v>1</v>
      </c>
      <c r="K473" s="800">
        <v>54456.37</v>
      </c>
      <c r="L473" s="800">
        <v>17386.04</v>
      </c>
      <c r="M473" s="800">
        <v>37070.33</v>
      </c>
      <c r="N473" s="799" t="s">
        <v>2292</v>
      </c>
      <c r="O473" s="799" t="s">
        <v>99</v>
      </c>
      <c r="P473" s="1747" t="s">
        <v>2501</v>
      </c>
    </row>
    <row r="474" spans="1:16" ht="10.5" customHeight="1">
      <c r="A474" s="799" t="s">
        <v>2339</v>
      </c>
      <c r="B474" s="799" t="s">
        <v>2340</v>
      </c>
      <c r="C474" s="799" t="s">
        <v>2631</v>
      </c>
      <c r="D474" s="799">
        <v>51295256</v>
      </c>
      <c r="E474" s="799" t="s">
        <v>2632</v>
      </c>
      <c r="F474" s="799">
        <v>143003500</v>
      </c>
      <c r="G474" s="799" t="s">
        <v>2633</v>
      </c>
      <c r="H474" s="1747" t="s">
        <v>2633</v>
      </c>
      <c r="I474" s="799" t="s">
        <v>6867</v>
      </c>
      <c r="J474" s="799">
        <v>1</v>
      </c>
      <c r="K474" s="800">
        <v>54456.37</v>
      </c>
      <c r="L474" s="800">
        <v>17386.04</v>
      </c>
      <c r="M474" s="800">
        <v>37070.33</v>
      </c>
      <c r="N474" s="799" t="s">
        <v>2292</v>
      </c>
      <c r="O474" s="799" t="s">
        <v>99</v>
      </c>
      <c r="P474" s="1747" t="s">
        <v>2501</v>
      </c>
    </row>
    <row r="475" spans="1:16" ht="10.5" customHeight="1">
      <c r="A475" s="799" t="s">
        <v>2339</v>
      </c>
      <c r="B475" s="799" t="s">
        <v>2340</v>
      </c>
      <c r="C475" s="799" t="s">
        <v>2631</v>
      </c>
      <c r="D475" s="799">
        <v>51295267</v>
      </c>
      <c r="E475" s="799" t="s">
        <v>2632</v>
      </c>
      <c r="F475" s="799">
        <v>143003500</v>
      </c>
      <c r="G475" s="799" t="s">
        <v>2633</v>
      </c>
      <c r="H475" s="1747" t="s">
        <v>2633</v>
      </c>
      <c r="I475" s="799" t="s">
        <v>6867</v>
      </c>
      <c r="J475" s="799">
        <v>5</v>
      </c>
      <c r="K475" s="800">
        <v>271873.59999999998</v>
      </c>
      <c r="L475" s="800">
        <v>86799.87</v>
      </c>
      <c r="M475" s="800">
        <v>185073.73</v>
      </c>
      <c r="N475" s="799" t="s">
        <v>2292</v>
      </c>
      <c r="O475" s="799" t="s">
        <v>99</v>
      </c>
      <c r="P475" s="1747" t="s">
        <v>2501</v>
      </c>
    </row>
    <row r="476" spans="1:16" ht="10.5" customHeight="1">
      <c r="A476" s="799" t="s">
        <v>2339</v>
      </c>
      <c r="B476" s="799" t="s">
        <v>2340</v>
      </c>
      <c r="C476" s="799" t="s">
        <v>2631</v>
      </c>
      <c r="D476" s="799">
        <v>51295276</v>
      </c>
      <c r="E476" s="799" t="s">
        <v>2632</v>
      </c>
      <c r="F476" s="799">
        <v>143003500</v>
      </c>
      <c r="G476" s="799" t="s">
        <v>2633</v>
      </c>
      <c r="H476" s="1747" t="s">
        <v>2633</v>
      </c>
      <c r="I476" s="799" t="s">
        <v>6867</v>
      </c>
      <c r="J476" s="799">
        <v>1</v>
      </c>
      <c r="K476" s="800">
        <v>54456.37</v>
      </c>
      <c r="L476" s="800">
        <v>17386.04</v>
      </c>
      <c r="M476" s="800">
        <v>37070.33</v>
      </c>
      <c r="N476" s="799" t="s">
        <v>2292</v>
      </c>
      <c r="O476" s="799" t="s">
        <v>99</v>
      </c>
      <c r="P476" s="1747" t="s">
        <v>2501</v>
      </c>
    </row>
    <row r="477" spans="1:16" ht="10.5" customHeight="1">
      <c r="A477" s="799" t="s">
        <v>2339</v>
      </c>
      <c r="B477" s="799" t="s">
        <v>2340</v>
      </c>
      <c r="C477" s="799" t="s">
        <v>2631</v>
      </c>
      <c r="D477" s="799">
        <v>51295287</v>
      </c>
      <c r="E477" s="799" t="s">
        <v>2632</v>
      </c>
      <c r="F477" s="799">
        <v>143003500</v>
      </c>
      <c r="G477" s="799" t="s">
        <v>2633</v>
      </c>
      <c r="H477" s="1747" t="s">
        <v>2633</v>
      </c>
      <c r="I477" s="799" t="s">
        <v>6867</v>
      </c>
      <c r="J477" s="799">
        <v>1</v>
      </c>
      <c r="K477" s="800">
        <v>54456.33</v>
      </c>
      <c r="L477" s="800">
        <v>17386.03</v>
      </c>
      <c r="M477" s="800">
        <v>37070.300000000003</v>
      </c>
      <c r="N477" s="799" t="s">
        <v>2292</v>
      </c>
      <c r="O477" s="799" t="s">
        <v>99</v>
      </c>
      <c r="P477" s="1747" t="s">
        <v>2501</v>
      </c>
    </row>
    <row r="478" spans="1:16" ht="10.5" customHeight="1">
      <c r="A478" s="799" t="s">
        <v>2339</v>
      </c>
      <c r="B478" s="799" t="s">
        <v>2340</v>
      </c>
      <c r="C478" s="799" t="s">
        <v>2631</v>
      </c>
      <c r="D478" s="799">
        <v>51295296</v>
      </c>
      <c r="E478" s="799" t="s">
        <v>2632</v>
      </c>
      <c r="F478" s="799">
        <v>143003500</v>
      </c>
      <c r="G478" s="799" t="s">
        <v>2633</v>
      </c>
      <c r="H478" s="1747" t="s">
        <v>2633</v>
      </c>
      <c r="I478" s="799" t="s">
        <v>6867</v>
      </c>
      <c r="J478" s="799">
        <v>1</v>
      </c>
      <c r="K478" s="800">
        <v>54456.37</v>
      </c>
      <c r="L478" s="800">
        <v>17386.04</v>
      </c>
      <c r="M478" s="800">
        <v>37070.33</v>
      </c>
      <c r="N478" s="799" t="s">
        <v>2292</v>
      </c>
      <c r="O478" s="799" t="s">
        <v>99</v>
      </c>
      <c r="P478" s="1747" t="s">
        <v>2501</v>
      </c>
    </row>
    <row r="479" spans="1:16" ht="10.5" customHeight="1">
      <c r="A479" s="799" t="s">
        <v>2339</v>
      </c>
      <c r="B479" s="799" t="s">
        <v>2340</v>
      </c>
      <c r="C479" s="799" t="s">
        <v>2631</v>
      </c>
      <c r="D479" s="799">
        <v>51295307</v>
      </c>
      <c r="E479" s="799" t="s">
        <v>2632</v>
      </c>
      <c r="F479" s="799">
        <v>143003500</v>
      </c>
      <c r="G479" s="799" t="s">
        <v>2633</v>
      </c>
      <c r="H479" s="1747" t="s">
        <v>2633</v>
      </c>
      <c r="I479" s="799" t="s">
        <v>6867</v>
      </c>
      <c r="J479" s="799">
        <v>1</v>
      </c>
      <c r="K479" s="800">
        <v>54456.37</v>
      </c>
      <c r="L479" s="800">
        <v>17386.04</v>
      </c>
      <c r="M479" s="800">
        <v>37070.33</v>
      </c>
      <c r="N479" s="799" t="s">
        <v>2292</v>
      </c>
      <c r="O479" s="799" t="s">
        <v>99</v>
      </c>
      <c r="P479" s="1747" t="s">
        <v>2501</v>
      </c>
    </row>
    <row r="480" spans="1:16" ht="10.5" customHeight="1">
      <c r="A480" s="799" t="s">
        <v>2339</v>
      </c>
      <c r="B480" s="799" t="s">
        <v>2340</v>
      </c>
      <c r="C480" s="799" t="s">
        <v>2631</v>
      </c>
      <c r="D480" s="799">
        <v>51295318</v>
      </c>
      <c r="E480" s="799" t="s">
        <v>2632</v>
      </c>
      <c r="F480" s="799">
        <v>143003500</v>
      </c>
      <c r="G480" s="799" t="s">
        <v>2633</v>
      </c>
      <c r="H480" s="1747" t="s">
        <v>2633</v>
      </c>
      <c r="I480" s="799" t="s">
        <v>6867</v>
      </c>
      <c r="J480" s="799">
        <v>2</v>
      </c>
      <c r="K480" s="800">
        <v>1169919.45</v>
      </c>
      <c r="L480" s="800">
        <v>373514.96</v>
      </c>
      <c r="M480" s="800">
        <v>796404.49</v>
      </c>
      <c r="N480" s="799" t="s">
        <v>2292</v>
      </c>
      <c r="O480" s="799" t="s">
        <v>99</v>
      </c>
      <c r="P480" s="1747" t="s">
        <v>2501</v>
      </c>
    </row>
    <row r="481" spans="1:16" ht="10.5" customHeight="1">
      <c r="A481" s="799" t="s">
        <v>2339</v>
      </c>
      <c r="B481" s="799" t="s">
        <v>2340</v>
      </c>
      <c r="C481" s="799" t="s">
        <v>2631</v>
      </c>
      <c r="D481" s="799">
        <v>57971931</v>
      </c>
      <c r="E481" s="799" t="s">
        <v>2632</v>
      </c>
      <c r="F481" s="799">
        <v>143004527</v>
      </c>
      <c r="G481" s="799" t="s">
        <v>2634</v>
      </c>
      <c r="H481" s="1747" t="s">
        <v>2635</v>
      </c>
      <c r="I481" s="799" t="s">
        <v>6867</v>
      </c>
      <c r="J481" s="799">
        <v>1</v>
      </c>
      <c r="K481" s="800">
        <v>139432.87</v>
      </c>
      <c r="L481" s="800">
        <v>44516.11</v>
      </c>
      <c r="M481" s="800">
        <v>94916.76</v>
      </c>
      <c r="N481" s="799" t="s">
        <v>2292</v>
      </c>
      <c r="O481" s="799" t="s">
        <v>99</v>
      </c>
      <c r="P481" s="1747" t="s">
        <v>2501</v>
      </c>
    </row>
    <row r="482" spans="1:16" ht="10.5" customHeight="1">
      <c r="A482" s="799" t="s">
        <v>2339</v>
      </c>
      <c r="B482" s="799" t="s">
        <v>2340</v>
      </c>
      <c r="C482" s="799" t="s">
        <v>2631</v>
      </c>
      <c r="D482" s="799">
        <v>57971938</v>
      </c>
      <c r="E482" s="799" t="s">
        <v>2632</v>
      </c>
      <c r="F482" s="799">
        <v>143004527</v>
      </c>
      <c r="G482" s="799" t="s">
        <v>2634</v>
      </c>
      <c r="H482" s="1747" t="s">
        <v>2635</v>
      </c>
      <c r="I482" s="799" t="s">
        <v>6867</v>
      </c>
      <c r="J482" s="799">
        <v>1</v>
      </c>
      <c r="K482" s="800">
        <v>278865.77</v>
      </c>
      <c r="L482" s="800">
        <v>89032.23</v>
      </c>
      <c r="M482" s="800">
        <v>189833.54</v>
      </c>
      <c r="N482" s="799" t="s">
        <v>2292</v>
      </c>
      <c r="O482" s="799" t="s">
        <v>99</v>
      </c>
      <c r="P482" s="1747" t="s">
        <v>2501</v>
      </c>
    </row>
    <row r="483" spans="1:16" ht="10.5" customHeight="1">
      <c r="A483" s="799" t="s">
        <v>2339</v>
      </c>
      <c r="B483" s="799" t="s">
        <v>2340</v>
      </c>
      <c r="C483" s="799" t="s">
        <v>2631</v>
      </c>
      <c r="D483" s="799">
        <v>57971941</v>
      </c>
      <c r="E483" s="799" t="s">
        <v>2632</v>
      </c>
      <c r="F483" s="799">
        <v>143004527</v>
      </c>
      <c r="G483" s="799" t="s">
        <v>2634</v>
      </c>
      <c r="H483" s="1747" t="s">
        <v>2635</v>
      </c>
      <c r="I483" s="799" t="s">
        <v>6867</v>
      </c>
      <c r="J483" s="799">
        <v>1</v>
      </c>
      <c r="K483" s="800">
        <v>278865.77</v>
      </c>
      <c r="L483" s="800">
        <v>89032.23</v>
      </c>
      <c r="M483" s="800">
        <v>189833.54</v>
      </c>
      <c r="N483" s="799" t="s">
        <v>2292</v>
      </c>
      <c r="O483" s="799" t="s">
        <v>99</v>
      </c>
      <c r="P483" s="1747" t="s">
        <v>2501</v>
      </c>
    </row>
    <row r="484" spans="1:16" ht="10.5" customHeight="1">
      <c r="A484" s="799" t="s">
        <v>2339</v>
      </c>
      <c r="B484" s="799" t="s">
        <v>2340</v>
      </c>
      <c r="C484" s="799" t="s">
        <v>2631</v>
      </c>
      <c r="D484" s="799">
        <v>57971944</v>
      </c>
      <c r="E484" s="799" t="s">
        <v>2632</v>
      </c>
      <c r="F484" s="799">
        <v>143004527</v>
      </c>
      <c r="G484" s="799" t="s">
        <v>2634</v>
      </c>
      <c r="H484" s="1747" t="s">
        <v>2635</v>
      </c>
      <c r="I484" s="799" t="s">
        <v>6867</v>
      </c>
      <c r="J484" s="799">
        <v>1</v>
      </c>
      <c r="K484" s="800">
        <v>139432.87</v>
      </c>
      <c r="L484" s="800">
        <v>44516.11</v>
      </c>
      <c r="M484" s="800">
        <v>94916.76</v>
      </c>
      <c r="N484" s="799" t="s">
        <v>2292</v>
      </c>
      <c r="O484" s="799" t="s">
        <v>99</v>
      </c>
      <c r="P484" s="1747" t="s">
        <v>2501</v>
      </c>
    </row>
    <row r="485" spans="1:16" ht="10.5" customHeight="1">
      <c r="A485" s="799" t="s">
        <v>2339</v>
      </c>
      <c r="B485" s="799" t="s">
        <v>2340</v>
      </c>
      <c r="C485" s="799" t="s">
        <v>2631</v>
      </c>
      <c r="D485" s="799">
        <v>57971947</v>
      </c>
      <c r="E485" s="799" t="s">
        <v>2632</v>
      </c>
      <c r="F485" s="799">
        <v>143004527</v>
      </c>
      <c r="G485" s="799" t="s">
        <v>2634</v>
      </c>
      <c r="H485" s="1747" t="s">
        <v>2635</v>
      </c>
      <c r="I485" s="799" t="s">
        <v>6867</v>
      </c>
      <c r="J485" s="799">
        <v>1</v>
      </c>
      <c r="K485" s="800">
        <v>139432.87</v>
      </c>
      <c r="L485" s="800">
        <v>44516.11</v>
      </c>
      <c r="M485" s="800">
        <v>94916.76</v>
      </c>
      <c r="N485" s="799" t="s">
        <v>2292</v>
      </c>
      <c r="O485" s="799" t="s">
        <v>99</v>
      </c>
      <c r="P485" s="1747" t="s">
        <v>2501</v>
      </c>
    </row>
    <row r="486" spans="1:16" ht="10.5" customHeight="1">
      <c r="A486" s="799" t="s">
        <v>2339</v>
      </c>
      <c r="B486" s="799" t="s">
        <v>2340</v>
      </c>
      <c r="C486" s="799" t="s">
        <v>2631</v>
      </c>
      <c r="D486" s="799">
        <v>57971950</v>
      </c>
      <c r="E486" s="799" t="s">
        <v>2632</v>
      </c>
      <c r="F486" s="799">
        <v>143004527</v>
      </c>
      <c r="G486" s="799" t="s">
        <v>2634</v>
      </c>
      <c r="H486" s="1747" t="s">
        <v>2635</v>
      </c>
      <c r="I486" s="799" t="s">
        <v>6867</v>
      </c>
      <c r="J486" s="799">
        <v>1</v>
      </c>
      <c r="K486" s="800">
        <v>139432.87</v>
      </c>
      <c r="L486" s="800">
        <v>44516.11</v>
      </c>
      <c r="M486" s="800">
        <v>94916.76</v>
      </c>
      <c r="N486" s="799" t="s">
        <v>2292</v>
      </c>
      <c r="O486" s="799" t="s">
        <v>99</v>
      </c>
      <c r="P486" s="1747" t="s">
        <v>2501</v>
      </c>
    </row>
    <row r="487" spans="1:16" ht="10.5" customHeight="1">
      <c r="A487" s="799" t="s">
        <v>2339</v>
      </c>
      <c r="B487" s="799" t="s">
        <v>2340</v>
      </c>
      <c r="C487" s="799" t="s">
        <v>2631</v>
      </c>
      <c r="D487" s="799">
        <v>57971953</v>
      </c>
      <c r="E487" s="799" t="s">
        <v>2632</v>
      </c>
      <c r="F487" s="799">
        <v>143004527</v>
      </c>
      <c r="G487" s="799" t="s">
        <v>2634</v>
      </c>
      <c r="H487" s="1747" t="s">
        <v>2635</v>
      </c>
      <c r="I487" s="799" t="s">
        <v>6867</v>
      </c>
      <c r="J487" s="799">
        <v>1</v>
      </c>
      <c r="K487" s="800">
        <v>278865.88</v>
      </c>
      <c r="L487" s="800">
        <v>89032.27</v>
      </c>
      <c r="M487" s="800">
        <v>189833.61000000002</v>
      </c>
      <c r="N487" s="799" t="s">
        <v>2292</v>
      </c>
      <c r="O487" s="799" t="s">
        <v>99</v>
      </c>
      <c r="P487" s="1747" t="s">
        <v>2501</v>
      </c>
    </row>
    <row r="488" spans="1:16" ht="10.5" customHeight="1">
      <c r="A488" s="799" t="s">
        <v>2339</v>
      </c>
      <c r="B488" s="799" t="s">
        <v>2340</v>
      </c>
      <c r="C488" s="799" t="s">
        <v>2631</v>
      </c>
      <c r="D488" s="799">
        <v>57971956</v>
      </c>
      <c r="E488" s="799" t="s">
        <v>2632</v>
      </c>
      <c r="F488" s="799">
        <v>143004527</v>
      </c>
      <c r="G488" s="799" t="s">
        <v>2634</v>
      </c>
      <c r="H488" s="1747" t="s">
        <v>2635</v>
      </c>
      <c r="I488" s="799" t="s">
        <v>6867</v>
      </c>
      <c r="J488" s="799">
        <v>1</v>
      </c>
      <c r="K488" s="800">
        <v>139432.87</v>
      </c>
      <c r="L488" s="800">
        <v>44516.11</v>
      </c>
      <c r="M488" s="800">
        <v>94916.76</v>
      </c>
      <c r="N488" s="799" t="s">
        <v>2292</v>
      </c>
      <c r="O488" s="799" t="s">
        <v>99</v>
      </c>
      <c r="P488" s="1747" t="s">
        <v>2501</v>
      </c>
    </row>
    <row r="489" spans="1:16" ht="10.5" customHeight="1">
      <c r="A489" s="799" t="s">
        <v>2339</v>
      </c>
      <c r="B489" s="799" t="s">
        <v>2340</v>
      </c>
      <c r="C489" s="799" t="s">
        <v>2631</v>
      </c>
      <c r="D489" s="799">
        <v>57971959</v>
      </c>
      <c r="E489" s="799" t="s">
        <v>2632</v>
      </c>
      <c r="F489" s="799">
        <v>143004527</v>
      </c>
      <c r="G489" s="799" t="s">
        <v>2634</v>
      </c>
      <c r="H489" s="1747" t="s">
        <v>2635</v>
      </c>
      <c r="I489" s="799" t="s">
        <v>6867</v>
      </c>
      <c r="J489" s="799">
        <v>1</v>
      </c>
      <c r="K489" s="800">
        <v>139432.87</v>
      </c>
      <c r="L489" s="800">
        <v>44516.11</v>
      </c>
      <c r="M489" s="800">
        <v>94916.76</v>
      </c>
      <c r="N489" s="799" t="s">
        <v>2292</v>
      </c>
      <c r="O489" s="799" t="s">
        <v>99</v>
      </c>
      <c r="P489" s="1747" t="s">
        <v>2501</v>
      </c>
    </row>
    <row r="490" spans="1:16" ht="10.5" customHeight="1" thickBot="1">
      <c r="J490" s="1704" t="s">
        <v>196</v>
      </c>
      <c r="K490" s="1705">
        <f>SUM(K402:K489)</f>
        <v>40462750.369999982</v>
      </c>
      <c r="L490" s="1705">
        <f>SUM(L402:L489)</f>
        <v>37412811.530000009</v>
      </c>
      <c r="M490" s="1705">
        <f>SUM(M402:M489)</f>
        <v>3049938.8399999985</v>
      </c>
    </row>
    <row r="491" spans="1:16" ht="10.5" customHeight="1" thickTop="1">
      <c r="J491" s="1706" t="s">
        <v>4555</v>
      </c>
      <c r="K491" s="1707">
        <v>40462750.369999982</v>
      </c>
      <c r="L491" s="1707">
        <v>37412811.530000009</v>
      </c>
      <c r="M491" s="1707">
        <v>3049938.8399999985</v>
      </c>
    </row>
    <row r="492" spans="1:16" ht="10.5" customHeight="1">
      <c r="J492" s="1708" t="s">
        <v>3780</v>
      </c>
      <c r="K492" s="1709">
        <f>K490-K491</f>
        <v>0</v>
      </c>
      <c r="L492" s="1709">
        <f>L490-L491</f>
        <v>0</v>
      </c>
      <c r="M492" s="1709">
        <f>M490-M491</f>
        <v>0</v>
      </c>
    </row>
  </sheetData>
  <autoFilter ref="A1:Q398" xr:uid="{00000000-0009-0000-0000-000021000000}"/>
  <pageMargins left="0.7" right="0.7" top="0.75" bottom="0.75" header="0.3" footer="0.3"/>
  <pageSetup orientation="portrait" horizontalDpi="90" verticalDpi="90" r:id="rId1"/>
  <customProperties>
    <customPr name="_pios_id" r:id="rId2"/>
  </customProperties>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92D050"/>
  </sheetPr>
  <dimension ref="A1:O13"/>
  <sheetViews>
    <sheetView workbookViewId="0">
      <selection sqref="A1:XFD1048576"/>
    </sheetView>
  </sheetViews>
  <sheetFormatPr defaultColWidth="8" defaultRowHeight="11.25"/>
  <cols>
    <col min="1" max="1" width="15.375" style="807" customWidth="1"/>
    <col min="2" max="2" width="35.5" style="814" bestFit="1" customWidth="1"/>
    <col min="3" max="3" width="10.375" style="814" customWidth="1"/>
    <col min="4" max="4" width="12.375" style="804" bestFit="1" customWidth="1"/>
    <col min="5" max="5" width="13.875" style="806" bestFit="1" customWidth="1"/>
    <col min="6" max="6" width="12.25" style="814" bestFit="1" customWidth="1"/>
    <col min="7" max="7" width="12.25" style="814" customWidth="1"/>
    <col min="8" max="8" width="21.625" style="804" bestFit="1" customWidth="1"/>
    <col min="9" max="9" width="19.625" style="804" bestFit="1" customWidth="1"/>
    <col min="10" max="10" width="4.5" style="804" bestFit="1" customWidth="1"/>
    <col min="11" max="11" width="12.5" style="804" bestFit="1" customWidth="1"/>
    <col min="12" max="12" width="21" style="804" customWidth="1"/>
    <col min="13" max="13" width="4.75" style="804" customWidth="1"/>
    <col min="14" max="14" width="16.375" style="804" bestFit="1" customWidth="1"/>
    <col min="15" max="16384" width="8" style="804"/>
  </cols>
  <sheetData>
    <row r="1" spans="1:15" ht="23.25" thickBot="1">
      <c r="A1" s="803" t="s">
        <v>4556</v>
      </c>
      <c r="B1" s="803" t="s">
        <v>229</v>
      </c>
      <c r="C1" s="803" t="s">
        <v>4557</v>
      </c>
      <c r="D1" s="803" t="s">
        <v>4558</v>
      </c>
      <c r="E1" s="803" t="s">
        <v>4559</v>
      </c>
      <c r="F1" s="803" t="s">
        <v>4560</v>
      </c>
      <c r="G1" s="803" t="s">
        <v>8366</v>
      </c>
      <c r="H1" s="803" t="s">
        <v>4561</v>
      </c>
      <c r="I1" s="803" t="s">
        <v>4562</v>
      </c>
      <c r="J1" s="803" t="s">
        <v>3790</v>
      </c>
      <c r="K1" s="803" t="s">
        <v>350</v>
      </c>
      <c r="L1" s="803" t="s">
        <v>928</v>
      </c>
    </row>
    <row r="2" spans="1:15">
      <c r="A2" s="805"/>
      <c r="B2" s="805"/>
      <c r="C2" s="805"/>
      <c r="D2" s="493"/>
      <c r="F2" s="2076"/>
      <c r="G2" s="2077"/>
      <c r="H2" s="805"/>
      <c r="I2" s="770"/>
      <c r="J2" s="770"/>
      <c r="K2" s="808"/>
      <c r="M2" s="807" t="s">
        <v>97</v>
      </c>
      <c r="N2" s="493"/>
      <c r="O2" s="493"/>
    </row>
    <row r="3" spans="1:15">
      <c r="A3" s="805"/>
      <c r="B3" s="805"/>
      <c r="C3" s="805"/>
      <c r="D3" s="493"/>
      <c r="F3" s="807"/>
      <c r="G3" s="807"/>
      <c r="H3" s="805"/>
      <c r="I3" s="770"/>
      <c r="J3" s="770"/>
      <c r="K3" s="808"/>
      <c r="M3" s="807" t="s">
        <v>97</v>
      </c>
      <c r="N3" s="809" t="s">
        <v>8364</v>
      </c>
    </row>
    <row r="4" spans="1:15">
      <c r="A4" s="805"/>
      <c r="B4" s="805"/>
      <c r="C4" s="805"/>
      <c r="D4" s="493"/>
      <c r="F4" s="807"/>
      <c r="G4" s="807"/>
      <c r="H4" s="805"/>
      <c r="I4" s="770"/>
      <c r="J4" s="770"/>
      <c r="K4" s="808"/>
      <c r="M4" s="807" t="s">
        <v>97</v>
      </c>
      <c r="N4" s="809" t="s">
        <v>4564</v>
      </c>
    </row>
    <row r="5" spans="1:15" ht="12" thickBot="1">
      <c r="A5" s="805"/>
      <c r="B5" s="805"/>
      <c r="C5" s="805"/>
      <c r="D5" s="493"/>
      <c r="F5" s="807"/>
      <c r="G5" s="807"/>
      <c r="H5" s="805"/>
      <c r="I5" s="770"/>
      <c r="J5" s="770"/>
      <c r="K5" s="808"/>
      <c r="M5" s="807" t="s">
        <v>97</v>
      </c>
      <c r="N5" s="810">
        <f>E7</f>
        <v>0</v>
      </c>
    </row>
    <row r="6" spans="1:15" ht="12" thickTop="1">
      <c r="A6" s="805"/>
      <c r="B6" s="805"/>
      <c r="C6" s="805"/>
      <c r="D6" s="493"/>
      <c r="F6" s="807"/>
      <c r="G6" s="807"/>
      <c r="H6" s="805"/>
      <c r="I6" s="770"/>
      <c r="J6" s="770"/>
      <c r="K6" s="808"/>
      <c r="M6" s="807" t="s">
        <v>97</v>
      </c>
      <c r="N6" s="811">
        <f>'E Intangible_Summary'!E20-'FERC CWIP Adjustments to Plant'!N5</f>
        <v>0</v>
      </c>
      <c r="O6" s="812" t="s">
        <v>929</v>
      </c>
    </row>
    <row r="7" spans="1:15" ht="12" thickBot="1">
      <c r="A7" s="805"/>
      <c r="B7" s="807"/>
      <c r="C7" s="807"/>
      <c r="D7" s="807"/>
      <c r="E7" s="813">
        <f>SUM(E2:E6)</f>
        <v>0</v>
      </c>
      <c r="F7" s="807"/>
      <c r="G7" s="807"/>
      <c r="H7" s="807"/>
      <c r="I7" s="807"/>
      <c r="M7" s="807" t="s">
        <v>97</v>
      </c>
    </row>
    <row r="8" spans="1:15" ht="12" thickTop="1">
      <c r="A8" s="805"/>
      <c r="B8" s="807"/>
      <c r="C8" s="807"/>
      <c r="D8" s="807"/>
      <c r="F8" s="807"/>
      <c r="G8" s="807"/>
      <c r="H8" s="807"/>
      <c r="I8" s="807"/>
      <c r="M8" s="807" t="s">
        <v>97</v>
      </c>
    </row>
    <row r="9" spans="1:15">
      <c r="A9" s="805"/>
      <c r="M9" s="807" t="s">
        <v>97</v>
      </c>
      <c r="N9" s="809" t="s">
        <v>4563</v>
      </c>
    </row>
    <row r="10" spans="1:15">
      <c r="A10" s="805"/>
      <c r="M10" s="807" t="s">
        <v>97</v>
      </c>
      <c r="N10" s="809" t="s">
        <v>4564</v>
      </c>
    </row>
    <row r="11" spans="1:15" ht="12" thickBot="1">
      <c r="M11" s="807" t="s">
        <v>97</v>
      </c>
      <c r="N11" s="810">
        <f>E13</f>
        <v>0</v>
      </c>
    </row>
    <row r="12" spans="1:15" ht="12" thickTop="1">
      <c r="M12" s="807" t="s">
        <v>97</v>
      </c>
      <c r="N12" s="811">
        <f>'E Intangible_Summary'!E26-'FERC CWIP Adjustments to Plant'!N11</f>
        <v>0</v>
      </c>
      <c r="O12" s="812" t="s">
        <v>929</v>
      </c>
    </row>
    <row r="13" spans="1:15">
      <c r="M13" s="807" t="s">
        <v>97</v>
      </c>
    </row>
  </sheetData>
  <conditionalFormatting sqref="E2:E8">
    <cfRule type="containsText" dxfId="1" priority="1" operator="containsText" text="total">
      <formula>NOT(ISERROR(SEARCH("total",E2)))</formula>
    </cfRule>
  </conditionalFormatting>
  <pageMargins left="0.7" right="0.7" top="0.75" bottom="0.75" header="0.3" footer="0.3"/>
  <pageSetup orientation="portrait" horizontalDpi="1200" verticalDpi="1200" r:id="rId1"/>
  <customProperties>
    <customPr name="_pios_id" r:id="rId2"/>
  </customPropertie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92D050"/>
  </sheetPr>
  <dimension ref="A1:N13"/>
  <sheetViews>
    <sheetView workbookViewId="0">
      <selection sqref="A1:XFD1048576"/>
    </sheetView>
  </sheetViews>
  <sheetFormatPr defaultColWidth="8" defaultRowHeight="11.25"/>
  <cols>
    <col min="1" max="1" width="15.375" style="807" customWidth="1"/>
    <col min="2" max="2" width="35.5" style="814" bestFit="1" customWidth="1"/>
    <col min="3" max="3" width="10.375" style="814" customWidth="1"/>
    <col min="4" max="4" width="12.375" style="804" bestFit="1" customWidth="1"/>
    <col min="5" max="5" width="13.875" style="806" bestFit="1" customWidth="1"/>
    <col min="6" max="6" width="12.25" style="814" bestFit="1" customWidth="1"/>
    <col min="7" max="7" width="12.25" style="814" customWidth="1"/>
    <col min="8" max="8" width="19.625" style="804" bestFit="1" customWidth="1"/>
    <col min="9" max="9" width="4.5" style="804" bestFit="1" customWidth="1"/>
    <col min="10" max="10" width="12.5" style="804" bestFit="1" customWidth="1"/>
    <col min="11" max="11" width="21" style="804" customWidth="1"/>
    <col min="12" max="12" width="4.75" style="804" customWidth="1"/>
    <col min="13" max="13" width="16.375" style="804" bestFit="1" customWidth="1"/>
    <col min="14" max="16384" width="8" style="804"/>
  </cols>
  <sheetData>
    <row r="1" spans="1:14" ht="34.5" thickBot="1">
      <c r="A1" s="803" t="s">
        <v>4556</v>
      </c>
      <c r="B1" s="803" t="s">
        <v>229</v>
      </c>
      <c r="C1" s="803" t="s">
        <v>4557</v>
      </c>
      <c r="D1" s="803" t="s">
        <v>4558</v>
      </c>
      <c r="E1" s="803" t="s">
        <v>4559</v>
      </c>
      <c r="F1" s="803" t="s">
        <v>4560</v>
      </c>
      <c r="G1" s="803" t="s">
        <v>8367</v>
      </c>
      <c r="H1" s="803" t="s">
        <v>4562</v>
      </c>
      <c r="I1" s="803" t="s">
        <v>3790</v>
      </c>
      <c r="J1" s="803" t="s">
        <v>350</v>
      </c>
      <c r="K1" s="803" t="s">
        <v>928</v>
      </c>
    </row>
    <row r="2" spans="1:14">
      <c r="A2" s="805">
        <v>141003253</v>
      </c>
      <c r="B2" s="805" t="s">
        <v>3856</v>
      </c>
      <c r="C2" s="805" t="s">
        <v>8363</v>
      </c>
      <c r="D2" s="493" t="s">
        <v>8364</v>
      </c>
      <c r="E2" s="806">
        <v>20439097.829999998</v>
      </c>
      <c r="F2" s="2076">
        <v>44551</v>
      </c>
      <c r="G2" s="2077">
        <f>4984600.92-1336194</f>
        <v>3648406.92</v>
      </c>
      <c r="H2" s="770" t="s">
        <v>390</v>
      </c>
      <c r="I2" s="770" t="s">
        <v>3786</v>
      </c>
      <c r="J2" s="808"/>
      <c r="K2" s="804" t="s">
        <v>8365</v>
      </c>
      <c r="L2" s="807" t="s">
        <v>97</v>
      </c>
      <c r="M2" s="493"/>
      <c r="N2" s="493"/>
    </row>
    <row r="3" spans="1:14">
      <c r="A3" s="805"/>
      <c r="B3" s="805"/>
      <c r="C3" s="805"/>
      <c r="D3" s="493"/>
      <c r="F3" s="807"/>
      <c r="G3" s="807"/>
      <c r="H3" s="770"/>
      <c r="I3" s="770"/>
      <c r="J3" s="808"/>
      <c r="L3" s="807" t="s">
        <v>97</v>
      </c>
      <c r="M3" s="809" t="s">
        <v>510</v>
      </c>
    </row>
    <row r="4" spans="1:14">
      <c r="A4" s="805"/>
      <c r="B4" s="805"/>
      <c r="C4" s="805"/>
      <c r="D4" s="493"/>
      <c r="F4" s="807"/>
      <c r="G4" s="807"/>
      <c r="H4" s="770"/>
      <c r="I4" s="770"/>
      <c r="J4" s="808"/>
      <c r="L4" s="807" t="s">
        <v>97</v>
      </c>
      <c r="M4" s="809" t="s">
        <v>4564</v>
      </c>
    </row>
    <row r="5" spans="1:14" ht="12" thickBot="1">
      <c r="A5" s="805"/>
      <c r="B5" s="805"/>
      <c r="C5" s="805"/>
      <c r="D5" s="493"/>
      <c r="F5" s="807"/>
      <c r="G5" s="807"/>
      <c r="H5" s="770"/>
      <c r="I5" s="770"/>
      <c r="J5" s="808"/>
      <c r="L5" s="807" t="s">
        <v>97</v>
      </c>
      <c r="M5" s="810">
        <f>G2</f>
        <v>3648406.92</v>
      </c>
    </row>
    <row r="6" spans="1:14" ht="12" thickTop="1">
      <c r="A6" s="805"/>
      <c r="B6" s="805"/>
      <c r="C6" s="805"/>
      <c r="D6" s="493"/>
      <c r="F6" s="807"/>
      <c r="G6" s="807"/>
      <c r="H6" s="770"/>
      <c r="I6" s="770"/>
      <c r="J6" s="808"/>
      <c r="L6" s="807" t="s">
        <v>97</v>
      </c>
      <c r="M6" s="811">
        <f>'E Intangible_Summary'!E50-M5</f>
        <v>0</v>
      </c>
      <c r="N6" s="812" t="s">
        <v>929</v>
      </c>
    </row>
    <row r="7" spans="1:14" ht="12" thickBot="1">
      <c r="A7" s="805"/>
      <c r="B7" s="807"/>
      <c r="C7" s="807"/>
      <c r="D7" s="807"/>
      <c r="E7" s="813">
        <f>SUM(E2:E6)</f>
        <v>20439097.829999998</v>
      </c>
      <c r="F7" s="807"/>
      <c r="G7" s="807"/>
      <c r="H7" s="807"/>
      <c r="L7" s="807" t="s">
        <v>97</v>
      </c>
    </row>
    <row r="8" spans="1:14" ht="12" thickTop="1">
      <c r="A8" s="805"/>
      <c r="B8" s="807"/>
      <c r="C8" s="807"/>
      <c r="D8" s="807"/>
      <c r="F8" s="807"/>
      <c r="G8" s="807"/>
      <c r="H8" s="807"/>
      <c r="L8" s="807" t="s">
        <v>97</v>
      </c>
    </row>
    <row r="9" spans="1:14">
      <c r="A9" s="805"/>
      <c r="L9" s="807" t="s">
        <v>97</v>
      </c>
    </row>
    <row r="10" spans="1:14">
      <c r="A10" s="805"/>
      <c r="L10" s="807" t="s">
        <v>97</v>
      </c>
    </row>
    <row r="11" spans="1:14">
      <c r="L11" s="807" t="s">
        <v>97</v>
      </c>
    </row>
    <row r="12" spans="1:14">
      <c r="L12" s="807" t="s">
        <v>97</v>
      </c>
    </row>
    <row r="13" spans="1:14">
      <c r="L13" s="807" t="s">
        <v>97</v>
      </c>
    </row>
  </sheetData>
  <conditionalFormatting sqref="E2:E8">
    <cfRule type="containsText" dxfId="0" priority="1" operator="containsText" text="total">
      <formula>NOT(ISERROR(SEARCH("total",E2)))</formula>
    </cfRule>
  </conditionalFormatting>
  <pageMargins left="0.7" right="0.7" top="0.75" bottom="0.75" header="0.3" footer="0.3"/>
  <pageSetup orientation="portrait" horizontalDpi="1200" verticalDpi="1200" r:id="rId1"/>
  <customProperties>
    <customPr name="_pios_id" r:id="rId2"/>
  </customPropertie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92D050"/>
  </sheetPr>
  <dimension ref="B2:G30"/>
  <sheetViews>
    <sheetView workbookViewId="0">
      <pane ySplit="5" topLeftCell="A6" activePane="bottomLeft" state="frozen"/>
      <selection sqref="A1:XFD1048576"/>
      <selection pane="bottomLeft" sqref="A1:XFD1048576"/>
    </sheetView>
  </sheetViews>
  <sheetFormatPr defaultColWidth="9" defaultRowHeight="12" customHeight="1"/>
  <cols>
    <col min="1" max="1" width="2" style="815" customWidth="1"/>
    <col min="2" max="2" width="21.625" style="815" bestFit="1" customWidth="1"/>
    <col min="3" max="3" width="14" style="815" bestFit="1" customWidth="1"/>
    <col min="4" max="4" width="15.5" style="815" bestFit="1" customWidth="1"/>
    <col min="5" max="6" width="15.75" style="815" bestFit="1" customWidth="1"/>
    <col min="7" max="7" width="13.25" style="815" bestFit="1" customWidth="1"/>
    <col min="8" max="16384" width="9" style="815"/>
  </cols>
  <sheetData>
    <row r="2" spans="2:6" ht="12" customHeight="1">
      <c r="B2" s="1891" t="s">
        <v>8385</v>
      </c>
    </row>
    <row r="3" spans="2:6" ht="12" customHeight="1" thickBot="1"/>
    <row r="4" spans="2:6" ht="12" customHeight="1">
      <c r="B4" s="816"/>
      <c r="C4" s="817" t="s">
        <v>4565</v>
      </c>
      <c r="D4" s="818" t="s">
        <v>4566</v>
      </c>
      <c r="E4" s="819" t="s">
        <v>4567</v>
      </c>
      <c r="F4" s="820" t="s">
        <v>4568</v>
      </c>
    </row>
    <row r="5" spans="2:6" ht="12" customHeight="1">
      <c r="B5" s="821" t="s">
        <v>4569</v>
      </c>
      <c r="C5" s="822" t="s">
        <v>8386</v>
      </c>
      <c r="D5" s="1711" t="s">
        <v>8387</v>
      </c>
      <c r="E5" s="1712" t="s">
        <v>8387</v>
      </c>
      <c r="F5" s="1713" t="str">
        <f>E5</f>
        <v>AS OF 12/31/2023</v>
      </c>
    </row>
    <row r="6" spans="2:6" ht="12" customHeight="1">
      <c r="B6" s="823" t="s">
        <v>4570</v>
      </c>
      <c r="C6" s="824">
        <v>8449599.1699999999</v>
      </c>
      <c r="D6" s="825">
        <v>160913623.87000003</v>
      </c>
      <c r="E6" s="825">
        <v>286978786.95409632</v>
      </c>
      <c r="F6" s="826">
        <f t="shared" ref="F6:F21" si="0">E6+D6</f>
        <v>447892410.82409632</v>
      </c>
    </row>
    <row r="7" spans="2:6" ht="12" customHeight="1">
      <c r="B7" s="823" t="s">
        <v>4571</v>
      </c>
      <c r="C7" s="2893">
        <v>36716685.460000001</v>
      </c>
      <c r="D7" s="2892">
        <v>488243167.7299999</v>
      </c>
      <c r="E7" s="825">
        <v>91116973.210054994</v>
      </c>
      <c r="F7" s="3007">
        <f t="shared" si="0"/>
        <v>579360140.94005489</v>
      </c>
    </row>
    <row r="8" spans="2:6" ht="12" customHeight="1">
      <c r="B8" s="823" t="s">
        <v>4572</v>
      </c>
      <c r="C8" s="824">
        <v>60004.509999999995</v>
      </c>
      <c r="D8" s="825">
        <v>1660324.9800000002</v>
      </c>
      <c r="E8" s="825">
        <v>1050732.9224442199</v>
      </c>
      <c r="F8" s="826">
        <f t="shared" si="0"/>
        <v>2711057.9024442201</v>
      </c>
    </row>
    <row r="9" spans="2:6" ht="12" customHeight="1">
      <c r="B9" s="823" t="s">
        <v>4573</v>
      </c>
      <c r="C9" s="2893">
        <v>2805636.1200000006</v>
      </c>
      <c r="D9" s="2892">
        <v>135570302.31</v>
      </c>
      <c r="E9" s="825">
        <v>30489091.532363981</v>
      </c>
      <c r="F9" s="3007">
        <f t="shared" si="0"/>
        <v>166059393.84236398</v>
      </c>
    </row>
    <row r="10" spans="2:6" ht="12" customHeight="1">
      <c r="B10" s="823" t="s">
        <v>4574</v>
      </c>
      <c r="C10" s="2893">
        <v>4935485.5599999996</v>
      </c>
      <c r="D10" s="2892">
        <v>83888482.460000008</v>
      </c>
      <c r="E10" s="825">
        <v>69417314.573575631</v>
      </c>
      <c r="F10" s="3007">
        <f t="shared" si="0"/>
        <v>153305797.03357565</v>
      </c>
    </row>
    <row r="11" spans="2:6" ht="12" customHeight="1">
      <c r="B11" s="823" t="s">
        <v>4575</v>
      </c>
      <c r="C11" s="2893">
        <v>950254.15</v>
      </c>
      <c r="D11" s="2892">
        <v>32913279.850000001</v>
      </c>
      <c r="E11" s="825">
        <v>10148135.41302599</v>
      </c>
      <c r="F11" s="3007">
        <f t="shared" si="0"/>
        <v>43061415.263025992</v>
      </c>
    </row>
    <row r="12" spans="2:6" ht="12" customHeight="1">
      <c r="B12" s="823" t="s">
        <v>4576</v>
      </c>
      <c r="C12" s="2893">
        <v>4610415.0100000007</v>
      </c>
      <c r="D12" s="2892">
        <v>34046744.609999999</v>
      </c>
      <c r="E12" s="825">
        <v>39611025.938968576</v>
      </c>
      <c r="F12" s="3007">
        <f t="shared" si="0"/>
        <v>73657770.548968583</v>
      </c>
    </row>
    <row r="13" spans="2:6" ht="12" customHeight="1">
      <c r="B13" s="823" t="s">
        <v>4577</v>
      </c>
      <c r="C13" s="824">
        <v>8306650.9399999995</v>
      </c>
      <c r="D13" s="2892">
        <v>99449064.599999979</v>
      </c>
      <c r="E13" s="825">
        <v>57367417.906959906</v>
      </c>
      <c r="F13" s="3007">
        <f t="shared" si="0"/>
        <v>156816482.50695989</v>
      </c>
    </row>
    <row r="14" spans="2:6" ht="12" customHeight="1">
      <c r="B14" s="827" t="s">
        <v>4578</v>
      </c>
      <c r="C14" s="2893">
        <v>9340805.1699999981</v>
      </c>
      <c r="D14" s="2892">
        <v>251922239.03999999</v>
      </c>
      <c r="E14" s="825">
        <v>88403114.609280974</v>
      </c>
      <c r="F14" s="3007">
        <f t="shared" si="0"/>
        <v>340325353.64928097</v>
      </c>
    </row>
    <row r="15" spans="2:6" ht="12" customHeight="1">
      <c r="B15" s="827" t="s">
        <v>4579</v>
      </c>
      <c r="C15" s="2893">
        <v>29013245.269999996</v>
      </c>
      <c r="D15" s="2892">
        <v>303813495.24999994</v>
      </c>
      <c r="E15" s="825">
        <v>68662537.424878299</v>
      </c>
      <c r="F15" s="3007">
        <f t="shared" si="0"/>
        <v>372476032.67487824</v>
      </c>
    </row>
    <row r="16" spans="2:6" ht="12" customHeight="1">
      <c r="B16" s="823" t="s">
        <v>4580</v>
      </c>
      <c r="C16" s="2893">
        <v>8283352.879999999</v>
      </c>
      <c r="D16" s="2892">
        <v>118137686.40000001</v>
      </c>
      <c r="E16" s="825">
        <v>392448187.83106297</v>
      </c>
      <c r="F16" s="3007">
        <f t="shared" si="0"/>
        <v>510585874.23106301</v>
      </c>
    </row>
    <row r="17" spans="2:7" ht="12" customHeight="1">
      <c r="B17" s="823" t="s">
        <v>4581</v>
      </c>
      <c r="C17" s="2893">
        <v>9680742.8699999992</v>
      </c>
      <c r="D17" s="2892">
        <v>16059156.959999999</v>
      </c>
      <c r="E17" s="825">
        <v>112005575.26676047</v>
      </c>
      <c r="F17" s="3007">
        <f t="shared" si="0"/>
        <v>128064732.22676046</v>
      </c>
    </row>
    <row r="18" spans="2:7" ht="12" customHeight="1">
      <c r="B18" s="827" t="s">
        <v>4582</v>
      </c>
      <c r="C18" s="824">
        <v>11947629.799999997</v>
      </c>
      <c r="D18" s="825">
        <v>111220190.25999996</v>
      </c>
      <c r="E18" s="825">
        <v>229827327.40882832</v>
      </c>
      <c r="F18" s="826">
        <f t="shared" si="0"/>
        <v>341047517.66882825</v>
      </c>
    </row>
    <row r="19" spans="2:7" ht="12" customHeight="1">
      <c r="B19" s="823" t="s">
        <v>4583</v>
      </c>
      <c r="C19" s="2893">
        <v>2522196.0500000003</v>
      </c>
      <c r="D19" s="2892">
        <v>58401602.249999985</v>
      </c>
      <c r="E19" s="825">
        <v>26179000.899103343</v>
      </c>
      <c r="F19" s="3007">
        <f t="shared" si="0"/>
        <v>84580603.149103329</v>
      </c>
    </row>
    <row r="20" spans="2:7" ht="12" customHeight="1">
      <c r="B20" s="823" t="s">
        <v>4584</v>
      </c>
      <c r="C20" s="2893">
        <v>640923.92000000004</v>
      </c>
      <c r="D20" s="2892">
        <v>31204305.739999998</v>
      </c>
      <c r="E20" s="825">
        <v>8989557.7155672014</v>
      </c>
      <c r="F20" s="3007">
        <f t="shared" si="0"/>
        <v>40193863.455567196</v>
      </c>
    </row>
    <row r="21" spans="2:7" ht="12" customHeight="1">
      <c r="B21" s="823" t="s">
        <v>4585</v>
      </c>
      <c r="C21" s="2893">
        <v>21282816.369999997</v>
      </c>
      <c r="D21" s="2892">
        <v>265563357.59000003</v>
      </c>
      <c r="E21" s="825">
        <v>189829730.22870272</v>
      </c>
      <c r="F21" s="3007">
        <f t="shared" si="0"/>
        <v>455393087.81870276</v>
      </c>
      <c r="G21" s="845"/>
    </row>
    <row r="22" spans="2:7" s="833" customFormat="1" ht="12" customHeight="1" thickBot="1">
      <c r="B22" s="828" t="s">
        <v>2301</v>
      </c>
      <c r="C22" s="829">
        <f>SUM(C6:C21)</f>
        <v>159546443.24999997</v>
      </c>
      <c r="D22" s="829">
        <f>SUM(D6:D21)</f>
        <v>2193007023.9000001</v>
      </c>
      <c r="E22" s="830">
        <f>SUM(E6:E21)</f>
        <v>1702524509.8356738</v>
      </c>
      <c r="F22" s="831">
        <f>SUM(F6:F21)</f>
        <v>3895531533.7356739</v>
      </c>
      <c r="G22" s="832"/>
    </row>
    <row r="23" spans="2:7" ht="12" customHeight="1" thickTop="1" thickBot="1">
      <c r="E23" s="834"/>
      <c r="F23" s="834"/>
    </row>
    <row r="24" spans="2:7" ht="12" customHeight="1">
      <c r="B24" s="835"/>
      <c r="C24" s="836" t="s">
        <v>4565</v>
      </c>
      <c r="D24" s="837" t="s">
        <v>4586</v>
      </c>
      <c r="E24" s="838" t="s">
        <v>4567</v>
      </c>
      <c r="F24" s="820" t="s">
        <v>4568</v>
      </c>
    </row>
    <row r="25" spans="2:7" ht="12" customHeight="1">
      <c r="B25" s="839" t="s">
        <v>4569</v>
      </c>
      <c r="C25" s="822" t="s">
        <v>8386</v>
      </c>
      <c r="D25" s="822" t="s">
        <v>8387</v>
      </c>
      <c r="E25" s="840" t="s">
        <v>8387</v>
      </c>
      <c r="F25" s="1714" t="str">
        <f>E25</f>
        <v>AS OF 12/31/2023</v>
      </c>
    </row>
    <row r="26" spans="2:7" ht="12" customHeight="1">
      <c r="B26" s="823" t="s">
        <v>4587</v>
      </c>
      <c r="C26" s="3014">
        <v>4696864.7699999996</v>
      </c>
      <c r="D26" s="3014">
        <v>54503105.229999997</v>
      </c>
      <c r="E26" s="841">
        <v>36293139.259999998</v>
      </c>
      <c r="F26" s="3007">
        <f>E26+D26</f>
        <v>90796244.489999995</v>
      </c>
    </row>
    <row r="27" spans="2:7" ht="12" customHeight="1">
      <c r="B27" s="823" t="s">
        <v>4588</v>
      </c>
      <c r="C27" s="3014">
        <v>3609786.17</v>
      </c>
      <c r="D27" s="3014">
        <v>44945959.25</v>
      </c>
      <c r="E27" s="841">
        <v>21074278.640000001</v>
      </c>
      <c r="F27" s="3007">
        <f>E27+D27</f>
        <v>66020237.890000001</v>
      </c>
    </row>
    <row r="28" spans="2:7" s="833" customFormat="1" ht="12" customHeight="1" thickBot="1">
      <c r="B28" s="828" t="s">
        <v>2301</v>
      </c>
      <c r="C28" s="842">
        <f>SUM(C26:C27)</f>
        <v>8306650.9399999995</v>
      </c>
      <c r="D28" s="842">
        <f t="shared" ref="D28:E28" si="1">SUM(D26:D27)</f>
        <v>99449064.479999989</v>
      </c>
      <c r="E28" s="842">
        <f t="shared" si="1"/>
        <v>57367417.899999999</v>
      </c>
      <c r="F28" s="843">
        <f>SUM(F26:F27)</f>
        <v>156816482.38</v>
      </c>
    </row>
    <row r="29" spans="2:7" s="844" customFormat="1" ht="12" customHeight="1" thickTop="1">
      <c r="B29" s="844" t="s">
        <v>929</v>
      </c>
      <c r="C29" s="1892">
        <f>C28-C13</f>
        <v>0</v>
      </c>
      <c r="D29" s="1892">
        <f>D28-D13</f>
        <v>-0.11999998986721039</v>
      </c>
      <c r="E29" s="1892">
        <f>E28-E13</f>
        <v>-6.9599077105522156E-3</v>
      </c>
    </row>
    <row r="30" spans="2:7" ht="12" customHeight="1">
      <c r="E30" s="845"/>
    </row>
  </sheetData>
  <pageMargins left="0.7" right="0.7" top="0.75" bottom="0.75" header="0.3" footer="0.3"/>
  <pageSetup orientation="portrait" horizontalDpi="1200" verticalDpi="1200" r:id="rId1"/>
  <customProperties>
    <customPr name="_pios_id" r:id="rId2"/>
  </customProperties>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92D050"/>
    <pageSetUpPr fitToPage="1"/>
  </sheetPr>
  <dimension ref="A1:N95"/>
  <sheetViews>
    <sheetView zoomScaleNormal="100" workbookViewId="0">
      <pane ySplit="5" topLeftCell="A6" activePane="bottomLeft" state="frozen"/>
      <selection sqref="A1:XFD1048576"/>
      <selection pane="bottomLeft" sqref="A1:XFD1048576"/>
    </sheetView>
  </sheetViews>
  <sheetFormatPr defaultColWidth="9" defaultRowHeight="11.25"/>
  <cols>
    <col min="1" max="1" width="8.5" style="849" customWidth="1"/>
    <col min="2" max="2" width="19.125" style="849" customWidth="1"/>
    <col min="3" max="3" width="6.875" style="849" bestFit="1" customWidth="1"/>
    <col min="4" max="4" width="32" style="849" bestFit="1" customWidth="1"/>
    <col min="5" max="5" width="9.375" style="848" bestFit="1" customWidth="1"/>
    <col min="6" max="6" width="12.375" style="849" bestFit="1" customWidth="1"/>
    <col min="7" max="7" width="10.125" style="849" customWidth="1"/>
    <col min="8" max="8" width="10.5" style="849" bestFit="1" customWidth="1"/>
    <col min="9" max="9" width="8.875" style="849" bestFit="1" customWidth="1"/>
    <col min="10" max="10" width="71" style="1144" customWidth="1"/>
    <col min="11" max="11" width="7.25" style="850" bestFit="1" customWidth="1"/>
    <col min="12" max="12" width="9" style="1796"/>
    <col min="13" max="16384" width="9" style="849"/>
  </cols>
  <sheetData>
    <row r="1" spans="1:14">
      <c r="A1" s="846" t="s">
        <v>4589</v>
      </c>
      <c r="B1" s="846"/>
      <c r="C1" s="847"/>
      <c r="D1" s="848"/>
    </row>
    <row r="2" spans="1:14">
      <c r="A2" s="846" t="s">
        <v>4590</v>
      </c>
      <c r="B2" s="846"/>
      <c r="C2" s="847"/>
      <c r="D2" s="848"/>
    </row>
    <row r="3" spans="1:14">
      <c r="A3" s="846" t="s">
        <v>7152</v>
      </c>
      <c r="B3" s="846"/>
      <c r="C3" s="847"/>
      <c r="D3" s="848"/>
    </row>
    <row r="5" spans="1:14" s="850" customFormat="1" ht="22.5">
      <c r="A5" s="851" t="s">
        <v>4591</v>
      </c>
      <c r="B5" s="852" t="s">
        <v>4592</v>
      </c>
      <c r="C5" s="852" t="s">
        <v>4593</v>
      </c>
      <c r="D5" s="852" t="s">
        <v>4594</v>
      </c>
      <c r="E5" s="853" t="s">
        <v>104</v>
      </c>
      <c r="F5" s="854" t="s">
        <v>350</v>
      </c>
      <c r="G5" s="855" t="s">
        <v>105</v>
      </c>
      <c r="H5" s="855" t="s">
        <v>106</v>
      </c>
      <c r="I5" s="856" t="s">
        <v>347</v>
      </c>
      <c r="J5" s="856" t="s">
        <v>4595</v>
      </c>
      <c r="K5" s="857" t="s">
        <v>2289</v>
      </c>
      <c r="L5" s="1796"/>
    </row>
    <row r="6" spans="1:14">
      <c r="A6" s="858">
        <v>456</v>
      </c>
      <c r="B6" s="859" t="s">
        <v>4596</v>
      </c>
      <c r="C6" s="724">
        <v>45600006</v>
      </c>
      <c r="D6" s="637" t="s">
        <v>4597</v>
      </c>
      <c r="E6" s="1804">
        <v>0</v>
      </c>
      <c r="F6" s="860" t="s">
        <v>390</v>
      </c>
      <c r="G6" s="861">
        <f>VLOOKUP($F6,Ratio,2,FALSE)*$E6</f>
        <v>0</v>
      </c>
      <c r="H6" s="862">
        <f t="shared" ref="H6:H45" si="0">VLOOKUP($F6,Ratio,3,FALSE)*$E6</f>
        <v>0</v>
      </c>
      <c r="I6" s="861">
        <f t="shared" ref="I6:I45" si="1">VLOOKUP($F6,Ratio,4,FALSE)*$E6</f>
        <v>0</v>
      </c>
      <c r="J6" s="1792"/>
      <c r="K6" s="1791">
        <f t="shared" ref="K6:K78" si="2">E6-SUM(G6:I6)</f>
        <v>0</v>
      </c>
      <c r="N6" s="1145"/>
    </row>
    <row r="7" spans="1:14">
      <c r="A7" s="863"/>
      <c r="B7" s="864" t="s">
        <v>4598</v>
      </c>
      <c r="C7" s="724">
        <v>45600009</v>
      </c>
      <c r="D7" s="672" t="s">
        <v>4599</v>
      </c>
      <c r="E7" s="1804">
        <v>0</v>
      </c>
      <c r="F7" s="860" t="s">
        <v>390</v>
      </c>
      <c r="G7" s="861">
        <f t="shared" ref="G7:G45" si="3">VLOOKUP($F7,Ratio,2,FALSE)*$E7</f>
        <v>0</v>
      </c>
      <c r="H7" s="862">
        <f t="shared" si="0"/>
        <v>0</v>
      </c>
      <c r="I7" s="861">
        <f t="shared" si="1"/>
        <v>0</v>
      </c>
      <c r="J7" s="1792"/>
      <c r="K7" s="1791">
        <f t="shared" si="2"/>
        <v>0</v>
      </c>
      <c r="N7" s="1145"/>
    </row>
    <row r="8" spans="1:14">
      <c r="A8" s="863"/>
      <c r="B8" s="863"/>
      <c r="C8" s="724">
        <v>45600026</v>
      </c>
      <c r="D8" s="672" t="s">
        <v>4600</v>
      </c>
      <c r="E8" s="1804">
        <v>0</v>
      </c>
      <c r="F8" s="860" t="s">
        <v>390</v>
      </c>
      <c r="G8" s="861">
        <f t="shared" si="3"/>
        <v>0</v>
      </c>
      <c r="H8" s="862">
        <f t="shared" si="0"/>
        <v>0</v>
      </c>
      <c r="I8" s="861">
        <f t="shared" si="1"/>
        <v>0</v>
      </c>
      <c r="J8" s="1792"/>
      <c r="K8" s="1791">
        <f t="shared" si="2"/>
        <v>0</v>
      </c>
      <c r="N8" s="1145"/>
    </row>
    <row r="9" spans="1:14">
      <c r="A9" s="863"/>
      <c r="B9" s="864"/>
      <c r="C9" s="724">
        <v>45600028</v>
      </c>
      <c r="D9" s="672" t="s">
        <v>4601</v>
      </c>
      <c r="E9" s="1804">
        <v>0</v>
      </c>
      <c r="F9" s="860" t="s">
        <v>390</v>
      </c>
      <c r="G9" s="861">
        <f t="shared" si="3"/>
        <v>0</v>
      </c>
      <c r="H9" s="862">
        <f t="shared" si="0"/>
        <v>0</v>
      </c>
      <c r="I9" s="861">
        <f t="shared" si="1"/>
        <v>0</v>
      </c>
      <c r="J9" s="1792"/>
      <c r="K9" s="1791">
        <f t="shared" si="2"/>
        <v>0</v>
      </c>
      <c r="N9" s="1145"/>
    </row>
    <row r="10" spans="1:14">
      <c r="A10" s="863"/>
      <c r="B10" s="864"/>
      <c r="C10" s="724">
        <v>45600033</v>
      </c>
      <c r="D10" s="637" t="s">
        <v>4603</v>
      </c>
      <c r="E10" s="1804">
        <v>0</v>
      </c>
      <c r="F10" s="860" t="s">
        <v>390</v>
      </c>
      <c r="G10" s="861">
        <f>VLOOKUP($F10,Ratio,2,FALSE)*$E10</f>
        <v>0</v>
      </c>
      <c r="H10" s="862">
        <f>VLOOKUP($F10,Ratio,3,FALSE)*$E10</f>
        <v>0</v>
      </c>
      <c r="I10" s="861">
        <f>VLOOKUP($F10,Ratio,4,FALSE)*$E10</f>
        <v>0</v>
      </c>
      <c r="J10" s="1792"/>
      <c r="K10" s="1791">
        <f t="shared" si="2"/>
        <v>0</v>
      </c>
      <c r="N10" s="1145"/>
    </row>
    <row r="11" spans="1:14">
      <c r="A11" s="863"/>
      <c r="B11" s="864"/>
      <c r="C11" s="724">
        <v>45600055</v>
      </c>
      <c r="D11" s="672" t="s">
        <v>4602</v>
      </c>
      <c r="E11" s="1804">
        <v>0</v>
      </c>
      <c r="F11" s="860" t="s">
        <v>390</v>
      </c>
      <c r="G11" s="865">
        <f t="shared" si="3"/>
        <v>0</v>
      </c>
      <c r="H11" s="866">
        <f t="shared" si="0"/>
        <v>0</v>
      </c>
      <c r="I11" s="865">
        <f t="shared" si="1"/>
        <v>0</v>
      </c>
      <c r="J11" s="1793"/>
      <c r="K11" s="1791">
        <f t="shared" si="2"/>
        <v>0</v>
      </c>
      <c r="N11" s="1145"/>
    </row>
    <row r="12" spans="1:14">
      <c r="A12" s="863"/>
      <c r="B12" s="864"/>
      <c r="C12" s="1785">
        <v>45600056</v>
      </c>
      <c r="D12" s="1786" t="s">
        <v>8029</v>
      </c>
      <c r="E12" s="1787">
        <v>-28374.79</v>
      </c>
      <c r="F12" s="1800" t="s">
        <v>390</v>
      </c>
      <c r="G12" s="1789">
        <f t="shared" si="3"/>
        <v>0</v>
      </c>
      <c r="H12" s="1790">
        <f t="shared" si="0"/>
        <v>0</v>
      </c>
      <c r="I12" s="1789">
        <f t="shared" si="1"/>
        <v>-28374.79</v>
      </c>
      <c r="J12" s="1794" t="s">
        <v>8075</v>
      </c>
      <c r="K12" s="1791">
        <f t="shared" si="2"/>
        <v>0</v>
      </c>
      <c r="L12" s="1796" t="s">
        <v>6776</v>
      </c>
      <c r="N12" s="1145"/>
    </row>
    <row r="13" spans="1:14">
      <c r="A13" s="863"/>
      <c r="B13" s="864"/>
      <c r="C13" s="1785">
        <v>45600057</v>
      </c>
      <c r="D13" s="1786" t="s">
        <v>7130</v>
      </c>
      <c r="E13" s="1787">
        <v>1721781</v>
      </c>
      <c r="F13" s="1788" t="s">
        <v>390</v>
      </c>
      <c r="G13" s="1789">
        <f t="shared" si="3"/>
        <v>0</v>
      </c>
      <c r="H13" s="1790">
        <f t="shared" si="0"/>
        <v>0</v>
      </c>
      <c r="I13" s="1789">
        <f t="shared" si="1"/>
        <v>1721781</v>
      </c>
      <c r="J13" s="1794" t="s">
        <v>8013</v>
      </c>
      <c r="K13" s="1791">
        <f t="shared" si="2"/>
        <v>0</v>
      </c>
      <c r="L13" s="1796" t="s">
        <v>6776</v>
      </c>
      <c r="N13" s="1145"/>
    </row>
    <row r="14" spans="1:14">
      <c r="A14" s="863"/>
      <c r="B14" s="864"/>
      <c r="C14" s="724">
        <v>45600073</v>
      </c>
      <c r="D14" s="637" t="s">
        <v>4604</v>
      </c>
      <c r="E14" s="1804">
        <v>943720.93</v>
      </c>
      <c r="F14" s="860" t="s">
        <v>392</v>
      </c>
      <c r="G14" s="861">
        <f t="shared" si="3"/>
        <v>943720.93</v>
      </c>
      <c r="H14" s="862">
        <f t="shared" si="0"/>
        <v>0</v>
      </c>
      <c r="I14" s="861">
        <f t="shared" si="1"/>
        <v>0</v>
      </c>
      <c r="J14" s="1792"/>
      <c r="K14" s="1791">
        <f t="shared" si="2"/>
        <v>0</v>
      </c>
      <c r="N14" s="1145"/>
    </row>
    <row r="15" spans="1:14">
      <c r="A15" s="863"/>
      <c r="B15" s="864"/>
      <c r="C15" s="724">
        <v>45600074</v>
      </c>
      <c r="D15" s="867" t="s">
        <v>4605</v>
      </c>
      <c r="E15" s="1804">
        <v>0</v>
      </c>
      <c r="F15" s="860" t="s">
        <v>392</v>
      </c>
      <c r="G15" s="861">
        <f t="shared" si="3"/>
        <v>0</v>
      </c>
      <c r="H15" s="862">
        <f t="shared" si="0"/>
        <v>0</v>
      </c>
      <c r="I15" s="861">
        <f t="shared" si="1"/>
        <v>0</v>
      </c>
      <c r="J15" s="1792"/>
      <c r="K15" s="1791">
        <f t="shared" si="2"/>
        <v>0</v>
      </c>
      <c r="N15" s="1145"/>
    </row>
    <row r="16" spans="1:14">
      <c r="A16" s="863"/>
      <c r="B16" s="864"/>
      <c r="C16" s="724">
        <v>45600077</v>
      </c>
      <c r="D16" s="867" t="s">
        <v>4606</v>
      </c>
      <c r="E16" s="1804">
        <v>-455727.93</v>
      </c>
      <c r="F16" s="860" t="s">
        <v>390</v>
      </c>
      <c r="G16" s="861">
        <f t="shared" si="3"/>
        <v>0</v>
      </c>
      <c r="H16" s="862">
        <f t="shared" si="0"/>
        <v>0</v>
      </c>
      <c r="I16" s="861">
        <f t="shared" si="1"/>
        <v>-455727.93</v>
      </c>
      <c r="J16" s="1792"/>
      <c r="K16" s="1791">
        <f t="shared" si="2"/>
        <v>0</v>
      </c>
      <c r="N16" s="1145"/>
    </row>
    <row r="17" spans="1:14">
      <c r="A17" s="863"/>
      <c r="B17" s="864"/>
      <c r="C17" s="724">
        <v>45600078</v>
      </c>
      <c r="D17" s="868" t="s">
        <v>4607</v>
      </c>
      <c r="E17" s="1804">
        <v>-974647.4</v>
      </c>
      <c r="F17" s="860" t="s">
        <v>108</v>
      </c>
      <c r="G17" s="861">
        <f t="shared" si="3"/>
        <v>-341002.41321912431</v>
      </c>
      <c r="H17" s="862">
        <f t="shared" si="0"/>
        <v>0</v>
      </c>
      <c r="I17" s="861">
        <f t="shared" si="1"/>
        <v>-633644.98659433133</v>
      </c>
      <c r="J17" s="1792"/>
      <c r="K17" s="1791">
        <f t="shared" si="2"/>
        <v>-1.8654437735676765E-4</v>
      </c>
      <c r="N17" s="1145"/>
    </row>
    <row r="18" spans="1:14">
      <c r="A18" s="863"/>
      <c r="B18" s="864"/>
      <c r="C18" s="724">
        <v>45600079</v>
      </c>
      <c r="D18" s="867" t="s">
        <v>4608</v>
      </c>
      <c r="E18" s="1804">
        <v>0</v>
      </c>
      <c r="F18" s="860" t="s">
        <v>392</v>
      </c>
      <c r="G18" s="861">
        <f t="shared" si="3"/>
        <v>0</v>
      </c>
      <c r="H18" s="862">
        <f t="shared" si="0"/>
        <v>0</v>
      </c>
      <c r="I18" s="861">
        <f t="shared" si="1"/>
        <v>0</v>
      </c>
      <c r="J18" s="1792"/>
      <c r="K18" s="1791">
        <f t="shared" si="2"/>
        <v>0</v>
      </c>
      <c r="N18" s="1145"/>
    </row>
    <row r="19" spans="1:14">
      <c r="A19" s="863"/>
      <c r="B19" s="864"/>
      <c r="C19" s="724">
        <v>45600080</v>
      </c>
      <c r="D19" s="672" t="s">
        <v>4609</v>
      </c>
      <c r="E19" s="1804">
        <v>-247239835.24000001</v>
      </c>
      <c r="F19" s="860" t="s">
        <v>392</v>
      </c>
      <c r="G19" s="861">
        <f t="shared" si="3"/>
        <v>-247239835.24000001</v>
      </c>
      <c r="H19" s="862">
        <f t="shared" si="0"/>
        <v>0</v>
      </c>
      <c r="I19" s="861">
        <f t="shared" si="1"/>
        <v>0</v>
      </c>
      <c r="J19" s="1792"/>
      <c r="K19" s="1791">
        <f t="shared" si="2"/>
        <v>0</v>
      </c>
      <c r="N19" s="1145"/>
    </row>
    <row r="20" spans="1:14">
      <c r="A20" s="863"/>
      <c r="B20" s="864"/>
      <c r="C20" s="724">
        <v>45600081</v>
      </c>
      <c r="D20" s="637" t="s">
        <v>4610</v>
      </c>
      <c r="E20" s="1804">
        <v>199693314.05000001</v>
      </c>
      <c r="F20" s="860" t="s">
        <v>392</v>
      </c>
      <c r="G20" s="861">
        <f t="shared" si="3"/>
        <v>199693314.05000001</v>
      </c>
      <c r="H20" s="862">
        <f t="shared" si="0"/>
        <v>0</v>
      </c>
      <c r="I20" s="861">
        <f t="shared" si="1"/>
        <v>0</v>
      </c>
      <c r="J20" s="1792"/>
      <c r="K20" s="1791">
        <f t="shared" si="2"/>
        <v>0</v>
      </c>
      <c r="N20" s="1145"/>
    </row>
    <row r="21" spans="1:14">
      <c r="A21" s="863"/>
      <c r="B21" s="864"/>
      <c r="C21" s="724">
        <v>45600082</v>
      </c>
      <c r="D21" s="637" t="s">
        <v>4611</v>
      </c>
      <c r="E21" s="1804">
        <v>-27998.65</v>
      </c>
      <c r="F21" s="860" t="s">
        <v>390</v>
      </c>
      <c r="G21" s="861">
        <f t="shared" si="3"/>
        <v>0</v>
      </c>
      <c r="H21" s="862">
        <f t="shared" si="0"/>
        <v>0</v>
      </c>
      <c r="I21" s="861">
        <f t="shared" si="1"/>
        <v>-27998.65</v>
      </c>
      <c r="J21" s="1792"/>
      <c r="K21" s="1791">
        <f t="shared" si="2"/>
        <v>0</v>
      </c>
      <c r="N21" s="1145"/>
    </row>
    <row r="22" spans="1:14">
      <c r="A22" s="863"/>
      <c r="B22" s="864"/>
      <c r="C22" s="724">
        <v>45600088</v>
      </c>
      <c r="D22" s="637" t="s">
        <v>4612</v>
      </c>
      <c r="E22" s="1804">
        <v>0</v>
      </c>
      <c r="F22" s="860" t="s">
        <v>390</v>
      </c>
      <c r="G22" s="861">
        <f t="shared" si="3"/>
        <v>0</v>
      </c>
      <c r="H22" s="862">
        <f t="shared" si="0"/>
        <v>0</v>
      </c>
      <c r="I22" s="861">
        <f t="shared" si="1"/>
        <v>0</v>
      </c>
      <c r="J22" s="1792"/>
      <c r="K22" s="1791">
        <f t="shared" si="2"/>
        <v>0</v>
      </c>
      <c r="N22" s="1145"/>
    </row>
    <row r="23" spans="1:14">
      <c r="A23" s="863"/>
      <c r="B23" s="864"/>
      <c r="C23" s="724">
        <v>45600089</v>
      </c>
      <c r="D23" s="637" t="s">
        <v>4613</v>
      </c>
      <c r="E23" s="1804">
        <v>2416.86</v>
      </c>
      <c r="F23" s="860" t="s">
        <v>392</v>
      </c>
      <c r="G23" s="861">
        <f t="shared" si="3"/>
        <v>2416.86</v>
      </c>
      <c r="H23" s="862">
        <f t="shared" si="0"/>
        <v>0</v>
      </c>
      <c r="I23" s="861">
        <f t="shared" si="1"/>
        <v>0</v>
      </c>
      <c r="J23" s="1792"/>
      <c r="K23" s="1791">
        <f t="shared" si="2"/>
        <v>0</v>
      </c>
      <c r="N23" s="1145"/>
    </row>
    <row r="24" spans="1:14">
      <c r="A24" s="863"/>
      <c r="B24" s="864"/>
      <c r="C24" s="724">
        <v>45600090</v>
      </c>
      <c r="D24" s="637" t="s">
        <v>4614</v>
      </c>
      <c r="E24" s="1804">
        <v>0</v>
      </c>
      <c r="F24" s="860" t="s">
        <v>392</v>
      </c>
      <c r="G24" s="861">
        <f t="shared" si="3"/>
        <v>0</v>
      </c>
      <c r="H24" s="862">
        <f t="shared" si="0"/>
        <v>0</v>
      </c>
      <c r="I24" s="861">
        <f t="shared" si="1"/>
        <v>0</v>
      </c>
      <c r="J24" s="1792"/>
      <c r="K24" s="1791">
        <f t="shared" si="2"/>
        <v>0</v>
      </c>
      <c r="N24" s="1145"/>
    </row>
    <row r="25" spans="1:14">
      <c r="A25" s="863"/>
      <c r="B25" s="864"/>
      <c r="C25" s="724">
        <v>45600092</v>
      </c>
      <c r="D25" s="637" t="s">
        <v>4615</v>
      </c>
      <c r="E25" s="1804">
        <v>0</v>
      </c>
      <c r="F25" s="860" t="s">
        <v>392</v>
      </c>
      <c r="G25" s="861">
        <f t="shared" si="3"/>
        <v>0</v>
      </c>
      <c r="H25" s="862">
        <f t="shared" si="0"/>
        <v>0</v>
      </c>
      <c r="I25" s="861">
        <f t="shared" si="1"/>
        <v>0</v>
      </c>
      <c r="J25" s="1792"/>
      <c r="K25" s="1791">
        <f t="shared" si="2"/>
        <v>0</v>
      </c>
      <c r="N25" s="1145"/>
    </row>
    <row r="26" spans="1:14">
      <c r="A26" s="863"/>
      <c r="B26" s="864"/>
      <c r="C26" s="724">
        <v>45600094</v>
      </c>
      <c r="D26" s="672" t="s">
        <v>4616</v>
      </c>
      <c r="E26" s="1804">
        <v>0</v>
      </c>
      <c r="F26" s="860" t="s">
        <v>390</v>
      </c>
      <c r="G26" s="861">
        <f t="shared" si="3"/>
        <v>0</v>
      </c>
      <c r="H26" s="862">
        <f t="shared" si="0"/>
        <v>0</v>
      </c>
      <c r="I26" s="861">
        <f t="shared" si="1"/>
        <v>0</v>
      </c>
      <c r="J26" s="1792" t="s">
        <v>4617</v>
      </c>
      <c r="K26" s="1791">
        <f t="shared" si="2"/>
        <v>0</v>
      </c>
      <c r="N26" s="1145"/>
    </row>
    <row r="27" spans="1:14" ht="33.75">
      <c r="A27" s="863"/>
      <c r="B27" s="864"/>
      <c r="C27" s="1785">
        <v>45600095</v>
      </c>
      <c r="D27" s="1786" t="s">
        <v>4618</v>
      </c>
      <c r="E27" s="1787">
        <v>-120000</v>
      </c>
      <c r="F27" s="1800" t="s">
        <v>390</v>
      </c>
      <c r="G27" s="1789">
        <f t="shared" si="3"/>
        <v>0</v>
      </c>
      <c r="H27" s="1790">
        <f t="shared" si="0"/>
        <v>0</v>
      </c>
      <c r="I27" s="1789">
        <f t="shared" si="1"/>
        <v>-120000</v>
      </c>
      <c r="J27" s="1794" t="s">
        <v>4619</v>
      </c>
      <c r="K27" s="1791">
        <f t="shared" si="2"/>
        <v>0</v>
      </c>
      <c r="L27" s="1796" t="s">
        <v>6775</v>
      </c>
      <c r="N27" s="1145"/>
    </row>
    <row r="28" spans="1:14">
      <c r="A28" s="863"/>
      <c r="B28" s="864"/>
      <c r="C28" s="1785">
        <v>45600096</v>
      </c>
      <c r="D28" s="1786" t="s">
        <v>7135</v>
      </c>
      <c r="E28" s="1787">
        <v>-56014</v>
      </c>
      <c r="F28" s="1788" t="s">
        <v>390</v>
      </c>
      <c r="G28" s="1789">
        <f t="shared" si="3"/>
        <v>0</v>
      </c>
      <c r="H28" s="1790">
        <f t="shared" si="0"/>
        <v>0</v>
      </c>
      <c r="I28" s="1789">
        <f t="shared" si="1"/>
        <v>-56014</v>
      </c>
      <c r="J28" s="1794" t="s">
        <v>8012</v>
      </c>
      <c r="K28" s="1791">
        <f t="shared" si="2"/>
        <v>0</v>
      </c>
      <c r="L28" s="1796" t="s">
        <v>6776</v>
      </c>
      <c r="N28" s="1145"/>
    </row>
    <row r="29" spans="1:14">
      <c r="A29" s="863"/>
      <c r="B29" s="864"/>
      <c r="C29" s="724">
        <v>45600102</v>
      </c>
      <c r="D29" s="637" t="s">
        <v>4620</v>
      </c>
      <c r="E29" s="1804">
        <v>-55838.52</v>
      </c>
      <c r="F29" s="860" t="s">
        <v>390</v>
      </c>
      <c r="G29" s="861">
        <f t="shared" si="3"/>
        <v>0</v>
      </c>
      <c r="H29" s="862">
        <f t="shared" si="0"/>
        <v>0</v>
      </c>
      <c r="I29" s="861">
        <f t="shared" si="1"/>
        <v>-55838.52</v>
      </c>
      <c r="J29" s="1792"/>
      <c r="K29" s="1791">
        <f t="shared" si="2"/>
        <v>0</v>
      </c>
      <c r="N29" s="1145"/>
    </row>
    <row r="30" spans="1:14">
      <c r="A30" s="863"/>
      <c r="B30" s="864"/>
      <c r="C30" s="724">
        <v>45600103</v>
      </c>
      <c r="D30" s="637" t="s">
        <v>4621</v>
      </c>
      <c r="E30" s="1804">
        <v>1459497.27</v>
      </c>
      <c r="F30" s="860" t="s">
        <v>390</v>
      </c>
      <c r="G30" s="861">
        <f t="shared" si="3"/>
        <v>0</v>
      </c>
      <c r="H30" s="862">
        <f t="shared" si="0"/>
        <v>0</v>
      </c>
      <c r="I30" s="861">
        <f t="shared" si="1"/>
        <v>1459497.27</v>
      </c>
      <c r="J30" s="1792"/>
      <c r="K30" s="1791">
        <f t="shared" si="2"/>
        <v>0</v>
      </c>
      <c r="N30" s="1145"/>
    </row>
    <row r="31" spans="1:14">
      <c r="A31" s="863"/>
      <c r="B31" s="864"/>
      <c r="C31" s="724">
        <v>45600104</v>
      </c>
      <c r="D31" s="637" t="s">
        <v>4622</v>
      </c>
      <c r="E31" s="1804">
        <v>-111093.7</v>
      </c>
      <c r="F31" s="860" t="s">
        <v>390</v>
      </c>
      <c r="G31" s="861">
        <f t="shared" si="3"/>
        <v>0</v>
      </c>
      <c r="H31" s="862">
        <f t="shared" si="0"/>
        <v>0</v>
      </c>
      <c r="I31" s="861">
        <f t="shared" si="1"/>
        <v>-111093.7</v>
      </c>
      <c r="J31" s="1792"/>
      <c r="K31" s="1791">
        <f t="shared" si="2"/>
        <v>0</v>
      </c>
      <c r="N31" s="1145"/>
    </row>
    <row r="32" spans="1:14">
      <c r="A32" s="863"/>
      <c r="B32" s="864"/>
      <c r="C32" s="724">
        <v>45600105</v>
      </c>
      <c r="D32" s="637" t="s">
        <v>4623</v>
      </c>
      <c r="E32" s="1804">
        <v>8616817.8300000001</v>
      </c>
      <c r="F32" s="860" t="s">
        <v>390</v>
      </c>
      <c r="G32" s="861">
        <f t="shared" si="3"/>
        <v>0</v>
      </c>
      <c r="H32" s="862">
        <f t="shared" si="0"/>
        <v>0</v>
      </c>
      <c r="I32" s="861">
        <f t="shared" si="1"/>
        <v>8616817.8300000001</v>
      </c>
      <c r="J32" s="1792"/>
      <c r="K32" s="1791">
        <f t="shared" si="2"/>
        <v>0</v>
      </c>
      <c r="N32" s="1145"/>
    </row>
    <row r="33" spans="1:14">
      <c r="A33" s="863"/>
      <c r="B33" s="864"/>
      <c r="C33" s="724">
        <v>45600106</v>
      </c>
      <c r="D33" s="637" t="s">
        <v>4624</v>
      </c>
      <c r="E33" s="1804">
        <v>-890577.25</v>
      </c>
      <c r="F33" s="860" t="s">
        <v>390</v>
      </c>
      <c r="G33" s="861">
        <f t="shared" si="3"/>
        <v>0</v>
      </c>
      <c r="H33" s="862">
        <f t="shared" si="0"/>
        <v>0</v>
      </c>
      <c r="I33" s="861">
        <f t="shared" si="1"/>
        <v>-890577.25</v>
      </c>
      <c r="J33" s="1792"/>
      <c r="K33" s="1791">
        <f t="shared" si="2"/>
        <v>0</v>
      </c>
      <c r="N33" s="1145"/>
    </row>
    <row r="34" spans="1:14">
      <c r="A34" s="863"/>
      <c r="B34" s="864"/>
      <c r="C34" s="724">
        <v>45600107</v>
      </c>
      <c r="D34" s="637" t="s">
        <v>4625</v>
      </c>
      <c r="E34" s="1804">
        <v>2080600.27</v>
      </c>
      <c r="F34" s="860" t="s">
        <v>390</v>
      </c>
      <c r="G34" s="861">
        <f t="shared" si="3"/>
        <v>0</v>
      </c>
      <c r="H34" s="862">
        <f t="shared" si="0"/>
        <v>0</v>
      </c>
      <c r="I34" s="861">
        <f t="shared" si="1"/>
        <v>2080600.27</v>
      </c>
      <c r="J34" s="1792"/>
      <c r="K34" s="1791">
        <f t="shared" si="2"/>
        <v>0</v>
      </c>
      <c r="N34" s="1145"/>
    </row>
    <row r="35" spans="1:14">
      <c r="A35" s="863"/>
      <c r="B35" s="864"/>
      <c r="C35" s="724">
        <v>45600108</v>
      </c>
      <c r="D35" s="637" t="s">
        <v>4626</v>
      </c>
      <c r="E35" s="1804">
        <v>0</v>
      </c>
      <c r="F35" s="860" t="s">
        <v>390</v>
      </c>
      <c r="G35" s="861">
        <f t="shared" si="3"/>
        <v>0</v>
      </c>
      <c r="H35" s="862">
        <f t="shared" si="0"/>
        <v>0</v>
      </c>
      <c r="I35" s="861">
        <f t="shared" si="1"/>
        <v>0</v>
      </c>
      <c r="J35" s="1792"/>
      <c r="K35" s="1791">
        <f t="shared" si="2"/>
        <v>0</v>
      </c>
      <c r="N35" s="1145"/>
    </row>
    <row r="36" spans="1:14">
      <c r="A36" s="863"/>
      <c r="B36" s="864"/>
      <c r="C36" s="724">
        <v>45600109</v>
      </c>
      <c r="D36" s="637" t="s">
        <v>4627</v>
      </c>
      <c r="E36" s="1804">
        <v>519991.2</v>
      </c>
      <c r="F36" s="860" t="s">
        <v>390</v>
      </c>
      <c r="G36" s="861">
        <f t="shared" si="3"/>
        <v>0</v>
      </c>
      <c r="H36" s="862">
        <f t="shared" si="0"/>
        <v>0</v>
      </c>
      <c r="I36" s="861">
        <f t="shared" si="1"/>
        <v>519991.2</v>
      </c>
      <c r="J36" s="1792"/>
      <c r="K36" s="1791">
        <f t="shared" si="2"/>
        <v>0</v>
      </c>
      <c r="N36" s="1145"/>
    </row>
    <row r="37" spans="1:14">
      <c r="A37" s="863"/>
      <c r="B37" s="864"/>
      <c r="C37" s="724">
        <v>45600110</v>
      </c>
      <c r="D37" s="637" t="s">
        <v>4628</v>
      </c>
      <c r="E37" s="1804">
        <v>1445550.19</v>
      </c>
      <c r="F37" s="860" t="s">
        <v>390</v>
      </c>
      <c r="G37" s="861">
        <f t="shared" si="3"/>
        <v>0</v>
      </c>
      <c r="H37" s="862">
        <f t="shared" si="0"/>
        <v>0</v>
      </c>
      <c r="I37" s="861">
        <f t="shared" si="1"/>
        <v>1445550.19</v>
      </c>
      <c r="J37" s="1792"/>
      <c r="K37" s="1791">
        <f t="shared" si="2"/>
        <v>0</v>
      </c>
      <c r="N37" s="1145"/>
    </row>
    <row r="38" spans="1:14">
      <c r="A38" s="863"/>
      <c r="B38" s="864"/>
      <c r="C38" s="724">
        <v>45600111</v>
      </c>
      <c r="D38" s="637" t="s">
        <v>4629</v>
      </c>
      <c r="E38" s="1804">
        <v>0</v>
      </c>
      <c r="F38" s="860" t="s">
        <v>392</v>
      </c>
      <c r="G38" s="861">
        <f t="shared" si="3"/>
        <v>0</v>
      </c>
      <c r="H38" s="862">
        <f t="shared" si="0"/>
        <v>0</v>
      </c>
      <c r="I38" s="861">
        <f t="shared" si="1"/>
        <v>0</v>
      </c>
      <c r="J38" s="1792"/>
      <c r="K38" s="1791">
        <f t="shared" si="2"/>
        <v>0</v>
      </c>
      <c r="N38" s="1145"/>
    </row>
    <row r="39" spans="1:14">
      <c r="A39" s="863"/>
      <c r="B39" s="864"/>
      <c r="C39" s="724">
        <v>45600112</v>
      </c>
      <c r="D39" s="637" t="s">
        <v>4630</v>
      </c>
      <c r="E39" s="1804">
        <v>0</v>
      </c>
      <c r="F39" s="860" t="s">
        <v>392</v>
      </c>
      <c r="G39" s="861">
        <f t="shared" si="3"/>
        <v>0</v>
      </c>
      <c r="H39" s="862">
        <f t="shared" si="0"/>
        <v>0</v>
      </c>
      <c r="I39" s="861">
        <f t="shared" si="1"/>
        <v>0</v>
      </c>
      <c r="J39" s="1792"/>
      <c r="K39" s="1791">
        <f t="shared" si="2"/>
        <v>0</v>
      </c>
      <c r="N39" s="1145"/>
    </row>
    <row r="40" spans="1:14">
      <c r="A40" s="863"/>
      <c r="B40" s="864"/>
      <c r="C40" s="724">
        <v>45600113</v>
      </c>
      <c r="D40" s="637" t="s">
        <v>4631</v>
      </c>
      <c r="E40" s="1804">
        <v>0</v>
      </c>
      <c r="F40" s="860" t="s">
        <v>390</v>
      </c>
      <c r="G40" s="861">
        <f t="shared" si="3"/>
        <v>0</v>
      </c>
      <c r="H40" s="862">
        <f t="shared" si="0"/>
        <v>0</v>
      </c>
      <c r="I40" s="861">
        <f t="shared" si="1"/>
        <v>0</v>
      </c>
      <c r="J40" s="1792"/>
      <c r="K40" s="1791">
        <f t="shared" si="2"/>
        <v>0</v>
      </c>
      <c r="N40" s="1145"/>
    </row>
    <row r="41" spans="1:14">
      <c r="A41" s="863"/>
      <c r="B41" s="864"/>
      <c r="C41" s="1785">
        <v>45600114</v>
      </c>
      <c r="D41" s="1786" t="s">
        <v>7131</v>
      </c>
      <c r="E41" s="1787">
        <v>-61802.93</v>
      </c>
      <c r="F41" s="1800" t="s">
        <v>390</v>
      </c>
      <c r="G41" s="1789">
        <f t="shared" si="3"/>
        <v>0</v>
      </c>
      <c r="H41" s="1790">
        <f t="shared" si="0"/>
        <v>0</v>
      </c>
      <c r="I41" s="1789">
        <f t="shared" si="1"/>
        <v>-61802.93</v>
      </c>
      <c r="J41" s="1794"/>
      <c r="K41" s="1791">
        <f t="shared" si="2"/>
        <v>0</v>
      </c>
      <c r="L41" s="1796" t="s">
        <v>6776</v>
      </c>
      <c r="N41" s="1145"/>
    </row>
    <row r="42" spans="1:14">
      <c r="A42" s="863"/>
      <c r="B42" s="864"/>
      <c r="C42" s="1785">
        <v>45600115</v>
      </c>
      <c r="D42" s="1786" t="s">
        <v>7132</v>
      </c>
      <c r="E42" s="1787">
        <v>61802.93</v>
      </c>
      <c r="F42" s="1800" t="s">
        <v>390</v>
      </c>
      <c r="G42" s="1789">
        <f t="shared" si="3"/>
        <v>0</v>
      </c>
      <c r="H42" s="1790">
        <f t="shared" si="0"/>
        <v>0</v>
      </c>
      <c r="I42" s="1789">
        <f t="shared" si="1"/>
        <v>61802.93</v>
      </c>
      <c r="J42" s="1794"/>
      <c r="K42" s="1791">
        <f t="shared" si="2"/>
        <v>0</v>
      </c>
      <c r="L42" s="1796" t="s">
        <v>6776</v>
      </c>
      <c r="N42" s="1145"/>
    </row>
    <row r="43" spans="1:14">
      <c r="A43" s="863"/>
      <c r="B43" s="864"/>
      <c r="C43" s="1785">
        <v>45600126</v>
      </c>
      <c r="D43" s="1786" t="s">
        <v>7131</v>
      </c>
      <c r="E43" s="1787">
        <v>-450440</v>
      </c>
      <c r="F43" s="1800" t="s">
        <v>390</v>
      </c>
      <c r="G43" s="1789">
        <f t="shared" si="3"/>
        <v>0</v>
      </c>
      <c r="H43" s="1790">
        <f t="shared" si="0"/>
        <v>0</v>
      </c>
      <c r="I43" s="1789">
        <f t="shared" si="1"/>
        <v>-450440</v>
      </c>
      <c r="J43" s="1794"/>
      <c r="K43" s="1791">
        <f t="shared" si="2"/>
        <v>0</v>
      </c>
      <c r="L43" s="1796" t="s">
        <v>6776</v>
      </c>
      <c r="N43" s="1145"/>
    </row>
    <row r="44" spans="1:14">
      <c r="A44" s="863"/>
      <c r="B44" s="864"/>
      <c r="C44" s="724">
        <v>45600138</v>
      </c>
      <c r="D44" s="637" t="s">
        <v>4632</v>
      </c>
      <c r="E44" s="1804">
        <v>-1394596.18</v>
      </c>
      <c r="F44" s="860" t="s">
        <v>390</v>
      </c>
      <c r="G44" s="861">
        <f t="shared" si="3"/>
        <v>0</v>
      </c>
      <c r="H44" s="862">
        <f t="shared" si="0"/>
        <v>0</v>
      </c>
      <c r="I44" s="861">
        <f t="shared" si="1"/>
        <v>-1394596.18</v>
      </c>
      <c r="J44" s="1793"/>
      <c r="K44" s="1791">
        <f t="shared" si="2"/>
        <v>0</v>
      </c>
      <c r="N44" s="1145"/>
    </row>
    <row r="45" spans="1:14">
      <c r="A45" s="863"/>
      <c r="B45" s="864"/>
      <c r="C45" s="724">
        <v>45600139</v>
      </c>
      <c r="D45" s="637" t="s">
        <v>4633</v>
      </c>
      <c r="E45" s="1804">
        <v>911715.31</v>
      </c>
      <c r="F45" s="860" t="s">
        <v>390</v>
      </c>
      <c r="G45" s="861">
        <f t="shared" si="3"/>
        <v>0</v>
      </c>
      <c r="H45" s="862">
        <f t="shared" si="0"/>
        <v>0</v>
      </c>
      <c r="I45" s="861">
        <f t="shared" si="1"/>
        <v>911715.31</v>
      </c>
      <c r="J45" s="1792"/>
      <c r="K45" s="1791">
        <f t="shared" si="2"/>
        <v>0</v>
      </c>
      <c r="N45" s="1145"/>
    </row>
    <row r="46" spans="1:14">
      <c r="A46" s="863"/>
      <c r="B46" s="864"/>
      <c r="C46" s="724">
        <v>45600140</v>
      </c>
      <c r="D46" s="637" t="s">
        <v>4634</v>
      </c>
      <c r="E46" s="1804">
        <v>0</v>
      </c>
      <c r="F46" s="860" t="s">
        <v>390</v>
      </c>
      <c r="G46" s="861">
        <f t="shared" ref="G46:G92" si="4">VLOOKUP($F46,Ratio,2,FALSE)*$E46</f>
        <v>0</v>
      </c>
      <c r="H46" s="862">
        <f t="shared" ref="H46:H92" si="5">VLOOKUP($F46,Ratio,3,FALSE)*$E46</f>
        <v>0</v>
      </c>
      <c r="I46" s="861">
        <f t="shared" ref="I46:I92" si="6">VLOOKUP($F46,Ratio,4,FALSE)*$E46</f>
        <v>0</v>
      </c>
      <c r="J46" s="1792"/>
      <c r="K46" s="1791">
        <f t="shared" si="2"/>
        <v>0</v>
      </c>
      <c r="N46" s="1145"/>
    </row>
    <row r="47" spans="1:14">
      <c r="A47" s="863"/>
      <c r="B47" s="864"/>
      <c r="C47" s="724">
        <v>45600141</v>
      </c>
      <c r="D47" s="637" t="s">
        <v>4635</v>
      </c>
      <c r="E47" s="1804">
        <v>10599598.75</v>
      </c>
      <c r="F47" s="860" t="s">
        <v>390</v>
      </c>
      <c r="G47" s="861">
        <f t="shared" si="4"/>
        <v>0</v>
      </c>
      <c r="H47" s="862">
        <f t="shared" si="5"/>
        <v>0</v>
      </c>
      <c r="I47" s="861">
        <f t="shared" si="6"/>
        <v>10599598.75</v>
      </c>
      <c r="J47" s="1792"/>
      <c r="K47" s="1791">
        <f t="shared" si="2"/>
        <v>0</v>
      </c>
      <c r="N47" s="1145"/>
    </row>
    <row r="48" spans="1:14">
      <c r="A48" s="863"/>
      <c r="B48" s="864"/>
      <c r="C48" s="724">
        <v>45600142</v>
      </c>
      <c r="D48" s="637" t="s">
        <v>4636</v>
      </c>
      <c r="E48" s="1804">
        <v>270004.12</v>
      </c>
      <c r="F48" s="860" t="s">
        <v>390</v>
      </c>
      <c r="G48" s="861">
        <f t="shared" si="4"/>
        <v>0</v>
      </c>
      <c r="H48" s="862">
        <f t="shared" si="5"/>
        <v>0</v>
      </c>
      <c r="I48" s="861">
        <f t="shared" si="6"/>
        <v>270004.12</v>
      </c>
      <c r="J48" s="1792"/>
      <c r="K48" s="1791">
        <f t="shared" si="2"/>
        <v>0</v>
      </c>
      <c r="N48" s="1145"/>
    </row>
    <row r="49" spans="1:14">
      <c r="A49" s="863"/>
      <c r="B49" s="864"/>
      <c r="C49" s="724">
        <v>45600143</v>
      </c>
      <c r="D49" s="637" t="s">
        <v>4637</v>
      </c>
      <c r="E49" s="1804">
        <v>-18773042.050000001</v>
      </c>
      <c r="F49" s="860" t="s">
        <v>390</v>
      </c>
      <c r="G49" s="861">
        <f t="shared" si="4"/>
        <v>0</v>
      </c>
      <c r="H49" s="862">
        <f t="shared" si="5"/>
        <v>0</v>
      </c>
      <c r="I49" s="861">
        <f t="shared" si="6"/>
        <v>-18773042.050000001</v>
      </c>
      <c r="J49" s="1792"/>
      <c r="K49" s="1791">
        <f t="shared" si="2"/>
        <v>0</v>
      </c>
      <c r="N49" s="1145"/>
    </row>
    <row r="50" spans="1:14">
      <c r="A50" s="863"/>
      <c r="B50" s="864"/>
      <c r="C50" s="724">
        <v>45600144</v>
      </c>
      <c r="D50" s="637" t="s">
        <v>4638</v>
      </c>
      <c r="E50" s="1804">
        <v>-2738729.87</v>
      </c>
      <c r="F50" s="860" t="s">
        <v>390</v>
      </c>
      <c r="G50" s="861">
        <f t="shared" si="4"/>
        <v>0</v>
      </c>
      <c r="H50" s="862">
        <f t="shared" si="5"/>
        <v>0</v>
      </c>
      <c r="I50" s="861">
        <f t="shared" si="6"/>
        <v>-2738729.87</v>
      </c>
      <c r="J50" s="1792"/>
      <c r="K50" s="1791">
        <f t="shared" si="2"/>
        <v>0</v>
      </c>
      <c r="N50" s="1145"/>
    </row>
    <row r="51" spans="1:14">
      <c r="A51" s="863"/>
      <c r="B51" s="864"/>
      <c r="C51" s="724">
        <v>45600145</v>
      </c>
      <c r="D51" s="637" t="s">
        <v>4639</v>
      </c>
      <c r="E51" s="1804">
        <v>1907070.34</v>
      </c>
      <c r="F51" s="860" t="s">
        <v>390</v>
      </c>
      <c r="G51" s="861">
        <f t="shared" si="4"/>
        <v>0</v>
      </c>
      <c r="H51" s="862">
        <f t="shared" si="5"/>
        <v>0</v>
      </c>
      <c r="I51" s="861">
        <f t="shared" si="6"/>
        <v>1907070.34</v>
      </c>
      <c r="J51" s="1792"/>
      <c r="K51" s="1791">
        <f t="shared" si="2"/>
        <v>0</v>
      </c>
      <c r="N51" s="1145"/>
    </row>
    <row r="52" spans="1:14">
      <c r="A52" s="863"/>
      <c r="B52" s="864"/>
      <c r="C52" s="724">
        <v>45600146</v>
      </c>
      <c r="D52" s="637" t="s">
        <v>4640</v>
      </c>
      <c r="E52" s="1804">
        <v>353953.39</v>
      </c>
      <c r="F52" s="860" t="s">
        <v>390</v>
      </c>
      <c r="G52" s="861">
        <f t="shared" si="4"/>
        <v>0</v>
      </c>
      <c r="H52" s="862">
        <f t="shared" si="5"/>
        <v>0</v>
      </c>
      <c r="I52" s="861">
        <f t="shared" si="6"/>
        <v>353953.39</v>
      </c>
      <c r="J52" s="1792"/>
      <c r="K52" s="1791">
        <f t="shared" si="2"/>
        <v>0</v>
      </c>
      <c r="N52" s="1145"/>
    </row>
    <row r="53" spans="1:14">
      <c r="A53" s="863"/>
      <c r="B53" s="864"/>
      <c r="C53" s="724">
        <v>45600147</v>
      </c>
      <c r="D53" s="637" t="s">
        <v>4641</v>
      </c>
      <c r="E53" s="1804">
        <v>2064081.49</v>
      </c>
      <c r="F53" s="860" t="s">
        <v>390</v>
      </c>
      <c r="G53" s="861">
        <f t="shared" si="4"/>
        <v>0</v>
      </c>
      <c r="H53" s="862">
        <f t="shared" si="5"/>
        <v>0</v>
      </c>
      <c r="I53" s="861">
        <f t="shared" si="6"/>
        <v>2064081.49</v>
      </c>
      <c r="J53" s="1792"/>
      <c r="K53" s="1791">
        <f t="shared" si="2"/>
        <v>0</v>
      </c>
      <c r="N53" s="1145"/>
    </row>
    <row r="54" spans="1:14">
      <c r="A54" s="863"/>
      <c r="B54" s="864"/>
      <c r="C54" s="724">
        <v>45600148</v>
      </c>
      <c r="D54" s="637" t="s">
        <v>4642</v>
      </c>
      <c r="E54" s="1804">
        <v>188161.72</v>
      </c>
      <c r="F54" s="860" t="s">
        <v>390</v>
      </c>
      <c r="G54" s="861">
        <f t="shared" si="4"/>
        <v>0</v>
      </c>
      <c r="H54" s="862">
        <f t="shared" si="5"/>
        <v>0</v>
      </c>
      <c r="I54" s="861">
        <f t="shared" si="6"/>
        <v>188161.72</v>
      </c>
      <c r="J54" s="1792"/>
      <c r="K54" s="1791">
        <f t="shared" si="2"/>
        <v>0</v>
      </c>
      <c r="N54" s="1145"/>
    </row>
    <row r="55" spans="1:14">
      <c r="A55" s="863"/>
      <c r="B55" s="864"/>
      <c r="C55" s="724">
        <v>45600149</v>
      </c>
      <c r="D55" s="637" t="s">
        <v>4643</v>
      </c>
      <c r="E55" s="1804">
        <v>0</v>
      </c>
      <c r="F55" s="860" t="s">
        <v>390</v>
      </c>
      <c r="G55" s="861">
        <f t="shared" si="4"/>
        <v>0</v>
      </c>
      <c r="H55" s="862">
        <f t="shared" si="5"/>
        <v>0</v>
      </c>
      <c r="I55" s="861">
        <f t="shared" si="6"/>
        <v>0</v>
      </c>
      <c r="J55" s="1792"/>
      <c r="K55" s="1791">
        <f t="shared" si="2"/>
        <v>0</v>
      </c>
      <c r="N55" s="1145"/>
    </row>
    <row r="56" spans="1:14">
      <c r="A56" s="863"/>
      <c r="B56" s="864"/>
      <c r="C56" s="724">
        <v>45600151</v>
      </c>
      <c r="D56" s="637" t="s">
        <v>4644</v>
      </c>
      <c r="E56" s="1804">
        <v>0</v>
      </c>
      <c r="F56" s="860" t="s">
        <v>390</v>
      </c>
      <c r="G56" s="861">
        <f t="shared" si="4"/>
        <v>0</v>
      </c>
      <c r="H56" s="862">
        <f t="shared" si="5"/>
        <v>0</v>
      </c>
      <c r="I56" s="861">
        <f t="shared" si="6"/>
        <v>0</v>
      </c>
      <c r="J56" s="1792"/>
      <c r="K56" s="1791">
        <f t="shared" si="2"/>
        <v>0</v>
      </c>
      <c r="N56" s="1145"/>
    </row>
    <row r="57" spans="1:14">
      <c r="A57" s="863"/>
      <c r="B57" s="864"/>
      <c r="C57" s="724">
        <v>45600152</v>
      </c>
      <c r="D57" s="637" t="s">
        <v>4645</v>
      </c>
      <c r="E57" s="1804">
        <v>0</v>
      </c>
      <c r="F57" s="860" t="s">
        <v>390</v>
      </c>
      <c r="G57" s="861">
        <f t="shared" si="4"/>
        <v>0</v>
      </c>
      <c r="H57" s="862">
        <f t="shared" si="5"/>
        <v>0</v>
      </c>
      <c r="I57" s="861">
        <f t="shared" si="6"/>
        <v>0</v>
      </c>
      <c r="J57" s="1792"/>
      <c r="K57" s="1791">
        <f t="shared" si="2"/>
        <v>0</v>
      </c>
      <c r="N57" s="1145"/>
    </row>
    <row r="58" spans="1:14">
      <c r="A58" s="863"/>
      <c r="B58" s="864"/>
      <c r="C58" s="724">
        <v>45600153</v>
      </c>
      <c r="D58" s="637" t="s">
        <v>4646</v>
      </c>
      <c r="E58" s="1804">
        <v>0</v>
      </c>
      <c r="F58" s="860" t="s">
        <v>390</v>
      </c>
      <c r="G58" s="861">
        <f t="shared" si="4"/>
        <v>0</v>
      </c>
      <c r="H58" s="862">
        <f t="shared" si="5"/>
        <v>0</v>
      </c>
      <c r="I58" s="861">
        <f t="shared" si="6"/>
        <v>0</v>
      </c>
      <c r="J58" s="1792"/>
      <c r="K58" s="1791">
        <f t="shared" si="2"/>
        <v>0</v>
      </c>
      <c r="N58" s="1145"/>
    </row>
    <row r="59" spans="1:14">
      <c r="A59" s="863"/>
      <c r="B59" s="864"/>
      <c r="C59" s="724">
        <v>45600154</v>
      </c>
      <c r="D59" s="637" t="s">
        <v>4647</v>
      </c>
      <c r="E59" s="1804">
        <v>0</v>
      </c>
      <c r="F59" s="860" t="s">
        <v>390</v>
      </c>
      <c r="G59" s="861">
        <f t="shared" si="4"/>
        <v>0</v>
      </c>
      <c r="H59" s="862">
        <f t="shared" si="5"/>
        <v>0</v>
      </c>
      <c r="I59" s="861">
        <f t="shared" si="6"/>
        <v>0</v>
      </c>
      <c r="J59" s="1792"/>
      <c r="K59" s="1791">
        <f t="shared" si="2"/>
        <v>0</v>
      </c>
      <c r="N59" s="1145"/>
    </row>
    <row r="60" spans="1:14">
      <c r="A60" s="863"/>
      <c r="B60" s="864"/>
      <c r="C60" s="724">
        <v>45600155</v>
      </c>
      <c r="D60" s="637" t="s">
        <v>4648</v>
      </c>
      <c r="E60" s="1804">
        <v>-8733913</v>
      </c>
      <c r="F60" s="860" t="s">
        <v>390</v>
      </c>
      <c r="G60" s="861">
        <f t="shared" si="4"/>
        <v>0</v>
      </c>
      <c r="H60" s="862">
        <f t="shared" si="5"/>
        <v>0</v>
      </c>
      <c r="I60" s="861">
        <f t="shared" si="6"/>
        <v>-8733913</v>
      </c>
      <c r="J60" s="1792"/>
      <c r="K60" s="1791">
        <f t="shared" si="2"/>
        <v>0</v>
      </c>
      <c r="N60" s="1145"/>
    </row>
    <row r="61" spans="1:14">
      <c r="A61" s="863"/>
      <c r="B61" s="864"/>
      <c r="C61" s="724">
        <v>45600156</v>
      </c>
      <c r="D61" s="637" t="s">
        <v>4649</v>
      </c>
      <c r="E61" s="1804">
        <v>0</v>
      </c>
      <c r="F61" s="860" t="s">
        <v>390</v>
      </c>
      <c r="G61" s="861">
        <f t="shared" si="4"/>
        <v>0</v>
      </c>
      <c r="H61" s="862">
        <f t="shared" si="5"/>
        <v>0</v>
      </c>
      <c r="I61" s="861">
        <f t="shared" si="6"/>
        <v>0</v>
      </c>
      <c r="J61" s="1792"/>
      <c r="K61" s="1791">
        <f t="shared" si="2"/>
        <v>0</v>
      </c>
      <c r="N61" s="1145"/>
    </row>
    <row r="62" spans="1:14">
      <c r="A62" s="863"/>
      <c r="B62" s="864"/>
      <c r="C62" s="724">
        <v>45600157</v>
      </c>
      <c r="D62" s="637" t="s">
        <v>4650</v>
      </c>
      <c r="E62" s="1804">
        <v>-24249.97</v>
      </c>
      <c r="F62" s="860" t="s">
        <v>390</v>
      </c>
      <c r="G62" s="861">
        <f t="shared" si="4"/>
        <v>0</v>
      </c>
      <c r="H62" s="862">
        <f t="shared" si="5"/>
        <v>0</v>
      </c>
      <c r="I62" s="861">
        <f t="shared" si="6"/>
        <v>-24249.97</v>
      </c>
      <c r="J62" s="1792" t="s">
        <v>4651</v>
      </c>
      <c r="K62" s="1791">
        <f t="shared" si="2"/>
        <v>0</v>
      </c>
      <c r="N62" s="1145"/>
    </row>
    <row r="63" spans="1:14">
      <c r="A63" s="863"/>
      <c r="B63" s="864"/>
      <c r="C63" s="1785">
        <v>45600158</v>
      </c>
      <c r="D63" s="1786" t="s">
        <v>4652</v>
      </c>
      <c r="E63" s="1787">
        <v>-33040</v>
      </c>
      <c r="F63" s="1800" t="s">
        <v>390</v>
      </c>
      <c r="G63" s="1789">
        <f t="shared" si="4"/>
        <v>0</v>
      </c>
      <c r="H63" s="1790">
        <f t="shared" si="5"/>
        <v>0</v>
      </c>
      <c r="I63" s="1789">
        <f t="shared" si="6"/>
        <v>-33040</v>
      </c>
      <c r="J63" s="1794" t="s">
        <v>4653</v>
      </c>
      <c r="K63" s="1791">
        <f t="shared" si="2"/>
        <v>0</v>
      </c>
      <c r="L63" s="1796" t="s">
        <v>6775</v>
      </c>
      <c r="N63" s="1145"/>
    </row>
    <row r="64" spans="1:14">
      <c r="A64" s="863"/>
      <c r="B64" s="864"/>
      <c r="C64" s="1785">
        <v>45600159</v>
      </c>
      <c r="D64" s="1786" t="s">
        <v>7133</v>
      </c>
      <c r="E64" s="1787">
        <v>2457874.04</v>
      </c>
      <c r="F64" s="1788" t="s">
        <v>390</v>
      </c>
      <c r="G64" s="1789">
        <f t="shared" si="4"/>
        <v>0</v>
      </c>
      <c r="H64" s="1790">
        <f t="shared" si="5"/>
        <v>0</v>
      </c>
      <c r="I64" s="1789">
        <f t="shared" si="6"/>
        <v>2457874.04</v>
      </c>
      <c r="J64" s="1794"/>
      <c r="K64" s="1791">
        <f t="shared" si="2"/>
        <v>0</v>
      </c>
      <c r="L64" s="1796" t="s">
        <v>6776</v>
      </c>
      <c r="N64" s="1145"/>
    </row>
    <row r="65" spans="1:14">
      <c r="A65" s="863"/>
      <c r="B65" s="864"/>
      <c r="C65" s="724">
        <v>45600160</v>
      </c>
      <c r="D65" s="637" t="s">
        <v>4654</v>
      </c>
      <c r="E65" s="1804">
        <v>0</v>
      </c>
      <c r="F65" s="860" t="s">
        <v>390</v>
      </c>
      <c r="G65" s="861">
        <f t="shared" si="4"/>
        <v>0</v>
      </c>
      <c r="H65" s="862">
        <f t="shared" si="5"/>
        <v>0</v>
      </c>
      <c r="I65" s="861">
        <f t="shared" si="6"/>
        <v>0</v>
      </c>
      <c r="J65" s="1792"/>
      <c r="K65" s="1791">
        <f t="shared" si="2"/>
        <v>0</v>
      </c>
      <c r="N65" s="1145"/>
    </row>
    <row r="66" spans="1:14">
      <c r="A66" s="863"/>
      <c r="B66" s="864"/>
      <c r="C66" s="724">
        <v>45600170</v>
      </c>
      <c r="D66" s="637" t="s">
        <v>4655</v>
      </c>
      <c r="E66" s="1804">
        <v>0</v>
      </c>
      <c r="F66" s="860" t="s">
        <v>390</v>
      </c>
      <c r="G66" s="861">
        <f t="shared" si="4"/>
        <v>0</v>
      </c>
      <c r="H66" s="862">
        <f t="shared" si="5"/>
        <v>0</v>
      </c>
      <c r="I66" s="861">
        <f t="shared" si="6"/>
        <v>0</v>
      </c>
      <c r="J66" s="1792"/>
      <c r="K66" s="1791">
        <f t="shared" si="2"/>
        <v>0</v>
      </c>
      <c r="N66" s="1145"/>
    </row>
    <row r="67" spans="1:14">
      <c r="A67" s="863"/>
      <c r="B67" s="864"/>
      <c r="C67" s="1785">
        <v>45600201</v>
      </c>
      <c r="D67" s="1786" t="s">
        <v>4656</v>
      </c>
      <c r="E67" s="1787">
        <v>26760</v>
      </c>
      <c r="F67" s="1788" t="s">
        <v>390</v>
      </c>
      <c r="G67" s="1789">
        <f t="shared" si="4"/>
        <v>0</v>
      </c>
      <c r="H67" s="1790">
        <f t="shared" si="5"/>
        <v>0</v>
      </c>
      <c r="I67" s="1789">
        <f t="shared" si="6"/>
        <v>26760</v>
      </c>
      <c r="J67" s="1794" t="s">
        <v>8014</v>
      </c>
      <c r="K67" s="1791">
        <f t="shared" si="2"/>
        <v>0</v>
      </c>
      <c r="L67" s="1796" t="s">
        <v>6776</v>
      </c>
      <c r="N67" s="1145"/>
    </row>
    <row r="68" spans="1:14">
      <c r="A68" s="863"/>
      <c r="B68" s="864"/>
      <c r="C68" s="724">
        <v>45600310</v>
      </c>
      <c r="D68" s="637" t="s">
        <v>4657</v>
      </c>
      <c r="E68" s="1804">
        <v>0</v>
      </c>
      <c r="F68" s="860" t="s">
        <v>390</v>
      </c>
      <c r="G68" s="861">
        <f t="shared" si="4"/>
        <v>0</v>
      </c>
      <c r="H68" s="862">
        <f t="shared" si="5"/>
        <v>0</v>
      </c>
      <c r="I68" s="861">
        <f t="shared" si="6"/>
        <v>0</v>
      </c>
      <c r="J68" s="1792"/>
      <c r="K68" s="1791">
        <f t="shared" si="2"/>
        <v>0</v>
      </c>
      <c r="N68" s="1145"/>
    </row>
    <row r="69" spans="1:14">
      <c r="A69" s="863"/>
      <c r="B69" s="864"/>
      <c r="C69" s="724">
        <v>45600321</v>
      </c>
      <c r="D69" s="637" t="s">
        <v>4658</v>
      </c>
      <c r="E69" s="1804">
        <v>18451701.73</v>
      </c>
      <c r="F69" s="860" t="s">
        <v>390</v>
      </c>
      <c r="G69" s="861">
        <f t="shared" si="4"/>
        <v>0</v>
      </c>
      <c r="H69" s="862">
        <f t="shared" si="5"/>
        <v>0</v>
      </c>
      <c r="I69" s="861">
        <f t="shared" si="6"/>
        <v>18451701.73</v>
      </c>
      <c r="J69" s="1792"/>
      <c r="K69" s="1791">
        <f t="shared" si="2"/>
        <v>0</v>
      </c>
      <c r="N69" s="1145"/>
    </row>
    <row r="70" spans="1:14">
      <c r="A70" s="863"/>
      <c r="B70" s="864"/>
      <c r="C70" s="724">
        <v>45600322</v>
      </c>
      <c r="D70" s="637" t="s">
        <v>4659</v>
      </c>
      <c r="E70" s="1804">
        <v>0</v>
      </c>
      <c r="F70" s="860" t="s">
        <v>390</v>
      </c>
      <c r="G70" s="861">
        <f t="shared" si="4"/>
        <v>0</v>
      </c>
      <c r="H70" s="862">
        <f t="shared" si="5"/>
        <v>0</v>
      </c>
      <c r="I70" s="861">
        <f t="shared" si="6"/>
        <v>0</v>
      </c>
      <c r="J70" s="1792"/>
      <c r="K70" s="1791">
        <f t="shared" si="2"/>
        <v>0</v>
      </c>
      <c r="N70" s="1145"/>
    </row>
    <row r="71" spans="1:14">
      <c r="A71" s="863"/>
      <c r="B71" s="864"/>
      <c r="C71" s="724">
        <v>45600323</v>
      </c>
      <c r="D71" s="869" t="s">
        <v>4660</v>
      </c>
      <c r="E71" s="1804">
        <v>0</v>
      </c>
      <c r="F71" s="860" t="s">
        <v>390</v>
      </c>
      <c r="G71" s="861">
        <f t="shared" si="4"/>
        <v>0</v>
      </c>
      <c r="H71" s="862">
        <f t="shared" si="5"/>
        <v>0</v>
      </c>
      <c r="I71" s="861">
        <f t="shared" si="6"/>
        <v>0</v>
      </c>
      <c r="J71" s="1792"/>
      <c r="K71" s="1791">
        <f t="shared" si="2"/>
        <v>0</v>
      </c>
      <c r="N71" s="1145"/>
    </row>
    <row r="72" spans="1:14">
      <c r="A72" s="863"/>
      <c r="B72" s="864"/>
      <c r="C72" s="724">
        <v>45600324</v>
      </c>
      <c r="D72" s="870" t="s">
        <v>4661</v>
      </c>
      <c r="E72" s="1804">
        <v>0</v>
      </c>
      <c r="F72" s="860" t="s">
        <v>390</v>
      </c>
      <c r="G72" s="865">
        <f t="shared" si="4"/>
        <v>0</v>
      </c>
      <c r="H72" s="866">
        <f t="shared" si="5"/>
        <v>0</v>
      </c>
      <c r="I72" s="865">
        <f t="shared" si="6"/>
        <v>0</v>
      </c>
      <c r="J72" s="1793"/>
      <c r="K72" s="1791">
        <f t="shared" si="2"/>
        <v>0</v>
      </c>
      <c r="N72" s="1145"/>
    </row>
    <row r="73" spans="1:14">
      <c r="A73" s="863"/>
      <c r="B73" s="864"/>
      <c r="C73" s="724">
        <v>45600325</v>
      </c>
      <c r="D73" s="637" t="s">
        <v>4662</v>
      </c>
      <c r="E73" s="1804">
        <v>1582763.17</v>
      </c>
      <c r="F73" s="860" t="s">
        <v>390</v>
      </c>
      <c r="G73" s="861">
        <f t="shared" si="4"/>
        <v>0</v>
      </c>
      <c r="H73" s="862">
        <f t="shared" si="5"/>
        <v>0</v>
      </c>
      <c r="I73" s="861">
        <f t="shared" si="6"/>
        <v>1582763.17</v>
      </c>
      <c r="J73" s="1792"/>
      <c r="K73" s="1791">
        <f t="shared" si="2"/>
        <v>0</v>
      </c>
      <c r="N73" s="1145"/>
    </row>
    <row r="74" spans="1:14">
      <c r="A74" s="863"/>
      <c r="B74" s="864"/>
      <c r="C74" s="724">
        <v>45600326</v>
      </c>
      <c r="D74" s="672" t="s">
        <v>4663</v>
      </c>
      <c r="E74" s="1804">
        <v>2522133.27</v>
      </c>
      <c r="F74" s="860" t="s">
        <v>390</v>
      </c>
      <c r="G74" s="861">
        <f t="shared" si="4"/>
        <v>0</v>
      </c>
      <c r="H74" s="862">
        <f t="shared" si="5"/>
        <v>0</v>
      </c>
      <c r="I74" s="861">
        <f t="shared" si="6"/>
        <v>2522133.27</v>
      </c>
      <c r="J74" s="1792"/>
      <c r="K74" s="1791">
        <f t="shared" si="2"/>
        <v>0</v>
      </c>
      <c r="N74" s="1145"/>
    </row>
    <row r="75" spans="1:14">
      <c r="A75" s="863"/>
      <c r="B75" s="864"/>
      <c r="C75" s="724">
        <v>45600327</v>
      </c>
      <c r="D75" s="867" t="s">
        <v>4664</v>
      </c>
      <c r="E75" s="1804">
        <v>0</v>
      </c>
      <c r="F75" s="860" t="s">
        <v>390</v>
      </c>
      <c r="G75" s="865">
        <f t="shared" si="4"/>
        <v>0</v>
      </c>
      <c r="H75" s="866">
        <f t="shared" si="5"/>
        <v>0</v>
      </c>
      <c r="I75" s="865">
        <f t="shared" si="6"/>
        <v>0</v>
      </c>
      <c r="J75" s="1793"/>
      <c r="K75" s="1791">
        <f t="shared" si="2"/>
        <v>0</v>
      </c>
      <c r="N75" s="1145"/>
    </row>
    <row r="76" spans="1:14">
      <c r="A76" s="863"/>
      <c r="B76" s="864"/>
      <c r="C76" s="724">
        <v>45600328</v>
      </c>
      <c r="D76" s="867" t="s">
        <v>4665</v>
      </c>
      <c r="E76" s="1804">
        <v>0</v>
      </c>
      <c r="F76" s="860" t="s">
        <v>390</v>
      </c>
      <c r="G76" s="865">
        <f t="shared" si="4"/>
        <v>0</v>
      </c>
      <c r="H76" s="866">
        <f t="shared" si="5"/>
        <v>0</v>
      </c>
      <c r="I76" s="865">
        <f t="shared" si="6"/>
        <v>0</v>
      </c>
      <c r="J76" s="1793"/>
      <c r="K76" s="1791">
        <f t="shared" si="2"/>
        <v>0</v>
      </c>
      <c r="N76" s="1145"/>
    </row>
    <row r="77" spans="1:14">
      <c r="A77" s="863"/>
      <c r="B77" s="864"/>
      <c r="C77" s="724">
        <v>45600329</v>
      </c>
      <c r="D77" s="672" t="s">
        <v>4666</v>
      </c>
      <c r="E77" s="1804">
        <v>-2321</v>
      </c>
      <c r="F77" s="860" t="s">
        <v>390</v>
      </c>
      <c r="G77" s="861">
        <f t="shared" si="4"/>
        <v>0</v>
      </c>
      <c r="H77" s="862">
        <f t="shared" si="5"/>
        <v>0</v>
      </c>
      <c r="I77" s="861">
        <f t="shared" si="6"/>
        <v>-2321</v>
      </c>
      <c r="J77" s="1792"/>
      <c r="K77" s="1791">
        <f t="shared" si="2"/>
        <v>0</v>
      </c>
      <c r="N77" s="1145"/>
    </row>
    <row r="78" spans="1:14">
      <c r="A78" s="863"/>
      <c r="B78" s="864"/>
      <c r="C78" s="724">
        <v>45600330</v>
      </c>
      <c r="D78" s="672" t="s">
        <v>4667</v>
      </c>
      <c r="E78" s="1804">
        <v>0</v>
      </c>
      <c r="F78" s="860" t="s">
        <v>390</v>
      </c>
      <c r="G78" s="861">
        <f t="shared" si="4"/>
        <v>0</v>
      </c>
      <c r="H78" s="862">
        <f t="shared" si="5"/>
        <v>0</v>
      </c>
      <c r="I78" s="861">
        <f t="shared" si="6"/>
        <v>0</v>
      </c>
      <c r="J78" s="1792"/>
      <c r="K78" s="1791">
        <f t="shared" si="2"/>
        <v>0</v>
      </c>
      <c r="N78" s="1145"/>
    </row>
    <row r="79" spans="1:14">
      <c r="A79" s="863"/>
      <c r="B79" s="864"/>
      <c r="C79" s="724">
        <v>45600331</v>
      </c>
      <c r="D79" s="672" t="s">
        <v>4668</v>
      </c>
      <c r="E79" s="1804">
        <v>0</v>
      </c>
      <c r="F79" s="860" t="s">
        <v>390</v>
      </c>
      <c r="G79" s="861">
        <f t="shared" si="4"/>
        <v>0</v>
      </c>
      <c r="H79" s="862">
        <f t="shared" si="5"/>
        <v>0</v>
      </c>
      <c r="I79" s="861">
        <f t="shared" si="6"/>
        <v>0</v>
      </c>
      <c r="J79" s="1792"/>
      <c r="K79" s="1791">
        <f t="shared" ref="K79:K93" si="7">E79-SUM(G79:I79)</f>
        <v>0</v>
      </c>
      <c r="N79" s="1145"/>
    </row>
    <row r="80" spans="1:14">
      <c r="A80" s="863"/>
      <c r="B80" s="864"/>
      <c r="C80" s="724">
        <v>45600332</v>
      </c>
      <c r="D80" s="870" t="s">
        <v>4669</v>
      </c>
      <c r="E80" s="1804">
        <v>0</v>
      </c>
      <c r="F80" s="860" t="s">
        <v>390</v>
      </c>
      <c r="G80" s="861">
        <f t="shared" si="4"/>
        <v>0</v>
      </c>
      <c r="H80" s="862">
        <f t="shared" si="5"/>
        <v>0</v>
      </c>
      <c r="I80" s="861">
        <f t="shared" si="6"/>
        <v>0</v>
      </c>
      <c r="J80" s="1792"/>
      <c r="K80" s="1791">
        <f t="shared" si="7"/>
        <v>0</v>
      </c>
      <c r="N80" s="1145"/>
    </row>
    <row r="81" spans="1:14">
      <c r="A81" s="863"/>
      <c r="B81" s="864"/>
      <c r="C81" s="724">
        <v>45600335</v>
      </c>
      <c r="D81" s="637" t="s">
        <v>4670</v>
      </c>
      <c r="E81" s="1804">
        <v>3237714.6</v>
      </c>
      <c r="F81" s="860" t="s">
        <v>390</v>
      </c>
      <c r="G81" s="861">
        <f t="shared" si="4"/>
        <v>0</v>
      </c>
      <c r="H81" s="862">
        <f t="shared" si="5"/>
        <v>0</v>
      </c>
      <c r="I81" s="861">
        <f t="shared" si="6"/>
        <v>3237714.6</v>
      </c>
      <c r="J81" s="1792"/>
      <c r="K81" s="1791">
        <f t="shared" si="7"/>
        <v>0</v>
      </c>
      <c r="N81" s="1145"/>
    </row>
    <row r="82" spans="1:14">
      <c r="A82" s="863"/>
      <c r="B82" s="864"/>
      <c r="C82" s="724">
        <v>45600336</v>
      </c>
      <c r="D82" s="672" t="s">
        <v>4671</v>
      </c>
      <c r="E82" s="1804">
        <v>2475032.9</v>
      </c>
      <c r="F82" s="860" t="s">
        <v>390</v>
      </c>
      <c r="G82" s="861">
        <f t="shared" si="4"/>
        <v>0</v>
      </c>
      <c r="H82" s="862">
        <f t="shared" si="5"/>
        <v>0</v>
      </c>
      <c r="I82" s="861">
        <f t="shared" si="6"/>
        <v>2475032.9</v>
      </c>
      <c r="J82" s="1792"/>
      <c r="K82" s="1791">
        <f t="shared" si="7"/>
        <v>0</v>
      </c>
      <c r="N82" s="1145"/>
    </row>
    <row r="83" spans="1:14">
      <c r="A83" s="863"/>
      <c r="B83" s="864"/>
      <c r="C83" s="724">
        <v>45600337</v>
      </c>
      <c r="D83" s="672" t="s">
        <v>4672</v>
      </c>
      <c r="E83" s="1804">
        <v>0</v>
      </c>
      <c r="F83" s="860" t="s">
        <v>390</v>
      </c>
      <c r="G83" s="861">
        <f t="shared" si="4"/>
        <v>0</v>
      </c>
      <c r="H83" s="862">
        <f t="shared" si="5"/>
        <v>0</v>
      </c>
      <c r="I83" s="861">
        <f t="shared" si="6"/>
        <v>0</v>
      </c>
      <c r="J83" s="1792"/>
      <c r="K83" s="1791">
        <f t="shared" si="7"/>
        <v>0</v>
      </c>
      <c r="N83" s="1145"/>
    </row>
    <row r="84" spans="1:14">
      <c r="A84" s="871"/>
      <c r="B84" s="872"/>
      <c r="C84" s="724">
        <v>45600338</v>
      </c>
      <c r="D84" s="672" t="s">
        <v>4673</v>
      </c>
      <c r="E84" s="1804">
        <v>0</v>
      </c>
      <c r="F84" s="860" t="s">
        <v>390</v>
      </c>
      <c r="G84" s="861">
        <f t="shared" si="4"/>
        <v>0</v>
      </c>
      <c r="H84" s="862">
        <f t="shared" si="5"/>
        <v>0</v>
      </c>
      <c r="I84" s="861">
        <f t="shared" si="6"/>
        <v>0</v>
      </c>
      <c r="J84" s="1792"/>
      <c r="K84" s="1791">
        <f t="shared" si="7"/>
        <v>0</v>
      </c>
      <c r="N84" s="1145"/>
    </row>
    <row r="85" spans="1:14">
      <c r="A85" s="871"/>
      <c r="B85" s="872"/>
      <c r="C85" s="724">
        <v>45600351</v>
      </c>
      <c r="D85" s="637" t="s">
        <v>4674</v>
      </c>
      <c r="E85" s="1804">
        <v>-636700.31999999995</v>
      </c>
      <c r="F85" s="860" t="s">
        <v>390</v>
      </c>
      <c r="G85" s="861">
        <f t="shared" si="4"/>
        <v>0</v>
      </c>
      <c r="H85" s="862">
        <f t="shared" si="5"/>
        <v>0</v>
      </c>
      <c r="I85" s="861">
        <f t="shared" si="6"/>
        <v>-636700.31999999995</v>
      </c>
      <c r="J85" s="1792"/>
      <c r="K85" s="1791">
        <f t="shared" si="7"/>
        <v>0</v>
      </c>
      <c r="N85" s="1145"/>
    </row>
    <row r="86" spans="1:14">
      <c r="A86" s="871"/>
      <c r="B86" s="872"/>
      <c r="C86" s="724">
        <v>45600361</v>
      </c>
      <c r="D86" s="637" t="s">
        <v>4675</v>
      </c>
      <c r="E86" s="1804">
        <v>-17130912.120000001</v>
      </c>
      <c r="F86" s="860" t="s">
        <v>390</v>
      </c>
      <c r="G86" s="861">
        <f t="shared" si="4"/>
        <v>0</v>
      </c>
      <c r="H86" s="862">
        <f t="shared" si="5"/>
        <v>0</v>
      </c>
      <c r="I86" s="861">
        <f t="shared" si="6"/>
        <v>-17130912.120000001</v>
      </c>
      <c r="J86" s="1792"/>
      <c r="K86" s="1791">
        <f t="shared" si="7"/>
        <v>0</v>
      </c>
      <c r="N86" s="1145"/>
    </row>
    <row r="87" spans="1:14">
      <c r="A87" s="871"/>
      <c r="B87" s="872"/>
      <c r="C87" s="724">
        <v>45600371</v>
      </c>
      <c r="D87" s="637" t="s">
        <v>4676</v>
      </c>
      <c r="E87" s="1804">
        <v>0</v>
      </c>
      <c r="F87" s="860" t="s">
        <v>390</v>
      </c>
      <c r="G87" s="861">
        <f t="shared" si="4"/>
        <v>0</v>
      </c>
      <c r="H87" s="862">
        <f t="shared" si="5"/>
        <v>0</v>
      </c>
      <c r="I87" s="861">
        <f t="shared" si="6"/>
        <v>0</v>
      </c>
      <c r="J87" s="1792"/>
      <c r="K87" s="1791">
        <f t="shared" si="7"/>
        <v>0</v>
      </c>
      <c r="N87" s="1145"/>
    </row>
    <row r="88" spans="1:14">
      <c r="A88" s="871"/>
      <c r="B88" s="872"/>
      <c r="C88" s="724">
        <v>45600381</v>
      </c>
      <c r="D88" s="637" t="s">
        <v>4677</v>
      </c>
      <c r="E88" s="1804">
        <v>0</v>
      </c>
      <c r="F88" s="860" t="s">
        <v>390</v>
      </c>
      <c r="G88" s="861">
        <f t="shared" si="4"/>
        <v>0</v>
      </c>
      <c r="H88" s="862">
        <f t="shared" si="5"/>
        <v>0</v>
      </c>
      <c r="I88" s="861">
        <f t="shared" si="6"/>
        <v>0</v>
      </c>
      <c r="J88" s="1792"/>
      <c r="K88" s="1791">
        <f t="shared" si="7"/>
        <v>0</v>
      </c>
      <c r="N88" s="1145"/>
    </row>
    <row r="89" spans="1:14">
      <c r="A89" s="871"/>
      <c r="B89" s="873"/>
      <c r="C89" s="724">
        <v>45600382</v>
      </c>
      <c r="D89" s="637" t="s">
        <v>4678</v>
      </c>
      <c r="E89" s="1804">
        <v>0</v>
      </c>
      <c r="F89" s="860" t="s">
        <v>390</v>
      </c>
      <c r="G89" s="861">
        <f t="shared" si="4"/>
        <v>0</v>
      </c>
      <c r="H89" s="862">
        <f t="shared" si="5"/>
        <v>0</v>
      </c>
      <c r="I89" s="861">
        <f t="shared" si="6"/>
        <v>0</v>
      </c>
      <c r="J89" s="1792"/>
      <c r="K89" s="1791">
        <f t="shared" si="7"/>
        <v>0</v>
      </c>
      <c r="N89" s="1145"/>
    </row>
    <row r="90" spans="1:14">
      <c r="A90" s="871"/>
      <c r="B90" s="873"/>
      <c r="C90" s="724">
        <v>45600383</v>
      </c>
      <c r="D90" s="637" t="s">
        <v>4679</v>
      </c>
      <c r="E90" s="1804">
        <v>0</v>
      </c>
      <c r="F90" s="860" t="s">
        <v>390</v>
      </c>
      <c r="G90" s="861">
        <f t="shared" si="4"/>
        <v>0</v>
      </c>
      <c r="H90" s="862">
        <f t="shared" si="5"/>
        <v>0</v>
      </c>
      <c r="I90" s="861">
        <f t="shared" si="6"/>
        <v>0</v>
      </c>
      <c r="J90" s="1792"/>
      <c r="K90" s="1791">
        <f t="shared" si="7"/>
        <v>0</v>
      </c>
      <c r="N90" s="1145"/>
    </row>
    <row r="91" spans="1:14">
      <c r="A91" s="871"/>
      <c r="B91" s="873"/>
      <c r="C91" s="724">
        <v>45606010</v>
      </c>
      <c r="D91" s="637" t="s">
        <v>4680</v>
      </c>
      <c r="E91" s="1804">
        <v>0</v>
      </c>
      <c r="F91" s="860" t="s">
        <v>108</v>
      </c>
      <c r="G91" s="861">
        <f t="shared" si="4"/>
        <v>0</v>
      </c>
      <c r="H91" s="862">
        <f t="shared" si="5"/>
        <v>0</v>
      </c>
      <c r="I91" s="861">
        <f t="shared" si="6"/>
        <v>0</v>
      </c>
      <c r="J91" s="1792"/>
      <c r="K91" s="1791">
        <f t="shared" si="7"/>
        <v>0</v>
      </c>
      <c r="N91" s="1145"/>
    </row>
    <row r="92" spans="1:14">
      <c r="A92" s="871"/>
      <c r="B92" s="873"/>
      <c r="C92" s="1785">
        <v>45630001</v>
      </c>
      <c r="D92" s="1797" t="s">
        <v>7134</v>
      </c>
      <c r="E92" s="1787">
        <v>2536630.25</v>
      </c>
      <c r="F92" s="1788" t="s">
        <v>390</v>
      </c>
      <c r="G92" s="1789">
        <f t="shared" si="4"/>
        <v>0</v>
      </c>
      <c r="H92" s="1790">
        <f t="shared" si="5"/>
        <v>0</v>
      </c>
      <c r="I92" s="1789">
        <f t="shared" si="6"/>
        <v>2536630.25</v>
      </c>
      <c r="J92" s="1798"/>
      <c r="K92" s="1791">
        <f t="shared" si="7"/>
        <v>0</v>
      </c>
      <c r="L92" s="1796" t="s">
        <v>6776</v>
      </c>
      <c r="N92" s="1145"/>
    </row>
    <row r="93" spans="1:14">
      <c r="A93" s="709"/>
      <c r="B93" s="709"/>
      <c r="C93" s="710"/>
      <c r="D93" s="711" t="s">
        <v>104</v>
      </c>
      <c r="E93" s="712">
        <f>SUM(E6:E92)</f>
        <v>-33809167.309999987</v>
      </c>
      <c r="F93" s="712"/>
      <c r="G93" s="2720">
        <f>SUM(G6:G92)</f>
        <v>-46941385.813219115</v>
      </c>
      <c r="H93" s="2720">
        <f>SUM(H6:H92)</f>
        <v>0</v>
      </c>
      <c r="I93" s="2720">
        <f t="shared" ref="I93" si="8">SUM(I6:I92)</f>
        <v>13132218.503405668</v>
      </c>
      <c r="J93" s="1795"/>
      <c r="K93" s="1791">
        <f t="shared" si="7"/>
        <v>-1.8654018640518188E-4</v>
      </c>
    </row>
    <row r="94" spans="1:14" ht="12" thickBot="1">
      <c r="D94" s="874" t="s">
        <v>4681</v>
      </c>
      <c r="E94" s="875">
        <v>-33809167.310000002</v>
      </c>
    </row>
    <row r="95" spans="1:14" ht="12" thickTop="1">
      <c r="D95" s="876" t="s">
        <v>929</v>
      </c>
      <c r="E95" s="1799">
        <f>E93-E94</f>
        <v>0</v>
      </c>
      <c r="F95" s="888">
        <f>'FERC p300-301 Op Revenues'!C33+E94</f>
        <v>-0.31000000238418579</v>
      </c>
      <c r="G95" s="904" t="s">
        <v>4682</v>
      </c>
      <c r="H95" s="905"/>
      <c r="I95" s="905"/>
    </row>
  </sheetData>
  <pageMargins left="0.7" right="0.7" top="0.75" bottom="0.75" header="0.3" footer="0.3"/>
  <pageSetup scale="28" orientation="portrait" r:id="rId1"/>
  <headerFooter>
    <oddHeader>&amp;CPSE_ASC_Filing_Appendix_1_CY_2018</oddHeader>
    <oddFooter>&amp;R&amp;F&amp;A</oddFooter>
  </headerFooter>
  <customProperties>
    <customPr name="_pios_id" r:id="rId2"/>
  </customProperties>
  <drawing r:id="rId3"/>
  <legacyDrawing r:id="rId4"/>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92D050"/>
    <pageSetUpPr fitToPage="1"/>
  </sheetPr>
  <dimension ref="A1:V3419"/>
  <sheetViews>
    <sheetView workbookViewId="0">
      <pane ySplit="5" topLeftCell="A6" activePane="bottomLeft" state="frozen"/>
      <selection sqref="A1:XFD1048576"/>
      <selection pane="bottomLeft" sqref="A1:XFD1048576"/>
    </sheetView>
  </sheetViews>
  <sheetFormatPr defaultColWidth="8" defaultRowHeight="11.25"/>
  <cols>
    <col min="1" max="1" width="1.5" style="878" customWidth="1"/>
    <col min="2" max="2" width="22.125" style="878" customWidth="1"/>
    <col min="3" max="3" width="11.625" style="878" customWidth="1"/>
    <col min="4" max="4" width="6.625" style="878" bestFit="1" customWidth="1"/>
    <col min="5" max="5" width="28.125" style="878" bestFit="1" customWidth="1"/>
    <col min="6" max="6" width="9.375" style="878" bestFit="1" customWidth="1"/>
    <col min="7" max="7" width="9.375" style="878" customWidth="1"/>
    <col min="8" max="8" width="23" style="878" bestFit="1" customWidth="1"/>
    <col min="9" max="9" width="8.375" style="878" bestFit="1" customWidth="1"/>
    <col min="10" max="10" width="10.5" style="878" bestFit="1" customWidth="1"/>
    <col min="11" max="11" width="9.375" style="878" bestFit="1" customWidth="1"/>
    <col min="12" max="12" width="42.375" style="878" bestFit="1" customWidth="1"/>
    <col min="13" max="13" width="8.5" style="879" bestFit="1" customWidth="1"/>
    <col min="14" max="19" width="8" style="878"/>
    <col min="20" max="20" width="3.375" style="878" customWidth="1"/>
    <col min="21" max="21" width="28.75" style="878" customWidth="1"/>
    <col min="22" max="22" width="6.125" style="878" customWidth="1"/>
    <col min="23" max="23" width="5.25" style="878" customWidth="1"/>
    <col min="24" max="16384" width="8" style="878"/>
  </cols>
  <sheetData>
    <row r="1" spans="1:22" ht="22.5">
      <c r="A1" s="846" t="s">
        <v>4589</v>
      </c>
      <c r="B1" s="846"/>
      <c r="C1" s="846"/>
      <c r="D1" s="846"/>
      <c r="H1" s="605" t="s">
        <v>919</v>
      </c>
      <c r="I1" s="606" t="s">
        <v>920</v>
      </c>
    </row>
    <row r="2" spans="1:22" ht="12" thickBot="1">
      <c r="A2" s="846" t="s">
        <v>4683</v>
      </c>
      <c r="B2" s="846"/>
      <c r="C2" s="846"/>
      <c r="D2" s="846"/>
      <c r="H2" s="694">
        <f>'Four Factor Allocator'!$C$5</f>
        <v>0.65660000353553882</v>
      </c>
      <c r="I2" s="695">
        <f>'Four Factor Allocator'!$D$5</f>
        <v>0.34339999646446118</v>
      </c>
      <c r="V2" s="878" t="s">
        <v>713</v>
      </c>
    </row>
    <row r="3" spans="1:22">
      <c r="A3" s="846" t="s">
        <v>7152</v>
      </c>
      <c r="B3" s="846"/>
      <c r="C3" s="846"/>
      <c r="D3" s="846"/>
      <c r="E3" s="877"/>
      <c r="V3" s="878" t="s">
        <v>713</v>
      </c>
    </row>
    <row r="4" spans="1:22">
      <c r="V4" s="878" t="s">
        <v>713</v>
      </c>
    </row>
    <row r="5" spans="1:22" ht="45">
      <c r="B5" s="880" t="s">
        <v>3790</v>
      </c>
      <c r="C5" s="880" t="s">
        <v>4684</v>
      </c>
      <c r="D5" s="880"/>
      <c r="E5" s="880" t="s">
        <v>4593</v>
      </c>
      <c r="F5" s="880" t="s">
        <v>4685</v>
      </c>
      <c r="G5" s="1080" t="s">
        <v>1630</v>
      </c>
      <c r="H5" s="881" t="s">
        <v>4686</v>
      </c>
      <c r="I5" s="882" t="s">
        <v>105</v>
      </c>
      <c r="J5" s="883" t="s">
        <v>106</v>
      </c>
      <c r="K5" s="884" t="s">
        <v>347</v>
      </c>
      <c r="L5" s="881" t="s">
        <v>4595</v>
      </c>
      <c r="M5" s="879" t="s">
        <v>927</v>
      </c>
      <c r="V5" s="878" t="s">
        <v>713</v>
      </c>
    </row>
    <row r="6" spans="1:22">
      <c r="B6" s="885">
        <v>421</v>
      </c>
      <c r="C6" s="886">
        <v>42100008</v>
      </c>
      <c r="D6" s="886" t="s">
        <v>4687</v>
      </c>
      <c r="E6" s="886" t="s">
        <v>4688</v>
      </c>
      <c r="F6" s="1801">
        <v>0</v>
      </c>
      <c r="G6" s="887">
        <f>F6</f>
        <v>0</v>
      </c>
      <c r="H6" s="860" t="s">
        <v>390</v>
      </c>
      <c r="I6" s="887">
        <f>VLOOKUP($H6,Ratio,2,FALSE)*$G6</f>
        <v>0</v>
      </c>
      <c r="J6" s="887">
        <f>VLOOKUP($H6,Ratio,3,FALSE)*$G6</f>
        <v>0</v>
      </c>
      <c r="K6" s="887">
        <f>VLOOKUP($H6,Ratio,4,FALSE)*$G6</f>
        <v>0</v>
      </c>
      <c r="L6" s="860"/>
      <c r="M6" s="888">
        <f>SUM(I6:K6)-G6</f>
        <v>0</v>
      </c>
      <c r="V6" s="878" t="s">
        <v>713</v>
      </c>
    </row>
    <row r="7" spans="1:22">
      <c r="B7" s="889"/>
      <c r="C7" s="886">
        <v>42100011</v>
      </c>
      <c r="D7" s="886" t="s">
        <v>4687</v>
      </c>
      <c r="E7" s="886" t="s">
        <v>4689</v>
      </c>
      <c r="F7" s="1801">
        <v>-250</v>
      </c>
      <c r="G7" s="887">
        <f t="shared" ref="G7:G10" si="0">F7</f>
        <v>-250</v>
      </c>
      <c r="H7" s="860" t="s">
        <v>390</v>
      </c>
      <c r="I7" s="887">
        <f>VLOOKUP($H7,Ratio,2,FALSE)*$G7</f>
        <v>0</v>
      </c>
      <c r="J7" s="887">
        <f>VLOOKUP($H7,Ratio,3,FALSE)*$G7</f>
        <v>0</v>
      </c>
      <c r="K7" s="887">
        <f>VLOOKUP($H7,Ratio,4,FALSE)*$G7</f>
        <v>-250</v>
      </c>
      <c r="L7" s="860"/>
      <c r="M7" s="888">
        <f t="shared" ref="M7:M21" si="1">SUM(I7:K7)-G7</f>
        <v>0</v>
      </c>
    </row>
    <row r="8" spans="1:22">
      <c r="B8" s="889"/>
      <c r="C8" s="886">
        <v>42100012</v>
      </c>
      <c r="D8" s="886" t="s">
        <v>4687</v>
      </c>
      <c r="E8" s="886" t="s">
        <v>4690</v>
      </c>
      <c r="F8" s="1801">
        <v>-103325.12</v>
      </c>
      <c r="G8" s="887">
        <f t="shared" si="0"/>
        <v>-103325.12</v>
      </c>
      <c r="H8" s="860" t="s">
        <v>390</v>
      </c>
      <c r="I8" s="887">
        <f>VLOOKUP($H8,Ratio,2,FALSE)*$G8</f>
        <v>0</v>
      </c>
      <c r="J8" s="887">
        <f>VLOOKUP($H8,Ratio,3,FALSE)*$G8</f>
        <v>0</v>
      </c>
      <c r="K8" s="887">
        <f>VLOOKUP($H8,Ratio,4,FALSE)*$G8</f>
        <v>-103325.12</v>
      </c>
      <c r="L8" s="860"/>
      <c r="M8" s="888">
        <f t="shared" si="1"/>
        <v>0</v>
      </c>
    </row>
    <row r="9" spans="1:22">
      <c r="B9" s="889"/>
      <c r="C9" s="1823">
        <v>42100312</v>
      </c>
      <c r="D9" s="1823" t="s">
        <v>4691</v>
      </c>
      <c r="E9" s="1823" t="s">
        <v>4692</v>
      </c>
      <c r="F9" s="1824">
        <v>-1100</v>
      </c>
      <c r="G9" s="1876"/>
      <c r="H9" s="657" t="s">
        <v>950</v>
      </c>
      <c r="I9" s="887"/>
      <c r="J9" s="887"/>
      <c r="K9" s="887"/>
      <c r="L9" s="890"/>
      <c r="M9" s="888"/>
      <c r="V9" s="878" t="s">
        <v>713</v>
      </c>
    </row>
    <row r="10" spans="1:22">
      <c r="B10" s="889"/>
      <c r="C10" s="886">
        <v>42100306</v>
      </c>
      <c r="D10" s="886" t="s">
        <v>4687</v>
      </c>
      <c r="E10" s="886" t="s">
        <v>4693</v>
      </c>
      <c r="F10" s="1801">
        <v>0</v>
      </c>
      <c r="G10" s="887">
        <f t="shared" si="0"/>
        <v>0</v>
      </c>
      <c r="H10" s="860" t="s">
        <v>390</v>
      </c>
      <c r="I10" s="887">
        <f>VLOOKUP($H10,Ratio,2,FALSE)*$G10</f>
        <v>0</v>
      </c>
      <c r="J10" s="887">
        <f>VLOOKUP($H10,Ratio,3,FALSE)*$G10</f>
        <v>0</v>
      </c>
      <c r="K10" s="887">
        <f>VLOOKUP($H10,Ratio,4,FALSE)*$G10</f>
        <v>0</v>
      </c>
      <c r="L10" s="860" t="s">
        <v>4694</v>
      </c>
      <c r="M10" s="888">
        <f t="shared" si="1"/>
        <v>0</v>
      </c>
    </row>
    <row r="11" spans="1:22">
      <c r="B11" s="889"/>
      <c r="C11" s="1823">
        <v>42100307</v>
      </c>
      <c r="D11" s="1823" t="s">
        <v>4691</v>
      </c>
      <c r="E11" s="1823" t="s">
        <v>4695</v>
      </c>
      <c r="F11" s="1824">
        <v>0</v>
      </c>
      <c r="G11" s="1876"/>
      <c r="H11" s="657" t="s">
        <v>950</v>
      </c>
      <c r="I11" s="887"/>
      <c r="J11" s="887"/>
      <c r="K11" s="887"/>
      <c r="L11" s="860"/>
      <c r="M11" s="888"/>
    </row>
    <row r="12" spans="1:22">
      <c r="B12" s="889"/>
      <c r="C12" s="1823">
        <v>42100312</v>
      </c>
      <c r="D12" s="1823" t="s">
        <v>4691</v>
      </c>
      <c r="E12" s="1823" t="s">
        <v>4696</v>
      </c>
      <c r="F12" s="1824">
        <v>0</v>
      </c>
      <c r="G12" s="1876"/>
      <c r="H12" s="657" t="s">
        <v>950</v>
      </c>
      <c r="I12" s="887"/>
      <c r="J12" s="887"/>
      <c r="K12" s="887"/>
      <c r="L12" s="860"/>
      <c r="M12" s="888"/>
    </row>
    <row r="13" spans="1:22">
      <c r="B13" s="889"/>
      <c r="C13" s="886">
        <v>42100017</v>
      </c>
      <c r="D13" s="886" t="s">
        <v>4687</v>
      </c>
      <c r="E13" s="886" t="s">
        <v>4697</v>
      </c>
      <c r="F13" s="1801">
        <v>0</v>
      </c>
      <c r="G13" s="887">
        <f t="shared" ref="G13" si="2">F13</f>
        <v>0</v>
      </c>
      <c r="H13" s="860" t="s">
        <v>390</v>
      </c>
      <c r="I13" s="887">
        <f t="shared" ref="I13:I20" si="3">VLOOKUP($H13,Ratio,2,FALSE)*$G13</f>
        <v>0</v>
      </c>
      <c r="J13" s="887">
        <f t="shared" ref="J13:J20" si="4">VLOOKUP($H13,Ratio,3,FALSE)*$G13</f>
        <v>0</v>
      </c>
      <c r="K13" s="887">
        <f t="shared" ref="K13:K20" si="5">VLOOKUP($H13,Ratio,4,FALSE)*$G13</f>
        <v>0</v>
      </c>
      <c r="L13" s="860" t="s">
        <v>4698</v>
      </c>
      <c r="M13" s="888">
        <f t="shared" si="1"/>
        <v>0</v>
      </c>
    </row>
    <row r="14" spans="1:22">
      <c r="B14" s="889"/>
      <c r="C14" s="886">
        <v>42100600</v>
      </c>
      <c r="D14" s="886" t="s">
        <v>4699</v>
      </c>
      <c r="E14" s="886" t="s">
        <v>4700</v>
      </c>
      <c r="F14" s="1801">
        <v>-18265724</v>
      </c>
      <c r="G14" s="887">
        <f>F14*$H$2</f>
        <v>-11993274.442979176</v>
      </c>
      <c r="H14" s="860" t="s">
        <v>95</v>
      </c>
      <c r="I14" s="887">
        <f t="shared" si="3"/>
        <v>-4075676.0432521715</v>
      </c>
      <c r="J14" s="887">
        <f t="shared" si="4"/>
        <v>0</v>
      </c>
      <c r="K14" s="887">
        <f t="shared" si="5"/>
        <v>-7917598.3997270046</v>
      </c>
      <c r="L14" s="860" t="s">
        <v>4701</v>
      </c>
      <c r="M14" s="888">
        <f t="shared" si="1"/>
        <v>0</v>
      </c>
    </row>
    <row r="15" spans="1:22">
      <c r="B15" s="889"/>
      <c r="C15" s="886">
        <v>42100604</v>
      </c>
      <c r="D15" s="886" t="s">
        <v>4699</v>
      </c>
      <c r="E15" s="886" t="s">
        <v>4702</v>
      </c>
      <c r="F15" s="1801">
        <v>0</v>
      </c>
      <c r="G15" s="887">
        <f t="shared" ref="G15:G19" si="6">F15*$H$2</f>
        <v>0</v>
      </c>
      <c r="H15" s="860" t="s">
        <v>95</v>
      </c>
      <c r="I15" s="887">
        <f t="shared" si="3"/>
        <v>0</v>
      </c>
      <c r="J15" s="887">
        <f t="shared" si="4"/>
        <v>0</v>
      </c>
      <c r="K15" s="887">
        <f t="shared" si="5"/>
        <v>0</v>
      </c>
      <c r="L15" s="860"/>
      <c r="M15" s="888">
        <f t="shared" si="1"/>
        <v>0</v>
      </c>
    </row>
    <row r="16" spans="1:22">
      <c r="B16" s="889"/>
      <c r="C16" s="886">
        <v>42100605</v>
      </c>
      <c r="D16" s="886" t="s">
        <v>4699</v>
      </c>
      <c r="E16" s="886" t="s">
        <v>4703</v>
      </c>
      <c r="F16" s="1801">
        <v>0</v>
      </c>
      <c r="G16" s="887">
        <f t="shared" si="6"/>
        <v>0</v>
      </c>
      <c r="H16" s="860" t="s">
        <v>95</v>
      </c>
      <c r="I16" s="887">
        <f t="shared" si="3"/>
        <v>0</v>
      </c>
      <c r="J16" s="887">
        <f t="shared" si="4"/>
        <v>0</v>
      </c>
      <c r="K16" s="887">
        <f t="shared" si="5"/>
        <v>0</v>
      </c>
      <c r="L16" s="860"/>
      <c r="M16" s="888">
        <f t="shared" si="1"/>
        <v>0</v>
      </c>
    </row>
    <row r="17" spans="1:22">
      <c r="B17" s="889"/>
      <c r="C17" s="886">
        <v>42100606</v>
      </c>
      <c r="D17" s="886" t="s">
        <v>4699</v>
      </c>
      <c r="E17" s="886" t="s">
        <v>4704</v>
      </c>
      <c r="F17" s="1801">
        <v>0</v>
      </c>
      <c r="G17" s="887">
        <f t="shared" si="6"/>
        <v>0</v>
      </c>
      <c r="H17" s="860" t="s">
        <v>95</v>
      </c>
      <c r="I17" s="887">
        <f t="shared" si="3"/>
        <v>0</v>
      </c>
      <c r="J17" s="887">
        <f t="shared" si="4"/>
        <v>0</v>
      </c>
      <c r="K17" s="887">
        <f t="shared" si="5"/>
        <v>0</v>
      </c>
      <c r="L17" s="860"/>
      <c r="M17" s="888">
        <f t="shared" si="1"/>
        <v>0</v>
      </c>
    </row>
    <row r="18" spans="1:22">
      <c r="B18" s="889"/>
      <c r="C18" s="886">
        <v>42100607</v>
      </c>
      <c r="D18" s="886" t="s">
        <v>4699</v>
      </c>
      <c r="E18" s="886" t="s">
        <v>4703</v>
      </c>
      <c r="F18" s="1801">
        <v>18265724</v>
      </c>
      <c r="G18" s="887">
        <f t="shared" si="6"/>
        <v>11993274.442979176</v>
      </c>
      <c r="H18" s="860" t="s">
        <v>95</v>
      </c>
      <c r="I18" s="887">
        <f t="shared" si="3"/>
        <v>4075676.0432521715</v>
      </c>
      <c r="J18" s="887">
        <f t="shared" si="4"/>
        <v>0</v>
      </c>
      <c r="K18" s="887">
        <f t="shared" si="5"/>
        <v>7917598.3997270046</v>
      </c>
      <c r="L18" s="860" t="s">
        <v>4705</v>
      </c>
      <c r="M18" s="888">
        <f t="shared" si="1"/>
        <v>0</v>
      </c>
    </row>
    <row r="19" spans="1:22">
      <c r="B19" s="889"/>
      <c r="C19" s="886">
        <v>42101000</v>
      </c>
      <c r="D19" s="886" t="s">
        <v>4699</v>
      </c>
      <c r="E19" s="886" t="s">
        <v>4706</v>
      </c>
      <c r="F19" s="1801">
        <v>-52686.5</v>
      </c>
      <c r="G19" s="887">
        <f t="shared" si="6"/>
        <v>-34593.956086275168</v>
      </c>
      <c r="H19" s="860" t="s">
        <v>95</v>
      </c>
      <c r="I19" s="887">
        <f t="shared" si="3"/>
        <v>-11756.068681033697</v>
      </c>
      <c r="J19" s="887">
        <f t="shared" si="4"/>
        <v>0</v>
      </c>
      <c r="K19" s="887">
        <f t="shared" si="5"/>
        <v>-22837.887405241469</v>
      </c>
      <c r="L19" s="860"/>
      <c r="M19" s="888">
        <f t="shared" si="1"/>
        <v>0</v>
      </c>
      <c r="V19" s="878" t="s">
        <v>713</v>
      </c>
    </row>
    <row r="20" spans="1:22">
      <c r="B20" s="891"/>
      <c r="C20" s="886">
        <v>42130001</v>
      </c>
      <c r="D20" s="886" t="s">
        <v>4687</v>
      </c>
      <c r="E20" s="886" t="s">
        <v>4707</v>
      </c>
      <c r="F20" s="1801">
        <v>-260686.27</v>
      </c>
      <c r="G20" s="887">
        <f>F20</f>
        <v>-260686.27</v>
      </c>
      <c r="H20" s="860" t="s">
        <v>390</v>
      </c>
      <c r="I20" s="887">
        <f t="shared" si="3"/>
        <v>0</v>
      </c>
      <c r="J20" s="887">
        <f t="shared" si="4"/>
        <v>0</v>
      </c>
      <c r="K20" s="887">
        <f t="shared" si="5"/>
        <v>-260686.27</v>
      </c>
      <c r="L20" s="860"/>
      <c r="M20" s="888">
        <f t="shared" si="1"/>
        <v>0</v>
      </c>
      <c r="V20" s="878" t="s">
        <v>713</v>
      </c>
    </row>
    <row r="21" spans="1:22">
      <c r="B21" s="892"/>
      <c r="C21" s="893"/>
      <c r="D21" s="893"/>
      <c r="E21" s="894" t="s">
        <v>104</v>
      </c>
      <c r="F21" s="895">
        <f>SUM(F6:F20)</f>
        <v>-418047.89000000106</v>
      </c>
      <c r="G21" s="895">
        <f>SUM(G6:G20)</f>
        <v>-398855.34608627437</v>
      </c>
      <c r="H21" s="895"/>
      <c r="I21" s="895">
        <f>SUM(I6:I20)</f>
        <v>-11756.068681033697</v>
      </c>
      <c r="J21" s="895">
        <f>SUM(J6:J20)</f>
        <v>0</v>
      </c>
      <c r="K21" s="895">
        <f>SUM(K6:K20)</f>
        <v>-387099.27740524156</v>
      </c>
      <c r="L21" s="895"/>
      <c r="M21" s="888">
        <f t="shared" si="1"/>
        <v>-8.7311491370201111E-10</v>
      </c>
      <c r="V21" s="878" t="s">
        <v>713</v>
      </c>
    </row>
    <row r="22" spans="1:22" ht="12" thickBot="1">
      <c r="E22" s="874" t="s">
        <v>4681</v>
      </c>
      <c r="F22" s="875">
        <v>-418047.89</v>
      </c>
      <c r="G22" s="901"/>
      <c r="H22" s="896"/>
    </row>
    <row r="23" spans="1:22" ht="12" thickTop="1">
      <c r="E23" s="876" t="s">
        <v>929</v>
      </c>
      <c r="F23" s="1780">
        <f>F21-F22</f>
        <v>-1.0477378964424133E-9</v>
      </c>
      <c r="G23" s="901"/>
      <c r="H23" s="896"/>
    </row>
    <row r="24" spans="1:22">
      <c r="A24" s="846" t="s">
        <v>4589</v>
      </c>
      <c r="B24" s="846"/>
      <c r="C24" s="846"/>
      <c r="D24" s="877"/>
      <c r="F24" s="896"/>
      <c r="G24" s="896"/>
      <c r="H24" s="896"/>
    </row>
    <row r="25" spans="1:22">
      <c r="A25" s="846" t="s">
        <v>4708</v>
      </c>
      <c r="B25" s="846"/>
      <c r="C25" s="846"/>
      <c r="D25" s="877"/>
      <c r="F25" s="896"/>
      <c r="G25" s="896"/>
      <c r="H25" s="896"/>
    </row>
    <row r="26" spans="1:22">
      <c r="A26" s="846" t="s">
        <v>7152</v>
      </c>
      <c r="B26" s="846"/>
      <c r="C26" s="846"/>
      <c r="D26" s="877"/>
      <c r="F26" s="896"/>
      <c r="G26" s="896"/>
      <c r="H26" s="896"/>
    </row>
    <row r="27" spans="1:22">
      <c r="F27" s="897"/>
      <c r="G27" s="897"/>
      <c r="H27" s="898"/>
      <c r="V27" s="878" t="s">
        <v>713</v>
      </c>
    </row>
    <row r="28" spans="1:22" ht="22.5">
      <c r="B28" s="880" t="s">
        <v>3790</v>
      </c>
      <c r="C28" s="880" t="s">
        <v>4684</v>
      </c>
      <c r="D28" s="880"/>
      <c r="E28" s="880" t="s">
        <v>4593</v>
      </c>
      <c r="F28" s="880" t="s">
        <v>4685</v>
      </c>
      <c r="G28" s="880"/>
      <c r="H28" s="881" t="s">
        <v>4686</v>
      </c>
      <c r="I28" s="882" t="s">
        <v>105</v>
      </c>
      <c r="J28" s="883" t="s">
        <v>106</v>
      </c>
      <c r="K28" s="884" t="s">
        <v>347</v>
      </c>
      <c r="L28" s="881" t="s">
        <v>4595</v>
      </c>
      <c r="V28" s="878" t="s">
        <v>713</v>
      </c>
    </row>
    <row r="29" spans="1:22">
      <c r="B29" s="885">
        <v>421</v>
      </c>
      <c r="C29" s="1823">
        <v>42100013</v>
      </c>
      <c r="D29" s="1823" t="s">
        <v>4687</v>
      </c>
      <c r="E29" s="1823" t="s">
        <v>4709</v>
      </c>
      <c r="F29" s="1824">
        <v>127630389.11</v>
      </c>
      <c r="G29" s="1824"/>
      <c r="H29" s="657" t="s">
        <v>950</v>
      </c>
      <c r="I29" s="1825">
        <v>0</v>
      </c>
      <c r="J29" s="1825">
        <v>0</v>
      </c>
      <c r="K29" s="1825">
        <v>0</v>
      </c>
      <c r="L29" s="1826" t="s">
        <v>4710</v>
      </c>
      <c r="M29" s="899"/>
      <c r="V29" s="878" t="s">
        <v>713</v>
      </c>
    </row>
    <row r="30" spans="1:22">
      <c r="B30" s="889"/>
      <c r="C30" s="1827">
        <v>42100014</v>
      </c>
      <c r="D30" s="1827" t="s">
        <v>4687</v>
      </c>
      <c r="E30" s="1827" t="s">
        <v>4711</v>
      </c>
      <c r="F30" s="1828">
        <v>134359583.25</v>
      </c>
      <c r="G30" s="1828"/>
      <c r="H30" s="900" t="s">
        <v>950</v>
      </c>
      <c r="I30" s="1829">
        <v>0</v>
      </c>
      <c r="J30" s="1829">
        <v>0</v>
      </c>
      <c r="K30" s="1829">
        <v>0</v>
      </c>
      <c r="L30" s="1830" t="s">
        <v>4710</v>
      </c>
      <c r="M30" s="899"/>
      <c r="V30" s="878" t="s">
        <v>713</v>
      </c>
    </row>
    <row r="31" spans="1:22">
      <c r="B31" s="894"/>
      <c r="C31" s="894"/>
      <c r="D31" s="894"/>
      <c r="E31" s="894" t="s">
        <v>104</v>
      </c>
      <c r="F31" s="895">
        <f>SUM(F29:F30)</f>
        <v>261989972.36000001</v>
      </c>
      <c r="G31" s="895"/>
      <c r="H31" s="895"/>
      <c r="I31" s="895">
        <f>SUM(I29:I30)</f>
        <v>0</v>
      </c>
      <c r="J31" s="895">
        <f>SUM(J29:J30)</f>
        <v>0</v>
      </c>
      <c r="K31" s="895">
        <f>SUM(K29:K30)</f>
        <v>0</v>
      </c>
      <c r="L31" s="895"/>
      <c r="M31" s="899"/>
      <c r="V31" s="878" t="s">
        <v>713</v>
      </c>
    </row>
    <row r="32" spans="1:22" ht="12" thickBot="1">
      <c r="E32" s="874" t="s">
        <v>4681</v>
      </c>
      <c r="F32" s="875">
        <v>261989972.36000001</v>
      </c>
      <c r="G32" s="901"/>
      <c r="H32" s="897"/>
      <c r="I32" s="897"/>
      <c r="J32" s="897"/>
      <c r="K32" s="897"/>
      <c r="V32" s="878" t="s">
        <v>713</v>
      </c>
    </row>
    <row r="33" spans="2:22" ht="12" thickTop="1">
      <c r="E33" s="876" t="s">
        <v>929</v>
      </c>
      <c r="F33" s="1780">
        <f>F31-F32</f>
        <v>0</v>
      </c>
      <c r="G33" s="901"/>
      <c r="H33" s="897"/>
      <c r="I33" s="897"/>
      <c r="J33" s="897"/>
      <c r="K33" s="897"/>
    </row>
    <row r="34" spans="2:22" ht="22.5">
      <c r="B34" s="880" t="s">
        <v>3790</v>
      </c>
      <c r="C34" s="880"/>
      <c r="D34" s="880"/>
      <c r="E34" s="880" t="s">
        <v>4593</v>
      </c>
      <c r="F34" s="880" t="s">
        <v>4685</v>
      </c>
      <c r="G34" s="880"/>
      <c r="H34" s="881" t="s">
        <v>4686</v>
      </c>
      <c r="I34" s="882" t="s">
        <v>105</v>
      </c>
      <c r="J34" s="883" t="s">
        <v>106</v>
      </c>
      <c r="K34" s="884" t="s">
        <v>347</v>
      </c>
      <c r="L34" s="881" t="s">
        <v>4595</v>
      </c>
      <c r="V34" s="878" t="s">
        <v>713</v>
      </c>
    </row>
    <row r="35" spans="2:22">
      <c r="B35" s="886">
        <v>421</v>
      </c>
      <c r="C35" s="886"/>
      <c r="D35" s="886" t="s">
        <v>4687</v>
      </c>
      <c r="E35" s="886" t="s">
        <v>8094</v>
      </c>
      <c r="F35" s="1806">
        <v>-18986</v>
      </c>
      <c r="G35" s="1806"/>
      <c r="H35" s="860" t="s">
        <v>390</v>
      </c>
      <c r="I35" s="887">
        <f>VLOOKUP($H35,Ratio,2,FALSE)*$F35</f>
        <v>0</v>
      </c>
      <c r="J35" s="887">
        <f>VLOOKUP($H35,Ratio,3,FALSE)*$F35</f>
        <v>0</v>
      </c>
      <c r="K35" s="887">
        <f>VLOOKUP($H35,Ratio,4,FALSE)*$F35</f>
        <v>-18986</v>
      </c>
      <c r="L35" s="886" t="s">
        <v>8094</v>
      </c>
      <c r="V35" s="878" t="s">
        <v>713</v>
      </c>
    </row>
    <row r="36" spans="2:22">
      <c r="E36" s="874"/>
      <c r="F36" s="901"/>
      <c r="G36" s="901"/>
      <c r="H36" s="897"/>
      <c r="I36" s="897"/>
      <c r="J36" s="897"/>
      <c r="K36" s="897"/>
      <c r="V36" s="878" t="s">
        <v>713</v>
      </c>
    </row>
    <row r="37" spans="2:22">
      <c r="E37" s="874"/>
      <c r="F37" s="901"/>
      <c r="G37" s="901"/>
      <c r="H37" s="897"/>
      <c r="I37" s="897"/>
      <c r="J37" s="897"/>
      <c r="K37" s="897"/>
      <c r="V37" s="878" t="s">
        <v>713</v>
      </c>
    </row>
    <row r="38" spans="2:22" ht="22.5">
      <c r="E38" s="876"/>
      <c r="F38" s="876"/>
      <c r="G38" s="876"/>
      <c r="H38" s="897"/>
      <c r="I38" s="882" t="s">
        <v>105</v>
      </c>
      <c r="J38" s="883" t="s">
        <v>106</v>
      </c>
      <c r="K38" s="884" t="s">
        <v>347</v>
      </c>
      <c r="V38" s="878" t="s">
        <v>713</v>
      </c>
    </row>
    <row r="39" spans="2:22" ht="12" thickBot="1">
      <c r="E39" s="902" t="s">
        <v>2301</v>
      </c>
      <c r="F39" s="903">
        <f>G21+F31+F35</f>
        <v>261572131.01391375</v>
      </c>
      <c r="G39" s="903"/>
      <c r="H39" s="903"/>
      <c r="I39" s="903">
        <f>I21+I31+I35</f>
        <v>-11756.068681033697</v>
      </c>
      <c r="J39" s="903">
        <f>J21+J31+J35</f>
        <v>0</v>
      </c>
      <c r="K39" s="903">
        <f>K21+K31+(F9+F29+F30+F11+F12+K35)</f>
        <v>261582787.08259478</v>
      </c>
      <c r="V39" s="878" t="s">
        <v>713</v>
      </c>
    </row>
    <row r="40" spans="2:22" ht="12" thickTop="1">
      <c r="F40" s="888">
        <f>'FERC p114-117a Income'!D53+F39</f>
        <v>1.3913750648498535E-2</v>
      </c>
      <c r="G40" s="1805"/>
      <c r="H40" s="904" t="s">
        <v>4713</v>
      </c>
      <c r="V40" s="878" t="s">
        <v>713</v>
      </c>
    </row>
    <row r="41" spans="2:22">
      <c r="V41" s="878" t="s">
        <v>713</v>
      </c>
    </row>
    <row r="42" spans="2:22">
      <c r="B42" s="878" t="s">
        <v>4712</v>
      </c>
      <c r="F42" s="906"/>
      <c r="G42" s="906"/>
      <c r="V42" s="878" t="s">
        <v>713</v>
      </c>
    </row>
    <row r="43" spans="2:22">
      <c r="F43" s="746"/>
      <c r="G43" s="746"/>
      <c r="V43" s="878" t="s">
        <v>713</v>
      </c>
    </row>
    <row r="44" spans="2:22">
      <c r="F44" s="907"/>
      <c r="G44" s="907"/>
      <c r="V44" s="878" t="s">
        <v>713</v>
      </c>
    </row>
    <row r="45" spans="2:22">
      <c r="V45" s="878" t="s">
        <v>713</v>
      </c>
    </row>
    <row r="46" spans="2:22">
      <c r="V46" s="878" t="s">
        <v>713</v>
      </c>
    </row>
    <row r="47" spans="2:22">
      <c r="V47" s="878" t="s">
        <v>713</v>
      </c>
    </row>
    <row r="48" spans="2:22">
      <c r="F48" s="908"/>
      <c r="G48" s="908"/>
      <c r="V48" s="878" t="s">
        <v>713</v>
      </c>
    </row>
    <row r="49" spans="5:22">
      <c r="E49" s="909"/>
      <c r="F49" s="908"/>
      <c r="G49" s="908"/>
      <c r="V49" s="878" t="s">
        <v>713</v>
      </c>
    </row>
    <row r="50" spans="5:22">
      <c r="F50" s="908"/>
      <c r="G50" s="908"/>
      <c r="V50" s="878" t="s">
        <v>713</v>
      </c>
    </row>
    <row r="51" spans="5:22">
      <c r="F51" s="897"/>
      <c r="G51" s="897"/>
      <c r="V51" s="878" t="s">
        <v>713</v>
      </c>
    </row>
    <row r="52" spans="5:22">
      <c r="F52" s="897"/>
      <c r="G52" s="897"/>
      <c r="V52" s="878" t="s">
        <v>713</v>
      </c>
    </row>
    <row r="53" spans="5:22">
      <c r="F53" s="897"/>
      <c r="G53" s="897"/>
      <c r="V53" s="878" t="s">
        <v>713</v>
      </c>
    </row>
    <row r="54" spans="5:22">
      <c r="F54" s="897"/>
      <c r="G54" s="897"/>
      <c r="V54" s="878" t="s">
        <v>713</v>
      </c>
    </row>
    <row r="55" spans="5:22">
      <c r="F55" s="897"/>
      <c r="G55" s="897"/>
      <c r="V55" s="878" t="s">
        <v>713</v>
      </c>
    </row>
    <row r="56" spans="5:22">
      <c r="F56" s="897"/>
      <c r="G56" s="897"/>
      <c r="V56" s="878" t="s">
        <v>713</v>
      </c>
    </row>
    <row r="57" spans="5:22">
      <c r="F57" s="897"/>
      <c r="G57" s="897"/>
      <c r="V57" s="878" t="s">
        <v>713</v>
      </c>
    </row>
    <row r="58" spans="5:22">
      <c r="F58" s="897"/>
      <c r="G58" s="897"/>
      <c r="V58" s="878" t="s">
        <v>713</v>
      </c>
    </row>
    <row r="59" spans="5:22">
      <c r="F59" s="897"/>
      <c r="G59" s="897"/>
      <c r="V59" s="878" t="s">
        <v>713</v>
      </c>
    </row>
    <row r="60" spans="5:22">
      <c r="F60" s="897"/>
      <c r="G60" s="897"/>
      <c r="V60" s="878" t="s">
        <v>713</v>
      </c>
    </row>
    <row r="61" spans="5:22">
      <c r="F61" s="897"/>
      <c r="G61" s="897"/>
      <c r="V61" s="878" t="s">
        <v>713</v>
      </c>
    </row>
    <row r="62" spans="5:22">
      <c r="F62" s="897"/>
      <c r="G62" s="897"/>
      <c r="V62" s="878" t="s">
        <v>713</v>
      </c>
    </row>
    <row r="63" spans="5:22">
      <c r="F63" s="906"/>
      <c r="G63" s="906"/>
      <c r="V63" s="878" t="s">
        <v>713</v>
      </c>
    </row>
    <row r="64" spans="5:22" ht="12" customHeight="1">
      <c r="V64" s="878" t="s">
        <v>713</v>
      </c>
    </row>
    <row r="65" spans="22:22">
      <c r="V65" s="878" t="s">
        <v>713</v>
      </c>
    </row>
    <row r="66" spans="22:22">
      <c r="V66" s="878" t="s">
        <v>713</v>
      </c>
    </row>
    <row r="67" spans="22:22">
      <c r="V67" s="878" t="s">
        <v>713</v>
      </c>
    </row>
    <row r="68" spans="22:22">
      <c r="V68" s="878" t="s">
        <v>713</v>
      </c>
    </row>
    <row r="69" spans="22:22">
      <c r="V69" s="878" t="s">
        <v>713</v>
      </c>
    </row>
    <row r="70" spans="22:22">
      <c r="V70" s="878" t="s">
        <v>713</v>
      </c>
    </row>
    <row r="71" spans="22:22">
      <c r="V71" s="878" t="s">
        <v>713</v>
      </c>
    </row>
    <row r="72" spans="22:22">
      <c r="V72" s="878" t="s">
        <v>713</v>
      </c>
    </row>
    <row r="73" spans="22:22">
      <c r="V73" s="878" t="s">
        <v>713</v>
      </c>
    </row>
    <row r="74" spans="22:22">
      <c r="V74" s="878" t="s">
        <v>713</v>
      </c>
    </row>
    <row r="75" spans="22:22">
      <c r="V75" s="878" t="s">
        <v>713</v>
      </c>
    </row>
    <row r="76" spans="22:22">
      <c r="V76" s="878" t="s">
        <v>713</v>
      </c>
    </row>
    <row r="77" spans="22:22">
      <c r="V77" s="878" t="s">
        <v>713</v>
      </c>
    </row>
    <row r="78" spans="22:22">
      <c r="V78" s="878" t="s">
        <v>713</v>
      </c>
    </row>
    <row r="79" spans="22:22">
      <c r="V79" s="878" t="s">
        <v>713</v>
      </c>
    </row>
    <row r="80" spans="22:22">
      <c r="V80" s="878" t="s">
        <v>713</v>
      </c>
    </row>
    <row r="81" spans="22:22">
      <c r="V81" s="878" t="s">
        <v>713</v>
      </c>
    </row>
    <row r="82" spans="22:22">
      <c r="V82" s="878" t="s">
        <v>713</v>
      </c>
    </row>
    <row r="83" spans="22:22">
      <c r="V83" s="878" t="s">
        <v>713</v>
      </c>
    </row>
    <row r="84" spans="22:22">
      <c r="V84" s="878" t="s">
        <v>713</v>
      </c>
    </row>
    <row r="85" spans="22:22">
      <c r="V85" s="878" t="s">
        <v>713</v>
      </c>
    </row>
    <row r="86" spans="22:22">
      <c r="V86" s="878" t="s">
        <v>713</v>
      </c>
    </row>
    <row r="87" spans="22:22">
      <c r="V87" s="878" t="s">
        <v>713</v>
      </c>
    </row>
    <row r="88" spans="22:22">
      <c r="V88" s="878" t="s">
        <v>713</v>
      </c>
    </row>
    <row r="89" spans="22:22">
      <c r="V89" s="878" t="s">
        <v>713</v>
      </c>
    </row>
    <row r="90" spans="22:22">
      <c r="V90" s="878" t="s">
        <v>713</v>
      </c>
    </row>
    <row r="91" spans="22:22">
      <c r="V91" s="878" t="s">
        <v>713</v>
      </c>
    </row>
    <row r="92" spans="22:22">
      <c r="V92" s="878" t="s">
        <v>713</v>
      </c>
    </row>
    <row r="93" spans="22:22">
      <c r="V93" s="878" t="s">
        <v>713</v>
      </c>
    </row>
    <row r="94" spans="22:22">
      <c r="V94" s="878" t="s">
        <v>713</v>
      </c>
    </row>
    <row r="95" spans="22:22">
      <c r="V95" s="878" t="s">
        <v>713</v>
      </c>
    </row>
    <row r="96" spans="22:22">
      <c r="V96" s="878" t="s">
        <v>713</v>
      </c>
    </row>
    <row r="97" spans="22:22">
      <c r="V97" s="878" t="s">
        <v>713</v>
      </c>
    </row>
    <row r="98" spans="22:22">
      <c r="V98" s="878" t="s">
        <v>713</v>
      </c>
    </row>
    <row r="99" spans="22:22">
      <c r="V99" s="878" t="s">
        <v>713</v>
      </c>
    </row>
    <row r="100" spans="22:22">
      <c r="V100" s="878" t="s">
        <v>713</v>
      </c>
    </row>
    <row r="101" spans="22:22">
      <c r="V101" s="878" t="s">
        <v>713</v>
      </c>
    </row>
    <row r="102" spans="22:22">
      <c r="V102" s="878" t="s">
        <v>713</v>
      </c>
    </row>
    <row r="103" spans="22:22">
      <c r="V103" s="878" t="s">
        <v>713</v>
      </c>
    </row>
    <row r="104" spans="22:22">
      <c r="V104" s="878" t="s">
        <v>713</v>
      </c>
    </row>
    <row r="105" spans="22:22">
      <c r="V105" s="878" t="s">
        <v>713</v>
      </c>
    </row>
    <row r="106" spans="22:22">
      <c r="V106" s="878" t="s">
        <v>713</v>
      </c>
    </row>
    <row r="107" spans="22:22">
      <c r="V107" s="878" t="s">
        <v>713</v>
      </c>
    </row>
    <row r="108" spans="22:22">
      <c r="V108" s="878" t="s">
        <v>713</v>
      </c>
    </row>
    <row r="109" spans="22:22">
      <c r="V109" s="878" t="s">
        <v>713</v>
      </c>
    </row>
    <row r="110" spans="22:22">
      <c r="V110" s="878" t="s">
        <v>713</v>
      </c>
    </row>
    <row r="111" spans="22:22">
      <c r="V111" s="878" t="s">
        <v>713</v>
      </c>
    </row>
    <row r="112" spans="22:22">
      <c r="V112" s="878" t="s">
        <v>713</v>
      </c>
    </row>
    <row r="113" spans="22:22">
      <c r="V113" s="878" t="s">
        <v>713</v>
      </c>
    </row>
    <row r="114" spans="22:22">
      <c r="V114" s="878" t="s">
        <v>713</v>
      </c>
    </row>
    <row r="115" spans="22:22">
      <c r="V115" s="878" t="s">
        <v>713</v>
      </c>
    </row>
    <row r="116" spans="22:22">
      <c r="V116" s="878" t="s">
        <v>713</v>
      </c>
    </row>
    <row r="117" spans="22:22">
      <c r="V117" s="878" t="s">
        <v>713</v>
      </c>
    </row>
    <row r="118" spans="22:22">
      <c r="V118" s="878" t="s">
        <v>713</v>
      </c>
    </row>
    <row r="119" spans="22:22">
      <c r="V119" s="878" t="s">
        <v>713</v>
      </c>
    </row>
    <row r="120" spans="22:22">
      <c r="V120" s="878" t="s">
        <v>713</v>
      </c>
    </row>
    <row r="121" spans="22:22">
      <c r="V121" s="878" t="s">
        <v>713</v>
      </c>
    </row>
    <row r="122" spans="22:22">
      <c r="V122" s="878" t="s">
        <v>713</v>
      </c>
    </row>
    <row r="123" spans="22:22">
      <c r="V123" s="878" t="s">
        <v>713</v>
      </c>
    </row>
    <row r="124" spans="22:22">
      <c r="V124" s="878" t="s">
        <v>713</v>
      </c>
    </row>
    <row r="125" spans="22:22">
      <c r="V125" s="878" t="s">
        <v>713</v>
      </c>
    </row>
    <row r="126" spans="22:22">
      <c r="V126" s="878" t="s">
        <v>713</v>
      </c>
    </row>
    <row r="127" spans="22:22">
      <c r="V127" s="878" t="s">
        <v>713</v>
      </c>
    </row>
    <row r="128" spans="22:22">
      <c r="V128" s="878" t="s">
        <v>713</v>
      </c>
    </row>
    <row r="129" spans="22:22">
      <c r="V129" s="878" t="s">
        <v>713</v>
      </c>
    </row>
    <row r="130" spans="22:22">
      <c r="V130" s="878" t="s">
        <v>713</v>
      </c>
    </row>
    <row r="131" spans="22:22">
      <c r="V131" s="878" t="s">
        <v>713</v>
      </c>
    </row>
    <row r="132" spans="22:22">
      <c r="V132" s="878" t="s">
        <v>713</v>
      </c>
    </row>
    <row r="133" spans="22:22">
      <c r="V133" s="878" t="s">
        <v>713</v>
      </c>
    </row>
    <row r="134" spans="22:22">
      <c r="V134" s="878" t="s">
        <v>713</v>
      </c>
    </row>
    <row r="135" spans="22:22">
      <c r="V135" s="878" t="s">
        <v>713</v>
      </c>
    </row>
    <row r="136" spans="22:22">
      <c r="V136" s="878" t="s">
        <v>713</v>
      </c>
    </row>
    <row r="137" spans="22:22">
      <c r="V137" s="878" t="s">
        <v>713</v>
      </c>
    </row>
    <row r="138" spans="22:22">
      <c r="V138" s="878" t="s">
        <v>713</v>
      </c>
    </row>
    <row r="139" spans="22:22">
      <c r="V139" s="878" t="s">
        <v>713</v>
      </c>
    </row>
    <row r="140" spans="22:22">
      <c r="V140" s="878" t="s">
        <v>713</v>
      </c>
    </row>
    <row r="141" spans="22:22">
      <c r="V141" s="878" t="s">
        <v>713</v>
      </c>
    </row>
    <row r="142" spans="22:22">
      <c r="V142" s="878" t="s">
        <v>713</v>
      </c>
    </row>
    <row r="143" spans="22:22">
      <c r="V143" s="878" t="s">
        <v>713</v>
      </c>
    </row>
    <row r="144" spans="22:22">
      <c r="V144" s="878" t="s">
        <v>713</v>
      </c>
    </row>
    <row r="145" spans="22:22">
      <c r="V145" s="878" t="s">
        <v>713</v>
      </c>
    </row>
    <row r="146" spans="22:22">
      <c r="V146" s="878" t="s">
        <v>713</v>
      </c>
    </row>
    <row r="147" spans="22:22">
      <c r="V147" s="878" t="s">
        <v>713</v>
      </c>
    </row>
    <row r="148" spans="22:22">
      <c r="V148" s="878" t="s">
        <v>713</v>
      </c>
    </row>
    <row r="149" spans="22:22">
      <c r="V149" s="878" t="s">
        <v>713</v>
      </c>
    </row>
    <row r="150" spans="22:22">
      <c r="V150" s="878" t="s">
        <v>713</v>
      </c>
    </row>
    <row r="151" spans="22:22">
      <c r="V151" s="878" t="s">
        <v>713</v>
      </c>
    </row>
    <row r="152" spans="22:22">
      <c r="V152" s="878" t="s">
        <v>713</v>
      </c>
    </row>
    <row r="153" spans="22:22">
      <c r="V153" s="878" t="s">
        <v>713</v>
      </c>
    </row>
    <row r="154" spans="22:22">
      <c r="V154" s="878" t="s">
        <v>713</v>
      </c>
    </row>
    <row r="155" spans="22:22">
      <c r="V155" s="878" t="s">
        <v>713</v>
      </c>
    </row>
    <row r="156" spans="22:22">
      <c r="V156" s="878" t="s">
        <v>713</v>
      </c>
    </row>
    <row r="157" spans="22:22">
      <c r="V157" s="878" t="s">
        <v>713</v>
      </c>
    </row>
    <row r="158" spans="22:22">
      <c r="V158" s="878" t="s">
        <v>713</v>
      </c>
    </row>
    <row r="159" spans="22:22">
      <c r="V159" s="878" t="s">
        <v>713</v>
      </c>
    </row>
    <row r="160" spans="22:22">
      <c r="V160" s="878" t="s">
        <v>713</v>
      </c>
    </row>
    <row r="161" spans="22:22">
      <c r="V161" s="878" t="s">
        <v>713</v>
      </c>
    </row>
    <row r="162" spans="22:22">
      <c r="V162" s="878" t="s">
        <v>713</v>
      </c>
    </row>
    <row r="163" spans="22:22">
      <c r="V163" s="878" t="s">
        <v>713</v>
      </c>
    </row>
    <row r="164" spans="22:22">
      <c r="V164" s="878" t="s">
        <v>713</v>
      </c>
    </row>
    <row r="165" spans="22:22">
      <c r="V165" s="878" t="s">
        <v>713</v>
      </c>
    </row>
    <row r="166" spans="22:22">
      <c r="V166" s="878" t="s">
        <v>713</v>
      </c>
    </row>
    <row r="167" spans="22:22">
      <c r="V167" s="878" t="s">
        <v>713</v>
      </c>
    </row>
    <row r="168" spans="22:22">
      <c r="V168" s="878" t="s">
        <v>713</v>
      </c>
    </row>
    <row r="169" spans="22:22">
      <c r="V169" s="878" t="s">
        <v>713</v>
      </c>
    </row>
    <row r="170" spans="22:22">
      <c r="V170" s="878" t="s">
        <v>713</v>
      </c>
    </row>
    <row r="171" spans="22:22">
      <c r="V171" s="878" t="s">
        <v>713</v>
      </c>
    </row>
    <row r="172" spans="22:22">
      <c r="V172" s="878" t="s">
        <v>713</v>
      </c>
    </row>
    <row r="173" spans="22:22">
      <c r="V173" s="878" t="s">
        <v>713</v>
      </c>
    </row>
    <row r="174" spans="22:22">
      <c r="V174" s="878" t="s">
        <v>713</v>
      </c>
    </row>
    <row r="175" spans="22:22">
      <c r="V175" s="878" t="s">
        <v>713</v>
      </c>
    </row>
    <row r="176" spans="22:22">
      <c r="V176" s="878" t="s">
        <v>713</v>
      </c>
    </row>
    <row r="177" spans="22:22">
      <c r="V177" s="878" t="s">
        <v>713</v>
      </c>
    </row>
    <row r="178" spans="22:22">
      <c r="V178" s="878" t="s">
        <v>713</v>
      </c>
    </row>
    <row r="179" spans="22:22">
      <c r="V179" s="878" t="s">
        <v>713</v>
      </c>
    </row>
    <row r="180" spans="22:22">
      <c r="V180" s="878" t="s">
        <v>713</v>
      </c>
    </row>
    <row r="181" spans="22:22">
      <c r="V181" s="878" t="s">
        <v>713</v>
      </c>
    </row>
    <row r="182" spans="22:22">
      <c r="V182" s="878" t="s">
        <v>713</v>
      </c>
    </row>
    <row r="183" spans="22:22">
      <c r="V183" s="878" t="s">
        <v>713</v>
      </c>
    </row>
    <row r="184" spans="22:22">
      <c r="V184" s="878" t="s">
        <v>713</v>
      </c>
    </row>
    <row r="185" spans="22:22">
      <c r="V185" s="878" t="s">
        <v>713</v>
      </c>
    </row>
    <row r="186" spans="22:22">
      <c r="V186" s="878" t="s">
        <v>713</v>
      </c>
    </row>
    <row r="187" spans="22:22">
      <c r="V187" s="878" t="s">
        <v>713</v>
      </c>
    </row>
    <row r="188" spans="22:22">
      <c r="V188" s="878" t="s">
        <v>713</v>
      </c>
    </row>
    <row r="189" spans="22:22">
      <c r="V189" s="878" t="s">
        <v>713</v>
      </c>
    </row>
    <row r="190" spans="22:22">
      <c r="V190" s="878" t="s">
        <v>713</v>
      </c>
    </row>
    <row r="191" spans="22:22">
      <c r="V191" s="878" t="s">
        <v>713</v>
      </c>
    </row>
    <row r="192" spans="22:22">
      <c r="V192" s="878" t="s">
        <v>713</v>
      </c>
    </row>
    <row r="193" spans="22:22">
      <c r="V193" s="878" t="s">
        <v>713</v>
      </c>
    </row>
    <row r="194" spans="22:22">
      <c r="V194" s="878" t="s">
        <v>713</v>
      </c>
    </row>
    <row r="195" spans="22:22">
      <c r="V195" s="878" t="s">
        <v>713</v>
      </c>
    </row>
    <row r="196" spans="22:22">
      <c r="V196" s="878" t="s">
        <v>713</v>
      </c>
    </row>
    <row r="197" spans="22:22">
      <c r="V197" s="878" t="s">
        <v>713</v>
      </c>
    </row>
    <row r="198" spans="22:22">
      <c r="V198" s="878" t="s">
        <v>713</v>
      </c>
    </row>
    <row r="199" spans="22:22">
      <c r="V199" s="878" t="s">
        <v>713</v>
      </c>
    </row>
    <row r="200" spans="22:22">
      <c r="V200" s="878" t="s">
        <v>713</v>
      </c>
    </row>
    <row r="201" spans="22:22">
      <c r="V201" s="878" t="s">
        <v>713</v>
      </c>
    </row>
    <row r="202" spans="22:22">
      <c r="V202" s="878" t="s">
        <v>713</v>
      </c>
    </row>
    <row r="203" spans="22:22">
      <c r="V203" s="878" t="s">
        <v>713</v>
      </c>
    </row>
    <row r="204" spans="22:22">
      <c r="V204" s="878" t="s">
        <v>713</v>
      </c>
    </row>
    <row r="205" spans="22:22">
      <c r="V205" s="878" t="s">
        <v>713</v>
      </c>
    </row>
    <row r="206" spans="22:22">
      <c r="V206" s="878" t="s">
        <v>713</v>
      </c>
    </row>
    <row r="207" spans="22:22">
      <c r="V207" s="878" t="s">
        <v>713</v>
      </c>
    </row>
    <row r="208" spans="22:22">
      <c r="V208" s="878" t="s">
        <v>713</v>
      </c>
    </row>
    <row r="209" spans="22:22">
      <c r="V209" s="878" t="s">
        <v>713</v>
      </c>
    </row>
    <row r="210" spans="22:22">
      <c r="V210" s="878" t="s">
        <v>713</v>
      </c>
    </row>
    <row r="211" spans="22:22">
      <c r="V211" s="878" t="s">
        <v>713</v>
      </c>
    </row>
    <row r="212" spans="22:22">
      <c r="V212" s="878" t="s">
        <v>713</v>
      </c>
    </row>
    <row r="213" spans="22:22">
      <c r="V213" s="878" t="s">
        <v>713</v>
      </c>
    </row>
    <row r="214" spans="22:22">
      <c r="V214" s="878" t="s">
        <v>713</v>
      </c>
    </row>
    <row r="215" spans="22:22">
      <c r="V215" s="878" t="s">
        <v>713</v>
      </c>
    </row>
    <row r="216" spans="22:22">
      <c r="V216" s="878" t="s">
        <v>713</v>
      </c>
    </row>
    <row r="217" spans="22:22">
      <c r="V217" s="878" t="s">
        <v>713</v>
      </c>
    </row>
    <row r="218" spans="22:22">
      <c r="V218" s="878" t="s">
        <v>713</v>
      </c>
    </row>
    <row r="219" spans="22:22">
      <c r="V219" s="878" t="s">
        <v>713</v>
      </c>
    </row>
    <row r="220" spans="22:22">
      <c r="V220" s="878" t="s">
        <v>713</v>
      </c>
    </row>
    <row r="221" spans="22:22">
      <c r="V221" s="878" t="s">
        <v>713</v>
      </c>
    </row>
    <row r="222" spans="22:22">
      <c r="V222" s="878" t="s">
        <v>713</v>
      </c>
    </row>
    <row r="223" spans="22:22">
      <c r="V223" s="878" t="s">
        <v>713</v>
      </c>
    </row>
    <row r="224" spans="22:22">
      <c r="V224" s="878" t="s">
        <v>713</v>
      </c>
    </row>
    <row r="225" spans="22:22">
      <c r="V225" s="878" t="s">
        <v>713</v>
      </c>
    </row>
    <row r="226" spans="22:22">
      <c r="V226" s="878" t="s">
        <v>713</v>
      </c>
    </row>
    <row r="227" spans="22:22">
      <c r="V227" s="878" t="s">
        <v>713</v>
      </c>
    </row>
    <row r="228" spans="22:22">
      <c r="V228" s="878" t="s">
        <v>713</v>
      </c>
    </row>
    <row r="229" spans="22:22">
      <c r="V229" s="878" t="s">
        <v>713</v>
      </c>
    </row>
    <row r="230" spans="22:22">
      <c r="V230" s="878" t="s">
        <v>713</v>
      </c>
    </row>
    <row r="231" spans="22:22">
      <c r="V231" s="878" t="s">
        <v>713</v>
      </c>
    </row>
    <row r="232" spans="22:22">
      <c r="V232" s="878" t="s">
        <v>713</v>
      </c>
    </row>
    <row r="233" spans="22:22">
      <c r="V233" s="878" t="s">
        <v>713</v>
      </c>
    </row>
    <row r="234" spans="22:22">
      <c r="V234" s="878" t="s">
        <v>713</v>
      </c>
    </row>
    <row r="235" spans="22:22">
      <c r="V235" s="878" t="s">
        <v>713</v>
      </c>
    </row>
    <row r="236" spans="22:22">
      <c r="V236" s="878" t="s">
        <v>713</v>
      </c>
    </row>
    <row r="237" spans="22:22">
      <c r="V237" s="878" t="s">
        <v>713</v>
      </c>
    </row>
    <row r="238" spans="22:22">
      <c r="V238" s="878" t="s">
        <v>713</v>
      </c>
    </row>
    <row r="239" spans="22:22">
      <c r="V239" s="878" t="s">
        <v>713</v>
      </c>
    </row>
    <row r="240" spans="22:22">
      <c r="V240" s="878" t="s">
        <v>713</v>
      </c>
    </row>
    <row r="241" spans="22:22">
      <c r="V241" s="878" t="s">
        <v>713</v>
      </c>
    </row>
    <row r="242" spans="22:22">
      <c r="V242" s="878" t="s">
        <v>713</v>
      </c>
    </row>
    <row r="243" spans="22:22">
      <c r="V243" s="878" t="s">
        <v>713</v>
      </c>
    </row>
    <row r="244" spans="22:22">
      <c r="V244" s="878" t="s">
        <v>713</v>
      </c>
    </row>
    <row r="245" spans="22:22">
      <c r="V245" s="878" t="s">
        <v>713</v>
      </c>
    </row>
    <row r="246" spans="22:22">
      <c r="V246" s="878" t="s">
        <v>713</v>
      </c>
    </row>
    <row r="247" spans="22:22">
      <c r="V247" s="878" t="s">
        <v>713</v>
      </c>
    </row>
    <row r="248" spans="22:22">
      <c r="V248" s="878" t="s">
        <v>713</v>
      </c>
    </row>
    <row r="249" spans="22:22">
      <c r="V249" s="878" t="s">
        <v>713</v>
      </c>
    </row>
    <row r="250" spans="22:22">
      <c r="V250" s="878" t="s">
        <v>713</v>
      </c>
    </row>
    <row r="251" spans="22:22">
      <c r="V251" s="878" t="s">
        <v>713</v>
      </c>
    </row>
    <row r="252" spans="22:22">
      <c r="V252" s="878" t="s">
        <v>713</v>
      </c>
    </row>
    <row r="253" spans="22:22">
      <c r="V253" s="878" t="s">
        <v>713</v>
      </c>
    </row>
    <row r="254" spans="22:22">
      <c r="V254" s="878" t="s">
        <v>713</v>
      </c>
    </row>
    <row r="255" spans="22:22">
      <c r="V255" s="878" t="s">
        <v>713</v>
      </c>
    </row>
    <row r="256" spans="22:22">
      <c r="V256" s="878" t="s">
        <v>713</v>
      </c>
    </row>
    <row r="257" spans="22:22">
      <c r="V257" s="878" t="s">
        <v>713</v>
      </c>
    </row>
    <row r="258" spans="22:22">
      <c r="V258" s="878" t="s">
        <v>713</v>
      </c>
    </row>
    <row r="259" spans="22:22">
      <c r="V259" s="878" t="s">
        <v>713</v>
      </c>
    </row>
    <row r="260" spans="22:22">
      <c r="V260" s="878" t="s">
        <v>713</v>
      </c>
    </row>
    <row r="261" spans="22:22">
      <c r="V261" s="878" t="s">
        <v>713</v>
      </c>
    </row>
    <row r="262" spans="22:22">
      <c r="V262" s="878" t="s">
        <v>713</v>
      </c>
    </row>
    <row r="263" spans="22:22">
      <c r="V263" s="878" t="s">
        <v>713</v>
      </c>
    </row>
    <row r="264" spans="22:22">
      <c r="V264" s="878" t="s">
        <v>713</v>
      </c>
    </row>
    <row r="265" spans="22:22">
      <c r="V265" s="878" t="s">
        <v>713</v>
      </c>
    </row>
    <row r="266" spans="22:22">
      <c r="V266" s="878" t="s">
        <v>713</v>
      </c>
    </row>
    <row r="267" spans="22:22">
      <c r="V267" s="878" t="s">
        <v>713</v>
      </c>
    </row>
    <row r="268" spans="22:22">
      <c r="V268" s="878" t="s">
        <v>713</v>
      </c>
    </row>
    <row r="269" spans="22:22">
      <c r="V269" s="878" t="s">
        <v>713</v>
      </c>
    </row>
    <row r="270" spans="22:22">
      <c r="V270" s="878" t="s">
        <v>713</v>
      </c>
    </row>
    <row r="271" spans="22:22">
      <c r="V271" s="878" t="s">
        <v>713</v>
      </c>
    </row>
    <row r="272" spans="22:22">
      <c r="V272" s="878" t="s">
        <v>713</v>
      </c>
    </row>
    <row r="273" spans="22:22">
      <c r="V273" s="878" t="s">
        <v>713</v>
      </c>
    </row>
    <row r="274" spans="22:22">
      <c r="V274" s="878" t="s">
        <v>713</v>
      </c>
    </row>
    <row r="275" spans="22:22">
      <c r="V275" s="878" t="s">
        <v>713</v>
      </c>
    </row>
    <row r="276" spans="22:22">
      <c r="V276" s="878" t="s">
        <v>713</v>
      </c>
    </row>
    <row r="277" spans="22:22">
      <c r="V277" s="878" t="s">
        <v>713</v>
      </c>
    </row>
    <row r="278" spans="22:22">
      <c r="V278" s="878" t="s">
        <v>713</v>
      </c>
    </row>
    <row r="279" spans="22:22">
      <c r="V279" s="878" t="s">
        <v>713</v>
      </c>
    </row>
    <row r="280" spans="22:22">
      <c r="V280" s="878" t="s">
        <v>713</v>
      </c>
    </row>
    <row r="281" spans="22:22">
      <c r="V281" s="878" t="s">
        <v>713</v>
      </c>
    </row>
    <row r="282" spans="22:22">
      <c r="V282" s="878" t="s">
        <v>713</v>
      </c>
    </row>
    <row r="283" spans="22:22">
      <c r="V283" s="878" t="s">
        <v>713</v>
      </c>
    </row>
    <row r="284" spans="22:22">
      <c r="V284" s="878" t="s">
        <v>713</v>
      </c>
    </row>
    <row r="285" spans="22:22">
      <c r="V285" s="878" t="s">
        <v>713</v>
      </c>
    </row>
    <row r="286" spans="22:22">
      <c r="V286" s="878" t="s">
        <v>713</v>
      </c>
    </row>
    <row r="287" spans="22:22">
      <c r="V287" s="878" t="s">
        <v>713</v>
      </c>
    </row>
    <row r="288" spans="22:22">
      <c r="V288" s="878" t="s">
        <v>713</v>
      </c>
    </row>
    <row r="289" spans="22:22">
      <c r="V289" s="878" t="s">
        <v>713</v>
      </c>
    </row>
    <row r="290" spans="22:22">
      <c r="V290" s="878" t="s">
        <v>713</v>
      </c>
    </row>
    <row r="291" spans="22:22">
      <c r="V291" s="878" t="s">
        <v>713</v>
      </c>
    </row>
    <row r="292" spans="22:22">
      <c r="V292" s="878" t="s">
        <v>713</v>
      </c>
    </row>
    <row r="293" spans="22:22">
      <c r="V293" s="878" t="s">
        <v>713</v>
      </c>
    </row>
    <row r="294" spans="22:22">
      <c r="V294" s="878" t="s">
        <v>713</v>
      </c>
    </row>
    <row r="295" spans="22:22">
      <c r="V295" s="878" t="s">
        <v>713</v>
      </c>
    </row>
    <row r="296" spans="22:22">
      <c r="V296" s="878" t="s">
        <v>713</v>
      </c>
    </row>
    <row r="297" spans="22:22">
      <c r="V297" s="878" t="s">
        <v>713</v>
      </c>
    </row>
    <row r="298" spans="22:22">
      <c r="V298" s="878" t="s">
        <v>713</v>
      </c>
    </row>
    <row r="299" spans="22:22">
      <c r="V299" s="878" t="s">
        <v>713</v>
      </c>
    </row>
    <row r="300" spans="22:22">
      <c r="V300" s="878" t="s">
        <v>713</v>
      </c>
    </row>
    <row r="301" spans="22:22">
      <c r="V301" s="878" t="s">
        <v>713</v>
      </c>
    </row>
    <row r="302" spans="22:22">
      <c r="V302" s="878" t="s">
        <v>713</v>
      </c>
    </row>
    <row r="303" spans="22:22">
      <c r="V303" s="878" t="s">
        <v>713</v>
      </c>
    </row>
    <row r="304" spans="22:22">
      <c r="V304" s="878" t="s">
        <v>713</v>
      </c>
    </row>
    <row r="305" spans="22:22">
      <c r="V305" s="878" t="s">
        <v>713</v>
      </c>
    </row>
    <row r="306" spans="22:22">
      <c r="V306" s="878" t="s">
        <v>713</v>
      </c>
    </row>
    <row r="307" spans="22:22">
      <c r="V307" s="878" t="s">
        <v>713</v>
      </c>
    </row>
    <row r="308" spans="22:22">
      <c r="V308" s="878" t="s">
        <v>713</v>
      </c>
    </row>
    <row r="309" spans="22:22">
      <c r="V309" s="878" t="s">
        <v>713</v>
      </c>
    </row>
    <row r="310" spans="22:22">
      <c r="V310" s="878" t="s">
        <v>713</v>
      </c>
    </row>
    <row r="311" spans="22:22">
      <c r="V311" s="878" t="s">
        <v>713</v>
      </c>
    </row>
    <row r="312" spans="22:22">
      <c r="V312" s="878" t="s">
        <v>713</v>
      </c>
    </row>
    <row r="313" spans="22:22">
      <c r="V313" s="878" t="s">
        <v>713</v>
      </c>
    </row>
    <row r="314" spans="22:22">
      <c r="V314" s="878" t="s">
        <v>713</v>
      </c>
    </row>
    <row r="315" spans="22:22">
      <c r="V315" s="878" t="s">
        <v>713</v>
      </c>
    </row>
    <row r="316" spans="22:22">
      <c r="V316" s="878" t="s">
        <v>713</v>
      </c>
    </row>
    <row r="317" spans="22:22">
      <c r="V317" s="878" t="s">
        <v>713</v>
      </c>
    </row>
    <row r="318" spans="22:22">
      <c r="V318" s="878" t="s">
        <v>713</v>
      </c>
    </row>
    <row r="319" spans="22:22">
      <c r="V319" s="878" t="s">
        <v>713</v>
      </c>
    </row>
    <row r="320" spans="22:22">
      <c r="V320" s="878" t="s">
        <v>713</v>
      </c>
    </row>
    <row r="321" spans="22:22">
      <c r="V321" s="878" t="s">
        <v>713</v>
      </c>
    </row>
    <row r="322" spans="22:22">
      <c r="V322" s="878" t="s">
        <v>713</v>
      </c>
    </row>
    <row r="323" spans="22:22">
      <c r="V323" s="878" t="s">
        <v>713</v>
      </c>
    </row>
    <row r="324" spans="22:22">
      <c r="V324" s="878" t="s">
        <v>713</v>
      </c>
    </row>
    <row r="325" spans="22:22">
      <c r="V325" s="878" t="s">
        <v>713</v>
      </c>
    </row>
    <row r="326" spans="22:22">
      <c r="V326" s="878" t="s">
        <v>713</v>
      </c>
    </row>
    <row r="327" spans="22:22">
      <c r="V327" s="878" t="s">
        <v>713</v>
      </c>
    </row>
    <row r="328" spans="22:22">
      <c r="V328" s="878" t="s">
        <v>713</v>
      </c>
    </row>
    <row r="329" spans="22:22">
      <c r="V329" s="878" t="s">
        <v>713</v>
      </c>
    </row>
    <row r="330" spans="22:22">
      <c r="V330" s="878" t="s">
        <v>713</v>
      </c>
    </row>
    <row r="331" spans="22:22">
      <c r="V331" s="878" t="s">
        <v>713</v>
      </c>
    </row>
    <row r="332" spans="22:22">
      <c r="V332" s="878" t="s">
        <v>713</v>
      </c>
    </row>
    <row r="333" spans="22:22">
      <c r="V333" s="878" t="s">
        <v>713</v>
      </c>
    </row>
    <row r="334" spans="22:22">
      <c r="V334" s="878" t="s">
        <v>713</v>
      </c>
    </row>
    <row r="335" spans="22:22">
      <c r="V335" s="878" t="s">
        <v>713</v>
      </c>
    </row>
    <row r="336" spans="22:22">
      <c r="V336" s="878" t="s">
        <v>713</v>
      </c>
    </row>
    <row r="337" spans="22:22">
      <c r="V337" s="878" t="s">
        <v>713</v>
      </c>
    </row>
    <row r="338" spans="22:22">
      <c r="V338" s="878" t="s">
        <v>713</v>
      </c>
    </row>
    <row r="339" spans="22:22">
      <c r="V339" s="878" t="s">
        <v>713</v>
      </c>
    </row>
    <row r="340" spans="22:22">
      <c r="V340" s="878" t="s">
        <v>713</v>
      </c>
    </row>
    <row r="341" spans="22:22">
      <c r="V341" s="878" t="s">
        <v>713</v>
      </c>
    </row>
    <row r="342" spans="22:22">
      <c r="V342" s="878" t="s">
        <v>713</v>
      </c>
    </row>
    <row r="343" spans="22:22">
      <c r="V343" s="878" t="s">
        <v>713</v>
      </c>
    </row>
    <row r="344" spans="22:22">
      <c r="V344" s="878" t="s">
        <v>713</v>
      </c>
    </row>
    <row r="345" spans="22:22">
      <c r="V345" s="878" t="s">
        <v>713</v>
      </c>
    </row>
    <row r="346" spans="22:22">
      <c r="V346" s="878" t="s">
        <v>713</v>
      </c>
    </row>
    <row r="347" spans="22:22">
      <c r="V347" s="878" t="s">
        <v>713</v>
      </c>
    </row>
    <row r="348" spans="22:22">
      <c r="V348" s="878" t="s">
        <v>713</v>
      </c>
    </row>
    <row r="349" spans="22:22">
      <c r="V349" s="878" t="s">
        <v>713</v>
      </c>
    </row>
    <row r="350" spans="22:22">
      <c r="V350" s="878" t="s">
        <v>713</v>
      </c>
    </row>
    <row r="351" spans="22:22">
      <c r="V351" s="878" t="s">
        <v>713</v>
      </c>
    </row>
    <row r="352" spans="22:22">
      <c r="V352" s="878" t="s">
        <v>713</v>
      </c>
    </row>
    <row r="353" spans="22:22">
      <c r="V353" s="878" t="s">
        <v>713</v>
      </c>
    </row>
    <row r="354" spans="22:22">
      <c r="V354" s="878" t="s">
        <v>713</v>
      </c>
    </row>
    <row r="355" spans="22:22">
      <c r="V355" s="878" t="s">
        <v>713</v>
      </c>
    </row>
    <row r="356" spans="22:22">
      <c r="V356" s="878" t="s">
        <v>713</v>
      </c>
    </row>
    <row r="357" spans="22:22">
      <c r="V357" s="878" t="s">
        <v>713</v>
      </c>
    </row>
    <row r="358" spans="22:22">
      <c r="V358" s="878" t="s">
        <v>713</v>
      </c>
    </row>
    <row r="359" spans="22:22">
      <c r="V359" s="878" t="s">
        <v>713</v>
      </c>
    </row>
    <row r="360" spans="22:22">
      <c r="V360" s="878" t="s">
        <v>713</v>
      </c>
    </row>
    <row r="361" spans="22:22">
      <c r="V361" s="878" t="s">
        <v>713</v>
      </c>
    </row>
    <row r="362" spans="22:22">
      <c r="V362" s="878" t="s">
        <v>713</v>
      </c>
    </row>
    <row r="363" spans="22:22">
      <c r="V363" s="878" t="s">
        <v>713</v>
      </c>
    </row>
    <row r="364" spans="22:22">
      <c r="V364" s="878" t="s">
        <v>713</v>
      </c>
    </row>
    <row r="365" spans="22:22">
      <c r="V365" s="878" t="s">
        <v>713</v>
      </c>
    </row>
    <row r="366" spans="22:22">
      <c r="V366" s="878" t="s">
        <v>713</v>
      </c>
    </row>
    <row r="367" spans="22:22">
      <c r="V367" s="878" t="s">
        <v>713</v>
      </c>
    </row>
    <row r="368" spans="22:22">
      <c r="V368" s="878" t="s">
        <v>713</v>
      </c>
    </row>
    <row r="369" spans="22:22">
      <c r="V369" s="878" t="s">
        <v>713</v>
      </c>
    </row>
    <row r="370" spans="22:22">
      <c r="V370" s="878" t="s">
        <v>713</v>
      </c>
    </row>
    <row r="371" spans="22:22">
      <c r="V371" s="878" t="s">
        <v>713</v>
      </c>
    </row>
    <row r="372" spans="22:22">
      <c r="V372" s="878" t="s">
        <v>713</v>
      </c>
    </row>
    <row r="373" spans="22:22">
      <c r="V373" s="878" t="s">
        <v>713</v>
      </c>
    </row>
    <row r="374" spans="22:22">
      <c r="V374" s="878" t="s">
        <v>713</v>
      </c>
    </row>
    <row r="375" spans="22:22">
      <c r="V375" s="878" t="s">
        <v>713</v>
      </c>
    </row>
    <row r="376" spans="22:22">
      <c r="V376" s="878" t="s">
        <v>713</v>
      </c>
    </row>
    <row r="377" spans="22:22">
      <c r="V377" s="878" t="s">
        <v>713</v>
      </c>
    </row>
    <row r="378" spans="22:22">
      <c r="V378" s="878" t="s">
        <v>713</v>
      </c>
    </row>
    <row r="379" spans="22:22">
      <c r="V379" s="878" t="s">
        <v>713</v>
      </c>
    </row>
    <row r="380" spans="22:22">
      <c r="V380" s="878" t="s">
        <v>713</v>
      </c>
    </row>
    <row r="381" spans="22:22">
      <c r="V381" s="878" t="s">
        <v>713</v>
      </c>
    </row>
    <row r="382" spans="22:22">
      <c r="V382" s="878" t="s">
        <v>713</v>
      </c>
    </row>
    <row r="383" spans="22:22">
      <c r="V383" s="878" t="s">
        <v>713</v>
      </c>
    </row>
    <row r="384" spans="22:22">
      <c r="V384" s="878" t="s">
        <v>713</v>
      </c>
    </row>
    <row r="385" spans="22:22">
      <c r="V385" s="878" t="s">
        <v>713</v>
      </c>
    </row>
    <row r="386" spans="22:22">
      <c r="V386" s="878" t="s">
        <v>713</v>
      </c>
    </row>
    <row r="387" spans="22:22">
      <c r="V387" s="878" t="s">
        <v>713</v>
      </c>
    </row>
    <row r="388" spans="22:22">
      <c r="V388" s="878" t="s">
        <v>713</v>
      </c>
    </row>
    <row r="389" spans="22:22">
      <c r="V389" s="878" t="s">
        <v>713</v>
      </c>
    </row>
    <row r="390" spans="22:22">
      <c r="V390" s="878" t="s">
        <v>713</v>
      </c>
    </row>
    <row r="391" spans="22:22">
      <c r="V391" s="878" t="s">
        <v>713</v>
      </c>
    </row>
    <row r="392" spans="22:22">
      <c r="V392" s="878" t="s">
        <v>713</v>
      </c>
    </row>
    <row r="393" spans="22:22">
      <c r="V393" s="878" t="s">
        <v>713</v>
      </c>
    </row>
    <row r="394" spans="22:22">
      <c r="V394" s="878" t="s">
        <v>713</v>
      </c>
    </row>
    <row r="395" spans="22:22">
      <c r="V395" s="878" t="s">
        <v>713</v>
      </c>
    </row>
    <row r="396" spans="22:22">
      <c r="V396" s="878" t="s">
        <v>713</v>
      </c>
    </row>
    <row r="397" spans="22:22">
      <c r="V397" s="878" t="s">
        <v>713</v>
      </c>
    </row>
    <row r="398" spans="22:22">
      <c r="V398" s="878" t="s">
        <v>713</v>
      </c>
    </row>
    <row r="399" spans="22:22">
      <c r="V399" s="878" t="s">
        <v>713</v>
      </c>
    </row>
    <row r="400" spans="22:22">
      <c r="V400" s="878" t="s">
        <v>713</v>
      </c>
    </row>
    <row r="401" spans="22:22">
      <c r="V401" s="878" t="s">
        <v>713</v>
      </c>
    </row>
    <row r="402" spans="22:22">
      <c r="V402" s="878" t="s">
        <v>713</v>
      </c>
    </row>
    <row r="403" spans="22:22">
      <c r="V403" s="878" t="s">
        <v>713</v>
      </c>
    </row>
    <row r="404" spans="22:22">
      <c r="V404" s="878" t="s">
        <v>713</v>
      </c>
    </row>
    <row r="405" spans="22:22">
      <c r="V405" s="878" t="s">
        <v>713</v>
      </c>
    </row>
    <row r="406" spans="22:22">
      <c r="V406" s="878" t="s">
        <v>713</v>
      </c>
    </row>
    <row r="407" spans="22:22">
      <c r="V407" s="878" t="s">
        <v>713</v>
      </c>
    </row>
    <row r="408" spans="22:22">
      <c r="V408" s="878" t="s">
        <v>713</v>
      </c>
    </row>
    <row r="409" spans="22:22">
      <c r="V409" s="878" t="s">
        <v>713</v>
      </c>
    </row>
    <row r="410" spans="22:22">
      <c r="V410" s="878" t="s">
        <v>713</v>
      </c>
    </row>
    <row r="411" spans="22:22">
      <c r="V411" s="878" t="s">
        <v>713</v>
      </c>
    </row>
    <row r="412" spans="22:22">
      <c r="V412" s="878" t="s">
        <v>713</v>
      </c>
    </row>
    <row r="413" spans="22:22">
      <c r="V413" s="878" t="s">
        <v>713</v>
      </c>
    </row>
    <row r="414" spans="22:22">
      <c r="V414" s="878" t="s">
        <v>713</v>
      </c>
    </row>
    <row r="415" spans="22:22">
      <c r="V415" s="878" t="s">
        <v>713</v>
      </c>
    </row>
    <row r="416" spans="22:22">
      <c r="V416" s="878" t="s">
        <v>713</v>
      </c>
    </row>
    <row r="417" spans="22:22">
      <c r="V417" s="878" t="s">
        <v>713</v>
      </c>
    </row>
    <row r="418" spans="22:22">
      <c r="V418" s="878" t="s">
        <v>713</v>
      </c>
    </row>
    <row r="419" spans="22:22">
      <c r="V419" s="878" t="s">
        <v>713</v>
      </c>
    </row>
    <row r="420" spans="22:22">
      <c r="V420" s="878" t="s">
        <v>713</v>
      </c>
    </row>
    <row r="421" spans="22:22">
      <c r="V421" s="878" t="s">
        <v>713</v>
      </c>
    </row>
    <row r="422" spans="22:22">
      <c r="V422" s="878" t="s">
        <v>713</v>
      </c>
    </row>
    <row r="423" spans="22:22">
      <c r="V423" s="878" t="s">
        <v>713</v>
      </c>
    </row>
    <row r="424" spans="22:22">
      <c r="V424" s="878" t="s">
        <v>713</v>
      </c>
    </row>
    <row r="425" spans="22:22">
      <c r="V425" s="878" t="s">
        <v>713</v>
      </c>
    </row>
    <row r="426" spans="22:22">
      <c r="V426" s="878" t="s">
        <v>713</v>
      </c>
    </row>
    <row r="427" spans="22:22">
      <c r="V427" s="878" t="s">
        <v>713</v>
      </c>
    </row>
    <row r="428" spans="22:22">
      <c r="V428" s="878" t="s">
        <v>713</v>
      </c>
    </row>
    <row r="429" spans="22:22">
      <c r="V429" s="878" t="s">
        <v>713</v>
      </c>
    </row>
    <row r="430" spans="22:22">
      <c r="V430" s="878" t="s">
        <v>713</v>
      </c>
    </row>
    <row r="431" spans="22:22">
      <c r="V431" s="878" t="s">
        <v>713</v>
      </c>
    </row>
    <row r="432" spans="22:22">
      <c r="V432" s="878" t="s">
        <v>713</v>
      </c>
    </row>
    <row r="433" spans="22:22">
      <c r="V433" s="878" t="s">
        <v>713</v>
      </c>
    </row>
    <row r="434" spans="22:22">
      <c r="V434" s="878" t="s">
        <v>713</v>
      </c>
    </row>
    <row r="435" spans="22:22">
      <c r="V435" s="878" t="s">
        <v>713</v>
      </c>
    </row>
    <row r="436" spans="22:22">
      <c r="V436" s="878" t="s">
        <v>713</v>
      </c>
    </row>
    <row r="437" spans="22:22">
      <c r="V437" s="878" t="s">
        <v>713</v>
      </c>
    </row>
    <row r="438" spans="22:22">
      <c r="V438" s="878" t="s">
        <v>713</v>
      </c>
    </row>
    <row r="439" spans="22:22">
      <c r="V439" s="878" t="s">
        <v>713</v>
      </c>
    </row>
    <row r="440" spans="22:22">
      <c r="V440" s="878" t="s">
        <v>713</v>
      </c>
    </row>
    <row r="441" spans="22:22">
      <c r="V441" s="878" t="s">
        <v>713</v>
      </c>
    </row>
    <row r="442" spans="22:22">
      <c r="V442" s="878" t="s">
        <v>713</v>
      </c>
    </row>
    <row r="443" spans="22:22">
      <c r="V443" s="878" t="s">
        <v>713</v>
      </c>
    </row>
    <row r="444" spans="22:22">
      <c r="V444" s="878" t="s">
        <v>713</v>
      </c>
    </row>
    <row r="445" spans="22:22">
      <c r="V445" s="878" t="s">
        <v>713</v>
      </c>
    </row>
    <row r="446" spans="22:22">
      <c r="V446" s="878" t="s">
        <v>713</v>
      </c>
    </row>
    <row r="447" spans="22:22">
      <c r="V447" s="878" t="s">
        <v>713</v>
      </c>
    </row>
    <row r="448" spans="22:22">
      <c r="V448" s="878" t="s">
        <v>713</v>
      </c>
    </row>
    <row r="449" spans="22:22">
      <c r="V449" s="878" t="s">
        <v>713</v>
      </c>
    </row>
    <row r="450" spans="22:22">
      <c r="V450" s="878" t="s">
        <v>713</v>
      </c>
    </row>
    <row r="451" spans="22:22">
      <c r="V451" s="878" t="s">
        <v>713</v>
      </c>
    </row>
    <row r="452" spans="22:22">
      <c r="V452" s="878" t="s">
        <v>713</v>
      </c>
    </row>
    <row r="453" spans="22:22">
      <c r="V453" s="878" t="s">
        <v>713</v>
      </c>
    </row>
    <row r="454" spans="22:22">
      <c r="V454" s="878" t="s">
        <v>713</v>
      </c>
    </row>
    <row r="455" spans="22:22">
      <c r="V455" s="878" t="s">
        <v>713</v>
      </c>
    </row>
    <row r="456" spans="22:22">
      <c r="V456" s="878" t="s">
        <v>713</v>
      </c>
    </row>
    <row r="457" spans="22:22">
      <c r="V457" s="878" t="s">
        <v>713</v>
      </c>
    </row>
    <row r="458" spans="22:22">
      <c r="V458" s="878" t="s">
        <v>713</v>
      </c>
    </row>
    <row r="459" spans="22:22">
      <c r="V459" s="878" t="s">
        <v>713</v>
      </c>
    </row>
    <row r="460" spans="22:22">
      <c r="V460" s="878" t="s">
        <v>713</v>
      </c>
    </row>
    <row r="461" spans="22:22">
      <c r="V461" s="878" t="s">
        <v>713</v>
      </c>
    </row>
    <row r="462" spans="22:22">
      <c r="V462" s="878" t="s">
        <v>713</v>
      </c>
    </row>
    <row r="463" spans="22:22">
      <c r="V463" s="878" t="s">
        <v>713</v>
      </c>
    </row>
    <row r="464" spans="22:22">
      <c r="V464" s="878" t="s">
        <v>713</v>
      </c>
    </row>
    <row r="465" spans="22:22">
      <c r="V465" s="878" t="s">
        <v>713</v>
      </c>
    </row>
    <row r="466" spans="22:22">
      <c r="V466" s="878" t="s">
        <v>713</v>
      </c>
    </row>
    <row r="467" spans="22:22">
      <c r="V467" s="878" t="s">
        <v>713</v>
      </c>
    </row>
    <row r="468" spans="22:22">
      <c r="V468" s="878" t="s">
        <v>713</v>
      </c>
    </row>
    <row r="469" spans="22:22">
      <c r="V469" s="878" t="s">
        <v>713</v>
      </c>
    </row>
    <row r="470" spans="22:22">
      <c r="V470" s="878" t="s">
        <v>713</v>
      </c>
    </row>
    <row r="471" spans="22:22">
      <c r="V471" s="878" t="s">
        <v>713</v>
      </c>
    </row>
    <row r="472" spans="22:22">
      <c r="V472" s="878" t="s">
        <v>713</v>
      </c>
    </row>
    <row r="473" spans="22:22">
      <c r="V473" s="878" t="s">
        <v>713</v>
      </c>
    </row>
    <row r="474" spans="22:22">
      <c r="V474" s="878" t="s">
        <v>713</v>
      </c>
    </row>
    <row r="475" spans="22:22">
      <c r="V475" s="878" t="s">
        <v>713</v>
      </c>
    </row>
    <row r="476" spans="22:22">
      <c r="V476" s="878" t="s">
        <v>713</v>
      </c>
    </row>
    <row r="477" spans="22:22">
      <c r="V477" s="878" t="s">
        <v>713</v>
      </c>
    </row>
    <row r="478" spans="22:22">
      <c r="V478" s="878" t="s">
        <v>713</v>
      </c>
    </row>
    <row r="479" spans="22:22">
      <c r="V479" s="878" t="s">
        <v>713</v>
      </c>
    </row>
    <row r="480" spans="22:22">
      <c r="V480" s="878" t="s">
        <v>713</v>
      </c>
    </row>
    <row r="481" spans="22:22">
      <c r="V481" s="878" t="s">
        <v>713</v>
      </c>
    </row>
    <row r="482" spans="22:22">
      <c r="V482" s="878" t="s">
        <v>713</v>
      </c>
    </row>
    <row r="483" spans="22:22">
      <c r="V483" s="878" t="s">
        <v>713</v>
      </c>
    </row>
    <row r="484" spans="22:22">
      <c r="V484" s="878" t="s">
        <v>713</v>
      </c>
    </row>
    <row r="485" spans="22:22">
      <c r="V485" s="878" t="s">
        <v>713</v>
      </c>
    </row>
    <row r="486" spans="22:22">
      <c r="V486" s="878" t="s">
        <v>713</v>
      </c>
    </row>
    <row r="487" spans="22:22">
      <c r="V487" s="878" t="s">
        <v>713</v>
      </c>
    </row>
    <row r="488" spans="22:22">
      <c r="V488" s="878" t="s">
        <v>713</v>
      </c>
    </row>
    <row r="489" spans="22:22">
      <c r="V489" s="878" t="s">
        <v>713</v>
      </c>
    </row>
    <row r="490" spans="22:22">
      <c r="V490" s="878" t="s">
        <v>713</v>
      </c>
    </row>
    <row r="491" spans="22:22">
      <c r="V491" s="878" t="s">
        <v>713</v>
      </c>
    </row>
    <row r="492" spans="22:22">
      <c r="V492" s="878" t="s">
        <v>713</v>
      </c>
    </row>
    <row r="493" spans="22:22">
      <c r="V493" s="878" t="s">
        <v>713</v>
      </c>
    </row>
    <row r="494" spans="22:22">
      <c r="V494" s="878" t="s">
        <v>713</v>
      </c>
    </row>
    <row r="495" spans="22:22">
      <c r="V495" s="878" t="s">
        <v>713</v>
      </c>
    </row>
    <row r="496" spans="22:22">
      <c r="V496" s="878" t="s">
        <v>713</v>
      </c>
    </row>
    <row r="497" spans="22:22">
      <c r="V497" s="878" t="s">
        <v>713</v>
      </c>
    </row>
    <row r="498" spans="22:22">
      <c r="V498" s="878" t="s">
        <v>713</v>
      </c>
    </row>
    <row r="499" spans="22:22">
      <c r="V499" s="878" t="s">
        <v>713</v>
      </c>
    </row>
    <row r="500" spans="22:22">
      <c r="V500" s="878" t="s">
        <v>713</v>
      </c>
    </row>
    <row r="501" spans="22:22">
      <c r="V501" s="878" t="s">
        <v>713</v>
      </c>
    </row>
    <row r="502" spans="22:22">
      <c r="V502" s="878" t="s">
        <v>713</v>
      </c>
    </row>
    <row r="503" spans="22:22">
      <c r="V503" s="878" t="s">
        <v>713</v>
      </c>
    </row>
    <row r="504" spans="22:22">
      <c r="V504" s="878" t="s">
        <v>713</v>
      </c>
    </row>
    <row r="505" spans="22:22">
      <c r="V505" s="878" t="s">
        <v>713</v>
      </c>
    </row>
    <row r="506" spans="22:22">
      <c r="V506" s="878" t="s">
        <v>713</v>
      </c>
    </row>
    <row r="507" spans="22:22">
      <c r="V507" s="878" t="s">
        <v>713</v>
      </c>
    </row>
    <row r="508" spans="22:22">
      <c r="V508" s="878" t="s">
        <v>713</v>
      </c>
    </row>
    <row r="509" spans="22:22">
      <c r="V509" s="878" t="s">
        <v>713</v>
      </c>
    </row>
    <row r="510" spans="22:22">
      <c r="V510" s="878" t="s">
        <v>713</v>
      </c>
    </row>
    <row r="511" spans="22:22">
      <c r="V511" s="878" t="s">
        <v>713</v>
      </c>
    </row>
    <row r="512" spans="22:22">
      <c r="V512" s="878" t="s">
        <v>713</v>
      </c>
    </row>
    <row r="513" spans="22:22">
      <c r="V513" s="878" t="s">
        <v>713</v>
      </c>
    </row>
    <row r="514" spans="22:22">
      <c r="V514" s="878" t="s">
        <v>713</v>
      </c>
    </row>
    <row r="515" spans="22:22">
      <c r="V515" s="878" t="s">
        <v>713</v>
      </c>
    </row>
    <row r="516" spans="22:22">
      <c r="V516" s="878" t="s">
        <v>713</v>
      </c>
    </row>
    <row r="517" spans="22:22">
      <c r="V517" s="878" t="s">
        <v>713</v>
      </c>
    </row>
    <row r="518" spans="22:22">
      <c r="V518" s="878" t="s">
        <v>713</v>
      </c>
    </row>
    <row r="519" spans="22:22">
      <c r="V519" s="878" t="s">
        <v>713</v>
      </c>
    </row>
    <row r="520" spans="22:22">
      <c r="V520" s="878" t="s">
        <v>713</v>
      </c>
    </row>
    <row r="521" spans="22:22">
      <c r="V521" s="878" t="s">
        <v>713</v>
      </c>
    </row>
    <row r="522" spans="22:22">
      <c r="V522" s="878" t="s">
        <v>713</v>
      </c>
    </row>
    <row r="523" spans="22:22">
      <c r="V523" s="878" t="s">
        <v>713</v>
      </c>
    </row>
    <row r="524" spans="22:22">
      <c r="V524" s="878" t="s">
        <v>713</v>
      </c>
    </row>
    <row r="525" spans="22:22">
      <c r="V525" s="878" t="s">
        <v>713</v>
      </c>
    </row>
    <row r="526" spans="22:22">
      <c r="V526" s="878" t="s">
        <v>713</v>
      </c>
    </row>
    <row r="527" spans="22:22">
      <c r="V527" s="878" t="s">
        <v>713</v>
      </c>
    </row>
    <row r="528" spans="22:22">
      <c r="V528" s="878" t="s">
        <v>713</v>
      </c>
    </row>
    <row r="529" spans="22:22">
      <c r="V529" s="878" t="s">
        <v>713</v>
      </c>
    </row>
    <row r="530" spans="22:22">
      <c r="V530" s="878" t="s">
        <v>713</v>
      </c>
    </row>
    <row r="531" spans="22:22">
      <c r="V531" s="878" t="s">
        <v>713</v>
      </c>
    </row>
    <row r="532" spans="22:22">
      <c r="V532" s="878" t="s">
        <v>713</v>
      </c>
    </row>
    <row r="533" spans="22:22">
      <c r="V533" s="878" t="s">
        <v>713</v>
      </c>
    </row>
    <row r="534" spans="22:22">
      <c r="V534" s="878" t="s">
        <v>713</v>
      </c>
    </row>
    <row r="535" spans="22:22">
      <c r="V535" s="878" t="s">
        <v>713</v>
      </c>
    </row>
    <row r="536" spans="22:22">
      <c r="V536" s="878" t="s">
        <v>713</v>
      </c>
    </row>
    <row r="537" spans="22:22">
      <c r="V537" s="878" t="s">
        <v>713</v>
      </c>
    </row>
    <row r="538" spans="22:22">
      <c r="V538" s="878" t="s">
        <v>713</v>
      </c>
    </row>
    <row r="539" spans="22:22">
      <c r="V539" s="878" t="s">
        <v>713</v>
      </c>
    </row>
    <row r="540" spans="22:22">
      <c r="V540" s="878" t="s">
        <v>713</v>
      </c>
    </row>
    <row r="541" spans="22:22">
      <c r="V541" s="878" t="s">
        <v>713</v>
      </c>
    </row>
    <row r="542" spans="22:22">
      <c r="V542" s="878" t="s">
        <v>713</v>
      </c>
    </row>
    <row r="543" spans="22:22">
      <c r="V543" s="878" t="s">
        <v>713</v>
      </c>
    </row>
    <row r="544" spans="22:22">
      <c r="V544" s="878" t="s">
        <v>713</v>
      </c>
    </row>
    <row r="545" spans="22:22">
      <c r="V545" s="878" t="s">
        <v>713</v>
      </c>
    </row>
    <row r="546" spans="22:22">
      <c r="V546" s="878" t="s">
        <v>713</v>
      </c>
    </row>
    <row r="547" spans="22:22">
      <c r="V547" s="878" t="s">
        <v>713</v>
      </c>
    </row>
    <row r="548" spans="22:22">
      <c r="V548" s="878" t="s">
        <v>713</v>
      </c>
    </row>
    <row r="549" spans="22:22">
      <c r="V549" s="878" t="s">
        <v>713</v>
      </c>
    </row>
    <row r="550" spans="22:22">
      <c r="V550" s="878" t="s">
        <v>713</v>
      </c>
    </row>
    <row r="551" spans="22:22">
      <c r="V551" s="878" t="s">
        <v>713</v>
      </c>
    </row>
    <row r="552" spans="22:22">
      <c r="V552" s="878" t="s">
        <v>713</v>
      </c>
    </row>
    <row r="553" spans="22:22">
      <c r="V553" s="878" t="s">
        <v>713</v>
      </c>
    </row>
    <row r="554" spans="22:22">
      <c r="V554" s="878" t="s">
        <v>713</v>
      </c>
    </row>
    <row r="555" spans="22:22">
      <c r="V555" s="878" t="s">
        <v>713</v>
      </c>
    </row>
    <row r="556" spans="22:22">
      <c r="V556" s="878" t="s">
        <v>713</v>
      </c>
    </row>
    <row r="557" spans="22:22">
      <c r="V557" s="878" t="s">
        <v>713</v>
      </c>
    </row>
    <row r="558" spans="22:22">
      <c r="V558" s="878" t="s">
        <v>713</v>
      </c>
    </row>
    <row r="559" spans="22:22">
      <c r="V559" s="878" t="s">
        <v>713</v>
      </c>
    </row>
    <row r="560" spans="22:22">
      <c r="V560" s="878" t="s">
        <v>713</v>
      </c>
    </row>
    <row r="561" spans="22:22">
      <c r="V561" s="878" t="s">
        <v>713</v>
      </c>
    </row>
    <row r="562" spans="22:22">
      <c r="V562" s="878" t="s">
        <v>713</v>
      </c>
    </row>
    <row r="563" spans="22:22">
      <c r="V563" s="878" t="s">
        <v>713</v>
      </c>
    </row>
    <row r="564" spans="22:22">
      <c r="V564" s="878" t="s">
        <v>713</v>
      </c>
    </row>
    <row r="565" spans="22:22">
      <c r="V565" s="878" t="s">
        <v>713</v>
      </c>
    </row>
    <row r="566" spans="22:22">
      <c r="V566" s="878" t="s">
        <v>713</v>
      </c>
    </row>
    <row r="567" spans="22:22">
      <c r="V567" s="878" t="s">
        <v>713</v>
      </c>
    </row>
    <row r="568" spans="22:22">
      <c r="V568" s="878" t="s">
        <v>713</v>
      </c>
    </row>
    <row r="569" spans="22:22">
      <c r="V569" s="878" t="s">
        <v>713</v>
      </c>
    </row>
    <row r="570" spans="22:22">
      <c r="V570" s="878" t="s">
        <v>713</v>
      </c>
    </row>
    <row r="571" spans="22:22">
      <c r="V571" s="878" t="s">
        <v>713</v>
      </c>
    </row>
    <row r="572" spans="22:22">
      <c r="V572" s="878" t="s">
        <v>713</v>
      </c>
    </row>
    <row r="573" spans="22:22">
      <c r="V573" s="878" t="s">
        <v>713</v>
      </c>
    </row>
    <row r="574" spans="22:22">
      <c r="V574" s="878" t="s">
        <v>713</v>
      </c>
    </row>
    <row r="575" spans="22:22">
      <c r="V575" s="878" t="s">
        <v>713</v>
      </c>
    </row>
    <row r="576" spans="22:22">
      <c r="V576" s="878" t="s">
        <v>713</v>
      </c>
    </row>
    <row r="577" spans="22:22">
      <c r="V577" s="878" t="s">
        <v>713</v>
      </c>
    </row>
    <row r="578" spans="22:22">
      <c r="V578" s="878" t="s">
        <v>713</v>
      </c>
    </row>
    <row r="579" spans="22:22">
      <c r="V579" s="878" t="s">
        <v>713</v>
      </c>
    </row>
    <row r="580" spans="22:22">
      <c r="V580" s="878" t="s">
        <v>713</v>
      </c>
    </row>
    <row r="581" spans="22:22">
      <c r="V581" s="878" t="s">
        <v>713</v>
      </c>
    </row>
    <row r="582" spans="22:22">
      <c r="V582" s="878" t="s">
        <v>713</v>
      </c>
    </row>
    <row r="583" spans="22:22">
      <c r="V583" s="878" t="s">
        <v>713</v>
      </c>
    </row>
    <row r="584" spans="22:22">
      <c r="V584" s="878" t="s">
        <v>713</v>
      </c>
    </row>
    <row r="585" spans="22:22">
      <c r="V585" s="878" t="s">
        <v>713</v>
      </c>
    </row>
    <row r="586" spans="22:22">
      <c r="V586" s="878" t="s">
        <v>713</v>
      </c>
    </row>
    <row r="587" spans="22:22">
      <c r="V587" s="878" t="s">
        <v>713</v>
      </c>
    </row>
    <row r="588" spans="22:22">
      <c r="V588" s="878" t="s">
        <v>713</v>
      </c>
    </row>
    <row r="589" spans="22:22">
      <c r="V589" s="878" t="s">
        <v>713</v>
      </c>
    </row>
    <row r="590" spans="22:22">
      <c r="V590" s="878" t="s">
        <v>713</v>
      </c>
    </row>
    <row r="591" spans="22:22">
      <c r="V591" s="878" t="s">
        <v>713</v>
      </c>
    </row>
    <row r="592" spans="22:22">
      <c r="V592" s="878" t="s">
        <v>713</v>
      </c>
    </row>
    <row r="593" spans="22:22">
      <c r="V593" s="878" t="s">
        <v>713</v>
      </c>
    </row>
    <row r="594" spans="22:22">
      <c r="V594" s="878" t="s">
        <v>713</v>
      </c>
    </row>
    <row r="595" spans="22:22">
      <c r="V595" s="878" t="s">
        <v>713</v>
      </c>
    </row>
    <row r="596" spans="22:22">
      <c r="V596" s="878" t="s">
        <v>713</v>
      </c>
    </row>
    <row r="597" spans="22:22">
      <c r="V597" s="878" t="s">
        <v>713</v>
      </c>
    </row>
    <row r="598" spans="22:22">
      <c r="V598" s="878" t="s">
        <v>713</v>
      </c>
    </row>
    <row r="599" spans="22:22">
      <c r="V599" s="878" t="s">
        <v>713</v>
      </c>
    </row>
    <row r="600" spans="22:22">
      <c r="V600" s="878" t="s">
        <v>713</v>
      </c>
    </row>
    <row r="601" spans="22:22">
      <c r="V601" s="878" t="s">
        <v>713</v>
      </c>
    </row>
    <row r="602" spans="22:22">
      <c r="V602" s="878" t="s">
        <v>713</v>
      </c>
    </row>
    <row r="603" spans="22:22">
      <c r="V603" s="878" t="s">
        <v>713</v>
      </c>
    </row>
    <row r="604" spans="22:22">
      <c r="V604" s="878" t="s">
        <v>713</v>
      </c>
    </row>
    <row r="605" spans="22:22">
      <c r="V605" s="878" t="s">
        <v>713</v>
      </c>
    </row>
    <row r="606" spans="22:22">
      <c r="V606" s="878" t="s">
        <v>713</v>
      </c>
    </row>
    <row r="607" spans="22:22">
      <c r="V607" s="878" t="s">
        <v>713</v>
      </c>
    </row>
    <row r="608" spans="22:22">
      <c r="V608" s="878" t="s">
        <v>713</v>
      </c>
    </row>
    <row r="609" spans="22:22">
      <c r="V609" s="878" t="s">
        <v>713</v>
      </c>
    </row>
    <row r="610" spans="22:22">
      <c r="V610" s="878" t="s">
        <v>713</v>
      </c>
    </row>
    <row r="611" spans="22:22">
      <c r="V611" s="878" t="s">
        <v>713</v>
      </c>
    </row>
    <row r="612" spans="22:22">
      <c r="V612" s="878" t="s">
        <v>713</v>
      </c>
    </row>
    <row r="613" spans="22:22">
      <c r="V613" s="878" t="s">
        <v>713</v>
      </c>
    </row>
    <row r="614" spans="22:22">
      <c r="V614" s="878" t="s">
        <v>713</v>
      </c>
    </row>
    <row r="615" spans="22:22">
      <c r="V615" s="878" t="s">
        <v>713</v>
      </c>
    </row>
    <row r="616" spans="22:22">
      <c r="V616" s="878" t="s">
        <v>713</v>
      </c>
    </row>
    <row r="617" spans="22:22">
      <c r="V617" s="878" t="s">
        <v>713</v>
      </c>
    </row>
    <row r="618" spans="22:22">
      <c r="V618" s="878" t="s">
        <v>713</v>
      </c>
    </row>
    <row r="619" spans="22:22">
      <c r="V619" s="878" t="s">
        <v>713</v>
      </c>
    </row>
    <row r="620" spans="22:22">
      <c r="V620" s="878" t="s">
        <v>713</v>
      </c>
    </row>
    <row r="621" spans="22:22">
      <c r="V621" s="878" t="s">
        <v>713</v>
      </c>
    </row>
    <row r="622" spans="22:22">
      <c r="V622" s="878" t="s">
        <v>713</v>
      </c>
    </row>
    <row r="623" spans="22:22">
      <c r="V623" s="878" t="s">
        <v>713</v>
      </c>
    </row>
    <row r="624" spans="22:22">
      <c r="V624" s="878" t="s">
        <v>713</v>
      </c>
    </row>
    <row r="625" spans="22:22">
      <c r="V625" s="878" t="s">
        <v>713</v>
      </c>
    </row>
    <row r="626" spans="22:22">
      <c r="V626" s="878" t="s">
        <v>713</v>
      </c>
    </row>
    <row r="627" spans="22:22">
      <c r="V627" s="878" t="s">
        <v>713</v>
      </c>
    </row>
    <row r="628" spans="22:22">
      <c r="V628" s="878" t="s">
        <v>713</v>
      </c>
    </row>
    <row r="629" spans="22:22">
      <c r="V629" s="878" t="s">
        <v>713</v>
      </c>
    </row>
    <row r="630" spans="22:22">
      <c r="V630" s="878" t="s">
        <v>713</v>
      </c>
    </row>
    <row r="631" spans="22:22">
      <c r="V631" s="878" t="s">
        <v>713</v>
      </c>
    </row>
    <row r="632" spans="22:22">
      <c r="V632" s="878" t="s">
        <v>713</v>
      </c>
    </row>
    <row r="633" spans="22:22">
      <c r="V633" s="878" t="s">
        <v>713</v>
      </c>
    </row>
    <row r="634" spans="22:22">
      <c r="V634" s="878" t="s">
        <v>713</v>
      </c>
    </row>
    <row r="635" spans="22:22">
      <c r="V635" s="878" t="s">
        <v>713</v>
      </c>
    </row>
    <row r="636" spans="22:22">
      <c r="V636" s="878" t="s">
        <v>713</v>
      </c>
    </row>
    <row r="637" spans="22:22">
      <c r="V637" s="878" t="s">
        <v>713</v>
      </c>
    </row>
    <row r="638" spans="22:22">
      <c r="V638" s="878" t="s">
        <v>713</v>
      </c>
    </row>
    <row r="639" spans="22:22">
      <c r="V639" s="878" t="s">
        <v>713</v>
      </c>
    </row>
    <row r="640" spans="22:22">
      <c r="V640" s="878" t="s">
        <v>713</v>
      </c>
    </row>
    <row r="641" spans="22:22">
      <c r="V641" s="878" t="s">
        <v>713</v>
      </c>
    </row>
    <row r="642" spans="22:22">
      <c r="V642" s="878" t="s">
        <v>713</v>
      </c>
    </row>
    <row r="643" spans="22:22">
      <c r="V643" s="878" t="s">
        <v>713</v>
      </c>
    </row>
    <row r="644" spans="22:22">
      <c r="V644" s="878" t="s">
        <v>713</v>
      </c>
    </row>
    <row r="645" spans="22:22">
      <c r="V645" s="878" t="s">
        <v>713</v>
      </c>
    </row>
    <row r="646" spans="22:22">
      <c r="V646" s="878" t="s">
        <v>713</v>
      </c>
    </row>
    <row r="647" spans="22:22">
      <c r="V647" s="878" t="s">
        <v>713</v>
      </c>
    </row>
    <row r="648" spans="22:22">
      <c r="V648" s="878" t="s">
        <v>713</v>
      </c>
    </row>
    <row r="649" spans="22:22">
      <c r="V649" s="878" t="s">
        <v>713</v>
      </c>
    </row>
    <row r="650" spans="22:22">
      <c r="V650" s="878" t="s">
        <v>713</v>
      </c>
    </row>
    <row r="651" spans="22:22">
      <c r="V651" s="878" t="s">
        <v>713</v>
      </c>
    </row>
    <row r="652" spans="22:22">
      <c r="V652" s="878" t="s">
        <v>713</v>
      </c>
    </row>
    <row r="653" spans="22:22">
      <c r="V653" s="878" t="s">
        <v>713</v>
      </c>
    </row>
    <row r="654" spans="22:22">
      <c r="V654" s="878" t="s">
        <v>713</v>
      </c>
    </row>
    <row r="655" spans="22:22">
      <c r="V655" s="878" t="s">
        <v>713</v>
      </c>
    </row>
    <row r="656" spans="22:22">
      <c r="V656" s="878" t="s">
        <v>713</v>
      </c>
    </row>
    <row r="657" spans="22:22">
      <c r="V657" s="878" t="s">
        <v>713</v>
      </c>
    </row>
    <row r="658" spans="22:22">
      <c r="V658" s="878" t="s">
        <v>713</v>
      </c>
    </row>
    <row r="659" spans="22:22">
      <c r="V659" s="878" t="s">
        <v>713</v>
      </c>
    </row>
    <row r="660" spans="22:22">
      <c r="V660" s="878" t="s">
        <v>713</v>
      </c>
    </row>
    <row r="661" spans="22:22">
      <c r="V661" s="878" t="s">
        <v>713</v>
      </c>
    </row>
    <row r="662" spans="22:22">
      <c r="V662" s="878" t="s">
        <v>713</v>
      </c>
    </row>
    <row r="663" spans="22:22">
      <c r="V663" s="878" t="s">
        <v>713</v>
      </c>
    </row>
    <row r="664" spans="22:22">
      <c r="V664" s="878" t="s">
        <v>713</v>
      </c>
    </row>
    <row r="665" spans="22:22">
      <c r="V665" s="878" t="s">
        <v>713</v>
      </c>
    </row>
    <row r="666" spans="22:22">
      <c r="V666" s="878" t="s">
        <v>713</v>
      </c>
    </row>
    <row r="667" spans="22:22">
      <c r="V667" s="878" t="s">
        <v>713</v>
      </c>
    </row>
    <row r="668" spans="22:22">
      <c r="V668" s="878" t="s">
        <v>713</v>
      </c>
    </row>
    <row r="669" spans="22:22">
      <c r="V669" s="878" t="s">
        <v>713</v>
      </c>
    </row>
    <row r="670" spans="22:22">
      <c r="V670" s="878" t="s">
        <v>713</v>
      </c>
    </row>
    <row r="671" spans="22:22">
      <c r="V671" s="878" t="s">
        <v>713</v>
      </c>
    </row>
    <row r="672" spans="22:22">
      <c r="V672" s="878" t="s">
        <v>713</v>
      </c>
    </row>
    <row r="673" spans="22:22">
      <c r="V673" s="878" t="s">
        <v>713</v>
      </c>
    </row>
    <row r="674" spans="22:22">
      <c r="V674" s="878" t="s">
        <v>713</v>
      </c>
    </row>
    <row r="675" spans="22:22">
      <c r="V675" s="878" t="s">
        <v>713</v>
      </c>
    </row>
    <row r="676" spans="22:22">
      <c r="V676" s="878" t="s">
        <v>713</v>
      </c>
    </row>
    <row r="677" spans="22:22">
      <c r="V677" s="878" t="s">
        <v>713</v>
      </c>
    </row>
    <row r="678" spans="22:22">
      <c r="V678" s="878" t="s">
        <v>713</v>
      </c>
    </row>
    <row r="679" spans="22:22">
      <c r="V679" s="878" t="s">
        <v>713</v>
      </c>
    </row>
    <row r="680" spans="22:22">
      <c r="V680" s="878" t="s">
        <v>713</v>
      </c>
    </row>
    <row r="681" spans="22:22">
      <c r="V681" s="878" t="s">
        <v>713</v>
      </c>
    </row>
    <row r="682" spans="22:22">
      <c r="V682" s="878" t="s">
        <v>713</v>
      </c>
    </row>
    <row r="683" spans="22:22">
      <c r="V683" s="878" t="s">
        <v>713</v>
      </c>
    </row>
    <row r="684" spans="22:22">
      <c r="V684" s="878" t="s">
        <v>713</v>
      </c>
    </row>
    <row r="685" spans="22:22">
      <c r="V685" s="878" t="s">
        <v>713</v>
      </c>
    </row>
    <row r="686" spans="22:22">
      <c r="V686" s="878" t="s">
        <v>713</v>
      </c>
    </row>
    <row r="687" spans="22:22">
      <c r="V687" s="878" t="s">
        <v>713</v>
      </c>
    </row>
    <row r="688" spans="22:22">
      <c r="V688" s="878" t="s">
        <v>713</v>
      </c>
    </row>
    <row r="689" spans="22:22">
      <c r="V689" s="878" t="s">
        <v>713</v>
      </c>
    </row>
    <row r="690" spans="22:22">
      <c r="V690" s="878" t="s">
        <v>713</v>
      </c>
    </row>
    <row r="691" spans="22:22">
      <c r="V691" s="878" t="s">
        <v>713</v>
      </c>
    </row>
    <row r="692" spans="22:22">
      <c r="V692" s="878" t="s">
        <v>713</v>
      </c>
    </row>
    <row r="693" spans="22:22">
      <c r="V693" s="878" t="s">
        <v>713</v>
      </c>
    </row>
    <row r="694" spans="22:22">
      <c r="V694" s="878" t="s">
        <v>713</v>
      </c>
    </row>
    <row r="695" spans="22:22">
      <c r="V695" s="878" t="s">
        <v>713</v>
      </c>
    </row>
    <row r="696" spans="22:22">
      <c r="V696" s="878" t="s">
        <v>713</v>
      </c>
    </row>
    <row r="697" spans="22:22">
      <c r="V697" s="878" t="s">
        <v>713</v>
      </c>
    </row>
    <row r="698" spans="22:22">
      <c r="V698" s="878" t="s">
        <v>713</v>
      </c>
    </row>
    <row r="699" spans="22:22">
      <c r="V699" s="878" t="s">
        <v>713</v>
      </c>
    </row>
    <row r="700" spans="22:22">
      <c r="V700" s="878" t="s">
        <v>713</v>
      </c>
    </row>
    <row r="701" spans="22:22">
      <c r="V701" s="878" t="s">
        <v>713</v>
      </c>
    </row>
    <row r="702" spans="22:22">
      <c r="V702" s="878" t="s">
        <v>713</v>
      </c>
    </row>
    <row r="703" spans="22:22">
      <c r="V703" s="878" t="s">
        <v>713</v>
      </c>
    </row>
    <row r="704" spans="22:22">
      <c r="V704" s="878" t="s">
        <v>713</v>
      </c>
    </row>
    <row r="705" spans="22:22">
      <c r="V705" s="878" t="s">
        <v>713</v>
      </c>
    </row>
    <row r="706" spans="22:22">
      <c r="V706" s="878" t="s">
        <v>713</v>
      </c>
    </row>
    <row r="707" spans="22:22">
      <c r="V707" s="878" t="s">
        <v>713</v>
      </c>
    </row>
    <row r="708" spans="22:22">
      <c r="V708" s="878" t="s">
        <v>713</v>
      </c>
    </row>
    <row r="709" spans="22:22">
      <c r="V709" s="878" t="s">
        <v>713</v>
      </c>
    </row>
    <row r="710" spans="22:22">
      <c r="V710" s="878" t="s">
        <v>713</v>
      </c>
    </row>
    <row r="711" spans="22:22">
      <c r="V711" s="878" t="s">
        <v>713</v>
      </c>
    </row>
    <row r="712" spans="22:22">
      <c r="V712" s="878" t="s">
        <v>713</v>
      </c>
    </row>
    <row r="713" spans="22:22">
      <c r="V713" s="878" t="s">
        <v>713</v>
      </c>
    </row>
    <row r="714" spans="22:22">
      <c r="V714" s="878" t="s">
        <v>713</v>
      </c>
    </row>
    <row r="715" spans="22:22">
      <c r="V715" s="878" t="s">
        <v>713</v>
      </c>
    </row>
    <row r="716" spans="22:22">
      <c r="V716" s="878" t="s">
        <v>713</v>
      </c>
    </row>
    <row r="717" spans="22:22">
      <c r="V717" s="878" t="s">
        <v>713</v>
      </c>
    </row>
    <row r="718" spans="22:22">
      <c r="V718" s="878" t="s">
        <v>713</v>
      </c>
    </row>
    <row r="719" spans="22:22">
      <c r="V719" s="878" t="s">
        <v>713</v>
      </c>
    </row>
    <row r="720" spans="22:22">
      <c r="V720" s="878" t="s">
        <v>713</v>
      </c>
    </row>
    <row r="721" spans="22:22">
      <c r="V721" s="878" t="s">
        <v>713</v>
      </c>
    </row>
    <row r="722" spans="22:22">
      <c r="V722" s="878" t="s">
        <v>713</v>
      </c>
    </row>
    <row r="723" spans="22:22">
      <c r="V723" s="878" t="s">
        <v>713</v>
      </c>
    </row>
    <row r="724" spans="22:22">
      <c r="V724" s="878" t="s">
        <v>713</v>
      </c>
    </row>
    <row r="725" spans="22:22">
      <c r="V725" s="878" t="s">
        <v>713</v>
      </c>
    </row>
    <row r="726" spans="22:22">
      <c r="V726" s="878" t="s">
        <v>713</v>
      </c>
    </row>
    <row r="727" spans="22:22">
      <c r="V727" s="878" t="s">
        <v>713</v>
      </c>
    </row>
    <row r="728" spans="22:22">
      <c r="V728" s="878" t="s">
        <v>713</v>
      </c>
    </row>
    <row r="729" spans="22:22">
      <c r="V729" s="878" t="s">
        <v>713</v>
      </c>
    </row>
    <row r="730" spans="22:22">
      <c r="V730" s="878" t="s">
        <v>713</v>
      </c>
    </row>
    <row r="731" spans="22:22">
      <c r="V731" s="878" t="s">
        <v>713</v>
      </c>
    </row>
    <row r="732" spans="22:22">
      <c r="V732" s="878" t="s">
        <v>713</v>
      </c>
    </row>
    <row r="733" spans="22:22">
      <c r="V733" s="878" t="s">
        <v>713</v>
      </c>
    </row>
    <row r="734" spans="22:22">
      <c r="V734" s="878" t="s">
        <v>713</v>
      </c>
    </row>
    <row r="735" spans="22:22">
      <c r="V735" s="878" t="s">
        <v>713</v>
      </c>
    </row>
    <row r="736" spans="22:22">
      <c r="V736" s="878" t="s">
        <v>713</v>
      </c>
    </row>
    <row r="737" spans="22:22">
      <c r="V737" s="878" t="s">
        <v>713</v>
      </c>
    </row>
    <row r="738" spans="22:22">
      <c r="V738" s="878" t="s">
        <v>713</v>
      </c>
    </row>
    <row r="739" spans="22:22">
      <c r="V739" s="878" t="s">
        <v>713</v>
      </c>
    </row>
    <row r="740" spans="22:22">
      <c r="V740" s="878" t="s">
        <v>713</v>
      </c>
    </row>
    <row r="741" spans="22:22">
      <c r="V741" s="878" t="s">
        <v>713</v>
      </c>
    </row>
    <row r="742" spans="22:22">
      <c r="V742" s="878" t="s">
        <v>713</v>
      </c>
    </row>
    <row r="743" spans="22:22">
      <c r="V743" s="878" t="s">
        <v>713</v>
      </c>
    </row>
    <row r="744" spans="22:22">
      <c r="V744" s="878" t="s">
        <v>713</v>
      </c>
    </row>
    <row r="745" spans="22:22">
      <c r="V745" s="878" t="s">
        <v>713</v>
      </c>
    </row>
    <row r="746" spans="22:22">
      <c r="V746" s="878" t="s">
        <v>713</v>
      </c>
    </row>
    <row r="747" spans="22:22">
      <c r="V747" s="878" t="s">
        <v>713</v>
      </c>
    </row>
    <row r="748" spans="22:22">
      <c r="V748" s="878" t="s">
        <v>713</v>
      </c>
    </row>
    <row r="749" spans="22:22">
      <c r="V749" s="878" t="s">
        <v>713</v>
      </c>
    </row>
    <row r="750" spans="22:22">
      <c r="V750" s="878" t="s">
        <v>713</v>
      </c>
    </row>
    <row r="751" spans="22:22">
      <c r="V751" s="878" t="s">
        <v>713</v>
      </c>
    </row>
    <row r="752" spans="22:22">
      <c r="V752" s="878" t="s">
        <v>713</v>
      </c>
    </row>
    <row r="753" spans="22:22">
      <c r="V753" s="878" t="s">
        <v>713</v>
      </c>
    </row>
    <row r="754" spans="22:22">
      <c r="V754" s="878" t="s">
        <v>713</v>
      </c>
    </row>
    <row r="755" spans="22:22">
      <c r="V755" s="878" t="s">
        <v>713</v>
      </c>
    </row>
    <row r="756" spans="22:22">
      <c r="V756" s="878" t="s">
        <v>713</v>
      </c>
    </row>
    <row r="757" spans="22:22">
      <c r="V757" s="878" t="s">
        <v>713</v>
      </c>
    </row>
    <row r="758" spans="22:22">
      <c r="V758" s="878" t="s">
        <v>713</v>
      </c>
    </row>
    <row r="759" spans="22:22">
      <c r="V759" s="878" t="s">
        <v>713</v>
      </c>
    </row>
    <row r="760" spans="22:22">
      <c r="V760" s="878" t="s">
        <v>713</v>
      </c>
    </row>
    <row r="761" spans="22:22">
      <c r="V761" s="878" t="s">
        <v>713</v>
      </c>
    </row>
    <row r="762" spans="22:22">
      <c r="V762" s="878" t="s">
        <v>713</v>
      </c>
    </row>
    <row r="763" spans="22:22">
      <c r="V763" s="878" t="s">
        <v>713</v>
      </c>
    </row>
    <row r="764" spans="22:22">
      <c r="V764" s="878" t="s">
        <v>713</v>
      </c>
    </row>
    <row r="765" spans="22:22">
      <c r="V765" s="878" t="s">
        <v>713</v>
      </c>
    </row>
    <row r="766" spans="22:22">
      <c r="V766" s="878" t="s">
        <v>713</v>
      </c>
    </row>
    <row r="767" spans="22:22">
      <c r="V767" s="878" t="s">
        <v>713</v>
      </c>
    </row>
    <row r="768" spans="22:22">
      <c r="V768" s="878" t="s">
        <v>713</v>
      </c>
    </row>
    <row r="769" spans="22:22">
      <c r="V769" s="878" t="s">
        <v>713</v>
      </c>
    </row>
    <row r="770" spans="22:22">
      <c r="V770" s="878" t="s">
        <v>713</v>
      </c>
    </row>
    <row r="771" spans="22:22">
      <c r="V771" s="878" t="s">
        <v>713</v>
      </c>
    </row>
    <row r="772" spans="22:22">
      <c r="V772" s="878" t="s">
        <v>713</v>
      </c>
    </row>
    <row r="773" spans="22:22">
      <c r="V773" s="878" t="s">
        <v>713</v>
      </c>
    </row>
    <row r="774" spans="22:22">
      <c r="V774" s="878" t="s">
        <v>713</v>
      </c>
    </row>
    <row r="775" spans="22:22">
      <c r="V775" s="878" t="s">
        <v>713</v>
      </c>
    </row>
    <row r="776" spans="22:22">
      <c r="V776" s="878" t="s">
        <v>713</v>
      </c>
    </row>
    <row r="777" spans="22:22">
      <c r="V777" s="878" t="s">
        <v>713</v>
      </c>
    </row>
    <row r="778" spans="22:22">
      <c r="V778" s="878" t="s">
        <v>713</v>
      </c>
    </row>
    <row r="779" spans="22:22">
      <c r="V779" s="878" t="s">
        <v>713</v>
      </c>
    </row>
    <row r="780" spans="22:22">
      <c r="V780" s="878" t="s">
        <v>713</v>
      </c>
    </row>
    <row r="781" spans="22:22">
      <c r="V781" s="878" t="s">
        <v>713</v>
      </c>
    </row>
    <row r="782" spans="22:22">
      <c r="V782" s="878" t="s">
        <v>713</v>
      </c>
    </row>
    <row r="783" spans="22:22">
      <c r="V783" s="878" t="s">
        <v>713</v>
      </c>
    </row>
    <row r="784" spans="22:22">
      <c r="V784" s="878" t="s">
        <v>713</v>
      </c>
    </row>
    <row r="785" spans="22:22">
      <c r="V785" s="878" t="s">
        <v>713</v>
      </c>
    </row>
    <row r="786" spans="22:22">
      <c r="V786" s="878" t="s">
        <v>713</v>
      </c>
    </row>
    <row r="787" spans="22:22">
      <c r="V787" s="878" t="s">
        <v>713</v>
      </c>
    </row>
    <row r="788" spans="22:22">
      <c r="V788" s="878" t="s">
        <v>713</v>
      </c>
    </row>
    <row r="789" spans="22:22">
      <c r="V789" s="878" t="s">
        <v>713</v>
      </c>
    </row>
    <row r="790" spans="22:22">
      <c r="V790" s="878" t="s">
        <v>713</v>
      </c>
    </row>
    <row r="791" spans="22:22">
      <c r="V791" s="878" t="s">
        <v>713</v>
      </c>
    </row>
    <row r="792" spans="22:22">
      <c r="V792" s="878" t="s">
        <v>713</v>
      </c>
    </row>
    <row r="793" spans="22:22">
      <c r="V793" s="878" t="s">
        <v>713</v>
      </c>
    </row>
    <row r="794" spans="22:22">
      <c r="V794" s="878" t="s">
        <v>713</v>
      </c>
    </row>
    <row r="795" spans="22:22">
      <c r="V795" s="878" t="s">
        <v>713</v>
      </c>
    </row>
    <row r="796" spans="22:22">
      <c r="V796" s="878" t="s">
        <v>713</v>
      </c>
    </row>
    <row r="797" spans="22:22">
      <c r="V797" s="878" t="s">
        <v>713</v>
      </c>
    </row>
    <row r="798" spans="22:22">
      <c r="V798" s="878" t="s">
        <v>713</v>
      </c>
    </row>
    <row r="799" spans="22:22">
      <c r="V799" s="878" t="s">
        <v>713</v>
      </c>
    </row>
    <row r="800" spans="22:22">
      <c r="V800" s="878" t="s">
        <v>713</v>
      </c>
    </row>
    <row r="801" spans="22:22">
      <c r="V801" s="878" t="s">
        <v>713</v>
      </c>
    </row>
    <row r="802" spans="22:22">
      <c r="V802" s="878" t="s">
        <v>713</v>
      </c>
    </row>
    <row r="803" spans="22:22">
      <c r="V803" s="878" t="s">
        <v>713</v>
      </c>
    </row>
    <row r="804" spans="22:22">
      <c r="V804" s="878" t="s">
        <v>713</v>
      </c>
    </row>
    <row r="805" spans="22:22">
      <c r="V805" s="878" t="s">
        <v>713</v>
      </c>
    </row>
    <row r="806" spans="22:22">
      <c r="V806" s="878" t="s">
        <v>713</v>
      </c>
    </row>
    <row r="807" spans="22:22">
      <c r="V807" s="878" t="s">
        <v>713</v>
      </c>
    </row>
    <row r="808" spans="22:22">
      <c r="V808" s="878" t="s">
        <v>713</v>
      </c>
    </row>
    <row r="809" spans="22:22">
      <c r="V809" s="878" t="s">
        <v>713</v>
      </c>
    </row>
    <row r="810" spans="22:22">
      <c r="V810" s="878" t="s">
        <v>713</v>
      </c>
    </row>
    <row r="811" spans="22:22">
      <c r="V811" s="878" t="s">
        <v>713</v>
      </c>
    </row>
    <row r="812" spans="22:22">
      <c r="V812" s="878" t="s">
        <v>713</v>
      </c>
    </row>
    <row r="813" spans="22:22">
      <c r="V813" s="878" t="s">
        <v>713</v>
      </c>
    </row>
    <row r="814" spans="22:22">
      <c r="V814" s="878" t="s">
        <v>713</v>
      </c>
    </row>
    <row r="815" spans="22:22">
      <c r="V815" s="878" t="s">
        <v>713</v>
      </c>
    </row>
    <row r="816" spans="22:22">
      <c r="V816" s="878" t="s">
        <v>713</v>
      </c>
    </row>
    <row r="817" spans="22:22">
      <c r="V817" s="878" t="s">
        <v>713</v>
      </c>
    </row>
    <row r="818" spans="22:22">
      <c r="V818" s="878" t="s">
        <v>713</v>
      </c>
    </row>
    <row r="819" spans="22:22">
      <c r="V819" s="878" t="s">
        <v>713</v>
      </c>
    </row>
    <row r="820" spans="22:22">
      <c r="V820" s="878" t="s">
        <v>713</v>
      </c>
    </row>
    <row r="821" spans="22:22">
      <c r="V821" s="878" t="s">
        <v>713</v>
      </c>
    </row>
    <row r="822" spans="22:22">
      <c r="V822" s="878" t="s">
        <v>713</v>
      </c>
    </row>
    <row r="823" spans="22:22">
      <c r="V823" s="878" t="s">
        <v>713</v>
      </c>
    </row>
    <row r="824" spans="22:22">
      <c r="V824" s="878" t="s">
        <v>713</v>
      </c>
    </row>
    <row r="825" spans="22:22">
      <c r="V825" s="878" t="s">
        <v>713</v>
      </c>
    </row>
    <row r="826" spans="22:22">
      <c r="V826" s="878" t="s">
        <v>713</v>
      </c>
    </row>
    <row r="827" spans="22:22">
      <c r="V827" s="878" t="s">
        <v>713</v>
      </c>
    </row>
    <row r="828" spans="22:22">
      <c r="V828" s="878" t="s">
        <v>713</v>
      </c>
    </row>
    <row r="829" spans="22:22">
      <c r="V829" s="878" t="s">
        <v>713</v>
      </c>
    </row>
    <row r="830" spans="22:22">
      <c r="V830" s="878" t="s">
        <v>713</v>
      </c>
    </row>
    <row r="831" spans="22:22">
      <c r="V831" s="878" t="s">
        <v>713</v>
      </c>
    </row>
    <row r="832" spans="22:22">
      <c r="V832" s="878" t="s">
        <v>713</v>
      </c>
    </row>
    <row r="833" spans="22:22">
      <c r="V833" s="878" t="s">
        <v>713</v>
      </c>
    </row>
    <row r="834" spans="22:22">
      <c r="V834" s="878" t="s">
        <v>713</v>
      </c>
    </row>
    <row r="835" spans="22:22">
      <c r="V835" s="878" t="s">
        <v>713</v>
      </c>
    </row>
    <row r="836" spans="22:22">
      <c r="V836" s="878" t="s">
        <v>713</v>
      </c>
    </row>
    <row r="837" spans="22:22">
      <c r="V837" s="878" t="s">
        <v>713</v>
      </c>
    </row>
    <row r="838" spans="22:22">
      <c r="V838" s="878" t="s">
        <v>713</v>
      </c>
    </row>
    <row r="839" spans="22:22">
      <c r="V839" s="878" t="s">
        <v>713</v>
      </c>
    </row>
    <row r="840" spans="22:22">
      <c r="V840" s="878" t="s">
        <v>713</v>
      </c>
    </row>
    <row r="841" spans="22:22">
      <c r="V841" s="878" t="s">
        <v>713</v>
      </c>
    </row>
    <row r="842" spans="22:22">
      <c r="V842" s="878" t="s">
        <v>713</v>
      </c>
    </row>
    <row r="843" spans="22:22">
      <c r="V843" s="878" t="s">
        <v>713</v>
      </c>
    </row>
    <row r="844" spans="22:22">
      <c r="V844" s="878" t="s">
        <v>713</v>
      </c>
    </row>
    <row r="845" spans="22:22">
      <c r="V845" s="878" t="s">
        <v>713</v>
      </c>
    </row>
    <row r="846" spans="22:22">
      <c r="V846" s="878" t="s">
        <v>713</v>
      </c>
    </row>
    <row r="847" spans="22:22">
      <c r="V847" s="878" t="s">
        <v>713</v>
      </c>
    </row>
    <row r="848" spans="22:22">
      <c r="V848" s="878" t="s">
        <v>713</v>
      </c>
    </row>
    <row r="849" spans="22:22">
      <c r="V849" s="878" t="s">
        <v>713</v>
      </c>
    </row>
    <row r="850" spans="22:22">
      <c r="V850" s="878" t="s">
        <v>713</v>
      </c>
    </row>
    <row r="851" spans="22:22">
      <c r="V851" s="878" t="s">
        <v>713</v>
      </c>
    </row>
    <row r="852" spans="22:22">
      <c r="V852" s="878" t="s">
        <v>713</v>
      </c>
    </row>
    <row r="853" spans="22:22">
      <c r="V853" s="878" t="s">
        <v>713</v>
      </c>
    </row>
    <row r="854" spans="22:22">
      <c r="V854" s="878" t="s">
        <v>713</v>
      </c>
    </row>
    <row r="855" spans="22:22">
      <c r="V855" s="878" t="s">
        <v>713</v>
      </c>
    </row>
    <row r="856" spans="22:22">
      <c r="V856" s="878" t="s">
        <v>713</v>
      </c>
    </row>
    <row r="857" spans="22:22">
      <c r="V857" s="878" t="s">
        <v>713</v>
      </c>
    </row>
    <row r="858" spans="22:22">
      <c r="V858" s="878" t="s">
        <v>713</v>
      </c>
    </row>
    <row r="859" spans="22:22">
      <c r="V859" s="878" t="s">
        <v>713</v>
      </c>
    </row>
    <row r="860" spans="22:22">
      <c r="V860" s="878" t="s">
        <v>713</v>
      </c>
    </row>
    <row r="861" spans="22:22">
      <c r="V861" s="878" t="s">
        <v>713</v>
      </c>
    </row>
    <row r="862" spans="22:22">
      <c r="V862" s="878" t="s">
        <v>713</v>
      </c>
    </row>
    <row r="863" spans="22:22">
      <c r="V863" s="878" t="s">
        <v>713</v>
      </c>
    </row>
    <row r="864" spans="22:22">
      <c r="V864" s="878" t="s">
        <v>713</v>
      </c>
    </row>
    <row r="865" spans="22:22">
      <c r="V865" s="878" t="s">
        <v>713</v>
      </c>
    </row>
    <row r="866" spans="22:22">
      <c r="V866" s="878" t="s">
        <v>713</v>
      </c>
    </row>
    <row r="867" spans="22:22">
      <c r="V867" s="878" t="s">
        <v>713</v>
      </c>
    </row>
    <row r="868" spans="22:22">
      <c r="V868" s="878" t="s">
        <v>713</v>
      </c>
    </row>
    <row r="869" spans="22:22">
      <c r="V869" s="878" t="s">
        <v>713</v>
      </c>
    </row>
    <row r="870" spans="22:22">
      <c r="V870" s="878" t="s">
        <v>713</v>
      </c>
    </row>
    <row r="871" spans="22:22">
      <c r="V871" s="878" t="s">
        <v>713</v>
      </c>
    </row>
    <row r="872" spans="22:22">
      <c r="V872" s="878" t="s">
        <v>713</v>
      </c>
    </row>
    <row r="873" spans="22:22">
      <c r="V873" s="878" t="s">
        <v>713</v>
      </c>
    </row>
    <row r="874" spans="22:22">
      <c r="V874" s="878" t="s">
        <v>713</v>
      </c>
    </row>
    <row r="875" spans="22:22">
      <c r="V875" s="878" t="s">
        <v>713</v>
      </c>
    </row>
    <row r="876" spans="22:22">
      <c r="V876" s="878" t="s">
        <v>713</v>
      </c>
    </row>
    <row r="877" spans="22:22">
      <c r="V877" s="878" t="s">
        <v>713</v>
      </c>
    </row>
    <row r="878" spans="22:22">
      <c r="V878" s="878" t="s">
        <v>713</v>
      </c>
    </row>
    <row r="879" spans="22:22">
      <c r="V879" s="878" t="s">
        <v>713</v>
      </c>
    </row>
    <row r="880" spans="22:22">
      <c r="V880" s="878" t="s">
        <v>713</v>
      </c>
    </row>
    <row r="881" spans="22:22">
      <c r="V881" s="878" t="s">
        <v>713</v>
      </c>
    </row>
    <row r="882" spans="22:22">
      <c r="V882" s="878" t="s">
        <v>713</v>
      </c>
    </row>
    <row r="883" spans="22:22">
      <c r="V883" s="878" t="s">
        <v>713</v>
      </c>
    </row>
    <row r="884" spans="22:22">
      <c r="V884" s="878" t="s">
        <v>713</v>
      </c>
    </row>
    <row r="885" spans="22:22">
      <c r="V885" s="878" t="s">
        <v>713</v>
      </c>
    </row>
    <row r="886" spans="22:22">
      <c r="V886" s="878" t="s">
        <v>713</v>
      </c>
    </row>
    <row r="887" spans="22:22">
      <c r="V887" s="878" t="s">
        <v>713</v>
      </c>
    </row>
    <row r="888" spans="22:22">
      <c r="V888" s="878" t="s">
        <v>713</v>
      </c>
    </row>
    <row r="889" spans="22:22">
      <c r="V889" s="878" t="s">
        <v>713</v>
      </c>
    </row>
    <row r="890" spans="22:22">
      <c r="V890" s="878" t="s">
        <v>713</v>
      </c>
    </row>
    <row r="891" spans="22:22">
      <c r="V891" s="878" t="s">
        <v>713</v>
      </c>
    </row>
    <row r="892" spans="22:22">
      <c r="V892" s="878" t="s">
        <v>713</v>
      </c>
    </row>
    <row r="893" spans="22:22">
      <c r="V893" s="878" t="s">
        <v>713</v>
      </c>
    </row>
    <row r="894" spans="22:22">
      <c r="V894" s="878" t="s">
        <v>713</v>
      </c>
    </row>
    <row r="895" spans="22:22">
      <c r="V895" s="878" t="s">
        <v>713</v>
      </c>
    </row>
    <row r="896" spans="22:22">
      <c r="V896" s="878" t="s">
        <v>713</v>
      </c>
    </row>
    <row r="897" spans="22:22">
      <c r="V897" s="878" t="s">
        <v>713</v>
      </c>
    </row>
    <row r="898" spans="22:22">
      <c r="V898" s="878" t="s">
        <v>713</v>
      </c>
    </row>
    <row r="899" spans="22:22">
      <c r="V899" s="878" t="s">
        <v>713</v>
      </c>
    </row>
    <row r="900" spans="22:22">
      <c r="V900" s="878" t="s">
        <v>713</v>
      </c>
    </row>
    <row r="901" spans="22:22">
      <c r="V901" s="878" t="s">
        <v>713</v>
      </c>
    </row>
    <row r="902" spans="22:22">
      <c r="V902" s="878" t="s">
        <v>713</v>
      </c>
    </row>
    <row r="903" spans="22:22">
      <c r="V903" s="878" t="s">
        <v>713</v>
      </c>
    </row>
    <row r="904" spans="22:22">
      <c r="V904" s="878" t="s">
        <v>713</v>
      </c>
    </row>
    <row r="905" spans="22:22">
      <c r="V905" s="878" t="s">
        <v>713</v>
      </c>
    </row>
    <row r="906" spans="22:22">
      <c r="V906" s="878" t="s">
        <v>713</v>
      </c>
    </row>
    <row r="907" spans="22:22">
      <c r="V907" s="878" t="s">
        <v>713</v>
      </c>
    </row>
    <row r="908" spans="22:22">
      <c r="V908" s="878" t="s">
        <v>713</v>
      </c>
    </row>
    <row r="909" spans="22:22">
      <c r="V909" s="878" t="s">
        <v>713</v>
      </c>
    </row>
    <row r="910" spans="22:22">
      <c r="V910" s="878" t="s">
        <v>713</v>
      </c>
    </row>
    <row r="911" spans="22:22">
      <c r="V911" s="878" t="s">
        <v>713</v>
      </c>
    </row>
    <row r="912" spans="22:22">
      <c r="V912" s="878" t="s">
        <v>713</v>
      </c>
    </row>
    <row r="913" spans="22:22">
      <c r="V913" s="878" t="s">
        <v>713</v>
      </c>
    </row>
    <row r="914" spans="22:22">
      <c r="V914" s="878" t="s">
        <v>713</v>
      </c>
    </row>
    <row r="915" spans="22:22">
      <c r="V915" s="878" t="s">
        <v>713</v>
      </c>
    </row>
    <row r="916" spans="22:22">
      <c r="V916" s="878" t="s">
        <v>713</v>
      </c>
    </row>
    <row r="917" spans="22:22">
      <c r="V917" s="878" t="s">
        <v>713</v>
      </c>
    </row>
    <row r="918" spans="22:22">
      <c r="V918" s="878" t="s">
        <v>713</v>
      </c>
    </row>
    <row r="919" spans="22:22">
      <c r="V919" s="878" t="s">
        <v>713</v>
      </c>
    </row>
    <row r="920" spans="22:22">
      <c r="V920" s="878" t="s">
        <v>713</v>
      </c>
    </row>
    <row r="921" spans="22:22">
      <c r="V921" s="878" t="s">
        <v>713</v>
      </c>
    </row>
    <row r="922" spans="22:22">
      <c r="V922" s="878" t="s">
        <v>713</v>
      </c>
    </row>
    <row r="923" spans="22:22">
      <c r="V923" s="878" t="s">
        <v>713</v>
      </c>
    </row>
    <row r="924" spans="22:22">
      <c r="V924" s="878" t="s">
        <v>713</v>
      </c>
    </row>
    <row r="925" spans="22:22">
      <c r="V925" s="878" t="s">
        <v>713</v>
      </c>
    </row>
    <row r="926" spans="22:22">
      <c r="V926" s="878" t="s">
        <v>713</v>
      </c>
    </row>
    <row r="927" spans="22:22">
      <c r="V927" s="878" t="s">
        <v>713</v>
      </c>
    </row>
    <row r="928" spans="22:22">
      <c r="V928" s="878" t="s">
        <v>713</v>
      </c>
    </row>
    <row r="929" spans="22:22">
      <c r="V929" s="878" t="s">
        <v>713</v>
      </c>
    </row>
    <row r="930" spans="22:22">
      <c r="V930" s="878" t="s">
        <v>713</v>
      </c>
    </row>
    <row r="931" spans="22:22">
      <c r="V931" s="878" t="s">
        <v>713</v>
      </c>
    </row>
    <row r="932" spans="22:22">
      <c r="V932" s="878" t="s">
        <v>713</v>
      </c>
    </row>
    <row r="933" spans="22:22">
      <c r="V933" s="878" t="s">
        <v>713</v>
      </c>
    </row>
    <row r="934" spans="22:22">
      <c r="V934" s="878" t="s">
        <v>713</v>
      </c>
    </row>
    <row r="935" spans="22:22">
      <c r="V935" s="878" t="s">
        <v>713</v>
      </c>
    </row>
    <row r="936" spans="22:22">
      <c r="V936" s="878" t="s">
        <v>713</v>
      </c>
    </row>
    <row r="937" spans="22:22">
      <c r="V937" s="878" t="s">
        <v>713</v>
      </c>
    </row>
    <row r="938" spans="22:22">
      <c r="V938" s="878" t="s">
        <v>713</v>
      </c>
    </row>
    <row r="939" spans="22:22">
      <c r="V939" s="878" t="s">
        <v>713</v>
      </c>
    </row>
    <row r="940" spans="22:22">
      <c r="V940" s="878" t="s">
        <v>713</v>
      </c>
    </row>
    <row r="941" spans="22:22">
      <c r="V941" s="878" t="s">
        <v>713</v>
      </c>
    </row>
    <row r="942" spans="22:22">
      <c r="V942" s="878" t="s">
        <v>713</v>
      </c>
    </row>
    <row r="943" spans="22:22">
      <c r="V943" s="878" t="s">
        <v>713</v>
      </c>
    </row>
    <row r="944" spans="22:22">
      <c r="V944" s="878" t="s">
        <v>713</v>
      </c>
    </row>
    <row r="945" spans="22:22">
      <c r="V945" s="878" t="s">
        <v>713</v>
      </c>
    </row>
    <row r="946" spans="22:22">
      <c r="V946" s="878" t="s">
        <v>713</v>
      </c>
    </row>
    <row r="947" spans="22:22">
      <c r="V947" s="878" t="s">
        <v>713</v>
      </c>
    </row>
    <row r="948" spans="22:22">
      <c r="V948" s="878" t="s">
        <v>713</v>
      </c>
    </row>
    <row r="949" spans="22:22">
      <c r="V949" s="878" t="s">
        <v>713</v>
      </c>
    </row>
    <row r="950" spans="22:22">
      <c r="V950" s="878" t="s">
        <v>713</v>
      </c>
    </row>
    <row r="951" spans="22:22">
      <c r="V951" s="878" t="s">
        <v>713</v>
      </c>
    </row>
    <row r="952" spans="22:22">
      <c r="V952" s="878" t="s">
        <v>713</v>
      </c>
    </row>
    <row r="953" spans="22:22">
      <c r="V953" s="878" t="s">
        <v>713</v>
      </c>
    </row>
    <row r="954" spans="22:22">
      <c r="V954" s="878" t="s">
        <v>713</v>
      </c>
    </row>
    <row r="955" spans="22:22">
      <c r="V955" s="878" t="s">
        <v>713</v>
      </c>
    </row>
    <row r="956" spans="22:22">
      <c r="V956" s="878" t="s">
        <v>713</v>
      </c>
    </row>
    <row r="957" spans="22:22">
      <c r="V957" s="878" t="s">
        <v>713</v>
      </c>
    </row>
    <row r="958" spans="22:22">
      <c r="V958" s="878" t="s">
        <v>713</v>
      </c>
    </row>
    <row r="959" spans="22:22">
      <c r="V959" s="878" t="s">
        <v>713</v>
      </c>
    </row>
    <row r="960" spans="22:22">
      <c r="V960" s="878" t="s">
        <v>713</v>
      </c>
    </row>
    <row r="961" spans="22:22">
      <c r="V961" s="878" t="s">
        <v>713</v>
      </c>
    </row>
    <row r="962" spans="22:22">
      <c r="V962" s="878" t="s">
        <v>713</v>
      </c>
    </row>
    <row r="963" spans="22:22">
      <c r="V963" s="878" t="s">
        <v>713</v>
      </c>
    </row>
    <row r="964" spans="22:22">
      <c r="V964" s="878" t="s">
        <v>713</v>
      </c>
    </row>
    <row r="965" spans="22:22">
      <c r="V965" s="878" t="s">
        <v>713</v>
      </c>
    </row>
    <row r="966" spans="22:22">
      <c r="V966" s="878" t="s">
        <v>713</v>
      </c>
    </row>
    <row r="967" spans="22:22">
      <c r="V967" s="878" t="s">
        <v>713</v>
      </c>
    </row>
    <row r="968" spans="22:22">
      <c r="V968" s="878" t="s">
        <v>713</v>
      </c>
    </row>
    <row r="969" spans="22:22">
      <c r="V969" s="878" t="s">
        <v>713</v>
      </c>
    </row>
    <row r="970" spans="22:22">
      <c r="V970" s="878" t="s">
        <v>713</v>
      </c>
    </row>
    <row r="971" spans="22:22">
      <c r="V971" s="878" t="s">
        <v>713</v>
      </c>
    </row>
    <row r="972" spans="22:22">
      <c r="V972" s="878" t="s">
        <v>713</v>
      </c>
    </row>
    <row r="973" spans="22:22">
      <c r="V973" s="878" t="s">
        <v>713</v>
      </c>
    </row>
    <row r="974" spans="22:22">
      <c r="V974" s="878" t="s">
        <v>713</v>
      </c>
    </row>
    <row r="975" spans="22:22">
      <c r="V975" s="878" t="s">
        <v>713</v>
      </c>
    </row>
    <row r="976" spans="22:22">
      <c r="V976" s="878" t="s">
        <v>713</v>
      </c>
    </row>
    <row r="977" spans="22:22">
      <c r="V977" s="878" t="s">
        <v>713</v>
      </c>
    </row>
    <row r="978" spans="22:22">
      <c r="V978" s="878" t="s">
        <v>713</v>
      </c>
    </row>
    <row r="979" spans="22:22">
      <c r="V979" s="878" t="s">
        <v>713</v>
      </c>
    </row>
    <row r="980" spans="22:22">
      <c r="V980" s="878" t="s">
        <v>713</v>
      </c>
    </row>
    <row r="981" spans="22:22">
      <c r="V981" s="878" t="s">
        <v>713</v>
      </c>
    </row>
    <row r="982" spans="22:22">
      <c r="V982" s="878" t="s">
        <v>713</v>
      </c>
    </row>
    <row r="983" spans="22:22">
      <c r="V983" s="878" t="s">
        <v>713</v>
      </c>
    </row>
    <row r="984" spans="22:22">
      <c r="V984" s="878" t="s">
        <v>713</v>
      </c>
    </row>
    <row r="985" spans="22:22">
      <c r="V985" s="878" t="s">
        <v>713</v>
      </c>
    </row>
    <row r="986" spans="22:22">
      <c r="V986" s="878" t="s">
        <v>713</v>
      </c>
    </row>
    <row r="987" spans="22:22">
      <c r="V987" s="878" t="s">
        <v>713</v>
      </c>
    </row>
    <row r="988" spans="22:22">
      <c r="V988" s="878" t="s">
        <v>713</v>
      </c>
    </row>
    <row r="989" spans="22:22">
      <c r="V989" s="878" t="s">
        <v>713</v>
      </c>
    </row>
    <row r="990" spans="22:22">
      <c r="V990" s="878" t="s">
        <v>713</v>
      </c>
    </row>
    <row r="991" spans="22:22">
      <c r="V991" s="878" t="s">
        <v>713</v>
      </c>
    </row>
    <row r="992" spans="22:22">
      <c r="V992" s="878" t="s">
        <v>713</v>
      </c>
    </row>
    <row r="993" spans="22:22">
      <c r="V993" s="878" t="s">
        <v>713</v>
      </c>
    </row>
    <row r="994" spans="22:22">
      <c r="V994" s="878" t="s">
        <v>713</v>
      </c>
    </row>
    <row r="995" spans="22:22">
      <c r="V995" s="878" t="s">
        <v>713</v>
      </c>
    </row>
    <row r="996" spans="22:22">
      <c r="V996" s="878" t="s">
        <v>713</v>
      </c>
    </row>
    <row r="997" spans="22:22">
      <c r="V997" s="878" t="s">
        <v>713</v>
      </c>
    </row>
    <row r="998" spans="22:22">
      <c r="V998" s="878" t="s">
        <v>713</v>
      </c>
    </row>
    <row r="999" spans="22:22">
      <c r="V999" s="878" t="s">
        <v>713</v>
      </c>
    </row>
    <row r="1000" spans="22:22">
      <c r="V1000" s="878" t="s">
        <v>713</v>
      </c>
    </row>
    <row r="1001" spans="22:22">
      <c r="V1001" s="878" t="s">
        <v>713</v>
      </c>
    </row>
    <row r="1002" spans="22:22">
      <c r="V1002" s="878" t="s">
        <v>713</v>
      </c>
    </row>
    <row r="1003" spans="22:22">
      <c r="V1003" s="878" t="s">
        <v>713</v>
      </c>
    </row>
    <row r="1004" spans="22:22">
      <c r="V1004" s="878" t="s">
        <v>713</v>
      </c>
    </row>
    <row r="1005" spans="22:22">
      <c r="V1005" s="878" t="s">
        <v>713</v>
      </c>
    </row>
    <row r="1006" spans="22:22">
      <c r="V1006" s="878" t="s">
        <v>713</v>
      </c>
    </row>
    <row r="1007" spans="22:22">
      <c r="V1007" s="878" t="s">
        <v>713</v>
      </c>
    </row>
    <row r="1008" spans="22:22">
      <c r="V1008" s="878" t="s">
        <v>713</v>
      </c>
    </row>
    <row r="1009" spans="22:22">
      <c r="V1009" s="878" t="s">
        <v>713</v>
      </c>
    </row>
    <row r="1010" spans="22:22">
      <c r="V1010" s="878" t="s">
        <v>713</v>
      </c>
    </row>
    <row r="1011" spans="22:22">
      <c r="V1011" s="878" t="s">
        <v>713</v>
      </c>
    </row>
    <row r="1012" spans="22:22">
      <c r="V1012" s="878" t="s">
        <v>713</v>
      </c>
    </row>
    <row r="1013" spans="22:22">
      <c r="V1013" s="878" t="s">
        <v>713</v>
      </c>
    </row>
    <row r="1014" spans="22:22">
      <c r="V1014" s="878" t="s">
        <v>713</v>
      </c>
    </row>
    <row r="1015" spans="22:22">
      <c r="V1015" s="878" t="s">
        <v>713</v>
      </c>
    </row>
    <row r="1016" spans="22:22">
      <c r="V1016" s="878" t="s">
        <v>713</v>
      </c>
    </row>
    <row r="1017" spans="22:22">
      <c r="V1017" s="878" t="s">
        <v>713</v>
      </c>
    </row>
    <row r="1018" spans="22:22">
      <c r="V1018" s="878" t="s">
        <v>713</v>
      </c>
    </row>
    <row r="1019" spans="22:22">
      <c r="V1019" s="878" t="s">
        <v>713</v>
      </c>
    </row>
    <row r="1020" spans="22:22">
      <c r="V1020" s="878" t="s">
        <v>713</v>
      </c>
    </row>
    <row r="1021" spans="22:22">
      <c r="V1021" s="878" t="s">
        <v>713</v>
      </c>
    </row>
    <row r="1022" spans="22:22">
      <c r="V1022" s="878" t="s">
        <v>713</v>
      </c>
    </row>
    <row r="1023" spans="22:22">
      <c r="V1023" s="878" t="s">
        <v>713</v>
      </c>
    </row>
    <row r="1024" spans="22:22">
      <c r="V1024" s="878" t="s">
        <v>713</v>
      </c>
    </row>
    <row r="1025" spans="22:22">
      <c r="V1025" s="878" t="s">
        <v>713</v>
      </c>
    </row>
    <row r="1026" spans="22:22">
      <c r="V1026" s="878" t="s">
        <v>713</v>
      </c>
    </row>
    <row r="1027" spans="22:22">
      <c r="V1027" s="878" t="s">
        <v>713</v>
      </c>
    </row>
    <row r="1028" spans="22:22">
      <c r="V1028" s="878" t="s">
        <v>713</v>
      </c>
    </row>
    <row r="1029" spans="22:22">
      <c r="V1029" s="878" t="s">
        <v>713</v>
      </c>
    </row>
    <row r="1030" spans="22:22">
      <c r="V1030" s="878" t="s">
        <v>713</v>
      </c>
    </row>
    <row r="1031" spans="22:22">
      <c r="V1031" s="878" t="s">
        <v>713</v>
      </c>
    </row>
    <row r="1032" spans="22:22">
      <c r="V1032" s="878" t="s">
        <v>713</v>
      </c>
    </row>
    <row r="1033" spans="22:22">
      <c r="V1033" s="878" t="s">
        <v>713</v>
      </c>
    </row>
    <row r="1034" spans="22:22">
      <c r="V1034" s="878" t="s">
        <v>713</v>
      </c>
    </row>
    <row r="1035" spans="22:22">
      <c r="V1035" s="878" t="s">
        <v>713</v>
      </c>
    </row>
    <row r="1036" spans="22:22">
      <c r="V1036" s="878" t="s">
        <v>713</v>
      </c>
    </row>
    <row r="1037" spans="22:22">
      <c r="V1037" s="878" t="s">
        <v>713</v>
      </c>
    </row>
    <row r="1038" spans="22:22">
      <c r="V1038" s="878" t="s">
        <v>713</v>
      </c>
    </row>
    <row r="1039" spans="22:22">
      <c r="V1039" s="878" t="s">
        <v>713</v>
      </c>
    </row>
    <row r="1040" spans="22:22">
      <c r="V1040" s="878" t="s">
        <v>713</v>
      </c>
    </row>
    <row r="1041" spans="22:22">
      <c r="V1041" s="878" t="s">
        <v>713</v>
      </c>
    </row>
    <row r="1042" spans="22:22">
      <c r="V1042" s="878" t="s">
        <v>713</v>
      </c>
    </row>
    <row r="1043" spans="22:22">
      <c r="V1043" s="878" t="s">
        <v>713</v>
      </c>
    </row>
    <row r="1044" spans="22:22">
      <c r="V1044" s="878" t="s">
        <v>713</v>
      </c>
    </row>
    <row r="1045" spans="22:22">
      <c r="V1045" s="878" t="s">
        <v>713</v>
      </c>
    </row>
    <row r="1046" spans="22:22">
      <c r="V1046" s="878" t="s">
        <v>713</v>
      </c>
    </row>
    <row r="1047" spans="22:22">
      <c r="V1047" s="878" t="s">
        <v>713</v>
      </c>
    </row>
    <row r="1048" spans="22:22">
      <c r="V1048" s="878" t="s">
        <v>713</v>
      </c>
    </row>
    <row r="1049" spans="22:22">
      <c r="V1049" s="878" t="s">
        <v>713</v>
      </c>
    </row>
    <row r="1050" spans="22:22">
      <c r="V1050" s="878" t="s">
        <v>713</v>
      </c>
    </row>
    <row r="1051" spans="22:22">
      <c r="V1051" s="878" t="s">
        <v>713</v>
      </c>
    </row>
    <row r="1052" spans="22:22">
      <c r="V1052" s="878" t="s">
        <v>713</v>
      </c>
    </row>
    <row r="1053" spans="22:22">
      <c r="V1053" s="878" t="s">
        <v>713</v>
      </c>
    </row>
    <row r="1054" spans="22:22">
      <c r="V1054" s="878" t="s">
        <v>713</v>
      </c>
    </row>
    <row r="1055" spans="22:22">
      <c r="V1055" s="878" t="s">
        <v>713</v>
      </c>
    </row>
    <row r="1056" spans="22:22">
      <c r="V1056" s="878" t="s">
        <v>713</v>
      </c>
    </row>
    <row r="1057" spans="22:22">
      <c r="V1057" s="878" t="s">
        <v>713</v>
      </c>
    </row>
    <row r="1058" spans="22:22">
      <c r="V1058" s="878" t="s">
        <v>713</v>
      </c>
    </row>
    <row r="1059" spans="22:22">
      <c r="V1059" s="878" t="s">
        <v>713</v>
      </c>
    </row>
    <row r="1060" spans="22:22">
      <c r="V1060" s="878" t="s">
        <v>713</v>
      </c>
    </row>
    <row r="1061" spans="22:22">
      <c r="V1061" s="878" t="s">
        <v>713</v>
      </c>
    </row>
    <row r="1062" spans="22:22">
      <c r="V1062" s="878" t="s">
        <v>713</v>
      </c>
    </row>
    <row r="1063" spans="22:22">
      <c r="V1063" s="878" t="s">
        <v>713</v>
      </c>
    </row>
    <row r="1064" spans="22:22">
      <c r="V1064" s="878" t="s">
        <v>713</v>
      </c>
    </row>
    <row r="1065" spans="22:22">
      <c r="V1065" s="878" t="s">
        <v>713</v>
      </c>
    </row>
    <row r="1066" spans="22:22">
      <c r="V1066" s="878" t="s">
        <v>713</v>
      </c>
    </row>
    <row r="1067" spans="22:22">
      <c r="V1067" s="878" t="s">
        <v>713</v>
      </c>
    </row>
    <row r="1068" spans="22:22">
      <c r="V1068" s="878" t="s">
        <v>713</v>
      </c>
    </row>
    <row r="1069" spans="22:22">
      <c r="V1069" s="878" t="s">
        <v>713</v>
      </c>
    </row>
    <row r="1070" spans="22:22">
      <c r="V1070" s="878" t="s">
        <v>713</v>
      </c>
    </row>
    <row r="1071" spans="22:22">
      <c r="V1071" s="878" t="s">
        <v>713</v>
      </c>
    </row>
    <row r="1072" spans="22:22">
      <c r="V1072" s="878" t="s">
        <v>713</v>
      </c>
    </row>
    <row r="1073" spans="22:22">
      <c r="V1073" s="878" t="s">
        <v>713</v>
      </c>
    </row>
    <row r="1074" spans="22:22">
      <c r="V1074" s="878" t="s">
        <v>713</v>
      </c>
    </row>
    <row r="1075" spans="22:22">
      <c r="V1075" s="878" t="s">
        <v>713</v>
      </c>
    </row>
    <row r="1076" spans="22:22">
      <c r="V1076" s="878" t="s">
        <v>713</v>
      </c>
    </row>
    <row r="1077" spans="22:22">
      <c r="V1077" s="878" t="s">
        <v>713</v>
      </c>
    </row>
    <row r="1078" spans="22:22">
      <c r="V1078" s="878" t="s">
        <v>713</v>
      </c>
    </row>
    <row r="1079" spans="22:22">
      <c r="V1079" s="878" t="s">
        <v>713</v>
      </c>
    </row>
    <row r="1080" spans="22:22">
      <c r="V1080" s="878" t="s">
        <v>713</v>
      </c>
    </row>
    <row r="1081" spans="22:22">
      <c r="V1081" s="878" t="s">
        <v>713</v>
      </c>
    </row>
    <row r="1082" spans="22:22">
      <c r="V1082" s="878" t="s">
        <v>713</v>
      </c>
    </row>
    <row r="1083" spans="22:22">
      <c r="V1083" s="878" t="s">
        <v>713</v>
      </c>
    </row>
    <row r="1084" spans="22:22">
      <c r="V1084" s="878" t="s">
        <v>713</v>
      </c>
    </row>
    <row r="1085" spans="22:22">
      <c r="V1085" s="878" t="s">
        <v>713</v>
      </c>
    </row>
    <row r="1086" spans="22:22">
      <c r="V1086" s="878" t="s">
        <v>713</v>
      </c>
    </row>
    <row r="1087" spans="22:22">
      <c r="V1087" s="878" t="s">
        <v>713</v>
      </c>
    </row>
    <row r="1088" spans="22:22">
      <c r="V1088" s="878" t="s">
        <v>713</v>
      </c>
    </row>
    <row r="1089" spans="22:22">
      <c r="V1089" s="878" t="s">
        <v>713</v>
      </c>
    </row>
    <row r="1090" spans="22:22">
      <c r="V1090" s="878" t="s">
        <v>713</v>
      </c>
    </row>
    <row r="1091" spans="22:22">
      <c r="V1091" s="878" t="s">
        <v>713</v>
      </c>
    </row>
    <row r="1092" spans="22:22">
      <c r="V1092" s="878" t="s">
        <v>713</v>
      </c>
    </row>
    <row r="1093" spans="22:22">
      <c r="V1093" s="878" t="s">
        <v>713</v>
      </c>
    </row>
    <row r="1094" spans="22:22">
      <c r="V1094" s="878" t="s">
        <v>713</v>
      </c>
    </row>
    <row r="1095" spans="22:22">
      <c r="V1095" s="878" t="s">
        <v>713</v>
      </c>
    </row>
    <row r="1096" spans="22:22">
      <c r="V1096" s="878" t="s">
        <v>713</v>
      </c>
    </row>
    <row r="1097" spans="22:22">
      <c r="V1097" s="878" t="s">
        <v>713</v>
      </c>
    </row>
    <row r="1098" spans="22:22">
      <c r="V1098" s="878" t="s">
        <v>713</v>
      </c>
    </row>
    <row r="1099" spans="22:22">
      <c r="V1099" s="878" t="s">
        <v>713</v>
      </c>
    </row>
    <row r="1100" spans="22:22">
      <c r="V1100" s="878" t="s">
        <v>713</v>
      </c>
    </row>
    <row r="1101" spans="22:22">
      <c r="V1101" s="878" t="s">
        <v>713</v>
      </c>
    </row>
    <row r="1102" spans="22:22">
      <c r="V1102" s="878" t="s">
        <v>713</v>
      </c>
    </row>
    <row r="1103" spans="22:22">
      <c r="V1103" s="878" t="s">
        <v>713</v>
      </c>
    </row>
    <row r="1104" spans="22:22">
      <c r="V1104" s="878" t="s">
        <v>713</v>
      </c>
    </row>
    <row r="1105" spans="22:22">
      <c r="V1105" s="878" t="s">
        <v>713</v>
      </c>
    </row>
    <row r="1106" spans="22:22">
      <c r="V1106" s="878" t="s">
        <v>713</v>
      </c>
    </row>
    <row r="1107" spans="22:22">
      <c r="V1107" s="878" t="s">
        <v>713</v>
      </c>
    </row>
    <row r="1108" spans="22:22">
      <c r="V1108" s="878" t="s">
        <v>713</v>
      </c>
    </row>
    <row r="1109" spans="22:22">
      <c r="V1109" s="878" t="s">
        <v>713</v>
      </c>
    </row>
    <row r="1110" spans="22:22">
      <c r="V1110" s="878" t="s">
        <v>713</v>
      </c>
    </row>
    <row r="1111" spans="22:22">
      <c r="V1111" s="878" t="s">
        <v>713</v>
      </c>
    </row>
    <row r="1112" spans="22:22">
      <c r="V1112" s="878" t="s">
        <v>713</v>
      </c>
    </row>
    <row r="1113" spans="22:22">
      <c r="V1113" s="878" t="s">
        <v>713</v>
      </c>
    </row>
    <row r="1114" spans="22:22">
      <c r="V1114" s="878" t="s">
        <v>713</v>
      </c>
    </row>
    <row r="1115" spans="22:22">
      <c r="V1115" s="878" t="s">
        <v>713</v>
      </c>
    </row>
    <row r="1116" spans="22:22">
      <c r="V1116" s="878" t="s">
        <v>713</v>
      </c>
    </row>
    <row r="1117" spans="22:22">
      <c r="V1117" s="878" t="s">
        <v>713</v>
      </c>
    </row>
    <row r="1118" spans="22:22">
      <c r="V1118" s="878" t="s">
        <v>713</v>
      </c>
    </row>
    <row r="1119" spans="22:22">
      <c r="V1119" s="878" t="s">
        <v>713</v>
      </c>
    </row>
    <row r="1120" spans="22:22">
      <c r="V1120" s="878" t="s">
        <v>713</v>
      </c>
    </row>
    <row r="1121" spans="22:22">
      <c r="V1121" s="878" t="s">
        <v>713</v>
      </c>
    </row>
    <row r="1122" spans="22:22">
      <c r="V1122" s="878" t="s">
        <v>713</v>
      </c>
    </row>
    <row r="1123" spans="22:22">
      <c r="V1123" s="878" t="s">
        <v>713</v>
      </c>
    </row>
    <row r="1124" spans="22:22">
      <c r="V1124" s="878" t="s">
        <v>713</v>
      </c>
    </row>
    <row r="1125" spans="22:22">
      <c r="V1125" s="878" t="s">
        <v>713</v>
      </c>
    </row>
    <row r="1126" spans="22:22">
      <c r="V1126" s="878" t="s">
        <v>713</v>
      </c>
    </row>
    <row r="1127" spans="22:22">
      <c r="V1127" s="878" t="s">
        <v>713</v>
      </c>
    </row>
    <row r="1128" spans="22:22">
      <c r="V1128" s="878" t="s">
        <v>713</v>
      </c>
    </row>
    <row r="1129" spans="22:22">
      <c r="V1129" s="878" t="s">
        <v>713</v>
      </c>
    </row>
    <row r="1130" spans="22:22">
      <c r="V1130" s="878" t="s">
        <v>713</v>
      </c>
    </row>
    <row r="1131" spans="22:22">
      <c r="V1131" s="878" t="s">
        <v>713</v>
      </c>
    </row>
    <row r="1132" spans="22:22">
      <c r="V1132" s="878" t="s">
        <v>713</v>
      </c>
    </row>
    <row r="1133" spans="22:22">
      <c r="V1133" s="878" t="s">
        <v>713</v>
      </c>
    </row>
    <row r="1134" spans="22:22">
      <c r="V1134" s="878" t="s">
        <v>713</v>
      </c>
    </row>
    <row r="1135" spans="22:22">
      <c r="V1135" s="878" t="s">
        <v>713</v>
      </c>
    </row>
    <row r="1136" spans="22:22">
      <c r="V1136" s="878" t="s">
        <v>713</v>
      </c>
    </row>
    <row r="1137" spans="22:22">
      <c r="V1137" s="878" t="s">
        <v>713</v>
      </c>
    </row>
    <row r="1138" spans="22:22">
      <c r="V1138" s="878" t="s">
        <v>713</v>
      </c>
    </row>
    <row r="1139" spans="22:22">
      <c r="V1139" s="878" t="s">
        <v>713</v>
      </c>
    </row>
    <row r="1140" spans="22:22">
      <c r="V1140" s="878" t="s">
        <v>713</v>
      </c>
    </row>
    <row r="1141" spans="22:22">
      <c r="V1141" s="878" t="s">
        <v>713</v>
      </c>
    </row>
    <row r="1142" spans="22:22">
      <c r="V1142" s="878" t="s">
        <v>713</v>
      </c>
    </row>
    <row r="1143" spans="22:22">
      <c r="V1143" s="878" t="s">
        <v>713</v>
      </c>
    </row>
    <row r="1144" spans="22:22">
      <c r="V1144" s="878" t="s">
        <v>713</v>
      </c>
    </row>
    <row r="1145" spans="22:22">
      <c r="V1145" s="878" t="s">
        <v>713</v>
      </c>
    </row>
    <row r="1146" spans="22:22">
      <c r="V1146" s="878" t="s">
        <v>713</v>
      </c>
    </row>
    <row r="1147" spans="22:22">
      <c r="V1147" s="878" t="s">
        <v>713</v>
      </c>
    </row>
    <row r="1148" spans="22:22">
      <c r="V1148" s="878" t="s">
        <v>713</v>
      </c>
    </row>
    <row r="1149" spans="22:22">
      <c r="V1149" s="878" t="s">
        <v>713</v>
      </c>
    </row>
    <row r="1150" spans="22:22">
      <c r="V1150" s="878" t="s">
        <v>713</v>
      </c>
    </row>
    <row r="1151" spans="22:22">
      <c r="V1151" s="878" t="s">
        <v>713</v>
      </c>
    </row>
    <row r="1152" spans="22:22">
      <c r="V1152" s="878" t="s">
        <v>713</v>
      </c>
    </row>
    <row r="1153" spans="22:22">
      <c r="V1153" s="878" t="s">
        <v>713</v>
      </c>
    </row>
    <row r="1154" spans="22:22">
      <c r="V1154" s="878" t="s">
        <v>713</v>
      </c>
    </row>
    <row r="1155" spans="22:22">
      <c r="V1155" s="878" t="s">
        <v>713</v>
      </c>
    </row>
    <row r="1156" spans="22:22">
      <c r="V1156" s="878" t="s">
        <v>713</v>
      </c>
    </row>
    <row r="1157" spans="22:22">
      <c r="V1157" s="878" t="s">
        <v>713</v>
      </c>
    </row>
    <row r="1158" spans="22:22">
      <c r="V1158" s="878" t="s">
        <v>713</v>
      </c>
    </row>
    <row r="1159" spans="22:22">
      <c r="V1159" s="878" t="s">
        <v>713</v>
      </c>
    </row>
    <row r="1160" spans="22:22">
      <c r="V1160" s="878" t="s">
        <v>713</v>
      </c>
    </row>
    <row r="1161" spans="22:22">
      <c r="V1161" s="878" t="s">
        <v>713</v>
      </c>
    </row>
    <row r="1162" spans="22:22">
      <c r="V1162" s="878" t="s">
        <v>713</v>
      </c>
    </row>
    <row r="1163" spans="22:22">
      <c r="V1163" s="878" t="s">
        <v>713</v>
      </c>
    </row>
    <row r="1164" spans="22:22">
      <c r="V1164" s="878" t="s">
        <v>713</v>
      </c>
    </row>
    <row r="1165" spans="22:22">
      <c r="V1165" s="878" t="s">
        <v>713</v>
      </c>
    </row>
    <row r="1166" spans="22:22">
      <c r="V1166" s="878" t="s">
        <v>713</v>
      </c>
    </row>
    <row r="1167" spans="22:22">
      <c r="V1167" s="878" t="s">
        <v>713</v>
      </c>
    </row>
    <row r="1168" spans="22:22">
      <c r="V1168" s="878" t="s">
        <v>713</v>
      </c>
    </row>
    <row r="1169" spans="22:22">
      <c r="V1169" s="878" t="s">
        <v>713</v>
      </c>
    </row>
    <row r="1170" spans="22:22">
      <c r="V1170" s="878" t="s">
        <v>713</v>
      </c>
    </row>
    <row r="1171" spans="22:22">
      <c r="V1171" s="878" t="s">
        <v>713</v>
      </c>
    </row>
    <row r="1172" spans="22:22">
      <c r="V1172" s="878" t="s">
        <v>713</v>
      </c>
    </row>
    <row r="1173" spans="22:22">
      <c r="V1173" s="878" t="s">
        <v>713</v>
      </c>
    </row>
    <row r="1174" spans="22:22">
      <c r="V1174" s="878" t="s">
        <v>713</v>
      </c>
    </row>
    <row r="1175" spans="22:22">
      <c r="V1175" s="878" t="s">
        <v>713</v>
      </c>
    </row>
    <row r="1176" spans="22:22">
      <c r="V1176" s="878" t="s">
        <v>713</v>
      </c>
    </row>
    <row r="1177" spans="22:22">
      <c r="V1177" s="878" t="s">
        <v>713</v>
      </c>
    </row>
    <row r="1178" spans="22:22">
      <c r="V1178" s="878" t="s">
        <v>713</v>
      </c>
    </row>
    <row r="1179" spans="22:22">
      <c r="V1179" s="878" t="s">
        <v>713</v>
      </c>
    </row>
    <row r="1180" spans="22:22">
      <c r="V1180" s="878" t="s">
        <v>713</v>
      </c>
    </row>
    <row r="1181" spans="22:22">
      <c r="V1181" s="878" t="s">
        <v>713</v>
      </c>
    </row>
    <row r="1182" spans="22:22">
      <c r="V1182" s="878" t="s">
        <v>713</v>
      </c>
    </row>
    <row r="1183" spans="22:22">
      <c r="V1183" s="878" t="s">
        <v>713</v>
      </c>
    </row>
    <row r="1184" spans="22:22">
      <c r="V1184" s="878" t="s">
        <v>713</v>
      </c>
    </row>
    <row r="1185" spans="22:22">
      <c r="V1185" s="878" t="s">
        <v>713</v>
      </c>
    </row>
    <row r="1186" spans="22:22">
      <c r="V1186" s="878" t="s">
        <v>713</v>
      </c>
    </row>
    <row r="1187" spans="22:22">
      <c r="V1187" s="878" t="s">
        <v>713</v>
      </c>
    </row>
    <row r="1188" spans="22:22">
      <c r="V1188" s="878" t="s">
        <v>713</v>
      </c>
    </row>
    <row r="1189" spans="22:22">
      <c r="V1189" s="878" t="s">
        <v>713</v>
      </c>
    </row>
    <row r="1190" spans="22:22">
      <c r="V1190" s="878" t="s">
        <v>713</v>
      </c>
    </row>
    <row r="1191" spans="22:22">
      <c r="V1191" s="878" t="s">
        <v>713</v>
      </c>
    </row>
    <row r="1192" spans="22:22">
      <c r="V1192" s="878" t="s">
        <v>713</v>
      </c>
    </row>
    <row r="1193" spans="22:22">
      <c r="V1193" s="878" t="s">
        <v>713</v>
      </c>
    </row>
    <row r="1194" spans="22:22">
      <c r="V1194" s="878" t="s">
        <v>713</v>
      </c>
    </row>
    <row r="1195" spans="22:22">
      <c r="V1195" s="878" t="s">
        <v>713</v>
      </c>
    </row>
    <row r="1196" spans="22:22">
      <c r="V1196" s="878" t="s">
        <v>713</v>
      </c>
    </row>
    <row r="1197" spans="22:22">
      <c r="V1197" s="878" t="s">
        <v>713</v>
      </c>
    </row>
    <row r="1198" spans="22:22">
      <c r="V1198" s="878" t="s">
        <v>713</v>
      </c>
    </row>
    <row r="1199" spans="22:22">
      <c r="V1199" s="878" t="s">
        <v>713</v>
      </c>
    </row>
    <row r="1200" spans="22:22">
      <c r="V1200" s="878" t="s">
        <v>713</v>
      </c>
    </row>
    <row r="1201" spans="22:22">
      <c r="V1201" s="878" t="s">
        <v>713</v>
      </c>
    </row>
    <row r="1202" spans="22:22">
      <c r="V1202" s="878" t="s">
        <v>713</v>
      </c>
    </row>
    <row r="1203" spans="22:22">
      <c r="V1203" s="878" t="s">
        <v>713</v>
      </c>
    </row>
    <row r="1204" spans="22:22">
      <c r="V1204" s="878" t="s">
        <v>713</v>
      </c>
    </row>
    <row r="1205" spans="22:22">
      <c r="V1205" s="878" t="s">
        <v>713</v>
      </c>
    </row>
    <row r="1206" spans="22:22">
      <c r="V1206" s="878" t="s">
        <v>713</v>
      </c>
    </row>
    <row r="1207" spans="22:22">
      <c r="V1207" s="878" t="s">
        <v>713</v>
      </c>
    </row>
    <row r="1208" spans="22:22">
      <c r="V1208" s="878" t="s">
        <v>713</v>
      </c>
    </row>
    <row r="1209" spans="22:22">
      <c r="V1209" s="878" t="s">
        <v>713</v>
      </c>
    </row>
    <row r="1210" spans="22:22">
      <c r="V1210" s="878" t="s">
        <v>713</v>
      </c>
    </row>
    <row r="1211" spans="22:22">
      <c r="V1211" s="878" t="s">
        <v>713</v>
      </c>
    </row>
    <row r="1212" spans="22:22">
      <c r="V1212" s="878" t="s">
        <v>713</v>
      </c>
    </row>
    <row r="1213" spans="22:22">
      <c r="V1213" s="878" t="s">
        <v>713</v>
      </c>
    </row>
    <row r="1214" spans="22:22">
      <c r="V1214" s="878" t="s">
        <v>713</v>
      </c>
    </row>
    <row r="1215" spans="22:22">
      <c r="V1215" s="878" t="s">
        <v>713</v>
      </c>
    </row>
    <row r="1216" spans="22:22">
      <c r="V1216" s="878" t="s">
        <v>713</v>
      </c>
    </row>
    <row r="1217" spans="22:22">
      <c r="V1217" s="878" t="s">
        <v>713</v>
      </c>
    </row>
    <row r="1218" spans="22:22">
      <c r="V1218" s="878" t="s">
        <v>713</v>
      </c>
    </row>
    <row r="1219" spans="22:22">
      <c r="V1219" s="878" t="s">
        <v>713</v>
      </c>
    </row>
    <row r="1220" spans="22:22">
      <c r="V1220" s="878" t="s">
        <v>713</v>
      </c>
    </row>
    <row r="1221" spans="22:22">
      <c r="V1221" s="878" t="s">
        <v>713</v>
      </c>
    </row>
    <row r="1222" spans="22:22">
      <c r="V1222" s="878" t="s">
        <v>713</v>
      </c>
    </row>
    <row r="1223" spans="22:22">
      <c r="V1223" s="878" t="s">
        <v>713</v>
      </c>
    </row>
    <row r="1224" spans="22:22">
      <c r="V1224" s="878" t="s">
        <v>713</v>
      </c>
    </row>
    <row r="1225" spans="22:22">
      <c r="V1225" s="878" t="s">
        <v>713</v>
      </c>
    </row>
    <row r="1226" spans="22:22">
      <c r="V1226" s="878" t="s">
        <v>713</v>
      </c>
    </row>
    <row r="1227" spans="22:22">
      <c r="V1227" s="878" t="s">
        <v>713</v>
      </c>
    </row>
    <row r="1228" spans="22:22">
      <c r="V1228" s="878" t="s">
        <v>713</v>
      </c>
    </row>
    <row r="1229" spans="22:22">
      <c r="V1229" s="878" t="s">
        <v>713</v>
      </c>
    </row>
    <row r="1230" spans="22:22">
      <c r="V1230" s="878" t="s">
        <v>713</v>
      </c>
    </row>
    <row r="1231" spans="22:22">
      <c r="V1231" s="878" t="s">
        <v>713</v>
      </c>
    </row>
    <row r="1232" spans="22:22">
      <c r="V1232" s="878" t="s">
        <v>713</v>
      </c>
    </row>
    <row r="1233" spans="22:22">
      <c r="V1233" s="878" t="s">
        <v>713</v>
      </c>
    </row>
    <row r="1234" spans="22:22">
      <c r="V1234" s="878" t="s">
        <v>713</v>
      </c>
    </row>
    <row r="1235" spans="22:22">
      <c r="V1235" s="878" t="s">
        <v>713</v>
      </c>
    </row>
    <row r="1236" spans="22:22">
      <c r="V1236" s="878" t="s">
        <v>713</v>
      </c>
    </row>
    <row r="1237" spans="22:22">
      <c r="V1237" s="878" t="s">
        <v>713</v>
      </c>
    </row>
    <row r="1238" spans="22:22">
      <c r="V1238" s="878" t="s">
        <v>713</v>
      </c>
    </row>
    <row r="1239" spans="22:22">
      <c r="V1239" s="878" t="s">
        <v>713</v>
      </c>
    </row>
    <row r="1240" spans="22:22">
      <c r="V1240" s="878" t="s">
        <v>713</v>
      </c>
    </row>
    <row r="1241" spans="22:22">
      <c r="V1241" s="878" t="s">
        <v>713</v>
      </c>
    </row>
    <row r="1242" spans="22:22">
      <c r="V1242" s="878" t="s">
        <v>713</v>
      </c>
    </row>
    <row r="1243" spans="22:22">
      <c r="V1243" s="878" t="s">
        <v>713</v>
      </c>
    </row>
    <row r="1244" spans="22:22">
      <c r="V1244" s="878" t="s">
        <v>713</v>
      </c>
    </row>
    <row r="1245" spans="22:22">
      <c r="V1245" s="878" t="s">
        <v>713</v>
      </c>
    </row>
    <row r="1246" spans="22:22">
      <c r="V1246" s="878" t="s">
        <v>713</v>
      </c>
    </row>
    <row r="1247" spans="22:22">
      <c r="V1247" s="878" t="s">
        <v>713</v>
      </c>
    </row>
    <row r="1248" spans="22:22">
      <c r="V1248" s="878" t="s">
        <v>713</v>
      </c>
    </row>
    <row r="1249" spans="22:22">
      <c r="V1249" s="878" t="s">
        <v>713</v>
      </c>
    </row>
    <row r="1250" spans="22:22">
      <c r="V1250" s="878" t="s">
        <v>713</v>
      </c>
    </row>
    <row r="1251" spans="22:22">
      <c r="V1251" s="878" t="s">
        <v>713</v>
      </c>
    </row>
    <row r="1252" spans="22:22">
      <c r="V1252" s="878" t="s">
        <v>713</v>
      </c>
    </row>
    <row r="1253" spans="22:22">
      <c r="V1253" s="878" t="s">
        <v>713</v>
      </c>
    </row>
    <row r="1254" spans="22:22">
      <c r="V1254" s="878" t="s">
        <v>713</v>
      </c>
    </row>
    <row r="1255" spans="22:22">
      <c r="V1255" s="878" t="s">
        <v>713</v>
      </c>
    </row>
    <row r="1256" spans="22:22">
      <c r="V1256" s="878" t="s">
        <v>713</v>
      </c>
    </row>
    <row r="1257" spans="22:22">
      <c r="V1257" s="878" t="s">
        <v>713</v>
      </c>
    </row>
    <row r="1258" spans="22:22">
      <c r="V1258" s="878" t="s">
        <v>713</v>
      </c>
    </row>
    <row r="1259" spans="22:22">
      <c r="V1259" s="878" t="s">
        <v>713</v>
      </c>
    </row>
    <row r="1260" spans="22:22">
      <c r="V1260" s="878" t="s">
        <v>713</v>
      </c>
    </row>
    <row r="1261" spans="22:22">
      <c r="V1261" s="878" t="s">
        <v>713</v>
      </c>
    </row>
    <row r="1262" spans="22:22">
      <c r="V1262" s="878" t="s">
        <v>713</v>
      </c>
    </row>
    <row r="1263" spans="22:22">
      <c r="V1263" s="878" t="s">
        <v>713</v>
      </c>
    </row>
    <row r="1264" spans="22:22">
      <c r="V1264" s="878" t="s">
        <v>713</v>
      </c>
    </row>
    <row r="1265" spans="22:22">
      <c r="V1265" s="878" t="s">
        <v>713</v>
      </c>
    </row>
    <row r="1266" spans="22:22">
      <c r="V1266" s="878" t="s">
        <v>713</v>
      </c>
    </row>
    <row r="1267" spans="22:22">
      <c r="V1267" s="878" t="s">
        <v>713</v>
      </c>
    </row>
    <row r="1268" spans="22:22">
      <c r="V1268" s="878" t="s">
        <v>713</v>
      </c>
    </row>
    <row r="1269" spans="22:22">
      <c r="V1269" s="878" t="s">
        <v>713</v>
      </c>
    </row>
    <row r="1270" spans="22:22">
      <c r="V1270" s="878" t="s">
        <v>713</v>
      </c>
    </row>
    <row r="1271" spans="22:22">
      <c r="V1271" s="878" t="s">
        <v>713</v>
      </c>
    </row>
    <row r="1272" spans="22:22">
      <c r="V1272" s="878" t="s">
        <v>713</v>
      </c>
    </row>
    <row r="1273" spans="22:22">
      <c r="V1273" s="878" t="s">
        <v>713</v>
      </c>
    </row>
    <row r="1274" spans="22:22">
      <c r="V1274" s="878" t="s">
        <v>713</v>
      </c>
    </row>
    <row r="1275" spans="22:22">
      <c r="V1275" s="878" t="s">
        <v>713</v>
      </c>
    </row>
    <row r="1276" spans="22:22">
      <c r="V1276" s="878" t="s">
        <v>713</v>
      </c>
    </row>
    <row r="1277" spans="22:22">
      <c r="V1277" s="878" t="s">
        <v>713</v>
      </c>
    </row>
    <row r="1278" spans="22:22">
      <c r="V1278" s="878" t="s">
        <v>713</v>
      </c>
    </row>
    <row r="1279" spans="22:22">
      <c r="V1279" s="878" t="s">
        <v>713</v>
      </c>
    </row>
    <row r="1280" spans="22:22">
      <c r="V1280" s="878" t="s">
        <v>713</v>
      </c>
    </row>
    <row r="1281" spans="22:22">
      <c r="V1281" s="878" t="s">
        <v>713</v>
      </c>
    </row>
    <row r="1282" spans="22:22">
      <c r="V1282" s="878" t="s">
        <v>713</v>
      </c>
    </row>
    <row r="1283" spans="22:22">
      <c r="V1283" s="878" t="s">
        <v>713</v>
      </c>
    </row>
    <row r="1284" spans="22:22">
      <c r="V1284" s="878" t="s">
        <v>713</v>
      </c>
    </row>
    <row r="1285" spans="22:22">
      <c r="V1285" s="878" t="s">
        <v>713</v>
      </c>
    </row>
    <row r="1286" spans="22:22">
      <c r="V1286" s="878" t="s">
        <v>713</v>
      </c>
    </row>
    <row r="1287" spans="22:22">
      <c r="V1287" s="878" t="s">
        <v>713</v>
      </c>
    </row>
    <row r="1288" spans="22:22">
      <c r="V1288" s="878" t="s">
        <v>713</v>
      </c>
    </row>
    <row r="1289" spans="22:22">
      <c r="V1289" s="878" t="s">
        <v>713</v>
      </c>
    </row>
    <row r="1290" spans="22:22">
      <c r="V1290" s="878" t="s">
        <v>713</v>
      </c>
    </row>
    <row r="1291" spans="22:22">
      <c r="V1291" s="878" t="s">
        <v>713</v>
      </c>
    </row>
    <row r="1292" spans="22:22">
      <c r="V1292" s="878" t="s">
        <v>713</v>
      </c>
    </row>
    <row r="1293" spans="22:22">
      <c r="V1293" s="878" t="s">
        <v>713</v>
      </c>
    </row>
    <row r="1294" spans="22:22">
      <c r="V1294" s="878" t="s">
        <v>713</v>
      </c>
    </row>
    <row r="1295" spans="22:22">
      <c r="V1295" s="878" t="s">
        <v>713</v>
      </c>
    </row>
    <row r="1296" spans="22:22">
      <c r="V1296" s="878" t="s">
        <v>713</v>
      </c>
    </row>
    <row r="1297" spans="22:22">
      <c r="V1297" s="878" t="s">
        <v>713</v>
      </c>
    </row>
    <row r="1298" spans="22:22">
      <c r="V1298" s="878" t="s">
        <v>713</v>
      </c>
    </row>
    <row r="1299" spans="22:22">
      <c r="V1299" s="878" t="s">
        <v>713</v>
      </c>
    </row>
    <row r="1300" spans="22:22">
      <c r="V1300" s="878" t="s">
        <v>713</v>
      </c>
    </row>
    <row r="1301" spans="22:22">
      <c r="V1301" s="878" t="s">
        <v>713</v>
      </c>
    </row>
    <row r="1302" spans="22:22">
      <c r="V1302" s="878" t="s">
        <v>713</v>
      </c>
    </row>
    <row r="1303" spans="22:22">
      <c r="V1303" s="878" t="s">
        <v>713</v>
      </c>
    </row>
    <row r="1304" spans="22:22">
      <c r="V1304" s="878" t="s">
        <v>713</v>
      </c>
    </row>
    <row r="1305" spans="22:22">
      <c r="V1305" s="878" t="s">
        <v>713</v>
      </c>
    </row>
    <row r="1306" spans="22:22">
      <c r="V1306" s="878" t="s">
        <v>713</v>
      </c>
    </row>
    <row r="1307" spans="22:22">
      <c r="V1307" s="878" t="s">
        <v>713</v>
      </c>
    </row>
    <row r="1308" spans="22:22">
      <c r="V1308" s="878" t="s">
        <v>713</v>
      </c>
    </row>
    <row r="1309" spans="22:22">
      <c r="V1309" s="878" t="s">
        <v>713</v>
      </c>
    </row>
    <row r="1310" spans="22:22">
      <c r="V1310" s="878" t="s">
        <v>713</v>
      </c>
    </row>
    <row r="1311" spans="22:22">
      <c r="V1311" s="878" t="s">
        <v>713</v>
      </c>
    </row>
    <row r="1312" spans="22:22">
      <c r="V1312" s="878" t="s">
        <v>713</v>
      </c>
    </row>
    <row r="1313" spans="22:22">
      <c r="V1313" s="878" t="s">
        <v>713</v>
      </c>
    </row>
    <row r="1314" spans="22:22">
      <c r="V1314" s="878" t="s">
        <v>713</v>
      </c>
    </row>
    <row r="1315" spans="22:22">
      <c r="V1315" s="878" t="s">
        <v>713</v>
      </c>
    </row>
    <row r="1316" spans="22:22">
      <c r="V1316" s="878" t="s">
        <v>713</v>
      </c>
    </row>
    <row r="1317" spans="22:22">
      <c r="V1317" s="878" t="s">
        <v>713</v>
      </c>
    </row>
    <row r="1318" spans="22:22">
      <c r="V1318" s="878" t="s">
        <v>713</v>
      </c>
    </row>
    <row r="1319" spans="22:22">
      <c r="V1319" s="878" t="s">
        <v>713</v>
      </c>
    </row>
    <row r="1320" spans="22:22">
      <c r="V1320" s="878" t="s">
        <v>713</v>
      </c>
    </row>
    <row r="1321" spans="22:22">
      <c r="V1321" s="878" t="s">
        <v>713</v>
      </c>
    </row>
    <row r="1322" spans="22:22">
      <c r="V1322" s="878" t="s">
        <v>713</v>
      </c>
    </row>
    <row r="1323" spans="22:22">
      <c r="V1323" s="878" t="s">
        <v>713</v>
      </c>
    </row>
    <row r="1324" spans="22:22">
      <c r="V1324" s="878" t="s">
        <v>713</v>
      </c>
    </row>
    <row r="1325" spans="22:22">
      <c r="V1325" s="878" t="s">
        <v>713</v>
      </c>
    </row>
    <row r="1326" spans="22:22">
      <c r="V1326" s="878" t="s">
        <v>713</v>
      </c>
    </row>
    <row r="1327" spans="22:22">
      <c r="V1327" s="878" t="s">
        <v>713</v>
      </c>
    </row>
    <row r="1328" spans="22:22">
      <c r="V1328" s="878" t="s">
        <v>713</v>
      </c>
    </row>
    <row r="1329" spans="22:22">
      <c r="V1329" s="878" t="s">
        <v>713</v>
      </c>
    </row>
    <row r="1330" spans="22:22">
      <c r="V1330" s="878" t="s">
        <v>713</v>
      </c>
    </row>
    <row r="1331" spans="22:22">
      <c r="V1331" s="878" t="s">
        <v>713</v>
      </c>
    </row>
    <row r="1332" spans="22:22">
      <c r="V1332" s="878" t="s">
        <v>713</v>
      </c>
    </row>
    <row r="1333" spans="22:22">
      <c r="V1333" s="878" t="s">
        <v>713</v>
      </c>
    </row>
    <row r="1334" spans="22:22">
      <c r="V1334" s="878" t="s">
        <v>713</v>
      </c>
    </row>
    <row r="1335" spans="22:22">
      <c r="V1335" s="878" t="s">
        <v>713</v>
      </c>
    </row>
    <row r="1336" spans="22:22">
      <c r="V1336" s="878" t="s">
        <v>713</v>
      </c>
    </row>
    <row r="1337" spans="22:22">
      <c r="V1337" s="878" t="s">
        <v>713</v>
      </c>
    </row>
    <row r="1338" spans="22:22">
      <c r="V1338" s="878" t="s">
        <v>713</v>
      </c>
    </row>
    <row r="1339" spans="22:22">
      <c r="V1339" s="878" t="s">
        <v>713</v>
      </c>
    </row>
    <row r="1340" spans="22:22">
      <c r="V1340" s="878" t="s">
        <v>713</v>
      </c>
    </row>
    <row r="1341" spans="22:22">
      <c r="V1341" s="878" t="s">
        <v>713</v>
      </c>
    </row>
    <row r="1342" spans="22:22">
      <c r="V1342" s="878" t="s">
        <v>713</v>
      </c>
    </row>
    <row r="1343" spans="22:22">
      <c r="V1343" s="878" t="s">
        <v>713</v>
      </c>
    </row>
    <row r="1344" spans="22:22">
      <c r="V1344" s="878" t="s">
        <v>713</v>
      </c>
    </row>
    <row r="1345" spans="22:22">
      <c r="V1345" s="878" t="s">
        <v>713</v>
      </c>
    </row>
    <row r="1346" spans="22:22">
      <c r="V1346" s="878" t="s">
        <v>713</v>
      </c>
    </row>
    <row r="1347" spans="22:22">
      <c r="V1347" s="878" t="s">
        <v>713</v>
      </c>
    </row>
    <row r="1348" spans="22:22">
      <c r="V1348" s="878" t="s">
        <v>713</v>
      </c>
    </row>
    <row r="1349" spans="22:22">
      <c r="V1349" s="878" t="s">
        <v>713</v>
      </c>
    </row>
    <row r="1350" spans="22:22">
      <c r="V1350" s="878" t="s">
        <v>713</v>
      </c>
    </row>
    <row r="1351" spans="22:22">
      <c r="V1351" s="878" t="s">
        <v>713</v>
      </c>
    </row>
    <row r="1352" spans="22:22">
      <c r="V1352" s="878" t="s">
        <v>713</v>
      </c>
    </row>
    <row r="1353" spans="22:22">
      <c r="V1353" s="878" t="s">
        <v>713</v>
      </c>
    </row>
    <row r="1354" spans="22:22">
      <c r="V1354" s="878" t="s">
        <v>713</v>
      </c>
    </row>
    <row r="1355" spans="22:22">
      <c r="V1355" s="878" t="s">
        <v>713</v>
      </c>
    </row>
    <row r="1356" spans="22:22">
      <c r="V1356" s="878" t="s">
        <v>713</v>
      </c>
    </row>
    <row r="1357" spans="22:22">
      <c r="V1357" s="878" t="s">
        <v>713</v>
      </c>
    </row>
    <row r="1358" spans="22:22">
      <c r="V1358" s="878" t="s">
        <v>713</v>
      </c>
    </row>
    <row r="1359" spans="22:22">
      <c r="V1359" s="878" t="s">
        <v>713</v>
      </c>
    </row>
    <row r="1360" spans="22:22">
      <c r="V1360" s="878" t="s">
        <v>713</v>
      </c>
    </row>
    <row r="1361" spans="22:22">
      <c r="V1361" s="878" t="s">
        <v>713</v>
      </c>
    </row>
    <row r="1362" spans="22:22">
      <c r="V1362" s="878" t="s">
        <v>713</v>
      </c>
    </row>
    <row r="1363" spans="22:22">
      <c r="V1363" s="878" t="s">
        <v>713</v>
      </c>
    </row>
    <row r="1364" spans="22:22">
      <c r="V1364" s="878" t="s">
        <v>713</v>
      </c>
    </row>
    <row r="1365" spans="22:22">
      <c r="V1365" s="878" t="s">
        <v>713</v>
      </c>
    </row>
    <row r="1366" spans="22:22">
      <c r="V1366" s="878" t="s">
        <v>713</v>
      </c>
    </row>
    <row r="1367" spans="22:22">
      <c r="V1367" s="878" t="s">
        <v>713</v>
      </c>
    </row>
    <row r="1368" spans="22:22">
      <c r="V1368" s="878" t="s">
        <v>713</v>
      </c>
    </row>
    <row r="1369" spans="22:22">
      <c r="V1369" s="878" t="s">
        <v>713</v>
      </c>
    </row>
    <row r="1370" spans="22:22">
      <c r="V1370" s="878" t="s">
        <v>713</v>
      </c>
    </row>
    <row r="1371" spans="22:22">
      <c r="V1371" s="878" t="s">
        <v>713</v>
      </c>
    </row>
    <row r="1372" spans="22:22">
      <c r="V1372" s="878" t="s">
        <v>713</v>
      </c>
    </row>
    <row r="1373" spans="22:22">
      <c r="V1373" s="878" t="s">
        <v>713</v>
      </c>
    </row>
    <row r="1374" spans="22:22">
      <c r="V1374" s="878" t="s">
        <v>713</v>
      </c>
    </row>
    <row r="1375" spans="22:22">
      <c r="V1375" s="878" t="s">
        <v>713</v>
      </c>
    </row>
    <row r="1376" spans="22:22">
      <c r="V1376" s="878" t="s">
        <v>713</v>
      </c>
    </row>
    <row r="1377" spans="22:22">
      <c r="V1377" s="878" t="s">
        <v>713</v>
      </c>
    </row>
    <row r="1378" spans="22:22">
      <c r="V1378" s="878" t="s">
        <v>713</v>
      </c>
    </row>
    <row r="1379" spans="22:22">
      <c r="V1379" s="878" t="s">
        <v>713</v>
      </c>
    </row>
    <row r="1380" spans="22:22">
      <c r="V1380" s="878" t="s">
        <v>713</v>
      </c>
    </row>
    <row r="1381" spans="22:22">
      <c r="V1381" s="878" t="s">
        <v>713</v>
      </c>
    </row>
    <row r="1382" spans="22:22">
      <c r="V1382" s="878" t="s">
        <v>713</v>
      </c>
    </row>
    <row r="1383" spans="22:22">
      <c r="V1383" s="878" t="s">
        <v>713</v>
      </c>
    </row>
    <row r="1384" spans="22:22">
      <c r="V1384" s="878" t="s">
        <v>713</v>
      </c>
    </row>
    <row r="1385" spans="22:22">
      <c r="V1385" s="878" t="s">
        <v>713</v>
      </c>
    </row>
    <row r="1386" spans="22:22">
      <c r="V1386" s="878" t="s">
        <v>713</v>
      </c>
    </row>
    <row r="1387" spans="22:22">
      <c r="V1387" s="878" t="s">
        <v>713</v>
      </c>
    </row>
    <row r="1388" spans="22:22">
      <c r="V1388" s="878" t="s">
        <v>713</v>
      </c>
    </row>
    <row r="1389" spans="22:22">
      <c r="V1389" s="878" t="s">
        <v>713</v>
      </c>
    </row>
    <row r="1390" spans="22:22">
      <c r="V1390" s="878" t="s">
        <v>713</v>
      </c>
    </row>
    <row r="1391" spans="22:22">
      <c r="V1391" s="878" t="s">
        <v>713</v>
      </c>
    </row>
    <row r="1392" spans="22:22">
      <c r="V1392" s="878" t="s">
        <v>713</v>
      </c>
    </row>
    <row r="1393" spans="22:22">
      <c r="V1393" s="878" t="s">
        <v>713</v>
      </c>
    </row>
    <row r="1394" spans="22:22">
      <c r="V1394" s="878" t="s">
        <v>713</v>
      </c>
    </row>
    <row r="1395" spans="22:22">
      <c r="V1395" s="878" t="s">
        <v>713</v>
      </c>
    </row>
    <row r="1396" spans="22:22">
      <c r="V1396" s="878" t="s">
        <v>713</v>
      </c>
    </row>
    <row r="1397" spans="22:22">
      <c r="V1397" s="878" t="s">
        <v>713</v>
      </c>
    </row>
    <row r="1398" spans="22:22">
      <c r="V1398" s="878" t="s">
        <v>713</v>
      </c>
    </row>
    <row r="1399" spans="22:22">
      <c r="V1399" s="878" t="s">
        <v>713</v>
      </c>
    </row>
    <row r="1400" spans="22:22">
      <c r="V1400" s="878" t="s">
        <v>713</v>
      </c>
    </row>
    <row r="1401" spans="22:22">
      <c r="V1401" s="878" t="s">
        <v>713</v>
      </c>
    </row>
    <row r="1402" spans="22:22">
      <c r="V1402" s="878" t="s">
        <v>713</v>
      </c>
    </row>
    <row r="1403" spans="22:22">
      <c r="V1403" s="878" t="s">
        <v>713</v>
      </c>
    </row>
    <row r="1404" spans="22:22">
      <c r="V1404" s="878" t="s">
        <v>713</v>
      </c>
    </row>
    <row r="1405" spans="22:22">
      <c r="V1405" s="878" t="s">
        <v>713</v>
      </c>
    </row>
    <row r="1406" spans="22:22">
      <c r="V1406" s="878" t="s">
        <v>713</v>
      </c>
    </row>
    <row r="1407" spans="22:22">
      <c r="V1407" s="878" t="s">
        <v>713</v>
      </c>
    </row>
    <row r="1408" spans="22:22">
      <c r="V1408" s="878" t="s">
        <v>713</v>
      </c>
    </row>
    <row r="1409" spans="22:22">
      <c r="V1409" s="878" t="s">
        <v>713</v>
      </c>
    </row>
    <row r="1410" spans="22:22">
      <c r="V1410" s="878" t="s">
        <v>713</v>
      </c>
    </row>
    <row r="1411" spans="22:22">
      <c r="V1411" s="878" t="s">
        <v>713</v>
      </c>
    </row>
    <row r="1412" spans="22:22">
      <c r="V1412" s="878" t="s">
        <v>713</v>
      </c>
    </row>
    <row r="1413" spans="22:22">
      <c r="V1413" s="878" t="s">
        <v>713</v>
      </c>
    </row>
    <row r="1414" spans="22:22">
      <c r="V1414" s="878" t="s">
        <v>713</v>
      </c>
    </row>
    <row r="1415" spans="22:22">
      <c r="V1415" s="878" t="s">
        <v>713</v>
      </c>
    </row>
    <row r="1416" spans="22:22">
      <c r="V1416" s="878" t="s">
        <v>713</v>
      </c>
    </row>
    <row r="1417" spans="22:22">
      <c r="V1417" s="878" t="s">
        <v>713</v>
      </c>
    </row>
    <row r="1418" spans="22:22">
      <c r="V1418" s="878" t="s">
        <v>713</v>
      </c>
    </row>
    <row r="1419" spans="22:22">
      <c r="V1419" s="878" t="s">
        <v>713</v>
      </c>
    </row>
    <row r="1420" spans="22:22">
      <c r="V1420" s="878" t="s">
        <v>713</v>
      </c>
    </row>
    <row r="1421" spans="22:22">
      <c r="V1421" s="878" t="s">
        <v>713</v>
      </c>
    </row>
    <row r="1422" spans="22:22">
      <c r="V1422" s="878" t="s">
        <v>713</v>
      </c>
    </row>
    <row r="1423" spans="22:22">
      <c r="V1423" s="878" t="s">
        <v>713</v>
      </c>
    </row>
    <row r="1424" spans="22:22">
      <c r="V1424" s="878" t="s">
        <v>713</v>
      </c>
    </row>
    <row r="1425" spans="22:22">
      <c r="V1425" s="878" t="s">
        <v>713</v>
      </c>
    </row>
    <row r="1426" spans="22:22">
      <c r="V1426" s="878" t="s">
        <v>713</v>
      </c>
    </row>
    <row r="1427" spans="22:22">
      <c r="V1427" s="878" t="s">
        <v>713</v>
      </c>
    </row>
    <row r="1428" spans="22:22">
      <c r="V1428" s="878" t="s">
        <v>713</v>
      </c>
    </row>
    <row r="1429" spans="22:22">
      <c r="V1429" s="878" t="s">
        <v>713</v>
      </c>
    </row>
    <row r="1430" spans="22:22">
      <c r="V1430" s="878" t="s">
        <v>713</v>
      </c>
    </row>
    <row r="1431" spans="22:22">
      <c r="V1431" s="878" t="s">
        <v>713</v>
      </c>
    </row>
    <row r="1432" spans="22:22">
      <c r="V1432" s="878" t="s">
        <v>713</v>
      </c>
    </row>
    <row r="1433" spans="22:22">
      <c r="V1433" s="878" t="s">
        <v>713</v>
      </c>
    </row>
    <row r="1434" spans="22:22">
      <c r="V1434" s="878" t="s">
        <v>713</v>
      </c>
    </row>
    <row r="1435" spans="22:22">
      <c r="V1435" s="878" t="s">
        <v>713</v>
      </c>
    </row>
    <row r="1436" spans="22:22">
      <c r="V1436" s="878" t="s">
        <v>713</v>
      </c>
    </row>
    <row r="1437" spans="22:22">
      <c r="V1437" s="878" t="s">
        <v>713</v>
      </c>
    </row>
    <row r="1438" spans="22:22">
      <c r="V1438" s="878" t="s">
        <v>713</v>
      </c>
    </row>
    <row r="1439" spans="22:22">
      <c r="V1439" s="878" t="s">
        <v>713</v>
      </c>
    </row>
    <row r="1440" spans="22:22">
      <c r="V1440" s="878" t="s">
        <v>713</v>
      </c>
    </row>
    <row r="1441" spans="22:22">
      <c r="V1441" s="878" t="s">
        <v>713</v>
      </c>
    </row>
    <row r="1442" spans="22:22">
      <c r="V1442" s="878" t="s">
        <v>713</v>
      </c>
    </row>
    <row r="1443" spans="22:22">
      <c r="V1443" s="878" t="s">
        <v>713</v>
      </c>
    </row>
    <row r="1444" spans="22:22">
      <c r="V1444" s="878" t="s">
        <v>713</v>
      </c>
    </row>
    <row r="1445" spans="22:22">
      <c r="V1445" s="878" t="s">
        <v>713</v>
      </c>
    </row>
    <row r="1446" spans="22:22">
      <c r="V1446" s="878" t="s">
        <v>713</v>
      </c>
    </row>
    <row r="1447" spans="22:22">
      <c r="V1447" s="878" t="s">
        <v>713</v>
      </c>
    </row>
    <row r="1448" spans="22:22">
      <c r="V1448" s="878" t="s">
        <v>713</v>
      </c>
    </row>
    <row r="1449" spans="22:22">
      <c r="V1449" s="878" t="s">
        <v>713</v>
      </c>
    </row>
    <row r="1450" spans="22:22">
      <c r="V1450" s="878" t="s">
        <v>713</v>
      </c>
    </row>
    <row r="1451" spans="22:22">
      <c r="V1451" s="878" t="s">
        <v>713</v>
      </c>
    </row>
    <row r="1452" spans="22:22">
      <c r="V1452" s="878" t="s">
        <v>713</v>
      </c>
    </row>
    <row r="1453" spans="22:22">
      <c r="V1453" s="878" t="s">
        <v>713</v>
      </c>
    </row>
    <row r="1454" spans="22:22">
      <c r="V1454" s="878" t="s">
        <v>713</v>
      </c>
    </row>
    <row r="1455" spans="22:22">
      <c r="V1455" s="878" t="s">
        <v>713</v>
      </c>
    </row>
    <row r="1456" spans="22:22">
      <c r="V1456" s="878" t="s">
        <v>713</v>
      </c>
    </row>
    <row r="1457" spans="22:22">
      <c r="V1457" s="878" t="s">
        <v>713</v>
      </c>
    </row>
    <row r="1458" spans="22:22">
      <c r="V1458" s="878" t="s">
        <v>713</v>
      </c>
    </row>
    <row r="1459" spans="22:22">
      <c r="V1459" s="878" t="s">
        <v>713</v>
      </c>
    </row>
    <row r="1460" spans="22:22">
      <c r="V1460" s="878" t="s">
        <v>713</v>
      </c>
    </row>
    <row r="1461" spans="22:22">
      <c r="V1461" s="878" t="s">
        <v>713</v>
      </c>
    </row>
    <row r="1462" spans="22:22">
      <c r="V1462" s="878" t="s">
        <v>713</v>
      </c>
    </row>
    <row r="1463" spans="22:22">
      <c r="V1463" s="878" t="s">
        <v>713</v>
      </c>
    </row>
    <row r="1464" spans="22:22">
      <c r="V1464" s="878" t="s">
        <v>713</v>
      </c>
    </row>
    <row r="1465" spans="22:22">
      <c r="V1465" s="878" t="s">
        <v>713</v>
      </c>
    </row>
    <row r="1466" spans="22:22">
      <c r="V1466" s="878" t="s">
        <v>713</v>
      </c>
    </row>
    <row r="1467" spans="22:22">
      <c r="V1467" s="878" t="s">
        <v>713</v>
      </c>
    </row>
    <row r="1468" spans="22:22">
      <c r="V1468" s="878" t="s">
        <v>713</v>
      </c>
    </row>
    <row r="1469" spans="22:22">
      <c r="V1469" s="878" t="s">
        <v>713</v>
      </c>
    </row>
    <row r="1470" spans="22:22">
      <c r="V1470" s="878" t="s">
        <v>713</v>
      </c>
    </row>
    <row r="1471" spans="22:22">
      <c r="V1471" s="878" t="s">
        <v>713</v>
      </c>
    </row>
    <row r="1472" spans="22:22">
      <c r="V1472" s="878" t="s">
        <v>713</v>
      </c>
    </row>
    <row r="1473" spans="22:22">
      <c r="V1473" s="878" t="s">
        <v>713</v>
      </c>
    </row>
    <row r="1474" spans="22:22">
      <c r="V1474" s="878" t="s">
        <v>713</v>
      </c>
    </row>
    <row r="1475" spans="22:22">
      <c r="V1475" s="878" t="s">
        <v>713</v>
      </c>
    </row>
    <row r="1476" spans="22:22">
      <c r="V1476" s="878" t="s">
        <v>713</v>
      </c>
    </row>
    <row r="1477" spans="22:22">
      <c r="V1477" s="878" t="s">
        <v>713</v>
      </c>
    </row>
    <row r="1478" spans="22:22">
      <c r="V1478" s="878" t="s">
        <v>713</v>
      </c>
    </row>
    <row r="1479" spans="22:22">
      <c r="V1479" s="878" t="s">
        <v>713</v>
      </c>
    </row>
    <row r="1480" spans="22:22">
      <c r="V1480" s="878" t="s">
        <v>713</v>
      </c>
    </row>
    <row r="1481" spans="22:22">
      <c r="V1481" s="878" t="s">
        <v>713</v>
      </c>
    </row>
    <row r="1482" spans="22:22">
      <c r="V1482" s="878" t="s">
        <v>713</v>
      </c>
    </row>
    <row r="1483" spans="22:22">
      <c r="V1483" s="878" t="s">
        <v>713</v>
      </c>
    </row>
    <row r="1484" spans="22:22">
      <c r="V1484" s="878" t="s">
        <v>713</v>
      </c>
    </row>
    <row r="1485" spans="22:22">
      <c r="V1485" s="878" t="s">
        <v>713</v>
      </c>
    </row>
    <row r="1486" spans="22:22">
      <c r="V1486" s="878" t="s">
        <v>713</v>
      </c>
    </row>
    <row r="1487" spans="22:22">
      <c r="V1487" s="878" t="s">
        <v>713</v>
      </c>
    </row>
    <row r="1488" spans="22:22">
      <c r="V1488" s="878" t="s">
        <v>713</v>
      </c>
    </row>
    <row r="1489" spans="22:22">
      <c r="V1489" s="878" t="s">
        <v>713</v>
      </c>
    </row>
    <row r="1490" spans="22:22">
      <c r="V1490" s="878" t="s">
        <v>713</v>
      </c>
    </row>
    <row r="1491" spans="22:22">
      <c r="V1491" s="878" t="s">
        <v>713</v>
      </c>
    </row>
    <row r="1492" spans="22:22">
      <c r="V1492" s="878" t="s">
        <v>713</v>
      </c>
    </row>
    <row r="1493" spans="22:22">
      <c r="V1493" s="878" t="s">
        <v>713</v>
      </c>
    </row>
    <row r="1494" spans="22:22">
      <c r="V1494" s="878" t="s">
        <v>713</v>
      </c>
    </row>
    <row r="1495" spans="22:22">
      <c r="V1495" s="878" t="s">
        <v>713</v>
      </c>
    </row>
    <row r="1496" spans="22:22">
      <c r="V1496" s="878" t="s">
        <v>713</v>
      </c>
    </row>
    <row r="1497" spans="22:22">
      <c r="V1497" s="878" t="s">
        <v>713</v>
      </c>
    </row>
    <row r="1498" spans="22:22">
      <c r="V1498" s="878" t="s">
        <v>713</v>
      </c>
    </row>
    <row r="1499" spans="22:22">
      <c r="V1499" s="878" t="s">
        <v>713</v>
      </c>
    </row>
    <row r="1500" spans="22:22">
      <c r="V1500" s="878" t="s">
        <v>713</v>
      </c>
    </row>
    <row r="1501" spans="22:22">
      <c r="V1501" s="878" t="s">
        <v>713</v>
      </c>
    </row>
    <row r="1502" spans="22:22">
      <c r="V1502" s="878" t="s">
        <v>713</v>
      </c>
    </row>
    <row r="1503" spans="22:22">
      <c r="V1503" s="878" t="s">
        <v>713</v>
      </c>
    </row>
    <row r="1504" spans="22:22">
      <c r="V1504" s="878" t="s">
        <v>713</v>
      </c>
    </row>
    <row r="1505" spans="22:22">
      <c r="V1505" s="878" t="s">
        <v>713</v>
      </c>
    </row>
    <row r="1506" spans="22:22">
      <c r="V1506" s="878" t="s">
        <v>713</v>
      </c>
    </row>
    <row r="1507" spans="22:22">
      <c r="V1507" s="878" t="s">
        <v>713</v>
      </c>
    </row>
    <row r="1508" spans="22:22">
      <c r="V1508" s="878" t="s">
        <v>713</v>
      </c>
    </row>
    <row r="1509" spans="22:22">
      <c r="V1509" s="878" t="s">
        <v>713</v>
      </c>
    </row>
    <row r="1510" spans="22:22">
      <c r="V1510" s="878" t="s">
        <v>713</v>
      </c>
    </row>
    <row r="1511" spans="22:22">
      <c r="V1511" s="878" t="s">
        <v>713</v>
      </c>
    </row>
    <row r="1512" spans="22:22">
      <c r="V1512" s="878" t="s">
        <v>713</v>
      </c>
    </row>
    <row r="1513" spans="22:22">
      <c r="V1513" s="878" t="s">
        <v>713</v>
      </c>
    </row>
    <row r="1514" spans="22:22">
      <c r="V1514" s="878" t="s">
        <v>713</v>
      </c>
    </row>
    <row r="1515" spans="22:22">
      <c r="V1515" s="878" t="s">
        <v>713</v>
      </c>
    </row>
    <row r="1516" spans="22:22">
      <c r="V1516" s="878" t="s">
        <v>713</v>
      </c>
    </row>
    <row r="1517" spans="22:22">
      <c r="V1517" s="878" t="s">
        <v>713</v>
      </c>
    </row>
    <row r="1518" spans="22:22">
      <c r="V1518" s="878" t="s">
        <v>713</v>
      </c>
    </row>
    <row r="1519" spans="22:22">
      <c r="V1519" s="878" t="s">
        <v>713</v>
      </c>
    </row>
    <row r="1520" spans="22:22">
      <c r="V1520" s="878" t="s">
        <v>713</v>
      </c>
    </row>
    <row r="1521" spans="22:22">
      <c r="V1521" s="878" t="s">
        <v>713</v>
      </c>
    </row>
    <row r="1522" spans="22:22">
      <c r="V1522" s="878" t="s">
        <v>713</v>
      </c>
    </row>
    <row r="1523" spans="22:22">
      <c r="V1523" s="878" t="s">
        <v>713</v>
      </c>
    </row>
    <row r="1524" spans="22:22">
      <c r="V1524" s="878" t="s">
        <v>713</v>
      </c>
    </row>
    <row r="1525" spans="22:22">
      <c r="V1525" s="878" t="s">
        <v>713</v>
      </c>
    </row>
    <row r="1526" spans="22:22">
      <c r="V1526" s="878" t="s">
        <v>713</v>
      </c>
    </row>
    <row r="1527" spans="22:22">
      <c r="V1527" s="878" t="s">
        <v>713</v>
      </c>
    </row>
    <row r="1528" spans="22:22">
      <c r="V1528" s="878" t="s">
        <v>713</v>
      </c>
    </row>
    <row r="1529" spans="22:22">
      <c r="V1529" s="878" t="s">
        <v>713</v>
      </c>
    </row>
    <row r="1530" spans="22:22">
      <c r="V1530" s="878" t="s">
        <v>713</v>
      </c>
    </row>
    <row r="1531" spans="22:22">
      <c r="V1531" s="878" t="s">
        <v>713</v>
      </c>
    </row>
    <row r="1532" spans="22:22">
      <c r="V1532" s="878" t="s">
        <v>713</v>
      </c>
    </row>
    <row r="1533" spans="22:22">
      <c r="V1533" s="878" t="s">
        <v>713</v>
      </c>
    </row>
    <row r="1534" spans="22:22">
      <c r="V1534" s="878" t="s">
        <v>713</v>
      </c>
    </row>
    <row r="1535" spans="22:22">
      <c r="V1535" s="878" t="s">
        <v>713</v>
      </c>
    </row>
    <row r="1536" spans="22:22">
      <c r="V1536" s="878" t="s">
        <v>713</v>
      </c>
    </row>
    <row r="1537" spans="22:22">
      <c r="V1537" s="878" t="s">
        <v>713</v>
      </c>
    </row>
    <row r="1538" spans="22:22">
      <c r="V1538" s="878" t="s">
        <v>713</v>
      </c>
    </row>
    <row r="1539" spans="22:22">
      <c r="V1539" s="878" t="s">
        <v>713</v>
      </c>
    </row>
    <row r="1540" spans="22:22">
      <c r="V1540" s="878" t="s">
        <v>713</v>
      </c>
    </row>
    <row r="1541" spans="22:22">
      <c r="V1541" s="878" t="s">
        <v>713</v>
      </c>
    </row>
    <row r="1542" spans="22:22">
      <c r="V1542" s="878" t="s">
        <v>713</v>
      </c>
    </row>
    <row r="1543" spans="22:22">
      <c r="V1543" s="878" t="s">
        <v>713</v>
      </c>
    </row>
    <row r="1544" spans="22:22">
      <c r="V1544" s="878" t="s">
        <v>713</v>
      </c>
    </row>
    <row r="1545" spans="22:22">
      <c r="V1545" s="878" t="s">
        <v>713</v>
      </c>
    </row>
    <row r="1546" spans="22:22">
      <c r="V1546" s="878" t="s">
        <v>713</v>
      </c>
    </row>
    <row r="1547" spans="22:22">
      <c r="V1547" s="878" t="s">
        <v>713</v>
      </c>
    </row>
    <row r="1548" spans="22:22">
      <c r="V1548" s="878" t="s">
        <v>713</v>
      </c>
    </row>
    <row r="1549" spans="22:22">
      <c r="V1549" s="878" t="s">
        <v>713</v>
      </c>
    </row>
    <row r="1550" spans="22:22">
      <c r="V1550" s="878" t="s">
        <v>713</v>
      </c>
    </row>
    <row r="1551" spans="22:22">
      <c r="V1551" s="878" t="s">
        <v>713</v>
      </c>
    </row>
    <row r="1552" spans="22:22">
      <c r="V1552" s="878" t="s">
        <v>713</v>
      </c>
    </row>
    <row r="1553" spans="22:22">
      <c r="V1553" s="878" t="s">
        <v>713</v>
      </c>
    </row>
    <row r="1554" spans="22:22">
      <c r="V1554" s="878" t="s">
        <v>713</v>
      </c>
    </row>
    <row r="1555" spans="22:22">
      <c r="V1555" s="878" t="s">
        <v>713</v>
      </c>
    </row>
    <row r="1556" spans="22:22">
      <c r="V1556" s="878" t="s">
        <v>713</v>
      </c>
    </row>
    <row r="1557" spans="22:22">
      <c r="V1557" s="878" t="s">
        <v>713</v>
      </c>
    </row>
    <row r="1558" spans="22:22">
      <c r="V1558" s="878" t="s">
        <v>713</v>
      </c>
    </row>
    <row r="1559" spans="22:22">
      <c r="V1559" s="878" t="s">
        <v>713</v>
      </c>
    </row>
    <row r="1560" spans="22:22">
      <c r="V1560" s="878" t="s">
        <v>713</v>
      </c>
    </row>
    <row r="1561" spans="22:22">
      <c r="V1561" s="878" t="s">
        <v>713</v>
      </c>
    </row>
    <row r="1562" spans="22:22">
      <c r="V1562" s="878" t="s">
        <v>713</v>
      </c>
    </row>
    <row r="1563" spans="22:22">
      <c r="V1563" s="878" t="s">
        <v>713</v>
      </c>
    </row>
    <row r="1564" spans="22:22">
      <c r="V1564" s="878" t="s">
        <v>713</v>
      </c>
    </row>
    <row r="1565" spans="22:22">
      <c r="V1565" s="878" t="s">
        <v>713</v>
      </c>
    </row>
    <row r="1566" spans="22:22">
      <c r="V1566" s="878" t="s">
        <v>713</v>
      </c>
    </row>
    <row r="1567" spans="22:22">
      <c r="V1567" s="878" t="s">
        <v>713</v>
      </c>
    </row>
    <row r="1568" spans="22:22">
      <c r="V1568" s="878" t="s">
        <v>713</v>
      </c>
    </row>
    <row r="1569" spans="22:22">
      <c r="V1569" s="878" t="s">
        <v>713</v>
      </c>
    </row>
    <row r="1570" spans="22:22">
      <c r="V1570" s="878" t="s">
        <v>713</v>
      </c>
    </row>
    <row r="1571" spans="22:22">
      <c r="V1571" s="878" t="s">
        <v>713</v>
      </c>
    </row>
    <row r="1572" spans="22:22">
      <c r="V1572" s="878" t="s">
        <v>713</v>
      </c>
    </row>
    <row r="1573" spans="22:22">
      <c r="V1573" s="878" t="s">
        <v>713</v>
      </c>
    </row>
    <row r="1574" spans="22:22">
      <c r="V1574" s="878" t="s">
        <v>713</v>
      </c>
    </row>
    <row r="1575" spans="22:22">
      <c r="V1575" s="878" t="s">
        <v>713</v>
      </c>
    </row>
    <row r="1576" spans="22:22">
      <c r="V1576" s="878" t="s">
        <v>713</v>
      </c>
    </row>
    <row r="1577" spans="22:22">
      <c r="V1577" s="878" t="s">
        <v>713</v>
      </c>
    </row>
    <row r="1578" spans="22:22">
      <c r="V1578" s="878" t="s">
        <v>713</v>
      </c>
    </row>
    <row r="1579" spans="22:22">
      <c r="V1579" s="878" t="s">
        <v>713</v>
      </c>
    </row>
    <row r="1580" spans="22:22">
      <c r="V1580" s="878" t="s">
        <v>713</v>
      </c>
    </row>
    <row r="1581" spans="22:22">
      <c r="V1581" s="878" t="s">
        <v>713</v>
      </c>
    </row>
    <row r="1582" spans="22:22">
      <c r="V1582" s="878" t="s">
        <v>713</v>
      </c>
    </row>
    <row r="1583" spans="22:22">
      <c r="V1583" s="878" t="s">
        <v>713</v>
      </c>
    </row>
    <row r="1584" spans="22:22">
      <c r="V1584" s="878" t="s">
        <v>713</v>
      </c>
    </row>
    <row r="1585" spans="22:22">
      <c r="V1585" s="878" t="s">
        <v>713</v>
      </c>
    </row>
    <row r="1586" spans="22:22">
      <c r="V1586" s="878" t="s">
        <v>713</v>
      </c>
    </row>
    <row r="1587" spans="22:22">
      <c r="V1587" s="878" t="s">
        <v>713</v>
      </c>
    </row>
    <row r="1588" spans="22:22">
      <c r="V1588" s="878" t="s">
        <v>713</v>
      </c>
    </row>
    <row r="1589" spans="22:22">
      <c r="V1589" s="878" t="s">
        <v>713</v>
      </c>
    </row>
    <row r="1590" spans="22:22">
      <c r="V1590" s="878" t="s">
        <v>713</v>
      </c>
    </row>
    <row r="1591" spans="22:22">
      <c r="V1591" s="878" t="s">
        <v>713</v>
      </c>
    </row>
    <row r="1592" spans="22:22">
      <c r="V1592" s="878" t="s">
        <v>713</v>
      </c>
    </row>
    <row r="1593" spans="22:22">
      <c r="V1593" s="878" t="s">
        <v>713</v>
      </c>
    </row>
    <row r="1594" spans="22:22">
      <c r="V1594" s="878" t="s">
        <v>713</v>
      </c>
    </row>
    <row r="1595" spans="22:22">
      <c r="V1595" s="878" t="s">
        <v>713</v>
      </c>
    </row>
    <row r="1596" spans="22:22">
      <c r="V1596" s="878" t="s">
        <v>713</v>
      </c>
    </row>
    <row r="1597" spans="22:22">
      <c r="V1597" s="878" t="s">
        <v>713</v>
      </c>
    </row>
    <row r="1598" spans="22:22">
      <c r="V1598" s="878" t="s">
        <v>713</v>
      </c>
    </row>
    <row r="1599" spans="22:22">
      <c r="V1599" s="878" t="s">
        <v>713</v>
      </c>
    </row>
    <row r="1600" spans="22:22">
      <c r="V1600" s="878" t="s">
        <v>713</v>
      </c>
    </row>
    <row r="1601" spans="22:22">
      <c r="V1601" s="878" t="s">
        <v>713</v>
      </c>
    </row>
    <row r="1602" spans="22:22">
      <c r="V1602" s="878" t="s">
        <v>713</v>
      </c>
    </row>
    <row r="1603" spans="22:22">
      <c r="V1603" s="878" t="s">
        <v>713</v>
      </c>
    </row>
    <row r="1604" spans="22:22">
      <c r="V1604" s="878" t="s">
        <v>713</v>
      </c>
    </row>
    <row r="1605" spans="22:22">
      <c r="V1605" s="878" t="s">
        <v>713</v>
      </c>
    </row>
    <row r="1606" spans="22:22">
      <c r="V1606" s="878" t="s">
        <v>713</v>
      </c>
    </row>
    <row r="1607" spans="22:22">
      <c r="V1607" s="878" t="s">
        <v>713</v>
      </c>
    </row>
    <row r="1608" spans="22:22">
      <c r="V1608" s="878" t="s">
        <v>713</v>
      </c>
    </row>
    <row r="1609" spans="22:22">
      <c r="V1609" s="878" t="s">
        <v>713</v>
      </c>
    </row>
    <row r="1610" spans="22:22">
      <c r="V1610" s="878" t="s">
        <v>713</v>
      </c>
    </row>
    <row r="1611" spans="22:22">
      <c r="V1611" s="878" t="s">
        <v>713</v>
      </c>
    </row>
    <row r="1612" spans="22:22">
      <c r="V1612" s="878" t="s">
        <v>713</v>
      </c>
    </row>
    <row r="1613" spans="22:22">
      <c r="V1613" s="878" t="s">
        <v>713</v>
      </c>
    </row>
    <row r="1614" spans="22:22">
      <c r="V1614" s="878" t="s">
        <v>713</v>
      </c>
    </row>
    <row r="1615" spans="22:22">
      <c r="V1615" s="878" t="s">
        <v>713</v>
      </c>
    </row>
    <row r="1616" spans="22:22">
      <c r="V1616" s="878" t="s">
        <v>713</v>
      </c>
    </row>
    <row r="1617" spans="22:22">
      <c r="V1617" s="878" t="s">
        <v>713</v>
      </c>
    </row>
    <row r="1618" spans="22:22">
      <c r="V1618" s="878" t="s">
        <v>713</v>
      </c>
    </row>
    <row r="1619" spans="22:22">
      <c r="V1619" s="878" t="s">
        <v>713</v>
      </c>
    </row>
    <row r="1620" spans="22:22">
      <c r="V1620" s="878" t="s">
        <v>713</v>
      </c>
    </row>
    <row r="1621" spans="22:22">
      <c r="V1621" s="878" t="s">
        <v>713</v>
      </c>
    </row>
    <row r="1622" spans="22:22">
      <c r="V1622" s="878" t="s">
        <v>713</v>
      </c>
    </row>
    <row r="1623" spans="22:22">
      <c r="V1623" s="878" t="s">
        <v>713</v>
      </c>
    </row>
    <row r="1624" spans="22:22">
      <c r="V1624" s="878" t="s">
        <v>713</v>
      </c>
    </row>
    <row r="1625" spans="22:22">
      <c r="V1625" s="878" t="s">
        <v>713</v>
      </c>
    </row>
    <row r="1626" spans="22:22">
      <c r="V1626" s="878" t="s">
        <v>713</v>
      </c>
    </row>
    <row r="1627" spans="22:22">
      <c r="V1627" s="878" t="s">
        <v>713</v>
      </c>
    </row>
    <row r="1628" spans="22:22">
      <c r="V1628" s="878" t="s">
        <v>713</v>
      </c>
    </row>
    <row r="1629" spans="22:22">
      <c r="V1629" s="878" t="s">
        <v>713</v>
      </c>
    </row>
    <row r="1630" spans="22:22">
      <c r="V1630" s="878" t="s">
        <v>713</v>
      </c>
    </row>
    <row r="1631" spans="22:22">
      <c r="V1631" s="878" t="s">
        <v>713</v>
      </c>
    </row>
    <row r="1632" spans="22:22">
      <c r="V1632" s="878" t="s">
        <v>713</v>
      </c>
    </row>
    <row r="1633" spans="22:22">
      <c r="V1633" s="878" t="s">
        <v>713</v>
      </c>
    </row>
    <row r="1634" spans="22:22">
      <c r="V1634" s="878" t="s">
        <v>713</v>
      </c>
    </row>
    <row r="1635" spans="22:22">
      <c r="V1635" s="878" t="s">
        <v>713</v>
      </c>
    </row>
    <row r="1636" spans="22:22">
      <c r="V1636" s="878" t="s">
        <v>713</v>
      </c>
    </row>
    <row r="1637" spans="22:22">
      <c r="V1637" s="878" t="s">
        <v>713</v>
      </c>
    </row>
    <row r="1638" spans="22:22">
      <c r="V1638" s="878" t="s">
        <v>713</v>
      </c>
    </row>
    <row r="1639" spans="22:22">
      <c r="V1639" s="878" t="s">
        <v>713</v>
      </c>
    </row>
    <row r="1640" spans="22:22">
      <c r="V1640" s="878" t="s">
        <v>713</v>
      </c>
    </row>
    <row r="1641" spans="22:22">
      <c r="V1641" s="878" t="s">
        <v>713</v>
      </c>
    </row>
    <row r="1642" spans="22:22">
      <c r="V1642" s="878" t="s">
        <v>713</v>
      </c>
    </row>
    <row r="1643" spans="22:22">
      <c r="V1643" s="878" t="s">
        <v>713</v>
      </c>
    </row>
    <row r="1644" spans="22:22">
      <c r="V1644" s="878" t="s">
        <v>713</v>
      </c>
    </row>
    <row r="1645" spans="22:22">
      <c r="V1645" s="878" t="s">
        <v>713</v>
      </c>
    </row>
    <row r="1646" spans="22:22">
      <c r="V1646" s="878" t="s">
        <v>713</v>
      </c>
    </row>
    <row r="1647" spans="22:22">
      <c r="V1647" s="878" t="s">
        <v>713</v>
      </c>
    </row>
    <row r="1648" spans="22:22">
      <c r="V1648" s="878" t="s">
        <v>713</v>
      </c>
    </row>
    <row r="1649" spans="22:22">
      <c r="V1649" s="878" t="s">
        <v>713</v>
      </c>
    </row>
    <row r="1650" spans="22:22">
      <c r="V1650" s="878" t="s">
        <v>713</v>
      </c>
    </row>
    <row r="1651" spans="22:22">
      <c r="V1651" s="878" t="s">
        <v>713</v>
      </c>
    </row>
    <row r="1652" spans="22:22">
      <c r="V1652" s="878" t="s">
        <v>713</v>
      </c>
    </row>
    <row r="1653" spans="22:22">
      <c r="V1653" s="878" t="s">
        <v>713</v>
      </c>
    </row>
    <row r="1654" spans="22:22">
      <c r="V1654" s="878" t="s">
        <v>713</v>
      </c>
    </row>
    <row r="1655" spans="22:22">
      <c r="V1655" s="878" t="s">
        <v>713</v>
      </c>
    </row>
    <row r="1656" spans="22:22">
      <c r="V1656" s="878" t="s">
        <v>713</v>
      </c>
    </row>
    <row r="1657" spans="22:22">
      <c r="V1657" s="878" t="s">
        <v>713</v>
      </c>
    </row>
    <row r="1658" spans="22:22">
      <c r="V1658" s="878" t="s">
        <v>713</v>
      </c>
    </row>
    <row r="1659" spans="22:22">
      <c r="V1659" s="878" t="s">
        <v>713</v>
      </c>
    </row>
    <row r="1660" spans="22:22">
      <c r="V1660" s="878" t="s">
        <v>713</v>
      </c>
    </row>
    <row r="1661" spans="22:22">
      <c r="V1661" s="878" t="s">
        <v>713</v>
      </c>
    </row>
    <row r="1662" spans="22:22">
      <c r="V1662" s="878" t="s">
        <v>713</v>
      </c>
    </row>
    <row r="1663" spans="22:22">
      <c r="V1663" s="878" t="s">
        <v>713</v>
      </c>
    </row>
    <row r="1664" spans="22:22">
      <c r="V1664" s="878" t="s">
        <v>713</v>
      </c>
    </row>
    <row r="1665" spans="22:22">
      <c r="V1665" s="878" t="s">
        <v>713</v>
      </c>
    </row>
    <row r="1666" spans="22:22">
      <c r="V1666" s="878" t="s">
        <v>713</v>
      </c>
    </row>
    <row r="1667" spans="22:22">
      <c r="V1667" s="878" t="s">
        <v>713</v>
      </c>
    </row>
    <row r="1668" spans="22:22">
      <c r="V1668" s="878" t="s">
        <v>713</v>
      </c>
    </row>
    <row r="1669" spans="22:22">
      <c r="V1669" s="878" t="s">
        <v>713</v>
      </c>
    </row>
    <row r="1670" spans="22:22">
      <c r="V1670" s="878" t="s">
        <v>713</v>
      </c>
    </row>
    <row r="1671" spans="22:22">
      <c r="V1671" s="878" t="s">
        <v>713</v>
      </c>
    </row>
    <row r="1672" spans="22:22">
      <c r="V1672" s="878" t="s">
        <v>713</v>
      </c>
    </row>
    <row r="1673" spans="22:22">
      <c r="V1673" s="878" t="s">
        <v>713</v>
      </c>
    </row>
    <row r="1674" spans="22:22">
      <c r="V1674" s="878" t="s">
        <v>713</v>
      </c>
    </row>
    <row r="1675" spans="22:22">
      <c r="V1675" s="878" t="s">
        <v>713</v>
      </c>
    </row>
    <row r="1676" spans="22:22">
      <c r="V1676" s="878" t="s">
        <v>713</v>
      </c>
    </row>
    <row r="1677" spans="22:22">
      <c r="V1677" s="878" t="s">
        <v>713</v>
      </c>
    </row>
    <row r="1678" spans="22:22">
      <c r="V1678" s="878" t="s">
        <v>713</v>
      </c>
    </row>
    <row r="1679" spans="22:22">
      <c r="V1679" s="878" t="s">
        <v>713</v>
      </c>
    </row>
    <row r="1680" spans="22:22">
      <c r="V1680" s="878" t="s">
        <v>713</v>
      </c>
    </row>
    <row r="1681" spans="22:22">
      <c r="V1681" s="878" t="s">
        <v>713</v>
      </c>
    </row>
    <row r="1682" spans="22:22">
      <c r="V1682" s="878" t="s">
        <v>713</v>
      </c>
    </row>
    <row r="1683" spans="22:22">
      <c r="V1683" s="878" t="s">
        <v>713</v>
      </c>
    </row>
    <row r="1684" spans="22:22">
      <c r="V1684" s="878" t="s">
        <v>713</v>
      </c>
    </row>
    <row r="1685" spans="22:22">
      <c r="V1685" s="878" t="s">
        <v>713</v>
      </c>
    </row>
    <row r="1686" spans="22:22">
      <c r="V1686" s="878" t="s">
        <v>713</v>
      </c>
    </row>
    <row r="1687" spans="22:22">
      <c r="V1687" s="878" t="s">
        <v>713</v>
      </c>
    </row>
    <row r="1688" spans="22:22">
      <c r="V1688" s="878" t="s">
        <v>713</v>
      </c>
    </row>
    <row r="1689" spans="22:22">
      <c r="V1689" s="878" t="s">
        <v>713</v>
      </c>
    </row>
    <row r="1690" spans="22:22">
      <c r="V1690" s="878" t="s">
        <v>713</v>
      </c>
    </row>
    <row r="1691" spans="22:22">
      <c r="V1691" s="878" t="s">
        <v>713</v>
      </c>
    </row>
    <row r="1692" spans="22:22">
      <c r="V1692" s="878" t="s">
        <v>713</v>
      </c>
    </row>
    <row r="1693" spans="22:22">
      <c r="V1693" s="878" t="s">
        <v>713</v>
      </c>
    </row>
    <row r="1694" spans="22:22">
      <c r="V1694" s="878" t="s">
        <v>713</v>
      </c>
    </row>
    <row r="1695" spans="22:22">
      <c r="V1695" s="878" t="s">
        <v>713</v>
      </c>
    </row>
    <row r="1696" spans="22:22">
      <c r="V1696" s="878" t="s">
        <v>713</v>
      </c>
    </row>
    <row r="1697" spans="22:22">
      <c r="V1697" s="878" t="s">
        <v>713</v>
      </c>
    </row>
    <row r="1698" spans="22:22">
      <c r="V1698" s="878" t="s">
        <v>713</v>
      </c>
    </row>
    <row r="1699" spans="22:22">
      <c r="V1699" s="878" t="s">
        <v>713</v>
      </c>
    </row>
    <row r="1700" spans="22:22">
      <c r="V1700" s="878" t="s">
        <v>713</v>
      </c>
    </row>
    <row r="1701" spans="22:22">
      <c r="V1701" s="878" t="s">
        <v>713</v>
      </c>
    </row>
    <row r="1702" spans="22:22">
      <c r="V1702" s="878" t="s">
        <v>713</v>
      </c>
    </row>
    <row r="1703" spans="22:22">
      <c r="V1703" s="878" t="s">
        <v>713</v>
      </c>
    </row>
    <row r="1704" spans="22:22">
      <c r="V1704" s="878" t="s">
        <v>713</v>
      </c>
    </row>
    <row r="1705" spans="22:22">
      <c r="V1705" s="878" t="s">
        <v>713</v>
      </c>
    </row>
    <row r="1706" spans="22:22">
      <c r="V1706" s="878" t="s">
        <v>713</v>
      </c>
    </row>
    <row r="1707" spans="22:22">
      <c r="V1707" s="878" t="s">
        <v>713</v>
      </c>
    </row>
    <row r="1708" spans="22:22">
      <c r="V1708" s="878" t="s">
        <v>713</v>
      </c>
    </row>
    <row r="1709" spans="22:22">
      <c r="V1709" s="878" t="s">
        <v>713</v>
      </c>
    </row>
    <row r="1710" spans="22:22">
      <c r="V1710" s="878" t="s">
        <v>713</v>
      </c>
    </row>
    <row r="1711" spans="22:22">
      <c r="V1711" s="878" t="s">
        <v>713</v>
      </c>
    </row>
    <row r="1712" spans="22:22">
      <c r="V1712" s="878" t="s">
        <v>713</v>
      </c>
    </row>
    <row r="1713" spans="22:22">
      <c r="V1713" s="878" t="s">
        <v>713</v>
      </c>
    </row>
    <row r="1714" spans="22:22">
      <c r="V1714" s="878" t="s">
        <v>713</v>
      </c>
    </row>
    <row r="1715" spans="22:22">
      <c r="V1715" s="878" t="s">
        <v>713</v>
      </c>
    </row>
    <row r="1716" spans="22:22">
      <c r="V1716" s="878" t="s">
        <v>713</v>
      </c>
    </row>
    <row r="1717" spans="22:22">
      <c r="V1717" s="878" t="s">
        <v>713</v>
      </c>
    </row>
    <row r="1718" spans="22:22">
      <c r="V1718" s="878" t="s">
        <v>713</v>
      </c>
    </row>
    <row r="1719" spans="22:22">
      <c r="V1719" s="878" t="s">
        <v>713</v>
      </c>
    </row>
    <row r="1720" spans="22:22">
      <c r="V1720" s="878" t="s">
        <v>713</v>
      </c>
    </row>
    <row r="1721" spans="22:22">
      <c r="V1721" s="878" t="s">
        <v>713</v>
      </c>
    </row>
    <row r="1722" spans="22:22">
      <c r="V1722" s="878" t="s">
        <v>713</v>
      </c>
    </row>
    <row r="1723" spans="22:22">
      <c r="V1723" s="878" t="s">
        <v>713</v>
      </c>
    </row>
    <row r="1724" spans="22:22">
      <c r="V1724" s="878" t="s">
        <v>713</v>
      </c>
    </row>
    <row r="1725" spans="22:22">
      <c r="V1725" s="878" t="s">
        <v>713</v>
      </c>
    </row>
    <row r="1726" spans="22:22">
      <c r="V1726" s="878" t="s">
        <v>713</v>
      </c>
    </row>
    <row r="1727" spans="22:22">
      <c r="V1727" s="878" t="s">
        <v>713</v>
      </c>
    </row>
    <row r="1728" spans="22:22">
      <c r="V1728" s="878" t="s">
        <v>713</v>
      </c>
    </row>
    <row r="1729" spans="22:22">
      <c r="V1729" s="878" t="s">
        <v>713</v>
      </c>
    </row>
    <row r="1730" spans="22:22">
      <c r="V1730" s="878" t="s">
        <v>713</v>
      </c>
    </row>
    <row r="1731" spans="22:22">
      <c r="V1731" s="878" t="s">
        <v>713</v>
      </c>
    </row>
    <row r="1732" spans="22:22">
      <c r="V1732" s="878" t="s">
        <v>713</v>
      </c>
    </row>
    <row r="1733" spans="22:22">
      <c r="V1733" s="878" t="s">
        <v>713</v>
      </c>
    </row>
    <row r="1734" spans="22:22">
      <c r="V1734" s="878" t="s">
        <v>713</v>
      </c>
    </row>
    <row r="1735" spans="22:22">
      <c r="V1735" s="878" t="s">
        <v>713</v>
      </c>
    </row>
    <row r="1736" spans="22:22">
      <c r="V1736" s="878" t="s">
        <v>713</v>
      </c>
    </row>
    <row r="1737" spans="22:22">
      <c r="V1737" s="878" t="s">
        <v>713</v>
      </c>
    </row>
    <row r="1738" spans="22:22">
      <c r="V1738" s="878" t="s">
        <v>713</v>
      </c>
    </row>
    <row r="1739" spans="22:22">
      <c r="V1739" s="878" t="s">
        <v>713</v>
      </c>
    </row>
    <row r="1740" spans="22:22">
      <c r="V1740" s="878" t="s">
        <v>713</v>
      </c>
    </row>
    <row r="1741" spans="22:22">
      <c r="V1741" s="878" t="s">
        <v>713</v>
      </c>
    </row>
    <row r="1742" spans="22:22">
      <c r="V1742" s="878" t="s">
        <v>713</v>
      </c>
    </row>
    <row r="1743" spans="22:22">
      <c r="V1743" s="878" t="s">
        <v>713</v>
      </c>
    </row>
    <row r="1744" spans="22:22">
      <c r="V1744" s="878" t="s">
        <v>713</v>
      </c>
    </row>
    <row r="1745" spans="22:22">
      <c r="V1745" s="878" t="s">
        <v>713</v>
      </c>
    </row>
    <row r="1746" spans="22:22">
      <c r="V1746" s="878" t="s">
        <v>713</v>
      </c>
    </row>
    <row r="1747" spans="22:22">
      <c r="V1747" s="878" t="s">
        <v>713</v>
      </c>
    </row>
    <row r="1748" spans="22:22">
      <c r="V1748" s="878" t="s">
        <v>713</v>
      </c>
    </row>
    <row r="1749" spans="22:22">
      <c r="V1749" s="878" t="s">
        <v>713</v>
      </c>
    </row>
    <row r="1750" spans="22:22">
      <c r="V1750" s="878" t="s">
        <v>713</v>
      </c>
    </row>
    <row r="1751" spans="22:22">
      <c r="V1751" s="878" t="s">
        <v>713</v>
      </c>
    </row>
    <row r="1752" spans="22:22">
      <c r="V1752" s="878" t="s">
        <v>713</v>
      </c>
    </row>
    <row r="1753" spans="22:22">
      <c r="V1753" s="878" t="s">
        <v>713</v>
      </c>
    </row>
    <row r="1754" spans="22:22">
      <c r="V1754" s="878" t="s">
        <v>713</v>
      </c>
    </row>
    <row r="1755" spans="22:22">
      <c r="V1755" s="878" t="s">
        <v>713</v>
      </c>
    </row>
    <row r="1756" spans="22:22">
      <c r="V1756" s="878" t="s">
        <v>713</v>
      </c>
    </row>
    <row r="1757" spans="22:22">
      <c r="V1757" s="878" t="s">
        <v>713</v>
      </c>
    </row>
    <row r="1758" spans="22:22">
      <c r="V1758" s="878" t="s">
        <v>713</v>
      </c>
    </row>
    <row r="1759" spans="22:22">
      <c r="V1759" s="878" t="s">
        <v>713</v>
      </c>
    </row>
    <row r="1760" spans="22:22">
      <c r="V1760" s="878" t="s">
        <v>713</v>
      </c>
    </row>
    <row r="1761" spans="22:22">
      <c r="V1761" s="878" t="s">
        <v>713</v>
      </c>
    </row>
    <row r="1762" spans="22:22">
      <c r="V1762" s="878" t="s">
        <v>713</v>
      </c>
    </row>
    <row r="1763" spans="22:22">
      <c r="V1763" s="878" t="s">
        <v>713</v>
      </c>
    </row>
    <row r="1764" spans="22:22">
      <c r="V1764" s="878" t="s">
        <v>713</v>
      </c>
    </row>
    <row r="1765" spans="22:22">
      <c r="V1765" s="878" t="s">
        <v>713</v>
      </c>
    </row>
    <row r="1766" spans="22:22">
      <c r="V1766" s="878" t="s">
        <v>713</v>
      </c>
    </row>
    <row r="1767" spans="22:22">
      <c r="V1767" s="878" t="s">
        <v>713</v>
      </c>
    </row>
    <row r="1768" spans="22:22">
      <c r="V1768" s="878" t="s">
        <v>713</v>
      </c>
    </row>
    <row r="1769" spans="22:22">
      <c r="V1769" s="878" t="s">
        <v>713</v>
      </c>
    </row>
    <row r="1770" spans="22:22">
      <c r="V1770" s="878" t="s">
        <v>713</v>
      </c>
    </row>
    <row r="1771" spans="22:22">
      <c r="V1771" s="878" t="s">
        <v>713</v>
      </c>
    </row>
    <row r="1772" spans="22:22">
      <c r="V1772" s="878" t="s">
        <v>713</v>
      </c>
    </row>
    <row r="1773" spans="22:22">
      <c r="V1773" s="878" t="s">
        <v>713</v>
      </c>
    </row>
    <row r="1774" spans="22:22">
      <c r="V1774" s="878" t="s">
        <v>713</v>
      </c>
    </row>
    <row r="1775" spans="22:22">
      <c r="V1775" s="878" t="s">
        <v>713</v>
      </c>
    </row>
    <row r="1776" spans="22:22">
      <c r="V1776" s="878" t="s">
        <v>713</v>
      </c>
    </row>
    <row r="1777" spans="22:22">
      <c r="V1777" s="878" t="s">
        <v>713</v>
      </c>
    </row>
    <row r="1778" spans="22:22">
      <c r="V1778" s="878" t="s">
        <v>713</v>
      </c>
    </row>
    <row r="1779" spans="22:22">
      <c r="V1779" s="878" t="s">
        <v>713</v>
      </c>
    </row>
    <row r="1780" spans="22:22">
      <c r="V1780" s="878" t="s">
        <v>713</v>
      </c>
    </row>
    <row r="1781" spans="22:22">
      <c r="V1781" s="878" t="s">
        <v>713</v>
      </c>
    </row>
    <row r="1782" spans="22:22">
      <c r="V1782" s="878" t="s">
        <v>713</v>
      </c>
    </row>
    <row r="1783" spans="22:22">
      <c r="V1783" s="878" t="s">
        <v>713</v>
      </c>
    </row>
    <row r="1784" spans="22:22">
      <c r="V1784" s="878" t="s">
        <v>713</v>
      </c>
    </row>
    <row r="1785" spans="22:22">
      <c r="V1785" s="878" t="s">
        <v>713</v>
      </c>
    </row>
    <row r="1786" spans="22:22">
      <c r="V1786" s="878" t="s">
        <v>713</v>
      </c>
    </row>
    <row r="1787" spans="22:22">
      <c r="V1787" s="878" t="s">
        <v>713</v>
      </c>
    </row>
    <row r="1788" spans="22:22">
      <c r="V1788" s="878" t="s">
        <v>713</v>
      </c>
    </row>
    <row r="1789" spans="22:22">
      <c r="V1789" s="878" t="s">
        <v>713</v>
      </c>
    </row>
    <row r="1790" spans="22:22">
      <c r="V1790" s="878" t="s">
        <v>713</v>
      </c>
    </row>
    <row r="1791" spans="22:22">
      <c r="V1791" s="878" t="s">
        <v>713</v>
      </c>
    </row>
    <row r="1792" spans="22:22">
      <c r="V1792" s="878" t="s">
        <v>713</v>
      </c>
    </row>
    <row r="1793" spans="22:22">
      <c r="V1793" s="878" t="s">
        <v>713</v>
      </c>
    </row>
    <row r="1794" spans="22:22">
      <c r="V1794" s="878" t="s">
        <v>713</v>
      </c>
    </row>
    <row r="1795" spans="22:22">
      <c r="V1795" s="878" t="s">
        <v>713</v>
      </c>
    </row>
    <row r="1796" spans="22:22">
      <c r="V1796" s="878" t="s">
        <v>713</v>
      </c>
    </row>
    <row r="1797" spans="22:22">
      <c r="V1797" s="878" t="s">
        <v>713</v>
      </c>
    </row>
    <row r="1798" spans="22:22">
      <c r="V1798" s="878" t="s">
        <v>713</v>
      </c>
    </row>
    <row r="1799" spans="22:22">
      <c r="V1799" s="878" t="s">
        <v>713</v>
      </c>
    </row>
    <row r="1800" spans="22:22">
      <c r="V1800" s="878" t="s">
        <v>713</v>
      </c>
    </row>
    <row r="1801" spans="22:22">
      <c r="V1801" s="878" t="s">
        <v>713</v>
      </c>
    </row>
    <row r="1802" spans="22:22">
      <c r="V1802" s="878" t="s">
        <v>713</v>
      </c>
    </row>
    <row r="1803" spans="22:22">
      <c r="V1803" s="878" t="s">
        <v>713</v>
      </c>
    </row>
    <row r="1804" spans="22:22">
      <c r="V1804" s="878" t="s">
        <v>713</v>
      </c>
    </row>
    <row r="1805" spans="22:22">
      <c r="V1805" s="878" t="s">
        <v>713</v>
      </c>
    </row>
    <row r="1806" spans="22:22">
      <c r="V1806" s="878" t="s">
        <v>713</v>
      </c>
    </row>
    <row r="1807" spans="22:22">
      <c r="V1807" s="878" t="s">
        <v>713</v>
      </c>
    </row>
    <row r="1808" spans="22:22">
      <c r="V1808" s="878" t="s">
        <v>713</v>
      </c>
    </row>
    <row r="1809" spans="22:22">
      <c r="V1809" s="878" t="s">
        <v>713</v>
      </c>
    </row>
    <row r="1810" spans="22:22">
      <c r="V1810" s="878" t="s">
        <v>713</v>
      </c>
    </row>
    <row r="1811" spans="22:22">
      <c r="V1811" s="878" t="s">
        <v>713</v>
      </c>
    </row>
    <row r="1812" spans="22:22">
      <c r="V1812" s="878" t="s">
        <v>713</v>
      </c>
    </row>
    <row r="1813" spans="22:22">
      <c r="V1813" s="878" t="s">
        <v>713</v>
      </c>
    </row>
    <row r="1814" spans="22:22">
      <c r="V1814" s="878" t="s">
        <v>713</v>
      </c>
    </row>
    <row r="1815" spans="22:22">
      <c r="V1815" s="878" t="s">
        <v>713</v>
      </c>
    </row>
    <row r="1816" spans="22:22">
      <c r="V1816" s="878" t="s">
        <v>713</v>
      </c>
    </row>
    <row r="1817" spans="22:22">
      <c r="V1817" s="878" t="s">
        <v>713</v>
      </c>
    </row>
    <row r="1818" spans="22:22">
      <c r="V1818" s="878" t="s">
        <v>713</v>
      </c>
    </row>
    <row r="1819" spans="22:22">
      <c r="V1819" s="878" t="s">
        <v>713</v>
      </c>
    </row>
    <row r="1820" spans="22:22">
      <c r="V1820" s="878" t="s">
        <v>713</v>
      </c>
    </row>
    <row r="1821" spans="22:22">
      <c r="V1821" s="878" t="s">
        <v>713</v>
      </c>
    </row>
    <row r="1822" spans="22:22">
      <c r="V1822" s="878" t="s">
        <v>713</v>
      </c>
    </row>
    <row r="1823" spans="22:22">
      <c r="V1823" s="878" t="s">
        <v>713</v>
      </c>
    </row>
    <row r="1824" spans="22:22">
      <c r="V1824" s="878" t="s">
        <v>713</v>
      </c>
    </row>
    <row r="1825" spans="22:22">
      <c r="V1825" s="878" t="s">
        <v>713</v>
      </c>
    </row>
    <row r="1826" spans="22:22">
      <c r="V1826" s="878" t="s">
        <v>713</v>
      </c>
    </row>
    <row r="1827" spans="22:22">
      <c r="V1827" s="878" t="s">
        <v>713</v>
      </c>
    </row>
    <row r="1828" spans="22:22">
      <c r="V1828" s="878" t="s">
        <v>713</v>
      </c>
    </row>
    <row r="1829" spans="22:22">
      <c r="V1829" s="878" t="s">
        <v>713</v>
      </c>
    </row>
    <row r="1830" spans="22:22">
      <c r="V1830" s="878" t="s">
        <v>713</v>
      </c>
    </row>
    <row r="1831" spans="22:22">
      <c r="V1831" s="878" t="s">
        <v>713</v>
      </c>
    </row>
    <row r="1832" spans="22:22">
      <c r="V1832" s="878" t="s">
        <v>713</v>
      </c>
    </row>
    <row r="1833" spans="22:22">
      <c r="V1833" s="878" t="s">
        <v>713</v>
      </c>
    </row>
    <row r="1834" spans="22:22">
      <c r="V1834" s="878" t="s">
        <v>713</v>
      </c>
    </row>
    <row r="1835" spans="22:22">
      <c r="V1835" s="878" t="s">
        <v>713</v>
      </c>
    </row>
    <row r="1836" spans="22:22">
      <c r="V1836" s="878" t="s">
        <v>713</v>
      </c>
    </row>
    <row r="1837" spans="22:22">
      <c r="V1837" s="878" t="s">
        <v>713</v>
      </c>
    </row>
    <row r="1838" spans="22:22">
      <c r="V1838" s="878" t="s">
        <v>713</v>
      </c>
    </row>
    <row r="1839" spans="22:22">
      <c r="V1839" s="878" t="s">
        <v>713</v>
      </c>
    </row>
    <row r="1840" spans="22:22">
      <c r="V1840" s="878" t="s">
        <v>713</v>
      </c>
    </row>
    <row r="1841" spans="22:22">
      <c r="V1841" s="878" t="s">
        <v>713</v>
      </c>
    </row>
    <row r="1842" spans="22:22">
      <c r="V1842" s="878" t="s">
        <v>713</v>
      </c>
    </row>
    <row r="1843" spans="22:22">
      <c r="V1843" s="878" t="s">
        <v>713</v>
      </c>
    </row>
    <row r="1844" spans="22:22">
      <c r="V1844" s="878" t="s">
        <v>713</v>
      </c>
    </row>
    <row r="1845" spans="22:22">
      <c r="V1845" s="878" t="s">
        <v>713</v>
      </c>
    </row>
    <row r="1846" spans="22:22">
      <c r="V1846" s="878" t="s">
        <v>713</v>
      </c>
    </row>
    <row r="1847" spans="22:22">
      <c r="V1847" s="878" t="s">
        <v>713</v>
      </c>
    </row>
    <row r="1848" spans="22:22">
      <c r="V1848" s="878" t="s">
        <v>713</v>
      </c>
    </row>
    <row r="1849" spans="22:22">
      <c r="V1849" s="878" t="s">
        <v>713</v>
      </c>
    </row>
    <row r="1850" spans="22:22">
      <c r="V1850" s="878" t="s">
        <v>713</v>
      </c>
    </row>
    <row r="1851" spans="22:22">
      <c r="V1851" s="878" t="s">
        <v>713</v>
      </c>
    </row>
    <row r="1852" spans="22:22">
      <c r="V1852" s="878" t="s">
        <v>713</v>
      </c>
    </row>
    <row r="1853" spans="22:22">
      <c r="V1853" s="878" t="s">
        <v>713</v>
      </c>
    </row>
    <row r="1854" spans="22:22">
      <c r="V1854" s="878" t="s">
        <v>713</v>
      </c>
    </row>
    <row r="1855" spans="22:22">
      <c r="V1855" s="878" t="s">
        <v>713</v>
      </c>
    </row>
    <row r="1856" spans="22:22">
      <c r="V1856" s="878" t="s">
        <v>713</v>
      </c>
    </row>
    <row r="1857" spans="22:22">
      <c r="V1857" s="878" t="s">
        <v>713</v>
      </c>
    </row>
    <row r="1858" spans="22:22">
      <c r="V1858" s="878" t="s">
        <v>713</v>
      </c>
    </row>
    <row r="1859" spans="22:22">
      <c r="V1859" s="878" t="s">
        <v>713</v>
      </c>
    </row>
    <row r="1860" spans="22:22">
      <c r="V1860" s="878" t="s">
        <v>713</v>
      </c>
    </row>
    <row r="1861" spans="22:22">
      <c r="V1861" s="878" t="s">
        <v>713</v>
      </c>
    </row>
    <row r="1862" spans="22:22">
      <c r="V1862" s="878" t="s">
        <v>713</v>
      </c>
    </row>
    <row r="1863" spans="22:22">
      <c r="V1863" s="878" t="s">
        <v>713</v>
      </c>
    </row>
    <row r="1864" spans="22:22">
      <c r="V1864" s="878" t="s">
        <v>713</v>
      </c>
    </row>
    <row r="1865" spans="22:22">
      <c r="V1865" s="878" t="s">
        <v>713</v>
      </c>
    </row>
    <row r="1866" spans="22:22">
      <c r="V1866" s="878" t="s">
        <v>713</v>
      </c>
    </row>
    <row r="1867" spans="22:22">
      <c r="V1867" s="878" t="s">
        <v>713</v>
      </c>
    </row>
    <row r="1868" spans="22:22">
      <c r="V1868" s="878" t="s">
        <v>713</v>
      </c>
    </row>
    <row r="1869" spans="22:22">
      <c r="V1869" s="878" t="s">
        <v>713</v>
      </c>
    </row>
    <row r="1870" spans="22:22">
      <c r="V1870" s="878" t="s">
        <v>713</v>
      </c>
    </row>
    <row r="1871" spans="22:22">
      <c r="V1871" s="878" t="s">
        <v>713</v>
      </c>
    </row>
    <row r="1872" spans="22:22">
      <c r="V1872" s="878" t="s">
        <v>713</v>
      </c>
    </row>
    <row r="1873" spans="22:22">
      <c r="V1873" s="878" t="s">
        <v>713</v>
      </c>
    </row>
    <row r="1874" spans="22:22">
      <c r="V1874" s="878" t="s">
        <v>713</v>
      </c>
    </row>
    <row r="1875" spans="22:22">
      <c r="V1875" s="878" t="s">
        <v>713</v>
      </c>
    </row>
    <row r="1876" spans="22:22">
      <c r="V1876" s="878" t="s">
        <v>713</v>
      </c>
    </row>
    <row r="1877" spans="22:22">
      <c r="V1877" s="878" t="s">
        <v>713</v>
      </c>
    </row>
    <row r="1878" spans="22:22">
      <c r="V1878" s="878" t="s">
        <v>713</v>
      </c>
    </row>
    <row r="1879" spans="22:22">
      <c r="V1879" s="878" t="s">
        <v>713</v>
      </c>
    </row>
    <row r="1880" spans="22:22">
      <c r="V1880" s="878" t="s">
        <v>713</v>
      </c>
    </row>
    <row r="1881" spans="22:22">
      <c r="V1881" s="878" t="s">
        <v>713</v>
      </c>
    </row>
    <row r="1882" spans="22:22">
      <c r="V1882" s="878" t="s">
        <v>713</v>
      </c>
    </row>
    <row r="1883" spans="22:22">
      <c r="V1883" s="878" t="s">
        <v>713</v>
      </c>
    </row>
    <row r="1884" spans="22:22">
      <c r="V1884" s="878" t="s">
        <v>713</v>
      </c>
    </row>
    <row r="1885" spans="22:22">
      <c r="V1885" s="878" t="s">
        <v>713</v>
      </c>
    </row>
    <row r="1886" spans="22:22">
      <c r="V1886" s="878" t="s">
        <v>713</v>
      </c>
    </row>
    <row r="1887" spans="22:22">
      <c r="V1887" s="878" t="s">
        <v>713</v>
      </c>
    </row>
    <row r="1888" spans="22:22">
      <c r="V1888" s="878" t="s">
        <v>713</v>
      </c>
    </row>
    <row r="1889" spans="22:22">
      <c r="V1889" s="878" t="s">
        <v>713</v>
      </c>
    </row>
    <row r="1890" spans="22:22">
      <c r="V1890" s="878" t="s">
        <v>713</v>
      </c>
    </row>
    <row r="1891" spans="22:22">
      <c r="V1891" s="878" t="s">
        <v>713</v>
      </c>
    </row>
    <row r="1892" spans="22:22">
      <c r="V1892" s="878" t="s">
        <v>713</v>
      </c>
    </row>
    <row r="1893" spans="22:22">
      <c r="V1893" s="878" t="s">
        <v>713</v>
      </c>
    </row>
    <row r="1894" spans="22:22">
      <c r="V1894" s="878" t="s">
        <v>713</v>
      </c>
    </row>
    <row r="1895" spans="22:22">
      <c r="V1895" s="878" t="s">
        <v>713</v>
      </c>
    </row>
    <row r="1896" spans="22:22">
      <c r="V1896" s="878" t="s">
        <v>713</v>
      </c>
    </row>
    <row r="1897" spans="22:22">
      <c r="V1897" s="878" t="s">
        <v>713</v>
      </c>
    </row>
    <row r="1898" spans="22:22">
      <c r="V1898" s="878" t="s">
        <v>713</v>
      </c>
    </row>
    <row r="1899" spans="22:22">
      <c r="V1899" s="878" t="s">
        <v>713</v>
      </c>
    </row>
    <row r="1900" spans="22:22">
      <c r="V1900" s="878" t="s">
        <v>713</v>
      </c>
    </row>
    <row r="1901" spans="22:22">
      <c r="V1901" s="878" t="s">
        <v>713</v>
      </c>
    </row>
    <row r="1902" spans="22:22">
      <c r="V1902" s="878" t="s">
        <v>713</v>
      </c>
    </row>
    <row r="1903" spans="22:22">
      <c r="V1903" s="878" t="s">
        <v>713</v>
      </c>
    </row>
    <row r="1904" spans="22:22">
      <c r="V1904" s="878" t="s">
        <v>713</v>
      </c>
    </row>
    <row r="1905" spans="22:22">
      <c r="V1905" s="878" t="s">
        <v>713</v>
      </c>
    </row>
    <row r="1906" spans="22:22">
      <c r="V1906" s="878" t="s">
        <v>713</v>
      </c>
    </row>
    <row r="1907" spans="22:22">
      <c r="V1907" s="878" t="s">
        <v>713</v>
      </c>
    </row>
    <row r="1908" spans="22:22">
      <c r="V1908" s="878" t="s">
        <v>713</v>
      </c>
    </row>
    <row r="1909" spans="22:22">
      <c r="V1909" s="878" t="s">
        <v>713</v>
      </c>
    </row>
    <row r="1910" spans="22:22">
      <c r="V1910" s="878" t="s">
        <v>713</v>
      </c>
    </row>
    <row r="1911" spans="22:22">
      <c r="V1911" s="878" t="s">
        <v>713</v>
      </c>
    </row>
    <row r="1912" spans="22:22">
      <c r="V1912" s="878" t="s">
        <v>713</v>
      </c>
    </row>
    <row r="1913" spans="22:22">
      <c r="V1913" s="878" t="s">
        <v>713</v>
      </c>
    </row>
    <row r="1914" spans="22:22">
      <c r="V1914" s="878" t="s">
        <v>713</v>
      </c>
    </row>
    <row r="1915" spans="22:22">
      <c r="V1915" s="878" t="s">
        <v>713</v>
      </c>
    </row>
    <row r="1916" spans="22:22">
      <c r="V1916" s="878" t="s">
        <v>713</v>
      </c>
    </row>
    <row r="1917" spans="22:22">
      <c r="V1917" s="878" t="s">
        <v>713</v>
      </c>
    </row>
    <row r="1918" spans="22:22">
      <c r="V1918" s="878" t="s">
        <v>713</v>
      </c>
    </row>
    <row r="1919" spans="22:22">
      <c r="V1919" s="878" t="s">
        <v>713</v>
      </c>
    </row>
    <row r="1920" spans="22:22">
      <c r="V1920" s="878" t="s">
        <v>713</v>
      </c>
    </row>
    <row r="1921" spans="22:22">
      <c r="V1921" s="878" t="s">
        <v>713</v>
      </c>
    </row>
    <row r="1922" spans="22:22">
      <c r="V1922" s="878" t="s">
        <v>713</v>
      </c>
    </row>
    <row r="1923" spans="22:22">
      <c r="V1923" s="878" t="s">
        <v>713</v>
      </c>
    </row>
    <row r="1924" spans="22:22">
      <c r="V1924" s="878" t="s">
        <v>713</v>
      </c>
    </row>
    <row r="1925" spans="22:22">
      <c r="V1925" s="878" t="s">
        <v>713</v>
      </c>
    </row>
    <row r="1926" spans="22:22">
      <c r="V1926" s="878" t="s">
        <v>713</v>
      </c>
    </row>
    <row r="1927" spans="22:22">
      <c r="V1927" s="878" t="s">
        <v>713</v>
      </c>
    </row>
    <row r="1928" spans="22:22">
      <c r="V1928" s="878" t="s">
        <v>713</v>
      </c>
    </row>
    <row r="1929" spans="22:22">
      <c r="V1929" s="878" t="s">
        <v>713</v>
      </c>
    </row>
    <row r="1930" spans="22:22">
      <c r="V1930" s="878" t="s">
        <v>713</v>
      </c>
    </row>
    <row r="1931" spans="22:22">
      <c r="V1931" s="878" t="s">
        <v>713</v>
      </c>
    </row>
    <row r="1932" spans="22:22">
      <c r="V1932" s="878" t="s">
        <v>713</v>
      </c>
    </row>
    <row r="1933" spans="22:22">
      <c r="V1933" s="878" t="s">
        <v>713</v>
      </c>
    </row>
    <row r="1934" spans="22:22">
      <c r="V1934" s="878" t="s">
        <v>713</v>
      </c>
    </row>
    <row r="1935" spans="22:22">
      <c r="V1935" s="878" t="s">
        <v>713</v>
      </c>
    </row>
    <row r="1936" spans="22:22">
      <c r="V1936" s="878" t="s">
        <v>713</v>
      </c>
    </row>
    <row r="1937" spans="22:22">
      <c r="V1937" s="878" t="s">
        <v>713</v>
      </c>
    </row>
    <row r="1938" spans="22:22">
      <c r="V1938" s="878" t="s">
        <v>713</v>
      </c>
    </row>
    <row r="1939" spans="22:22">
      <c r="V1939" s="878" t="s">
        <v>713</v>
      </c>
    </row>
    <row r="1940" spans="22:22">
      <c r="V1940" s="878" t="s">
        <v>713</v>
      </c>
    </row>
    <row r="1941" spans="22:22">
      <c r="V1941" s="878" t="s">
        <v>713</v>
      </c>
    </row>
    <row r="1942" spans="22:22">
      <c r="V1942" s="878" t="s">
        <v>713</v>
      </c>
    </row>
    <row r="1943" spans="22:22">
      <c r="V1943" s="878" t="s">
        <v>713</v>
      </c>
    </row>
    <row r="1944" spans="22:22">
      <c r="V1944" s="878" t="s">
        <v>713</v>
      </c>
    </row>
    <row r="1945" spans="22:22">
      <c r="V1945" s="878" t="s">
        <v>713</v>
      </c>
    </row>
    <row r="1946" spans="22:22">
      <c r="V1946" s="878" t="s">
        <v>713</v>
      </c>
    </row>
    <row r="1947" spans="22:22">
      <c r="V1947" s="878" t="s">
        <v>713</v>
      </c>
    </row>
    <row r="1948" spans="22:22">
      <c r="V1948" s="878" t="s">
        <v>713</v>
      </c>
    </row>
    <row r="1949" spans="22:22">
      <c r="V1949" s="878" t="s">
        <v>713</v>
      </c>
    </row>
    <row r="1950" spans="22:22">
      <c r="V1950" s="878" t="s">
        <v>713</v>
      </c>
    </row>
    <row r="1951" spans="22:22">
      <c r="V1951" s="878" t="s">
        <v>713</v>
      </c>
    </row>
    <row r="1952" spans="22:22">
      <c r="V1952" s="878" t="s">
        <v>713</v>
      </c>
    </row>
    <row r="1953" spans="22:22">
      <c r="V1953" s="878" t="s">
        <v>713</v>
      </c>
    </row>
    <row r="1954" spans="22:22">
      <c r="V1954" s="878" t="s">
        <v>713</v>
      </c>
    </row>
    <row r="1955" spans="22:22">
      <c r="V1955" s="878" t="s">
        <v>713</v>
      </c>
    </row>
    <row r="1956" spans="22:22">
      <c r="V1956" s="878" t="s">
        <v>713</v>
      </c>
    </row>
    <row r="1957" spans="22:22">
      <c r="V1957" s="878" t="s">
        <v>713</v>
      </c>
    </row>
    <row r="1958" spans="22:22">
      <c r="V1958" s="878" t="s">
        <v>713</v>
      </c>
    </row>
    <row r="1959" spans="22:22">
      <c r="V1959" s="878" t="s">
        <v>713</v>
      </c>
    </row>
    <row r="1960" spans="22:22">
      <c r="V1960" s="878" t="s">
        <v>713</v>
      </c>
    </row>
    <row r="1961" spans="22:22">
      <c r="V1961" s="878" t="s">
        <v>713</v>
      </c>
    </row>
    <row r="1962" spans="22:22">
      <c r="V1962" s="878" t="s">
        <v>713</v>
      </c>
    </row>
    <row r="1963" spans="22:22">
      <c r="V1963" s="878" t="s">
        <v>713</v>
      </c>
    </row>
    <row r="1964" spans="22:22">
      <c r="V1964" s="878" t="s">
        <v>713</v>
      </c>
    </row>
    <row r="1965" spans="22:22">
      <c r="V1965" s="878" t="s">
        <v>713</v>
      </c>
    </row>
    <row r="1966" spans="22:22">
      <c r="V1966" s="878" t="s">
        <v>713</v>
      </c>
    </row>
    <row r="1967" spans="22:22">
      <c r="V1967" s="878" t="s">
        <v>713</v>
      </c>
    </row>
    <row r="1968" spans="22:22">
      <c r="V1968" s="878" t="s">
        <v>713</v>
      </c>
    </row>
    <row r="1969" spans="22:22">
      <c r="V1969" s="878" t="s">
        <v>713</v>
      </c>
    </row>
    <row r="1970" spans="22:22">
      <c r="V1970" s="878" t="s">
        <v>713</v>
      </c>
    </row>
    <row r="1971" spans="22:22">
      <c r="V1971" s="878" t="s">
        <v>713</v>
      </c>
    </row>
    <row r="1972" spans="22:22">
      <c r="V1972" s="878" t="s">
        <v>713</v>
      </c>
    </row>
    <row r="1973" spans="22:22">
      <c r="V1973" s="878" t="s">
        <v>713</v>
      </c>
    </row>
    <row r="1974" spans="22:22">
      <c r="V1974" s="878" t="s">
        <v>713</v>
      </c>
    </row>
    <row r="1975" spans="22:22">
      <c r="V1975" s="878" t="s">
        <v>713</v>
      </c>
    </row>
    <row r="1976" spans="22:22">
      <c r="V1976" s="878" t="s">
        <v>713</v>
      </c>
    </row>
    <row r="1977" spans="22:22">
      <c r="V1977" s="878" t="s">
        <v>713</v>
      </c>
    </row>
    <row r="1978" spans="22:22">
      <c r="V1978" s="878" t="s">
        <v>713</v>
      </c>
    </row>
    <row r="1979" spans="22:22">
      <c r="V1979" s="878" t="s">
        <v>713</v>
      </c>
    </row>
    <row r="1980" spans="22:22">
      <c r="V1980" s="878" t="s">
        <v>713</v>
      </c>
    </row>
    <row r="1981" spans="22:22">
      <c r="V1981" s="878" t="s">
        <v>713</v>
      </c>
    </row>
    <row r="1982" spans="22:22">
      <c r="V1982" s="878" t="s">
        <v>713</v>
      </c>
    </row>
    <row r="1983" spans="22:22">
      <c r="V1983" s="878" t="s">
        <v>713</v>
      </c>
    </row>
    <row r="1984" spans="22:22">
      <c r="V1984" s="878" t="s">
        <v>713</v>
      </c>
    </row>
    <row r="1985" spans="22:22">
      <c r="V1985" s="878" t="s">
        <v>713</v>
      </c>
    </row>
    <row r="1986" spans="22:22">
      <c r="V1986" s="878" t="s">
        <v>713</v>
      </c>
    </row>
    <row r="1987" spans="22:22">
      <c r="V1987" s="878" t="s">
        <v>713</v>
      </c>
    </row>
    <row r="1988" spans="22:22">
      <c r="V1988" s="878" t="s">
        <v>713</v>
      </c>
    </row>
    <row r="1989" spans="22:22">
      <c r="V1989" s="878" t="s">
        <v>713</v>
      </c>
    </row>
    <row r="1990" spans="22:22">
      <c r="V1990" s="878" t="s">
        <v>713</v>
      </c>
    </row>
    <row r="1991" spans="22:22">
      <c r="V1991" s="878" t="s">
        <v>713</v>
      </c>
    </row>
    <row r="1992" spans="22:22">
      <c r="V1992" s="878" t="s">
        <v>713</v>
      </c>
    </row>
    <row r="1993" spans="22:22">
      <c r="V1993" s="878" t="s">
        <v>713</v>
      </c>
    </row>
    <row r="1994" spans="22:22">
      <c r="V1994" s="878" t="s">
        <v>713</v>
      </c>
    </row>
    <row r="1995" spans="22:22">
      <c r="V1995" s="878" t="s">
        <v>713</v>
      </c>
    </row>
    <row r="1996" spans="22:22">
      <c r="V1996" s="878" t="s">
        <v>713</v>
      </c>
    </row>
    <row r="1997" spans="22:22">
      <c r="V1997" s="878" t="s">
        <v>713</v>
      </c>
    </row>
    <row r="1998" spans="22:22">
      <c r="V1998" s="878" t="s">
        <v>713</v>
      </c>
    </row>
    <row r="1999" spans="22:22">
      <c r="V1999" s="878" t="s">
        <v>713</v>
      </c>
    </row>
    <row r="2000" spans="22:22">
      <c r="V2000" s="878" t="s">
        <v>713</v>
      </c>
    </row>
    <row r="2001" spans="22:22">
      <c r="V2001" s="878" t="s">
        <v>713</v>
      </c>
    </row>
    <row r="2002" spans="22:22">
      <c r="V2002" s="878" t="s">
        <v>713</v>
      </c>
    </row>
    <row r="2003" spans="22:22">
      <c r="V2003" s="878" t="s">
        <v>713</v>
      </c>
    </row>
    <row r="2004" spans="22:22">
      <c r="V2004" s="878" t="s">
        <v>713</v>
      </c>
    </row>
    <row r="2005" spans="22:22">
      <c r="V2005" s="878" t="s">
        <v>713</v>
      </c>
    </row>
    <row r="2006" spans="22:22">
      <c r="V2006" s="878" t="s">
        <v>713</v>
      </c>
    </row>
    <row r="2007" spans="22:22">
      <c r="V2007" s="878" t="s">
        <v>713</v>
      </c>
    </row>
    <row r="2008" spans="22:22">
      <c r="V2008" s="878" t="s">
        <v>713</v>
      </c>
    </row>
    <row r="2009" spans="22:22">
      <c r="V2009" s="878" t="s">
        <v>713</v>
      </c>
    </row>
    <row r="2010" spans="22:22">
      <c r="V2010" s="878" t="s">
        <v>713</v>
      </c>
    </row>
    <row r="2011" spans="22:22">
      <c r="V2011" s="878" t="s">
        <v>713</v>
      </c>
    </row>
    <row r="2012" spans="22:22">
      <c r="V2012" s="878" t="s">
        <v>713</v>
      </c>
    </row>
    <row r="2013" spans="22:22">
      <c r="V2013" s="878" t="s">
        <v>713</v>
      </c>
    </row>
    <row r="2014" spans="22:22">
      <c r="V2014" s="878" t="s">
        <v>713</v>
      </c>
    </row>
    <row r="2015" spans="22:22">
      <c r="V2015" s="878" t="s">
        <v>713</v>
      </c>
    </row>
    <row r="2016" spans="22:22">
      <c r="V2016" s="878" t="s">
        <v>713</v>
      </c>
    </row>
    <row r="2017" spans="22:22">
      <c r="V2017" s="878" t="s">
        <v>713</v>
      </c>
    </row>
    <row r="2018" spans="22:22">
      <c r="V2018" s="878" t="s">
        <v>713</v>
      </c>
    </row>
    <row r="2019" spans="22:22">
      <c r="V2019" s="878" t="s">
        <v>713</v>
      </c>
    </row>
    <row r="2020" spans="22:22">
      <c r="V2020" s="878" t="s">
        <v>713</v>
      </c>
    </row>
    <row r="2021" spans="22:22">
      <c r="V2021" s="878" t="s">
        <v>713</v>
      </c>
    </row>
    <row r="2022" spans="22:22">
      <c r="V2022" s="878" t="s">
        <v>713</v>
      </c>
    </row>
    <row r="2023" spans="22:22">
      <c r="V2023" s="878" t="s">
        <v>713</v>
      </c>
    </row>
    <row r="2024" spans="22:22">
      <c r="V2024" s="878" t="s">
        <v>713</v>
      </c>
    </row>
    <row r="2025" spans="22:22">
      <c r="V2025" s="878" t="s">
        <v>713</v>
      </c>
    </row>
    <row r="2026" spans="22:22">
      <c r="V2026" s="878" t="s">
        <v>713</v>
      </c>
    </row>
    <row r="2027" spans="22:22">
      <c r="V2027" s="878" t="s">
        <v>713</v>
      </c>
    </row>
    <row r="2028" spans="22:22">
      <c r="V2028" s="878" t="s">
        <v>713</v>
      </c>
    </row>
    <row r="2029" spans="22:22">
      <c r="V2029" s="878" t="s">
        <v>713</v>
      </c>
    </row>
    <row r="2030" spans="22:22">
      <c r="V2030" s="878" t="s">
        <v>713</v>
      </c>
    </row>
    <row r="2031" spans="22:22">
      <c r="V2031" s="878" t="s">
        <v>713</v>
      </c>
    </row>
    <row r="2032" spans="22:22">
      <c r="V2032" s="878" t="s">
        <v>713</v>
      </c>
    </row>
    <row r="2033" spans="22:22">
      <c r="V2033" s="878" t="s">
        <v>713</v>
      </c>
    </row>
    <row r="2034" spans="22:22">
      <c r="V2034" s="878" t="s">
        <v>713</v>
      </c>
    </row>
    <row r="2035" spans="22:22">
      <c r="V2035" s="878" t="s">
        <v>713</v>
      </c>
    </row>
    <row r="2036" spans="22:22">
      <c r="V2036" s="878" t="s">
        <v>713</v>
      </c>
    </row>
    <row r="2037" spans="22:22">
      <c r="V2037" s="878" t="s">
        <v>713</v>
      </c>
    </row>
    <row r="2038" spans="22:22">
      <c r="V2038" s="878" t="s">
        <v>713</v>
      </c>
    </row>
    <row r="2039" spans="22:22">
      <c r="V2039" s="878" t="s">
        <v>713</v>
      </c>
    </row>
    <row r="2040" spans="22:22">
      <c r="V2040" s="878" t="s">
        <v>713</v>
      </c>
    </row>
    <row r="2041" spans="22:22">
      <c r="V2041" s="878" t="s">
        <v>713</v>
      </c>
    </row>
    <row r="2042" spans="22:22">
      <c r="V2042" s="878" t="s">
        <v>713</v>
      </c>
    </row>
    <row r="2043" spans="22:22">
      <c r="V2043" s="878" t="s">
        <v>713</v>
      </c>
    </row>
    <row r="2044" spans="22:22">
      <c r="V2044" s="878" t="s">
        <v>713</v>
      </c>
    </row>
    <row r="2045" spans="22:22">
      <c r="V2045" s="878" t="s">
        <v>713</v>
      </c>
    </row>
    <row r="2046" spans="22:22">
      <c r="V2046" s="878" t="s">
        <v>713</v>
      </c>
    </row>
    <row r="2047" spans="22:22">
      <c r="V2047" s="878" t="s">
        <v>713</v>
      </c>
    </row>
    <row r="2048" spans="22:22">
      <c r="V2048" s="878" t="s">
        <v>713</v>
      </c>
    </row>
    <row r="2049" spans="22:22">
      <c r="V2049" s="878" t="s">
        <v>713</v>
      </c>
    </row>
    <row r="2050" spans="22:22">
      <c r="V2050" s="878" t="s">
        <v>713</v>
      </c>
    </row>
    <row r="2051" spans="22:22">
      <c r="V2051" s="878" t="s">
        <v>713</v>
      </c>
    </row>
    <row r="2052" spans="22:22">
      <c r="V2052" s="878" t="s">
        <v>713</v>
      </c>
    </row>
    <row r="2053" spans="22:22">
      <c r="V2053" s="878" t="s">
        <v>713</v>
      </c>
    </row>
    <row r="2054" spans="22:22">
      <c r="V2054" s="878" t="s">
        <v>713</v>
      </c>
    </row>
    <row r="2055" spans="22:22">
      <c r="V2055" s="878" t="s">
        <v>713</v>
      </c>
    </row>
    <row r="2056" spans="22:22">
      <c r="V2056" s="878" t="s">
        <v>713</v>
      </c>
    </row>
    <row r="2057" spans="22:22">
      <c r="V2057" s="878" t="s">
        <v>713</v>
      </c>
    </row>
    <row r="2058" spans="22:22">
      <c r="V2058" s="878" t="s">
        <v>713</v>
      </c>
    </row>
    <row r="2059" spans="22:22">
      <c r="V2059" s="878" t="s">
        <v>713</v>
      </c>
    </row>
    <row r="2060" spans="22:22">
      <c r="V2060" s="878" t="s">
        <v>713</v>
      </c>
    </row>
    <row r="2061" spans="22:22">
      <c r="V2061" s="878" t="s">
        <v>713</v>
      </c>
    </row>
    <row r="2062" spans="22:22">
      <c r="V2062" s="878" t="s">
        <v>713</v>
      </c>
    </row>
    <row r="2063" spans="22:22">
      <c r="V2063" s="878" t="s">
        <v>713</v>
      </c>
    </row>
    <row r="2064" spans="22:22">
      <c r="V2064" s="878" t="s">
        <v>713</v>
      </c>
    </row>
    <row r="2065" spans="22:22">
      <c r="V2065" s="878" t="s">
        <v>713</v>
      </c>
    </row>
    <row r="2066" spans="22:22">
      <c r="V2066" s="878" t="s">
        <v>713</v>
      </c>
    </row>
    <row r="2067" spans="22:22">
      <c r="V2067" s="878" t="s">
        <v>713</v>
      </c>
    </row>
    <row r="2068" spans="22:22">
      <c r="V2068" s="878" t="s">
        <v>713</v>
      </c>
    </row>
    <row r="2069" spans="22:22">
      <c r="V2069" s="878" t="s">
        <v>713</v>
      </c>
    </row>
    <row r="2070" spans="22:22">
      <c r="V2070" s="878" t="s">
        <v>713</v>
      </c>
    </row>
    <row r="2071" spans="22:22">
      <c r="V2071" s="878" t="s">
        <v>713</v>
      </c>
    </row>
    <row r="2072" spans="22:22">
      <c r="V2072" s="878" t="s">
        <v>713</v>
      </c>
    </row>
    <row r="2073" spans="22:22">
      <c r="V2073" s="878" t="s">
        <v>713</v>
      </c>
    </row>
    <row r="2074" spans="22:22">
      <c r="V2074" s="878" t="s">
        <v>713</v>
      </c>
    </row>
    <row r="2075" spans="22:22">
      <c r="V2075" s="878" t="s">
        <v>713</v>
      </c>
    </row>
    <row r="2076" spans="22:22">
      <c r="V2076" s="878" t="s">
        <v>713</v>
      </c>
    </row>
    <row r="2077" spans="22:22">
      <c r="V2077" s="878" t="s">
        <v>713</v>
      </c>
    </row>
    <row r="2078" spans="22:22">
      <c r="V2078" s="878" t="s">
        <v>713</v>
      </c>
    </row>
    <row r="2079" spans="22:22">
      <c r="V2079" s="878" t="s">
        <v>713</v>
      </c>
    </row>
    <row r="2080" spans="22:22">
      <c r="V2080" s="878" t="s">
        <v>713</v>
      </c>
    </row>
    <row r="2081" spans="22:22">
      <c r="V2081" s="878" t="s">
        <v>713</v>
      </c>
    </row>
    <row r="2082" spans="22:22">
      <c r="V2082" s="878" t="s">
        <v>713</v>
      </c>
    </row>
    <row r="2083" spans="22:22">
      <c r="V2083" s="878" t="s">
        <v>713</v>
      </c>
    </row>
    <row r="2084" spans="22:22">
      <c r="V2084" s="878" t="s">
        <v>713</v>
      </c>
    </row>
    <row r="2085" spans="22:22">
      <c r="V2085" s="878" t="s">
        <v>713</v>
      </c>
    </row>
    <row r="2086" spans="22:22">
      <c r="V2086" s="878" t="s">
        <v>713</v>
      </c>
    </row>
    <row r="2087" spans="22:22">
      <c r="V2087" s="878" t="s">
        <v>713</v>
      </c>
    </row>
    <row r="2088" spans="22:22">
      <c r="V2088" s="878" t="s">
        <v>713</v>
      </c>
    </row>
    <row r="2089" spans="22:22">
      <c r="V2089" s="878" t="s">
        <v>713</v>
      </c>
    </row>
    <row r="2090" spans="22:22">
      <c r="V2090" s="878" t="s">
        <v>713</v>
      </c>
    </row>
    <row r="2091" spans="22:22">
      <c r="V2091" s="878" t="s">
        <v>713</v>
      </c>
    </row>
    <row r="2092" spans="22:22">
      <c r="V2092" s="878" t="s">
        <v>713</v>
      </c>
    </row>
    <row r="2093" spans="22:22">
      <c r="V2093" s="878" t="s">
        <v>713</v>
      </c>
    </row>
    <row r="2094" spans="22:22">
      <c r="V2094" s="878" t="s">
        <v>713</v>
      </c>
    </row>
    <row r="2095" spans="22:22">
      <c r="V2095" s="878" t="s">
        <v>713</v>
      </c>
    </row>
    <row r="2096" spans="22:22">
      <c r="V2096" s="878" t="s">
        <v>713</v>
      </c>
    </row>
    <row r="2097" spans="22:22">
      <c r="V2097" s="878" t="s">
        <v>713</v>
      </c>
    </row>
    <row r="2098" spans="22:22">
      <c r="V2098" s="878" t="s">
        <v>713</v>
      </c>
    </row>
    <row r="2099" spans="22:22">
      <c r="V2099" s="878" t="s">
        <v>713</v>
      </c>
    </row>
    <row r="2100" spans="22:22">
      <c r="V2100" s="878" t="s">
        <v>713</v>
      </c>
    </row>
    <row r="2101" spans="22:22">
      <c r="V2101" s="878" t="s">
        <v>713</v>
      </c>
    </row>
    <row r="2102" spans="22:22">
      <c r="V2102" s="878" t="s">
        <v>713</v>
      </c>
    </row>
    <row r="2103" spans="22:22">
      <c r="V2103" s="878" t="s">
        <v>713</v>
      </c>
    </row>
    <row r="2104" spans="22:22">
      <c r="V2104" s="878" t="s">
        <v>713</v>
      </c>
    </row>
    <row r="2105" spans="22:22">
      <c r="V2105" s="878" t="s">
        <v>713</v>
      </c>
    </row>
    <row r="2106" spans="22:22">
      <c r="V2106" s="878" t="s">
        <v>713</v>
      </c>
    </row>
    <row r="2107" spans="22:22">
      <c r="V2107" s="878" t="s">
        <v>713</v>
      </c>
    </row>
    <row r="2108" spans="22:22">
      <c r="V2108" s="878" t="s">
        <v>713</v>
      </c>
    </row>
    <row r="2109" spans="22:22">
      <c r="V2109" s="878" t="s">
        <v>713</v>
      </c>
    </row>
    <row r="2110" spans="22:22">
      <c r="V2110" s="878" t="s">
        <v>713</v>
      </c>
    </row>
    <row r="2111" spans="22:22">
      <c r="V2111" s="878" t="s">
        <v>713</v>
      </c>
    </row>
    <row r="2112" spans="22:22">
      <c r="V2112" s="878" t="s">
        <v>713</v>
      </c>
    </row>
    <row r="2113" spans="22:22">
      <c r="V2113" s="878" t="s">
        <v>713</v>
      </c>
    </row>
    <row r="2114" spans="22:22">
      <c r="V2114" s="878" t="s">
        <v>713</v>
      </c>
    </row>
    <row r="2115" spans="22:22">
      <c r="V2115" s="878" t="s">
        <v>713</v>
      </c>
    </row>
    <row r="2116" spans="22:22">
      <c r="V2116" s="878" t="s">
        <v>713</v>
      </c>
    </row>
    <row r="2117" spans="22:22">
      <c r="V2117" s="878" t="s">
        <v>713</v>
      </c>
    </row>
    <row r="2118" spans="22:22">
      <c r="V2118" s="878" t="s">
        <v>713</v>
      </c>
    </row>
    <row r="2119" spans="22:22">
      <c r="V2119" s="878" t="s">
        <v>713</v>
      </c>
    </row>
    <row r="2120" spans="22:22">
      <c r="V2120" s="878" t="s">
        <v>713</v>
      </c>
    </row>
    <row r="2121" spans="22:22">
      <c r="V2121" s="878" t="s">
        <v>713</v>
      </c>
    </row>
    <row r="2122" spans="22:22">
      <c r="V2122" s="878" t="s">
        <v>713</v>
      </c>
    </row>
    <row r="2123" spans="22:22">
      <c r="V2123" s="878" t="s">
        <v>713</v>
      </c>
    </row>
    <row r="2124" spans="22:22">
      <c r="V2124" s="878" t="s">
        <v>713</v>
      </c>
    </row>
    <row r="2125" spans="22:22">
      <c r="V2125" s="878" t="s">
        <v>713</v>
      </c>
    </row>
    <row r="2126" spans="22:22">
      <c r="V2126" s="878" t="s">
        <v>713</v>
      </c>
    </row>
    <row r="2127" spans="22:22">
      <c r="V2127" s="878" t="s">
        <v>713</v>
      </c>
    </row>
    <row r="2128" spans="22:22">
      <c r="V2128" s="878" t="s">
        <v>713</v>
      </c>
    </row>
    <row r="2129" spans="22:22">
      <c r="V2129" s="878" t="s">
        <v>713</v>
      </c>
    </row>
    <row r="2130" spans="22:22">
      <c r="V2130" s="878" t="s">
        <v>713</v>
      </c>
    </row>
    <row r="2131" spans="22:22">
      <c r="V2131" s="878" t="s">
        <v>713</v>
      </c>
    </row>
    <row r="2132" spans="22:22">
      <c r="V2132" s="878" t="s">
        <v>713</v>
      </c>
    </row>
    <row r="2133" spans="22:22">
      <c r="V2133" s="878" t="s">
        <v>713</v>
      </c>
    </row>
    <row r="2134" spans="22:22">
      <c r="V2134" s="878" t="s">
        <v>713</v>
      </c>
    </row>
    <row r="2135" spans="22:22">
      <c r="V2135" s="878" t="s">
        <v>713</v>
      </c>
    </row>
    <row r="2136" spans="22:22">
      <c r="V2136" s="878" t="s">
        <v>713</v>
      </c>
    </row>
    <row r="2137" spans="22:22">
      <c r="V2137" s="878" t="s">
        <v>713</v>
      </c>
    </row>
    <row r="2138" spans="22:22">
      <c r="V2138" s="878" t="s">
        <v>713</v>
      </c>
    </row>
    <row r="2139" spans="22:22">
      <c r="V2139" s="878" t="s">
        <v>713</v>
      </c>
    </row>
    <row r="2140" spans="22:22">
      <c r="V2140" s="878" t="s">
        <v>713</v>
      </c>
    </row>
    <row r="2141" spans="22:22">
      <c r="V2141" s="878" t="s">
        <v>713</v>
      </c>
    </row>
    <row r="2142" spans="22:22">
      <c r="V2142" s="878" t="s">
        <v>713</v>
      </c>
    </row>
    <row r="2143" spans="22:22">
      <c r="V2143" s="878" t="s">
        <v>713</v>
      </c>
    </row>
    <row r="2144" spans="22:22">
      <c r="V2144" s="878" t="s">
        <v>713</v>
      </c>
    </row>
    <row r="2145" spans="22:22">
      <c r="V2145" s="878" t="s">
        <v>713</v>
      </c>
    </row>
    <row r="2146" spans="22:22">
      <c r="V2146" s="878" t="s">
        <v>713</v>
      </c>
    </row>
    <row r="2147" spans="22:22">
      <c r="V2147" s="878" t="s">
        <v>713</v>
      </c>
    </row>
    <row r="2148" spans="22:22">
      <c r="V2148" s="878" t="s">
        <v>713</v>
      </c>
    </row>
    <row r="2149" spans="22:22">
      <c r="V2149" s="878" t="s">
        <v>713</v>
      </c>
    </row>
    <row r="2150" spans="22:22">
      <c r="V2150" s="878" t="s">
        <v>713</v>
      </c>
    </row>
    <row r="2151" spans="22:22">
      <c r="V2151" s="878" t="s">
        <v>713</v>
      </c>
    </row>
    <row r="2152" spans="22:22">
      <c r="V2152" s="878" t="s">
        <v>713</v>
      </c>
    </row>
    <row r="2153" spans="22:22">
      <c r="V2153" s="878" t="s">
        <v>713</v>
      </c>
    </row>
    <row r="2154" spans="22:22">
      <c r="V2154" s="878" t="s">
        <v>713</v>
      </c>
    </row>
    <row r="2155" spans="22:22">
      <c r="V2155" s="878" t="s">
        <v>713</v>
      </c>
    </row>
    <row r="2156" spans="22:22">
      <c r="V2156" s="878" t="s">
        <v>713</v>
      </c>
    </row>
    <row r="2157" spans="22:22">
      <c r="V2157" s="878" t="s">
        <v>713</v>
      </c>
    </row>
    <row r="2158" spans="22:22">
      <c r="V2158" s="878" t="s">
        <v>713</v>
      </c>
    </row>
    <row r="2159" spans="22:22">
      <c r="V2159" s="878" t="s">
        <v>713</v>
      </c>
    </row>
    <row r="2160" spans="22:22">
      <c r="V2160" s="878" t="s">
        <v>713</v>
      </c>
    </row>
    <row r="2161" spans="22:22">
      <c r="V2161" s="878" t="s">
        <v>713</v>
      </c>
    </row>
    <row r="2162" spans="22:22">
      <c r="V2162" s="878" t="s">
        <v>713</v>
      </c>
    </row>
    <row r="2163" spans="22:22">
      <c r="V2163" s="878" t="s">
        <v>713</v>
      </c>
    </row>
    <row r="2164" spans="22:22">
      <c r="V2164" s="878" t="s">
        <v>713</v>
      </c>
    </row>
    <row r="2165" spans="22:22">
      <c r="V2165" s="878" t="s">
        <v>713</v>
      </c>
    </row>
    <row r="2166" spans="22:22">
      <c r="V2166" s="878" t="s">
        <v>713</v>
      </c>
    </row>
    <row r="2167" spans="22:22">
      <c r="V2167" s="878" t="s">
        <v>713</v>
      </c>
    </row>
    <row r="2168" spans="22:22">
      <c r="V2168" s="878" t="s">
        <v>713</v>
      </c>
    </row>
    <row r="2169" spans="22:22">
      <c r="V2169" s="878" t="s">
        <v>713</v>
      </c>
    </row>
    <row r="2170" spans="22:22">
      <c r="V2170" s="878" t="s">
        <v>713</v>
      </c>
    </row>
    <row r="2171" spans="22:22">
      <c r="V2171" s="878" t="s">
        <v>713</v>
      </c>
    </row>
    <row r="2172" spans="22:22">
      <c r="V2172" s="878" t="s">
        <v>713</v>
      </c>
    </row>
    <row r="2173" spans="22:22">
      <c r="V2173" s="878" t="s">
        <v>713</v>
      </c>
    </row>
    <row r="2174" spans="22:22">
      <c r="V2174" s="878" t="s">
        <v>713</v>
      </c>
    </row>
    <row r="2175" spans="22:22">
      <c r="V2175" s="878" t="s">
        <v>713</v>
      </c>
    </row>
    <row r="2176" spans="22:22">
      <c r="V2176" s="878" t="s">
        <v>713</v>
      </c>
    </row>
    <row r="2177" spans="22:22">
      <c r="V2177" s="878" t="s">
        <v>713</v>
      </c>
    </row>
    <row r="2178" spans="22:22">
      <c r="V2178" s="878" t="s">
        <v>713</v>
      </c>
    </row>
    <row r="2179" spans="22:22">
      <c r="V2179" s="878" t="s">
        <v>713</v>
      </c>
    </row>
    <row r="2180" spans="22:22">
      <c r="V2180" s="878" t="s">
        <v>713</v>
      </c>
    </row>
    <row r="2181" spans="22:22">
      <c r="V2181" s="878" t="s">
        <v>713</v>
      </c>
    </row>
    <row r="2182" spans="22:22">
      <c r="V2182" s="878" t="s">
        <v>713</v>
      </c>
    </row>
    <row r="2183" spans="22:22">
      <c r="V2183" s="878" t="s">
        <v>713</v>
      </c>
    </row>
    <row r="2184" spans="22:22">
      <c r="V2184" s="878" t="s">
        <v>713</v>
      </c>
    </row>
    <row r="2185" spans="22:22">
      <c r="V2185" s="878" t="s">
        <v>713</v>
      </c>
    </row>
    <row r="2186" spans="22:22">
      <c r="V2186" s="878" t="s">
        <v>713</v>
      </c>
    </row>
    <row r="2187" spans="22:22">
      <c r="V2187" s="878" t="s">
        <v>713</v>
      </c>
    </row>
    <row r="2188" spans="22:22">
      <c r="V2188" s="878" t="s">
        <v>713</v>
      </c>
    </row>
    <row r="2189" spans="22:22">
      <c r="V2189" s="878" t="s">
        <v>713</v>
      </c>
    </row>
    <row r="2190" spans="22:22">
      <c r="V2190" s="878" t="s">
        <v>713</v>
      </c>
    </row>
    <row r="2191" spans="22:22">
      <c r="V2191" s="878" t="s">
        <v>713</v>
      </c>
    </row>
    <row r="2192" spans="22:22">
      <c r="V2192" s="878" t="s">
        <v>713</v>
      </c>
    </row>
    <row r="2193" spans="22:22">
      <c r="V2193" s="878" t="s">
        <v>713</v>
      </c>
    </row>
    <row r="2194" spans="22:22">
      <c r="V2194" s="878" t="s">
        <v>713</v>
      </c>
    </row>
    <row r="2195" spans="22:22">
      <c r="V2195" s="878" t="s">
        <v>713</v>
      </c>
    </row>
    <row r="2196" spans="22:22">
      <c r="V2196" s="878" t="s">
        <v>713</v>
      </c>
    </row>
    <row r="2197" spans="22:22">
      <c r="V2197" s="878" t="s">
        <v>713</v>
      </c>
    </row>
    <row r="2198" spans="22:22">
      <c r="V2198" s="878" t="s">
        <v>713</v>
      </c>
    </row>
    <row r="2199" spans="22:22">
      <c r="V2199" s="878" t="s">
        <v>713</v>
      </c>
    </row>
    <row r="2200" spans="22:22">
      <c r="V2200" s="878" t="s">
        <v>713</v>
      </c>
    </row>
    <row r="2201" spans="22:22">
      <c r="V2201" s="878" t="s">
        <v>713</v>
      </c>
    </row>
    <row r="2202" spans="22:22">
      <c r="V2202" s="878" t="s">
        <v>713</v>
      </c>
    </row>
    <row r="2203" spans="22:22">
      <c r="V2203" s="878" t="s">
        <v>713</v>
      </c>
    </row>
    <row r="2204" spans="22:22">
      <c r="V2204" s="878" t="s">
        <v>713</v>
      </c>
    </row>
    <row r="2205" spans="22:22">
      <c r="V2205" s="878" t="s">
        <v>713</v>
      </c>
    </row>
    <row r="2206" spans="22:22">
      <c r="V2206" s="878" t="s">
        <v>713</v>
      </c>
    </row>
    <row r="2207" spans="22:22">
      <c r="V2207" s="878" t="s">
        <v>713</v>
      </c>
    </row>
    <row r="2208" spans="22:22">
      <c r="V2208" s="878" t="s">
        <v>713</v>
      </c>
    </row>
    <row r="2209" spans="22:22">
      <c r="V2209" s="878" t="s">
        <v>713</v>
      </c>
    </row>
    <row r="2210" spans="22:22">
      <c r="V2210" s="878" t="s">
        <v>713</v>
      </c>
    </row>
    <row r="2211" spans="22:22">
      <c r="V2211" s="878" t="s">
        <v>713</v>
      </c>
    </row>
    <row r="2212" spans="22:22">
      <c r="V2212" s="878" t="s">
        <v>713</v>
      </c>
    </row>
    <row r="2213" spans="22:22">
      <c r="V2213" s="878" t="s">
        <v>713</v>
      </c>
    </row>
    <row r="2214" spans="22:22">
      <c r="V2214" s="878" t="s">
        <v>713</v>
      </c>
    </row>
    <row r="2215" spans="22:22">
      <c r="V2215" s="878" t="s">
        <v>713</v>
      </c>
    </row>
    <row r="2216" spans="22:22">
      <c r="V2216" s="878" t="s">
        <v>713</v>
      </c>
    </row>
    <row r="2217" spans="22:22">
      <c r="V2217" s="878" t="s">
        <v>713</v>
      </c>
    </row>
    <row r="2218" spans="22:22">
      <c r="V2218" s="878" t="s">
        <v>713</v>
      </c>
    </row>
    <row r="2219" spans="22:22">
      <c r="V2219" s="878" t="s">
        <v>713</v>
      </c>
    </row>
    <row r="2220" spans="22:22">
      <c r="V2220" s="878" t="s">
        <v>713</v>
      </c>
    </row>
    <row r="2221" spans="22:22">
      <c r="V2221" s="878" t="s">
        <v>713</v>
      </c>
    </row>
    <row r="2222" spans="22:22">
      <c r="V2222" s="878" t="s">
        <v>713</v>
      </c>
    </row>
    <row r="2223" spans="22:22">
      <c r="V2223" s="878" t="s">
        <v>713</v>
      </c>
    </row>
    <row r="2224" spans="22:22">
      <c r="V2224" s="878" t="s">
        <v>713</v>
      </c>
    </row>
    <row r="2225" spans="22:22">
      <c r="V2225" s="878" t="s">
        <v>713</v>
      </c>
    </row>
    <row r="2226" spans="22:22">
      <c r="V2226" s="878" t="s">
        <v>713</v>
      </c>
    </row>
    <row r="2227" spans="22:22">
      <c r="V2227" s="878" t="s">
        <v>713</v>
      </c>
    </row>
    <row r="2228" spans="22:22">
      <c r="V2228" s="878" t="s">
        <v>713</v>
      </c>
    </row>
    <row r="2229" spans="22:22">
      <c r="V2229" s="878" t="s">
        <v>713</v>
      </c>
    </row>
    <row r="2230" spans="22:22">
      <c r="V2230" s="878" t="s">
        <v>713</v>
      </c>
    </row>
    <row r="2231" spans="22:22">
      <c r="V2231" s="878" t="s">
        <v>713</v>
      </c>
    </row>
    <row r="2232" spans="22:22">
      <c r="V2232" s="878" t="s">
        <v>713</v>
      </c>
    </row>
    <row r="2233" spans="22:22">
      <c r="V2233" s="878" t="s">
        <v>713</v>
      </c>
    </row>
    <row r="2234" spans="22:22">
      <c r="V2234" s="878" t="s">
        <v>713</v>
      </c>
    </row>
    <row r="2235" spans="22:22">
      <c r="V2235" s="878" t="s">
        <v>713</v>
      </c>
    </row>
    <row r="2236" spans="22:22">
      <c r="V2236" s="878" t="s">
        <v>713</v>
      </c>
    </row>
    <row r="2237" spans="22:22">
      <c r="V2237" s="878" t="s">
        <v>713</v>
      </c>
    </row>
    <row r="2238" spans="22:22">
      <c r="V2238" s="878" t="s">
        <v>713</v>
      </c>
    </row>
    <row r="2239" spans="22:22">
      <c r="V2239" s="878" t="s">
        <v>713</v>
      </c>
    </row>
    <row r="2240" spans="22:22">
      <c r="V2240" s="878" t="s">
        <v>713</v>
      </c>
    </row>
    <row r="2241" spans="22:22">
      <c r="V2241" s="878" t="s">
        <v>713</v>
      </c>
    </row>
    <row r="2242" spans="22:22">
      <c r="V2242" s="878" t="s">
        <v>713</v>
      </c>
    </row>
    <row r="2243" spans="22:22">
      <c r="V2243" s="878" t="s">
        <v>713</v>
      </c>
    </row>
    <row r="2244" spans="22:22">
      <c r="V2244" s="878" t="s">
        <v>713</v>
      </c>
    </row>
    <row r="2245" spans="22:22">
      <c r="V2245" s="878" t="s">
        <v>713</v>
      </c>
    </row>
    <row r="2246" spans="22:22">
      <c r="V2246" s="878" t="s">
        <v>713</v>
      </c>
    </row>
    <row r="2247" spans="22:22">
      <c r="V2247" s="878" t="s">
        <v>713</v>
      </c>
    </row>
    <row r="2248" spans="22:22">
      <c r="V2248" s="878" t="s">
        <v>713</v>
      </c>
    </row>
    <row r="2249" spans="22:22">
      <c r="V2249" s="878" t="s">
        <v>713</v>
      </c>
    </row>
    <row r="2250" spans="22:22">
      <c r="V2250" s="878" t="s">
        <v>713</v>
      </c>
    </row>
    <row r="2251" spans="22:22">
      <c r="V2251" s="878" t="s">
        <v>713</v>
      </c>
    </row>
    <row r="2252" spans="22:22">
      <c r="V2252" s="878" t="s">
        <v>713</v>
      </c>
    </row>
    <row r="2253" spans="22:22">
      <c r="V2253" s="878" t="s">
        <v>713</v>
      </c>
    </row>
    <row r="2254" spans="22:22">
      <c r="V2254" s="878" t="s">
        <v>713</v>
      </c>
    </row>
    <row r="2255" spans="22:22">
      <c r="V2255" s="878" t="s">
        <v>713</v>
      </c>
    </row>
    <row r="2256" spans="22:22">
      <c r="V2256" s="878" t="s">
        <v>713</v>
      </c>
    </row>
    <row r="2257" spans="22:22">
      <c r="V2257" s="878" t="s">
        <v>713</v>
      </c>
    </row>
    <row r="2258" spans="22:22">
      <c r="V2258" s="878" t="s">
        <v>713</v>
      </c>
    </row>
    <row r="2259" spans="22:22">
      <c r="V2259" s="878" t="s">
        <v>713</v>
      </c>
    </row>
    <row r="2260" spans="22:22">
      <c r="V2260" s="878" t="s">
        <v>713</v>
      </c>
    </row>
    <row r="2261" spans="22:22">
      <c r="V2261" s="878" t="s">
        <v>713</v>
      </c>
    </row>
    <row r="2262" spans="22:22">
      <c r="V2262" s="878" t="s">
        <v>713</v>
      </c>
    </row>
    <row r="2263" spans="22:22">
      <c r="V2263" s="878" t="s">
        <v>713</v>
      </c>
    </row>
    <row r="2264" spans="22:22">
      <c r="V2264" s="878" t="s">
        <v>713</v>
      </c>
    </row>
    <row r="2265" spans="22:22">
      <c r="V2265" s="878" t="s">
        <v>713</v>
      </c>
    </row>
    <row r="2266" spans="22:22">
      <c r="V2266" s="878" t="s">
        <v>713</v>
      </c>
    </row>
    <row r="2267" spans="22:22">
      <c r="V2267" s="878" t="s">
        <v>713</v>
      </c>
    </row>
    <row r="2268" spans="22:22">
      <c r="V2268" s="878" t="s">
        <v>713</v>
      </c>
    </row>
    <row r="2269" spans="22:22">
      <c r="V2269" s="878" t="s">
        <v>713</v>
      </c>
    </row>
    <row r="2270" spans="22:22">
      <c r="V2270" s="878" t="s">
        <v>713</v>
      </c>
    </row>
    <row r="2271" spans="22:22">
      <c r="V2271" s="878" t="s">
        <v>713</v>
      </c>
    </row>
    <row r="2272" spans="22:22">
      <c r="V2272" s="878" t="s">
        <v>713</v>
      </c>
    </row>
    <row r="2273" spans="22:22">
      <c r="V2273" s="878" t="s">
        <v>713</v>
      </c>
    </row>
    <row r="2274" spans="22:22">
      <c r="V2274" s="878" t="s">
        <v>713</v>
      </c>
    </row>
    <row r="2275" spans="22:22">
      <c r="V2275" s="878" t="s">
        <v>713</v>
      </c>
    </row>
    <row r="2276" spans="22:22">
      <c r="V2276" s="878" t="s">
        <v>713</v>
      </c>
    </row>
    <row r="2277" spans="22:22">
      <c r="V2277" s="878" t="s">
        <v>713</v>
      </c>
    </row>
    <row r="2278" spans="22:22">
      <c r="V2278" s="878" t="s">
        <v>713</v>
      </c>
    </row>
    <row r="2279" spans="22:22">
      <c r="V2279" s="878" t="s">
        <v>713</v>
      </c>
    </row>
    <row r="2280" spans="22:22">
      <c r="V2280" s="878" t="s">
        <v>713</v>
      </c>
    </row>
    <row r="2281" spans="22:22">
      <c r="V2281" s="878" t="s">
        <v>713</v>
      </c>
    </row>
    <row r="2282" spans="22:22">
      <c r="V2282" s="878" t="s">
        <v>713</v>
      </c>
    </row>
    <row r="2283" spans="22:22">
      <c r="V2283" s="878" t="s">
        <v>713</v>
      </c>
    </row>
    <row r="2284" spans="22:22">
      <c r="V2284" s="878" t="s">
        <v>713</v>
      </c>
    </row>
    <row r="2285" spans="22:22">
      <c r="V2285" s="878" t="s">
        <v>713</v>
      </c>
    </row>
    <row r="2286" spans="22:22">
      <c r="V2286" s="878" t="s">
        <v>713</v>
      </c>
    </row>
    <row r="2287" spans="22:22">
      <c r="V2287" s="878" t="s">
        <v>713</v>
      </c>
    </row>
    <row r="2288" spans="22:22">
      <c r="V2288" s="878" t="s">
        <v>713</v>
      </c>
    </row>
    <row r="2289" spans="22:22">
      <c r="V2289" s="878" t="s">
        <v>713</v>
      </c>
    </row>
    <row r="2290" spans="22:22">
      <c r="V2290" s="878" t="s">
        <v>713</v>
      </c>
    </row>
    <row r="2291" spans="22:22">
      <c r="V2291" s="878" t="s">
        <v>713</v>
      </c>
    </row>
    <row r="2292" spans="22:22">
      <c r="V2292" s="878" t="s">
        <v>713</v>
      </c>
    </row>
    <row r="2293" spans="22:22">
      <c r="V2293" s="878" t="s">
        <v>713</v>
      </c>
    </row>
    <row r="2294" spans="22:22">
      <c r="V2294" s="878" t="s">
        <v>713</v>
      </c>
    </row>
    <row r="2295" spans="22:22">
      <c r="V2295" s="878" t="s">
        <v>713</v>
      </c>
    </row>
    <row r="2296" spans="22:22">
      <c r="V2296" s="878" t="s">
        <v>713</v>
      </c>
    </row>
    <row r="2297" spans="22:22">
      <c r="V2297" s="878" t="s">
        <v>713</v>
      </c>
    </row>
    <row r="2298" spans="22:22">
      <c r="V2298" s="878" t="s">
        <v>713</v>
      </c>
    </row>
    <row r="2299" spans="22:22">
      <c r="V2299" s="878" t="s">
        <v>713</v>
      </c>
    </row>
    <row r="2300" spans="22:22">
      <c r="V2300" s="878" t="s">
        <v>713</v>
      </c>
    </row>
    <row r="2301" spans="22:22">
      <c r="V2301" s="878" t="s">
        <v>713</v>
      </c>
    </row>
    <row r="2302" spans="22:22">
      <c r="V2302" s="878" t="s">
        <v>713</v>
      </c>
    </row>
    <row r="2303" spans="22:22">
      <c r="V2303" s="878" t="s">
        <v>713</v>
      </c>
    </row>
    <row r="2304" spans="22:22">
      <c r="V2304" s="878" t="s">
        <v>713</v>
      </c>
    </row>
    <row r="2305" spans="22:22">
      <c r="V2305" s="878" t="s">
        <v>713</v>
      </c>
    </row>
    <row r="2306" spans="22:22">
      <c r="V2306" s="878" t="s">
        <v>713</v>
      </c>
    </row>
    <row r="2307" spans="22:22">
      <c r="V2307" s="878" t="s">
        <v>713</v>
      </c>
    </row>
    <row r="2308" spans="22:22">
      <c r="V2308" s="878" t="s">
        <v>713</v>
      </c>
    </row>
    <row r="2309" spans="22:22">
      <c r="V2309" s="878" t="s">
        <v>713</v>
      </c>
    </row>
    <row r="2310" spans="22:22">
      <c r="V2310" s="878" t="s">
        <v>713</v>
      </c>
    </row>
    <row r="2311" spans="22:22">
      <c r="V2311" s="878" t="s">
        <v>713</v>
      </c>
    </row>
    <row r="2312" spans="22:22">
      <c r="V2312" s="878" t="s">
        <v>713</v>
      </c>
    </row>
    <row r="2313" spans="22:22">
      <c r="V2313" s="878" t="s">
        <v>713</v>
      </c>
    </row>
    <row r="2314" spans="22:22">
      <c r="V2314" s="878" t="s">
        <v>713</v>
      </c>
    </row>
    <row r="2315" spans="22:22">
      <c r="V2315" s="878" t="s">
        <v>713</v>
      </c>
    </row>
    <row r="2316" spans="22:22">
      <c r="V2316" s="878" t="s">
        <v>713</v>
      </c>
    </row>
    <row r="2317" spans="22:22">
      <c r="V2317" s="878" t="s">
        <v>713</v>
      </c>
    </row>
    <row r="2318" spans="22:22">
      <c r="V2318" s="878" t="s">
        <v>713</v>
      </c>
    </row>
    <row r="2319" spans="22:22">
      <c r="V2319" s="878" t="s">
        <v>713</v>
      </c>
    </row>
    <row r="2320" spans="22:22">
      <c r="V2320" s="878" t="s">
        <v>713</v>
      </c>
    </row>
    <row r="2321" spans="22:22">
      <c r="V2321" s="878" t="s">
        <v>713</v>
      </c>
    </row>
    <row r="2322" spans="22:22">
      <c r="V2322" s="878" t="s">
        <v>713</v>
      </c>
    </row>
    <row r="2323" spans="22:22">
      <c r="V2323" s="878" t="s">
        <v>713</v>
      </c>
    </row>
    <row r="2324" spans="22:22">
      <c r="V2324" s="878" t="s">
        <v>713</v>
      </c>
    </row>
    <row r="2325" spans="22:22">
      <c r="V2325" s="878" t="s">
        <v>713</v>
      </c>
    </row>
    <row r="2326" spans="22:22">
      <c r="V2326" s="878" t="s">
        <v>713</v>
      </c>
    </row>
    <row r="2327" spans="22:22">
      <c r="V2327" s="878" t="s">
        <v>713</v>
      </c>
    </row>
    <row r="2328" spans="22:22">
      <c r="V2328" s="878" t="s">
        <v>713</v>
      </c>
    </row>
    <row r="2329" spans="22:22">
      <c r="V2329" s="878" t="s">
        <v>713</v>
      </c>
    </row>
    <row r="2330" spans="22:22">
      <c r="V2330" s="878" t="s">
        <v>713</v>
      </c>
    </row>
    <row r="2331" spans="22:22">
      <c r="V2331" s="878" t="s">
        <v>713</v>
      </c>
    </row>
    <row r="2332" spans="22:22">
      <c r="V2332" s="878" t="s">
        <v>713</v>
      </c>
    </row>
    <row r="2333" spans="22:22">
      <c r="V2333" s="878" t="s">
        <v>713</v>
      </c>
    </row>
    <row r="2334" spans="22:22">
      <c r="V2334" s="878" t="s">
        <v>713</v>
      </c>
    </row>
    <row r="2335" spans="22:22">
      <c r="V2335" s="878" t="s">
        <v>713</v>
      </c>
    </row>
    <row r="2336" spans="22:22">
      <c r="V2336" s="878" t="s">
        <v>713</v>
      </c>
    </row>
    <row r="2337" spans="22:22">
      <c r="V2337" s="878" t="s">
        <v>713</v>
      </c>
    </row>
    <row r="2338" spans="22:22">
      <c r="V2338" s="878" t="s">
        <v>713</v>
      </c>
    </row>
    <row r="2339" spans="22:22">
      <c r="V2339" s="878" t="s">
        <v>713</v>
      </c>
    </row>
    <row r="2340" spans="22:22">
      <c r="V2340" s="878" t="s">
        <v>713</v>
      </c>
    </row>
    <row r="2341" spans="22:22">
      <c r="V2341" s="878" t="s">
        <v>713</v>
      </c>
    </row>
    <row r="2342" spans="22:22">
      <c r="V2342" s="878" t="s">
        <v>713</v>
      </c>
    </row>
    <row r="2343" spans="22:22">
      <c r="V2343" s="878" t="s">
        <v>713</v>
      </c>
    </row>
    <row r="2344" spans="22:22">
      <c r="V2344" s="878" t="s">
        <v>713</v>
      </c>
    </row>
    <row r="2345" spans="22:22">
      <c r="V2345" s="878" t="s">
        <v>713</v>
      </c>
    </row>
    <row r="2346" spans="22:22">
      <c r="V2346" s="878" t="s">
        <v>713</v>
      </c>
    </row>
    <row r="2347" spans="22:22">
      <c r="V2347" s="878" t="s">
        <v>713</v>
      </c>
    </row>
    <row r="2348" spans="22:22">
      <c r="V2348" s="878" t="s">
        <v>713</v>
      </c>
    </row>
    <row r="2349" spans="22:22">
      <c r="V2349" s="878" t="s">
        <v>713</v>
      </c>
    </row>
    <row r="2350" spans="22:22">
      <c r="V2350" s="878" t="s">
        <v>713</v>
      </c>
    </row>
    <row r="2351" spans="22:22">
      <c r="V2351" s="878" t="s">
        <v>713</v>
      </c>
    </row>
    <row r="2352" spans="22:22">
      <c r="V2352" s="878" t="s">
        <v>713</v>
      </c>
    </row>
    <row r="2353" spans="22:22">
      <c r="V2353" s="878" t="s">
        <v>713</v>
      </c>
    </row>
    <row r="2354" spans="22:22">
      <c r="V2354" s="878" t="s">
        <v>713</v>
      </c>
    </row>
    <row r="2355" spans="22:22">
      <c r="V2355" s="878" t="s">
        <v>713</v>
      </c>
    </row>
    <row r="2356" spans="22:22">
      <c r="V2356" s="878" t="s">
        <v>713</v>
      </c>
    </row>
    <row r="2357" spans="22:22">
      <c r="V2357" s="878" t="s">
        <v>713</v>
      </c>
    </row>
    <row r="2358" spans="22:22">
      <c r="V2358" s="878" t="s">
        <v>713</v>
      </c>
    </row>
    <row r="2359" spans="22:22">
      <c r="V2359" s="878" t="s">
        <v>713</v>
      </c>
    </row>
    <row r="2360" spans="22:22">
      <c r="V2360" s="878" t="s">
        <v>713</v>
      </c>
    </row>
    <row r="2361" spans="22:22">
      <c r="V2361" s="878" t="s">
        <v>713</v>
      </c>
    </row>
    <row r="2362" spans="22:22">
      <c r="V2362" s="878" t="s">
        <v>713</v>
      </c>
    </row>
    <row r="2363" spans="22:22">
      <c r="V2363" s="878" t="s">
        <v>713</v>
      </c>
    </row>
    <row r="2364" spans="22:22">
      <c r="V2364" s="878" t="s">
        <v>713</v>
      </c>
    </row>
    <row r="2365" spans="22:22">
      <c r="V2365" s="878" t="s">
        <v>713</v>
      </c>
    </row>
    <row r="2366" spans="22:22">
      <c r="V2366" s="878" t="s">
        <v>713</v>
      </c>
    </row>
    <row r="2367" spans="22:22">
      <c r="V2367" s="878" t="s">
        <v>713</v>
      </c>
    </row>
    <row r="2368" spans="22:22">
      <c r="V2368" s="878" t="s">
        <v>713</v>
      </c>
    </row>
    <row r="2369" spans="22:22">
      <c r="V2369" s="878" t="s">
        <v>713</v>
      </c>
    </row>
    <row r="2370" spans="22:22">
      <c r="V2370" s="878" t="s">
        <v>713</v>
      </c>
    </row>
    <row r="2371" spans="22:22">
      <c r="V2371" s="878" t="s">
        <v>713</v>
      </c>
    </row>
    <row r="2372" spans="22:22">
      <c r="V2372" s="878" t="s">
        <v>713</v>
      </c>
    </row>
    <row r="2373" spans="22:22">
      <c r="V2373" s="878" t="s">
        <v>713</v>
      </c>
    </row>
    <row r="2374" spans="22:22">
      <c r="V2374" s="878" t="s">
        <v>713</v>
      </c>
    </row>
    <row r="2375" spans="22:22">
      <c r="V2375" s="878" t="s">
        <v>713</v>
      </c>
    </row>
    <row r="2376" spans="22:22">
      <c r="V2376" s="878" t="s">
        <v>713</v>
      </c>
    </row>
    <row r="2377" spans="22:22">
      <c r="V2377" s="878" t="s">
        <v>713</v>
      </c>
    </row>
    <row r="2378" spans="22:22">
      <c r="V2378" s="878" t="s">
        <v>713</v>
      </c>
    </row>
    <row r="2379" spans="22:22">
      <c r="V2379" s="878" t="s">
        <v>713</v>
      </c>
    </row>
    <row r="2380" spans="22:22">
      <c r="V2380" s="878" t="s">
        <v>713</v>
      </c>
    </row>
    <row r="2381" spans="22:22">
      <c r="V2381" s="878" t="s">
        <v>713</v>
      </c>
    </row>
    <row r="2382" spans="22:22">
      <c r="V2382" s="878" t="s">
        <v>713</v>
      </c>
    </row>
    <row r="2383" spans="22:22">
      <c r="V2383" s="878" t="s">
        <v>713</v>
      </c>
    </row>
    <row r="2384" spans="22:22">
      <c r="V2384" s="878" t="s">
        <v>713</v>
      </c>
    </row>
    <row r="2385" spans="22:22">
      <c r="V2385" s="878" t="s">
        <v>713</v>
      </c>
    </row>
    <row r="2386" spans="22:22">
      <c r="V2386" s="878" t="s">
        <v>713</v>
      </c>
    </row>
    <row r="2387" spans="22:22">
      <c r="V2387" s="878" t="s">
        <v>713</v>
      </c>
    </row>
    <row r="2388" spans="22:22">
      <c r="V2388" s="878" t="s">
        <v>713</v>
      </c>
    </row>
    <row r="2389" spans="22:22">
      <c r="V2389" s="878" t="s">
        <v>713</v>
      </c>
    </row>
    <row r="2390" spans="22:22">
      <c r="V2390" s="878" t="s">
        <v>713</v>
      </c>
    </row>
    <row r="2391" spans="22:22">
      <c r="V2391" s="878" t="s">
        <v>713</v>
      </c>
    </row>
    <row r="2392" spans="22:22">
      <c r="V2392" s="878" t="s">
        <v>713</v>
      </c>
    </row>
    <row r="2393" spans="22:22">
      <c r="V2393" s="878" t="s">
        <v>713</v>
      </c>
    </row>
    <row r="2394" spans="22:22">
      <c r="V2394" s="878" t="s">
        <v>713</v>
      </c>
    </row>
    <row r="2395" spans="22:22">
      <c r="V2395" s="878" t="s">
        <v>713</v>
      </c>
    </row>
    <row r="2396" spans="22:22">
      <c r="V2396" s="878" t="s">
        <v>713</v>
      </c>
    </row>
    <row r="2397" spans="22:22">
      <c r="V2397" s="878" t="s">
        <v>713</v>
      </c>
    </row>
    <row r="2398" spans="22:22">
      <c r="V2398" s="878" t="s">
        <v>713</v>
      </c>
    </row>
    <row r="2399" spans="22:22">
      <c r="V2399" s="878" t="s">
        <v>713</v>
      </c>
    </row>
    <row r="2400" spans="22:22">
      <c r="V2400" s="878" t="s">
        <v>713</v>
      </c>
    </row>
    <row r="2401" spans="22:22">
      <c r="V2401" s="878" t="s">
        <v>713</v>
      </c>
    </row>
    <row r="2402" spans="22:22">
      <c r="V2402" s="878" t="s">
        <v>713</v>
      </c>
    </row>
    <row r="2403" spans="22:22">
      <c r="V2403" s="878" t="s">
        <v>713</v>
      </c>
    </row>
    <row r="2404" spans="22:22">
      <c r="V2404" s="878" t="s">
        <v>713</v>
      </c>
    </row>
    <row r="2405" spans="22:22">
      <c r="V2405" s="878" t="s">
        <v>713</v>
      </c>
    </row>
    <row r="2406" spans="22:22">
      <c r="V2406" s="878" t="s">
        <v>713</v>
      </c>
    </row>
    <row r="2407" spans="22:22">
      <c r="V2407" s="878" t="s">
        <v>713</v>
      </c>
    </row>
    <row r="2408" spans="22:22">
      <c r="V2408" s="878" t="s">
        <v>713</v>
      </c>
    </row>
    <row r="2409" spans="22:22">
      <c r="V2409" s="878" t="s">
        <v>713</v>
      </c>
    </row>
    <row r="2410" spans="22:22">
      <c r="V2410" s="878" t="s">
        <v>713</v>
      </c>
    </row>
    <row r="2411" spans="22:22">
      <c r="V2411" s="878" t="s">
        <v>713</v>
      </c>
    </row>
    <row r="2412" spans="22:22">
      <c r="V2412" s="878" t="s">
        <v>713</v>
      </c>
    </row>
    <row r="2413" spans="22:22">
      <c r="V2413" s="878" t="s">
        <v>713</v>
      </c>
    </row>
    <row r="2414" spans="22:22">
      <c r="V2414" s="878" t="s">
        <v>713</v>
      </c>
    </row>
    <row r="2415" spans="22:22">
      <c r="V2415" s="878" t="s">
        <v>713</v>
      </c>
    </row>
    <row r="2416" spans="22:22">
      <c r="V2416" s="878" t="s">
        <v>713</v>
      </c>
    </row>
    <row r="2417" spans="22:22">
      <c r="V2417" s="878" t="s">
        <v>713</v>
      </c>
    </row>
    <row r="2418" spans="22:22">
      <c r="V2418" s="878" t="s">
        <v>713</v>
      </c>
    </row>
    <row r="2419" spans="22:22">
      <c r="V2419" s="878" t="s">
        <v>713</v>
      </c>
    </row>
    <row r="2420" spans="22:22">
      <c r="V2420" s="878" t="s">
        <v>713</v>
      </c>
    </row>
    <row r="2421" spans="22:22">
      <c r="V2421" s="878" t="s">
        <v>713</v>
      </c>
    </row>
    <row r="2422" spans="22:22">
      <c r="V2422" s="878" t="s">
        <v>713</v>
      </c>
    </row>
    <row r="2423" spans="22:22">
      <c r="V2423" s="878" t="s">
        <v>713</v>
      </c>
    </row>
    <row r="2424" spans="22:22">
      <c r="V2424" s="878" t="s">
        <v>713</v>
      </c>
    </row>
    <row r="2425" spans="22:22">
      <c r="V2425" s="878" t="s">
        <v>713</v>
      </c>
    </row>
    <row r="2426" spans="22:22">
      <c r="V2426" s="878" t="s">
        <v>713</v>
      </c>
    </row>
    <row r="2427" spans="22:22">
      <c r="V2427" s="878" t="s">
        <v>713</v>
      </c>
    </row>
    <row r="2428" spans="22:22">
      <c r="V2428" s="878" t="s">
        <v>713</v>
      </c>
    </row>
    <row r="2429" spans="22:22">
      <c r="V2429" s="878" t="s">
        <v>713</v>
      </c>
    </row>
    <row r="2430" spans="22:22">
      <c r="V2430" s="878" t="s">
        <v>713</v>
      </c>
    </row>
    <row r="2431" spans="22:22">
      <c r="V2431" s="878" t="s">
        <v>713</v>
      </c>
    </row>
    <row r="2432" spans="22:22">
      <c r="V2432" s="878" t="s">
        <v>713</v>
      </c>
    </row>
    <row r="2433" spans="22:22">
      <c r="V2433" s="878" t="s">
        <v>713</v>
      </c>
    </row>
    <row r="2434" spans="22:22">
      <c r="V2434" s="878" t="s">
        <v>713</v>
      </c>
    </row>
    <row r="2435" spans="22:22">
      <c r="V2435" s="878" t="s">
        <v>713</v>
      </c>
    </row>
    <row r="2436" spans="22:22">
      <c r="V2436" s="878" t="s">
        <v>713</v>
      </c>
    </row>
    <row r="2437" spans="22:22">
      <c r="V2437" s="878" t="s">
        <v>713</v>
      </c>
    </row>
    <row r="2438" spans="22:22">
      <c r="V2438" s="878" t="s">
        <v>713</v>
      </c>
    </row>
    <row r="2439" spans="22:22">
      <c r="V2439" s="878" t="s">
        <v>713</v>
      </c>
    </row>
    <row r="2440" spans="22:22">
      <c r="V2440" s="878" t="s">
        <v>713</v>
      </c>
    </row>
    <row r="2441" spans="22:22">
      <c r="V2441" s="878" t="s">
        <v>713</v>
      </c>
    </row>
    <row r="2442" spans="22:22">
      <c r="V2442" s="878" t="s">
        <v>713</v>
      </c>
    </row>
    <row r="2443" spans="22:22">
      <c r="V2443" s="878" t="s">
        <v>713</v>
      </c>
    </row>
    <row r="2444" spans="22:22">
      <c r="V2444" s="878" t="s">
        <v>713</v>
      </c>
    </row>
    <row r="2445" spans="22:22">
      <c r="V2445" s="878" t="s">
        <v>713</v>
      </c>
    </row>
    <row r="2446" spans="22:22">
      <c r="V2446" s="878" t="s">
        <v>713</v>
      </c>
    </row>
    <row r="2447" spans="22:22">
      <c r="V2447" s="878" t="s">
        <v>713</v>
      </c>
    </row>
    <row r="2448" spans="22:22">
      <c r="V2448" s="878" t="s">
        <v>713</v>
      </c>
    </row>
    <row r="2449" spans="22:22">
      <c r="V2449" s="878" t="s">
        <v>713</v>
      </c>
    </row>
    <row r="2450" spans="22:22">
      <c r="V2450" s="878" t="s">
        <v>713</v>
      </c>
    </row>
    <row r="2451" spans="22:22">
      <c r="V2451" s="878" t="s">
        <v>713</v>
      </c>
    </row>
    <row r="2452" spans="22:22">
      <c r="V2452" s="878" t="s">
        <v>713</v>
      </c>
    </row>
    <row r="2453" spans="22:22">
      <c r="V2453" s="878" t="s">
        <v>713</v>
      </c>
    </row>
    <row r="2454" spans="22:22">
      <c r="V2454" s="878" t="s">
        <v>713</v>
      </c>
    </row>
    <row r="2455" spans="22:22">
      <c r="V2455" s="878" t="s">
        <v>713</v>
      </c>
    </row>
    <row r="2456" spans="22:22">
      <c r="V2456" s="878" t="s">
        <v>713</v>
      </c>
    </row>
    <row r="2457" spans="22:22">
      <c r="V2457" s="878" t="s">
        <v>713</v>
      </c>
    </row>
    <row r="2458" spans="22:22">
      <c r="V2458" s="878" t="s">
        <v>713</v>
      </c>
    </row>
    <row r="2459" spans="22:22">
      <c r="V2459" s="878" t="s">
        <v>713</v>
      </c>
    </row>
    <row r="2460" spans="22:22">
      <c r="V2460" s="878" t="s">
        <v>713</v>
      </c>
    </row>
    <row r="2461" spans="22:22">
      <c r="V2461" s="878" t="s">
        <v>713</v>
      </c>
    </row>
    <row r="2462" spans="22:22">
      <c r="V2462" s="878" t="s">
        <v>713</v>
      </c>
    </row>
    <row r="2463" spans="22:22">
      <c r="V2463" s="878" t="s">
        <v>713</v>
      </c>
    </row>
    <row r="2464" spans="22:22">
      <c r="V2464" s="878" t="s">
        <v>713</v>
      </c>
    </row>
    <row r="2465" spans="22:22">
      <c r="V2465" s="878" t="s">
        <v>713</v>
      </c>
    </row>
    <row r="2466" spans="22:22">
      <c r="V2466" s="878" t="s">
        <v>713</v>
      </c>
    </row>
    <row r="2467" spans="22:22">
      <c r="V2467" s="878" t="s">
        <v>713</v>
      </c>
    </row>
    <row r="2468" spans="22:22">
      <c r="V2468" s="878" t="s">
        <v>713</v>
      </c>
    </row>
    <row r="2469" spans="22:22">
      <c r="V2469" s="878" t="s">
        <v>713</v>
      </c>
    </row>
    <row r="2470" spans="22:22">
      <c r="V2470" s="878" t="s">
        <v>713</v>
      </c>
    </row>
    <row r="2471" spans="22:22">
      <c r="V2471" s="878" t="s">
        <v>713</v>
      </c>
    </row>
    <row r="2472" spans="22:22">
      <c r="V2472" s="878" t="s">
        <v>713</v>
      </c>
    </row>
    <row r="2473" spans="22:22">
      <c r="V2473" s="878" t="s">
        <v>713</v>
      </c>
    </row>
    <row r="2474" spans="22:22">
      <c r="V2474" s="878" t="s">
        <v>713</v>
      </c>
    </row>
    <row r="2475" spans="22:22">
      <c r="V2475" s="878" t="s">
        <v>713</v>
      </c>
    </row>
    <row r="2476" spans="22:22">
      <c r="V2476" s="878" t="s">
        <v>713</v>
      </c>
    </row>
    <row r="2477" spans="22:22">
      <c r="V2477" s="878" t="s">
        <v>713</v>
      </c>
    </row>
    <row r="2478" spans="22:22">
      <c r="V2478" s="878" t="s">
        <v>713</v>
      </c>
    </row>
    <row r="2479" spans="22:22">
      <c r="V2479" s="878" t="s">
        <v>713</v>
      </c>
    </row>
    <row r="2480" spans="22:22">
      <c r="V2480" s="878" t="s">
        <v>713</v>
      </c>
    </row>
    <row r="2481" spans="22:22">
      <c r="V2481" s="878" t="s">
        <v>713</v>
      </c>
    </row>
    <row r="2482" spans="22:22">
      <c r="V2482" s="878" t="s">
        <v>713</v>
      </c>
    </row>
    <row r="2483" spans="22:22">
      <c r="V2483" s="878" t="s">
        <v>713</v>
      </c>
    </row>
    <row r="2484" spans="22:22">
      <c r="V2484" s="878" t="s">
        <v>713</v>
      </c>
    </row>
    <row r="2485" spans="22:22">
      <c r="V2485" s="878" t="s">
        <v>713</v>
      </c>
    </row>
    <row r="2486" spans="22:22">
      <c r="V2486" s="878" t="s">
        <v>713</v>
      </c>
    </row>
    <row r="2487" spans="22:22">
      <c r="V2487" s="878" t="s">
        <v>713</v>
      </c>
    </row>
    <row r="2488" spans="22:22">
      <c r="V2488" s="878" t="s">
        <v>713</v>
      </c>
    </row>
    <row r="2489" spans="22:22">
      <c r="V2489" s="878" t="s">
        <v>713</v>
      </c>
    </row>
    <row r="2490" spans="22:22">
      <c r="V2490" s="878" t="s">
        <v>713</v>
      </c>
    </row>
    <row r="2491" spans="22:22">
      <c r="V2491" s="878" t="s">
        <v>713</v>
      </c>
    </row>
    <row r="2492" spans="22:22">
      <c r="V2492" s="878" t="s">
        <v>713</v>
      </c>
    </row>
    <row r="2493" spans="22:22">
      <c r="V2493" s="878" t="s">
        <v>713</v>
      </c>
    </row>
    <row r="2494" spans="22:22">
      <c r="V2494" s="878" t="s">
        <v>713</v>
      </c>
    </row>
    <row r="2495" spans="22:22">
      <c r="V2495" s="878" t="s">
        <v>713</v>
      </c>
    </row>
    <row r="2496" spans="22:22">
      <c r="V2496" s="878" t="s">
        <v>713</v>
      </c>
    </row>
    <row r="2497" spans="22:22">
      <c r="V2497" s="878" t="s">
        <v>713</v>
      </c>
    </row>
    <row r="2498" spans="22:22">
      <c r="V2498" s="878" t="s">
        <v>713</v>
      </c>
    </row>
    <row r="2499" spans="22:22">
      <c r="V2499" s="878" t="s">
        <v>713</v>
      </c>
    </row>
    <row r="2500" spans="22:22">
      <c r="V2500" s="878" t="s">
        <v>713</v>
      </c>
    </row>
    <row r="2501" spans="22:22">
      <c r="V2501" s="878" t="s">
        <v>713</v>
      </c>
    </row>
    <row r="2502" spans="22:22">
      <c r="V2502" s="878" t="s">
        <v>713</v>
      </c>
    </row>
    <row r="2503" spans="22:22">
      <c r="V2503" s="878" t="s">
        <v>713</v>
      </c>
    </row>
    <row r="2504" spans="22:22">
      <c r="V2504" s="878" t="s">
        <v>713</v>
      </c>
    </row>
    <row r="2505" spans="22:22">
      <c r="V2505" s="878" t="s">
        <v>713</v>
      </c>
    </row>
    <row r="2506" spans="22:22">
      <c r="V2506" s="878" t="s">
        <v>713</v>
      </c>
    </row>
    <row r="2507" spans="22:22">
      <c r="V2507" s="878" t="s">
        <v>713</v>
      </c>
    </row>
    <row r="2508" spans="22:22">
      <c r="V2508" s="878" t="s">
        <v>713</v>
      </c>
    </row>
    <row r="2509" spans="22:22">
      <c r="V2509" s="878" t="s">
        <v>713</v>
      </c>
    </row>
    <row r="2510" spans="22:22">
      <c r="V2510" s="878" t="s">
        <v>713</v>
      </c>
    </row>
    <row r="2511" spans="22:22">
      <c r="V2511" s="878" t="s">
        <v>713</v>
      </c>
    </row>
    <row r="2512" spans="22:22">
      <c r="V2512" s="878" t="s">
        <v>713</v>
      </c>
    </row>
    <row r="2513" spans="22:22">
      <c r="V2513" s="878" t="s">
        <v>713</v>
      </c>
    </row>
    <row r="2514" spans="22:22">
      <c r="V2514" s="878" t="s">
        <v>713</v>
      </c>
    </row>
    <row r="2515" spans="22:22">
      <c r="V2515" s="878" t="s">
        <v>713</v>
      </c>
    </row>
    <row r="2516" spans="22:22">
      <c r="V2516" s="878" t="s">
        <v>713</v>
      </c>
    </row>
    <row r="2517" spans="22:22">
      <c r="V2517" s="878" t="s">
        <v>713</v>
      </c>
    </row>
    <row r="2518" spans="22:22">
      <c r="V2518" s="878" t="s">
        <v>713</v>
      </c>
    </row>
    <row r="2519" spans="22:22">
      <c r="V2519" s="878" t="s">
        <v>713</v>
      </c>
    </row>
    <row r="2520" spans="22:22">
      <c r="V2520" s="878" t="s">
        <v>713</v>
      </c>
    </row>
    <row r="2521" spans="22:22">
      <c r="V2521" s="878" t="s">
        <v>713</v>
      </c>
    </row>
    <row r="2522" spans="22:22">
      <c r="V2522" s="878" t="s">
        <v>713</v>
      </c>
    </row>
    <row r="2523" spans="22:22">
      <c r="V2523" s="878" t="s">
        <v>713</v>
      </c>
    </row>
    <row r="2524" spans="22:22">
      <c r="V2524" s="878" t="s">
        <v>713</v>
      </c>
    </row>
    <row r="2525" spans="22:22">
      <c r="V2525" s="878" t="s">
        <v>713</v>
      </c>
    </row>
    <row r="2526" spans="22:22">
      <c r="V2526" s="878" t="s">
        <v>713</v>
      </c>
    </row>
    <row r="2527" spans="22:22">
      <c r="V2527" s="878" t="s">
        <v>713</v>
      </c>
    </row>
    <row r="2528" spans="22:22">
      <c r="V2528" s="878" t="s">
        <v>713</v>
      </c>
    </row>
    <row r="2529" spans="22:22">
      <c r="V2529" s="878" t="s">
        <v>713</v>
      </c>
    </row>
    <row r="2530" spans="22:22">
      <c r="V2530" s="878" t="s">
        <v>713</v>
      </c>
    </row>
    <row r="2531" spans="22:22">
      <c r="V2531" s="878" t="s">
        <v>713</v>
      </c>
    </row>
    <row r="2532" spans="22:22">
      <c r="V2532" s="878" t="s">
        <v>713</v>
      </c>
    </row>
    <row r="2533" spans="22:22">
      <c r="V2533" s="878" t="s">
        <v>713</v>
      </c>
    </row>
    <row r="2534" spans="22:22">
      <c r="V2534" s="878" t="s">
        <v>713</v>
      </c>
    </row>
    <row r="2535" spans="22:22">
      <c r="V2535" s="878" t="s">
        <v>713</v>
      </c>
    </row>
    <row r="2536" spans="22:22">
      <c r="V2536" s="878" t="s">
        <v>713</v>
      </c>
    </row>
    <row r="2537" spans="22:22">
      <c r="V2537" s="878" t="s">
        <v>713</v>
      </c>
    </row>
    <row r="2538" spans="22:22">
      <c r="V2538" s="878" t="s">
        <v>713</v>
      </c>
    </row>
    <row r="2539" spans="22:22">
      <c r="V2539" s="878" t="s">
        <v>713</v>
      </c>
    </row>
    <row r="2540" spans="22:22">
      <c r="V2540" s="878" t="s">
        <v>713</v>
      </c>
    </row>
    <row r="2541" spans="22:22">
      <c r="V2541" s="878" t="s">
        <v>713</v>
      </c>
    </row>
    <row r="2542" spans="22:22">
      <c r="V2542" s="878" t="s">
        <v>713</v>
      </c>
    </row>
    <row r="2543" spans="22:22">
      <c r="V2543" s="878" t="s">
        <v>713</v>
      </c>
    </row>
    <row r="2544" spans="22:22">
      <c r="V2544" s="878" t="s">
        <v>713</v>
      </c>
    </row>
    <row r="2545" spans="22:22">
      <c r="V2545" s="878" t="s">
        <v>713</v>
      </c>
    </row>
    <row r="2546" spans="22:22">
      <c r="V2546" s="878" t="s">
        <v>713</v>
      </c>
    </row>
    <row r="2547" spans="22:22">
      <c r="V2547" s="878" t="s">
        <v>713</v>
      </c>
    </row>
    <row r="2548" spans="22:22">
      <c r="V2548" s="878" t="s">
        <v>713</v>
      </c>
    </row>
    <row r="2549" spans="22:22">
      <c r="V2549" s="878" t="s">
        <v>713</v>
      </c>
    </row>
    <row r="2550" spans="22:22">
      <c r="V2550" s="878" t="s">
        <v>713</v>
      </c>
    </row>
    <row r="2551" spans="22:22">
      <c r="V2551" s="878" t="s">
        <v>713</v>
      </c>
    </row>
    <row r="2552" spans="22:22">
      <c r="V2552" s="878" t="s">
        <v>713</v>
      </c>
    </row>
    <row r="2553" spans="22:22">
      <c r="V2553" s="878" t="s">
        <v>713</v>
      </c>
    </row>
    <row r="2554" spans="22:22">
      <c r="V2554" s="878" t="s">
        <v>713</v>
      </c>
    </row>
    <row r="2555" spans="22:22">
      <c r="V2555" s="878" t="s">
        <v>713</v>
      </c>
    </row>
    <row r="2556" spans="22:22">
      <c r="V2556" s="878" t="s">
        <v>713</v>
      </c>
    </row>
    <row r="2557" spans="22:22">
      <c r="V2557" s="878" t="s">
        <v>713</v>
      </c>
    </row>
    <row r="2558" spans="22:22">
      <c r="V2558" s="878" t="s">
        <v>713</v>
      </c>
    </row>
    <row r="2559" spans="22:22">
      <c r="V2559" s="878" t="s">
        <v>713</v>
      </c>
    </row>
    <row r="2560" spans="22:22">
      <c r="V2560" s="878" t="s">
        <v>713</v>
      </c>
    </row>
    <row r="2561" spans="22:22">
      <c r="V2561" s="878" t="s">
        <v>713</v>
      </c>
    </row>
    <row r="2562" spans="22:22">
      <c r="V2562" s="878" t="s">
        <v>713</v>
      </c>
    </row>
    <row r="2563" spans="22:22">
      <c r="V2563" s="878" t="s">
        <v>713</v>
      </c>
    </row>
    <row r="2564" spans="22:22">
      <c r="V2564" s="878" t="s">
        <v>713</v>
      </c>
    </row>
    <row r="2565" spans="22:22">
      <c r="V2565" s="878" t="s">
        <v>713</v>
      </c>
    </row>
    <row r="2566" spans="22:22">
      <c r="V2566" s="878" t="s">
        <v>713</v>
      </c>
    </row>
    <row r="2567" spans="22:22">
      <c r="V2567" s="878" t="s">
        <v>713</v>
      </c>
    </row>
    <row r="2568" spans="22:22">
      <c r="V2568" s="878" t="s">
        <v>713</v>
      </c>
    </row>
    <row r="2569" spans="22:22">
      <c r="V2569" s="878" t="s">
        <v>713</v>
      </c>
    </row>
    <row r="2570" spans="22:22">
      <c r="V2570" s="878" t="s">
        <v>713</v>
      </c>
    </row>
    <row r="2571" spans="22:22">
      <c r="V2571" s="878" t="s">
        <v>713</v>
      </c>
    </row>
    <row r="2572" spans="22:22">
      <c r="V2572" s="878" t="s">
        <v>713</v>
      </c>
    </row>
    <row r="2573" spans="22:22">
      <c r="V2573" s="878" t="s">
        <v>713</v>
      </c>
    </row>
    <row r="2574" spans="22:22">
      <c r="V2574" s="878" t="s">
        <v>713</v>
      </c>
    </row>
    <row r="2575" spans="22:22">
      <c r="V2575" s="878" t="s">
        <v>713</v>
      </c>
    </row>
    <row r="2576" spans="22:22">
      <c r="V2576" s="878" t="s">
        <v>713</v>
      </c>
    </row>
    <row r="2577" spans="22:22">
      <c r="V2577" s="878" t="s">
        <v>713</v>
      </c>
    </row>
    <row r="2578" spans="22:22">
      <c r="V2578" s="878" t="s">
        <v>713</v>
      </c>
    </row>
    <row r="2579" spans="22:22">
      <c r="V2579" s="878" t="s">
        <v>713</v>
      </c>
    </row>
    <row r="2580" spans="22:22">
      <c r="V2580" s="878" t="s">
        <v>713</v>
      </c>
    </row>
    <row r="2581" spans="22:22">
      <c r="V2581" s="878" t="s">
        <v>713</v>
      </c>
    </row>
    <row r="2582" spans="22:22">
      <c r="V2582" s="878" t="s">
        <v>713</v>
      </c>
    </row>
    <row r="2583" spans="22:22">
      <c r="V2583" s="878" t="s">
        <v>713</v>
      </c>
    </row>
    <row r="2584" spans="22:22">
      <c r="V2584" s="878" t="s">
        <v>713</v>
      </c>
    </row>
    <row r="2585" spans="22:22">
      <c r="V2585" s="878" t="s">
        <v>713</v>
      </c>
    </row>
    <row r="2586" spans="22:22">
      <c r="V2586" s="878" t="s">
        <v>713</v>
      </c>
    </row>
    <row r="2587" spans="22:22">
      <c r="V2587" s="878" t="s">
        <v>713</v>
      </c>
    </row>
    <row r="2588" spans="22:22">
      <c r="V2588" s="878" t="s">
        <v>713</v>
      </c>
    </row>
    <row r="2589" spans="22:22">
      <c r="V2589" s="878" t="s">
        <v>713</v>
      </c>
    </row>
    <row r="2590" spans="22:22">
      <c r="V2590" s="878" t="s">
        <v>713</v>
      </c>
    </row>
    <row r="2591" spans="22:22">
      <c r="V2591" s="878" t="s">
        <v>713</v>
      </c>
    </row>
    <row r="2592" spans="22:22">
      <c r="V2592" s="878" t="s">
        <v>713</v>
      </c>
    </row>
    <row r="2593" spans="22:22">
      <c r="V2593" s="878" t="s">
        <v>713</v>
      </c>
    </row>
    <row r="2594" spans="22:22">
      <c r="V2594" s="878" t="s">
        <v>713</v>
      </c>
    </row>
    <row r="2595" spans="22:22">
      <c r="V2595" s="878" t="s">
        <v>713</v>
      </c>
    </row>
    <row r="2596" spans="22:22">
      <c r="V2596" s="878" t="s">
        <v>713</v>
      </c>
    </row>
    <row r="2597" spans="22:22">
      <c r="V2597" s="878" t="s">
        <v>713</v>
      </c>
    </row>
    <row r="2598" spans="22:22">
      <c r="V2598" s="878" t="s">
        <v>713</v>
      </c>
    </row>
    <row r="2599" spans="22:22">
      <c r="V2599" s="878" t="s">
        <v>713</v>
      </c>
    </row>
    <row r="2600" spans="22:22">
      <c r="V2600" s="878" t="s">
        <v>713</v>
      </c>
    </row>
    <row r="2601" spans="22:22">
      <c r="V2601" s="878" t="s">
        <v>713</v>
      </c>
    </row>
    <row r="2602" spans="22:22">
      <c r="V2602" s="878" t="s">
        <v>713</v>
      </c>
    </row>
    <row r="2603" spans="22:22">
      <c r="V2603" s="878" t="s">
        <v>713</v>
      </c>
    </row>
    <row r="2604" spans="22:22">
      <c r="V2604" s="878" t="s">
        <v>713</v>
      </c>
    </row>
    <row r="2605" spans="22:22">
      <c r="V2605" s="878" t="s">
        <v>713</v>
      </c>
    </row>
    <row r="2606" spans="22:22">
      <c r="V2606" s="878" t="s">
        <v>713</v>
      </c>
    </row>
    <row r="2607" spans="22:22">
      <c r="V2607" s="878" t="s">
        <v>713</v>
      </c>
    </row>
    <row r="2608" spans="22:22">
      <c r="V2608" s="878" t="s">
        <v>713</v>
      </c>
    </row>
    <row r="2609" spans="22:22">
      <c r="V2609" s="878" t="s">
        <v>713</v>
      </c>
    </row>
    <row r="2610" spans="22:22">
      <c r="V2610" s="878" t="s">
        <v>713</v>
      </c>
    </row>
    <row r="2611" spans="22:22">
      <c r="V2611" s="878" t="s">
        <v>713</v>
      </c>
    </row>
    <row r="2612" spans="22:22">
      <c r="V2612" s="878" t="s">
        <v>713</v>
      </c>
    </row>
    <row r="2613" spans="22:22">
      <c r="V2613" s="878" t="s">
        <v>713</v>
      </c>
    </row>
    <row r="2614" spans="22:22">
      <c r="V2614" s="878" t="s">
        <v>713</v>
      </c>
    </row>
    <row r="2615" spans="22:22">
      <c r="V2615" s="878" t="s">
        <v>713</v>
      </c>
    </row>
    <row r="2616" spans="22:22">
      <c r="V2616" s="878" t="s">
        <v>713</v>
      </c>
    </row>
    <row r="2617" spans="22:22">
      <c r="V2617" s="878" t="s">
        <v>713</v>
      </c>
    </row>
    <row r="2618" spans="22:22">
      <c r="V2618" s="878" t="s">
        <v>713</v>
      </c>
    </row>
    <row r="2619" spans="22:22">
      <c r="V2619" s="878" t="s">
        <v>713</v>
      </c>
    </row>
    <row r="2620" spans="22:22">
      <c r="V2620" s="878" t="s">
        <v>713</v>
      </c>
    </row>
    <row r="2621" spans="22:22">
      <c r="V2621" s="878" t="s">
        <v>713</v>
      </c>
    </row>
    <row r="2622" spans="22:22">
      <c r="V2622" s="878" t="s">
        <v>713</v>
      </c>
    </row>
    <row r="2623" spans="22:22">
      <c r="V2623" s="878" t="s">
        <v>713</v>
      </c>
    </row>
    <row r="2624" spans="22:22">
      <c r="V2624" s="878" t="s">
        <v>713</v>
      </c>
    </row>
    <row r="2625" spans="22:22">
      <c r="V2625" s="878" t="s">
        <v>713</v>
      </c>
    </row>
    <row r="2626" spans="22:22">
      <c r="V2626" s="878" t="s">
        <v>713</v>
      </c>
    </row>
    <row r="2627" spans="22:22">
      <c r="V2627" s="878" t="s">
        <v>713</v>
      </c>
    </row>
    <row r="2628" spans="22:22">
      <c r="V2628" s="878" t="s">
        <v>713</v>
      </c>
    </row>
    <row r="2629" spans="22:22">
      <c r="V2629" s="878" t="s">
        <v>713</v>
      </c>
    </row>
    <row r="2630" spans="22:22">
      <c r="V2630" s="878" t="s">
        <v>713</v>
      </c>
    </row>
    <row r="2631" spans="22:22">
      <c r="V2631" s="878" t="s">
        <v>713</v>
      </c>
    </row>
    <row r="2632" spans="22:22">
      <c r="V2632" s="878" t="s">
        <v>713</v>
      </c>
    </row>
    <row r="2633" spans="22:22">
      <c r="V2633" s="878" t="s">
        <v>713</v>
      </c>
    </row>
    <row r="2634" spans="22:22">
      <c r="V2634" s="878" t="s">
        <v>713</v>
      </c>
    </row>
    <row r="2635" spans="22:22">
      <c r="V2635" s="878" t="s">
        <v>713</v>
      </c>
    </row>
    <row r="2636" spans="22:22">
      <c r="V2636" s="878" t="s">
        <v>713</v>
      </c>
    </row>
    <row r="2637" spans="22:22">
      <c r="V2637" s="878" t="s">
        <v>713</v>
      </c>
    </row>
    <row r="2638" spans="22:22">
      <c r="V2638" s="878" t="s">
        <v>713</v>
      </c>
    </row>
    <row r="2639" spans="22:22">
      <c r="V2639" s="878" t="s">
        <v>713</v>
      </c>
    </row>
    <row r="2640" spans="22:22">
      <c r="V2640" s="878" t="s">
        <v>713</v>
      </c>
    </row>
    <row r="2641" spans="22:22">
      <c r="V2641" s="878" t="s">
        <v>713</v>
      </c>
    </row>
    <row r="2642" spans="22:22">
      <c r="V2642" s="878" t="s">
        <v>713</v>
      </c>
    </row>
    <row r="2643" spans="22:22">
      <c r="V2643" s="878" t="s">
        <v>713</v>
      </c>
    </row>
    <row r="2644" spans="22:22">
      <c r="V2644" s="878" t="s">
        <v>713</v>
      </c>
    </row>
    <row r="2645" spans="22:22">
      <c r="V2645" s="878" t="s">
        <v>713</v>
      </c>
    </row>
    <row r="2646" spans="22:22">
      <c r="V2646" s="878" t="s">
        <v>713</v>
      </c>
    </row>
    <row r="2647" spans="22:22">
      <c r="V2647" s="878" t="s">
        <v>713</v>
      </c>
    </row>
    <row r="2648" spans="22:22">
      <c r="V2648" s="878" t="s">
        <v>713</v>
      </c>
    </row>
    <row r="2649" spans="22:22">
      <c r="V2649" s="878" t="s">
        <v>713</v>
      </c>
    </row>
    <row r="2650" spans="22:22">
      <c r="V2650" s="878" t="s">
        <v>713</v>
      </c>
    </row>
    <row r="2651" spans="22:22">
      <c r="V2651" s="878" t="s">
        <v>713</v>
      </c>
    </row>
    <row r="2652" spans="22:22">
      <c r="V2652" s="878" t="s">
        <v>713</v>
      </c>
    </row>
    <row r="2653" spans="22:22">
      <c r="V2653" s="878" t="s">
        <v>713</v>
      </c>
    </row>
    <row r="2654" spans="22:22">
      <c r="V2654" s="878" t="s">
        <v>713</v>
      </c>
    </row>
    <row r="2655" spans="22:22">
      <c r="V2655" s="878" t="s">
        <v>713</v>
      </c>
    </row>
    <row r="2656" spans="22:22">
      <c r="V2656" s="878" t="s">
        <v>713</v>
      </c>
    </row>
    <row r="2657" spans="22:22">
      <c r="V2657" s="878" t="s">
        <v>713</v>
      </c>
    </row>
    <row r="2658" spans="22:22">
      <c r="V2658" s="878" t="s">
        <v>713</v>
      </c>
    </row>
    <row r="2659" spans="22:22">
      <c r="V2659" s="878" t="s">
        <v>713</v>
      </c>
    </row>
    <row r="2660" spans="22:22">
      <c r="V2660" s="878" t="s">
        <v>713</v>
      </c>
    </row>
    <row r="2661" spans="22:22">
      <c r="V2661" s="878" t="s">
        <v>713</v>
      </c>
    </row>
    <row r="2662" spans="22:22">
      <c r="V2662" s="878" t="s">
        <v>713</v>
      </c>
    </row>
    <row r="2663" spans="22:22">
      <c r="V2663" s="878" t="s">
        <v>713</v>
      </c>
    </row>
    <row r="2664" spans="22:22">
      <c r="V2664" s="878" t="s">
        <v>713</v>
      </c>
    </row>
    <row r="2665" spans="22:22">
      <c r="V2665" s="878" t="s">
        <v>713</v>
      </c>
    </row>
    <row r="2666" spans="22:22">
      <c r="V2666" s="878" t="s">
        <v>713</v>
      </c>
    </row>
    <row r="2667" spans="22:22">
      <c r="V2667" s="878" t="s">
        <v>713</v>
      </c>
    </row>
    <row r="2668" spans="22:22">
      <c r="V2668" s="878" t="s">
        <v>713</v>
      </c>
    </row>
    <row r="2669" spans="22:22">
      <c r="V2669" s="878" t="s">
        <v>713</v>
      </c>
    </row>
    <row r="2670" spans="22:22">
      <c r="V2670" s="878" t="s">
        <v>713</v>
      </c>
    </row>
    <row r="2671" spans="22:22">
      <c r="V2671" s="878" t="s">
        <v>713</v>
      </c>
    </row>
    <row r="2672" spans="22:22">
      <c r="V2672" s="878" t="s">
        <v>713</v>
      </c>
    </row>
    <row r="2673" spans="22:22">
      <c r="V2673" s="878" t="s">
        <v>713</v>
      </c>
    </row>
    <row r="2674" spans="22:22">
      <c r="V2674" s="878" t="s">
        <v>713</v>
      </c>
    </row>
    <row r="2675" spans="22:22">
      <c r="V2675" s="878" t="s">
        <v>713</v>
      </c>
    </row>
    <row r="2676" spans="22:22">
      <c r="V2676" s="878" t="s">
        <v>713</v>
      </c>
    </row>
    <row r="2677" spans="22:22">
      <c r="V2677" s="878" t="s">
        <v>713</v>
      </c>
    </row>
    <row r="2678" spans="22:22">
      <c r="V2678" s="878" t="s">
        <v>713</v>
      </c>
    </row>
    <row r="2679" spans="22:22">
      <c r="V2679" s="878" t="s">
        <v>713</v>
      </c>
    </row>
    <row r="2680" spans="22:22">
      <c r="V2680" s="878" t="s">
        <v>713</v>
      </c>
    </row>
    <row r="2681" spans="22:22">
      <c r="V2681" s="878" t="s">
        <v>713</v>
      </c>
    </row>
    <row r="2682" spans="22:22">
      <c r="V2682" s="878" t="s">
        <v>713</v>
      </c>
    </row>
    <row r="2683" spans="22:22">
      <c r="V2683" s="878" t="s">
        <v>713</v>
      </c>
    </row>
    <row r="2684" spans="22:22">
      <c r="V2684" s="878" t="s">
        <v>713</v>
      </c>
    </row>
    <row r="2685" spans="22:22">
      <c r="V2685" s="878" t="s">
        <v>713</v>
      </c>
    </row>
    <row r="2686" spans="22:22">
      <c r="V2686" s="878" t="s">
        <v>713</v>
      </c>
    </row>
    <row r="2687" spans="22:22">
      <c r="V2687" s="878" t="s">
        <v>713</v>
      </c>
    </row>
    <row r="2688" spans="22:22">
      <c r="V2688" s="878" t="s">
        <v>713</v>
      </c>
    </row>
    <row r="2689" spans="22:22">
      <c r="V2689" s="878" t="s">
        <v>713</v>
      </c>
    </row>
    <row r="2690" spans="22:22">
      <c r="V2690" s="878" t="s">
        <v>713</v>
      </c>
    </row>
    <row r="2691" spans="22:22">
      <c r="V2691" s="878" t="s">
        <v>713</v>
      </c>
    </row>
    <row r="2692" spans="22:22">
      <c r="V2692" s="878" t="s">
        <v>713</v>
      </c>
    </row>
    <row r="2693" spans="22:22">
      <c r="V2693" s="878" t="s">
        <v>713</v>
      </c>
    </row>
    <row r="2694" spans="22:22">
      <c r="V2694" s="878" t="s">
        <v>713</v>
      </c>
    </row>
    <row r="2695" spans="22:22">
      <c r="V2695" s="878" t="s">
        <v>713</v>
      </c>
    </row>
    <row r="2696" spans="22:22">
      <c r="V2696" s="878" t="s">
        <v>713</v>
      </c>
    </row>
    <row r="2697" spans="22:22">
      <c r="V2697" s="878" t="s">
        <v>713</v>
      </c>
    </row>
    <row r="2698" spans="22:22">
      <c r="V2698" s="878" t="s">
        <v>713</v>
      </c>
    </row>
    <row r="2699" spans="22:22">
      <c r="V2699" s="878" t="s">
        <v>713</v>
      </c>
    </row>
    <row r="2700" spans="22:22">
      <c r="V2700" s="878" t="s">
        <v>713</v>
      </c>
    </row>
    <row r="2701" spans="22:22">
      <c r="V2701" s="878" t="s">
        <v>713</v>
      </c>
    </row>
    <row r="2702" spans="22:22">
      <c r="V2702" s="878" t="s">
        <v>713</v>
      </c>
    </row>
    <row r="2703" spans="22:22">
      <c r="V2703" s="878" t="s">
        <v>713</v>
      </c>
    </row>
    <row r="2704" spans="22:22">
      <c r="V2704" s="878" t="s">
        <v>713</v>
      </c>
    </row>
    <row r="2705" spans="22:22">
      <c r="V2705" s="878" t="s">
        <v>713</v>
      </c>
    </row>
    <row r="2706" spans="22:22">
      <c r="V2706" s="878" t="s">
        <v>713</v>
      </c>
    </row>
    <row r="2707" spans="22:22">
      <c r="V2707" s="878" t="s">
        <v>713</v>
      </c>
    </row>
    <row r="2708" spans="22:22">
      <c r="V2708" s="878" t="s">
        <v>713</v>
      </c>
    </row>
    <row r="2709" spans="22:22">
      <c r="V2709" s="878" t="s">
        <v>713</v>
      </c>
    </row>
    <row r="2710" spans="22:22">
      <c r="V2710" s="878" t="s">
        <v>713</v>
      </c>
    </row>
    <row r="2711" spans="22:22">
      <c r="V2711" s="878" t="s">
        <v>713</v>
      </c>
    </row>
    <row r="2712" spans="22:22">
      <c r="V2712" s="878" t="s">
        <v>713</v>
      </c>
    </row>
    <row r="2713" spans="22:22">
      <c r="V2713" s="878" t="s">
        <v>713</v>
      </c>
    </row>
    <row r="2714" spans="22:22">
      <c r="V2714" s="878" t="s">
        <v>713</v>
      </c>
    </row>
    <row r="2715" spans="22:22">
      <c r="V2715" s="878" t="s">
        <v>713</v>
      </c>
    </row>
    <row r="2716" spans="22:22">
      <c r="V2716" s="878" t="s">
        <v>713</v>
      </c>
    </row>
    <row r="2717" spans="22:22">
      <c r="V2717" s="878" t="s">
        <v>713</v>
      </c>
    </row>
    <row r="2718" spans="22:22">
      <c r="V2718" s="878" t="s">
        <v>713</v>
      </c>
    </row>
    <row r="2719" spans="22:22">
      <c r="V2719" s="878" t="s">
        <v>713</v>
      </c>
    </row>
    <row r="2720" spans="22:22">
      <c r="V2720" s="878" t="s">
        <v>713</v>
      </c>
    </row>
    <row r="2721" spans="22:22">
      <c r="V2721" s="878" t="s">
        <v>713</v>
      </c>
    </row>
    <row r="2722" spans="22:22">
      <c r="V2722" s="878" t="s">
        <v>713</v>
      </c>
    </row>
    <row r="2723" spans="22:22">
      <c r="V2723" s="878" t="s">
        <v>713</v>
      </c>
    </row>
    <row r="2724" spans="22:22">
      <c r="V2724" s="878" t="s">
        <v>713</v>
      </c>
    </row>
    <row r="2725" spans="22:22">
      <c r="V2725" s="878" t="s">
        <v>713</v>
      </c>
    </row>
    <row r="2726" spans="22:22">
      <c r="V2726" s="878" t="s">
        <v>713</v>
      </c>
    </row>
    <row r="2727" spans="22:22">
      <c r="V2727" s="878" t="s">
        <v>713</v>
      </c>
    </row>
    <row r="2728" spans="22:22">
      <c r="V2728" s="878" t="s">
        <v>713</v>
      </c>
    </row>
    <row r="2729" spans="22:22">
      <c r="V2729" s="878" t="s">
        <v>713</v>
      </c>
    </row>
    <row r="2730" spans="22:22">
      <c r="V2730" s="878" t="s">
        <v>713</v>
      </c>
    </row>
    <row r="2731" spans="22:22">
      <c r="V2731" s="878" t="s">
        <v>713</v>
      </c>
    </row>
    <row r="2732" spans="22:22">
      <c r="V2732" s="878" t="s">
        <v>713</v>
      </c>
    </row>
    <row r="2733" spans="22:22">
      <c r="V2733" s="878" t="s">
        <v>713</v>
      </c>
    </row>
    <row r="2734" spans="22:22">
      <c r="V2734" s="878" t="s">
        <v>713</v>
      </c>
    </row>
    <row r="2735" spans="22:22">
      <c r="V2735" s="878" t="s">
        <v>713</v>
      </c>
    </row>
    <row r="2736" spans="22:22">
      <c r="V2736" s="878" t="s">
        <v>713</v>
      </c>
    </row>
    <row r="2737" spans="22:22">
      <c r="V2737" s="878" t="s">
        <v>713</v>
      </c>
    </row>
    <row r="2738" spans="22:22">
      <c r="V2738" s="878" t="s">
        <v>713</v>
      </c>
    </row>
    <row r="2739" spans="22:22">
      <c r="V2739" s="878" t="s">
        <v>713</v>
      </c>
    </row>
    <row r="2740" spans="22:22">
      <c r="V2740" s="878" t="s">
        <v>713</v>
      </c>
    </row>
    <row r="2741" spans="22:22">
      <c r="V2741" s="878" t="s">
        <v>713</v>
      </c>
    </row>
    <row r="2742" spans="22:22">
      <c r="V2742" s="878" t="s">
        <v>713</v>
      </c>
    </row>
    <row r="2743" spans="22:22">
      <c r="V2743" s="878" t="s">
        <v>713</v>
      </c>
    </row>
    <row r="2744" spans="22:22">
      <c r="V2744" s="878" t="s">
        <v>713</v>
      </c>
    </row>
    <row r="2745" spans="22:22">
      <c r="V2745" s="878" t="s">
        <v>713</v>
      </c>
    </row>
    <row r="2746" spans="22:22">
      <c r="V2746" s="878" t="s">
        <v>713</v>
      </c>
    </row>
    <row r="2747" spans="22:22">
      <c r="V2747" s="878" t="s">
        <v>713</v>
      </c>
    </row>
    <row r="2748" spans="22:22">
      <c r="V2748" s="878" t="s">
        <v>713</v>
      </c>
    </row>
    <row r="2749" spans="22:22">
      <c r="V2749" s="878" t="s">
        <v>713</v>
      </c>
    </row>
    <row r="2750" spans="22:22">
      <c r="V2750" s="878" t="s">
        <v>713</v>
      </c>
    </row>
    <row r="2751" spans="22:22">
      <c r="V2751" s="878" t="s">
        <v>713</v>
      </c>
    </row>
    <row r="2752" spans="22:22">
      <c r="V2752" s="878" t="s">
        <v>713</v>
      </c>
    </row>
    <row r="2753" spans="22:22">
      <c r="V2753" s="878" t="s">
        <v>713</v>
      </c>
    </row>
    <row r="2754" spans="22:22">
      <c r="V2754" s="878" t="s">
        <v>713</v>
      </c>
    </row>
    <row r="2755" spans="22:22">
      <c r="V2755" s="878" t="s">
        <v>713</v>
      </c>
    </row>
    <row r="2756" spans="22:22">
      <c r="V2756" s="878" t="s">
        <v>713</v>
      </c>
    </row>
    <row r="2757" spans="22:22">
      <c r="V2757" s="878" t="s">
        <v>713</v>
      </c>
    </row>
    <row r="2758" spans="22:22">
      <c r="V2758" s="878" t="s">
        <v>713</v>
      </c>
    </row>
    <row r="2759" spans="22:22">
      <c r="V2759" s="878" t="s">
        <v>713</v>
      </c>
    </row>
    <row r="2760" spans="22:22">
      <c r="V2760" s="878" t="s">
        <v>713</v>
      </c>
    </row>
    <row r="2761" spans="22:22">
      <c r="V2761" s="878" t="s">
        <v>713</v>
      </c>
    </row>
    <row r="2762" spans="22:22">
      <c r="V2762" s="878" t="s">
        <v>713</v>
      </c>
    </row>
    <row r="2763" spans="22:22">
      <c r="V2763" s="878" t="s">
        <v>713</v>
      </c>
    </row>
    <row r="2764" spans="22:22">
      <c r="V2764" s="878" t="s">
        <v>713</v>
      </c>
    </row>
    <row r="2765" spans="22:22">
      <c r="V2765" s="878" t="s">
        <v>713</v>
      </c>
    </row>
    <row r="2766" spans="22:22">
      <c r="V2766" s="878" t="s">
        <v>713</v>
      </c>
    </row>
    <row r="2767" spans="22:22">
      <c r="V2767" s="878" t="s">
        <v>713</v>
      </c>
    </row>
    <row r="2768" spans="22:22">
      <c r="V2768" s="878" t="s">
        <v>713</v>
      </c>
    </row>
    <row r="2769" spans="22:22">
      <c r="V2769" s="878" t="s">
        <v>713</v>
      </c>
    </row>
    <row r="2770" spans="22:22">
      <c r="V2770" s="878" t="s">
        <v>713</v>
      </c>
    </row>
    <row r="2771" spans="22:22">
      <c r="V2771" s="878" t="s">
        <v>713</v>
      </c>
    </row>
    <row r="2772" spans="22:22">
      <c r="V2772" s="878" t="s">
        <v>713</v>
      </c>
    </row>
    <row r="2773" spans="22:22">
      <c r="V2773" s="878" t="s">
        <v>713</v>
      </c>
    </row>
    <row r="2774" spans="22:22">
      <c r="V2774" s="878" t="s">
        <v>713</v>
      </c>
    </row>
    <row r="2775" spans="22:22">
      <c r="V2775" s="878" t="s">
        <v>713</v>
      </c>
    </row>
    <row r="2776" spans="22:22">
      <c r="V2776" s="878" t="s">
        <v>713</v>
      </c>
    </row>
    <row r="2777" spans="22:22">
      <c r="V2777" s="878" t="s">
        <v>713</v>
      </c>
    </row>
    <row r="2778" spans="22:22">
      <c r="V2778" s="878" t="s">
        <v>713</v>
      </c>
    </row>
    <row r="2779" spans="22:22">
      <c r="V2779" s="878" t="s">
        <v>713</v>
      </c>
    </row>
    <row r="2780" spans="22:22">
      <c r="V2780" s="878" t="s">
        <v>713</v>
      </c>
    </row>
    <row r="2781" spans="22:22">
      <c r="V2781" s="878" t="s">
        <v>713</v>
      </c>
    </row>
    <row r="2782" spans="22:22">
      <c r="V2782" s="878" t="s">
        <v>713</v>
      </c>
    </row>
    <row r="2783" spans="22:22">
      <c r="V2783" s="878" t="s">
        <v>713</v>
      </c>
    </row>
    <row r="2784" spans="22:22">
      <c r="V2784" s="878" t="s">
        <v>713</v>
      </c>
    </row>
    <row r="2785" spans="22:22">
      <c r="V2785" s="878" t="s">
        <v>713</v>
      </c>
    </row>
    <row r="2786" spans="22:22">
      <c r="V2786" s="878" t="s">
        <v>713</v>
      </c>
    </row>
    <row r="2787" spans="22:22">
      <c r="V2787" s="878" t="s">
        <v>713</v>
      </c>
    </row>
    <row r="2788" spans="22:22">
      <c r="V2788" s="878" t="s">
        <v>713</v>
      </c>
    </row>
    <row r="2789" spans="22:22">
      <c r="V2789" s="878" t="s">
        <v>713</v>
      </c>
    </row>
    <row r="2790" spans="22:22">
      <c r="V2790" s="878" t="s">
        <v>713</v>
      </c>
    </row>
    <row r="2791" spans="22:22">
      <c r="V2791" s="878" t="s">
        <v>713</v>
      </c>
    </row>
    <row r="2792" spans="22:22">
      <c r="V2792" s="878" t="s">
        <v>713</v>
      </c>
    </row>
    <row r="2793" spans="22:22">
      <c r="V2793" s="878" t="s">
        <v>713</v>
      </c>
    </row>
    <row r="2794" spans="22:22">
      <c r="V2794" s="878" t="s">
        <v>713</v>
      </c>
    </row>
    <row r="2795" spans="22:22">
      <c r="V2795" s="878" t="s">
        <v>713</v>
      </c>
    </row>
    <row r="2796" spans="22:22">
      <c r="V2796" s="878" t="s">
        <v>713</v>
      </c>
    </row>
    <row r="2797" spans="22:22">
      <c r="V2797" s="878" t="s">
        <v>713</v>
      </c>
    </row>
    <row r="2798" spans="22:22">
      <c r="V2798" s="878" t="s">
        <v>713</v>
      </c>
    </row>
    <row r="2799" spans="22:22">
      <c r="V2799" s="878" t="s">
        <v>713</v>
      </c>
    </row>
    <row r="2800" spans="22:22">
      <c r="V2800" s="878" t="s">
        <v>713</v>
      </c>
    </row>
    <row r="2801" spans="22:22">
      <c r="V2801" s="878" t="s">
        <v>713</v>
      </c>
    </row>
    <row r="2802" spans="22:22">
      <c r="V2802" s="878" t="s">
        <v>713</v>
      </c>
    </row>
    <row r="2803" spans="22:22">
      <c r="V2803" s="878" t="s">
        <v>713</v>
      </c>
    </row>
    <row r="2804" spans="22:22">
      <c r="V2804" s="878" t="s">
        <v>713</v>
      </c>
    </row>
    <row r="2805" spans="22:22">
      <c r="V2805" s="878" t="s">
        <v>713</v>
      </c>
    </row>
    <row r="2806" spans="22:22">
      <c r="V2806" s="878" t="s">
        <v>713</v>
      </c>
    </row>
    <row r="2807" spans="22:22">
      <c r="V2807" s="878" t="s">
        <v>713</v>
      </c>
    </row>
    <row r="2808" spans="22:22">
      <c r="V2808" s="878" t="s">
        <v>713</v>
      </c>
    </row>
    <row r="2809" spans="22:22">
      <c r="V2809" s="878" t="s">
        <v>713</v>
      </c>
    </row>
    <row r="2810" spans="22:22">
      <c r="V2810" s="878" t="s">
        <v>713</v>
      </c>
    </row>
    <row r="2811" spans="22:22">
      <c r="V2811" s="878" t="s">
        <v>713</v>
      </c>
    </row>
    <row r="2812" spans="22:22">
      <c r="V2812" s="878" t="s">
        <v>713</v>
      </c>
    </row>
    <row r="2813" spans="22:22">
      <c r="V2813" s="878" t="s">
        <v>713</v>
      </c>
    </row>
    <row r="2814" spans="22:22">
      <c r="V2814" s="878" t="s">
        <v>713</v>
      </c>
    </row>
    <row r="2815" spans="22:22">
      <c r="V2815" s="878" t="s">
        <v>713</v>
      </c>
    </row>
    <row r="2816" spans="22:22">
      <c r="V2816" s="878" t="s">
        <v>713</v>
      </c>
    </row>
    <row r="2817" spans="22:22">
      <c r="V2817" s="878" t="s">
        <v>713</v>
      </c>
    </row>
    <row r="2818" spans="22:22">
      <c r="V2818" s="878" t="s">
        <v>713</v>
      </c>
    </row>
    <row r="2819" spans="22:22">
      <c r="V2819" s="878" t="s">
        <v>713</v>
      </c>
    </row>
    <row r="2820" spans="22:22">
      <c r="V2820" s="878" t="s">
        <v>713</v>
      </c>
    </row>
    <row r="2821" spans="22:22">
      <c r="V2821" s="878" t="s">
        <v>713</v>
      </c>
    </row>
    <row r="2822" spans="22:22">
      <c r="V2822" s="878" t="s">
        <v>713</v>
      </c>
    </row>
    <row r="2823" spans="22:22">
      <c r="V2823" s="878" t="s">
        <v>713</v>
      </c>
    </row>
    <row r="2824" spans="22:22">
      <c r="V2824" s="878" t="s">
        <v>713</v>
      </c>
    </row>
    <row r="2825" spans="22:22">
      <c r="V2825" s="878" t="s">
        <v>713</v>
      </c>
    </row>
    <row r="2826" spans="22:22">
      <c r="V2826" s="878" t="s">
        <v>713</v>
      </c>
    </row>
    <row r="2827" spans="22:22">
      <c r="V2827" s="878" t="s">
        <v>713</v>
      </c>
    </row>
    <row r="2828" spans="22:22">
      <c r="V2828" s="878" t="s">
        <v>713</v>
      </c>
    </row>
    <row r="2829" spans="22:22">
      <c r="V2829" s="878" t="s">
        <v>713</v>
      </c>
    </row>
    <row r="2830" spans="22:22">
      <c r="V2830" s="878" t="s">
        <v>713</v>
      </c>
    </row>
    <row r="2831" spans="22:22">
      <c r="V2831" s="878" t="s">
        <v>713</v>
      </c>
    </row>
    <row r="2832" spans="22:22">
      <c r="V2832" s="878" t="s">
        <v>713</v>
      </c>
    </row>
    <row r="2833" spans="22:22">
      <c r="V2833" s="878" t="s">
        <v>713</v>
      </c>
    </row>
    <row r="2834" spans="22:22">
      <c r="V2834" s="878" t="s">
        <v>713</v>
      </c>
    </row>
    <row r="2835" spans="22:22">
      <c r="V2835" s="878" t="s">
        <v>713</v>
      </c>
    </row>
    <row r="2836" spans="22:22">
      <c r="V2836" s="878" t="s">
        <v>713</v>
      </c>
    </row>
    <row r="2837" spans="22:22">
      <c r="V2837" s="878" t="s">
        <v>713</v>
      </c>
    </row>
    <row r="2838" spans="22:22">
      <c r="V2838" s="878" t="s">
        <v>713</v>
      </c>
    </row>
    <row r="2839" spans="22:22">
      <c r="V2839" s="878" t="s">
        <v>713</v>
      </c>
    </row>
    <row r="2840" spans="22:22">
      <c r="V2840" s="878" t="s">
        <v>713</v>
      </c>
    </row>
    <row r="2841" spans="22:22">
      <c r="V2841" s="878" t="s">
        <v>713</v>
      </c>
    </row>
    <row r="2842" spans="22:22">
      <c r="V2842" s="878" t="s">
        <v>713</v>
      </c>
    </row>
    <row r="2843" spans="22:22">
      <c r="V2843" s="878" t="s">
        <v>713</v>
      </c>
    </row>
    <row r="2844" spans="22:22">
      <c r="V2844" s="878" t="s">
        <v>713</v>
      </c>
    </row>
    <row r="2845" spans="22:22">
      <c r="V2845" s="878" t="s">
        <v>713</v>
      </c>
    </row>
    <row r="2846" spans="22:22">
      <c r="V2846" s="878" t="s">
        <v>713</v>
      </c>
    </row>
    <row r="2847" spans="22:22">
      <c r="V2847" s="878" t="s">
        <v>713</v>
      </c>
    </row>
    <row r="2848" spans="22:22">
      <c r="V2848" s="878" t="s">
        <v>713</v>
      </c>
    </row>
    <row r="2849" spans="22:22">
      <c r="V2849" s="878" t="s">
        <v>713</v>
      </c>
    </row>
    <row r="2850" spans="22:22">
      <c r="V2850" s="878" t="s">
        <v>713</v>
      </c>
    </row>
    <row r="2851" spans="22:22">
      <c r="V2851" s="878" t="s">
        <v>713</v>
      </c>
    </row>
    <row r="2852" spans="22:22">
      <c r="V2852" s="878" t="s">
        <v>713</v>
      </c>
    </row>
    <row r="2853" spans="22:22">
      <c r="V2853" s="878" t="s">
        <v>713</v>
      </c>
    </row>
    <row r="2854" spans="22:22">
      <c r="V2854" s="878" t="s">
        <v>713</v>
      </c>
    </row>
    <row r="2855" spans="22:22">
      <c r="V2855" s="878" t="s">
        <v>713</v>
      </c>
    </row>
    <row r="2856" spans="22:22">
      <c r="V2856" s="878" t="s">
        <v>713</v>
      </c>
    </row>
    <row r="2857" spans="22:22">
      <c r="V2857" s="878" t="s">
        <v>713</v>
      </c>
    </row>
    <row r="2858" spans="22:22">
      <c r="V2858" s="878" t="s">
        <v>713</v>
      </c>
    </row>
    <row r="2859" spans="22:22">
      <c r="V2859" s="878" t="s">
        <v>713</v>
      </c>
    </row>
    <row r="2860" spans="22:22">
      <c r="V2860" s="878" t="s">
        <v>713</v>
      </c>
    </row>
    <row r="2861" spans="22:22">
      <c r="V2861" s="878" t="s">
        <v>713</v>
      </c>
    </row>
    <row r="2862" spans="22:22">
      <c r="V2862" s="878" t="s">
        <v>713</v>
      </c>
    </row>
    <row r="2863" spans="22:22">
      <c r="V2863" s="878" t="s">
        <v>713</v>
      </c>
    </row>
    <row r="2864" spans="22:22">
      <c r="V2864" s="878" t="s">
        <v>713</v>
      </c>
    </row>
    <row r="2865" spans="22:22">
      <c r="V2865" s="878" t="s">
        <v>713</v>
      </c>
    </row>
    <row r="2866" spans="22:22">
      <c r="V2866" s="878" t="s">
        <v>713</v>
      </c>
    </row>
    <row r="2867" spans="22:22">
      <c r="V2867" s="878" t="s">
        <v>713</v>
      </c>
    </row>
    <row r="2868" spans="22:22">
      <c r="V2868" s="878" t="s">
        <v>713</v>
      </c>
    </row>
    <row r="2869" spans="22:22">
      <c r="V2869" s="878" t="s">
        <v>713</v>
      </c>
    </row>
    <row r="2870" spans="22:22">
      <c r="V2870" s="878" t="s">
        <v>713</v>
      </c>
    </row>
    <row r="2871" spans="22:22">
      <c r="V2871" s="878" t="s">
        <v>713</v>
      </c>
    </row>
    <row r="2872" spans="22:22">
      <c r="V2872" s="878" t="s">
        <v>713</v>
      </c>
    </row>
    <row r="2873" spans="22:22">
      <c r="V2873" s="878" t="s">
        <v>713</v>
      </c>
    </row>
    <row r="2874" spans="22:22">
      <c r="V2874" s="878" t="s">
        <v>713</v>
      </c>
    </row>
    <row r="2875" spans="22:22">
      <c r="V2875" s="878" t="s">
        <v>713</v>
      </c>
    </row>
    <row r="2876" spans="22:22">
      <c r="V2876" s="878" t="s">
        <v>713</v>
      </c>
    </row>
    <row r="2877" spans="22:22">
      <c r="V2877" s="878" t="s">
        <v>713</v>
      </c>
    </row>
    <row r="2878" spans="22:22">
      <c r="V2878" s="878" t="s">
        <v>713</v>
      </c>
    </row>
    <row r="2879" spans="22:22">
      <c r="V2879" s="878" t="s">
        <v>713</v>
      </c>
    </row>
    <row r="2880" spans="22:22">
      <c r="V2880" s="878" t="s">
        <v>713</v>
      </c>
    </row>
    <row r="2881" spans="22:22">
      <c r="V2881" s="878" t="s">
        <v>713</v>
      </c>
    </row>
    <row r="2882" spans="22:22">
      <c r="V2882" s="878" t="s">
        <v>713</v>
      </c>
    </row>
    <row r="2883" spans="22:22">
      <c r="V2883" s="878" t="s">
        <v>713</v>
      </c>
    </row>
    <row r="2884" spans="22:22">
      <c r="V2884" s="878" t="s">
        <v>713</v>
      </c>
    </row>
    <row r="2885" spans="22:22">
      <c r="V2885" s="878" t="s">
        <v>713</v>
      </c>
    </row>
    <row r="2886" spans="22:22">
      <c r="V2886" s="878" t="s">
        <v>713</v>
      </c>
    </row>
    <row r="2887" spans="22:22">
      <c r="V2887" s="878" t="s">
        <v>713</v>
      </c>
    </row>
    <row r="2888" spans="22:22">
      <c r="V2888" s="878" t="s">
        <v>713</v>
      </c>
    </row>
    <row r="2889" spans="22:22">
      <c r="V2889" s="878" t="s">
        <v>713</v>
      </c>
    </row>
    <row r="2890" spans="22:22">
      <c r="V2890" s="878" t="s">
        <v>713</v>
      </c>
    </row>
    <row r="2891" spans="22:22">
      <c r="V2891" s="878" t="s">
        <v>713</v>
      </c>
    </row>
    <row r="2892" spans="22:22">
      <c r="V2892" s="878" t="s">
        <v>713</v>
      </c>
    </row>
    <row r="2893" spans="22:22">
      <c r="V2893" s="878" t="s">
        <v>713</v>
      </c>
    </row>
    <row r="2894" spans="22:22">
      <c r="V2894" s="878" t="s">
        <v>713</v>
      </c>
    </row>
    <row r="2895" spans="22:22">
      <c r="V2895" s="878" t="s">
        <v>713</v>
      </c>
    </row>
    <row r="2896" spans="22:22">
      <c r="V2896" s="878" t="s">
        <v>713</v>
      </c>
    </row>
    <row r="2897" spans="22:22">
      <c r="V2897" s="878" t="s">
        <v>713</v>
      </c>
    </row>
    <row r="2898" spans="22:22">
      <c r="V2898" s="878" t="s">
        <v>713</v>
      </c>
    </row>
    <row r="2899" spans="22:22">
      <c r="V2899" s="878" t="s">
        <v>713</v>
      </c>
    </row>
    <row r="2900" spans="22:22">
      <c r="V2900" s="878" t="s">
        <v>713</v>
      </c>
    </row>
    <row r="2901" spans="22:22">
      <c r="V2901" s="878" t="s">
        <v>713</v>
      </c>
    </row>
    <row r="2902" spans="22:22">
      <c r="V2902" s="878" t="s">
        <v>713</v>
      </c>
    </row>
    <row r="2903" spans="22:22">
      <c r="V2903" s="878" t="s">
        <v>713</v>
      </c>
    </row>
    <row r="2904" spans="22:22">
      <c r="V2904" s="878" t="s">
        <v>713</v>
      </c>
    </row>
    <row r="2905" spans="22:22">
      <c r="V2905" s="878" t="s">
        <v>713</v>
      </c>
    </row>
    <row r="2906" spans="22:22">
      <c r="V2906" s="878" t="s">
        <v>713</v>
      </c>
    </row>
    <row r="2907" spans="22:22">
      <c r="V2907" s="878" t="s">
        <v>713</v>
      </c>
    </row>
    <row r="2908" spans="22:22">
      <c r="V2908" s="878" t="s">
        <v>713</v>
      </c>
    </row>
    <row r="2909" spans="22:22">
      <c r="V2909" s="878" t="s">
        <v>713</v>
      </c>
    </row>
    <row r="2910" spans="22:22">
      <c r="V2910" s="878" t="s">
        <v>713</v>
      </c>
    </row>
    <row r="2911" spans="22:22">
      <c r="V2911" s="878" t="s">
        <v>713</v>
      </c>
    </row>
    <row r="2912" spans="22:22">
      <c r="V2912" s="878" t="s">
        <v>713</v>
      </c>
    </row>
    <row r="2913" spans="22:22">
      <c r="V2913" s="878" t="s">
        <v>713</v>
      </c>
    </row>
    <row r="2914" spans="22:22">
      <c r="V2914" s="878" t="s">
        <v>713</v>
      </c>
    </row>
    <row r="2915" spans="22:22">
      <c r="V2915" s="878" t="s">
        <v>713</v>
      </c>
    </row>
    <row r="2916" spans="22:22">
      <c r="V2916" s="878" t="s">
        <v>713</v>
      </c>
    </row>
    <row r="2917" spans="22:22">
      <c r="V2917" s="878" t="s">
        <v>713</v>
      </c>
    </row>
    <row r="2918" spans="22:22">
      <c r="V2918" s="878" t="s">
        <v>713</v>
      </c>
    </row>
    <row r="2919" spans="22:22">
      <c r="V2919" s="878" t="s">
        <v>713</v>
      </c>
    </row>
    <row r="2920" spans="22:22">
      <c r="V2920" s="878" t="s">
        <v>713</v>
      </c>
    </row>
    <row r="2921" spans="22:22">
      <c r="V2921" s="878" t="s">
        <v>713</v>
      </c>
    </row>
    <row r="2922" spans="22:22">
      <c r="V2922" s="878" t="s">
        <v>713</v>
      </c>
    </row>
    <row r="2923" spans="22:22">
      <c r="V2923" s="878" t="s">
        <v>713</v>
      </c>
    </row>
    <row r="2924" spans="22:22">
      <c r="V2924" s="878" t="s">
        <v>713</v>
      </c>
    </row>
    <row r="2925" spans="22:22">
      <c r="V2925" s="878" t="s">
        <v>713</v>
      </c>
    </row>
    <row r="2926" spans="22:22">
      <c r="V2926" s="878" t="s">
        <v>713</v>
      </c>
    </row>
    <row r="2927" spans="22:22">
      <c r="V2927" s="878" t="s">
        <v>713</v>
      </c>
    </row>
    <row r="2928" spans="22:22">
      <c r="V2928" s="878" t="s">
        <v>713</v>
      </c>
    </row>
    <row r="2929" spans="22:22">
      <c r="V2929" s="878" t="s">
        <v>713</v>
      </c>
    </row>
    <row r="2930" spans="22:22">
      <c r="V2930" s="878" t="s">
        <v>713</v>
      </c>
    </row>
    <row r="2931" spans="22:22">
      <c r="V2931" s="878" t="s">
        <v>713</v>
      </c>
    </row>
    <row r="2932" spans="22:22">
      <c r="V2932" s="878" t="s">
        <v>713</v>
      </c>
    </row>
    <row r="2933" spans="22:22">
      <c r="V2933" s="878" t="s">
        <v>713</v>
      </c>
    </row>
    <row r="2934" spans="22:22">
      <c r="V2934" s="878" t="s">
        <v>713</v>
      </c>
    </row>
    <row r="2935" spans="22:22">
      <c r="V2935" s="878" t="s">
        <v>713</v>
      </c>
    </row>
    <row r="2936" spans="22:22">
      <c r="V2936" s="878" t="s">
        <v>713</v>
      </c>
    </row>
    <row r="2937" spans="22:22">
      <c r="V2937" s="878" t="s">
        <v>713</v>
      </c>
    </row>
    <row r="2938" spans="22:22">
      <c r="V2938" s="878" t="s">
        <v>713</v>
      </c>
    </row>
    <row r="2939" spans="22:22">
      <c r="V2939" s="878" t="s">
        <v>713</v>
      </c>
    </row>
    <row r="2940" spans="22:22">
      <c r="V2940" s="878" t="s">
        <v>713</v>
      </c>
    </row>
    <row r="2941" spans="22:22">
      <c r="V2941" s="878" t="s">
        <v>713</v>
      </c>
    </row>
    <row r="2942" spans="22:22">
      <c r="V2942" s="878" t="s">
        <v>713</v>
      </c>
    </row>
    <row r="2943" spans="22:22">
      <c r="V2943" s="878" t="s">
        <v>713</v>
      </c>
    </row>
    <row r="2944" spans="22:22">
      <c r="V2944" s="878" t="s">
        <v>713</v>
      </c>
    </row>
    <row r="2945" spans="22:22">
      <c r="V2945" s="878" t="s">
        <v>713</v>
      </c>
    </row>
    <row r="2946" spans="22:22">
      <c r="V2946" s="878" t="s">
        <v>713</v>
      </c>
    </row>
    <row r="2947" spans="22:22">
      <c r="V2947" s="878" t="s">
        <v>713</v>
      </c>
    </row>
    <row r="2948" spans="22:22">
      <c r="V2948" s="878" t="s">
        <v>713</v>
      </c>
    </row>
    <row r="2949" spans="22:22">
      <c r="V2949" s="878" t="s">
        <v>713</v>
      </c>
    </row>
    <row r="2950" spans="22:22">
      <c r="V2950" s="878" t="s">
        <v>713</v>
      </c>
    </row>
    <row r="2951" spans="22:22">
      <c r="V2951" s="878" t="s">
        <v>713</v>
      </c>
    </row>
    <row r="2952" spans="22:22">
      <c r="V2952" s="878" t="s">
        <v>713</v>
      </c>
    </row>
    <row r="2953" spans="22:22">
      <c r="V2953" s="878" t="s">
        <v>713</v>
      </c>
    </row>
    <row r="2954" spans="22:22">
      <c r="V2954" s="878" t="s">
        <v>713</v>
      </c>
    </row>
    <row r="2955" spans="22:22">
      <c r="V2955" s="878" t="s">
        <v>713</v>
      </c>
    </row>
    <row r="2956" spans="22:22">
      <c r="V2956" s="878" t="s">
        <v>713</v>
      </c>
    </row>
    <row r="2957" spans="22:22">
      <c r="V2957" s="878" t="s">
        <v>713</v>
      </c>
    </row>
    <row r="2958" spans="22:22">
      <c r="V2958" s="878" t="s">
        <v>713</v>
      </c>
    </row>
    <row r="2959" spans="22:22">
      <c r="V2959" s="878" t="s">
        <v>713</v>
      </c>
    </row>
    <row r="2960" spans="22:22">
      <c r="V2960" s="878" t="s">
        <v>713</v>
      </c>
    </row>
    <row r="2961" spans="22:22">
      <c r="V2961" s="878" t="s">
        <v>713</v>
      </c>
    </row>
    <row r="2962" spans="22:22">
      <c r="V2962" s="878" t="s">
        <v>713</v>
      </c>
    </row>
    <row r="2963" spans="22:22">
      <c r="V2963" s="878" t="s">
        <v>713</v>
      </c>
    </row>
    <row r="2964" spans="22:22">
      <c r="V2964" s="878" t="s">
        <v>713</v>
      </c>
    </row>
    <row r="2965" spans="22:22">
      <c r="V2965" s="878" t="s">
        <v>713</v>
      </c>
    </row>
    <row r="2966" spans="22:22">
      <c r="V2966" s="878" t="s">
        <v>713</v>
      </c>
    </row>
    <row r="2967" spans="22:22">
      <c r="V2967" s="878" t="s">
        <v>713</v>
      </c>
    </row>
    <row r="2968" spans="22:22">
      <c r="V2968" s="878" t="s">
        <v>713</v>
      </c>
    </row>
    <row r="2969" spans="22:22">
      <c r="V2969" s="878" t="s">
        <v>713</v>
      </c>
    </row>
    <row r="2970" spans="22:22">
      <c r="V2970" s="878" t="s">
        <v>713</v>
      </c>
    </row>
    <row r="2971" spans="22:22">
      <c r="V2971" s="878" t="s">
        <v>713</v>
      </c>
    </row>
    <row r="2972" spans="22:22">
      <c r="V2972" s="878" t="s">
        <v>713</v>
      </c>
    </row>
    <row r="2973" spans="22:22">
      <c r="V2973" s="878" t="s">
        <v>713</v>
      </c>
    </row>
    <row r="2974" spans="22:22">
      <c r="V2974" s="878" t="s">
        <v>713</v>
      </c>
    </row>
    <row r="2975" spans="22:22">
      <c r="V2975" s="878" t="s">
        <v>713</v>
      </c>
    </row>
    <row r="2976" spans="22:22">
      <c r="V2976" s="878" t="s">
        <v>713</v>
      </c>
    </row>
    <row r="2977" spans="22:22">
      <c r="V2977" s="878" t="s">
        <v>713</v>
      </c>
    </row>
    <row r="2978" spans="22:22">
      <c r="V2978" s="878" t="s">
        <v>713</v>
      </c>
    </row>
    <row r="2979" spans="22:22">
      <c r="V2979" s="878" t="s">
        <v>713</v>
      </c>
    </row>
    <row r="2980" spans="22:22">
      <c r="V2980" s="878" t="s">
        <v>713</v>
      </c>
    </row>
    <row r="2981" spans="22:22">
      <c r="V2981" s="878" t="s">
        <v>713</v>
      </c>
    </row>
    <row r="2982" spans="22:22">
      <c r="V2982" s="878" t="s">
        <v>713</v>
      </c>
    </row>
    <row r="2983" spans="22:22">
      <c r="V2983" s="878" t="s">
        <v>713</v>
      </c>
    </row>
    <row r="2984" spans="22:22">
      <c r="V2984" s="878" t="s">
        <v>713</v>
      </c>
    </row>
    <row r="2985" spans="22:22">
      <c r="V2985" s="878" t="s">
        <v>713</v>
      </c>
    </row>
    <row r="2986" spans="22:22">
      <c r="V2986" s="878" t="s">
        <v>713</v>
      </c>
    </row>
    <row r="2987" spans="22:22">
      <c r="V2987" s="878" t="s">
        <v>713</v>
      </c>
    </row>
    <row r="2988" spans="22:22">
      <c r="V2988" s="878" t="s">
        <v>713</v>
      </c>
    </row>
    <row r="2989" spans="22:22">
      <c r="V2989" s="878" t="s">
        <v>713</v>
      </c>
    </row>
    <row r="2990" spans="22:22">
      <c r="V2990" s="878" t="s">
        <v>713</v>
      </c>
    </row>
    <row r="2991" spans="22:22">
      <c r="V2991" s="878" t="s">
        <v>713</v>
      </c>
    </row>
    <row r="2992" spans="22:22">
      <c r="V2992" s="878" t="s">
        <v>713</v>
      </c>
    </row>
    <row r="2993" spans="22:22">
      <c r="V2993" s="878" t="s">
        <v>713</v>
      </c>
    </row>
    <row r="2994" spans="22:22">
      <c r="V2994" s="878" t="s">
        <v>713</v>
      </c>
    </row>
    <row r="2995" spans="22:22">
      <c r="V2995" s="878" t="s">
        <v>713</v>
      </c>
    </row>
    <row r="2996" spans="22:22">
      <c r="V2996" s="878" t="s">
        <v>713</v>
      </c>
    </row>
    <row r="2997" spans="22:22">
      <c r="V2997" s="878" t="s">
        <v>713</v>
      </c>
    </row>
    <row r="2998" spans="22:22">
      <c r="V2998" s="878" t="s">
        <v>713</v>
      </c>
    </row>
    <row r="2999" spans="22:22">
      <c r="V2999" s="878" t="s">
        <v>713</v>
      </c>
    </row>
    <row r="3000" spans="22:22">
      <c r="V3000" s="878" t="s">
        <v>713</v>
      </c>
    </row>
    <row r="3001" spans="22:22">
      <c r="V3001" s="878" t="s">
        <v>713</v>
      </c>
    </row>
    <row r="3002" spans="22:22">
      <c r="V3002" s="878" t="s">
        <v>713</v>
      </c>
    </row>
    <row r="3003" spans="22:22">
      <c r="V3003" s="878" t="s">
        <v>713</v>
      </c>
    </row>
    <row r="3004" spans="22:22">
      <c r="V3004" s="878" t="s">
        <v>713</v>
      </c>
    </row>
    <row r="3005" spans="22:22">
      <c r="V3005" s="878" t="s">
        <v>713</v>
      </c>
    </row>
    <row r="3006" spans="22:22">
      <c r="V3006" s="878" t="s">
        <v>713</v>
      </c>
    </row>
    <row r="3007" spans="22:22">
      <c r="V3007" s="878" t="s">
        <v>713</v>
      </c>
    </row>
    <row r="3008" spans="22:22">
      <c r="V3008" s="878" t="s">
        <v>713</v>
      </c>
    </row>
    <row r="3009" spans="22:22">
      <c r="V3009" s="878" t="s">
        <v>713</v>
      </c>
    </row>
    <row r="3010" spans="22:22">
      <c r="V3010" s="878" t="s">
        <v>713</v>
      </c>
    </row>
    <row r="3011" spans="22:22">
      <c r="V3011" s="878" t="s">
        <v>713</v>
      </c>
    </row>
    <row r="3012" spans="22:22">
      <c r="V3012" s="878" t="s">
        <v>713</v>
      </c>
    </row>
    <row r="3013" spans="22:22">
      <c r="V3013" s="878" t="s">
        <v>713</v>
      </c>
    </row>
    <row r="3014" spans="22:22">
      <c r="V3014" s="878" t="s">
        <v>713</v>
      </c>
    </row>
    <row r="3015" spans="22:22">
      <c r="V3015" s="878" t="s">
        <v>713</v>
      </c>
    </row>
    <row r="3016" spans="22:22">
      <c r="V3016" s="878" t="s">
        <v>713</v>
      </c>
    </row>
    <row r="3017" spans="22:22">
      <c r="V3017" s="878" t="s">
        <v>713</v>
      </c>
    </row>
    <row r="3018" spans="22:22">
      <c r="V3018" s="878" t="s">
        <v>713</v>
      </c>
    </row>
    <row r="3019" spans="22:22">
      <c r="V3019" s="878" t="s">
        <v>713</v>
      </c>
    </row>
    <row r="3020" spans="22:22">
      <c r="V3020" s="878" t="s">
        <v>713</v>
      </c>
    </row>
    <row r="3021" spans="22:22">
      <c r="V3021" s="878" t="s">
        <v>713</v>
      </c>
    </row>
    <row r="3022" spans="22:22">
      <c r="V3022" s="878" t="s">
        <v>713</v>
      </c>
    </row>
    <row r="3023" spans="22:22">
      <c r="V3023" s="878" t="s">
        <v>713</v>
      </c>
    </row>
    <row r="3024" spans="22:22">
      <c r="V3024" s="878" t="s">
        <v>713</v>
      </c>
    </row>
    <row r="3025" spans="22:22">
      <c r="V3025" s="878" t="s">
        <v>713</v>
      </c>
    </row>
    <row r="3026" spans="22:22">
      <c r="V3026" s="878" t="s">
        <v>713</v>
      </c>
    </row>
    <row r="3027" spans="22:22">
      <c r="V3027" s="878" t="s">
        <v>713</v>
      </c>
    </row>
    <row r="3028" spans="22:22">
      <c r="V3028" s="878" t="s">
        <v>713</v>
      </c>
    </row>
    <row r="3029" spans="22:22">
      <c r="V3029" s="878" t="s">
        <v>713</v>
      </c>
    </row>
    <row r="3030" spans="22:22">
      <c r="V3030" s="878" t="s">
        <v>713</v>
      </c>
    </row>
    <row r="3031" spans="22:22">
      <c r="V3031" s="878" t="s">
        <v>713</v>
      </c>
    </row>
    <row r="3032" spans="22:22">
      <c r="V3032" s="878" t="s">
        <v>713</v>
      </c>
    </row>
    <row r="3033" spans="22:22">
      <c r="V3033" s="878" t="s">
        <v>713</v>
      </c>
    </row>
    <row r="3034" spans="22:22">
      <c r="V3034" s="878" t="s">
        <v>713</v>
      </c>
    </row>
    <row r="3035" spans="22:22">
      <c r="V3035" s="878" t="s">
        <v>713</v>
      </c>
    </row>
    <row r="3036" spans="22:22">
      <c r="V3036" s="878" t="s">
        <v>713</v>
      </c>
    </row>
    <row r="3037" spans="22:22">
      <c r="V3037" s="878" t="s">
        <v>713</v>
      </c>
    </row>
    <row r="3038" spans="22:22">
      <c r="V3038" s="878" t="s">
        <v>713</v>
      </c>
    </row>
    <row r="3039" spans="22:22">
      <c r="V3039" s="878" t="s">
        <v>713</v>
      </c>
    </row>
    <row r="3040" spans="22:22">
      <c r="V3040" s="878" t="s">
        <v>713</v>
      </c>
    </row>
    <row r="3041" spans="22:22">
      <c r="V3041" s="878" t="s">
        <v>713</v>
      </c>
    </row>
    <row r="3042" spans="22:22">
      <c r="V3042" s="878" t="s">
        <v>713</v>
      </c>
    </row>
    <row r="3043" spans="22:22">
      <c r="V3043" s="878" t="s">
        <v>713</v>
      </c>
    </row>
    <row r="3044" spans="22:22">
      <c r="V3044" s="878" t="s">
        <v>713</v>
      </c>
    </row>
    <row r="3045" spans="22:22">
      <c r="V3045" s="878" t="s">
        <v>713</v>
      </c>
    </row>
    <row r="3046" spans="22:22">
      <c r="V3046" s="878" t="s">
        <v>713</v>
      </c>
    </row>
    <row r="3047" spans="22:22">
      <c r="V3047" s="878" t="s">
        <v>713</v>
      </c>
    </row>
    <row r="3048" spans="22:22">
      <c r="V3048" s="878" t="s">
        <v>713</v>
      </c>
    </row>
    <row r="3049" spans="22:22">
      <c r="V3049" s="878" t="s">
        <v>713</v>
      </c>
    </row>
    <row r="3050" spans="22:22">
      <c r="V3050" s="878" t="s">
        <v>713</v>
      </c>
    </row>
    <row r="3051" spans="22:22">
      <c r="V3051" s="878" t="s">
        <v>713</v>
      </c>
    </row>
    <row r="3052" spans="22:22">
      <c r="V3052" s="878" t="s">
        <v>713</v>
      </c>
    </row>
    <row r="3053" spans="22:22">
      <c r="V3053" s="878" t="s">
        <v>713</v>
      </c>
    </row>
    <row r="3054" spans="22:22">
      <c r="V3054" s="878" t="s">
        <v>713</v>
      </c>
    </row>
    <row r="3055" spans="22:22">
      <c r="V3055" s="878" t="s">
        <v>713</v>
      </c>
    </row>
    <row r="3056" spans="22:22">
      <c r="V3056" s="878" t="s">
        <v>713</v>
      </c>
    </row>
    <row r="3057" spans="22:22">
      <c r="V3057" s="878" t="s">
        <v>713</v>
      </c>
    </row>
    <row r="3058" spans="22:22">
      <c r="V3058" s="878" t="s">
        <v>713</v>
      </c>
    </row>
    <row r="3059" spans="22:22">
      <c r="V3059" s="878" t="s">
        <v>713</v>
      </c>
    </row>
    <row r="3060" spans="22:22">
      <c r="V3060" s="878" t="s">
        <v>713</v>
      </c>
    </row>
    <row r="3061" spans="22:22">
      <c r="V3061" s="878" t="s">
        <v>713</v>
      </c>
    </row>
    <row r="3062" spans="22:22">
      <c r="V3062" s="878" t="s">
        <v>713</v>
      </c>
    </row>
    <row r="3063" spans="22:22">
      <c r="V3063" s="878" t="s">
        <v>713</v>
      </c>
    </row>
    <row r="3064" spans="22:22">
      <c r="V3064" s="878" t="s">
        <v>713</v>
      </c>
    </row>
    <row r="3065" spans="22:22">
      <c r="V3065" s="878" t="s">
        <v>713</v>
      </c>
    </row>
    <row r="3066" spans="22:22">
      <c r="V3066" s="878" t="s">
        <v>713</v>
      </c>
    </row>
    <row r="3067" spans="22:22">
      <c r="V3067" s="878" t="s">
        <v>713</v>
      </c>
    </row>
    <row r="3068" spans="22:22">
      <c r="V3068" s="878" t="s">
        <v>713</v>
      </c>
    </row>
    <row r="3069" spans="22:22">
      <c r="V3069" s="878" t="s">
        <v>713</v>
      </c>
    </row>
    <row r="3070" spans="22:22">
      <c r="V3070" s="878" t="s">
        <v>713</v>
      </c>
    </row>
    <row r="3071" spans="22:22">
      <c r="V3071" s="878" t="s">
        <v>713</v>
      </c>
    </row>
    <row r="3072" spans="22:22">
      <c r="V3072" s="878" t="s">
        <v>713</v>
      </c>
    </row>
    <row r="3073" spans="22:22">
      <c r="V3073" s="878" t="s">
        <v>713</v>
      </c>
    </row>
    <row r="3074" spans="22:22">
      <c r="V3074" s="878" t="s">
        <v>713</v>
      </c>
    </row>
    <row r="3075" spans="22:22">
      <c r="V3075" s="878" t="s">
        <v>713</v>
      </c>
    </row>
    <row r="3076" spans="22:22">
      <c r="V3076" s="878" t="s">
        <v>713</v>
      </c>
    </row>
    <row r="3077" spans="22:22">
      <c r="V3077" s="878" t="s">
        <v>713</v>
      </c>
    </row>
    <row r="3078" spans="22:22">
      <c r="V3078" s="878" t="s">
        <v>713</v>
      </c>
    </row>
    <row r="3079" spans="22:22">
      <c r="V3079" s="878" t="s">
        <v>713</v>
      </c>
    </row>
    <row r="3080" spans="22:22">
      <c r="V3080" s="878" t="s">
        <v>713</v>
      </c>
    </row>
    <row r="3081" spans="22:22">
      <c r="V3081" s="878" t="s">
        <v>713</v>
      </c>
    </row>
    <row r="3082" spans="22:22">
      <c r="V3082" s="878" t="s">
        <v>713</v>
      </c>
    </row>
    <row r="3083" spans="22:22">
      <c r="V3083" s="878" t="s">
        <v>713</v>
      </c>
    </row>
    <row r="3084" spans="22:22">
      <c r="V3084" s="878" t="s">
        <v>713</v>
      </c>
    </row>
    <row r="3085" spans="22:22">
      <c r="V3085" s="878" t="s">
        <v>713</v>
      </c>
    </row>
    <row r="3086" spans="22:22">
      <c r="V3086" s="878" t="s">
        <v>713</v>
      </c>
    </row>
    <row r="3087" spans="22:22">
      <c r="V3087" s="878" t="s">
        <v>713</v>
      </c>
    </row>
    <row r="3088" spans="22:22">
      <c r="V3088" s="878" t="s">
        <v>713</v>
      </c>
    </row>
    <row r="3089" spans="22:22">
      <c r="V3089" s="878" t="s">
        <v>713</v>
      </c>
    </row>
    <row r="3090" spans="22:22">
      <c r="V3090" s="878" t="s">
        <v>713</v>
      </c>
    </row>
    <row r="3091" spans="22:22">
      <c r="V3091" s="878" t="s">
        <v>713</v>
      </c>
    </row>
    <row r="3092" spans="22:22">
      <c r="V3092" s="878" t="s">
        <v>713</v>
      </c>
    </row>
    <row r="3093" spans="22:22">
      <c r="V3093" s="878" t="s">
        <v>713</v>
      </c>
    </row>
    <row r="3094" spans="22:22">
      <c r="V3094" s="878" t="s">
        <v>713</v>
      </c>
    </row>
    <row r="3095" spans="22:22">
      <c r="V3095" s="878" t="s">
        <v>713</v>
      </c>
    </row>
    <row r="3096" spans="22:22">
      <c r="V3096" s="878" t="s">
        <v>713</v>
      </c>
    </row>
    <row r="3097" spans="22:22">
      <c r="V3097" s="878" t="s">
        <v>713</v>
      </c>
    </row>
    <row r="3098" spans="22:22">
      <c r="V3098" s="878" t="s">
        <v>713</v>
      </c>
    </row>
    <row r="3099" spans="22:22">
      <c r="V3099" s="878" t="s">
        <v>713</v>
      </c>
    </row>
    <row r="3100" spans="22:22">
      <c r="V3100" s="878" t="s">
        <v>713</v>
      </c>
    </row>
    <row r="3101" spans="22:22">
      <c r="V3101" s="878" t="s">
        <v>713</v>
      </c>
    </row>
    <row r="3102" spans="22:22">
      <c r="V3102" s="878" t="s">
        <v>713</v>
      </c>
    </row>
    <row r="3103" spans="22:22">
      <c r="V3103" s="878" t="s">
        <v>713</v>
      </c>
    </row>
    <row r="3104" spans="22:22">
      <c r="V3104" s="878" t="s">
        <v>713</v>
      </c>
    </row>
    <row r="3105" spans="22:22">
      <c r="V3105" s="878" t="s">
        <v>713</v>
      </c>
    </row>
    <row r="3106" spans="22:22">
      <c r="V3106" s="878" t="s">
        <v>713</v>
      </c>
    </row>
    <row r="3107" spans="22:22">
      <c r="V3107" s="878" t="s">
        <v>713</v>
      </c>
    </row>
    <row r="3108" spans="22:22">
      <c r="V3108" s="878" t="s">
        <v>713</v>
      </c>
    </row>
    <row r="3109" spans="22:22">
      <c r="V3109" s="878" t="s">
        <v>713</v>
      </c>
    </row>
    <row r="3110" spans="22:22">
      <c r="V3110" s="878" t="s">
        <v>713</v>
      </c>
    </row>
    <row r="3111" spans="22:22">
      <c r="V3111" s="878" t="s">
        <v>713</v>
      </c>
    </row>
    <row r="3112" spans="22:22">
      <c r="V3112" s="878" t="s">
        <v>713</v>
      </c>
    </row>
    <row r="3113" spans="22:22">
      <c r="V3113" s="878" t="s">
        <v>713</v>
      </c>
    </row>
    <row r="3114" spans="22:22">
      <c r="V3114" s="878" t="s">
        <v>713</v>
      </c>
    </row>
    <row r="3115" spans="22:22">
      <c r="V3115" s="878" t="s">
        <v>713</v>
      </c>
    </row>
    <row r="3116" spans="22:22">
      <c r="V3116" s="878" t="s">
        <v>713</v>
      </c>
    </row>
    <row r="3117" spans="22:22">
      <c r="V3117" s="878" t="s">
        <v>713</v>
      </c>
    </row>
    <row r="3118" spans="22:22">
      <c r="V3118" s="878" t="s">
        <v>713</v>
      </c>
    </row>
    <row r="3119" spans="22:22">
      <c r="V3119" s="878" t="s">
        <v>713</v>
      </c>
    </row>
    <row r="3120" spans="22:22">
      <c r="V3120" s="878" t="s">
        <v>713</v>
      </c>
    </row>
    <row r="3121" spans="22:22">
      <c r="V3121" s="878" t="s">
        <v>713</v>
      </c>
    </row>
    <row r="3122" spans="22:22">
      <c r="V3122" s="878" t="s">
        <v>713</v>
      </c>
    </row>
    <row r="3123" spans="22:22">
      <c r="V3123" s="878" t="s">
        <v>713</v>
      </c>
    </row>
    <row r="3124" spans="22:22">
      <c r="V3124" s="878" t="s">
        <v>713</v>
      </c>
    </row>
    <row r="3125" spans="22:22">
      <c r="V3125" s="878" t="s">
        <v>713</v>
      </c>
    </row>
    <row r="3126" spans="22:22">
      <c r="V3126" s="878" t="s">
        <v>713</v>
      </c>
    </row>
    <row r="3127" spans="22:22">
      <c r="V3127" s="878" t="s">
        <v>713</v>
      </c>
    </row>
    <row r="3128" spans="22:22">
      <c r="V3128" s="878" t="s">
        <v>713</v>
      </c>
    </row>
    <row r="3129" spans="22:22">
      <c r="V3129" s="878" t="s">
        <v>713</v>
      </c>
    </row>
    <row r="3130" spans="22:22">
      <c r="V3130" s="878" t="s">
        <v>713</v>
      </c>
    </row>
    <row r="3131" spans="22:22">
      <c r="V3131" s="878" t="s">
        <v>713</v>
      </c>
    </row>
    <row r="3132" spans="22:22">
      <c r="V3132" s="878" t="s">
        <v>713</v>
      </c>
    </row>
    <row r="3133" spans="22:22">
      <c r="V3133" s="878" t="s">
        <v>713</v>
      </c>
    </row>
    <row r="3134" spans="22:22">
      <c r="V3134" s="878" t="s">
        <v>713</v>
      </c>
    </row>
    <row r="3135" spans="22:22">
      <c r="V3135" s="878" t="s">
        <v>713</v>
      </c>
    </row>
    <row r="3136" spans="22:22">
      <c r="V3136" s="878" t="s">
        <v>713</v>
      </c>
    </row>
    <row r="3137" spans="22:22">
      <c r="V3137" s="878" t="s">
        <v>713</v>
      </c>
    </row>
    <row r="3138" spans="22:22">
      <c r="V3138" s="878" t="s">
        <v>713</v>
      </c>
    </row>
    <row r="3139" spans="22:22">
      <c r="V3139" s="878" t="s">
        <v>713</v>
      </c>
    </row>
    <row r="3140" spans="22:22">
      <c r="V3140" s="878" t="s">
        <v>713</v>
      </c>
    </row>
    <row r="3141" spans="22:22">
      <c r="V3141" s="878" t="s">
        <v>713</v>
      </c>
    </row>
    <row r="3142" spans="22:22">
      <c r="V3142" s="878" t="s">
        <v>713</v>
      </c>
    </row>
    <row r="3143" spans="22:22">
      <c r="V3143" s="878" t="s">
        <v>713</v>
      </c>
    </row>
    <row r="3144" spans="22:22">
      <c r="V3144" s="878" t="s">
        <v>713</v>
      </c>
    </row>
    <row r="3145" spans="22:22">
      <c r="V3145" s="878" t="s">
        <v>713</v>
      </c>
    </row>
    <row r="3146" spans="22:22">
      <c r="V3146" s="878" t="s">
        <v>713</v>
      </c>
    </row>
    <row r="3147" spans="22:22">
      <c r="V3147" s="878" t="s">
        <v>713</v>
      </c>
    </row>
    <row r="3148" spans="22:22">
      <c r="V3148" s="878" t="s">
        <v>713</v>
      </c>
    </row>
    <row r="3149" spans="22:22">
      <c r="V3149" s="878" t="s">
        <v>713</v>
      </c>
    </row>
    <row r="3150" spans="22:22">
      <c r="V3150" s="878" t="s">
        <v>713</v>
      </c>
    </row>
    <row r="3151" spans="22:22">
      <c r="V3151" s="878" t="s">
        <v>713</v>
      </c>
    </row>
    <row r="3152" spans="22:22">
      <c r="V3152" s="878" t="s">
        <v>713</v>
      </c>
    </row>
    <row r="3153" spans="22:22">
      <c r="V3153" s="878" t="s">
        <v>713</v>
      </c>
    </row>
    <row r="3154" spans="22:22">
      <c r="V3154" s="878" t="s">
        <v>713</v>
      </c>
    </row>
    <row r="3155" spans="22:22">
      <c r="V3155" s="878" t="s">
        <v>713</v>
      </c>
    </row>
    <row r="3156" spans="22:22">
      <c r="V3156" s="878" t="s">
        <v>713</v>
      </c>
    </row>
    <row r="3157" spans="22:22">
      <c r="V3157" s="878" t="s">
        <v>713</v>
      </c>
    </row>
    <row r="3158" spans="22:22">
      <c r="V3158" s="878" t="s">
        <v>713</v>
      </c>
    </row>
    <row r="3159" spans="22:22">
      <c r="V3159" s="878" t="s">
        <v>713</v>
      </c>
    </row>
    <row r="3160" spans="22:22">
      <c r="V3160" s="878" t="s">
        <v>713</v>
      </c>
    </row>
    <row r="3161" spans="22:22">
      <c r="V3161" s="878" t="s">
        <v>713</v>
      </c>
    </row>
    <row r="3162" spans="22:22">
      <c r="V3162" s="878" t="s">
        <v>713</v>
      </c>
    </row>
    <row r="3163" spans="22:22">
      <c r="V3163" s="878" t="s">
        <v>713</v>
      </c>
    </row>
    <row r="3164" spans="22:22">
      <c r="V3164" s="878" t="s">
        <v>713</v>
      </c>
    </row>
    <row r="3165" spans="22:22">
      <c r="V3165" s="878" t="s">
        <v>713</v>
      </c>
    </row>
    <row r="3166" spans="22:22">
      <c r="V3166" s="878" t="s">
        <v>713</v>
      </c>
    </row>
    <row r="3167" spans="22:22">
      <c r="V3167" s="878" t="s">
        <v>713</v>
      </c>
    </row>
    <row r="3168" spans="22:22">
      <c r="V3168" s="878" t="s">
        <v>713</v>
      </c>
    </row>
    <row r="3169" spans="22:22">
      <c r="V3169" s="878" t="s">
        <v>713</v>
      </c>
    </row>
    <row r="3170" spans="22:22">
      <c r="V3170" s="878" t="s">
        <v>713</v>
      </c>
    </row>
    <row r="3171" spans="22:22">
      <c r="V3171" s="878" t="s">
        <v>713</v>
      </c>
    </row>
    <row r="3172" spans="22:22">
      <c r="V3172" s="878" t="s">
        <v>713</v>
      </c>
    </row>
    <row r="3173" spans="22:22">
      <c r="V3173" s="878" t="s">
        <v>713</v>
      </c>
    </row>
    <row r="3174" spans="22:22">
      <c r="V3174" s="878" t="s">
        <v>713</v>
      </c>
    </row>
    <row r="3175" spans="22:22">
      <c r="V3175" s="878" t="s">
        <v>713</v>
      </c>
    </row>
    <row r="3176" spans="22:22">
      <c r="V3176" s="878" t="s">
        <v>713</v>
      </c>
    </row>
    <row r="3177" spans="22:22">
      <c r="V3177" s="878" t="s">
        <v>713</v>
      </c>
    </row>
    <row r="3178" spans="22:22">
      <c r="V3178" s="878" t="s">
        <v>713</v>
      </c>
    </row>
    <row r="3179" spans="22:22">
      <c r="V3179" s="878" t="s">
        <v>713</v>
      </c>
    </row>
    <row r="3180" spans="22:22">
      <c r="V3180" s="878" t="s">
        <v>713</v>
      </c>
    </row>
    <row r="3181" spans="22:22">
      <c r="V3181" s="878" t="s">
        <v>713</v>
      </c>
    </row>
    <row r="3182" spans="22:22">
      <c r="V3182" s="878" t="s">
        <v>713</v>
      </c>
    </row>
    <row r="3183" spans="22:22">
      <c r="V3183" s="878" t="s">
        <v>713</v>
      </c>
    </row>
    <row r="3184" spans="22:22">
      <c r="V3184" s="878" t="s">
        <v>713</v>
      </c>
    </row>
    <row r="3185" spans="22:22">
      <c r="V3185" s="878" t="s">
        <v>713</v>
      </c>
    </row>
    <row r="3186" spans="22:22">
      <c r="V3186" s="878" t="s">
        <v>713</v>
      </c>
    </row>
    <row r="3187" spans="22:22">
      <c r="V3187" s="878" t="s">
        <v>713</v>
      </c>
    </row>
    <row r="3188" spans="22:22">
      <c r="V3188" s="878" t="s">
        <v>713</v>
      </c>
    </row>
    <row r="3189" spans="22:22">
      <c r="V3189" s="878" t="s">
        <v>713</v>
      </c>
    </row>
    <row r="3190" spans="22:22">
      <c r="V3190" s="878" t="s">
        <v>713</v>
      </c>
    </row>
    <row r="3191" spans="22:22">
      <c r="V3191" s="878" t="s">
        <v>713</v>
      </c>
    </row>
    <row r="3192" spans="22:22">
      <c r="V3192" s="878" t="s">
        <v>713</v>
      </c>
    </row>
    <row r="3193" spans="22:22">
      <c r="V3193" s="878" t="s">
        <v>713</v>
      </c>
    </row>
    <row r="3194" spans="22:22">
      <c r="V3194" s="878" t="s">
        <v>713</v>
      </c>
    </row>
    <row r="3195" spans="22:22">
      <c r="V3195" s="878" t="s">
        <v>713</v>
      </c>
    </row>
    <row r="3196" spans="22:22">
      <c r="V3196" s="878" t="s">
        <v>713</v>
      </c>
    </row>
    <row r="3197" spans="22:22">
      <c r="V3197" s="878" t="s">
        <v>713</v>
      </c>
    </row>
    <row r="3198" spans="22:22">
      <c r="V3198" s="878" t="s">
        <v>713</v>
      </c>
    </row>
    <row r="3199" spans="22:22">
      <c r="V3199" s="878" t="s">
        <v>713</v>
      </c>
    </row>
    <row r="3200" spans="22:22">
      <c r="V3200" s="878" t="s">
        <v>713</v>
      </c>
    </row>
    <row r="3201" spans="22:22">
      <c r="V3201" s="878" t="s">
        <v>713</v>
      </c>
    </row>
    <row r="3202" spans="22:22">
      <c r="V3202" s="878" t="s">
        <v>713</v>
      </c>
    </row>
    <row r="3203" spans="22:22">
      <c r="V3203" s="878" t="s">
        <v>713</v>
      </c>
    </row>
    <row r="3204" spans="22:22">
      <c r="V3204" s="878" t="s">
        <v>713</v>
      </c>
    </row>
    <row r="3205" spans="22:22">
      <c r="V3205" s="878" t="s">
        <v>713</v>
      </c>
    </row>
    <row r="3206" spans="22:22">
      <c r="V3206" s="878" t="s">
        <v>713</v>
      </c>
    </row>
    <row r="3207" spans="22:22">
      <c r="V3207" s="878" t="s">
        <v>713</v>
      </c>
    </row>
    <row r="3208" spans="22:22">
      <c r="V3208" s="878" t="s">
        <v>713</v>
      </c>
    </row>
    <row r="3209" spans="22:22">
      <c r="V3209" s="878" t="s">
        <v>713</v>
      </c>
    </row>
    <row r="3210" spans="22:22">
      <c r="V3210" s="878" t="s">
        <v>713</v>
      </c>
    </row>
    <row r="3211" spans="22:22">
      <c r="V3211" s="878" t="s">
        <v>713</v>
      </c>
    </row>
    <row r="3212" spans="22:22">
      <c r="V3212" s="878" t="s">
        <v>713</v>
      </c>
    </row>
    <row r="3213" spans="22:22">
      <c r="V3213" s="878" t="s">
        <v>713</v>
      </c>
    </row>
    <row r="3214" spans="22:22">
      <c r="V3214" s="878" t="s">
        <v>713</v>
      </c>
    </row>
    <row r="3215" spans="22:22">
      <c r="V3215" s="878" t="s">
        <v>713</v>
      </c>
    </row>
    <row r="3216" spans="22:22">
      <c r="V3216" s="878" t="s">
        <v>713</v>
      </c>
    </row>
    <row r="3217" spans="22:22">
      <c r="V3217" s="878" t="s">
        <v>713</v>
      </c>
    </row>
    <row r="3218" spans="22:22">
      <c r="V3218" s="878" t="s">
        <v>713</v>
      </c>
    </row>
    <row r="3219" spans="22:22">
      <c r="V3219" s="878" t="s">
        <v>713</v>
      </c>
    </row>
    <row r="3220" spans="22:22">
      <c r="V3220" s="878" t="s">
        <v>713</v>
      </c>
    </row>
    <row r="3221" spans="22:22">
      <c r="V3221" s="878" t="s">
        <v>713</v>
      </c>
    </row>
    <row r="3222" spans="22:22">
      <c r="V3222" s="878" t="s">
        <v>713</v>
      </c>
    </row>
    <row r="3223" spans="22:22">
      <c r="V3223" s="878" t="s">
        <v>713</v>
      </c>
    </row>
    <row r="3224" spans="22:22">
      <c r="V3224" s="878" t="s">
        <v>713</v>
      </c>
    </row>
    <row r="3225" spans="22:22">
      <c r="V3225" s="878" t="s">
        <v>713</v>
      </c>
    </row>
    <row r="3226" spans="22:22">
      <c r="V3226" s="878" t="s">
        <v>713</v>
      </c>
    </row>
    <row r="3227" spans="22:22">
      <c r="V3227" s="878" t="s">
        <v>713</v>
      </c>
    </row>
    <row r="3228" spans="22:22">
      <c r="V3228" s="878" t="s">
        <v>713</v>
      </c>
    </row>
    <row r="3229" spans="22:22">
      <c r="V3229" s="878" t="s">
        <v>713</v>
      </c>
    </row>
    <row r="3230" spans="22:22">
      <c r="V3230" s="878" t="s">
        <v>713</v>
      </c>
    </row>
    <row r="3231" spans="22:22">
      <c r="V3231" s="878" t="s">
        <v>713</v>
      </c>
    </row>
    <row r="3232" spans="22:22">
      <c r="V3232" s="878" t="s">
        <v>713</v>
      </c>
    </row>
    <row r="3233" spans="22:22">
      <c r="V3233" s="878" t="s">
        <v>713</v>
      </c>
    </row>
    <row r="3234" spans="22:22">
      <c r="V3234" s="878" t="s">
        <v>713</v>
      </c>
    </row>
    <row r="3235" spans="22:22">
      <c r="V3235" s="878" t="s">
        <v>713</v>
      </c>
    </row>
    <row r="3236" spans="22:22">
      <c r="V3236" s="878" t="s">
        <v>713</v>
      </c>
    </row>
    <row r="3237" spans="22:22">
      <c r="V3237" s="878" t="s">
        <v>713</v>
      </c>
    </row>
    <row r="3238" spans="22:22">
      <c r="V3238" s="878" t="s">
        <v>713</v>
      </c>
    </row>
    <row r="3239" spans="22:22">
      <c r="V3239" s="878" t="s">
        <v>713</v>
      </c>
    </row>
    <row r="3240" spans="22:22">
      <c r="V3240" s="878" t="s">
        <v>713</v>
      </c>
    </row>
    <row r="3241" spans="22:22">
      <c r="V3241" s="878" t="s">
        <v>713</v>
      </c>
    </row>
    <row r="3242" spans="22:22">
      <c r="V3242" s="878" t="s">
        <v>713</v>
      </c>
    </row>
    <row r="3243" spans="22:22">
      <c r="V3243" s="878" t="s">
        <v>713</v>
      </c>
    </row>
    <row r="3244" spans="22:22">
      <c r="V3244" s="878" t="s">
        <v>713</v>
      </c>
    </row>
    <row r="3245" spans="22:22">
      <c r="V3245" s="878" t="s">
        <v>713</v>
      </c>
    </row>
    <row r="3246" spans="22:22">
      <c r="V3246" s="878" t="s">
        <v>713</v>
      </c>
    </row>
    <row r="3247" spans="22:22">
      <c r="V3247" s="878" t="s">
        <v>713</v>
      </c>
    </row>
    <row r="3248" spans="22:22">
      <c r="V3248" s="878" t="s">
        <v>713</v>
      </c>
    </row>
    <row r="3249" spans="22:22">
      <c r="V3249" s="878" t="s">
        <v>713</v>
      </c>
    </row>
    <row r="3250" spans="22:22">
      <c r="V3250" s="878" t="s">
        <v>713</v>
      </c>
    </row>
    <row r="3251" spans="22:22">
      <c r="V3251" s="878" t="s">
        <v>713</v>
      </c>
    </row>
    <row r="3252" spans="22:22">
      <c r="V3252" s="878" t="s">
        <v>713</v>
      </c>
    </row>
    <row r="3253" spans="22:22">
      <c r="V3253" s="878" t="s">
        <v>713</v>
      </c>
    </row>
    <row r="3254" spans="22:22">
      <c r="V3254" s="878" t="s">
        <v>713</v>
      </c>
    </row>
    <row r="3255" spans="22:22">
      <c r="V3255" s="878" t="s">
        <v>713</v>
      </c>
    </row>
    <row r="3256" spans="22:22">
      <c r="V3256" s="878" t="s">
        <v>713</v>
      </c>
    </row>
    <row r="3257" spans="22:22">
      <c r="V3257" s="878" t="s">
        <v>713</v>
      </c>
    </row>
    <row r="3258" spans="22:22">
      <c r="V3258" s="878" t="s">
        <v>713</v>
      </c>
    </row>
    <row r="3259" spans="22:22">
      <c r="V3259" s="878" t="s">
        <v>713</v>
      </c>
    </row>
    <row r="3260" spans="22:22">
      <c r="V3260" s="878" t="s">
        <v>713</v>
      </c>
    </row>
    <row r="3261" spans="22:22">
      <c r="V3261" s="878" t="s">
        <v>713</v>
      </c>
    </row>
    <row r="3262" spans="22:22">
      <c r="V3262" s="878" t="s">
        <v>713</v>
      </c>
    </row>
    <row r="3263" spans="22:22">
      <c r="V3263" s="878" t="s">
        <v>713</v>
      </c>
    </row>
    <row r="3264" spans="22:22">
      <c r="V3264" s="878" t="s">
        <v>713</v>
      </c>
    </row>
    <row r="3265" spans="22:22">
      <c r="V3265" s="878" t="s">
        <v>713</v>
      </c>
    </row>
    <row r="3266" spans="22:22">
      <c r="V3266" s="878" t="s">
        <v>713</v>
      </c>
    </row>
    <row r="3267" spans="22:22">
      <c r="V3267" s="878" t="s">
        <v>713</v>
      </c>
    </row>
    <row r="3268" spans="22:22">
      <c r="V3268" s="878" t="s">
        <v>713</v>
      </c>
    </row>
    <row r="3269" spans="22:22">
      <c r="V3269" s="878" t="s">
        <v>713</v>
      </c>
    </row>
    <row r="3270" spans="22:22">
      <c r="V3270" s="878" t="s">
        <v>713</v>
      </c>
    </row>
    <row r="3271" spans="22:22">
      <c r="V3271" s="878" t="s">
        <v>713</v>
      </c>
    </row>
    <row r="3272" spans="22:22">
      <c r="V3272" s="878" t="s">
        <v>713</v>
      </c>
    </row>
    <row r="3273" spans="22:22">
      <c r="V3273" s="878" t="s">
        <v>713</v>
      </c>
    </row>
    <row r="3274" spans="22:22">
      <c r="V3274" s="878" t="s">
        <v>713</v>
      </c>
    </row>
    <row r="3275" spans="22:22">
      <c r="V3275" s="878" t="s">
        <v>713</v>
      </c>
    </row>
    <row r="3276" spans="22:22">
      <c r="V3276" s="878" t="s">
        <v>713</v>
      </c>
    </row>
    <row r="3277" spans="22:22">
      <c r="V3277" s="878" t="s">
        <v>713</v>
      </c>
    </row>
    <row r="3278" spans="22:22">
      <c r="V3278" s="878" t="s">
        <v>713</v>
      </c>
    </row>
    <row r="3279" spans="22:22">
      <c r="V3279" s="878" t="s">
        <v>713</v>
      </c>
    </row>
    <row r="3280" spans="22:22">
      <c r="V3280" s="878" t="s">
        <v>713</v>
      </c>
    </row>
    <row r="3281" spans="22:22">
      <c r="V3281" s="878" t="s">
        <v>713</v>
      </c>
    </row>
    <row r="3282" spans="22:22">
      <c r="V3282" s="878" t="s">
        <v>713</v>
      </c>
    </row>
    <row r="3283" spans="22:22">
      <c r="V3283" s="878" t="s">
        <v>713</v>
      </c>
    </row>
    <row r="3284" spans="22:22">
      <c r="V3284" s="878" t="s">
        <v>713</v>
      </c>
    </row>
    <row r="3285" spans="22:22">
      <c r="V3285" s="878" t="s">
        <v>713</v>
      </c>
    </row>
    <row r="3286" spans="22:22">
      <c r="V3286" s="878" t="s">
        <v>713</v>
      </c>
    </row>
    <row r="3287" spans="22:22">
      <c r="V3287" s="878" t="s">
        <v>713</v>
      </c>
    </row>
    <row r="3288" spans="22:22">
      <c r="V3288" s="878" t="s">
        <v>713</v>
      </c>
    </row>
    <row r="3289" spans="22:22">
      <c r="V3289" s="878" t="s">
        <v>713</v>
      </c>
    </row>
    <row r="3290" spans="22:22">
      <c r="V3290" s="878" t="s">
        <v>713</v>
      </c>
    </row>
    <row r="3291" spans="22:22">
      <c r="V3291" s="878" t="s">
        <v>713</v>
      </c>
    </row>
    <row r="3292" spans="22:22">
      <c r="V3292" s="878" t="s">
        <v>713</v>
      </c>
    </row>
    <row r="3293" spans="22:22">
      <c r="V3293" s="878" t="s">
        <v>713</v>
      </c>
    </row>
    <row r="3294" spans="22:22">
      <c r="V3294" s="878" t="s">
        <v>713</v>
      </c>
    </row>
    <row r="3295" spans="22:22">
      <c r="V3295" s="878" t="s">
        <v>713</v>
      </c>
    </row>
    <row r="3296" spans="22:22">
      <c r="V3296" s="878" t="s">
        <v>713</v>
      </c>
    </row>
    <row r="3297" spans="22:22">
      <c r="V3297" s="878" t="s">
        <v>713</v>
      </c>
    </row>
    <row r="3298" spans="22:22">
      <c r="V3298" s="878" t="s">
        <v>713</v>
      </c>
    </row>
    <row r="3299" spans="22:22">
      <c r="V3299" s="878" t="s">
        <v>713</v>
      </c>
    </row>
    <row r="3300" spans="22:22">
      <c r="V3300" s="878" t="s">
        <v>713</v>
      </c>
    </row>
    <row r="3301" spans="22:22">
      <c r="V3301" s="878" t="s">
        <v>713</v>
      </c>
    </row>
    <row r="3302" spans="22:22">
      <c r="V3302" s="878" t="s">
        <v>713</v>
      </c>
    </row>
    <row r="3303" spans="22:22">
      <c r="V3303" s="878" t="s">
        <v>713</v>
      </c>
    </row>
    <row r="3304" spans="22:22">
      <c r="V3304" s="878" t="s">
        <v>713</v>
      </c>
    </row>
    <row r="3305" spans="22:22">
      <c r="V3305" s="878" t="s">
        <v>713</v>
      </c>
    </row>
    <row r="3306" spans="22:22">
      <c r="V3306" s="878" t="s">
        <v>713</v>
      </c>
    </row>
    <row r="3307" spans="22:22">
      <c r="V3307" s="878" t="s">
        <v>713</v>
      </c>
    </row>
    <row r="3308" spans="22:22">
      <c r="V3308" s="878" t="s">
        <v>713</v>
      </c>
    </row>
    <row r="3309" spans="22:22">
      <c r="V3309" s="878" t="s">
        <v>713</v>
      </c>
    </row>
    <row r="3310" spans="22:22">
      <c r="V3310" s="878" t="s">
        <v>713</v>
      </c>
    </row>
    <row r="3311" spans="22:22">
      <c r="V3311" s="878" t="s">
        <v>713</v>
      </c>
    </row>
    <row r="3312" spans="22:22">
      <c r="V3312" s="878" t="s">
        <v>713</v>
      </c>
    </row>
    <row r="3313" spans="22:22">
      <c r="V3313" s="878" t="s">
        <v>713</v>
      </c>
    </row>
    <row r="3314" spans="22:22">
      <c r="V3314" s="878" t="s">
        <v>713</v>
      </c>
    </row>
    <row r="3315" spans="22:22">
      <c r="V3315" s="878" t="s">
        <v>713</v>
      </c>
    </row>
    <row r="3316" spans="22:22">
      <c r="V3316" s="878" t="s">
        <v>713</v>
      </c>
    </row>
    <row r="3317" spans="22:22">
      <c r="V3317" s="878" t="s">
        <v>713</v>
      </c>
    </row>
    <row r="3318" spans="22:22">
      <c r="V3318" s="878" t="s">
        <v>713</v>
      </c>
    </row>
    <row r="3319" spans="22:22">
      <c r="V3319" s="878" t="s">
        <v>713</v>
      </c>
    </row>
    <row r="3320" spans="22:22">
      <c r="V3320" s="878" t="s">
        <v>713</v>
      </c>
    </row>
    <row r="3321" spans="22:22">
      <c r="V3321" s="878" t="s">
        <v>713</v>
      </c>
    </row>
    <row r="3322" spans="22:22">
      <c r="V3322" s="878" t="s">
        <v>713</v>
      </c>
    </row>
    <row r="3323" spans="22:22">
      <c r="V3323" s="878" t="s">
        <v>713</v>
      </c>
    </row>
    <row r="3324" spans="22:22">
      <c r="V3324" s="878" t="s">
        <v>713</v>
      </c>
    </row>
    <row r="3325" spans="22:22">
      <c r="V3325" s="878" t="s">
        <v>713</v>
      </c>
    </row>
    <row r="3326" spans="22:22">
      <c r="V3326" s="878" t="s">
        <v>713</v>
      </c>
    </row>
    <row r="3327" spans="22:22">
      <c r="V3327" s="878" t="s">
        <v>713</v>
      </c>
    </row>
    <row r="3328" spans="22:22">
      <c r="V3328" s="878" t="s">
        <v>713</v>
      </c>
    </row>
    <row r="3329" spans="22:22">
      <c r="V3329" s="878" t="s">
        <v>713</v>
      </c>
    </row>
    <row r="3330" spans="22:22">
      <c r="V3330" s="878" t="s">
        <v>713</v>
      </c>
    </row>
    <row r="3331" spans="22:22">
      <c r="V3331" s="878" t="s">
        <v>713</v>
      </c>
    </row>
    <row r="3332" spans="22:22">
      <c r="V3332" s="878" t="s">
        <v>713</v>
      </c>
    </row>
    <row r="3333" spans="22:22">
      <c r="V3333" s="878" t="s">
        <v>713</v>
      </c>
    </row>
    <row r="3334" spans="22:22">
      <c r="V3334" s="878" t="s">
        <v>713</v>
      </c>
    </row>
    <row r="3335" spans="22:22">
      <c r="V3335" s="878" t="s">
        <v>713</v>
      </c>
    </row>
    <row r="3336" spans="22:22">
      <c r="V3336" s="878" t="s">
        <v>713</v>
      </c>
    </row>
    <row r="3337" spans="22:22">
      <c r="V3337" s="878" t="s">
        <v>713</v>
      </c>
    </row>
    <row r="3338" spans="22:22">
      <c r="V3338" s="878" t="s">
        <v>713</v>
      </c>
    </row>
    <row r="3339" spans="22:22">
      <c r="V3339" s="878" t="s">
        <v>713</v>
      </c>
    </row>
    <row r="3340" spans="22:22">
      <c r="V3340" s="878" t="s">
        <v>713</v>
      </c>
    </row>
    <row r="3341" spans="22:22">
      <c r="V3341" s="878" t="s">
        <v>713</v>
      </c>
    </row>
    <row r="3342" spans="22:22">
      <c r="V3342" s="878" t="s">
        <v>713</v>
      </c>
    </row>
    <row r="3343" spans="22:22">
      <c r="V3343" s="878" t="s">
        <v>713</v>
      </c>
    </row>
    <row r="3344" spans="22:22">
      <c r="V3344" s="878" t="s">
        <v>713</v>
      </c>
    </row>
    <row r="3345" spans="22:22">
      <c r="V3345" s="878" t="s">
        <v>713</v>
      </c>
    </row>
    <row r="3346" spans="22:22">
      <c r="V3346" s="878" t="s">
        <v>713</v>
      </c>
    </row>
    <row r="3347" spans="22:22">
      <c r="V3347" s="878" t="s">
        <v>713</v>
      </c>
    </row>
    <row r="3348" spans="22:22">
      <c r="V3348" s="878" t="s">
        <v>713</v>
      </c>
    </row>
    <row r="3349" spans="22:22">
      <c r="V3349" s="878" t="s">
        <v>713</v>
      </c>
    </row>
    <row r="3350" spans="22:22">
      <c r="V3350" s="878" t="s">
        <v>713</v>
      </c>
    </row>
    <row r="3351" spans="22:22">
      <c r="V3351" s="878" t="s">
        <v>713</v>
      </c>
    </row>
    <row r="3352" spans="22:22">
      <c r="V3352" s="878" t="s">
        <v>713</v>
      </c>
    </row>
    <row r="3353" spans="22:22">
      <c r="V3353" s="878" t="s">
        <v>713</v>
      </c>
    </row>
    <row r="3354" spans="22:22">
      <c r="V3354" s="878" t="s">
        <v>713</v>
      </c>
    </row>
    <row r="3355" spans="22:22">
      <c r="V3355" s="878" t="s">
        <v>713</v>
      </c>
    </row>
    <row r="3356" spans="22:22">
      <c r="V3356" s="878" t="s">
        <v>713</v>
      </c>
    </row>
    <row r="3357" spans="22:22">
      <c r="V3357" s="878" t="s">
        <v>713</v>
      </c>
    </row>
    <row r="3358" spans="22:22">
      <c r="V3358" s="878" t="s">
        <v>713</v>
      </c>
    </row>
    <row r="3359" spans="22:22">
      <c r="V3359" s="878" t="s">
        <v>713</v>
      </c>
    </row>
    <row r="3360" spans="22:22">
      <c r="V3360" s="878" t="s">
        <v>713</v>
      </c>
    </row>
    <row r="3361" spans="22:22">
      <c r="V3361" s="878" t="s">
        <v>713</v>
      </c>
    </row>
    <row r="3362" spans="22:22">
      <c r="V3362" s="878" t="s">
        <v>713</v>
      </c>
    </row>
    <row r="3363" spans="22:22">
      <c r="V3363" s="878" t="s">
        <v>713</v>
      </c>
    </row>
    <row r="3364" spans="22:22">
      <c r="V3364" s="878" t="s">
        <v>713</v>
      </c>
    </row>
    <row r="3365" spans="22:22">
      <c r="V3365" s="878" t="s">
        <v>713</v>
      </c>
    </row>
    <row r="3366" spans="22:22">
      <c r="V3366" s="878" t="s">
        <v>713</v>
      </c>
    </row>
    <row r="3367" spans="22:22">
      <c r="V3367" s="878" t="s">
        <v>713</v>
      </c>
    </row>
    <row r="3368" spans="22:22">
      <c r="V3368" s="878" t="s">
        <v>713</v>
      </c>
    </row>
    <row r="3369" spans="22:22">
      <c r="V3369" s="878" t="s">
        <v>713</v>
      </c>
    </row>
    <row r="3370" spans="22:22">
      <c r="V3370" s="878" t="s">
        <v>713</v>
      </c>
    </row>
    <row r="3371" spans="22:22">
      <c r="V3371" s="878" t="s">
        <v>713</v>
      </c>
    </row>
    <row r="3372" spans="22:22">
      <c r="V3372" s="878" t="s">
        <v>713</v>
      </c>
    </row>
    <row r="3373" spans="22:22">
      <c r="V3373" s="878" t="s">
        <v>713</v>
      </c>
    </row>
    <row r="3374" spans="22:22">
      <c r="V3374" s="878" t="s">
        <v>713</v>
      </c>
    </row>
    <row r="3375" spans="22:22">
      <c r="V3375" s="878" t="s">
        <v>713</v>
      </c>
    </row>
    <row r="3376" spans="22:22">
      <c r="V3376" s="878" t="s">
        <v>713</v>
      </c>
    </row>
    <row r="3377" spans="22:22">
      <c r="V3377" s="878" t="s">
        <v>713</v>
      </c>
    </row>
    <row r="3378" spans="22:22">
      <c r="V3378" s="878" t="s">
        <v>713</v>
      </c>
    </row>
    <row r="3379" spans="22:22">
      <c r="V3379" s="878" t="s">
        <v>713</v>
      </c>
    </row>
    <row r="3380" spans="22:22">
      <c r="V3380" s="878" t="s">
        <v>713</v>
      </c>
    </row>
    <row r="3381" spans="22:22">
      <c r="V3381" s="878" t="s">
        <v>713</v>
      </c>
    </row>
    <row r="3382" spans="22:22">
      <c r="V3382" s="878" t="s">
        <v>713</v>
      </c>
    </row>
    <row r="3383" spans="22:22">
      <c r="V3383" s="878" t="s">
        <v>713</v>
      </c>
    </row>
    <row r="3384" spans="22:22">
      <c r="V3384" s="878" t="s">
        <v>713</v>
      </c>
    </row>
    <row r="3385" spans="22:22">
      <c r="V3385" s="878" t="s">
        <v>713</v>
      </c>
    </row>
    <row r="3386" spans="22:22">
      <c r="V3386" s="878" t="s">
        <v>713</v>
      </c>
    </row>
    <row r="3387" spans="22:22">
      <c r="V3387" s="878" t="s">
        <v>713</v>
      </c>
    </row>
    <row r="3388" spans="22:22">
      <c r="V3388" s="878" t="s">
        <v>713</v>
      </c>
    </row>
    <row r="3389" spans="22:22">
      <c r="V3389" s="878" t="s">
        <v>713</v>
      </c>
    </row>
    <row r="3390" spans="22:22">
      <c r="V3390" s="878" t="s">
        <v>713</v>
      </c>
    </row>
    <row r="3391" spans="22:22">
      <c r="V3391" s="878" t="s">
        <v>713</v>
      </c>
    </row>
    <row r="3392" spans="22:22">
      <c r="V3392" s="878" t="s">
        <v>713</v>
      </c>
    </row>
    <row r="3393" spans="22:22">
      <c r="V3393" s="878" t="s">
        <v>713</v>
      </c>
    </row>
    <row r="3394" spans="22:22">
      <c r="V3394" s="878" t="s">
        <v>713</v>
      </c>
    </row>
    <row r="3395" spans="22:22">
      <c r="V3395" s="878" t="s">
        <v>713</v>
      </c>
    </row>
    <row r="3396" spans="22:22">
      <c r="V3396" s="878" t="s">
        <v>713</v>
      </c>
    </row>
    <row r="3397" spans="22:22">
      <c r="V3397" s="878" t="s">
        <v>713</v>
      </c>
    </row>
    <row r="3398" spans="22:22">
      <c r="V3398" s="878" t="s">
        <v>713</v>
      </c>
    </row>
    <row r="3399" spans="22:22">
      <c r="V3399" s="878" t="s">
        <v>713</v>
      </c>
    </row>
    <row r="3400" spans="22:22">
      <c r="V3400" s="878" t="s">
        <v>713</v>
      </c>
    </row>
    <row r="3401" spans="22:22">
      <c r="V3401" s="878" t="s">
        <v>713</v>
      </c>
    </row>
    <row r="3402" spans="22:22">
      <c r="V3402" s="878" t="s">
        <v>713</v>
      </c>
    </row>
    <row r="3403" spans="22:22">
      <c r="V3403" s="878" t="s">
        <v>713</v>
      </c>
    </row>
    <row r="3404" spans="22:22">
      <c r="V3404" s="878" t="s">
        <v>713</v>
      </c>
    </row>
    <row r="3405" spans="22:22">
      <c r="V3405" s="878" t="s">
        <v>713</v>
      </c>
    </row>
    <row r="3406" spans="22:22">
      <c r="V3406" s="878" t="s">
        <v>713</v>
      </c>
    </row>
    <row r="3407" spans="22:22">
      <c r="V3407" s="878" t="s">
        <v>713</v>
      </c>
    </row>
    <row r="3408" spans="22:22">
      <c r="V3408" s="878" t="s">
        <v>713</v>
      </c>
    </row>
    <row r="3409" spans="22:22">
      <c r="V3409" s="878" t="s">
        <v>713</v>
      </c>
    </row>
    <row r="3410" spans="22:22">
      <c r="V3410" s="878" t="s">
        <v>713</v>
      </c>
    </row>
    <row r="3411" spans="22:22">
      <c r="V3411" s="878" t="s">
        <v>713</v>
      </c>
    </row>
    <row r="3412" spans="22:22">
      <c r="V3412" s="878" t="s">
        <v>713</v>
      </c>
    </row>
    <row r="3413" spans="22:22">
      <c r="V3413" s="878" t="s">
        <v>713</v>
      </c>
    </row>
    <row r="3414" spans="22:22">
      <c r="V3414" s="878" t="s">
        <v>713</v>
      </c>
    </row>
    <row r="3415" spans="22:22">
      <c r="V3415" s="878" t="s">
        <v>713</v>
      </c>
    </row>
    <row r="3416" spans="22:22">
      <c r="V3416" s="878" t="s">
        <v>713</v>
      </c>
    </row>
    <row r="3417" spans="22:22">
      <c r="V3417" s="878" t="s">
        <v>713</v>
      </c>
    </row>
    <row r="3418" spans="22:22">
      <c r="V3418" s="878" t="s">
        <v>713</v>
      </c>
    </row>
    <row r="3419" spans="22:22">
      <c r="V3419" s="878" t="s">
        <v>713</v>
      </c>
    </row>
  </sheetData>
  <pageMargins left="0.7" right="0.7" top="0.75" bottom="0.75" header="0.3" footer="0.3"/>
  <pageSetup scale="10" orientation="landscape" r:id="rId1"/>
  <headerFooter>
    <oddHeader>&amp;CPSE_ASC_Filing_Appendix_1_CY_2018</oddHeader>
    <oddFooter>&amp;R&amp;F&amp;A</oddFooter>
  </headerFooter>
  <customProperties>
    <customPr name="_pios_id" r:id="rId2"/>
  </customProperties>
  <drawing r:id="rId3"/>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rgb="FF92D050"/>
    <pageSetUpPr fitToPage="1"/>
  </sheetPr>
  <dimension ref="A1:Q158"/>
  <sheetViews>
    <sheetView workbookViewId="0">
      <pane ySplit="7" topLeftCell="A8" activePane="bottomLeft" state="frozen"/>
      <selection sqref="A1:XFD1048576"/>
      <selection pane="bottomLeft" sqref="A1:XFD1048576"/>
    </sheetView>
  </sheetViews>
  <sheetFormatPr defaultColWidth="8" defaultRowHeight="11.25"/>
  <cols>
    <col min="1" max="1" width="2.75" style="910" customWidth="1"/>
    <col min="2" max="2" width="8" style="910" customWidth="1"/>
    <col min="3" max="3" width="14.375" style="910" customWidth="1"/>
    <col min="4" max="4" width="11.5" style="910" bestFit="1" customWidth="1"/>
    <col min="5" max="5" width="38.875" style="910" customWidth="1"/>
    <col min="6" max="6" width="13.375" style="910" customWidth="1"/>
    <col min="7" max="7" width="12.5" style="910" bestFit="1" customWidth="1"/>
    <col min="8" max="8" width="13.75" style="910" customWidth="1"/>
    <col min="9" max="9" width="10.5" style="910" bestFit="1" customWidth="1"/>
    <col min="10" max="10" width="13.625" style="910" customWidth="1"/>
    <col min="11" max="11" width="37" style="910" customWidth="1"/>
    <col min="12" max="12" width="10.25" style="910" bestFit="1" customWidth="1"/>
    <col min="13" max="16384" width="8" style="910"/>
  </cols>
  <sheetData>
    <row r="1" spans="1:13">
      <c r="A1" s="846" t="s">
        <v>4589</v>
      </c>
      <c r="B1" s="846"/>
      <c r="C1" s="846"/>
      <c r="D1" s="846"/>
      <c r="E1" s="926"/>
    </row>
    <row r="2" spans="1:13">
      <c r="A2" s="846" t="s">
        <v>8078</v>
      </c>
      <c r="B2" s="846"/>
      <c r="C2" s="846"/>
      <c r="D2" s="846"/>
      <c r="E2" s="926"/>
    </row>
    <row r="3" spans="1:13">
      <c r="A3" s="846" t="s">
        <v>7152</v>
      </c>
      <c r="B3" s="846"/>
      <c r="C3" s="846"/>
      <c r="D3" s="846"/>
      <c r="E3" s="926"/>
      <c r="G3" s="917"/>
    </row>
    <row r="6" spans="1:13">
      <c r="B6" s="911"/>
      <c r="C6" s="911"/>
      <c r="D6" s="911"/>
      <c r="E6" s="911"/>
      <c r="F6" s="912" t="s">
        <v>4714</v>
      </c>
    </row>
    <row r="7" spans="1:13" s="913" customFormat="1">
      <c r="B7" s="914" t="s">
        <v>3790</v>
      </c>
      <c r="C7" s="914" t="s">
        <v>4684</v>
      </c>
      <c r="D7" s="914"/>
      <c r="E7" s="914" t="s">
        <v>4593</v>
      </c>
      <c r="F7" s="914" t="s">
        <v>4715</v>
      </c>
      <c r="G7" s="881" t="s">
        <v>4686</v>
      </c>
      <c r="H7" s="882" t="s">
        <v>105</v>
      </c>
      <c r="I7" s="883" t="s">
        <v>106</v>
      </c>
      <c r="J7" s="884" t="s">
        <v>347</v>
      </c>
      <c r="K7" s="881" t="s">
        <v>4595</v>
      </c>
      <c r="L7" s="915" t="s">
        <v>2289</v>
      </c>
    </row>
    <row r="8" spans="1:13">
      <c r="B8" s="916">
        <v>407.3</v>
      </c>
      <c r="C8" s="1811">
        <v>40730001</v>
      </c>
      <c r="D8" s="1812" t="s">
        <v>510</v>
      </c>
      <c r="E8" s="1811" t="s">
        <v>7136</v>
      </c>
      <c r="F8" s="1813">
        <v>1901364.13</v>
      </c>
      <c r="G8" s="1814" t="s">
        <v>390</v>
      </c>
      <c r="H8" s="1815">
        <f t="shared" ref="H8:H30" si="0">VLOOKUP($G8,Ratio,2,FALSE)*$F8</f>
        <v>0</v>
      </c>
      <c r="I8" s="1815">
        <f t="shared" ref="I8:I30" si="1">VLOOKUP($G8,Ratio,3,FALSE)*$F8</f>
        <v>0</v>
      </c>
      <c r="J8" s="1815">
        <f t="shared" ref="J8:J30" si="2">VLOOKUP($G8,Ratio,4,FALSE)*$F8</f>
        <v>1901364.13</v>
      </c>
      <c r="K8" s="1816"/>
      <c r="L8" s="1818">
        <f t="shared" ref="L8:L19" si="3">F8-SUM(H8:J8)</f>
        <v>0</v>
      </c>
      <c r="M8" s="1796" t="s">
        <v>973</v>
      </c>
    </row>
    <row r="9" spans="1:13">
      <c r="B9" s="916"/>
      <c r="C9" s="1811">
        <v>40730002</v>
      </c>
      <c r="D9" s="1812" t="s">
        <v>510</v>
      </c>
      <c r="E9" s="1811" t="s">
        <v>7137</v>
      </c>
      <c r="F9" s="1813">
        <v>114917.49</v>
      </c>
      <c r="G9" s="1814" t="s">
        <v>390</v>
      </c>
      <c r="H9" s="1815">
        <f t="shared" si="0"/>
        <v>0</v>
      </c>
      <c r="I9" s="1815">
        <f t="shared" si="1"/>
        <v>0</v>
      </c>
      <c r="J9" s="1815">
        <f t="shared" si="2"/>
        <v>114917.49</v>
      </c>
      <c r="K9" s="1816" t="s">
        <v>8095</v>
      </c>
      <c r="L9" s="1818">
        <f t="shared" si="3"/>
        <v>0</v>
      </c>
      <c r="M9" s="1796" t="s">
        <v>973</v>
      </c>
    </row>
    <row r="10" spans="1:13">
      <c r="B10" s="916"/>
      <c r="C10" s="1811">
        <v>40730003</v>
      </c>
      <c r="D10" s="1812" t="s">
        <v>510</v>
      </c>
      <c r="E10" s="1811" t="s">
        <v>7139</v>
      </c>
      <c r="F10" s="1813">
        <v>3808899.17</v>
      </c>
      <c r="G10" s="1814" t="s">
        <v>390</v>
      </c>
      <c r="H10" s="1815">
        <f t="shared" si="0"/>
        <v>0</v>
      </c>
      <c r="I10" s="1815">
        <f t="shared" si="1"/>
        <v>0</v>
      </c>
      <c r="J10" s="1815">
        <f t="shared" si="2"/>
        <v>3808899.17</v>
      </c>
      <c r="K10" s="1816" t="s">
        <v>8016</v>
      </c>
      <c r="L10" s="1818">
        <f t="shared" si="3"/>
        <v>0</v>
      </c>
      <c r="M10" s="1796" t="s">
        <v>973</v>
      </c>
    </row>
    <row r="11" spans="1:13">
      <c r="B11" s="916"/>
      <c r="C11" s="1811">
        <v>40730004</v>
      </c>
      <c r="D11" s="1812" t="s">
        <v>510</v>
      </c>
      <c r="E11" s="1811" t="s">
        <v>7138</v>
      </c>
      <c r="F11" s="1813">
        <v>2712618</v>
      </c>
      <c r="G11" s="1814" t="s">
        <v>390</v>
      </c>
      <c r="H11" s="1815">
        <f t="shared" si="0"/>
        <v>0</v>
      </c>
      <c r="I11" s="1815">
        <f t="shared" si="1"/>
        <v>0</v>
      </c>
      <c r="J11" s="1815">
        <f t="shared" si="2"/>
        <v>2712618</v>
      </c>
      <c r="K11" s="1816" t="s">
        <v>8016</v>
      </c>
      <c r="L11" s="1818">
        <f t="shared" si="3"/>
        <v>0</v>
      </c>
      <c r="M11" s="1796" t="s">
        <v>973</v>
      </c>
    </row>
    <row r="12" spans="1:13">
      <c r="B12" s="916"/>
      <c r="C12" s="1811">
        <v>40730005</v>
      </c>
      <c r="D12" s="1812" t="s">
        <v>510</v>
      </c>
      <c r="E12" s="1817" t="s">
        <v>7140</v>
      </c>
      <c r="F12" s="1813">
        <v>168954.5</v>
      </c>
      <c r="G12" s="1814" t="s">
        <v>390</v>
      </c>
      <c r="H12" s="1815">
        <f t="shared" si="0"/>
        <v>0</v>
      </c>
      <c r="I12" s="1815">
        <f t="shared" si="1"/>
        <v>0</v>
      </c>
      <c r="J12" s="1815">
        <f t="shared" si="2"/>
        <v>168954.5</v>
      </c>
      <c r="K12" s="1816" t="s">
        <v>8016</v>
      </c>
      <c r="L12" s="1818">
        <f t="shared" si="3"/>
        <v>0</v>
      </c>
      <c r="M12" s="1796" t="s">
        <v>973</v>
      </c>
    </row>
    <row r="13" spans="1:13">
      <c r="B13" s="916"/>
      <c r="C13" s="1811">
        <v>40730006</v>
      </c>
      <c r="D13" s="1812" t="s">
        <v>510</v>
      </c>
      <c r="E13" s="1811" t="s">
        <v>7141</v>
      </c>
      <c r="F13" s="1813">
        <v>-16328.3</v>
      </c>
      <c r="G13" s="1814" t="s">
        <v>390</v>
      </c>
      <c r="H13" s="1815">
        <f t="shared" si="0"/>
        <v>0</v>
      </c>
      <c r="I13" s="1815">
        <f t="shared" si="1"/>
        <v>0</v>
      </c>
      <c r="J13" s="1815">
        <f t="shared" si="2"/>
        <v>-16328.3</v>
      </c>
      <c r="K13" s="1816" t="s">
        <v>8095</v>
      </c>
      <c r="L13" s="1818">
        <f t="shared" si="3"/>
        <v>0</v>
      </c>
      <c r="M13" s="1796" t="s">
        <v>973</v>
      </c>
    </row>
    <row r="14" spans="1:13">
      <c r="B14" s="916"/>
      <c r="C14" s="1811">
        <v>40730007</v>
      </c>
      <c r="D14" s="1812" t="s">
        <v>510</v>
      </c>
      <c r="E14" s="1811" t="s">
        <v>7142</v>
      </c>
      <c r="F14" s="1813">
        <v>92286</v>
      </c>
      <c r="G14" s="1814" t="s">
        <v>390</v>
      </c>
      <c r="H14" s="1815">
        <f t="shared" si="0"/>
        <v>0</v>
      </c>
      <c r="I14" s="1815">
        <f t="shared" si="1"/>
        <v>0</v>
      </c>
      <c r="J14" s="1815">
        <f t="shared" si="2"/>
        <v>92286</v>
      </c>
      <c r="K14" s="1816" t="s">
        <v>8016</v>
      </c>
      <c r="L14" s="1818">
        <f t="shared" si="3"/>
        <v>0</v>
      </c>
      <c r="M14" s="1796" t="s">
        <v>973</v>
      </c>
    </row>
    <row r="15" spans="1:13">
      <c r="B15" s="916"/>
      <c r="C15" s="1811">
        <v>40730010</v>
      </c>
      <c r="D15" s="1812" t="s">
        <v>510</v>
      </c>
      <c r="E15" s="1811" t="s">
        <v>8076</v>
      </c>
      <c r="F15" s="1813">
        <v>7503753.4900000002</v>
      </c>
      <c r="G15" s="1814" t="s">
        <v>390</v>
      </c>
      <c r="H15" s="1815">
        <f t="shared" si="0"/>
        <v>0</v>
      </c>
      <c r="I15" s="1815">
        <f t="shared" si="1"/>
        <v>0</v>
      </c>
      <c r="J15" s="1815">
        <f t="shared" si="2"/>
        <v>7503753.4900000002</v>
      </c>
      <c r="K15" s="1816"/>
      <c r="L15" s="1818">
        <f t="shared" si="3"/>
        <v>0</v>
      </c>
      <c r="M15" s="1796" t="s">
        <v>973</v>
      </c>
    </row>
    <row r="16" spans="1:13">
      <c r="B16" s="916"/>
      <c r="C16" s="1811">
        <v>40730014</v>
      </c>
      <c r="D16" s="1812" t="s">
        <v>510</v>
      </c>
      <c r="E16" s="1811" t="s">
        <v>7142</v>
      </c>
      <c r="F16" s="1813">
        <v>1781046.57</v>
      </c>
      <c r="G16" s="1814" t="s">
        <v>390</v>
      </c>
      <c r="H16" s="1815">
        <f t="shared" si="0"/>
        <v>0</v>
      </c>
      <c r="I16" s="1815">
        <f t="shared" si="1"/>
        <v>0</v>
      </c>
      <c r="J16" s="1815">
        <f t="shared" si="2"/>
        <v>1781046.57</v>
      </c>
      <c r="K16" s="1816" t="s">
        <v>8016</v>
      </c>
      <c r="L16" s="1818">
        <f t="shared" si="3"/>
        <v>0</v>
      </c>
      <c r="M16" s="1796" t="s">
        <v>973</v>
      </c>
    </row>
    <row r="17" spans="2:13">
      <c r="B17" s="916"/>
      <c r="C17" s="1811">
        <v>40730015</v>
      </c>
      <c r="D17" s="1812" t="s">
        <v>510</v>
      </c>
      <c r="E17" s="1811" t="s">
        <v>7143</v>
      </c>
      <c r="F17" s="1813">
        <v>774514.49</v>
      </c>
      <c r="G17" s="1814" t="s">
        <v>390</v>
      </c>
      <c r="H17" s="1815">
        <f t="shared" si="0"/>
        <v>0</v>
      </c>
      <c r="I17" s="1815">
        <f t="shared" si="1"/>
        <v>0</v>
      </c>
      <c r="J17" s="1815">
        <f t="shared" si="2"/>
        <v>774514.49</v>
      </c>
      <c r="K17" s="1816" t="s">
        <v>8122</v>
      </c>
      <c r="L17" s="1818">
        <f t="shared" si="3"/>
        <v>0</v>
      </c>
      <c r="M17" s="1796" t="s">
        <v>973</v>
      </c>
    </row>
    <row r="18" spans="2:13">
      <c r="B18" s="916"/>
      <c r="C18" s="1811">
        <v>40730016</v>
      </c>
      <c r="D18" s="1812" t="s">
        <v>510</v>
      </c>
      <c r="E18" s="1811" t="s">
        <v>7144</v>
      </c>
      <c r="F18" s="1813">
        <v>38100.68</v>
      </c>
      <c r="G18" s="1814" t="s">
        <v>390</v>
      </c>
      <c r="H18" s="1815">
        <f t="shared" si="0"/>
        <v>0</v>
      </c>
      <c r="I18" s="1815">
        <f t="shared" si="1"/>
        <v>0</v>
      </c>
      <c r="J18" s="1815">
        <f t="shared" si="2"/>
        <v>38100.68</v>
      </c>
      <c r="K18" s="1816" t="s">
        <v>8122</v>
      </c>
      <c r="L18" s="1818">
        <f t="shared" si="3"/>
        <v>0</v>
      </c>
      <c r="M18" s="1796" t="s">
        <v>973</v>
      </c>
    </row>
    <row r="19" spans="2:13">
      <c r="B19" s="916"/>
      <c r="C19" s="1811">
        <v>40730018</v>
      </c>
      <c r="D19" s="1812" t="s">
        <v>510</v>
      </c>
      <c r="E19" s="1811" t="s">
        <v>8079</v>
      </c>
      <c r="F19" s="1813">
        <v>4769275.2300000004</v>
      </c>
      <c r="G19" s="1814" t="s">
        <v>390</v>
      </c>
      <c r="H19" s="1815">
        <f t="shared" si="0"/>
        <v>0</v>
      </c>
      <c r="I19" s="1815">
        <f t="shared" si="1"/>
        <v>0</v>
      </c>
      <c r="J19" s="1815">
        <f t="shared" si="2"/>
        <v>4769275.2300000004</v>
      </c>
      <c r="K19" s="1816" t="s">
        <v>8080</v>
      </c>
      <c r="L19" s="1818">
        <f t="shared" si="3"/>
        <v>0</v>
      </c>
      <c r="M19" s="1796" t="s">
        <v>973</v>
      </c>
    </row>
    <row r="20" spans="2:13">
      <c r="B20" s="916"/>
      <c r="C20" s="917">
        <v>40730020</v>
      </c>
      <c r="D20" s="916" t="s">
        <v>4716</v>
      </c>
      <c r="E20" s="917" t="s">
        <v>4717</v>
      </c>
      <c r="F20" s="1810">
        <v>0</v>
      </c>
      <c r="G20" s="918" t="s">
        <v>390</v>
      </c>
      <c r="H20" s="919">
        <f t="shared" si="0"/>
        <v>0</v>
      </c>
      <c r="I20" s="919">
        <f t="shared" si="1"/>
        <v>0</v>
      </c>
      <c r="J20" s="919">
        <f t="shared" si="2"/>
        <v>0</v>
      </c>
      <c r="K20" s="920"/>
      <c r="L20" s="941">
        <f>F20-SUM(H20:J20)</f>
        <v>0</v>
      </c>
    </row>
    <row r="21" spans="2:13">
      <c r="B21" s="916"/>
      <c r="C21" s="917">
        <v>40730021</v>
      </c>
      <c r="D21" s="916" t="s">
        <v>4716</v>
      </c>
      <c r="E21" s="917" t="s">
        <v>4718</v>
      </c>
      <c r="F21" s="1810">
        <v>0</v>
      </c>
      <c r="G21" s="918" t="s">
        <v>390</v>
      </c>
      <c r="H21" s="919">
        <f t="shared" si="0"/>
        <v>0</v>
      </c>
      <c r="I21" s="919">
        <f t="shared" si="1"/>
        <v>0</v>
      </c>
      <c r="J21" s="919">
        <f t="shared" si="2"/>
        <v>0</v>
      </c>
      <c r="K21" s="920" t="s">
        <v>4719</v>
      </c>
      <c r="L21" s="941">
        <f t="shared" ref="L21:L44" si="4">F21-SUM(H21:J21)</f>
        <v>0</v>
      </c>
    </row>
    <row r="22" spans="2:13">
      <c r="B22" s="916"/>
      <c r="C22" s="917">
        <v>40730022</v>
      </c>
      <c r="D22" s="916" t="s">
        <v>510</v>
      </c>
      <c r="E22" s="917" t="s">
        <v>4720</v>
      </c>
      <c r="F22" s="1810">
        <v>1044087.48</v>
      </c>
      <c r="G22" s="918" t="s">
        <v>390</v>
      </c>
      <c r="H22" s="919">
        <f t="shared" si="0"/>
        <v>0</v>
      </c>
      <c r="I22" s="919">
        <f t="shared" si="1"/>
        <v>0</v>
      </c>
      <c r="J22" s="919">
        <f t="shared" si="2"/>
        <v>1044087.48</v>
      </c>
      <c r="K22" s="920"/>
      <c r="L22" s="941">
        <f t="shared" si="4"/>
        <v>0</v>
      </c>
    </row>
    <row r="23" spans="2:13">
      <c r="B23" s="916"/>
      <c r="C23" s="917">
        <v>40730023</v>
      </c>
      <c r="D23" s="916" t="s">
        <v>510</v>
      </c>
      <c r="E23" s="917" t="s">
        <v>4721</v>
      </c>
      <c r="F23" s="1810">
        <v>-245346</v>
      </c>
      <c r="G23" s="918" t="s">
        <v>390</v>
      </c>
      <c r="H23" s="919">
        <f t="shared" si="0"/>
        <v>0</v>
      </c>
      <c r="I23" s="919">
        <f t="shared" si="1"/>
        <v>0</v>
      </c>
      <c r="J23" s="919">
        <f t="shared" si="2"/>
        <v>-245346</v>
      </c>
      <c r="K23" s="920"/>
      <c r="L23" s="941">
        <f t="shared" si="4"/>
        <v>0</v>
      </c>
    </row>
    <row r="24" spans="2:13">
      <c r="B24" s="916"/>
      <c r="C24" s="917">
        <v>40730025</v>
      </c>
      <c r="D24" s="916" t="s">
        <v>510</v>
      </c>
      <c r="E24" s="921" t="s">
        <v>4722</v>
      </c>
      <c r="F24" s="1810">
        <v>5991640</v>
      </c>
      <c r="G24" s="918" t="s">
        <v>390</v>
      </c>
      <c r="H24" s="919">
        <f t="shared" si="0"/>
        <v>0</v>
      </c>
      <c r="I24" s="919">
        <f t="shared" si="1"/>
        <v>0</v>
      </c>
      <c r="J24" s="919">
        <f t="shared" si="2"/>
        <v>5991640</v>
      </c>
      <c r="K24" s="922" t="s">
        <v>4723</v>
      </c>
      <c r="L24" s="941">
        <f t="shared" si="4"/>
        <v>0</v>
      </c>
    </row>
    <row r="25" spans="2:13">
      <c r="B25" s="916"/>
      <c r="C25" s="917">
        <v>40730026</v>
      </c>
      <c r="D25" s="916" t="s">
        <v>510</v>
      </c>
      <c r="E25" s="917" t="s">
        <v>4724</v>
      </c>
      <c r="F25" s="1810">
        <v>105999</v>
      </c>
      <c r="G25" s="918" t="s">
        <v>390</v>
      </c>
      <c r="H25" s="919">
        <f t="shared" si="0"/>
        <v>0</v>
      </c>
      <c r="I25" s="919">
        <f t="shared" si="1"/>
        <v>0</v>
      </c>
      <c r="J25" s="919">
        <f t="shared" si="2"/>
        <v>105999</v>
      </c>
      <c r="K25" s="922" t="s">
        <v>4723</v>
      </c>
      <c r="L25" s="941">
        <f t="shared" si="4"/>
        <v>0</v>
      </c>
    </row>
    <row r="26" spans="2:13">
      <c r="B26" s="916"/>
      <c r="C26" s="1811">
        <v>40730027</v>
      </c>
      <c r="D26" s="1812" t="s">
        <v>510</v>
      </c>
      <c r="E26" s="1811" t="s">
        <v>8077</v>
      </c>
      <c r="F26" s="1813">
        <v>30936260.25</v>
      </c>
      <c r="G26" s="1814" t="s">
        <v>392</v>
      </c>
      <c r="H26" s="1815">
        <f t="shared" si="0"/>
        <v>30936260.25</v>
      </c>
      <c r="I26" s="1815">
        <f t="shared" si="1"/>
        <v>0</v>
      </c>
      <c r="J26" s="1815">
        <f t="shared" si="2"/>
        <v>0</v>
      </c>
      <c r="K26" s="1816" t="s">
        <v>8015</v>
      </c>
      <c r="L26" s="1818">
        <f t="shared" si="4"/>
        <v>0</v>
      </c>
      <c r="M26" s="1796" t="s">
        <v>973</v>
      </c>
    </row>
    <row r="27" spans="2:13">
      <c r="B27" s="916"/>
      <c r="C27" s="917">
        <v>40730031</v>
      </c>
      <c r="D27" s="916" t="s">
        <v>4716</v>
      </c>
      <c r="E27" s="917" t="s">
        <v>4725</v>
      </c>
      <c r="F27" s="1810">
        <v>0</v>
      </c>
      <c r="G27" s="918" t="s">
        <v>390</v>
      </c>
      <c r="H27" s="919">
        <f t="shared" si="0"/>
        <v>0</v>
      </c>
      <c r="I27" s="919">
        <f t="shared" si="1"/>
        <v>0</v>
      </c>
      <c r="J27" s="919">
        <f t="shared" si="2"/>
        <v>0</v>
      </c>
      <c r="K27" s="922"/>
      <c r="L27" s="941">
        <f t="shared" si="4"/>
        <v>0</v>
      </c>
    </row>
    <row r="28" spans="2:13">
      <c r="B28" s="916"/>
      <c r="C28" s="1811">
        <v>40730036</v>
      </c>
      <c r="D28" s="1812" t="s">
        <v>510</v>
      </c>
      <c r="E28" s="1811" t="s">
        <v>7145</v>
      </c>
      <c r="F28" s="1813">
        <v>310766</v>
      </c>
      <c r="G28" s="1814" t="s">
        <v>390</v>
      </c>
      <c r="H28" s="1815">
        <f t="shared" si="0"/>
        <v>0</v>
      </c>
      <c r="I28" s="1815">
        <f t="shared" si="1"/>
        <v>0</v>
      </c>
      <c r="J28" s="1815">
        <f t="shared" si="2"/>
        <v>310766</v>
      </c>
      <c r="K28" s="1816" t="s">
        <v>8017</v>
      </c>
      <c r="L28" s="1818">
        <f t="shared" si="4"/>
        <v>0</v>
      </c>
      <c r="M28" s="1796" t="s">
        <v>973</v>
      </c>
    </row>
    <row r="29" spans="2:13">
      <c r="B29" s="916"/>
      <c r="C29" s="917">
        <v>40730051</v>
      </c>
      <c r="D29" s="916" t="s">
        <v>510</v>
      </c>
      <c r="E29" s="917" t="s">
        <v>4726</v>
      </c>
      <c r="F29" s="1810">
        <v>2885052</v>
      </c>
      <c r="G29" s="918" t="s">
        <v>392</v>
      </c>
      <c r="H29" s="919">
        <f t="shared" si="0"/>
        <v>2885052</v>
      </c>
      <c r="I29" s="919">
        <f t="shared" si="1"/>
        <v>0</v>
      </c>
      <c r="J29" s="919">
        <f t="shared" si="2"/>
        <v>0</v>
      </c>
      <c r="K29" s="922"/>
      <c r="L29" s="941">
        <f t="shared" si="4"/>
        <v>0</v>
      </c>
    </row>
    <row r="30" spans="2:13">
      <c r="B30" s="916"/>
      <c r="C30" s="917">
        <v>40730061</v>
      </c>
      <c r="D30" s="916" t="s">
        <v>4716</v>
      </c>
      <c r="E30" s="917" t="s">
        <v>4727</v>
      </c>
      <c r="F30" s="1810">
        <v>0</v>
      </c>
      <c r="G30" s="918" t="s">
        <v>392</v>
      </c>
      <c r="H30" s="919">
        <f t="shared" si="0"/>
        <v>0</v>
      </c>
      <c r="I30" s="919">
        <f t="shared" si="1"/>
        <v>0</v>
      </c>
      <c r="J30" s="919">
        <f t="shared" si="2"/>
        <v>0</v>
      </c>
      <c r="K30" s="922"/>
      <c r="L30" s="941">
        <f t="shared" si="4"/>
        <v>0</v>
      </c>
    </row>
    <row r="31" spans="2:13">
      <c r="B31" s="916"/>
      <c r="C31" s="917">
        <v>40730071</v>
      </c>
      <c r="D31" s="916" t="s">
        <v>4716</v>
      </c>
      <c r="E31" s="917" t="s">
        <v>4728</v>
      </c>
      <c r="F31" s="1810">
        <v>0</v>
      </c>
      <c r="G31" s="918" t="s">
        <v>390</v>
      </c>
      <c r="H31" s="919">
        <f t="shared" ref="H31:H44" si="5">VLOOKUP($G31,Ratio,2,FALSE)*$F31</f>
        <v>0</v>
      </c>
      <c r="I31" s="919">
        <f t="shared" ref="I31:I44" si="6">VLOOKUP($G31,Ratio,3,FALSE)*$F31</f>
        <v>0</v>
      </c>
      <c r="J31" s="919">
        <f t="shared" ref="J31:J44" si="7">VLOOKUP($G31,Ratio,4,FALSE)*$F31</f>
        <v>0</v>
      </c>
      <c r="K31" s="922"/>
      <c r="L31" s="941">
        <f t="shared" si="4"/>
        <v>0</v>
      </c>
    </row>
    <row r="32" spans="2:13">
      <c r="B32" s="916"/>
      <c r="C32" s="917">
        <v>40730081</v>
      </c>
      <c r="D32" s="916" t="s">
        <v>4716</v>
      </c>
      <c r="E32" s="917" t="s">
        <v>4729</v>
      </c>
      <c r="F32" s="1810">
        <v>0</v>
      </c>
      <c r="G32" s="918" t="s">
        <v>390</v>
      </c>
      <c r="H32" s="919">
        <f t="shared" si="5"/>
        <v>0</v>
      </c>
      <c r="I32" s="919">
        <f t="shared" si="6"/>
        <v>0</v>
      </c>
      <c r="J32" s="919">
        <f t="shared" si="7"/>
        <v>0</v>
      </c>
      <c r="K32" s="922"/>
      <c r="L32" s="941">
        <f t="shared" si="4"/>
        <v>0</v>
      </c>
    </row>
    <row r="33" spans="2:13">
      <c r="B33" s="916"/>
      <c r="C33" s="917">
        <v>40730101</v>
      </c>
      <c r="D33" s="916" t="s">
        <v>510</v>
      </c>
      <c r="E33" s="917" t="s">
        <v>4730</v>
      </c>
      <c r="F33" s="1810">
        <v>687420</v>
      </c>
      <c r="G33" s="918" t="s">
        <v>392</v>
      </c>
      <c r="H33" s="919">
        <f t="shared" si="5"/>
        <v>687420</v>
      </c>
      <c r="I33" s="919">
        <f t="shared" si="6"/>
        <v>0</v>
      </c>
      <c r="J33" s="919">
        <f t="shared" si="7"/>
        <v>0</v>
      </c>
      <c r="K33" s="922"/>
      <c r="L33" s="941">
        <f t="shared" si="4"/>
        <v>0</v>
      </c>
    </row>
    <row r="34" spans="2:13">
      <c r="B34" s="916"/>
      <c r="C34" s="917">
        <v>40730111</v>
      </c>
      <c r="D34" s="916" t="s">
        <v>4716</v>
      </c>
      <c r="E34" s="917" t="s">
        <v>4731</v>
      </c>
      <c r="F34" s="1810"/>
      <c r="G34" s="918" t="s">
        <v>392</v>
      </c>
      <c r="H34" s="919">
        <f t="shared" si="5"/>
        <v>0</v>
      </c>
      <c r="I34" s="919">
        <f t="shared" si="6"/>
        <v>0</v>
      </c>
      <c r="J34" s="919">
        <f t="shared" si="7"/>
        <v>0</v>
      </c>
      <c r="K34" s="922"/>
      <c r="L34" s="941">
        <f t="shared" si="4"/>
        <v>0</v>
      </c>
    </row>
    <row r="35" spans="2:13">
      <c r="B35" s="916"/>
      <c r="C35" s="917">
        <v>40730121</v>
      </c>
      <c r="D35" s="916" t="s">
        <v>4716</v>
      </c>
      <c r="E35" s="917" t="s">
        <v>4732</v>
      </c>
      <c r="F35" s="1810">
        <v>0</v>
      </c>
      <c r="G35" s="918" t="s">
        <v>392</v>
      </c>
      <c r="H35" s="919">
        <f t="shared" si="5"/>
        <v>0</v>
      </c>
      <c r="I35" s="919">
        <f t="shared" si="6"/>
        <v>0</v>
      </c>
      <c r="J35" s="919">
        <f t="shared" si="7"/>
        <v>0</v>
      </c>
      <c r="K35" s="922"/>
      <c r="L35" s="941">
        <f t="shared" si="4"/>
        <v>0</v>
      </c>
    </row>
    <row r="36" spans="2:13">
      <c r="B36" s="916"/>
      <c r="C36" s="917">
        <v>40730131</v>
      </c>
      <c r="D36" s="916" t="s">
        <v>4716</v>
      </c>
      <c r="E36" s="917" t="s">
        <v>4733</v>
      </c>
      <c r="F36" s="1810">
        <v>0</v>
      </c>
      <c r="G36" s="918" t="s">
        <v>392</v>
      </c>
      <c r="H36" s="919">
        <f t="shared" si="5"/>
        <v>0</v>
      </c>
      <c r="I36" s="919">
        <f t="shared" si="6"/>
        <v>0</v>
      </c>
      <c r="J36" s="919">
        <f t="shared" si="7"/>
        <v>0</v>
      </c>
      <c r="K36" s="922"/>
      <c r="L36" s="941">
        <f t="shared" si="4"/>
        <v>0</v>
      </c>
    </row>
    <row r="37" spans="2:13">
      <c r="B37" s="916"/>
      <c r="C37" s="917">
        <v>40730141</v>
      </c>
      <c r="D37" s="916" t="s">
        <v>4716</v>
      </c>
      <c r="E37" s="917" t="s">
        <v>4734</v>
      </c>
      <c r="F37" s="1810">
        <v>0</v>
      </c>
      <c r="G37" s="918" t="s">
        <v>392</v>
      </c>
      <c r="H37" s="919">
        <f t="shared" si="5"/>
        <v>0</v>
      </c>
      <c r="I37" s="919">
        <f t="shared" si="6"/>
        <v>0</v>
      </c>
      <c r="J37" s="919">
        <f t="shared" si="7"/>
        <v>0</v>
      </c>
      <c r="K37" s="922"/>
      <c r="L37" s="941">
        <f t="shared" si="4"/>
        <v>0</v>
      </c>
    </row>
    <row r="38" spans="2:13">
      <c r="B38" s="916"/>
      <c r="C38" s="917">
        <v>40730151</v>
      </c>
      <c r="D38" s="916" t="s">
        <v>510</v>
      </c>
      <c r="E38" s="921" t="s">
        <v>4735</v>
      </c>
      <c r="F38" s="1810">
        <v>599048.21</v>
      </c>
      <c r="G38" s="918" t="s">
        <v>392</v>
      </c>
      <c r="H38" s="919">
        <f t="shared" si="5"/>
        <v>599048.21</v>
      </c>
      <c r="I38" s="919">
        <f t="shared" si="6"/>
        <v>0</v>
      </c>
      <c r="J38" s="919">
        <f t="shared" si="7"/>
        <v>0</v>
      </c>
      <c r="K38" s="922" t="s">
        <v>4736</v>
      </c>
      <c r="L38" s="941">
        <f t="shared" si="4"/>
        <v>0</v>
      </c>
    </row>
    <row r="39" spans="2:13">
      <c r="B39" s="916"/>
      <c r="C39" s="1811">
        <v>40730161</v>
      </c>
      <c r="D39" s="1812" t="s">
        <v>510</v>
      </c>
      <c r="E39" s="1811" t="s">
        <v>8123</v>
      </c>
      <c r="F39" s="1813">
        <v>37706.39</v>
      </c>
      <c r="G39" s="1814" t="s">
        <v>390</v>
      </c>
      <c r="H39" s="1815">
        <f t="shared" si="5"/>
        <v>0</v>
      </c>
      <c r="I39" s="1815">
        <f t="shared" si="6"/>
        <v>0</v>
      </c>
      <c r="J39" s="1815">
        <f t="shared" si="7"/>
        <v>37706.39</v>
      </c>
      <c r="K39" s="1816"/>
      <c r="L39" s="1818">
        <f t="shared" si="4"/>
        <v>0</v>
      </c>
      <c r="M39" s="1796" t="s">
        <v>973</v>
      </c>
    </row>
    <row r="40" spans="2:13">
      <c r="B40" s="916"/>
      <c r="C40" s="917">
        <v>40730171</v>
      </c>
      <c r="D40" s="916" t="s">
        <v>4716</v>
      </c>
      <c r="E40" s="917" t="s">
        <v>4737</v>
      </c>
      <c r="F40" s="1810">
        <v>0</v>
      </c>
      <c r="G40" s="918" t="s">
        <v>390</v>
      </c>
      <c r="H40" s="919">
        <f t="shared" si="5"/>
        <v>0</v>
      </c>
      <c r="I40" s="919">
        <f t="shared" si="6"/>
        <v>0</v>
      </c>
      <c r="J40" s="919">
        <f t="shared" si="7"/>
        <v>0</v>
      </c>
      <c r="K40" s="920" t="s">
        <v>4738</v>
      </c>
      <c r="L40" s="941">
        <f t="shared" si="4"/>
        <v>0</v>
      </c>
    </row>
    <row r="41" spans="2:13">
      <c r="B41" s="916"/>
      <c r="C41" s="1811">
        <v>40730181</v>
      </c>
      <c r="D41" s="1812" t="s">
        <v>510</v>
      </c>
      <c r="E41" s="1811" t="s">
        <v>7149</v>
      </c>
      <c r="F41" s="1813">
        <v>116213.68</v>
      </c>
      <c r="G41" s="1814" t="s">
        <v>390</v>
      </c>
      <c r="H41" s="1815">
        <f t="shared" si="5"/>
        <v>0</v>
      </c>
      <c r="I41" s="1815">
        <f t="shared" si="6"/>
        <v>0</v>
      </c>
      <c r="J41" s="1815">
        <f t="shared" si="7"/>
        <v>116213.68</v>
      </c>
      <c r="K41" s="1816"/>
      <c r="L41" s="1818">
        <f t="shared" si="4"/>
        <v>0</v>
      </c>
      <c r="M41" s="1796" t="s">
        <v>973</v>
      </c>
    </row>
    <row r="42" spans="2:13">
      <c r="B42" s="916"/>
      <c r="C42" s="1811">
        <v>40730191</v>
      </c>
      <c r="D42" s="1812" t="s">
        <v>510</v>
      </c>
      <c r="E42" s="1811" t="s">
        <v>7148</v>
      </c>
      <c r="F42" s="1813">
        <v>242455.28</v>
      </c>
      <c r="G42" s="1814" t="s">
        <v>392</v>
      </c>
      <c r="H42" s="1815">
        <f t="shared" si="5"/>
        <v>242455.28</v>
      </c>
      <c r="I42" s="1815">
        <f t="shared" si="6"/>
        <v>0</v>
      </c>
      <c r="J42" s="1815">
        <f t="shared" si="7"/>
        <v>0</v>
      </c>
      <c r="K42" s="1816" t="s">
        <v>8015</v>
      </c>
      <c r="L42" s="1818">
        <f t="shared" si="4"/>
        <v>0</v>
      </c>
      <c r="M42" s="1796" t="s">
        <v>973</v>
      </c>
    </row>
    <row r="43" spans="2:13">
      <c r="B43" s="916"/>
      <c r="C43" s="1811">
        <v>40730192</v>
      </c>
      <c r="D43" s="1812" t="s">
        <v>510</v>
      </c>
      <c r="E43" s="1811" t="s">
        <v>7147</v>
      </c>
      <c r="F43" s="1813">
        <v>211503.52</v>
      </c>
      <c r="G43" s="1814" t="s">
        <v>392</v>
      </c>
      <c r="H43" s="1815">
        <f t="shared" si="5"/>
        <v>211503.52</v>
      </c>
      <c r="I43" s="1815">
        <f t="shared" si="6"/>
        <v>0</v>
      </c>
      <c r="J43" s="1815">
        <f t="shared" si="7"/>
        <v>0</v>
      </c>
      <c r="K43" s="1816" t="s">
        <v>8015</v>
      </c>
      <c r="L43" s="1818">
        <f t="shared" si="4"/>
        <v>0</v>
      </c>
      <c r="M43" s="1796" t="s">
        <v>973</v>
      </c>
    </row>
    <row r="44" spans="2:13">
      <c r="B44" s="916"/>
      <c r="C44" s="1811">
        <v>40730193</v>
      </c>
      <c r="D44" s="1812" t="s">
        <v>510</v>
      </c>
      <c r="E44" s="1811" t="s">
        <v>7146</v>
      </c>
      <c r="F44" s="1813">
        <v>0</v>
      </c>
      <c r="G44" s="1814" t="s">
        <v>392</v>
      </c>
      <c r="H44" s="1815">
        <f t="shared" si="5"/>
        <v>0</v>
      </c>
      <c r="I44" s="1815">
        <f t="shared" si="6"/>
        <v>0</v>
      </c>
      <c r="J44" s="1815">
        <f t="shared" si="7"/>
        <v>0</v>
      </c>
      <c r="K44" s="1816" t="s">
        <v>8015</v>
      </c>
      <c r="L44" s="1818">
        <f t="shared" si="4"/>
        <v>0</v>
      </c>
      <c r="M44" s="1796" t="s">
        <v>973</v>
      </c>
    </row>
    <row r="45" spans="2:13">
      <c r="B45" s="923"/>
      <c r="C45" s="923"/>
      <c r="D45" s="923"/>
      <c r="E45" s="923" t="s">
        <v>104</v>
      </c>
      <c r="F45" s="1105">
        <f>SUM(F8:F44)</f>
        <v>66572207.259999998</v>
      </c>
      <c r="G45" s="923"/>
      <c r="H45" s="924">
        <f>SUM(H8:H44)</f>
        <v>35561739.260000005</v>
      </c>
      <c r="I45" s="924">
        <f>SUM(I8:I44)</f>
        <v>0</v>
      </c>
      <c r="J45" s="924">
        <f>SUM(J8:J44)</f>
        <v>31010467.999999996</v>
      </c>
      <c r="K45" s="923"/>
      <c r="L45" s="941">
        <f>F45-SUM(H45:J45)</f>
        <v>0</v>
      </c>
    </row>
    <row r="46" spans="2:13" ht="12" thickBot="1">
      <c r="E46" s="874" t="s">
        <v>4681</v>
      </c>
      <c r="F46" s="875">
        <v>61802932.030000001</v>
      </c>
    </row>
    <row r="47" spans="2:13" ht="12" thickTop="1">
      <c r="E47" s="876" t="s">
        <v>929</v>
      </c>
      <c r="F47" s="1780">
        <f>F45-F46-F19</f>
        <v>0</v>
      </c>
      <c r="G47" s="941">
        <f>'FERC p114-117a Income'!H24-F45</f>
        <v>-0.25999999791383743</v>
      </c>
      <c r="H47" s="904" t="s">
        <v>4739</v>
      </c>
      <c r="I47" s="1784"/>
    </row>
    <row r="48" spans="2:13">
      <c r="F48" s="925"/>
    </row>
    <row r="49" spans="1:13">
      <c r="A49" s="846" t="s">
        <v>4589</v>
      </c>
      <c r="B49" s="846"/>
      <c r="C49" s="846"/>
      <c r="D49" s="1717"/>
      <c r="E49" s="926"/>
      <c r="F49" s="926"/>
    </row>
    <row r="50" spans="1:13">
      <c r="A50" s="846" t="s">
        <v>4740</v>
      </c>
      <c r="B50" s="846"/>
      <c r="C50" s="846"/>
      <c r="D50" s="1717"/>
      <c r="E50" s="926"/>
      <c r="F50" s="926"/>
    </row>
    <row r="51" spans="1:13">
      <c r="A51" s="846" t="s">
        <v>8125</v>
      </c>
      <c r="B51" s="846"/>
      <c r="C51" s="846"/>
      <c r="D51" s="1717"/>
      <c r="E51" s="846"/>
      <c r="F51" s="926"/>
    </row>
    <row r="52" spans="1:13">
      <c r="B52" s="926"/>
      <c r="C52" s="926"/>
      <c r="D52" s="926"/>
      <c r="E52" s="926"/>
      <c r="F52" s="926"/>
    </row>
    <row r="53" spans="1:13">
      <c r="D53" s="910" t="s">
        <v>565</v>
      </c>
    </row>
    <row r="54" spans="1:13">
      <c r="B54" s="910" t="s">
        <v>4741</v>
      </c>
    </row>
    <row r="55" spans="1:13" s="913" customFormat="1">
      <c r="B55" s="911"/>
      <c r="C55" s="911"/>
      <c r="D55" s="911"/>
      <c r="E55" s="911"/>
      <c r="F55" s="912" t="s">
        <v>4742</v>
      </c>
      <c r="G55" s="910"/>
      <c r="H55" s="910"/>
      <c r="I55" s="910"/>
      <c r="J55" s="910"/>
      <c r="K55" s="910"/>
      <c r="L55" s="910"/>
    </row>
    <row r="56" spans="1:13">
      <c r="B56" s="914" t="s">
        <v>3790</v>
      </c>
      <c r="C56" s="914" t="s">
        <v>4684</v>
      </c>
      <c r="D56" s="914"/>
      <c r="E56" s="914" t="s">
        <v>4593</v>
      </c>
      <c r="F56" s="914" t="s">
        <v>4743</v>
      </c>
      <c r="G56" s="927" t="s">
        <v>4686</v>
      </c>
      <c r="H56" s="881" t="s">
        <v>105</v>
      </c>
      <c r="I56" s="881" t="s">
        <v>106</v>
      </c>
      <c r="J56" s="884" t="s">
        <v>347</v>
      </c>
      <c r="K56" s="881" t="s">
        <v>4595</v>
      </c>
      <c r="L56" s="915" t="s">
        <v>2289</v>
      </c>
    </row>
    <row r="57" spans="1:13">
      <c r="B57" s="1716">
        <v>407.4</v>
      </c>
      <c r="C57" s="1857">
        <v>40740002</v>
      </c>
      <c r="D57" s="1842" t="s">
        <v>894</v>
      </c>
      <c r="E57" s="1857" t="s">
        <v>8111</v>
      </c>
      <c r="F57" s="1843">
        <v>0</v>
      </c>
      <c r="G57" s="1858" t="s">
        <v>950</v>
      </c>
      <c r="H57" s="1843"/>
      <c r="I57" s="1843"/>
      <c r="J57" s="1843"/>
      <c r="K57" s="1845"/>
      <c r="L57" s="938">
        <f t="shared" ref="L57:L61" si="8">F57-SUM(H57:J57)</f>
        <v>0</v>
      </c>
      <c r="M57" s="1796" t="s">
        <v>973</v>
      </c>
    </row>
    <row r="58" spans="1:13">
      <c r="B58" s="1848"/>
      <c r="C58" s="1857">
        <v>40740003</v>
      </c>
      <c r="D58" s="1842" t="s">
        <v>894</v>
      </c>
      <c r="E58" s="1857" t="s">
        <v>8112</v>
      </c>
      <c r="F58" s="1843">
        <v>0</v>
      </c>
      <c r="G58" s="1858" t="s">
        <v>950</v>
      </c>
      <c r="H58" s="1843"/>
      <c r="I58" s="1843"/>
      <c r="J58" s="1843"/>
      <c r="K58" s="1845"/>
      <c r="L58" s="938">
        <f t="shared" si="8"/>
        <v>0</v>
      </c>
      <c r="M58" s="1796" t="s">
        <v>973</v>
      </c>
    </row>
    <row r="59" spans="1:13">
      <c r="B59" s="1848"/>
      <c r="C59" s="1857">
        <v>40740004</v>
      </c>
      <c r="D59" s="1842" t="s">
        <v>894</v>
      </c>
      <c r="E59" s="1857" t="s">
        <v>8113</v>
      </c>
      <c r="F59" s="1843">
        <v>0</v>
      </c>
      <c r="G59" s="1858" t="s">
        <v>950</v>
      </c>
      <c r="H59" s="1843"/>
      <c r="I59" s="1843"/>
      <c r="J59" s="1843"/>
      <c r="K59" s="1845"/>
      <c r="L59" s="938">
        <f t="shared" si="8"/>
        <v>0</v>
      </c>
      <c r="M59" s="1796" t="s">
        <v>973</v>
      </c>
    </row>
    <row r="60" spans="1:13">
      <c r="B60" s="1848"/>
      <c r="C60" s="1811">
        <v>40740005</v>
      </c>
      <c r="D60" s="1812" t="s">
        <v>510</v>
      </c>
      <c r="E60" s="1811" t="s">
        <v>8099</v>
      </c>
      <c r="F60" s="1813">
        <v>-2817155.84</v>
      </c>
      <c r="G60" s="1814" t="s">
        <v>390</v>
      </c>
      <c r="H60" s="1815">
        <f t="shared" ref="H60:H67" si="9">VLOOKUP($G60,Ratio,2,FALSE)*$F60</f>
        <v>0</v>
      </c>
      <c r="I60" s="1815">
        <f t="shared" ref="I60:I67" si="10">VLOOKUP($G60,Ratio,3,FALSE)*$F60</f>
        <v>0</v>
      </c>
      <c r="J60" s="1815">
        <f t="shared" ref="J60:J67" si="11">VLOOKUP($G60,Ratio,4,FALSE)*$F60</f>
        <v>-2817155.84</v>
      </c>
      <c r="K60" s="1788"/>
      <c r="L60" s="938">
        <f t="shared" si="8"/>
        <v>0</v>
      </c>
      <c r="M60" s="1796" t="s">
        <v>973</v>
      </c>
    </row>
    <row r="61" spans="1:13">
      <c r="B61" s="1848"/>
      <c r="C61" s="1811">
        <v>40740007</v>
      </c>
      <c r="D61" s="1812" t="s">
        <v>510</v>
      </c>
      <c r="E61" s="1811" t="s">
        <v>8100</v>
      </c>
      <c r="F61" s="1813">
        <v>-2788497.14</v>
      </c>
      <c r="G61" s="1814" t="s">
        <v>390</v>
      </c>
      <c r="H61" s="1815">
        <f t="shared" si="9"/>
        <v>0</v>
      </c>
      <c r="I61" s="1815">
        <f t="shared" si="10"/>
        <v>0</v>
      </c>
      <c r="J61" s="1815">
        <f t="shared" si="11"/>
        <v>-2788497.14</v>
      </c>
      <c r="K61" s="1788"/>
      <c r="L61" s="938">
        <f t="shared" si="8"/>
        <v>0</v>
      </c>
      <c r="M61" s="1796" t="s">
        <v>973</v>
      </c>
    </row>
    <row r="62" spans="1:13">
      <c r="B62" s="1848"/>
      <c r="C62" s="1857">
        <v>40740009</v>
      </c>
      <c r="D62" s="1842" t="s">
        <v>894</v>
      </c>
      <c r="E62" s="1857" t="s">
        <v>8114</v>
      </c>
      <c r="F62" s="1843">
        <v>0</v>
      </c>
      <c r="G62" s="1858" t="s">
        <v>950</v>
      </c>
      <c r="H62" s="1843"/>
      <c r="I62" s="1843"/>
      <c r="J62" s="1843"/>
      <c r="K62" s="1845"/>
      <c r="L62" s="938"/>
      <c r="M62" s="1796" t="s">
        <v>973</v>
      </c>
    </row>
    <row r="63" spans="1:13">
      <c r="B63" s="1848"/>
      <c r="C63" s="1811">
        <v>40740010</v>
      </c>
      <c r="D63" s="1812" t="s">
        <v>510</v>
      </c>
      <c r="E63" s="1811" t="s">
        <v>8101</v>
      </c>
      <c r="F63" s="1813">
        <v>-58875</v>
      </c>
      <c r="G63" s="1814" t="s">
        <v>390</v>
      </c>
      <c r="H63" s="1815">
        <f t="shared" si="9"/>
        <v>0</v>
      </c>
      <c r="I63" s="1815">
        <f t="shared" si="10"/>
        <v>0</v>
      </c>
      <c r="J63" s="1815">
        <f t="shared" si="11"/>
        <v>-58875</v>
      </c>
      <c r="K63" s="1788"/>
      <c r="L63" s="938">
        <f t="shared" ref="L63:L67" si="12">F63-SUM(H63:J63)</f>
        <v>0</v>
      </c>
      <c r="M63" s="1796" t="s">
        <v>973</v>
      </c>
    </row>
    <row r="64" spans="1:13">
      <c r="B64" s="1848"/>
      <c r="C64" s="1811">
        <v>40740022</v>
      </c>
      <c r="D64" s="1812" t="s">
        <v>4744</v>
      </c>
      <c r="E64" s="1811" t="s">
        <v>8115</v>
      </c>
      <c r="F64" s="1813">
        <v>0</v>
      </c>
      <c r="G64" s="1814" t="s">
        <v>390</v>
      </c>
      <c r="H64" s="1815">
        <f t="shared" si="9"/>
        <v>0</v>
      </c>
      <c r="I64" s="1815">
        <f t="shared" si="10"/>
        <v>0</v>
      </c>
      <c r="J64" s="1815">
        <f t="shared" si="11"/>
        <v>0</v>
      </c>
      <c r="K64" s="1788"/>
      <c r="L64" s="938">
        <f t="shared" si="12"/>
        <v>0</v>
      </c>
      <c r="M64" s="1796" t="s">
        <v>973</v>
      </c>
    </row>
    <row r="65" spans="1:16">
      <c r="B65" s="1822"/>
      <c r="C65" s="1811">
        <v>40740030</v>
      </c>
      <c r="D65" s="1812" t="s">
        <v>510</v>
      </c>
      <c r="E65" s="1811" t="s">
        <v>8102</v>
      </c>
      <c r="F65" s="1813">
        <v>-173248</v>
      </c>
      <c r="G65" s="1814" t="s">
        <v>390</v>
      </c>
      <c r="H65" s="1815">
        <f t="shared" si="9"/>
        <v>0</v>
      </c>
      <c r="I65" s="1815">
        <f t="shared" si="10"/>
        <v>0</v>
      </c>
      <c r="J65" s="1815">
        <f t="shared" si="11"/>
        <v>-173248</v>
      </c>
      <c r="K65" s="1788"/>
      <c r="L65" s="938">
        <f t="shared" si="12"/>
        <v>0</v>
      </c>
      <c r="M65" s="1796" t="s">
        <v>973</v>
      </c>
    </row>
    <row r="66" spans="1:16">
      <c r="B66" s="1822"/>
      <c r="C66" s="1811">
        <v>40740056</v>
      </c>
      <c r="D66" s="1812" t="s">
        <v>510</v>
      </c>
      <c r="E66" s="1811" t="s">
        <v>8103</v>
      </c>
      <c r="F66" s="1813">
        <v>-169592</v>
      </c>
      <c r="G66" s="1814" t="s">
        <v>390</v>
      </c>
      <c r="H66" s="1815">
        <f t="shared" si="9"/>
        <v>0</v>
      </c>
      <c r="I66" s="1815">
        <f t="shared" si="10"/>
        <v>0</v>
      </c>
      <c r="J66" s="1815">
        <f t="shared" si="11"/>
        <v>-169592</v>
      </c>
      <c r="K66" s="1788"/>
      <c r="L66" s="938">
        <f t="shared" si="12"/>
        <v>0</v>
      </c>
      <c r="M66" s="1796" t="s">
        <v>973</v>
      </c>
    </row>
    <row r="67" spans="1:16">
      <c r="B67" s="1822"/>
      <c r="C67" s="1811">
        <v>40740077</v>
      </c>
      <c r="D67" s="1812" t="s">
        <v>510</v>
      </c>
      <c r="E67" s="1811" t="s">
        <v>8104</v>
      </c>
      <c r="F67" s="1813">
        <v>-2500870.64</v>
      </c>
      <c r="G67" s="1814" t="s">
        <v>390</v>
      </c>
      <c r="H67" s="1815">
        <f t="shared" si="9"/>
        <v>0</v>
      </c>
      <c r="I67" s="1815">
        <f t="shared" si="10"/>
        <v>0</v>
      </c>
      <c r="J67" s="1815">
        <f t="shared" si="11"/>
        <v>-2500870.64</v>
      </c>
      <c r="K67" s="1788"/>
      <c r="L67" s="938">
        <f t="shared" si="12"/>
        <v>0</v>
      </c>
      <c r="M67" s="1796" t="s">
        <v>973</v>
      </c>
    </row>
    <row r="68" spans="1:16">
      <c r="B68" s="1848"/>
      <c r="C68" s="1848">
        <v>40740079</v>
      </c>
      <c r="D68" s="1848" t="s">
        <v>4744</v>
      </c>
      <c r="E68" s="1848" t="s">
        <v>4745</v>
      </c>
      <c r="F68" s="1100">
        <v>0</v>
      </c>
      <c r="G68" s="1849" t="s">
        <v>392</v>
      </c>
      <c r="H68" s="1092">
        <f t="shared" ref="H68:H97" si="13">VLOOKUP($G68,Ratio,2,FALSE)*$F68</f>
        <v>0</v>
      </c>
      <c r="I68" s="1092">
        <f t="shared" ref="I68:I97" si="14">VLOOKUP($G68,Ratio,3,FALSE)*$F68</f>
        <v>0</v>
      </c>
      <c r="J68" s="1092">
        <f t="shared" ref="J68:J97" si="15">VLOOKUP($G68,Ratio,4,FALSE)*$F68</f>
        <v>0</v>
      </c>
      <c r="K68" s="930"/>
      <c r="L68" s="938">
        <f t="shared" ref="L68:L97" si="16">F68-SUM(H68:J68)</f>
        <v>0</v>
      </c>
    </row>
    <row r="69" spans="1:16">
      <c r="B69" s="1724"/>
      <c r="C69" s="1724">
        <v>40740081</v>
      </c>
      <c r="D69" s="1724" t="s">
        <v>510</v>
      </c>
      <c r="E69" s="1724" t="s">
        <v>4746</v>
      </c>
      <c r="F69" s="1809">
        <v>0</v>
      </c>
      <c r="G69" s="1725" t="s">
        <v>390</v>
      </c>
      <c r="H69" s="1847">
        <f t="shared" si="13"/>
        <v>0</v>
      </c>
      <c r="I69" s="1847">
        <f t="shared" si="14"/>
        <v>0</v>
      </c>
      <c r="J69" s="1847">
        <f t="shared" si="15"/>
        <v>0</v>
      </c>
      <c r="K69" s="930"/>
      <c r="L69" s="938">
        <f t="shared" si="16"/>
        <v>0</v>
      </c>
    </row>
    <row r="70" spans="1:16">
      <c r="B70" s="916"/>
      <c r="C70" s="916">
        <v>40740082</v>
      </c>
      <c r="D70" s="916" t="s">
        <v>510</v>
      </c>
      <c r="E70" s="916" t="s">
        <v>4747</v>
      </c>
      <c r="F70" s="1810">
        <v>-60212.35</v>
      </c>
      <c r="G70" s="918" t="s">
        <v>390</v>
      </c>
      <c r="H70" s="929">
        <f t="shared" si="13"/>
        <v>0</v>
      </c>
      <c r="I70" s="929">
        <f t="shared" si="14"/>
        <v>0</v>
      </c>
      <c r="J70" s="929">
        <f t="shared" si="15"/>
        <v>-60212.35</v>
      </c>
      <c r="K70" s="930"/>
      <c r="L70" s="938">
        <f t="shared" si="16"/>
        <v>0</v>
      </c>
    </row>
    <row r="71" spans="1:16">
      <c r="B71" s="916"/>
      <c r="C71" s="916">
        <v>40740091</v>
      </c>
      <c r="D71" s="916" t="s">
        <v>4716</v>
      </c>
      <c r="E71" s="916" t="s">
        <v>4748</v>
      </c>
      <c r="F71" s="1810">
        <v>0</v>
      </c>
      <c r="G71" s="918" t="s">
        <v>392</v>
      </c>
      <c r="H71" s="929">
        <f t="shared" si="13"/>
        <v>0</v>
      </c>
      <c r="I71" s="929">
        <f t="shared" si="14"/>
        <v>0</v>
      </c>
      <c r="J71" s="929">
        <f t="shared" si="15"/>
        <v>0</v>
      </c>
      <c r="K71" s="930"/>
      <c r="L71" s="938">
        <f t="shared" si="16"/>
        <v>0</v>
      </c>
    </row>
    <row r="72" spans="1:16">
      <c r="B72" s="916"/>
      <c r="C72" s="916">
        <v>40740111</v>
      </c>
      <c r="D72" s="916" t="s">
        <v>510</v>
      </c>
      <c r="E72" s="916" t="s">
        <v>4749</v>
      </c>
      <c r="F72" s="1810">
        <v>136.96</v>
      </c>
      <c r="G72" s="918" t="s">
        <v>392</v>
      </c>
      <c r="H72" s="929">
        <f t="shared" si="13"/>
        <v>136.96</v>
      </c>
      <c r="I72" s="929">
        <f t="shared" si="14"/>
        <v>0</v>
      </c>
      <c r="J72" s="929">
        <f t="shared" si="15"/>
        <v>0</v>
      </c>
      <c r="K72" s="930"/>
      <c r="L72" s="938">
        <f t="shared" si="16"/>
        <v>0</v>
      </c>
    </row>
    <row r="73" spans="1:16">
      <c r="B73" s="916"/>
      <c r="C73" s="916">
        <v>40740121</v>
      </c>
      <c r="D73" s="916" t="s">
        <v>510</v>
      </c>
      <c r="E73" s="916" t="s">
        <v>4750</v>
      </c>
      <c r="F73" s="1810">
        <v>0</v>
      </c>
      <c r="G73" s="918" t="s">
        <v>390</v>
      </c>
      <c r="H73" s="929">
        <f t="shared" si="13"/>
        <v>0</v>
      </c>
      <c r="I73" s="929">
        <f t="shared" si="14"/>
        <v>0</v>
      </c>
      <c r="J73" s="929">
        <f t="shared" si="15"/>
        <v>0</v>
      </c>
      <c r="K73" s="930"/>
      <c r="L73" s="938">
        <f t="shared" si="16"/>
        <v>0</v>
      </c>
    </row>
    <row r="74" spans="1:16">
      <c r="B74" s="916"/>
      <c r="C74" s="916">
        <v>40740122</v>
      </c>
      <c r="D74" s="916" t="s">
        <v>510</v>
      </c>
      <c r="E74" s="916" t="s">
        <v>4751</v>
      </c>
      <c r="F74" s="1810">
        <v>-9890.07</v>
      </c>
      <c r="G74" s="918" t="s">
        <v>390</v>
      </c>
      <c r="H74" s="929">
        <f t="shared" si="13"/>
        <v>0</v>
      </c>
      <c r="I74" s="929">
        <f t="shared" si="14"/>
        <v>0</v>
      </c>
      <c r="J74" s="929">
        <f t="shared" si="15"/>
        <v>-9890.07</v>
      </c>
      <c r="K74" s="930"/>
      <c r="L74" s="938">
        <f t="shared" si="16"/>
        <v>0</v>
      </c>
    </row>
    <row r="75" spans="1:16" s="931" customFormat="1" ht="11.45" customHeight="1">
      <c r="A75" s="910"/>
      <c r="B75" s="916"/>
      <c r="C75" s="1842">
        <v>40740132</v>
      </c>
      <c r="D75" s="1842" t="s">
        <v>894</v>
      </c>
      <c r="E75" s="1842" t="s">
        <v>8116</v>
      </c>
      <c r="F75" s="1843">
        <v>-3230616.38</v>
      </c>
      <c r="G75" s="1846" t="s">
        <v>950</v>
      </c>
      <c r="H75" s="1844"/>
      <c r="I75" s="1844"/>
      <c r="J75" s="1844"/>
      <c r="K75" s="1845"/>
      <c r="L75" s="938"/>
      <c r="M75" s="1796" t="s">
        <v>973</v>
      </c>
      <c r="N75" s="910"/>
      <c r="O75" s="910"/>
      <c r="P75" s="910"/>
    </row>
    <row r="76" spans="1:16">
      <c r="B76" s="916"/>
      <c r="C76" s="916">
        <v>40740160</v>
      </c>
      <c r="D76" s="916" t="s">
        <v>4716</v>
      </c>
      <c r="E76" s="916" t="s">
        <v>4752</v>
      </c>
      <c r="F76" s="1810">
        <v>0</v>
      </c>
      <c r="G76" s="918" t="s">
        <v>390</v>
      </c>
      <c r="H76" s="929">
        <f t="shared" si="13"/>
        <v>0</v>
      </c>
      <c r="I76" s="929">
        <f t="shared" si="14"/>
        <v>0</v>
      </c>
      <c r="J76" s="929">
        <f t="shared" si="15"/>
        <v>0</v>
      </c>
      <c r="K76" s="930"/>
      <c r="L76" s="938">
        <f t="shared" si="16"/>
        <v>0</v>
      </c>
    </row>
    <row r="77" spans="1:16">
      <c r="B77" s="916"/>
      <c r="C77" s="916">
        <v>40740161</v>
      </c>
      <c r="D77" s="916" t="s">
        <v>4716</v>
      </c>
      <c r="E77" s="916" t="s">
        <v>4753</v>
      </c>
      <c r="F77" s="1810">
        <v>0</v>
      </c>
      <c r="G77" s="918" t="s">
        <v>390</v>
      </c>
      <c r="H77" s="929">
        <f t="shared" si="13"/>
        <v>0</v>
      </c>
      <c r="I77" s="929">
        <f t="shared" si="14"/>
        <v>0</v>
      </c>
      <c r="J77" s="929">
        <f t="shared" si="15"/>
        <v>0</v>
      </c>
      <c r="K77" s="930"/>
      <c r="L77" s="938">
        <f t="shared" si="16"/>
        <v>0</v>
      </c>
    </row>
    <row r="78" spans="1:16">
      <c r="B78" s="916"/>
      <c r="C78" s="916">
        <v>40740171</v>
      </c>
      <c r="D78" s="916" t="s">
        <v>4716</v>
      </c>
      <c r="E78" s="916" t="s">
        <v>4754</v>
      </c>
      <c r="F78" s="1810">
        <v>0</v>
      </c>
      <c r="G78" s="918" t="s">
        <v>390</v>
      </c>
      <c r="H78" s="929">
        <f t="shared" si="13"/>
        <v>0</v>
      </c>
      <c r="I78" s="929">
        <f t="shared" si="14"/>
        <v>0</v>
      </c>
      <c r="J78" s="929">
        <f t="shared" si="15"/>
        <v>0</v>
      </c>
      <c r="K78" s="930"/>
      <c r="L78" s="938">
        <f t="shared" si="16"/>
        <v>0</v>
      </c>
      <c r="M78" s="931"/>
      <c r="N78" s="931"/>
    </row>
    <row r="79" spans="1:16">
      <c r="B79" s="916"/>
      <c r="C79" s="916">
        <v>40740180</v>
      </c>
      <c r="D79" s="916" t="s">
        <v>4716</v>
      </c>
      <c r="E79" s="916" t="s">
        <v>4755</v>
      </c>
      <c r="F79" s="1810">
        <v>0</v>
      </c>
      <c r="G79" s="918" t="s">
        <v>390</v>
      </c>
      <c r="H79" s="929">
        <f t="shared" si="13"/>
        <v>0</v>
      </c>
      <c r="I79" s="929">
        <f t="shared" si="14"/>
        <v>0</v>
      </c>
      <c r="J79" s="929">
        <f t="shared" si="15"/>
        <v>0</v>
      </c>
      <c r="K79" s="930"/>
      <c r="L79" s="938">
        <f t="shared" si="16"/>
        <v>0</v>
      </c>
      <c r="M79" s="931"/>
      <c r="N79" s="931"/>
    </row>
    <row r="80" spans="1:16">
      <c r="B80" s="916"/>
      <c r="C80" s="916">
        <v>40740181</v>
      </c>
      <c r="D80" s="916" t="s">
        <v>4716</v>
      </c>
      <c r="E80" s="916" t="s">
        <v>4756</v>
      </c>
      <c r="F80" s="1810">
        <v>0</v>
      </c>
      <c r="G80" s="918" t="s">
        <v>390</v>
      </c>
      <c r="H80" s="929">
        <f t="shared" si="13"/>
        <v>0</v>
      </c>
      <c r="I80" s="929">
        <f t="shared" si="14"/>
        <v>0</v>
      </c>
      <c r="J80" s="929">
        <f t="shared" si="15"/>
        <v>0</v>
      </c>
      <c r="K80" s="930"/>
      <c r="L80" s="938">
        <f t="shared" si="16"/>
        <v>0</v>
      </c>
      <c r="M80" s="931"/>
      <c r="N80" s="931"/>
    </row>
    <row r="81" spans="1:16">
      <c r="B81" s="916"/>
      <c r="C81" s="916">
        <v>40740191</v>
      </c>
      <c r="D81" s="916" t="s">
        <v>4716</v>
      </c>
      <c r="E81" s="916" t="s">
        <v>4757</v>
      </c>
      <c r="F81" s="1810">
        <v>0</v>
      </c>
      <c r="G81" s="918" t="s">
        <v>390</v>
      </c>
      <c r="H81" s="929">
        <f t="shared" si="13"/>
        <v>0</v>
      </c>
      <c r="I81" s="929">
        <f t="shared" si="14"/>
        <v>0</v>
      </c>
      <c r="J81" s="929">
        <f t="shared" si="15"/>
        <v>0</v>
      </c>
      <c r="K81" s="930"/>
      <c r="L81" s="938">
        <f t="shared" si="16"/>
        <v>0</v>
      </c>
      <c r="M81" s="931"/>
      <c r="N81" s="931"/>
    </row>
    <row r="82" spans="1:16">
      <c r="B82" s="916"/>
      <c r="C82" s="916">
        <v>40740201</v>
      </c>
      <c r="D82" s="916" t="s">
        <v>4716</v>
      </c>
      <c r="E82" s="916" t="s">
        <v>4758</v>
      </c>
      <c r="F82" s="1810">
        <v>0</v>
      </c>
      <c r="G82" s="918" t="s">
        <v>390</v>
      </c>
      <c r="H82" s="929">
        <f t="shared" si="13"/>
        <v>0</v>
      </c>
      <c r="I82" s="929">
        <f t="shared" si="14"/>
        <v>0</v>
      </c>
      <c r="J82" s="929">
        <f t="shared" si="15"/>
        <v>0</v>
      </c>
      <c r="K82" s="930"/>
      <c r="L82" s="938">
        <f t="shared" si="16"/>
        <v>0</v>
      </c>
      <c r="M82" s="931"/>
      <c r="N82" s="931"/>
    </row>
    <row r="83" spans="1:16">
      <c r="B83" s="916"/>
      <c r="C83" s="916">
        <v>40740211</v>
      </c>
      <c r="D83" s="916" t="s">
        <v>510</v>
      </c>
      <c r="E83" s="916" t="s">
        <v>4759</v>
      </c>
      <c r="F83" s="1810">
        <v>0</v>
      </c>
      <c r="G83" s="918" t="s">
        <v>390</v>
      </c>
      <c r="H83" s="929">
        <f t="shared" si="13"/>
        <v>0</v>
      </c>
      <c r="I83" s="929">
        <f t="shared" si="14"/>
        <v>0</v>
      </c>
      <c r="J83" s="929">
        <f t="shared" si="15"/>
        <v>0</v>
      </c>
      <c r="K83" s="1726" t="s">
        <v>4760</v>
      </c>
      <c r="L83" s="938">
        <f t="shared" si="16"/>
        <v>0</v>
      </c>
      <c r="M83" s="931"/>
      <c r="N83" s="931"/>
    </row>
    <row r="84" spans="1:16">
      <c r="B84" s="916"/>
      <c r="C84" s="916">
        <v>40740221</v>
      </c>
      <c r="D84" s="916" t="s">
        <v>510</v>
      </c>
      <c r="E84" s="916" t="s">
        <v>4761</v>
      </c>
      <c r="F84" s="1810">
        <v>0</v>
      </c>
      <c r="G84" s="918" t="s">
        <v>390</v>
      </c>
      <c r="H84" s="929">
        <f t="shared" si="13"/>
        <v>0</v>
      </c>
      <c r="I84" s="929">
        <f t="shared" si="14"/>
        <v>0</v>
      </c>
      <c r="J84" s="929">
        <f t="shared" si="15"/>
        <v>0</v>
      </c>
      <c r="K84" s="1726" t="s">
        <v>4762</v>
      </c>
      <c r="L84" s="938">
        <f t="shared" si="16"/>
        <v>0</v>
      </c>
    </row>
    <row r="85" spans="1:16">
      <c r="B85" s="916"/>
      <c r="C85" s="916">
        <v>40740231</v>
      </c>
      <c r="D85" s="916" t="s">
        <v>510</v>
      </c>
      <c r="E85" s="932" t="s">
        <v>4763</v>
      </c>
      <c r="F85" s="1810">
        <v>0</v>
      </c>
      <c r="G85" s="918" t="s">
        <v>390</v>
      </c>
      <c r="H85" s="929">
        <f t="shared" si="13"/>
        <v>0</v>
      </c>
      <c r="I85" s="929">
        <f t="shared" si="14"/>
        <v>0</v>
      </c>
      <c r="J85" s="929">
        <f t="shared" si="15"/>
        <v>0</v>
      </c>
      <c r="K85" s="1726" t="s">
        <v>4764</v>
      </c>
      <c r="L85" s="938">
        <f t="shared" si="16"/>
        <v>0</v>
      </c>
    </row>
    <row r="86" spans="1:16">
      <c r="B86" s="916"/>
      <c r="C86" s="916">
        <v>40740241</v>
      </c>
      <c r="D86" s="916" t="s">
        <v>510</v>
      </c>
      <c r="E86" s="916" t="s">
        <v>4765</v>
      </c>
      <c r="F86" s="1810">
        <v>3364857.94</v>
      </c>
      <c r="G86" s="918" t="s">
        <v>390</v>
      </c>
      <c r="H86" s="929">
        <f t="shared" si="13"/>
        <v>0</v>
      </c>
      <c r="I86" s="929">
        <f t="shared" si="14"/>
        <v>0</v>
      </c>
      <c r="J86" s="929">
        <f t="shared" si="15"/>
        <v>3364857.94</v>
      </c>
      <c r="K86" s="1726" t="s">
        <v>4766</v>
      </c>
      <c r="L86" s="938">
        <f t="shared" si="16"/>
        <v>0</v>
      </c>
    </row>
    <row r="87" spans="1:16">
      <c r="B87" s="916"/>
      <c r="C87" s="1811">
        <v>40740261</v>
      </c>
      <c r="D87" s="1812" t="s">
        <v>510</v>
      </c>
      <c r="E87" s="1811" t="s">
        <v>7150</v>
      </c>
      <c r="F87" s="1813">
        <v>-2712184.8</v>
      </c>
      <c r="G87" s="1814" t="s">
        <v>390</v>
      </c>
      <c r="H87" s="1815">
        <f t="shared" si="13"/>
        <v>0</v>
      </c>
      <c r="I87" s="1815">
        <f t="shared" si="14"/>
        <v>0</v>
      </c>
      <c r="J87" s="1815">
        <f t="shared" si="15"/>
        <v>-2712184.8</v>
      </c>
      <c r="K87" s="1788"/>
      <c r="L87" s="938">
        <f t="shared" si="16"/>
        <v>0</v>
      </c>
      <c r="M87" s="1796" t="s">
        <v>973</v>
      </c>
    </row>
    <row r="88" spans="1:16" s="931" customFormat="1" ht="11.45" customHeight="1">
      <c r="A88" s="910"/>
      <c r="B88" s="916"/>
      <c r="C88" s="1811">
        <v>40740271</v>
      </c>
      <c r="D88" s="1812" t="s">
        <v>4744</v>
      </c>
      <c r="E88" s="1811" t="s">
        <v>8105</v>
      </c>
      <c r="F88" s="1813">
        <v>0</v>
      </c>
      <c r="G88" s="1814" t="s">
        <v>392</v>
      </c>
      <c r="H88" s="1815">
        <f t="shared" si="13"/>
        <v>0</v>
      </c>
      <c r="I88" s="1815">
        <f t="shared" si="14"/>
        <v>0</v>
      </c>
      <c r="J88" s="1815">
        <f t="shared" si="15"/>
        <v>0</v>
      </c>
      <c r="K88" s="1816" t="s">
        <v>8015</v>
      </c>
      <c r="L88" s="938">
        <f t="shared" si="16"/>
        <v>0</v>
      </c>
      <c r="M88" s="1796" t="s">
        <v>973</v>
      </c>
      <c r="N88" s="910"/>
      <c r="O88" s="910"/>
      <c r="P88" s="910"/>
    </row>
    <row r="89" spans="1:16" s="931" customFormat="1" ht="11.45" customHeight="1">
      <c r="A89" s="910"/>
      <c r="B89" s="916"/>
      <c r="C89" s="1811">
        <v>40740272</v>
      </c>
      <c r="D89" s="1812" t="s">
        <v>4744</v>
      </c>
      <c r="E89" s="1811" t="s">
        <v>8106</v>
      </c>
      <c r="F89" s="1813">
        <v>0</v>
      </c>
      <c r="G89" s="1814" t="s">
        <v>392</v>
      </c>
      <c r="H89" s="1815">
        <f t="shared" si="13"/>
        <v>0</v>
      </c>
      <c r="I89" s="1815">
        <f t="shared" si="14"/>
        <v>0</v>
      </c>
      <c r="J89" s="1815">
        <f t="shared" si="15"/>
        <v>0</v>
      </c>
      <c r="K89" s="1816" t="s">
        <v>8015</v>
      </c>
      <c r="L89" s="938">
        <f t="shared" si="16"/>
        <v>0</v>
      </c>
      <c r="M89" s="1796" t="s">
        <v>973</v>
      </c>
      <c r="N89" s="910"/>
      <c r="O89" s="910"/>
      <c r="P89" s="910"/>
    </row>
    <row r="90" spans="1:16" s="931" customFormat="1" ht="11.45" customHeight="1">
      <c r="A90" s="910"/>
      <c r="B90" s="916"/>
      <c r="C90" s="1811">
        <v>40740273</v>
      </c>
      <c r="D90" s="1812" t="s">
        <v>4744</v>
      </c>
      <c r="E90" s="1811" t="s">
        <v>8107</v>
      </c>
      <c r="F90" s="1813">
        <v>0</v>
      </c>
      <c r="G90" s="1814" t="s">
        <v>392</v>
      </c>
      <c r="H90" s="1815">
        <f t="shared" si="13"/>
        <v>0</v>
      </c>
      <c r="I90" s="1815">
        <f t="shared" si="14"/>
        <v>0</v>
      </c>
      <c r="J90" s="1815">
        <f t="shared" si="15"/>
        <v>0</v>
      </c>
      <c r="K90" s="1816" t="s">
        <v>8015</v>
      </c>
      <c r="L90" s="938">
        <f t="shared" si="16"/>
        <v>0</v>
      </c>
      <c r="M90" s="1796" t="s">
        <v>973</v>
      </c>
      <c r="N90" s="910"/>
      <c r="O90" s="910"/>
      <c r="P90" s="910"/>
    </row>
    <row r="91" spans="1:16" s="931" customFormat="1" ht="11.45" customHeight="1">
      <c r="A91" s="910"/>
      <c r="B91" s="916"/>
      <c r="C91" s="1811">
        <v>40740275</v>
      </c>
      <c r="D91" s="1812" t="s">
        <v>510</v>
      </c>
      <c r="E91" s="1811" t="s">
        <v>8110</v>
      </c>
      <c r="F91" s="1813">
        <v>-76105127.420000002</v>
      </c>
      <c r="G91" s="1814" t="s">
        <v>392</v>
      </c>
      <c r="H91" s="1815">
        <f t="shared" si="13"/>
        <v>-76105127.420000002</v>
      </c>
      <c r="I91" s="1815">
        <f t="shared" si="14"/>
        <v>0</v>
      </c>
      <c r="J91" s="1815">
        <f t="shared" si="15"/>
        <v>0</v>
      </c>
      <c r="K91" s="1816" t="s">
        <v>8015</v>
      </c>
      <c r="L91" s="938">
        <f t="shared" si="16"/>
        <v>0</v>
      </c>
      <c r="M91" s="1796" t="s">
        <v>973</v>
      </c>
      <c r="N91" s="910"/>
      <c r="O91" s="910"/>
      <c r="P91" s="910"/>
    </row>
    <row r="92" spans="1:16" s="931" customFormat="1" ht="11.45" customHeight="1">
      <c r="A92" s="910"/>
      <c r="B92" s="916"/>
      <c r="C92" s="1811">
        <v>40740276</v>
      </c>
      <c r="D92" s="1812" t="s">
        <v>510</v>
      </c>
      <c r="E92" s="1811" t="s">
        <v>8108</v>
      </c>
      <c r="F92" s="1813">
        <v>-261604.95</v>
      </c>
      <c r="G92" s="1814" t="s">
        <v>392</v>
      </c>
      <c r="H92" s="1815">
        <f t="shared" si="13"/>
        <v>-261604.95</v>
      </c>
      <c r="I92" s="1815">
        <f t="shared" si="14"/>
        <v>0</v>
      </c>
      <c r="J92" s="1815">
        <f t="shared" si="15"/>
        <v>0</v>
      </c>
      <c r="K92" s="1816" t="s">
        <v>8015</v>
      </c>
      <c r="L92" s="938">
        <f t="shared" si="16"/>
        <v>0</v>
      </c>
      <c r="M92" s="1796" t="s">
        <v>973</v>
      </c>
      <c r="N92" s="910"/>
      <c r="O92" s="910"/>
      <c r="P92" s="910"/>
    </row>
    <row r="93" spans="1:16" s="931" customFormat="1" ht="11.45" customHeight="1">
      <c r="A93" s="910"/>
      <c r="B93" s="916"/>
      <c r="C93" s="1811">
        <v>40740277</v>
      </c>
      <c r="D93" s="1812" t="s">
        <v>510</v>
      </c>
      <c r="E93" s="1811" t="s">
        <v>8109</v>
      </c>
      <c r="F93" s="1813">
        <v>-1612458.11</v>
      </c>
      <c r="G93" s="1814" t="s">
        <v>392</v>
      </c>
      <c r="H93" s="1815">
        <f t="shared" si="13"/>
        <v>-1612458.11</v>
      </c>
      <c r="I93" s="1815">
        <f t="shared" si="14"/>
        <v>0</v>
      </c>
      <c r="J93" s="1815">
        <f t="shared" si="15"/>
        <v>0</v>
      </c>
      <c r="K93" s="1816" t="s">
        <v>8015</v>
      </c>
      <c r="L93" s="938">
        <f t="shared" si="16"/>
        <v>0</v>
      </c>
      <c r="M93" s="1796" t="s">
        <v>973</v>
      </c>
      <c r="N93" s="910"/>
      <c r="O93" s="910"/>
      <c r="P93" s="910"/>
    </row>
    <row r="94" spans="1:16" s="931" customFormat="1" ht="11.45" customHeight="1">
      <c r="A94" s="910"/>
      <c r="B94" s="916"/>
      <c r="C94" s="1811">
        <v>40740278</v>
      </c>
      <c r="D94" s="1812" t="s">
        <v>510</v>
      </c>
      <c r="E94" s="1811" t="s">
        <v>8105</v>
      </c>
      <c r="F94" s="1813">
        <v>-11887791.65</v>
      </c>
      <c r="G94" s="1814" t="s">
        <v>392</v>
      </c>
      <c r="H94" s="1815">
        <f t="shared" si="13"/>
        <v>-11887791.65</v>
      </c>
      <c r="I94" s="1815">
        <f t="shared" si="14"/>
        <v>0</v>
      </c>
      <c r="J94" s="1815">
        <f t="shared" si="15"/>
        <v>0</v>
      </c>
      <c r="K94" s="1816" t="s">
        <v>8015</v>
      </c>
      <c r="L94" s="938">
        <f t="shared" si="16"/>
        <v>0</v>
      </c>
      <c r="M94" s="1796" t="s">
        <v>973</v>
      </c>
      <c r="N94" s="910"/>
      <c r="O94" s="910"/>
      <c r="P94" s="910"/>
    </row>
    <row r="95" spans="1:16" s="931" customFormat="1" ht="11.45" customHeight="1">
      <c r="A95" s="910"/>
      <c r="B95" s="916"/>
      <c r="C95" s="1811">
        <v>40740279</v>
      </c>
      <c r="D95" s="1812" t="s">
        <v>510</v>
      </c>
      <c r="E95" s="1811" t="s">
        <v>8096</v>
      </c>
      <c r="F95" s="1813">
        <v>-10049073</v>
      </c>
      <c r="G95" s="1814" t="s">
        <v>392</v>
      </c>
      <c r="H95" s="1815">
        <f t="shared" si="13"/>
        <v>-10049073</v>
      </c>
      <c r="I95" s="1815">
        <f t="shared" si="14"/>
        <v>0</v>
      </c>
      <c r="J95" s="1815">
        <f t="shared" si="15"/>
        <v>0</v>
      </c>
      <c r="K95" s="1816" t="s">
        <v>8015</v>
      </c>
      <c r="L95" s="938">
        <f t="shared" si="16"/>
        <v>0</v>
      </c>
      <c r="M95" s="1796" t="s">
        <v>973</v>
      </c>
      <c r="N95" s="910"/>
      <c r="O95" s="910"/>
      <c r="P95" s="910"/>
    </row>
    <row r="96" spans="1:16" s="931" customFormat="1" ht="11.45" customHeight="1">
      <c r="A96" s="910"/>
      <c r="B96" s="916"/>
      <c r="C96" s="1811">
        <v>40740280</v>
      </c>
      <c r="D96" s="1812" t="s">
        <v>510</v>
      </c>
      <c r="E96" s="1811" t="s">
        <v>8097</v>
      </c>
      <c r="F96" s="1813">
        <v>-1206852.24</v>
      </c>
      <c r="G96" s="1814" t="s">
        <v>392</v>
      </c>
      <c r="H96" s="1815">
        <f t="shared" si="13"/>
        <v>-1206852.24</v>
      </c>
      <c r="I96" s="1815">
        <f t="shared" si="14"/>
        <v>0</v>
      </c>
      <c r="J96" s="1815">
        <f t="shared" si="15"/>
        <v>0</v>
      </c>
      <c r="K96" s="1816" t="s">
        <v>8015</v>
      </c>
      <c r="L96" s="938">
        <f t="shared" si="16"/>
        <v>0</v>
      </c>
      <c r="M96" s="1796" t="s">
        <v>973</v>
      </c>
      <c r="N96" s="910"/>
      <c r="O96" s="910"/>
      <c r="P96" s="910"/>
    </row>
    <row r="97" spans="1:16" s="931" customFormat="1" ht="11.45" customHeight="1">
      <c r="A97" s="910"/>
      <c r="B97" s="916"/>
      <c r="C97" s="1811">
        <v>40740281</v>
      </c>
      <c r="D97" s="1812" t="s">
        <v>510</v>
      </c>
      <c r="E97" s="1811" t="s">
        <v>8098</v>
      </c>
      <c r="F97" s="1813">
        <v>-55261.06</v>
      </c>
      <c r="G97" s="1814" t="s">
        <v>392</v>
      </c>
      <c r="H97" s="1815">
        <f t="shared" si="13"/>
        <v>-55261.06</v>
      </c>
      <c r="I97" s="1815">
        <f t="shared" si="14"/>
        <v>0</v>
      </c>
      <c r="J97" s="1815">
        <f t="shared" si="15"/>
        <v>0</v>
      </c>
      <c r="K97" s="1816" t="s">
        <v>8015</v>
      </c>
      <c r="L97" s="938">
        <f t="shared" si="16"/>
        <v>0</v>
      </c>
      <c r="M97" s="1796" t="s">
        <v>973</v>
      </c>
      <c r="N97" s="910"/>
      <c r="O97" s="910"/>
      <c r="P97" s="910"/>
    </row>
    <row r="98" spans="1:16" s="931" customFormat="1" ht="11.45" customHeight="1">
      <c r="A98" s="910"/>
      <c r="B98" s="1848"/>
      <c r="C98" s="1857">
        <v>40740408</v>
      </c>
      <c r="D98" s="1842" t="s">
        <v>894</v>
      </c>
      <c r="E98" s="1857" t="s">
        <v>8118</v>
      </c>
      <c r="F98" s="1843">
        <v>-202132221</v>
      </c>
      <c r="G98" s="1858" t="s">
        <v>950</v>
      </c>
      <c r="H98" s="1843"/>
      <c r="I98" s="1843"/>
      <c r="J98" s="1843"/>
      <c r="K98" s="1845"/>
      <c r="L98" s="938"/>
      <c r="M98" s="1796" t="s">
        <v>973</v>
      </c>
      <c r="N98" s="910"/>
      <c r="O98" s="910"/>
      <c r="P98" s="910"/>
    </row>
    <row r="99" spans="1:16" s="931" customFormat="1" ht="11.45" customHeight="1">
      <c r="A99" s="910"/>
      <c r="B99" s="1848"/>
      <c r="C99" s="1857">
        <v>40740412</v>
      </c>
      <c r="D99" s="1842" t="s">
        <v>894</v>
      </c>
      <c r="E99" s="1857" t="s">
        <v>8119</v>
      </c>
      <c r="F99" s="1843">
        <v>1430927.66</v>
      </c>
      <c r="G99" s="1858" t="s">
        <v>950</v>
      </c>
      <c r="H99" s="1843"/>
      <c r="I99" s="1843"/>
      <c r="J99" s="1843"/>
      <c r="K99" s="1845"/>
      <c r="L99" s="938"/>
      <c r="M99" s="1796" t="s">
        <v>973</v>
      </c>
      <c r="N99" s="910"/>
      <c r="O99" s="910"/>
      <c r="P99" s="910"/>
    </row>
    <row r="100" spans="1:16" s="931" customFormat="1" ht="11.45" customHeight="1">
      <c r="A100" s="910"/>
      <c r="B100" s="1848"/>
      <c r="C100" s="1857">
        <v>40740420</v>
      </c>
      <c r="D100" s="1842" t="s">
        <v>894</v>
      </c>
      <c r="E100" s="1857" t="s">
        <v>8120</v>
      </c>
      <c r="F100" s="1843">
        <v>-71354793.280000001</v>
      </c>
      <c r="G100" s="1858" t="s">
        <v>950</v>
      </c>
      <c r="H100" s="1843"/>
      <c r="I100" s="1843"/>
      <c r="J100" s="1843"/>
      <c r="K100" s="1845"/>
      <c r="L100" s="938"/>
      <c r="M100" s="1796" t="s">
        <v>973</v>
      </c>
      <c r="N100" s="910"/>
      <c r="O100" s="910"/>
      <c r="P100" s="910"/>
    </row>
    <row r="101" spans="1:16" s="931" customFormat="1" ht="11.45" customHeight="1">
      <c r="A101" s="910"/>
      <c r="B101" s="1848"/>
      <c r="C101" s="1857">
        <v>40740604</v>
      </c>
      <c r="D101" s="1842" t="s">
        <v>894</v>
      </c>
      <c r="E101" s="1857" t="s">
        <v>8121</v>
      </c>
      <c r="F101" s="1843">
        <v>-5905386.8799999999</v>
      </c>
      <c r="G101" s="1858" t="s">
        <v>950</v>
      </c>
      <c r="H101" s="1843"/>
      <c r="I101" s="1843"/>
      <c r="J101" s="1843"/>
      <c r="K101" s="1845"/>
      <c r="L101" s="938"/>
      <c r="M101" s="1796" t="s">
        <v>973</v>
      </c>
      <c r="N101" s="910"/>
      <c r="O101" s="910"/>
      <c r="P101" s="910"/>
    </row>
    <row r="102" spans="1:16" s="931" customFormat="1" ht="11.45" customHeight="1">
      <c r="A102" s="910"/>
      <c r="B102" s="1856"/>
      <c r="C102" s="1811">
        <v>40740605</v>
      </c>
      <c r="D102" s="1812" t="s">
        <v>510</v>
      </c>
      <c r="E102" s="1811" t="s">
        <v>1389</v>
      </c>
      <c r="F102" s="1813">
        <v>-5225520.1500000004</v>
      </c>
      <c r="G102" s="1814" t="s">
        <v>390</v>
      </c>
      <c r="H102" s="1815">
        <f t="shared" ref="H102" si="17">VLOOKUP($G102,Ratio,2,FALSE)*$F102</f>
        <v>0</v>
      </c>
      <c r="I102" s="1815">
        <f t="shared" ref="I102" si="18">VLOOKUP($G102,Ratio,3,FALSE)*$F102</f>
        <v>0</v>
      </c>
      <c r="J102" s="1815">
        <f t="shared" ref="J102" si="19">VLOOKUP($G102,Ratio,4,FALSE)*$F102</f>
        <v>-5225520.1500000004</v>
      </c>
      <c r="K102" s="1788"/>
      <c r="L102" s="1818">
        <f t="shared" ref="L102" si="20">F102-SUM(H102:J102)</f>
        <v>0</v>
      </c>
      <c r="M102" s="1796" t="s">
        <v>973</v>
      </c>
      <c r="N102" s="910"/>
      <c r="O102" s="910"/>
      <c r="P102" s="910"/>
    </row>
    <row r="103" spans="1:16">
      <c r="B103" s="1848"/>
      <c r="C103" s="1857">
        <v>40740606</v>
      </c>
      <c r="D103" s="1842" t="s">
        <v>894</v>
      </c>
      <c r="E103" s="1857" t="s">
        <v>1390</v>
      </c>
      <c r="F103" s="1843">
        <v>-1247121.1299999999</v>
      </c>
      <c r="G103" s="1858" t="s">
        <v>950</v>
      </c>
      <c r="H103" s="1843"/>
      <c r="I103" s="1843"/>
      <c r="J103" s="1843"/>
      <c r="K103" s="1845"/>
      <c r="L103" s="938"/>
      <c r="M103" s="1796" t="s">
        <v>973</v>
      </c>
    </row>
    <row r="104" spans="1:16" s="931" customFormat="1">
      <c r="B104" s="923"/>
      <c r="C104" s="923"/>
      <c r="D104" s="923"/>
      <c r="E104" s="923" t="s">
        <v>104</v>
      </c>
      <c r="F104" s="1105">
        <f>SUM(F57:F103)</f>
        <v>-396768430.52999997</v>
      </c>
      <c r="G104" s="923"/>
      <c r="H104" s="924">
        <f>SUM(H57:H103)</f>
        <v>-101178031.47000001</v>
      </c>
      <c r="I104" s="924">
        <f t="shared" ref="I104:J104" si="21">SUM(I57:I103)</f>
        <v>0</v>
      </c>
      <c r="J104" s="924">
        <f t="shared" si="21"/>
        <v>-13151188.050000001</v>
      </c>
      <c r="K104" s="923"/>
      <c r="L104" s="938">
        <f>F104-SUM(H104:J104)-SUM(F103,F98:F101,F75,F62,F57:F59)</f>
        <v>0</v>
      </c>
      <c r="M104" s="910"/>
      <c r="N104" s="910"/>
    </row>
    <row r="105" spans="1:16" s="931" customFormat="1" ht="12" thickBot="1">
      <c r="B105" s="910"/>
      <c r="C105" s="910"/>
      <c r="D105" s="910"/>
      <c r="E105" s="874" t="s">
        <v>4681</v>
      </c>
      <c r="F105" s="875">
        <v>-396768430.52999997</v>
      </c>
      <c r="G105" s="910"/>
      <c r="H105" s="910"/>
      <c r="I105" s="910"/>
      <c r="J105" s="910"/>
      <c r="K105" s="910"/>
      <c r="L105" s="910"/>
      <c r="M105" s="910"/>
      <c r="N105" s="910"/>
    </row>
    <row r="106" spans="1:16" s="931" customFormat="1" ht="12" thickTop="1">
      <c r="D106" s="910"/>
      <c r="E106" s="876" t="s">
        <v>929</v>
      </c>
      <c r="F106" s="1861">
        <f>F104-F105</f>
        <v>0</v>
      </c>
      <c r="G106" s="910"/>
      <c r="H106" s="910"/>
      <c r="I106" s="910"/>
      <c r="J106" s="910"/>
      <c r="K106" s="910"/>
      <c r="L106" s="910"/>
      <c r="M106" s="910"/>
      <c r="N106" s="910"/>
    </row>
    <row r="107" spans="1:16" s="931" customFormat="1">
      <c r="D107" s="910"/>
      <c r="G107" s="910"/>
      <c r="H107" s="910"/>
      <c r="I107" s="910"/>
      <c r="J107" s="910"/>
      <c r="K107" s="910"/>
      <c r="L107" s="910"/>
      <c r="M107" s="910"/>
      <c r="N107" s="910"/>
    </row>
    <row r="108" spans="1:16" s="931" customFormat="1">
      <c r="A108" s="846" t="s">
        <v>4589</v>
      </c>
      <c r="B108" s="846"/>
      <c r="C108" s="846"/>
      <c r="D108" s="1717"/>
      <c r="E108" s="874"/>
      <c r="F108" s="901"/>
      <c r="G108" s="910"/>
      <c r="H108" s="910"/>
      <c r="I108" s="910"/>
      <c r="J108" s="910"/>
      <c r="K108" s="910"/>
      <c r="L108" s="910"/>
      <c r="M108" s="910"/>
      <c r="N108" s="910"/>
    </row>
    <row r="109" spans="1:16" s="931" customFormat="1">
      <c r="A109" s="846" t="s">
        <v>4767</v>
      </c>
      <c r="B109" s="846"/>
      <c r="C109" s="846"/>
      <c r="D109" s="1717"/>
      <c r="E109" s="874"/>
      <c r="F109" s="901"/>
      <c r="G109" s="910"/>
      <c r="H109" s="910"/>
      <c r="I109" s="910"/>
      <c r="J109" s="910"/>
      <c r="K109" s="910"/>
      <c r="L109" s="910"/>
      <c r="M109" s="910"/>
      <c r="N109" s="910"/>
      <c r="O109" s="910"/>
    </row>
    <row r="110" spans="1:16" s="931" customFormat="1">
      <c r="A110" s="846" t="s">
        <v>7152</v>
      </c>
      <c r="B110" s="846"/>
      <c r="C110" s="846"/>
      <c r="D110" s="1717"/>
      <c r="G110" s="910"/>
      <c r="H110" s="910"/>
      <c r="I110" s="910"/>
      <c r="J110" s="910"/>
      <c r="K110" s="910"/>
      <c r="L110" s="910"/>
      <c r="M110" s="910"/>
      <c r="N110" s="910"/>
      <c r="O110" s="910"/>
      <c r="P110" s="910"/>
    </row>
    <row r="111" spans="1:16" s="931" customFormat="1">
      <c r="A111" s="910"/>
      <c r="B111" s="910"/>
      <c r="C111" s="910"/>
      <c r="D111" s="910"/>
      <c r="E111" s="874"/>
      <c r="F111" s="901"/>
      <c r="G111" s="910"/>
      <c r="I111" s="910"/>
      <c r="J111" s="910"/>
      <c r="K111" s="910"/>
      <c r="L111" s="910"/>
      <c r="M111" s="910"/>
      <c r="N111" s="910"/>
      <c r="O111" s="910"/>
    </row>
    <row r="112" spans="1:16" s="931" customFormat="1">
      <c r="A112" s="910"/>
      <c r="B112" s="911"/>
      <c r="C112" s="911"/>
      <c r="D112" s="911"/>
      <c r="E112" s="911"/>
      <c r="F112" s="911" t="s">
        <v>4768</v>
      </c>
      <c r="G112" s="911" t="s">
        <v>4769</v>
      </c>
      <c r="H112" s="910"/>
      <c r="J112" s="910"/>
      <c r="K112" s="910"/>
      <c r="L112" s="910"/>
      <c r="M112" s="910"/>
      <c r="N112" s="910"/>
      <c r="O112" s="910"/>
    </row>
    <row r="113" spans="1:17" s="931" customFormat="1">
      <c r="A113" s="910"/>
      <c r="B113" s="914" t="s">
        <v>3790</v>
      </c>
      <c r="C113" s="914" t="s">
        <v>4684</v>
      </c>
      <c r="D113" s="914"/>
      <c r="E113" s="914" t="s">
        <v>4593</v>
      </c>
      <c r="F113" s="914" t="s">
        <v>4743</v>
      </c>
      <c r="G113" s="914" t="s">
        <v>4743</v>
      </c>
      <c r="H113" s="933" t="s">
        <v>4686</v>
      </c>
      <c r="I113" s="934" t="s">
        <v>105</v>
      </c>
      <c r="J113" s="934" t="s">
        <v>106</v>
      </c>
      <c r="K113" s="935" t="s">
        <v>347</v>
      </c>
      <c r="L113" s="936" t="s">
        <v>2289</v>
      </c>
      <c r="M113" s="910"/>
      <c r="N113" s="910"/>
      <c r="O113" s="910"/>
    </row>
    <row r="114" spans="1:17" s="931" customFormat="1" ht="11.45" customHeight="1">
      <c r="A114" s="910"/>
      <c r="B114" s="928">
        <v>407.4</v>
      </c>
      <c r="C114" s="928">
        <v>40740602</v>
      </c>
      <c r="D114" s="928" t="s">
        <v>510</v>
      </c>
      <c r="E114" s="928" t="s">
        <v>4770</v>
      </c>
      <c r="F114" s="1807">
        <v>0</v>
      </c>
      <c r="G114" s="1808">
        <f>'Four Factor Allocator'!$C$5*F114</f>
        <v>0</v>
      </c>
      <c r="H114" s="918" t="s">
        <v>390</v>
      </c>
      <c r="I114" s="937">
        <f>VLOOKUP($H114,Ratio,2,FALSE)*$G114</f>
        <v>0</v>
      </c>
      <c r="J114" s="937">
        <f>VLOOKUP($H114,Ratio,3,FALSE)*$G114</f>
        <v>0</v>
      </c>
      <c r="K114" s="937">
        <f>VLOOKUP($H114,Ratio,4,FALSE)*$G114</f>
        <v>0</v>
      </c>
      <c r="L114" s="938">
        <f>G114-SUM(I114:K114)</f>
        <v>0</v>
      </c>
      <c r="M114" s="910"/>
      <c r="N114" s="910"/>
      <c r="O114" s="910"/>
      <c r="P114" s="910"/>
    </row>
    <row r="115" spans="1:17" s="931" customFormat="1" ht="11.45" customHeight="1">
      <c r="A115" s="910"/>
      <c r="B115" s="923"/>
      <c r="C115" s="923"/>
      <c r="D115" s="923"/>
      <c r="E115" s="923" t="s">
        <v>104</v>
      </c>
      <c r="F115" s="939">
        <f>SUM(F114:F114)</f>
        <v>0</v>
      </c>
      <c r="G115" s="939">
        <f>SUM(G114:G114)</f>
        <v>0</v>
      </c>
      <c r="H115" s="939"/>
      <c r="I115" s="939">
        <f>SUM(I114:I114)</f>
        <v>0</v>
      </c>
      <c r="J115" s="939">
        <f>SUM(J114:J114)</f>
        <v>0</v>
      </c>
      <c r="K115" s="939">
        <f>SUM(K114:K114)</f>
        <v>0</v>
      </c>
      <c r="L115" s="910"/>
      <c r="M115" s="910"/>
      <c r="N115" s="910"/>
      <c r="O115" s="910"/>
      <c r="P115" s="910"/>
    </row>
    <row r="116" spans="1:17" s="931" customFormat="1" ht="11.45" customHeight="1" thickBot="1">
      <c r="A116" s="910"/>
      <c r="B116" s="910"/>
      <c r="C116" s="910"/>
      <c r="D116" s="910"/>
      <c r="E116" s="874" t="s">
        <v>4681</v>
      </c>
      <c r="F116" s="875">
        <v>0</v>
      </c>
      <c r="G116" s="901"/>
      <c r="H116" s="910"/>
      <c r="J116" s="910"/>
      <c r="K116" s="910"/>
      <c r="L116" s="910"/>
      <c r="M116" s="910"/>
      <c r="N116" s="910"/>
      <c r="O116" s="910"/>
      <c r="P116" s="910"/>
    </row>
    <row r="117" spans="1:17" s="931" customFormat="1" ht="11.45" customHeight="1" thickTop="1">
      <c r="B117" s="910"/>
      <c r="C117" s="910"/>
      <c r="D117" s="910"/>
      <c r="E117" s="876" t="s">
        <v>929</v>
      </c>
      <c r="F117" s="1780">
        <f>F115-F116</f>
        <v>0</v>
      </c>
      <c r="G117" s="940"/>
      <c r="H117" s="910"/>
      <c r="J117" s="910"/>
      <c r="K117" s="910"/>
      <c r="L117" s="910"/>
      <c r="M117" s="910"/>
      <c r="N117" s="910"/>
      <c r="O117" s="910"/>
      <c r="P117" s="910"/>
    </row>
    <row r="118" spans="1:17" s="931" customFormat="1" ht="11.45" customHeight="1">
      <c r="B118" s="910"/>
      <c r="C118" s="910"/>
      <c r="D118" s="910"/>
      <c r="E118" s="876"/>
      <c r="F118"/>
      <c r="G118" s="940"/>
      <c r="H118" s="910"/>
      <c r="J118" s="910"/>
      <c r="K118" s="910"/>
      <c r="L118" s="910"/>
      <c r="M118" s="910"/>
      <c r="N118" s="910"/>
      <c r="O118" s="910"/>
      <c r="P118" s="910"/>
    </row>
    <row r="119" spans="1:17" s="931" customFormat="1">
      <c r="A119" s="910"/>
      <c r="B119" s="910"/>
      <c r="C119" s="910"/>
      <c r="D119" s="910"/>
      <c r="E119" s="910"/>
      <c r="F119" s="910"/>
      <c r="G119" s="910"/>
      <c r="H119" s="910"/>
      <c r="I119" s="910"/>
      <c r="J119" s="910"/>
      <c r="K119" s="910"/>
      <c r="L119" s="910"/>
      <c r="M119" s="910"/>
      <c r="N119" s="910"/>
      <c r="O119" s="910"/>
    </row>
    <row r="120" spans="1:17" s="931" customFormat="1">
      <c r="A120" s="910"/>
      <c r="B120" s="880" t="s">
        <v>3790</v>
      </c>
      <c r="C120" s="880"/>
      <c r="D120" s="880"/>
      <c r="E120" s="880" t="s">
        <v>4593</v>
      </c>
      <c r="F120" s="880" t="s">
        <v>4685</v>
      </c>
      <c r="G120" s="881" t="s">
        <v>4686</v>
      </c>
      <c r="H120" s="882" t="s">
        <v>105</v>
      </c>
      <c r="I120" s="883" t="s">
        <v>106</v>
      </c>
      <c r="J120" s="884" t="s">
        <v>347</v>
      </c>
      <c r="K120" s="881" t="s">
        <v>4595</v>
      </c>
      <c r="L120" s="910"/>
      <c r="M120" s="910"/>
      <c r="N120" s="910"/>
      <c r="O120" s="910"/>
    </row>
    <row r="121" spans="1:17" s="931" customFormat="1">
      <c r="A121" s="910"/>
      <c r="B121" s="1850">
        <v>407.4</v>
      </c>
      <c r="C121" s="1811">
        <v>40740275</v>
      </c>
      <c r="D121" s="1812" t="s">
        <v>510</v>
      </c>
      <c r="E121" s="1811" t="s">
        <v>8110</v>
      </c>
      <c r="F121" s="1851">
        <v>-19836872.25</v>
      </c>
      <c r="G121" s="1788" t="s">
        <v>390</v>
      </c>
      <c r="H121" s="1852">
        <f>VLOOKUP($G121,Ratio,2,FALSE)*$F121</f>
        <v>0</v>
      </c>
      <c r="I121" s="1852">
        <f>VLOOKUP($G121,Ratio,3,FALSE)*$F121</f>
        <v>0</v>
      </c>
      <c r="J121" s="1852">
        <f>VLOOKUP($G121,Ratio,4,FALSE)*$F121</f>
        <v>-19836872.25</v>
      </c>
      <c r="K121" s="1850" t="s">
        <v>8117</v>
      </c>
      <c r="L121" s="941">
        <f t="shared" ref="L121" si="22">F121-SUM(H121:J121)</f>
        <v>0</v>
      </c>
      <c r="M121" s="1796" t="s">
        <v>973</v>
      </c>
      <c r="N121" s="910"/>
      <c r="O121" s="910"/>
    </row>
    <row r="122" spans="1:17" s="931" customFormat="1">
      <c r="A122" s="910"/>
      <c r="B122" s="1853">
        <v>407.4</v>
      </c>
      <c r="C122" s="1859">
        <v>40740420</v>
      </c>
      <c r="D122" s="1854" t="s">
        <v>894</v>
      </c>
      <c r="E122" s="1859" t="s">
        <v>8120</v>
      </c>
      <c r="F122" s="1855">
        <v>-27029071.899999999</v>
      </c>
      <c r="G122" s="658" t="s">
        <v>950</v>
      </c>
      <c r="H122" s="1855"/>
      <c r="I122" s="1855"/>
      <c r="J122" s="1855"/>
      <c r="K122" s="1853" t="s">
        <v>8117</v>
      </c>
      <c r="L122" s="941"/>
      <c r="M122" s="1796" t="s">
        <v>973</v>
      </c>
      <c r="N122" s="910"/>
      <c r="O122" s="910"/>
    </row>
    <row r="123" spans="1:17" s="931" customFormat="1" ht="15.75">
      <c r="B123" s="923"/>
      <c r="C123" s="923"/>
      <c r="D123" s="923"/>
      <c r="E123" s="923"/>
      <c r="F123" s="1105">
        <f>SUM(F121:F122)</f>
        <v>-46865944.149999999</v>
      </c>
      <c r="G123" s="923"/>
      <c r="H123" s="924">
        <f>SUM(H121:H122)</f>
        <v>0</v>
      </c>
      <c r="I123" s="924">
        <f t="shared" ref="I123:J123" si="23">SUM(I121:I122)</f>
        <v>0</v>
      </c>
      <c r="J123" s="924">
        <f t="shared" si="23"/>
        <v>-19836872.25</v>
      </c>
      <c r="K123" s="923"/>
      <c r="L123"/>
      <c r="M123" s="910"/>
      <c r="N123" s="910"/>
    </row>
    <row r="124" spans="1:17" ht="15.75">
      <c r="F124" s="946"/>
      <c r="G124"/>
      <c r="H124"/>
      <c r="I124"/>
      <c r="J124"/>
      <c r="K124"/>
      <c r="L124"/>
      <c r="M124"/>
      <c r="N124"/>
      <c r="O124"/>
      <c r="P124"/>
      <c r="Q124"/>
    </row>
    <row r="125" spans="1:17" ht="15.75">
      <c r="H125" s="943" t="s">
        <v>105</v>
      </c>
      <c r="I125" s="944" t="s">
        <v>106</v>
      </c>
      <c r="J125" s="935" t="s">
        <v>347</v>
      </c>
      <c r="M125"/>
      <c r="N125"/>
      <c r="O125"/>
      <c r="P125"/>
      <c r="Q125"/>
    </row>
    <row r="126" spans="1:17" ht="16.5" thickBot="1">
      <c r="E126" s="902" t="s">
        <v>2301</v>
      </c>
      <c r="F126" s="945">
        <f>F104+G115+F123-SUM(F75,F98:F101,F103,F57:F59,F62,F122)</f>
        <v>-134166091.76999998</v>
      </c>
      <c r="G126" s="945"/>
      <c r="H126" s="2718">
        <f t="shared" ref="H126:J126" si="24">H104+I115+H123-SUM(H75,H98:H101,H103,H57:H59,H62,H122)</f>
        <v>-101178031.47000001</v>
      </c>
      <c r="I126" s="2718">
        <f t="shared" si="24"/>
        <v>0</v>
      </c>
      <c r="J126" s="2718">
        <f t="shared" si="24"/>
        <v>-32988060.300000001</v>
      </c>
      <c r="K126" s="941">
        <f>F126-SUM(H126:J126)</f>
        <v>0</v>
      </c>
      <c r="M126"/>
      <c r="N126"/>
      <c r="O126"/>
      <c r="P126"/>
      <c r="Q126"/>
    </row>
    <row r="127" spans="1:17" ht="16.5" thickTop="1">
      <c r="G127" s="941">
        <f>'FERC p114-117a Income'!H25+F126</f>
        <v>0.23000001907348633</v>
      </c>
      <c r="H127" s="904" t="s">
        <v>4739</v>
      </c>
      <c r="I127" s="942"/>
      <c r="J127" s="942"/>
      <c r="K127"/>
      <c r="L127"/>
      <c r="M127"/>
      <c r="N127"/>
      <c r="O127"/>
      <c r="P127"/>
      <c r="Q127"/>
    </row>
    <row r="128" spans="1:17" ht="15.75">
      <c r="F128" s="946"/>
      <c r="G128"/>
      <c r="H128"/>
      <c r="I128"/>
      <c r="J128"/>
      <c r="K128"/>
      <c r="L128"/>
      <c r="M128"/>
      <c r="N128"/>
      <c r="O128"/>
      <c r="P128"/>
      <c r="Q128"/>
    </row>
    <row r="129" spans="4:17" ht="15.75">
      <c r="F129" s="946"/>
      <c r="G129"/>
      <c r="H129"/>
      <c r="I129"/>
      <c r="J129"/>
      <c r="K129"/>
      <c r="L129"/>
      <c r="M129"/>
      <c r="N129"/>
      <c r="O129"/>
      <c r="P129"/>
      <c r="Q129"/>
    </row>
    <row r="130" spans="4:17" ht="15.75">
      <c r="F130" s="946"/>
      <c r="G130"/>
      <c r="H130"/>
      <c r="I130" s="115"/>
      <c r="J130"/>
      <c r="K130"/>
      <c r="L130"/>
      <c r="M130"/>
      <c r="N130"/>
      <c r="O130"/>
      <c r="P130"/>
      <c r="Q130"/>
    </row>
    <row r="131" spans="4:17" ht="15.75">
      <c r="F131" s="946"/>
      <c r="G131"/>
      <c r="H131"/>
      <c r="I131" s="1821"/>
      <c r="J131"/>
      <c r="K131"/>
      <c r="L131"/>
      <c r="M131"/>
      <c r="N131"/>
      <c r="O131"/>
      <c r="P131"/>
      <c r="Q131"/>
    </row>
    <row r="132" spans="4:17" ht="15.75">
      <c r="F132" s="946"/>
      <c r="G132"/>
      <c r="H132"/>
      <c r="I132" s="1821"/>
      <c r="J132"/>
      <c r="K132"/>
      <c r="L132"/>
      <c r="M132"/>
      <c r="N132"/>
      <c r="O132"/>
      <c r="P132"/>
      <c r="Q132"/>
    </row>
    <row r="133" spans="4:17" ht="15.75">
      <c r="D133"/>
      <c r="E133"/>
      <c r="G133"/>
      <c r="H133"/>
      <c r="I133"/>
      <c r="J133"/>
      <c r="K133"/>
      <c r="L133"/>
      <c r="M133"/>
      <c r="N133"/>
      <c r="O133"/>
      <c r="P133"/>
      <c r="Q133"/>
    </row>
    <row r="134" spans="4:17" ht="15.75">
      <c r="D134"/>
      <c r="E134"/>
      <c r="G134"/>
      <c r="H134"/>
      <c r="I134"/>
      <c r="J134"/>
      <c r="K134"/>
      <c r="L134"/>
      <c r="M134"/>
      <c r="N134"/>
      <c r="O134"/>
      <c r="P134"/>
      <c r="Q134"/>
    </row>
    <row r="135" spans="4:17" ht="15.75">
      <c r="D135"/>
      <c r="E135"/>
      <c r="G135"/>
      <c r="H135"/>
      <c r="I135"/>
      <c r="J135"/>
      <c r="K135"/>
      <c r="L135"/>
      <c r="M135"/>
      <c r="N135"/>
      <c r="O135"/>
      <c r="P135"/>
      <c r="Q135"/>
    </row>
    <row r="136" spans="4:17" ht="15.75">
      <c r="D136"/>
      <c r="E136"/>
      <c r="G136"/>
      <c r="H136"/>
      <c r="I136"/>
      <c r="J136"/>
      <c r="K136"/>
      <c r="L136"/>
      <c r="M136"/>
      <c r="N136"/>
      <c r="O136"/>
      <c r="P136"/>
      <c r="Q136"/>
    </row>
    <row r="137" spans="4:17" ht="15.75">
      <c r="D137"/>
      <c r="E137"/>
      <c r="G137"/>
      <c r="H137"/>
      <c r="I137"/>
      <c r="J137"/>
      <c r="K137"/>
      <c r="L137"/>
      <c r="M137"/>
      <c r="N137"/>
      <c r="O137"/>
      <c r="P137"/>
      <c r="Q137"/>
    </row>
    <row r="138" spans="4:17" ht="15.75">
      <c r="D138"/>
      <c r="E138"/>
      <c r="G138"/>
      <c r="H138"/>
      <c r="I138"/>
      <c r="J138"/>
      <c r="K138"/>
      <c r="L138"/>
      <c r="M138"/>
      <c r="N138"/>
      <c r="O138"/>
      <c r="P138"/>
      <c r="Q138"/>
    </row>
    <row r="139" spans="4:17" ht="15.75">
      <c r="D139"/>
      <c r="E139"/>
      <c r="G139"/>
      <c r="H139"/>
      <c r="I139"/>
      <c r="J139"/>
      <c r="K139"/>
      <c r="L139"/>
      <c r="M139"/>
      <c r="N139"/>
      <c r="O139"/>
      <c r="P139"/>
      <c r="Q139"/>
    </row>
    <row r="140" spans="4:17" ht="15.75">
      <c r="D140"/>
      <c r="E140"/>
      <c r="G140"/>
      <c r="H140"/>
      <c r="I140"/>
      <c r="J140"/>
      <c r="K140"/>
      <c r="L140"/>
      <c r="M140"/>
      <c r="N140"/>
      <c r="O140"/>
      <c r="P140"/>
      <c r="Q140"/>
    </row>
    <row r="141" spans="4:17" ht="15.75">
      <c r="D141"/>
      <c r="E141"/>
      <c r="G141"/>
      <c r="H141"/>
      <c r="I141"/>
      <c r="J141"/>
      <c r="K141"/>
      <c r="L141"/>
      <c r="M141"/>
      <c r="N141"/>
      <c r="O141"/>
      <c r="P141"/>
      <c r="Q141"/>
    </row>
    <row r="142" spans="4:17" ht="15.75">
      <c r="D142"/>
      <c r="E142"/>
      <c r="G142"/>
      <c r="H142"/>
      <c r="I142"/>
      <c r="J142"/>
      <c r="K142"/>
      <c r="L142"/>
      <c r="M142"/>
      <c r="N142"/>
      <c r="O142"/>
      <c r="P142"/>
      <c r="Q142"/>
    </row>
    <row r="143" spans="4:17" ht="15.75">
      <c r="D143"/>
      <c r="E143"/>
      <c r="G143"/>
      <c r="H143"/>
      <c r="I143"/>
      <c r="J143"/>
      <c r="K143"/>
      <c r="L143"/>
      <c r="M143"/>
      <c r="N143"/>
      <c r="O143"/>
      <c r="P143"/>
      <c r="Q143"/>
    </row>
    <row r="144" spans="4:17" ht="15.75">
      <c r="D144"/>
      <c r="E144"/>
      <c r="G144"/>
      <c r="H144"/>
      <c r="I144"/>
      <c r="J144"/>
      <c r="K144"/>
      <c r="L144"/>
      <c r="M144"/>
      <c r="N144"/>
      <c r="O144"/>
      <c r="P144"/>
      <c r="Q144"/>
    </row>
    <row r="145" spans="4:17" ht="15.75">
      <c r="D145"/>
      <c r="E145"/>
      <c r="G145"/>
      <c r="H145"/>
      <c r="I145"/>
      <c r="J145"/>
      <c r="K145"/>
      <c r="L145"/>
      <c r="M145"/>
      <c r="N145"/>
      <c r="O145"/>
      <c r="P145"/>
      <c r="Q145"/>
    </row>
    <row r="146" spans="4:17" ht="15.75">
      <c r="D146"/>
      <c r="E146"/>
      <c r="G146"/>
      <c r="H146"/>
      <c r="I146"/>
      <c r="J146"/>
      <c r="K146"/>
      <c r="L146"/>
      <c r="M146"/>
      <c r="N146"/>
      <c r="O146"/>
      <c r="P146"/>
      <c r="Q146"/>
    </row>
    <row r="147" spans="4:17" ht="15.75">
      <c r="D147"/>
      <c r="E147"/>
      <c r="G147"/>
      <c r="H147"/>
      <c r="I147"/>
      <c r="J147"/>
      <c r="K147"/>
      <c r="L147"/>
    </row>
    <row r="148" spans="4:17" ht="15.75">
      <c r="D148"/>
      <c r="E148"/>
      <c r="G148"/>
      <c r="H148"/>
      <c r="I148"/>
      <c r="J148"/>
      <c r="K148"/>
      <c r="L148"/>
    </row>
    <row r="149" spans="4:17" ht="15.75">
      <c r="D149"/>
      <c r="E149"/>
    </row>
    <row r="150" spans="4:17" ht="15.75">
      <c r="D150"/>
      <c r="E150"/>
    </row>
    <row r="151" spans="4:17" ht="15.75">
      <c r="D151"/>
      <c r="E151"/>
    </row>
    <row r="152" spans="4:17" ht="15.75">
      <c r="D152"/>
      <c r="E152"/>
    </row>
    <row r="153" spans="4:17" ht="15.75">
      <c r="D153"/>
      <c r="E153"/>
    </row>
    <row r="154" spans="4:17" ht="15.75">
      <c r="D154"/>
      <c r="E154"/>
    </row>
    <row r="155" spans="4:17" ht="15.75">
      <c r="D155"/>
      <c r="E155"/>
    </row>
    <row r="156" spans="4:17" ht="15.75">
      <c r="D156"/>
      <c r="E156"/>
    </row>
    <row r="157" spans="4:17" ht="15.75">
      <c r="D157"/>
      <c r="E157"/>
    </row>
    <row r="158" spans="4:17" ht="15.75">
      <c r="D158"/>
      <c r="E158"/>
    </row>
  </sheetData>
  <pageMargins left="0.7" right="0.7" top="0.75" bottom="0.75" header="0.3" footer="0.3"/>
  <pageSetup scale="47" orientation="landscape" r:id="rId1"/>
  <headerFooter>
    <oddHeader>&amp;CPSE_ASC_Filing_Appendix_1_CY_2018</oddHeader>
    <oddFooter>&amp;R&amp;F&amp;A</oddFooter>
  </headerFooter>
  <customProperties>
    <customPr name="_pios_id" r:id="rId2"/>
  </customProperties>
  <drawing r:id="rId3"/>
  <legacyDrawing r:id="rId4"/>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rgb="FF92D050"/>
    <pageSetUpPr fitToPage="1"/>
  </sheetPr>
  <dimension ref="A1:N23"/>
  <sheetViews>
    <sheetView workbookViewId="0">
      <pane ySplit="7" topLeftCell="A8" activePane="bottomLeft" state="frozen"/>
      <selection sqref="A1:XFD1048576"/>
      <selection pane="bottomLeft" sqref="A1:XFD1048576"/>
    </sheetView>
  </sheetViews>
  <sheetFormatPr defaultColWidth="8" defaultRowHeight="11.25"/>
  <cols>
    <col min="1" max="1" width="1.375" style="947" customWidth="1"/>
    <col min="2" max="2" width="8" style="947" customWidth="1"/>
    <col min="3" max="3" width="11.125" style="947" customWidth="1"/>
    <col min="4" max="4" width="10.5" style="947" bestFit="1" customWidth="1"/>
    <col min="5" max="5" width="31" style="947" customWidth="1"/>
    <col min="6" max="6" width="8.875" style="947" customWidth="1"/>
    <col min="7" max="7" width="8.625" style="947" bestFit="1" customWidth="1"/>
    <col min="8" max="8" width="8.375" style="947" bestFit="1" customWidth="1"/>
    <col min="9" max="9" width="10.875" style="947" bestFit="1" customWidth="1"/>
    <col min="10" max="10" width="13.75" style="947" bestFit="1" customWidth="1"/>
    <col min="11" max="11" width="30.5" style="947" customWidth="1"/>
    <col min="12" max="12" width="9.5" style="947" bestFit="1" customWidth="1"/>
    <col min="13" max="16384" width="8" style="947"/>
  </cols>
  <sheetData>
    <row r="1" spans="1:14" s="926" customFormat="1">
      <c r="A1" s="846" t="s">
        <v>4589</v>
      </c>
      <c r="B1" s="846"/>
      <c r="C1" s="846"/>
      <c r="D1" s="846"/>
    </row>
    <row r="2" spans="1:14" s="926" customFormat="1">
      <c r="A2" s="846" t="s">
        <v>4771</v>
      </c>
      <c r="B2" s="846"/>
      <c r="C2" s="846"/>
      <c r="D2" s="846"/>
    </row>
    <row r="3" spans="1:14" s="926" customFormat="1">
      <c r="A3" s="846" t="s">
        <v>7152</v>
      </c>
      <c r="B3" s="846"/>
      <c r="C3" s="846"/>
      <c r="D3" s="846"/>
    </row>
    <row r="4" spans="1:14" s="926" customFormat="1"/>
    <row r="6" spans="1:14">
      <c r="B6" s="947" t="s">
        <v>4772</v>
      </c>
      <c r="C6" s="947" t="s">
        <v>4773</v>
      </c>
      <c r="F6" s="947" t="s">
        <v>4774</v>
      </c>
    </row>
    <row r="7" spans="1:14">
      <c r="B7" s="948" t="s">
        <v>3790</v>
      </c>
      <c r="C7" s="948" t="s">
        <v>4684</v>
      </c>
      <c r="D7" s="948"/>
      <c r="E7" s="948" t="s">
        <v>4593</v>
      </c>
      <c r="F7" s="881" t="s">
        <v>4775</v>
      </c>
      <c r="G7" s="881" t="s">
        <v>4686</v>
      </c>
      <c r="H7" s="882" t="s">
        <v>105</v>
      </c>
      <c r="I7" s="883" t="s">
        <v>106</v>
      </c>
      <c r="J7" s="884" t="s">
        <v>347</v>
      </c>
      <c r="K7" s="881" t="s">
        <v>4595</v>
      </c>
      <c r="L7" s="949"/>
    </row>
    <row r="8" spans="1:14">
      <c r="B8" s="950">
        <v>404</v>
      </c>
      <c r="C8" s="947">
        <v>40400011</v>
      </c>
      <c r="D8" s="950" t="s">
        <v>3786</v>
      </c>
      <c r="E8" s="947" t="s">
        <v>4776</v>
      </c>
      <c r="F8" s="2658">
        <v>1808863.53</v>
      </c>
      <c r="G8" s="951" t="s">
        <v>3786</v>
      </c>
      <c r="H8" s="2660">
        <f>$F8*VLOOKUP($G8, $B$21:$E$23,2,FALSE)</f>
        <v>1258978.8428132597</v>
      </c>
      <c r="I8" s="2660">
        <f>$F8*VLOOKUP($G8, $B$21:$E$23,3,FALSE)</f>
        <v>0</v>
      </c>
      <c r="J8" s="2660">
        <f>$F8*VLOOKUP($G8, $B$21:$E$23,4,FALSE)</f>
        <v>549884.68718674046</v>
      </c>
      <c r="K8" s="952"/>
    </row>
    <row r="9" spans="1:14">
      <c r="B9" s="950"/>
      <c r="C9" s="947">
        <v>40400012</v>
      </c>
      <c r="D9" s="950" t="s">
        <v>3786</v>
      </c>
      <c r="E9" s="947" t="s">
        <v>4777</v>
      </c>
      <c r="F9" s="2659">
        <v>1237952.1200000001</v>
      </c>
      <c r="G9" s="953" t="s">
        <v>3786</v>
      </c>
      <c r="H9" s="2661">
        <f>$F9*VLOOKUP($G9, $B$21:$E$23,2,FALSE)</f>
        <v>861621.40020359727</v>
      </c>
      <c r="I9" s="2661">
        <f>$F9*VLOOKUP($G9, $B$21:$E$23,3,FALSE)</f>
        <v>0</v>
      </c>
      <c r="J9" s="2661">
        <f>$F9*VLOOKUP($G9, $B$21:$E$23,4,FALSE)</f>
        <v>376330.71979640285</v>
      </c>
      <c r="K9" s="952"/>
    </row>
    <row r="10" spans="1:14">
      <c r="B10" s="950"/>
      <c r="C10" s="947">
        <v>40400032</v>
      </c>
      <c r="D10" s="950" t="s">
        <v>3788</v>
      </c>
      <c r="E10" s="947" t="s">
        <v>4778</v>
      </c>
      <c r="F10" s="2659">
        <v>0</v>
      </c>
      <c r="G10" s="953" t="s">
        <v>3788</v>
      </c>
      <c r="H10" s="2661">
        <f>$F10*VLOOKUP($G10, $B$21:$E$23,2,FALSE)</f>
        <v>0</v>
      </c>
      <c r="I10" s="2661">
        <f>$F10*VLOOKUP($G10, $B$21:$E$23,3,FALSE)</f>
        <v>0</v>
      </c>
      <c r="J10" s="2661">
        <f>$F10*VLOOKUP($G10, $B$21:$E$23,4,FALSE)</f>
        <v>0</v>
      </c>
      <c r="K10" s="952"/>
    </row>
    <row r="11" spans="1:14">
      <c r="B11" s="950"/>
      <c r="C11" s="947">
        <v>40400091</v>
      </c>
      <c r="D11" s="950" t="s">
        <v>3788</v>
      </c>
      <c r="E11" s="947" t="s">
        <v>4779</v>
      </c>
      <c r="F11" s="2659">
        <v>9732326.5399999991</v>
      </c>
      <c r="G11" s="953" t="s">
        <v>3788</v>
      </c>
      <c r="H11" s="2661">
        <f t="shared" ref="H11:H12" si="0">$F11*VLOOKUP($G11, $B$21:$E$23,2,FALSE)</f>
        <v>0</v>
      </c>
      <c r="I11" s="2661">
        <f>$F11*VLOOKUP($G11, $B$21:$E$23,3,FALSE)</f>
        <v>0</v>
      </c>
      <c r="J11" s="2661">
        <f>$F11*VLOOKUP($G11, $B$21:$E$23,4,FALSE)</f>
        <v>9732326.5399999991</v>
      </c>
      <c r="K11" s="952"/>
    </row>
    <row r="12" spans="1:14">
      <c r="B12" s="950"/>
      <c r="C12" s="947">
        <v>40400121</v>
      </c>
      <c r="D12" s="950" t="s">
        <v>4780</v>
      </c>
      <c r="E12" s="947" t="s">
        <v>4781</v>
      </c>
      <c r="F12" s="1866">
        <v>0</v>
      </c>
      <c r="G12" s="953" t="s">
        <v>4016</v>
      </c>
      <c r="H12" s="952">
        <f t="shared" si="0"/>
        <v>0</v>
      </c>
      <c r="I12" s="952">
        <f>$F12*VLOOKUP($G12, $B$21:$E$23,3,FALSE)</f>
        <v>0</v>
      </c>
      <c r="J12" s="952">
        <f>$F12*VLOOKUP($G12, $B$21:$E$23,4,FALSE)</f>
        <v>0</v>
      </c>
      <c r="K12" s="952"/>
      <c r="L12" s="949"/>
    </row>
    <row r="13" spans="1:14">
      <c r="B13" s="950"/>
      <c r="C13" s="947">
        <v>93100033</v>
      </c>
      <c r="D13" s="950" t="s">
        <v>4782</v>
      </c>
      <c r="E13" s="947" t="s">
        <v>4783</v>
      </c>
      <c r="F13" s="1867">
        <v>1292073.96</v>
      </c>
      <c r="G13" s="953" t="s">
        <v>390</v>
      </c>
      <c r="H13" s="954">
        <f>VLOOKUP($G13,Ratio,2,FALSE)*$F13</f>
        <v>0</v>
      </c>
      <c r="I13" s="952">
        <f>VLOOKUP($G13,Ratio,3,FALSE)*$F13</f>
        <v>0</v>
      </c>
      <c r="J13" s="952">
        <f>VLOOKUP($G13,Ratio,4,FALSE)*$F13</f>
        <v>1292073.96</v>
      </c>
      <c r="K13" s="952" t="s">
        <v>4784</v>
      </c>
      <c r="L13" s="949"/>
    </row>
    <row r="14" spans="1:14" ht="12" thickBot="1">
      <c r="B14" s="955"/>
      <c r="C14" s="956">
        <v>93100231</v>
      </c>
      <c r="D14" s="956" t="s">
        <v>4782</v>
      </c>
      <c r="E14" s="956" t="s">
        <v>4785</v>
      </c>
      <c r="F14" s="957">
        <v>-222069</v>
      </c>
      <c r="G14" s="958" t="s">
        <v>390</v>
      </c>
      <c r="H14" s="958">
        <f>VLOOKUP($G14,Ratio,2,FALSE)*$F14</f>
        <v>0</v>
      </c>
      <c r="I14" s="959">
        <f>VLOOKUP($G14,Ratio,3,FALSE)*$F14</f>
        <v>0</v>
      </c>
      <c r="J14" s="959">
        <f>VLOOKUP($G14,Ratio,4,FALSE)*$F14</f>
        <v>-222069</v>
      </c>
      <c r="K14" s="959" t="s">
        <v>4786</v>
      </c>
      <c r="L14" s="1862" t="s">
        <v>973</v>
      </c>
    </row>
    <row r="15" spans="1:14">
      <c r="B15" s="960"/>
      <c r="C15" s="960"/>
      <c r="D15" s="960"/>
      <c r="E15" s="961" t="s">
        <v>104</v>
      </c>
      <c r="F15" s="962">
        <f>SUM(F8:F14)</f>
        <v>13849147.149999999</v>
      </c>
      <c r="G15" s="961"/>
      <c r="H15" s="961">
        <f>SUM(H8:H14)</f>
        <v>2120600.2430168567</v>
      </c>
      <c r="I15" s="961">
        <f t="shared" ref="I15:J15" si="1">SUM(I8:I14)</f>
        <v>0</v>
      </c>
      <c r="J15" s="961">
        <f t="shared" si="1"/>
        <v>11728546.906983141</v>
      </c>
      <c r="K15" s="961"/>
      <c r="L15" s="1863">
        <f>F15-SUM(H15:J15)</f>
        <v>0</v>
      </c>
    </row>
    <row r="16" spans="1:14" s="963" customFormat="1" ht="12" thickBot="1">
      <c r="E16" s="874" t="s">
        <v>4681</v>
      </c>
      <c r="F16" s="875">
        <v>13849147.15</v>
      </c>
      <c r="G16" s="964"/>
      <c r="L16" s="949" t="s">
        <v>927</v>
      </c>
      <c r="M16" s="947"/>
      <c r="N16" s="947"/>
    </row>
    <row r="17" spans="2:14" s="963" customFormat="1" ht="12" thickTop="1">
      <c r="E17" s="876" t="s">
        <v>929</v>
      </c>
      <c r="F17" s="1780">
        <f>F15-F16</f>
        <v>0</v>
      </c>
      <c r="G17" s="1781">
        <f>'FERC p336 Dep &amp; Amort'!E11+'FERC p336 Dep &amp; Amort'!E14-F15+SUM(F13:F14)</f>
        <v>-0.18999999854713678</v>
      </c>
      <c r="H17" s="1696" t="s">
        <v>8126</v>
      </c>
      <c r="I17" s="1864"/>
      <c r="J17" s="1864"/>
      <c r="M17" s="947"/>
      <c r="N17" s="947"/>
    </row>
    <row r="18" spans="2:14">
      <c r="F18" s="964"/>
      <c r="G18" s="963"/>
      <c r="H18" s="964"/>
      <c r="I18" s="963"/>
    </row>
    <row r="19" spans="2:14" ht="12" thickBot="1">
      <c r="B19" s="947" t="s">
        <v>4787</v>
      </c>
    </row>
    <row r="20" spans="2:14">
      <c r="B20" s="965"/>
      <c r="C20" s="966" t="s">
        <v>105</v>
      </c>
      <c r="D20" s="966" t="s">
        <v>106</v>
      </c>
      <c r="E20" s="967" t="s">
        <v>511</v>
      </c>
      <c r="F20" s="876" t="s">
        <v>927</v>
      </c>
    </row>
    <row r="21" spans="2:14">
      <c r="B21" s="968" t="s">
        <v>3786</v>
      </c>
      <c r="C21" s="969">
        <f>'E Intangible_Summary'!G12/'E Intangible_Summary'!$F$12</f>
        <v>0.69600543210313914</v>
      </c>
      <c r="D21" s="969">
        <f>'E Intangible_Summary'!H12/'E Intangible_Summary'!$F$12</f>
        <v>0</v>
      </c>
      <c r="E21" s="969">
        <f>'E Intangible_Summary'!I12/'E Intangible_Summary'!$F$12</f>
        <v>0.30399456789686086</v>
      </c>
      <c r="F21" s="1868">
        <f>SUM(C21:E21)</f>
        <v>1</v>
      </c>
    </row>
    <row r="22" spans="2:14">
      <c r="B22" s="968" t="s">
        <v>3788</v>
      </c>
      <c r="C22" s="969">
        <f>'E Intangible_Summary'!G18/'E Intangible_Summary'!$F$18</f>
        <v>0</v>
      </c>
      <c r="D22" s="969">
        <f>'E Intangible_Summary'!H18/'E Intangible_Summary'!$F$18</f>
        <v>0</v>
      </c>
      <c r="E22" s="969">
        <f>'E Intangible_Summary'!I18/'E Intangible_Summary'!$F$18</f>
        <v>1</v>
      </c>
      <c r="F22" s="1868">
        <f>SUM(C22:E22)</f>
        <v>1</v>
      </c>
    </row>
    <row r="23" spans="2:14" ht="12" thickBot="1">
      <c r="B23" s="970" t="s">
        <v>4016</v>
      </c>
      <c r="C23" s="971">
        <f>'E Intangible_Summary'!G28/'E Intangible_Summary'!$F$28</f>
        <v>3.59895516648956E-3</v>
      </c>
      <c r="D23" s="971">
        <f>'E Intangible_Summary'!H28/'E Intangible_Summary'!$F$28</f>
        <v>0</v>
      </c>
      <c r="E23" s="971">
        <f>'E Intangible_Summary'!I28/'E Intangible_Summary'!$F$28</f>
        <v>0.99640104483351044</v>
      </c>
      <c r="F23" s="1868">
        <f>SUM(C23:E23)</f>
        <v>1</v>
      </c>
    </row>
  </sheetData>
  <pageMargins left="0.7" right="0.7" top="0.75" bottom="0.75" header="0.3" footer="0.3"/>
  <pageSetup scale="75" orientation="landscape" r:id="rId1"/>
  <headerFooter>
    <oddHeader>&amp;CPSE_ASC_Filing_Appendix_1_CY_2018</oddHeader>
    <oddFooter>&amp;R&amp;F&amp;A</oddFooter>
  </headerFooter>
  <customProperties>
    <customPr name="_pios_id" r:id="rId2"/>
  </customProperties>
  <drawing r:id="rId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92D050"/>
    <pageSetUpPr fitToPage="1"/>
  </sheetPr>
  <dimension ref="A1:Q1410"/>
  <sheetViews>
    <sheetView workbookViewId="0">
      <pane ySplit="4" topLeftCell="A5" activePane="bottomLeft" state="frozen"/>
      <selection sqref="A1:XFD1048576"/>
      <selection pane="bottomLeft" sqref="A1:XFD1048576"/>
    </sheetView>
  </sheetViews>
  <sheetFormatPr defaultColWidth="9" defaultRowHeight="11.25"/>
  <cols>
    <col min="1" max="1" width="1" style="973" customWidth="1"/>
    <col min="2" max="2" width="4.25" style="973" bestFit="1" customWidth="1"/>
    <col min="3" max="3" width="21.5" style="973" customWidth="1"/>
    <col min="4" max="4" width="10.75" style="973" bestFit="1" customWidth="1"/>
    <col min="5" max="5" width="10.875" style="973" bestFit="1" customWidth="1"/>
    <col min="6" max="6" width="9.25" style="973" bestFit="1" customWidth="1"/>
    <col min="7" max="7" width="8.625" style="973" bestFit="1" customWidth="1"/>
    <col min="8" max="8" width="10.25" style="973" customWidth="1"/>
    <col min="9" max="9" width="9.25" style="973" customWidth="1"/>
    <col min="10" max="10" width="9" style="973" bestFit="1" customWidth="1"/>
    <col min="11" max="11" width="0.875" style="973" customWidth="1"/>
    <col min="12" max="12" width="8.25" style="973" customWidth="1"/>
    <col min="13" max="13" width="38.5" style="973" bestFit="1" customWidth="1"/>
    <col min="14" max="14" width="9" style="973" customWidth="1"/>
    <col min="15" max="15" width="10" style="973" customWidth="1"/>
    <col min="16" max="16" width="43.125" style="973" customWidth="1"/>
    <col min="17" max="17" width="5" style="973" customWidth="1"/>
    <col min="18" max="16384" width="9" style="973"/>
  </cols>
  <sheetData>
    <row r="1" spans="1:17" ht="12" thickBot="1">
      <c r="A1" s="972"/>
      <c r="B1" s="972"/>
      <c r="F1" s="974"/>
      <c r="G1" s="974"/>
      <c r="H1" s="974"/>
      <c r="I1" s="974"/>
      <c r="L1" s="975"/>
      <c r="M1" s="975"/>
      <c r="N1" s="975"/>
    </row>
    <row r="2" spans="1:17" ht="22.5">
      <c r="A2" s="972"/>
      <c r="B2" s="972"/>
      <c r="F2" s="974"/>
      <c r="G2" s="974"/>
      <c r="H2" s="974"/>
      <c r="I2" s="974"/>
      <c r="L2" s="975"/>
      <c r="M2" s="975"/>
      <c r="N2" s="605" t="s">
        <v>919</v>
      </c>
      <c r="O2" s="606" t="s">
        <v>920</v>
      </c>
    </row>
    <row r="3" spans="1:17" ht="12" thickBot="1">
      <c r="A3" s="972"/>
      <c r="B3" s="972"/>
      <c r="F3" s="974"/>
      <c r="G3" s="974"/>
      <c r="H3" s="974"/>
      <c r="I3" s="974"/>
      <c r="L3" s="975"/>
      <c r="M3" s="975"/>
      <c r="N3" s="694">
        <f>'Four Factor Allocator'!$C$5</f>
        <v>0.65660000353553882</v>
      </c>
      <c r="O3" s="695">
        <f>'Four Factor Allocator'!$D$5</f>
        <v>0.34339999646446118</v>
      </c>
    </row>
    <row r="4" spans="1:17" ht="33.75" customHeight="1" thickBot="1">
      <c r="A4" s="972"/>
      <c r="B4" s="972"/>
      <c r="C4" s="976" t="s">
        <v>4788</v>
      </c>
      <c r="D4" s="977" t="s">
        <v>104</v>
      </c>
      <c r="E4" s="977" t="s">
        <v>4789</v>
      </c>
      <c r="F4" s="978" t="s">
        <v>4686</v>
      </c>
      <c r="G4" s="979" t="s">
        <v>105</v>
      </c>
      <c r="H4" s="980" t="s">
        <v>106</v>
      </c>
      <c r="I4" s="981" t="s">
        <v>347</v>
      </c>
      <c r="J4" s="982" t="s">
        <v>4595</v>
      </c>
      <c r="K4" s="983"/>
      <c r="L4" s="984"/>
      <c r="M4" s="984"/>
      <c r="N4" s="984"/>
      <c r="O4" s="984"/>
    </row>
    <row r="5" spans="1:17" ht="22.5" customHeight="1">
      <c r="A5" s="972"/>
      <c r="B5" s="972">
        <v>403</v>
      </c>
      <c r="C5" s="973" t="s">
        <v>4790</v>
      </c>
      <c r="D5" s="1870">
        <f>'FERC p356 Common Plant'!C28</f>
        <v>27435706</v>
      </c>
      <c r="E5" s="1870">
        <f>'FERC p356 Common Plant'!D28</f>
        <v>18014284</v>
      </c>
      <c r="F5" s="974" t="s">
        <v>91</v>
      </c>
      <c r="G5" s="1001">
        <f>VLOOKUP($F5,Ratio,2,FALSE)*$E5</f>
        <v>6138736.7311361758</v>
      </c>
      <c r="H5" s="1001">
        <f>VLOOKUP($F5,Ratio,3,FALSE)*$E5</f>
        <v>0</v>
      </c>
      <c r="I5" s="1001">
        <f>VLOOKUP($F5,Ratio,4,FALSE)*$E5</f>
        <v>11875547.268863825</v>
      </c>
      <c r="L5" s="985" t="s">
        <v>4589</v>
      </c>
      <c r="M5" s="986"/>
      <c r="N5" s="986"/>
      <c r="O5" s="987"/>
      <c r="P5" s="988"/>
    </row>
    <row r="6" spans="1:17">
      <c r="A6" s="972"/>
      <c r="B6" s="972"/>
      <c r="C6" s="989" t="s">
        <v>4791</v>
      </c>
      <c r="D6" s="1871">
        <f>SUM(D5)</f>
        <v>27435706</v>
      </c>
      <c r="E6" s="1871">
        <f>SUM(E5)</f>
        <v>18014284</v>
      </c>
      <c r="F6" s="974"/>
      <c r="G6" s="1890">
        <f>SUM(G5)</f>
        <v>6138736.7311361758</v>
      </c>
      <c r="H6" s="1890">
        <f>SUM(H5)</f>
        <v>0</v>
      </c>
      <c r="I6" s="1890">
        <f>SUM(I5)</f>
        <v>11875547.268863825</v>
      </c>
      <c r="L6" s="991" t="s">
        <v>4792</v>
      </c>
      <c r="M6" s="846"/>
      <c r="N6" s="846"/>
      <c r="O6" s="926"/>
      <c r="P6" s="992"/>
    </row>
    <row r="7" spans="1:17">
      <c r="A7" s="972"/>
      <c r="B7" s="972"/>
      <c r="D7" s="1872"/>
      <c r="E7" s="1872"/>
      <c r="F7" s="974"/>
      <c r="G7" s="1001"/>
      <c r="H7" s="1001"/>
      <c r="I7" s="1001"/>
      <c r="L7" s="991" t="s">
        <v>7152</v>
      </c>
      <c r="M7" s="846"/>
      <c r="N7" s="846"/>
      <c r="O7" s="926"/>
      <c r="P7" s="992"/>
    </row>
    <row r="8" spans="1:17">
      <c r="A8" s="972"/>
      <c r="B8" s="972">
        <v>403.1</v>
      </c>
      <c r="C8" s="973" t="s">
        <v>4793</v>
      </c>
      <c r="D8" s="1870">
        <f>O31</f>
        <v>160184.16</v>
      </c>
      <c r="E8" s="1873">
        <f>(E5/D5)*D8</f>
        <v>105176.91618875928</v>
      </c>
      <c r="F8" s="974" t="s">
        <v>390</v>
      </c>
      <c r="G8" s="1001">
        <f>VLOOKUP($F8,Ratio,2,FALSE)*$E8</f>
        <v>0</v>
      </c>
      <c r="H8" s="1001">
        <f>VLOOKUP($F8,Ratio,3,FALSE)*$E8</f>
        <v>0</v>
      </c>
      <c r="I8" s="1001">
        <f>VLOOKUP($F8,Ratio,4,FALSE)*$E8</f>
        <v>105176.91618875928</v>
      </c>
      <c r="L8" s="994"/>
      <c r="P8" s="995"/>
    </row>
    <row r="9" spans="1:17">
      <c r="A9" s="972"/>
      <c r="B9" s="972"/>
      <c r="C9" s="989" t="s">
        <v>4794</v>
      </c>
      <c r="D9" s="1871">
        <f>SUM(D8:D8)</f>
        <v>160184.16</v>
      </c>
      <c r="E9" s="1871">
        <f>SUM(E8:E8)</f>
        <v>105176.91618875928</v>
      </c>
      <c r="F9" s="974"/>
      <c r="G9" s="1890">
        <f>SUM(G8:G8)</f>
        <v>0</v>
      </c>
      <c r="H9" s="1890">
        <f>SUM(H8:H8)</f>
        <v>0</v>
      </c>
      <c r="I9" s="1890">
        <f>SUM(I8:I8)</f>
        <v>105176.91618875928</v>
      </c>
      <c r="L9" s="994"/>
      <c r="P9" s="995"/>
    </row>
    <row r="10" spans="1:17">
      <c r="A10" s="972"/>
      <c r="B10" s="972"/>
      <c r="D10" s="1872"/>
      <c r="E10" s="1872"/>
      <c r="G10" s="1001"/>
      <c r="H10" s="1001"/>
      <c r="I10" s="1001"/>
      <c r="L10" s="996" t="s">
        <v>4684</v>
      </c>
      <c r="M10" s="997"/>
      <c r="N10" s="997"/>
      <c r="O10" s="998" t="s">
        <v>4685</v>
      </c>
      <c r="P10" s="1882" t="s">
        <v>4595</v>
      </c>
    </row>
    <row r="11" spans="1:17">
      <c r="A11" s="972"/>
      <c r="B11" s="972"/>
      <c r="C11" s="973" t="s">
        <v>4795</v>
      </c>
      <c r="D11" s="1872"/>
      <c r="E11" s="1872"/>
      <c r="F11" s="974"/>
      <c r="G11" s="1001"/>
      <c r="H11" s="1001"/>
      <c r="I11" s="1001"/>
      <c r="L11" s="968">
        <v>40400611</v>
      </c>
      <c r="M11" s="999" t="s">
        <v>4796</v>
      </c>
      <c r="N11" s="999"/>
      <c r="O11" s="1062">
        <v>44641.68</v>
      </c>
      <c r="P11" s="1000"/>
    </row>
    <row r="12" spans="1:17">
      <c r="A12" s="972"/>
      <c r="B12" s="972">
        <v>404</v>
      </c>
      <c r="C12" s="973" t="s">
        <v>4797</v>
      </c>
      <c r="D12" s="1870">
        <f t="shared" ref="D12:D18" si="0">O11</f>
        <v>44641.68</v>
      </c>
      <c r="E12" s="708">
        <f>(E5/D5)*D12</f>
        <v>29311.726177453569</v>
      </c>
      <c r="F12" s="974" t="s">
        <v>390</v>
      </c>
      <c r="G12" s="1001">
        <f>VLOOKUP($F12,Ratio,2,FALSE)*$E12</f>
        <v>0</v>
      </c>
      <c r="H12" s="1001">
        <f>VLOOKUP($F12,Ratio,3,FALSE)*$E12</f>
        <v>0</v>
      </c>
      <c r="I12" s="1001">
        <f>VLOOKUP($F12,Ratio,4,FALSE)*$E12</f>
        <v>29311.726177453569</v>
      </c>
      <c r="L12" s="968">
        <v>40400621</v>
      </c>
      <c r="M12" s="999" t="s">
        <v>4798</v>
      </c>
      <c r="N12" s="999"/>
      <c r="O12" s="1062">
        <v>557062.1</v>
      </c>
      <c r="P12" s="1002"/>
    </row>
    <row r="13" spans="1:17">
      <c r="A13" s="972"/>
      <c r="B13" s="972">
        <v>404</v>
      </c>
      <c r="C13" s="973" t="s">
        <v>162</v>
      </c>
      <c r="D13" s="1870">
        <f t="shared" si="0"/>
        <v>557062.1</v>
      </c>
      <c r="E13" s="708">
        <f>(E5/D5)*D13</f>
        <v>365766.96349772805</v>
      </c>
      <c r="F13" s="974" t="s">
        <v>99</v>
      </c>
      <c r="G13" s="1001">
        <f>VLOOKUP($F13,Ratio,2,FALSE)*$E13</f>
        <v>127686.12438964374</v>
      </c>
      <c r="H13" s="1001">
        <f>VLOOKUP($F13,Ratio,3,FALSE)*$E13</f>
        <v>0</v>
      </c>
      <c r="I13" s="1001">
        <f>VLOOKUP($F13,Ratio,4,FALSE)*$E13</f>
        <v>238080.83910808433</v>
      </c>
      <c r="L13" s="968">
        <v>40400631</v>
      </c>
      <c r="M13" s="1003" t="s">
        <v>4799</v>
      </c>
      <c r="N13" s="1003"/>
      <c r="O13" s="1062">
        <v>0</v>
      </c>
      <c r="P13" s="1004" t="s">
        <v>4800</v>
      </c>
    </row>
    <row r="14" spans="1:17">
      <c r="A14" s="972"/>
      <c r="B14" s="972">
        <v>404</v>
      </c>
      <c r="C14" s="973" t="s">
        <v>4801</v>
      </c>
      <c r="D14" s="1870">
        <f t="shared" si="0"/>
        <v>0</v>
      </c>
      <c r="E14" s="708">
        <f>(E5/D5)*D14</f>
        <v>0</v>
      </c>
      <c r="F14" s="974" t="s">
        <v>99</v>
      </c>
      <c r="G14" s="1001">
        <f>VLOOKUP($F14,Ratio,2,FALSE)*$E14</f>
        <v>0</v>
      </c>
      <c r="H14" s="1001">
        <f>VLOOKUP($F14,Ratio,3,FALSE)*$E14</f>
        <v>0</v>
      </c>
      <c r="I14" s="1001">
        <f>VLOOKUP($F14,Ratio,4,FALSE)*$E14</f>
        <v>0</v>
      </c>
      <c r="L14" s="968">
        <v>40400691</v>
      </c>
      <c r="M14" s="999" t="s">
        <v>4802</v>
      </c>
      <c r="N14" s="999"/>
      <c r="O14" s="1062">
        <v>66556172.100000001</v>
      </c>
      <c r="P14" s="1004"/>
    </row>
    <row r="15" spans="1:17">
      <c r="A15" s="972"/>
      <c r="B15" s="972">
        <v>404</v>
      </c>
      <c r="C15" s="973" t="s">
        <v>4803</v>
      </c>
      <c r="D15" s="1870">
        <f t="shared" si="0"/>
        <v>66556172.100000001</v>
      </c>
      <c r="E15" s="708">
        <f>(E5/D5)*D15</f>
        <v>43700781.243328542</v>
      </c>
      <c r="F15" s="974" t="s">
        <v>4024</v>
      </c>
      <c r="G15" s="708">
        <f>$E$15*D30</f>
        <v>12181137.550616181</v>
      </c>
      <c r="H15" s="708">
        <f>$E$15*E30</f>
        <v>0</v>
      </c>
      <c r="I15" s="708">
        <f>$E$15*F30</f>
        <v>31519643.692661133</v>
      </c>
      <c r="L15" s="1889">
        <v>93100614</v>
      </c>
      <c r="M15" s="999" t="s">
        <v>4804</v>
      </c>
      <c r="N15" s="999"/>
      <c r="O15" s="1062">
        <v>1678594.85</v>
      </c>
      <c r="P15" s="1004" t="s">
        <v>4805</v>
      </c>
    </row>
    <row r="16" spans="1:17">
      <c r="A16" s="972"/>
      <c r="B16" s="972">
        <v>931</v>
      </c>
      <c r="C16" s="973" t="s">
        <v>4806</v>
      </c>
      <c r="D16" s="1870">
        <f t="shared" si="0"/>
        <v>1678594.85</v>
      </c>
      <c r="E16" s="708">
        <f>(E5/D5)*D16</f>
        <v>1102165.3442720738</v>
      </c>
      <c r="F16" s="974" t="s">
        <v>390</v>
      </c>
      <c r="G16" s="708">
        <f>VLOOKUP($F16,Ratio,2,FALSE)*$E16</f>
        <v>0</v>
      </c>
      <c r="H16" s="708">
        <f>VLOOKUP($F16,Ratio,3,FALSE)*$E16</f>
        <v>0</v>
      </c>
      <c r="I16" s="708">
        <f>VLOOKUP($F16,Ratio,4,FALSE)*$E16</f>
        <v>1102165.3442720738</v>
      </c>
      <c r="L16" s="1005">
        <v>93100682</v>
      </c>
      <c r="M16" s="1006" t="s">
        <v>4807</v>
      </c>
      <c r="N16" s="1006"/>
      <c r="O16" s="1007">
        <v>-145475.51999999999</v>
      </c>
      <c r="P16" s="1008" t="s">
        <v>4808</v>
      </c>
      <c r="Q16" s="1888" t="s">
        <v>973</v>
      </c>
    </row>
    <row r="17" spans="1:16" ht="22.5">
      <c r="A17" s="972"/>
      <c r="B17" s="1009">
        <v>931</v>
      </c>
      <c r="C17" s="1010" t="s">
        <v>4809</v>
      </c>
      <c r="D17" s="1011">
        <f t="shared" si="0"/>
        <v>-145475.51999999999</v>
      </c>
      <c r="E17" s="722">
        <f>(E6/D6)*D17</f>
        <v>-95519.223464768133</v>
      </c>
      <c r="F17" s="1012" t="s">
        <v>390</v>
      </c>
      <c r="G17" s="722">
        <f>VLOOKUP($F17,Ratio,2,FALSE)*$E17</f>
        <v>0</v>
      </c>
      <c r="H17" s="722">
        <f>VLOOKUP($F17,Ratio,3,FALSE)*$E17</f>
        <v>0</v>
      </c>
      <c r="I17" s="722">
        <f>VLOOKUP($F17,Ratio,4,FALSE)*$E17</f>
        <v>-95519.223464768133</v>
      </c>
      <c r="L17" s="1887">
        <v>93100932</v>
      </c>
      <c r="M17" s="1886" t="s">
        <v>4810</v>
      </c>
      <c r="N17" s="1886"/>
      <c r="O17" s="1869">
        <v>889404.5</v>
      </c>
      <c r="P17" s="1885" t="s">
        <v>4811</v>
      </c>
    </row>
    <row r="18" spans="1:16">
      <c r="A18" s="972"/>
      <c r="B18" s="972">
        <v>931</v>
      </c>
      <c r="C18" s="973" t="s">
        <v>4812</v>
      </c>
      <c r="D18" s="1870">
        <f t="shared" si="0"/>
        <v>889404.5</v>
      </c>
      <c r="E18" s="708">
        <f>(E5/D5)*D18</f>
        <v>583982.97655901394</v>
      </c>
      <c r="F18" s="974" t="s">
        <v>390</v>
      </c>
      <c r="G18" s="708">
        <f>VLOOKUP($F18,Ratio,2,FALSE)*$E18</f>
        <v>0</v>
      </c>
      <c r="H18" s="708">
        <f>VLOOKUP($F18,Ratio,3,FALSE)*$E18</f>
        <v>0</v>
      </c>
      <c r="I18" s="708">
        <f>VLOOKUP($F18,Ratio,4,FALSE)*$E18</f>
        <v>583982.97655901394</v>
      </c>
      <c r="L18" s="1013"/>
      <c r="M18" s="1014" t="s">
        <v>104</v>
      </c>
      <c r="N18" s="1014"/>
      <c r="O18" s="961">
        <f>SUM(O11:O17)</f>
        <v>69580399.709999993</v>
      </c>
      <c r="P18" s="995"/>
    </row>
    <row r="19" spans="1:16">
      <c r="A19" s="972"/>
      <c r="B19" s="972"/>
      <c r="C19" s="989" t="s">
        <v>4813</v>
      </c>
      <c r="D19" s="990">
        <f>SUM(D12:D18)</f>
        <v>69580399.709999993</v>
      </c>
      <c r="E19" s="990">
        <f>SUM(E12:E18)</f>
        <v>45686489.030370049</v>
      </c>
      <c r="F19" s="974"/>
      <c r="G19" s="1884">
        <f>SUM(G12:G18)</f>
        <v>12308823.675005823</v>
      </c>
      <c r="H19" s="1884">
        <f>SUM(H12:H18)</f>
        <v>0</v>
      </c>
      <c r="I19" s="1884">
        <f>SUM(I12:I18)</f>
        <v>33377665.355312988</v>
      </c>
      <c r="L19" s="1015"/>
      <c r="M19" s="874" t="s">
        <v>4681</v>
      </c>
      <c r="N19" s="874"/>
      <c r="O19" s="901">
        <v>69580399.709999993</v>
      </c>
      <c r="P19" s="995"/>
    </row>
    <row r="20" spans="1:16" ht="12" thickBot="1">
      <c r="A20" s="972"/>
      <c r="B20" s="972"/>
      <c r="D20" s="993"/>
      <c r="E20" s="993"/>
      <c r="F20" s="974"/>
      <c r="G20" s="1001"/>
      <c r="H20" s="1001"/>
      <c r="I20" s="1001"/>
      <c r="L20" s="1016"/>
      <c r="M20" s="1017" t="s">
        <v>929</v>
      </c>
      <c r="N20" s="1017"/>
      <c r="O20" s="1740">
        <f>O18-O19</f>
        <v>0</v>
      </c>
      <c r="P20" s="1019"/>
    </row>
    <row r="21" spans="1:16" ht="12" thickBot="1">
      <c r="A21" s="972"/>
      <c r="B21" s="972"/>
      <c r="C21" s="1020" t="s">
        <v>196</v>
      </c>
      <c r="D21" s="1021">
        <f>SUM(D19,D9,D6)</f>
        <v>97176289.86999999</v>
      </c>
      <c r="E21" s="1021">
        <f>SUM(E19,E9,E6)</f>
        <v>63805949.946558811</v>
      </c>
      <c r="F21" s="1022"/>
      <c r="G21" s="1883">
        <f>SUM(G19,G9,G6)</f>
        <v>18447560.406142</v>
      </c>
      <c r="H21" s="1883">
        <f>SUM(H19,H9,H6)</f>
        <v>0</v>
      </c>
      <c r="I21" s="1883">
        <f>SUM(I19,I9,I6)</f>
        <v>45358389.540365569</v>
      </c>
      <c r="O21" s="1781" cm="1">
        <f t="array" ref="O21">'FERC p336 Dep &amp; Amort'!E21-SUM(O11:O14*N3)</f>
        <v>-0.54024727642536163</v>
      </c>
      <c r="P21" s="1881" t="s">
        <v>8126</v>
      </c>
    </row>
    <row r="22" spans="1:16" ht="15.75" customHeight="1" thickTop="1">
      <c r="A22" s="972"/>
      <c r="B22" s="972"/>
      <c r="D22" s="1023"/>
      <c r="E22" s="1023"/>
      <c r="F22" s="974"/>
      <c r="G22" s="974"/>
      <c r="H22" s="974"/>
      <c r="I22" s="974"/>
      <c r="J22" s="972"/>
      <c r="K22" s="972"/>
      <c r="L22" s="985" t="s">
        <v>4589</v>
      </c>
      <c r="M22" s="986"/>
      <c r="N22" s="986"/>
      <c r="O22" s="987"/>
      <c r="P22" s="1024"/>
    </row>
    <row r="23" spans="1:16" ht="12" customHeight="1">
      <c r="A23" s="972"/>
      <c r="B23" s="972"/>
      <c r="C23" s="3934" t="s">
        <v>4814</v>
      </c>
      <c r="D23" s="3934"/>
      <c r="E23" s="3934"/>
      <c r="F23" s="3934"/>
      <c r="G23" s="3934"/>
      <c r="H23" s="3934"/>
      <c r="I23" s="3934"/>
      <c r="J23" s="972"/>
      <c r="K23" s="972"/>
      <c r="L23" s="991" t="s">
        <v>4815</v>
      </c>
      <c r="M23" s="846"/>
      <c r="N23" s="846"/>
      <c r="O23" s="926"/>
      <c r="P23" s="992"/>
    </row>
    <row r="24" spans="1:16" ht="24.75" customHeight="1">
      <c r="A24" s="972"/>
      <c r="B24" s="972"/>
      <c r="C24" s="3934"/>
      <c r="D24" s="3934"/>
      <c r="E24" s="3934"/>
      <c r="F24" s="3934"/>
      <c r="G24" s="3934"/>
      <c r="H24" s="3934"/>
      <c r="I24" s="3934"/>
      <c r="J24" s="972"/>
      <c r="K24" s="972"/>
      <c r="L24" s="991" t="s">
        <v>7152</v>
      </c>
      <c r="M24" s="846"/>
      <c r="N24" s="846"/>
      <c r="O24" s="926"/>
      <c r="P24" s="992"/>
    </row>
    <row r="25" spans="1:16">
      <c r="A25" s="972"/>
      <c r="B25" s="972"/>
      <c r="C25" s="3935" t="s">
        <v>4816</v>
      </c>
      <c r="D25" s="3935"/>
      <c r="E25" s="3935"/>
      <c r="F25" s="3935"/>
      <c r="G25" s="3935"/>
      <c r="H25" s="3935"/>
      <c r="I25" s="3935"/>
      <c r="J25" s="972"/>
      <c r="K25" s="972"/>
      <c r="L25" s="1025"/>
      <c r="M25" s="972"/>
      <c r="N25" s="972"/>
      <c r="O25" s="972"/>
      <c r="P25" s="1026"/>
    </row>
    <row r="26" spans="1:16">
      <c r="A26" s="972"/>
      <c r="B26" s="972"/>
      <c r="C26" s="972"/>
      <c r="D26" s="972"/>
      <c r="E26" s="972"/>
      <c r="F26" s="972"/>
      <c r="G26" s="972"/>
      <c r="H26" s="972"/>
      <c r="I26" s="972"/>
      <c r="J26" s="972"/>
      <c r="K26" s="972"/>
      <c r="L26" s="996" t="s">
        <v>4684</v>
      </c>
      <c r="M26" s="1027" t="s">
        <v>4593</v>
      </c>
      <c r="N26" s="997"/>
      <c r="O26" s="1027" t="s">
        <v>4775</v>
      </c>
      <c r="P26" s="1882" t="s">
        <v>4595</v>
      </c>
    </row>
    <row r="27" spans="1:16">
      <c r="A27" s="972"/>
      <c r="B27" s="972"/>
      <c r="C27" s="972"/>
      <c r="D27" s="1028"/>
      <c r="E27" s="1028"/>
      <c r="F27" s="972"/>
      <c r="G27" s="972"/>
      <c r="H27" s="972"/>
      <c r="I27" s="972"/>
      <c r="J27" s="972"/>
      <c r="K27" s="972"/>
      <c r="L27" s="968">
        <v>40310001</v>
      </c>
      <c r="M27" s="947" t="s">
        <v>4817</v>
      </c>
      <c r="N27" s="1029" t="s">
        <v>4687</v>
      </c>
      <c r="O27" s="1865">
        <v>8823173.1300000008</v>
      </c>
      <c r="P27" s="1000"/>
    </row>
    <row r="28" spans="1:16" ht="12" thickBot="1">
      <c r="A28" s="972"/>
      <c r="B28" s="972"/>
      <c r="C28" s="1030" t="s">
        <v>4818</v>
      </c>
      <c r="D28" s="972"/>
      <c r="E28" s="972"/>
      <c r="F28" s="972"/>
      <c r="G28" s="1031" t="s">
        <v>927</v>
      </c>
      <c r="H28" s="972"/>
      <c r="I28" s="972"/>
      <c r="J28" s="972"/>
      <c r="K28" s="972"/>
      <c r="L28" s="968">
        <v>40310002</v>
      </c>
      <c r="M28" s="947" t="s">
        <v>4819</v>
      </c>
      <c r="N28" s="1029" t="s">
        <v>4687</v>
      </c>
      <c r="O28" s="1866">
        <v>0</v>
      </c>
      <c r="P28" s="1002"/>
    </row>
    <row r="29" spans="1:16" ht="23.25" thickBot="1">
      <c r="A29" s="972"/>
      <c r="B29" s="972"/>
      <c r="C29" s="1032"/>
      <c r="D29" s="979" t="s">
        <v>105</v>
      </c>
      <c r="E29" s="980" t="s">
        <v>106</v>
      </c>
      <c r="F29" s="981" t="s">
        <v>347</v>
      </c>
      <c r="G29" s="1033"/>
      <c r="I29" s="972"/>
      <c r="J29" s="1034"/>
      <c r="K29" s="1034"/>
      <c r="L29" s="968">
        <v>40310003</v>
      </c>
      <c r="M29" s="947" t="s">
        <v>7151</v>
      </c>
      <c r="N29" s="1029" t="s">
        <v>4687</v>
      </c>
      <c r="O29" s="1866">
        <v>-5163929.12</v>
      </c>
      <c r="P29" s="1002"/>
    </row>
    <row r="30" spans="1:16" ht="12" thickBot="1">
      <c r="A30" s="972"/>
      <c r="B30" s="972"/>
      <c r="C30" s="1035" t="s">
        <v>4024</v>
      </c>
      <c r="D30" s="1036">
        <f>'C Intangible_Summary'!H16</f>
        <v>0.27873958323058079</v>
      </c>
      <c r="E30" s="1036">
        <f>'C Intangible_Summary'!I16</f>
        <v>0</v>
      </c>
      <c r="F30" s="1036">
        <f>'C Intangible_Summary'!J16</f>
        <v>0.72126041676824693</v>
      </c>
      <c r="G30" s="1879">
        <f>SUM(D30:F30)</f>
        <v>0.99999999999882772</v>
      </c>
      <c r="J30" s="972"/>
      <c r="K30" s="972"/>
      <c r="L30" s="968">
        <v>40310301</v>
      </c>
      <c r="M30" s="947" t="s">
        <v>4820</v>
      </c>
      <c r="N30" s="1029" t="s">
        <v>894</v>
      </c>
      <c r="O30" s="1866">
        <v>286321.09000000003</v>
      </c>
      <c r="P30" s="1002"/>
    </row>
    <row r="31" spans="1:16">
      <c r="A31" s="972"/>
      <c r="B31" s="972"/>
      <c r="C31" s="972"/>
      <c r="D31" s="972"/>
      <c r="E31" s="972"/>
      <c r="F31" s="972"/>
      <c r="G31" s="1031"/>
      <c r="H31" s="972"/>
      <c r="J31" s="972"/>
      <c r="K31" s="972"/>
      <c r="L31" s="968">
        <v>40310601</v>
      </c>
      <c r="M31" s="947" t="s">
        <v>4821</v>
      </c>
      <c r="N31" s="1029" t="s">
        <v>4822</v>
      </c>
      <c r="O31" s="1878">
        <v>160184.16</v>
      </c>
      <c r="P31" s="1037"/>
    </row>
    <row r="32" spans="1:16">
      <c r="A32" s="972"/>
      <c r="B32" s="972"/>
      <c r="C32" s="972"/>
      <c r="D32" s="972"/>
      <c r="E32" s="972"/>
      <c r="F32" s="972"/>
      <c r="G32" s="1031"/>
      <c r="H32" s="972"/>
      <c r="I32" s="972"/>
      <c r="J32" s="972"/>
      <c r="K32" s="972"/>
      <c r="L32" s="1013"/>
      <c r="M32" s="1014" t="s">
        <v>104</v>
      </c>
      <c r="N32" s="1014"/>
      <c r="O32" s="961">
        <f>SUM(O27:O31)</f>
        <v>4105749.2600000007</v>
      </c>
      <c r="P32" s="1002"/>
    </row>
    <row r="33" spans="1:16" ht="12" thickBot="1">
      <c r="A33" s="972"/>
      <c r="B33" s="972"/>
      <c r="C33" s="1030" t="s">
        <v>4823</v>
      </c>
      <c r="D33" s="972"/>
      <c r="E33" s="972"/>
      <c r="F33" s="972"/>
      <c r="G33" s="1031"/>
      <c r="H33" s="972"/>
      <c r="I33" s="972"/>
      <c r="J33" s="972"/>
      <c r="K33" s="972"/>
      <c r="L33" s="1038"/>
      <c r="M33" s="874" t="s">
        <v>4681</v>
      </c>
      <c r="N33" s="874"/>
      <c r="O33" s="875">
        <v>4105749.26</v>
      </c>
      <c r="P33" s="1002"/>
    </row>
    <row r="34" spans="1:16" ht="24" thickTop="1" thickBot="1">
      <c r="A34" s="972"/>
      <c r="B34" s="972"/>
      <c r="C34" s="1032"/>
      <c r="D34" s="979" t="s">
        <v>105</v>
      </c>
      <c r="E34" s="980" t="s">
        <v>106</v>
      </c>
      <c r="F34" s="981" t="s">
        <v>347</v>
      </c>
      <c r="G34" s="1031"/>
      <c r="H34" s="972"/>
      <c r="I34" s="972"/>
      <c r="J34" s="972"/>
      <c r="K34" s="972"/>
      <c r="L34" s="1039"/>
      <c r="M34" s="1017" t="s">
        <v>929</v>
      </c>
      <c r="N34" s="1017"/>
      <c r="O34" s="1740">
        <f>O32-O33</f>
        <v>0</v>
      </c>
      <c r="P34" s="1040"/>
    </row>
    <row r="35" spans="1:16" ht="12" thickBot="1">
      <c r="A35" s="972"/>
      <c r="B35" s="972"/>
      <c r="C35" s="1042" t="s">
        <v>4824</v>
      </c>
      <c r="D35" s="1043">
        <f>(G6+G9)/($E$6+$E$9)</f>
        <v>0.33879245963943366</v>
      </c>
      <c r="E35" s="1043">
        <f>(H6+H9)/($E$6+$E$9)</f>
        <v>0</v>
      </c>
      <c r="F35" s="1043">
        <f>(I6+I9)/($E$6+$E$9)</f>
        <v>0.6612075403605665</v>
      </c>
      <c r="G35" s="1879">
        <f>SUM(D35:F35)</f>
        <v>1.0000000000000002</v>
      </c>
      <c r="H35" s="972"/>
      <c r="I35" s="972"/>
      <c r="J35" s="972"/>
      <c r="K35" s="972"/>
      <c r="L35" s="1041"/>
      <c r="M35" s="1041"/>
      <c r="N35" s="1041"/>
      <c r="O35" s="1781">
        <f>'FERC p336 Dep &amp; Amort'!D22-SUM(O27:O29)-O31*N3</f>
        <v>6.9977661973098293E-2</v>
      </c>
      <c r="P35" s="1881" t="s">
        <v>8126</v>
      </c>
    </row>
    <row r="36" spans="1:16">
      <c r="A36" s="972"/>
      <c r="B36" s="972"/>
      <c r="C36" s="972"/>
      <c r="D36" s="972"/>
      <c r="E36" s="972"/>
      <c r="F36" s="972"/>
      <c r="G36" s="1031"/>
      <c r="H36" s="972"/>
      <c r="I36" s="972"/>
      <c r="J36" s="972"/>
      <c r="K36" s="972"/>
      <c r="L36" s="1041"/>
      <c r="M36" s="1041"/>
      <c r="N36" s="1041"/>
      <c r="O36" s="975"/>
    </row>
    <row r="37" spans="1:16" ht="12" thickBot="1">
      <c r="A37" s="972"/>
      <c r="B37" s="972"/>
      <c r="C37" s="1030" t="s">
        <v>4825</v>
      </c>
      <c r="D37" s="972"/>
      <c r="E37" s="972"/>
      <c r="F37" s="972"/>
      <c r="G37" s="1044"/>
      <c r="H37" s="1045"/>
      <c r="I37" s="972"/>
      <c r="J37" s="972"/>
      <c r="K37" s="972"/>
      <c r="L37" s="1041"/>
      <c r="M37" s="1041"/>
      <c r="N37" s="1041"/>
      <c r="O37" s="975"/>
    </row>
    <row r="38" spans="1:16" ht="23.25" thickBot="1">
      <c r="A38" s="972"/>
      <c r="B38" s="972"/>
      <c r="C38" s="1032"/>
      <c r="D38" s="979" t="s">
        <v>105</v>
      </c>
      <c r="E38" s="980" t="s">
        <v>106</v>
      </c>
      <c r="F38" s="981" t="s">
        <v>347</v>
      </c>
      <c r="G38" s="1044"/>
      <c r="H38" s="1045"/>
      <c r="I38" s="1045"/>
      <c r="J38" s="972"/>
      <c r="K38" s="972"/>
      <c r="L38" s="1041"/>
      <c r="M38" s="1041"/>
      <c r="N38" s="1041"/>
      <c r="O38" s="975"/>
    </row>
    <row r="39" spans="1:16" ht="12" thickBot="1">
      <c r="A39" s="972"/>
      <c r="B39" s="972"/>
      <c r="C39" s="1042">
        <v>404</v>
      </c>
      <c r="D39" s="1043">
        <f>G19/$E$19</f>
        <v>0.26941933898276893</v>
      </c>
      <c r="E39" s="1043">
        <f>H19/$E$19</f>
        <v>0</v>
      </c>
      <c r="F39" s="1043">
        <f>I19/$E$19</f>
        <v>0.73058066101610952</v>
      </c>
      <c r="G39" s="1879">
        <f>SUM(D39:F39)</f>
        <v>0.99999999999887845</v>
      </c>
      <c r="H39" s="972"/>
      <c r="I39" s="1045"/>
      <c r="J39" s="972"/>
      <c r="K39" s="972"/>
      <c r="L39" s="1041"/>
      <c r="M39" s="1041"/>
      <c r="N39" s="1041"/>
      <c r="O39" s="975"/>
    </row>
    <row r="40" spans="1:16">
      <c r="A40" s="972"/>
      <c r="B40" s="972"/>
      <c r="C40" s="972"/>
      <c r="D40" s="972"/>
      <c r="E40" s="972"/>
      <c r="F40" s="972"/>
      <c r="G40" s="972"/>
      <c r="H40" s="972"/>
      <c r="I40" s="972"/>
      <c r="J40" s="972"/>
      <c r="K40" s="972"/>
      <c r="L40" s="1041"/>
      <c r="M40" s="1041"/>
      <c r="N40" s="1041"/>
      <c r="O40" s="975"/>
    </row>
    <row r="41" spans="1:16">
      <c r="A41" s="972"/>
      <c r="B41" s="972"/>
      <c r="C41" s="972"/>
      <c r="D41" s="972"/>
      <c r="E41" s="972"/>
      <c r="F41" s="972"/>
      <c r="G41" s="972"/>
      <c r="H41" s="972"/>
      <c r="I41" s="972"/>
      <c r="J41" s="972"/>
      <c r="K41" s="972"/>
      <c r="L41" s="1041"/>
      <c r="M41" s="1041"/>
      <c r="N41" s="1041"/>
      <c r="O41" s="975"/>
    </row>
    <row r="42" spans="1:16">
      <c r="A42" s="972"/>
      <c r="B42" s="972"/>
      <c r="C42" s="972"/>
      <c r="D42" s="972"/>
      <c r="E42" s="972"/>
      <c r="F42" s="972"/>
      <c r="G42" s="972"/>
      <c r="H42" s="972"/>
      <c r="I42" s="972"/>
      <c r="J42" s="972"/>
      <c r="K42" s="972"/>
      <c r="L42" s="1041"/>
      <c r="M42" s="1041"/>
      <c r="N42" s="1041"/>
      <c r="O42" s="975"/>
    </row>
    <row r="43" spans="1:16">
      <c r="A43" s="972"/>
      <c r="B43" s="972"/>
      <c r="C43" s="972"/>
      <c r="D43" s="972"/>
      <c r="E43" s="972"/>
      <c r="F43" s="972"/>
      <c r="G43" s="972"/>
      <c r="H43" s="972"/>
      <c r="I43" s="972"/>
      <c r="J43" s="972"/>
      <c r="K43" s="972"/>
      <c r="L43" s="1046"/>
      <c r="M43" s="1046"/>
      <c r="N43" s="1046"/>
      <c r="O43" s="975"/>
    </row>
    <row r="44" spans="1:16">
      <c r="A44" s="972"/>
      <c r="B44" s="972"/>
      <c r="C44" s="972"/>
      <c r="D44" s="972"/>
      <c r="E44" s="972"/>
      <c r="F44" s="972"/>
      <c r="G44" s="972"/>
      <c r="H44" s="972"/>
      <c r="I44" s="972"/>
      <c r="J44" s="972"/>
      <c r="K44" s="972"/>
      <c r="L44" s="1041"/>
      <c r="M44" s="1041"/>
      <c r="N44" s="1041"/>
      <c r="O44" s="975"/>
    </row>
    <row r="45" spans="1:16">
      <c r="A45" s="972"/>
      <c r="B45" s="972"/>
      <c r="C45" s="972"/>
      <c r="D45" s="972"/>
      <c r="E45" s="972"/>
      <c r="F45" s="972"/>
      <c r="G45" s="972"/>
      <c r="H45" s="972"/>
      <c r="I45" s="972"/>
      <c r="J45" s="972"/>
      <c r="K45" s="972"/>
      <c r="L45" s="1041"/>
      <c r="M45" s="1041"/>
      <c r="N45" s="1041"/>
      <c r="O45" s="975"/>
    </row>
    <row r="46" spans="1:16">
      <c r="A46" s="972"/>
      <c r="B46" s="972"/>
      <c r="C46" s="972"/>
      <c r="D46" s="972"/>
      <c r="E46" s="972"/>
      <c r="F46" s="972"/>
      <c r="G46" s="972"/>
      <c r="H46" s="972"/>
      <c r="I46" s="972"/>
      <c r="J46" s="972"/>
      <c r="K46" s="972"/>
      <c r="L46" s="1041"/>
      <c r="M46" s="1041"/>
      <c r="N46" s="1041"/>
      <c r="O46" s="975"/>
    </row>
    <row r="47" spans="1:16">
      <c r="A47" s="972"/>
      <c r="B47" s="972"/>
      <c r="C47" s="972"/>
      <c r="D47" s="972"/>
      <c r="E47" s="972"/>
      <c r="F47" s="972"/>
      <c r="G47" s="972"/>
      <c r="H47" s="972"/>
      <c r="I47" s="972"/>
      <c r="J47" s="972"/>
      <c r="K47" s="972"/>
      <c r="L47" s="1041"/>
      <c r="M47" s="1041"/>
      <c r="N47" s="1041"/>
      <c r="O47" s="975"/>
    </row>
    <row r="48" spans="1:16">
      <c r="A48" s="972"/>
      <c r="B48" s="972"/>
      <c r="C48" s="972"/>
      <c r="D48" s="972"/>
      <c r="E48" s="972"/>
      <c r="F48" s="972"/>
      <c r="G48" s="972"/>
      <c r="H48" s="972"/>
      <c r="I48" s="972"/>
      <c r="J48" s="972"/>
      <c r="K48" s="972"/>
      <c r="L48" s="1041"/>
      <c r="M48" s="1041"/>
      <c r="N48" s="1041"/>
      <c r="O48" s="975"/>
    </row>
    <row r="49" spans="1:15">
      <c r="A49" s="972"/>
      <c r="B49" s="972"/>
      <c r="C49" s="972"/>
      <c r="D49" s="972"/>
      <c r="E49" s="972"/>
      <c r="F49" s="972"/>
      <c r="G49" s="972"/>
      <c r="H49" s="972"/>
      <c r="I49" s="972"/>
      <c r="J49" s="972"/>
      <c r="K49" s="972"/>
      <c r="L49" s="1041"/>
      <c r="M49" s="1041"/>
      <c r="N49" s="1041"/>
      <c r="O49" s="975"/>
    </row>
    <row r="50" spans="1:15">
      <c r="A50" s="972"/>
      <c r="B50" s="972"/>
      <c r="C50" s="972"/>
      <c r="D50" s="972"/>
      <c r="E50" s="972"/>
      <c r="F50" s="972"/>
      <c r="G50" s="972"/>
      <c r="H50" s="972"/>
      <c r="I50" s="972"/>
      <c r="J50" s="972"/>
      <c r="K50" s="972"/>
      <c r="L50" s="1041"/>
      <c r="M50" s="1041"/>
      <c r="N50" s="1041"/>
      <c r="O50" s="975"/>
    </row>
    <row r="51" spans="1:15">
      <c r="A51" s="972"/>
      <c r="B51" s="972"/>
      <c r="C51" s="972"/>
      <c r="D51" s="972"/>
      <c r="E51" s="972"/>
      <c r="F51" s="972"/>
      <c r="G51" s="972"/>
      <c r="H51" s="972"/>
      <c r="I51" s="972"/>
      <c r="J51" s="972"/>
      <c r="K51" s="972"/>
      <c r="L51" s="1041"/>
      <c r="M51" s="1041"/>
      <c r="N51" s="1041"/>
      <c r="O51" s="975"/>
    </row>
    <row r="52" spans="1:15">
      <c r="A52" s="972"/>
      <c r="B52" s="972"/>
      <c r="C52" s="972"/>
      <c r="D52" s="972"/>
      <c r="E52" s="972"/>
      <c r="F52" s="972"/>
      <c r="G52" s="972"/>
      <c r="H52" s="972"/>
      <c r="I52" s="972"/>
      <c r="J52" s="972"/>
      <c r="K52" s="972"/>
      <c r="L52" s="1041"/>
      <c r="M52" s="1041"/>
      <c r="N52" s="1041"/>
      <c r="O52" s="975"/>
    </row>
    <row r="53" spans="1:15">
      <c r="A53" s="972"/>
      <c r="B53" s="972"/>
      <c r="C53" s="972"/>
      <c r="D53" s="972"/>
      <c r="E53" s="972"/>
      <c r="F53" s="972"/>
      <c r="G53" s="972"/>
      <c r="H53" s="972"/>
      <c r="I53" s="972"/>
      <c r="J53" s="972"/>
      <c r="K53" s="972"/>
      <c r="L53" s="1041"/>
      <c r="M53" s="1041"/>
      <c r="N53" s="1041"/>
      <c r="O53" s="975"/>
    </row>
    <row r="54" spans="1:15">
      <c r="A54" s="972"/>
      <c r="B54" s="972"/>
      <c r="C54" s="972"/>
      <c r="D54" s="972"/>
      <c r="E54" s="972"/>
      <c r="F54" s="972"/>
      <c r="G54" s="972"/>
      <c r="H54" s="972"/>
      <c r="I54" s="972"/>
      <c r="J54" s="972"/>
      <c r="K54" s="972"/>
      <c r="L54" s="1041"/>
      <c r="M54" s="1041"/>
      <c r="N54" s="1041"/>
      <c r="O54" s="975"/>
    </row>
    <row r="55" spans="1:15">
      <c r="A55" s="972"/>
      <c r="B55" s="972"/>
      <c r="C55" s="972"/>
      <c r="D55" s="972"/>
      <c r="E55" s="972"/>
      <c r="F55" s="972"/>
      <c r="G55" s="972"/>
      <c r="H55" s="972"/>
      <c r="I55" s="972"/>
      <c r="J55" s="972"/>
      <c r="K55" s="972"/>
      <c r="L55" s="1041"/>
      <c r="M55" s="1041"/>
      <c r="N55" s="1041"/>
      <c r="O55" s="975"/>
    </row>
    <row r="56" spans="1:15">
      <c r="A56" s="972"/>
      <c r="B56" s="972"/>
      <c r="C56" s="972"/>
      <c r="D56" s="972"/>
      <c r="E56" s="972"/>
      <c r="F56" s="972"/>
      <c r="G56" s="972"/>
      <c r="H56" s="972"/>
      <c r="I56" s="972"/>
      <c r="J56" s="972"/>
      <c r="K56" s="972"/>
      <c r="L56" s="1041"/>
      <c r="M56" s="1041"/>
      <c r="N56" s="1041"/>
      <c r="O56" s="975"/>
    </row>
    <row r="57" spans="1:15">
      <c r="A57" s="972"/>
      <c r="B57" s="972"/>
      <c r="C57" s="972"/>
      <c r="D57" s="972"/>
      <c r="E57" s="972"/>
      <c r="F57" s="972"/>
      <c r="G57" s="972"/>
      <c r="H57" s="972"/>
      <c r="I57" s="972"/>
      <c r="J57" s="972"/>
      <c r="K57" s="972"/>
      <c r="L57" s="1041"/>
      <c r="M57" s="1041"/>
      <c r="N57" s="1041"/>
      <c r="O57" s="975"/>
    </row>
    <row r="58" spans="1:15">
      <c r="A58" s="972"/>
      <c r="B58" s="972"/>
      <c r="C58" s="972"/>
      <c r="D58" s="972"/>
      <c r="E58" s="972"/>
      <c r="F58" s="972"/>
      <c r="G58" s="972"/>
      <c r="H58" s="972"/>
      <c r="I58" s="972"/>
      <c r="J58" s="972"/>
      <c r="K58" s="972"/>
      <c r="L58" s="1041"/>
      <c r="M58" s="1041"/>
      <c r="N58" s="1041"/>
      <c r="O58" s="975"/>
    </row>
    <row r="59" spans="1:15">
      <c r="A59" s="972"/>
      <c r="B59" s="972"/>
      <c r="C59" s="972"/>
      <c r="D59" s="972"/>
      <c r="E59" s="972"/>
      <c r="F59" s="972"/>
      <c r="G59" s="972"/>
      <c r="H59" s="972"/>
      <c r="I59" s="972"/>
      <c r="J59" s="972"/>
      <c r="K59" s="972"/>
      <c r="L59" s="1041"/>
      <c r="M59" s="1041"/>
      <c r="N59" s="1041"/>
      <c r="O59" s="975"/>
    </row>
    <row r="60" spans="1:15">
      <c r="A60" s="972"/>
      <c r="B60" s="972"/>
      <c r="C60" s="972"/>
      <c r="D60" s="972"/>
      <c r="E60" s="972"/>
      <c r="F60" s="972"/>
      <c r="G60" s="972"/>
      <c r="H60" s="972"/>
      <c r="I60" s="972"/>
      <c r="J60" s="972"/>
      <c r="K60" s="972"/>
      <c r="L60" s="1041"/>
      <c r="M60" s="1041"/>
      <c r="N60" s="1041"/>
      <c r="O60" s="975"/>
    </row>
    <row r="61" spans="1:15">
      <c r="A61" s="972"/>
      <c r="B61" s="972"/>
      <c r="C61" s="972"/>
      <c r="D61" s="972"/>
      <c r="E61" s="972"/>
      <c r="F61" s="972"/>
      <c r="G61" s="972"/>
      <c r="H61" s="972"/>
      <c r="I61" s="972"/>
      <c r="J61" s="972"/>
      <c r="K61" s="972"/>
      <c r="L61" s="1041"/>
      <c r="M61" s="1041"/>
      <c r="N61" s="1041"/>
      <c r="O61" s="975"/>
    </row>
    <row r="62" spans="1:15">
      <c r="A62" s="972"/>
      <c r="B62" s="972"/>
      <c r="C62" s="972"/>
      <c r="D62" s="972"/>
      <c r="E62" s="972"/>
      <c r="F62" s="972"/>
      <c r="G62" s="972"/>
      <c r="H62" s="972"/>
      <c r="I62" s="972"/>
      <c r="J62" s="972"/>
      <c r="K62" s="972"/>
      <c r="L62" s="1041"/>
      <c r="M62" s="1041"/>
      <c r="N62" s="1041"/>
      <c r="O62" s="975"/>
    </row>
    <row r="63" spans="1:15">
      <c r="A63" s="972"/>
      <c r="B63" s="972"/>
      <c r="C63" s="972"/>
      <c r="D63" s="972"/>
      <c r="E63" s="972"/>
      <c r="F63" s="972"/>
      <c r="G63" s="972"/>
      <c r="H63" s="972"/>
      <c r="I63" s="972"/>
      <c r="J63" s="972"/>
      <c r="K63" s="972"/>
      <c r="L63" s="1041"/>
      <c r="M63" s="1041"/>
      <c r="N63" s="1041"/>
      <c r="O63" s="975"/>
    </row>
    <row r="64" spans="1:15">
      <c r="A64" s="972"/>
      <c r="B64" s="972"/>
      <c r="C64" s="972"/>
      <c r="D64" s="972"/>
      <c r="E64" s="972"/>
      <c r="F64" s="972"/>
      <c r="G64" s="972"/>
      <c r="H64" s="972"/>
      <c r="I64" s="972"/>
      <c r="J64" s="972"/>
      <c r="K64" s="972"/>
      <c r="L64" s="1041"/>
      <c r="M64" s="1041"/>
      <c r="N64" s="1041"/>
      <c r="O64" s="975"/>
    </row>
    <row r="65" spans="1:15">
      <c r="A65" s="972"/>
      <c r="B65" s="972"/>
      <c r="C65" s="972"/>
      <c r="D65" s="972"/>
      <c r="E65" s="972"/>
      <c r="F65" s="972"/>
      <c r="G65" s="972"/>
      <c r="H65" s="972"/>
      <c r="I65" s="972"/>
      <c r="J65" s="972"/>
      <c r="K65" s="972"/>
      <c r="L65" s="1041"/>
      <c r="M65" s="1041"/>
      <c r="N65" s="1041"/>
      <c r="O65" s="975"/>
    </row>
    <row r="66" spans="1:15">
      <c r="A66" s="972"/>
      <c r="B66" s="972"/>
      <c r="C66" s="972"/>
      <c r="D66" s="972"/>
      <c r="E66" s="972"/>
      <c r="F66" s="972"/>
      <c r="G66" s="972"/>
      <c r="H66" s="972"/>
      <c r="I66" s="972"/>
      <c r="J66" s="972"/>
      <c r="K66" s="972"/>
      <c r="L66" s="1041"/>
      <c r="M66" s="1041"/>
      <c r="N66" s="1041"/>
      <c r="O66" s="975"/>
    </row>
    <row r="67" spans="1:15">
      <c r="A67" s="972"/>
      <c r="B67" s="972"/>
      <c r="C67" s="972"/>
      <c r="D67" s="972"/>
      <c r="E67" s="972"/>
      <c r="F67" s="972"/>
      <c r="G67" s="972"/>
      <c r="H67" s="972"/>
      <c r="I67" s="972"/>
      <c r="J67" s="972"/>
      <c r="K67" s="972"/>
      <c r="L67" s="1041"/>
      <c r="M67" s="1041"/>
      <c r="N67" s="1041"/>
      <c r="O67" s="975"/>
    </row>
    <row r="68" spans="1:15">
      <c r="A68" s="972"/>
      <c r="B68" s="972"/>
      <c r="C68" s="972"/>
      <c r="D68" s="972"/>
      <c r="E68" s="972"/>
      <c r="F68" s="972"/>
      <c r="G68" s="972"/>
      <c r="H68" s="972"/>
      <c r="I68" s="972"/>
      <c r="J68" s="972"/>
      <c r="K68" s="972"/>
      <c r="L68" s="1041"/>
      <c r="M68" s="1041"/>
      <c r="N68" s="1041"/>
      <c r="O68" s="975"/>
    </row>
    <row r="69" spans="1:15">
      <c r="A69" s="972"/>
      <c r="B69" s="972"/>
      <c r="C69" s="972"/>
      <c r="D69" s="972"/>
      <c r="E69" s="972"/>
      <c r="F69" s="972"/>
      <c r="G69" s="972"/>
      <c r="H69" s="972"/>
      <c r="I69" s="972"/>
      <c r="J69" s="972"/>
      <c r="K69" s="972"/>
      <c r="L69" s="1041"/>
      <c r="M69" s="1041"/>
      <c r="N69" s="1041"/>
      <c r="O69" s="975"/>
    </row>
    <row r="70" spans="1:15">
      <c r="A70" s="972"/>
      <c r="B70" s="972"/>
      <c r="C70" s="972"/>
      <c r="D70" s="972"/>
      <c r="E70" s="972"/>
      <c r="F70" s="972"/>
      <c r="G70" s="972"/>
      <c r="H70" s="972"/>
      <c r="I70" s="972"/>
      <c r="J70" s="972"/>
      <c r="K70" s="972"/>
      <c r="L70" s="1041"/>
      <c r="M70" s="1041"/>
      <c r="N70" s="1041"/>
      <c r="O70" s="975"/>
    </row>
    <row r="71" spans="1:15">
      <c r="A71" s="972"/>
      <c r="B71" s="972"/>
      <c r="C71" s="972"/>
      <c r="D71" s="972"/>
      <c r="E71" s="972"/>
      <c r="F71" s="972"/>
      <c r="G71" s="972"/>
      <c r="H71" s="972"/>
      <c r="I71" s="972"/>
      <c r="J71" s="972"/>
      <c r="K71" s="972"/>
      <c r="L71" s="1041"/>
      <c r="M71" s="1041"/>
      <c r="N71" s="1041"/>
      <c r="O71" s="975"/>
    </row>
    <row r="72" spans="1:15">
      <c r="A72" s="972"/>
      <c r="B72" s="972"/>
      <c r="C72" s="972"/>
      <c r="D72" s="972"/>
      <c r="E72" s="972"/>
      <c r="F72" s="972"/>
      <c r="G72" s="972"/>
      <c r="H72" s="972"/>
      <c r="I72" s="972"/>
      <c r="J72" s="972"/>
      <c r="K72" s="972"/>
      <c r="L72" s="1041"/>
      <c r="M72" s="1041"/>
      <c r="N72" s="1041"/>
      <c r="O72" s="975"/>
    </row>
    <row r="73" spans="1:15">
      <c r="A73" s="972"/>
      <c r="B73" s="972"/>
      <c r="C73" s="972"/>
      <c r="D73" s="972"/>
      <c r="E73" s="972"/>
      <c r="F73" s="972"/>
      <c r="G73" s="972"/>
      <c r="H73" s="972"/>
      <c r="I73" s="972"/>
      <c r="J73" s="972"/>
      <c r="K73" s="972"/>
      <c r="L73" s="1041"/>
      <c r="M73" s="1041"/>
      <c r="N73" s="1041"/>
      <c r="O73" s="975"/>
    </row>
    <row r="74" spans="1:15">
      <c r="A74" s="972"/>
      <c r="B74" s="972"/>
      <c r="C74" s="972"/>
      <c r="D74" s="972"/>
      <c r="E74" s="972"/>
      <c r="F74" s="972"/>
      <c r="G74" s="972"/>
      <c r="H74" s="972"/>
      <c r="I74" s="972"/>
      <c r="J74" s="972"/>
      <c r="K74" s="972"/>
      <c r="L74" s="1041"/>
      <c r="M74" s="1041"/>
      <c r="N74" s="1041"/>
      <c r="O74" s="975"/>
    </row>
    <row r="75" spans="1:15">
      <c r="A75" s="972"/>
      <c r="B75" s="972"/>
      <c r="C75" s="972"/>
      <c r="D75" s="972"/>
      <c r="E75" s="972"/>
      <c r="F75" s="972"/>
      <c r="G75" s="972"/>
      <c r="H75" s="972"/>
      <c r="I75" s="972"/>
      <c r="J75" s="972"/>
      <c r="K75" s="972"/>
      <c r="L75" s="1041"/>
      <c r="M75" s="1041"/>
      <c r="N75" s="1041"/>
      <c r="O75" s="975"/>
    </row>
    <row r="76" spans="1:15">
      <c r="A76" s="972"/>
      <c r="B76" s="972"/>
      <c r="C76" s="972"/>
      <c r="D76" s="972"/>
      <c r="E76" s="972"/>
      <c r="F76" s="972"/>
      <c r="G76" s="972"/>
      <c r="H76" s="972"/>
      <c r="I76" s="972"/>
      <c r="J76" s="972"/>
      <c r="K76" s="972"/>
      <c r="L76" s="1041"/>
      <c r="M76" s="1041"/>
      <c r="N76" s="1041"/>
      <c r="O76" s="975"/>
    </row>
    <row r="77" spans="1:15">
      <c r="A77" s="972"/>
      <c r="B77" s="972"/>
      <c r="C77" s="972"/>
      <c r="D77" s="972"/>
      <c r="E77" s="972"/>
      <c r="F77" s="972"/>
      <c r="G77" s="972"/>
      <c r="H77" s="972"/>
      <c r="I77" s="972"/>
      <c r="J77" s="972"/>
      <c r="K77" s="972"/>
      <c r="L77" s="1041"/>
      <c r="M77" s="1041"/>
      <c r="N77" s="1041"/>
      <c r="O77" s="975"/>
    </row>
    <row r="78" spans="1:15">
      <c r="A78" s="972"/>
      <c r="B78" s="972"/>
      <c r="C78" s="972"/>
      <c r="D78" s="972"/>
      <c r="E78" s="972"/>
      <c r="F78" s="972"/>
      <c r="G78" s="972"/>
      <c r="H78" s="972"/>
      <c r="I78" s="972"/>
      <c r="J78" s="972"/>
      <c r="K78" s="972"/>
      <c r="L78" s="1041"/>
      <c r="M78" s="1041"/>
      <c r="N78" s="1041"/>
      <c r="O78" s="975"/>
    </row>
    <row r="79" spans="1:15">
      <c r="A79" s="972"/>
      <c r="B79" s="972"/>
      <c r="C79" s="972"/>
      <c r="D79" s="972"/>
      <c r="E79" s="972"/>
      <c r="F79" s="972"/>
      <c r="G79" s="972"/>
      <c r="H79" s="972"/>
      <c r="I79" s="972"/>
      <c r="J79" s="972"/>
      <c r="K79" s="972"/>
      <c r="L79" s="1041"/>
      <c r="M79" s="1041"/>
      <c r="N79" s="1041"/>
      <c r="O79" s="975"/>
    </row>
    <row r="80" spans="1:15">
      <c r="A80" s="972"/>
      <c r="B80" s="972"/>
      <c r="C80" s="972"/>
      <c r="D80" s="972"/>
      <c r="E80" s="972"/>
      <c r="F80" s="972"/>
      <c r="G80" s="972"/>
      <c r="H80" s="972"/>
      <c r="I80" s="972"/>
      <c r="J80" s="972"/>
      <c r="K80" s="972"/>
      <c r="L80" s="1041"/>
      <c r="M80" s="1041"/>
      <c r="N80" s="1041"/>
      <c r="O80" s="975"/>
    </row>
    <row r="81" spans="1:15">
      <c r="A81" s="972"/>
      <c r="B81" s="972"/>
      <c r="C81" s="972"/>
      <c r="D81" s="972"/>
      <c r="E81" s="972"/>
      <c r="F81" s="972"/>
      <c r="G81" s="972"/>
      <c r="H81" s="972"/>
      <c r="I81" s="972"/>
      <c r="J81" s="972"/>
      <c r="K81" s="972"/>
      <c r="L81" s="1041"/>
      <c r="M81" s="1041"/>
      <c r="N81" s="1041"/>
      <c r="O81" s="975"/>
    </row>
    <row r="82" spans="1:15">
      <c r="A82" s="972"/>
      <c r="B82" s="972"/>
      <c r="C82" s="972"/>
      <c r="D82" s="972"/>
      <c r="E82" s="972"/>
      <c r="F82" s="972"/>
      <c r="G82" s="972"/>
      <c r="H82" s="972"/>
      <c r="I82" s="972"/>
      <c r="J82" s="972"/>
      <c r="K82" s="972"/>
      <c r="L82" s="1041"/>
      <c r="M82" s="1041"/>
      <c r="N82" s="1041"/>
      <c r="O82" s="975"/>
    </row>
    <row r="83" spans="1:15">
      <c r="A83" s="972"/>
      <c r="B83" s="972"/>
      <c r="C83" s="972"/>
      <c r="D83" s="972"/>
      <c r="E83" s="972"/>
      <c r="F83" s="972"/>
      <c r="G83" s="972"/>
      <c r="H83" s="972"/>
      <c r="I83" s="972"/>
      <c r="J83" s="972"/>
      <c r="K83" s="972"/>
      <c r="L83" s="1041"/>
      <c r="M83" s="1041"/>
      <c r="N83" s="1041"/>
      <c r="O83" s="975"/>
    </row>
    <row r="84" spans="1:15">
      <c r="A84" s="972"/>
      <c r="B84" s="972"/>
      <c r="C84" s="972"/>
      <c r="D84" s="972"/>
      <c r="E84" s="972"/>
      <c r="F84" s="972"/>
      <c r="G84" s="972"/>
      <c r="H84" s="972"/>
      <c r="I84" s="972"/>
      <c r="J84" s="972"/>
      <c r="K84" s="972"/>
      <c r="L84" s="1041"/>
      <c r="M84" s="1041"/>
      <c r="N84" s="1041"/>
      <c r="O84" s="975"/>
    </row>
    <row r="85" spans="1:15">
      <c r="A85" s="972"/>
      <c r="B85" s="972"/>
      <c r="C85" s="972"/>
      <c r="D85" s="972"/>
      <c r="E85" s="972"/>
      <c r="F85" s="972"/>
      <c r="G85" s="972"/>
      <c r="H85" s="972"/>
      <c r="I85" s="972"/>
      <c r="J85" s="972"/>
      <c r="K85" s="972"/>
      <c r="L85" s="1041"/>
      <c r="M85" s="1041"/>
      <c r="N85" s="1041"/>
      <c r="O85" s="975"/>
    </row>
    <row r="86" spans="1:15">
      <c r="A86" s="972"/>
      <c r="B86" s="972"/>
      <c r="C86" s="972"/>
      <c r="D86" s="972"/>
      <c r="E86" s="972"/>
      <c r="F86" s="972"/>
      <c r="G86" s="972"/>
      <c r="H86" s="972"/>
      <c r="I86" s="972"/>
      <c r="J86" s="972"/>
      <c r="K86" s="972"/>
      <c r="L86" s="1041"/>
      <c r="M86" s="1041"/>
      <c r="N86" s="1041"/>
      <c r="O86" s="975"/>
    </row>
    <row r="87" spans="1:15">
      <c r="A87" s="972"/>
      <c r="B87" s="972"/>
      <c r="C87" s="972"/>
      <c r="D87" s="972"/>
      <c r="E87" s="972"/>
      <c r="F87" s="972"/>
      <c r="G87" s="972"/>
      <c r="H87" s="972"/>
      <c r="I87" s="972"/>
      <c r="J87" s="972"/>
      <c r="K87" s="972"/>
      <c r="L87" s="1041"/>
      <c r="M87" s="1041"/>
      <c r="N87" s="1041"/>
      <c r="O87" s="975"/>
    </row>
    <row r="88" spans="1:15">
      <c r="A88" s="972"/>
      <c r="B88" s="972"/>
      <c r="C88" s="972"/>
      <c r="D88" s="972"/>
      <c r="E88" s="972"/>
      <c r="F88" s="972"/>
      <c r="G88" s="972"/>
      <c r="H88" s="972"/>
      <c r="I88" s="972"/>
      <c r="J88" s="972"/>
      <c r="K88" s="972"/>
      <c r="L88" s="1041"/>
      <c r="M88" s="1041"/>
      <c r="N88" s="1041"/>
      <c r="O88" s="975"/>
    </row>
    <row r="89" spans="1:15">
      <c r="A89" s="972"/>
      <c r="B89" s="972"/>
      <c r="C89" s="972"/>
      <c r="D89" s="972"/>
      <c r="E89" s="972"/>
      <c r="F89" s="972"/>
      <c r="G89" s="972"/>
      <c r="H89" s="972"/>
      <c r="I89" s="972"/>
      <c r="J89" s="972"/>
      <c r="K89" s="972"/>
      <c r="L89" s="1041"/>
      <c r="M89" s="1041"/>
      <c r="N89" s="1041"/>
      <c r="O89" s="975"/>
    </row>
    <row r="90" spans="1:15">
      <c r="A90" s="972"/>
      <c r="B90" s="972"/>
      <c r="C90" s="972"/>
      <c r="D90" s="972"/>
      <c r="E90" s="972"/>
      <c r="F90" s="972"/>
      <c r="G90" s="972"/>
      <c r="H90" s="972"/>
      <c r="I90" s="972"/>
      <c r="J90" s="972"/>
      <c r="K90" s="972"/>
      <c r="L90" s="1041"/>
      <c r="M90" s="1041"/>
      <c r="N90" s="1041"/>
      <c r="O90" s="975"/>
    </row>
    <row r="91" spans="1:15">
      <c r="A91" s="972"/>
      <c r="B91" s="972"/>
      <c r="C91" s="972"/>
      <c r="D91" s="972"/>
      <c r="E91" s="972"/>
      <c r="F91" s="972"/>
      <c r="G91" s="972"/>
      <c r="H91" s="972"/>
      <c r="I91" s="972"/>
      <c r="J91" s="972"/>
      <c r="K91" s="972"/>
      <c r="L91" s="1041"/>
      <c r="M91" s="1041"/>
      <c r="N91" s="1041"/>
      <c r="O91" s="975"/>
    </row>
    <row r="92" spans="1:15">
      <c r="A92" s="972"/>
      <c r="B92" s="972"/>
      <c r="C92" s="972"/>
      <c r="D92" s="972"/>
      <c r="E92" s="972"/>
      <c r="F92" s="972"/>
      <c r="G92" s="972"/>
      <c r="H92" s="972"/>
      <c r="I92" s="972"/>
      <c r="J92" s="972"/>
      <c r="K92" s="972"/>
      <c r="L92" s="1041"/>
      <c r="M92" s="1041"/>
      <c r="N92" s="1041"/>
      <c r="O92" s="975"/>
    </row>
    <row r="93" spans="1:15">
      <c r="A93" s="972"/>
      <c r="B93" s="972"/>
      <c r="C93" s="972"/>
      <c r="D93" s="972"/>
      <c r="E93" s="972"/>
      <c r="F93" s="972"/>
      <c r="G93" s="972"/>
      <c r="H93" s="972"/>
      <c r="I93" s="972"/>
      <c r="J93" s="972"/>
      <c r="K93" s="972"/>
      <c r="L93" s="1041"/>
      <c r="M93" s="1041"/>
      <c r="N93" s="1041"/>
      <c r="O93" s="975"/>
    </row>
    <row r="94" spans="1:15">
      <c r="A94" s="972"/>
      <c r="B94" s="972"/>
      <c r="C94" s="972"/>
      <c r="D94" s="972"/>
      <c r="E94" s="972"/>
      <c r="F94" s="972"/>
      <c r="G94" s="972"/>
      <c r="H94" s="972"/>
      <c r="I94" s="972"/>
      <c r="J94" s="972"/>
      <c r="K94" s="972"/>
      <c r="L94" s="1041"/>
      <c r="M94" s="1041"/>
      <c r="N94" s="1041"/>
      <c r="O94" s="975"/>
    </row>
    <row r="95" spans="1:15">
      <c r="A95" s="972"/>
      <c r="B95" s="972"/>
      <c r="C95" s="972"/>
      <c r="D95" s="972"/>
      <c r="E95" s="972"/>
      <c r="F95" s="972"/>
      <c r="G95" s="972"/>
      <c r="H95" s="972"/>
      <c r="I95" s="972"/>
      <c r="J95" s="972"/>
      <c r="K95" s="972"/>
      <c r="L95" s="1041"/>
      <c r="M95" s="1041"/>
      <c r="N95" s="1041"/>
      <c r="O95" s="975"/>
    </row>
    <row r="96" spans="1:15">
      <c r="A96" s="972"/>
      <c r="B96" s="972"/>
      <c r="C96" s="972"/>
      <c r="D96" s="972"/>
      <c r="E96" s="972"/>
      <c r="F96" s="972"/>
      <c r="G96" s="972"/>
      <c r="H96" s="972"/>
      <c r="I96" s="972"/>
      <c r="J96" s="972"/>
      <c r="K96" s="972"/>
      <c r="L96" s="1041"/>
      <c r="M96" s="1041"/>
      <c r="N96" s="1041"/>
      <c r="O96" s="975"/>
    </row>
    <row r="97" spans="1:15">
      <c r="A97" s="972"/>
      <c r="B97" s="972"/>
      <c r="C97" s="972"/>
      <c r="D97" s="972"/>
      <c r="E97" s="972"/>
      <c r="F97" s="972"/>
      <c r="G97" s="972"/>
      <c r="H97" s="972"/>
      <c r="I97" s="972"/>
      <c r="J97" s="972"/>
      <c r="K97" s="972"/>
      <c r="L97" s="1041"/>
      <c r="M97" s="1041"/>
      <c r="N97" s="1041"/>
      <c r="O97" s="975"/>
    </row>
    <row r="98" spans="1:15">
      <c r="A98" s="972"/>
      <c r="B98" s="972"/>
      <c r="C98" s="972"/>
      <c r="D98" s="972"/>
      <c r="E98" s="972"/>
      <c r="F98" s="972"/>
      <c r="G98" s="972"/>
      <c r="H98" s="972"/>
      <c r="I98" s="972"/>
      <c r="J98" s="972"/>
      <c r="K98" s="972"/>
      <c r="L98" s="1041"/>
      <c r="M98" s="1041"/>
      <c r="N98" s="1041"/>
      <c r="O98" s="975"/>
    </row>
    <row r="99" spans="1:15">
      <c r="A99" s="972"/>
      <c r="B99" s="972"/>
      <c r="C99" s="972"/>
      <c r="D99" s="972"/>
      <c r="E99" s="972"/>
      <c r="F99" s="972"/>
      <c r="G99" s="972"/>
      <c r="H99" s="972"/>
      <c r="I99" s="972"/>
      <c r="J99" s="972"/>
      <c r="K99" s="972"/>
      <c r="L99" s="1041"/>
      <c r="M99" s="1041"/>
      <c r="N99" s="1041"/>
      <c r="O99" s="975"/>
    </row>
    <row r="100" spans="1:15">
      <c r="A100" s="972"/>
      <c r="B100" s="972"/>
      <c r="C100" s="972"/>
      <c r="D100" s="972"/>
      <c r="E100" s="972"/>
      <c r="F100" s="972"/>
      <c r="G100" s="972"/>
      <c r="H100" s="972"/>
      <c r="I100" s="972"/>
      <c r="J100" s="972"/>
      <c r="K100" s="972"/>
      <c r="L100" s="1041"/>
      <c r="M100" s="1041"/>
      <c r="N100" s="1041"/>
      <c r="O100" s="975"/>
    </row>
    <row r="101" spans="1:15">
      <c r="A101" s="972"/>
      <c r="B101" s="972"/>
      <c r="C101" s="972"/>
      <c r="D101" s="972"/>
      <c r="E101" s="972"/>
      <c r="F101" s="972"/>
      <c r="G101" s="972"/>
      <c r="H101" s="972"/>
      <c r="I101" s="972"/>
      <c r="J101" s="972"/>
      <c r="K101" s="972"/>
      <c r="L101" s="1041"/>
      <c r="M101" s="1041"/>
      <c r="N101" s="1041"/>
      <c r="O101" s="975"/>
    </row>
    <row r="102" spans="1:15">
      <c r="A102" s="972"/>
      <c r="B102" s="972"/>
      <c r="C102" s="972"/>
      <c r="D102" s="972"/>
      <c r="E102" s="972"/>
      <c r="F102" s="972"/>
      <c r="G102" s="972"/>
      <c r="H102" s="972"/>
      <c r="I102" s="972"/>
      <c r="J102" s="972"/>
      <c r="K102" s="972"/>
      <c r="L102" s="1041"/>
      <c r="M102" s="1041"/>
      <c r="N102" s="1041"/>
      <c r="O102" s="975"/>
    </row>
    <row r="103" spans="1:15">
      <c r="A103" s="972"/>
      <c r="B103" s="972"/>
      <c r="C103" s="972"/>
      <c r="D103" s="972"/>
      <c r="E103" s="972"/>
      <c r="F103" s="972"/>
      <c r="G103" s="972"/>
      <c r="H103" s="972"/>
      <c r="I103" s="972"/>
      <c r="J103" s="972"/>
      <c r="K103" s="972"/>
      <c r="L103" s="1041"/>
      <c r="M103" s="1041"/>
      <c r="N103" s="1041"/>
      <c r="O103" s="975"/>
    </row>
    <row r="104" spans="1:15">
      <c r="A104" s="972"/>
      <c r="B104" s="972"/>
      <c r="C104" s="972"/>
      <c r="D104" s="972"/>
      <c r="E104" s="972"/>
      <c r="F104" s="972"/>
      <c r="G104" s="972"/>
      <c r="H104" s="972"/>
      <c r="I104" s="972"/>
      <c r="J104" s="972"/>
      <c r="K104" s="972"/>
      <c r="L104" s="1041"/>
      <c r="M104" s="1041"/>
      <c r="N104" s="1041"/>
      <c r="O104" s="975"/>
    </row>
    <row r="105" spans="1:15">
      <c r="A105" s="972"/>
      <c r="B105" s="972"/>
      <c r="C105" s="972"/>
      <c r="D105" s="972"/>
      <c r="E105" s="972"/>
      <c r="F105" s="972"/>
      <c r="G105" s="972"/>
      <c r="H105" s="972"/>
      <c r="I105" s="972"/>
      <c r="J105" s="972"/>
      <c r="K105" s="972"/>
      <c r="L105" s="1041"/>
      <c r="M105" s="1041"/>
      <c r="N105" s="1041"/>
      <c r="O105" s="975"/>
    </row>
    <row r="106" spans="1:15">
      <c r="A106" s="972"/>
      <c r="B106" s="972"/>
      <c r="C106" s="972"/>
      <c r="D106" s="972"/>
      <c r="E106" s="972"/>
      <c r="F106" s="972"/>
      <c r="G106" s="972"/>
      <c r="H106" s="972"/>
      <c r="I106" s="972"/>
      <c r="J106" s="972"/>
      <c r="K106" s="972"/>
      <c r="L106" s="1041"/>
      <c r="M106" s="1041"/>
      <c r="N106" s="1041"/>
      <c r="O106" s="975"/>
    </row>
    <row r="107" spans="1:15">
      <c r="A107" s="972"/>
      <c r="B107" s="972"/>
      <c r="C107" s="972"/>
      <c r="D107" s="972"/>
      <c r="E107" s="972"/>
      <c r="F107" s="972"/>
      <c r="G107" s="972"/>
      <c r="H107" s="972"/>
      <c r="I107" s="972"/>
      <c r="J107" s="972"/>
      <c r="K107" s="972"/>
      <c r="L107" s="1041"/>
      <c r="M107" s="1041"/>
      <c r="N107" s="1041"/>
      <c r="O107" s="975"/>
    </row>
    <row r="108" spans="1:15">
      <c r="A108" s="972"/>
      <c r="B108" s="972"/>
      <c r="C108" s="972"/>
      <c r="D108" s="972"/>
      <c r="E108" s="972"/>
      <c r="F108" s="972"/>
      <c r="G108" s="972"/>
      <c r="H108" s="972"/>
      <c r="I108" s="972"/>
      <c r="J108" s="972"/>
      <c r="K108" s="972"/>
      <c r="L108" s="1041"/>
      <c r="M108" s="1041"/>
      <c r="N108" s="1041"/>
      <c r="O108" s="975"/>
    </row>
    <row r="109" spans="1:15">
      <c r="A109" s="972"/>
      <c r="B109" s="972"/>
      <c r="C109" s="972"/>
      <c r="D109" s="972"/>
      <c r="E109" s="972"/>
      <c r="F109" s="972"/>
      <c r="G109" s="972"/>
      <c r="H109" s="972"/>
      <c r="I109" s="972"/>
      <c r="J109" s="972"/>
      <c r="K109" s="972"/>
      <c r="L109" s="1041"/>
      <c r="M109" s="1041"/>
      <c r="N109" s="1041"/>
      <c r="O109" s="975"/>
    </row>
    <row r="110" spans="1:15">
      <c r="A110" s="972"/>
      <c r="B110" s="972"/>
      <c r="C110" s="972"/>
      <c r="D110" s="972"/>
      <c r="E110" s="972"/>
      <c r="F110" s="972"/>
      <c r="G110" s="972"/>
      <c r="H110" s="972"/>
      <c r="I110" s="972"/>
      <c r="J110" s="972"/>
      <c r="K110" s="972"/>
      <c r="L110" s="1041"/>
      <c r="M110" s="1041"/>
      <c r="N110" s="1041"/>
      <c r="O110" s="975"/>
    </row>
    <row r="111" spans="1:15">
      <c r="A111" s="972"/>
      <c r="B111" s="972"/>
      <c r="C111" s="972"/>
      <c r="D111" s="972"/>
      <c r="E111" s="972"/>
      <c r="F111" s="972"/>
      <c r="G111" s="972"/>
      <c r="H111" s="972"/>
      <c r="I111" s="972"/>
      <c r="J111" s="972"/>
      <c r="K111" s="972"/>
      <c r="L111" s="1041"/>
      <c r="M111" s="1041"/>
      <c r="N111" s="1041"/>
      <c r="O111" s="975"/>
    </row>
    <row r="112" spans="1:15">
      <c r="A112" s="972"/>
      <c r="B112" s="972"/>
      <c r="C112" s="972"/>
      <c r="D112" s="972"/>
      <c r="E112" s="972"/>
      <c r="F112" s="972"/>
      <c r="G112" s="972"/>
      <c r="H112" s="972"/>
      <c r="I112" s="972"/>
      <c r="J112" s="972"/>
      <c r="K112" s="972"/>
      <c r="L112" s="1041"/>
      <c r="M112" s="1041"/>
      <c r="N112" s="1041"/>
      <c r="O112" s="975"/>
    </row>
    <row r="113" spans="1:15">
      <c r="A113" s="972"/>
      <c r="B113" s="972"/>
      <c r="C113" s="972"/>
      <c r="D113" s="972"/>
      <c r="E113" s="972"/>
      <c r="F113" s="972"/>
      <c r="G113" s="972"/>
      <c r="H113" s="972"/>
      <c r="I113" s="972"/>
      <c r="J113" s="972"/>
      <c r="K113" s="972"/>
      <c r="L113" s="1041"/>
      <c r="M113" s="1041"/>
      <c r="N113" s="1041"/>
      <c r="O113" s="975"/>
    </row>
    <row r="114" spans="1:15">
      <c r="A114" s="972"/>
      <c r="B114" s="972"/>
      <c r="C114" s="972"/>
      <c r="D114" s="972"/>
      <c r="E114" s="972"/>
      <c r="F114" s="972"/>
      <c r="G114" s="972"/>
      <c r="H114" s="972"/>
      <c r="I114" s="972"/>
      <c r="J114" s="972"/>
      <c r="K114" s="972"/>
      <c r="L114" s="1041"/>
      <c r="M114" s="1041"/>
      <c r="N114" s="1041"/>
      <c r="O114" s="975"/>
    </row>
    <row r="115" spans="1:15">
      <c r="A115" s="972"/>
      <c r="B115" s="972"/>
      <c r="C115" s="972"/>
      <c r="D115" s="972"/>
      <c r="E115" s="972"/>
      <c r="F115" s="972"/>
      <c r="G115" s="972"/>
      <c r="H115" s="972"/>
      <c r="I115" s="972"/>
      <c r="J115" s="972"/>
      <c r="K115" s="972"/>
      <c r="L115" s="1041"/>
      <c r="M115" s="1041"/>
      <c r="N115" s="1041"/>
      <c r="O115" s="975"/>
    </row>
    <row r="116" spans="1:15">
      <c r="A116" s="972"/>
      <c r="B116" s="972"/>
      <c r="C116" s="972"/>
      <c r="D116" s="972"/>
      <c r="E116" s="972"/>
      <c r="F116" s="972"/>
      <c r="G116" s="972"/>
      <c r="H116" s="972"/>
      <c r="I116" s="972"/>
      <c r="J116" s="972"/>
      <c r="K116" s="972"/>
      <c r="L116" s="1041"/>
      <c r="M116" s="1041"/>
      <c r="N116" s="1041"/>
      <c r="O116" s="975"/>
    </row>
    <row r="117" spans="1:15">
      <c r="A117" s="972"/>
      <c r="B117" s="972"/>
      <c r="C117" s="972"/>
      <c r="D117" s="972"/>
      <c r="E117" s="972"/>
      <c r="F117" s="972"/>
      <c r="G117" s="972"/>
      <c r="H117" s="972"/>
      <c r="I117" s="972"/>
      <c r="J117" s="972"/>
      <c r="K117" s="972"/>
      <c r="L117" s="1041"/>
      <c r="M117" s="1041"/>
      <c r="N117" s="1041"/>
      <c r="O117" s="975"/>
    </row>
    <row r="118" spans="1:15">
      <c r="A118" s="972"/>
      <c r="B118" s="972"/>
      <c r="C118" s="972"/>
      <c r="D118" s="972"/>
      <c r="E118" s="972"/>
      <c r="F118" s="972"/>
      <c r="G118" s="972"/>
      <c r="H118" s="972"/>
      <c r="I118" s="972"/>
      <c r="J118" s="972"/>
      <c r="K118" s="972"/>
      <c r="L118" s="1041"/>
      <c r="M118" s="1041"/>
      <c r="N118" s="1041"/>
      <c r="O118" s="975"/>
    </row>
    <row r="119" spans="1:15">
      <c r="A119" s="972"/>
      <c r="B119" s="972"/>
      <c r="C119" s="972"/>
      <c r="D119" s="972"/>
      <c r="E119" s="972"/>
      <c r="F119" s="972"/>
      <c r="G119" s="972"/>
      <c r="H119" s="972"/>
      <c r="I119" s="972"/>
      <c r="J119" s="972"/>
      <c r="K119" s="972"/>
      <c r="L119" s="1041"/>
      <c r="M119" s="1041"/>
      <c r="N119" s="1041"/>
      <c r="O119" s="975"/>
    </row>
    <row r="120" spans="1:15">
      <c r="A120" s="972"/>
      <c r="B120" s="972"/>
      <c r="C120" s="972"/>
      <c r="D120" s="972"/>
      <c r="E120" s="972"/>
      <c r="F120" s="972"/>
      <c r="G120" s="972"/>
      <c r="H120" s="972"/>
      <c r="I120" s="972"/>
      <c r="J120" s="972"/>
      <c r="K120" s="972"/>
      <c r="L120" s="1041"/>
      <c r="M120" s="1041"/>
      <c r="N120" s="1041"/>
      <c r="O120" s="975"/>
    </row>
    <row r="121" spans="1:15">
      <c r="A121" s="972"/>
      <c r="B121" s="972"/>
      <c r="C121" s="972"/>
      <c r="D121" s="972"/>
      <c r="E121" s="972"/>
      <c r="F121" s="972"/>
      <c r="G121" s="972"/>
      <c r="H121" s="972"/>
      <c r="I121" s="972"/>
      <c r="J121" s="972"/>
      <c r="K121" s="972"/>
      <c r="L121" s="1041"/>
      <c r="M121" s="1041"/>
      <c r="N121" s="1041"/>
      <c r="O121" s="975"/>
    </row>
    <row r="122" spans="1:15">
      <c r="A122" s="972"/>
      <c r="B122" s="972"/>
      <c r="C122" s="972"/>
      <c r="D122" s="972"/>
      <c r="E122" s="972"/>
      <c r="F122" s="972"/>
      <c r="G122" s="972"/>
      <c r="H122" s="972"/>
      <c r="I122" s="972"/>
      <c r="J122" s="972"/>
      <c r="K122" s="972"/>
      <c r="L122" s="1041"/>
      <c r="M122" s="1041"/>
      <c r="N122" s="1041"/>
      <c r="O122" s="975"/>
    </row>
    <row r="123" spans="1:15">
      <c r="A123" s="972"/>
      <c r="B123" s="972"/>
      <c r="C123" s="972"/>
      <c r="D123" s="972"/>
      <c r="E123" s="972"/>
      <c r="F123" s="972"/>
      <c r="G123" s="972"/>
      <c r="H123" s="972"/>
      <c r="I123" s="972"/>
      <c r="J123" s="972"/>
      <c r="K123" s="972"/>
      <c r="L123" s="1041"/>
      <c r="M123" s="1041"/>
      <c r="N123" s="1041"/>
      <c r="O123" s="975"/>
    </row>
    <row r="124" spans="1:15">
      <c r="A124" s="972"/>
      <c r="B124" s="972"/>
      <c r="C124" s="972"/>
      <c r="D124" s="972"/>
      <c r="E124" s="972"/>
      <c r="F124" s="972"/>
      <c r="G124" s="972"/>
      <c r="H124" s="972"/>
      <c r="I124" s="972"/>
      <c r="J124" s="972"/>
      <c r="K124" s="972"/>
      <c r="L124" s="1041"/>
      <c r="M124" s="1041"/>
      <c r="N124" s="1041"/>
      <c r="O124" s="975"/>
    </row>
    <row r="125" spans="1:15">
      <c r="A125" s="972"/>
      <c r="B125" s="972"/>
      <c r="C125" s="972"/>
      <c r="D125" s="972"/>
      <c r="E125" s="972"/>
      <c r="F125" s="972"/>
      <c r="G125" s="972"/>
      <c r="H125" s="972"/>
      <c r="I125" s="972"/>
      <c r="J125" s="972"/>
      <c r="K125" s="972"/>
      <c r="L125" s="1041"/>
      <c r="M125" s="1041"/>
      <c r="N125" s="1041"/>
      <c r="O125" s="975"/>
    </row>
    <row r="126" spans="1:15">
      <c r="A126" s="972"/>
      <c r="B126" s="972"/>
      <c r="C126" s="972"/>
      <c r="D126" s="972"/>
      <c r="E126" s="972"/>
      <c r="F126" s="972"/>
      <c r="G126" s="972"/>
      <c r="H126" s="972"/>
      <c r="I126" s="972"/>
      <c r="J126" s="972"/>
      <c r="K126" s="972"/>
      <c r="L126" s="1041"/>
      <c r="M126" s="1041"/>
      <c r="N126" s="1041"/>
      <c r="O126" s="975"/>
    </row>
    <row r="127" spans="1:15">
      <c r="A127" s="972"/>
      <c r="B127" s="972"/>
      <c r="C127" s="972"/>
      <c r="D127" s="972"/>
      <c r="E127" s="972"/>
      <c r="F127" s="972"/>
      <c r="G127" s="972"/>
      <c r="H127" s="972"/>
      <c r="I127" s="972"/>
      <c r="J127" s="972"/>
      <c r="K127" s="972"/>
      <c r="L127" s="1041"/>
      <c r="M127" s="1041"/>
      <c r="N127" s="1041"/>
      <c r="O127" s="975"/>
    </row>
    <row r="128" spans="1:15">
      <c r="A128" s="972"/>
      <c r="B128" s="972"/>
      <c r="C128" s="972"/>
      <c r="D128" s="972"/>
      <c r="E128" s="972"/>
      <c r="F128" s="972"/>
      <c r="G128" s="972"/>
      <c r="H128" s="972"/>
      <c r="I128" s="972"/>
      <c r="J128" s="972"/>
      <c r="K128" s="972"/>
      <c r="L128" s="1041"/>
      <c r="M128" s="1041"/>
      <c r="N128" s="1041"/>
      <c r="O128" s="975"/>
    </row>
    <row r="129" spans="1:15">
      <c r="A129" s="972"/>
      <c r="B129" s="972"/>
      <c r="C129" s="972"/>
      <c r="D129" s="972"/>
      <c r="E129" s="972"/>
      <c r="F129" s="972"/>
      <c r="G129" s="972"/>
      <c r="H129" s="972"/>
      <c r="I129" s="972"/>
      <c r="J129" s="972"/>
      <c r="K129" s="972"/>
      <c r="L129" s="1041"/>
      <c r="M129" s="1041"/>
      <c r="N129" s="1041"/>
      <c r="O129" s="975"/>
    </row>
    <row r="130" spans="1:15">
      <c r="A130" s="972"/>
      <c r="B130" s="972"/>
      <c r="C130" s="972"/>
      <c r="D130" s="972"/>
      <c r="E130" s="972"/>
      <c r="F130" s="972"/>
      <c r="G130" s="972"/>
      <c r="H130" s="972"/>
      <c r="I130" s="972"/>
      <c r="J130" s="972"/>
      <c r="K130" s="972"/>
      <c r="L130" s="1041"/>
      <c r="M130" s="1041"/>
      <c r="N130" s="1041"/>
      <c r="O130" s="975"/>
    </row>
    <row r="131" spans="1:15">
      <c r="A131" s="972"/>
      <c r="B131" s="972"/>
      <c r="C131" s="972"/>
      <c r="D131" s="972"/>
      <c r="E131" s="972"/>
      <c r="F131" s="972"/>
      <c r="G131" s="972"/>
      <c r="H131" s="972"/>
      <c r="I131" s="972"/>
      <c r="J131" s="972"/>
      <c r="K131" s="972"/>
      <c r="L131" s="1041"/>
      <c r="M131" s="1041"/>
      <c r="N131" s="1041"/>
      <c r="O131" s="975"/>
    </row>
    <row r="132" spans="1:15">
      <c r="A132" s="972"/>
      <c r="B132" s="972"/>
      <c r="C132" s="972"/>
      <c r="D132" s="972"/>
      <c r="E132" s="972"/>
      <c r="F132" s="972"/>
      <c r="G132" s="972"/>
      <c r="H132" s="972"/>
      <c r="I132" s="972"/>
      <c r="J132" s="972"/>
      <c r="K132" s="972"/>
      <c r="L132" s="1041"/>
      <c r="M132" s="1041"/>
      <c r="N132" s="1041"/>
      <c r="O132" s="975"/>
    </row>
    <row r="133" spans="1:15">
      <c r="A133" s="972"/>
      <c r="B133" s="972"/>
      <c r="C133" s="972"/>
      <c r="D133" s="972"/>
      <c r="E133" s="972"/>
      <c r="F133" s="972"/>
      <c r="G133" s="972"/>
      <c r="H133" s="972"/>
      <c r="I133" s="972"/>
      <c r="J133" s="972"/>
      <c r="K133" s="972"/>
      <c r="L133" s="1041"/>
      <c r="M133" s="1041"/>
      <c r="N133" s="1041"/>
      <c r="O133" s="975"/>
    </row>
    <row r="134" spans="1:15">
      <c r="A134" s="972"/>
      <c r="B134" s="972"/>
      <c r="C134" s="972"/>
      <c r="D134" s="972"/>
      <c r="E134" s="972"/>
      <c r="F134" s="972"/>
      <c r="G134" s="972"/>
      <c r="H134" s="972"/>
      <c r="I134" s="972"/>
      <c r="J134" s="972"/>
      <c r="K134" s="972"/>
      <c r="L134" s="1041"/>
      <c r="M134" s="1041"/>
      <c r="N134" s="1041"/>
      <c r="O134" s="975"/>
    </row>
    <row r="135" spans="1:15">
      <c r="A135" s="972"/>
      <c r="B135" s="972"/>
      <c r="C135" s="972"/>
      <c r="D135" s="972"/>
      <c r="E135" s="972"/>
      <c r="F135" s="972"/>
      <c r="G135" s="972"/>
      <c r="H135" s="972"/>
      <c r="I135" s="972"/>
      <c r="J135" s="972"/>
      <c r="K135" s="972"/>
      <c r="L135" s="1041"/>
      <c r="M135" s="1041"/>
      <c r="N135" s="1041"/>
      <c r="O135" s="975"/>
    </row>
    <row r="136" spans="1:15">
      <c r="A136" s="972"/>
      <c r="B136" s="972"/>
      <c r="C136" s="972"/>
      <c r="D136" s="972"/>
      <c r="E136" s="972"/>
      <c r="F136" s="972"/>
      <c r="G136" s="972"/>
      <c r="H136" s="972"/>
      <c r="I136" s="972"/>
      <c r="J136" s="972"/>
      <c r="K136" s="972"/>
      <c r="L136" s="1041"/>
      <c r="M136" s="1041"/>
      <c r="N136" s="1041"/>
      <c r="O136" s="975"/>
    </row>
    <row r="137" spans="1:15">
      <c r="A137" s="972"/>
      <c r="B137" s="972"/>
      <c r="C137" s="972"/>
      <c r="D137" s="972"/>
      <c r="E137" s="972"/>
      <c r="F137" s="972"/>
      <c r="G137" s="972"/>
      <c r="H137" s="972"/>
      <c r="I137" s="972"/>
      <c r="J137" s="972"/>
      <c r="K137" s="972"/>
      <c r="L137" s="1041"/>
      <c r="M137" s="1041"/>
      <c r="N137" s="1041"/>
      <c r="O137" s="975"/>
    </row>
    <row r="138" spans="1:15">
      <c r="A138" s="972"/>
      <c r="B138" s="972"/>
      <c r="C138" s="972"/>
      <c r="D138" s="972"/>
      <c r="E138" s="972"/>
      <c r="F138" s="972"/>
      <c r="G138" s="972"/>
      <c r="H138" s="972"/>
      <c r="I138" s="972"/>
      <c r="J138" s="972"/>
      <c r="K138" s="972"/>
      <c r="L138" s="1041"/>
      <c r="M138" s="1041"/>
      <c r="N138" s="1041"/>
      <c r="O138" s="975"/>
    </row>
    <row r="139" spans="1:15">
      <c r="A139" s="972"/>
      <c r="B139" s="972"/>
      <c r="C139" s="972"/>
      <c r="D139" s="972"/>
      <c r="E139" s="972"/>
      <c r="F139" s="972"/>
      <c r="G139" s="972"/>
      <c r="H139" s="972"/>
      <c r="I139" s="972"/>
      <c r="J139" s="972"/>
      <c r="K139" s="972"/>
      <c r="L139" s="1041"/>
      <c r="M139" s="1041"/>
      <c r="N139" s="1041"/>
      <c r="O139" s="975"/>
    </row>
    <row r="140" spans="1:15">
      <c r="A140" s="972"/>
      <c r="B140" s="972"/>
      <c r="C140" s="972"/>
      <c r="D140" s="972"/>
      <c r="E140" s="972"/>
      <c r="F140" s="972"/>
      <c r="G140" s="972"/>
      <c r="H140" s="972"/>
      <c r="I140" s="972"/>
      <c r="J140" s="972"/>
      <c r="K140" s="972"/>
      <c r="L140" s="1041"/>
      <c r="M140" s="1041"/>
      <c r="N140" s="1041"/>
      <c r="O140" s="975"/>
    </row>
    <row r="141" spans="1:15">
      <c r="A141" s="972"/>
      <c r="B141" s="972"/>
      <c r="C141" s="972"/>
      <c r="D141" s="972"/>
      <c r="E141" s="972"/>
      <c r="F141" s="972"/>
      <c r="G141" s="972"/>
      <c r="H141" s="972"/>
      <c r="I141" s="972"/>
      <c r="J141" s="972"/>
      <c r="K141" s="972"/>
      <c r="L141" s="1041"/>
      <c r="M141" s="1041"/>
      <c r="N141" s="1041"/>
      <c r="O141" s="975"/>
    </row>
    <row r="142" spans="1:15">
      <c r="A142" s="972"/>
      <c r="B142" s="972"/>
      <c r="C142" s="972"/>
      <c r="D142" s="972"/>
      <c r="E142" s="972"/>
      <c r="F142" s="972"/>
      <c r="G142" s="972"/>
      <c r="H142" s="972"/>
      <c r="I142" s="972"/>
      <c r="J142" s="972"/>
      <c r="K142" s="972"/>
      <c r="L142" s="1041"/>
      <c r="M142" s="1041"/>
      <c r="N142" s="1041"/>
      <c r="O142" s="975"/>
    </row>
    <row r="143" spans="1:15">
      <c r="A143" s="972"/>
      <c r="B143" s="972"/>
      <c r="C143" s="972"/>
      <c r="D143" s="972"/>
      <c r="E143" s="972"/>
      <c r="F143" s="972"/>
      <c r="G143" s="972"/>
      <c r="H143" s="972"/>
      <c r="I143" s="972"/>
      <c r="J143" s="972"/>
      <c r="K143" s="972"/>
      <c r="L143" s="1041"/>
      <c r="M143" s="1041"/>
      <c r="N143" s="1041"/>
      <c r="O143" s="975"/>
    </row>
    <row r="144" spans="1:15">
      <c r="A144" s="972"/>
      <c r="B144" s="972"/>
      <c r="C144" s="972"/>
      <c r="D144" s="972"/>
      <c r="E144" s="972"/>
      <c r="F144" s="972"/>
      <c r="G144" s="972"/>
      <c r="H144" s="972"/>
      <c r="I144" s="972"/>
      <c r="J144" s="972"/>
      <c r="K144" s="972"/>
      <c r="L144" s="1041"/>
      <c r="M144" s="1041"/>
      <c r="N144" s="1041"/>
      <c r="O144" s="975"/>
    </row>
    <row r="145" spans="1:15">
      <c r="A145" s="972"/>
      <c r="B145" s="972"/>
      <c r="C145" s="972"/>
      <c r="D145" s="972"/>
      <c r="E145" s="972"/>
      <c r="F145" s="972"/>
      <c r="G145" s="972"/>
      <c r="H145" s="972"/>
      <c r="I145" s="972"/>
      <c r="J145" s="972"/>
      <c r="K145" s="972"/>
      <c r="L145" s="1041"/>
      <c r="M145" s="1041"/>
      <c r="N145" s="1041"/>
      <c r="O145" s="975"/>
    </row>
    <row r="146" spans="1:15">
      <c r="A146" s="972"/>
      <c r="B146" s="972"/>
      <c r="C146" s="972"/>
      <c r="D146" s="972"/>
      <c r="E146" s="972"/>
      <c r="F146" s="972"/>
      <c r="G146" s="972"/>
      <c r="H146" s="972"/>
      <c r="I146" s="972"/>
      <c r="J146" s="972"/>
      <c r="K146" s="972"/>
      <c r="L146" s="1041"/>
      <c r="M146" s="1041"/>
      <c r="N146" s="1041"/>
      <c r="O146" s="975"/>
    </row>
    <row r="147" spans="1:15">
      <c r="A147" s="972"/>
      <c r="B147" s="972"/>
      <c r="C147" s="972"/>
      <c r="D147" s="972"/>
      <c r="E147" s="972"/>
      <c r="F147" s="972"/>
      <c r="G147" s="972"/>
      <c r="H147" s="972"/>
      <c r="I147" s="972"/>
      <c r="J147" s="972"/>
      <c r="K147" s="972"/>
      <c r="L147" s="1041"/>
      <c r="M147" s="1041"/>
      <c r="N147" s="1041"/>
      <c r="O147" s="975"/>
    </row>
    <row r="148" spans="1:15">
      <c r="A148" s="972"/>
      <c r="B148" s="972"/>
      <c r="C148" s="972"/>
      <c r="D148" s="972"/>
      <c r="E148" s="972"/>
      <c r="F148" s="972"/>
      <c r="G148" s="972"/>
      <c r="H148" s="972"/>
      <c r="I148" s="972"/>
      <c r="J148" s="972"/>
      <c r="K148" s="972"/>
      <c r="L148" s="1041"/>
      <c r="M148" s="1041"/>
      <c r="N148" s="1041"/>
      <c r="O148" s="975"/>
    </row>
    <row r="149" spans="1:15">
      <c r="A149" s="972"/>
      <c r="B149" s="972"/>
      <c r="C149" s="972"/>
      <c r="D149" s="972"/>
      <c r="E149" s="972"/>
      <c r="F149" s="972"/>
      <c r="G149" s="972"/>
      <c r="H149" s="972"/>
      <c r="I149" s="972"/>
      <c r="J149" s="972"/>
      <c r="K149" s="972"/>
      <c r="L149" s="1041"/>
      <c r="M149" s="1041"/>
      <c r="N149" s="1041"/>
      <c r="O149" s="975"/>
    </row>
    <row r="150" spans="1:15">
      <c r="A150" s="972"/>
      <c r="B150" s="972"/>
      <c r="C150" s="972"/>
      <c r="D150" s="972"/>
      <c r="E150" s="972"/>
      <c r="F150" s="972"/>
      <c r="G150" s="972"/>
      <c r="H150" s="972"/>
      <c r="I150" s="972"/>
      <c r="J150" s="972"/>
      <c r="K150" s="972"/>
      <c r="L150" s="1041"/>
      <c r="M150" s="1041"/>
      <c r="N150" s="1041"/>
      <c r="O150" s="975"/>
    </row>
    <row r="151" spans="1:15">
      <c r="A151" s="972"/>
      <c r="B151" s="972"/>
      <c r="C151" s="972"/>
      <c r="D151" s="972"/>
      <c r="E151" s="972"/>
      <c r="F151" s="972"/>
      <c r="G151" s="972"/>
      <c r="H151" s="972"/>
      <c r="I151" s="972"/>
      <c r="J151" s="972"/>
      <c r="K151" s="972"/>
      <c r="L151" s="1041"/>
      <c r="M151" s="1041"/>
      <c r="N151" s="1041"/>
      <c r="O151" s="975"/>
    </row>
    <row r="152" spans="1:15">
      <c r="A152" s="972"/>
      <c r="B152" s="972"/>
      <c r="C152" s="972"/>
      <c r="D152" s="972"/>
      <c r="E152" s="972"/>
      <c r="F152" s="972"/>
      <c r="G152" s="972"/>
      <c r="H152" s="972"/>
      <c r="I152" s="972"/>
      <c r="J152" s="972"/>
      <c r="K152" s="972"/>
      <c r="L152" s="1041"/>
      <c r="M152" s="1041"/>
      <c r="N152" s="1041"/>
      <c r="O152" s="975"/>
    </row>
    <row r="153" spans="1:15">
      <c r="A153" s="972"/>
      <c r="B153" s="972"/>
      <c r="C153" s="972"/>
      <c r="D153" s="972"/>
      <c r="E153" s="972"/>
      <c r="F153" s="972"/>
      <c r="G153" s="972"/>
      <c r="H153" s="972"/>
      <c r="I153" s="972"/>
      <c r="J153" s="972"/>
      <c r="K153" s="972"/>
      <c r="L153" s="1041"/>
      <c r="M153" s="1041"/>
      <c r="N153" s="1041"/>
      <c r="O153" s="975"/>
    </row>
    <row r="154" spans="1:15">
      <c r="A154" s="972"/>
      <c r="B154" s="972"/>
      <c r="C154" s="972"/>
      <c r="D154" s="972"/>
      <c r="E154" s="972"/>
      <c r="F154" s="972"/>
      <c r="G154" s="972"/>
      <c r="H154" s="972"/>
      <c r="I154" s="972"/>
      <c r="J154" s="972"/>
      <c r="K154" s="972"/>
      <c r="L154" s="1041"/>
      <c r="M154" s="1041"/>
      <c r="N154" s="1041"/>
      <c r="O154" s="975"/>
    </row>
    <row r="155" spans="1:15">
      <c r="A155" s="972"/>
      <c r="B155" s="972"/>
      <c r="C155" s="972"/>
      <c r="D155" s="972"/>
      <c r="E155" s="972"/>
      <c r="F155" s="972"/>
      <c r="G155" s="972"/>
      <c r="H155" s="972"/>
      <c r="I155" s="972"/>
      <c r="J155" s="972"/>
      <c r="K155" s="972"/>
      <c r="L155" s="1041"/>
      <c r="M155" s="1041"/>
      <c r="N155" s="1041"/>
      <c r="O155" s="975"/>
    </row>
    <row r="156" spans="1:15">
      <c r="A156" s="972"/>
      <c r="B156" s="972"/>
      <c r="C156" s="972"/>
      <c r="D156" s="972"/>
      <c r="E156" s="972"/>
      <c r="F156" s="972"/>
      <c r="G156" s="972"/>
      <c r="H156" s="972"/>
      <c r="I156" s="972"/>
      <c r="J156" s="972"/>
      <c r="K156" s="972"/>
      <c r="L156" s="1041"/>
      <c r="M156" s="1041"/>
      <c r="N156" s="1041"/>
      <c r="O156" s="975"/>
    </row>
    <row r="157" spans="1:15">
      <c r="A157" s="972"/>
      <c r="B157" s="972"/>
      <c r="C157" s="972"/>
      <c r="D157" s="972"/>
      <c r="E157" s="972"/>
      <c r="F157" s="972"/>
      <c r="G157" s="972"/>
      <c r="H157" s="972"/>
      <c r="I157" s="972"/>
      <c r="J157" s="972"/>
      <c r="K157" s="972"/>
      <c r="L157" s="1041"/>
      <c r="M157" s="1041"/>
      <c r="N157" s="1041"/>
      <c r="O157" s="975"/>
    </row>
    <row r="158" spans="1:15">
      <c r="A158" s="972"/>
      <c r="B158" s="972"/>
      <c r="C158" s="972"/>
      <c r="D158" s="972"/>
      <c r="E158" s="972"/>
      <c r="F158" s="972"/>
      <c r="G158" s="972"/>
      <c r="H158" s="972"/>
      <c r="I158" s="972"/>
      <c r="J158" s="972"/>
      <c r="K158" s="972"/>
      <c r="L158" s="1041"/>
      <c r="M158" s="1041"/>
      <c r="N158" s="1041"/>
      <c r="O158" s="975"/>
    </row>
    <row r="159" spans="1:15">
      <c r="A159" s="972"/>
      <c r="B159" s="972"/>
      <c r="C159" s="972"/>
      <c r="D159" s="972"/>
      <c r="E159" s="972"/>
      <c r="F159" s="972"/>
      <c r="G159" s="972"/>
      <c r="H159" s="972"/>
      <c r="I159" s="972"/>
      <c r="J159" s="972"/>
      <c r="K159" s="972"/>
      <c r="L159" s="1041"/>
      <c r="M159" s="1041"/>
      <c r="N159" s="1041"/>
      <c r="O159" s="975"/>
    </row>
    <row r="160" spans="1:15">
      <c r="A160" s="972"/>
      <c r="B160" s="972"/>
      <c r="C160" s="972"/>
      <c r="D160" s="972"/>
      <c r="E160" s="972"/>
      <c r="F160" s="972"/>
      <c r="G160" s="972"/>
      <c r="H160" s="972"/>
      <c r="I160" s="972"/>
      <c r="J160" s="972"/>
      <c r="K160" s="972"/>
      <c r="L160" s="1041"/>
      <c r="M160" s="1041"/>
      <c r="N160" s="1041"/>
      <c r="O160" s="975"/>
    </row>
    <row r="161" spans="1:15">
      <c r="A161" s="972"/>
      <c r="B161" s="972"/>
      <c r="C161" s="972"/>
      <c r="D161" s="972"/>
      <c r="E161" s="972"/>
      <c r="F161" s="972"/>
      <c r="G161" s="972"/>
      <c r="H161" s="972"/>
      <c r="I161" s="972"/>
      <c r="J161" s="972"/>
      <c r="K161" s="972"/>
      <c r="L161" s="1041"/>
      <c r="M161" s="1041"/>
      <c r="N161" s="1041"/>
      <c r="O161" s="975"/>
    </row>
    <row r="162" spans="1:15">
      <c r="A162" s="972"/>
      <c r="B162" s="972"/>
      <c r="C162" s="972"/>
      <c r="D162" s="972"/>
      <c r="E162" s="972"/>
      <c r="F162" s="972"/>
      <c r="G162" s="972"/>
      <c r="H162" s="972"/>
      <c r="I162" s="972"/>
      <c r="J162" s="972"/>
      <c r="K162" s="972"/>
      <c r="L162" s="1041"/>
      <c r="M162" s="1041"/>
      <c r="N162" s="1041"/>
      <c r="O162" s="975"/>
    </row>
    <row r="163" spans="1:15">
      <c r="A163" s="972"/>
      <c r="B163" s="972"/>
      <c r="C163" s="972"/>
      <c r="D163" s="972"/>
      <c r="E163" s="972"/>
      <c r="F163" s="972"/>
      <c r="G163" s="972"/>
      <c r="H163" s="972"/>
      <c r="I163" s="972"/>
      <c r="J163" s="972"/>
      <c r="K163" s="972"/>
      <c r="L163" s="1041"/>
      <c r="M163" s="1041"/>
      <c r="N163" s="1041"/>
      <c r="O163" s="975"/>
    </row>
    <row r="164" spans="1:15">
      <c r="A164" s="972"/>
      <c r="B164" s="972"/>
      <c r="C164" s="972"/>
      <c r="D164" s="972"/>
      <c r="E164" s="972"/>
      <c r="F164" s="972"/>
      <c r="G164" s="972"/>
      <c r="H164" s="972"/>
      <c r="I164" s="972"/>
      <c r="J164" s="972"/>
      <c r="K164" s="972"/>
      <c r="L164" s="1041"/>
      <c r="M164" s="1041"/>
      <c r="N164" s="1041"/>
      <c r="O164" s="975"/>
    </row>
    <row r="165" spans="1:15">
      <c r="A165" s="972"/>
      <c r="B165" s="972"/>
      <c r="C165" s="972"/>
      <c r="D165" s="972"/>
      <c r="E165" s="972"/>
      <c r="F165" s="972"/>
      <c r="G165" s="972"/>
      <c r="H165" s="972"/>
      <c r="I165" s="972"/>
      <c r="J165" s="972"/>
      <c r="K165" s="972"/>
      <c r="L165" s="1041"/>
      <c r="M165" s="1041"/>
      <c r="N165" s="1041"/>
      <c r="O165" s="975"/>
    </row>
    <row r="166" spans="1:15">
      <c r="A166" s="972"/>
      <c r="B166" s="972"/>
      <c r="C166" s="972"/>
      <c r="D166" s="972"/>
      <c r="E166" s="972"/>
      <c r="F166" s="972"/>
      <c r="G166" s="972"/>
      <c r="H166" s="972"/>
      <c r="I166" s="972"/>
      <c r="J166" s="972"/>
      <c r="K166" s="972"/>
      <c r="L166" s="1041"/>
      <c r="M166" s="1041"/>
      <c r="N166" s="1041"/>
      <c r="O166" s="975"/>
    </row>
    <row r="167" spans="1:15">
      <c r="A167" s="972"/>
      <c r="B167" s="972"/>
      <c r="C167" s="972"/>
      <c r="D167" s="972"/>
      <c r="E167" s="972"/>
      <c r="F167" s="972"/>
      <c r="G167" s="972"/>
      <c r="H167" s="972"/>
      <c r="I167" s="972"/>
      <c r="J167" s="972"/>
      <c r="K167" s="972"/>
      <c r="L167" s="1041"/>
      <c r="M167" s="1041"/>
      <c r="N167" s="1041"/>
      <c r="O167" s="975"/>
    </row>
    <row r="168" spans="1:15">
      <c r="A168" s="972"/>
      <c r="B168" s="972"/>
      <c r="C168" s="972"/>
      <c r="D168" s="972"/>
      <c r="E168" s="972"/>
      <c r="F168" s="972"/>
      <c r="G168" s="972"/>
      <c r="H168" s="972"/>
      <c r="I168" s="972"/>
      <c r="J168" s="972"/>
      <c r="K168" s="972"/>
      <c r="L168" s="1041"/>
      <c r="M168" s="1041"/>
      <c r="N168" s="1041"/>
      <c r="O168" s="975"/>
    </row>
    <row r="169" spans="1:15">
      <c r="A169" s="972"/>
      <c r="B169" s="972"/>
      <c r="C169" s="972"/>
      <c r="D169" s="972"/>
      <c r="E169" s="972"/>
      <c r="F169" s="972"/>
      <c r="G169" s="972"/>
      <c r="H169" s="972"/>
      <c r="I169" s="972"/>
      <c r="J169" s="972"/>
      <c r="K169" s="972"/>
      <c r="L169" s="1041"/>
      <c r="M169" s="1041"/>
      <c r="N169" s="1041"/>
      <c r="O169" s="975"/>
    </row>
    <row r="170" spans="1:15">
      <c r="A170" s="972"/>
      <c r="B170" s="972"/>
      <c r="C170" s="972"/>
      <c r="D170" s="972"/>
      <c r="E170" s="972"/>
      <c r="F170" s="972"/>
      <c r="G170" s="972"/>
      <c r="H170" s="972"/>
      <c r="I170" s="972"/>
      <c r="J170" s="972"/>
      <c r="K170" s="972"/>
      <c r="L170" s="1041"/>
      <c r="M170" s="1041"/>
      <c r="N170" s="1041"/>
      <c r="O170" s="975"/>
    </row>
    <row r="171" spans="1:15">
      <c r="A171" s="972"/>
      <c r="B171" s="972"/>
      <c r="C171" s="972"/>
      <c r="D171" s="972"/>
      <c r="E171" s="972"/>
      <c r="F171" s="972"/>
      <c r="G171" s="972"/>
      <c r="H171" s="972"/>
      <c r="I171" s="972"/>
      <c r="J171" s="972"/>
      <c r="K171" s="972"/>
      <c r="L171" s="1041"/>
      <c r="M171" s="1041"/>
      <c r="N171" s="1041"/>
      <c r="O171" s="975"/>
    </row>
    <row r="172" spans="1:15">
      <c r="A172" s="972"/>
      <c r="B172" s="972"/>
      <c r="C172" s="972"/>
      <c r="D172" s="972"/>
      <c r="E172" s="972"/>
      <c r="F172" s="972"/>
      <c r="G172" s="972"/>
      <c r="H172" s="972"/>
      <c r="I172" s="972"/>
      <c r="J172" s="972"/>
      <c r="K172" s="972"/>
      <c r="L172" s="1041"/>
      <c r="M172" s="1041"/>
      <c r="N172" s="1041"/>
      <c r="O172" s="975"/>
    </row>
    <row r="173" spans="1:15">
      <c r="A173" s="972"/>
      <c r="B173" s="972"/>
      <c r="C173" s="972"/>
      <c r="D173" s="972"/>
      <c r="E173" s="972"/>
      <c r="F173" s="972"/>
      <c r="G173" s="972"/>
      <c r="H173" s="972"/>
      <c r="I173" s="972"/>
      <c r="J173" s="972"/>
      <c r="K173" s="972"/>
      <c r="L173" s="1041"/>
      <c r="M173" s="1041"/>
      <c r="N173" s="1041"/>
      <c r="O173" s="975"/>
    </row>
    <row r="174" spans="1:15">
      <c r="A174" s="972"/>
      <c r="B174" s="972"/>
      <c r="C174" s="972"/>
      <c r="D174" s="972"/>
      <c r="E174" s="972"/>
      <c r="F174" s="972"/>
      <c r="G174" s="972"/>
      <c r="H174" s="972"/>
      <c r="I174" s="972"/>
      <c r="J174" s="972"/>
      <c r="K174" s="972"/>
      <c r="L174" s="1041"/>
      <c r="M174" s="1041"/>
      <c r="N174" s="1041"/>
      <c r="O174" s="975"/>
    </row>
    <row r="175" spans="1:15">
      <c r="A175" s="972"/>
      <c r="B175" s="972"/>
      <c r="C175" s="972"/>
      <c r="D175" s="972"/>
      <c r="E175" s="972"/>
      <c r="F175" s="972"/>
      <c r="G175" s="972"/>
      <c r="H175" s="972"/>
      <c r="I175" s="972"/>
      <c r="J175" s="972"/>
      <c r="K175" s="972"/>
      <c r="L175" s="1041"/>
      <c r="M175" s="1041"/>
      <c r="N175" s="1041"/>
      <c r="O175" s="975"/>
    </row>
    <row r="176" spans="1:15">
      <c r="A176" s="972"/>
      <c r="B176" s="972"/>
      <c r="C176" s="972"/>
      <c r="D176" s="972"/>
      <c r="E176" s="972"/>
      <c r="F176" s="972"/>
      <c r="G176" s="972"/>
      <c r="H176" s="972"/>
      <c r="I176" s="972"/>
      <c r="J176" s="972"/>
      <c r="K176" s="972"/>
      <c r="L176" s="1041"/>
      <c r="M176" s="1041"/>
      <c r="N176" s="1041"/>
      <c r="O176" s="975"/>
    </row>
    <row r="177" spans="1:15">
      <c r="A177" s="972"/>
      <c r="B177" s="972"/>
      <c r="C177" s="972"/>
      <c r="D177" s="972"/>
      <c r="E177" s="972"/>
      <c r="F177" s="972"/>
      <c r="G177" s="972"/>
      <c r="H177" s="972"/>
      <c r="I177" s="972"/>
      <c r="J177" s="972"/>
      <c r="K177" s="972"/>
      <c r="L177" s="1041"/>
      <c r="M177" s="1041"/>
      <c r="N177" s="1041"/>
      <c r="O177" s="975"/>
    </row>
    <row r="178" spans="1:15">
      <c r="A178" s="972"/>
      <c r="B178" s="972"/>
      <c r="C178" s="972"/>
      <c r="D178" s="972"/>
      <c r="E178" s="972"/>
      <c r="F178" s="972"/>
      <c r="G178" s="972"/>
      <c r="H178" s="972"/>
      <c r="I178" s="972"/>
      <c r="J178" s="972"/>
      <c r="K178" s="972"/>
      <c r="L178" s="1041"/>
      <c r="M178" s="1041"/>
      <c r="N178" s="1041"/>
      <c r="O178" s="975"/>
    </row>
    <row r="179" spans="1:15">
      <c r="A179" s="972"/>
      <c r="B179" s="972"/>
      <c r="C179" s="972"/>
      <c r="D179" s="972"/>
      <c r="E179" s="972"/>
      <c r="F179" s="972"/>
      <c r="G179" s="972"/>
      <c r="H179" s="972"/>
      <c r="I179" s="972"/>
      <c r="J179" s="972"/>
      <c r="K179" s="972"/>
      <c r="L179" s="1041"/>
      <c r="M179" s="1041"/>
      <c r="N179" s="1041"/>
      <c r="O179" s="975"/>
    </row>
    <row r="180" spans="1:15">
      <c r="A180" s="972"/>
      <c r="B180" s="972"/>
      <c r="C180" s="972"/>
      <c r="D180" s="972"/>
      <c r="E180" s="972"/>
      <c r="F180" s="972"/>
      <c r="G180" s="972"/>
      <c r="H180" s="972"/>
      <c r="I180" s="972"/>
      <c r="J180" s="972"/>
      <c r="K180" s="972"/>
      <c r="L180" s="1041"/>
      <c r="M180" s="1041"/>
      <c r="N180" s="1041"/>
      <c r="O180" s="975"/>
    </row>
    <row r="181" spans="1:15">
      <c r="A181" s="972"/>
      <c r="B181" s="972"/>
      <c r="C181" s="972"/>
      <c r="D181" s="972"/>
      <c r="E181" s="972"/>
      <c r="F181" s="972"/>
      <c r="G181" s="972"/>
      <c r="H181" s="972"/>
      <c r="I181" s="972"/>
      <c r="J181" s="972"/>
      <c r="K181" s="972"/>
      <c r="L181" s="1041"/>
      <c r="M181" s="1041"/>
      <c r="N181" s="1041"/>
      <c r="O181" s="975"/>
    </row>
    <row r="182" spans="1:15">
      <c r="A182" s="972"/>
      <c r="B182" s="972"/>
      <c r="C182" s="972"/>
      <c r="D182" s="972"/>
      <c r="E182" s="972"/>
      <c r="F182" s="972"/>
      <c r="G182" s="972"/>
      <c r="H182" s="972"/>
      <c r="I182" s="972"/>
      <c r="J182" s="972"/>
      <c r="K182" s="972"/>
      <c r="L182" s="1041"/>
      <c r="M182" s="1041"/>
      <c r="N182" s="1041"/>
      <c r="O182" s="975"/>
    </row>
    <row r="183" spans="1:15">
      <c r="A183" s="972"/>
      <c r="B183" s="972"/>
      <c r="C183" s="972"/>
      <c r="D183" s="972"/>
      <c r="E183" s="972"/>
      <c r="F183" s="972"/>
      <c r="G183" s="972"/>
      <c r="H183" s="972"/>
      <c r="I183" s="972"/>
      <c r="J183" s="972"/>
      <c r="K183" s="972"/>
      <c r="L183" s="1041"/>
      <c r="M183" s="1041"/>
      <c r="N183" s="1041"/>
      <c r="O183" s="975"/>
    </row>
    <row r="184" spans="1:15">
      <c r="A184" s="972"/>
      <c r="B184" s="972"/>
      <c r="C184" s="972"/>
      <c r="D184" s="972"/>
      <c r="E184" s="972"/>
      <c r="F184" s="972"/>
      <c r="G184" s="972"/>
      <c r="H184" s="972"/>
      <c r="I184" s="972"/>
      <c r="J184" s="972"/>
      <c r="K184" s="972"/>
      <c r="L184" s="1041"/>
      <c r="M184" s="1041"/>
      <c r="N184" s="1041"/>
      <c r="O184" s="975"/>
    </row>
    <row r="185" spans="1:15">
      <c r="A185" s="972"/>
      <c r="B185" s="972"/>
      <c r="C185" s="972"/>
      <c r="D185" s="972"/>
      <c r="E185" s="972"/>
      <c r="F185" s="972"/>
      <c r="G185" s="972"/>
      <c r="H185" s="972"/>
      <c r="I185" s="972"/>
      <c r="J185" s="972"/>
      <c r="K185" s="972"/>
      <c r="L185" s="1041"/>
      <c r="M185" s="1041"/>
      <c r="N185" s="1041"/>
      <c r="O185" s="975"/>
    </row>
    <row r="186" spans="1:15">
      <c r="A186" s="972"/>
      <c r="B186" s="972"/>
      <c r="C186" s="972"/>
      <c r="D186" s="972"/>
      <c r="E186" s="972"/>
      <c r="F186" s="972"/>
      <c r="G186" s="972"/>
      <c r="H186" s="972"/>
      <c r="I186" s="972"/>
      <c r="J186" s="972"/>
      <c r="K186" s="972"/>
      <c r="L186" s="1041"/>
      <c r="M186" s="1041"/>
      <c r="N186" s="1041"/>
      <c r="O186" s="975"/>
    </row>
    <row r="187" spans="1:15">
      <c r="A187" s="972"/>
      <c r="B187" s="972"/>
      <c r="C187" s="972"/>
      <c r="D187" s="972"/>
      <c r="E187" s="972"/>
      <c r="F187" s="972"/>
      <c r="G187" s="972"/>
      <c r="H187" s="972"/>
      <c r="I187" s="972"/>
      <c r="J187" s="972"/>
      <c r="K187" s="972"/>
      <c r="L187" s="1041"/>
      <c r="M187" s="1041"/>
      <c r="N187" s="1041"/>
      <c r="O187" s="975"/>
    </row>
    <row r="188" spans="1:15">
      <c r="A188" s="972"/>
      <c r="B188" s="972"/>
      <c r="C188" s="972"/>
      <c r="D188" s="972"/>
      <c r="E188" s="972"/>
      <c r="F188" s="972"/>
      <c r="G188" s="972"/>
      <c r="H188" s="972"/>
      <c r="I188" s="972"/>
      <c r="J188" s="972"/>
      <c r="K188" s="972"/>
      <c r="L188" s="1041"/>
      <c r="M188" s="1041"/>
      <c r="N188" s="1041"/>
      <c r="O188" s="975"/>
    </row>
    <row r="189" spans="1:15">
      <c r="A189" s="972"/>
      <c r="B189" s="972"/>
      <c r="C189" s="972"/>
      <c r="D189" s="972"/>
      <c r="E189" s="972"/>
      <c r="F189" s="972"/>
      <c r="G189" s="972"/>
      <c r="H189" s="972"/>
      <c r="I189" s="972"/>
      <c r="J189" s="972"/>
      <c r="K189" s="972"/>
      <c r="L189" s="1041"/>
      <c r="M189" s="1041"/>
      <c r="N189" s="1041"/>
      <c r="O189" s="975"/>
    </row>
    <row r="190" spans="1:15">
      <c r="A190" s="972"/>
      <c r="B190" s="972"/>
      <c r="C190" s="972"/>
      <c r="D190" s="972"/>
      <c r="E190" s="972"/>
      <c r="F190" s="972"/>
      <c r="G190" s="972"/>
      <c r="H190" s="972"/>
      <c r="I190" s="972"/>
      <c r="J190" s="972"/>
      <c r="K190" s="972"/>
      <c r="L190" s="1041"/>
      <c r="M190" s="1041"/>
      <c r="N190" s="1041"/>
      <c r="O190" s="975"/>
    </row>
    <row r="191" spans="1:15">
      <c r="A191" s="972"/>
      <c r="B191" s="972"/>
      <c r="C191" s="972"/>
      <c r="D191" s="972"/>
      <c r="E191" s="972"/>
      <c r="F191" s="972"/>
      <c r="G191" s="972"/>
      <c r="H191" s="972"/>
      <c r="I191" s="972"/>
      <c r="J191" s="972"/>
      <c r="K191" s="972"/>
      <c r="L191" s="1041"/>
      <c r="M191" s="1041"/>
      <c r="N191" s="1041"/>
      <c r="O191" s="975"/>
    </row>
    <row r="192" spans="1:15">
      <c r="A192" s="972"/>
      <c r="B192" s="972"/>
      <c r="C192" s="972"/>
      <c r="D192" s="972"/>
      <c r="E192" s="972"/>
      <c r="F192" s="972"/>
      <c r="G192" s="972"/>
      <c r="H192" s="972"/>
      <c r="I192" s="972"/>
      <c r="J192" s="972"/>
      <c r="K192" s="972"/>
      <c r="L192" s="1041"/>
      <c r="M192" s="1041"/>
      <c r="N192" s="1041"/>
      <c r="O192" s="975"/>
    </row>
    <row r="193" spans="1:15">
      <c r="A193" s="972"/>
      <c r="B193" s="972"/>
      <c r="C193" s="972"/>
      <c r="D193" s="972"/>
      <c r="E193" s="972"/>
      <c r="F193" s="972"/>
      <c r="G193" s="972"/>
      <c r="H193" s="972"/>
      <c r="I193" s="972"/>
      <c r="J193" s="972"/>
      <c r="K193" s="972"/>
      <c r="L193" s="1041"/>
      <c r="M193" s="1041"/>
      <c r="N193" s="1041"/>
      <c r="O193" s="975"/>
    </row>
    <row r="194" spans="1:15">
      <c r="A194" s="972"/>
      <c r="B194" s="972"/>
      <c r="C194" s="972"/>
      <c r="D194" s="972"/>
      <c r="E194" s="972"/>
      <c r="F194" s="972"/>
      <c r="G194" s="972"/>
      <c r="H194" s="972"/>
      <c r="I194" s="972"/>
      <c r="J194" s="972"/>
      <c r="K194" s="972"/>
      <c r="L194" s="1041"/>
      <c r="M194" s="1041"/>
      <c r="N194" s="1041"/>
      <c r="O194" s="975"/>
    </row>
    <row r="195" spans="1:15">
      <c r="A195" s="972"/>
      <c r="B195" s="972"/>
      <c r="C195" s="972"/>
      <c r="D195" s="972"/>
      <c r="E195" s="972"/>
      <c r="F195" s="972"/>
      <c r="G195" s="972"/>
      <c r="H195" s="972"/>
      <c r="I195" s="972"/>
      <c r="J195" s="972"/>
      <c r="K195" s="972"/>
      <c r="L195" s="1041"/>
      <c r="M195" s="1041"/>
      <c r="N195" s="1041"/>
      <c r="O195" s="975"/>
    </row>
    <row r="196" spans="1:15">
      <c r="A196" s="972"/>
      <c r="B196" s="972"/>
      <c r="C196" s="972"/>
      <c r="D196" s="972"/>
      <c r="E196" s="972"/>
      <c r="F196" s="972"/>
      <c r="G196" s="972"/>
      <c r="H196" s="972"/>
      <c r="I196" s="972"/>
      <c r="J196" s="972"/>
      <c r="K196" s="972"/>
      <c r="L196" s="1041"/>
      <c r="M196" s="1041"/>
      <c r="N196" s="1041"/>
      <c r="O196" s="975"/>
    </row>
    <row r="197" spans="1:15">
      <c r="A197" s="972"/>
      <c r="B197" s="972"/>
      <c r="C197" s="972"/>
      <c r="D197" s="972"/>
      <c r="E197" s="972"/>
      <c r="F197" s="972"/>
      <c r="G197" s="972"/>
      <c r="H197" s="972"/>
      <c r="I197" s="972"/>
      <c r="J197" s="972"/>
      <c r="K197" s="972"/>
      <c r="L197" s="1041"/>
      <c r="M197" s="1041"/>
      <c r="N197" s="1041"/>
      <c r="O197" s="975"/>
    </row>
    <row r="198" spans="1:15">
      <c r="A198" s="972"/>
      <c r="B198" s="972"/>
      <c r="C198" s="972"/>
      <c r="D198" s="972"/>
      <c r="E198" s="972"/>
      <c r="F198" s="972"/>
      <c r="G198" s="972"/>
      <c r="H198" s="972"/>
      <c r="I198" s="972"/>
      <c r="J198" s="972"/>
      <c r="K198" s="972"/>
      <c r="L198" s="1041"/>
      <c r="M198" s="1041"/>
      <c r="N198" s="1041"/>
      <c r="O198" s="975"/>
    </row>
    <row r="199" spans="1:15">
      <c r="A199" s="972"/>
      <c r="B199" s="972"/>
      <c r="C199" s="972"/>
      <c r="D199" s="972"/>
      <c r="E199" s="972"/>
      <c r="F199" s="972"/>
      <c r="G199" s="972"/>
      <c r="H199" s="972"/>
      <c r="I199" s="972"/>
      <c r="J199" s="972"/>
      <c r="K199" s="972"/>
      <c r="L199" s="1041"/>
      <c r="M199" s="1041"/>
      <c r="N199" s="1041"/>
      <c r="O199" s="975"/>
    </row>
    <row r="200" spans="1:15">
      <c r="A200" s="972"/>
      <c r="B200" s="972"/>
      <c r="C200" s="972"/>
      <c r="D200" s="972"/>
      <c r="E200" s="972"/>
      <c r="F200" s="972"/>
      <c r="G200" s="972"/>
      <c r="H200" s="972"/>
      <c r="I200" s="972"/>
      <c r="J200" s="972"/>
      <c r="K200" s="972"/>
      <c r="L200" s="1041"/>
      <c r="M200" s="1041"/>
      <c r="N200" s="1041"/>
      <c r="O200" s="975"/>
    </row>
    <row r="201" spans="1:15">
      <c r="A201" s="972"/>
      <c r="B201" s="972"/>
      <c r="C201" s="972"/>
      <c r="D201" s="972"/>
      <c r="E201" s="972"/>
      <c r="F201" s="972"/>
      <c r="G201" s="972"/>
      <c r="H201" s="972"/>
      <c r="I201" s="972"/>
      <c r="J201" s="972"/>
      <c r="K201" s="972"/>
      <c r="L201" s="1041"/>
      <c r="M201" s="1041"/>
      <c r="N201" s="1041"/>
      <c r="O201" s="975"/>
    </row>
    <row r="202" spans="1:15">
      <c r="A202" s="972"/>
      <c r="B202" s="972"/>
      <c r="C202" s="972"/>
      <c r="D202" s="972"/>
      <c r="E202" s="972"/>
      <c r="F202" s="972"/>
      <c r="G202" s="972"/>
      <c r="H202" s="972"/>
      <c r="I202" s="972"/>
      <c r="J202" s="972"/>
      <c r="K202" s="972"/>
      <c r="L202" s="1041"/>
      <c r="M202" s="1041"/>
      <c r="N202" s="1041"/>
      <c r="O202" s="975"/>
    </row>
    <row r="203" spans="1:15">
      <c r="A203" s="972"/>
      <c r="B203" s="972"/>
      <c r="C203" s="972"/>
      <c r="D203" s="972"/>
      <c r="E203" s="972"/>
      <c r="F203" s="972"/>
      <c r="G203" s="972"/>
      <c r="H203" s="972"/>
      <c r="I203" s="972"/>
      <c r="J203" s="972"/>
      <c r="K203" s="972"/>
      <c r="L203" s="1041"/>
      <c r="M203" s="1041"/>
      <c r="N203" s="1041"/>
      <c r="O203" s="975"/>
    </row>
    <row r="204" spans="1:15">
      <c r="A204" s="972"/>
      <c r="B204" s="972"/>
      <c r="C204" s="972"/>
      <c r="D204" s="972"/>
      <c r="E204" s="972"/>
      <c r="F204" s="972"/>
      <c r="G204" s="972"/>
      <c r="H204" s="972"/>
      <c r="I204" s="972"/>
      <c r="J204" s="972"/>
      <c r="K204" s="972"/>
      <c r="L204" s="1041"/>
      <c r="M204" s="1041"/>
      <c r="N204" s="1041"/>
      <c r="O204" s="975"/>
    </row>
    <row r="205" spans="1:15">
      <c r="A205" s="972"/>
      <c r="B205" s="972"/>
      <c r="C205" s="972"/>
      <c r="D205" s="972"/>
      <c r="E205" s="972"/>
      <c r="F205" s="972"/>
      <c r="G205" s="972"/>
      <c r="H205" s="972"/>
      <c r="I205" s="972"/>
      <c r="J205" s="972"/>
      <c r="K205" s="972"/>
      <c r="L205" s="1041"/>
      <c r="M205" s="1041"/>
      <c r="N205" s="1041"/>
      <c r="O205" s="975"/>
    </row>
    <row r="206" spans="1:15">
      <c r="A206" s="972"/>
      <c r="B206" s="972"/>
      <c r="C206" s="972"/>
      <c r="D206" s="972"/>
      <c r="E206" s="972"/>
      <c r="F206" s="972"/>
      <c r="G206" s="972"/>
      <c r="H206" s="972"/>
      <c r="I206" s="972"/>
      <c r="J206" s="972"/>
      <c r="K206" s="972"/>
      <c r="L206" s="1041"/>
      <c r="M206" s="1041"/>
      <c r="N206" s="1041"/>
      <c r="O206" s="975"/>
    </row>
    <row r="207" spans="1:15">
      <c r="A207" s="972"/>
      <c r="B207" s="972"/>
      <c r="C207" s="972"/>
      <c r="D207" s="972"/>
      <c r="E207" s="972"/>
      <c r="F207" s="972"/>
      <c r="G207" s="972"/>
      <c r="H207" s="972"/>
      <c r="I207" s="972"/>
      <c r="J207" s="972"/>
      <c r="K207" s="972"/>
      <c r="L207" s="1041"/>
      <c r="M207" s="1041"/>
      <c r="N207" s="1041"/>
      <c r="O207" s="975"/>
    </row>
    <row r="208" spans="1:15">
      <c r="A208" s="972"/>
      <c r="B208" s="972"/>
      <c r="C208" s="972"/>
      <c r="D208" s="972"/>
      <c r="E208" s="972"/>
      <c r="F208" s="972"/>
      <c r="G208" s="972"/>
      <c r="H208" s="972"/>
      <c r="I208" s="972"/>
      <c r="J208" s="972"/>
      <c r="K208" s="972"/>
      <c r="L208" s="1041"/>
      <c r="M208" s="1041"/>
      <c r="N208" s="1041"/>
      <c r="O208" s="975"/>
    </row>
    <row r="209" spans="1:15">
      <c r="A209" s="972"/>
      <c r="B209" s="972"/>
      <c r="C209" s="972"/>
      <c r="D209" s="972"/>
      <c r="E209" s="972"/>
      <c r="F209" s="972"/>
      <c r="G209" s="972"/>
      <c r="H209" s="972"/>
      <c r="I209" s="972"/>
      <c r="J209" s="972"/>
      <c r="K209" s="972"/>
      <c r="L209" s="1041"/>
      <c r="M209" s="1041"/>
      <c r="N209" s="1041"/>
      <c r="O209" s="975"/>
    </row>
    <row r="210" spans="1:15">
      <c r="A210" s="972"/>
      <c r="B210" s="972"/>
      <c r="C210" s="972"/>
      <c r="D210" s="972"/>
      <c r="E210" s="972"/>
      <c r="F210" s="972"/>
      <c r="G210" s="972"/>
      <c r="H210" s="972"/>
      <c r="I210" s="972"/>
      <c r="J210" s="972"/>
      <c r="K210" s="972"/>
      <c r="L210" s="1041"/>
      <c r="M210" s="1041"/>
      <c r="N210" s="1041"/>
      <c r="O210" s="975"/>
    </row>
    <row r="211" spans="1:15">
      <c r="A211" s="972"/>
      <c r="B211" s="972"/>
      <c r="C211" s="972"/>
      <c r="D211" s="972"/>
      <c r="E211" s="972"/>
      <c r="F211" s="972"/>
      <c r="G211" s="972"/>
      <c r="H211" s="972"/>
      <c r="I211" s="972"/>
      <c r="J211" s="972"/>
      <c r="K211" s="972"/>
      <c r="L211" s="1041"/>
      <c r="M211" s="1041"/>
      <c r="N211" s="1041"/>
      <c r="O211" s="975"/>
    </row>
    <row r="212" spans="1:15">
      <c r="A212" s="972"/>
      <c r="B212" s="972"/>
      <c r="C212" s="972"/>
      <c r="D212" s="972"/>
      <c r="E212" s="972"/>
      <c r="F212" s="972"/>
      <c r="G212" s="972"/>
      <c r="H212" s="972"/>
      <c r="I212" s="972"/>
      <c r="J212" s="972"/>
      <c r="K212" s="972"/>
      <c r="L212" s="1041"/>
      <c r="M212" s="1041"/>
      <c r="N212" s="1041"/>
      <c r="O212" s="975"/>
    </row>
    <row r="213" spans="1:15">
      <c r="A213" s="972"/>
      <c r="B213" s="972"/>
      <c r="C213" s="972"/>
      <c r="D213" s="972"/>
      <c r="E213" s="972"/>
      <c r="F213" s="972"/>
      <c r="G213" s="972"/>
      <c r="H213" s="972"/>
      <c r="I213" s="972"/>
      <c r="J213" s="972"/>
      <c r="K213" s="972"/>
      <c r="L213" s="1041"/>
      <c r="M213" s="1041"/>
      <c r="N213" s="1041"/>
      <c r="O213" s="975"/>
    </row>
    <row r="214" spans="1:15">
      <c r="A214" s="972"/>
      <c r="B214" s="972"/>
      <c r="C214" s="972"/>
      <c r="D214" s="972"/>
      <c r="E214" s="972"/>
      <c r="F214" s="972"/>
      <c r="G214" s="972"/>
      <c r="H214" s="972"/>
      <c r="I214" s="972"/>
      <c r="J214" s="972"/>
      <c r="K214" s="972"/>
      <c r="L214" s="1041"/>
      <c r="M214" s="1041"/>
      <c r="N214" s="1041"/>
      <c r="O214" s="975"/>
    </row>
    <row r="215" spans="1:15">
      <c r="A215" s="972"/>
      <c r="B215" s="972"/>
      <c r="C215" s="972"/>
      <c r="D215" s="972"/>
      <c r="E215" s="972"/>
      <c r="F215" s="972"/>
      <c r="G215" s="972"/>
      <c r="H215" s="972"/>
      <c r="I215" s="972"/>
      <c r="J215" s="972"/>
      <c r="K215" s="972"/>
      <c r="L215" s="1041"/>
      <c r="M215" s="1041"/>
      <c r="N215" s="1041"/>
      <c r="O215" s="975"/>
    </row>
    <row r="216" spans="1:15">
      <c r="A216" s="972"/>
      <c r="B216" s="972"/>
      <c r="C216" s="972"/>
      <c r="D216" s="972"/>
      <c r="E216" s="972"/>
      <c r="F216" s="972"/>
      <c r="G216" s="972"/>
      <c r="H216" s="972"/>
      <c r="I216" s="972"/>
      <c r="J216" s="972"/>
      <c r="K216" s="972"/>
      <c r="L216" s="1041"/>
      <c r="M216" s="1041"/>
      <c r="N216" s="1041"/>
      <c r="O216" s="975"/>
    </row>
    <row r="217" spans="1:15">
      <c r="A217" s="972"/>
      <c r="B217" s="972"/>
      <c r="C217" s="972"/>
      <c r="D217" s="972"/>
      <c r="E217" s="972"/>
      <c r="F217" s="972"/>
      <c r="G217" s="972"/>
      <c r="H217" s="972"/>
      <c r="I217" s="972"/>
      <c r="J217" s="972"/>
      <c r="K217" s="972"/>
      <c r="L217" s="1041"/>
      <c r="M217" s="1041"/>
      <c r="N217" s="1041"/>
      <c r="O217" s="975"/>
    </row>
    <row r="218" spans="1:15">
      <c r="A218" s="972"/>
      <c r="B218" s="972"/>
      <c r="C218" s="972"/>
      <c r="D218" s="972"/>
      <c r="E218" s="972"/>
      <c r="F218" s="972"/>
      <c r="G218" s="972"/>
      <c r="H218" s="972"/>
      <c r="I218" s="972"/>
      <c r="J218" s="972"/>
      <c r="K218" s="972"/>
      <c r="L218" s="1041"/>
      <c r="M218" s="1041"/>
      <c r="N218" s="1041"/>
      <c r="O218" s="975"/>
    </row>
    <row r="219" spans="1:15">
      <c r="A219" s="972"/>
      <c r="B219" s="972"/>
      <c r="C219" s="972"/>
      <c r="D219" s="972"/>
      <c r="E219" s="972"/>
      <c r="F219" s="972"/>
      <c r="G219" s="972"/>
      <c r="H219" s="972"/>
      <c r="I219" s="972"/>
      <c r="J219" s="972"/>
      <c r="K219" s="972"/>
      <c r="L219" s="1041"/>
      <c r="M219" s="1041"/>
      <c r="N219" s="1041"/>
      <c r="O219" s="975"/>
    </row>
    <row r="220" spans="1:15">
      <c r="A220" s="972"/>
      <c r="B220" s="972"/>
      <c r="C220" s="972"/>
      <c r="D220" s="972"/>
      <c r="E220" s="972"/>
      <c r="F220" s="972"/>
      <c r="G220" s="972"/>
      <c r="H220" s="972"/>
      <c r="I220" s="972"/>
      <c r="J220" s="972"/>
      <c r="K220" s="972"/>
      <c r="L220" s="1041"/>
      <c r="M220" s="1041"/>
      <c r="N220" s="1041"/>
      <c r="O220" s="975"/>
    </row>
    <row r="221" spans="1:15">
      <c r="A221" s="972"/>
      <c r="B221" s="972"/>
      <c r="C221" s="972"/>
      <c r="D221" s="972"/>
      <c r="E221" s="972"/>
      <c r="F221" s="972"/>
      <c r="G221" s="972"/>
      <c r="H221" s="972"/>
      <c r="I221" s="972"/>
      <c r="J221" s="972"/>
      <c r="K221" s="972"/>
      <c r="L221" s="1041"/>
      <c r="M221" s="1041"/>
      <c r="N221" s="1041"/>
      <c r="O221" s="975"/>
    </row>
    <row r="222" spans="1:15">
      <c r="A222" s="972"/>
      <c r="B222" s="972"/>
      <c r="C222" s="972"/>
      <c r="D222" s="972"/>
      <c r="E222" s="972"/>
      <c r="F222" s="972"/>
      <c r="G222" s="972"/>
      <c r="H222" s="972"/>
      <c r="I222" s="972"/>
      <c r="J222" s="972"/>
      <c r="K222" s="972"/>
      <c r="L222" s="1041"/>
      <c r="M222" s="1041"/>
      <c r="N222" s="1041"/>
      <c r="O222" s="975"/>
    </row>
    <row r="223" spans="1:15">
      <c r="A223" s="972"/>
      <c r="B223" s="972"/>
      <c r="C223" s="972"/>
      <c r="D223" s="972"/>
      <c r="E223" s="972"/>
      <c r="F223" s="972"/>
      <c r="G223" s="972"/>
      <c r="H223" s="972"/>
      <c r="I223" s="972"/>
      <c r="J223" s="972"/>
      <c r="K223" s="972"/>
      <c r="L223" s="1041"/>
      <c r="M223" s="1041"/>
      <c r="N223" s="1041"/>
      <c r="O223" s="975"/>
    </row>
    <row r="224" spans="1:15">
      <c r="A224" s="972"/>
      <c r="B224" s="972"/>
      <c r="C224" s="972"/>
      <c r="D224" s="972"/>
      <c r="E224" s="972"/>
      <c r="F224" s="972"/>
      <c r="G224" s="972"/>
      <c r="H224" s="972"/>
      <c r="I224" s="972"/>
      <c r="J224" s="972"/>
      <c r="K224" s="972"/>
      <c r="L224" s="1041"/>
      <c r="M224" s="1041"/>
      <c r="N224" s="1041"/>
      <c r="O224" s="975"/>
    </row>
    <row r="225" spans="1:15">
      <c r="A225" s="972"/>
      <c r="B225" s="972"/>
      <c r="C225" s="972"/>
      <c r="D225" s="972"/>
      <c r="E225" s="972"/>
      <c r="F225" s="972"/>
      <c r="G225" s="972"/>
      <c r="H225" s="972"/>
      <c r="I225" s="972"/>
      <c r="J225" s="972"/>
      <c r="K225" s="972"/>
      <c r="L225" s="1041"/>
      <c r="M225" s="1041"/>
      <c r="N225" s="1041"/>
      <c r="O225" s="975"/>
    </row>
    <row r="226" spans="1:15">
      <c r="A226" s="972"/>
      <c r="B226" s="972"/>
      <c r="C226" s="972"/>
      <c r="D226" s="972"/>
      <c r="E226" s="972"/>
      <c r="F226" s="972"/>
      <c r="G226" s="972"/>
      <c r="H226" s="972"/>
      <c r="I226" s="972"/>
      <c r="J226" s="972"/>
      <c r="K226" s="972"/>
      <c r="L226" s="1041"/>
      <c r="M226" s="1041"/>
      <c r="N226" s="1041"/>
      <c r="O226" s="975"/>
    </row>
    <row r="227" spans="1:15">
      <c r="A227" s="972"/>
      <c r="B227" s="972"/>
      <c r="C227" s="972"/>
      <c r="D227" s="972"/>
      <c r="E227" s="972"/>
      <c r="F227" s="972"/>
      <c r="G227" s="972"/>
      <c r="H227" s="972"/>
      <c r="I227" s="972"/>
      <c r="J227" s="972"/>
      <c r="K227" s="972"/>
      <c r="L227" s="1041"/>
      <c r="M227" s="1041"/>
      <c r="N227" s="1041"/>
      <c r="O227" s="975"/>
    </row>
    <row r="228" spans="1:15">
      <c r="A228" s="972"/>
      <c r="B228" s="972"/>
      <c r="C228" s="972"/>
      <c r="D228" s="972"/>
      <c r="E228" s="972"/>
      <c r="F228" s="972"/>
      <c r="G228" s="972"/>
      <c r="H228" s="972"/>
      <c r="I228" s="972"/>
      <c r="J228" s="972"/>
      <c r="K228" s="972"/>
      <c r="L228" s="1041"/>
      <c r="M228" s="1041"/>
      <c r="N228" s="1041"/>
      <c r="O228" s="975"/>
    </row>
    <row r="229" spans="1:15">
      <c r="A229" s="972"/>
      <c r="B229" s="972"/>
      <c r="C229" s="972"/>
      <c r="D229" s="972"/>
      <c r="E229" s="972"/>
      <c r="F229" s="972"/>
      <c r="G229" s="972"/>
      <c r="H229" s="972"/>
      <c r="I229" s="972"/>
      <c r="J229" s="972"/>
      <c r="K229" s="972"/>
      <c r="L229" s="1041"/>
      <c r="M229" s="1041"/>
      <c r="N229" s="1041"/>
      <c r="O229" s="975"/>
    </row>
    <row r="230" spans="1:15">
      <c r="A230" s="972"/>
      <c r="B230" s="972"/>
      <c r="C230" s="972"/>
      <c r="D230" s="972"/>
      <c r="E230" s="972"/>
      <c r="F230" s="972"/>
      <c r="G230" s="972"/>
      <c r="H230" s="972"/>
      <c r="I230" s="972"/>
      <c r="J230" s="972"/>
      <c r="K230" s="972"/>
      <c r="L230" s="1041"/>
      <c r="M230" s="1041"/>
      <c r="N230" s="1041"/>
      <c r="O230" s="975"/>
    </row>
    <row r="231" spans="1:15">
      <c r="A231" s="972"/>
      <c r="B231" s="972"/>
      <c r="C231" s="972"/>
      <c r="D231" s="972"/>
      <c r="E231" s="972"/>
      <c r="F231" s="972"/>
      <c r="G231" s="972"/>
      <c r="H231" s="972"/>
      <c r="I231" s="972"/>
      <c r="J231" s="972"/>
      <c r="K231" s="972"/>
      <c r="L231" s="1041"/>
      <c r="M231" s="1041"/>
      <c r="N231" s="1041"/>
      <c r="O231" s="975"/>
    </row>
    <row r="232" spans="1:15">
      <c r="A232" s="972"/>
      <c r="B232" s="972"/>
      <c r="C232" s="972"/>
      <c r="D232" s="972"/>
      <c r="E232" s="972"/>
      <c r="F232" s="972"/>
      <c r="G232" s="972"/>
      <c r="H232" s="972"/>
      <c r="I232" s="972"/>
      <c r="J232" s="972"/>
      <c r="K232" s="972"/>
      <c r="L232" s="1041"/>
      <c r="M232" s="1041"/>
      <c r="N232" s="1041"/>
      <c r="O232" s="975"/>
    </row>
    <row r="233" spans="1:15">
      <c r="A233" s="972"/>
      <c r="B233" s="972"/>
      <c r="C233" s="972"/>
      <c r="D233" s="972"/>
      <c r="E233" s="972"/>
      <c r="F233" s="972"/>
      <c r="G233" s="972"/>
      <c r="H233" s="972"/>
      <c r="I233" s="972"/>
      <c r="J233" s="972"/>
      <c r="K233" s="972"/>
      <c r="L233" s="1041"/>
      <c r="M233" s="1041"/>
      <c r="N233" s="1041"/>
      <c r="O233" s="975"/>
    </row>
    <row r="234" spans="1:15">
      <c r="A234" s="972"/>
      <c r="B234" s="972"/>
      <c r="C234" s="972"/>
      <c r="D234" s="972"/>
      <c r="E234" s="972"/>
      <c r="F234" s="972"/>
      <c r="G234" s="972"/>
      <c r="H234" s="972"/>
      <c r="I234" s="972"/>
      <c r="J234" s="972"/>
      <c r="K234" s="972"/>
      <c r="L234" s="1041"/>
      <c r="M234" s="1041"/>
      <c r="N234" s="1041"/>
      <c r="O234" s="975"/>
    </row>
    <row r="235" spans="1:15">
      <c r="A235" s="972"/>
      <c r="B235" s="972"/>
      <c r="C235" s="972"/>
      <c r="D235" s="972"/>
      <c r="E235" s="972"/>
      <c r="F235" s="972"/>
      <c r="G235" s="972"/>
      <c r="H235" s="972"/>
      <c r="I235" s="972"/>
      <c r="J235" s="972"/>
      <c r="K235" s="972"/>
      <c r="L235" s="1041"/>
      <c r="M235" s="1041"/>
      <c r="N235" s="1041"/>
      <c r="O235" s="975"/>
    </row>
    <row r="236" spans="1:15">
      <c r="A236" s="972"/>
      <c r="B236" s="972"/>
      <c r="C236" s="972"/>
      <c r="D236" s="972"/>
      <c r="E236" s="972"/>
      <c r="F236" s="972"/>
      <c r="G236" s="972"/>
      <c r="H236" s="972"/>
      <c r="I236" s="972"/>
      <c r="J236" s="972"/>
      <c r="K236" s="972"/>
      <c r="L236" s="1041"/>
      <c r="M236" s="1041"/>
      <c r="N236" s="1041"/>
      <c r="O236" s="975"/>
    </row>
    <row r="237" spans="1:15">
      <c r="A237" s="972"/>
      <c r="B237" s="972"/>
      <c r="C237" s="972"/>
      <c r="D237" s="972"/>
      <c r="E237" s="972"/>
      <c r="F237" s="972"/>
      <c r="G237" s="972"/>
      <c r="H237" s="972"/>
      <c r="I237" s="972"/>
      <c r="J237" s="972"/>
      <c r="K237" s="972"/>
      <c r="L237" s="1041"/>
      <c r="M237" s="1041"/>
      <c r="N237" s="1041"/>
      <c r="O237" s="975"/>
    </row>
    <row r="238" spans="1:15">
      <c r="A238" s="972"/>
      <c r="B238" s="972"/>
      <c r="C238" s="972"/>
      <c r="D238" s="972"/>
      <c r="E238" s="972"/>
      <c r="F238" s="972"/>
      <c r="G238" s="972"/>
      <c r="H238" s="972"/>
      <c r="I238" s="972"/>
      <c r="J238" s="972"/>
      <c r="K238" s="972"/>
      <c r="L238" s="1041"/>
      <c r="M238" s="1041"/>
      <c r="N238" s="1041"/>
      <c r="O238" s="975"/>
    </row>
    <row r="239" spans="1:15">
      <c r="A239" s="972"/>
      <c r="B239" s="972"/>
      <c r="C239" s="972"/>
      <c r="D239" s="972"/>
      <c r="E239" s="972"/>
      <c r="F239" s="972"/>
      <c r="G239" s="972"/>
      <c r="H239" s="972"/>
      <c r="I239" s="972"/>
      <c r="J239" s="972"/>
      <c r="K239" s="972"/>
      <c r="L239" s="1041"/>
      <c r="M239" s="1041"/>
      <c r="N239" s="1041"/>
      <c r="O239" s="975"/>
    </row>
    <row r="240" spans="1:15">
      <c r="A240" s="972"/>
      <c r="B240" s="972"/>
      <c r="C240" s="972"/>
      <c r="D240" s="972"/>
      <c r="E240" s="972"/>
      <c r="F240" s="972"/>
      <c r="G240" s="972"/>
      <c r="H240" s="972"/>
      <c r="I240" s="972"/>
      <c r="J240" s="972"/>
      <c r="K240" s="972"/>
      <c r="L240" s="1041"/>
      <c r="M240" s="1041"/>
      <c r="N240" s="1041"/>
      <c r="O240" s="975"/>
    </row>
    <row r="241" spans="1:15">
      <c r="A241" s="972"/>
      <c r="B241" s="972"/>
      <c r="C241" s="972"/>
      <c r="D241" s="972"/>
      <c r="E241" s="972"/>
      <c r="F241" s="972"/>
      <c r="G241" s="972"/>
      <c r="H241" s="972"/>
      <c r="I241" s="972"/>
      <c r="J241" s="972"/>
      <c r="K241" s="972"/>
      <c r="L241" s="1041"/>
      <c r="M241" s="1041"/>
      <c r="N241" s="1041"/>
      <c r="O241" s="975"/>
    </row>
    <row r="242" spans="1:15">
      <c r="A242" s="972"/>
      <c r="B242" s="972"/>
      <c r="C242" s="972"/>
      <c r="D242" s="972"/>
      <c r="E242" s="972"/>
      <c r="F242" s="972"/>
      <c r="G242" s="972"/>
      <c r="H242" s="972"/>
      <c r="I242" s="972"/>
      <c r="J242" s="972"/>
      <c r="K242" s="972"/>
      <c r="L242" s="1041"/>
      <c r="M242" s="1041"/>
      <c r="N242" s="1041"/>
      <c r="O242" s="975"/>
    </row>
    <row r="243" spans="1:15">
      <c r="A243" s="972"/>
      <c r="B243" s="972"/>
      <c r="C243" s="972"/>
      <c r="D243" s="972"/>
      <c r="E243" s="972"/>
      <c r="F243" s="972"/>
      <c r="G243" s="972"/>
      <c r="H243" s="972"/>
      <c r="I243" s="972"/>
      <c r="J243" s="972"/>
      <c r="K243" s="972"/>
      <c r="L243" s="1041"/>
      <c r="M243" s="1041"/>
      <c r="N243" s="1041"/>
      <c r="O243" s="975"/>
    </row>
    <row r="244" spans="1:15">
      <c r="A244" s="972"/>
      <c r="B244" s="972"/>
      <c r="C244" s="972"/>
      <c r="D244" s="972"/>
      <c r="E244" s="972"/>
      <c r="F244" s="972"/>
      <c r="G244" s="972"/>
      <c r="H244" s="972"/>
      <c r="I244" s="972"/>
      <c r="J244" s="972"/>
      <c r="K244" s="972"/>
      <c r="L244" s="1041"/>
      <c r="M244" s="1041"/>
      <c r="N244" s="1041"/>
      <c r="O244" s="975"/>
    </row>
    <row r="245" spans="1:15">
      <c r="A245" s="972"/>
      <c r="B245" s="972"/>
      <c r="C245" s="972"/>
      <c r="D245" s="972"/>
      <c r="E245" s="972"/>
      <c r="F245" s="972"/>
      <c r="G245" s="972"/>
      <c r="H245" s="972"/>
      <c r="I245" s="972"/>
      <c r="J245" s="972"/>
      <c r="K245" s="972"/>
      <c r="L245" s="1041"/>
      <c r="M245" s="1041"/>
      <c r="N245" s="1041"/>
      <c r="O245" s="975"/>
    </row>
    <row r="246" spans="1:15">
      <c r="A246" s="972"/>
      <c r="B246" s="972"/>
      <c r="C246" s="972"/>
      <c r="D246" s="972"/>
      <c r="E246" s="972"/>
      <c r="F246" s="972"/>
      <c r="G246" s="972"/>
      <c r="H246" s="972"/>
      <c r="I246" s="972"/>
      <c r="J246" s="972"/>
      <c r="K246" s="972"/>
      <c r="L246" s="1041"/>
      <c r="M246" s="1041"/>
      <c r="N246" s="1041"/>
      <c r="O246" s="975"/>
    </row>
    <row r="247" spans="1:15">
      <c r="A247" s="972"/>
      <c r="B247" s="972"/>
      <c r="C247" s="972"/>
      <c r="D247" s="972"/>
      <c r="E247" s="972"/>
      <c r="F247" s="972"/>
      <c r="G247" s="972"/>
      <c r="H247" s="972"/>
      <c r="I247" s="972"/>
      <c r="J247" s="972"/>
      <c r="K247" s="972"/>
      <c r="L247" s="1041"/>
      <c r="M247" s="1041"/>
      <c r="N247" s="1041"/>
      <c r="O247" s="975"/>
    </row>
    <row r="248" spans="1:15">
      <c r="A248" s="972"/>
      <c r="B248" s="972"/>
      <c r="C248" s="972"/>
      <c r="D248" s="972"/>
      <c r="E248" s="972"/>
      <c r="F248" s="972"/>
      <c r="G248" s="972"/>
      <c r="H248" s="972"/>
      <c r="I248" s="972"/>
      <c r="J248" s="972"/>
      <c r="K248" s="972"/>
      <c r="L248" s="1041"/>
      <c r="M248" s="1041"/>
      <c r="N248" s="1041"/>
      <c r="O248" s="975"/>
    </row>
    <row r="249" spans="1:15">
      <c r="A249" s="972"/>
      <c r="B249" s="972"/>
      <c r="C249" s="972"/>
      <c r="D249" s="972"/>
      <c r="E249" s="972"/>
      <c r="F249" s="972"/>
      <c r="G249" s="972"/>
      <c r="H249" s="972"/>
      <c r="I249" s="972"/>
      <c r="J249" s="972"/>
      <c r="K249" s="972"/>
      <c r="L249" s="1041"/>
      <c r="M249" s="1041"/>
      <c r="N249" s="1041"/>
      <c r="O249" s="975"/>
    </row>
    <row r="250" spans="1:15">
      <c r="A250" s="972"/>
      <c r="B250" s="972"/>
      <c r="C250" s="972"/>
      <c r="D250" s="972"/>
      <c r="E250" s="972"/>
      <c r="F250" s="972"/>
      <c r="G250" s="972"/>
      <c r="H250" s="972"/>
      <c r="I250" s="972"/>
      <c r="J250" s="972"/>
      <c r="K250" s="972"/>
      <c r="L250" s="1041"/>
      <c r="M250" s="1041"/>
      <c r="N250" s="1041"/>
      <c r="O250" s="975"/>
    </row>
    <row r="251" spans="1:15">
      <c r="A251" s="972"/>
      <c r="B251" s="972"/>
      <c r="C251" s="972"/>
      <c r="D251" s="972"/>
      <c r="E251" s="972"/>
      <c r="F251" s="972"/>
      <c r="G251" s="972"/>
      <c r="H251" s="972"/>
      <c r="I251" s="972"/>
      <c r="J251" s="972"/>
      <c r="K251" s="972"/>
      <c r="L251" s="1041"/>
      <c r="M251" s="1041"/>
      <c r="N251" s="1041"/>
      <c r="O251" s="975"/>
    </row>
    <row r="252" spans="1:15">
      <c r="A252" s="972"/>
      <c r="B252" s="972"/>
      <c r="C252" s="972"/>
      <c r="D252" s="972"/>
      <c r="E252" s="972"/>
      <c r="F252" s="972"/>
      <c r="G252" s="972"/>
      <c r="H252" s="972"/>
      <c r="I252" s="972"/>
      <c r="J252" s="972"/>
      <c r="K252" s="972"/>
      <c r="L252" s="1041"/>
      <c r="M252" s="1041"/>
      <c r="N252" s="1041"/>
      <c r="O252" s="975"/>
    </row>
    <row r="253" spans="1:15">
      <c r="A253" s="972"/>
      <c r="B253" s="972"/>
      <c r="C253" s="972"/>
      <c r="D253" s="972"/>
      <c r="E253" s="972"/>
      <c r="F253" s="972"/>
      <c r="G253" s="972"/>
      <c r="H253" s="972"/>
      <c r="I253" s="972"/>
      <c r="J253" s="972"/>
      <c r="K253" s="972"/>
      <c r="L253" s="1041"/>
      <c r="M253" s="1041"/>
      <c r="N253" s="1041"/>
      <c r="O253" s="975"/>
    </row>
    <row r="254" spans="1:15">
      <c r="A254" s="972"/>
      <c r="B254" s="972"/>
      <c r="C254" s="972"/>
      <c r="D254" s="972"/>
      <c r="E254" s="972"/>
      <c r="F254" s="972"/>
      <c r="G254" s="972"/>
      <c r="H254" s="972"/>
      <c r="I254" s="972"/>
      <c r="J254" s="972"/>
      <c r="K254" s="972"/>
      <c r="L254" s="1041"/>
      <c r="M254" s="1041"/>
      <c r="N254" s="1041"/>
      <c r="O254" s="975"/>
    </row>
    <row r="255" spans="1:15">
      <c r="A255" s="972"/>
      <c r="B255" s="972"/>
      <c r="C255" s="972"/>
      <c r="D255" s="972"/>
      <c r="E255" s="972"/>
      <c r="F255" s="972"/>
      <c r="G255" s="972"/>
      <c r="H255" s="972"/>
      <c r="I255" s="972"/>
      <c r="J255" s="972"/>
      <c r="K255" s="972"/>
      <c r="L255" s="1041"/>
      <c r="M255" s="1041"/>
      <c r="N255" s="1041"/>
      <c r="O255" s="975"/>
    </row>
    <row r="256" spans="1:15">
      <c r="A256" s="972"/>
      <c r="B256" s="972"/>
      <c r="C256" s="972"/>
      <c r="D256" s="972"/>
      <c r="E256" s="972"/>
      <c r="F256" s="972"/>
      <c r="G256" s="972"/>
      <c r="H256" s="972"/>
      <c r="I256" s="972"/>
      <c r="J256" s="972"/>
      <c r="K256" s="972"/>
      <c r="L256" s="1041"/>
      <c r="M256" s="1041"/>
      <c r="N256" s="1041"/>
      <c r="O256" s="975"/>
    </row>
    <row r="257" spans="1:15">
      <c r="A257" s="972"/>
      <c r="B257" s="972"/>
      <c r="C257" s="972"/>
      <c r="D257" s="972"/>
      <c r="E257" s="972"/>
      <c r="F257" s="972"/>
      <c r="G257" s="972"/>
      <c r="H257" s="972"/>
      <c r="I257" s="972"/>
      <c r="J257" s="972"/>
      <c r="K257" s="972"/>
      <c r="L257" s="1041"/>
      <c r="M257" s="1041"/>
      <c r="N257" s="1041"/>
      <c r="O257" s="975"/>
    </row>
    <row r="258" spans="1:15">
      <c r="A258" s="972"/>
      <c r="B258" s="972"/>
      <c r="C258" s="972"/>
      <c r="D258" s="972"/>
      <c r="E258" s="972"/>
      <c r="F258" s="972"/>
      <c r="G258" s="972"/>
      <c r="H258" s="972"/>
      <c r="I258" s="972"/>
      <c r="J258" s="972"/>
      <c r="K258" s="972"/>
      <c r="L258" s="1041"/>
      <c r="M258" s="1041"/>
      <c r="N258" s="1041"/>
      <c r="O258" s="975"/>
    </row>
    <row r="259" spans="1:15">
      <c r="A259" s="972"/>
      <c r="B259" s="972"/>
      <c r="C259" s="972"/>
      <c r="D259" s="972"/>
      <c r="E259" s="972"/>
      <c r="F259" s="972"/>
      <c r="G259" s="972"/>
      <c r="H259" s="972"/>
      <c r="I259" s="972"/>
      <c r="J259" s="972"/>
      <c r="K259" s="972"/>
      <c r="L259" s="1041"/>
      <c r="M259" s="1041"/>
      <c r="N259" s="1041"/>
      <c r="O259" s="975"/>
    </row>
    <row r="260" spans="1:15">
      <c r="A260" s="972"/>
      <c r="B260" s="972"/>
      <c r="C260" s="972"/>
      <c r="D260" s="972"/>
      <c r="E260" s="972"/>
      <c r="F260" s="972"/>
      <c r="G260" s="972"/>
      <c r="H260" s="972"/>
      <c r="I260" s="972"/>
      <c r="J260" s="972"/>
      <c r="K260" s="972"/>
      <c r="L260" s="1041"/>
      <c r="M260" s="1041"/>
      <c r="N260" s="1041"/>
      <c r="O260" s="975"/>
    </row>
    <row r="261" spans="1:15">
      <c r="A261" s="972"/>
      <c r="B261" s="972"/>
      <c r="C261" s="972"/>
      <c r="D261" s="972"/>
      <c r="E261" s="972"/>
      <c r="F261" s="972"/>
      <c r="G261" s="972"/>
      <c r="H261" s="972"/>
      <c r="I261" s="972"/>
      <c r="J261" s="972"/>
      <c r="K261" s="972"/>
      <c r="L261" s="1041"/>
      <c r="M261" s="1041"/>
      <c r="N261" s="1041"/>
      <c r="O261" s="975"/>
    </row>
    <row r="262" spans="1:15">
      <c r="A262" s="972"/>
      <c r="B262" s="972"/>
      <c r="C262" s="972"/>
      <c r="D262" s="972"/>
      <c r="E262" s="972"/>
      <c r="F262" s="972"/>
      <c r="G262" s="972"/>
      <c r="H262" s="972"/>
      <c r="I262" s="972"/>
      <c r="J262" s="972"/>
      <c r="K262" s="972"/>
      <c r="L262" s="1041"/>
      <c r="M262" s="1041"/>
      <c r="N262" s="1041"/>
      <c r="O262" s="975"/>
    </row>
    <row r="263" spans="1:15">
      <c r="A263" s="972"/>
      <c r="B263" s="972"/>
      <c r="C263" s="972"/>
      <c r="D263" s="972"/>
      <c r="E263" s="972"/>
      <c r="F263" s="972"/>
      <c r="G263" s="972"/>
      <c r="H263" s="972"/>
      <c r="I263" s="972"/>
      <c r="J263" s="972"/>
      <c r="K263" s="972"/>
      <c r="L263" s="1041"/>
      <c r="M263" s="1041"/>
      <c r="N263" s="1041"/>
      <c r="O263" s="975"/>
    </row>
    <row r="264" spans="1:15">
      <c r="A264" s="972"/>
      <c r="B264" s="972"/>
      <c r="C264" s="972"/>
      <c r="D264" s="972"/>
      <c r="E264" s="972"/>
      <c r="F264" s="972"/>
      <c r="G264" s="972"/>
      <c r="H264" s="972"/>
      <c r="I264" s="972"/>
      <c r="J264" s="972"/>
      <c r="K264" s="972"/>
      <c r="L264" s="1041"/>
      <c r="M264" s="1041"/>
      <c r="N264" s="1041"/>
      <c r="O264" s="975"/>
    </row>
    <row r="265" spans="1:15">
      <c r="A265" s="972"/>
      <c r="B265" s="972"/>
      <c r="C265" s="972"/>
      <c r="D265" s="972"/>
      <c r="E265" s="972"/>
      <c r="F265" s="972"/>
      <c r="G265" s="972"/>
      <c r="H265" s="972"/>
      <c r="I265" s="972"/>
      <c r="J265" s="972"/>
      <c r="K265" s="972"/>
      <c r="L265" s="1041"/>
      <c r="M265" s="1041"/>
      <c r="N265" s="1041"/>
      <c r="O265" s="975"/>
    </row>
    <row r="266" spans="1:15">
      <c r="A266" s="972"/>
      <c r="B266" s="972"/>
      <c r="C266" s="972"/>
      <c r="D266" s="972"/>
      <c r="E266" s="972"/>
      <c r="F266" s="972"/>
      <c r="G266" s="972"/>
      <c r="H266" s="972"/>
      <c r="I266" s="972"/>
      <c r="J266" s="972"/>
      <c r="K266" s="972"/>
      <c r="L266" s="1041"/>
      <c r="M266" s="1041"/>
      <c r="N266" s="1041"/>
      <c r="O266" s="975"/>
    </row>
    <row r="267" spans="1:15">
      <c r="A267" s="972"/>
      <c r="B267" s="972"/>
      <c r="C267" s="972"/>
      <c r="D267" s="972"/>
      <c r="E267" s="972"/>
      <c r="F267" s="972"/>
      <c r="G267" s="972"/>
      <c r="H267" s="972"/>
      <c r="I267" s="972"/>
      <c r="J267" s="972"/>
      <c r="K267" s="972"/>
      <c r="L267" s="1041"/>
      <c r="M267" s="1041"/>
      <c r="N267" s="1041"/>
      <c r="O267" s="975"/>
    </row>
    <row r="268" spans="1:15">
      <c r="A268" s="972"/>
      <c r="B268" s="972"/>
      <c r="C268" s="972"/>
      <c r="D268" s="972"/>
      <c r="E268" s="972"/>
      <c r="F268" s="972"/>
      <c r="G268" s="972"/>
      <c r="H268" s="972"/>
      <c r="I268" s="972"/>
      <c r="J268" s="972"/>
      <c r="K268" s="972"/>
      <c r="L268" s="1041"/>
      <c r="M268" s="1041"/>
      <c r="N268" s="1041"/>
      <c r="O268" s="975"/>
    </row>
    <row r="269" spans="1:15">
      <c r="A269" s="972"/>
      <c r="B269" s="972"/>
      <c r="C269" s="972"/>
      <c r="D269" s="972"/>
      <c r="E269" s="972"/>
      <c r="F269" s="972"/>
      <c r="G269" s="972"/>
      <c r="H269" s="972"/>
      <c r="I269" s="972"/>
      <c r="J269" s="972"/>
      <c r="K269" s="972"/>
      <c r="L269" s="1041"/>
      <c r="M269" s="1041"/>
      <c r="N269" s="1041"/>
      <c r="O269" s="975"/>
    </row>
    <row r="270" spans="1:15">
      <c r="A270" s="972"/>
      <c r="B270" s="972"/>
      <c r="C270" s="972"/>
      <c r="D270" s="972"/>
      <c r="E270" s="972"/>
      <c r="F270" s="972"/>
      <c r="G270" s="972"/>
      <c r="H270" s="972"/>
      <c r="I270" s="972"/>
      <c r="J270" s="972"/>
      <c r="K270" s="972"/>
      <c r="L270" s="1041"/>
      <c r="M270" s="1041"/>
      <c r="N270" s="1041"/>
      <c r="O270" s="975"/>
    </row>
    <row r="271" spans="1:15">
      <c r="A271" s="972"/>
      <c r="B271" s="972"/>
      <c r="C271" s="972"/>
      <c r="D271" s="972"/>
      <c r="E271" s="972"/>
      <c r="F271" s="972"/>
      <c r="G271" s="972"/>
      <c r="H271" s="972"/>
      <c r="I271" s="972"/>
      <c r="J271" s="972"/>
      <c r="K271" s="972"/>
      <c r="L271" s="1041"/>
      <c r="M271" s="1041"/>
      <c r="N271" s="1041"/>
      <c r="O271" s="975"/>
    </row>
    <row r="272" spans="1:15">
      <c r="A272" s="972"/>
      <c r="B272" s="972"/>
      <c r="C272" s="972"/>
      <c r="D272" s="972"/>
      <c r="E272" s="972"/>
      <c r="F272" s="972"/>
      <c r="G272" s="972"/>
      <c r="H272" s="972"/>
      <c r="I272" s="972"/>
      <c r="J272" s="972"/>
      <c r="K272" s="972"/>
      <c r="L272" s="1041"/>
      <c r="M272" s="1041"/>
      <c r="N272" s="1041"/>
      <c r="O272" s="975"/>
    </row>
    <row r="273" spans="1:15">
      <c r="A273" s="972"/>
      <c r="B273" s="972"/>
      <c r="C273" s="972"/>
      <c r="D273" s="972"/>
      <c r="E273" s="972"/>
      <c r="F273" s="972"/>
      <c r="G273" s="972"/>
      <c r="H273" s="972"/>
      <c r="I273" s="972"/>
      <c r="J273" s="972"/>
      <c r="K273" s="972"/>
      <c r="L273" s="1041"/>
      <c r="M273" s="1041"/>
      <c r="N273" s="1041"/>
      <c r="O273" s="975"/>
    </row>
    <row r="274" spans="1:15">
      <c r="A274" s="972"/>
      <c r="B274" s="972"/>
      <c r="C274" s="972"/>
      <c r="D274" s="972"/>
      <c r="E274" s="972"/>
      <c r="F274" s="972"/>
      <c r="G274" s="972"/>
      <c r="H274" s="972"/>
      <c r="I274" s="972"/>
      <c r="J274" s="972"/>
      <c r="K274" s="972"/>
      <c r="L274" s="1041"/>
      <c r="M274" s="1041"/>
      <c r="N274" s="1041"/>
      <c r="O274" s="975"/>
    </row>
    <row r="275" spans="1:15">
      <c r="A275" s="972"/>
      <c r="B275" s="972"/>
      <c r="C275" s="972"/>
      <c r="D275" s="972"/>
      <c r="E275" s="972"/>
      <c r="F275" s="972"/>
      <c r="G275" s="972"/>
      <c r="H275" s="972"/>
      <c r="I275" s="972"/>
      <c r="J275" s="972"/>
      <c r="K275" s="972"/>
      <c r="L275" s="1041"/>
      <c r="M275" s="1041"/>
      <c r="N275" s="1041"/>
      <c r="O275" s="975"/>
    </row>
    <row r="276" spans="1:15">
      <c r="A276" s="972"/>
      <c r="B276" s="972"/>
      <c r="C276" s="972"/>
      <c r="D276" s="972"/>
      <c r="E276" s="972"/>
      <c r="F276" s="972"/>
      <c r="G276" s="972"/>
      <c r="H276" s="972"/>
      <c r="I276" s="972"/>
      <c r="J276" s="972"/>
      <c r="K276" s="972"/>
      <c r="L276" s="1041"/>
      <c r="M276" s="1041"/>
      <c r="N276" s="1041"/>
      <c r="O276" s="975"/>
    </row>
    <row r="277" spans="1:15">
      <c r="A277" s="972"/>
      <c r="B277" s="972"/>
      <c r="C277" s="972"/>
      <c r="D277" s="972"/>
      <c r="E277" s="972"/>
      <c r="F277" s="972"/>
      <c r="G277" s="972"/>
      <c r="H277" s="972"/>
      <c r="I277" s="972"/>
      <c r="J277" s="972"/>
      <c r="K277" s="972"/>
      <c r="L277" s="1041"/>
      <c r="M277" s="1041"/>
      <c r="N277" s="1041"/>
      <c r="O277" s="975"/>
    </row>
    <row r="278" spans="1:15">
      <c r="A278" s="972"/>
      <c r="B278" s="972"/>
      <c r="C278" s="972"/>
      <c r="D278" s="972"/>
      <c r="E278" s="972"/>
      <c r="F278" s="972"/>
      <c r="G278" s="972"/>
      <c r="H278" s="972"/>
      <c r="I278" s="972"/>
      <c r="J278" s="972"/>
      <c r="K278" s="972"/>
      <c r="L278" s="1041"/>
      <c r="M278" s="1041"/>
      <c r="N278" s="1041"/>
      <c r="O278" s="975"/>
    </row>
    <row r="279" spans="1:15">
      <c r="A279" s="972"/>
      <c r="B279" s="972"/>
      <c r="C279" s="972"/>
      <c r="D279" s="972"/>
      <c r="E279" s="972"/>
      <c r="F279" s="972"/>
      <c r="G279" s="972"/>
      <c r="H279" s="972"/>
      <c r="I279" s="972"/>
      <c r="J279" s="972"/>
      <c r="K279" s="972"/>
      <c r="L279" s="1041"/>
      <c r="M279" s="1041"/>
      <c r="N279" s="1041"/>
      <c r="O279" s="975"/>
    </row>
    <row r="280" spans="1:15">
      <c r="A280" s="972"/>
      <c r="B280" s="972"/>
      <c r="C280" s="972"/>
      <c r="D280" s="972"/>
      <c r="E280" s="972"/>
      <c r="F280" s="972"/>
      <c r="G280" s="972"/>
      <c r="H280" s="972"/>
      <c r="I280" s="972"/>
      <c r="J280" s="972"/>
      <c r="K280" s="972"/>
      <c r="L280" s="1041"/>
      <c r="M280" s="1041"/>
      <c r="N280" s="1041"/>
      <c r="O280" s="975"/>
    </row>
    <row r="281" spans="1:15">
      <c r="A281" s="972"/>
      <c r="B281" s="972"/>
      <c r="C281" s="972"/>
      <c r="D281" s="972"/>
      <c r="E281" s="972"/>
      <c r="F281" s="972"/>
      <c r="G281" s="972"/>
      <c r="H281" s="972"/>
      <c r="I281" s="972"/>
      <c r="J281" s="972"/>
      <c r="K281" s="972"/>
      <c r="L281" s="1041"/>
      <c r="M281" s="1041"/>
      <c r="N281" s="1041"/>
      <c r="O281" s="975"/>
    </row>
    <row r="282" spans="1:15">
      <c r="A282" s="972"/>
      <c r="B282" s="972"/>
      <c r="C282" s="972"/>
      <c r="D282" s="972"/>
      <c r="E282" s="972"/>
      <c r="F282" s="972"/>
      <c r="G282" s="972"/>
      <c r="H282" s="972"/>
      <c r="I282" s="972"/>
      <c r="J282" s="972"/>
      <c r="K282" s="972"/>
      <c r="L282" s="1041"/>
      <c r="M282" s="1041"/>
      <c r="N282" s="1041"/>
      <c r="O282" s="975"/>
    </row>
    <row r="283" spans="1:15">
      <c r="A283" s="972"/>
      <c r="B283" s="972"/>
      <c r="C283" s="972"/>
      <c r="D283" s="972"/>
      <c r="E283" s="972"/>
      <c r="F283" s="972"/>
      <c r="G283" s="972"/>
      <c r="H283" s="972"/>
      <c r="I283" s="972"/>
      <c r="J283" s="972"/>
      <c r="K283" s="972"/>
      <c r="L283" s="1041"/>
      <c r="M283" s="1041"/>
      <c r="N283" s="1041"/>
      <c r="O283" s="975"/>
    </row>
    <row r="284" spans="1:15">
      <c r="A284" s="972"/>
      <c r="B284" s="972"/>
      <c r="C284" s="972"/>
      <c r="D284" s="972"/>
      <c r="E284" s="972"/>
      <c r="F284" s="972"/>
      <c r="G284" s="972"/>
      <c r="H284" s="972"/>
      <c r="I284" s="972"/>
      <c r="J284" s="972"/>
      <c r="K284" s="972"/>
      <c r="L284" s="1041"/>
      <c r="M284" s="1041"/>
      <c r="N284" s="1041"/>
      <c r="O284" s="975"/>
    </row>
    <row r="285" spans="1:15">
      <c r="A285" s="972"/>
      <c r="B285" s="972"/>
      <c r="C285" s="972"/>
      <c r="D285" s="972"/>
      <c r="E285" s="972"/>
      <c r="F285" s="972"/>
      <c r="G285" s="972"/>
      <c r="H285" s="972"/>
      <c r="I285" s="972"/>
      <c r="J285" s="972"/>
      <c r="K285" s="972"/>
      <c r="L285" s="1041"/>
      <c r="M285" s="1041"/>
      <c r="N285" s="1041"/>
      <c r="O285" s="975"/>
    </row>
    <row r="286" spans="1:15">
      <c r="A286" s="972"/>
      <c r="B286" s="972"/>
      <c r="C286" s="972"/>
      <c r="D286" s="972"/>
      <c r="E286" s="972"/>
      <c r="F286" s="972"/>
      <c r="G286" s="972"/>
      <c r="H286" s="972"/>
      <c r="I286" s="972"/>
      <c r="J286" s="972"/>
      <c r="K286" s="972"/>
      <c r="L286" s="1041"/>
      <c r="M286" s="1041"/>
      <c r="N286" s="1041"/>
      <c r="O286" s="975"/>
    </row>
    <row r="287" spans="1:15">
      <c r="A287" s="972"/>
      <c r="B287" s="972"/>
      <c r="C287" s="972"/>
      <c r="D287" s="972"/>
      <c r="E287" s="972"/>
      <c r="F287" s="972"/>
      <c r="G287" s="972"/>
      <c r="H287" s="972"/>
      <c r="I287" s="972"/>
      <c r="J287" s="972"/>
      <c r="K287" s="972"/>
      <c r="L287" s="1041"/>
      <c r="M287" s="1041"/>
      <c r="N287" s="1041"/>
      <c r="O287" s="975"/>
    </row>
    <row r="288" spans="1:15">
      <c r="A288" s="972"/>
      <c r="B288" s="972"/>
      <c r="C288" s="972"/>
      <c r="D288" s="972"/>
      <c r="E288" s="972"/>
      <c r="F288" s="972"/>
      <c r="G288" s="972"/>
      <c r="H288" s="972"/>
      <c r="I288" s="972"/>
      <c r="J288" s="972"/>
      <c r="K288" s="972"/>
      <c r="L288" s="1041"/>
      <c r="M288" s="1041"/>
      <c r="N288" s="1041"/>
      <c r="O288" s="975"/>
    </row>
    <row r="289" spans="1:15">
      <c r="A289" s="972"/>
      <c r="B289" s="972"/>
      <c r="C289" s="972"/>
      <c r="D289" s="972"/>
      <c r="E289" s="972"/>
      <c r="F289" s="972"/>
      <c r="G289" s="972"/>
      <c r="H289" s="972"/>
      <c r="I289" s="972"/>
      <c r="J289" s="972"/>
      <c r="K289" s="972"/>
      <c r="L289" s="1041"/>
      <c r="M289" s="1041"/>
      <c r="N289" s="1041"/>
      <c r="O289" s="975"/>
    </row>
    <row r="290" spans="1:15">
      <c r="A290" s="972"/>
      <c r="B290" s="972"/>
      <c r="C290" s="972"/>
      <c r="D290" s="972"/>
      <c r="E290" s="972"/>
      <c r="F290" s="972"/>
      <c r="G290" s="972"/>
      <c r="H290" s="972"/>
      <c r="I290" s="972"/>
      <c r="J290" s="972"/>
      <c r="K290" s="972"/>
      <c r="L290" s="1041"/>
      <c r="M290" s="1041"/>
      <c r="N290" s="1041"/>
      <c r="O290" s="975"/>
    </row>
    <row r="291" spans="1:15">
      <c r="A291" s="972"/>
      <c r="B291" s="972"/>
      <c r="C291" s="972"/>
      <c r="D291" s="972"/>
      <c r="E291" s="972"/>
      <c r="F291" s="972"/>
      <c r="G291" s="972"/>
      <c r="H291" s="972"/>
      <c r="I291" s="972"/>
      <c r="J291" s="972"/>
      <c r="K291" s="972"/>
      <c r="L291" s="1041"/>
      <c r="M291" s="1041"/>
      <c r="N291" s="1041"/>
      <c r="O291" s="975"/>
    </row>
    <row r="292" spans="1:15">
      <c r="A292" s="972"/>
      <c r="B292" s="972"/>
      <c r="C292" s="972"/>
      <c r="D292" s="972"/>
      <c r="E292" s="972"/>
      <c r="F292" s="972"/>
      <c r="G292" s="972"/>
      <c r="H292" s="972"/>
      <c r="I292" s="972"/>
      <c r="J292" s="972"/>
      <c r="K292" s="972"/>
      <c r="L292" s="1041"/>
      <c r="M292" s="1041"/>
      <c r="N292" s="1041"/>
      <c r="O292" s="975"/>
    </row>
    <row r="293" spans="1:15">
      <c r="A293" s="972"/>
      <c r="B293" s="972"/>
      <c r="C293" s="972"/>
      <c r="D293" s="972"/>
      <c r="E293" s="972"/>
      <c r="F293" s="972"/>
      <c r="G293" s="972"/>
      <c r="H293" s="972"/>
      <c r="I293" s="972"/>
      <c r="J293" s="972"/>
      <c r="K293" s="972"/>
      <c r="L293" s="1041"/>
      <c r="M293" s="1041"/>
      <c r="N293" s="1041"/>
      <c r="O293" s="975"/>
    </row>
    <row r="294" spans="1:15">
      <c r="A294" s="972"/>
      <c r="B294" s="972"/>
      <c r="C294" s="972"/>
      <c r="D294" s="972"/>
      <c r="E294" s="972"/>
      <c r="F294" s="972"/>
      <c r="G294" s="972"/>
      <c r="H294" s="972"/>
      <c r="I294" s="972"/>
      <c r="J294" s="972"/>
      <c r="K294" s="972"/>
      <c r="L294" s="1041"/>
      <c r="M294" s="1041"/>
      <c r="N294" s="1041"/>
      <c r="O294" s="975"/>
    </row>
    <row r="295" spans="1:15">
      <c r="A295" s="972"/>
      <c r="B295" s="972"/>
      <c r="C295" s="972"/>
      <c r="D295" s="972"/>
      <c r="E295" s="972"/>
      <c r="F295" s="972"/>
      <c r="G295" s="972"/>
      <c r="H295" s="972"/>
      <c r="I295" s="972"/>
      <c r="J295" s="972"/>
      <c r="K295" s="972"/>
      <c r="L295" s="1041"/>
      <c r="M295" s="1041"/>
      <c r="N295" s="1041"/>
      <c r="O295" s="975"/>
    </row>
    <row r="296" spans="1:15">
      <c r="A296" s="972"/>
      <c r="B296" s="972"/>
      <c r="C296" s="972"/>
      <c r="D296" s="972"/>
      <c r="E296" s="972"/>
      <c r="F296" s="972"/>
      <c r="G296" s="972"/>
      <c r="H296" s="972"/>
      <c r="I296" s="972"/>
      <c r="J296" s="972"/>
      <c r="K296" s="972"/>
      <c r="L296" s="1041"/>
      <c r="M296" s="1041"/>
      <c r="N296" s="1041"/>
      <c r="O296" s="975"/>
    </row>
    <row r="297" spans="1:15">
      <c r="A297" s="972"/>
      <c r="B297" s="972"/>
      <c r="C297" s="972"/>
      <c r="D297" s="972"/>
      <c r="E297" s="972"/>
      <c r="F297" s="972"/>
      <c r="G297" s="972"/>
      <c r="H297" s="972"/>
      <c r="I297" s="972"/>
      <c r="J297" s="972"/>
      <c r="K297" s="972"/>
      <c r="L297" s="1041"/>
      <c r="M297" s="1041"/>
      <c r="N297" s="1041"/>
      <c r="O297" s="975"/>
    </row>
    <row r="298" spans="1:15">
      <c r="A298" s="972"/>
      <c r="B298" s="972"/>
      <c r="C298" s="972"/>
      <c r="D298" s="972"/>
      <c r="E298" s="972"/>
      <c r="F298" s="972"/>
      <c r="G298" s="972"/>
      <c r="H298" s="972"/>
      <c r="I298" s="972"/>
      <c r="J298" s="972"/>
      <c r="K298" s="972"/>
      <c r="L298" s="1041"/>
      <c r="M298" s="1041"/>
      <c r="N298" s="1041"/>
      <c r="O298" s="975"/>
    </row>
    <row r="299" spans="1:15">
      <c r="A299" s="972"/>
      <c r="B299" s="972"/>
      <c r="C299" s="972"/>
      <c r="D299" s="972"/>
      <c r="E299" s="972"/>
      <c r="F299" s="972"/>
      <c r="G299" s="972"/>
      <c r="H299" s="972"/>
      <c r="I299" s="972"/>
      <c r="J299" s="972"/>
      <c r="K299" s="972"/>
      <c r="L299" s="1041"/>
      <c r="M299" s="1041"/>
      <c r="N299" s="1041"/>
      <c r="O299" s="975"/>
    </row>
    <row r="300" spans="1:15">
      <c r="A300" s="972"/>
      <c r="B300" s="972"/>
      <c r="C300" s="972"/>
      <c r="D300" s="972"/>
      <c r="E300" s="972"/>
      <c r="F300" s="972"/>
      <c r="G300" s="972"/>
      <c r="H300" s="972"/>
      <c r="I300" s="972"/>
      <c r="J300" s="972"/>
      <c r="K300" s="972"/>
      <c r="L300" s="1041"/>
      <c r="M300" s="1041"/>
      <c r="N300" s="1041"/>
      <c r="O300" s="975"/>
    </row>
    <row r="301" spans="1:15">
      <c r="A301" s="972"/>
      <c r="B301" s="972"/>
      <c r="C301" s="972"/>
      <c r="D301" s="972"/>
      <c r="E301" s="972"/>
      <c r="F301" s="972"/>
      <c r="G301" s="972"/>
      <c r="H301" s="972"/>
      <c r="I301" s="972"/>
      <c r="J301" s="972"/>
      <c r="K301" s="972"/>
      <c r="L301" s="1041"/>
      <c r="M301" s="1041"/>
      <c r="N301" s="1041"/>
      <c r="O301" s="975"/>
    </row>
    <row r="302" spans="1:15">
      <c r="A302" s="972"/>
      <c r="B302" s="972"/>
      <c r="C302" s="972"/>
      <c r="D302" s="972"/>
      <c r="E302" s="972"/>
      <c r="F302" s="972"/>
      <c r="G302" s="972"/>
      <c r="H302" s="972"/>
      <c r="I302" s="972"/>
      <c r="J302" s="972"/>
      <c r="K302" s="972"/>
      <c r="L302" s="1041"/>
      <c r="M302" s="1041"/>
      <c r="N302" s="1041"/>
      <c r="O302" s="975"/>
    </row>
    <row r="303" spans="1:15">
      <c r="A303" s="972"/>
      <c r="B303" s="972"/>
      <c r="C303" s="972"/>
      <c r="D303" s="972"/>
      <c r="E303" s="972"/>
      <c r="F303" s="972"/>
      <c r="G303" s="972"/>
      <c r="H303" s="972"/>
      <c r="I303" s="972"/>
      <c r="J303" s="972"/>
      <c r="K303" s="972"/>
      <c r="L303" s="1041"/>
      <c r="M303" s="1041"/>
      <c r="N303" s="1041"/>
      <c r="O303" s="975"/>
    </row>
    <row r="304" spans="1:15">
      <c r="A304" s="972"/>
      <c r="B304" s="972"/>
      <c r="C304" s="972"/>
      <c r="D304" s="972"/>
      <c r="E304" s="972"/>
      <c r="F304" s="972"/>
      <c r="G304" s="972"/>
      <c r="H304" s="972"/>
      <c r="I304" s="972"/>
      <c r="J304" s="972"/>
      <c r="K304" s="972"/>
      <c r="L304" s="1041"/>
      <c r="M304" s="1041"/>
      <c r="N304" s="1041"/>
      <c r="O304" s="975"/>
    </row>
    <row r="305" spans="1:15">
      <c r="A305" s="972"/>
      <c r="B305" s="972"/>
      <c r="C305" s="972"/>
      <c r="D305" s="972"/>
      <c r="E305" s="972"/>
      <c r="F305" s="972"/>
      <c r="G305" s="972"/>
      <c r="H305" s="972"/>
      <c r="I305" s="972"/>
      <c r="J305" s="972"/>
      <c r="K305" s="972"/>
      <c r="L305" s="1041"/>
      <c r="M305" s="1041"/>
      <c r="N305" s="1041"/>
      <c r="O305" s="975"/>
    </row>
    <row r="306" spans="1:15">
      <c r="A306" s="972"/>
      <c r="B306" s="972"/>
      <c r="C306" s="972"/>
      <c r="D306" s="972"/>
      <c r="E306" s="972"/>
      <c r="F306" s="972"/>
      <c r="G306" s="972"/>
      <c r="H306" s="972"/>
      <c r="I306" s="972"/>
      <c r="J306" s="972"/>
      <c r="K306" s="972"/>
      <c r="L306" s="1041"/>
      <c r="M306" s="1041"/>
      <c r="N306" s="1041"/>
      <c r="O306" s="975"/>
    </row>
    <row r="307" spans="1:15">
      <c r="A307" s="972"/>
      <c r="B307" s="972"/>
      <c r="C307" s="972"/>
      <c r="D307" s="972"/>
      <c r="E307" s="972"/>
      <c r="F307" s="972"/>
      <c r="G307" s="972"/>
      <c r="H307" s="972"/>
      <c r="I307" s="972"/>
      <c r="J307" s="972"/>
      <c r="K307" s="972"/>
      <c r="L307" s="1041"/>
      <c r="M307" s="1041"/>
      <c r="N307" s="1041"/>
      <c r="O307" s="975"/>
    </row>
    <row r="308" spans="1:15">
      <c r="A308" s="972"/>
      <c r="B308" s="972"/>
      <c r="C308" s="972"/>
      <c r="D308" s="972"/>
      <c r="E308" s="972"/>
      <c r="F308" s="972"/>
      <c r="G308" s="972"/>
      <c r="H308" s="972"/>
      <c r="I308" s="972"/>
      <c r="J308" s="972"/>
      <c r="K308" s="972"/>
      <c r="L308" s="1041"/>
      <c r="M308" s="1041"/>
      <c r="N308" s="1041"/>
      <c r="O308" s="975"/>
    </row>
    <row r="309" spans="1:15">
      <c r="A309" s="972"/>
      <c r="B309" s="972"/>
      <c r="C309" s="972"/>
      <c r="D309" s="972"/>
      <c r="E309" s="972"/>
      <c r="F309" s="972"/>
      <c r="G309" s="972"/>
      <c r="H309" s="972"/>
      <c r="I309" s="972"/>
      <c r="J309" s="972"/>
      <c r="K309" s="972"/>
      <c r="L309" s="1041"/>
      <c r="M309" s="1041"/>
      <c r="N309" s="1041"/>
      <c r="O309" s="975"/>
    </row>
    <row r="310" spans="1:15">
      <c r="A310" s="972"/>
      <c r="B310" s="972"/>
      <c r="C310" s="972"/>
      <c r="D310" s="972"/>
      <c r="E310" s="972"/>
      <c r="F310" s="972"/>
      <c r="G310" s="972"/>
      <c r="H310" s="972"/>
      <c r="I310" s="972"/>
      <c r="J310" s="972"/>
      <c r="K310" s="972"/>
      <c r="L310" s="1041"/>
      <c r="M310" s="1041"/>
      <c r="N310" s="1041"/>
      <c r="O310" s="975"/>
    </row>
    <row r="311" spans="1:15">
      <c r="A311" s="972"/>
      <c r="B311" s="972"/>
      <c r="C311" s="972"/>
      <c r="D311" s="972"/>
      <c r="E311" s="972"/>
      <c r="F311" s="972"/>
      <c r="G311" s="972"/>
      <c r="H311" s="972"/>
      <c r="I311" s="972"/>
      <c r="J311" s="972"/>
      <c r="K311" s="972"/>
      <c r="L311" s="1041"/>
      <c r="M311" s="1041"/>
      <c r="N311" s="1041"/>
      <c r="O311" s="975"/>
    </row>
    <row r="312" spans="1:15">
      <c r="A312" s="972"/>
      <c r="B312" s="972"/>
      <c r="C312" s="972"/>
      <c r="D312" s="972"/>
      <c r="E312" s="972"/>
      <c r="F312" s="972"/>
      <c r="G312" s="972"/>
      <c r="H312" s="972"/>
      <c r="I312" s="972"/>
      <c r="J312" s="972"/>
      <c r="K312" s="972"/>
      <c r="L312" s="1041"/>
      <c r="M312" s="1041"/>
      <c r="N312" s="1041"/>
      <c r="O312" s="975"/>
    </row>
    <row r="313" spans="1:15">
      <c r="A313" s="972"/>
      <c r="B313" s="972"/>
      <c r="C313" s="972"/>
      <c r="D313" s="972"/>
      <c r="E313" s="972"/>
      <c r="F313" s="972"/>
      <c r="G313" s="972"/>
      <c r="H313" s="972"/>
      <c r="I313" s="972"/>
      <c r="J313" s="972"/>
      <c r="K313" s="972"/>
      <c r="L313" s="1041"/>
      <c r="M313" s="1041"/>
      <c r="N313" s="1041"/>
      <c r="O313" s="975"/>
    </row>
    <row r="314" spans="1:15">
      <c r="A314" s="972"/>
      <c r="B314" s="972"/>
      <c r="C314" s="972"/>
      <c r="D314" s="972"/>
      <c r="E314" s="972"/>
      <c r="F314" s="972"/>
      <c r="G314" s="972"/>
      <c r="H314" s="972"/>
      <c r="I314" s="972"/>
      <c r="J314" s="972"/>
      <c r="K314" s="972"/>
      <c r="L314" s="1041"/>
      <c r="M314" s="1041"/>
      <c r="N314" s="1041"/>
      <c r="O314" s="975"/>
    </row>
    <row r="315" spans="1:15">
      <c r="A315" s="972"/>
      <c r="B315" s="972"/>
      <c r="C315" s="972"/>
      <c r="D315" s="972"/>
      <c r="E315" s="972"/>
      <c r="F315" s="972"/>
      <c r="G315" s="972"/>
      <c r="H315" s="972"/>
      <c r="I315" s="972"/>
      <c r="J315" s="972"/>
      <c r="K315" s="972"/>
      <c r="L315" s="1041"/>
      <c r="M315" s="1041"/>
      <c r="N315" s="1041"/>
      <c r="O315" s="975"/>
    </row>
    <row r="316" spans="1:15">
      <c r="A316" s="972"/>
      <c r="B316" s="972"/>
      <c r="C316" s="972"/>
      <c r="D316" s="972"/>
      <c r="E316" s="972"/>
      <c r="F316" s="972"/>
      <c r="G316" s="972"/>
      <c r="H316" s="972"/>
      <c r="I316" s="972"/>
      <c r="J316" s="972"/>
      <c r="K316" s="972"/>
      <c r="L316" s="1041"/>
      <c r="M316" s="1041"/>
      <c r="N316" s="1041"/>
      <c r="O316" s="975"/>
    </row>
    <row r="317" spans="1:15">
      <c r="A317" s="972"/>
      <c r="B317" s="972"/>
      <c r="C317" s="972"/>
      <c r="D317" s="972"/>
      <c r="E317" s="972"/>
      <c r="F317" s="972"/>
      <c r="G317" s="972"/>
      <c r="H317" s="972"/>
      <c r="I317" s="972"/>
      <c r="J317" s="972"/>
      <c r="K317" s="972"/>
      <c r="L317" s="1041"/>
      <c r="M317" s="1041"/>
      <c r="N317" s="1041"/>
      <c r="O317" s="975"/>
    </row>
    <row r="318" spans="1:15">
      <c r="A318" s="972"/>
      <c r="B318" s="972"/>
      <c r="C318" s="972"/>
      <c r="D318" s="972"/>
      <c r="E318" s="972"/>
      <c r="F318" s="972"/>
      <c r="G318" s="972"/>
      <c r="H318" s="972"/>
      <c r="I318" s="972"/>
      <c r="J318" s="972"/>
      <c r="K318" s="972"/>
      <c r="L318" s="1041"/>
      <c r="M318" s="1041"/>
      <c r="N318" s="1041"/>
      <c r="O318" s="975"/>
    </row>
    <row r="319" spans="1:15">
      <c r="A319" s="972"/>
      <c r="B319" s="972"/>
      <c r="C319" s="972"/>
      <c r="D319" s="972"/>
      <c r="E319" s="972"/>
      <c r="F319" s="972"/>
      <c r="G319" s="972"/>
      <c r="H319" s="972"/>
      <c r="I319" s="972"/>
      <c r="J319" s="972"/>
      <c r="K319" s="972"/>
      <c r="L319" s="1041"/>
      <c r="M319" s="1041"/>
      <c r="N319" s="1041"/>
      <c r="O319" s="975"/>
    </row>
    <row r="320" spans="1:15">
      <c r="A320" s="972"/>
      <c r="B320" s="972"/>
      <c r="C320" s="972"/>
      <c r="D320" s="972"/>
      <c r="E320" s="972"/>
      <c r="F320" s="972"/>
      <c r="G320" s="972"/>
      <c r="H320" s="972"/>
      <c r="I320" s="972"/>
      <c r="J320" s="972"/>
      <c r="K320" s="972"/>
      <c r="L320" s="1041"/>
      <c r="M320" s="1041"/>
      <c r="N320" s="1041"/>
      <c r="O320" s="975"/>
    </row>
    <row r="321" spans="1:15">
      <c r="A321" s="972"/>
      <c r="B321" s="972"/>
      <c r="C321" s="972"/>
      <c r="D321" s="972"/>
      <c r="E321" s="972"/>
      <c r="F321" s="972"/>
      <c r="G321" s="972"/>
      <c r="H321" s="972"/>
      <c r="I321" s="972"/>
      <c r="J321" s="972"/>
      <c r="K321" s="972"/>
      <c r="L321" s="1041"/>
      <c r="M321" s="1041"/>
      <c r="N321" s="1041"/>
      <c r="O321" s="975"/>
    </row>
    <row r="322" spans="1:15">
      <c r="A322" s="972"/>
      <c r="B322" s="972"/>
      <c r="C322" s="972"/>
      <c r="D322" s="972"/>
      <c r="E322" s="972"/>
      <c r="F322" s="972"/>
      <c r="G322" s="972"/>
      <c r="H322" s="972"/>
      <c r="I322" s="972"/>
      <c r="J322" s="972"/>
      <c r="K322" s="972"/>
      <c r="L322" s="1041"/>
      <c r="M322" s="1041"/>
      <c r="N322" s="1041"/>
      <c r="O322" s="975"/>
    </row>
    <row r="323" spans="1:15">
      <c r="A323" s="972"/>
      <c r="B323" s="972"/>
      <c r="C323" s="972"/>
      <c r="D323" s="972"/>
      <c r="E323" s="972"/>
      <c r="F323" s="972"/>
      <c r="G323" s="972"/>
      <c r="H323" s="972"/>
      <c r="I323" s="972"/>
      <c r="J323" s="972"/>
      <c r="K323" s="972"/>
      <c r="L323" s="1041"/>
      <c r="M323" s="1041"/>
      <c r="N323" s="1041"/>
      <c r="O323" s="975"/>
    </row>
    <row r="324" spans="1:15">
      <c r="A324" s="972"/>
      <c r="B324" s="972"/>
      <c r="C324" s="972"/>
      <c r="D324" s="972"/>
      <c r="E324" s="972"/>
      <c r="F324" s="972"/>
      <c r="G324" s="972"/>
      <c r="H324" s="972"/>
      <c r="I324" s="972"/>
      <c r="J324" s="972"/>
      <c r="K324" s="972"/>
      <c r="L324" s="1041"/>
      <c r="M324" s="1041"/>
      <c r="N324" s="1041"/>
      <c r="O324" s="975"/>
    </row>
    <row r="325" spans="1:15">
      <c r="A325" s="972"/>
      <c r="B325" s="972"/>
      <c r="C325" s="972"/>
      <c r="D325" s="972"/>
      <c r="E325" s="972"/>
      <c r="F325" s="972"/>
      <c r="G325" s="972"/>
      <c r="H325" s="972"/>
      <c r="I325" s="972"/>
      <c r="J325" s="972"/>
      <c r="K325" s="972"/>
      <c r="L325" s="1041"/>
      <c r="M325" s="1041"/>
      <c r="N325" s="1041"/>
      <c r="O325" s="975"/>
    </row>
    <row r="326" spans="1:15">
      <c r="A326" s="972"/>
      <c r="B326" s="972"/>
      <c r="C326" s="972"/>
      <c r="D326" s="972"/>
      <c r="E326" s="972"/>
      <c r="F326" s="972"/>
      <c r="G326" s="972"/>
      <c r="H326" s="972"/>
      <c r="I326" s="972"/>
      <c r="J326" s="972"/>
      <c r="K326" s="972"/>
      <c r="L326" s="1041"/>
      <c r="M326" s="1041"/>
      <c r="N326" s="1041"/>
      <c r="O326" s="975"/>
    </row>
    <row r="327" spans="1:15">
      <c r="A327" s="972"/>
      <c r="B327" s="972"/>
      <c r="C327" s="972"/>
      <c r="D327" s="972"/>
      <c r="E327" s="972"/>
      <c r="F327" s="972"/>
      <c r="G327" s="972"/>
      <c r="H327" s="972"/>
      <c r="I327" s="972"/>
      <c r="J327" s="972"/>
      <c r="K327" s="972"/>
      <c r="L327" s="1041"/>
      <c r="M327" s="1041"/>
      <c r="N327" s="1041"/>
      <c r="O327" s="975"/>
    </row>
    <row r="328" spans="1:15">
      <c r="A328" s="972"/>
      <c r="B328" s="972"/>
      <c r="C328" s="972"/>
      <c r="D328" s="972"/>
      <c r="E328" s="972"/>
      <c r="F328" s="972"/>
      <c r="G328" s="972"/>
      <c r="H328" s="972"/>
      <c r="I328" s="972"/>
      <c r="J328" s="972"/>
      <c r="K328" s="972"/>
      <c r="L328" s="1041"/>
      <c r="M328" s="1041"/>
      <c r="N328" s="1041"/>
      <c r="O328" s="975"/>
    </row>
    <row r="329" spans="1:15">
      <c r="A329" s="972"/>
      <c r="B329" s="972"/>
      <c r="C329" s="972"/>
      <c r="D329" s="972"/>
      <c r="E329" s="972"/>
      <c r="F329" s="972"/>
      <c r="G329" s="972"/>
      <c r="H329" s="972"/>
      <c r="I329" s="972"/>
      <c r="J329" s="972"/>
      <c r="K329" s="972"/>
      <c r="L329" s="1041"/>
      <c r="M329" s="1041"/>
      <c r="N329" s="1041"/>
      <c r="O329" s="975"/>
    </row>
    <row r="330" spans="1:15">
      <c r="A330" s="972"/>
      <c r="B330" s="972"/>
      <c r="C330" s="972"/>
      <c r="D330" s="972"/>
      <c r="E330" s="972"/>
      <c r="F330" s="972"/>
      <c r="G330" s="972"/>
      <c r="H330" s="972"/>
      <c r="I330" s="972"/>
      <c r="J330" s="972"/>
      <c r="K330" s="972"/>
      <c r="L330" s="1041"/>
      <c r="M330" s="1041"/>
      <c r="N330" s="1041"/>
      <c r="O330" s="975"/>
    </row>
    <row r="331" spans="1:15">
      <c r="A331" s="972"/>
      <c r="B331" s="972"/>
      <c r="C331" s="972"/>
      <c r="D331" s="972"/>
      <c r="E331" s="972"/>
      <c r="F331" s="972"/>
      <c r="G331" s="972"/>
      <c r="H331" s="972"/>
      <c r="I331" s="972"/>
      <c r="J331" s="972"/>
      <c r="K331" s="972"/>
      <c r="L331" s="1041"/>
      <c r="M331" s="1041"/>
      <c r="N331" s="1041"/>
      <c r="O331" s="975"/>
    </row>
    <row r="332" spans="1:15">
      <c r="A332" s="972"/>
      <c r="B332" s="972"/>
      <c r="C332" s="972"/>
      <c r="D332" s="972"/>
      <c r="E332" s="972"/>
      <c r="F332" s="972"/>
      <c r="G332" s="972"/>
      <c r="H332" s="972"/>
      <c r="I332" s="972"/>
      <c r="J332" s="972"/>
      <c r="K332" s="972"/>
      <c r="L332" s="1041"/>
      <c r="M332" s="1041"/>
      <c r="N332" s="1041"/>
      <c r="O332" s="975"/>
    </row>
    <row r="333" spans="1:15">
      <c r="A333" s="972"/>
      <c r="B333" s="972"/>
      <c r="C333" s="972"/>
      <c r="D333" s="972"/>
      <c r="E333" s="972"/>
      <c r="F333" s="972"/>
      <c r="G333" s="972"/>
      <c r="H333" s="972"/>
      <c r="I333" s="972"/>
      <c r="J333" s="972"/>
      <c r="K333" s="972"/>
      <c r="L333" s="1041"/>
      <c r="M333" s="1041"/>
      <c r="N333" s="1041"/>
      <c r="O333" s="975"/>
    </row>
    <row r="334" spans="1:15">
      <c r="A334" s="972"/>
      <c r="B334" s="972"/>
      <c r="C334" s="972"/>
      <c r="D334" s="972"/>
      <c r="E334" s="972"/>
      <c r="F334" s="972"/>
      <c r="G334" s="972"/>
      <c r="H334" s="972"/>
      <c r="I334" s="972"/>
      <c r="J334" s="972"/>
      <c r="K334" s="972"/>
      <c r="L334" s="1041"/>
      <c r="M334" s="1041"/>
      <c r="N334" s="1041"/>
      <c r="O334" s="975"/>
    </row>
    <row r="335" spans="1:15">
      <c r="A335" s="972"/>
      <c r="B335" s="972"/>
      <c r="C335" s="972"/>
      <c r="D335" s="972"/>
      <c r="E335" s="972"/>
      <c r="F335" s="972"/>
      <c r="G335" s="972"/>
      <c r="H335" s="972"/>
      <c r="I335" s="972"/>
      <c r="J335" s="972"/>
      <c r="K335" s="972"/>
      <c r="L335" s="1041"/>
      <c r="M335" s="1041"/>
      <c r="N335" s="1041"/>
      <c r="O335" s="975"/>
    </row>
    <row r="336" spans="1:15">
      <c r="A336" s="972"/>
      <c r="B336" s="972"/>
      <c r="C336" s="972"/>
      <c r="D336" s="972"/>
      <c r="E336" s="972"/>
      <c r="F336" s="972"/>
      <c r="G336" s="972"/>
      <c r="H336" s="972"/>
      <c r="I336" s="972"/>
      <c r="J336" s="972"/>
      <c r="K336" s="972"/>
      <c r="L336" s="1041"/>
      <c r="M336" s="1041"/>
      <c r="N336" s="1041"/>
      <c r="O336" s="975"/>
    </row>
    <row r="337" spans="1:15">
      <c r="A337" s="972"/>
      <c r="B337" s="972"/>
      <c r="C337" s="972"/>
      <c r="D337" s="972"/>
      <c r="E337" s="972"/>
      <c r="F337" s="972"/>
      <c r="G337" s="972"/>
      <c r="H337" s="972"/>
      <c r="I337" s="972"/>
      <c r="J337" s="972"/>
      <c r="K337" s="972"/>
      <c r="L337" s="1041"/>
      <c r="M337" s="1041"/>
      <c r="N337" s="1041"/>
      <c r="O337" s="975"/>
    </row>
    <row r="338" spans="1:15">
      <c r="A338" s="972"/>
      <c r="B338" s="972"/>
      <c r="C338" s="972"/>
      <c r="D338" s="972"/>
      <c r="E338" s="972"/>
      <c r="F338" s="972"/>
      <c r="G338" s="972"/>
      <c r="H338" s="972"/>
      <c r="I338" s="972"/>
      <c r="J338" s="972"/>
      <c r="K338" s="972"/>
      <c r="L338" s="1041"/>
      <c r="M338" s="1041"/>
      <c r="N338" s="1041"/>
      <c r="O338" s="975"/>
    </row>
    <row r="339" spans="1:15">
      <c r="A339" s="972"/>
      <c r="B339" s="972"/>
      <c r="C339" s="972"/>
      <c r="D339" s="972"/>
      <c r="E339" s="972"/>
      <c r="F339" s="972"/>
      <c r="G339" s="972"/>
      <c r="H339" s="972"/>
      <c r="I339" s="972"/>
      <c r="J339" s="972"/>
      <c r="K339" s="972"/>
      <c r="L339" s="1041"/>
      <c r="M339" s="1041"/>
      <c r="N339" s="1041"/>
      <c r="O339" s="975"/>
    </row>
    <row r="340" spans="1:15">
      <c r="A340" s="972"/>
      <c r="B340" s="972"/>
      <c r="C340" s="972"/>
      <c r="D340" s="972"/>
      <c r="E340" s="972"/>
      <c r="F340" s="972"/>
      <c r="G340" s="972"/>
      <c r="H340" s="972"/>
      <c r="I340" s="972"/>
      <c r="J340" s="972"/>
      <c r="K340" s="972"/>
      <c r="L340" s="1041"/>
      <c r="M340" s="1041"/>
      <c r="N340" s="1041"/>
      <c r="O340" s="975"/>
    </row>
    <row r="341" spans="1:15">
      <c r="A341" s="972"/>
      <c r="B341" s="972"/>
      <c r="C341" s="972"/>
      <c r="D341" s="972"/>
      <c r="E341" s="972"/>
      <c r="F341" s="972"/>
      <c r="G341" s="972"/>
      <c r="H341" s="972"/>
      <c r="I341" s="972"/>
      <c r="J341" s="972"/>
      <c r="K341" s="972"/>
      <c r="L341" s="1041"/>
      <c r="M341" s="1041"/>
      <c r="N341" s="1041"/>
      <c r="O341" s="975"/>
    </row>
    <row r="342" spans="1:15">
      <c r="A342" s="972"/>
      <c r="B342" s="972"/>
      <c r="C342" s="972"/>
      <c r="D342" s="972"/>
      <c r="E342" s="972"/>
      <c r="F342" s="972"/>
      <c r="G342" s="972"/>
      <c r="H342" s="972"/>
      <c r="I342" s="972"/>
      <c r="J342" s="972"/>
      <c r="K342" s="972"/>
      <c r="L342" s="1041"/>
      <c r="M342" s="1041"/>
      <c r="N342" s="1041"/>
      <c r="O342" s="975"/>
    </row>
    <row r="343" spans="1:15">
      <c r="A343" s="972"/>
      <c r="B343" s="972"/>
      <c r="C343" s="972"/>
      <c r="D343" s="972"/>
      <c r="E343" s="972"/>
      <c r="F343" s="972"/>
      <c r="G343" s="972"/>
      <c r="H343" s="972"/>
      <c r="I343" s="972"/>
      <c r="J343" s="972"/>
      <c r="K343" s="972"/>
      <c r="L343" s="1041"/>
      <c r="M343" s="1041"/>
      <c r="N343" s="1041"/>
      <c r="O343" s="975"/>
    </row>
    <row r="344" spans="1:15">
      <c r="A344" s="972"/>
      <c r="B344" s="972"/>
      <c r="C344" s="972"/>
      <c r="D344" s="972"/>
      <c r="E344" s="972"/>
      <c r="F344" s="972"/>
      <c r="G344" s="972"/>
      <c r="H344" s="972"/>
      <c r="I344" s="972"/>
      <c r="J344" s="972"/>
      <c r="K344" s="972"/>
      <c r="L344" s="1041"/>
      <c r="M344" s="1041"/>
      <c r="N344" s="1041"/>
      <c r="O344" s="975"/>
    </row>
    <row r="345" spans="1:15">
      <c r="A345" s="972"/>
      <c r="B345" s="972"/>
      <c r="C345" s="972"/>
      <c r="D345" s="972"/>
      <c r="E345" s="972"/>
      <c r="F345" s="972"/>
      <c r="G345" s="972"/>
      <c r="H345" s="972"/>
      <c r="I345" s="972"/>
      <c r="J345" s="972"/>
      <c r="K345" s="972"/>
      <c r="L345" s="1041"/>
      <c r="M345" s="1041"/>
      <c r="N345" s="1041"/>
      <c r="O345" s="975"/>
    </row>
    <row r="346" spans="1:15">
      <c r="A346" s="972"/>
      <c r="B346" s="972"/>
      <c r="C346" s="972"/>
      <c r="D346" s="972"/>
      <c r="E346" s="972"/>
      <c r="F346" s="972"/>
      <c r="G346" s="972"/>
      <c r="H346" s="972"/>
      <c r="I346" s="972"/>
      <c r="J346" s="972"/>
      <c r="K346" s="972"/>
      <c r="L346" s="1041"/>
      <c r="M346" s="1041"/>
      <c r="N346" s="1041"/>
      <c r="O346" s="975"/>
    </row>
    <row r="347" spans="1:15">
      <c r="A347" s="972"/>
      <c r="B347" s="972"/>
      <c r="C347" s="972"/>
      <c r="D347" s="972"/>
      <c r="E347" s="972"/>
      <c r="F347" s="972"/>
      <c r="G347" s="972"/>
      <c r="H347" s="972"/>
      <c r="I347" s="972"/>
      <c r="J347" s="972"/>
      <c r="K347" s="972"/>
      <c r="L347" s="1041"/>
      <c r="M347" s="1041"/>
      <c r="N347" s="1041"/>
      <c r="O347" s="975"/>
    </row>
    <row r="348" spans="1:15">
      <c r="A348" s="972"/>
      <c r="B348" s="972"/>
      <c r="C348" s="972"/>
      <c r="D348" s="972"/>
      <c r="E348" s="972"/>
      <c r="F348" s="972"/>
      <c r="G348" s="972"/>
      <c r="H348" s="972"/>
      <c r="I348" s="972"/>
      <c r="J348" s="972"/>
      <c r="K348" s="972"/>
      <c r="L348" s="1041"/>
      <c r="M348" s="1041"/>
      <c r="N348" s="1041"/>
      <c r="O348" s="975"/>
    </row>
    <row r="349" spans="1:15">
      <c r="A349" s="972"/>
      <c r="B349" s="972"/>
      <c r="C349" s="972"/>
      <c r="D349" s="972"/>
      <c r="E349" s="972"/>
      <c r="F349" s="972"/>
      <c r="G349" s="972"/>
      <c r="H349" s="972"/>
      <c r="I349" s="972"/>
      <c r="J349" s="972"/>
      <c r="K349" s="972"/>
      <c r="L349" s="1041"/>
      <c r="M349" s="1041"/>
      <c r="N349" s="1041"/>
      <c r="O349" s="975"/>
    </row>
    <row r="350" spans="1:15">
      <c r="A350" s="972"/>
      <c r="B350" s="972"/>
      <c r="C350" s="972"/>
      <c r="D350" s="972"/>
      <c r="E350" s="972"/>
      <c r="F350" s="972"/>
      <c r="G350" s="972"/>
      <c r="H350" s="972"/>
      <c r="I350" s="972"/>
      <c r="J350" s="972"/>
      <c r="K350" s="972"/>
      <c r="L350" s="1041"/>
      <c r="M350" s="1041"/>
      <c r="N350" s="1041"/>
      <c r="O350" s="975"/>
    </row>
    <row r="351" spans="1:15">
      <c r="A351" s="972"/>
      <c r="B351" s="972"/>
      <c r="C351" s="972"/>
      <c r="D351" s="972"/>
      <c r="E351" s="972"/>
      <c r="F351" s="972"/>
      <c r="G351" s="972"/>
      <c r="H351" s="972"/>
      <c r="I351" s="972"/>
      <c r="J351" s="972"/>
      <c r="K351" s="972"/>
      <c r="L351" s="1041"/>
      <c r="M351" s="1041"/>
      <c r="N351" s="1041"/>
      <c r="O351" s="975"/>
    </row>
    <row r="352" spans="1:15">
      <c r="A352" s="972"/>
      <c r="B352" s="972"/>
      <c r="C352" s="972"/>
      <c r="D352" s="972"/>
      <c r="E352" s="972"/>
      <c r="F352" s="972"/>
      <c r="G352" s="972"/>
      <c r="H352" s="972"/>
      <c r="I352" s="972"/>
      <c r="J352" s="972"/>
      <c r="K352" s="972"/>
      <c r="L352" s="1041"/>
      <c r="M352" s="1041"/>
      <c r="N352" s="1041"/>
      <c r="O352" s="975"/>
    </row>
    <row r="353" spans="1:15">
      <c r="A353" s="972"/>
      <c r="B353" s="972"/>
      <c r="C353" s="972"/>
      <c r="D353" s="972"/>
      <c r="E353" s="972"/>
      <c r="F353" s="972"/>
      <c r="G353" s="972"/>
      <c r="H353" s="972"/>
      <c r="I353" s="972"/>
      <c r="J353" s="972"/>
      <c r="K353" s="972"/>
      <c r="L353" s="1041"/>
      <c r="M353" s="1041"/>
      <c r="N353" s="1041"/>
      <c r="O353" s="975"/>
    </row>
    <row r="354" spans="1:15">
      <c r="A354" s="972"/>
      <c r="B354" s="972"/>
      <c r="C354" s="972"/>
      <c r="D354" s="972"/>
      <c r="E354" s="972"/>
      <c r="F354" s="972"/>
      <c r="G354" s="972"/>
      <c r="H354" s="972"/>
      <c r="I354" s="972"/>
      <c r="J354" s="972"/>
      <c r="K354" s="972"/>
      <c r="L354" s="1041"/>
      <c r="M354" s="1041"/>
      <c r="N354" s="1041"/>
      <c r="O354" s="975"/>
    </row>
    <row r="355" spans="1:15">
      <c r="A355" s="972"/>
      <c r="B355" s="972"/>
      <c r="C355" s="972"/>
      <c r="D355" s="972"/>
      <c r="E355" s="972"/>
      <c r="F355" s="972"/>
      <c r="G355" s="972"/>
      <c r="H355" s="972"/>
      <c r="I355" s="972"/>
      <c r="J355" s="972"/>
      <c r="K355" s="972"/>
      <c r="L355" s="1041"/>
      <c r="M355" s="1041"/>
      <c r="N355" s="1041"/>
      <c r="O355" s="975"/>
    </row>
    <row r="356" spans="1:15">
      <c r="A356" s="972"/>
      <c r="B356" s="972"/>
      <c r="C356" s="972"/>
      <c r="D356" s="972"/>
      <c r="E356" s="972"/>
      <c r="F356" s="972"/>
      <c r="G356" s="972"/>
      <c r="H356" s="972"/>
      <c r="I356" s="972"/>
      <c r="J356" s="972"/>
      <c r="K356" s="972"/>
      <c r="L356" s="1041"/>
      <c r="M356" s="1041"/>
      <c r="N356" s="1041"/>
      <c r="O356" s="975"/>
    </row>
    <row r="357" spans="1:15">
      <c r="A357" s="972"/>
      <c r="B357" s="972"/>
      <c r="C357" s="972"/>
      <c r="D357" s="972"/>
      <c r="E357" s="972"/>
      <c r="F357" s="972"/>
      <c r="G357" s="972"/>
      <c r="H357" s="972"/>
      <c r="I357" s="972"/>
      <c r="J357" s="972"/>
      <c r="K357" s="972"/>
      <c r="L357" s="1041"/>
      <c r="M357" s="1041"/>
      <c r="N357" s="1041"/>
      <c r="O357" s="975"/>
    </row>
    <row r="358" spans="1:15">
      <c r="A358" s="972"/>
      <c r="B358" s="972"/>
      <c r="C358" s="972"/>
      <c r="D358" s="972"/>
      <c r="E358" s="972"/>
      <c r="F358" s="972"/>
      <c r="G358" s="972"/>
      <c r="H358" s="972"/>
      <c r="I358" s="972"/>
      <c r="J358" s="972"/>
      <c r="K358" s="972"/>
      <c r="L358" s="1041"/>
      <c r="M358" s="1041"/>
      <c r="N358" s="1041"/>
      <c r="O358" s="975"/>
    </row>
    <row r="359" spans="1:15">
      <c r="A359" s="972"/>
      <c r="B359" s="972"/>
      <c r="C359" s="972"/>
      <c r="D359" s="972"/>
      <c r="E359" s="972"/>
      <c r="F359" s="972"/>
      <c r="G359" s="972"/>
      <c r="H359" s="972"/>
      <c r="I359" s="972"/>
      <c r="J359" s="972"/>
      <c r="K359" s="972"/>
      <c r="L359" s="1041"/>
      <c r="M359" s="1041"/>
      <c r="N359" s="1041"/>
      <c r="O359" s="975"/>
    </row>
    <row r="360" spans="1:15">
      <c r="A360" s="972"/>
      <c r="B360" s="972"/>
      <c r="C360" s="972"/>
      <c r="D360" s="972"/>
      <c r="E360" s="972"/>
      <c r="F360" s="972"/>
      <c r="G360" s="972"/>
      <c r="H360" s="972"/>
      <c r="I360" s="972"/>
      <c r="J360" s="972"/>
      <c r="K360" s="972"/>
      <c r="L360" s="1041"/>
      <c r="M360" s="1041"/>
      <c r="N360" s="1041"/>
      <c r="O360" s="975"/>
    </row>
    <row r="361" spans="1:15">
      <c r="A361" s="972"/>
      <c r="B361" s="972"/>
      <c r="C361" s="972"/>
      <c r="D361" s="972"/>
      <c r="E361" s="972"/>
      <c r="F361" s="972"/>
      <c r="G361" s="972"/>
      <c r="H361" s="972"/>
      <c r="I361" s="972"/>
      <c r="J361" s="972"/>
      <c r="K361" s="972"/>
      <c r="L361" s="1041"/>
      <c r="M361" s="1041"/>
      <c r="N361" s="1041"/>
      <c r="O361" s="975"/>
    </row>
    <row r="362" spans="1:15">
      <c r="A362" s="972"/>
      <c r="B362" s="972"/>
      <c r="C362" s="972"/>
      <c r="D362" s="972"/>
      <c r="E362" s="972"/>
      <c r="F362" s="972"/>
      <c r="G362" s="972"/>
      <c r="H362" s="972"/>
      <c r="I362" s="972"/>
      <c r="J362" s="972"/>
      <c r="K362" s="972"/>
      <c r="L362" s="1041"/>
      <c r="M362" s="1041"/>
      <c r="N362" s="1041"/>
      <c r="O362" s="975"/>
    </row>
    <row r="363" spans="1:15">
      <c r="A363" s="972"/>
      <c r="B363" s="972"/>
      <c r="C363" s="972"/>
      <c r="D363" s="972"/>
      <c r="E363" s="972"/>
      <c r="F363" s="972"/>
      <c r="G363" s="972"/>
      <c r="H363" s="972"/>
      <c r="I363" s="972"/>
      <c r="J363" s="972"/>
      <c r="K363" s="972"/>
      <c r="L363" s="1041"/>
      <c r="M363" s="1041"/>
      <c r="N363" s="1041"/>
      <c r="O363" s="975"/>
    </row>
    <row r="364" spans="1:15">
      <c r="A364" s="972"/>
      <c r="B364" s="972"/>
      <c r="C364" s="972"/>
      <c r="D364" s="972"/>
      <c r="E364" s="972"/>
      <c r="F364" s="972"/>
      <c r="G364" s="972"/>
      <c r="H364" s="972"/>
      <c r="I364" s="972"/>
      <c r="J364" s="972"/>
      <c r="K364" s="972"/>
      <c r="L364" s="1041"/>
      <c r="M364" s="1041"/>
      <c r="N364" s="1041"/>
      <c r="O364" s="975"/>
    </row>
    <row r="365" spans="1:15">
      <c r="A365" s="972"/>
      <c r="B365" s="972"/>
      <c r="C365" s="972"/>
      <c r="D365" s="972"/>
      <c r="E365" s="972"/>
      <c r="F365" s="972"/>
      <c r="G365" s="972"/>
      <c r="H365" s="972"/>
      <c r="I365" s="972"/>
      <c r="J365" s="972"/>
      <c r="K365" s="972"/>
      <c r="L365" s="1041"/>
      <c r="M365" s="1041"/>
      <c r="N365" s="1041"/>
      <c r="O365" s="975"/>
    </row>
    <row r="366" spans="1:15">
      <c r="A366" s="972"/>
      <c r="B366" s="972"/>
      <c r="C366" s="972"/>
      <c r="D366" s="972"/>
      <c r="E366" s="972"/>
      <c r="F366" s="972"/>
      <c r="G366" s="972"/>
      <c r="H366" s="972"/>
      <c r="I366" s="972"/>
      <c r="J366" s="972"/>
      <c r="K366" s="972"/>
      <c r="L366" s="1041"/>
      <c r="M366" s="1041"/>
      <c r="N366" s="1041"/>
      <c r="O366" s="975"/>
    </row>
    <row r="367" spans="1:15">
      <c r="A367" s="972"/>
      <c r="B367" s="972"/>
      <c r="C367" s="972"/>
      <c r="D367" s="972"/>
      <c r="E367" s="972"/>
      <c r="F367" s="972"/>
      <c r="G367" s="972"/>
      <c r="H367" s="972"/>
      <c r="I367" s="972"/>
      <c r="J367" s="972"/>
      <c r="K367" s="972"/>
      <c r="L367" s="1041"/>
      <c r="M367" s="1041"/>
      <c r="N367" s="1041"/>
      <c r="O367" s="975"/>
    </row>
    <row r="368" spans="1:15">
      <c r="A368" s="972"/>
      <c r="B368" s="972"/>
      <c r="C368" s="972"/>
      <c r="D368" s="972"/>
      <c r="E368" s="972"/>
      <c r="F368" s="972"/>
      <c r="G368" s="972"/>
      <c r="H368" s="972"/>
      <c r="I368" s="972"/>
      <c r="J368" s="972"/>
      <c r="K368" s="972"/>
      <c r="L368" s="1041"/>
      <c r="M368" s="1041"/>
      <c r="N368" s="1041"/>
      <c r="O368" s="975"/>
    </row>
    <row r="369" spans="1:15">
      <c r="A369" s="972"/>
      <c r="B369" s="972"/>
      <c r="C369" s="972"/>
      <c r="D369" s="972"/>
      <c r="E369" s="972"/>
      <c r="F369" s="972"/>
      <c r="G369" s="972"/>
      <c r="H369" s="972"/>
      <c r="I369" s="972"/>
      <c r="J369" s="972"/>
      <c r="K369" s="972"/>
      <c r="L369" s="1041"/>
      <c r="M369" s="1041"/>
      <c r="N369" s="1041"/>
      <c r="O369" s="975"/>
    </row>
    <row r="370" spans="1:15">
      <c r="A370" s="972"/>
      <c r="B370" s="972"/>
      <c r="C370" s="972"/>
      <c r="D370" s="972"/>
      <c r="E370" s="972"/>
      <c r="F370" s="972"/>
      <c r="G370" s="972"/>
      <c r="H370" s="972"/>
      <c r="I370" s="972"/>
      <c r="J370" s="972"/>
      <c r="K370" s="972"/>
      <c r="L370" s="1041"/>
      <c r="M370" s="1041"/>
      <c r="N370" s="1041"/>
      <c r="O370" s="975"/>
    </row>
    <row r="371" spans="1:15">
      <c r="A371" s="972"/>
      <c r="B371" s="972"/>
      <c r="C371" s="972"/>
      <c r="D371" s="972"/>
      <c r="E371" s="972"/>
      <c r="F371" s="972"/>
      <c r="G371" s="972"/>
      <c r="H371" s="972"/>
      <c r="I371" s="972"/>
      <c r="J371" s="972"/>
      <c r="K371" s="972"/>
      <c r="L371" s="1041"/>
      <c r="M371" s="1041"/>
      <c r="N371" s="1041"/>
      <c r="O371" s="975"/>
    </row>
    <row r="372" spans="1:15">
      <c r="A372" s="972"/>
      <c r="B372" s="972"/>
      <c r="C372" s="972"/>
      <c r="D372" s="972"/>
      <c r="E372" s="972"/>
      <c r="F372" s="972"/>
      <c r="G372" s="972"/>
      <c r="H372" s="972"/>
      <c r="I372" s="972"/>
      <c r="J372" s="972"/>
      <c r="K372" s="972"/>
      <c r="L372" s="1041"/>
      <c r="M372" s="1041"/>
      <c r="N372" s="1041"/>
      <c r="O372" s="975"/>
    </row>
    <row r="373" spans="1:15">
      <c r="A373" s="972"/>
      <c r="B373" s="972"/>
      <c r="C373" s="972"/>
      <c r="D373" s="972"/>
      <c r="E373" s="972"/>
      <c r="F373" s="972"/>
      <c r="G373" s="972"/>
      <c r="H373" s="972"/>
      <c r="I373" s="972"/>
      <c r="J373" s="972"/>
      <c r="K373" s="972"/>
      <c r="L373" s="1041"/>
      <c r="M373" s="1041"/>
      <c r="N373" s="1041"/>
      <c r="O373" s="975"/>
    </row>
    <row r="374" spans="1:15">
      <c r="A374" s="972"/>
      <c r="B374" s="972"/>
      <c r="C374" s="972"/>
      <c r="D374" s="972"/>
      <c r="E374" s="972"/>
      <c r="F374" s="972"/>
      <c r="G374" s="972"/>
      <c r="H374" s="972"/>
      <c r="I374" s="972"/>
      <c r="J374" s="972"/>
      <c r="K374" s="972"/>
      <c r="L374" s="1041"/>
      <c r="M374" s="1041"/>
      <c r="N374" s="1041"/>
      <c r="O374" s="975"/>
    </row>
    <row r="375" spans="1:15">
      <c r="A375" s="972"/>
      <c r="B375" s="972"/>
      <c r="C375" s="972"/>
      <c r="D375" s="972"/>
      <c r="E375" s="972"/>
      <c r="F375" s="972"/>
      <c r="G375" s="972"/>
      <c r="H375" s="972"/>
      <c r="I375" s="972"/>
      <c r="J375" s="972"/>
      <c r="K375" s="972"/>
      <c r="L375" s="1041"/>
      <c r="M375" s="1041"/>
      <c r="N375" s="1041"/>
      <c r="O375" s="975"/>
    </row>
    <row r="376" spans="1:15">
      <c r="A376" s="972"/>
      <c r="B376" s="972"/>
      <c r="C376" s="972"/>
      <c r="D376" s="972"/>
      <c r="E376" s="972"/>
      <c r="F376" s="972"/>
      <c r="G376" s="972"/>
      <c r="H376" s="972"/>
      <c r="I376" s="972"/>
      <c r="J376" s="972"/>
      <c r="K376" s="972"/>
      <c r="L376" s="1041"/>
      <c r="M376" s="1041"/>
      <c r="N376" s="1041"/>
      <c r="O376" s="975"/>
    </row>
    <row r="377" spans="1:15">
      <c r="A377" s="972"/>
      <c r="B377" s="972"/>
      <c r="C377" s="972"/>
      <c r="D377" s="972"/>
      <c r="E377" s="972"/>
      <c r="F377" s="972"/>
      <c r="G377" s="972"/>
      <c r="H377" s="972"/>
      <c r="I377" s="972"/>
      <c r="J377" s="972"/>
      <c r="K377" s="972"/>
      <c r="L377" s="1041"/>
      <c r="M377" s="1041"/>
      <c r="N377" s="1041"/>
      <c r="O377" s="975"/>
    </row>
    <row r="378" spans="1:15">
      <c r="A378" s="972"/>
      <c r="B378" s="972"/>
      <c r="C378" s="972"/>
      <c r="D378" s="972"/>
      <c r="E378" s="972"/>
      <c r="F378" s="972"/>
      <c r="G378" s="972"/>
      <c r="H378" s="972"/>
      <c r="I378" s="972"/>
      <c r="J378" s="972"/>
      <c r="K378" s="972"/>
      <c r="L378" s="1041"/>
      <c r="M378" s="1041"/>
      <c r="N378" s="1041"/>
      <c r="O378" s="975"/>
    </row>
    <row r="379" spans="1:15">
      <c r="A379" s="972"/>
      <c r="B379" s="972"/>
      <c r="C379" s="972"/>
      <c r="D379" s="972"/>
      <c r="E379" s="972"/>
      <c r="F379" s="972"/>
      <c r="G379" s="972"/>
      <c r="H379" s="972"/>
      <c r="I379" s="972"/>
      <c r="J379" s="972"/>
      <c r="K379" s="972"/>
      <c r="L379" s="1041"/>
      <c r="M379" s="1041"/>
      <c r="N379" s="1041"/>
      <c r="O379" s="975"/>
    </row>
    <row r="380" spans="1:15">
      <c r="A380" s="972"/>
      <c r="B380" s="972"/>
      <c r="C380" s="972"/>
      <c r="D380" s="972"/>
      <c r="E380" s="972"/>
      <c r="F380" s="972"/>
      <c r="G380" s="972"/>
      <c r="H380" s="972"/>
      <c r="I380" s="972"/>
      <c r="J380" s="972"/>
      <c r="K380" s="972"/>
      <c r="L380" s="1041"/>
      <c r="M380" s="1041"/>
      <c r="N380" s="1041"/>
      <c r="O380" s="975"/>
    </row>
    <row r="381" spans="1:15">
      <c r="A381" s="972"/>
      <c r="B381" s="972"/>
      <c r="C381" s="972"/>
      <c r="D381" s="972"/>
      <c r="E381" s="972"/>
      <c r="F381" s="972"/>
      <c r="G381" s="972"/>
      <c r="H381" s="972"/>
      <c r="I381" s="972"/>
      <c r="J381" s="972"/>
      <c r="K381" s="972"/>
      <c r="L381" s="1041"/>
      <c r="M381" s="1041"/>
      <c r="N381" s="1041"/>
      <c r="O381" s="975"/>
    </row>
    <row r="382" spans="1:15">
      <c r="A382" s="972"/>
      <c r="B382" s="972"/>
      <c r="C382" s="972"/>
      <c r="D382" s="972"/>
      <c r="E382" s="972"/>
      <c r="F382" s="972"/>
      <c r="G382" s="972"/>
      <c r="H382" s="972"/>
      <c r="I382" s="972"/>
      <c r="J382" s="972"/>
      <c r="K382" s="972"/>
      <c r="L382" s="1041"/>
      <c r="M382" s="1041"/>
      <c r="N382" s="1041"/>
      <c r="O382" s="975"/>
    </row>
    <row r="383" spans="1:15">
      <c r="A383" s="972"/>
      <c r="B383" s="972"/>
      <c r="C383" s="972"/>
      <c r="D383" s="972"/>
      <c r="E383" s="972"/>
      <c r="F383" s="972"/>
      <c r="G383" s="972"/>
      <c r="H383" s="972"/>
      <c r="I383" s="972"/>
      <c r="J383" s="972"/>
      <c r="K383" s="972"/>
      <c r="L383" s="1041"/>
      <c r="M383" s="1041"/>
      <c r="N383" s="1041"/>
      <c r="O383" s="975"/>
    </row>
    <row r="384" spans="1:15">
      <c r="A384" s="972"/>
      <c r="B384" s="972"/>
      <c r="C384" s="972"/>
      <c r="D384" s="972"/>
      <c r="E384" s="972"/>
      <c r="F384" s="972"/>
      <c r="G384" s="972"/>
      <c r="H384" s="972"/>
      <c r="I384" s="972"/>
      <c r="J384" s="972"/>
      <c r="K384" s="972"/>
      <c r="L384" s="1041"/>
      <c r="M384" s="1041"/>
      <c r="N384" s="1041"/>
      <c r="O384" s="975"/>
    </row>
    <row r="385" spans="1:15">
      <c r="A385" s="972"/>
      <c r="B385" s="972"/>
      <c r="C385" s="972"/>
      <c r="D385" s="972"/>
      <c r="E385" s="972"/>
      <c r="F385" s="972"/>
      <c r="G385" s="972"/>
      <c r="H385" s="972"/>
      <c r="I385" s="972"/>
      <c r="J385" s="972"/>
      <c r="K385" s="972"/>
      <c r="L385" s="1041"/>
      <c r="M385" s="1041"/>
      <c r="N385" s="1041"/>
      <c r="O385" s="975"/>
    </row>
    <row r="386" spans="1:15">
      <c r="A386" s="972"/>
      <c r="B386" s="972"/>
      <c r="C386" s="972"/>
      <c r="D386" s="972"/>
      <c r="E386" s="972"/>
      <c r="F386" s="972"/>
      <c r="G386" s="972"/>
      <c r="H386" s="972"/>
      <c r="I386" s="972"/>
      <c r="J386" s="972"/>
      <c r="K386" s="972"/>
      <c r="L386" s="1041"/>
      <c r="M386" s="1041"/>
      <c r="N386" s="1041"/>
      <c r="O386" s="975"/>
    </row>
    <row r="387" spans="1:15">
      <c r="A387" s="972"/>
      <c r="B387" s="972"/>
      <c r="C387" s="972"/>
      <c r="D387" s="972"/>
      <c r="E387" s="972"/>
      <c r="F387" s="972"/>
      <c r="G387" s="972"/>
      <c r="H387" s="972"/>
      <c r="I387" s="972"/>
      <c r="J387" s="972"/>
      <c r="K387" s="972"/>
      <c r="L387" s="1041"/>
      <c r="M387" s="1041"/>
      <c r="N387" s="1041"/>
      <c r="O387" s="975"/>
    </row>
    <row r="388" spans="1:15">
      <c r="A388" s="972"/>
      <c r="B388" s="972"/>
      <c r="C388" s="972"/>
      <c r="D388" s="972"/>
      <c r="E388" s="972"/>
      <c r="F388" s="972"/>
      <c r="G388" s="972"/>
      <c r="H388" s="972"/>
      <c r="I388" s="972"/>
      <c r="J388" s="972"/>
      <c r="K388" s="972"/>
      <c r="L388" s="1041"/>
      <c r="M388" s="1041"/>
      <c r="N388" s="1041"/>
      <c r="O388" s="975"/>
    </row>
    <row r="389" spans="1:15">
      <c r="A389" s="972"/>
      <c r="B389" s="972"/>
      <c r="C389" s="972"/>
      <c r="D389" s="972"/>
      <c r="E389" s="972"/>
      <c r="F389" s="972"/>
      <c r="G389" s="972"/>
      <c r="H389" s="972"/>
      <c r="I389" s="972"/>
      <c r="J389" s="972"/>
      <c r="K389" s="972"/>
      <c r="L389" s="1041"/>
      <c r="M389" s="1041"/>
      <c r="N389" s="1041"/>
      <c r="O389" s="975"/>
    </row>
    <row r="390" spans="1:15">
      <c r="A390" s="972"/>
      <c r="B390" s="972"/>
      <c r="C390" s="972"/>
      <c r="D390" s="972"/>
      <c r="E390" s="972"/>
      <c r="F390" s="972"/>
      <c r="G390" s="972"/>
      <c r="H390" s="972"/>
      <c r="I390" s="972"/>
      <c r="J390" s="972"/>
      <c r="K390" s="972"/>
      <c r="L390" s="1041"/>
      <c r="M390" s="1041"/>
      <c r="N390" s="1041"/>
      <c r="O390" s="975"/>
    </row>
    <row r="391" spans="1:15">
      <c r="A391" s="972"/>
      <c r="B391" s="972"/>
      <c r="C391" s="972"/>
      <c r="D391" s="972"/>
      <c r="E391" s="972"/>
      <c r="F391" s="972"/>
      <c r="G391" s="972"/>
      <c r="H391" s="972"/>
      <c r="I391" s="972"/>
      <c r="J391" s="972"/>
      <c r="K391" s="972"/>
      <c r="L391" s="1041"/>
      <c r="M391" s="1041"/>
      <c r="N391" s="1041"/>
      <c r="O391" s="975"/>
    </row>
    <row r="392" spans="1:15">
      <c r="A392" s="972"/>
      <c r="B392" s="972"/>
      <c r="C392" s="972"/>
      <c r="D392" s="972"/>
      <c r="E392" s="972"/>
      <c r="F392" s="972"/>
      <c r="G392" s="972"/>
      <c r="H392" s="972"/>
      <c r="I392" s="972"/>
      <c r="J392" s="972"/>
      <c r="K392" s="972"/>
      <c r="L392" s="1041"/>
      <c r="M392" s="1041"/>
      <c r="N392" s="1041"/>
      <c r="O392" s="975"/>
    </row>
    <row r="393" spans="1:15">
      <c r="A393" s="972"/>
      <c r="B393" s="972"/>
      <c r="C393" s="972"/>
      <c r="D393" s="972"/>
      <c r="E393" s="972"/>
      <c r="F393" s="972"/>
      <c r="G393" s="972"/>
      <c r="H393" s="972"/>
      <c r="I393" s="972"/>
      <c r="J393" s="972"/>
      <c r="K393" s="972"/>
      <c r="L393" s="1041"/>
      <c r="M393" s="1041"/>
      <c r="N393" s="1041"/>
      <c r="O393" s="975"/>
    </row>
    <row r="394" spans="1:15">
      <c r="A394" s="972"/>
      <c r="B394" s="972"/>
      <c r="C394" s="972"/>
      <c r="D394" s="972"/>
      <c r="E394" s="972"/>
      <c r="F394" s="972"/>
      <c r="G394" s="972"/>
      <c r="H394" s="972"/>
      <c r="I394" s="972"/>
      <c r="J394" s="972"/>
      <c r="K394" s="972"/>
      <c r="L394" s="1041"/>
      <c r="M394" s="1041"/>
      <c r="N394" s="1041"/>
      <c r="O394" s="975"/>
    </row>
    <row r="395" spans="1:15">
      <c r="A395" s="972"/>
      <c r="B395" s="972"/>
      <c r="C395" s="972"/>
      <c r="D395" s="972"/>
      <c r="E395" s="972"/>
      <c r="F395" s="972"/>
      <c r="G395" s="972"/>
      <c r="H395" s="972"/>
      <c r="I395" s="972"/>
      <c r="J395" s="972"/>
      <c r="K395" s="972"/>
      <c r="L395" s="1041"/>
      <c r="M395" s="1041"/>
      <c r="N395" s="1041"/>
      <c r="O395" s="975"/>
    </row>
    <row r="396" spans="1:15">
      <c r="A396" s="972"/>
      <c r="B396" s="972"/>
      <c r="C396" s="972"/>
      <c r="D396" s="972"/>
      <c r="E396" s="972"/>
      <c r="F396" s="972"/>
      <c r="G396" s="972"/>
      <c r="H396" s="972"/>
      <c r="I396" s="972"/>
      <c r="J396" s="972"/>
      <c r="K396" s="972"/>
      <c r="L396" s="1041"/>
      <c r="M396" s="1041"/>
      <c r="N396" s="1041"/>
      <c r="O396" s="975"/>
    </row>
    <row r="397" spans="1:15">
      <c r="A397" s="972"/>
      <c r="B397" s="972"/>
      <c r="C397" s="972"/>
      <c r="D397" s="972"/>
      <c r="E397" s="972"/>
      <c r="F397" s="972"/>
      <c r="G397" s="972"/>
      <c r="H397" s="972"/>
      <c r="I397" s="972"/>
      <c r="J397" s="972"/>
      <c r="K397" s="972"/>
      <c r="L397" s="1041"/>
      <c r="M397" s="1041"/>
      <c r="N397" s="1041"/>
      <c r="O397" s="975"/>
    </row>
    <row r="398" spans="1:15">
      <c r="A398" s="972"/>
      <c r="B398" s="972"/>
      <c r="C398" s="972"/>
      <c r="D398" s="972"/>
      <c r="E398" s="972"/>
      <c r="F398" s="972"/>
      <c r="G398" s="972"/>
      <c r="H398" s="972"/>
      <c r="I398" s="972"/>
      <c r="J398" s="972"/>
      <c r="K398" s="972"/>
      <c r="L398" s="1041"/>
      <c r="M398" s="1041"/>
      <c r="N398" s="1041"/>
      <c r="O398" s="975"/>
    </row>
    <row r="399" spans="1:15">
      <c r="A399" s="972"/>
      <c r="B399" s="972"/>
      <c r="C399" s="972"/>
      <c r="D399" s="972"/>
      <c r="E399" s="972"/>
      <c r="F399" s="972"/>
      <c r="G399" s="972"/>
      <c r="H399" s="972"/>
      <c r="I399" s="972"/>
      <c r="J399" s="972"/>
      <c r="K399" s="972"/>
      <c r="L399" s="1041"/>
      <c r="M399" s="1041"/>
      <c r="N399" s="1041"/>
      <c r="O399" s="975"/>
    </row>
    <row r="400" spans="1:15">
      <c r="A400" s="972"/>
      <c r="B400" s="972"/>
      <c r="C400" s="972"/>
      <c r="D400" s="972"/>
      <c r="E400" s="972"/>
      <c r="F400" s="972"/>
      <c r="G400" s="972"/>
      <c r="H400" s="972"/>
      <c r="I400" s="972"/>
      <c r="J400" s="972"/>
      <c r="K400" s="972"/>
      <c r="L400" s="1041"/>
      <c r="M400" s="1041"/>
      <c r="N400" s="1041"/>
      <c r="O400" s="975"/>
    </row>
    <row r="401" spans="1:15">
      <c r="A401" s="972"/>
      <c r="B401" s="972"/>
      <c r="C401" s="972"/>
      <c r="D401" s="972"/>
      <c r="E401" s="972"/>
      <c r="F401" s="972"/>
      <c r="G401" s="972"/>
      <c r="H401" s="972"/>
      <c r="I401" s="972"/>
      <c r="J401" s="972"/>
      <c r="K401" s="972"/>
      <c r="L401" s="1041"/>
      <c r="M401" s="1041"/>
      <c r="N401" s="1041"/>
      <c r="O401" s="975"/>
    </row>
    <row r="402" spans="1:15">
      <c r="A402" s="972"/>
      <c r="B402" s="972"/>
      <c r="C402" s="972"/>
      <c r="D402" s="972"/>
      <c r="E402" s="972"/>
      <c r="F402" s="972"/>
      <c r="G402" s="972"/>
      <c r="H402" s="972"/>
      <c r="I402" s="972"/>
      <c r="J402" s="972"/>
      <c r="K402" s="972"/>
      <c r="L402" s="1041"/>
      <c r="M402" s="1041"/>
      <c r="N402" s="1041"/>
      <c r="O402" s="975"/>
    </row>
    <row r="403" spans="1:15">
      <c r="A403" s="972"/>
      <c r="B403" s="972"/>
      <c r="C403" s="972"/>
      <c r="D403" s="972"/>
      <c r="E403" s="972"/>
      <c r="F403" s="972"/>
      <c r="G403" s="972"/>
      <c r="H403" s="972"/>
      <c r="I403" s="972"/>
      <c r="J403" s="972"/>
      <c r="K403" s="972"/>
      <c r="L403" s="1041"/>
      <c r="M403" s="1041"/>
      <c r="N403" s="1041"/>
      <c r="O403" s="975"/>
    </row>
    <row r="404" spans="1:15">
      <c r="A404" s="972"/>
      <c r="B404" s="972"/>
      <c r="C404" s="972"/>
      <c r="D404" s="972"/>
      <c r="E404" s="972"/>
      <c r="F404" s="972"/>
      <c r="G404" s="972"/>
      <c r="H404" s="972"/>
      <c r="I404" s="972"/>
      <c r="J404" s="972"/>
      <c r="K404" s="972"/>
      <c r="L404" s="1041"/>
      <c r="M404" s="1041"/>
      <c r="N404" s="1041"/>
      <c r="O404" s="975"/>
    </row>
    <row r="405" spans="1:15">
      <c r="A405" s="972"/>
      <c r="B405" s="972"/>
      <c r="C405" s="972"/>
      <c r="D405" s="972"/>
      <c r="E405" s="972"/>
      <c r="F405" s="972"/>
      <c r="G405" s="972"/>
      <c r="H405" s="972"/>
      <c r="I405" s="972"/>
      <c r="J405" s="972"/>
      <c r="K405" s="972"/>
      <c r="L405" s="1041"/>
      <c r="M405" s="1041"/>
      <c r="N405" s="1041"/>
      <c r="O405" s="975"/>
    </row>
    <row r="406" spans="1:15">
      <c r="A406" s="972"/>
      <c r="B406" s="972"/>
      <c r="C406" s="972"/>
      <c r="D406" s="972"/>
      <c r="E406" s="972"/>
      <c r="F406" s="972"/>
      <c r="G406" s="972"/>
      <c r="H406" s="972"/>
      <c r="I406" s="972"/>
      <c r="J406" s="972"/>
      <c r="K406" s="972"/>
      <c r="L406" s="1041"/>
      <c r="M406" s="1041"/>
      <c r="N406" s="1041"/>
      <c r="O406" s="975"/>
    </row>
    <row r="407" spans="1:15">
      <c r="A407" s="972"/>
      <c r="B407" s="972"/>
      <c r="C407" s="972"/>
      <c r="D407" s="972"/>
      <c r="E407" s="972"/>
      <c r="F407" s="972"/>
      <c r="G407" s="972"/>
      <c r="H407" s="972"/>
      <c r="I407" s="972"/>
      <c r="J407" s="972"/>
      <c r="K407" s="972"/>
      <c r="L407" s="1041"/>
      <c r="M407" s="1041"/>
      <c r="N407" s="1041"/>
      <c r="O407" s="975"/>
    </row>
    <row r="408" spans="1:15">
      <c r="A408" s="972"/>
      <c r="B408" s="972"/>
      <c r="C408" s="972"/>
      <c r="D408" s="972"/>
      <c r="E408" s="972"/>
      <c r="F408" s="972"/>
      <c r="G408" s="972"/>
      <c r="H408" s="972"/>
      <c r="I408" s="972"/>
      <c r="J408" s="972"/>
      <c r="K408" s="972"/>
      <c r="L408" s="1041"/>
      <c r="M408" s="1041"/>
      <c r="N408" s="1041"/>
      <c r="O408" s="975"/>
    </row>
    <row r="409" spans="1:15">
      <c r="A409" s="972"/>
      <c r="B409" s="972"/>
      <c r="C409" s="972"/>
      <c r="D409" s="972"/>
      <c r="E409" s="972"/>
      <c r="F409" s="972"/>
      <c r="G409" s="972"/>
      <c r="H409" s="972"/>
      <c r="I409" s="972"/>
      <c r="J409" s="972"/>
      <c r="K409" s="972"/>
      <c r="L409" s="1041"/>
      <c r="M409" s="1041"/>
      <c r="N409" s="1041"/>
      <c r="O409" s="975"/>
    </row>
    <row r="410" spans="1:15">
      <c r="A410" s="972"/>
      <c r="B410" s="972"/>
      <c r="C410" s="972"/>
      <c r="D410" s="972"/>
      <c r="E410" s="972"/>
      <c r="F410" s="972"/>
      <c r="G410" s="972"/>
      <c r="H410" s="972"/>
      <c r="I410" s="972"/>
      <c r="J410" s="972"/>
      <c r="K410" s="972"/>
      <c r="L410" s="1041"/>
      <c r="M410" s="1041"/>
      <c r="N410" s="1041"/>
      <c r="O410" s="975"/>
    </row>
    <row r="411" spans="1:15">
      <c r="A411" s="972"/>
      <c r="B411" s="972"/>
      <c r="C411" s="972"/>
      <c r="D411" s="972"/>
      <c r="E411" s="972"/>
      <c r="F411" s="972"/>
      <c r="G411" s="972"/>
      <c r="H411" s="972"/>
      <c r="I411" s="972"/>
      <c r="J411" s="972"/>
      <c r="K411" s="972"/>
      <c r="L411" s="1041"/>
      <c r="M411" s="1041"/>
      <c r="N411" s="1041"/>
      <c r="O411" s="975"/>
    </row>
    <row r="412" spans="1:15">
      <c r="A412" s="972"/>
      <c r="B412" s="972"/>
      <c r="C412" s="972"/>
      <c r="D412" s="972"/>
      <c r="E412" s="972"/>
      <c r="F412" s="972"/>
      <c r="G412" s="972"/>
      <c r="H412" s="972"/>
      <c r="I412" s="972"/>
      <c r="J412" s="972"/>
      <c r="K412" s="972"/>
      <c r="L412" s="1041"/>
      <c r="M412" s="1041"/>
      <c r="N412" s="1041"/>
      <c r="O412" s="975"/>
    </row>
    <row r="413" spans="1:15">
      <c r="A413" s="972"/>
      <c r="B413" s="972"/>
      <c r="C413" s="972"/>
      <c r="D413" s="972"/>
      <c r="E413" s="972"/>
      <c r="F413" s="972"/>
      <c r="G413" s="972"/>
      <c r="H413" s="972"/>
      <c r="I413" s="972"/>
      <c r="J413" s="972"/>
      <c r="K413" s="972"/>
      <c r="L413" s="1041"/>
      <c r="M413" s="1041"/>
      <c r="N413" s="1041"/>
      <c r="O413" s="975"/>
    </row>
    <row r="414" spans="1:15">
      <c r="A414" s="972"/>
      <c r="B414" s="972"/>
      <c r="C414" s="972"/>
      <c r="D414" s="972"/>
      <c r="E414" s="972"/>
      <c r="F414" s="972"/>
      <c r="G414" s="972"/>
      <c r="H414" s="972"/>
      <c r="I414" s="972"/>
      <c r="J414" s="972"/>
      <c r="K414" s="972"/>
      <c r="L414" s="1041"/>
      <c r="M414" s="1041"/>
      <c r="N414" s="1041"/>
      <c r="O414" s="975"/>
    </row>
    <row r="415" spans="1:15">
      <c r="A415" s="972"/>
      <c r="B415" s="972"/>
      <c r="C415" s="972"/>
      <c r="D415" s="972"/>
      <c r="E415" s="972"/>
      <c r="F415" s="972"/>
      <c r="G415" s="972"/>
      <c r="H415" s="972"/>
      <c r="I415" s="972"/>
      <c r="J415" s="972"/>
      <c r="K415" s="972"/>
      <c r="L415" s="1041"/>
      <c r="M415" s="1041"/>
      <c r="N415" s="1041"/>
      <c r="O415" s="975"/>
    </row>
    <row r="416" spans="1:15">
      <c r="A416" s="972"/>
      <c r="B416" s="972"/>
      <c r="C416" s="972"/>
      <c r="D416" s="972"/>
      <c r="E416" s="972"/>
      <c r="F416" s="972"/>
      <c r="G416" s="972"/>
      <c r="H416" s="972"/>
      <c r="I416" s="972"/>
      <c r="J416" s="972"/>
      <c r="K416" s="972"/>
      <c r="L416" s="1041"/>
      <c r="M416" s="1041"/>
      <c r="N416" s="1041"/>
      <c r="O416" s="975"/>
    </row>
    <row r="417" spans="1:15">
      <c r="A417" s="972"/>
      <c r="B417" s="972"/>
      <c r="C417" s="972"/>
      <c r="D417" s="972"/>
      <c r="E417" s="972"/>
      <c r="F417" s="972"/>
      <c r="G417" s="972"/>
      <c r="H417" s="972"/>
      <c r="I417" s="972"/>
      <c r="J417" s="972"/>
      <c r="K417" s="972"/>
      <c r="L417" s="1041"/>
      <c r="M417" s="1041"/>
      <c r="N417" s="1041"/>
      <c r="O417" s="975"/>
    </row>
    <row r="418" spans="1:15">
      <c r="A418" s="972"/>
      <c r="B418" s="972"/>
      <c r="C418" s="972"/>
      <c r="D418" s="972"/>
      <c r="E418" s="972"/>
      <c r="F418" s="972"/>
      <c r="G418" s="972"/>
      <c r="H418" s="972"/>
      <c r="I418" s="972"/>
      <c r="J418" s="972"/>
      <c r="K418" s="972"/>
      <c r="L418" s="1041"/>
      <c r="M418" s="1041"/>
      <c r="N418" s="1041"/>
      <c r="O418" s="975"/>
    </row>
    <row r="419" spans="1:15">
      <c r="A419" s="972"/>
      <c r="B419" s="972"/>
      <c r="C419" s="972"/>
      <c r="D419" s="972"/>
      <c r="E419" s="972"/>
      <c r="F419" s="972"/>
      <c r="G419" s="972"/>
      <c r="H419" s="972"/>
      <c r="I419" s="972"/>
      <c r="J419" s="972"/>
      <c r="K419" s="972"/>
      <c r="L419" s="1041"/>
      <c r="M419" s="1041"/>
      <c r="N419" s="1041"/>
      <c r="O419" s="975"/>
    </row>
    <row r="420" spans="1:15">
      <c r="A420" s="972"/>
      <c r="B420" s="972"/>
      <c r="C420" s="972"/>
      <c r="D420" s="972"/>
      <c r="E420" s="972"/>
      <c r="F420" s="972"/>
      <c r="G420" s="972"/>
      <c r="H420" s="972"/>
      <c r="I420" s="972"/>
      <c r="J420" s="972"/>
      <c r="K420" s="972"/>
      <c r="L420" s="1041"/>
      <c r="M420" s="1041"/>
      <c r="N420" s="1041"/>
      <c r="O420" s="975"/>
    </row>
    <row r="421" spans="1:15">
      <c r="A421" s="972"/>
      <c r="B421" s="972"/>
      <c r="C421" s="972"/>
      <c r="D421" s="972"/>
      <c r="E421" s="972"/>
      <c r="F421" s="972"/>
      <c r="G421" s="972"/>
      <c r="H421" s="972"/>
      <c r="I421" s="972"/>
      <c r="J421" s="972"/>
      <c r="K421" s="972"/>
      <c r="L421" s="1041"/>
      <c r="M421" s="1041"/>
      <c r="N421" s="1041"/>
      <c r="O421" s="975"/>
    </row>
    <row r="422" spans="1:15">
      <c r="A422" s="972"/>
      <c r="B422" s="972"/>
      <c r="C422" s="972"/>
      <c r="D422" s="972"/>
      <c r="E422" s="972"/>
      <c r="F422" s="972"/>
      <c r="G422" s="972"/>
      <c r="H422" s="972"/>
      <c r="I422" s="972"/>
      <c r="J422" s="972"/>
      <c r="K422" s="972"/>
      <c r="L422" s="1041"/>
      <c r="M422" s="1041"/>
      <c r="N422" s="1041"/>
      <c r="O422" s="975"/>
    </row>
    <row r="423" spans="1:15">
      <c r="A423" s="972"/>
      <c r="B423" s="972"/>
      <c r="C423" s="972"/>
      <c r="D423" s="972"/>
      <c r="E423" s="972"/>
      <c r="F423" s="972"/>
      <c r="G423" s="972"/>
      <c r="H423" s="972"/>
      <c r="I423" s="972"/>
      <c r="J423" s="972"/>
      <c r="K423" s="972"/>
      <c r="L423" s="1041"/>
      <c r="M423" s="1041"/>
      <c r="N423" s="1041"/>
      <c r="O423" s="975"/>
    </row>
    <row r="424" spans="1:15">
      <c r="A424" s="972"/>
      <c r="B424" s="972"/>
      <c r="C424" s="972"/>
      <c r="D424" s="972"/>
      <c r="E424" s="972"/>
      <c r="F424" s="972"/>
      <c r="G424" s="972"/>
      <c r="H424" s="972"/>
      <c r="I424" s="972"/>
      <c r="J424" s="972"/>
      <c r="K424" s="972"/>
      <c r="L424" s="1041"/>
      <c r="M424" s="1041"/>
      <c r="N424" s="1041"/>
      <c r="O424" s="975"/>
    </row>
    <row r="425" spans="1:15">
      <c r="A425" s="972"/>
      <c r="B425" s="972"/>
      <c r="C425" s="972"/>
      <c r="D425" s="972"/>
      <c r="E425" s="972"/>
      <c r="F425" s="972"/>
      <c r="G425" s="972"/>
      <c r="H425" s="972"/>
      <c r="I425" s="972"/>
      <c r="J425" s="972"/>
      <c r="K425" s="972"/>
      <c r="L425" s="1041"/>
      <c r="M425" s="1041"/>
      <c r="N425" s="1041"/>
      <c r="O425" s="975"/>
    </row>
    <row r="426" spans="1:15">
      <c r="A426" s="972"/>
      <c r="B426" s="972"/>
      <c r="C426" s="972"/>
      <c r="D426" s="972"/>
      <c r="E426" s="972"/>
      <c r="F426" s="972"/>
      <c r="G426" s="972"/>
      <c r="H426" s="972"/>
      <c r="I426" s="972"/>
      <c r="J426" s="972"/>
      <c r="K426" s="972"/>
      <c r="L426" s="1041"/>
      <c r="M426" s="1041"/>
      <c r="N426" s="1041"/>
      <c r="O426" s="975"/>
    </row>
    <row r="427" spans="1:15">
      <c r="A427" s="972"/>
      <c r="B427" s="972"/>
      <c r="C427" s="972"/>
      <c r="D427" s="972"/>
      <c r="E427" s="972"/>
      <c r="F427" s="972"/>
      <c r="G427" s="972"/>
      <c r="H427" s="972"/>
      <c r="I427" s="972"/>
      <c r="J427" s="972"/>
      <c r="K427" s="972"/>
      <c r="L427" s="1041"/>
      <c r="M427" s="1041"/>
      <c r="N427" s="1041"/>
      <c r="O427" s="975"/>
    </row>
    <row r="428" spans="1:15">
      <c r="A428" s="972"/>
      <c r="B428" s="972"/>
      <c r="C428" s="972"/>
      <c r="D428" s="972"/>
      <c r="E428" s="972"/>
      <c r="F428" s="972"/>
      <c r="G428" s="972"/>
      <c r="H428" s="972"/>
      <c r="I428" s="972"/>
      <c r="J428" s="972"/>
      <c r="K428" s="972"/>
      <c r="L428" s="1041"/>
      <c r="M428" s="1041"/>
      <c r="N428" s="1041"/>
      <c r="O428" s="975"/>
    </row>
    <row r="429" spans="1:15">
      <c r="A429" s="972"/>
      <c r="B429" s="972"/>
      <c r="C429" s="972"/>
      <c r="D429" s="972"/>
      <c r="E429" s="972"/>
      <c r="F429" s="972"/>
      <c r="G429" s="972"/>
      <c r="H429" s="972"/>
      <c r="I429" s="972"/>
      <c r="J429" s="972"/>
      <c r="K429" s="972"/>
      <c r="L429" s="1041"/>
      <c r="M429" s="1041"/>
      <c r="N429" s="1041"/>
      <c r="O429" s="975"/>
    </row>
    <row r="430" spans="1:15">
      <c r="A430" s="972"/>
      <c r="B430" s="972"/>
      <c r="C430" s="972"/>
      <c r="D430" s="972"/>
      <c r="E430" s="972"/>
      <c r="F430" s="972"/>
      <c r="G430" s="972"/>
      <c r="H430" s="972"/>
      <c r="I430" s="972"/>
      <c r="J430" s="972"/>
      <c r="K430" s="972"/>
      <c r="L430" s="1041"/>
      <c r="M430" s="1041"/>
      <c r="N430" s="1041"/>
      <c r="O430" s="975"/>
    </row>
    <row r="431" spans="1:15">
      <c r="A431" s="972"/>
      <c r="B431" s="972"/>
      <c r="C431" s="972"/>
      <c r="D431" s="972"/>
      <c r="E431" s="972"/>
      <c r="F431" s="972"/>
      <c r="G431" s="972"/>
      <c r="H431" s="972"/>
      <c r="I431" s="972"/>
      <c r="J431" s="972"/>
      <c r="K431" s="972"/>
      <c r="L431" s="1041"/>
      <c r="M431" s="1041"/>
      <c r="N431" s="1041"/>
      <c r="O431" s="975"/>
    </row>
    <row r="432" spans="1:15">
      <c r="A432" s="972"/>
      <c r="B432" s="972"/>
      <c r="C432" s="972"/>
      <c r="D432" s="972"/>
      <c r="E432" s="972"/>
      <c r="F432" s="972"/>
      <c r="G432" s="972"/>
      <c r="H432" s="972"/>
      <c r="I432" s="972"/>
      <c r="J432" s="972"/>
      <c r="K432" s="972"/>
      <c r="L432" s="1041"/>
      <c r="M432" s="1041"/>
      <c r="N432" s="1041"/>
      <c r="O432" s="975"/>
    </row>
    <row r="433" spans="1:15">
      <c r="A433" s="972"/>
      <c r="B433" s="972"/>
      <c r="C433" s="972"/>
      <c r="D433" s="972"/>
      <c r="E433" s="972"/>
      <c r="F433" s="972"/>
      <c r="G433" s="972"/>
      <c r="H433" s="972"/>
      <c r="I433" s="972"/>
      <c r="J433" s="972"/>
      <c r="K433" s="972"/>
      <c r="L433" s="1041"/>
      <c r="M433" s="1041"/>
      <c r="N433" s="1041"/>
      <c r="O433" s="975"/>
    </row>
    <row r="434" spans="1:15">
      <c r="A434" s="972"/>
      <c r="B434" s="972"/>
      <c r="C434" s="972"/>
      <c r="D434" s="972"/>
      <c r="E434" s="972"/>
      <c r="F434" s="972"/>
      <c r="G434" s="972"/>
      <c r="H434" s="972"/>
      <c r="I434" s="972"/>
      <c r="J434" s="972"/>
      <c r="K434" s="972"/>
      <c r="L434" s="1041"/>
      <c r="M434" s="1041"/>
      <c r="N434" s="1041"/>
      <c r="O434" s="975"/>
    </row>
    <row r="435" spans="1:15">
      <c r="A435" s="972"/>
      <c r="B435" s="972"/>
      <c r="C435" s="972"/>
      <c r="D435" s="972"/>
      <c r="E435" s="972"/>
      <c r="F435" s="972"/>
      <c r="G435" s="972"/>
      <c r="H435" s="972"/>
      <c r="I435" s="972"/>
      <c r="J435" s="972"/>
      <c r="K435" s="972"/>
      <c r="L435" s="1041"/>
      <c r="M435" s="1041"/>
      <c r="N435" s="1041"/>
      <c r="O435" s="975"/>
    </row>
    <row r="436" spans="1:15">
      <c r="A436" s="972"/>
      <c r="B436" s="972"/>
      <c r="C436" s="972"/>
      <c r="D436" s="972"/>
      <c r="E436" s="972"/>
      <c r="F436" s="972"/>
      <c r="G436" s="972"/>
      <c r="H436" s="972"/>
      <c r="I436" s="972"/>
      <c r="J436" s="972"/>
      <c r="K436" s="972"/>
      <c r="L436" s="1041"/>
      <c r="M436" s="1041"/>
      <c r="N436" s="1041"/>
      <c r="O436" s="975"/>
    </row>
    <row r="437" spans="1:15">
      <c r="A437" s="972"/>
      <c r="B437" s="972"/>
      <c r="C437" s="972"/>
      <c r="D437" s="972"/>
      <c r="E437" s="972"/>
      <c r="F437" s="972"/>
      <c r="G437" s="972"/>
      <c r="H437" s="972"/>
      <c r="I437" s="972"/>
      <c r="J437" s="972"/>
      <c r="K437" s="972"/>
      <c r="L437" s="1041"/>
      <c r="M437" s="1041"/>
      <c r="N437" s="1041"/>
      <c r="O437" s="975"/>
    </row>
    <row r="438" spans="1:15">
      <c r="A438" s="972"/>
      <c r="B438" s="972"/>
      <c r="C438" s="972"/>
      <c r="D438" s="972"/>
      <c r="E438" s="972"/>
      <c r="F438" s="972"/>
      <c r="G438" s="972"/>
      <c r="H438" s="972"/>
      <c r="I438" s="972"/>
      <c r="J438" s="972"/>
      <c r="K438" s="972"/>
      <c r="L438" s="1041"/>
      <c r="M438" s="1041"/>
      <c r="N438" s="1041"/>
      <c r="O438" s="975"/>
    </row>
    <row r="439" spans="1:15">
      <c r="A439" s="972"/>
      <c r="B439" s="972"/>
      <c r="C439" s="972"/>
      <c r="D439" s="972"/>
      <c r="E439" s="972"/>
      <c r="F439" s="972"/>
      <c r="G439" s="972"/>
      <c r="H439" s="972"/>
      <c r="I439" s="972"/>
      <c r="J439" s="972"/>
      <c r="K439" s="972"/>
      <c r="L439" s="1041"/>
      <c r="M439" s="1041"/>
      <c r="N439" s="1041"/>
      <c r="O439" s="975"/>
    </row>
    <row r="440" spans="1:15">
      <c r="A440" s="972"/>
      <c r="B440" s="972"/>
      <c r="C440" s="972"/>
      <c r="D440" s="972"/>
      <c r="E440" s="972"/>
      <c r="F440" s="972"/>
      <c r="G440" s="972"/>
      <c r="H440" s="972"/>
      <c r="I440" s="972"/>
      <c r="J440" s="972"/>
      <c r="K440" s="972"/>
      <c r="L440" s="1041"/>
      <c r="M440" s="1041"/>
      <c r="N440" s="1041"/>
      <c r="O440" s="975"/>
    </row>
    <row r="441" spans="1:15">
      <c r="A441" s="972"/>
      <c r="B441" s="972"/>
      <c r="C441" s="972"/>
      <c r="D441" s="972"/>
      <c r="E441" s="972"/>
      <c r="F441" s="972"/>
      <c r="G441" s="972"/>
      <c r="H441" s="972"/>
      <c r="I441" s="972"/>
      <c r="J441" s="972"/>
      <c r="K441" s="972"/>
      <c r="L441" s="1041"/>
      <c r="M441" s="1041"/>
      <c r="N441" s="1041"/>
      <c r="O441" s="975"/>
    </row>
    <row r="442" spans="1:15">
      <c r="A442" s="972"/>
      <c r="B442" s="972"/>
      <c r="C442" s="972"/>
      <c r="D442" s="972"/>
      <c r="E442" s="972"/>
      <c r="F442" s="972"/>
      <c r="G442" s="972"/>
      <c r="H442" s="972"/>
      <c r="I442" s="972"/>
      <c r="J442" s="972"/>
      <c r="K442" s="972"/>
      <c r="L442" s="1041"/>
      <c r="M442" s="1041"/>
      <c r="N442" s="1041"/>
      <c r="O442" s="975"/>
    </row>
    <row r="443" spans="1:15">
      <c r="A443" s="972"/>
      <c r="B443" s="972"/>
      <c r="C443" s="972"/>
      <c r="D443" s="972"/>
      <c r="E443" s="972"/>
      <c r="F443" s="972"/>
      <c r="G443" s="972"/>
      <c r="H443" s="972"/>
      <c r="I443" s="972"/>
      <c r="J443" s="972"/>
      <c r="K443" s="972"/>
      <c r="L443" s="1041"/>
      <c r="M443" s="1041"/>
      <c r="N443" s="1041"/>
      <c r="O443" s="975"/>
    </row>
    <row r="444" spans="1:15">
      <c r="A444" s="972"/>
      <c r="B444" s="972"/>
      <c r="C444" s="972"/>
      <c r="D444" s="972"/>
      <c r="E444" s="972"/>
      <c r="F444" s="972"/>
      <c r="G444" s="972"/>
      <c r="H444" s="972"/>
      <c r="I444" s="972"/>
      <c r="J444" s="972"/>
      <c r="K444" s="972"/>
      <c r="L444" s="1041"/>
      <c r="M444" s="1041"/>
      <c r="N444" s="1041"/>
      <c r="O444" s="975"/>
    </row>
    <row r="445" spans="1:15">
      <c r="A445" s="972"/>
      <c r="B445" s="972"/>
      <c r="C445" s="972"/>
      <c r="D445" s="972"/>
      <c r="E445" s="972"/>
      <c r="F445" s="972"/>
      <c r="G445" s="972"/>
      <c r="H445" s="972"/>
      <c r="I445" s="972"/>
      <c r="J445" s="972"/>
      <c r="K445" s="972"/>
      <c r="L445" s="1041"/>
      <c r="M445" s="1041"/>
      <c r="N445" s="1041"/>
      <c r="O445" s="975"/>
    </row>
    <row r="446" spans="1:15">
      <c r="A446" s="972"/>
      <c r="B446" s="972"/>
      <c r="C446" s="972"/>
      <c r="D446" s="972"/>
      <c r="E446" s="972"/>
      <c r="F446" s="972"/>
      <c r="G446" s="972"/>
      <c r="H446" s="972"/>
      <c r="I446" s="972"/>
      <c r="J446" s="972"/>
      <c r="K446" s="972"/>
      <c r="L446" s="1041"/>
      <c r="M446" s="1041"/>
      <c r="N446" s="1041"/>
      <c r="O446" s="975"/>
    </row>
    <row r="447" spans="1:15">
      <c r="A447" s="972"/>
      <c r="B447" s="972"/>
      <c r="C447" s="972"/>
      <c r="D447" s="972"/>
      <c r="E447" s="972"/>
      <c r="F447" s="972"/>
      <c r="G447" s="972"/>
      <c r="H447" s="972"/>
      <c r="I447" s="972"/>
      <c r="J447" s="972"/>
      <c r="K447" s="972"/>
      <c r="L447" s="1041"/>
      <c r="M447" s="1041"/>
      <c r="N447" s="1041"/>
      <c r="O447" s="975"/>
    </row>
    <row r="448" spans="1:15">
      <c r="A448" s="972"/>
      <c r="B448" s="972"/>
      <c r="C448" s="972"/>
      <c r="D448" s="972"/>
      <c r="E448" s="972"/>
      <c r="F448" s="972"/>
      <c r="G448" s="972"/>
      <c r="H448" s="972"/>
      <c r="I448" s="972"/>
      <c r="J448" s="972"/>
      <c r="K448" s="972"/>
      <c r="L448" s="1041"/>
      <c r="M448" s="1041"/>
      <c r="N448" s="1041"/>
      <c r="O448" s="975"/>
    </row>
    <row r="449" spans="1:15">
      <c r="A449" s="972"/>
      <c r="B449" s="972"/>
      <c r="C449" s="972"/>
      <c r="D449" s="972"/>
      <c r="E449" s="972"/>
      <c r="F449" s="972"/>
      <c r="G449" s="972"/>
      <c r="H449" s="972"/>
      <c r="I449" s="972"/>
      <c r="J449" s="972"/>
      <c r="K449" s="972"/>
      <c r="L449" s="1041"/>
      <c r="M449" s="1041"/>
      <c r="N449" s="1041"/>
      <c r="O449" s="975"/>
    </row>
    <row r="450" spans="1:15">
      <c r="A450" s="972"/>
      <c r="B450" s="972"/>
      <c r="C450" s="972"/>
      <c r="D450" s="972"/>
      <c r="E450" s="972"/>
      <c r="F450" s="972"/>
      <c r="G450" s="972"/>
      <c r="H450" s="972"/>
      <c r="I450" s="972"/>
      <c r="J450" s="972"/>
      <c r="K450" s="972"/>
      <c r="L450" s="1041"/>
      <c r="M450" s="1041"/>
      <c r="N450" s="1041"/>
      <c r="O450" s="975"/>
    </row>
    <row r="451" spans="1:15">
      <c r="A451" s="972"/>
      <c r="B451" s="972"/>
      <c r="C451" s="972"/>
      <c r="D451" s="972"/>
      <c r="E451" s="972"/>
      <c r="F451" s="972"/>
      <c r="G451" s="972"/>
      <c r="H451" s="972"/>
      <c r="I451" s="972"/>
      <c r="J451" s="972"/>
      <c r="K451" s="972"/>
      <c r="L451" s="1041"/>
      <c r="M451" s="1041"/>
      <c r="N451" s="1041"/>
      <c r="O451" s="975"/>
    </row>
    <row r="452" spans="1:15">
      <c r="A452" s="972"/>
      <c r="B452" s="972"/>
      <c r="C452" s="972"/>
      <c r="D452" s="972"/>
      <c r="E452" s="972"/>
      <c r="F452" s="972"/>
      <c r="G452" s="972"/>
      <c r="H452" s="972"/>
      <c r="I452" s="972"/>
      <c r="J452" s="972"/>
      <c r="K452" s="972"/>
      <c r="L452" s="1041"/>
      <c r="M452" s="1041"/>
      <c r="N452" s="1041"/>
      <c r="O452" s="975"/>
    </row>
    <row r="453" spans="1:15">
      <c r="A453" s="972"/>
      <c r="B453" s="972"/>
      <c r="C453" s="972"/>
      <c r="D453" s="972"/>
      <c r="E453" s="972"/>
      <c r="F453" s="972"/>
      <c r="G453" s="972"/>
      <c r="H453" s="972"/>
      <c r="I453" s="972"/>
      <c r="J453" s="972"/>
      <c r="K453" s="972"/>
      <c r="L453" s="1041"/>
      <c r="M453" s="1041"/>
      <c r="N453" s="1041"/>
      <c r="O453" s="975"/>
    </row>
    <row r="454" spans="1:15">
      <c r="A454" s="972"/>
      <c r="B454" s="972"/>
      <c r="C454" s="972"/>
      <c r="D454" s="972"/>
      <c r="E454" s="972"/>
      <c r="F454" s="972"/>
      <c r="G454" s="972"/>
      <c r="H454" s="972"/>
      <c r="I454" s="972"/>
      <c r="J454" s="972"/>
      <c r="K454" s="972"/>
      <c r="L454" s="1041"/>
      <c r="M454" s="1041"/>
      <c r="N454" s="1041"/>
      <c r="O454" s="975"/>
    </row>
    <row r="455" spans="1:15">
      <c r="A455" s="972"/>
      <c r="B455" s="972"/>
      <c r="C455" s="972"/>
      <c r="D455" s="972"/>
      <c r="E455" s="972"/>
      <c r="F455" s="972"/>
      <c r="G455" s="972"/>
      <c r="H455" s="972"/>
      <c r="I455" s="972"/>
      <c r="J455" s="972"/>
      <c r="K455" s="972"/>
      <c r="L455" s="1041"/>
      <c r="M455" s="1041"/>
      <c r="N455" s="1041"/>
      <c r="O455" s="975"/>
    </row>
    <row r="456" spans="1:15">
      <c r="A456" s="972"/>
      <c r="B456" s="972"/>
      <c r="C456" s="972"/>
      <c r="D456" s="972"/>
      <c r="E456" s="972"/>
      <c r="F456" s="972"/>
      <c r="G456" s="972"/>
      <c r="H456" s="972"/>
      <c r="I456" s="972"/>
      <c r="J456" s="972"/>
      <c r="K456" s="972"/>
      <c r="L456" s="1041"/>
      <c r="M456" s="1041"/>
      <c r="N456" s="1041"/>
      <c r="O456" s="975"/>
    </row>
    <row r="457" spans="1:15">
      <c r="A457" s="972"/>
      <c r="B457" s="972"/>
      <c r="C457" s="972"/>
      <c r="D457" s="972"/>
      <c r="E457" s="972"/>
      <c r="F457" s="972"/>
      <c r="G457" s="972"/>
      <c r="H457" s="972"/>
      <c r="I457" s="972"/>
      <c r="J457" s="972"/>
      <c r="K457" s="972"/>
      <c r="L457" s="1041"/>
      <c r="M457" s="1041"/>
      <c r="N457" s="1041"/>
      <c r="O457" s="975"/>
    </row>
    <row r="458" spans="1:15">
      <c r="A458" s="972"/>
      <c r="B458" s="972"/>
      <c r="C458" s="972"/>
      <c r="D458" s="972"/>
      <c r="E458" s="972"/>
      <c r="F458" s="972"/>
      <c r="G458" s="972"/>
      <c r="H458" s="972"/>
      <c r="I458" s="972"/>
      <c r="J458" s="972"/>
      <c r="K458" s="972"/>
      <c r="L458" s="1041"/>
      <c r="M458" s="1041"/>
      <c r="N458" s="1041"/>
      <c r="O458" s="975"/>
    </row>
    <row r="459" spans="1:15">
      <c r="A459" s="972"/>
      <c r="B459" s="972"/>
      <c r="C459" s="972"/>
      <c r="D459" s="972"/>
      <c r="E459" s="972"/>
      <c r="F459" s="972"/>
      <c r="G459" s="972"/>
      <c r="H459" s="972"/>
      <c r="I459" s="972"/>
      <c r="J459" s="972"/>
      <c r="K459" s="972"/>
      <c r="L459" s="1041"/>
      <c r="M459" s="1041"/>
      <c r="N459" s="1041"/>
      <c r="O459" s="975"/>
    </row>
    <row r="460" spans="1:15">
      <c r="A460" s="972"/>
      <c r="B460" s="972"/>
      <c r="C460" s="972"/>
      <c r="D460" s="972"/>
      <c r="E460" s="972"/>
      <c r="F460" s="972"/>
      <c r="G460" s="972"/>
      <c r="H460" s="972"/>
      <c r="I460" s="972"/>
      <c r="J460" s="972"/>
      <c r="K460" s="972"/>
      <c r="L460" s="1041"/>
      <c r="M460" s="1041"/>
      <c r="N460" s="1041"/>
      <c r="O460" s="975"/>
    </row>
    <row r="461" spans="1:15">
      <c r="A461" s="972"/>
      <c r="B461" s="972"/>
      <c r="C461" s="972"/>
      <c r="D461" s="972"/>
      <c r="E461" s="972"/>
      <c r="F461" s="972"/>
      <c r="G461" s="972"/>
      <c r="H461" s="972"/>
      <c r="I461" s="972"/>
      <c r="J461" s="972"/>
      <c r="K461" s="972"/>
      <c r="L461" s="1041"/>
      <c r="M461" s="1041"/>
      <c r="N461" s="1041"/>
      <c r="O461" s="975"/>
    </row>
    <row r="462" spans="1:15">
      <c r="A462" s="972"/>
      <c r="B462" s="972"/>
      <c r="C462" s="972"/>
      <c r="D462" s="972"/>
      <c r="E462" s="972"/>
      <c r="F462" s="972"/>
      <c r="G462" s="972"/>
      <c r="H462" s="972"/>
      <c r="I462" s="972"/>
      <c r="J462" s="972"/>
      <c r="K462" s="972"/>
      <c r="L462" s="1041"/>
      <c r="M462" s="1041"/>
      <c r="N462" s="1041"/>
      <c r="O462" s="975"/>
    </row>
    <row r="463" spans="1:15">
      <c r="A463" s="972"/>
      <c r="B463" s="972"/>
      <c r="C463" s="972"/>
      <c r="D463" s="972"/>
      <c r="E463" s="972"/>
      <c r="F463" s="972"/>
      <c r="G463" s="972"/>
      <c r="H463" s="972"/>
      <c r="I463" s="972"/>
      <c r="J463" s="972"/>
      <c r="K463" s="972"/>
      <c r="L463" s="1041"/>
      <c r="M463" s="1041"/>
      <c r="N463" s="1041"/>
      <c r="O463" s="975"/>
    </row>
    <row r="464" spans="1:15">
      <c r="A464" s="972"/>
      <c r="B464" s="972"/>
      <c r="C464" s="972"/>
      <c r="D464" s="972"/>
      <c r="E464" s="972"/>
      <c r="F464" s="972"/>
      <c r="G464" s="972"/>
      <c r="H464" s="972"/>
      <c r="I464" s="972"/>
      <c r="J464" s="972"/>
      <c r="K464" s="972"/>
      <c r="L464" s="1041"/>
      <c r="M464" s="1041"/>
      <c r="N464" s="1041"/>
      <c r="O464" s="975"/>
    </row>
    <row r="465" spans="1:15">
      <c r="A465" s="972"/>
      <c r="B465" s="972"/>
      <c r="C465" s="972"/>
      <c r="D465" s="972"/>
      <c r="E465" s="972"/>
      <c r="F465" s="972"/>
      <c r="G465" s="972"/>
      <c r="H465" s="972"/>
      <c r="I465" s="972"/>
      <c r="J465" s="972"/>
      <c r="K465" s="972"/>
      <c r="L465" s="1041"/>
      <c r="M465" s="1041"/>
      <c r="N465" s="1041"/>
      <c r="O465" s="975"/>
    </row>
    <row r="466" spans="1:15">
      <c r="A466" s="972"/>
      <c r="B466" s="972"/>
      <c r="C466" s="972"/>
      <c r="D466" s="972"/>
      <c r="E466" s="972"/>
      <c r="F466" s="972"/>
      <c r="G466" s="972"/>
      <c r="H466" s="972"/>
      <c r="I466" s="972"/>
      <c r="J466" s="972"/>
      <c r="K466" s="972"/>
      <c r="L466" s="1041"/>
      <c r="M466" s="1041"/>
      <c r="N466" s="1041"/>
      <c r="O466" s="975"/>
    </row>
    <row r="467" spans="1:15">
      <c r="A467" s="972"/>
      <c r="B467" s="972"/>
      <c r="C467" s="972"/>
      <c r="D467" s="972"/>
      <c r="E467" s="972"/>
      <c r="F467" s="972"/>
      <c r="G467" s="972"/>
      <c r="H467" s="972"/>
      <c r="I467" s="972"/>
      <c r="J467" s="972"/>
      <c r="K467" s="972"/>
      <c r="L467" s="1041"/>
      <c r="M467" s="1041"/>
      <c r="N467" s="1041"/>
      <c r="O467" s="975"/>
    </row>
    <row r="468" spans="1:15">
      <c r="A468" s="972"/>
      <c r="B468" s="972"/>
      <c r="C468" s="972"/>
      <c r="D468" s="972"/>
      <c r="E468" s="972"/>
      <c r="F468" s="972"/>
      <c r="G468" s="972"/>
      <c r="H468" s="972"/>
      <c r="I468" s="972"/>
      <c r="J468" s="972"/>
      <c r="K468" s="972"/>
      <c r="L468" s="1041"/>
      <c r="M468" s="1041"/>
      <c r="N468" s="1041"/>
      <c r="O468" s="975"/>
    </row>
    <row r="469" spans="1:15">
      <c r="A469" s="972"/>
      <c r="B469" s="972"/>
      <c r="C469" s="972"/>
      <c r="D469" s="972"/>
      <c r="E469" s="972"/>
      <c r="F469" s="972"/>
      <c r="G469" s="972"/>
      <c r="H469" s="972"/>
      <c r="I469" s="972"/>
      <c r="J469" s="972"/>
      <c r="K469" s="972"/>
      <c r="L469" s="1041"/>
      <c r="M469" s="1041"/>
      <c r="N469" s="1041"/>
      <c r="O469" s="975"/>
    </row>
    <row r="470" spans="1:15">
      <c r="A470" s="972"/>
      <c r="B470" s="972"/>
      <c r="C470" s="972"/>
      <c r="D470" s="972"/>
      <c r="E470" s="972"/>
      <c r="F470" s="972"/>
      <c r="G470" s="972"/>
      <c r="H470" s="972"/>
      <c r="I470" s="972"/>
      <c r="J470" s="972"/>
      <c r="K470" s="972"/>
      <c r="L470" s="1041"/>
      <c r="M470" s="1041"/>
      <c r="N470" s="1041"/>
      <c r="O470" s="975"/>
    </row>
    <row r="471" spans="1:15">
      <c r="A471" s="972"/>
      <c r="B471" s="972"/>
      <c r="C471" s="972"/>
      <c r="D471" s="972"/>
      <c r="E471" s="972"/>
      <c r="F471" s="972"/>
      <c r="G471" s="972"/>
      <c r="H471" s="972"/>
      <c r="I471" s="972"/>
      <c r="J471" s="972"/>
      <c r="K471" s="972"/>
      <c r="L471" s="1041"/>
      <c r="M471" s="1041"/>
      <c r="N471" s="1041"/>
      <c r="O471" s="975"/>
    </row>
    <row r="472" spans="1:15">
      <c r="A472" s="972"/>
      <c r="B472" s="972"/>
      <c r="C472" s="972"/>
      <c r="D472" s="972"/>
      <c r="E472" s="972"/>
      <c r="F472" s="972"/>
      <c r="G472" s="972"/>
      <c r="H472" s="972"/>
      <c r="I472" s="972"/>
      <c r="J472" s="972"/>
      <c r="K472" s="972"/>
      <c r="L472" s="1041"/>
      <c r="M472" s="1041"/>
      <c r="N472" s="1041"/>
      <c r="O472" s="975"/>
    </row>
    <row r="473" spans="1:15">
      <c r="A473" s="972"/>
      <c r="B473" s="972"/>
      <c r="C473" s="972"/>
      <c r="D473" s="972"/>
      <c r="E473" s="972"/>
      <c r="F473" s="972"/>
      <c r="G473" s="972"/>
      <c r="H473" s="972"/>
      <c r="I473" s="972"/>
      <c r="J473" s="972"/>
      <c r="K473" s="972"/>
      <c r="L473" s="1041"/>
      <c r="M473" s="1041"/>
      <c r="N473" s="1041"/>
      <c r="O473" s="975"/>
    </row>
    <row r="474" spans="1:15">
      <c r="A474" s="972"/>
      <c r="B474" s="972"/>
      <c r="C474" s="972"/>
      <c r="D474" s="972"/>
      <c r="E474" s="972"/>
      <c r="F474" s="972"/>
      <c r="G474" s="972"/>
      <c r="H474" s="972"/>
      <c r="I474" s="972"/>
      <c r="J474" s="972"/>
      <c r="K474" s="972"/>
      <c r="L474" s="1041"/>
      <c r="M474" s="1041"/>
      <c r="N474" s="1041"/>
      <c r="O474" s="975"/>
    </row>
    <row r="475" spans="1:15">
      <c r="A475" s="972"/>
      <c r="B475" s="972"/>
      <c r="C475" s="972"/>
      <c r="D475" s="972"/>
      <c r="E475" s="972"/>
      <c r="F475" s="972"/>
      <c r="G475" s="972"/>
      <c r="H475" s="972"/>
      <c r="I475" s="972"/>
      <c r="J475" s="972"/>
      <c r="K475" s="972"/>
      <c r="L475" s="1041"/>
      <c r="M475" s="1041"/>
      <c r="N475" s="1041"/>
      <c r="O475" s="975"/>
    </row>
    <row r="476" spans="1:15">
      <c r="A476" s="972"/>
      <c r="B476" s="972"/>
      <c r="C476" s="972"/>
      <c r="D476" s="972"/>
      <c r="E476" s="972"/>
      <c r="F476" s="972"/>
      <c r="G476" s="972"/>
      <c r="H476" s="972"/>
      <c r="I476" s="972"/>
      <c r="J476" s="972"/>
      <c r="K476" s="972"/>
      <c r="L476" s="1041"/>
      <c r="M476" s="1041"/>
      <c r="N476" s="1041"/>
      <c r="O476" s="975"/>
    </row>
    <row r="477" spans="1:15">
      <c r="A477" s="972"/>
      <c r="B477" s="972"/>
      <c r="C477" s="972"/>
      <c r="D477" s="972"/>
      <c r="E477" s="972"/>
      <c r="F477" s="972"/>
      <c r="G477" s="972"/>
      <c r="H477" s="972"/>
      <c r="I477" s="972"/>
      <c r="J477" s="972"/>
      <c r="K477" s="972"/>
      <c r="L477" s="1041"/>
      <c r="M477" s="1041"/>
      <c r="N477" s="1041"/>
      <c r="O477" s="975"/>
    </row>
    <row r="478" spans="1:15">
      <c r="A478" s="972"/>
      <c r="B478" s="972"/>
      <c r="C478" s="972"/>
      <c r="D478" s="972"/>
      <c r="E478" s="972"/>
      <c r="F478" s="972"/>
      <c r="G478" s="972"/>
      <c r="H478" s="972"/>
      <c r="I478" s="972"/>
      <c r="J478" s="972"/>
      <c r="K478" s="972"/>
      <c r="L478" s="1041"/>
      <c r="M478" s="1041"/>
      <c r="N478" s="1041"/>
      <c r="O478" s="975"/>
    </row>
    <row r="479" spans="1:15">
      <c r="A479" s="972"/>
      <c r="B479" s="972"/>
      <c r="C479" s="972"/>
      <c r="D479" s="972"/>
      <c r="E479" s="972"/>
      <c r="F479" s="972"/>
      <c r="G479" s="972"/>
      <c r="H479" s="972"/>
      <c r="I479" s="972"/>
      <c r="J479" s="972"/>
      <c r="K479" s="972"/>
      <c r="L479" s="1041"/>
      <c r="M479" s="1041"/>
      <c r="N479" s="1041"/>
      <c r="O479" s="975"/>
    </row>
    <row r="480" spans="1:15">
      <c r="A480" s="972"/>
      <c r="B480" s="972"/>
      <c r="C480" s="972"/>
      <c r="D480" s="972"/>
      <c r="E480" s="972"/>
      <c r="F480" s="972"/>
      <c r="G480" s="972"/>
      <c r="H480" s="972"/>
      <c r="I480" s="972"/>
      <c r="J480" s="972"/>
      <c r="K480" s="972"/>
      <c r="L480" s="1041"/>
      <c r="M480" s="1041"/>
      <c r="N480" s="1041"/>
      <c r="O480" s="975"/>
    </row>
    <row r="481" spans="1:15">
      <c r="A481" s="972"/>
      <c r="B481" s="972"/>
      <c r="C481" s="972"/>
      <c r="D481" s="972"/>
      <c r="E481" s="972"/>
      <c r="F481" s="972"/>
      <c r="G481" s="972"/>
      <c r="H481" s="972"/>
      <c r="I481" s="972"/>
      <c r="J481" s="972"/>
      <c r="K481" s="972"/>
      <c r="L481" s="1041"/>
      <c r="M481" s="1041"/>
      <c r="N481" s="1041"/>
      <c r="O481" s="975"/>
    </row>
    <row r="482" spans="1:15">
      <c r="A482" s="972"/>
      <c r="B482" s="972"/>
      <c r="C482" s="972"/>
      <c r="D482" s="972"/>
      <c r="E482" s="972"/>
      <c r="F482" s="972"/>
      <c r="G482" s="972"/>
      <c r="H482" s="972"/>
      <c r="I482" s="972"/>
      <c r="J482" s="972"/>
      <c r="K482" s="972"/>
      <c r="L482" s="1041"/>
      <c r="M482" s="1041"/>
      <c r="N482" s="1041"/>
      <c r="O482" s="975"/>
    </row>
    <row r="483" spans="1:15">
      <c r="A483" s="972"/>
      <c r="B483" s="972"/>
      <c r="C483" s="972"/>
      <c r="D483" s="972"/>
      <c r="E483" s="972"/>
      <c r="F483" s="972"/>
      <c r="G483" s="972"/>
      <c r="H483" s="972"/>
      <c r="I483" s="972"/>
      <c r="J483" s="972"/>
      <c r="K483" s="972"/>
      <c r="L483" s="1041"/>
      <c r="M483" s="1041"/>
      <c r="N483" s="1041"/>
      <c r="O483" s="975"/>
    </row>
    <row r="484" spans="1:15">
      <c r="A484" s="972"/>
      <c r="B484" s="972"/>
      <c r="C484" s="972"/>
      <c r="D484" s="972"/>
      <c r="E484" s="972"/>
      <c r="F484" s="972"/>
      <c r="G484" s="972"/>
      <c r="H484" s="972"/>
      <c r="I484" s="972"/>
      <c r="J484" s="972"/>
      <c r="K484" s="972"/>
      <c r="L484" s="1041"/>
      <c r="M484" s="1041"/>
      <c r="N484" s="1041"/>
      <c r="O484" s="975"/>
    </row>
    <row r="485" spans="1:15">
      <c r="A485" s="972"/>
      <c r="B485" s="972"/>
      <c r="C485" s="972"/>
      <c r="D485" s="972"/>
      <c r="E485" s="972"/>
      <c r="F485" s="972"/>
      <c r="G485" s="972"/>
      <c r="H485" s="972"/>
      <c r="I485" s="972"/>
      <c r="J485" s="972"/>
      <c r="K485" s="972"/>
      <c r="L485" s="1041"/>
      <c r="M485" s="1041"/>
      <c r="N485" s="1041"/>
      <c r="O485" s="975"/>
    </row>
    <row r="486" spans="1:15">
      <c r="A486" s="972"/>
      <c r="B486" s="972"/>
      <c r="C486" s="972"/>
      <c r="D486" s="972"/>
      <c r="E486" s="972"/>
      <c r="F486" s="972"/>
      <c r="G486" s="972"/>
      <c r="H486" s="972"/>
      <c r="I486" s="972"/>
      <c r="J486" s="972"/>
      <c r="K486" s="972"/>
      <c r="L486" s="1041"/>
      <c r="M486" s="1041"/>
      <c r="N486" s="1041"/>
      <c r="O486" s="975"/>
    </row>
    <row r="487" spans="1:15">
      <c r="A487" s="972"/>
      <c r="B487" s="972"/>
      <c r="C487" s="972"/>
      <c r="D487" s="972"/>
      <c r="E487" s="972"/>
      <c r="F487" s="972"/>
      <c r="G487" s="972"/>
      <c r="H487" s="972"/>
      <c r="I487" s="972"/>
      <c r="J487" s="972"/>
      <c r="K487" s="972"/>
      <c r="L487" s="1041"/>
      <c r="M487" s="1041"/>
      <c r="N487" s="1041"/>
      <c r="O487" s="975"/>
    </row>
    <row r="488" spans="1:15">
      <c r="A488" s="972"/>
      <c r="B488" s="972"/>
      <c r="C488" s="972"/>
      <c r="D488" s="972"/>
      <c r="E488" s="972"/>
      <c r="F488" s="972"/>
      <c r="G488" s="972"/>
      <c r="H488" s="972"/>
      <c r="I488" s="972"/>
      <c r="J488" s="972"/>
      <c r="K488" s="972"/>
      <c r="L488" s="1041"/>
      <c r="M488" s="1041"/>
      <c r="N488" s="1041"/>
      <c r="O488" s="975"/>
    </row>
    <row r="489" spans="1:15">
      <c r="A489" s="972"/>
      <c r="B489" s="972"/>
      <c r="C489" s="972"/>
      <c r="D489" s="972"/>
      <c r="E489" s="972"/>
      <c r="F489" s="972"/>
      <c r="G489" s="972"/>
      <c r="H489" s="972"/>
      <c r="I489" s="972"/>
      <c r="J489" s="972"/>
      <c r="K489" s="972"/>
      <c r="L489" s="1041"/>
      <c r="M489" s="1041"/>
      <c r="N489" s="1041"/>
      <c r="O489" s="975"/>
    </row>
    <row r="490" spans="1:15">
      <c r="A490" s="972"/>
      <c r="B490" s="972"/>
      <c r="C490" s="972"/>
      <c r="D490" s="972"/>
      <c r="E490" s="972"/>
      <c r="F490" s="972"/>
      <c r="G490" s="972"/>
      <c r="H490" s="972"/>
      <c r="I490" s="972"/>
      <c r="J490" s="972"/>
      <c r="K490" s="972"/>
      <c r="L490" s="1041"/>
      <c r="M490" s="1041"/>
      <c r="N490" s="1041"/>
      <c r="O490" s="975"/>
    </row>
    <row r="491" spans="1:15">
      <c r="A491" s="972"/>
      <c r="B491" s="972"/>
      <c r="C491" s="972"/>
      <c r="D491" s="972"/>
      <c r="E491" s="972"/>
      <c r="F491" s="972"/>
      <c r="G491" s="972"/>
      <c r="H491" s="972"/>
      <c r="I491" s="972"/>
      <c r="J491" s="972"/>
      <c r="K491" s="972"/>
      <c r="L491" s="1041"/>
      <c r="M491" s="1041"/>
      <c r="N491" s="1041"/>
      <c r="O491" s="975"/>
    </row>
    <row r="492" spans="1:15">
      <c r="A492" s="972"/>
      <c r="B492" s="972"/>
      <c r="C492" s="972"/>
      <c r="D492" s="972"/>
      <c r="E492" s="972"/>
      <c r="F492" s="972"/>
      <c r="G492" s="972"/>
      <c r="H492" s="972"/>
      <c r="I492" s="972"/>
      <c r="J492" s="972"/>
      <c r="K492" s="972"/>
      <c r="L492" s="1041"/>
      <c r="M492" s="1041"/>
      <c r="N492" s="1041"/>
      <c r="O492" s="975"/>
    </row>
    <row r="493" spans="1:15">
      <c r="A493" s="972"/>
      <c r="B493" s="972"/>
      <c r="C493" s="972"/>
      <c r="D493" s="972"/>
      <c r="E493" s="972"/>
      <c r="F493" s="972"/>
      <c r="G493" s="972"/>
      <c r="H493" s="972"/>
      <c r="I493" s="972"/>
      <c r="J493" s="972"/>
      <c r="K493" s="972"/>
      <c r="L493" s="1041"/>
      <c r="M493" s="1041"/>
      <c r="N493" s="1041"/>
      <c r="O493" s="975"/>
    </row>
    <row r="494" spans="1:15">
      <c r="A494" s="972"/>
      <c r="B494" s="972"/>
      <c r="C494" s="972"/>
      <c r="D494" s="972"/>
      <c r="E494" s="972"/>
      <c r="F494" s="972"/>
      <c r="G494" s="972"/>
      <c r="H494" s="972"/>
      <c r="I494" s="972"/>
      <c r="J494" s="972"/>
      <c r="K494" s="972"/>
      <c r="L494" s="1041"/>
      <c r="M494" s="1041"/>
      <c r="N494" s="1041"/>
      <c r="O494" s="975"/>
    </row>
    <row r="495" spans="1:15">
      <c r="A495" s="972"/>
      <c r="B495" s="972"/>
      <c r="C495" s="972"/>
      <c r="D495" s="972"/>
      <c r="E495" s="972"/>
      <c r="F495" s="972"/>
      <c r="G495" s="972"/>
      <c r="H495" s="972"/>
      <c r="I495" s="972"/>
      <c r="J495" s="972"/>
      <c r="K495" s="972"/>
      <c r="L495" s="1041"/>
      <c r="M495" s="1041"/>
      <c r="N495" s="1041"/>
      <c r="O495" s="975"/>
    </row>
    <row r="496" spans="1:15">
      <c r="A496" s="972"/>
      <c r="B496" s="972"/>
      <c r="C496" s="972"/>
      <c r="D496" s="972"/>
      <c r="E496" s="972"/>
      <c r="F496" s="972"/>
      <c r="G496" s="972"/>
      <c r="H496" s="972"/>
      <c r="I496" s="972"/>
      <c r="J496" s="972"/>
      <c r="K496" s="972"/>
      <c r="L496" s="1041"/>
      <c r="M496" s="1041"/>
      <c r="N496" s="1041"/>
      <c r="O496" s="975"/>
    </row>
    <row r="497" spans="1:15">
      <c r="A497" s="972"/>
      <c r="B497" s="972"/>
      <c r="C497" s="972"/>
      <c r="D497" s="972"/>
      <c r="E497" s="972"/>
      <c r="F497" s="972"/>
      <c r="G497" s="972"/>
      <c r="H497" s="972"/>
      <c r="I497" s="972"/>
      <c r="J497" s="972"/>
      <c r="K497" s="972"/>
      <c r="L497" s="1041"/>
      <c r="M497" s="1041"/>
      <c r="N497" s="1041"/>
      <c r="O497" s="975"/>
    </row>
    <row r="498" spans="1:15">
      <c r="A498" s="972"/>
      <c r="B498" s="972"/>
      <c r="C498" s="972"/>
      <c r="D498" s="972"/>
      <c r="E498" s="972"/>
      <c r="F498" s="972"/>
      <c r="G498" s="972"/>
      <c r="H498" s="972"/>
      <c r="I498" s="972"/>
      <c r="J498" s="972"/>
      <c r="K498" s="972"/>
      <c r="L498" s="1041"/>
      <c r="M498" s="1041"/>
      <c r="N498" s="1041"/>
      <c r="O498" s="975"/>
    </row>
    <row r="499" spans="1:15">
      <c r="A499" s="972"/>
      <c r="B499" s="972"/>
      <c r="C499" s="972"/>
      <c r="D499" s="972"/>
      <c r="E499" s="972"/>
      <c r="F499" s="972"/>
      <c r="G499" s="972"/>
      <c r="H499" s="972"/>
      <c r="I499" s="972"/>
      <c r="J499" s="972"/>
      <c r="K499" s="972"/>
      <c r="L499" s="1041"/>
      <c r="M499" s="1041"/>
      <c r="N499" s="1041"/>
      <c r="O499" s="975"/>
    </row>
    <row r="500" spans="1:15">
      <c r="A500" s="972"/>
      <c r="B500" s="972"/>
      <c r="C500" s="972"/>
      <c r="D500" s="972"/>
      <c r="E500" s="972"/>
      <c r="F500" s="972"/>
      <c r="G500" s="972"/>
      <c r="H500" s="972"/>
      <c r="I500" s="972"/>
      <c r="J500" s="972"/>
      <c r="K500" s="972"/>
      <c r="L500" s="1041"/>
      <c r="M500" s="1041"/>
      <c r="N500" s="1041"/>
      <c r="O500" s="975"/>
    </row>
    <row r="501" spans="1:15">
      <c r="A501" s="972"/>
      <c r="B501" s="972"/>
      <c r="C501" s="972"/>
      <c r="D501" s="972"/>
      <c r="E501" s="972"/>
      <c r="F501" s="972"/>
      <c r="G501" s="972"/>
      <c r="H501" s="972"/>
      <c r="I501" s="972"/>
      <c r="J501" s="972"/>
      <c r="K501" s="972"/>
      <c r="L501" s="1041"/>
      <c r="M501" s="1041"/>
      <c r="N501" s="1041"/>
      <c r="O501" s="975"/>
    </row>
    <row r="502" spans="1:15">
      <c r="A502" s="972"/>
      <c r="B502" s="972"/>
      <c r="C502" s="972"/>
      <c r="D502" s="972"/>
      <c r="E502" s="972"/>
      <c r="F502" s="972"/>
      <c r="G502" s="972"/>
      <c r="H502" s="972"/>
      <c r="I502" s="972"/>
      <c r="J502" s="972"/>
      <c r="K502" s="972"/>
      <c r="L502" s="1041"/>
      <c r="M502" s="1041"/>
      <c r="N502" s="1041"/>
      <c r="O502" s="975"/>
    </row>
    <row r="503" spans="1:15">
      <c r="A503" s="972"/>
      <c r="B503" s="972"/>
      <c r="C503" s="972"/>
      <c r="D503" s="972"/>
      <c r="E503" s="972"/>
      <c r="F503" s="972"/>
      <c r="G503" s="972"/>
      <c r="H503" s="972"/>
      <c r="I503" s="972"/>
      <c r="J503" s="972"/>
      <c r="K503" s="972"/>
      <c r="L503" s="1041"/>
      <c r="M503" s="1041"/>
      <c r="N503" s="1041"/>
      <c r="O503" s="975"/>
    </row>
    <row r="504" spans="1:15">
      <c r="A504" s="972"/>
      <c r="B504" s="972"/>
      <c r="C504" s="972"/>
      <c r="D504" s="972"/>
      <c r="E504" s="972"/>
      <c r="F504" s="972"/>
      <c r="G504" s="972"/>
      <c r="H504" s="972"/>
      <c r="I504" s="972"/>
      <c r="J504" s="972"/>
      <c r="K504" s="972"/>
      <c r="L504" s="1041"/>
      <c r="M504" s="1041"/>
      <c r="N504" s="1041"/>
      <c r="O504" s="975"/>
    </row>
    <row r="505" spans="1:15">
      <c r="A505" s="972"/>
      <c r="B505" s="972"/>
      <c r="C505" s="972"/>
      <c r="D505" s="972"/>
      <c r="E505" s="972"/>
      <c r="F505" s="972"/>
      <c r="G505" s="972"/>
      <c r="H505" s="972"/>
      <c r="I505" s="972"/>
      <c r="J505" s="972"/>
      <c r="K505" s="972"/>
      <c r="L505" s="1041"/>
      <c r="M505" s="1041"/>
      <c r="N505" s="1041"/>
      <c r="O505" s="975"/>
    </row>
    <row r="506" spans="1:15">
      <c r="A506" s="972"/>
      <c r="B506" s="972"/>
      <c r="C506" s="972"/>
      <c r="D506" s="972"/>
      <c r="E506" s="972"/>
      <c r="F506" s="972"/>
      <c r="G506" s="972"/>
      <c r="H506" s="972"/>
      <c r="I506" s="972"/>
      <c r="J506" s="972"/>
      <c r="K506" s="972"/>
      <c r="L506" s="1041"/>
      <c r="M506" s="1041"/>
      <c r="N506" s="1041"/>
      <c r="O506" s="975"/>
    </row>
    <row r="507" spans="1:15">
      <c r="A507" s="972"/>
      <c r="B507" s="972"/>
      <c r="C507" s="972"/>
      <c r="D507" s="972"/>
      <c r="E507" s="972"/>
      <c r="F507" s="972"/>
      <c r="G507" s="972"/>
      <c r="H507" s="972"/>
      <c r="I507" s="972"/>
      <c r="J507" s="972"/>
      <c r="K507" s="972"/>
      <c r="L507" s="1041"/>
      <c r="M507" s="1041"/>
      <c r="N507" s="1041"/>
      <c r="O507" s="975"/>
    </row>
    <row r="508" spans="1:15">
      <c r="A508" s="972"/>
      <c r="B508" s="972"/>
      <c r="C508" s="972"/>
      <c r="D508" s="972"/>
      <c r="E508" s="972"/>
      <c r="F508" s="972"/>
      <c r="G508" s="972"/>
      <c r="H508" s="972"/>
      <c r="I508" s="972"/>
      <c r="J508" s="972"/>
      <c r="K508" s="972"/>
      <c r="L508" s="1041"/>
      <c r="M508" s="1041"/>
      <c r="N508" s="1041"/>
      <c r="O508" s="975"/>
    </row>
    <row r="509" spans="1:15">
      <c r="A509" s="972"/>
      <c r="B509" s="972"/>
      <c r="C509" s="972"/>
      <c r="D509" s="972"/>
      <c r="E509" s="972"/>
      <c r="F509" s="972"/>
      <c r="G509" s="972"/>
      <c r="H509" s="972"/>
      <c r="I509" s="972"/>
      <c r="J509" s="972"/>
      <c r="K509" s="972"/>
      <c r="L509" s="1041"/>
      <c r="M509" s="1041"/>
      <c r="N509" s="1041"/>
      <c r="O509" s="975"/>
    </row>
    <row r="510" spans="1:15">
      <c r="A510" s="972"/>
      <c r="B510" s="972"/>
      <c r="C510" s="972"/>
      <c r="D510" s="972"/>
      <c r="E510" s="972"/>
      <c r="F510" s="972"/>
      <c r="G510" s="972"/>
      <c r="H510" s="972"/>
      <c r="I510" s="972"/>
      <c r="J510" s="972"/>
      <c r="K510" s="972"/>
      <c r="L510" s="1041"/>
      <c r="M510" s="1041"/>
      <c r="N510" s="1041"/>
      <c r="O510" s="975"/>
    </row>
    <row r="511" spans="1:15">
      <c r="A511" s="972"/>
      <c r="B511" s="972"/>
      <c r="C511" s="972"/>
      <c r="D511" s="972"/>
      <c r="E511" s="972"/>
      <c r="F511" s="972"/>
      <c r="G511" s="972"/>
      <c r="H511" s="972"/>
      <c r="I511" s="972"/>
      <c r="J511" s="972"/>
      <c r="K511" s="972"/>
      <c r="L511" s="1041"/>
      <c r="M511" s="1041"/>
      <c r="N511" s="1041"/>
      <c r="O511" s="975"/>
    </row>
    <row r="512" spans="1:15">
      <c r="A512" s="972"/>
      <c r="B512" s="972"/>
      <c r="C512" s="972"/>
      <c r="D512" s="972"/>
      <c r="E512" s="972"/>
      <c r="F512" s="972"/>
      <c r="G512" s="972"/>
      <c r="H512" s="972"/>
      <c r="I512" s="972"/>
      <c r="J512" s="972"/>
      <c r="K512" s="972"/>
      <c r="L512" s="1041"/>
      <c r="M512" s="1041"/>
      <c r="N512" s="1041"/>
      <c r="O512" s="975"/>
    </row>
    <row r="513" spans="1:15">
      <c r="A513" s="972"/>
      <c r="B513" s="972"/>
      <c r="C513" s="972"/>
      <c r="D513" s="972"/>
      <c r="E513" s="972"/>
      <c r="F513" s="972"/>
      <c r="G513" s="972"/>
      <c r="H513" s="972"/>
      <c r="I513" s="972"/>
      <c r="J513" s="972"/>
      <c r="K513" s="972"/>
      <c r="L513" s="1041"/>
      <c r="M513" s="1041"/>
      <c r="N513" s="1041"/>
      <c r="O513" s="975"/>
    </row>
    <row r="514" spans="1:15">
      <c r="A514" s="972"/>
      <c r="B514" s="972"/>
      <c r="C514" s="972"/>
      <c r="D514" s="972"/>
      <c r="E514" s="972"/>
      <c r="F514" s="972"/>
      <c r="G514" s="972"/>
      <c r="H514" s="972"/>
      <c r="I514" s="972"/>
      <c r="J514" s="972"/>
      <c r="K514" s="972"/>
      <c r="L514" s="1041"/>
      <c r="M514" s="1041"/>
      <c r="N514" s="1041"/>
      <c r="O514" s="975"/>
    </row>
    <row r="515" spans="1:15">
      <c r="A515" s="972"/>
      <c r="B515" s="972"/>
      <c r="C515" s="972"/>
      <c r="D515" s="972"/>
      <c r="E515" s="972"/>
      <c r="F515" s="972"/>
      <c r="G515" s="972"/>
      <c r="H515" s="972"/>
      <c r="I515" s="972"/>
      <c r="J515" s="972"/>
      <c r="K515" s="972"/>
      <c r="L515" s="1041"/>
      <c r="M515" s="1041"/>
      <c r="N515" s="1041"/>
      <c r="O515" s="975"/>
    </row>
    <row r="516" spans="1:15">
      <c r="A516" s="972"/>
      <c r="B516" s="972"/>
      <c r="C516" s="972"/>
      <c r="D516" s="972"/>
      <c r="E516" s="972"/>
      <c r="F516" s="972"/>
      <c r="G516" s="972"/>
      <c r="H516" s="972"/>
      <c r="I516" s="972"/>
      <c r="J516" s="972"/>
      <c r="K516" s="972"/>
      <c r="L516" s="1041"/>
      <c r="M516" s="1041"/>
      <c r="N516" s="1041"/>
      <c r="O516" s="975"/>
    </row>
    <row r="517" spans="1:15">
      <c r="A517" s="972"/>
      <c r="B517" s="972"/>
      <c r="C517" s="972"/>
      <c r="D517" s="972"/>
      <c r="E517" s="972"/>
      <c r="F517" s="972"/>
      <c r="G517" s="972"/>
      <c r="H517" s="972"/>
      <c r="I517" s="972"/>
      <c r="J517" s="972"/>
      <c r="K517" s="972"/>
      <c r="L517" s="1041"/>
      <c r="M517" s="1041"/>
      <c r="N517" s="1041"/>
      <c r="O517" s="975"/>
    </row>
    <row r="518" spans="1:15">
      <c r="A518" s="972"/>
      <c r="B518" s="972"/>
      <c r="C518" s="972"/>
      <c r="D518" s="972"/>
      <c r="E518" s="972"/>
      <c r="F518" s="972"/>
      <c r="G518" s="972"/>
      <c r="H518" s="972"/>
      <c r="I518" s="972"/>
      <c r="J518" s="972"/>
      <c r="K518" s="972"/>
      <c r="L518" s="1041"/>
      <c r="M518" s="1041"/>
      <c r="N518" s="1041"/>
      <c r="O518" s="975"/>
    </row>
    <row r="519" spans="1:15">
      <c r="A519" s="972"/>
      <c r="B519" s="972"/>
      <c r="C519" s="972"/>
      <c r="D519" s="972"/>
      <c r="E519" s="972"/>
      <c r="F519" s="972"/>
      <c r="G519" s="972"/>
      <c r="H519" s="972"/>
      <c r="I519" s="972"/>
      <c r="J519" s="972"/>
      <c r="K519" s="972"/>
      <c r="L519" s="1041"/>
      <c r="M519" s="1041"/>
      <c r="N519" s="1041"/>
      <c r="O519" s="975"/>
    </row>
    <row r="520" spans="1:15">
      <c r="A520" s="972"/>
      <c r="B520" s="972"/>
      <c r="C520" s="972"/>
      <c r="D520" s="972"/>
      <c r="E520" s="972"/>
      <c r="F520" s="972"/>
      <c r="G520" s="972"/>
      <c r="H520" s="972"/>
      <c r="I520" s="972"/>
      <c r="J520" s="972"/>
      <c r="K520" s="972"/>
      <c r="L520" s="1041"/>
      <c r="M520" s="1041"/>
      <c r="N520" s="1041"/>
      <c r="O520" s="975"/>
    </row>
    <row r="521" spans="1:15">
      <c r="A521" s="972"/>
      <c r="B521" s="972"/>
      <c r="C521" s="972"/>
      <c r="D521" s="972"/>
      <c r="E521" s="972"/>
      <c r="F521" s="972"/>
      <c r="G521" s="972"/>
      <c r="H521" s="972"/>
      <c r="I521" s="972"/>
      <c r="J521" s="972"/>
      <c r="K521" s="972"/>
      <c r="L521" s="1041"/>
      <c r="M521" s="1041"/>
      <c r="N521" s="1041"/>
      <c r="O521" s="975"/>
    </row>
    <row r="522" spans="1:15">
      <c r="A522" s="972"/>
      <c r="B522" s="972"/>
      <c r="C522" s="972"/>
      <c r="D522" s="972"/>
      <c r="E522" s="972"/>
      <c r="F522" s="972"/>
      <c r="G522" s="972"/>
      <c r="H522" s="972"/>
      <c r="I522" s="972"/>
      <c r="J522" s="972"/>
      <c r="K522" s="972"/>
      <c r="L522" s="1041"/>
      <c r="M522" s="1041"/>
      <c r="N522" s="1041"/>
      <c r="O522" s="975"/>
    </row>
    <row r="523" spans="1:15">
      <c r="A523" s="972"/>
      <c r="B523" s="972"/>
      <c r="C523" s="972"/>
      <c r="D523" s="972"/>
      <c r="E523" s="972"/>
      <c r="F523" s="972"/>
      <c r="G523" s="972"/>
      <c r="H523" s="972"/>
      <c r="I523" s="972"/>
      <c r="J523" s="972"/>
      <c r="K523" s="972"/>
      <c r="L523" s="1041"/>
      <c r="M523" s="1041"/>
      <c r="N523" s="1041"/>
      <c r="O523" s="975"/>
    </row>
    <row r="524" spans="1:15">
      <c r="A524" s="972"/>
      <c r="B524" s="972"/>
      <c r="C524" s="972"/>
      <c r="D524" s="972"/>
      <c r="E524" s="972"/>
      <c r="F524" s="972"/>
      <c r="G524" s="972"/>
      <c r="H524" s="972"/>
      <c r="I524" s="972"/>
      <c r="J524" s="972"/>
      <c r="K524" s="972"/>
      <c r="L524" s="1041"/>
      <c r="M524" s="1041"/>
      <c r="N524" s="1041"/>
      <c r="O524" s="975"/>
    </row>
    <row r="525" spans="1:15">
      <c r="A525" s="972"/>
      <c r="B525" s="972"/>
      <c r="C525" s="972"/>
      <c r="D525" s="972"/>
      <c r="E525" s="972"/>
      <c r="F525" s="972"/>
      <c r="G525" s="972"/>
      <c r="H525" s="972"/>
      <c r="I525" s="972"/>
      <c r="J525" s="972"/>
      <c r="K525" s="972"/>
      <c r="L525" s="1041"/>
      <c r="M525" s="1041"/>
      <c r="N525" s="1041"/>
      <c r="O525" s="975"/>
    </row>
    <row r="526" spans="1:15">
      <c r="A526" s="972"/>
      <c r="B526" s="972"/>
      <c r="C526" s="972"/>
      <c r="D526" s="972"/>
      <c r="E526" s="972"/>
      <c r="F526" s="972"/>
      <c r="G526" s="972"/>
      <c r="H526" s="972"/>
      <c r="I526" s="972"/>
      <c r="J526" s="972"/>
      <c r="K526" s="972"/>
      <c r="L526" s="1041"/>
      <c r="M526" s="1041"/>
      <c r="N526" s="1041"/>
      <c r="O526" s="975"/>
    </row>
    <row r="527" spans="1:15">
      <c r="A527" s="972"/>
      <c r="B527" s="972"/>
      <c r="C527" s="972"/>
      <c r="D527" s="972"/>
      <c r="E527" s="972"/>
      <c r="F527" s="972"/>
      <c r="G527" s="972"/>
      <c r="H527" s="972"/>
      <c r="I527" s="972"/>
      <c r="J527" s="972"/>
      <c r="K527" s="972"/>
      <c r="L527" s="1041"/>
      <c r="M527" s="1041"/>
      <c r="N527" s="1041"/>
      <c r="O527" s="975"/>
    </row>
    <row r="528" spans="1:15">
      <c r="A528" s="972"/>
      <c r="B528" s="972"/>
      <c r="C528" s="972"/>
      <c r="D528" s="972"/>
      <c r="E528" s="972"/>
      <c r="F528" s="972"/>
      <c r="G528" s="972"/>
      <c r="H528" s="972"/>
      <c r="I528" s="972"/>
      <c r="J528" s="972"/>
      <c r="K528" s="972"/>
      <c r="L528" s="1041"/>
      <c r="M528" s="1041"/>
      <c r="N528" s="1041"/>
      <c r="O528" s="975"/>
    </row>
    <row r="529" spans="1:15">
      <c r="A529" s="972"/>
      <c r="B529" s="972"/>
      <c r="C529" s="972"/>
      <c r="D529" s="972"/>
      <c r="E529" s="972"/>
      <c r="F529" s="972"/>
      <c r="G529" s="972"/>
      <c r="H529" s="972"/>
      <c r="I529" s="972"/>
      <c r="J529" s="972"/>
      <c r="K529" s="972"/>
      <c r="L529" s="1041"/>
      <c r="M529" s="1041"/>
      <c r="N529" s="1041"/>
      <c r="O529" s="975"/>
    </row>
    <row r="530" spans="1:15">
      <c r="A530" s="972"/>
      <c r="B530" s="972"/>
      <c r="C530" s="972"/>
      <c r="D530" s="972"/>
      <c r="E530" s="972"/>
      <c r="F530" s="972"/>
      <c r="G530" s="972"/>
      <c r="H530" s="972"/>
      <c r="I530" s="972"/>
      <c r="J530" s="972"/>
      <c r="K530" s="972"/>
      <c r="L530" s="1041"/>
      <c r="M530" s="1041"/>
      <c r="N530" s="1041"/>
      <c r="O530" s="975"/>
    </row>
    <row r="531" spans="1:15">
      <c r="A531" s="972"/>
      <c r="B531" s="972"/>
      <c r="C531" s="972"/>
      <c r="D531" s="972"/>
      <c r="E531" s="972"/>
      <c r="F531" s="972"/>
      <c r="G531" s="972"/>
      <c r="H531" s="972"/>
      <c r="I531" s="972"/>
      <c r="J531" s="972"/>
      <c r="K531" s="972"/>
      <c r="L531" s="1041"/>
      <c r="M531" s="1041"/>
      <c r="N531" s="1041"/>
      <c r="O531" s="975"/>
    </row>
    <row r="532" spans="1:15">
      <c r="A532" s="972"/>
      <c r="B532" s="972"/>
      <c r="C532" s="972"/>
      <c r="D532" s="972"/>
      <c r="E532" s="972"/>
      <c r="F532" s="972"/>
      <c r="G532" s="972"/>
      <c r="H532" s="972"/>
      <c r="I532" s="972"/>
      <c r="J532" s="972"/>
      <c r="K532" s="972"/>
      <c r="L532" s="1041"/>
      <c r="M532" s="1041"/>
      <c r="N532" s="1041"/>
      <c r="O532" s="975"/>
    </row>
    <row r="533" spans="1:15">
      <c r="A533" s="972"/>
      <c r="B533" s="972"/>
      <c r="C533" s="972"/>
      <c r="D533" s="972"/>
      <c r="E533" s="972"/>
      <c r="F533" s="972"/>
      <c r="G533" s="972"/>
      <c r="H533" s="972"/>
      <c r="I533" s="972"/>
      <c r="J533" s="972"/>
      <c r="K533" s="972"/>
      <c r="L533" s="1041"/>
      <c r="M533" s="1041"/>
      <c r="N533" s="1041"/>
      <c r="O533" s="975"/>
    </row>
    <row r="534" spans="1:15">
      <c r="A534" s="972"/>
      <c r="B534" s="972"/>
      <c r="C534" s="972"/>
      <c r="D534" s="972"/>
      <c r="E534" s="972"/>
      <c r="F534" s="972"/>
      <c r="G534" s="972"/>
      <c r="H534" s="972"/>
      <c r="I534" s="972"/>
      <c r="J534" s="972"/>
      <c r="K534" s="972"/>
      <c r="L534" s="1041"/>
      <c r="M534" s="1041"/>
      <c r="N534" s="1041"/>
      <c r="O534" s="975"/>
    </row>
    <row r="535" spans="1:15">
      <c r="A535" s="972"/>
      <c r="B535" s="972"/>
      <c r="C535" s="972"/>
      <c r="D535" s="972"/>
      <c r="E535" s="972"/>
      <c r="F535" s="972"/>
      <c r="G535" s="972"/>
      <c r="H535" s="972"/>
      <c r="I535" s="972"/>
      <c r="J535" s="972"/>
      <c r="K535" s="972"/>
      <c r="L535" s="1041"/>
      <c r="M535" s="1041"/>
      <c r="N535" s="1041"/>
      <c r="O535" s="975"/>
    </row>
    <row r="536" spans="1:15">
      <c r="A536" s="972"/>
      <c r="B536" s="972"/>
      <c r="C536" s="972"/>
      <c r="D536" s="972"/>
      <c r="E536" s="972"/>
      <c r="F536" s="972"/>
      <c r="G536" s="972"/>
      <c r="H536" s="972"/>
      <c r="I536" s="972"/>
      <c r="J536" s="972"/>
      <c r="K536" s="972"/>
      <c r="L536" s="1041"/>
      <c r="M536" s="1041"/>
      <c r="N536" s="1041"/>
      <c r="O536" s="975"/>
    </row>
    <row r="537" spans="1:15">
      <c r="A537" s="972"/>
      <c r="B537" s="972"/>
      <c r="C537" s="972"/>
      <c r="D537" s="972"/>
      <c r="E537" s="972"/>
      <c r="F537" s="972"/>
      <c r="G537" s="972"/>
      <c r="H537" s="972"/>
      <c r="I537" s="972"/>
      <c r="J537" s="972"/>
      <c r="K537" s="972"/>
      <c r="L537" s="1041"/>
      <c r="M537" s="1041"/>
      <c r="N537" s="1041"/>
      <c r="O537" s="975"/>
    </row>
    <row r="538" spans="1:15">
      <c r="A538" s="972"/>
      <c r="B538" s="972"/>
      <c r="C538" s="972"/>
      <c r="D538" s="972"/>
      <c r="E538" s="972"/>
      <c r="F538" s="972"/>
      <c r="G538" s="972"/>
      <c r="H538" s="972"/>
      <c r="I538" s="972"/>
      <c r="J538" s="972"/>
      <c r="K538" s="972"/>
      <c r="L538" s="1041"/>
      <c r="M538" s="1041"/>
      <c r="N538" s="1041"/>
      <c r="O538" s="975"/>
    </row>
    <row r="539" spans="1:15">
      <c r="A539" s="972"/>
      <c r="B539" s="972"/>
      <c r="C539" s="972"/>
      <c r="D539" s="972"/>
      <c r="E539" s="972"/>
      <c r="F539" s="972"/>
      <c r="G539" s="972"/>
      <c r="H539" s="972"/>
      <c r="I539" s="972"/>
      <c r="J539" s="972"/>
      <c r="K539" s="972"/>
      <c r="L539" s="1041"/>
      <c r="M539" s="1041"/>
      <c r="N539" s="1041"/>
      <c r="O539" s="975"/>
    </row>
    <row r="540" spans="1:15">
      <c r="A540" s="972"/>
      <c r="B540" s="972"/>
      <c r="C540" s="972"/>
      <c r="D540" s="972"/>
      <c r="E540" s="972"/>
      <c r="F540" s="972"/>
      <c r="G540" s="972"/>
      <c r="H540" s="972"/>
      <c r="I540" s="972"/>
      <c r="J540" s="972"/>
      <c r="K540" s="972"/>
      <c r="L540" s="1041"/>
      <c r="M540" s="1041"/>
      <c r="N540" s="1041"/>
      <c r="O540" s="975"/>
    </row>
    <row r="541" spans="1:15">
      <c r="A541" s="972"/>
      <c r="B541" s="972"/>
      <c r="C541" s="972"/>
      <c r="D541" s="972"/>
      <c r="E541" s="972"/>
      <c r="F541" s="972"/>
      <c r="G541" s="972"/>
      <c r="H541" s="972"/>
      <c r="I541" s="972"/>
      <c r="J541" s="972"/>
      <c r="K541" s="972"/>
      <c r="L541" s="1041"/>
      <c r="M541" s="1041"/>
      <c r="N541" s="1041"/>
      <c r="O541" s="975"/>
    </row>
    <row r="542" spans="1:15">
      <c r="A542" s="972"/>
      <c r="B542" s="972"/>
      <c r="C542" s="972"/>
      <c r="D542" s="972"/>
      <c r="E542" s="972"/>
      <c r="F542" s="972"/>
      <c r="G542" s="972"/>
      <c r="H542" s="972"/>
      <c r="I542" s="972"/>
      <c r="J542" s="972"/>
      <c r="K542" s="972"/>
      <c r="L542" s="1041"/>
      <c r="M542" s="1041"/>
      <c r="N542" s="1041"/>
      <c r="O542" s="975"/>
    </row>
    <row r="543" spans="1:15">
      <c r="A543" s="972"/>
      <c r="B543" s="972"/>
      <c r="C543" s="972"/>
      <c r="D543" s="972"/>
      <c r="E543" s="972"/>
      <c r="F543" s="972"/>
      <c r="G543" s="972"/>
      <c r="H543" s="972"/>
      <c r="I543" s="972"/>
      <c r="J543" s="972"/>
      <c r="K543" s="972"/>
      <c r="L543" s="1041"/>
      <c r="M543" s="1041"/>
      <c r="N543" s="1041"/>
      <c r="O543" s="975"/>
    </row>
    <row r="544" spans="1:15">
      <c r="A544" s="972"/>
      <c r="B544" s="972"/>
      <c r="C544" s="972"/>
      <c r="D544" s="972"/>
      <c r="E544" s="972"/>
      <c r="F544" s="972"/>
      <c r="G544" s="972"/>
      <c r="H544" s="972"/>
      <c r="I544" s="972"/>
      <c r="J544" s="972"/>
      <c r="K544" s="972"/>
      <c r="L544" s="1041"/>
      <c r="M544" s="1041"/>
      <c r="N544" s="1041"/>
      <c r="O544" s="975"/>
    </row>
    <row r="545" spans="1:15">
      <c r="A545" s="972"/>
      <c r="B545" s="972"/>
      <c r="C545" s="972"/>
      <c r="D545" s="972"/>
      <c r="E545" s="972"/>
      <c r="F545" s="972"/>
      <c r="G545" s="972"/>
      <c r="H545" s="972"/>
      <c r="I545" s="972"/>
      <c r="J545" s="972"/>
      <c r="K545" s="972"/>
      <c r="L545" s="1041"/>
      <c r="M545" s="1041"/>
      <c r="N545" s="1041"/>
      <c r="O545" s="975"/>
    </row>
    <row r="546" spans="1:15">
      <c r="A546" s="972"/>
      <c r="B546" s="972"/>
      <c r="C546" s="972"/>
      <c r="D546" s="972"/>
      <c r="E546" s="972"/>
      <c r="F546" s="972"/>
      <c r="G546" s="972"/>
      <c r="H546" s="972"/>
      <c r="I546" s="972"/>
      <c r="J546" s="972"/>
      <c r="K546" s="972"/>
      <c r="L546" s="1041"/>
      <c r="M546" s="1041"/>
      <c r="N546" s="1041"/>
      <c r="O546" s="975"/>
    </row>
    <row r="547" spans="1:15">
      <c r="A547" s="972"/>
      <c r="B547" s="972"/>
      <c r="C547" s="972"/>
      <c r="D547" s="972"/>
      <c r="E547" s="972"/>
      <c r="F547" s="972"/>
      <c r="G547" s="972"/>
      <c r="H547" s="972"/>
      <c r="I547" s="972"/>
      <c r="J547" s="972"/>
      <c r="K547" s="972"/>
      <c r="L547" s="1041"/>
      <c r="M547" s="1041"/>
      <c r="N547" s="1041"/>
      <c r="O547" s="975"/>
    </row>
    <row r="548" spans="1:15">
      <c r="A548" s="972"/>
      <c r="B548" s="972"/>
      <c r="C548" s="972"/>
      <c r="D548" s="972"/>
      <c r="E548" s="972"/>
      <c r="F548" s="972"/>
      <c r="G548" s="972"/>
      <c r="H548" s="972"/>
      <c r="I548" s="972"/>
      <c r="J548" s="972"/>
      <c r="K548" s="972"/>
      <c r="L548" s="1041"/>
      <c r="M548" s="1041"/>
      <c r="N548" s="1041"/>
      <c r="O548" s="975"/>
    </row>
    <row r="549" spans="1:15">
      <c r="A549" s="972"/>
      <c r="B549" s="972"/>
      <c r="C549" s="972"/>
      <c r="D549" s="972"/>
      <c r="E549" s="972"/>
      <c r="F549" s="972"/>
      <c r="G549" s="972"/>
      <c r="H549" s="972"/>
      <c r="I549" s="972"/>
      <c r="J549" s="972"/>
      <c r="K549" s="972"/>
      <c r="L549" s="1041"/>
      <c r="M549" s="1041"/>
      <c r="N549" s="1041"/>
      <c r="O549" s="975"/>
    </row>
    <row r="550" spans="1:15">
      <c r="A550" s="972"/>
      <c r="B550" s="972"/>
      <c r="C550" s="972"/>
      <c r="D550" s="972"/>
      <c r="E550" s="972"/>
      <c r="F550" s="972"/>
      <c r="G550" s="972"/>
      <c r="H550" s="972"/>
      <c r="I550" s="972"/>
      <c r="J550" s="972"/>
      <c r="K550" s="972"/>
      <c r="L550" s="1041"/>
      <c r="M550" s="1041"/>
      <c r="N550" s="1041"/>
      <c r="O550" s="975"/>
    </row>
    <row r="551" spans="1:15">
      <c r="A551" s="972"/>
      <c r="B551" s="972"/>
      <c r="C551" s="972"/>
      <c r="D551" s="972"/>
      <c r="E551" s="972"/>
      <c r="F551" s="972"/>
      <c r="G551" s="972"/>
      <c r="H551" s="972"/>
      <c r="I551" s="972"/>
      <c r="J551" s="972"/>
      <c r="K551" s="972"/>
      <c r="L551" s="1041"/>
      <c r="M551" s="1041"/>
      <c r="N551" s="1041"/>
      <c r="O551" s="975"/>
    </row>
    <row r="552" spans="1:15">
      <c r="A552" s="972"/>
      <c r="B552" s="972"/>
      <c r="C552" s="972"/>
      <c r="D552" s="972"/>
      <c r="E552" s="972"/>
      <c r="F552" s="972"/>
      <c r="G552" s="972"/>
      <c r="H552" s="972"/>
      <c r="I552" s="972"/>
      <c r="J552" s="972"/>
      <c r="K552" s="972"/>
      <c r="L552" s="1041"/>
      <c r="M552" s="1041"/>
      <c r="N552" s="1041"/>
      <c r="O552" s="975"/>
    </row>
    <row r="553" spans="1:15">
      <c r="A553" s="972"/>
      <c r="B553" s="972"/>
      <c r="C553" s="972"/>
      <c r="D553" s="972"/>
      <c r="E553" s="972"/>
      <c r="F553" s="972"/>
      <c r="G553" s="972"/>
      <c r="H553" s="972"/>
      <c r="I553" s="972"/>
      <c r="J553" s="972"/>
      <c r="K553" s="972"/>
      <c r="L553" s="1041"/>
      <c r="M553" s="1041"/>
      <c r="N553" s="1041"/>
      <c r="O553" s="975"/>
    </row>
    <row r="554" spans="1:15">
      <c r="A554" s="972"/>
      <c r="B554" s="972"/>
      <c r="C554" s="972"/>
      <c r="D554" s="972"/>
      <c r="E554" s="972"/>
      <c r="F554" s="972"/>
      <c r="G554" s="972"/>
      <c r="H554" s="972"/>
      <c r="I554" s="972"/>
      <c r="J554" s="972"/>
      <c r="K554" s="972"/>
      <c r="L554" s="1041"/>
      <c r="M554" s="1041"/>
      <c r="N554" s="1041"/>
      <c r="O554" s="975"/>
    </row>
    <row r="555" spans="1:15">
      <c r="A555" s="972"/>
      <c r="B555" s="972"/>
      <c r="C555" s="972"/>
      <c r="D555" s="972"/>
      <c r="E555" s="972"/>
      <c r="F555" s="972"/>
      <c r="G555" s="972"/>
      <c r="H555" s="972"/>
      <c r="I555" s="972"/>
      <c r="J555" s="972"/>
      <c r="K555" s="972"/>
      <c r="L555" s="1041"/>
      <c r="M555" s="1041"/>
      <c r="N555" s="1041"/>
      <c r="O555" s="975"/>
    </row>
    <row r="556" spans="1:15">
      <c r="A556" s="972"/>
      <c r="B556" s="972"/>
      <c r="C556" s="972"/>
      <c r="D556" s="972"/>
      <c r="E556" s="972"/>
      <c r="F556" s="972"/>
      <c r="G556" s="972"/>
      <c r="H556" s="972"/>
      <c r="I556" s="972"/>
      <c r="J556" s="972"/>
      <c r="K556" s="972"/>
      <c r="L556" s="1041"/>
      <c r="M556" s="1041"/>
      <c r="N556" s="1041"/>
      <c r="O556" s="975"/>
    </row>
    <row r="557" spans="1:15">
      <c r="A557" s="972"/>
      <c r="B557" s="972"/>
      <c r="C557" s="972"/>
      <c r="D557" s="972"/>
      <c r="E557" s="972"/>
      <c r="F557" s="972"/>
      <c r="G557" s="972"/>
      <c r="H557" s="972"/>
      <c r="I557" s="972"/>
      <c r="J557" s="972"/>
      <c r="K557" s="972"/>
      <c r="L557" s="1041"/>
      <c r="M557" s="1041"/>
      <c r="N557" s="1041"/>
      <c r="O557" s="975"/>
    </row>
    <row r="558" spans="1:15">
      <c r="A558" s="972"/>
      <c r="B558" s="972"/>
      <c r="C558" s="972"/>
      <c r="D558" s="972"/>
      <c r="E558" s="972"/>
      <c r="F558" s="972"/>
      <c r="G558" s="972"/>
      <c r="H558" s="972"/>
      <c r="I558" s="972"/>
      <c r="J558" s="972"/>
      <c r="K558" s="972"/>
      <c r="L558" s="1041"/>
      <c r="M558" s="1041"/>
      <c r="N558" s="1041"/>
      <c r="O558" s="975"/>
    </row>
    <row r="559" spans="1:15">
      <c r="A559" s="972"/>
      <c r="B559" s="972"/>
      <c r="C559" s="972"/>
      <c r="D559" s="972"/>
      <c r="E559" s="972"/>
      <c r="F559" s="972"/>
      <c r="G559" s="972"/>
      <c r="H559" s="972"/>
      <c r="I559" s="972"/>
      <c r="J559" s="972"/>
      <c r="K559" s="972"/>
      <c r="L559" s="1041"/>
      <c r="M559" s="1041"/>
      <c r="N559" s="1041"/>
      <c r="O559" s="975"/>
    </row>
    <row r="560" spans="1:15">
      <c r="A560" s="972"/>
      <c r="B560" s="972"/>
      <c r="C560" s="972"/>
      <c r="D560" s="972"/>
      <c r="E560" s="972"/>
      <c r="F560" s="972"/>
      <c r="G560" s="972"/>
      <c r="H560" s="972"/>
      <c r="I560" s="972"/>
      <c r="J560" s="972"/>
      <c r="K560" s="972"/>
      <c r="L560" s="1041"/>
      <c r="M560" s="1041"/>
      <c r="N560" s="1041"/>
      <c r="O560" s="975"/>
    </row>
    <row r="561" spans="1:15">
      <c r="A561" s="972"/>
      <c r="B561" s="972"/>
      <c r="C561" s="972"/>
      <c r="D561" s="972"/>
      <c r="E561" s="972"/>
      <c r="F561" s="972"/>
      <c r="G561" s="972"/>
      <c r="H561" s="972"/>
      <c r="I561" s="972"/>
      <c r="J561" s="972"/>
      <c r="K561" s="972"/>
      <c r="L561" s="1041"/>
      <c r="M561" s="1041"/>
      <c r="N561" s="1041"/>
      <c r="O561" s="975"/>
    </row>
    <row r="562" spans="1:15">
      <c r="A562" s="972"/>
      <c r="B562" s="972"/>
      <c r="C562" s="972"/>
      <c r="D562" s="972"/>
      <c r="E562" s="972"/>
      <c r="F562" s="972"/>
      <c r="G562" s="972"/>
      <c r="H562" s="972"/>
      <c r="I562" s="972"/>
      <c r="J562" s="972"/>
      <c r="K562" s="972"/>
      <c r="L562" s="1041"/>
      <c r="M562" s="1041"/>
      <c r="N562" s="1041"/>
      <c r="O562" s="975"/>
    </row>
    <row r="563" spans="1:15">
      <c r="A563" s="972"/>
      <c r="B563" s="972"/>
      <c r="C563" s="972"/>
      <c r="D563" s="972"/>
      <c r="E563" s="972"/>
      <c r="F563" s="972"/>
      <c r="G563" s="972"/>
      <c r="H563" s="972"/>
      <c r="I563" s="972"/>
      <c r="J563" s="972"/>
      <c r="K563" s="972"/>
      <c r="L563" s="1041"/>
      <c r="M563" s="1041"/>
      <c r="N563" s="1041"/>
      <c r="O563" s="975"/>
    </row>
    <row r="564" spans="1:15">
      <c r="A564" s="972"/>
      <c r="B564" s="972"/>
      <c r="C564" s="972"/>
      <c r="D564" s="972"/>
      <c r="E564" s="972"/>
      <c r="F564" s="972"/>
      <c r="G564" s="972"/>
      <c r="H564" s="972"/>
      <c r="I564" s="972"/>
      <c r="J564" s="972"/>
      <c r="K564" s="972"/>
      <c r="L564" s="1041"/>
      <c r="M564" s="1041"/>
      <c r="N564" s="1041"/>
      <c r="O564" s="975"/>
    </row>
    <row r="565" spans="1:15">
      <c r="A565" s="972"/>
      <c r="B565" s="972"/>
      <c r="C565" s="972"/>
      <c r="D565" s="972"/>
      <c r="E565" s="972"/>
      <c r="F565" s="972"/>
      <c r="G565" s="972"/>
      <c r="H565" s="972"/>
      <c r="I565" s="972"/>
      <c r="J565" s="972"/>
      <c r="K565" s="972"/>
      <c r="L565" s="1041"/>
      <c r="M565" s="1041"/>
      <c r="N565" s="1041"/>
      <c r="O565" s="975"/>
    </row>
    <row r="566" spans="1:15">
      <c r="A566" s="972"/>
      <c r="B566" s="972"/>
      <c r="C566" s="972"/>
      <c r="D566" s="972"/>
      <c r="E566" s="972"/>
      <c r="F566" s="972"/>
      <c r="G566" s="972"/>
      <c r="H566" s="972"/>
      <c r="I566" s="972"/>
      <c r="J566" s="972"/>
      <c r="K566" s="972"/>
      <c r="L566" s="1041"/>
      <c r="M566" s="1041"/>
      <c r="N566" s="1041"/>
      <c r="O566" s="975"/>
    </row>
    <row r="567" spans="1:15">
      <c r="A567" s="972"/>
      <c r="B567" s="972"/>
      <c r="C567" s="972"/>
      <c r="D567" s="972"/>
      <c r="E567" s="972"/>
      <c r="F567" s="972"/>
      <c r="G567" s="972"/>
      <c r="H567" s="972"/>
      <c r="I567" s="972"/>
      <c r="J567" s="972"/>
      <c r="K567" s="972"/>
      <c r="L567" s="1041"/>
      <c r="M567" s="1041"/>
      <c r="N567" s="1041"/>
      <c r="O567" s="975"/>
    </row>
    <row r="568" spans="1:15">
      <c r="A568" s="972"/>
      <c r="B568" s="972"/>
      <c r="C568" s="972"/>
      <c r="D568" s="972"/>
      <c r="E568" s="972"/>
      <c r="F568" s="972"/>
      <c r="G568" s="972"/>
      <c r="H568" s="972"/>
      <c r="I568" s="972"/>
      <c r="J568" s="972"/>
      <c r="K568" s="972"/>
      <c r="L568" s="1041"/>
      <c r="M568" s="1041"/>
      <c r="N568" s="1041"/>
      <c r="O568" s="975"/>
    </row>
    <row r="569" spans="1:15">
      <c r="A569" s="972"/>
      <c r="B569" s="972"/>
      <c r="C569" s="972"/>
      <c r="D569" s="972"/>
      <c r="E569" s="972"/>
      <c r="F569" s="972"/>
      <c r="G569" s="972"/>
      <c r="H569" s="972"/>
      <c r="I569" s="972"/>
      <c r="J569" s="972"/>
      <c r="K569" s="972"/>
      <c r="L569" s="1041"/>
      <c r="M569" s="1041"/>
      <c r="N569" s="1041"/>
      <c r="O569" s="975"/>
    </row>
    <row r="570" spans="1:15">
      <c r="A570" s="972"/>
      <c r="B570" s="972"/>
      <c r="C570" s="972"/>
      <c r="D570" s="972"/>
      <c r="E570" s="972"/>
      <c r="F570" s="972"/>
      <c r="G570" s="972"/>
      <c r="H570" s="972"/>
      <c r="I570" s="972"/>
      <c r="J570" s="972"/>
      <c r="K570" s="972"/>
      <c r="L570" s="1041"/>
      <c r="M570" s="1041"/>
      <c r="N570" s="1041"/>
      <c r="O570" s="975"/>
    </row>
    <row r="571" spans="1:15">
      <c r="A571" s="972"/>
      <c r="B571" s="972"/>
      <c r="C571" s="972"/>
      <c r="D571" s="972"/>
      <c r="E571" s="972"/>
      <c r="F571" s="972"/>
      <c r="G571" s="972"/>
      <c r="H571" s="972"/>
      <c r="I571" s="972"/>
      <c r="J571" s="972"/>
      <c r="K571" s="972"/>
      <c r="L571" s="1041"/>
      <c r="M571" s="1041"/>
      <c r="N571" s="1041"/>
      <c r="O571" s="975"/>
    </row>
    <row r="572" spans="1:15">
      <c r="A572" s="972"/>
      <c r="B572" s="972"/>
      <c r="C572" s="972"/>
      <c r="D572" s="972"/>
      <c r="E572" s="972"/>
      <c r="F572" s="972"/>
      <c r="G572" s="972"/>
      <c r="H572" s="972"/>
      <c r="I572" s="972"/>
      <c r="J572" s="972"/>
      <c r="K572" s="972"/>
      <c r="L572" s="1041"/>
      <c r="M572" s="1041"/>
      <c r="N572" s="1041"/>
      <c r="O572" s="975"/>
    </row>
    <row r="573" spans="1:15">
      <c r="A573" s="972"/>
      <c r="B573" s="972"/>
      <c r="C573" s="972"/>
      <c r="D573" s="972"/>
      <c r="E573" s="972"/>
      <c r="F573" s="972"/>
      <c r="G573" s="972"/>
      <c r="H573" s="972"/>
      <c r="I573" s="972"/>
      <c r="J573" s="972"/>
      <c r="K573" s="972"/>
      <c r="L573" s="1041"/>
      <c r="M573" s="1041"/>
      <c r="N573" s="1041"/>
      <c r="O573" s="975"/>
    </row>
    <row r="574" spans="1:15">
      <c r="A574" s="972"/>
      <c r="B574" s="972"/>
      <c r="C574" s="972"/>
      <c r="D574" s="972"/>
      <c r="E574" s="972"/>
      <c r="F574" s="972"/>
      <c r="G574" s="972"/>
      <c r="H574" s="972"/>
      <c r="I574" s="972"/>
      <c r="J574" s="972"/>
      <c r="K574" s="972"/>
      <c r="L574" s="1041"/>
      <c r="M574" s="1041"/>
      <c r="N574" s="1041"/>
      <c r="O574" s="975"/>
    </row>
    <row r="575" spans="1:15">
      <c r="A575" s="972"/>
      <c r="B575" s="972"/>
      <c r="C575" s="972"/>
      <c r="D575" s="972"/>
      <c r="E575" s="972"/>
      <c r="F575" s="972"/>
      <c r="G575" s="972"/>
      <c r="H575" s="972"/>
      <c r="I575" s="972"/>
      <c r="J575" s="972"/>
      <c r="K575" s="972"/>
      <c r="L575" s="1041"/>
      <c r="M575" s="1041"/>
      <c r="N575" s="1041"/>
      <c r="O575" s="975"/>
    </row>
    <row r="576" spans="1:15">
      <c r="A576" s="972"/>
      <c r="B576" s="972"/>
      <c r="C576" s="972"/>
      <c r="D576" s="972"/>
      <c r="E576" s="972"/>
      <c r="F576" s="972"/>
      <c r="G576" s="972"/>
      <c r="H576" s="972"/>
      <c r="I576" s="972"/>
      <c r="J576" s="972"/>
      <c r="K576" s="972"/>
      <c r="L576" s="1041"/>
      <c r="M576" s="1041"/>
      <c r="N576" s="1041"/>
      <c r="O576" s="975"/>
    </row>
    <row r="577" spans="1:15">
      <c r="A577" s="972"/>
      <c r="B577" s="972"/>
      <c r="C577" s="972"/>
      <c r="D577" s="972"/>
      <c r="E577" s="972"/>
      <c r="F577" s="972"/>
      <c r="G577" s="972"/>
      <c r="H577" s="972"/>
      <c r="I577" s="972"/>
      <c r="J577" s="972"/>
      <c r="K577" s="972"/>
      <c r="L577" s="1041"/>
      <c r="M577" s="1041"/>
      <c r="N577" s="1041"/>
      <c r="O577" s="975"/>
    </row>
    <row r="578" spans="1:15">
      <c r="A578" s="972"/>
      <c r="B578" s="972"/>
      <c r="C578" s="972"/>
      <c r="D578" s="972"/>
      <c r="E578" s="972"/>
      <c r="F578" s="972"/>
      <c r="G578" s="972"/>
      <c r="H578" s="972"/>
      <c r="I578" s="972"/>
      <c r="J578" s="972"/>
      <c r="K578" s="972"/>
      <c r="L578" s="1041"/>
      <c r="M578" s="1041"/>
      <c r="N578" s="1041"/>
      <c r="O578" s="975"/>
    </row>
    <row r="579" spans="1:15">
      <c r="A579" s="972"/>
      <c r="B579" s="972"/>
      <c r="C579" s="972"/>
      <c r="D579" s="972"/>
      <c r="E579" s="972"/>
      <c r="F579" s="972"/>
      <c r="G579" s="972"/>
      <c r="H579" s="972"/>
      <c r="I579" s="972"/>
      <c r="J579" s="972"/>
      <c r="K579" s="972"/>
      <c r="L579" s="1041"/>
      <c r="M579" s="1041"/>
      <c r="N579" s="1041"/>
      <c r="O579" s="975"/>
    </row>
    <row r="580" spans="1:15">
      <c r="A580" s="972"/>
      <c r="B580" s="972"/>
      <c r="C580" s="972"/>
      <c r="D580" s="972"/>
      <c r="E580" s="972"/>
      <c r="F580" s="972"/>
      <c r="G580" s="972"/>
      <c r="H580" s="972"/>
      <c r="I580" s="972"/>
      <c r="J580" s="972"/>
      <c r="K580" s="972"/>
      <c r="L580" s="1041"/>
      <c r="M580" s="1041"/>
      <c r="N580" s="1041"/>
      <c r="O580" s="975"/>
    </row>
    <row r="581" spans="1:15">
      <c r="A581" s="972"/>
      <c r="B581" s="972"/>
      <c r="C581" s="972"/>
      <c r="D581" s="972"/>
      <c r="E581" s="972"/>
      <c r="F581" s="972"/>
      <c r="G581" s="972"/>
      <c r="H581" s="972"/>
      <c r="I581" s="972"/>
      <c r="J581" s="972"/>
      <c r="K581" s="972"/>
      <c r="L581" s="1041"/>
      <c r="M581" s="1041"/>
      <c r="N581" s="1041"/>
      <c r="O581" s="975"/>
    </row>
    <row r="582" spans="1:15">
      <c r="A582" s="972"/>
      <c r="B582" s="972"/>
      <c r="C582" s="972"/>
      <c r="D582" s="972"/>
      <c r="E582" s="972"/>
      <c r="F582" s="972"/>
      <c r="G582" s="972"/>
      <c r="H582" s="972"/>
      <c r="I582" s="972"/>
      <c r="J582" s="972"/>
      <c r="K582" s="972"/>
      <c r="L582" s="1041"/>
      <c r="M582" s="1041"/>
      <c r="N582" s="1041"/>
      <c r="O582" s="975"/>
    </row>
    <row r="583" spans="1:15">
      <c r="A583" s="972"/>
      <c r="B583" s="972"/>
      <c r="C583" s="972"/>
      <c r="D583" s="972"/>
      <c r="E583" s="972"/>
      <c r="F583" s="972"/>
      <c r="G583" s="972"/>
      <c r="H583" s="972"/>
      <c r="I583" s="972"/>
      <c r="J583" s="972"/>
      <c r="K583" s="972"/>
      <c r="L583" s="1041"/>
      <c r="M583" s="1041"/>
      <c r="N583" s="1041"/>
      <c r="O583" s="975"/>
    </row>
    <row r="584" spans="1:15">
      <c r="A584" s="972"/>
      <c r="B584" s="972"/>
      <c r="C584" s="972"/>
      <c r="D584" s="972"/>
      <c r="E584" s="972"/>
      <c r="F584" s="972"/>
      <c r="G584" s="972"/>
      <c r="H584" s="972"/>
      <c r="I584" s="972"/>
      <c r="J584" s="972"/>
      <c r="K584" s="972"/>
      <c r="L584" s="1041"/>
      <c r="M584" s="1041"/>
      <c r="N584" s="1041"/>
      <c r="O584" s="975"/>
    </row>
    <row r="585" spans="1:15">
      <c r="A585" s="972"/>
      <c r="B585" s="972"/>
      <c r="C585" s="972"/>
      <c r="D585" s="972"/>
      <c r="E585" s="972"/>
      <c r="F585" s="972"/>
      <c r="G585" s="972"/>
      <c r="H585" s="972"/>
      <c r="I585" s="972"/>
      <c r="J585" s="972"/>
      <c r="K585" s="972"/>
      <c r="L585" s="1041"/>
      <c r="M585" s="1041"/>
      <c r="N585" s="1041"/>
      <c r="O585" s="975"/>
    </row>
    <row r="586" spans="1:15">
      <c r="A586" s="972"/>
      <c r="B586" s="972"/>
      <c r="C586" s="972"/>
      <c r="D586" s="972"/>
      <c r="E586" s="972"/>
      <c r="F586" s="972"/>
      <c r="G586" s="972"/>
      <c r="H586" s="972"/>
      <c r="I586" s="972"/>
      <c r="J586" s="972"/>
      <c r="K586" s="972"/>
      <c r="L586" s="1041"/>
      <c r="M586" s="1041"/>
      <c r="N586" s="1041"/>
      <c r="O586" s="975"/>
    </row>
    <row r="587" spans="1:15">
      <c r="A587" s="972"/>
      <c r="B587" s="972"/>
      <c r="C587" s="972"/>
      <c r="D587" s="972"/>
      <c r="E587" s="972"/>
      <c r="F587" s="972"/>
      <c r="G587" s="972"/>
      <c r="H587" s="972"/>
      <c r="I587" s="972"/>
      <c r="J587" s="972"/>
      <c r="K587" s="972"/>
      <c r="L587" s="1041"/>
      <c r="M587" s="1041"/>
      <c r="N587" s="1041"/>
      <c r="O587" s="975"/>
    </row>
    <row r="588" spans="1:15">
      <c r="A588" s="972"/>
      <c r="B588" s="972"/>
      <c r="C588" s="972"/>
      <c r="D588" s="972"/>
      <c r="E588" s="972"/>
      <c r="F588" s="972"/>
      <c r="G588" s="972"/>
      <c r="H588" s="972"/>
      <c r="I588" s="972"/>
      <c r="J588" s="972"/>
      <c r="K588" s="972"/>
      <c r="L588" s="1041"/>
      <c r="M588" s="1041"/>
      <c r="N588" s="1041"/>
      <c r="O588" s="975"/>
    </row>
    <row r="589" spans="1:15">
      <c r="A589" s="972"/>
      <c r="B589" s="972"/>
      <c r="C589" s="972"/>
      <c r="D589" s="972"/>
      <c r="E589" s="972"/>
      <c r="F589" s="972"/>
      <c r="G589" s="972"/>
      <c r="H589" s="972"/>
      <c r="I589" s="972"/>
      <c r="J589" s="972"/>
      <c r="K589" s="972"/>
      <c r="L589" s="1041"/>
      <c r="M589" s="1041"/>
      <c r="N589" s="1041"/>
      <c r="O589" s="975"/>
    </row>
    <row r="590" spans="1:15">
      <c r="A590" s="972"/>
      <c r="B590" s="972"/>
      <c r="C590" s="972"/>
      <c r="D590" s="972"/>
      <c r="E590" s="972"/>
      <c r="F590" s="972"/>
      <c r="G590" s="972"/>
      <c r="H590" s="972"/>
      <c r="I590" s="972"/>
      <c r="J590" s="972"/>
      <c r="K590" s="972"/>
      <c r="L590" s="1041"/>
      <c r="M590" s="1041"/>
      <c r="N590" s="1041"/>
      <c r="O590" s="975"/>
    </row>
    <row r="591" spans="1:15">
      <c r="A591" s="972"/>
      <c r="B591" s="972"/>
      <c r="C591" s="972"/>
      <c r="D591" s="972"/>
      <c r="E591" s="972"/>
      <c r="F591" s="972"/>
      <c r="G591" s="972"/>
      <c r="H591" s="972"/>
      <c r="I591" s="972"/>
      <c r="J591" s="972"/>
      <c r="K591" s="972"/>
      <c r="L591" s="1041"/>
      <c r="M591" s="1041"/>
      <c r="N591" s="1041"/>
      <c r="O591" s="975"/>
    </row>
    <row r="592" spans="1:15">
      <c r="A592" s="972"/>
      <c r="B592" s="972"/>
      <c r="C592" s="972"/>
      <c r="D592" s="972"/>
      <c r="E592" s="972"/>
      <c r="F592" s="972"/>
      <c r="G592" s="972"/>
      <c r="H592" s="972"/>
      <c r="I592" s="972"/>
      <c r="J592" s="972"/>
      <c r="K592" s="972"/>
      <c r="L592" s="1041"/>
      <c r="M592" s="1041"/>
      <c r="N592" s="1041"/>
      <c r="O592" s="975"/>
    </row>
    <row r="593" spans="1:15">
      <c r="A593" s="972"/>
      <c r="B593" s="972"/>
      <c r="C593" s="972"/>
      <c r="D593" s="972"/>
      <c r="E593" s="972"/>
      <c r="F593" s="972"/>
      <c r="G593" s="972"/>
      <c r="H593" s="972"/>
      <c r="I593" s="972"/>
      <c r="J593" s="972"/>
      <c r="K593" s="972"/>
      <c r="L593" s="1041"/>
      <c r="M593" s="1041"/>
      <c r="N593" s="1041"/>
      <c r="O593" s="975"/>
    </row>
    <row r="594" spans="1:15">
      <c r="A594" s="972"/>
      <c r="B594" s="972"/>
      <c r="C594" s="972"/>
      <c r="D594" s="972"/>
      <c r="E594" s="972"/>
      <c r="F594" s="972"/>
      <c r="G594" s="972"/>
      <c r="H594" s="972"/>
      <c r="I594" s="972"/>
      <c r="J594" s="972"/>
      <c r="K594" s="972"/>
      <c r="L594" s="1041"/>
      <c r="M594" s="1041"/>
      <c r="N594" s="1041"/>
      <c r="O594" s="975"/>
    </row>
    <row r="595" spans="1:15">
      <c r="A595" s="972"/>
      <c r="B595" s="972"/>
      <c r="C595" s="972"/>
      <c r="D595" s="972"/>
      <c r="E595" s="972"/>
      <c r="F595" s="972"/>
      <c r="G595" s="972"/>
      <c r="H595" s="972"/>
      <c r="I595" s="972"/>
      <c r="J595" s="972"/>
      <c r="K595" s="972"/>
      <c r="L595" s="1041"/>
      <c r="M595" s="1041"/>
      <c r="N595" s="1041"/>
      <c r="O595" s="975"/>
    </row>
    <row r="596" spans="1:15">
      <c r="A596" s="972"/>
      <c r="B596" s="972"/>
      <c r="C596" s="972"/>
      <c r="D596" s="972"/>
      <c r="E596" s="972"/>
      <c r="F596" s="972"/>
      <c r="G596" s="972"/>
      <c r="H596" s="972"/>
      <c r="I596" s="972"/>
      <c r="J596" s="972"/>
      <c r="K596" s="972"/>
      <c r="L596" s="1041"/>
      <c r="M596" s="1041"/>
      <c r="N596" s="1041"/>
      <c r="O596" s="975"/>
    </row>
    <row r="597" spans="1:15">
      <c r="A597" s="972"/>
      <c r="B597" s="972"/>
      <c r="C597" s="972"/>
      <c r="D597" s="972"/>
      <c r="E597" s="972"/>
      <c r="F597" s="972"/>
      <c r="G597" s="972"/>
      <c r="H597" s="972"/>
      <c r="I597" s="972"/>
      <c r="J597" s="972"/>
      <c r="K597" s="972"/>
      <c r="L597" s="1041"/>
      <c r="M597" s="1041"/>
      <c r="N597" s="1041"/>
      <c r="O597" s="975"/>
    </row>
    <row r="598" spans="1:15">
      <c r="A598" s="972"/>
      <c r="B598" s="972"/>
      <c r="C598" s="972"/>
      <c r="D598" s="972"/>
      <c r="E598" s="972"/>
      <c r="F598" s="972"/>
      <c r="G598" s="972"/>
      <c r="H598" s="972"/>
      <c r="I598" s="972"/>
      <c r="J598" s="972"/>
      <c r="K598" s="972"/>
      <c r="L598" s="1041"/>
      <c r="M598" s="1041"/>
      <c r="N598" s="1041"/>
      <c r="O598" s="975"/>
    </row>
    <row r="599" spans="1:15">
      <c r="A599" s="972"/>
      <c r="B599" s="972"/>
      <c r="C599" s="972"/>
      <c r="D599" s="972"/>
      <c r="E599" s="972"/>
      <c r="F599" s="972"/>
      <c r="G599" s="972"/>
      <c r="H599" s="972"/>
      <c r="I599" s="972"/>
      <c r="J599" s="972"/>
      <c r="K599" s="972"/>
      <c r="L599" s="1041"/>
      <c r="M599" s="1041"/>
      <c r="N599" s="1041"/>
      <c r="O599" s="975"/>
    </row>
    <row r="600" spans="1:15">
      <c r="A600" s="972"/>
      <c r="B600" s="972"/>
      <c r="C600" s="972"/>
      <c r="D600" s="972"/>
      <c r="E600" s="972"/>
      <c r="F600" s="972"/>
      <c r="G600" s="972"/>
      <c r="H600" s="972"/>
      <c r="I600" s="972"/>
      <c r="J600" s="972"/>
      <c r="K600" s="972"/>
      <c r="L600" s="1041"/>
      <c r="M600" s="1041"/>
      <c r="N600" s="1041"/>
      <c r="O600" s="975"/>
    </row>
    <row r="601" spans="1:15">
      <c r="A601" s="972"/>
      <c r="B601" s="972"/>
      <c r="C601" s="972"/>
      <c r="D601" s="972"/>
      <c r="E601" s="972"/>
      <c r="F601" s="972"/>
      <c r="G601" s="972"/>
      <c r="H601" s="972"/>
      <c r="I601" s="972"/>
      <c r="J601" s="972"/>
      <c r="K601" s="972"/>
      <c r="L601" s="1041"/>
      <c r="M601" s="1041"/>
      <c r="N601" s="1041"/>
      <c r="O601" s="975"/>
    </row>
    <row r="602" spans="1:15">
      <c r="A602" s="972"/>
      <c r="B602" s="972"/>
      <c r="C602" s="972"/>
      <c r="D602" s="972"/>
      <c r="E602" s="972"/>
      <c r="F602" s="972"/>
      <c r="G602" s="972"/>
      <c r="H602" s="972"/>
      <c r="I602" s="972"/>
      <c r="J602" s="972"/>
      <c r="K602" s="972"/>
      <c r="L602" s="1041"/>
      <c r="M602" s="1041"/>
      <c r="N602" s="1041"/>
      <c r="O602" s="975"/>
    </row>
    <row r="603" spans="1:15">
      <c r="A603" s="972"/>
      <c r="B603" s="972"/>
      <c r="C603" s="972"/>
      <c r="D603" s="972"/>
      <c r="E603" s="972"/>
      <c r="F603" s="972"/>
      <c r="G603" s="972"/>
      <c r="H603" s="972"/>
      <c r="I603" s="972"/>
      <c r="J603" s="972"/>
      <c r="K603" s="972"/>
      <c r="L603" s="1041"/>
      <c r="M603" s="1041"/>
      <c r="N603" s="1041"/>
      <c r="O603" s="975"/>
    </row>
    <row r="604" spans="1:15">
      <c r="A604" s="972"/>
      <c r="B604" s="972"/>
      <c r="C604" s="972"/>
      <c r="D604" s="972"/>
      <c r="E604" s="972"/>
      <c r="F604" s="972"/>
      <c r="G604" s="972"/>
      <c r="H604" s="972"/>
      <c r="I604" s="972"/>
      <c r="J604" s="972"/>
      <c r="K604" s="972"/>
      <c r="L604" s="1041"/>
      <c r="M604" s="1041"/>
      <c r="N604" s="1041"/>
      <c r="O604" s="975"/>
    </row>
    <row r="605" spans="1:15">
      <c r="A605" s="972"/>
      <c r="B605" s="972"/>
      <c r="C605" s="972"/>
      <c r="D605" s="972"/>
      <c r="E605" s="972"/>
      <c r="F605" s="972"/>
      <c r="G605" s="972"/>
      <c r="H605" s="972"/>
      <c r="I605" s="972"/>
      <c r="J605" s="972"/>
      <c r="K605" s="972"/>
      <c r="L605" s="1041"/>
      <c r="M605" s="1041"/>
      <c r="N605" s="1041"/>
      <c r="O605" s="975"/>
    </row>
    <row r="606" spans="1:15">
      <c r="A606" s="972"/>
      <c r="B606" s="972"/>
      <c r="C606" s="972"/>
      <c r="D606" s="972"/>
      <c r="E606" s="972"/>
      <c r="F606" s="972"/>
      <c r="G606" s="972"/>
      <c r="H606" s="972"/>
      <c r="I606" s="972"/>
      <c r="J606" s="972"/>
      <c r="K606" s="972"/>
      <c r="L606" s="1041"/>
      <c r="M606" s="1041"/>
      <c r="N606" s="1041"/>
      <c r="O606" s="975"/>
    </row>
    <row r="607" spans="1:15">
      <c r="A607" s="972"/>
      <c r="B607" s="972"/>
      <c r="C607" s="972"/>
      <c r="D607" s="972"/>
      <c r="E607" s="972"/>
      <c r="F607" s="972"/>
      <c r="G607" s="972"/>
      <c r="H607" s="972"/>
      <c r="I607" s="972"/>
      <c r="J607" s="972"/>
      <c r="K607" s="972"/>
      <c r="L607" s="1041"/>
      <c r="M607" s="1041"/>
      <c r="N607" s="1041"/>
      <c r="O607" s="975"/>
    </row>
    <row r="608" spans="1:15">
      <c r="A608" s="972"/>
      <c r="B608" s="972"/>
      <c r="C608" s="972"/>
      <c r="D608" s="972"/>
      <c r="E608" s="972"/>
      <c r="F608" s="972"/>
      <c r="G608" s="972"/>
      <c r="H608" s="972"/>
      <c r="I608" s="972"/>
      <c r="J608" s="972"/>
      <c r="K608" s="972"/>
      <c r="L608" s="1041"/>
      <c r="M608" s="1041"/>
      <c r="N608" s="1041"/>
      <c r="O608" s="975"/>
    </row>
    <row r="609" spans="1:15">
      <c r="A609" s="972"/>
      <c r="B609" s="972"/>
      <c r="C609" s="972"/>
      <c r="D609" s="972"/>
      <c r="E609" s="972"/>
      <c r="F609" s="972"/>
      <c r="G609" s="972"/>
      <c r="H609" s="972"/>
      <c r="I609" s="972"/>
      <c r="J609" s="972"/>
      <c r="K609" s="972"/>
      <c r="L609" s="1041"/>
      <c r="M609" s="1041"/>
      <c r="N609" s="1041"/>
      <c r="O609" s="975"/>
    </row>
    <row r="610" spans="1:15">
      <c r="A610" s="972"/>
      <c r="B610" s="972"/>
      <c r="C610" s="972"/>
      <c r="D610" s="972"/>
      <c r="E610" s="972"/>
      <c r="F610" s="972"/>
      <c r="G610" s="972"/>
      <c r="H610" s="972"/>
      <c r="I610" s="972"/>
      <c r="J610" s="972"/>
      <c r="K610" s="972"/>
      <c r="L610" s="1041"/>
      <c r="M610" s="1041"/>
      <c r="N610" s="1041"/>
      <c r="O610" s="975"/>
    </row>
    <row r="611" spans="1:15">
      <c r="A611" s="972"/>
      <c r="B611" s="972"/>
      <c r="C611" s="972"/>
      <c r="D611" s="972"/>
      <c r="E611" s="972"/>
      <c r="F611" s="972"/>
      <c r="G611" s="972"/>
      <c r="H611" s="972"/>
      <c r="I611" s="972"/>
      <c r="J611" s="972"/>
      <c r="K611" s="972"/>
      <c r="L611" s="1041"/>
      <c r="M611" s="1041"/>
      <c r="N611" s="1041"/>
      <c r="O611" s="975"/>
    </row>
    <row r="612" spans="1:15">
      <c r="A612" s="972"/>
      <c r="B612" s="972"/>
      <c r="C612" s="972"/>
      <c r="D612" s="972"/>
      <c r="E612" s="972"/>
      <c r="F612" s="972"/>
      <c r="G612" s="972"/>
      <c r="H612" s="972"/>
      <c r="I612" s="972"/>
      <c r="J612" s="972"/>
      <c r="K612" s="972"/>
      <c r="L612" s="1041"/>
      <c r="M612" s="1041"/>
      <c r="N612" s="1041"/>
      <c r="O612" s="975"/>
    </row>
    <row r="613" spans="1:15">
      <c r="A613" s="972"/>
      <c r="B613" s="972"/>
      <c r="C613" s="972"/>
      <c r="D613" s="972"/>
      <c r="E613" s="972"/>
      <c r="F613" s="972"/>
      <c r="G613" s="972"/>
      <c r="H613" s="972"/>
      <c r="I613" s="972"/>
      <c r="J613" s="972"/>
      <c r="K613" s="972"/>
      <c r="L613" s="1041"/>
      <c r="M613" s="1041"/>
      <c r="N613" s="1041"/>
      <c r="O613" s="975"/>
    </row>
    <row r="614" spans="1:15">
      <c r="A614" s="972"/>
      <c r="B614" s="972"/>
      <c r="C614" s="972"/>
      <c r="D614" s="972"/>
      <c r="E614" s="972"/>
      <c r="F614" s="972"/>
      <c r="G614" s="972"/>
      <c r="H614" s="972"/>
      <c r="I614" s="972"/>
      <c r="J614" s="972"/>
      <c r="K614" s="972"/>
      <c r="L614" s="1041"/>
      <c r="M614" s="1041"/>
      <c r="N614" s="1041"/>
      <c r="O614" s="975"/>
    </row>
    <row r="615" spans="1:15">
      <c r="A615" s="972"/>
      <c r="B615" s="972"/>
      <c r="C615" s="972"/>
      <c r="D615" s="972"/>
      <c r="E615" s="972"/>
      <c r="F615" s="972"/>
      <c r="G615" s="972"/>
      <c r="H615" s="972"/>
      <c r="I615" s="972"/>
      <c r="J615" s="972"/>
      <c r="K615" s="972"/>
      <c r="L615" s="1041"/>
      <c r="M615" s="1041"/>
      <c r="N615" s="1041"/>
      <c r="O615" s="975"/>
    </row>
    <row r="616" spans="1:15">
      <c r="A616" s="972"/>
      <c r="B616" s="972"/>
      <c r="C616" s="972"/>
      <c r="D616" s="972"/>
      <c r="E616" s="972"/>
      <c r="F616" s="972"/>
      <c r="G616" s="972"/>
      <c r="H616" s="972"/>
      <c r="I616" s="972"/>
      <c r="J616" s="972"/>
      <c r="K616" s="972"/>
      <c r="L616" s="1041"/>
      <c r="M616" s="1041"/>
      <c r="N616" s="1041"/>
      <c r="O616" s="975"/>
    </row>
    <row r="617" spans="1:15">
      <c r="A617" s="972"/>
      <c r="B617" s="972"/>
      <c r="C617" s="972"/>
      <c r="D617" s="972"/>
      <c r="E617" s="972"/>
      <c r="F617" s="972"/>
      <c r="G617" s="972"/>
      <c r="H617" s="972"/>
      <c r="I617" s="972"/>
      <c r="J617" s="972"/>
      <c r="K617" s="972"/>
      <c r="L617" s="1041"/>
      <c r="M617" s="1041"/>
      <c r="N617" s="1041"/>
      <c r="O617" s="975"/>
    </row>
    <row r="618" spans="1:15">
      <c r="A618" s="972"/>
      <c r="B618" s="972"/>
      <c r="C618" s="972"/>
      <c r="D618" s="972"/>
      <c r="E618" s="972"/>
      <c r="F618" s="972"/>
      <c r="G618" s="972"/>
      <c r="H618" s="972"/>
      <c r="I618" s="972"/>
      <c r="J618" s="972"/>
      <c r="K618" s="972"/>
      <c r="L618" s="1041"/>
      <c r="M618" s="1041"/>
      <c r="N618" s="1041"/>
      <c r="O618" s="975"/>
    </row>
    <row r="619" spans="1:15">
      <c r="A619" s="972"/>
      <c r="B619" s="972"/>
      <c r="C619" s="972"/>
      <c r="D619" s="972"/>
      <c r="E619" s="972"/>
      <c r="F619" s="972"/>
      <c r="G619" s="972"/>
      <c r="H619" s="972"/>
      <c r="I619" s="972"/>
      <c r="J619" s="972"/>
      <c r="K619" s="972"/>
      <c r="L619" s="1041"/>
      <c r="M619" s="1041"/>
      <c r="N619" s="1041"/>
      <c r="O619" s="975"/>
    </row>
    <row r="620" spans="1:15">
      <c r="A620" s="972"/>
      <c r="B620" s="972"/>
      <c r="C620" s="972"/>
      <c r="D620" s="972"/>
      <c r="E620" s="972"/>
      <c r="F620" s="972"/>
      <c r="G620" s="972"/>
      <c r="H620" s="972"/>
      <c r="I620" s="972"/>
      <c r="J620" s="972"/>
      <c r="K620" s="972"/>
      <c r="L620" s="1041"/>
      <c r="M620" s="1041"/>
      <c r="N620" s="1041"/>
      <c r="O620" s="975"/>
    </row>
    <row r="621" spans="1:15">
      <c r="A621" s="972"/>
      <c r="B621" s="972"/>
      <c r="C621" s="972"/>
      <c r="D621" s="972"/>
      <c r="E621" s="972"/>
      <c r="F621" s="972"/>
      <c r="G621" s="972"/>
      <c r="H621" s="972"/>
      <c r="I621" s="972"/>
      <c r="J621" s="972"/>
      <c r="K621" s="972"/>
      <c r="L621" s="1041"/>
      <c r="M621" s="1041"/>
      <c r="N621" s="1041"/>
      <c r="O621" s="975"/>
    </row>
    <row r="622" spans="1:15">
      <c r="A622" s="972"/>
      <c r="B622" s="972"/>
      <c r="C622" s="972"/>
      <c r="D622" s="972"/>
      <c r="E622" s="972"/>
      <c r="F622" s="972"/>
      <c r="G622" s="972"/>
      <c r="H622" s="972"/>
      <c r="I622" s="972"/>
      <c r="J622" s="972"/>
      <c r="K622" s="972"/>
      <c r="L622" s="1041"/>
      <c r="M622" s="1041"/>
      <c r="N622" s="1041"/>
      <c r="O622" s="975"/>
    </row>
    <row r="623" spans="1:15">
      <c r="A623" s="972"/>
      <c r="B623" s="972"/>
      <c r="C623" s="972"/>
      <c r="D623" s="972"/>
      <c r="E623" s="972"/>
      <c r="F623" s="972"/>
      <c r="G623" s="972"/>
      <c r="H623" s="972"/>
      <c r="I623" s="972"/>
      <c r="J623" s="972"/>
      <c r="K623" s="972"/>
      <c r="L623" s="1041"/>
      <c r="M623" s="1041"/>
      <c r="N623" s="1041"/>
      <c r="O623" s="975"/>
    </row>
    <row r="624" spans="1:15">
      <c r="A624" s="972"/>
      <c r="B624" s="972"/>
      <c r="C624" s="972"/>
      <c r="D624" s="972"/>
      <c r="E624" s="972"/>
      <c r="F624" s="972"/>
      <c r="G624" s="972"/>
      <c r="H624" s="972"/>
      <c r="I624" s="972"/>
      <c r="J624" s="972"/>
      <c r="K624" s="972"/>
      <c r="L624" s="1041"/>
      <c r="M624" s="1041"/>
      <c r="N624" s="1041"/>
      <c r="O624" s="975"/>
    </row>
    <row r="625" spans="1:15">
      <c r="A625" s="972"/>
      <c r="B625" s="972"/>
      <c r="C625" s="972"/>
      <c r="D625" s="972"/>
      <c r="E625" s="972"/>
      <c r="F625" s="972"/>
      <c r="G625" s="972"/>
      <c r="H625" s="972"/>
      <c r="I625" s="972"/>
      <c r="J625" s="972"/>
      <c r="K625" s="972"/>
      <c r="L625" s="1041"/>
      <c r="M625" s="1041"/>
      <c r="N625" s="1041"/>
      <c r="O625" s="975"/>
    </row>
    <row r="626" spans="1:15">
      <c r="A626" s="972"/>
      <c r="B626" s="972"/>
      <c r="C626" s="972"/>
      <c r="D626" s="972"/>
      <c r="E626" s="972"/>
      <c r="F626" s="972"/>
      <c r="G626" s="972"/>
      <c r="H626" s="972"/>
      <c r="I626" s="972"/>
      <c r="J626" s="972"/>
      <c r="K626" s="972"/>
      <c r="L626" s="1041"/>
      <c r="M626" s="1041"/>
      <c r="N626" s="1041"/>
      <c r="O626" s="975"/>
    </row>
    <row r="627" spans="1:15">
      <c r="A627" s="972"/>
      <c r="B627" s="972"/>
      <c r="C627" s="972"/>
      <c r="D627" s="972"/>
      <c r="E627" s="972"/>
      <c r="F627" s="972"/>
      <c r="G627" s="972"/>
      <c r="H627" s="972"/>
      <c r="I627" s="972"/>
      <c r="J627" s="972"/>
      <c r="K627" s="972"/>
      <c r="L627" s="1041"/>
      <c r="M627" s="1041"/>
      <c r="N627" s="1041"/>
      <c r="O627" s="975"/>
    </row>
    <row r="628" spans="1:15">
      <c r="A628" s="972"/>
      <c r="B628" s="972"/>
      <c r="C628" s="972"/>
      <c r="D628" s="972"/>
      <c r="E628" s="972"/>
      <c r="F628" s="972"/>
      <c r="G628" s="972"/>
      <c r="H628" s="972"/>
      <c r="I628" s="972"/>
      <c r="J628" s="972"/>
      <c r="K628" s="972"/>
      <c r="L628" s="1041"/>
      <c r="M628" s="1041"/>
      <c r="N628" s="1041"/>
      <c r="O628" s="975"/>
    </row>
    <row r="629" spans="1:15">
      <c r="A629" s="972"/>
      <c r="B629" s="972"/>
      <c r="C629" s="972"/>
      <c r="D629" s="972"/>
      <c r="E629" s="972"/>
      <c r="F629" s="972"/>
      <c r="G629" s="972"/>
      <c r="H629" s="972"/>
      <c r="I629" s="972"/>
      <c r="J629" s="972"/>
      <c r="K629" s="972"/>
      <c r="L629" s="1041"/>
      <c r="M629" s="1041"/>
      <c r="N629" s="1041"/>
      <c r="O629" s="975"/>
    </row>
    <row r="630" spans="1:15">
      <c r="A630" s="972"/>
      <c r="B630" s="972"/>
      <c r="C630" s="972"/>
      <c r="D630" s="972"/>
      <c r="E630" s="972"/>
      <c r="F630" s="972"/>
      <c r="G630" s="972"/>
      <c r="H630" s="972"/>
      <c r="I630" s="972"/>
      <c r="J630" s="972"/>
      <c r="K630" s="972"/>
      <c r="L630" s="1041"/>
      <c r="M630" s="1041"/>
      <c r="N630" s="1041"/>
      <c r="O630" s="975"/>
    </row>
    <row r="631" spans="1:15">
      <c r="A631" s="972"/>
      <c r="B631" s="972"/>
      <c r="C631" s="972"/>
      <c r="D631" s="972"/>
      <c r="E631" s="972"/>
      <c r="F631" s="972"/>
      <c r="G631" s="972"/>
      <c r="H631" s="972"/>
      <c r="I631" s="972"/>
      <c r="J631" s="972"/>
      <c r="K631" s="972"/>
      <c r="L631" s="1041"/>
      <c r="M631" s="1041"/>
      <c r="N631" s="1041"/>
      <c r="O631" s="975"/>
    </row>
    <row r="632" spans="1:15">
      <c r="A632" s="972"/>
      <c r="B632" s="972"/>
      <c r="C632" s="972"/>
      <c r="D632" s="972"/>
      <c r="E632" s="972"/>
      <c r="F632" s="972"/>
      <c r="G632" s="972"/>
      <c r="H632" s="972"/>
      <c r="I632" s="972"/>
      <c r="J632" s="972"/>
      <c r="K632" s="972"/>
      <c r="L632" s="1041"/>
      <c r="M632" s="1041"/>
      <c r="N632" s="1041"/>
      <c r="O632" s="975"/>
    </row>
    <row r="633" spans="1:15">
      <c r="A633" s="972"/>
      <c r="B633" s="972"/>
      <c r="C633" s="972"/>
      <c r="D633" s="972"/>
      <c r="E633" s="972"/>
      <c r="F633" s="972"/>
      <c r="G633" s="972"/>
      <c r="H633" s="972"/>
      <c r="I633" s="972"/>
      <c r="J633" s="972"/>
      <c r="K633" s="972"/>
      <c r="L633" s="1041"/>
      <c r="M633" s="1041"/>
      <c r="N633" s="1041"/>
      <c r="O633" s="975"/>
    </row>
    <row r="634" spans="1:15">
      <c r="A634" s="972"/>
      <c r="B634" s="972"/>
      <c r="C634" s="972"/>
      <c r="D634" s="972"/>
      <c r="E634" s="972"/>
      <c r="F634" s="972"/>
      <c r="G634" s="972"/>
      <c r="H634" s="972"/>
      <c r="I634" s="972"/>
      <c r="J634" s="972"/>
      <c r="K634" s="972"/>
      <c r="L634" s="1041"/>
      <c r="M634" s="1041"/>
      <c r="N634" s="1041"/>
      <c r="O634" s="975"/>
    </row>
    <row r="635" spans="1:15">
      <c r="A635" s="972"/>
      <c r="B635" s="972"/>
      <c r="C635" s="972"/>
      <c r="D635" s="972"/>
      <c r="E635" s="972"/>
      <c r="F635" s="972"/>
      <c r="G635" s="972"/>
      <c r="H635" s="972"/>
      <c r="I635" s="972"/>
      <c r="J635" s="972"/>
      <c r="K635" s="972"/>
      <c r="L635" s="1041"/>
      <c r="M635" s="1041"/>
      <c r="N635" s="1041"/>
      <c r="O635" s="975"/>
    </row>
    <row r="636" spans="1:15">
      <c r="A636" s="972"/>
      <c r="B636" s="972"/>
      <c r="C636" s="972"/>
      <c r="D636" s="972"/>
      <c r="E636" s="972"/>
      <c r="F636" s="972"/>
      <c r="G636" s="972"/>
      <c r="H636" s="972"/>
      <c r="I636" s="972"/>
      <c r="J636" s="972"/>
      <c r="K636" s="972"/>
      <c r="L636" s="1041"/>
      <c r="M636" s="1041"/>
      <c r="N636" s="1041"/>
      <c r="O636" s="975"/>
    </row>
    <row r="637" spans="1:15">
      <c r="A637" s="972"/>
      <c r="B637" s="972"/>
      <c r="C637" s="972"/>
      <c r="D637" s="972"/>
      <c r="E637" s="972"/>
      <c r="F637" s="972"/>
      <c r="G637" s="972"/>
      <c r="H637" s="972"/>
      <c r="I637" s="972"/>
      <c r="J637" s="972"/>
      <c r="K637" s="972"/>
      <c r="L637" s="1041"/>
      <c r="M637" s="1041"/>
      <c r="N637" s="1041"/>
      <c r="O637" s="975"/>
    </row>
    <row r="638" spans="1:15">
      <c r="A638" s="972"/>
      <c r="B638" s="972"/>
      <c r="C638" s="972"/>
      <c r="D638" s="972"/>
      <c r="E638" s="972"/>
      <c r="F638" s="972"/>
      <c r="G638" s="972"/>
      <c r="H638" s="972"/>
      <c r="I638" s="972"/>
      <c r="J638" s="972"/>
      <c r="K638" s="972"/>
      <c r="L638" s="1041"/>
      <c r="M638" s="1041"/>
      <c r="N638" s="1041"/>
      <c r="O638" s="975"/>
    </row>
    <row r="639" spans="1:15">
      <c r="A639" s="972"/>
      <c r="B639" s="972"/>
      <c r="C639" s="972"/>
      <c r="D639" s="972"/>
      <c r="E639" s="972"/>
      <c r="F639" s="972"/>
      <c r="G639" s="972"/>
      <c r="H639" s="972"/>
      <c r="I639" s="972"/>
      <c r="J639" s="972"/>
      <c r="K639" s="972"/>
      <c r="L639" s="1041"/>
      <c r="M639" s="1041"/>
      <c r="N639" s="1041"/>
      <c r="O639" s="975"/>
    </row>
    <row r="640" spans="1:15">
      <c r="A640" s="972"/>
      <c r="B640" s="972"/>
      <c r="C640" s="972"/>
      <c r="D640" s="972"/>
      <c r="E640" s="972"/>
      <c r="F640" s="972"/>
      <c r="G640" s="972"/>
      <c r="H640" s="972"/>
      <c r="I640" s="972"/>
      <c r="J640" s="972"/>
      <c r="K640" s="972"/>
      <c r="L640" s="1041"/>
      <c r="M640" s="1041"/>
      <c r="N640" s="1041"/>
      <c r="O640" s="975"/>
    </row>
    <row r="641" spans="1:15">
      <c r="A641" s="972"/>
      <c r="B641" s="972"/>
      <c r="C641" s="972"/>
      <c r="D641" s="972"/>
      <c r="E641" s="972"/>
      <c r="F641" s="972"/>
      <c r="G641" s="972"/>
      <c r="H641" s="972"/>
      <c r="I641" s="972"/>
      <c r="J641" s="972"/>
      <c r="K641" s="972"/>
      <c r="L641" s="1041"/>
      <c r="M641" s="1041"/>
      <c r="N641" s="1041"/>
      <c r="O641" s="975"/>
    </row>
    <row r="642" spans="1:15">
      <c r="A642" s="972"/>
      <c r="B642" s="972"/>
      <c r="C642" s="972"/>
      <c r="D642" s="972"/>
      <c r="E642" s="972"/>
      <c r="F642" s="972"/>
      <c r="G642" s="972"/>
      <c r="H642" s="972"/>
      <c r="I642" s="972"/>
      <c r="J642" s="972"/>
      <c r="K642" s="972"/>
      <c r="L642" s="1041"/>
      <c r="M642" s="1041"/>
      <c r="N642" s="1041"/>
      <c r="O642" s="975"/>
    </row>
    <row r="643" spans="1:15">
      <c r="A643" s="972"/>
      <c r="B643" s="972"/>
      <c r="C643" s="972"/>
      <c r="D643" s="972"/>
      <c r="E643" s="972"/>
      <c r="F643" s="972"/>
      <c r="G643" s="972"/>
      <c r="H643" s="972"/>
      <c r="I643" s="972"/>
      <c r="J643" s="972"/>
      <c r="K643" s="972"/>
      <c r="L643" s="1041"/>
      <c r="M643" s="1041"/>
      <c r="N643" s="1041"/>
      <c r="O643" s="975"/>
    </row>
    <row r="644" spans="1:15">
      <c r="A644" s="972"/>
      <c r="B644" s="972"/>
      <c r="C644" s="972"/>
      <c r="D644" s="972"/>
      <c r="E644" s="972"/>
      <c r="F644" s="972"/>
      <c r="G644" s="972"/>
      <c r="H644" s="972"/>
      <c r="I644" s="972"/>
      <c r="J644" s="972"/>
      <c r="K644" s="972"/>
      <c r="L644" s="1041"/>
      <c r="M644" s="1041"/>
      <c r="N644" s="1041"/>
      <c r="O644" s="975"/>
    </row>
    <row r="645" spans="1:15">
      <c r="A645" s="972"/>
      <c r="B645" s="972"/>
      <c r="C645" s="972"/>
      <c r="D645" s="972"/>
      <c r="E645" s="972"/>
      <c r="F645" s="972"/>
      <c r="G645" s="972"/>
      <c r="H645" s="972"/>
      <c r="I645" s="972"/>
      <c r="J645" s="972"/>
      <c r="K645" s="972"/>
      <c r="L645" s="1041"/>
      <c r="M645" s="1041"/>
      <c r="N645" s="1041"/>
      <c r="O645" s="975"/>
    </row>
    <row r="646" spans="1:15">
      <c r="A646" s="972"/>
      <c r="B646" s="972"/>
      <c r="C646" s="972"/>
      <c r="D646" s="972"/>
      <c r="E646" s="972"/>
      <c r="F646" s="972"/>
      <c r="G646" s="972"/>
      <c r="H646" s="972"/>
      <c r="I646" s="972"/>
      <c r="J646" s="972"/>
      <c r="K646" s="972"/>
      <c r="L646" s="1041"/>
      <c r="M646" s="1041"/>
      <c r="N646" s="1041"/>
      <c r="O646" s="975"/>
    </row>
    <row r="647" spans="1:15">
      <c r="A647" s="972"/>
      <c r="B647" s="972"/>
      <c r="C647" s="972"/>
      <c r="D647" s="972"/>
      <c r="E647" s="972"/>
      <c r="F647" s="972"/>
      <c r="G647" s="972"/>
      <c r="H647" s="972"/>
      <c r="I647" s="972"/>
      <c r="J647" s="972"/>
      <c r="K647" s="972"/>
      <c r="L647" s="1041"/>
      <c r="M647" s="1041"/>
      <c r="N647" s="1041"/>
      <c r="O647" s="975"/>
    </row>
    <row r="648" spans="1:15">
      <c r="A648" s="972"/>
      <c r="B648" s="972"/>
      <c r="C648" s="972"/>
      <c r="D648" s="972"/>
      <c r="E648" s="972"/>
      <c r="F648" s="972"/>
      <c r="G648" s="972"/>
      <c r="H648" s="972"/>
      <c r="I648" s="972"/>
      <c r="J648" s="972"/>
      <c r="K648" s="972"/>
      <c r="L648" s="1041"/>
      <c r="M648" s="1041"/>
      <c r="N648" s="1041"/>
      <c r="O648" s="975"/>
    </row>
    <row r="649" spans="1:15">
      <c r="A649" s="972"/>
      <c r="B649" s="972"/>
      <c r="C649" s="972"/>
      <c r="D649" s="972"/>
      <c r="E649" s="972"/>
      <c r="F649" s="972"/>
      <c r="G649" s="972"/>
      <c r="H649" s="972"/>
      <c r="I649" s="972"/>
      <c r="J649" s="972"/>
      <c r="K649" s="972"/>
      <c r="L649" s="1041"/>
      <c r="M649" s="1041"/>
      <c r="N649" s="1041"/>
      <c r="O649" s="975"/>
    </row>
    <row r="650" spans="1:15">
      <c r="A650" s="972"/>
      <c r="B650" s="972"/>
      <c r="C650" s="972"/>
      <c r="D650" s="972"/>
      <c r="E650" s="972"/>
      <c r="F650" s="972"/>
      <c r="G650" s="972"/>
      <c r="H650" s="972"/>
      <c r="I650" s="972"/>
      <c r="J650" s="972"/>
      <c r="K650" s="972"/>
      <c r="L650" s="1041"/>
      <c r="M650" s="1041"/>
      <c r="N650" s="1041"/>
      <c r="O650" s="975"/>
    </row>
    <row r="651" spans="1:15">
      <c r="A651" s="972"/>
      <c r="B651" s="972"/>
      <c r="C651" s="972"/>
      <c r="D651" s="972"/>
      <c r="E651" s="972"/>
      <c r="F651" s="972"/>
      <c r="G651" s="972"/>
      <c r="H651" s="972"/>
      <c r="I651" s="972"/>
      <c r="J651" s="972"/>
      <c r="K651" s="972"/>
      <c r="L651" s="1041"/>
      <c r="M651" s="1041"/>
      <c r="N651" s="1041"/>
      <c r="O651" s="975"/>
    </row>
    <row r="652" spans="1:15">
      <c r="A652" s="972"/>
      <c r="B652" s="972"/>
      <c r="C652" s="972"/>
      <c r="D652" s="972"/>
      <c r="E652" s="972"/>
      <c r="F652" s="972"/>
      <c r="G652" s="972"/>
      <c r="H652" s="972"/>
      <c r="I652" s="972"/>
      <c r="J652" s="972"/>
      <c r="K652" s="972"/>
      <c r="L652" s="1041"/>
      <c r="M652" s="1041"/>
      <c r="N652" s="1041"/>
      <c r="O652" s="975"/>
    </row>
    <row r="653" spans="1:15">
      <c r="A653" s="972"/>
      <c r="B653" s="972"/>
      <c r="C653" s="972"/>
      <c r="D653" s="972"/>
      <c r="E653" s="972"/>
      <c r="F653" s="972"/>
      <c r="G653" s="972"/>
      <c r="H653" s="972"/>
      <c r="I653" s="972"/>
      <c r="J653" s="972"/>
      <c r="K653" s="972"/>
      <c r="L653" s="1041"/>
      <c r="M653" s="1041"/>
      <c r="N653" s="1041"/>
      <c r="O653" s="975"/>
    </row>
    <row r="654" spans="1:15">
      <c r="A654" s="972"/>
      <c r="B654" s="972"/>
      <c r="C654" s="972"/>
      <c r="D654" s="972"/>
      <c r="E654" s="972"/>
      <c r="F654" s="972"/>
      <c r="G654" s="972"/>
      <c r="H654" s="972"/>
      <c r="I654" s="972"/>
      <c r="J654" s="972"/>
      <c r="K654" s="972"/>
      <c r="L654" s="1041"/>
      <c r="M654" s="1041"/>
      <c r="N654" s="1041"/>
      <c r="O654" s="975"/>
    </row>
    <row r="655" spans="1:15">
      <c r="A655" s="972"/>
      <c r="B655" s="972"/>
      <c r="C655" s="972"/>
      <c r="D655" s="972"/>
      <c r="E655" s="972"/>
      <c r="F655" s="972"/>
      <c r="G655" s="972"/>
      <c r="H655" s="972"/>
      <c r="I655" s="972"/>
      <c r="J655" s="972"/>
      <c r="K655" s="972"/>
      <c r="L655" s="1041"/>
      <c r="M655" s="1041"/>
      <c r="N655" s="1041"/>
      <c r="O655" s="975"/>
    </row>
    <row r="656" spans="1:15">
      <c r="A656" s="972"/>
      <c r="B656" s="972"/>
      <c r="C656" s="972"/>
      <c r="D656" s="972"/>
      <c r="E656" s="972"/>
      <c r="F656" s="972"/>
      <c r="G656" s="972"/>
      <c r="H656" s="972"/>
      <c r="I656" s="972"/>
      <c r="J656" s="972"/>
      <c r="K656" s="972"/>
      <c r="L656" s="1041"/>
      <c r="M656" s="1041"/>
      <c r="N656" s="1041"/>
      <c r="O656" s="975"/>
    </row>
    <row r="657" spans="1:15">
      <c r="A657" s="972"/>
      <c r="B657" s="972"/>
      <c r="C657" s="972"/>
      <c r="D657" s="972"/>
      <c r="E657" s="972"/>
      <c r="F657" s="972"/>
      <c r="G657" s="972"/>
      <c r="H657" s="972"/>
      <c r="I657" s="972"/>
      <c r="J657" s="972"/>
      <c r="K657" s="972"/>
      <c r="L657" s="1041"/>
      <c r="M657" s="1041"/>
      <c r="N657" s="1041"/>
      <c r="O657" s="975"/>
    </row>
    <row r="658" spans="1:15">
      <c r="A658" s="972"/>
      <c r="B658" s="972"/>
      <c r="C658" s="972"/>
      <c r="D658" s="972"/>
      <c r="E658" s="972"/>
      <c r="F658" s="972"/>
      <c r="G658" s="972"/>
      <c r="H658" s="972"/>
      <c r="I658" s="972"/>
      <c r="J658" s="972"/>
      <c r="K658" s="972"/>
      <c r="L658" s="1041"/>
      <c r="M658" s="1041"/>
      <c r="N658" s="1041"/>
      <c r="O658" s="975"/>
    </row>
    <row r="659" spans="1:15">
      <c r="A659" s="972"/>
      <c r="B659" s="972"/>
      <c r="C659" s="972"/>
      <c r="D659" s="972"/>
      <c r="E659" s="972"/>
      <c r="F659" s="972"/>
      <c r="G659" s="972"/>
      <c r="H659" s="972"/>
      <c r="I659" s="972"/>
      <c r="J659" s="972"/>
      <c r="K659" s="972"/>
      <c r="L659" s="1041"/>
      <c r="M659" s="1041"/>
      <c r="N659" s="1041"/>
      <c r="O659" s="975"/>
    </row>
    <row r="660" spans="1:15">
      <c r="A660" s="972"/>
      <c r="B660" s="972"/>
      <c r="C660" s="972"/>
      <c r="D660" s="972"/>
      <c r="E660" s="972"/>
      <c r="F660" s="972"/>
      <c r="G660" s="972"/>
      <c r="H660" s="972"/>
      <c r="I660" s="972"/>
      <c r="J660" s="972"/>
      <c r="K660" s="972"/>
      <c r="L660" s="1041"/>
      <c r="M660" s="1041"/>
      <c r="N660" s="1041"/>
      <c r="O660" s="975"/>
    </row>
    <row r="661" spans="1:15">
      <c r="A661" s="972"/>
      <c r="B661" s="972"/>
      <c r="C661" s="972"/>
      <c r="D661" s="972"/>
      <c r="E661" s="972"/>
      <c r="F661" s="972"/>
      <c r="G661" s="972"/>
      <c r="H661" s="972"/>
      <c r="I661" s="972"/>
      <c r="J661" s="972"/>
      <c r="K661" s="972"/>
      <c r="L661" s="1041"/>
      <c r="M661" s="1041"/>
      <c r="N661" s="1041"/>
      <c r="O661" s="975"/>
    </row>
    <row r="662" spans="1:15">
      <c r="A662" s="972"/>
      <c r="B662" s="972"/>
      <c r="C662" s="972"/>
      <c r="D662" s="972"/>
      <c r="E662" s="972"/>
      <c r="F662" s="972"/>
      <c r="G662" s="972"/>
      <c r="H662" s="972"/>
      <c r="I662" s="972"/>
      <c r="J662" s="972"/>
      <c r="K662" s="972"/>
      <c r="L662" s="1041"/>
      <c r="M662" s="1041"/>
      <c r="N662" s="1041"/>
      <c r="O662" s="975"/>
    </row>
    <row r="663" spans="1:15">
      <c r="A663" s="972"/>
      <c r="B663" s="972"/>
      <c r="C663" s="972"/>
      <c r="D663" s="972"/>
      <c r="E663" s="972"/>
      <c r="F663" s="972"/>
      <c r="G663" s="972"/>
      <c r="H663" s="972"/>
      <c r="I663" s="972"/>
      <c r="J663" s="972"/>
      <c r="K663" s="972"/>
      <c r="L663" s="1041"/>
      <c r="M663" s="1041"/>
      <c r="N663" s="1041"/>
      <c r="O663" s="975"/>
    </row>
    <row r="664" spans="1:15">
      <c r="A664" s="972"/>
      <c r="B664" s="972"/>
      <c r="C664" s="972"/>
      <c r="D664" s="972"/>
      <c r="E664" s="972"/>
      <c r="F664" s="972"/>
      <c r="G664" s="972"/>
      <c r="H664" s="972"/>
      <c r="I664" s="972"/>
      <c r="J664" s="972"/>
      <c r="K664" s="972"/>
      <c r="L664" s="1041"/>
      <c r="M664" s="1041"/>
      <c r="N664" s="1041"/>
      <c r="O664" s="975"/>
    </row>
    <row r="665" spans="1:15">
      <c r="A665" s="972"/>
      <c r="B665" s="972"/>
      <c r="C665" s="972"/>
      <c r="D665" s="972"/>
      <c r="E665" s="972"/>
      <c r="F665" s="972"/>
      <c r="G665" s="972"/>
      <c r="H665" s="972"/>
      <c r="I665" s="972"/>
      <c r="J665" s="972"/>
      <c r="K665" s="972"/>
      <c r="L665" s="1041"/>
      <c r="M665" s="1041"/>
      <c r="N665" s="1041"/>
      <c r="O665" s="975"/>
    </row>
    <row r="666" spans="1:15">
      <c r="A666" s="972"/>
      <c r="B666" s="972"/>
      <c r="C666" s="972"/>
      <c r="D666" s="972"/>
      <c r="E666" s="972"/>
      <c r="F666" s="972"/>
      <c r="G666" s="972"/>
      <c r="H666" s="972"/>
      <c r="I666" s="972"/>
      <c r="J666" s="972"/>
      <c r="K666" s="972"/>
      <c r="L666" s="1041"/>
      <c r="M666" s="1041"/>
      <c r="N666" s="1041"/>
      <c r="O666" s="975"/>
    </row>
    <row r="667" spans="1:15">
      <c r="A667" s="972"/>
      <c r="B667" s="972"/>
      <c r="C667" s="972"/>
      <c r="D667" s="972"/>
      <c r="E667" s="972"/>
      <c r="F667" s="972"/>
      <c r="G667" s="972"/>
      <c r="H667" s="972"/>
      <c r="I667" s="972"/>
      <c r="J667" s="972"/>
      <c r="K667" s="972"/>
      <c r="L667" s="1041"/>
      <c r="M667" s="1041"/>
      <c r="N667" s="1041"/>
      <c r="O667" s="975"/>
    </row>
    <row r="668" spans="1:15">
      <c r="A668" s="972"/>
      <c r="B668" s="972"/>
      <c r="C668" s="972"/>
      <c r="D668" s="972"/>
      <c r="E668" s="972"/>
      <c r="F668" s="972"/>
      <c r="G668" s="972"/>
      <c r="H668" s="972"/>
      <c r="I668" s="972"/>
      <c r="J668" s="972"/>
      <c r="K668" s="972"/>
      <c r="L668" s="1041"/>
      <c r="M668" s="1041"/>
      <c r="N668" s="1041"/>
      <c r="O668" s="975"/>
    </row>
    <row r="669" spans="1:15">
      <c r="A669" s="972"/>
      <c r="B669" s="972"/>
      <c r="C669" s="972"/>
      <c r="D669" s="972"/>
      <c r="E669" s="972"/>
      <c r="F669" s="972"/>
      <c r="G669" s="972"/>
      <c r="H669" s="972"/>
      <c r="I669" s="972"/>
      <c r="J669" s="972"/>
      <c r="K669" s="972"/>
      <c r="L669" s="1041"/>
      <c r="M669" s="1041"/>
      <c r="N669" s="1041"/>
      <c r="O669" s="975"/>
    </row>
    <row r="670" spans="1:15">
      <c r="A670" s="972"/>
      <c r="B670" s="972"/>
      <c r="C670" s="972"/>
      <c r="D670" s="972"/>
      <c r="E670" s="972"/>
      <c r="F670" s="972"/>
      <c r="G670" s="972"/>
      <c r="H670" s="972"/>
      <c r="I670" s="972"/>
      <c r="J670" s="972"/>
      <c r="K670" s="972"/>
      <c r="L670" s="1041"/>
      <c r="M670" s="1041"/>
      <c r="N670" s="1041"/>
      <c r="O670" s="975"/>
    </row>
    <row r="671" spans="1:15">
      <c r="A671" s="972"/>
      <c r="B671" s="972"/>
      <c r="C671" s="972"/>
      <c r="D671" s="972"/>
      <c r="E671" s="972"/>
      <c r="F671" s="972"/>
      <c r="G671" s="972"/>
      <c r="H671" s="972"/>
      <c r="I671" s="972"/>
      <c r="J671" s="972"/>
      <c r="K671" s="972"/>
      <c r="L671" s="1041"/>
      <c r="M671" s="1041"/>
      <c r="N671" s="1041"/>
      <c r="O671" s="975"/>
    </row>
    <row r="672" spans="1:15">
      <c r="A672" s="972"/>
      <c r="B672" s="972"/>
      <c r="C672" s="972"/>
      <c r="D672" s="972"/>
      <c r="E672" s="972"/>
      <c r="F672" s="972"/>
      <c r="G672" s="972"/>
      <c r="H672" s="972"/>
      <c r="I672" s="972"/>
      <c r="J672" s="972"/>
      <c r="K672" s="972"/>
      <c r="L672" s="1041"/>
      <c r="M672" s="1041"/>
      <c r="N672" s="1041"/>
      <c r="O672" s="975"/>
    </row>
    <row r="673" spans="1:15">
      <c r="A673" s="972"/>
      <c r="B673" s="972"/>
      <c r="C673" s="972"/>
      <c r="D673" s="972"/>
      <c r="E673" s="972"/>
      <c r="F673" s="972"/>
      <c r="G673" s="972"/>
      <c r="H673" s="972"/>
      <c r="I673" s="972"/>
      <c r="J673" s="972"/>
      <c r="K673" s="972"/>
      <c r="L673" s="1041"/>
      <c r="M673" s="1041"/>
      <c r="N673" s="1041"/>
      <c r="O673" s="975"/>
    </row>
    <row r="674" spans="1:15">
      <c r="A674" s="972"/>
      <c r="B674" s="972"/>
      <c r="C674" s="972"/>
      <c r="D674" s="972"/>
      <c r="E674" s="972"/>
      <c r="F674" s="972"/>
      <c r="G674" s="972"/>
      <c r="H674" s="972"/>
      <c r="I674" s="972"/>
      <c r="J674" s="972"/>
      <c r="K674" s="972"/>
      <c r="L674" s="1041"/>
      <c r="M674" s="1041"/>
      <c r="N674" s="1041"/>
      <c r="O674" s="975"/>
    </row>
    <row r="675" spans="1:15">
      <c r="A675" s="972"/>
      <c r="B675" s="972"/>
      <c r="C675" s="972"/>
      <c r="D675" s="972"/>
      <c r="E675" s="972"/>
      <c r="F675" s="972"/>
      <c r="G675" s="972"/>
      <c r="H675" s="972"/>
      <c r="I675" s="972"/>
      <c r="J675" s="972"/>
      <c r="K675" s="972"/>
      <c r="L675" s="1041"/>
      <c r="M675" s="1041"/>
      <c r="N675" s="1041"/>
      <c r="O675" s="975"/>
    </row>
    <row r="676" spans="1:15">
      <c r="A676" s="972"/>
      <c r="B676" s="972"/>
      <c r="C676" s="972"/>
      <c r="D676" s="972"/>
      <c r="E676" s="972"/>
      <c r="F676" s="972"/>
      <c r="G676" s="972"/>
      <c r="H676" s="972"/>
      <c r="I676" s="972"/>
      <c r="J676" s="972"/>
      <c r="K676" s="972"/>
      <c r="L676" s="1041"/>
      <c r="M676" s="1041"/>
      <c r="N676" s="1041"/>
      <c r="O676" s="975"/>
    </row>
    <row r="677" spans="1:15">
      <c r="A677" s="972"/>
      <c r="B677" s="972"/>
      <c r="C677" s="972"/>
      <c r="D677" s="972"/>
      <c r="E677" s="972"/>
      <c r="F677" s="972"/>
      <c r="G677" s="972"/>
      <c r="H677" s="972"/>
      <c r="I677" s="972"/>
      <c r="J677" s="972"/>
      <c r="K677" s="972"/>
      <c r="L677" s="1041"/>
      <c r="M677" s="1041"/>
      <c r="N677" s="1041"/>
      <c r="O677" s="975"/>
    </row>
    <row r="678" spans="1:15">
      <c r="A678" s="972"/>
      <c r="B678" s="972"/>
      <c r="C678" s="972"/>
      <c r="D678" s="972"/>
      <c r="E678" s="972"/>
      <c r="F678" s="972"/>
      <c r="G678" s="972"/>
      <c r="H678" s="972"/>
      <c r="I678" s="972"/>
      <c r="J678" s="972"/>
      <c r="K678" s="972"/>
      <c r="L678" s="1041"/>
      <c r="M678" s="1041"/>
      <c r="N678" s="1041"/>
      <c r="O678" s="975"/>
    </row>
    <row r="679" spans="1:15">
      <c r="A679" s="972"/>
      <c r="B679" s="972"/>
      <c r="C679" s="972"/>
      <c r="D679" s="972"/>
      <c r="E679" s="972"/>
      <c r="F679" s="972"/>
      <c r="G679" s="972"/>
      <c r="H679" s="972"/>
      <c r="I679" s="972"/>
      <c r="J679" s="972"/>
      <c r="K679" s="972"/>
      <c r="L679" s="1041"/>
      <c r="M679" s="1041"/>
      <c r="N679" s="1041"/>
      <c r="O679" s="975"/>
    </row>
    <row r="680" spans="1:15">
      <c r="A680" s="972"/>
      <c r="B680" s="972"/>
      <c r="C680" s="972"/>
      <c r="D680" s="972"/>
      <c r="E680" s="972"/>
      <c r="F680" s="972"/>
      <c r="G680" s="972"/>
      <c r="H680" s="972"/>
      <c r="I680" s="972"/>
      <c r="J680" s="972"/>
      <c r="K680" s="972"/>
      <c r="L680" s="1041"/>
      <c r="M680" s="1041"/>
      <c r="N680" s="1041"/>
      <c r="O680" s="975"/>
    </row>
    <row r="681" spans="1:15">
      <c r="A681" s="972"/>
      <c r="B681" s="972"/>
      <c r="C681" s="972"/>
      <c r="D681" s="972"/>
      <c r="E681" s="972"/>
      <c r="F681" s="972"/>
      <c r="G681" s="972"/>
      <c r="H681" s="972"/>
      <c r="I681" s="972"/>
      <c r="J681" s="972"/>
      <c r="K681" s="972"/>
      <c r="L681" s="1041"/>
      <c r="M681" s="1041"/>
      <c r="N681" s="1041"/>
      <c r="O681" s="975"/>
    </row>
    <row r="682" spans="1:15">
      <c r="A682" s="972"/>
      <c r="B682" s="972"/>
      <c r="C682" s="972"/>
      <c r="D682" s="972"/>
      <c r="E682" s="972"/>
      <c r="F682" s="972"/>
      <c r="G682" s="972"/>
      <c r="H682" s="972"/>
      <c r="I682" s="972"/>
      <c r="J682" s="972"/>
      <c r="K682" s="972"/>
      <c r="L682" s="1041"/>
      <c r="M682" s="1041"/>
      <c r="N682" s="1041"/>
      <c r="O682" s="975"/>
    </row>
    <row r="683" spans="1:15">
      <c r="A683" s="972"/>
      <c r="B683" s="972"/>
      <c r="C683" s="972"/>
      <c r="D683" s="972"/>
      <c r="E683" s="972"/>
      <c r="F683" s="972"/>
      <c r="G683" s="972"/>
      <c r="H683" s="972"/>
      <c r="I683" s="972"/>
      <c r="J683" s="972"/>
      <c r="K683" s="972"/>
      <c r="L683" s="1041"/>
      <c r="M683" s="1041"/>
      <c r="N683" s="1041"/>
      <c r="O683" s="975"/>
    </row>
    <row r="684" spans="1:15">
      <c r="A684" s="972"/>
      <c r="B684" s="972"/>
      <c r="C684" s="972"/>
      <c r="D684" s="972"/>
      <c r="E684" s="972"/>
      <c r="F684" s="972"/>
      <c r="G684" s="972"/>
      <c r="H684" s="972"/>
      <c r="I684" s="972"/>
      <c r="J684" s="972"/>
      <c r="K684" s="972"/>
      <c r="L684" s="1041"/>
      <c r="M684" s="1041"/>
      <c r="N684" s="1041"/>
      <c r="O684" s="975"/>
    </row>
    <row r="685" spans="1:15">
      <c r="A685" s="972"/>
      <c r="B685" s="972"/>
      <c r="C685" s="972"/>
      <c r="D685" s="972"/>
      <c r="E685" s="972"/>
      <c r="F685" s="972"/>
      <c r="G685" s="972"/>
      <c r="H685" s="972"/>
      <c r="I685" s="972"/>
      <c r="J685" s="972"/>
      <c r="K685" s="972"/>
      <c r="L685" s="1041"/>
      <c r="M685" s="1041"/>
      <c r="N685" s="1041"/>
      <c r="O685" s="975"/>
    </row>
    <row r="686" spans="1:15">
      <c r="A686" s="972"/>
      <c r="B686" s="972"/>
      <c r="C686" s="972"/>
      <c r="D686" s="972"/>
      <c r="E686" s="972"/>
      <c r="F686" s="972"/>
      <c r="G686" s="972"/>
      <c r="H686" s="972"/>
      <c r="I686" s="972"/>
      <c r="J686" s="972"/>
      <c r="K686" s="972"/>
      <c r="L686" s="1041"/>
      <c r="M686" s="1041"/>
      <c r="N686" s="1041"/>
      <c r="O686" s="975"/>
    </row>
    <row r="687" spans="1:15">
      <c r="A687" s="972"/>
      <c r="B687" s="972"/>
      <c r="C687" s="972"/>
      <c r="D687" s="972"/>
      <c r="E687" s="972"/>
      <c r="F687" s="972"/>
      <c r="G687" s="972"/>
      <c r="H687" s="972"/>
      <c r="I687" s="972"/>
      <c r="J687" s="972"/>
      <c r="K687" s="972"/>
      <c r="L687" s="1041"/>
      <c r="M687" s="1041"/>
      <c r="N687" s="1041"/>
      <c r="O687" s="975"/>
    </row>
    <row r="688" spans="1:15">
      <c r="A688" s="972"/>
      <c r="B688" s="972"/>
      <c r="C688" s="972"/>
      <c r="D688" s="972"/>
      <c r="E688" s="972"/>
      <c r="F688" s="972"/>
      <c r="G688" s="972"/>
      <c r="H688" s="972"/>
      <c r="I688" s="972"/>
      <c r="J688" s="972"/>
      <c r="K688" s="972"/>
      <c r="L688" s="1041"/>
      <c r="M688" s="1041"/>
      <c r="N688" s="1041"/>
      <c r="O688" s="975"/>
    </row>
    <row r="689" spans="1:15">
      <c r="A689" s="972"/>
      <c r="B689" s="972"/>
      <c r="C689" s="972"/>
      <c r="D689" s="972"/>
      <c r="E689" s="972"/>
      <c r="F689" s="972"/>
      <c r="G689" s="972"/>
      <c r="H689" s="972"/>
      <c r="I689" s="972"/>
      <c r="J689" s="972"/>
      <c r="K689" s="972"/>
      <c r="L689" s="1041"/>
      <c r="M689" s="1041"/>
      <c r="N689" s="1041"/>
      <c r="O689" s="975"/>
    </row>
    <row r="690" spans="1:15">
      <c r="A690" s="972"/>
      <c r="B690" s="972"/>
      <c r="C690" s="972"/>
      <c r="D690" s="972"/>
      <c r="E690" s="972"/>
      <c r="F690" s="972"/>
      <c r="G690" s="972"/>
      <c r="H690" s="972"/>
      <c r="I690" s="972"/>
      <c r="J690" s="972"/>
      <c r="K690" s="972"/>
      <c r="L690" s="1041"/>
      <c r="M690" s="1041"/>
      <c r="N690" s="1041"/>
      <c r="O690" s="975"/>
    </row>
    <row r="691" spans="1:15">
      <c r="A691" s="972"/>
      <c r="B691" s="972"/>
      <c r="C691" s="972"/>
      <c r="D691" s="972"/>
      <c r="E691" s="972"/>
      <c r="F691" s="972"/>
      <c r="G691" s="972"/>
      <c r="H691" s="972"/>
      <c r="I691" s="972"/>
      <c r="J691" s="972"/>
      <c r="K691" s="972"/>
      <c r="L691" s="1041"/>
      <c r="M691" s="1041"/>
      <c r="N691" s="1041"/>
      <c r="O691" s="975"/>
    </row>
    <row r="692" spans="1:15">
      <c r="A692" s="972"/>
      <c r="B692" s="972"/>
      <c r="C692" s="972"/>
      <c r="D692" s="972"/>
      <c r="E692" s="972"/>
      <c r="F692" s="972"/>
      <c r="G692" s="972"/>
      <c r="H692" s="972"/>
      <c r="I692" s="972"/>
      <c r="J692" s="972"/>
      <c r="K692" s="972"/>
      <c r="L692" s="1041"/>
      <c r="M692" s="1041"/>
      <c r="N692" s="1041"/>
      <c r="O692" s="975"/>
    </row>
    <row r="693" spans="1:15">
      <c r="A693" s="972"/>
      <c r="B693" s="972"/>
      <c r="C693" s="972"/>
      <c r="D693" s="972"/>
      <c r="E693" s="972"/>
      <c r="F693" s="972"/>
      <c r="G693" s="972"/>
      <c r="H693" s="972"/>
      <c r="I693" s="972"/>
      <c r="J693" s="972"/>
      <c r="K693" s="972"/>
      <c r="L693" s="1041"/>
      <c r="M693" s="1041"/>
      <c r="N693" s="1041"/>
      <c r="O693" s="975"/>
    </row>
    <row r="694" spans="1:15">
      <c r="A694" s="972"/>
      <c r="B694" s="972"/>
      <c r="C694" s="972"/>
      <c r="D694" s="972"/>
      <c r="E694" s="972"/>
      <c r="F694" s="972"/>
      <c r="G694" s="972"/>
      <c r="H694" s="972"/>
      <c r="I694" s="972"/>
      <c r="J694" s="972"/>
      <c r="K694" s="972"/>
      <c r="L694" s="1041"/>
      <c r="M694" s="1041"/>
      <c r="N694" s="1041"/>
      <c r="O694" s="975"/>
    </row>
    <row r="695" spans="1:15">
      <c r="A695" s="972"/>
      <c r="B695" s="972"/>
      <c r="C695" s="972"/>
      <c r="D695" s="972"/>
      <c r="E695" s="972"/>
      <c r="F695" s="972"/>
      <c r="G695" s="972"/>
      <c r="H695" s="972"/>
      <c r="I695" s="972"/>
      <c r="J695" s="972"/>
      <c r="K695" s="972"/>
      <c r="L695" s="1041"/>
      <c r="M695" s="1041"/>
      <c r="N695" s="1041"/>
      <c r="O695" s="975"/>
    </row>
    <row r="696" spans="1:15">
      <c r="A696" s="972"/>
      <c r="B696" s="972"/>
      <c r="C696" s="972"/>
      <c r="D696" s="972"/>
      <c r="E696" s="972"/>
      <c r="F696" s="972"/>
      <c r="G696" s="972"/>
      <c r="H696" s="972"/>
      <c r="I696" s="972"/>
      <c r="J696" s="972"/>
      <c r="K696" s="972"/>
      <c r="L696" s="1041"/>
      <c r="M696" s="1041"/>
      <c r="N696" s="1041"/>
      <c r="O696" s="975"/>
    </row>
    <row r="697" spans="1:15">
      <c r="A697" s="972"/>
      <c r="B697" s="972"/>
      <c r="C697" s="972"/>
      <c r="D697" s="972"/>
      <c r="E697" s="972"/>
      <c r="F697" s="972"/>
      <c r="G697" s="972"/>
      <c r="H697" s="972"/>
      <c r="I697" s="972"/>
      <c r="J697" s="972"/>
      <c r="K697" s="972"/>
      <c r="L697" s="1041"/>
      <c r="M697" s="1041"/>
      <c r="N697" s="1041"/>
      <c r="O697" s="975"/>
    </row>
    <row r="698" spans="1:15">
      <c r="A698" s="972"/>
      <c r="B698" s="972"/>
      <c r="C698" s="972"/>
      <c r="D698" s="972"/>
      <c r="E698" s="972"/>
      <c r="F698" s="972"/>
      <c r="G698" s="972"/>
      <c r="H698" s="972"/>
      <c r="I698" s="972"/>
      <c r="J698" s="972"/>
      <c r="K698" s="972"/>
      <c r="L698" s="1041"/>
      <c r="M698" s="1041"/>
      <c r="N698" s="1041"/>
      <c r="O698" s="975"/>
    </row>
    <row r="699" spans="1:15">
      <c r="A699" s="972"/>
      <c r="B699" s="972"/>
      <c r="C699" s="972"/>
      <c r="D699" s="972"/>
      <c r="E699" s="972"/>
      <c r="F699" s="972"/>
      <c r="G699" s="972"/>
      <c r="H699" s="972"/>
      <c r="I699" s="972"/>
      <c r="J699" s="972"/>
      <c r="K699" s="972"/>
      <c r="L699" s="1041"/>
      <c r="M699" s="1041"/>
      <c r="N699" s="1041"/>
      <c r="O699" s="975"/>
    </row>
    <row r="700" spans="1:15">
      <c r="A700" s="972"/>
      <c r="B700" s="972"/>
      <c r="C700" s="972"/>
      <c r="D700" s="972"/>
      <c r="E700" s="972"/>
      <c r="F700" s="972"/>
      <c r="G700" s="972"/>
      <c r="H700" s="972"/>
      <c r="I700" s="972"/>
      <c r="J700" s="972"/>
      <c r="K700" s="972"/>
      <c r="L700" s="1041"/>
      <c r="M700" s="1041"/>
      <c r="N700" s="1041"/>
      <c r="O700" s="975"/>
    </row>
    <row r="701" spans="1:15">
      <c r="A701" s="972"/>
      <c r="B701" s="972"/>
      <c r="C701" s="972"/>
      <c r="D701" s="972"/>
      <c r="E701" s="972"/>
      <c r="F701" s="972"/>
      <c r="G701" s="972"/>
      <c r="H701" s="972"/>
      <c r="I701" s="972"/>
      <c r="J701" s="972"/>
      <c r="K701" s="972"/>
      <c r="L701" s="1041"/>
      <c r="M701" s="1041"/>
      <c r="N701" s="1041"/>
      <c r="O701" s="975"/>
    </row>
    <row r="702" spans="1:15">
      <c r="A702" s="972"/>
      <c r="B702" s="972"/>
      <c r="C702" s="972"/>
      <c r="D702" s="972"/>
      <c r="E702" s="972"/>
      <c r="F702" s="972"/>
      <c r="G702" s="972"/>
      <c r="H702" s="972"/>
      <c r="I702" s="972"/>
      <c r="J702" s="972"/>
      <c r="K702" s="972"/>
      <c r="L702" s="1041"/>
      <c r="M702" s="1041"/>
      <c r="N702" s="1041"/>
      <c r="O702" s="975"/>
    </row>
    <row r="703" spans="1:15">
      <c r="A703" s="972"/>
      <c r="B703" s="972"/>
      <c r="C703" s="972"/>
      <c r="D703" s="972"/>
      <c r="E703" s="972"/>
      <c r="F703" s="972"/>
      <c r="G703" s="972"/>
      <c r="H703" s="972"/>
      <c r="I703" s="972"/>
      <c r="J703" s="972"/>
      <c r="K703" s="972"/>
      <c r="L703" s="1041"/>
      <c r="M703" s="1041"/>
      <c r="N703" s="1041"/>
      <c r="O703" s="975"/>
    </row>
    <row r="704" spans="1:15">
      <c r="A704" s="972"/>
      <c r="B704" s="972"/>
      <c r="C704" s="972"/>
      <c r="D704" s="972"/>
      <c r="E704" s="972"/>
      <c r="F704" s="972"/>
      <c r="G704" s="972"/>
      <c r="H704" s="972"/>
      <c r="I704" s="972"/>
      <c r="J704" s="972"/>
      <c r="K704" s="972"/>
      <c r="L704" s="1041"/>
      <c r="M704" s="1041"/>
      <c r="N704" s="1041"/>
      <c r="O704" s="975"/>
    </row>
    <row r="705" spans="1:15">
      <c r="A705" s="972"/>
      <c r="B705" s="972"/>
      <c r="C705" s="972"/>
      <c r="D705" s="972"/>
      <c r="E705" s="972"/>
      <c r="F705" s="972"/>
      <c r="G705" s="972"/>
      <c r="H705" s="972"/>
      <c r="I705" s="972"/>
      <c r="J705" s="972"/>
      <c r="K705" s="972"/>
      <c r="L705" s="1041"/>
      <c r="M705" s="1041"/>
      <c r="N705" s="1041"/>
      <c r="O705" s="975"/>
    </row>
    <row r="706" spans="1:15">
      <c r="A706" s="972"/>
      <c r="B706" s="972"/>
      <c r="C706" s="972"/>
      <c r="D706" s="972"/>
      <c r="E706" s="972"/>
      <c r="F706" s="972"/>
      <c r="G706" s="972"/>
      <c r="H706" s="972"/>
      <c r="I706" s="972"/>
      <c r="J706" s="972"/>
      <c r="K706" s="972"/>
      <c r="L706" s="1041"/>
      <c r="M706" s="1041"/>
      <c r="N706" s="1041"/>
      <c r="O706" s="975"/>
    </row>
    <row r="707" spans="1:15">
      <c r="A707" s="972"/>
      <c r="B707" s="972"/>
      <c r="C707" s="972"/>
      <c r="D707" s="972"/>
      <c r="E707" s="972"/>
      <c r="F707" s="972"/>
      <c r="G707" s="972"/>
      <c r="H707" s="972"/>
      <c r="I707" s="972"/>
      <c r="J707" s="972"/>
      <c r="K707" s="972"/>
      <c r="L707" s="1041"/>
      <c r="M707" s="1041"/>
      <c r="N707" s="1041"/>
      <c r="O707" s="975"/>
    </row>
    <row r="708" spans="1:15">
      <c r="A708" s="972"/>
      <c r="B708" s="972"/>
      <c r="C708" s="972"/>
      <c r="D708" s="972"/>
      <c r="E708" s="972"/>
      <c r="F708" s="972"/>
      <c r="G708" s="972"/>
      <c r="H708" s="972"/>
      <c r="I708" s="972"/>
      <c r="J708" s="972"/>
      <c r="K708" s="972"/>
      <c r="L708" s="1041"/>
      <c r="M708" s="1041"/>
      <c r="N708" s="1041"/>
      <c r="O708" s="975"/>
    </row>
    <row r="709" spans="1:15">
      <c r="A709" s="972"/>
      <c r="B709" s="972"/>
      <c r="C709" s="972"/>
      <c r="D709" s="972"/>
      <c r="E709" s="972"/>
      <c r="F709" s="972"/>
      <c r="G709" s="972"/>
      <c r="H709" s="972"/>
      <c r="I709" s="972"/>
      <c r="J709" s="972"/>
      <c r="K709" s="972"/>
      <c r="L709" s="1041"/>
      <c r="M709" s="1041"/>
      <c r="N709" s="1041"/>
      <c r="O709" s="975"/>
    </row>
    <row r="710" spans="1:15">
      <c r="A710" s="972"/>
      <c r="B710" s="972"/>
      <c r="C710" s="972"/>
      <c r="D710" s="972"/>
      <c r="E710" s="972"/>
      <c r="F710" s="972"/>
      <c r="G710" s="972"/>
      <c r="H710" s="972"/>
      <c r="I710" s="972"/>
      <c r="J710" s="972"/>
      <c r="K710" s="972"/>
      <c r="L710" s="1041"/>
      <c r="M710" s="1041"/>
      <c r="N710" s="1041"/>
      <c r="O710" s="975"/>
    </row>
    <row r="711" spans="1:15">
      <c r="A711" s="972"/>
      <c r="B711" s="972"/>
      <c r="C711" s="972"/>
      <c r="D711" s="972"/>
      <c r="E711" s="972"/>
      <c r="F711" s="972"/>
      <c r="G711" s="972"/>
      <c r="H711" s="972"/>
      <c r="I711" s="972"/>
      <c r="J711" s="972"/>
      <c r="K711" s="972"/>
      <c r="L711" s="1041"/>
      <c r="M711" s="1041"/>
      <c r="N711" s="1041"/>
      <c r="O711" s="975"/>
    </row>
    <row r="712" spans="1:15">
      <c r="A712" s="972"/>
      <c r="B712" s="972"/>
      <c r="C712" s="972"/>
      <c r="D712" s="972"/>
      <c r="E712" s="972"/>
      <c r="F712" s="972"/>
      <c r="G712" s="972"/>
      <c r="H712" s="972"/>
      <c r="I712" s="972"/>
      <c r="J712" s="972"/>
      <c r="K712" s="972"/>
      <c r="L712" s="1041"/>
      <c r="M712" s="1041"/>
      <c r="N712" s="1041"/>
      <c r="O712" s="975"/>
    </row>
    <row r="713" spans="1:15">
      <c r="A713" s="972"/>
      <c r="B713" s="972"/>
      <c r="C713" s="972"/>
      <c r="D713" s="972"/>
      <c r="E713" s="972"/>
      <c r="F713" s="972"/>
      <c r="G713" s="972"/>
      <c r="H713" s="972"/>
      <c r="I713" s="972"/>
      <c r="J713" s="972"/>
      <c r="K713" s="972"/>
      <c r="L713" s="1041"/>
      <c r="M713" s="1041"/>
      <c r="N713" s="1041"/>
      <c r="O713" s="975"/>
    </row>
    <row r="714" spans="1:15">
      <c r="A714" s="972"/>
      <c r="B714" s="972"/>
      <c r="C714" s="972"/>
      <c r="D714" s="972"/>
      <c r="E714" s="972"/>
      <c r="F714" s="972"/>
      <c r="G714" s="972"/>
      <c r="H714" s="972"/>
      <c r="I714" s="972"/>
      <c r="J714" s="972"/>
      <c r="K714" s="972"/>
      <c r="L714" s="1041"/>
      <c r="M714" s="1041"/>
      <c r="N714" s="1041"/>
      <c r="O714" s="975"/>
    </row>
    <row r="715" spans="1:15">
      <c r="A715" s="972"/>
      <c r="B715" s="972"/>
      <c r="C715" s="972"/>
      <c r="D715" s="972"/>
      <c r="E715" s="972"/>
      <c r="F715" s="972"/>
      <c r="G715" s="972"/>
      <c r="H715" s="972"/>
      <c r="I715" s="972"/>
      <c r="J715" s="972"/>
      <c r="K715" s="972"/>
      <c r="L715" s="1041"/>
      <c r="M715" s="1041"/>
      <c r="N715" s="1041"/>
      <c r="O715" s="975"/>
    </row>
    <row r="716" spans="1:15">
      <c r="A716" s="972"/>
      <c r="B716" s="972"/>
      <c r="C716" s="972"/>
      <c r="D716" s="972"/>
      <c r="E716" s="972"/>
      <c r="F716" s="972"/>
      <c r="G716" s="972"/>
      <c r="H716" s="972"/>
      <c r="I716" s="972"/>
      <c r="J716" s="972"/>
      <c r="K716" s="972"/>
      <c r="L716" s="1041"/>
      <c r="M716" s="1041"/>
      <c r="N716" s="1041"/>
      <c r="O716" s="975"/>
    </row>
    <row r="717" spans="1:15">
      <c r="A717" s="972"/>
      <c r="B717" s="972"/>
      <c r="C717" s="972"/>
      <c r="D717" s="972"/>
      <c r="E717" s="972"/>
      <c r="F717" s="972"/>
      <c r="G717" s="972"/>
      <c r="H717" s="972"/>
      <c r="I717" s="972"/>
      <c r="J717" s="972"/>
      <c r="K717" s="972"/>
      <c r="L717" s="1041"/>
      <c r="M717" s="1041"/>
      <c r="N717" s="1041"/>
      <c r="O717" s="975"/>
    </row>
    <row r="718" spans="1:15">
      <c r="A718" s="972"/>
      <c r="B718" s="972"/>
      <c r="C718" s="972"/>
      <c r="D718" s="972"/>
      <c r="E718" s="972"/>
      <c r="F718" s="972"/>
      <c r="G718" s="972"/>
      <c r="H718" s="972"/>
      <c r="I718" s="972"/>
      <c r="J718" s="972"/>
      <c r="K718" s="972"/>
      <c r="L718" s="1041"/>
      <c r="M718" s="1041"/>
      <c r="N718" s="1041"/>
      <c r="O718" s="975"/>
    </row>
    <row r="719" spans="1:15">
      <c r="A719" s="972"/>
      <c r="B719" s="972"/>
      <c r="C719" s="972"/>
      <c r="D719" s="972"/>
      <c r="E719" s="972"/>
      <c r="F719" s="972"/>
      <c r="G719" s="972"/>
      <c r="H719" s="972"/>
      <c r="I719" s="972"/>
      <c r="J719" s="972"/>
      <c r="K719" s="972"/>
      <c r="L719" s="1041"/>
      <c r="M719" s="1041"/>
      <c r="N719" s="1041"/>
      <c r="O719" s="975"/>
    </row>
    <row r="720" spans="1:15">
      <c r="A720" s="972"/>
      <c r="B720" s="972"/>
      <c r="C720" s="972"/>
      <c r="D720" s="972"/>
      <c r="E720" s="972"/>
      <c r="F720" s="972"/>
      <c r="G720" s="972"/>
      <c r="H720" s="972"/>
      <c r="I720" s="972"/>
      <c r="J720" s="972"/>
      <c r="K720" s="972"/>
      <c r="L720" s="1041"/>
      <c r="M720" s="1041"/>
      <c r="N720" s="1041"/>
      <c r="O720" s="975"/>
    </row>
    <row r="721" spans="1:15">
      <c r="A721" s="972"/>
      <c r="B721" s="972"/>
      <c r="C721" s="972"/>
      <c r="D721" s="972"/>
      <c r="E721" s="972"/>
      <c r="F721" s="972"/>
      <c r="G721" s="972"/>
      <c r="H721" s="972"/>
      <c r="I721" s="972"/>
      <c r="J721" s="972"/>
      <c r="K721" s="972"/>
      <c r="L721" s="1041"/>
      <c r="M721" s="1041"/>
      <c r="N721" s="1041"/>
      <c r="O721" s="975"/>
    </row>
    <row r="722" spans="1:15">
      <c r="A722" s="972"/>
      <c r="B722" s="972"/>
      <c r="C722" s="972"/>
      <c r="D722" s="972"/>
      <c r="E722" s="972"/>
      <c r="F722" s="972"/>
      <c r="G722" s="972"/>
      <c r="H722" s="972"/>
      <c r="I722" s="972"/>
      <c r="J722" s="972"/>
      <c r="K722" s="972"/>
      <c r="L722" s="1041"/>
      <c r="M722" s="1041"/>
      <c r="N722" s="1041"/>
      <c r="O722" s="975"/>
    </row>
    <row r="723" spans="1:15">
      <c r="A723" s="972"/>
      <c r="B723" s="972"/>
      <c r="C723" s="972"/>
      <c r="D723" s="972"/>
      <c r="E723" s="972"/>
      <c r="F723" s="972"/>
      <c r="G723" s="972"/>
      <c r="H723" s="972"/>
      <c r="I723" s="972"/>
      <c r="J723" s="972"/>
      <c r="K723" s="972"/>
      <c r="L723" s="1041"/>
      <c r="M723" s="1041"/>
      <c r="N723" s="1041"/>
      <c r="O723" s="975"/>
    </row>
    <row r="724" spans="1:15">
      <c r="A724" s="972"/>
      <c r="B724" s="972"/>
      <c r="C724" s="972"/>
      <c r="D724" s="972"/>
      <c r="E724" s="972"/>
      <c r="F724" s="972"/>
      <c r="G724" s="972"/>
      <c r="H724" s="972"/>
      <c r="I724" s="972"/>
      <c r="J724" s="972"/>
      <c r="K724" s="972"/>
      <c r="L724" s="1041"/>
      <c r="M724" s="1041"/>
      <c r="N724" s="1041"/>
      <c r="O724" s="975"/>
    </row>
    <row r="725" spans="1:15">
      <c r="A725" s="972"/>
      <c r="B725" s="972"/>
      <c r="C725" s="972"/>
      <c r="D725" s="972"/>
      <c r="E725" s="972"/>
      <c r="F725" s="972"/>
      <c r="G725" s="972"/>
      <c r="H725" s="972"/>
      <c r="I725" s="972"/>
      <c r="J725" s="972"/>
      <c r="K725" s="972"/>
      <c r="L725" s="1041"/>
      <c r="M725" s="1041"/>
      <c r="N725" s="1041"/>
      <c r="O725" s="975"/>
    </row>
    <row r="726" spans="1:15">
      <c r="A726" s="972"/>
      <c r="B726" s="972"/>
      <c r="C726" s="972"/>
      <c r="D726" s="972"/>
      <c r="E726" s="972"/>
      <c r="F726" s="972"/>
      <c r="G726" s="972"/>
      <c r="H726" s="972"/>
      <c r="I726" s="972"/>
      <c r="J726" s="972"/>
      <c r="K726" s="972"/>
      <c r="L726" s="1041"/>
      <c r="M726" s="1041"/>
      <c r="N726" s="1041"/>
      <c r="O726" s="975"/>
    </row>
    <row r="727" spans="1:15">
      <c r="A727" s="972"/>
      <c r="B727" s="972"/>
      <c r="C727" s="972"/>
      <c r="D727" s="972"/>
      <c r="E727" s="972"/>
      <c r="F727" s="972"/>
      <c r="G727" s="972"/>
      <c r="H727" s="972"/>
      <c r="I727" s="972"/>
      <c r="J727" s="972"/>
      <c r="K727" s="972"/>
      <c r="L727" s="1041"/>
      <c r="M727" s="1041"/>
      <c r="N727" s="1041"/>
      <c r="O727" s="975"/>
    </row>
    <row r="728" spans="1:15">
      <c r="A728" s="972"/>
      <c r="B728" s="972"/>
      <c r="C728" s="972"/>
      <c r="D728" s="972"/>
      <c r="E728" s="972"/>
      <c r="F728" s="972"/>
      <c r="G728" s="972"/>
      <c r="H728" s="972"/>
      <c r="I728" s="972"/>
      <c r="J728" s="972"/>
      <c r="K728" s="972"/>
      <c r="L728" s="1041"/>
      <c r="M728" s="1041"/>
      <c r="N728" s="1041"/>
      <c r="O728" s="975"/>
    </row>
    <row r="729" spans="1:15">
      <c r="A729" s="972"/>
      <c r="B729" s="972"/>
      <c r="C729" s="972"/>
      <c r="D729" s="972"/>
      <c r="E729" s="972"/>
      <c r="F729" s="972"/>
      <c r="G729" s="972"/>
      <c r="H729" s="972"/>
      <c r="I729" s="972"/>
      <c r="J729" s="972"/>
      <c r="K729" s="972"/>
      <c r="L729" s="1041"/>
      <c r="M729" s="1041"/>
      <c r="N729" s="1041"/>
      <c r="O729" s="975"/>
    </row>
    <row r="730" spans="1:15">
      <c r="A730" s="972"/>
      <c r="B730" s="972"/>
      <c r="C730" s="972"/>
      <c r="D730" s="972"/>
      <c r="E730" s="972"/>
      <c r="F730" s="972"/>
      <c r="G730" s="972"/>
      <c r="H730" s="972"/>
      <c r="I730" s="972"/>
      <c r="J730" s="972"/>
      <c r="K730" s="972"/>
      <c r="L730" s="1041"/>
      <c r="M730" s="1041"/>
      <c r="N730" s="1041"/>
      <c r="O730" s="975"/>
    </row>
    <row r="731" spans="1:15">
      <c r="A731" s="972"/>
      <c r="B731" s="972"/>
      <c r="C731" s="972"/>
      <c r="D731" s="972"/>
      <c r="E731" s="972"/>
      <c r="F731" s="972"/>
      <c r="G731" s="972"/>
      <c r="H731" s="972"/>
      <c r="I731" s="972"/>
      <c r="J731" s="972"/>
      <c r="K731" s="972"/>
      <c r="L731" s="1041"/>
      <c r="M731" s="1041"/>
      <c r="N731" s="1041"/>
      <c r="O731" s="975"/>
    </row>
    <row r="732" spans="1:15">
      <c r="A732" s="972"/>
      <c r="B732" s="972"/>
      <c r="C732" s="972"/>
      <c r="D732" s="972"/>
      <c r="E732" s="972"/>
      <c r="F732" s="972"/>
      <c r="G732" s="972"/>
      <c r="H732" s="972"/>
      <c r="I732" s="972"/>
      <c r="J732" s="972"/>
      <c r="K732" s="972"/>
      <c r="L732" s="1041"/>
      <c r="M732" s="1041"/>
      <c r="N732" s="1041"/>
      <c r="O732" s="975"/>
    </row>
    <row r="733" spans="1:15">
      <c r="A733" s="972"/>
      <c r="B733" s="972"/>
      <c r="C733" s="972"/>
      <c r="D733" s="972"/>
      <c r="E733" s="972"/>
      <c r="F733" s="972"/>
      <c r="G733" s="972"/>
      <c r="H733" s="972"/>
      <c r="I733" s="972"/>
      <c r="J733" s="972"/>
      <c r="K733" s="972"/>
      <c r="L733" s="1041"/>
      <c r="M733" s="1041"/>
      <c r="N733" s="1041"/>
      <c r="O733" s="975"/>
    </row>
    <row r="734" spans="1:15">
      <c r="A734" s="972"/>
      <c r="B734" s="972"/>
      <c r="C734" s="972"/>
      <c r="D734" s="972"/>
      <c r="E734" s="972"/>
      <c r="F734" s="972"/>
      <c r="G734" s="972"/>
      <c r="H734" s="972"/>
      <c r="I734" s="972"/>
      <c r="J734" s="972"/>
      <c r="K734" s="972"/>
      <c r="L734" s="1041"/>
      <c r="M734" s="1041"/>
      <c r="N734" s="1041"/>
      <c r="O734" s="975"/>
    </row>
    <row r="735" spans="1:15">
      <c r="A735" s="972"/>
      <c r="B735" s="972"/>
      <c r="C735" s="972"/>
      <c r="D735" s="972"/>
      <c r="E735" s="972"/>
      <c r="F735" s="972"/>
      <c r="G735" s="972"/>
      <c r="H735" s="972"/>
      <c r="I735" s="972"/>
      <c r="J735" s="972"/>
      <c r="K735" s="972"/>
      <c r="L735" s="1041"/>
      <c r="M735" s="1041"/>
      <c r="N735" s="1041"/>
      <c r="O735" s="975"/>
    </row>
    <row r="736" spans="1:15">
      <c r="A736" s="972"/>
      <c r="B736" s="972"/>
      <c r="C736" s="972"/>
      <c r="D736" s="972"/>
      <c r="E736" s="972"/>
      <c r="F736" s="972"/>
      <c r="G736" s="972"/>
      <c r="H736" s="972"/>
      <c r="I736" s="972"/>
      <c r="J736" s="972"/>
      <c r="K736" s="972"/>
      <c r="L736" s="1041"/>
      <c r="M736" s="1041"/>
      <c r="N736" s="1041"/>
      <c r="O736" s="975"/>
    </row>
    <row r="737" spans="1:15">
      <c r="A737" s="972"/>
      <c r="B737" s="972"/>
      <c r="C737" s="972"/>
      <c r="D737" s="972"/>
      <c r="E737" s="972"/>
      <c r="F737" s="972"/>
      <c r="G737" s="972"/>
      <c r="H737" s="972"/>
      <c r="I737" s="972"/>
      <c r="J737" s="972"/>
      <c r="K737" s="972"/>
      <c r="L737" s="1041"/>
      <c r="M737" s="1041"/>
      <c r="N737" s="1041"/>
      <c r="O737" s="975"/>
    </row>
    <row r="738" spans="1:15">
      <c r="A738" s="972"/>
      <c r="B738" s="972"/>
      <c r="C738" s="972"/>
      <c r="D738" s="972"/>
      <c r="E738" s="972"/>
      <c r="F738" s="972"/>
      <c r="G738" s="972"/>
      <c r="H738" s="972"/>
      <c r="I738" s="972"/>
      <c r="J738" s="972"/>
      <c r="K738" s="972"/>
      <c r="L738" s="1041"/>
      <c r="M738" s="1041"/>
      <c r="N738" s="1041"/>
      <c r="O738" s="975"/>
    </row>
    <row r="739" spans="1:15">
      <c r="A739" s="972"/>
      <c r="B739" s="972"/>
      <c r="C739" s="972"/>
      <c r="D739" s="972"/>
      <c r="E739" s="972"/>
      <c r="F739" s="972"/>
      <c r="G739" s="972"/>
      <c r="H739" s="972"/>
      <c r="I739" s="972"/>
      <c r="J739" s="972"/>
      <c r="K739" s="972"/>
      <c r="L739" s="1041"/>
      <c r="M739" s="1041"/>
      <c r="N739" s="1041"/>
      <c r="O739" s="975"/>
    </row>
    <row r="740" spans="1:15">
      <c r="A740" s="972"/>
      <c r="B740" s="972"/>
      <c r="C740" s="972"/>
      <c r="D740" s="972"/>
      <c r="E740" s="972"/>
      <c r="F740" s="972"/>
      <c r="G740" s="972"/>
      <c r="H740" s="972"/>
      <c r="I740" s="972"/>
      <c r="J740" s="972"/>
      <c r="K740" s="972"/>
      <c r="L740" s="1041"/>
      <c r="M740" s="1041"/>
      <c r="N740" s="1041"/>
      <c r="O740" s="975"/>
    </row>
    <row r="741" spans="1:15">
      <c r="A741" s="972"/>
      <c r="B741" s="972"/>
      <c r="C741" s="972"/>
      <c r="D741" s="972"/>
      <c r="E741" s="972"/>
      <c r="F741" s="972"/>
      <c r="G741" s="972"/>
      <c r="H741" s="972"/>
      <c r="I741" s="972"/>
      <c r="J741" s="972"/>
      <c r="K741" s="972"/>
      <c r="L741" s="1041"/>
      <c r="M741" s="1041"/>
      <c r="N741" s="1041"/>
      <c r="O741" s="975"/>
    </row>
    <row r="742" spans="1:15">
      <c r="A742" s="972"/>
      <c r="B742" s="972"/>
      <c r="C742" s="972"/>
      <c r="D742" s="972"/>
      <c r="E742" s="972"/>
      <c r="F742" s="972"/>
      <c r="G742" s="972"/>
      <c r="H742" s="972"/>
      <c r="I742" s="972"/>
      <c r="J742" s="972"/>
      <c r="K742" s="972"/>
      <c r="L742" s="1041"/>
      <c r="M742" s="1041"/>
      <c r="N742" s="1041"/>
      <c r="O742" s="975"/>
    </row>
    <row r="743" spans="1:15">
      <c r="A743" s="972"/>
      <c r="B743" s="972"/>
      <c r="C743" s="972"/>
      <c r="D743" s="972"/>
      <c r="E743" s="972"/>
      <c r="F743" s="972"/>
      <c r="G743" s="972"/>
      <c r="H743" s="972"/>
      <c r="I743" s="972"/>
      <c r="J743" s="972"/>
      <c r="K743" s="972"/>
      <c r="L743" s="1041"/>
      <c r="M743" s="1041"/>
      <c r="N743" s="1041"/>
      <c r="O743" s="975"/>
    </row>
    <row r="744" spans="1:15">
      <c r="A744" s="972"/>
      <c r="B744" s="972"/>
      <c r="C744" s="972"/>
      <c r="D744" s="972"/>
      <c r="E744" s="972"/>
      <c r="F744" s="972"/>
      <c r="G744" s="972"/>
      <c r="H744" s="972"/>
      <c r="I744" s="972"/>
      <c r="J744" s="972"/>
      <c r="K744" s="972"/>
      <c r="L744" s="1041"/>
      <c r="M744" s="1041"/>
      <c r="N744" s="1041"/>
      <c r="O744" s="975"/>
    </row>
    <row r="745" spans="1:15">
      <c r="A745" s="972"/>
      <c r="B745" s="972"/>
      <c r="C745" s="972"/>
      <c r="D745" s="972"/>
      <c r="E745" s="972"/>
      <c r="F745" s="972"/>
      <c r="G745" s="972"/>
      <c r="H745" s="972"/>
      <c r="I745" s="972"/>
      <c r="J745" s="972"/>
      <c r="K745" s="972"/>
      <c r="L745" s="1041"/>
      <c r="M745" s="1041"/>
      <c r="N745" s="1041"/>
      <c r="O745" s="975"/>
    </row>
    <row r="746" spans="1:15">
      <c r="A746" s="972"/>
      <c r="B746" s="972"/>
      <c r="C746" s="972"/>
      <c r="D746" s="972"/>
      <c r="E746" s="972"/>
      <c r="F746" s="972"/>
      <c r="G746" s="972"/>
      <c r="H746" s="972"/>
      <c r="I746" s="972"/>
      <c r="J746" s="972"/>
      <c r="K746" s="972"/>
      <c r="L746" s="1041"/>
      <c r="M746" s="1041"/>
      <c r="N746" s="1041"/>
      <c r="O746" s="975"/>
    </row>
    <row r="747" spans="1:15">
      <c r="A747" s="972"/>
      <c r="B747" s="972"/>
      <c r="C747" s="972"/>
      <c r="D747" s="972"/>
      <c r="E747" s="972"/>
      <c r="F747" s="972"/>
      <c r="G747" s="972"/>
      <c r="H747" s="972"/>
      <c r="I747" s="972"/>
      <c r="J747" s="972"/>
      <c r="K747" s="972"/>
      <c r="L747" s="1041"/>
      <c r="M747" s="1041"/>
      <c r="N747" s="1041"/>
      <c r="O747" s="975"/>
    </row>
    <row r="748" spans="1:15">
      <c r="A748" s="972"/>
      <c r="B748" s="972"/>
      <c r="C748" s="972"/>
      <c r="D748" s="972"/>
      <c r="E748" s="972"/>
      <c r="F748" s="972"/>
      <c r="G748" s="972"/>
      <c r="H748" s="972"/>
      <c r="I748" s="972"/>
      <c r="J748" s="972"/>
      <c r="K748" s="972"/>
      <c r="L748" s="1041"/>
      <c r="M748" s="1041"/>
      <c r="N748" s="1041"/>
      <c r="O748" s="975"/>
    </row>
    <row r="749" spans="1:15">
      <c r="A749" s="972"/>
      <c r="B749" s="972"/>
      <c r="C749" s="972"/>
      <c r="D749" s="972"/>
      <c r="E749" s="972"/>
      <c r="F749" s="972"/>
      <c r="G749" s="972"/>
      <c r="H749" s="972"/>
      <c r="I749" s="972"/>
      <c r="J749" s="972"/>
      <c r="K749" s="972"/>
      <c r="L749" s="1041"/>
      <c r="M749" s="1041"/>
      <c r="N749" s="1041"/>
      <c r="O749" s="975"/>
    </row>
    <row r="750" spans="1:15">
      <c r="A750" s="972"/>
      <c r="B750" s="972"/>
      <c r="C750" s="972"/>
      <c r="D750" s="972"/>
      <c r="E750" s="972"/>
      <c r="F750" s="972"/>
      <c r="G750" s="972"/>
      <c r="H750" s="972"/>
      <c r="I750" s="972"/>
      <c r="J750" s="972"/>
      <c r="K750" s="972"/>
      <c r="L750" s="1041"/>
      <c r="M750" s="1041"/>
      <c r="N750" s="1041"/>
      <c r="O750" s="975"/>
    </row>
    <row r="751" spans="1:15">
      <c r="A751" s="972"/>
      <c r="B751" s="972"/>
      <c r="C751" s="972"/>
      <c r="D751" s="972"/>
      <c r="E751" s="972"/>
      <c r="F751" s="972"/>
      <c r="G751" s="972"/>
      <c r="H751" s="972"/>
      <c r="I751" s="972"/>
      <c r="J751" s="972"/>
      <c r="K751" s="972"/>
      <c r="L751" s="1041"/>
      <c r="M751" s="1041"/>
      <c r="N751" s="1041"/>
      <c r="O751" s="975"/>
    </row>
    <row r="752" spans="1:15">
      <c r="A752" s="972"/>
      <c r="B752" s="972"/>
      <c r="C752" s="972"/>
      <c r="D752" s="972"/>
      <c r="E752" s="972"/>
      <c r="F752" s="972"/>
      <c r="G752" s="972"/>
      <c r="H752" s="972"/>
      <c r="I752" s="972"/>
      <c r="J752" s="972"/>
      <c r="K752" s="972"/>
      <c r="L752" s="1041"/>
      <c r="M752" s="1041"/>
      <c r="N752" s="1041"/>
      <c r="O752" s="975"/>
    </row>
    <row r="753" spans="1:15">
      <c r="A753" s="972"/>
      <c r="B753" s="972"/>
      <c r="C753" s="972"/>
      <c r="D753" s="972"/>
      <c r="E753" s="972"/>
      <c r="F753" s="972"/>
      <c r="G753" s="972"/>
      <c r="H753" s="972"/>
      <c r="I753" s="972"/>
      <c r="J753" s="972"/>
      <c r="K753" s="972"/>
      <c r="L753" s="1041"/>
      <c r="M753" s="1041"/>
      <c r="N753" s="1041"/>
      <c r="O753" s="975"/>
    </row>
    <row r="754" spans="1:15">
      <c r="A754" s="972"/>
      <c r="B754" s="972"/>
      <c r="C754" s="972"/>
      <c r="D754" s="972"/>
      <c r="E754" s="972"/>
      <c r="F754" s="972"/>
      <c r="G754" s="972"/>
      <c r="H754" s="972"/>
      <c r="I754" s="972"/>
      <c r="J754" s="972"/>
      <c r="K754" s="972"/>
      <c r="L754" s="1041"/>
      <c r="M754" s="1041"/>
      <c r="N754" s="1041"/>
      <c r="O754" s="975"/>
    </row>
    <row r="755" spans="1:15">
      <c r="A755" s="972"/>
      <c r="B755" s="972"/>
      <c r="C755" s="972"/>
      <c r="D755" s="972"/>
      <c r="E755" s="972"/>
      <c r="F755" s="972"/>
      <c r="G755" s="972"/>
      <c r="H755" s="972"/>
      <c r="I755" s="972"/>
      <c r="J755" s="972"/>
      <c r="K755" s="972"/>
      <c r="L755" s="1041"/>
      <c r="M755" s="1041"/>
      <c r="N755" s="1041"/>
      <c r="O755" s="975"/>
    </row>
    <row r="756" spans="1:15">
      <c r="A756" s="972"/>
      <c r="B756" s="972"/>
      <c r="C756" s="972"/>
      <c r="D756" s="972"/>
      <c r="E756" s="972"/>
      <c r="F756" s="972"/>
      <c r="G756" s="972"/>
      <c r="H756" s="972"/>
      <c r="I756" s="972"/>
      <c r="J756" s="972"/>
      <c r="K756" s="972"/>
      <c r="L756" s="1041"/>
      <c r="M756" s="1041"/>
      <c r="N756" s="1041"/>
      <c r="O756" s="975"/>
    </row>
    <row r="757" spans="1:15">
      <c r="A757" s="972"/>
      <c r="B757" s="972"/>
      <c r="C757" s="972"/>
      <c r="D757" s="972"/>
      <c r="E757" s="972"/>
      <c r="F757" s="972"/>
      <c r="G757" s="972"/>
      <c r="H757" s="972"/>
      <c r="I757" s="972"/>
      <c r="J757" s="972"/>
      <c r="K757" s="972"/>
      <c r="L757" s="1041"/>
      <c r="M757" s="1041"/>
      <c r="N757" s="1041"/>
      <c r="O757" s="975"/>
    </row>
    <row r="758" spans="1:15">
      <c r="A758" s="972"/>
      <c r="B758" s="972"/>
      <c r="C758" s="972"/>
      <c r="D758" s="972"/>
      <c r="E758" s="972"/>
      <c r="F758" s="972"/>
      <c r="G758" s="972"/>
      <c r="H758" s="972"/>
      <c r="I758" s="972"/>
      <c r="J758" s="972"/>
      <c r="K758" s="972"/>
      <c r="L758" s="1041"/>
      <c r="M758" s="1041"/>
      <c r="N758" s="1041"/>
      <c r="O758" s="975"/>
    </row>
    <row r="759" spans="1:15">
      <c r="A759" s="972"/>
      <c r="B759" s="972"/>
      <c r="C759" s="972"/>
      <c r="D759" s="972"/>
      <c r="E759" s="972"/>
      <c r="F759" s="972"/>
      <c r="G759" s="972"/>
      <c r="H759" s="972"/>
      <c r="I759" s="972"/>
      <c r="J759" s="972"/>
      <c r="K759" s="972"/>
      <c r="L759" s="1041"/>
      <c r="M759" s="1041"/>
      <c r="N759" s="1041"/>
      <c r="O759" s="975"/>
    </row>
    <row r="760" spans="1:15">
      <c r="A760" s="972"/>
      <c r="B760" s="972"/>
      <c r="C760" s="972"/>
      <c r="D760" s="972"/>
      <c r="E760" s="972"/>
      <c r="F760" s="972"/>
      <c r="G760" s="972"/>
      <c r="H760" s="972"/>
      <c r="I760" s="972"/>
      <c r="J760" s="972"/>
      <c r="K760" s="972"/>
      <c r="L760" s="1041"/>
      <c r="M760" s="1041"/>
      <c r="N760" s="1041"/>
      <c r="O760" s="975"/>
    </row>
    <row r="761" spans="1:15">
      <c r="A761" s="972"/>
      <c r="B761" s="972"/>
      <c r="C761" s="972"/>
      <c r="D761" s="972"/>
      <c r="E761" s="972"/>
      <c r="F761" s="972"/>
      <c r="G761" s="972"/>
      <c r="H761" s="972"/>
      <c r="I761" s="972"/>
      <c r="J761" s="972"/>
      <c r="K761" s="972"/>
      <c r="L761" s="1041"/>
      <c r="M761" s="1041"/>
      <c r="N761" s="1041"/>
      <c r="O761" s="975"/>
    </row>
    <row r="762" spans="1:15">
      <c r="A762" s="972"/>
      <c r="B762" s="972"/>
      <c r="C762" s="972"/>
      <c r="D762" s="972"/>
      <c r="E762" s="972"/>
      <c r="F762" s="972"/>
      <c r="G762" s="972"/>
      <c r="H762" s="972"/>
      <c r="I762" s="972"/>
      <c r="J762" s="972"/>
      <c r="K762" s="972"/>
      <c r="L762" s="1041"/>
      <c r="M762" s="1041"/>
      <c r="N762" s="1041"/>
      <c r="O762" s="975"/>
    </row>
    <row r="763" spans="1:15">
      <c r="A763" s="972"/>
      <c r="B763" s="972"/>
      <c r="C763" s="972"/>
      <c r="D763" s="972"/>
      <c r="E763" s="972"/>
      <c r="F763" s="972"/>
      <c r="G763" s="972"/>
      <c r="H763" s="972"/>
      <c r="I763" s="972"/>
      <c r="J763" s="972"/>
      <c r="K763" s="972"/>
      <c r="L763" s="1041"/>
      <c r="M763" s="1041"/>
      <c r="N763" s="1041"/>
      <c r="O763" s="975"/>
    </row>
    <row r="764" spans="1:15">
      <c r="A764" s="972"/>
      <c r="B764" s="972"/>
      <c r="C764" s="972"/>
      <c r="D764" s="972"/>
      <c r="E764" s="972"/>
      <c r="F764" s="972"/>
      <c r="G764" s="972"/>
      <c r="H764" s="972"/>
      <c r="I764" s="972"/>
      <c r="J764" s="972"/>
      <c r="K764" s="972"/>
      <c r="L764" s="1041"/>
      <c r="M764" s="1041"/>
      <c r="N764" s="1041"/>
      <c r="O764" s="975"/>
    </row>
    <row r="765" spans="1:15">
      <c r="A765" s="972"/>
      <c r="B765" s="972"/>
      <c r="C765" s="972"/>
      <c r="D765" s="972"/>
      <c r="E765" s="972"/>
      <c r="F765" s="972"/>
      <c r="G765" s="972"/>
      <c r="H765" s="972"/>
      <c r="I765" s="972"/>
      <c r="J765" s="972"/>
      <c r="K765" s="972"/>
      <c r="L765" s="1041"/>
      <c r="M765" s="1041"/>
      <c r="N765" s="1041"/>
      <c r="O765" s="975"/>
    </row>
    <row r="766" spans="1:15">
      <c r="A766" s="972"/>
      <c r="B766" s="972"/>
      <c r="C766" s="972"/>
      <c r="D766" s="972"/>
      <c r="E766" s="972"/>
      <c r="F766" s="972"/>
      <c r="G766" s="972"/>
      <c r="H766" s="972"/>
      <c r="I766" s="972"/>
      <c r="J766" s="972"/>
      <c r="K766" s="972"/>
      <c r="L766" s="1041"/>
      <c r="M766" s="1041"/>
      <c r="N766" s="1041"/>
      <c r="O766" s="975"/>
    </row>
    <row r="767" spans="1:15">
      <c r="A767" s="972"/>
      <c r="B767" s="972"/>
      <c r="C767" s="972"/>
      <c r="D767" s="972"/>
      <c r="E767" s="972"/>
      <c r="F767" s="972"/>
      <c r="G767" s="972"/>
      <c r="H767" s="972"/>
      <c r="I767" s="972"/>
      <c r="J767" s="972"/>
      <c r="K767" s="972"/>
      <c r="L767" s="1041"/>
      <c r="M767" s="1041"/>
      <c r="N767" s="1041"/>
      <c r="O767" s="975"/>
    </row>
    <row r="768" spans="1:15">
      <c r="A768" s="972"/>
      <c r="B768" s="972"/>
      <c r="C768" s="972"/>
      <c r="D768" s="972"/>
      <c r="E768" s="972"/>
      <c r="F768" s="972"/>
      <c r="G768" s="972"/>
      <c r="H768" s="972"/>
      <c r="I768" s="972"/>
      <c r="J768" s="972"/>
      <c r="K768" s="972"/>
      <c r="L768" s="1041"/>
      <c r="M768" s="1041"/>
      <c r="N768" s="1041"/>
      <c r="O768" s="975"/>
    </row>
    <row r="769" spans="1:15">
      <c r="A769" s="972"/>
      <c r="B769" s="972"/>
      <c r="C769" s="972"/>
      <c r="D769" s="972"/>
      <c r="E769" s="972"/>
      <c r="F769" s="972"/>
      <c r="G769" s="972"/>
      <c r="H769" s="972"/>
      <c r="I769" s="972"/>
      <c r="J769" s="972"/>
      <c r="K769" s="972"/>
      <c r="L769" s="1041"/>
      <c r="M769" s="1041"/>
      <c r="N769" s="1041"/>
      <c r="O769" s="975"/>
    </row>
    <row r="770" spans="1:15">
      <c r="A770" s="972"/>
      <c r="B770" s="972"/>
      <c r="C770" s="972"/>
      <c r="D770" s="972"/>
      <c r="E770" s="972"/>
      <c r="F770" s="972"/>
      <c r="G770" s="972"/>
      <c r="H770" s="972"/>
      <c r="I770" s="972"/>
      <c r="J770" s="972"/>
      <c r="K770" s="972"/>
      <c r="L770" s="1041"/>
      <c r="M770" s="1041"/>
      <c r="N770" s="1041"/>
      <c r="O770" s="975"/>
    </row>
    <row r="771" spans="1:15">
      <c r="A771" s="972"/>
      <c r="B771" s="972"/>
      <c r="C771" s="972"/>
      <c r="D771" s="972"/>
      <c r="E771" s="972"/>
      <c r="F771" s="972"/>
      <c r="G771" s="972"/>
      <c r="H771" s="972"/>
      <c r="I771" s="972"/>
      <c r="J771" s="972"/>
      <c r="K771" s="972"/>
      <c r="L771" s="1041"/>
      <c r="M771" s="1041"/>
      <c r="N771" s="1041"/>
      <c r="O771" s="975"/>
    </row>
    <row r="772" spans="1:15">
      <c r="A772" s="972"/>
      <c r="B772" s="972"/>
      <c r="C772" s="972"/>
      <c r="D772" s="972"/>
      <c r="E772" s="972"/>
      <c r="F772" s="972"/>
      <c r="G772" s="972"/>
      <c r="H772" s="972"/>
      <c r="I772" s="972"/>
      <c r="J772" s="972"/>
      <c r="K772" s="972"/>
      <c r="L772" s="1041"/>
      <c r="M772" s="1041"/>
      <c r="N772" s="1041"/>
      <c r="O772" s="975"/>
    </row>
    <row r="773" spans="1:15">
      <c r="A773" s="972"/>
      <c r="B773" s="972"/>
      <c r="C773" s="972"/>
      <c r="D773" s="972"/>
      <c r="E773" s="972"/>
      <c r="F773" s="972"/>
      <c r="G773" s="972"/>
      <c r="H773" s="972"/>
      <c r="I773" s="972"/>
      <c r="J773" s="972"/>
      <c r="K773" s="972"/>
      <c r="L773" s="1041"/>
      <c r="M773" s="1041"/>
      <c r="N773" s="1041"/>
      <c r="O773" s="975"/>
    </row>
    <row r="774" spans="1:15">
      <c r="A774" s="972"/>
      <c r="B774" s="972"/>
      <c r="C774" s="972"/>
      <c r="D774" s="972"/>
      <c r="E774" s="972"/>
      <c r="F774" s="972"/>
      <c r="G774" s="972"/>
      <c r="H774" s="972"/>
      <c r="I774" s="972"/>
      <c r="J774" s="972"/>
      <c r="K774" s="972"/>
      <c r="L774" s="1041"/>
      <c r="M774" s="1041"/>
      <c r="N774" s="1041"/>
      <c r="O774" s="975"/>
    </row>
    <row r="775" spans="1:15">
      <c r="A775" s="972"/>
      <c r="B775" s="972"/>
      <c r="C775" s="972"/>
      <c r="D775" s="972"/>
      <c r="E775" s="972"/>
      <c r="F775" s="972"/>
      <c r="G775" s="972"/>
      <c r="H775" s="972"/>
      <c r="I775" s="972"/>
      <c r="J775" s="972"/>
      <c r="K775" s="972"/>
      <c r="L775" s="1041"/>
      <c r="M775" s="1041"/>
      <c r="N775" s="1041"/>
      <c r="O775" s="975"/>
    </row>
    <row r="776" spans="1:15">
      <c r="A776" s="972"/>
      <c r="B776" s="972"/>
      <c r="C776" s="972"/>
      <c r="D776" s="972"/>
      <c r="E776" s="972"/>
      <c r="F776" s="972"/>
      <c r="G776" s="972"/>
      <c r="H776" s="972"/>
      <c r="I776" s="972"/>
      <c r="J776" s="972"/>
      <c r="K776" s="972"/>
      <c r="L776" s="1041"/>
      <c r="M776" s="1041"/>
      <c r="N776" s="1041"/>
      <c r="O776" s="975"/>
    </row>
    <row r="777" spans="1:15">
      <c r="A777" s="972"/>
      <c r="B777" s="972"/>
      <c r="C777" s="972"/>
      <c r="D777" s="972"/>
      <c r="E777" s="972"/>
      <c r="F777" s="972"/>
      <c r="G777" s="972"/>
      <c r="H777" s="972"/>
      <c r="I777" s="972"/>
      <c r="J777" s="972"/>
      <c r="K777" s="972"/>
      <c r="L777" s="1041"/>
      <c r="M777" s="1041"/>
      <c r="N777" s="1041"/>
      <c r="O777" s="975"/>
    </row>
    <row r="778" spans="1:15">
      <c r="A778" s="972"/>
      <c r="B778" s="972"/>
      <c r="C778" s="972"/>
      <c r="D778" s="972"/>
      <c r="E778" s="972"/>
      <c r="F778" s="972"/>
      <c r="G778" s="972"/>
      <c r="H778" s="972"/>
      <c r="I778" s="972"/>
      <c r="J778" s="972"/>
      <c r="K778" s="972"/>
      <c r="L778" s="1041"/>
      <c r="M778" s="1041"/>
      <c r="N778" s="1041"/>
      <c r="O778" s="975"/>
    </row>
    <row r="779" spans="1:15">
      <c r="A779" s="972"/>
      <c r="B779" s="972"/>
      <c r="C779" s="972"/>
      <c r="D779" s="972"/>
      <c r="E779" s="972"/>
      <c r="F779" s="972"/>
      <c r="G779" s="972"/>
      <c r="H779" s="972"/>
      <c r="I779" s="972"/>
      <c r="J779" s="972"/>
      <c r="K779" s="972"/>
      <c r="L779" s="1041"/>
      <c r="M779" s="1041"/>
      <c r="N779" s="1041"/>
      <c r="O779" s="975"/>
    </row>
    <row r="780" spans="1:15">
      <c r="A780" s="972"/>
      <c r="B780" s="972"/>
      <c r="C780" s="972"/>
      <c r="D780" s="972"/>
      <c r="E780" s="972"/>
      <c r="F780" s="972"/>
      <c r="G780" s="972"/>
      <c r="H780" s="972"/>
      <c r="I780" s="972"/>
      <c r="J780" s="972"/>
      <c r="K780" s="972"/>
      <c r="L780" s="1041"/>
      <c r="M780" s="1041"/>
      <c r="N780" s="1041"/>
      <c r="O780" s="975"/>
    </row>
    <row r="781" spans="1:15">
      <c r="A781" s="972"/>
      <c r="B781" s="972"/>
      <c r="C781" s="972"/>
      <c r="D781" s="972"/>
      <c r="E781" s="972"/>
      <c r="F781" s="972"/>
      <c r="G781" s="972"/>
      <c r="H781" s="972"/>
      <c r="I781" s="972"/>
      <c r="J781" s="972"/>
      <c r="K781" s="972"/>
      <c r="L781" s="1041"/>
      <c r="M781" s="1041"/>
      <c r="N781" s="1041"/>
      <c r="O781" s="975"/>
    </row>
    <row r="782" spans="1:15">
      <c r="A782" s="972"/>
      <c r="B782" s="972"/>
      <c r="C782" s="972"/>
      <c r="D782" s="972"/>
      <c r="E782" s="972"/>
      <c r="F782" s="972"/>
      <c r="G782" s="972"/>
      <c r="H782" s="972"/>
      <c r="I782" s="972"/>
      <c r="J782" s="972"/>
      <c r="K782" s="972"/>
      <c r="L782" s="1041"/>
      <c r="M782" s="1041"/>
      <c r="N782" s="1041"/>
      <c r="O782" s="975"/>
    </row>
    <row r="783" spans="1:15">
      <c r="A783" s="972"/>
      <c r="B783" s="972"/>
      <c r="C783" s="972"/>
      <c r="D783" s="972"/>
      <c r="E783" s="972"/>
      <c r="F783" s="972"/>
      <c r="G783" s="972"/>
      <c r="H783" s="972"/>
      <c r="I783" s="972"/>
      <c r="J783" s="972"/>
      <c r="K783" s="972"/>
      <c r="L783" s="1041"/>
      <c r="M783" s="1041"/>
      <c r="N783" s="1041"/>
      <c r="O783" s="975"/>
    </row>
    <row r="784" spans="1:15">
      <c r="A784" s="972"/>
      <c r="B784" s="972"/>
      <c r="C784" s="972"/>
      <c r="D784" s="972"/>
      <c r="E784" s="972"/>
      <c r="F784" s="972"/>
      <c r="G784" s="972"/>
      <c r="H784" s="972"/>
      <c r="I784" s="972"/>
      <c r="J784" s="972"/>
      <c r="K784" s="972"/>
      <c r="L784" s="1041"/>
      <c r="M784" s="1041"/>
      <c r="N784" s="1041"/>
      <c r="O784" s="975"/>
    </row>
    <row r="785" spans="1:15">
      <c r="A785" s="972"/>
      <c r="B785" s="972"/>
      <c r="C785" s="972"/>
      <c r="D785" s="972"/>
      <c r="E785" s="972"/>
      <c r="F785" s="972"/>
      <c r="G785" s="972"/>
      <c r="H785" s="972"/>
      <c r="I785" s="972"/>
      <c r="J785" s="972"/>
      <c r="K785" s="972"/>
      <c r="L785" s="1041"/>
      <c r="M785" s="1041"/>
      <c r="N785" s="1041"/>
      <c r="O785" s="975"/>
    </row>
    <row r="786" spans="1:15">
      <c r="A786" s="972"/>
      <c r="B786" s="972"/>
      <c r="C786" s="972"/>
      <c r="D786" s="972"/>
      <c r="E786" s="972"/>
      <c r="F786" s="972"/>
      <c r="G786" s="972"/>
      <c r="H786" s="972"/>
      <c r="I786" s="972"/>
      <c r="J786" s="972"/>
      <c r="K786" s="972"/>
      <c r="L786" s="1041"/>
      <c r="M786" s="1041"/>
      <c r="N786" s="1041"/>
      <c r="O786" s="975"/>
    </row>
    <row r="787" spans="1:15">
      <c r="A787" s="972"/>
      <c r="B787" s="972"/>
      <c r="C787" s="972"/>
      <c r="D787" s="972"/>
      <c r="E787" s="972"/>
      <c r="F787" s="972"/>
      <c r="G787" s="972"/>
      <c r="H787" s="972"/>
      <c r="I787" s="972"/>
      <c r="J787" s="972"/>
      <c r="K787" s="972"/>
      <c r="L787" s="1041"/>
      <c r="M787" s="1041"/>
      <c r="N787" s="1041"/>
      <c r="O787" s="975"/>
    </row>
    <row r="788" spans="1:15">
      <c r="A788" s="972"/>
      <c r="B788" s="972"/>
      <c r="C788" s="972"/>
      <c r="D788" s="972"/>
      <c r="E788" s="972"/>
      <c r="F788" s="972"/>
      <c r="G788" s="972"/>
      <c r="H788" s="972"/>
      <c r="I788" s="972"/>
      <c r="J788" s="972"/>
      <c r="K788" s="972"/>
      <c r="L788" s="1041"/>
      <c r="M788" s="1041"/>
      <c r="N788" s="1041"/>
      <c r="O788" s="975"/>
    </row>
    <row r="789" spans="1:15">
      <c r="A789" s="972"/>
      <c r="B789" s="972"/>
      <c r="C789" s="972"/>
      <c r="D789" s="972"/>
      <c r="E789" s="972"/>
      <c r="F789" s="972"/>
      <c r="G789" s="972"/>
      <c r="H789" s="972"/>
      <c r="I789" s="972"/>
      <c r="J789" s="972"/>
      <c r="K789" s="972"/>
      <c r="L789" s="1041"/>
      <c r="M789" s="1041"/>
      <c r="N789" s="1041"/>
      <c r="O789" s="975"/>
    </row>
    <row r="790" spans="1:15">
      <c r="A790" s="972"/>
      <c r="B790" s="972"/>
      <c r="C790" s="972"/>
      <c r="D790" s="972"/>
      <c r="E790" s="972"/>
      <c r="F790" s="972"/>
      <c r="G790" s="972"/>
      <c r="H790" s="972"/>
      <c r="I790" s="972"/>
      <c r="J790" s="972"/>
      <c r="K790" s="972"/>
      <c r="L790" s="1041"/>
      <c r="M790" s="1041"/>
      <c r="N790" s="1041"/>
      <c r="O790" s="975"/>
    </row>
    <row r="791" spans="1:15">
      <c r="A791" s="972"/>
      <c r="B791" s="972"/>
      <c r="C791" s="972"/>
      <c r="D791" s="972"/>
      <c r="E791" s="972"/>
      <c r="F791" s="972"/>
      <c r="G791" s="972"/>
      <c r="H791" s="972"/>
      <c r="I791" s="972"/>
      <c r="J791" s="972"/>
      <c r="K791" s="972"/>
      <c r="L791" s="1041"/>
      <c r="M791" s="1041"/>
      <c r="N791" s="1041"/>
      <c r="O791" s="975"/>
    </row>
    <row r="792" spans="1:15">
      <c r="A792" s="972"/>
      <c r="B792" s="972"/>
      <c r="C792" s="972"/>
      <c r="D792" s="972"/>
      <c r="E792" s="972"/>
      <c r="F792" s="972"/>
      <c r="G792" s="972"/>
      <c r="H792" s="972"/>
      <c r="I792" s="972"/>
      <c r="J792" s="972"/>
      <c r="K792" s="972"/>
      <c r="L792" s="1041"/>
      <c r="M792" s="1041"/>
      <c r="N792" s="1041"/>
      <c r="O792" s="975"/>
    </row>
    <row r="793" spans="1:15">
      <c r="A793" s="972"/>
      <c r="B793" s="972"/>
      <c r="C793" s="972"/>
      <c r="D793" s="972"/>
      <c r="E793" s="972"/>
      <c r="F793" s="972"/>
      <c r="G793" s="972"/>
      <c r="H793" s="972"/>
      <c r="I793" s="972"/>
      <c r="J793" s="972"/>
      <c r="K793" s="972"/>
      <c r="L793" s="1041"/>
      <c r="M793" s="1041"/>
      <c r="N793" s="1041"/>
      <c r="O793" s="975"/>
    </row>
    <row r="794" spans="1:15">
      <c r="A794" s="972"/>
      <c r="B794" s="972"/>
      <c r="C794" s="972"/>
      <c r="D794" s="972"/>
      <c r="E794" s="972"/>
      <c r="F794" s="972"/>
      <c r="G794" s="972"/>
      <c r="H794" s="972"/>
      <c r="I794" s="972"/>
      <c r="J794" s="972"/>
      <c r="K794" s="972"/>
      <c r="L794" s="1041"/>
      <c r="M794" s="1041"/>
      <c r="N794" s="1041"/>
      <c r="O794" s="975"/>
    </row>
    <row r="795" spans="1:15">
      <c r="A795" s="972"/>
      <c r="B795" s="972"/>
      <c r="C795" s="972"/>
      <c r="D795" s="972"/>
      <c r="E795" s="972"/>
      <c r="F795" s="972"/>
      <c r="G795" s="972"/>
      <c r="H795" s="972"/>
      <c r="I795" s="972"/>
      <c r="J795" s="972"/>
      <c r="K795" s="972"/>
      <c r="L795" s="1041"/>
      <c r="M795" s="1041"/>
      <c r="N795" s="1041"/>
      <c r="O795" s="975"/>
    </row>
    <row r="796" spans="1:15">
      <c r="A796" s="972"/>
      <c r="B796" s="972"/>
      <c r="C796" s="972"/>
      <c r="D796" s="972"/>
      <c r="E796" s="972"/>
      <c r="F796" s="972"/>
      <c r="G796" s="972"/>
      <c r="H796" s="972"/>
      <c r="I796" s="972"/>
      <c r="J796" s="972"/>
      <c r="K796" s="972"/>
      <c r="L796" s="1041"/>
      <c r="M796" s="1041"/>
      <c r="N796" s="1041"/>
      <c r="O796" s="975"/>
    </row>
    <row r="797" spans="1:15">
      <c r="A797" s="972"/>
      <c r="B797" s="972"/>
      <c r="C797" s="972"/>
      <c r="D797" s="972"/>
      <c r="E797" s="972"/>
      <c r="F797" s="972"/>
      <c r="G797" s="972"/>
      <c r="H797" s="972"/>
      <c r="I797" s="972"/>
      <c r="J797" s="972"/>
      <c r="K797" s="972"/>
      <c r="L797" s="1041"/>
      <c r="M797" s="1041"/>
      <c r="N797" s="1041"/>
      <c r="O797" s="975"/>
    </row>
    <row r="798" spans="1:15">
      <c r="A798" s="972"/>
      <c r="B798" s="972"/>
      <c r="C798" s="972"/>
      <c r="D798" s="972"/>
      <c r="E798" s="972"/>
      <c r="F798" s="972"/>
      <c r="G798" s="972"/>
      <c r="H798" s="972"/>
      <c r="I798" s="972"/>
      <c r="J798" s="972"/>
      <c r="K798" s="972"/>
      <c r="L798" s="1041"/>
      <c r="M798" s="1041"/>
      <c r="N798" s="1041"/>
      <c r="O798" s="975"/>
    </row>
    <row r="799" spans="1:15">
      <c r="A799" s="972"/>
      <c r="B799" s="972"/>
      <c r="C799" s="972"/>
      <c r="D799" s="972"/>
      <c r="E799" s="972"/>
      <c r="F799" s="972"/>
      <c r="G799" s="972"/>
      <c r="H799" s="972"/>
      <c r="I799" s="972"/>
      <c r="J799" s="972"/>
      <c r="K799" s="972"/>
      <c r="L799" s="1041"/>
      <c r="M799" s="1041"/>
      <c r="N799" s="1041"/>
      <c r="O799" s="975"/>
    </row>
    <row r="800" spans="1:15">
      <c r="A800" s="972"/>
      <c r="B800" s="972"/>
      <c r="C800" s="972"/>
      <c r="D800" s="972"/>
      <c r="E800" s="972"/>
      <c r="F800" s="972"/>
      <c r="G800" s="972"/>
      <c r="H800" s="972"/>
      <c r="I800" s="972"/>
      <c r="J800" s="972"/>
      <c r="K800" s="972"/>
      <c r="L800" s="1041"/>
      <c r="M800" s="1041"/>
      <c r="N800" s="1041"/>
      <c r="O800" s="975"/>
    </row>
    <row r="801" spans="1:15">
      <c r="A801" s="972"/>
      <c r="B801" s="972"/>
      <c r="C801" s="972"/>
      <c r="D801" s="972"/>
      <c r="E801" s="972"/>
      <c r="F801" s="972"/>
      <c r="G801" s="972"/>
      <c r="H801" s="972"/>
      <c r="I801" s="972"/>
      <c r="J801" s="972"/>
      <c r="K801" s="972"/>
      <c r="L801" s="1041"/>
      <c r="M801" s="1041"/>
      <c r="N801" s="1041"/>
      <c r="O801" s="975"/>
    </row>
    <row r="802" spans="1:15">
      <c r="A802" s="972"/>
      <c r="B802" s="972"/>
      <c r="C802" s="972"/>
      <c r="D802" s="972"/>
      <c r="E802" s="972"/>
      <c r="F802" s="972"/>
      <c r="G802" s="972"/>
      <c r="H802" s="972"/>
      <c r="I802" s="972"/>
      <c r="J802" s="972"/>
      <c r="K802" s="972"/>
      <c r="L802" s="1041"/>
      <c r="M802" s="1041"/>
      <c r="N802" s="1041"/>
      <c r="O802" s="975"/>
    </row>
    <row r="803" spans="1:15">
      <c r="A803" s="972"/>
      <c r="B803" s="972"/>
      <c r="C803" s="972"/>
      <c r="D803" s="972"/>
      <c r="E803" s="972"/>
      <c r="F803" s="972"/>
      <c r="G803" s="972"/>
      <c r="H803" s="972"/>
      <c r="I803" s="972"/>
      <c r="J803" s="972"/>
      <c r="K803" s="972"/>
      <c r="L803" s="1041"/>
      <c r="M803" s="1041"/>
      <c r="N803" s="1041"/>
      <c r="O803" s="975"/>
    </row>
    <row r="804" spans="1:15">
      <c r="A804" s="972"/>
      <c r="B804" s="972"/>
      <c r="C804" s="972"/>
      <c r="D804" s="972"/>
      <c r="E804" s="972"/>
      <c r="F804" s="972"/>
      <c r="G804" s="972"/>
      <c r="H804" s="972"/>
      <c r="I804" s="972"/>
      <c r="J804" s="972"/>
      <c r="K804" s="972"/>
      <c r="L804" s="1041"/>
      <c r="M804" s="1041"/>
      <c r="N804" s="1041"/>
      <c r="O804" s="975"/>
    </row>
    <row r="805" spans="1:15">
      <c r="A805" s="972"/>
      <c r="B805" s="972"/>
      <c r="C805" s="972"/>
      <c r="D805" s="972"/>
      <c r="E805" s="972"/>
      <c r="F805" s="972"/>
      <c r="G805" s="972"/>
      <c r="H805" s="972"/>
      <c r="I805" s="972"/>
      <c r="J805" s="972"/>
      <c r="K805" s="972"/>
      <c r="L805" s="1041"/>
      <c r="M805" s="1041"/>
      <c r="N805" s="1041"/>
      <c r="O805" s="975"/>
    </row>
    <row r="806" spans="1:15">
      <c r="A806" s="972"/>
      <c r="B806" s="972"/>
      <c r="C806" s="972"/>
      <c r="D806" s="972"/>
      <c r="E806" s="972"/>
      <c r="F806" s="972"/>
      <c r="G806" s="972"/>
      <c r="H806" s="972"/>
      <c r="I806" s="972"/>
      <c r="J806" s="972"/>
      <c r="K806" s="972"/>
      <c r="L806" s="1041"/>
      <c r="M806" s="1041"/>
      <c r="N806" s="1041"/>
      <c r="O806" s="975"/>
    </row>
    <row r="807" spans="1:15">
      <c r="A807" s="972"/>
      <c r="B807" s="972"/>
      <c r="C807" s="972"/>
      <c r="D807" s="972"/>
      <c r="E807" s="972"/>
      <c r="F807" s="972"/>
      <c r="G807" s="972"/>
      <c r="H807" s="972"/>
      <c r="I807" s="972"/>
      <c r="J807" s="972"/>
      <c r="K807" s="972"/>
      <c r="L807" s="1041"/>
      <c r="M807" s="1041"/>
      <c r="N807" s="1041"/>
      <c r="O807" s="975"/>
    </row>
    <row r="808" spans="1:15">
      <c r="A808" s="972"/>
      <c r="B808" s="972"/>
      <c r="C808" s="972"/>
      <c r="D808" s="972"/>
      <c r="E808" s="972"/>
      <c r="F808" s="972"/>
      <c r="G808" s="972"/>
      <c r="H808" s="972"/>
      <c r="I808" s="972"/>
      <c r="J808" s="972"/>
      <c r="K808" s="972"/>
      <c r="L808" s="1041"/>
      <c r="M808" s="1041"/>
      <c r="N808" s="1041"/>
      <c r="O808" s="975"/>
    </row>
    <row r="809" spans="1:15">
      <c r="A809" s="972"/>
      <c r="B809" s="972"/>
      <c r="C809" s="972"/>
      <c r="D809" s="972"/>
      <c r="E809" s="972"/>
      <c r="F809" s="972"/>
      <c r="G809" s="972"/>
      <c r="H809" s="972"/>
      <c r="I809" s="972"/>
      <c r="J809" s="972"/>
      <c r="K809" s="972"/>
      <c r="L809" s="1041"/>
      <c r="M809" s="1041"/>
      <c r="N809" s="1041"/>
      <c r="O809" s="975"/>
    </row>
    <row r="810" spans="1:15">
      <c r="A810" s="972"/>
      <c r="B810" s="972"/>
      <c r="C810" s="972"/>
      <c r="D810" s="972"/>
      <c r="E810" s="972"/>
      <c r="F810" s="972"/>
      <c r="G810" s="972"/>
      <c r="H810" s="972"/>
      <c r="I810" s="972"/>
      <c r="J810" s="972"/>
      <c r="K810" s="972"/>
      <c r="L810" s="1041"/>
      <c r="M810" s="1041"/>
      <c r="N810" s="1041"/>
      <c r="O810" s="975"/>
    </row>
    <row r="811" spans="1:15">
      <c r="A811" s="972"/>
      <c r="B811" s="972"/>
      <c r="C811" s="972"/>
      <c r="D811" s="972"/>
      <c r="E811" s="972"/>
      <c r="F811" s="972"/>
      <c r="G811" s="972"/>
      <c r="H811" s="972"/>
      <c r="I811" s="972"/>
      <c r="J811" s="972"/>
      <c r="K811" s="972"/>
      <c r="L811" s="1041"/>
      <c r="M811" s="1041"/>
      <c r="N811" s="1041"/>
      <c r="O811" s="975"/>
    </row>
    <row r="812" spans="1:15">
      <c r="A812" s="972"/>
      <c r="B812" s="972"/>
      <c r="C812" s="972"/>
      <c r="D812" s="972"/>
      <c r="E812" s="972"/>
      <c r="F812" s="972"/>
      <c r="G812" s="972"/>
      <c r="H812" s="972"/>
      <c r="I812" s="972"/>
      <c r="J812" s="972"/>
      <c r="K812" s="972"/>
      <c r="L812" s="1041"/>
      <c r="M812" s="1041"/>
      <c r="N812" s="1041"/>
      <c r="O812" s="975"/>
    </row>
    <row r="813" spans="1:15">
      <c r="A813" s="972"/>
      <c r="B813" s="972"/>
      <c r="C813" s="972"/>
      <c r="D813" s="972"/>
      <c r="E813" s="972"/>
      <c r="F813" s="972"/>
      <c r="G813" s="972"/>
      <c r="H813" s="972"/>
      <c r="I813" s="972"/>
      <c r="J813" s="972"/>
      <c r="K813" s="972"/>
      <c r="L813" s="1041"/>
      <c r="M813" s="1041"/>
      <c r="N813" s="1041"/>
      <c r="O813" s="975"/>
    </row>
    <row r="814" spans="1:15">
      <c r="A814" s="972"/>
      <c r="B814" s="972"/>
      <c r="C814" s="972"/>
      <c r="D814" s="972"/>
      <c r="E814" s="972"/>
      <c r="F814" s="972"/>
      <c r="G814" s="972"/>
      <c r="H814" s="972"/>
      <c r="I814" s="972"/>
      <c r="J814" s="972"/>
      <c r="K814" s="972"/>
      <c r="L814" s="1041"/>
      <c r="M814" s="1041"/>
      <c r="N814" s="1041"/>
      <c r="O814" s="975"/>
    </row>
    <row r="815" spans="1:15">
      <c r="A815" s="972"/>
      <c r="B815" s="972"/>
      <c r="C815" s="972"/>
      <c r="D815" s="972"/>
      <c r="E815" s="972"/>
      <c r="F815" s="972"/>
      <c r="G815" s="972"/>
      <c r="H815" s="972"/>
      <c r="I815" s="972"/>
      <c r="J815" s="972"/>
      <c r="K815" s="972"/>
      <c r="L815" s="1041"/>
      <c r="M815" s="1041"/>
      <c r="N815" s="1041"/>
      <c r="O815" s="975"/>
    </row>
    <row r="816" spans="1:15">
      <c r="A816" s="972"/>
      <c r="B816" s="972"/>
      <c r="C816" s="972"/>
      <c r="D816" s="972"/>
      <c r="E816" s="972"/>
      <c r="F816" s="972"/>
      <c r="G816" s="972"/>
      <c r="H816" s="972"/>
      <c r="I816" s="972"/>
      <c r="J816" s="972"/>
      <c r="K816" s="972"/>
      <c r="L816" s="1041"/>
      <c r="M816" s="1041"/>
      <c r="N816" s="1041"/>
      <c r="O816" s="975"/>
    </row>
    <row r="817" spans="1:15">
      <c r="A817" s="972"/>
      <c r="B817" s="972"/>
      <c r="C817" s="972"/>
      <c r="D817" s="972"/>
      <c r="E817" s="972"/>
      <c r="F817" s="972"/>
      <c r="G817" s="972"/>
      <c r="H817" s="972"/>
      <c r="I817" s="972"/>
      <c r="J817" s="972"/>
      <c r="K817" s="972"/>
      <c r="L817" s="1041"/>
      <c r="M817" s="1041"/>
      <c r="N817" s="1041"/>
      <c r="O817" s="975"/>
    </row>
    <row r="818" spans="1:15">
      <c r="A818" s="972"/>
      <c r="B818" s="972"/>
      <c r="C818" s="972"/>
      <c r="D818" s="972"/>
      <c r="E818" s="972"/>
      <c r="F818" s="972"/>
      <c r="G818" s="972"/>
      <c r="H818" s="972"/>
      <c r="I818" s="972"/>
      <c r="J818" s="972"/>
      <c r="K818" s="972"/>
      <c r="L818" s="1041"/>
      <c r="M818" s="1041"/>
      <c r="N818" s="1041"/>
      <c r="O818" s="975"/>
    </row>
    <row r="819" spans="1:15">
      <c r="A819" s="972"/>
      <c r="B819" s="972"/>
      <c r="C819" s="972"/>
      <c r="D819" s="972"/>
      <c r="E819" s="972"/>
      <c r="F819" s="972"/>
      <c r="G819" s="972"/>
      <c r="H819" s="972"/>
      <c r="I819" s="972"/>
      <c r="J819" s="972"/>
      <c r="K819" s="972"/>
      <c r="L819" s="1041"/>
      <c r="M819" s="1041"/>
      <c r="N819" s="1041"/>
      <c r="O819" s="975"/>
    </row>
    <row r="820" spans="1:15">
      <c r="A820" s="972"/>
      <c r="B820" s="972"/>
      <c r="C820" s="972"/>
      <c r="D820" s="972"/>
      <c r="E820" s="972"/>
      <c r="F820" s="972"/>
      <c r="G820" s="972"/>
      <c r="H820" s="972"/>
      <c r="I820" s="972"/>
      <c r="J820" s="972"/>
      <c r="K820" s="972"/>
      <c r="L820" s="1041"/>
      <c r="M820" s="1041"/>
      <c r="N820" s="1041"/>
      <c r="O820" s="975"/>
    </row>
    <row r="821" spans="1:15">
      <c r="A821" s="972"/>
      <c r="B821" s="972"/>
      <c r="C821" s="972"/>
      <c r="D821" s="972"/>
      <c r="E821" s="972"/>
      <c r="F821" s="972"/>
      <c r="G821" s="972"/>
      <c r="H821" s="972"/>
      <c r="I821" s="972"/>
      <c r="J821" s="972"/>
      <c r="K821" s="972"/>
      <c r="L821" s="1041"/>
      <c r="M821" s="1041"/>
      <c r="N821" s="1041"/>
      <c r="O821" s="975"/>
    </row>
    <row r="822" spans="1:15">
      <c r="A822" s="972"/>
      <c r="B822" s="972"/>
      <c r="C822" s="972"/>
      <c r="D822" s="972"/>
      <c r="E822" s="972"/>
      <c r="F822" s="972"/>
      <c r="G822" s="972"/>
      <c r="H822" s="972"/>
      <c r="I822" s="972"/>
      <c r="J822" s="972"/>
      <c r="K822" s="972"/>
      <c r="L822" s="1041"/>
      <c r="M822" s="1041"/>
      <c r="N822" s="1041"/>
      <c r="O822" s="975"/>
    </row>
    <row r="823" spans="1:15">
      <c r="A823" s="972"/>
      <c r="B823" s="972"/>
      <c r="C823" s="972"/>
      <c r="D823" s="972"/>
      <c r="E823" s="972"/>
      <c r="F823" s="972"/>
      <c r="G823" s="972"/>
      <c r="H823" s="972"/>
      <c r="I823" s="972"/>
      <c r="J823" s="972"/>
      <c r="K823" s="972"/>
      <c r="L823" s="1041"/>
      <c r="M823" s="1041"/>
      <c r="N823" s="1041"/>
      <c r="O823" s="975"/>
    </row>
    <row r="824" spans="1:15">
      <c r="A824" s="972"/>
      <c r="B824" s="972"/>
      <c r="C824" s="972"/>
      <c r="D824" s="972"/>
      <c r="E824" s="972"/>
      <c r="F824" s="972"/>
      <c r="G824" s="972"/>
      <c r="H824" s="972"/>
      <c r="I824" s="972"/>
      <c r="J824" s="972"/>
      <c r="K824" s="972"/>
      <c r="L824" s="1041"/>
      <c r="M824" s="1041"/>
      <c r="N824" s="1041"/>
      <c r="O824" s="975"/>
    </row>
    <row r="825" spans="1:15">
      <c r="A825" s="972"/>
      <c r="B825" s="972"/>
      <c r="C825" s="972"/>
      <c r="D825" s="972"/>
      <c r="E825" s="972"/>
      <c r="F825" s="972"/>
      <c r="G825" s="972"/>
      <c r="H825" s="972"/>
      <c r="I825" s="972"/>
      <c r="J825" s="972"/>
      <c r="K825" s="972"/>
      <c r="L825" s="1041"/>
      <c r="M825" s="1041"/>
      <c r="N825" s="1041"/>
      <c r="O825" s="975"/>
    </row>
    <row r="826" spans="1:15">
      <c r="A826" s="972"/>
      <c r="B826" s="972"/>
      <c r="C826" s="972"/>
      <c r="D826" s="972"/>
      <c r="E826" s="972"/>
      <c r="F826" s="972"/>
      <c r="G826" s="972"/>
      <c r="H826" s="972"/>
      <c r="I826" s="972"/>
      <c r="J826" s="972"/>
      <c r="K826" s="972"/>
      <c r="L826" s="1041"/>
      <c r="M826" s="1041"/>
      <c r="N826" s="1041"/>
      <c r="O826" s="975"/>
    </row>
    <row r="827" spans="1:15">
      <c r="A827" s="972"/>
      <c r="B827" s="972"/>
      <c r="C827" s="972"/>
      <c r="D827" s="972"/>
      <c r="E827" s="972"/>
      <c r="F827" s="972"/>
      <c r="G827" s="972"/>
      <c r="H827" s="972"/>
      <c r="I827" s="972"/>
      <c r="J827" s="972"/>
      <c r="K827" s="972"/>
      <c r="L827" s="1041"/>
      <c r="M827" s="1041"/>
      <c r="N827" s="1041"/>
      <c r="O827" s="975"/>
    </row>
    <row r="828" spans="1:15">
      <c r="A828" s="972"/>
      <c r="B828" s="972"/>
      <c r="C828" s="972"/>
      <c r="D828" s="972"/>
      <c r="E828" s="972"/>
      <c r="F828" s="972"/>
      <c r="G828" s="972"/>
      <c r="H828" s="972"/>
      <c r="I828" s="972"/>
      <c r="J828" s="972"/>
      <c r="K828" s="972"/>
      <c r="L828" s="1041"/>
      <c r="M828" s="1041"/>
      <c r="N828" s="1041"/>
      <c r="O828" s="975"/>
    </row>
    <row r="829" spans="1:15">
      <c r="A829" s="972"/>
      <c r="B829" s="972"/>
      <c r="C829" s="972"/>
      <c r="D829" s="972"/>
      <c r="E829" s="972"/>
      <c r="F829" s="972"/>
      <c r="G829" s="972"/>
      <c r="H829" s="972"/>
      <c r="I829" s="972"/>
      <c r="J829" s="972"/>
      <c r="K829" s="972"/>
      <c r="L829" s="1041"/>
      <c r="M829" s="1041"/>
      <c r="N829" s="1041"/>
      <c r="O829" s="975"/>
    </row>
    <row r="830" spans="1:15">
      <c r="A830" s="972"/>
      <c r="B830" s="972"/>
      <c r="C830" s="972"/>
      <c r="D830" s="972"/>
      <c r="E830" s="972"/>
      <c r="F830" s="972"/>
      <c r="G830" s="972"/>
      <c r="H830" s="972"/>
      <c r="I830" s="972"/>
      <c r="J830" s="972"/>
      <c r="K830" s="972"/>
      <c r="L830" s="1041"/>
      <c r="M830" s="1041"/>
      <c r="N830" s="1041"/>
      <c r="O830" s="975"/>
    </row>
    <row r="831" spans="1:15">
      <c r="A831" s="972"/>
      <c r="B831" s="972"/>
      <c r="C831" s="972"/>
      <c r="D831" s="972"/>
      <c r="E831" s="972"/>
      <c r="F831" s="972"/>
      <c r="G831" s="972"/>
      <c r="H831" s="972"/>
      <c r="I831" s="972"/>
      <c r="J831" s="972"/>
      <c r="K831" s="972"/>
      <c r="L831" s="1041"/>
      <c r="M831" s="1041"/>
      <c r="N831" s="1041"/>
      <c r="O831" s="975"/>
    </row>
    <row r="832" spans="1:15">
      <c r="A832" s="972"/>
      <c r="B832" s="972"/>
      <c r="C832" s="972"/>
      <c r="D832" s="972"/>
      <c r="E832" s="972"/>
      <c r="F832" s="972"/>
      <c r="G832" s="972"/>
      <c r="H832" s="972"/>
      <c r="I832" s="972"/>
      <c r="J832" s="972"/>
      <c r="K832" s="972"/>
      <c r="L832" s="1041"/>
      <c r="M832" s="1041"/>
      <c r="N832" s="1041"/>
      <c r="O832" s="975"/>
    </row>
    <row r="833" spans="1:15">
      <c r="A833" s="972"/>
      <c r="B833" s="972"/>
      <c r="C833" s="972"/>
      <c r="D833" s="972"/>
      <c r="E833" s="972"/>
      <c r="F833" s="972"/>
      <c r="G833" s="972"/>
      <c r="H833" s="972"/>
      <c r="I833" s="972"/>
      <c r="J833" s="972"/>
      <c r="K833" s="972"/>
      <c r="L833" s="1041"/>
      <c r="M833" s="1041"/>
      <c r="N833" s="1041"/>
      <c r="O833" s="975"/>
    </row>
    <row r="834" spans="1:15">
      <c r="A834" s="972"/>
      <c r="B834" s="972"/>
      <c r="C834" s="972"/>
      <c r="D834" s="972"/>
      <c r="E834" s="972"/>
      <c r="F834" s="972"/>
      <c r="G834" s="972"/>
      <c r="H834" s="972"/>
      <c r="I834" s="972"/>
      <c r="J834" s="972"/>
      <c r="K834" s="972"/>
      <c r="L834" s="1041"/>
      <c r="M834" s="1041"/>
      <c r="N834" s="1041"/>
      <c r="O834" s="975"/>
    </row>
    <row r="835" spans="1:15">
      <c r="A835" s="972"/>
      <c r="B835" s="972"/>
      <c r="C835" s="972"/>
      <c r="D835" s="972"/>
      <c r="E835" s="972"/>
      <c r="F835" s="972"/>
      <c r="G835" s="972"/>
      <c r="H835" s="972"/>
      <c r="I835" s="972"/>
      <c r="J835" s="972"/>
      <c r="K835" s="972"/>
      <c r="L835" s="1041"/>
      <c r="M835" s="1041"/>
      <c r="N835" s="1041"/>
      <c r="O835" s="975"/>
    </row>
    <row r="836" spans="1:15">
      <c r="A836" s="972"/>
      <c r="B836" s="972"/>
      <c r="C836" s="972"/>
      <c r="D836" s="972"/>
      <c r="E836" s="972"/>
      <c r="F836" s="972"/>
      <c r="G836" s="972"/>
      <c r="H836" s="972"/>
      <c r="I836" s="972"/>
      <c r="J836" s="972"/>
      <c r="K836" s="972"/>
      <c r="L836" s="1041"/>
      <c r="M836" s="1041"/>
      <c r="N836" s="1041"/>
      <c r="O836" s="975"/>
    </row>
    <row r="837" spans="1:15">
      <c r="A837" s="972"/>
      <c r="B837" s="972"/>
      <c r="C837" s="972"/>
      <c r="D837" s="972"/>
      <c r="E837" s="972"/>
      <c r="F837" s="972"/>
      <c r="G837" s="972"/>
      <c r="H837" s="972"/>
      <c r="I837" s="972"/>
      <c r="J837" s="972"/>
      <c r="K837" s="972"/>
      <c r="L837" s="1041"/>
      <c r="M837" s="1041"/>
      <c r="N837" s="1041"/>
      <c r="O837" s="975"/>
    </row>
    <row r="838" spans="1:15">
      <c r="A838" s="972"/>
      <c r="B838" s="972"/>
      <c r="C838" s="972"/>
      <c r="D838" s="972"/>
      <c r="E838" s="972"/>
      <c r="F838" s="972"/>
      <c r="G838" s="972"/>
      <c r="H838" s="972"/>
      <c r="I838" s="972"/>
      <c r="J838" s="972"/>
      <c r="K838" s="972"/>
      <c r="L838" s="1041"/>
      <c r="M838" s="1041"/>
      <c r="N838" s="1041"/>
      <c r="O838" s="975"/>
    </row>
    <row r="839" spans="1:15">
      <c r="A839" s="972"/>
      <c r="B839" s="972"/>
      <c r="C839" s="972"/>
      <c r="D839" s="972"/>
      <c r="E839" s="972"/>
      <c r="F839" s="972"/>
      <c r="G839" s="972"/>
      <c r="H839" s="972"/>
      <c r="I839" s="972"/>
      <c r="J839" s="972"/>
      <c r="K839" s="972"/>
      <c r="L839" s="1041"/>
      <c r="M839" s="1041"/>
      <c r="N839" s="1041"/>
      <c r="O839" s="975"/>
    </row>
    <row r="840" spans="1:15">
      <c r="A840" s="972"/>
      <c r="B840" s="972"/>
      <c r="C840" s="972"/>
      <c r="D840" s="972"/>
      <c r="E840" s="972"/>
      <c r="F840" s="972"/>
      <c r="G840" s="972"/>
      <c r="H840" s="972"/>
      <c r="I840" s="972"/>
      <c r="J840" s="972"/>
      <c r="K840" s="972"/>
      <c r="L840" s="1041"/>
      <c r="M840" s="1041"/>
      <c r="N840" s="1041"/>
      <c r="O840" s="975"/>
    </row>
    <row r="841" spans="1:15">
      <c r="A841" s="972"/>
      <c r="B841" s="972"/>
      <c r="C841" s="972"/>
      <c r="D841" s="972"/>
      <c r="E841" s="972"/>
      <c r="F841" s="972"/>
      <c r="G841" s="972"/>
      <c r="H841" s="972"/>
      <c r="I841" s="972"/>
      <c r="J841" s="972"/>
      <c r="K841" s="972"/>
      <c r="L841" s="1041"/>
      <c r="M841" s="1041"/>
      <c r="N841" s="1041"/>
      <c r="O841" s="975"/>
    </row>
    <row r="842" spans="1:15">
      <c r="A842" s="972"/>
      <c r="B842" s="972"/>
      <c r="C842" s="972"/>
      <c r="D842" s="972"/>
      <c r="E842" s="972"/>
      <c r="F842" s="972"/>
      <c r="G842" s="972"/>
      <c r="H842" s="972"/>
      <c r="I842" s="972"/>
      <c r="J842" s="972"/>
      <c r="K842" s="972"/>
      <c r="L842" s="1041"/>
      <c r="M842" s="1041"/>
      <c r="N842" s="1041"/>
      <c r="O842" s="975"/>
    </row>
    <row r="843" spans="1:15">
      <c r="A843" s="972"/>
      <c r="B843" s="972"/>
      <c r="C843" s="972"/>
      <c r="D843" s="972"/>
      <c r="E843" s="972"/>
      <c r="F843" s="972"/>
      <c r="G843" s="972"/>
      <c r="H843" s="972"/>
      <c r="I843" s="972"/>
      <c r="J843" s="972"/>
      <c r="K843" s="972"/>
      <c r="L843" s="1041"/>
      <c r="M843" s="1041"/>
      <c r="N843" s="1041"/>
      <c r="O843" s="975"/>
    </row>
    <row r="844" spans="1:15">
      <c r="A844" s="972"/>
      <c r="B844" s="972"/>
      <c r="C844" s="972"/>
      <c r="D844" s="972"/>
      <c r="E844" s="972"/>
      <c r="F844" s="972"/>
      <c r="G844" s="972"/>
      <c r="H844" s="972"/>
      <c r="I844" s="972"/>
      <c r="J844" s="972"/>
      <c r="K844" s="972"/>
      <c r="L844" s="1041"/>
      <c r="M844" s="1041"/>
      <c r="N844" s="1041"/>
      <c r="O844" s="975"/>
    </row>
    <row r="845" spans="1:15">
      <c r="A845" s="972"/>
      <c r="B845" s="972"/>
      <c r="C845" s="972"/>
      <c r="D845" s="972"/>
      <c r="E845" s="972"/>
      <c r="F845" s="972"/>
      <c r="G845" s="972"/>
      <c r="H845" s="972"/>
      <c r="I845" s="972"/>
      <c r="J845" s="972"/>
      <c r="K845" s="972"/>
      <c r="L845" s="1041"/>
      <c r="M845" s="1041"/>
      <c r="N845" s="1041"/>
      <c r="O845" s="975"/>
    </row>
    <row r="846" spans="1:15">
      <c r="A846" s="972"/>
      <c r="B846" s="972"/>
      <c r="C846" s="972"/>
      <c r="D846" s="972"/>
      <c r="E846" s="972"/>
      <c r="F846" s="972"/>
      <c r="G846" s="972"/>
      <c r="H846" s="972"/>
      <c r="I846" s="972"/>
      <c r="J846" s="972"/>
      <c r="K846" s="972"/>
      <c r="L846" s="1041"/>
      <c r="M846" s="1041"/>
      <c r="N846" s="1041"/>
      <c r="O846" s="975"/>
    </row>
    <row r="847" spans="1:15">
      <c r="A847" s="972"/>
      <c r="B847" s="972"/>
      <c r="C847" s="972"/>
      <c r="D847" s="972"/>
      <c r="E847" s="972"/>
      <c r="F847" s="972"/>
      <c r="G847" s="972"/>
      <c r="H847" s="972"/>
      <c r="I847" s="972"/>
      <c r="J847" s="972"/>
      <c r="K847" s="972"/>
      <c r="L847" s="1041"/>
      <c r="M847" s="1041"/>
      <c r="N847" s="1041"/>
      <c r="O847" s="975"/>
    </row>
    <row r="848" spans="1:15">
      <c r="A848" s="972"/>
      <c r="B848" s="972"/>
      <c r="C848" s="972"/>
      <c r="D848" s="972"/>
      <c r="E848" s="972"/>
      <c r="F848" s="972"/>
      <c r="G848" s="972"/>
      <c r="H848" s="972"/>
      <c r="I848" s="972"/>
      <c r="J848" s="972"/>
      <c r="K848" s="972"/>
      <c r="L848" s="1041"/>
      <c r="M848" s="1041"/>
      <c r="N848" s="1041"/>
      <c r="O848" s="975"/>
    </row>
    <row r="849" spans="1:15">
      <c r="A849" s="972"/>
      <c r="B849" s="972"/>
      <c r="C849" s="972"/>
      <c r="D849" s="972"/>
      <c r="E849" s="972"/>
      <c r="F849" s="972"/>
      <c r="G849" s="972"/>
      <c r="H849" s="972"/>
      <c r="I849" s="972"/>
      <c r="J849" s="972"/>
      <c r="K849" s="972"/>
      <c r="L849" s="1041"/>
      <c r="M849" s="1041"/>
      <c r="N849" s="1041"/>
      <c r="O849" s="975"/>
    </row>
    <row r="850" spans="1:15">
      <c r="A850" s="972"/>
      <c r="B850" s="972"/>
      <c r="C850" s="972"/>
      <c r="D850" s="972"/>
      <c r="E850" s="972"/>
      <c r="F850" s="972"/>
      <c r="G850" s="972"/>
      <c r="H850" s="972"/>
      <c r="I850" s="972"/>
      <c r="J850" s="972"/>
      <c r="K850" s="972"/>
      <c r="L850" s="1041"/>
      <c r="M850" s="1041"/>
      <c r="N850" s="1041"/>
      <c r="O850" s="975"/>
    </row>
    <row r="851" spans="1:15">
      <c r="A851" s="972"/>
      <c r="B851" s="972"/>
      <c r="C851" s="972"/>
      <c r="D851" s="972"/>
      <c r="E851" s="972"/>
      <c r="F851" s="972"/>
      <c r="G851" s="972"/>
      <c r="H851" s="972"/>
      <c r="I851" s="972"/>
      <c r="J851" s="972"/>
      <c r="K851" s="972"/>
      <c r="L851" s="1041"/>
      <c r="M851" s="1041"/>
      <c r="N851" s="1041"/>
      <c r="O851" s="975"/>
    </row>
    <row r="852" spans="1:15">
      <c r="A852" s="972"/>
      <c r="B852" s="972"/>
      <c r="C852" s="972"/>
      <c r="D852" s="972"/>
      <c r="E852" s="972"/>
      <c r="F852" s="972"/>
      <c r="G852" s="972"/>
      <c r="H852" s="972"/>
      <c r="I852" s="972"/>
      <c r="J852" s="972"/>
      <c r="K852" s="972"/>
      <c r="L852" s="1041"/>
      <c r="M852" s="1041"/>
      <c r="N852" s="1041"/>
      <c r="O852" s="975"/>
    </row>
    <row r="853" spans="1:15">
      <c r="A853" s="972"/>
      <c r="B853" s="972"/>
      <c r="C853" s="972"/>
      <c r="D853" s="972"/>
      <c r="E853" s="972"/>
      <c r="F853" s="972"/>
      <c r="G853" s="972"/>
      <c r="H853" s="972"/>
      <c r="I853" s="972"/>
      <c r="J853" s="972"/>
      <c r="K853" s="972"/>
      <c r="L853" s="1041"/>
      <c r="M853" s="1041"/>
      <c r="N853" s="1041"/>
      <c r="O853" s="975"/>
    </row>
    <row r="854" spans="1:15">
      <c r="A854" s="972"/>
      <c r="B854" s="972"/>
      <c r="C854" s="972"/>
      <c r="D854" s="972"/>
      <c r="E854" s="972"/>
      <c r="F854" s="972"/>
      <c r="G854" s="972"/>
      <c r="H854" s="972"/>
      <c r="I854" s="972"/>
      <c r="J854" s="972"/>
      <c r="K854" s="972"/>
      <c r="L854" s="1041"/>
      <c r="M854" s="1041"/>
      <c r="N854" s="1041"/>
      <c r="O854" s="975"/>
    </row>
    <row r="855" spans="1:15">
      <c r="A855" s="972"/>
      <c r="B855" s="972"/>
      <c r="C855" s="972"/>
      <c r="D855" s="972"/>
      <c r="E855" s="972"/>
      <c r="F855" s="972"/>
      <c r="G855" s="972"/>
      <c r="H855" s="972"/>
      <c r="I855" s="972"/>
      <c r="J855" s="972"/>
      <c r="K855" s="972"/>
      <c r="L855" s="1041"/>
      <c r="M855" s="1041"/>
      <c r="N855" s="1041"/>
      <c r="O855" s="975"/>
    </row>
    <row r="856" spans="1:15">
      <c r="A856" s="972"/>
      <c r="B856" s="972"/>
      <c r="C856" s="972"/>
      <c r="D856" s="972"/>
      <c r="E856" s="972"/>
      <c r="F856" s="972"/>
      <c r="G856" s="972"/>
      <c r="H856" s="972"/>
      <c r="I856" s="972"/>
      <c r="J856" s="972"/>
      <c r="K856" s="972"/>
      <c r="L856" s="1041"/>
      <c r="M856" s="1041"/>
      <c r="N856" s="1041"/>
      <c r="O856" s="975"/>
    </row>
    <row r="857" spans="1:15">
      <c r="A857" s="972"/>
      <c r="B857" s="972"/>
      <c r="C857" s="972"/>
      <c r="D857" s="972"/>
      <c r="E857" s="972"/>
      <c r="F857" s="972"/>
      <c r="G857" s="972"/>
      <c r="H857" s="972"/>
      <c r="I857" s="972"/>
      <c r="J857" s="972"/>
      <c r="K857" s="972"/>
      <c r="L857" s="1041"/>
      <c r="M857" s="1041"/>
      <c r="N857" s="1041"/>
      <c r="O857" s="975"/>
    </row>
    <row r="858" spans="1:15">
      <c r="A858" s="972"/>
      <c r="B858" s="972"/>
      <c r="C858" s="972"/>
      <c r="D858" s="972"/>
      <c r="E858" s="972"/>
      <c r="F858" s="972"/>
      <c r="G858" s="972"/>
      <c r="H858" s="972"/>
      <c r="I858" s="972"/>
      <c r="J858" s="972"/>
      <c r="K858" s="972"/>
      <c r="L858" s="1041"/>
      <c r="M858" s="1041"/>
      <c r="N858" s="1041"/>
      <c r="O858" s="975"/>
    </row>
    <row r="859" spans="1:15">
      <c r="A859" s="972"/>
      <c r="B859" s="972"/>
      <c r="C859" s="972"/>
      <c r="D859" s="972"/>
      <c r="E859" s="972"/>
      <c r="F859" s="972"/>
      <c r="G859" s="972"/>
      <c r="H859" s="972"/>
      <c r="I859" s="972"/>
      <c r="J859" s="972"/>
      <c r="K859" s="972"/>
      <c r="L859" s="1041"/>
      <c r="M859" s="1041"/>
      <c r="N859" s="1041"/>
      <c r="O859" s="975"/>
    </row>
    <row r="860" spans="1:15">
      <c r="A860" s="972"/>
      <c r="B860" s="972"/>
      <c r="C860" s="972"/>
      <c r="D860" s="972"/>
      <c r="E860" s="972"/>
      <c r="F860" s="972"/>
      <c r="G860" s="972"/>
      <c r="H860" s="972"/>
      <c r="I860" s="972"/>
      <c r="J860" s="972"/>
      <c r="K860" s="972"/>
      <c r="L860" s="1041"/>
      <c r="M860" s="1041"/>
      <c r="N860" s="1041"/>
      <c r="O860" s="975"/>
    </row>
    <row r="861" spans="1:15">
      <c r="A861" s="972"/>
      <c r="B861" s="972"/>
      <c r="C861" s="972"/>
      <c r="D861" s="972"/>
      <c r="E861" s="972"/>
      <c r="F861" s="972"/>
      <c r="G861" s="972"/>
      <c r="H861" s="972"/>
      <c r="I861" s="972"/>
      <c r="J861" s="972"/>
      <c r="K861" s="972"/>
      <c r="L861" s="1041"/>
      <c r="M861" s="1041"/>
      <c r="N861" s="1041"/>
      <c r="O861" s="975"/>
    </row>
    <row r="862" spans="1:15">
      <c r="A862" s="972"/>
      <c r="B862" s="972"/>
      <c r="C862" s="972"/>
      <c r="D862" s="972"/>
      <c r="E862" s="972"/>
      <c r="F862" s="972"/>
      <c r="G862" s="972"/>
      <c r="H862" s="972"/>
      <c r="I862" s="972"/>
      <c r="J862" s="972"/>
      <c r="K862" s="972"/>
      <c r="L862" s="1041"/>
      <c r="M862" s="1041"/>
      <c r="N862" s="1041"/>
      <c r="O862" s="975"/>
    </row>
    <row r="863" spans="1:15">
      <c r="A863" s="972"/>
      <c r="B863" s="972"/>
      <c r="C863" s="972"/>
      <c r="D863" s="972"/>
      <c r="E863" s="972"/>
      <c r="F863" s="972"/>
      <c r="G863" s="972"/>
      <c r="H863" s="972"/>
      <c r="I863" s="972"/>
      <c r="J863" s="972"/>
      <c r="K863" s="972"/>
      <c r="L863" s="1041"/>
      <c r="M863" s="1041"/>
      <c r="N863" s="1041"/>
      <c r="O863" s="975"/>
    </row>
    <row r="864" spans="1:15">
      <c r="A864" s="972"/>
      <c r="B864" s="972"/>
      <c r="C864" s="972"/>
      <c r="D864" s="972"/>
      <c r="E864" s="972"/>
      <c r="F864" s="972"/>
      <c r="G864" s="972"/>
      <c r="H864" s="972"/>
      <c r="I864" s="972"/>
      <c r="J864" s="972"/>
      <c r="K864" s="972"/>
      <c r="L864" s="1041"/>
      <c r="M864" s="1041"/>
      <c r="N864" s="1041"/>
      <c r="O864" s="975"/>
    </row>
    <row r="865" spans="1:15">
      <c r="A865" s="972"/>
      <c r="B865" s="972"/>
      <c r="C865" s="972"/>
      <c r="D865" s="972"/>
      <c r="E865" s="972"/>
      <c r="F865" s="972"/>
      <c r="G865" s="972"/>
      <c r="H865" s="972"/>
      <c r="I865" s="972"/>
      <c r="J865" s="972"/>
      <c r="K865" s="972"/>
      <c r="L865" s="1041"/>
      <c r="M865" s="1041"/>
      <c r="N865" s="1041"/>
      <c r="O865" s="975"/>
    </row>
    <row r="866" spans="1:15">
      <c r="A866" s="972"/>
      <c r="B866" s="972"/>
      <c r="C866" s="972"/>
      <c r="D866" s="972"/>
      <c r="E866" s="972"/>
      <c r="F866" s="972"/>
      <c r="G866" s="972"/>
      <c r="H866" s="972"/>
      <c r="I866" s="972"/>
      <c r="J866" s="972"/>
      <c r="K866" s="972"/>
      <c r="L866" s="1041"/>
      <c r="M866" s="1041"/>
      <c r="N866" s="1041"/>
      <c r="O866" s="975"/>
    </row>
    <row r="867" spans="1:15">
      <c r="A867" s="972"/>
      <c r="B867" s="972"/>
      <c r="C867" s="972"/>
      <c r="D867" s="972"/>
      <c r="E867" s="972"/>
      <c r="F867" s="972"/>
      <c r="G867" s="972"/>
      <c r="H867" s="972"/>
      <c r="I867" s="972"/>
      <c r="J867" s="972"/>
      <c r="K867" s="972"/>
      <c r="L867" s="1041"/>
      <c r="M867" s="1041"/>
      <c r="N867" s="1041"/>
      <c r="O867" s="975"/>
    </row>
    <row r="868" spans="1:15">
      <c r="A868" s="972"/>
      <c r="B868" s="972"/>
      <c r="C868" s="972"/>
      <c r="D868" s="972"/>
      <c r="E868" s="972"/>
      <c r="F868" s="972"/>
      <c r="G868" s="972"/>
      <c r="H868" s="972"/>
      <c r="I868" s="972"/>
      <c r="J868" s="972"/>
      <c r="K868" s="972"/>
      <c r="L868" s="1041"/>
      <c r="M868" s="1041"/>
      <c r="N868" s="1041"/>
      <c r="O868" s="975"/>
    </row>
    <row r="869" spans="1:15">
      <c r="A869" s="972"/>
      <c r="B869" s="972"/>
      <c r="C869" s="972"/>
      <c r="D869" s="972"/>
      <c r="E869" s="972"/>
      <c r="F869" s="972"/>
      <c r="G869" s="972"/>
      <c r="H869" s="972"/>
      <c r="I869" s="972"/>
      <c r="J869" s="972"/>
      <c r="K869" s="972"/>
      <c r="L869" s="1041"/>
      <c r="M869" s="1041"/>
      <c r="N869" s="1041"/>
      <c r="O869" s="975"/>
    </row>
    <row r="870" spans="1:15">
      <c r="A870" s="972"/>
      <c r="B870" s="972"/>
      <c r="C870" s="972"/>
      <c r="D870" s="972"/>
      <c r="E870" s="972"/>
      <c r="F870" s="972"/>
      <c r="G870" s="972"/>
      <c r="H870" s="972"/>
      <c r="I870" s="972"/>
      <c r="J870" s="972"/>
      <c r="K870" s="972"/>
      <c r="L870" s="1041"/>
      <c r="M870" s="1041"/>
      <c r="N870" s="1041"/>
      <c r="O870" s="975"/>
    </row>
    <row r="871" spans="1:15">
      <c r="A871" s="972"/>
      <c r="B871" s="972"/>
      <c r="C871" s="972"/>
      <c r="D871" s="972"/>
      <c r="E871" s="972"/>
      <c r="F871" s="972"/>
      <c r="G871" s="972"/>
      <c r="H871" s="972"/>
      <c r="I871" s="972"/>
      <c r="J871" s="972"/>
      <c r="K871" s="972"/>
      <c r="L871" s="1041"/>
      <c r="M871" s="1041"/>
      <c r="N871" s="1041"/>
      <c r="O871" s="975"/>
    </row>
    <row r="872" spans="1:15">
      <c r="A872" s="972"/>
      <c r="B872" s="972"/>
      <c r="C872" s="972"/>
      <c r="D872" s="972"/>
      <c r="E872" s="972"/>
      <c r="F872" s="972"/>
      <c r="G872" s="972"/>
      <c r="H872" s="972"/>
      <c r="I872" s="972"/>
      <c r="J872" s="972"/>
      <c r="K872" s="972"/>
      <c r="L872" s="1041"/>
      <c r="M872" s="1041"/>
      <c r="N872" s="1041"/>
      <c r="O872" s="975"/>
    </row>
    <row r="873" spans="1:15">
      <c r="A873" s="972"/>
      <c r="B873" s="972"/>
      <c r="C873" s="972"/>
      <c r="D873" s="972"/>
      <c r="E873" s="972"/>
      <c r="F873" s="972"/>
      <c r="G873" s="972"/>
      <c r="H873" s="972"/>
      <c r="I873" s="972"/>
      <c r="J873" s="972"/>
      <c r="K873" s="972"/>
      <c r="L873" s="1041"/>
      <c r="M873" s="1041"/>
      <c r="N873" s="1041"/>
      <c r="O873" s="975"/>
    </row>
    <row r="874" spans="1:15">
      <c r="A874" s="972"/>
      <c r="B874" s="972"/>
      <c r="C874" s="972"/>
      <c r="D874" s="972"/>
      <c r="E874" s="972"/>
      <c r="F874" s="972"/>
      <c r="G874" s="972"/>
      <c r="H874" s="972"/>
      <c r="I874" s="972"/>
      <c r="J874" s="972"/>
      <c r="K874" s="972"/>
      <c r="L874" s="1041"/>
      <c r="M874" s="1041"/>
      <c r="N874" s="1041"/>
      <c r="O874" s="975"/>
    </row>
    <row r="875" spans="1:15">
      <c r="A875" s="972"/>
      <c r="B875" s="972"/>
      <c r="C875" s="972"/>
      <c r="D875" s="972"/>
      <c r="E875" s="972"/>
      <c r="F875" s="972"/>
      <c r="G875" s="972"/>
      <c r="H875" s="972"/>
      <c r="I875" s="972"/>
      <c r="J875" s="972"/>
      <c r="K875" s="972"/>
      <c r="L875" s="1041"/>
      <c r="M875" s="1041"/>
      <c r="N875" s="1041"/>
      <c r="O875" s="975"/>
    </row>
    <row r="876" spans="1:15">
      <c r="A876" s="972"/>
      <c r="B876" s="972"/>
      <c r="C876" s="972"/>
      <c r="D876" s="972"/>
      <c r="E876" s="972"/>
      <c r="F876" s="972"/>
      <c r="G876" s="972"/>
      <c r="H876" s="972"/>
      <c r="I876" s="972"/>
      <c r="J876" s="972"/>
      <c r="K876" s="972"/>
      <c r="L876" s="1041"/>
      <c r="M876" s="1041"/>
      <c r="N876" s="1041"/>
      <c r="O876" s="975"/>
    </row>
    <row r="877" spans="1:15">
      <c r="A877" s="972"/>
      <c r="B877" s="972"/>
      <c r="C877" s="972"/>
      <c r="D877" s="972"/>
      <c r="E877" s="972"/>
      <c r="F877" s="972"/>
      <c r="G877" s="972"/>
      <c r="H877" s="972"/>
      <c r="I877" s="972"/>
      <c r="J877" s="972"/>
      <c r="K877" s="972"/>
      <c r="L877" s="1041"/>
      <c r="M877" s="1041"/>
      <c r="N877" s="1041"/>
      <c r="O877" s="975"/>
    </row>
    <row r="878" spans="1:15">
      <c r="A878" s="972"/>
      <c r="B878" s="972"/>
      <c r="C878" s="972"/>
      <c r="D878" s="972"/>
      <c r="E878" s="972"/>
      <c r="F878" s="972"/>
      <c r="G878" s="972"/>
      <c r="H878" s="972"/>
      <c r="I878" s="972"/>
      <c r="J878" s="972"/>
      <c r="K878" s="972"/>
      <c r="L878" s="1041"/>
      <c r="M878" s="1041"/>
      <c r="N878" s="1041"/>
      <c r="O878" s="975"/>
    </row>
    <row r="879" spans="1:15">
      <c r="A879" s="972"/>
      <c r="B879" s="972"/>
      <c r="C879" s="972"/>
      <c r="D879" s="972"/>
      <c r="E879" s="972"/>
      <c r="F879" s="972"/>
      <c r="G879" s="972"/>
      <c r="H879" s="972"/>
      <c r="I879" s="972"/>
      <c r="J879" s="972"/>
      <c r="K879" s="972"/>
      <c r="L879" s="1041"/>
      <c r="M879" s="1041"/>
      <c r="N879" s="1041"/>
      <c r="O879" s="975"/>
    </row>
    <row r="880" spans="1:15">
      <c r="A880" s="972"/>
      <c r="B880" s="972"/>
      <c r="C880" s="972"/>
      <c r="D880" s="972"/>
      <c r="E880" s="972"/>
      <c r="F880" s="972"/>
      <c r="G880" s="972"/>
      <c r="H880" s="972"/>
      <c r="I880" s="972"/>
      <c r="J880" s="972"/>
      <c r="K880" s="972"/>
      <c r="L880" s="1041"/>
      <c r="M880" s="1041"/>
      <c r="N880" s="1041"/>
      <c r="O880" s="975"/>
    </row>
    <row r="881" spans="1:15">
      <c r="A881" s="972"/>
      <c r="B881" s="972"/>
      <c r="C881" s="972"/>
      <c r="D881" s="972"/>
      <c r="E881" s="972"/>
      <c r="F881" s="972"/>
      <c r="G881" s="972"/>
      <c r="H881" s="972"/>
      <c r="I881" s="972"/>
      <c r="J881" s="972"/>
      <c r="K881" s="972"/>
      <c r="L881" s="1041"/>
      <c r="M881" s="1041"/>
      <c r="N881" s="1041"/>
      <c r="O881" s="975"/>
    </row>
    <row r="882" spans="1:15">
      <c r="A882" s="972"/>
      <c r="B882" s="972"/>
      <c r="C882" s="972"/>
      <c r="D882" s="972"/>
      <c r="E882" s="972"/>
      <c r="F882" s="972"/>
      <c r="G882" s="972"/>
      <c r="H882" s="972"/>
      <c r="I882" s="972"/>
      <c r="J882" s="972"/>
      <c r="K882" s="972"/>
      <c r="L882" s="1041"/>
      <c r="M882" s="1041"/>
      <c r="N882" s="1041"/>
      <c r="O882" s="975"/>
    </row>
    <row r="883" spans="1:15">
      <c r="A883" s="972"/>
      <c r="B883" s="972"/>
      <c r="C883" s="972"/>
      <c r="D883" s="972"/>
      <c r="E883" s="972"/>
      <c r="F883" s="972"/>
      <c r="G883" s="972"/>
      <c r="H883" s="972"/>
      <c r="I883" s="972"/>
      <c r="J883" s="972"/>
      <c r="K883" s="972"/>
      <c r="L883" s="1041"/>
      <c r="M883" s="1041"/>
      <c r="N883" s="1041"/>
      <c r="O883" s="975"/>
    </row>
    <row r="884" spans="1:15">
      <c r="A884" s="972"/>
      <c r="B884" s="972"/>
      <c r="C884" s="972"/>
      <c r="D884" s="972"/>
      <c r="E884" s="972"/>
      <c r="F884" s="972"/>
      <c r="G884" s="972"/>
      <c r="H884" s="972"/>
      <c r="I884" s="972"/>
      <c r="J884" s="972"/>
      <c r="K884" s="972"/>
      <c r="L884" s="1041"/>
      <c r="M884" s="1041"/>
      <c r="N884" s="1041"/>
      <c r="O884" s="975"/>
    </row>
    <row r="885" spans="1:15">
      <c r="A885" s="972"/>
      <c r="B885" s="972"/>
      <c r="C885" s="972"/>
      <c r="D885" s="972"/>
      <c r="E885" s="972"/>
      <c r="F885" s="972"/>
      <c r="G885" s="972"/>
      <c r="H885" s="972"/>
      <c r="I885" s="972"/>
      <c r="J885" s="972"/>
      <c r="K885" s="972"/>
      <c r="L885" s="1041"/>
      <c r="M885" s="1041"/>
      <c r="N885" s="1041"/>
      <c r="O885" s="975"/>
    </row>
    <row r="886" spans="1:15">
      <c r="A886" s="972"/>
      <c r="B886" s="972"/>
      <c r="C886" s="972"/>
      <c r="D886" s="972"/>
      <c r="E886" s="972"/>
      <c r="F886" s="972"/>
      <c r="G886" s="972"/>
      <c r="H886" s="972"/>
      <c r="I886" s="972"/>
      <c r="J886" s="972"/>
      <c r="K886" s="972"/>
      <c r="L886" s="1041"/>
      <c r="M886" s="1041"/>
      <c r="N886" s="1041"/>
      <c r="O886" s="975"/>
    </row>
    <row r="887" spans="1:15">
      <c r="A887" s="972"/>
      <c r="B887" s="972"/>
      <c r="C887" s="972"/>
      <c r="D887" s="972"/>
      <c r="E887" s="972"/>
      <c r="F887" s="972"/>
      <c r="G887" s="972"/>
      <c r="H887" s="972"/>
      <c r="I887" s="972"/>
      <c r="J887" s="972"/>
      <c r="K887" s="972"/>
      <c r="L887" s="1041"/>
      <c r="M887" s="1041"/>
      <c r="N887" s="1041"/>
      <c r="O887" s="975"/>
    </row>
    <row r="888" spans="1:15">
      <c r="A888" s="972"/>
      <c r="B888" s="972"/>
      <c r="C888" s="972"/>
      <c r="D888" s="972"/>
      <c r="E888" s="972"/>
      <c r="F888" s="972"/>
      <c r="G888" s="972"/>
      <c r="H888" s="972"/>
      <c r="I888" s="972"/>
      <c r="J888" s="972"/>
      <c r="K888" s="972"/>
      <c r="L888" s="1041"/>
      <c r="M888" s="1041"/>
      <c r="N888" s="1041"/>
      <c r="O888" s="975"/>
    </row>
    <row r="889" spans="1:15">
      <c r="A889" s="972"/>
      <c r="B889" s="972"/>
      <c r="C889" s="972"/>
      <c r="D889" s="972"/>
      <c r="E889" s="972"/>
      <c r="F889" s="972"/>
      <c r="G889" s="972"/>
      <c r="H889" s="972"/>
      <c r="I889" s="972"/>
      <c r="J889" s="972"/>
      <c r="K889" s="972"/>
      <c r="L889" s="1041"/>
      <c r="M889" s="1041"/>
      <c r="N889" s="1041"/>
      <c r="O889" s="975"/>
    </row>
    <row r="890" spans="1:15">
      <c r="A890" s="972"/>
      <c r="B890" s="972"/>
      <c r="C890" s="972"/>
      <c r="D890" s="972"/>
      <c r="E890" s="972"/>
      <c r="F890" s="972"/>
      <c r="G890" s="972"/>
      <c r="H890" s="972"/>
      <c r="I890" s="972"/>
      <c r="J890" s="972"/>
      <c r="K890" s="972"/>
      <c r="L890" s="1041"/>
      <c r="M890" s="1041"/>
      <c r="N890" s="1041"/>
      <c r="O890" s="975"/>
    </row>
    <row r="891" spans="1:15">
      <c r="A891" s="972"/>
      <c r="B891" s="972"/>
      <c r="C891" s="972"/>
      <c r="D891" s="972"/>
      <c r="E891" s="972"/>
      <c r="F891" s="972"/>
      <c r="G891" s="972"/>
      <c r="H891" s="972"/>
      <c r="I891" s="972"/>
      <c r="J891" s="972"/>
      <c r="K891" s="972"/>
      <c r="L891" s="1041"/>
      <c r="M891" s="1041"/>
      <c r="N891" s="1041"/>
      <c r="O891" s="975"/>
    </row>
    <row r="892" spans="1:15">
      <c r="A892" s="972"/>
      <c r="B892" s="972"/>
      <c r="C892" s="972"/>
      <c r="D892" s="972"/>
      <c r="E892" s="972"/>
      <c r="F892" s="972"/>
      <c r="G892" s="972"/>
      <c r="H892" s="972"/>
      <c r="I892" s="972"/>
      <c r="J892" s="972"/>
      <c r="K892" s="972"/>
      <c r="L892" s="1041"/>
      <c r="M892" s="1041"/>
      <c r="N892" s="1041"/>
      <c r="O892" s="975"/>
    </row>
    <row r="893" spans="1:15">
      <c r="A893" s="972"/>
      <c r="B893" s="972"/>
      <c r="C893" s="972"/>
      <c r="D893" s="972"/>
      <c r="E893" s="972"/>
      <c r="F893" s="972"/>
      <c r="G893" s="972"/>
      <c r="H893" s="972"/>
      <c r="I893" s="972"/>
      <c r="J893" s="972"/>
      <c r="K893" s="972"/>
      <c r="L893" s="1041"/>
      <c r="M893" s="1041"/>
      <c r="N893" s="1041"/>
      <c r="O893" s="975"/>
    </row>
    <row r="894" spans="1:15">
      <c r="A894" s="972"/>
      <c r="B894" s="972"/>
      <c r="C894" s="972"/>
      <c r="D894" s="972"/>
      <c r="E894" s="972"/>
      <c r="F894" s="972"/>
      <c r="G894" s="972"/>
      <c r="H894" s="972"/>
      <c r="I894" s="972"/>
      <c r="J894" s="972"/>
      <c r="K894" s="972"/>
      <c r="L894" s="1041"/>
      <c r="M894" s="1041"/>
      <c r="N894" s="1041"/>
      <c r="O894" s="975"/>
    </row>
    <row r="895" spans="1:15">
      <c r="A895" s="972"/>
      <c r="B895" s="972"/>
      <c r="C895" s="972"/>
      <c r="D895" s="972"/>
      <c r="E895" s="972"/>
      <c r="F895" s="972"/>
      <c r="G895" s="972"/>
      <c r="H895" s="972"/>
      <c r="I895" s="972"/>
      <c r="J895" s="972"/>
      <c r="K895" s="972"/>
      <c r="L895" s="1041"/>
      <c r="M895" s="1041"/>
      <c r="N895" s="1041"/>
      <c r="O895" s="975"/>
    </row>
    <row r="896" spans="1:15">
      <c r="A896" s="972"/>
      <c r="B896" s="972"/>
      <c r="C896" s="972"/>
      <c r="D896" s="972"/>
      <c r="E896" s="972"/>
      <c r="F896" s="972"/>
      <c r="G896" s="972"/>
      <c r="H896" s="972"/>
      <c r="I896" s="972"/>
      <c r="J896" s="972"/>
      <c r="K896" s="972"/>
      <c r="L896" s="1041"/>
      <c r="M896" s="1041"/>
      <c r="N896" s="1041"/>
      <c r="O896" s="975"/>
    </row>
    <row r="897" spans="1:15">
      <c r="A897" s="972"/>
      <c r="B897" s="972"/>
      <c r="C897" s="972"/>
      <c r="D897" s="972"/>
      <c r="E897" s="972"/>
      <c r="F897" s="972"/>
      <c r="G897" s="972"/>
      <c r="H897" s="972"/>
      <c r="I897" s="972"/>
      <c r="J897" s="972"/>
      <c r="K897" s="972"/>
      <c r="L897" s="1041"/>
      <c r="M897" s="1041"/>
      <c r="N897" s="1041"/>
      <c r="O897" s="975"/>
    </row>
    <row r="898" spans="1:15">
      <c r="A898" s="972"/>
      <c r="B898" s="972"/>
      <c r="C898" s="972"/>
      <c r="D898" s="972"/>
      <c r="E898" s="972"/>
      <c r="F898" s="972"/>
      <c r="G898" s="972"/>
      <c r="H898" s="972"/>
      <c r="I898" s="972"/>
      <c r="J898" s="972"/>
      <c r="K898" s="972"/>
      <c r="L898" s="1041"/>
      <c r="M898" s="1041"/>
      <c r="N898" s="1041"/>
      <c r="O898" s="975"/>
    </row>
    <row r="899" spans="1:15">
      <c r="A899" s="972"/>
      <c r="B899" s="972"/>
      <c r="C899" s="972"/>
      <c r="D899" s="972"/>
      <c r="E899" s="972"/>
      <c r="F899" s="972"/>
      <c r="G899" s="972"/>
      <c r="H899" s="972"/>
      <c r="I899" s="972"/>
      <c r="J899" s="972"/>
      <c r="K899" s="972"/>
      <c r="L899" s="1041"/>
      <c r="M899" s="1041"/>
      <c r="N899" s="1041"/>
      <c r="O899" s="975"/>
    </row>
    <row r="900" spans="1:15">
      <c r="A900" s="972"/>
      <c r="B900" s="972"/>
      <c r="C900" s="972"/>
      <c r="D900" s="972"/>
      <c r="E900" s="972"/>
      <c r="F900" s="972"/>
      <c r="G900" s="972"/>
      <c r="H900" s="972"/>
      <c r="I900" s="972"/>
      <c r="J900" s="972"/>
      <c r="K900" s="972"/>
      <c r="L900" s="1041"/>
      <c r="M900" s="1041"/>
      <c r="N900" s="1041"/>
      <c r="O900" s="975"/>
    </row>
    <row r="901" spans="1:15">
      <c r="A901" s="972"/>
      <c r="B901" s="972"/>
      <c r="C901" s="972"/>
      <c r="D901" s="972"/>
      <c r="E901" s="972"/>
      <c r="F901" s="972"/>
      <c r="G901" s="972"/>
      <c r="H901" s="972"/>
      <c r="I901" s="972"/>
      <c r="J901" s="972"/>
      <c r="K901" s="972"/>
      <c r="L901" s="1041"/>
      <c r="M901" s="1041"/>
      <c r="N901" s="1041"/>
      <c r="O901" s="975"/>
    </row>
    <row r="902" spans="1:15">
      <c r="A902" s="972"/>
      <c r="B902" s="972"/>
      <c r="C902" s="972"/>
      <c r="D902" s="972"/>
      <c r="E902" s="972"/>
      <c r="F902" s="972"/>
      <c r="G902" s="972"/>
      <c r="H902" s="972"/>
      <c r="I902" s="972"/>
      <c r="J902" s="972"/>
      <c r="K902" s="972"/>
      <c r="L902" s="1041"/>
      <c r="M902" s="1041"/>
      <c r="N902" s="1041"/>
      <c r="O902" s="975"/>
    </row>
    <row r="903" spans="1:15">
      <c r="A903" s="972"/>
      <c r="B903" s="972"/>
      <c r="C903" s="972"/>
      <c r="D903" s="972"/>
      <c r="E903" s="972"/>
      <c r="F903" s="972"/>
      <c r="G903" s="972"/>
      <c r="H903" s="972"/>
      <c r="I903" s="972"/>
      <c r="J903" s="972"/>
      <c r="K903" s="972"/>
      <c r="L903" s="1041"/>
      <c r="M903" s="1041"/>
      <c r="N903" s="1041"/>
      <c r="O903" s="975"/>
    </row>
    <row r="904" spans="1:15">
      <c r="A904" s="972"/>
      <c r="B904" s="972"/>
      <c r="C904" s="972"/>
      <c r="D904" s="972"/>
      <c r="E904" s="972"/>
      <c r="F904" s="972"/>
      <c r="G904" s="972"/>
      <c r="H904" s="972"/>
      <c r="I904" s="972"/>
      <c r="J904" s="972"/>
      <c r="K904" s="972"/>
      <c r="L904" s="1041"/>
      <c r="M904" s="1041"/>
      <c r="N904" s="1041"/>
      <c r="O904" s="975"/>
    </row>
    <row r="905" spans="1:15">
      <c r="A905" s="972"/>
      <c r="B905" s="972"/>
      <c r="C905" s="972"/>
      <c r="D905" s="972"/>
      <c r="E905" s="972"/>
      <c r="F905" s="972"/>
      <c r="G905" s="972"/>
      <c r="H905" s="972"/>
      <c r="I905" s="972"/>
      <c r="J905" s="972"/>
      <c r="K905" s="972"/>
      <c r="L905" s="1041"/>
      <c r="M905" s="1041"/>
      <c r="N905" s="1041"/>
      <c r="O905" s="975"/>
    </row>
    <row r="906" spans="1:15">
      <c r="A906" s="972"/>
      <c r="B906" s="972"/>
      <c r="C906" s="972"/>
      <c r="D906" s="972"/>
      <c r="E906" s="972"/>
      <c r="F906" s="972"/>
      <c r="G906" s="972"/>
      <c r="H906" s="972"/>
      <c r="I906" s="972"/>
      <c r="J906" s="972"/>
      <c r="K906" s="972"/>
      <c r="L906" s="1041"/>
      <c r="M906" s="1041"/>
      <c r="N906" s="1041"/>
      <c r="O906" s="975"/>
    </row>
    <row r="907" spans="1:15">
      <c r="A907" s="972"/>
      <c r="B907" s="972"/>
      <c r="C907" s="972"/>
      <c r="D907" s="972"/>
      <c r="E907" s="972"/>
      <c r="F907" s="972"/>
      <c r="G907" s="972"/>
      <c r="H907" s="972"/>
      <c r="I907" s="972"/>
      <c r="J907" s="972"/>
      <c r="K907" s="972"/>
      <c r="L907" s="1041"/>
      <c r="M907" s="1041"/>
      <c r="N907" s="1041"/>
      <c r="O907" s="975"/>
    </row>
    <row r="908" spans="1:15">
      <c r="A908" s="972"/>
      <c r="B908" s="972"/>
      <c r="C908" s="972"/>
      <c r="D908" s="972"/>
      <c r="E908" s="972"/>
      <c r="F908" s="972"/>
      <c r="G908" s="972"/>
      <c r="H908" s="972"/>
      <c r="I908" s="972"/>
      <c r="J908" s="972"/>
      <c r="K908" s="972"/>
      <c r="L908" s="1041"/>
      <c r="M908" s="1041"/>
      <c r="N908" s="1041"/>
      <c r="O908" s="975"/>
    </row>
    <row r="909" spans="1:15">
      <c r="A909" s="972"/>
      <c r="B909" s="972"/>
      <c r="C909" s="972"/>
      <c r="D909" s="972"/>
      <c r="E909" s="972"/>
      <c r="F909" s="972"/>
      <c r="G909" s="972"/>
      <c r="H909" s="972"/>
      <c r="I909" s="972"/>
      <c r="J909" s="972"/>
      <c r="K909" s="972"/>
      <c r="L909" s="1041"/>
      <c r="M909" s="1041"/>
      <c r="N909" s="1041"/>
      <c r="O909" s="975"/>
    </row>
    <row r="910" spans="1:15">
      <c r="A910" s="972"/>
      <c r="B910" s="972"/>
      <c r="C910" s="972"/>
      <c r="D910" s="972"/>
      <c r="E910" s="972"/>
      <c r="F910" s="972"/>
      <c r="G910" s="972"/>
      <c r="H910" s="972"/>
      <c r="I910" s="972"/>
      <c r="J910" s="972"/>
      <c r="K910" s="972"/>
      <c r="L910" s="1041"/>
      <c r="M910" s="1041"/>
      <c r="N910" s="1041"/>
      <c r="O910" s="975"/>
    </row>
    <row r="911" spans="1:15">
      <c r="A911" s="972"/>
      <c r="B911" s="972"/>
      <c r="C911" s="972"/>
      <c r="D911" s="972"/>
      <c r="E911" s="972"/>
      <c r="F911" s="972"/>
      <c r="G911" s="972"/>
      <c r="H911" s="972"/>
      <c r="I911" s="972"/>
      <c r="J911" s="972"/>
      <c r="K911" s="972"/>
      <c r="L911" s="1041"/>
      <c r="M911" s="1041"/>
      <c r="N911" s="1041"/>
      <c r="O911" s="975"/>
    </row>
    <row r="912" spans="1:15">
      <c r="A912" s="972"/>
      <c r="B912" s="972"/>
      <c r="C912" s="972"/>
      <c r="D912" s="972"/>
      <c r="E912" s="972"/>
      <c r="F912" s="972"/>
      <c r="G912" s="972"/>
      <c r="H912" s="972"/>
      <c r="I912" s="972"/>
      <c r="J912" s="972"/>
      <c r="K912" s="972"/>
      <c r="L912" s="1041"/>
      <c r="M912" s="1041"/>
      <c r="N912" s="1041"/>
      <c r="O912" s="975"/>
    </row>
    <row r="913" spans="1:15">
      <c r="A913" s="972"/>
      <c r="B913" s="972"/>
      <c r="C913" s="972"/>
      <c r="D913" s="972"/>
      <c r="E913" s="972"/>
      <c r="F913" s="972"/>
      <c r="G913" s="972"/>
      <c r="H913" s="972"/>
      <c r="I913" s="972"/>
      <c r="J913" s="972"/>
      <c r="K913" s="972"/>
      <c r="L913" s="1041"/>
      <c r="M913" s="1041"/>
      <c r="N913" s="1041"/>
      <c r="O913" s="975"/>
    </row>
    <row r="914" spans="1:15">
      <c r="A914" s="972"/>
      <c r="B914" s="972"/>
      <c r="C914" s="972"/>
      <c r="D914" s="972"/>
      <c r="E914" s="972"/>
      <c r="F914" s="972"/>
      <c r="G914" s="972"/>
      <c r="H914" s="972"/>
      <c r="I914" s="972"/>
      <c r="J914" s="972"/>
      <c r="K914" s="972"/>
      <c r="L914" s="1041"/>
      <c r="M914" s="1041"/>
      <c r="N914" s="1041"/>
      <c r="O914" s="975"/>
    </row>
    <row r="915" spans="1:15">
      <c r="A915" s="972"/>
      <c r="B915" s="972"/>
      <c r="C915" s="972"/>
      <c r="D915" s="972"/>
      <c r="E915" s="972"/>
      <c r="F915" s="972"/>
      <c r="G915" s="972"/>
      <c r="H915" s="972"/>
      <c r="I915" s="972"/>
      <c r="J915" s="972"/>
      <c r="K915" s="972"/>
      <c r="L915" s="1041"/>
      <c r="M915" s="1041"/>
      <c r="N915" s="1041"/>
      <c r="O915" s="975"/>
    </row>
    <row r="916" spans="1:15">
      <c r="A916" s="972"/>
      <c r="B916" s="972"/>
      <c r="C916" s="972"/>
      <c r="D916" s="972"/>
      <c r="E916" s="972"/>
      <c r="F916" s="972"/>
      <c r="G916" s="972"/>
      <c r="H916" s="972"/>
      <c r="I916" s="972"/>
      <c r="J916" s="972"/>
      <c r="K916" s="972"/>
      <c r="L916" s="1041"/>
      <c r="M916" s="1041"/>
      <c r="N916" s="1041"/>
      <c r="O916" s="975"/>
    </row>
    <row r="917" spans="1:15">
      <c r="A917" s="972"/>
      <c r="B917" s="972"/>
      <c r="C917" s="972"/>
      <c r="D917" s="972"/>
      <c r="E917" s="972"/>
      <c r="F917" s="972"/>
      <c r="G917" s="972"/>
      <c r="H917" s="972"/>
      <c r="I917" s="972"/>
      <c r="J917" s="972"/>
      <c r="K917" s="972"/>
      <c r="L917" s="1041"/>
      <c r="M917" s="1041"/>
      <c r="N917" s="1041"/>
      <c r="O917" s="975"/>
    </row>
    <row r="918" spans="1:15">
      <c r="A918" s="972"/>
      <c r="B918" s="972"/>
      <c r="C918" s="972"/>
      <c r="D918" s="972"/>
      <c r="E918" s="972"/>
      <c r="F918" s="972"/>
      <c r="G918" s="972"/>
      <c r="H918" s="972"/>
      <c r="I918" s="972"/>
      <c r="J918" s="972"/>
      <c r="K918" s="972"/>
      <c r="L918" s="1041"/>
      <c r="M918" s="1041"/>
      <c r="N918" s="1041"/>
      <c r="O918" s="975"/>
    </row>
    <row r="919" spans="1:15">
      <c r="A919" s="972"/>
      <c r="B919" s="972"/>
      <c r="C919" s="972"/>
      <c r="D919" s="972"/>
      <c r="E919" s="972"/>
      <c r="F919" s="972"/>
      <c r="G919" s="972"/>
      <c r="H919" s="972"/>
      <c r="I919" s="972"/>
      <c r="J919" s="972"/>
      <c r="K919" s="972"/>
      <c r="L919" s="1041"/>
      <c r="M919" s="1041"/>
      <c r="N919" s="1041"/>
      <c r="O919" s="975"/>
    </row>
    <row r="920" spans="1:15">
      <c r="A920" s="972"/>
      <c r="B920" s="972"/>
      <c r="C920" s="972"/>
      <c r="D920" s="972"/>
      <c r="E920" s="972"/>
      <c r="F920" s="972"/>
      <c r="G920" s="972"/>
      <c r="H920" s="972"/>
      <c r="I920" s="972"/>
      <c r="J920" s="972"/>
      <c r="K920" s="972"/>
      <c r="L920" s="1041"/>
      <c r="M920" s="1041"/>
      <c r="N920" s="1041"/>
      <c r="O920" s="975"/>
    </row>
    <row r="921" spans="1:15">
      <c r="A921" s="972"/>
      <c r="B921" s="972"/>
      <c r="C921" s="972"/>
      <c r="D921" s="972"/>
      <c r="E921" s="972"/>
      <c r="F921" s="972"/>
      <c r="G921" s="972"/>
      <c r="H921" s="972"/>
      <c r="I921" s="972"/>
      <c r="J921" s="972"/>
      <c r="K921" s="972"/>
      <c r="L921" s="1041"/>
      <c r="M921" s="1041"/>
      <c r="N921" s="1041"/>
      <c r="O921" s="975"/>
    </row>
    <row r="922" spans="1:15">
      <c r="A922" s="972"/>
      <c r="B922" s="972"/>
      <c r="C922" s="972"/>
      <c r="D922" s="972"/>
      <c r="E922" s="972"/>
      <c r="F922" s="972"/>
      <c r="G922" s="972"/>
      <c r="H922" s="972"/>
      <c r="I922" s="972"/>
      <c r="J922" s="972"/>
      <c r="K922" s="972"/>
      <c r="L922" s="1041"/>
      <c r="M922" s="1041"/>
      <c r="N922" s="1041"/>
      <c r="O922" s="975"/>
    </row>
    <row r="923" spans="1:15">
      <c r="A923" s="972"/>
      <c r="B923" s="972"/>
      <c r="C923" s="972"/>
      <c r="D923" s="972"/>
      <c r="E923" s="972"/>
      <c r="F923" s="972"/>
      <c r="G923" s="972"/>
      <c r="H923" s="972"/>
      <c r="I923" s="972"/>
      <c r="J923" s="972"/>
      <c r="K923" s="972"/>
      <c r="L923" s="1041"/>
      <c r="M923" s="1041"/>
      <c r="N923" s="1041"/>
      <c r="O923" s="975"/>
    </row>
    <row r="924" spans="1:15">
      <c r="A924" s="972"/>
      <c r="B924" s="972"/>
      <c r="C924" s="972"/>
      <c r="D924" s="972"/>
      <c r="E924" s="972"/>
      <c r="F924" s="972"/>
      <c r="G924" s="972"/>
      <c r="H924" s="972"/>
      <c r="I924" s="972"/>
      <c r="J924" s="972"/>
      <c r="K924" s="972"/>
      <c r="L924" s="1041"/>
      <c r="M924" s="1041"/>
      <c r="N924" s="1041"/>
      <c r="O924" s="975"/>
    </row>
    <row r="925" spans="1:15">
      <c r="A925" s="972"/>
      <c r="B925" s="972"/>
      <c r="C925" s="972"/>
      <c r="D925" s="972"/>
      <c r="E925" s="972"/>
      <c r="F925" s="972"/>
      <c r="G925" s="972"/>
      <c r="H925" s="972"/>
      <c r="I925" s="972"/>
      <c r="J925" s="972"/>
      <c r="K925" s="972"/>
      <c r="L925" s="1041"/>
      <c r="M925" s="1041"/>
      <c r="N925" s="1041"/>
      <c r="O925" s="975"/>
    </row>
    <row r="926" spans="1:15">
      <c r="A926" s="972"/>
      <c r="B926" s="972"/>
      <c r="C926" s="972"/>
      <c r="D926" s="972"/>
      <c r="E926" s="972"/>
      <c r="F926" s="972"/>
      <c r="G926" s="972"/>
      <c r="H926" s="972"/>
      <c r="I926" s="972"/>
      <c r="J926" s="972"/>
      <c r="K926" s="972"/>
      <c r="L926" s="1041"/>
      <c r="M926" s="1041"/>
      <c r="N926" s="1041"/>
      <c r="O926" s="975"/>
    </row>
    <row r="927" spans="1:15">
      <c r="A927" s="972"/>
      <c r="B927" s="972"/>
      <c r="C927" s="972"/>
      <c r="D927" s="972"/>
      <c r="E927" s="972"/>
      <c r="F927" s="972"/>
      <c r="G927" s="972"/>
      <c r="H927" s="972"/>
      <c r="I927" s="972"/>
      <c r="J927" s="972"/>
      <c r="K927" s="972"/>
      <c r="L927" s="1041"/>
      <c r="M927" s="1041"/>
      <c r="N927" s="1041"/>
      <c r="O927" s="975"/>
    </row>
    <row r="928" spans="1:15">
      <c r="A928" s="972"/>
      <c r="B928" s="972"/>
      <c r="C928" s="972"/>
      <c r="D928" s="972"/>
      <c r="E928" s="972"/>
      <c r="F928" s="972"/>
      <c r="G928" s="972"/>
      <c r="H928" s="972"/>
      <c r="I928" s="972"/>
      <c r="J928" s="972"/>
      <c r="K928" s="972"/>
      <c r="L928" s="1041"/>
      <c r="M928" s="1041"/>
      <c r="N928" s="1041"/>
      <c r="O928" s="975"/>
    </row>
    <row r="929" spans="1:15">
      <c r="A929" s="972"/>
      <c r="B929" s="972"/>
      <c r="C929" s="972"/>
      <c r="D929" s="972"/>
      <c r="E929" s="972"/>
      <c r="F929" s="972"/>
      <c r="G929" s="972"/>
      <c r="H929" s="972"/>
      <c r="I929" s="972"/>
      <c r="J929" s="972"/>
      <c r="K929" s="972"/>
      <c r="L929" s="1041"/>
      <c r="M929" s="1041"/>
      <c r="N929" s="1041"/>
      <c r="O929" s="975"/>
    </row>
    <row r="930" spans="1:15">
      <c r="A930" s="972"/>
      <c r="B930" s="972"/>
      <c r="C930" s="972"/>
      <c r="D930" s="972"/>
      <c r="E930" s="972"/>
      <c r="F930" s="972"/>
      <c r="G930" s="972"/>
      <c r="H930" s="972"/>
      <c r="I930" s="972"/>
      <c r="J930" s="972"/>
      <c r="K930" s="972"/>
      <c r="L930" s="1041"/>
      <c r="M930" s="1041"/>
      <c r="N930" s="1041"/>
      <c r="O930" s="975"/>
    </row>
    <row r="931" spans="1:15">
      <c r="A931" s="972"/>
      <c r="B931" s="972"/>
      <c r="C931" s="972"/>
      <c r="D931" s="972"/>
      <c r="E931" s="972"/>
      <c r="F931" s="972"/>
      <c r="G931" s="972"/>
      <c r="H931" s="972"/>
      <c r="I931" s="972"/>
      <c r="J931" s="972"/>
      <c r="K931" s="972"/>
      <c r="L931" s="1041"/>
      <c r="M931" s="1041"/>
      <c r="N931" s="1041"/>
      <c r="O931" s="975"/>
    </row>
    <row r="932" spans="1:15">
      <c r="A932" s="972"/>
      <c r="B932" s="972"/>
      <c r="C932" s="972"/>
      <c r="D932" s="972"/>
      <c r="E932" s="972"/>
      <c r="F932" s="972"/>
      <c r="G932" s="972"/>
      <c r="H932" s="972"/>
      <c r="I932" s="972"/>
      <c r="J932" s="972"/>
      <c r="K932" s="972"/>
      <c r="L932" s="1041"/>
      <c r="M932" s="1041"/>
      <c r="N932" s="1041"/>
      <c r="O932" s="975"/>
    </row>
    <row r="933" spans="1:15">
      <c r="A933" s="972"/>
      <c r="B933" s="972"/>
      <c r="C933" s="972"/>
      <c r="D933" s="972"/>
      <c r="E933" s="972"/>
      <c r="F933" s="972"/>
      <c r="G933" s="972"/>
      <c r="H933" s="972"/>
      <c r="I933" s="972"/>
      <c r="J933" s="972"/>
      <c r="K933" s="972"/>
      <c r="L933" s="1041"/>
      <c r="M933" s="1041"/>
      <c r="N933" s="1041"/>
      <c r="O933" s="975"/>
    </row>
    <row r="934" spans="1:15">
      <c r="A934" s="972"/>
      <c r="B934" s="972"/>
      <c r="C934" s="972"/>
      <c r="D934" s="972"/>
      <c r="E934" s="972"/>
      <c r="F934" s="972"/>
      <c r="G934" s="972"/>
      <c r="H934" s="972"/>
      <c r="I934" s="972"/>
      <c r="J934" s="972"/>
      <c r="K934" s="972"/>
      <c r="L934" s="1041"/>
      <c r="M934" s="1041"/>
      <c r="N934" s="1041"/>
      <c r="O934" s="975"/>
    </row>
    <row r="935" spans="1:15">
      <c r="A935" s="972"/>
      <c r="B935" s="972"/>
      <c r="C935" s="972"/>
      <c r="D935" s="972"/>
      <c r="E935" s="972"/>
      <c r="F935" s="972"/>
      <c r="G935" s="972"/>
      <c r="H935" s="972"/>
      <c r="I935" s="972"/>
      <c r="J935" s="972"/>
      <c r="K935" s="972"/>
      <c r="L935" s="1041"/>
      <c r="M935" s="1041"/>
      <c r="N935" s="1041"/>
      <c r="O935" s="975"/>
    </row>
    <row r="936" spans="1:15">
      <c r="A936" s="972"/>
      <c r="B936" s="972"/>
      <c r="C936" s="972"/>
      <c r="D936" s="972"/>
      <c r="E936" s="972"/>
      <c r="F936" s="972"/>
      <c r="G936" s="972"/>
      <c r="H936" s="972"/>
      <c r="I936" s="972"/>
      <c r="J936" s="972"/>
      <c r="K936" s="972"/>
      <c r="L936" s="1041"/>
      <c r="M936" s="1041"/>
      <c r="N936" s="1041"/>
      <c r="O936" s="975"/>
    </row>
    <row r="937" spans="1:15">
      <c r="A937" s="972"/>
      <c r="B937" s="972"/>
      <c r="C937" s="972"/>
      <c r="D937" s="972"/>
      <c r="E937" s="972"/>
      <c r="F937" s="972"/>
      <c r="G937" s="972"/>
      <c r="H937" s="972"/>
      <c r="I937" s="972"/>
      <c r="J937" s="972"/>
      <c r="K937" s="972"/>
      <c r="L937" s="1041"/>
      <c r="M937" s="1041"/>
      <c r="N937" s="1041"/>
      <c r="O937" s="975"/>
    </row>
    <row r="938" spans="1:15">
      <c r="A938" s="972"/>
      <c r="B938" s="972"/>
      <c r="C938" s="972"/>
      <c r="D938" s="972"/>
      <c r="E938" s="972"/>
      <c r="F938" s="972"/>
      <c r="G938" s="972"/>
      <c r="H938" s="972"/>
      <c r="I938" s="972"/>
      <c r="J938" s="972"/>
      <c r="K938" s="972"/>
      <c r="L938" s="1041"/>
      <c r="M938" s="1041"/>
      <c r="N938" s="1041"/>
      <c r="O938" s="975"/>
    </row>
    <row r="939" spans="1:15">
      <c r="A939" s="972"/>
      <c r="B939" s="972"/>
      <c r="C939" s="972"/>
      <c r="D939" s="972"/>
      <c r="E939" s="972"/>
      <c r="F939" s="972"/>
      <c r="G939" s="972"/>
      <c r="H939" s="972"/>
      <c r="I939" s="972"/>
      <c r="J939" s="972"/>
      <c r="K939" s="972"/>
      <c r="L939" s="1041"/>
      <c r="M939" s="1041"/>
      <c r="N939" s="1041"/>
      <c r="O939" s="975"/>
    </row>
    <row r="940" spans="1:15">
      <c r="A940" s="972"/>
      <c r="B940" s="972"/>
      <c r="C940" s="972"/>
      <c r="D940" s="972"/>
      <c r="E940" s="972"/>
      <c r="F940" s="972"/>
      <c r="G940" s="972"/>
      <c r="H940" s="972"/>
      <c r="I940" s="972"/>
      <c r="J940" s="972"/>
      <c r="K940" s="972"/>
      <c r="L940" s="1041"/>
      <c r="M940" s="1041"/>
      <c r="N940" s="1041"/>
      <c r="O940" s="975"/>
    </row>
    <row r="941" spans="1:15">
      <c r="A941" s="972"/>
      <c r="B941" s="972"/>
      <c r="C941" s="972"/>
      <c r="D941" s="972"/>
      <c r="E941" s="972"/>
      <c r="F941" s="972"/>
      <c r="G941" s="972"/>
      <c r="H941" s="972"/>
      <c r="I941" s="972"/>
      <c r="J941" s="972"/>
      <c r="K941" s="972"/>
      <c r="L941" s="1041"/>
      <c r="M941" s="1041"/>
      <c r="N941" s="1041"/>
      <c r="O941" s="975"/>
    </row>
    <row r="942" spans="1:15">
      <c r="A942" s="972"/>
      <c r="B942" s="972"/>
      <c r="C942" s="972"/>
      <c r="D942" s="972"/>
      <c r="E942" s="972"/>
      <c r="F942" s="972"/>
      <c r="G942" s="972"/>
      <c r="H942" s="972"/>
      <c r="I942" s="972"/>
      <c r="J942" s="972"/>
      <c r="K942" s="972"/>
      <c r="L942" s="1041"/>
      <c r="M942" s="1041"/>
      <c r="N942" s="1041"/>
      <c r="O942" s="975"/>
    </row>
    <row r="943" spans="1:15">
      <c r="A943" s="972"/>
      <c r="B943" s="972"/>
      <c r="C943" s="972"/>
      <c r="D943" s="972"/>
      <c r="E943" s="972"/>
      <c r="F943" s="972"/>
      <c r="G943" s="972"/>
      <c r="H943" s="972"/>
      <c r="I943" s="972"/>
      <c r="J943" s="972"/>
      <c r="K943" s="972"/>
      <c r="L943" s="1041"/>
      <c r="M943" s="1041"/>
      <c r="N943" s="1041"/>
      <c r="O943" s="975"/>
    </row>
    <row r="944" spans="1:15">
      <c r="A944" s="972"/>
      <c r="B944" s="972"/>
      <c r="C944" s="972"/>
      <c r="D944" s="972"/>
      <c r="E944" s="972"/>
      <c r="F944" s="972"/>
      <c r="G944" s="972"/>
      <c r="H944" s="972"/>
      <c r="I944" s="972"/>
      <c r="J944" s="972"/>
      <c r="K944" s="972"/>
      <c r="L944" s="1041"/>
      <c r="M944" s="1041"/>
      <c r="N944" s="1041"/>
      <c r="O944" s="975"/>
    </row>
    <row r="945" spans="1:15">
      <c r="A945" s="972"/>
      <c r="B945" s="972"/>
      <c r="C945" s="972"/>
      <c r="D945" s="972"/>
      <c r="E945" s="972"/>
      <c r="F945" s="972"/>
      <c r="G945" s="972"/>
      <c r="H945" s="972"/>
      <c r="I945" s="972"/>
      <c r="J945" s="972"/>
      <c r="K945" s="972"/>
      <c r="L945" s="1041"/>
      <c r="M945" s="1041"/>
      <c r="N945" s="1041"/>
      <c r="O945" s="975"/>
    </row>
    <row r="946" spans="1:15">
      <c r="A946" s="972"/>
      <c r="B946" s="972"/>
      <c r="C946" s="972"/>
      <c r="D946" s="972"/>
      <c r="E946" s="972"/>
      <c r="F946" s="972"/>
      <c r="G946" s="972"/>
      <c r="H946" s="972"/>
      <c r="I946" s="972"/>
      <c r="J946" s="972"/>
      <c r="K946" s="972"/>
      <c r="L946" s="1041"/>
      <c r="M946" s="1041"/>
      <c r="N946" s="1041"/>
      <c r="O946" s="975"/>
    </row>
    <row r="947" spans="1:15">
      <c r="A947" s="972"/>
      <c r="B947" s="972"/>
      <c r="C947" s="972"/>
      <c r="D947" s="972"/>
      <c r="E947" s="972"/>
      <c r="F947" s="972"/>
      <c r="G947" s="972"/>
      <c r="H947" s="972"/>
      <c r="I947" s="972"/>
      <c r="J947" s="972"/>
      <c r="K947" s="972"/>
      <c r="L947" s="1041"/>
      <c r="M947" s="1041"/>
      <c r="N947" s="1041"/>
      <c r="O947" s="975"/>
    </row>
    <row r="948" spans="1:15">
      <c r="A948" s="972"/>
      <c r="B948" s="972"/>
      <c r="C948" s="972"/>
      <c r="D948" s="972"/>
      <c r="E948" s="972"/>
      <c r="F948" s="972"/>
      <c r="G948" s="972"/>
      <c r="H948" s="972"/>
      <c r="I948" s="972"/>
      <c r="J948" s="972"/>
      <c r="K948" s="972"/>
      <c r="L948" s="1041"/>
      <c r="M948" s="1041"/>
      <c r="N948" s="1041"/>
      <c r="O948" s="975"/>
    </row>
    <row r="949" spans="1:15">
      <c r="A949" s="972"/>
      <c r="B949" s="972"/>
      <c r="C949" s="972"/>
      <c r="D949" s="972"/>
      <c r="E949" s="972"/>
      <c r="F949" s="972"/>
      <c r="G949" s="972"/>
      <c r="H949" s="972"/>
      <c r="I949" s="972"/>
      <c r="J949" s="972"/>
      <c r="K949" s="972"/>
      <c r="L949" s="1041"/>
      <c r="M949" s="1041"/>
      <c r="N949" s="1041"/>
      <c r="O949" s="975"/>
    </row>
    <row r="950" spans="1:15">
      <c r="A950" s="972"/>
      <c r="B950" s="972"/>
      <c r="C950" s="972"/>
      <c r="D950" s="972"/>
      <c r="E950" s="972"/>
      <c r="F950" s="972"/>
      <c r="G950" s="972"/>
      <c r="H950" s="972"/>
      <c r="I950" s="972"/>
      <c r="J950" s="972"/>
      <c r="K950" s="972"/>
      <c r="L950" s="1041"/>
      <c r="M950" s="1041"/>
      <c r="N950" s="1041"/>
      <c r="O950" s="975"/>
    </row>
    <row r="951" spans="1:15">
      <c r="A951" s="972"/>
      <c r="B951" s="972"/>
      <c r="C951" s="972"/>
      <c r="D951" s="972"/>
      <c r="E951" s="972"/>
      <c r="F951" s="972"/>
      <c r="G951" s="972"/>
      <c r="H951" s="972"/>
      <c r="I951" s="972"/>
      <c r="J951" s="972"/>
      <c r="K951" s="972"/>
      <c r="L951" s="1041"/>
      <c r="M951" s="1041"/>
      <c r="N951" s="1041"/>
      <c r="O951" s="975"/>
    </row>
    <row r="952" spans="1:15">
      <c r="A952" s="972"/>
      <c r="B952" s="972"/>
      <c r="C952" s="972"/>
      <c r="D952" s="972"/>
      <c r="E952" s="972"/>
      <c r="F952" s="972"/>
      <c r="G952" s="972"/>
      <c r="H952" s="972"/>
      <c r="I952" s="972"/>
      <c r="J952" s="972"/>
      <c r="K952" s="972"/>
      <c r="L952" s="1041"/>
      <c r="M952" s="1041"/>
      <c r="N952" s="1041"/>
      <c r="O952" s="975"/>
    </row>
    <row r="953" spans="1:15">
      <c r="A953" s="972"/>
      <c r="B953" s="972"/>
      <c r="C953" s="972"/>
      <c r="D953" s="972"/>
      <c r="E953" s="972"/>
      <c r="F953" s="972"/>
      <c r="G953" s="972"/>
      <c r="H953" s="972"/>
      <c r="I953" s="972"/>
      <c r="J953" s="972"/>
      <c r="K953" s="972"/>
      <c r="L953" s="1041"/>
      <c r="M953" s="1041"/>
      <c r="N953" s="1041"/>
      <c r="O953" s="975"/>
    </row>
    <row r="954" spans="1:15">
      <c r="A954" s="972"/>
      <c r="B954" s="972"/>
      <c r="C954" s="972"/>
      <c r="D954" s="972"/>
      <c r="E954" s="972"/>
      <c r="F954" s="972"/>
      <c r="G954" s="972"/>
      <c r="H954" s="972"/>
      <c r="I954" s="972"/>
      <c r="J954" s="972"/>
      <c r="K954" s="972"/>
      <c r="L954" s="1041"/>
      <c r="M954" s="1041"/>
      <c r="N954" s="1041"/>
      <c r="O954" s="975"/>
    </row>
    <row r="955" spans="1:15">
      <c r="A955" s="972"/>
      <c r="B955" s="972"/>
      <c r="C955" s="972"/>
      <c r="D955" s="972"/>
      <c r="E955" s="972"/>
      <c r="F955" s="972"/>
      <c r="G955" s="972"/>
      <c r="H955" s="972"/>
      <c r="I955" s="972"/>
      <c r="J955" s="972"/>
      <c r="K955" s="972"/>
      <c r="L955" s="1041"/>
      <c r="M955" s="1041"/>
      <c r="N955" s="1041"/>
      <c r="O955" s="975"/>
    </row>
    <row r="956" spans="1:15">
      <c r="A956" s="972"/>
      <c r="B956" s="972"/>
      <c r="C956" s="972"/>
      <c r="D956" s="972"/>
      <c r="E956" s="972"/>
      <c r="F956" s="972"/>
      <c r="G956" s="972"/>
      <c r="H956" s="972"/>
      <c r="I956" s="972"/>
      <c r="J956" s="972"/>
      <c r="K956" s="972"/>
      <c r="L956" s="1041"/>
      <c r="M956" s="1041"/>
      <c r="N956" s="1041"/>
      <c r="O956" s="975"/>
    </row>
    <row r="957" spans="1:15">
      <c r="A957" s="972"/>
      <c r="B957" s="972"/>
      <c r="C957" s="972"/>
      <c r="D957" s="972"/>
      <c r="E957" s="972"/>
      <c r="F957" s="972"/>
      <c r="G957" s="972"/>
      <c r="H957" s="972"/>
      <c r="I957" s="972"/>
      <c r="J957" s="972"/>
      <c r="K957" s="972"/>
      <c r="L957" s="1041"/>
      <c r="M957" s="1041"/>
      <c r="N957" s="1041"/>
      <c r="O957" s="975"/>
    </row>
    <row r="958" spans="1:15">
      <c r="A958" s="972"/>
      <c r="B958" s="972"/>
      <c r="C958" s="972"/>
      <c r="D958" s="972"/>
      <c r="E958" s="972"/>
      <c r="F958" s="972"/>
      <c r="G958" s="972"/>
      <c r="H958" s="972"/>
      <c r="I958" s="972"/>
      <c r="J958" s="972"/>
      <c r="K958" s="972"/>
      <c r="L958" s="1041"/>
      <c r="M958" s="1041"/>
      <c r="N958" s="1041"/>
      <c r="O958" s="975"/>
    </row>
    <row r="959" spans="1:15">
      <c r="A959" s="972"/>
      <c r="B959" s="972"/>
      <c r="C959" s="972"/>
      <c r="D959" s="972"/>
      <c r="E959" s="972"/>
      <c r="F959" s="972"/>
      <c r="G959" s="972"/>
      <c r="H959" s="972"/>
      <c r="I959" s="972"/>
      <c r="J959" s="972"/>
      <c r="K959" s="972"/>
      <c r="L959" s="1041"/>
      <c r="M959" s="1041"/>
      <c r="N959" s="1041"/>
      <c r="O959" s="975"/>
    </row>
    <row r="960" spans="1:15">
      <c r="A960" s="972"/>
      <c r="B960" s="972"/>
      <c r="C960" s="972"/>
      <c r="D960" s="972"/>
      <c r="E960" s="972"/>
      <c r="F960" s="972"/>
      <c r="G960" s="972"/>
      <c r="H960" s="972"/>
      <c r="I960" s="972"/>
      <c r="J960" s="972"/>
      <c r="K960" s="972"/>
      <c r="L960" s="1041"/>
      <c r="M960" s="1041"/>
      <c r="N960" s="1041"/>
      <c r="O960" s="975"/>
    </row>
    <row r="961" spans="1:15">
      <c r="A961" s="972"/>
      <c r="B961" s="972"/>
      <c r="C961" s="972"/>
      <c r="D961" s="972"/>
      <c r="E961" s="972"/>
      <c r="F961" s="972"/>
      <c r="G961" s="972"/>
      <c r="H961" s="972"/>
      <c r="I961" s="972"/>
      <c r="J961" s="972"/>
      <c r="K961" s="972"/>
      <c r="L961" s="1041"/>
      <c r="M961" s="1041"/>
      <c r="N961" s="1041"/>
      <c r="O961" s="975"/>
    </row>
    <row r="962" spans="1:15">
      <c r="A962" s="972"/>
      <c r="B962" s="972"/>
      <c r="C962" s="972"/>
      <c r="D962" s="972"/>
      <c r="E962" s="972"/>
      <c r="F962" s="972"/>
      <c r="G962" s="972"/>
      <c r="H962" s="972"/>
      <c r="I962" s="972"/>
      <c r="J962" s="972"/>
      <c r="K962" s="972"/>
      <c r="L962" s="1041"/>
      <c r="M962" s="1041"/>
      <c r="N962" s="1041"/>
      <c r="O962" s="975"/>
    </row>
    <row r="963" spans="1:15">
      <c r="A963" s="972"/>
      <c r="B963" s="972"/>
      <c r="C963" s="972"/>
      <c r="D963" s="972"/>
      <c r="E963" s="972"/>
      <c r="F963" s="972"/>
      <c r="G963" s="972"/>
      <c r="H963" s="972"/>
      <c r="I963" s="972"/>
      <c r="J963" s="972"/>
      <c r="K963" s="972"/>
      <c r="L963" s="1041"/>
      <c r="M963" s="1041"/>
      <c r="N963" s="1041"/>
      <c r="O963" s="975"/>
    </row>
    <row r="964" spans="1:15">
      <c r="A964" s="972"/>
      <c r="B964" s="972"/>
      <c r="C964" s="972"/>
      <c r="D964" s="972"/>
      <c r="E964" s="972"/>
      <c r="F964" s="972"/>
      <c r="G964" s="972"/>
      <c r="H964" s="972"/>
      <c r="I964" s="972"/>
      <c r="J964" s="972"/>
      <c r="K964" s="972"/>
      <c r="L964" s="1041"/>
      <c r="M964" s="1041"/>
      <c r="N964" s="1041"/>
      <c r="O964" s="975"/>
    </row>
    <row r="965" spans="1:15">
      <c r="A965" s="972"/>
      <c r="B965" s="972"/>
      <c r="C965" s="972"/>
      <c r="D965" s="972"/>
      <c r="E965" s="972"/>
      <c r="F965" s="972"/>
      <c r="G965" s="972"/>
      <c r="H965" s="972"/>
      <c r="I965" s="972"/>
      <c r="J965" s="972"/>
      <c r="K965" s="972"/>
      <c r="L965" s="1041"/>
      <c r="M965" s="1041"/>
      <c r="N965" s="1041"/>
      <c r="O965" s="975"/>
    </row>
    <row r="966" spans="1:15">
      <c r="A966" s="972"/>
      <c r="B966" s="972"/>
      <c r="C966" s="972"/>
      <c r="D966" s="972"/>
      <c r="E966" s="972"/>
      <c r="F966" s="972"/>
      <c r="G966" s="972"/>
      <c r="H966" s="972"/>
      <c r="I966" s="972"/>
      <c r="J966" s="972"/>
      <c r="K966" s="972"/>
      <c r="L966" s="1041"/>
      <c r="M966" s="1041"/>
      <c r="N966" s="1041"/>
      <c r="O966" s="975"/>
    </row>
    <row r="967" spans="1:15">
      <c r="A967" s="972"/>
      <c r="B967" s="972"/>
      <c r="C967" s="972"/>
      <c r="D967" s="972"/>
      <c r="E967" s="972"/>
      <c r="F967" s="972"/>
      <c r="G967" s="972"/>
      <c r="H967" s="972"/>
      <c r="I967" s="972"/>
      <c r="J967" s="972"/>
      <c r="K967" s="972"/>
      <c r="L967" s="1041"/>
      <c r="M967" s="1041"/>
      <c r="N967" s="1041"/>
      <c r="O967" s="975"/>
    </row>
    <row r="968" spans="1:15">
      <c r="A968" s="972"/>
      <c r="B968" s="972"/>
      <c r="C968" s="972"/>
      <c r="D968" s="972"/>
      <c r="E968" s="972"/>
      <c r="F968" s="972"/>
      <c r="G968" s="972"/>
      <c r="H968" s="972"/>
      <c r="I968" s="972"/>
      <c r="J968" s="972"/>
      <c r="K968" s="972"/>
      <c r="L968" s="1041"/>
      <c r="M968" s="1041"/>
      <c r="N968" s="1041"/>
      <c r="O968" s="975"/>
    </row>
    <row r="969" spans="1:15">
      <c r="A969" s="972"/>
      <c r="B969" s="972"/>
      <c r="C969" s="972"/>
      <c r="D969" s="972"/>
      <c r="E969" s="972"/>
      <c r="F969" s="972"/>
      <c r="G969" s="972"/>
      <c r="H969" s="972"/>
      <c r="I969" s="972"/>
      <c r="J969" s="972"/>
      <c r="K969" s="972"/>
      <c r="L969" s="1041"/>
      <c r="M969" s="1041"/>
      <c r="N969" s="1041"/>
      <c r="O969" s="975"/>
    </row>
    <row r="970" spans="1:15">
      <c r="A970" s="972"/>
      <c r="B970" s="972"/>
      <c r="C970" s="972"/>
      <c r="D970" s="972"/>
      <c r="E970" s="972"/>
      <c r="F970" s="972"/>
      <c r="G970" s="972"/>
      <c r="H970" s="972"/>
      <c r="I970" s="972"/>
      <c r="J970" s="972"/>
      <c r="K970" s="972"/>
      <c r="L970" s="1041"/>
      <c r="M970" s="1041"/>
      <c r="N970" s="1041"/>
      <c r="O970" s="975"/>
    </row>
    <row r="971" spans="1:15">
      <c r="A971" s="972"/>
      <c r="B971" s="972"/>
      <c r="C971" s="972"/>
      <c r="D971" s="972"/>
      <c r="E971" s="972"/>
      <c r="F971" s="972"/>
      <c r="G971" s="972"/>
      <c r="H971" s="972"/>
      <c r="I971" s="972"/>
      <c r="J971" s="972"/>
      <c r="K971" s="972"/>
      <c r="L971" s="1041"/>
      <c r="M971" s="1041"/>
      <c r="N971" s="1041"/>
      <c r="O971" s="975"/>
    </row>
    <row r="972" spans="1:15">
      <c r="A972" s="972"/>
      <c r="B972" s="972"/>
      <c r="C972" s="972"/>
      <c r="D972" s="972"/>
      <c r="E972" s="972"/>
      <c r="F972" s="972"/>
      <c r="G972" s="972"/>
      <c r="H972" s="972"/>
      <c r="I972" s="972"/>
      <c r="J972" s="972"/>
      <c r="K972" s="972"/>
      <c r="L972" s="1041"/>
      <c r="M972" s="1041"/>
      <c r="N972" s="1041"/>
      <c r="O972" s="975"/>
    </row>
    <row r="973" spans="1:15">
      <c r="A973" s="972"/>
      <c r="B973" s="972"/>
      <c r="C973" s="972"/>
      <c r="D973" s="972"/>
      <c r="E973" s="972"/>
      <c r="F973" s="972"/>
      <c r="G973" s="972"/>
      <c r="H973" s="972"/>
      <c r="I973" s="972"/>
      <c r="J973" s="972"/>
      <c r="K973" s="972"/>
      <c r="L973" s="1041"/>
      <c r="M973" s="1041"/>
      <c r="N973" s="1041"/>
      <c r="O973" s="975"/>
    </row>
    <row r="974" spans="1:15">
      <c r="A974" s="972"/>
      <c r="B974" s="972"/>
      <c r="C974" s="972"/>
      <c r="D974" s="972"/>
      <c r="E974" s="972"/>
      <c r="F974" s="972"/>
      <c r="G974" s="972"/>
      <c r="H974" s="972"/>
      <c r="I974" s="972"/>
      <c r="J974" s="972"/>
      <c r="K974" s="972"/>
      <c r="L974" s="1041"/>
      <c r="M974" s="1041"/>
      <c r="N974" s="1041"/>
      <c r="O974" s="975"/>
    </row>
    <row r="975" spans="1:15">
      <c r="A975" s="972"/>
      <c r="B975" s="972"/>
      <c r="C975" s="972"/>
      <c r="D975" s="972"/>
      <c r="E975" s="972"/>
      <c r="F975" s="972"/>
      <c r="G975" s="972"/>
      <c r="H975" s="972"/>
      <c r="I975" s="972"/>
      <c r="J975" s="972"/>
      <c r="K975" s="972"/>
      <c r="L975" s="1041"/>
      <c r="M975" s="1041"/>
      <c r="N975" s="1041"/>
      <c r="O975" s="975"/>
    </row>
    <row r="976" spans="1:15">
      <c r="A976" s="972"/>
      <c r="B976" s="972"/>
      <c r="C976" s="972"/>
      <c r="D976" s="972"/>
      <c r="E976" s="972"/>
      <c r="F976" s="972"/>
      <c r="G976" s="972"/>
      <c r="H976" s="972"/>
      <c r="I976" s="972"/>
      <c r="J976" s="972"/>
      <c r="K976" s="972"/>
      <c r="L976" s="1041"/>
      <c r="M976" s="1041"/>
      <c r="N976" s="1041"/>
      <c r="O976" s="975"/>
    </row>
    <row r="977" spans="1:15">
      <c r="A977" s="972"/>
      <c r="B977" s="972"/>
      <c r="C977" s="972"/>
      <c r="D977" s="972"/>
      <c r="E977" s="972"/>
      <c r="F977" s="972"/>
      <c r="G977" s="972"/>
      <c r="H977" s="972"/>
      <c r="I977" s="972"/>
      <c r="J977" s="972"/>
      <c r="K977" s="972"/>
      <c r="L977" s="1041"/>
      <c r="M977" s="1041"/>
      <c r="N977" s="1041"/>
      <c r="O977" s="975"/>
    </row>
    <row r="978" spans="1:15">
      <c r="A978" s="972"/>
      <c r="B978" s="972"/>
      <c r="C978" s="972"/>
      <c r="D978" s="972"/>
      <c r="E978" s="972"/>
      <c r="F978" s="972"/>
      <c r="G978" s="972"/>
      <c r="H978" s="972"/>
      <c r="I978" s="972"/>
      <c r="J978" s="972"/>
      <c r="K978" s="972"/>
      <c r="L978" s="1041"/>
      <c r="M978" s="1041"/>
      <c r="N978" s="1041"/>
      <c r="O978" s="975"/>
    </row>
    <row r="979" spans="1:15">
      <c r="A979" s="972"/>
      <c r="B979" s="972"/>
      <c r="C979" s="972"/>
      <c r="D979" s="972"/>
      <c r="E979" s="972"/>
      <c r="F979" s="972"/>
      <c r="G979" s="972"/>
      <c r="H979" s="972"/>
      <c r="I979" s="972"/>
      <c r="J979" s="972"/>
      <c r="K979" s="972"/>
      <c r="L979" s="1041"/>
      <c r="M979" s="1041"/>
      <c r="N979" s="1041"/>
      <c r="O979" s="975"/>
    </row>
    <row r="980" spans="1:15">
      <c r="A980" s="972"/>
      <c r="B980" s="972"/>
      <c r="C980" s="972"/>
      <c r="D980" s="972"/>
      <c r="E980" s="972"/>
      <c r="F980" s="972"/>
      <c r="G980" s="972"/>
      <c r="H980" s="972"/>
      <c r="I980" s="972"/>
      <c r="J980" s="972"/>
      <c r="K980" s="972"/>
      <c r="L980" s="1041"/>
      <c r="M980" s="1041"/>
      <c r="N980" s="1041"/>
      <c r="O980" s="975"/>
    </row>
    <row r="981" spans="1:15">
      <c r="A981" s="972"/>
      <c r="B981" s="972"/>
      <c r="C981" s="972"/>
      <c r="D981" s="972"/>
      <c r="E981" s="972"/>
      <c r="F981" s="972"/>
      <c r="G981" s="972"/>
      <c r="H981" s="972"/>
      <c r="I981" s="972"/>
      <c r="J981" s="972"/>
      <c r="K981" s="972"/>
      <c r="L981" s="1041"/>
      <c r="M981" s="1041"/>
      <c r="N981" s="1041"/>
      <c r="O981" s="975"/>
    </row>
    <row r="982" spans="1:15">
      <c r="A982" s="972"/>
      <c r="B982" s="972"/>
      <c r="C982" s="972"/>
      <c r="D982" s="972"/>
      <c r="E982" s="972"/>
      <c r="F982" s="972"/>
      <c r="G982" s="972"/>
      <c r="H982" s="972"/>
      <c r="I982" s="972"/>
      <c r="J982" s="972"/>
      <c r="K982" s="972"/>
      <c r="L982" s="1041"/>
      <c r="M982" s="1041"/>
      <c r="N982" s="1041"/>
      <c r="O982" s="975"/>
    </row>
    <row r="983" spans="1:15">
      <c r="A983" s="972"/>
      <c r="B983" s="972"/>
      <c r="C983" s="972"/>
      <c r="D983" s="972"/>
      <c r="E983" s="972"/>
      <c r="F983" s="972"/>
      <c r="G983" s="972"/>
      <c r="H983" s="972"/>
      <c r="I983" s="972"/>
      <c r="J983" s="972"/>
      <c r="K983" s="972"/>
      <c r="L983" s="1041"/>
      <c r="M983" s="1041"/>
      <c r="N983" s="1041"/>
      <c r="O983" s="975"/>
    </row>
    <row r="984" spans="1:15">
      <c r="A984" s="972"/>
      <c r="B984" s="972"/>
      <c r="C984" s="972"/>
      <c r="D984" s="972"/>
      <c r="E984" s="972"/>
      <c r="F984" s="972"/>
      <c r="G984" s="972"/>
      <c r="H984" s="972"/>
      <c r="I984" s="972"/>
      <c r="J984" s="972"/>
      <c r="K984" s="972"/>
      <c r="L984" s="1041"/>
      <c r="M984" s="1041"/>
      <c r="N984" s="1041"/>
      <c r="O984" s="975"/>
    </row>
    <row r="985" spans="1:15">
      <c r="A985" s="972"/>
      <c r="B985" s="972"/>
      <c r="C985" s="972"/>
      <c r="D985" s="972"/>
      <c r="E985" s="972"/>
      <c r="F985" s="972"/>
      <c r="G985" s="972"/>
      <c r="H985" s="972"/>
      <c r="I985" s="972"/>
      <c r="J985" s="972"/>
      <c r="K985" s="972"/>
      <c r="L985" s="1041"/>
      <c r="M985" s="1041"/>
      <c r="N985" s="1041"/>
      <c r="O985" s="975"/>
    </row>
    <row r="986" spans="1:15">
      <c r="A986" s="972"/>
      <c r="B986" s="972"/>
      <c r="C986" s="972"/>
      <c r="D986" s="972"/>
      <c r="E986" s="972"/>
      <c r="F986" s="972"/>
      <c r="G986" s="972"/>
      <c r="H986" s="972"/>
      <c r="I986" s="972"/>
      <c r="J986" s="972"/>
      <c r="K986" s="972"/>
      <c r="L986" s="1041"/>
      <c r="M986" s="1041"/>
      <c r="N986" s="1041"/>
      <c r="O986" s="975"/>
    </row>
    <row r="987" spans="1:15">
      <c r="A987" s="972"/>
      <c r="B987" s="972"/>
      <c r="C987" s="972"/>
      <c r="D987" s="972"/>
      <c r="E987" s="972"/>
      <c r="F987" s="972"/>
      <c r="G987" s="972"/>
      <c r="H987" s="972"/>
      <c r="I987" s="972"/>
      <c r="J987" s="972"/>
      <c r="K987" s="972"/>
      <c r="L987" s="1041"/>
      <c r="M987" s="1041"/>
      <c r="N987" s="1041"/>
      <c r="O987" s="975"/>
    </row>
    <row r="988" spans="1:15">
      <c r="A988" s="972"/>
      <c r="B988" s="972"/>
      <c r="C988" s="972"/>
      <c r="D988" s="972"/>
      <c r="E988" s="972"/>
      <c r="F988" s="972"/>
      <c r="G988" s="972"/>
      <c r="H988" s="972"/>
      <c r="I988" s="972"/>
      <c r="J988" s="972"/>
      <c r="K988" s="972"/>
      <c r="L988" s="1041"/>
      <c r="M988" s="1041"/>
      <c r="N988" s="1041"/>
      <c r="O988" s="975"/>
    </row>
    <row r="989" spans="1:15">
      <c r="A989" s="972"/>
      <c r="B989" s="972"/>
      <c r="C989" s="972"/>
      <c r="D989" s="972"/>
      <c r="E989" s="972"/>
      <c r="F989" s="972"/>
      <c r="G989" s="972"/>
      <c r="H989" s="972"/>
      <c r="I989" s="972"/>
      <c r="J989" s="972"/>
      <c r="K989" s="972"/>
      <c r="L989" s="1041"/>
      <c r="M989" s="1041"/>
      <c r="N989" s="1041"/>
      <c r="O989" s="975"/>
    </row>
    <row r="990" spans="1:15">
      <c r="A990" s="972"/>
      <c r="B990" s="972"/>
      <c r="C990" s="972"/>
      <c r="D990" s="972"/>
      <c r="E990" s="972"/>
      <c r="F990" s="972"/>
      <c r="G990" s="972"/>
      <c r="H990" s="972"/>
      <c r="I990" s="972"/>
      <c r="J990" s="972"/>
      <c r="K990" s="972"/>
      <c r="L990" s="1041"/>
      <c r="M990" s="1041"/>
      <c r="N990" s="1041"/>
      <c r="O990" s="975"/>
    </row>
    <row r="991" spans="1:15">
      <c r="A991" s="972"/>
      <c r="B991" s="972"/>
      <c r="C991" s="972"/>
      <c r="D991" s="972"/>
      <c r="E991" s="972"/>
      <c r="F991" s="972"/>
      <c r="G991" s="972"/>
      <c r="H991" s="972"/>
      <c r="I991" s="972"/>
      <c r="J991" s="972"/>
      <c r="K991" s="972"/>
      <c r="L991" s="1041"/>
      <c r="M991" s="1041"/>
      <c r="N991" s="1041"/>
      <c r="O991" s="975"/>
    </row>
    <row r="992" spans="1:15">
      <c r="A992" s="972"/>
      <c r="B992" s="972"/>
      <c r="C992" s="972"/>
      <c r="D992" s="972"/>
      <c r="E992" s="972"/>
      <c r="F992" s="972"/>
      <c r="G992" s="972"/>
      <c r="H992" s="972"/>
      <c r="I992" s="972"/>
      <c r="J992" s="972"/>
      <c r="K992" s="972"/>
      <c r="L992" s="1041"/>
      <c r="M992" s="1041"/>
      <c r="N992" s="1041"/>
      <c r="O992" s="975"/>
    </row>
    <row r="993" spans="1:15">
      <c r="A993" s="972"/>
      <c r="B993" s="972"/>
      <c r="C993" s="972"/>
      <c r="D993" s="972"/>
      <c r="E993" s="972"/>
      <c r="F993" s="972"/>
      <c r="G993" s="972"/>
      <c r="H993" s="972"/>
      <c r="I993" s="972"/>
      <c r="J993" s="972"/>
      <c r="K993" s="972"/>
      <c r="L993" s="1041"/>
      <c r="M993" s="1041"/>
      <c r="N993" s="1041"/>
      <c r="O993" s="975"/>
    </row>
    <row r="994" spans="1:15">
      <c r="A994" s="972"/>
      <c r="B994" s="972"/>
      <c r="C994" s="972"/>
      <c r="D994" s="972"/>
      <c r="E994" s="972"/>
      <c r="F994" s="972"/>
      <c r="G994" s="972"/>
      <c r="H994" s="972"/>
      <c r="I994" s="972"/>
      <c r="J994" s="972"/>
      <c r="K994" s="972"/>
      <c r="L994" s="1041"/>
      <c r="M994" s="1041"/>
      <c r="N994" s="1041"/>
      <c r="O994" s="975"/>
    </row>
    <row r="995" spans="1:15">
      <c r="A995" s="972"/>
      <c r="B995" s="972"/>
      <c r="C995" s="972"/>
      <c r="D995" s="972"/>
      <c r="E995" s="972"/>
      <c r="F995" s="972"/>
      <c r="G995" s="972"/>
      <c r="H995" s="972"/>
      <c r="I995" s="972"/>
      <c r="J995" s="972"/>
      <c r="K995" s="972"/>
      <c r="L995" s="1041"/>
      <c r="M995" s="1041"/>
      <c r="N995" s="1041"/>
      <c r="O995" s="975"/>
    </row>
    <row r="996" spans="1:15">
      <c r="A996" s="972"/>
      <c r="B996" s="972"/>
      <c r="C996" s="972"/>
      <c r="D996" s="972"/>
      <c r="E996" s="972"/>
      <c r="F996" s="972"/>
      <c r="G996" s="972"/>
      <c r="H996" s="972"/>
      <c r="I996" s="972"/>
      <c r="J996" s="972"/>
      <c r="K996" s="972"/>
      <c r="L996" s="1041"/>
      <c r="M996" s="1041"/>
      <c r="N996" s="1041"/>
      <c r="O996" s="975"/>
    </row>
    <row r="997" spans="1:15">
      <c r="A997" s="972"/>
      <c r="B997" s="972"/>
      <c r="C997" s="972"/>
      <c r="D997" s="972"/>
      <c r="E997" s="972"/>
      <c r="F997" s="972"/>
      <c r="G997" s="972"/>
      <c r="H997" s="972"/>
      <c r="I997" s="972"/>
      <c r="J997" s="972"/>
      <c r="K997" s="972"/>
      <c r="L997" s="1041"/>
      <c r="M997" s="1041"/>
      <c r="N997" s="1041"/>
      <c r="O997" s="975"/>
    </row>
    <row r="998" spans="1:15">
      <c r="A998" s="972"/>
      <c r="B998" s="972"/>
      <c r="C998" s="972"/>
      <c r="D998" s="972"/>
      <c r="E998" s="972"/>
      <c r="F998" s="972"/>
      <c r="G998" s="972"/>
      <c r="H998" s="972"/>
      <c r="I998" s="972"/>
      <c r="J998" s="972"/>
      <c r="K998" s="972"/>
      <c r="L998" s="1041"/>
      <c r="M998" s="1041"/>
      <c r="N998" s="1041"/>
      <c r="O998" s="975"/>
    </row>
    <row r="999" spans="1:15">
      <c r="A999" s="972"/>
      <c r="B999" s="972"/>
      <c r="C999" s="972"/>
      <c r="D999" s="972"/>
      <c r="E999" s="972"/>
      <c r="F999" s="972"/>
      <c r="G999" s="972"/>
      <c r="H999" s="972"/>
      <c r="I999" s="972"/>
      <c r="J999" s="972"/>
      <c r="K999" s="972"/>
      <c r="L999" s="1041"/>
      <c r="M999" s="1041"/>
      <c r="N999" s="1041"/>
      <c r="O999" s="975"/>
    </row>
    <row r="1000" spans="1:15">
      <c r="A1000" s="972"/>
      <c r="B1000" s="972"/>
      <c r="C1000" s="972"/>
      <c r="D1000" s="972"/>
      <c r="E1000" s="972"/>
      <c r="F1000" s="972"/>
      <c r="G1000" s="972"/>
      <c r="H1000" s="972"/>
      <c r="I1000" s="972"/>
      <c r="J1000" s="972"/>
      <c r="K1000" s="972"/>
      <c r="L1000" s="1041"/>
      <c r="M1000" s="1041"/>
      <c r="N1000" s="1041"/>
      <c r="O1000" s="975"/>
    </row>
    <row r="1001" spans="1:15">
      <c r="A1001" s="972"/>
      <c r="B1001" s="972"/>
      <c r="C1001" s="972"/>
      <c r="D1001" s="972"/>
      <c r="E1001" s="972"/>
      <c r="F1001" s="972"/>
      <c r="G1001" s="972"/>
      <c r="H1001" s="972"/>
      <c r="I1001" s="972"/>
      <c r="J1001" s="972"/>
      <c r="K1001" s="972"/>
      <c r="L1001" s="1041"/>
      <c r="M1001" s="1041"/>
      <c r="N1001" s="1041"/>
      <c r="O1001" s="975"/>
    </row>
    <row r="1002" spans="1:15">
      <c r="A1002" s="972"/>
      <c r="B1002" s="972"/>
      <c r="C1002" s="972"/>
      <c r="D1002" s="972"/>
      <c r="E1002" s="972"/>
      <c r="F1002" s="972"/>
      <c r="G1002" s="972"/>
      <c r="H1002" s="972"/>
      <c r="I1002" s="972"/>
      <c r="J1002" s="972"/>
      <c r="K1002" s="972"/>
      <c r="L1002" s="1041"/>
      <c r="M1002" s="1041"/>
      <c r="N1002" s="1041"/>
      <c r="O1002" s="975"/>
    </row>
    <row r="1003" spans="1:15">
      <c r="A1003" s="972"/>
      <c r="B1003" s="972"/>
      <c r="C1003" s="972"/>
      <c r="D1003" s="972"/>
      <c r="E1003" s="972"/>
      <c r="F1003" s="972"/>
      <c r="G1003" s="972"/>
      <c r="H1003" s="972"/>
      <c r="I1003" s="972"/>
      <c r="J1003" s="972"/>
      <c r="K1003" s="972"/>
      <c r="L1003" s="1041"/>
      <c r="M1003" s="1041"/>
      <c r="N1003" s="1041"/>
      <c r="O1003" s="975"/>
    </row>
    <row r="1004" spans="1:15">
      <c r="A1004" s="972"/>
      <c r="B1004" s="972"/>
      <c r="C1004" s="972"/>
      <c r="D1004" s="972"/>
      <c r="E1004" s="972"/>
      <c r="F1004" s="972"/>
      <c r="G1004" s="972"/>
      <c r="H1004" s="972"/>
      <c r="I1004" s="972"/>
      <c r="J1004" s="972"/>
      <c r="K1004" s="972"/>
      <c r="L1004" s="1041"/>
      <c r="M1004" s="1041"/>
      <c r="N1004" s="1041"/>
      <c r="O1004" s="975"/>
    </row>
    <row r="1005" spans="1:15">
      <c r="A1005" s="972"/>
      <c r="B1005" s="972"/>
      <c r="C1005" s="972"/>
      <c r="D1005" s="972"/>
      <c r="E1005" s="972"/>
      <c r="F1005" s="972"/>
      <c r="G1005" s="972"/>
      <c r="H1005" s="972"/>
      <c r="I1005" s="972"/>
      <c r="J1005" s="972"/>
      <c r="K1005" s="972"/>
      <c r="L1005" s="1041"/>
      <c r="M1005" s="1041"/>
      <c r="N1005" s="1041"/>
      <c r="O1005" s="975"/>
    </row>
    <row r="1006" spans="1:15">
      <c r="A1006" s="972"/>
      <c r="B1006" s="972"/>
      <c r="C1006" s="972"/>
      <c r="D1006" s="972"/>
      <c r="E1006" s="972"/>
      <c r="F1006" s="972"/>
      <c r="G1006" s="972"/>
      <c r="H1006" s="972"/>
      <c r="I1006" s="972"/>
      <c r="J1006" s="972"/>
      <c r="K1006" s="972"/>
      <c r="L1006" s="1041"/>
      <c r="M1006" s="1041"/>
      <c r="N1006" s="1041"/>
      <c r="O1006" s="975"/>
    </row>
    <row r="1007" spans="1:15">
      <c r="A1007" s="972"/>
      <c r="B1007" s="972"/>
      <c r="C1007" s="972"/>
      <c r="D1007" s="972"/>
      <c r="E1007" s="972"/>
      <c r="F1007" s="972"/>
      <c r="G1007" s="972"/>
      <c r="H1007" s="972"/>
      <c r="I1007" s="972"/>
      <c r="J1007" s="972"/>
      <c r="K1007" s="972"/>
      <c r="L1007" s="1041"/>
      <c r="M1007" s="1041"/>
      <c r="N1007" s="1041"/>
      <c r="O1007" s="975"/>
    </row>
    <row r="1008" spans="1:15">
      <c r="A1008" s="972"/>
      <c r="B1008" s="972"/>
      <c r="C1008" s="972"/>
      <c r="D1008" s="972"/>
      <c r="E1008" s="972"/>
      <c r="F1008" s="972"/>
      <c r="G1008" s="972"/>
      <c r="H1008" s="972"/>
      <c r="I1008" s="972"/>
      <c r="J1008" s="972"/>
      <c r="K1008" s="972"/>
      <c r="L1008" s="1041"/>
      <c r="M1008" s="1041"/>
      <c r="N1008" s="1041"/>
      <c r="O1008" s="975"/>
    </row>
    <row r="1009" spans="1:15">
      <c r="A1009" s="972"/>
      <c r="B1009" s="972"/>
      <c r="C1009" s="972"/>
      <c r="D1009" s="972"/>
      <c r="E1009" s="972"/>
      <c r="F1009" s="972"/>
      <c r="G1009" s="972"/>
      <c r="H1009" s="972"/>
      <c r="I1009" s="972"/>
      <c r="J1009" s="972"/>
      <c r="K1009" s="972"/>
      <c r="L1009" s="1041"/>
      <c r="M1009" s="1041"/>
      <c r="N1009" s="1041"/>
      <c r="O1009" s="975"/>
    </row>
    <row r="1010" spans="1:15">
      <c r="A1010" s="972"/>
      <c r="B1010" s="972"/>
      <c r="C1010" s="972"/>
      <c r="D1010" s="972"/>
      <c r="E1010" s="972"/>
      <c r="F1010" s="972"/>
      <c r="G1010" s="972"/>
      <c r="H1010" s="972"/>
      <c r="I1010" s="972"/>
      <c r="J1010" s="972"/>
      <c r="K1010" s="972"/>
      <c r="L1010" s="1041"/>
      <c r="M1010" s="1041"/>
      <c r="N1010" s="1041"/>
      <c r="O1010" s="975"/>
    </row>
    <row r="1011" spans="1:15">
      <c r="A1011" s="972"/>
      <c r="B1011" s="972"/>
      <c r="C1011" s="972"/>
      <c r="D1011" s="972"/>
      <c r="E1011" s="972"/>
      <c r="F1011" s="972"/>
      <c r="G1011" s="972"/>
      <c r="H1011" s="972"/>
      <c r="I1011" s="972"/>
      <c r="J1011" s="972"/>
      <c r="K1011" s="972"/>
      <c r="L1011" s="1041"/>
      <c r="M1011" s="1041"/>
      <c r="N1011" s="1041"/>
      <c r="O1011" s="975"/>
    </row>
    <row r="1012" spans="1:15">
      <c r="A1012" s="972"/>
      <c r="B1012" s="972"/>
      <c r="C1012" s="972"/>
      <c r="D1012" s="972"/>
      <c r="E1012" s="972"/>
      <c r="F1012" s="972"/>
      <c r="G1012" s="972"/>
      <c r="H1012" s="972"/>
      <c r="I1012" s="972"/>
      <c r="J1012" s="972"/>
      <c r="K1012" s="972"/>
      <c r="L1012" s="1041"/>
      <c r="M1012" s="1041"/>
      <c r="N1012" s="1041"/>
      <c r="O1012" s="975"/>
    </row>
    <row r="1013" spans="1:15">
      <c r="A1013" s="972"/>
      <c r="B1013" s="972"/>
      <c r="C1013" s="972"/>
      <c r="D1013" s="972"/>
      <c r="E1013" s="972"/>
      <c r="F1013" s="972"/>
      <c r="G1013" s="972"/>
      <c r="H1013" s="972"/>
      <c r="I1013" s="972"/>
      <c r="J1013" s="972"/>
      <c r="K1013" s="972"/>
      <c r="L1013" s="1041"/>
      <c r="M1013" s="1041"/>
      <c r="N1013" s="1041"/>
      <c r="O1013" s="975"/>
    </row>
    <row r="1014" spans="1:15">
      <c r="A1014" s="972"/>
      <c r="B1014" s="972"/>
      <c r="C1014" s="972"/>
      <c r="D1014" s="972"/>
      <c r="E1014" s="972"/>
      <c r="F1014" s="972"/>
      <c r="G1014" s="972"/>
      <c r="H1014" s="972"/>
      <c r="I1014" s="972"/>
      <c r="J1014" s="972"/>
      <c r="K1014" s="972"/>
      <c r="L1014" s="1041"/>
      <c r="M1014" s="1041"/>
      <c r="N1014" s="1041"/>
      <c r="O1014" s="975"/>
    </row>
    <row r="1015" spans="1:15">
      <c r="A1015" s="972"/>
      <c r="B1015" s="972"/>
      <c r="C1015" s="972"/>
      <c r="D1015" s="972"/>
      <c r="E1015" s="972"/>
      <c r="F1015" s="972"/>
      <c r="G1015" s="972"/>
      <c r="H1015" s="972"/>
      <c r="I1015" s="972"/>
      <c r="J1015" s="972"/>
      <c r="K1015" s="972"/>
      <c r="L1015" s="1041"/>
      <c r="M1015" s="1041"/>
      <c r="N1015" s="1041"/>
      <c r="O1015" s="975"/>
    </row>
    <row r="1016" spans="1:15">
      <c r="A1016" s="972"/>
      <c r="B1016" s="972"/>
      <c r="C1016" s="972"/>
      <c r="D1016" s="972"/>
      <c r="E1016" s="972"/>
      <c r="F1016" s="972"/>
      <c r="G1016" s="972"/>
      <c r="H1016" s="972"/>
      <c r="I1016" s="972"/>
      <c r="J1016" s="972"/>
      <c r="K1016" s="972"/>
      <c r="L1016" s="1041"/>
      <c r="M1016" s="1041"/>
      <c r="N1016" s="1041"/>
      <c r="O1016" s="975"/>
    </row>
    <row r="1017" spans="1:15">
      <c r="A1017" s="972"/>
      <c r="B1017" s="972"/>
      <c r="C1017" s="972"/>
      <c r="D1017" s="972"/>
      <c r="E1017" s="972"/>
      <c r="F1017" s="972"/>
      <c r="G1017" s="972"/>
      <c r="H1017" s="972"/>
      <c r="I1017" s="972"/>
      <c r="J1017" s="972"/>
      <c r="K1017" s="972"/>
      <c r="L1017" s="1041"/>
      <c r="M1017" s="1041"/>
      <c r="N1017" s="1041"/>
      <c r="O1017" s="975"/>
    </row>
    <row r="1018" spans="1:15">
      <c r="A1018" s="972"/>
      <c r="B1018" s="972"/>
      <c r="C1018" s="972"/>
      <c r="D1018" s="972"/>
      <c r="E1018" s="972"/>
      <c r="F1018" s="972"/>
      <c r="G1018" s="972"/>
      <c r="H1018" s="972"/>
      <c r="I1018" s="972"/>
      <c r="J1018" s="972"/>
      <c r="K1018" s="972"/>
      <c r="L1018" s="1041"/>
      <c r="M1018" s="1041"/>
      <c r="N1018" s="1041"/>
      <c r="O1018" s="975"/>
    </row>
    <row r="1019" spans="1:15">
      <c r="A1019" s="972"/>
      <c r="B1019" s="972"/>
      <c r="C1019" s="972"/>
      <c r="D1019" s="972"/>
      <c r="E1019" s="972"/>
      <c r="F1019" s="972"/>
      <c r="G1019" s="972"/>
      <c r="H1019" s="972"/>
      <c r="I1019" s="972"/>
      <c r="J1019" s="972"/>
      <c r="K1019" s="972"/>
      <c r="L1019" s="1041"/>
      <c r="M1019" s="1041"/>
      <c r="N1019" s="1041"/>
      <c r="O1019" s="975"/>
    </row>
    <row r="1020" spans="1:15">
      <c r="A1020" s="972"/>
      <c r="B1020" s="972"/>
      <c r="C1020" s="972"/>
      <c r="D1020" s="972"/>
      <c r="E1020" s="972"/>
      <c r="F1020" s="972"/>
      <c r="G1020" s="972"/>
      <c r="H1020" s="972"/>
      <c r="I1020" s="972"/>
      <c r="J1020" s="972"/>
      <c r="K1020" s="972"/>
      <c r="L1020" s="1041"/>
      <c r="M1020" s="1041"/>
      <c r="N1020" s="1041"/>
      <c r="O1020" s="975"/>
    </row>
    <row r="1021" spans="1:15">
      <c r="A1021" s="972"/>
      <c r="B1021" s="972"/>
      <c r="C1021" s="972"/>
      <c r="D1021" s="972"/>
      <c r="E1021" s="972"/>
      <c r="F1021" s="972"/>
      <c r="G1021" s="972"/>
      <c r="H1021" s="972"/>
      <c r="I1021" s="972"/>
      <c r="J1021" s="972"/>
      <c r="K1021" s="972"/>
      <c r="L1021" s="1041"/>
      <c r="M1021" s="1041"/>
      <c r="N1021" s="1041"/>
      <c r="O1021" s="975"/>
    </row>
    <row r="1022" spans="1:15">
      <c r="A1022" s="972"/>
      <c r="B1022" s="972"/>
      <c r="C1022" s="972"/>
      <c r="D1022" s="972"/>
      <c r="E1022" s="972"/>
      <c r="F1022" s="972"/>
      <c r="G1022" s="972"/>
      <c r="H1022" s="972"/>
      <c r="I1022" s="972"/>
      <c r="J1022" s="972"/>
      <c r="K1022" s="972"/>
      <c r="L1022" s="1041"/>
      <c r="M1022" s="1041"/>
      <c r="N1022" s="1041"/>
      <c r="O1022" s="975"/>
    </row>
    <row r="1023" spans="1:15">
      <c r="A1023" s="972"/>
      <c r="B1023" s="972"/>
      <c r="C1023" s="972"/>
      <c r="D1023" s="972"/>
      <c r="E1023" s="972"/>
      <c r="F1023" s="972"/>
      <c r="G1023" s="972"/>
      <c r="H1023" s="972"/>
      <c r="I1023" s="972"/>
      <c r="J1023" s="972"/>
      <c r="K1023" s="972"/>
      <c r="L1023" s="1041"/>
      <c r="M1023" s="1041"/>
      <c r="N1023" s="1041"/>
      <c r="O1023" s="975"/>
    </row>
    <row r="1024" spans="1:15">
      <c r="A1024" s="972"/>
      <c r="B1024" s="972"/>
      <c r="C1024" s="972"/>
      <c r="D1024" s="972"/>
      <c r="E1024" s="972"/>
      <c r="F1024" s="972"/>
      <c r="G1024" s="972"/>
      <c r="H1024" s="972"/>
      <c r="I1024" s="972"/>
      <c r="J1024" s="972"/>
      <c r="K1024" s="972"/>
      <c r="L1024" s="1041"/>
      <c r="M1024" s="1041"/>
      <c r="N1024" s="1041"/>
      <c r="O1024" s="975"/>
    </row>
    <row r="1025" spans="1:15">
      <c r="A1025" s="972"/>
      <c r="B1025" s="972"/>
      <c r="C1025" s="972"/>
      <c r="D1025" s="972"/>
      <c r="E1025" s="972"/>
      <c r="F1025" s="972"/>
      <c r="G1025" s="972"/>
      <c r="H1025" s="972"/>
      <c r="I1025" s="972"/>
      <c r="J1025" s="972"/>
      <c r="K1025" s="972"/>
      <c r="L1025" s="1041"/>
      <c r="M1025" s="1041"/>
      <c r="N1025" s="1041"/>
      <c r="O1025" s="975"/>
    </row>
    <row r="1026" spans="1:15">
      <c r="A1026" s="972"/>
      <c r="B1026" s="972"/>
      <c r="C1026" s="972"/>
      <c r="D1026" s="972"/>
      <c r="E1026" s="972"/>
      <c r="F1026" s="972"/>
      <c r="G1026" s="972"/>
      <c r="H1026" s="972"/>
      <c r="I1026" s="972"/>
      <c r="J1026" s="972"/>
      <c r="K1026" s="972"/>
      <c r="L1026" s="1041"/>
      <c r="M1026" s="1041"/>
      <c r="N1026" s="1041"/>
      <c r="O1026" s="975"/>
    </row>
    <row r="1027" spans="1:15">
      <c r="A1027" s="972"/>
      <c r="B1027" s="972"/>
      <c r="C1027" s="972"/>
      <c r="D1027" s="972"/>
      <c r="E1027" s="972"/>
      <c r="F1027" s="972"/>
      <c r="G1027" s="972"/>
      <c r="H1027" s="972"/>
      <c r="I1027" s="972"/>
      <c r="J1027" s="972"/>
      <c r="K1027" s="972"/>
      <c r="L1027" s="1041"/>
      <c r="M1027" s="1041"/>
      <c r="N1027" s="1041"/>
      <c r="O1027" s="975"/>
    </row>
    <row r="1028" spans="1:15">
      <c r="A1028" s="972"/>
      <c r="B1028" s="972"/>
      <c r="C1028" s="972"/>
      <c r="D1028" s="972"/>
      <c r="E1028" s="972"/>
      <c r="F1028" s="972"/>
      <c r="G1028" s="972"/>
      <c r="H1028" s="972"/>
      <c r="I1028" s="972"/>
      <c r="J1028" s="972"/>
      <c r="K1028" s="972"/>
      <c r="L1028" s="1041"/>
      <c r="M1028" s="1041"/>
      <c r="N1028" s="1041"/>
      <c r="O1028" s="975"/>
    </row>
    <row r="1029" spans="1:15">
      <c r="A1029" s="972"/>
      <c r="B1029" s="972"/>
      <c r="C1029" s="972"/>
      <c r="D1029" s="972"/>
      <c r="E1029" s="972"/>
      <c r="F1029" s="972"/>
      <c r="G1029" s="972"/>
      <c r="H1029" s="972"/>
      <c r="I1029" s="972"/>
      <c r="J1029" s="972"/>
      <c r="K1029" s="972"/>
      <c r="L1029" s="1041"/>
      <c r="M1029" s="1041"/>
      <c r="N1029" s="1041"/>
      <c r="O1029" s="975"/>
    </row>
    <row r="1030" spans="1:15">
      <c r="A1030" s="972"/>
      <c r="B1030" s="972"/>
      <c r="C1030" s="972"/>
      <c r="D1030" s="972"/>
      <c r="E1030" s="972"/>
      <c r="F1030" s="972"/>
      <c r="G1030" s="972"/>
      <c r="H1030" s="972"/>
      <c r="I1030" s="972"/>
      <c r="J1030" s="972"/>
      <c r="K1030" s="972"/>
      <c r="L1030" s="1041"/>
      <c r="M1030" s="1041"/>
      <c r="N1030" s="1041"/>
      <c r="O1030" s="975"/>
    </row>
    <row r="1031" spans="1:15">
      <c r="A1031" s="972"/>
      <c r="B1031" s="972"/>
      <c r="C1031" s="972"/>
      <c r="D1031" s="972"/>
      <c r="E1031" s="972"/>
      <c r="F1031" s="972"/>
      <c r="G1031" s="972"/>
      <c r="H1031" s="972"/>
      <c r="I1031" s="972"/>
      <c r="J1031" s="972"/>
      <c r="K1031" s="972"/>
      <c r="L1031" s="1041"/>
      <c r="M1031" s="1041"/>
      <c r="N1031" s="1041"/>
      <c r="O1031" s="975"/>
    </row>
    <row r="1032" spans="1:15">
      <c r="A1032" s="972"/>
      <c r="B1032" s="972"/>
      <c r="C1032" s="972"/>
      <c r="D1032" s="972"/>
      <c r="E1032" s="972"/>
      <c r="F1032" s="972"/>
      <c r="G1032" s="972"/>
      <c r="H1032" s="972"/>
      <c r="I1032" s="972"/>
      <c r="J1032" s="972"/>
      <c r="K1032" s="972"/>
      <c r="L1032" s="1041"/>
      <c r="M1032" s="1041"/>
      <c r="N1032" s="1041"/>
      <c r="O1032" s="975"/>
    </row>
    <row r="1033" spans="1:15">
      <c r="A1033" s="972"/>
      <c r="B1033" s="972"/>
      <c r="C1033" s="972"/>
      <c r="D1033" s="972"/>
      <c r="E1033" s="972"/>
      <c r="F1033" s="972"/>
      <c r="G1033" s="972"/>
      <c r="H1033" s="972"/>
      <c r="I1033" s="972"/>
      <c r="J1033" s="972"/>
      <c r="K1033" s="972"/>
      <c r="L1033" s="1041"/>
      <c r="M1033" s="1041"/>
      <c r="N1033" s="1041"/>
      <c r="O1033" s="975"/>
    </row>
    <row r="1034" spans="1:15">
      <c r="A1034" s="972"/>
      <c r="B1034" s="972"/>
      <c r="C1034" s="972"/>
      <c r="D1034" s="972"/>
      <c r="E1034" s="972"/>
      <c r="F1034" s="972"/>
      <c r="G1034" s="972"/>
      <c r="H1034" s="972"/>
      <c r="I1034" s="972"/>
      <c r="J1034" s="972"/>
      <c r="K1034" s="972"/>
      <c r="L1034" s="1041"/>
      <c r="M1034" s="1041"/>
      <c r="N1034" s="1041"/>
      <c r="O1034" s="975"/>
    </row>
    <row r="1035" spans="1:15">
      <c r="A1035" s="972"/>
      <c r="B1035" s="972"/>
      <c r="C1035" s="972"/>
      <c r="D1035" s="972"/>
      <c r="E1035" s="972"/>
      <c r="F1035" s="972"/>
      <c r="G1035" s="972"/>
      <c r="H1035" s="972"/>
      <c r="I1035" s="972"/>
      <c r="J1035" s="972"/>
      <c r="K1035" s="972"/>
      <c r="L1035" s="1041"/>
      <c r="M1035" s="1041"/>
      <c r="N1035" s="1041"/>
      <c r="O1035" s="975"/>
    </row>
    <row r="1036" spans="1:15">
      <c r="A1036" s="972"/>
      <c r="B1036" s="972"/>
      <c r="C1036" s="972"/>
      <c r="D1036" s="972"/>
      <c r="E1036" s="972"/>
      <c r="F1036" s="972"/>
      <c r="G1036" s="972"/>
      <c r="H1036" s="972"/>
      <c r="I1036" s="972"/>
      <c r="J1036" s="972"/>
      <c r="K1036" s="972"/>
      <c r="L1036" s="1041"/>
      <c r="M1036" s="1041"/>
      <c r="N1036" s="1041"/>
      <c r="O1036" s="975"/>
    </row>
    <row r="1037" spans="1:15">
      <c r="A1037" s="972"/>
      <c r="B1037" s="972"/>
      <c r="C1037" s="972"/>
      <c r="D1037" s="972"/>
      <c r="E1037" s="972"/>
      <c r="F1037" s="972"/>
      <c r="G1037" s="972"/>
      <c r="H1037" s="972"/>
      <c r="I1037" s="972"/>
      <c r="J1037" s="972"/>
      <c r="K1037" s="972"/>
      <c r="L1037" s="1041"/>
      <c r="M1037" s="1041"/>
      <c r="N1037" s="1041"/>
      <c r="O1037" s="975"/>
    </row>
    <row r="1038" spans="1:15">
      <c r="A1038" s="972"/>
      <c r="B1038" s="972"/>
      <c r="C1038" s="972"/>
      <c r="D1038" s="972"/>
      <c r="E1038" s="972"/>
      <c r="F1038" s="972"/>
      <c r="G1038" s="972"/>
      <c r="H1038" s="972"/>
      <c r="I1038" s="972"/>
      <c r="J1038" s="972"/>
      <c r="K1038" s="972"/>
      <c r="L1038" s="1041"/>
      <c r="M1038" s="1041"/>
      <c r="N1038" s="1041"/>
      <c r="O1038" s="975"/>
    </row>
    <row r="1039" spans="1:15">
      <c r="A1039" s="972"/>
      <c r="B1039" s="972"/>
      <c r="C1039" s="972"/>
      <c r="D1039" s="972"/>
      <c r="E1039" s="972"/>
      <c r="F1039" s="972"/>
      <c r="G1039" s="972"/>
      <c r="H1039" s="972"/>
      <c r="I1039" s="972"/>
      <c r="J1039" s="972"/>
      <c r="K1039" s="972"/>
      <c r="L1039" s="1041"/>
      <c r="M1039" s="1041"/>
      <c r="N1039" s="1041"/>
      <c r="O1039" s="975"/>
    </row>
    <row r="1040" spans="1:15">
      <c r="A1040" s="972"/>
      <c r="B1040" s="972"/>
      <c r="C1040" s="972"/>
      <c r="D1040" s="972"/>
      <c r="E1040" s="972"/>
      <c r="F1040" s="972"/>
      <c r="G1040" s="972"/>
      <c r="H1040" s="972"/>
      <c r="I1040" s="972"/>
      <c r="J1040" s="972"/>
      <c r="K1040" s="972"/>
      <c r="L1040" s="1041"/>
      <c r="M1040" s="1041"/>
      <c r="N1040" s="1041"/>
      <c r="O1040" s="975"/>
    </row>
    <row r="1041" spans="1:15">
      <c r="A1041" s="972"/>
      <c r="B1041" s="972"/>
      <c r="C1041" s="972"/>
      <c r="D1041" s="972"/>
      <c r="E1041" s="972"/>
      <c r="F1041" s="972"/>
      <c r="G1041" s="972"/>
      <c r="H1041" s="972"/>
      <c r="I1041" s="972"/>
      <c r="J1041" s="972"/>
      <c r="K1041" s="972"/>
      <c r="L1041" s="1041"/>
      <c r="M1041" s="1041"/>
      <c r="N1041" s="1041"/>
      <c r="O1041" s="975"/>
    </row>
    <row r="1042" spans="1:15">
      <c r="A1042" s="972"/>
      <c r="B1042" s="972"/>
      <c r="C1042" s="972"/>
      <c r="D1042" s="972"/>
      <c r="E1042" s="972"/>
      <c r="F1042" s="972"/>
      <c r="G1042" s="972"/>
      <c r="H1042" s="972"/>
      <c r="I1042" s="972"/>
      <c r="J1042" s="972"/>
      <c r="K1042" s="972"/>
      <c r="L1042" s="1041"/>
      <c r="M1042" s="1041"/>
      <c r="N1042" s="1041"/>
      <c r="O1042" s="975"/>
    </row>
    <row r="1043" spans="1:15">
      <c r="A1043" s="972"/>
      <c r="B1043" s="972"/>
      <c r="C1043" s="972"/>
      <c r="D1043" s="972"/>
      <c r="E1043" s="972"/>
      <c r="F1043" s="972"/>
      <c r="G1043" s="972"/>
      <c r="H1043" s="972"/>
      <c r="I1043" s="972"/>
      <c r="J1043" s="972"/>
      <c r="K1043" s="972"/>
      <c r="L1043" s="1041"/>
      <c r="M1043" s="1041"/>
      <c r="N1043" s="1041"/>
      <c r="O1043" s="975"/>
    </row>
    <row r="1044" spans="1:15">
      <c r="A1044" s="972"/>
      <c r="B1044" s="972"/>
      <c r="C1044" s="972"/>
      <c r="D1044" s="972"/>
      <c r="E1044" s="972"/>
      <c r="F1044" s="972"/>
      <c r="G1044" s="972"/>
      <c r="H1044" s="972"/>
      <c r="I1044" s="972"/>
      <c r="J1044" s="972"/>
      <c r="K1044" s="972"/>
      <c r="L1044" s="1041"/>
      <c r="M1044" s="1041"/>
      <c r="N1044" s="1041"/>
      <c r="O1044" s="975"/>
    </row>
    <row r="1045" spans="1:15">
      <c r="A1045" s="972"/>
      <c r="B1045" s="972"/>
      <c r="C1045" s="972"/>
      <c r="D1045" s="972"/>
      <c r="E1045" s="972"/>
      <c r="F1045" s="972"/>
      <c r="G1045" s="972"/>
      <c r="H1045" s="972"/>
      <c r="I1045" s="972"/>
      <c r="J1045" s="972"/>
      <c r="K1045" s="972"/>
      <c r="L1045" s="1041"/>
      <c r="M1045" s="1041"/>
      <c r="N1045" s="1041"/>
      <c r="O1045" s="975"/>
    </row>
    <row r="1046" spans="1:15">
      <c r="A1046" s="972"/>
      <c r="B1046" s="972"/>
      <c r="C1046" s="972"/>
      <c r="D1046" s="972"/>
      <c r="E1046" s="972"/>
      <c r="F1046" s="972"/>
      <c r="G1046" s="972"/>
      <c r="H1046" s="972"/>
      <c r="I1046" s="972"/>
      <c r="J1046" s="972"/>
      <c r="K1046" s="972"/>
      <c r="L1046" s="1041"/>
      <c r="M1046" s="1041"/>
      <c r="N1046" s="1041"/>
      <c r="O1046" s="975"/>
    </row>
    <row r="1047" spans="1:15">
      <c r="A1047" s="972"/>
      <c r="B1047" s="972"/>
      <c r="C1047" s="972"/>
      <c r="D1047" s="972"/>
      <c r="E1047" s="972"/>
      <c r="F1047" s="972"/>
      <c r="G1047" s="972"/>
      <c r="H1047" s="972"/>
      <c r="I1047" s="972"/>
      <c r="J1047" s="972"/>
      <c r="K1047" s="972"/>
      <c r="L1047" s="1041"/>
      <c r="M1047" s="1041"/>
      <c r="N1047" s="1041"/>
      <c r="O1047" s="975"/>
    </row>
    <row r="1048" spans="1:15">
      <c r="A1048" s="972"/>
      <c r="B1048" s="972"/>
      <c r="C1048" s="972"/>
      <c r="D1048" s="972"/>
      <c r="E1048" s="972"/>
      <c r="F1048" s="972"/>
      <c r="G1048" s="972"/>
      <c r="H1048" s="972"/>
      <c r="I1048" s="972"/>
      <c r="J1048" s="972"/>
      <c r="K1048" s="972"/>
      <c r="L1048" s="1041"/>
      <c r="M1048" s="1041"/>
      <c r="N1048" s="1041"/>
      <c r="O1048" s="975"/>
    </row>
    <row r="1049" spans="1:15">
      <c r="A1049" s="972"/>
      <c r="B1049" s="972"/>
      <c r="C1049" s="972"/>
      <c r="D1049" s="972"/>
      <c r="E1049" s="972"/>
      <c r="F1049" s="972"/>
      <c r="G1049" s="972"/>
      <c r="H1049" s="972"/>
      <c r="I1049" s="972"/>
      <c r="J1049" s="972"/>
      <c r="K1049" s="972"/>
      <c r="L1049" s="1041"/>
      <c r="M1049" s="1041"/>
      <c r="N1049" s="1041"/>
      <c r="O1049" s="975"/>
    </row>
    <row r="1050" spans="1:15">
      <c r="A1050" s="972"/>
      <c r="B1050" s="972"/>
      <c r="C1050" s="972"/>
      <c r="D1050" s="972"/>
      <c r="E1050" s="972"/>
      <c r="F1050" s="972"/>
      <c r="G1050" s="972"/>
      <c r="H1050" s="972"/>
      <c r="I1050" s="972"/>
      <c r="J1050" s="972"/>
      <c r="K1050" s="972"/>
      <c r="L1050" s="1041"/>
      <c r="M1050" s="1041"/>
      <c r="N1050" s="1041"/>
      <c r="O1050" s="975"/>
    </row>
    <row r="1051" spans="1:15">
      <c r="A1051" s="972"/>
      <c r="B1051" s="972"/>
      <c r="C1051" s="972"/>
      <c r="D1051" s="972"/>
      <c r="E1051" s="972"/>
      <c r="F1051" s="972"/>
      <c r="G1051" s="972"/>
      <c r="H1051" s="972"/>
      <c r="I1051" s="972"/>
      <c r="J1051" s="972"/>
      <c r="K1051" s="972"/>
      <c r="L1051" s="1041"/>
      <c r="M1051" s="1041"/>
      <c r="N1051" s="1041"/>
      <c r="O1051" s="975"/>
    </row>
    <row r="1052" spans="1:15">
      <c r="A1052" s="972"/>
      <c r="B1052" s="972"/>
      <c r="C1052" s="972"/>
      <c r="D1052" s="972"/>
      <c r="E1052" s="972"/>
      <c r="F1052" s="972"/>
      <c r="G1052" s="972"/>
      <c r="H1052" s="972"/>
      <c r="I1052" s="972"/>
      <c r="J1052" s="972"/>
      <c r="K1052" s="972"/>
      <c r="L1052" s="1041"/>
      <c r="M1052" s="1041"/>
      <c r="N1052" s="1041"/>
      <c r="O1052" s="975"/>
    </row>
    <row r="1053" spans="1:15">
      <c r="A1053" s="972"/>
      <c r="B1053" s="972"/>
      <c r="C1053" s="972"/>
      <c r="D1053" s="972"/>
      <c r="E1053" s="972"/>
      <c r="F1053" s="972"/>
      <c r="G1053" s="972"/>
      <c r="H1053" s="972"/>
      <c r="I1053" s="972"/>
      <c r="J1053" s="972"/>
      <c r="K1053" s="972"/>
      <c r="L1053" s="1041"/>
      <c r="M1053" s="1041"/>
      <c r="N1053" s="1041"/>
      <c r="O1053" s="975"/>
    </row>
    <row r="1054" spans="1:15">
      <c r="A1054" s="972"/>
      <c r="B1054" s="972"/>
      <c r="C1054" s="972"/>
      <c r="D1054" s="972"/>
      <c r="E1054" s="972"/>
      <c r="F1054" s="972"/>
      <c r="G1054" s="972"/>
      <c r="H1054" s="972"/>
      <c r="I1054" s="972"/>
      <c r="J1054" s="972"/>
      <c r="K1054" s="972"/>
      <c r="L1054" s="1041"/>
      <c r="M1054" s="1041"/>
      <c r="N1054" s="1041"/>
      <c r="O1054" s="975"/>
    </row>
    <row r="1055" spans="1:15">
      <c r="A1055" s="972"/>
      <c r="B1055" s="972"/>
      <c r="C1055" s="972"/>
      <c r="D1055" s="972"/>
      <c r="E1055" s="972"/>
      <c r="F1055" s="972"/>
      <c r="G1055" s="972"/>
      <c r="H1055" s="972"/>
      <c r="I1055" s="972"/>
      <c r="J1055" s="972"/>
      <c r="K1055" s="972"/>
      <c r="L1055" s="1041"/>
      <c r="M1055" s="1041"/>
      <c r="N1055" s="1041"/>
      <c r="O1055" s="975"/>
    </row>
    <row r="1056" spans="1:15">
      <c r="A1056" s="972"/>
      <c r="B1056" s="972"/>
      <c r="C1056" s="972"/>
      <c r="D1056" s="972"/>
      <c r="E1056" s="972"/>
      <c r="F1056" s="972"/>
      <c r="G1056" s="972"/>
      <c r="H1056" s="972"/>
      <c r="I1056" s="972"/>
      <c r="J1056" s="972"/>
      <c r="K1056" s="972"/>
      <c r="L1056" s="1041"/>
      <c r="M1056" s="1041"/>
      <c r="N1056" s="1041"/>
      <c r="O1056" s="975"/>
    </row>
    <row r="1057" spans="1:15">
      <c r="A1057" s="972"/>
      <c r="B1057" s="972"/>
      <c r="C1057" s="972"/>
      <c r="D1057" s="972"/>
      <c r="E1057" s="972"/>
      <c r="F1057" s="972"/>
      <c r="G1057" s="972"/>
      <c r="H1057" s="972"/>
      <c r="I1057" s="972"/>
      <c r="J1057" s="972"/>
      <c r="K1057" s="972"/>
      <c r="L1057" s="1041"/>
      <c r="M1057" s="1041"/>
      <c r="N1057" s="1041"/>
      <c r="O1057" s="975"/>
    </row>
    <row r="1058" spans="1:15">
      <c r="A1058" s="972"/>
      <c r="B1058" s="972"/>
      <c r="C1058" s="972"/>
      <c r="D1058" s="972"/>
      <c r="E1058" s="972"/>
      <c r="F1058" s="972"/>
      <c r="G1058" s="972"/>
      <c r="H1058" s="972"/>
      <c r="I1058" s="972"/>
      <c r="J1058" s="972"/>
      <c r="K1058" s="972"/>
      <c r="L1058" s="1041"/>
      <c r="M1058" s="1041"/>
      <c r="N1058" s="1041"/>
      <c r="O1058" s="975"/>
    </row>
    <row r="1059" spans="1:15">
      <c r="A1059" s="972"/>
      <c r="B1059" s="972"/>
      <c r="C1059" s="972"/>
      <c r="D1059" s="972"/>
      <c r="E1059" s="972"/>
      <c r="F1059" s="972"/>
      <c r="G1059" s="972"/>
      <c r="H1059" s="972"/>
      <c r="I1059" s="972"/>
      <c r="J1059" s="972"/>
      <c r="K1059" s="972"/>
      <c r="L1059" s="1041"/>
      <c r="M1059" s="1041"/>
      <c r="N1059" s="1041"/>
      <c r="O1059" s="975"/>
    </row>
    <row r="1060" spans="1:15">
      <c r="A1060" s="972"/>
      <c r="B1060" s="972"/>
      <c r="C1060" s="972"/>
      <c r="D1060" s="972"/>
      <c r="E1060" s="972"/>
      <c r="F1060" s="972"/>
      <c r="G1060" s="972"/>
      <c r="H1060" s="972"/>
      <c r="I1060" s="972"/>
      <c r="J1060" s="972"/>
      <c r="K1060" s="972"/>
      <c r="L1060" s="1041"/>
      <c r="M1060" s="1041"/>
      <c r="N1060" s="1041"/>
      <c r="O1060" s="975"/>
    </row>
    <row r="1061" spans="1:15">
      <c r="A1061" s="972"/>
      <c r="B1061" s="972"/>
      <c r="C1061" s="972"/>
      <c r="D1061" s="972"/>
      <c r="E1061" s="972"/>
      <c r="F1061" s="972"/>
      <c r="G1061" s="972"/>
      <c r="H1061" s="972"/>
      <c r="I1061" s="972"/>
      <c r="J1061" s="972"/>
      <c r="K1061" s="972"/>
      <c r="L1061" s="1041"/>
      <c r="M1061" s="1041"/>
      <c r="N1061" s="1041"/>
      <c r="O1061" s="975"/>
    </row>
    <row r="1062" spans="1:15">
      <c r="A1062" s="972"/>
      <c r="B1062" s="972"/>
      <c r="C1062" s="972"/>
      <c r="D1062" s="972"/>
      <c r="E1062" s="972"/>
      <c r="F1062" s="972"/>
      <c r="G1062" s="972"/>
      <c r="H1062" s="972"/>
      <c r="I1062" s="972"/>
      <c r="J1062" s="972"/>
      <c r="K1062" s="972"/>
      <c r="L1062" s="1041"/>
      <c r="M1062" s="1041"/>
      <c r="N1062" s="1041"/>
      <c r="O1062" s="975"/>
    </row>
    <row r="1063" spans="1:15">
      <c r="A1063" s="972"/>
      <c r="B1063" s="972"/>
      <c r="C1063" s="972"/>
      <c r="D1063" s="972"/>
      <c r="E1063" s="972"/>
      <c r="F1063" s="972"/>
      <c r="G1063" s="972"/>
      <c r="H1063" s="972"/>
      <c r="I1063" s="972"/>
      <c r="J1063" s="972"/>
      <c r="K1063" s="972"/>
      <c r="L1063" s="1041"/>
      <c r="M1063" s="1041"/>
      <c r="N1063" s="1041"/>
      <c r="O1063" s="975"/>
    </row>
    <row r="1064" spans="1:15">
      <c r="A1064" s="972"/>
      <c r="B1064" s="972"/>
      <c r="C1064" s="972"/>
      <c r="D1064" s="972"/>
      <c r="E1064" s="972"/>
      <c r="F1064" s="972"/>
      <c r="G1064" s="972"/>
      <c r="H1064" s="972"/>
      <c r="I1064" s="972"/>
      <c r="J1064" s="972"/>
      <c r="K1064" s="972"/>
      <c r="L1064" s="1041"/>
      <c r="M1064" s="1041"/>
      <c r="N1064" s="1041"/>
      <c r="O1064" s="975"/>
    </row>
    <row r="1065" spans="1:15">
      <c r="A1065" s="972"/>
      <c r="B1065" s="972"/>
      <c r="C1065" s="972"/>
      <c r="D1065" s="972"/>
      <c r="E1065" s="972"/>
      <c r="F1065" s="972"/>
      <c r="G1065" s="972"/>
      <c r="H1065" s="972"/>
      <c r="I1065" s="972"/>
      <c r="J1065" s="972"/>
      <c r="K1065" s="972"/>
      <c r="L1065" s="1041"/>
      <c r="M1065" s="1041"/>
      <c r="N1065" s="1041"/>
      <c r="O1065" s="975"/>
    </row>
    <row r="1066" spans="1:15">
      <c r="A1066" s="972"/>
      <c r="B1066" s="972"/>
      <c r="C1066" s="972"/>
      <c r="D1066" s="972"/>
      <c r="E1066" s="972"/>
      <c r="F1066" s="972"/>
      <c r="G1066" s="972"/>
      <c r="H1066" s="972"/>
      <c r="I1066" s="972"/>
      <c r="J1066" s="972"/>
      <c r="K1066" s="972"/>
      <c r="L1066" s="1041"/>
      <c r="M1066" s="1041"/>
      <c r="N1066" s="1041"/>
      <c r="O1066" s="975"/>
    </row>
    <row r="1067" spans="1:15">
      <c r="A1067" s="972"/>
      <c r="B1067" s="972"/>
      <c r="C1067" s="972"/>
      <c r="D1067" s="972"/>
      <c r="E1067" s="972"/>
      <c r="F1067" s="972"/>
      <c r="G1067" s="972"/>
      <c r="H1067" s="972"/>
      <c r="I1067" s="972"/>
      <c r="J1067" s="972"/>
      <c r="K1067" s="972"/>
      <c r="L1067" s="1041"/>
      <c r="M1067" s="1041"/>
      <c r="N1067" s="1041"/>
      <c r="O1067" s="975"/>
    </row>
    <row r="1068" spans="1:15">
      <c r="A1068" s="972"/>
      <c r="B1068" s="972"/>
      <c r="C1068" s="972"/>
      <c r="D1068" s="972"/>
      <c r="E1068" s="972"/>
      <c r="F1068" s="972"/>
      <c r="G1068" s="972"/>
      <c r="H1068" s="972"/>
      <c r="I1068" s="972"/>
      <c r="J1068" s="972"/>
      <c r="K1068" s="972"/>
      <c r="L1068" s="1041"/>
      <c r="M1068" s="1041"/>
      <c r="N1068" s="1041"/>
      <c r="O1068" s="975"/>
    </row>
    <row r="1069" spans="1:15">
      <c r="A1069" s="972"/>
      <c r="B1069" s="972"/>
      <c r="C1069" s="972"/>
      <c r="D1069" s="972"/>
      <c r="E1069" s="972"/>
      <c r="F1069" s="972"/>
      <c r="G1069" s="972"/>
      <c r="H1069" s="972"/>
      <c r="I1069" s="972"/>
      <c r="J1069" s="972"/>
      <c r="K1069" s="972"/>
      <c r="L1069" s="1041"/>
      <c r="M1069" s="1041"/>
      <c r="N1069" s="1041"/>
      <c r="O1069" s="975"/>
    </row>
    <row r="1070" spans="1:15">
      <c r="A1070" s="972"/>
      <c r="B1070" s="972"/>
      <c r="C1070" s="972"/>
      <c r="D1070" s="972"/>
      <c r="E1070" s="972"/>
      <c r="F1070" s="972"/>
      <c r="G1070" s="972"/>
      <c r="H1070" s="972"/>
      <c r="I1070" s="972"/>
      <c r="J1070" s="972"/>
      <c r="K1070" s="972"/>
      <c r="L1070" s="1041"/>
      <c r="M1070" s="1041"/>
      <c r="N1070" s="1041"/>
      <c r="O1070" s="975"/>
    </row>
    <row r="1071" spans="1:15">
      <c r="A1071" s="972"/>
      <c r="B1071" s="972"/>
      <c r="C1071" s="972"/>
      <c r="D1071" s="972"/>
      <c r="E1071" s="972"/>
      <c r="F1071" s="972"/>
      <c r="G1071" s="972"/>
      <c r="H1071" s="972"/>
      <c r="I1071" s="972"/>
      <c r="J1071" s="972"/>
      <c r="K1071" s="972"/>
      <c r="L1071" s="1041"/>
      <c r="M1071" s="1041"/>
      <c r="N1071" s="1041"/>
      <c r="O1071" s="975"/>
    </row>
    <row r="1072" spans="1:15">
      <c r="A1072" s="972"/>
      <c r="B1072" s="972"/>
      <c r="C1072" s="972"/>
      <c r="D1072" s="972"/>
      <c r="E1072" s="972"/>
      <c r="F1072" s="972"/>
      <c r="G1072" s="972"/>
      <c r="H1072" s="972"/>
      <c r="I1072" s="972"/>
      <c r="J1072" s="972"/>
      <c r="K1072" s="972"/>
      <c r="L1072" s="1041"/>
      <c r="M1072" s="1041"/>
      <c r="N1072" s="1041"/>
      <c r="O1072" s="975"/>
    </row>
    <row r="1073" spans="1:15">
      <c r="A1073" s="972"/>
      <c r="B1073" s="972"/>
      <c r="C1073" s="972"/>
      <c r="D1073" s="972"/>
      <c r="E1073" s="972"/>
      <c r="F1073" s="972"/>
      <c r="G1073" s="972"/>
      <c r="H1073" s="972"/>
      <c r="I1073" s="972"/>
      <c r="J1073" s="972"/>
      <c r="K1073" s="972"/>
      <c r="L1073" s="1041"/>
      <c r="M1073" s="1041"/>
      <c r="N1073" s="1041"/>
      <c r="O1073" s="975"/>
    </row>
    <row r="1074" spans="1:15">
      <c r="A1074" s="972"/>
      <c r="B1074" s="972"/>
      <c r="C1074" s="972"/>
      <c r="D1074" s="972"/>
      <c r="E1074" s="972"/>
      <c r="F1074" s="972"/>
      <c r="G1074" s="972"/>
      <c r="H1074" s="972"/>
      <c r="I1074" s="972"/>
      <c r="J1074" s="972"/>
      <c r="K1074" s="972"/>
      <c r="L1074" s="1041"/>
      <c r="M1074" s="1041"/>
      <c r="N1074" s="1041"/>
      <c r="O1074" s="975"/>
    </row>
    <row r="1075" spans="1:15">
      <c r="A1075" s="972"/>
      <c r="B1075" s="972"/>
      <c r="C1075" s="972"/>
      <c r="D1075" s="972"/>
      <c r="E1075" s="972"/>
      <c r="F1075" s="972"/>
      <c r="G1075" s="972"/>
      <c r="H1075" s="972"/>
      <c r="I1075" s="972"/>
      <c r="J1075" s="972"/>
      <c r="K1075" s="972"/>
      <c r="L1075" s="1041"/>
      <c r="M1075" s="1041"/>
      <c r="N1075" s="1041"/>
      <c r="O1075" s="975"/>
    </row>
    <row r="1076" spans="1:15">
      <c r="A1076" s="972"/>
      <c r="B1076" s="972"/>
      <c r="C1076" s="972"/>
      <c r="D1076" s="972"/>
      <c r="E1076" s="972"/>
      <c r="F1076" s="972"/>
      <c r="G1076" s="972"/>
      <c r="H1076" s="972"/>
      <c r="I1076" s="972"/>
      <c r="J1076" s="972"/>
      <c r="K1076" s="972"/>
      <c r="L1076" s="1041"/>
      <c r="M1076" s="1041"/>
      <c r="N1076" s="1041"/>
      <c r="O1076" s="975"/>
    </row>
    <row r="1077" spans="1:15">
      <c r="A1077" s="972"/>
      <c r="B1077" s="972"/>
      <c r="C1077" s="972"/>
      <c r="D1077" s="972"/>
      <c r="E1077" s="972"/>
      <c r="F1077" s="972"/>
      <c r="G1077" s="972"/>
      <c r="H1077" s="972"/>
      <c r="I1077" s="972"/>
      <c r="J1077" s="972"/>
      <c r="K1077" s="972"/>
      <c r="L1077" s="1041"/>
      <c r="M1077" s="1041"/>
      <c r="N1077" s="1041"/>
      <c r="O1077" s="975"/>
    </row>
    <row r="1078" spans="1:15">
      <c r="A1078" s="972"/>
      <c r="B1078" s="972"/>
      <c r="C1078" s="972"/>
      <c r="D1078" s="972"/>
      <c r="E1078" s="972"/>
      <c r="F1078" s="972"/>
      <c r="G1078" s="972"/>
      <c r="H1078" s="972"/>
      <c r="I1078" s="972"/>
      <c r="J1078" s="972"/>
      <c r="K1078" s="972"/>
      <c r="L1078" s="1041"/>
      <c r="M1078" s="1041"/>
      <c r="N1078" s="1041"/>
      <c r="O1078" s="975"/>
    </row>
    <row r="1079" spans="1:15">
      <c r="A1079" s="972"/>
      <c r="B1079" s="972"/>
      <c r="C1079" s="972"/>
      <c r="D1079" s="972"/>
      <c r="E1079" s="972"/>
      <c r="F1079" s="972"/>
      <c r="G1079" s="972"/>
      <c r="H1079" s="972"/>
      <c r="I1079" s="972"/>
      <c r="J1079" s="972"/>
      <c r="K1079" s="972"/>
      <c r="L1079" s="1041"/>
      <c r="M1079" s="1041"/>
      <c r="N1079" s="1041"/>
      <c r="O1079" s="975"/>
    </row>
    <row r="1080" spans="1:15">
      <c r="A1080" s="972"/>
      <c r="B1080" s="972"/>
      <c r="C1080" s="972"/>
      <c r="D1080" s="972"/>
      <c r="E1080" s="972"/>
      <c r="F1080" s="972"/>
      <c r="G1080" s="972"/>
      <c r="H1080" s="972"/>
      <c r="I1080" s="972"/>
      <c r="J1080" s="972"/>
      <c r="K1080" s="972"/>
      <c r="L1080" s="1041"/>
      <c r="M1080" s="1041"/>
      <c r="N1080" s="1041"/>
      <c r="O1080" s="975"/>
    </row>
    <row r="1081" spans="1:15">
      <c r="A1081" s="972"/>
      <c r="B1081" s="972"/>
      <c r="C1081" s="972"/>
      <c r="D1081" s="972"/>
      <c r="E1081" s="972"/>
      <c r="F1081" s="972"/>
      <c r="G1081" s="972"/>
      <c r="H1081" s="972"/>
      <c r="I1081" s="972"/>
      <c r="J1081" s="972"/>
      <c r="K1081" s="972"/>
      <c r="L1081" s="1041"/>
      <c r="M1081" s="1041"/>
      <c r="N1081" s="1041"/>
      <c r="O1081" s="975"/>
    </row>
    <row r="1082" spans="1:15">
      <c r="A1082" s="972"/>
      <c r="B1082" s="972"/>
      <c r="C1082" s="972"/>
      <c r="D1082" s="972"/>
      <c r="E1082" s="972"/>
      <c r="F1082" s="972"/>
      <c r="G1082" s="972"/>
      <c r="H1082" s="972"/>
      <c r="I1082" s="972"/>
      <c r="J1082" s="972"/>
      <c r="K1082" s="972"/>
      <c r="L1082" s="1041"/>
      <c r="M1082" s="1041"/>
      <c r="N1082" s="1041"/>
      <c r="O1082" s="975"/>
    </row>
    <row r="1083" spans="1:15">
      <c r="A1083" s="972"/>
      <c r="B1083" s="972"/>
      <c r="C1083" s="972"/>
      <c r="D1083" s="972"/>
      <c r="E1083" s="972"/>
      <c r="F1083" s="972"/>
      <c r="G1083" s="972"/>
      <c r="H1083" s="972"/>
      <c r="I1083" s="972"/>
      <c r="J1083" s="972"/>
      <c r="K1083" s="972"/>
      <c r="L1083" s="1041"/>
      <c r="M1083" s="1041"/>
      <c r="N1083" s="1041"/>
      <c r="O1083" s="975"/>
    </row>
    <row r="1084" spans="1:15">
      <c r="A1084" s="972"/>
      <c r="B1084" s="972"/>
      <c r="C1084" s="972"/>
      <c r="D1084" s="972"/>
      <c r="E1084" s="972"/>
      <c r="F1084" s="972"/>
      <c r="G1084" s="972"/>
      <c r="H1084" s="972"/>
      <c r="I1084" s="972"/>
      <c r="J1084" s="972"/>
      <c r="K1084" s="972"/>
      <c r="L1084" s="1041"/>
      <c r="M1084" s="1041"/>
      <c r="N1084" s="1041"/>
      <c r="O1084" s="975"/>
    </row>
    <row r="1085" spans="1:15">
      <c r="A1085" s="972"/>
      <c r="B1085" s="972"/>
      <c r="C1085" s="972"/>
      <c r="D1085" s="972"/>
      <c r="E1085" s="972"/>
      <c r="F1085" s="972"/>
      <c r="G1085" s="972"/>
      <c r="H1085" s="972"/>
      <c r="I1085" s="972"/>
      <c r="J1085" s="972"/>
      <c r="K1085" s="972"/>
      <c r="L1085" s="1041"/>
      <c r="M1085" s="1041"/>
      <c r="N1085" s="1041"/>
      <c r="O1085" s="975"/>
    </row>
    <row r="1086" spans="1:15">
      <c r="A1086" s="972"/>
      <c r="B1086" s="972"/>
      <c r="C1086" s="972"/>
      <c r="D1086" s="972"/>
      <c r="E1086" s="972"/>
      <c r="F1086" s="972"/>
      <c r="G1086" s="972"/>
      <c r="H1086" s="972"/>
      <c r="I1086" s="972"/>
      <c r="J1086" s="972"/>
      <c r="K1086" s="972"/>
      <c r="L1086" s="1041"/>
      <c r="M1086" s="1041"/>
      <c r="N1086" s="1041"/>
      <c r="O1086" s="975"/>
    </row>
    <row r="1087" spans="1:15">
      <c r="A1087" s="972"/>
      <c r="B1087" s="972"/>
      <c r="C1087" s="972"/>
      <c r="D1087" s="972"/>
      <c r="E1087" s="972"/>
      <c r="F1087" s="972"/>
      <c r="G1087" s="972"/>
      <c r="H1087" s="972"/>
      <c r="I1087" s="972"/>
      <c r="J1087" s="972"/>
      <c r="K1087" s="972"/>
      <c r="L1087" s="1041"/>
      <c r="M1087" s="1041"/>
      <c r="N1087" s="1041"/>
      <c r="O1087" s="975"/>
    </row>
    <row r="1088" spans="1:15">
      <c r="A1088" s="972"/>
      <c r="B1088" s="972"/>
      <c r="C1088" s="972"/>
      <c r="D1088" s="972"/>
      <c r="E1088" s="972"/>
      <c r="F1088" s="972"/>
      <c r="G1088" s="972"/>
      <c r="H1088" s="972"/>
      <c r="I1088" s="972"/>
      <c r="J1088" s="972"/>
      <c r="K1088" s="972"/>
      <c r="L1088" s="1041"/>
      <c r="M1088" s="1041"/>
      <c r="N1088" s="1041"/>
      <c r="O1088" s="975"/>
    </row>
    <row r="1089" spans="1:15">
      <c r="A1089" s="972"/>
      <c r="B1089" s="972"/>
      <c r="C1089" s="972"/>
      <c r="D1089" s="972"/>
      <c r="E1089" s="972"/>
      <c r="F1089" s="972"/>
      <c r="G1089" s="972"/>
      <c r="H1089" s="972"/>
      <c r="I1089" s="972"/>
      <c r="J1089" s="972"/>
      <c r="K1089" s="972"/>
      <c r="L1089" s="1041"/>
      <c r="M1089" s="1041"/>
      <c r="N1089" s="1041"/>
      <c r="O1089" s="975"/>
    </row>
    <row r="1090" spans="1:15">
      <c r="A1090" s="972"/>
      <c r="B1090" s="972"/>
      <c r="C1090" s="972"/>
      <c r="D1090" s="972"/>
      <c r="E1090" s="972"/>
      <c r="F1090" s="972"/>
      <c r="G1090" s="972"/>
      <c r="H1090" s="972"/>
      <c r="I1090" s="972"/>
      <c r="J1090" s="972"/>
      <c r="K1090" s="972"/>
      <c r="L1090" s="1041"/>
      <c r="M1090" s="1041"/>
      <c r="N1090" s="1041"/>
      <c r="O1090" s="975"/>
    </row>
    <row r="1091" spans="1:15">
      <c r="A1091" s="972"/>
      <c r="B1091" s="972"/>
      <c r="C1091" s="972"/>
      <c r="D1091" s="972"/>
      <c r="E1091" s="972"/>
      <c r="F1091" s="972"/>
      <c r="G1091" s="972"/>
      <c r="H1091" s="972"/>
      <c r="I1091" s="972"/>
      <c r="J1091" s="972"/>
      <c r="K1091" s="972"/>
      <c r="L1091" s="1041"/>
      <c r="M1091" s="1041"/>
      <c r="N1091" s="1041"/>
      <c r="O1091" s="975"/>
    </row>
    <row r="1092" spans="1:15">
      <c r="A1092" s="972"/>
      <c r="B1092" s="972"/>
      <c r="C1092" s="972"/>
      <c r="D1092" s="972"/>
      <c r="E1092" s="972"/>
      <c r="F1092" s="972"/>
      <c r="G1092" s="972"/>
      <c r="H1092" s="972"/>
      <c r="I1092" s="972"/>
      <c r="J1092" s="972"/>
      <c r="K1092" s="972"/>
      <c r="L1092" s="1041"/>
      <c r="M1092" s="1041"/>
      <c r="N1092" s="1041"/>
      <c r="O1092" s="975"/>
    </row>
    <row r="1093" spans="1:15">
      <c r="A1093" s="972"/>
      <c r="B1093" s="972"/>
      <c r="C1093" s="972"/>
      <c r="D1093" s="972"/>
      <c r="E1093" s="972"/>
      <c r="F1093" s="972"/>
      <c r="G1093" s="972"/>
      <c r="H1093" s="972"/>
      <c r="I1093" s="972"/>
      <c r="J1093" s="972"/>
      <c r="K1093" s="972"/>
      <c r="L1093" s="1041"/>
      <c r="M1093" s="1041"/>
      <c r="N1093" s="1041"/>
      <c r="O1093" s="975"/>
    </row>
    <row r="1094" spans="1:15">
      <c r="A1094" s="972"/>
      <c r="B1094" s="972"/>
      <c r="C1094" s="972"/>
      <c r="D1094" s="972"/>
      <c r="E1094" s="972"/>
      <c r="F1094" s="972"/>
      <c r="G1094" s="972"/>
      <c r="H1094" s="972"/>
      <c r="I1094" s="972"/>
      <c r="J1094" s="972"/>
      <c r="K1094" s="972"/>
      <c r="L1094" s="1041"/>
      <c r="M1094" s="1041"/>
      <c r="N1094" s="1041"/>
      <c r="O1094" s="975"/>
    </row>
    <row r="1095" spans="1:15">
      <c r="A1095" s="972"/>
      <c r="B1095" s="972"/>
      <c r="C1095" s="972"/>
      <c r="D1095" s="972"/>
      <c r="E1095" s="972"/>
      <c r="F1095" s="972"/>
      <c r="G1095" s="972"/>
      <c r="H1095" s="972"/>
      <c r="I1095" s="972"/>
      <c r="J1095" s="972"/>
      <c r="K1095" s="972"/>
      <c r="L1095" s="1041"/>
      <c r="M1095" s="1041"/>
      <c r="N1095" s="1041"/>
      <c r="O1095" s="975"/>
    </row>
    <row r="1096" spans="1:15">
      <c r="A1096" s="972"/>
      <c r="B1096" s="972"/>
      <c r="C1096" s="972"/>
      <c r="D1096" s="972"/>
      <c r="E1096" s="972"/>
      <c r="F1096" s="972"/>
      <c r="G1096" s="972"/>
      <c r="H1096" s="972"/>
      <c r="I1096" s="972"/>
      <c r="J1096" s="972"/>
      <c r="K1096" s="972"/>
      <c r="L1096" s="1041"/>
      <c r="M1096" s="1041"/>
      <c r="N1096" s="1041"/>
      <c r="O1096" s="975"/>
    </row>
    <row r="1097" spans="1:15">
      <c r="A1097" s="972"/>
      <c r="B1097" s="972"/>
      <c r="C1097" s="972"/>
      <c r="D1097" s="972"/>
      <c r="E1097" s="972"/>
      <c r="F1097" s="972"/>
      <c r="G1097" s="972"/>
      <c r="H1097" s="972"/>
      <c r="I1097" s="972"/>
      <c r="J1097" s="972"/>
      <c r="K1097" s="972"/>
      <c r="L1097" s="1041"/>
      <c r="M1097" s="1041"/>
      <c r="N1097" s="1041"/>
      <c r="O1097" s="975"/>
    </row>
    <row r="1098" spans="1:15">
      <c r="A1098" s="972"/>
      <c r="B1098" s="972"/>
      <c r="C1098" s="972"/>
      <c r="D1098" s="972"/>
      <c r="E1098" s="972"/>
      <c r="F1098" s="972"/>
      <c r="G1098" s="972"/>
      <c r="H1098" s="972"/>
      <c r="I1098" s="972"/>
      <c r="J1098" s="972"/>
      <c r="K1098" s="972"/>
      <c r="L1098" s="1041"/>
      <c r="M1098" s="1041"/>
      <c r="N1098" s="1041"/>
      <c r="O1098" s="975"/>
    </row>
    <row r="1099" spans="1:15">
      <c r="A1099" s="972"/>
      <c r="B1099" s="972"/>
      <c r="C1099" s="972"/>
      <c r="D1099" s="972"/>
      <c r="E1099" s="972"/>
      <c r="F1099" s="972"/>
      <c r="G1099" s="972"/>
      <c r="H1099" s="972"/>
      <c r="I1099" s="972"/>
      <c r="J1099" s="972"/>
      <c r="K1099" s="972"/>
      <c r="L1099" s="1041"/>
      <c r="M1099" s="1041"/>
      <c r="N1099" s="1041"/>
      <c r="O1099" s="975"/>
    </row>
    <row r="1100" spans="1:15">
      <c r="A1100" s="972"/>
      <c r="B1100" s="972"/>
      <c r="C1100" s="972"/>
      <c r="D1100" s="972"/>
      <c r="E1100" s="972"/>
      <c r="F1100" s="972"/>
      <c r="G1100" s="972"/>
      <c r="H1100" s="972"/>
      <c r="I1100" s="972"/>
      <c r="J1100" s="972"/>
      <c r="K1100" s="972"/>
      <c r="L1100" s="1041"/>
      <c r="M1100" s="1041"/>
      <c r="N1100" s="1041"/>
      <c r="O1100" s="975"/>
    </row>
    <row r="1101" spans="1:15">
      <c r="A1101" s="972"/>
      <c r="B1101" s="972"/>
      <c r="C1101" s="972"/>
      <c r="D1101" s="972"/>
      <c r="E1101" s="972"/>
      <c r="F1101" s="972"/>
      <c r="G1101" s="972"/>
      <c r="H1101" s="972"/>
      <c r="I1101" s="972"/>
      <c r="J1101" s="972"/>
      <c r="K1101" s="972"/>
      <c r="L1101" s="1041"/>
      <c r="M1101" s="1041"/>
      <c r="N1101" s="1041"/>
      <c r="O1101" s="975"/>
    </row>
    <row r="1102" spans="1:15">
      <c r="A1102" s="972"/>
      <c r="B1102" s="972"/>
      <c r="C1102" s="972"/>
      <c r="D1102" s="972"/>
      <c r="E1102" s="972"/>
      <c r="F1102" s="972"/>
      <c r="G1102" s="972"/>
      <c r="H1102" s="972"/>
      <c r="I1102" s="972"/>
      <c r="J1102" s="972"/>
      <c r="K1102" s="972"/>
      <c r="L1102" s="1041"/>
      <c r="M1102" s="1041"/>
      <c r="N1102" s="1041"/>
      <c r="O1102" s="975"/>
    </row>
    <row r="1103" spans="1:15">
      <c r="A1103" s="972"/>
      <c r="B1103" s="972"/>
      <c r="C1103" s="972"/>
      <c r="D1103" s="972"/>
      <c r="E1103" s="972"/>
      <c r="F1103" s="972"/>
      <c r="G1103" s="972"/>
      <c r="H1103" s="972"/>
      <c r="I1103" s="972"/>
      <c r="J1103" s="972"/>
      <c r="K1103" s="972"/>
      <c r="L1103" s="1041"/>
      <c r="M1103" s="1041"/>
      <c r="N1103" s="1041"/>
      <c r="O1103" s="975"/>
    </row>
    <row r="1104" spans="1:15">
      <c r="A1104" s="972"/>
      <c r="B1104" s="972"/>
      <c r="C1104" s="972"/>
      <c r="D1104" s="972"/>
      <c r="E1104" s="972"/>
      <c r="F1104" s="972"/>
      <c r="G1104" s="972"/>
      <c r="H1104" s="972"/>
      <c r="I1104" s="972"/>
      <c r="J1104" s="972"/>
      <c r="K1104" s="972"/>
      <c r="L1104" s="1041"/>
      <c r="M1104" s="1041"/>
      <c r="N1104" s="1041"/>
      <c r="O1104" s="975"/>
    </row>
    <row r="1105" spans="1:15">
      <c r="A1105" s="972"/>
      <c r="B1105" s="972"/>
      <c r="C1105" s="972"/>
      <c r="D1105" s="972"/>
      <c r="E1105" s="972"/>
      <c r="F1105" s="972"/>
      <c r="G1105" s="972"/>
      <c r="H1105" s="972"/>
      <c r="I1105" s="972"/>
      <c r="J1105" s="972"/>
      <c r="K1105" s="972"/>
      <c r="L1105" s="1041"/>
      <c r="M1105" s="1041"/>
      <c r="N1105" s="1041"/>
      <c r="O1105" s="975"/>
    </row>
    <row r="1106" spans="1:15">
      <c r="A1106" s="972"/>
      <c r="B1106" s="972"/>
      <c r="C1106" s="972"/>
      <c r="D1106" s="972"/>
      <c r="E1106" s="972"/>
      <c r="F1106" s="972"/>
      <c r="G1106" s="972"/>
      <c r="H1106" s="972"/>
      <c r="I1106" s="972"/>
      <c r="J1106" s="972"/>
      <c r="K1106" s="972"/>
      <c r="L1106" s="1041"/>
      <c r="M1106" s="1041"/>
      <c r="N1106" s="1041"/>
      <c r="O1106" s="975"/>
    </row>
    <row r="1107" spans="1:15">
      <c r="A1107" s="972"/>
      <c r="B1107" s="972"/>
      <c r="C1107" s="972"/>
      <c r="D1107" s="972"/>
      <c r="E1107" s="972"/>
      <c r="F1107" s="972"/>
      <c r="G1107" s="972"/>
      <c r="H1107" s="972"/>
      <c r="I1107" s="972"/>
      <c r="J1107" s="972"/>
      <c r="K1107" s="972"/>
      <c r="L1107" s="1041"/>
      <c r="M1107" s="1041"/>
      <c r="N1107" s="1041"/>
      <c r="O1107" s="975"/>
    </row>
    <row r="1108" spans="1:15">
      <c r="A1108" s="972"/>
      <c r="B1108" s="972"/>
      <c r="C1108" s="972"/>
      <c r="D1108" s="972"/>
      <c r="E1108" s="972"/>
      <c r="F1108" s="972"/>
      <c r="G1108" s="972"/>
      <c r="H1108" s="972"/>
      <c r="I1108" s="972"/>
      <c r="J1108" s="972"/>
      <c r="K1108" s="972"/>
      <c r="L1108" s="1041"/>
      <c r="M1108" s="1041"/>
      <c r="N1108" s="1041"/>
      <c r="O1108" s="975"/>
    </row>
    <row r="1109" spans="1:15">
      <c r="A1109" s="972"/>
      <c r="B1109" s="972"/>
      <c r="C1109" s="972"/>
      <c r="D1109" s="972"/>
      <c r="E1109" s="972"/>
      <c r="F1109" s="972"/>
      <c r="G1109" s="972"/>
      <c r="H1109" s="972"/>
      <c r="I1109" s="972"/>
      <c r="J1109" s="972"/>
      <c r="K1109" s="972"/>
      <c r="L1109" s="1041"/>
      <c r="M1109" s="1041"/>
      <c r="N1109" s="1041"/>
      <c r="O1109" s="975"/>
    </row>
    <row r="1110" spans="1:15">
      <c r="A1110" s="972"/>
      <c r="B1110" s="972"/>
      <c r="C1110" s="972"/>
      <c r="D1110" s="972"/>
      <c r="E1110" s="972"/>
      <c r="F1110" s="972"/>
      <c r="G1110" s="972"/>
      <c r="H1110" s="972"/>
      <c r="I1110" s="972"/>
      <c r="J1110" s="972"/>
      <c r="K1110" s="972"/>
      <c r="L1110" s="1041"/>
      <c r="M1110" s="1041"/>
      <c r="N1110" s="1041"/>
      <c r="O1110" s="975"/>
    </row>
    <row r="1111" spans="1:15">
      <c r="A1111" s="972"/>
      <c r="B1111" s="972"/>
      <c r="C1111" s="972"/>
      <c r="D1111" s="972"/>
      <c r="E1111" s="972"/>
      <c r="F1111" s="972"/>
      <c r="G1111" s="972"/>
      <c r="H1111" s="972"/>
      <c r="I1111" s="972"/>
      <c r="J1111" s="972"/>
      <c r="K1111" s="972"/>
      <c r="L1111" s="1041"/>
      <c r="M1111" s="1041"/>
      <c r="N1111" s="1041"/>
      <c r="O1111" s="975"/>
    </row>
    <row r="1112" spans="1:15">
      <c r="A1112" s="972"/>
      <c r="B1112" s="972"/>
      <c r="C1112" s="972"/>
      <c r="D1112" s="972"/>
      <c r="E1112" s="972"/>
      <c r="F1112" s="972"/>
      <c r="G1112" s="972"/>
      <c r="H1112" s="972"/>
      <c r="I1112" s="972"/>
      <c r="J1112" s="972"/>
      <c r="K1112" s="972"/>
      <c r="L1112" s="1041"/>
      <c r="M1112" s="1041"/>
      <c r="N1112" s="1041"/>
      <c r="O1112" s="975"/>
    </row>
    <row r="1113" spans="1:15">
      <c r="A1113" s="972"/>
      <c r="B1113" s="972"/>
      <c r="C1113" s="972"/>
      <c r="D1113" s="972"/>
      <c r="E1113" s="972"/>
      <c r="F1113" s="972"/>
      <c r="G1113" s="972"/>
      <c r="H1113" s="972"/>
      <c r="I1113" s="972"/>
      <c r="J1113" s="972"/>
      <c r="K1113" s="972"/>
      <c r="L1113" s="1041"/>
      <c r="M1113" s="1041"/>
      <c r="N1113" s="1041"/>
      <c r="O1113" s="975"/>
    </row>
    <row r="1114" spans="1:15">
      <c r="A1114" s="972"/>
      <c r="B1114" s="972"/>
      <c r="C1114" s="972"/>
      <c r="D1114" s="972"/>
      <c r="E1114" s="972"/>
      <c r="F1114" s="972"/>
      <c r="G1114" s="972"/>
      <c r="H1114" s="972"/>
      <c r="I1114" s="972"/>
      <c r="J1114" s="972"/>
      <c r="K1114" s="972"/>
      <c r="L1114" s="1041"/>
      <c r="M1114" s="1041"/>
      <c r="N1114" s="1041"/>
      <c r="O1114" s="975"/>
    </row>
    <row r="1115" spans="1:15">
      <c r="A1115" s="972"/>
      <c r="B1115" s="972"/>
      <c r="C1115" s="972"/>
      <c r="D1115" s="972"/>
      <c r="E1115" s="972"/>
      <c r="F1115" s="972"/>
      <c r="G1115" s="972"/>
      <c r="H1115" s="972"/>
      <c r="I1115" s="972"/>
      <c r="J1115" s="972"/>
      <c r="K1115" s="972"/>
      <c r="L1115" s="1041"/>
      <c r="M1115" s="1041"/>
      <c r="N1115" s="1041"/>
      <c r="O1115" s="975"/>
    </row>
    <row r="1116" spans="1:15">
      <c r="A1116" s="972"/>
      <c r="B1116" s="972"/>
      <c r="C1116" s="972"/>
      <c r="D1116" s="972"/>
      <c r="E1116" s="972"/>
      <c r="F1116" s="972"/>
      <c r="G1116" s="972"/>
      <c r="H1116" s="972"/>
      <c r="I1116" s="972"/>
      <c r="J1116" s="972"/>
      <c r="K1116" s="972"/>
      <c r="L1116" s="1041"/>
      <c r="M1116" s="1041"/>
      <c r="N1116" s="1041"/>
      <c r="O1116" s="975"/>
    </row>
    <row r="1117" spans="1:15">
      <c r="A1117" s="972"/>
      <c r="B1117" s="972"/>
      <c r="C1117" s="972"/>
      <c r="D1117" s="972"/>
      <c r="E1117" s="972"/>
      <c r="F1117" s="972"/>
      <c r="G1117" s="972"/>
      <c r="H1117" s="972"/>
      <c r="I1117" s="972"/>
      <c r="J1117" s="972"/>
      <c r="K1117" s="972"/>
      <c r="L1117" s="1041"/>
      <c r="M1117" s="1041"/>
      <c r="N1117" s="1041"/>
      <c r="O1117" s="975"/>
    </row>
    <row r="1118" spans="1:15">
      <c r="A1118" s="972"/>
      <c r="B1118" s="972"/>
      <c r="C1118" s="972"/>
      <c r="D1118" s="972"/>
      <c r="E1118" s="972"/>
      <c r="F1118" s="972"/>
      <c r="G1118" s="972"/>
      <c r="H1118" s="972"/>
      <c r="I1118" s="972"/>
      <c r="J1118" s="972"/>
      <c r="K1118" s="972"/>
      <c r="L1118" s="1041"/>
      <c r="M1118" s="1041"/>
      <c r="N1118" s="1041"/>
      <c r="O1118" s="975"/>
    </row>
    <row r="1119" spans="1:15">
      <c r="A1119" s="972"/>
      <c r="B1119" s="972"/>
      <c r="C1119" s="972"/>
      <c r="D1119" s="972"/>
      <c r="E1119" s="972"/>
      <c r="F1119" s="972"/>
      <c r="G1119" s="972"/>
      <c r="H1119" s="972"/>
      <c r="I1119" s="972"/>
      <c r="J1119" s="972"/>
      <c r="K1119" s="972"/>
      <c r="L1119" s="1041"/>
      <c r="M1119" s="1041"/>
      <c r="N1119" s="1041"/>
      <c r="O1119" s="975"/>
    </row>
    <row r="1120" spans="1:15">
      <c r="A1120" s="972"/>
      <c r="B1120" s="972"/>
      <c r="C1120" s="972"/>
      <c r="D1120" s="972"/>
      <c r="E1120" s="972"/>
      <c r="F1120" s="972"/>
      <c r="G1120" s="972"/>
      <c r="H1120" s="972"/>
      <c r="I1120" s="972"/>
      <c r="J1120" s="972"/>
      <c r="K1120" s="972"/>
      <c r="L1120" s="1041"/>
      <c r="M1120" s="1041"/>
      <c r="N1120" s="1041"/>
      <c r="O1120" s="975"/>
    </row>
    <row r="1121" spans="1:15">
      <c r="A1121" s="972"/>
      <c r="B1121" s="972"/>
      <c r="C1121" s="972"/>
      <c r="D1121" s="972"/>
      <c r="E1121" s="972"/>
      <c r="F1121" s="972"/>
      <c r="G1121" s="972"/>
      <c r="H1121" s="972"/>
      <c r="I1121" s="972"/>
      <c r="J1121" s="972"/>
      <c r="K1121" s="972"/>
      <c r="L1121" s="1041"/>
      <c r="M1121" s="1041"/>
      <c r="N1121" s="1041"/>
      <c r="O1121" s="975"/>
    </row>
    <row r="1122" spans="1:15">
      <c r="A1122" s="972"/>
      <c r="B1122" s="972"/>
      <c r="C1122" s="972"/>
      <c r="D1122" s="972"/>
      <c r="E1122" s="972"/>
      <c r="F1122" s="972"/>
      <c r="G1122" s="972"/>
      <c r="H1122" s="972"/>
      <c r="I1122" s="972"/>
      <c r="J1122" s="972"/>
      <c r="K1122" s="972"/>
      <c r="L1122" s="1041"/>
      <c r="M1122" s="1041"/>
      <c r="N1122" s="1041"/>
      <c r="O1122" s="975"/>
    </row>
    <row r="1123" spans="1:15">
      <c r="A1123" s="972"/>
      <c r="B1123" s="972"/>
      <c r="C1123" s="972"/>
      <c r="D1123" s="972"/>
      <c r="E1123" s="972"/>
      <c r="F1123" s="972"/>
      <c r="G1123" s="972"/>
      <c r="H1123" s="972"/>
      <c r="I1123" s="972"/>
      <c r="J1123" s="972"/>
      <c r="K1123" s="972"/>
      <c r="L1123" s="1041"/>
      <c r="M1123" s="1041"/>
      <c r="N1123" s="1041"/>
      <c r="O1123" s="975"/>
    </row>
    <row r="1124" spans="1:15">
      <c r="A1124" s="972"/>
      <c r="B1124" s="972"/>
      <c r="C1124" s="972"/>
      <c r="D1124" s="972"/>
      <c r="E1124" s="972"/>
      <c r="F1124" s="972"/>
      <c r="G1124" s="972"/>
      <c r="H1124" s="972"/>
      <c r="I1124" s="972"/>
      <c r="J1124" s="972"/>
      <c r="K1124" s="972"/>
      <c r="L1124" s="1041"/>
      <c r="M1124" s="1041"/>
      <c r="N1124" s="1041"/>
      <c r="O1124" s="975"/>
    </row>
    <row r="1125" spans="1:15">
      <c r="A1125" s="972"/>
      <c r="B1125" s="972"/>
      <c r="C1125" s="972"/>
      <c r="D1125" s="972"/>
      <c r="E1125" s="972"/>
      <c r="F1125" s="972"/>
      <c r="G1125" s="972"/>
      <c r="H1125" s="972"/>
      <c r="I1125" s="972"/>
      <c r="J1125" s="972"/>
      <c r="K1125" s="972"/>
      <c r="L1125" s="1041"/>
      <c r="M1125" s="1041"/>
      <c r="N1125" s="1041"/>
      <c r="O1125" s="975"/>
    </row>
    <row r="1126" spans="1:15">
      <c r="A1126" s="972"/>
      <c r="B1126" s="972"/>
      <c r="C1126" s="972"/>
      <c r="D1126" s="972"/>
      <c r="E1126" s="972"/>
      <c r="F1126" s="972"/>
      <c r="G1126" s="972"/>
      <c r="H1126" s="972"/>
      <c r="I1126" s="972"/>
      <c r="J1126" s="972"/>
      <c r="K1126" s="972"/>
      <c r="L1126" s="1041"/>
      <c r="M1126" s="1041"/>
      <c r="N1126" s="1041"/>
      <c r="O1126" s="975"/>
    </row>
    <row r="1127" spans="1:15">
      <c r="A1127" s="972"/>
      <c r="B1127" s="972"/>
      <c r="C1127" s="972"/>
      <c r="D1127" s="972"/>
      <c r="E1127" s="972"/>
      <c r="F1127" s="972"/>
      <c r="G1127" s="972"/>
      <c r="H1127" s="972"/>
      <c r="I1127" s="972"/>
      <c r="J1127" s="972"/>
      <c r="K1127" s="972"/>
      <c r="L1127" s="1041"/>
      <c r="M1127" s="1041"/>
      <c r="N1127" s="1041"/>
      <c r="O1127" s="975"/>
    </row>
    <row r="1128" spans="1:15">
      <c r="A1128" s="972"/>
      <c r="B1128" s="972"/>
      <c r="C1128" s="972"/>
      <c r="D1128" s="972"/>
      <c r="E1128" s="972"/>
      <c r="F1128" s="972"/>
      <c r="G1128" s="972"/>
      <c r="H1128" s="972"/>
      <c r="I1128" s="972"/>
      <c r="J1128" s="972"/>
      <c r="K1128" s="972"/>
      <c r="L1128" s="1041"/>
      <c r="M1128" s="1041"/>
      <c r="N1128" s="1041"/>
      <c r="O1128" s="975"/>
    </row>
    <row r="1129" spans="1:15">
      <c r="A1129" s="972"/>
      <c r="B1129" s="972"/>
      <c r="C1129" s="972"/>
      <c r="D1129" s="972"/>
      <c r="E1129" s="972"/>
      <c r="F1129" s="972"/>
      <c r="G1129" s="972"/>
      <c r="H1129" s="972"/>
      <c r="I1129" s="972"/>
      <c r="J1129" s="972"/>
      <c r="K1129" s="972"/>
      <c r="L1129" s="1041"/>
      <c r="M1129" s="1041"/>
      <c r="N1129" s="1041"/>
      <c r="O1129" s="975"/>
    </row>
    <row r="1130" spans="1:15">
      <c r="A1130" s="972"/>
      <c r="B1130" s="972"/>
      <c r="C1130" s="972"/>
      <c r="D1130" s="972"/>
      <c r="E1130" s="972"/>
      <c r="F1130" s="972"/>
      <c r="G1130" s="972"/>
      <c r="H1130" s="972"/>
      <c r="I1130" s="972"/>
      <c r="J1130" s="972"/>
      <c r="K1130" s="972"/>
      <c r="L1130" s="1041"/>
      <c r="M1130" s="1041"/>
      <c r="N1130" s="1041"/>
      <c r="O1130" s="975"/>
    </row>
    <row r="1131" spans="1:15">
      <c r="A1131" s="972"/>
      <c r="B1131" s="972"/>
      <c r="C1131" s="972"/>
      <c r="D1131" s="972"/>
      <c r="E1131" s="972"/>
      <c r="F1131" s="972"/>
      <c r="G1131" s="972"/>
      <c r="H1131" s="972"/>
      <c r="I1131" s="972"/>
      <c r="J1131" s="972"/>
      <c r="K1131" s="972"/>
      <c r="L1131" s="1041"/>
      <c r="M1131" s="1041"/>
      <c r="N1131" s="1041"/>
      <c r="O1131" s="975"/>
    </row>
    <row r="1132" spans="1:15">
      <c r="A1132" s="972"/>
      <c r="B1132" s="972"/>
      <c r="C1132" s="972"/>
      <c r="D1132" s="972"/>
      <c r="E1132" s="972"/>
      <c r="F1132" s="972"/>
      <c r="G1132" s="972"/>
      <c r="H1132" s="972"/>
      <c r="I1132" s="972"/>
      <c r="J1132" s="972"/>
      <c r="K1132" s="972"/>
      <c r="L1132" s="1041"/>
      <c r="M1132" s="1041"/>
      <c r="N1132" s="1041"/>
      <c r="O1132" s="975"/>
    </row>
    <row r="1133" spans="1:15">
      <c r="A1133" s="972"/>
      <c r="B1133" s="972"/>
      <c r="C1133" s="972"/>
      <c r="D1133" s="972"/>
      <c r="E1133" s="972"/>
      <c r="F1133" s="972"/>
      <c r="G1133" s="972"/>
      <c r="H1133" s="972"/>
      <c r="I1133" s="972"/>
      <c r="J1133" s="972"/>
      <c r="K1133" s="972"/>
      <c r="L1133" s="1041"/>
      <c r="M1133" s="1041"/>
      <c r="N1133" s="1041"/>
      <c r="O1133" s="975"/>
    </row>
    <row r="1134" spans="1:15">
      <c r="A1134" s="972"/>
      <c r="B1134" s="972"/>
      <c r="C1134" s="972"/>
      <c r="D1134" s="972"/>
      <c r="E1134" s="972"/>
      <c r="F1134" s="972"/>
      <c r="G1134" s="972"/>
      <c r="H1134" s="972"/>
      <c r="I1134" s="972"/>
      <c r="J1134" s="972"/>
      <c r="K1134" s="972"/>
      <c r="L1134" s="1041"/>
      <c r="M1134" s="1041"/>
      <c r="N1134" s="1041"/>
      <c r="O1134" s="975"/>
    </row>
    <row r="1135" spans="1:15">
      <c r="A1135" s="972"/>
      <c r="B1135" s="972"/>
      <c r="C1135" s="972"/>
      <c r="D1135" s="972"/>
      <c r="E1135" s="972"/>
      <c r="F1135" s="972"/>
      <c r="G1135" s="972"/>
      <c r="H1135" s="972"/>
      <c r="I1135" s="972"/>
      <c r="J1135" s="972"/>
      <c r="K1135" s="972"/>
      <c r="L1135" s="1041"/>
      <c r="M1135" s="1041"/>
      <c r="N1135" s="1041"/>
      <c r="O1135" s="975"/>
    </row>
    <row r="1136" spans="1:15">
      <c r="A1136" s="972"/>
      <c r="B1136" s="972"/>
      <c r="C1136" s="972"/>
      <c r="D1136" s="972"/>
      <c r="E1136" s="972"/>
      <c r="F1136" s="972"/>
      <c r="G1136" s="972"/>
      <c r="H1136" s="972"/>
      <c r="I1136" s="972"/>
      <c r="J1136" s="972"/>
      <c r="K1136" s="972"/>
      <c r="L1136" s="1041"/>
      <c r="M1136" s="1041"/>
      <c r="N1136" s="1041"/>
      <c r="O1136" s="975"/>
    </row>
    <row r="1137" spans="1:15">
      <c r="A1137" s="972"/>
      <c r="B1137" s="972"/>
      <c r="C1137" s="972"/>
      <c r="D1137" s="972"/>
      <c r="E1137" s="972"/>
      <c r="F1137" s="972"/>
      <c r="G1137" s="972"/>
      <c r="H1137" s="972"/>
      <c r="I1137" s="972"/>
      <c r="J1137" s="972"/>
      <c r="K1137" s="972"/>
      <c r="L1137" s="1041"/>
      <c r="M1137" s="1041"/>
      <c r="N1137" s="1041"/>
      <c r="O1137" s="975"/>
    </row>
    <row r="1138" spans="1:15">
      <c r="A1138" s="972"/>
      <c r="B1138" s="972"/>
      <c r="C1138" s="972"/>
      <c r="D1138" s="972"/>
      <c r="E1138" s="972"/>
      <c r="F1138" s="972"/>
      <c r="G1138" s="972"/>
      <c r="H1138" s="972"/>
      <c r="I1138" s="972"/>
      <c r="J1138" s="972"/>
      <c r="K1138" s="972"/>
      <c r="L1138" s="1041"/>
      <c r="M1138" s="1041"/>
      <c r="N1138" s="1041"/>
      <c r="O1138" s="975"/>
    </row>
    <row r="1139" spans="1:15">
      <c r="A1139" s="972"/>
      <c r="B1139" s="972"/>
      <c r="C1139" s="972"/>
      <c r="D1139" s="972"/>
      <c r="E1139" s="972"/>
      <c r="F1139" s="972"/>
      <c r="G1139" s="972"/>
      <c r="H1139" s="972"/>
      <c r="I1139" s="972"/>
      <c r="J1139" s="972"/>
      <c r="K1139" s="972"/>
      <c r="L1139" s="1041"/>
      <c r="M1139" s="1041"/>
      <c r="N1139" s="1041"/>
      <c r="O1139" s="975"/>
    </row>
    <row r="1140" spans="1:15">
      <c r="A1140" s="972"/>
      <c r="B1140" s="972"/>
      <c r="C1140" s="972"/>
      <c r="D1140" s="972"/>
      <c r="E1140" s="972"/>
      <c r="F1140" s="972"/>
      <c r="G1140" s="972"/>
      <c r="H1140" s="972"/>
      <c r="I1140" s="972"/>
      <c r="J1140" s="972"/>
      <c r="K1140" s="972"/>
      <c r="L1140" s="1041"/>
      <c r="M1140" s="1041"/>
      <c r="N1140" s="1041"/>
      <c r="O1140" s="975"/>
    </row>
    <row r="1141" spans="1:15">
      <c r="A1141" s="972"/>
      <c r="B1141" s="972"/>
      <c r="C1141" s="972"/>
      <c r="D1141" s="972"/>
      <c r="E1141" s="972"/>
      <c r="F1141" s="972"/>
      <c r="G1141" s="972"/>
      <c r="H1141" s="972"/>
      <c r="I1141" s="972"/>
      <c r="J1141" s="972"/>
      <c r="K1141" s="972"/>
      <c r="L1141" s="1041"/>
      <c r="M1141" s="1041"/>
      <c r="N1141" s="1041"/>
      <c r="O1141" s="975"/>
    </row>
    <row r="1142" spans="1:15">
      <c r="A1142" s="972"/>
      <c r="B1142" s="972"/>
      <c r="C1142" s="972"/>
      <c r="D1142" s="972"/>
      <c r="E1142" s="972"/>
      <c r="F1142" s="972"/>
      <c r="G1142" s="972"/>
      <c r="H1142" s="972"/>
      <c r="I1142" s="972"/>
      <c r="J1142" s="972"/>
      <c r="K1142" s="972"/>
      <c r="L1142" s="1041"/>
      <c r="M1142" s="1041"/>
      <c r="N1142" s="1041"/>
      <c r="O1142" s="975"/>
    </row>
    <row r="1143" spans="1:15">
      <c r="A1143" s="972"/>
      <c r="B1143" s="972"/>
      <c r="C1143" s="972"/>
      <c r="D1143" s="972"/>
      <c r="E1143" s="972"/>
      <c r="F1143" s="972"/>
      <c r="G1143" s="972"/>
      <c r="H1143" s="972"/>
      <c r="I1143" s="972"/>
      <c r="J1143" s="972"/>
      <c r="K1143" s="972"/>
      <c r="L1143" s="1041"/>
      <c r="M1143" s="1041"/>
      <c r="N1143" s="1041"/>
      <c r="O1143" s="975"/>
    </row>
    <row r="1144" spans="1:15">
      <c r="A1144" s="972"/>
      <c r="B1144" s="972"/>
      <c r="C1144" s="972"/>
      <c r="D1144" s="972"/>
      <c r="E1144" s="972"/>
      <c r="F1144" s="972"/>
      <c r="G1144" s="972"/>
      <c r="H1144" s="972"/>
      <c r="I1144" s="972"/>
      <c r="J1144" s="972"/>
      <c r="K1144" s="972"/>
      <c r="L1144" s="1041"/>
      <c r="M1144" s="1041"/>
      <c r="N1144" s="1041"/>
      <c r="O1144" s="975"/>
    </row>
    <row r="1145" spans="1:15">
      <c r="A1145" s="972"/>
      <c r="B1145" s="972"/>
      <c r="C1145" s="972"/>
      <c r="D1145" s="972"/>
      <c r="E1145" s="972"/>
      <c r="F1145" s="972"/>
      <c r="G1145" s="972"/>
      <c r="H1145" s="972"/>
      <c r="I1145" s="972"/>
      <c r="J1145" s="972"/>
      <c r="K1145" s="972"/>
      <c r="L1145" s="1041"/>
      <c r="M1145" s="1041"/>
      <c r="N1145" s="1041"/>
      <c r="O1145" s="975"/>
    </row>
    <row r="1146" spans="1:15">
      <c r="A1146" s="972"/>
      <c r="B1146" s="972"/>
      <c r="C1146" s="972"/>
      <c r="D1146" s="972"/>
      <c r="E1146" s="972"/>
      <c r="F1146" s="972"/>
      <c r="G1146" s="972"/>
      <c r="H1146" s="972"/>
      <c r="I1146" s="972"/>
      <c r="J1146" s="972"/>
      <c r="K1146" s="972"/>
      <c r="L1146" s="1041"/>
      <c r="M1146" s="1041"/>
      <c r="N1146" s="1041"/>
      <c r="O1146" s="975"/>
    </row>
    <row r="1147" spans="1:15">
      <c r="A1147" s="972"/>
      <c r="B1147" s="972"/>
      <c r="C1147" s="972"/>
      <c r="D1147" s="972"/>
      <c r="E1147" s="972"/>
      <c r="F1147" s="972"/>
      <c r="G1147" s="972"/>
      <c r="H1147" s="972"/>
      <c r="I1147" s="972"/>
      <c r="J1147" s="972"/>
      <c r="K1147" s="972"/>
      <c r="L1147" s="1041"/>
      <c r="M1147" s="1041"/>
      <c r="N1147" s="1041"/>
      <c r="O1147" s="975"/>
    </row>
    <row r="1148" spans="1:15">
      <c r="A1148" s="972"/>
      <c r="B1148" s="972"/>
      <c r="C1148" s="972"/>
      <c r="D1148" s="972"/>
      <c r="E1148" s="972"/>
      <c r="F1148" s="972"/>
      <c r="G1148" s="972"/>
      <c r="H1148" s="972"/>
      <c r="I1148" s="972"/>
      <c r="J1148" s="972"/>
      <c r="K1148" s="972"/>
      <c r="L1148" s="1041"/>
      <c r="M1148" s="1041"/>
      <c r="N1148" s="1041"/>
      <c r="O1148" s="975"/>
    </row>
    <row r="1149" spans="1:15">
      <c r="A1149" s="972"/>
      <c r="B1149" s="972"/>
      <c r="C1149" s="972"/>
      <c r="D1149" s="972"/>
      <c r="E1149" s="972"/>
      <c r="F1149" s="972"/>
      <c r="G1149" s="972"/>
      <c r="H1149" s="972"/>
      <c r="I1149" s="972"/>
      <c r="J1149" s="972"/>
      <c r="K1149" s="972"/>
      <c r="L1149" s="1041"/>
      <c r="M1149" s="1041"/>
      <c r="N1149" s="1041"/>
      <c r="O1149" s="975"/>
    </row>
    <row r="1150" spans="1:15">
      <c r="A1150" s="972"/>
      <c r="B1150" s="972"/>
      <c r="C1150" s="972"/>
      <c r="D1150" s="972"/>
      <c r="E1150" s="972"/>
      <c r="F1150" s="972"/>
      <c r="G1150" s="972"/>
      <c r="H1150" s="972"/>
      <c r="I1150" s="972"/>
      <c r="J1150" s="972"/>
      <c r="K1150" s="972"/>
      <c r="L1150" s="1041"/>
      <c r="M1150" s="1041"/>
      <c r="N1150" s="1041"/>
      <c r="O1150" s="975"/>
    </row>
    <row r="1151" spans="1:15">
      <c r="A1151" s="972"/>
      <c r="B1151" s="972"/>
      <c r="C1151" s="972"/>
      <c r="D1151" s="972"/>
      <c r="E1151" s="972"/>
      <c r="F1151" s="972"/>
      <c r="G1151" s="972"/>
      <c r="H1151" s="972"/>
      <c r="I1151" s="972"/>
      <c r="J1151" s="972"/>
      <c r="K1151" s="972"/>
      <c r="L1151" s="1041"/>
      <c r="M1151" s="1041"/>
      <c r="N1151" s="1041"/>
      <c r="O1151" s="975"/>
    </row>
    <row r="1152" spans="1:15">
      <c r="A1152" s="972"/>
      <c r="B1152" s="972"/>
      <c r="C1152" s="972"/>
      <c r="D1152" s="972"/>
      <c r="E1152" s="972"/>
      <c r="F1152" s="972"/>
      <c r="G1152" s="972"/>
      <c r="H1152" s="972"/>
      <c r="I1152" s="972"/>
      <c r="J1152" s="972"/>
      <c r="K1152" s="972"/>
      <c r="L1152" s="1041"/>
      <c r="M1152" s="1041"/>
      <c r="N1152" s="1041"/>
      <c r="O1152" s="975"/>
    </row>
    <row r="1153" spans="1:15">
      <c r="A1153" s="972"/>
      <c r="B1153" s="972"/>
      <c r="C1153" s="972"/>
      <c r="D1153" s="972"/>
      <c r="E1153" s="972"/>
      <c r="F1153" s="972"/>
      <c r="G1153" s="972"/>
      <c r="H1153" s="972"/>
      <c r="I1153" s="972"/>
      <c r="J1153" s="972"/>
      <c r="K1153" s="972"/>
      <c r="L1153" s="1041"/>
      <c r="M1153" s="1041"/>
      <c r="N1153" s="1041"/>
      <c r="O1153" s="975"/>
    </row>
    <row r="1154" spans="1:15">
      <c r="A1154" s="972"/>
      <c r="B1154" s="972"/>
      <c r="C1154" s="972"/>
      <c r="D1154" s="972"/>
      <c r="E1154" s="972"/>
      <c r="F1154" s="972"/>
      <c r="G1154" s="972"/>
      <c r="H1154" s="972"/>
      <c r="I1154" s="972"/>
      <c r="J1154" s="972"/>
      <c r="K1154" s="972"/>
      <c r="L1154" s="1041"/>
      <c r="M1154" s="1041"/>
      <c r="N1154" s="1041"/>
      <c r="O1154" s="975"/>
    </row>
    <row r="1155" spans="1:15">
      <c r="A1155" s="972"/>
      <c r="B1155" s="972"/>
      <c r="C1155" s="972"/>
      <c r="D1155" s="972"/>
      <c r="E1155" s="972"/>
      <c r="F1155" s="972"/>
      <c r="G1155" s="972"/>
      <c r="H1155" s="972"/>
      <c r="I1155" s="972"/>
      <c r="J1155" s="972"/>
      <c r="K1155" s="972"/>
      <c r="L1155" s="1041"/>
      <c r="M1155" s="1041"/>
      <c r="N1155" s="1041"/>
      <c r="O1155" s="975"/>
    </row>
    <row r="1156" spans="1:15">
      <c r="A1156" s="972"/>
      <c r="B1156" s="972"/>
      <c r="C1156" s="972"/>
      <c r="D1156" s="972"/>
      <c r="E1156" s="972"/>
      <c r="F1156" s="972"/>
      <c r="G1156" s="972"/>
      <c r="H1156" s="972"/>
      <c r="I1156" s="972"/>
      <c r="J1156" s="972"/>
      <c r="K1156" s="972"/>
      <c r="L1156" s="1041"/>
      <c r="M1156" s="1041"/>
      <c r="N1156" s="1041"/>
      <c r="O1156" s="975"/>
    </row>
    <row r="1157" spans="1:15">
      <c r="A1157" s="972"/>
      <c r="B1157" s="972"/>
      <c r="C1157" s="972"/>
      <c r="D1157" s="972"/>
      <c r="E1157" s="972"/>
      <c r="F1157" s="972"/>
      <c r="G1157" s="972"/>
      <c r="H1157" s="972"/>
      <c r="I1157" s="972"/>
      <c r="J1157" s="972"/>
      <c r="K1157" s="972"/>
      <c r="L1157" s="1041"/>
      <c r="M1157" s="1041"/>
      <c r="N1157" s="1041"/>
      <c r="O1157" s="975"/>
    </row>
    <row r="1158" spans="1:15">
      <c r="A1158" s="972"/>
      <c r="B1158" s="972"/>
      <c r="C1158" s="972"/>
      <c r="D1158" s="972"/>
      <c r="E1158" s="972"/>
      <c r="F1158" s="972"/>
      <c r="G1158" s="972"/>
      <c r="H1158" s="972"/>
      <c r="I1158" s="972"/>
      <c r="J1158" s="972"/>
      <c r="K1158" s="972"/>
      <c r="L1158" s="1041"/>
      <c r="M1158" s="1041"/>
      <c r="N1158" s="1041"/>
      <c r="O1158" s="975"/>
    </row>
    <row r="1159" spans="1:15">
      <c r="A1159" s="972"/>
      <c r="B1159" s="972"/>
      <c r="C1159" s="972"/>
      <c r="D1159" s="972"/>
      <c r="E1159" s="972"/>
      <c r="F1159" s="972"/>
      <c r="G1159" s="972"/>
      <c r="H1159" s="972"/>
      <c r="I1159" s="972"/>
      <c r="J1159" s="972"/>
      <c r="K1159" s="972"/>
      <c r="L1159" s="1041"/>
      <c r="M1159" s="1041"/>
      <c r="N1159" s="1041"/>
      <c r="O1159" s="975"/>
    </row>
    <row r="1160" spans="1:15">
      <c r="A1160" s="972"/>
      <c r="B1160" s="972"/>
      <c r="C1160" s="972"/>
      <c r="D1160" s="972"/>
      <c r="E1160" s="972"/>
      <c r="F1160" s="972"/>
      <c r="G1160" s="972"/>
      <c r="H1160" s="972"/>
      <c r="I1160" s="972"/>
      <c r="J1160" s="972"/>
      <c r="K1160" s="972"/>
      <c r="L1160" s="1041"/>
      <c r="M1160" s="1041"/>
      <c r="N1160" s="1041"/>
      <c r="O1160" s="975"/>
    </row>
    <row r="1161" spans="1:15">
      <c r="A1161" s="972"/>
      <c r="B1161" s="972"/>
      <c r="C1161" s="972"/>
      <c r="D1161" s="972"/>
      <c r="E1161" s="972"/>
      <c r="F1161" s="972"/>
      <c r="G1161" s="972"/>
      <c r="H1161" s="972"/>
      <c r="I1161" s="972"/>
      <c r="J1161" s="972"/>
      <c r="K1161" s="972"/>
      <c r="L1161" s="1041"/>
      <c r="M1161" s="1041"/>
      <c r="N1161" s="1041"/>
      <c r="O1161" s="975"/>
    </row>
    <row r="1162" spans="1:15">
      <c r="A1162" s="972"/>
      <c r="B1162" s="972"/>
      <c r="C1162" s="972"/>
      <c r="D1162" s="972"/>
      <c r="E1162" s="972"/>
      <c r="F1162" s="972"/>
      <c r="G1162" s="972"/>
      <c r="H1162" s="972"/>
      <c r="I1162" s="972"/>
      <c r="J1162" s="972"/>
      <c r="K1162" s="972"/>
      <c r="L1162" s="1041"/>
      <c r="M1162" s="1041"/>
      <c r="N1162" s="1041"/>
      <c r="O1162" s="975"/>
    </row>
    <row r="1163" spans="1:15">
      <c r="A1163" s="972"/>
      <c r="B1163" s="972"/>
      <c r="C1163" s="972"/>
      <c r="D1163" s="972"/>
      <c r="E1163" s="972"/>
      <c r="F1163" s="972"/>
      <c r="G1163" s="972"/>
      <c r="H1163" s="972"/>
      <c r="I1163" s="972"/>
      <c r="J1163" s="972"/>
      <c r="K1163" s="972"/>
      <c r="L1163" s="1041"/>
      <c r="M1163" s="1041"/>
      <c r="N1163" s="1041"/>
      <c r="O1163" s="975"/>
    </row>
    <row r="1164" spans="1:15">
      <c r="A1164" s="972"/>
      <c r="B1164" s="972"/>
      <c r="C1164" s="972"/>
      <c r="D1164" s="972"/>
      <c r="E1164" s="972"/>
      <c r="F1164" s="972"/>
      <c r="G1164" s="972"/>
      <c r="H1164" s="972"/>
      <c r="I1164" s="972"/>
      <c r="J1164" s="972"/>
      <c r="K1164" s="972"/>
      <c r="L1164" s="1041"/>
      <c r="M1164" s="1041"/>
      <c r="N1164" s="1041"/>
      <c r="O1164" s="975"/>
    </row>
    <row r="1165" spans="1:15">
      <c r="A1165" s="972"/>
      <c r="B1165" s="972"/>
      <c r="C1165" s="972"/>
      <c r="D1165" s="972"/>
      <c r="E1165" s="972"/>
      <c r="F1165" s="972"/>
      <c r="G1165" s="972"/>
      <c r="H1165" s="972"/>
      <c r="I1165" s="972"/>
      <c r="J1165" s="972"/>
      <c r="K1165" s="972"/>
      <c r="L1165" s="1041"/>
      <c r="M1165" s="1041"/>
      <c r="N1165" s="1041"/>
      <c r="O1165" s="975"/>
    </row>
    <row r="1166" spans="1:15">
      <c r="A1166" s="972"/>
      <c r="B1166" s="972"/>
      <c r="C1166" s="972"/>
      <c r="D1166" s="972"/>
      <c r="E1166" s="972"/>
      <c r="F1166" s="972"/>
      <c r="G1166" s="972"/>
      <c r="H1166" s="972"/>
      <c r="I1166" s="972"/>
      <c r="J1166" s="972"/>
      <c r="K1166" s="972"/>
      <c r="L1166" s="1041"/>
      <c r="M1166" s="1041"/>
      <c r="N1166" s="1041"/>
      <c r="O1166" s="975"/>
    </row>
    <row r="1167" spans="1:15">
      <c r="A1167" s="972"/>
      <c r="B1167" s="972"/>
      <c r="C1167" s="972"/>
      <c r="D1167" s="972"/>
      <c r="E1167" s="972"/>
      <c r="F1167" s="972"/>
      <c r="G1167" s="972"/>
      <c r="H1167" s="972"/>
      <c r="I1167" s="972"/>
      <c r="J1167" s="972"/>
      <c r="K1167" s="972"/>
      <c r="L1167" s="1041"/>
      <c r="M1167" s="1041"/>
      <c r="N1167" s="1041"/>
      <c r="O1167" s="975"/>
    </row>
    <row r="1168" spans="1:15">
      <c r="A1168" s="972"/>
      <c r="B1168" s="972"/>
      <c r="C1168" s="972"/>
      <c r="D1168" s="972"/>
      <c r="E1168" s="972"/>
      <c r="F1168" s="972"/>
      <c r="G1168" s="972"/>
      <c r="H1168" s="972"/>
      <c r="I1168" s="972"/>
      <c r="J1168" s="972"/>
      <c r="K1168" s="972"/>
      <c r="L1168" s="1041"/>
      <c r="M1168" s="1041"/>
      <c r="N1168" s="1041"/>
      <c r="O1168" s="975"/>
    </row>
    <row r="1169" spans="1:15">
      <c r="A1169" s="972"/>
      <c r="B1169" s="972"/>
      <c r="C1169" s="972"/>
      <c r="D1169" s="972"/>
      <c r="E1169" s="972"/>
      <c r="F1169" s="972"/>
      <c r="G1169" s="972"/>
      <c r="H1169" s="972"/>
      <c r="I1169" s="972"/>
      <c r="J1169" s="972"/>
      <c r="K1169" s="972"/>
      <c r="L1169" s="1041"/>
      <c r="M1169" s="1041"/>
      <c r="N1169" s="1041"/>
      <c r="O1169" s="975"/>
    </row>
    <row r="1170" spans="1:15">
      <c r="A1170" s="972"/>
      <c r="B1170" s="972"/>
      <c r="C1170" s="972"/>
      <c r="D1170" s="972"/>
      <c r="E1170" s="972"/>
      <c r="F1170" s="972"/>
      <c r="G1170" s="972"/>
      <c r="H1170" s="972"/>
      <c r="I1170" s="972"/>
      <c r="J1170" s="972"/>
      <c r="K1170" s="972"/>
      <c r="L1170" s="1041"/>
      <c r="M1170" s="1041"/>
      <c r="N1170" s="1041"/>
      <c r="O1170" s="975"/>
    </row>
    <row r="1171" spans="1:15">
      <c r="A1171" s="972"/>
      <c r="B1171" s="972"/>
      <c r="C1171" s="972"/>
      <c r="D1171" s="972"/>
      <c r="E1171" s="972"/>
      <c r="F1171" s="972"/>
      <c r="G1171" s="972"/>
      <c r="H1171" s="972"/>
      <c r="I1171" s="972"/>
      <c r="J1171" s="972"/>
      <c r="K1171" s="972"/>
      <c r="L1171" s="1041"/>
      <c r="M1171" s="1041"/>
      <c r="N1171" s="1041"/>
      <c r="O1171" s="975"/>
    </row>
    <row r="1172" spans="1:15">
      <c r="A1172" s="972"/>
      <c r="B1172" s="972"/>
      <c r="C1172" s="972"/>
      <c r="D1172" s="972"/>
      <c r="E1172" s="972"/>
      <c r="F1172" s="972"/>
      <c r="G1172" s="972"/>
      <c r="H1172" s="972"/>
      <c r="I1172" s="972"/>
      <c r="J1172" s="972"/>
      <c r="K1172" s="972"/>
      <c r="L1172" s="1041"/>
      <c r="M1172" s="1041"/>
      <c r="N1172" s="1041"/>
      <c r="O1172" s="975"/>
    </row>
    <row r="1173" spans="1:15">
      <c r="A1173" s="972"/>
      <c r="B1173" s="972"/>
      <c r="C1173" s="972"/>
      <c r="D1173" s="972"/>
      <c r="E1173" s="972"/>
      <c r="F1173" s="972"/>
      <c r="G1173" s="972"/>
      <c r="H1173" s="972"/>
      <c r="I1173" s="972"/>
      <c r="J1173" s="972"/>
      <c r="K1173" s="972"/>
      <c r="L1173" s="1041"/>
      <c r="M1173" s="1041"/>
      <c r="N1173" s="1041"/>
      <c r="O1173" s="975"/>
    </row>
    <row r="1174" spans="1:15">
      <c r="A1174" s="972"/>
      <c r="B1174" s="972"/>
      <c r="C1174" s="972"/>
      <c r="D1174" s="972"/>
      <c r="E1174" s="972"/>
      <c r="F1174" s="972"/>
      <c r="G1174" s="972"/>
      <c r="H1174" s="972"/>
      <c r="I1174" s="972"/>
      <c r="J1174" s="972"/>
      <c r="K1174" s="972"/>
      <c r="L1174" s="1041"/>
      <c r="M1174" s="1041"/>
      <c r="N1174" s="1041"/>
      <c r="O1174" s="975"/>
    </row>
    <row r="1175" spans="1:15">
      <c r="A1175" s="972"/>
      <c r="B1175" s="972"/>
      <c r="C1175" s="972"/>
      <c r="D1175" s="972"/>
      <c r="E1175" s="972"/>
      <c r="F1175" s="972"/>
      <c r="G1175" s="972"/>
      <c r="H1175" s="972"/>
      <c r="I1175" s="972"/>
      <c r="J1175" s="972"/>
      <c r="K1175" s="972"/>
      <c r="L1175" s="1041"/>
      <c r="M1175" s="1041"/>
      <c r="N1175" s="1041"/>
      <c r="O1175" s="975"/>
    </row>
    <row r="1176" spans="1:15">
      <c r="A1176" s="972"/>
      <c r="B1176" s="972"/>
      <c r="C1176" s="972"/>
      <c r="D1176" s="972"/>
      <c r="E1176" s="972"/>
      <c r="F1176" s="972"/>
      <c r="G1176" s="972"/>
      <c r="H1176" s="972"/>
      <c r="I1176" s="972"/>
      <c r="J1176" s="972"/>
      <c r="K1176" s="972"/>
      <c r="L1176" s="1041"/>
      <c r="M1176" s="1041"/>
      <c r="N1176" s="1041"/>
      <c r="O1176" s="975"/>
    </row>
    <row r="1177" spans="1:15">
      <c r="A1177" s="972"/>
      <c r="B1177" s="972"/>
      <c r="C1177" s="972"/>
      <c r="D1177" s="972"/>
      <c r="E1177" s="972"/>
      <c r="F1177" s="972"/>
      <c r="G1177" s="972"/>
      <c r="H1177" s="972"/>
      <c r="I1177" s="972"/>
      <c r="J1177" s="972"/>
      <c r="K1177" s="972"/>
      <c r="L1177" s="1041"/>
      <c r="M1177" s="1041"/>
      <c r="N1177" s="1041"/>
      <c r="O1177" s="975"/>
    </row>
    <row r="1178" spans="1:15">
      <c r="A1178" s="972"/>
      <c r="B1178" s="972"/>
      <c r="C1178" s="972"/>
      <c r="D1178" s="972"/>
      <c r="E1178" s="972"/>
      <c r="F1178" s="972"/>
      <c r="G1178" s="972"/>
      <c r="H1178" s="972"/>
      <c r="I1178" s="972"/>
      <c r="J1178" s="972"/>
      <c r="K1178" s="972"/>
      <c r="L1178" s="1041"/>
      <c r="M1178" s="1041"/>
      <c r="N1178" s="1041"/>
      <c r="O1178" s="975"/>
    </row>
    <row r="1179" spans="1:15">
      <c r="A1179" s="972"/>
      <c r="B1179" s="972"/>
      <c r="C1179" s="972"/>
      <c r="D1179" s="972"/>
      <c r="E1179" s="972"/>
      <c r="F1179" s="972"/>
      <c r="G1179" s="972"/>
      <c r="H1179" s="972"/>
      <c r="I1179" s="972"/>
      <c r="J1179" s="972"/>
      <c r="K1179" s="972"/>
      <c r="L1179" s="1041"/>
      <c r="M1179" s="1041"/>
      <c r="N1179" s="1041"/>
      <c r="O1179" s="975"/>
    </row>
    <row r="1180" spans="1:15">
      <c r="A1180" s="972"/>
      <c r="B1180" s="972"/>
      <c r="C1180" s="972"/>
      <c r="D1180" s="972"/>
      <c r="E1180" s="972"/>
      <c r="F1180" s="972"/>
      <c r="G1180" s="972"/>
      <c r="H1180" s="972"/>
      <c r="I1180" s="972"/>
      <c r="J1180" s="972"/>
      <c r="K1180" s="972"/>
      <c r="L1180" s="1041"/>
      <c r="M1180" s="1041"/>
      <c r="N1180" s="1041"/>
      <c r="O1180" s="975"/>
    </row>
    <row r="1181" spans="1:15">
      <c r="A1181" s="972"/>
      <c r="B1181" s="972"/>
      <c r="C1181" s="972"/>
      <c r="D1181" s="972"/>
      <c r="E1181" s="972"/>
      <c r="F1181" s="972"/>
      <c r="G1181" s="972"/>
      <c r="H1181" s="972"/>
      <c r="I1181" s="972"/>
      <c r="J1181" s="972"/>
      <c r="K1181" s="972"/>
      <c r="L1181" s="1041"/>
      <c r="M1181" s="1041"/>
      <c r="N1181" s="1041"/>
      <c r="O1181" s="975"/>
    </row>
    <row r="1182" spans="1:15">
      <c r="A1182" s="972"/>
      <c r="B1182" s="972"/>
      <c r="C1182" s="972"/>
      <c r="D1182" s="972"/>
      <c r="E1182" s="972"/>
      <c r="F1182" s="972"/>
      <c r="G1182" s="972"/>
      <c r="H1182" s="972"/>
      <c r="I1182" s="972"/>
      <c r="J1182" s="972"/>
      <c r="K1182" s="972"/>
      <c r="L1182" s="1041"/>
      <c r="M1182" s="1041"/>
      <c r="N1182" s="1041"/>
      <c r="O1182" s="975"/>
    </row>
    <row r="1183" spans="1:15">
      <c r="A1183" s="972"/>
      <c r="B1183" s="972"/>
      <c r="C1183" s="972"/>
      <c r="D1183" s="972"/>
      <c r="E1183" s="972"/>
      <c r="F1183" s="972"/>
      <c r="G1183" s="972"/>
      <c r="H1183" s="972"/>
      <c r="I1183" s="972"/>
      <c r="J1183" s="972"/>
      <c r="K1183" s="972"/>
      <c r="L1183" s="1041"/>
      <c r="M1183" s="1041"/>
      <c r="N1183" s="1041"/>
      <c r="O1183" s="975"/>
    </row>
    <row r="1184" spans="1:15">
      <c r="A1184" s="972"/>
      <c r="B1184" s="972"/>
      <c r="C1184" s="972"/>
      <c r="D1184" s="972"/>
      <c r="E1184" s="972"/>
      <c r="F1184" s="972"/>
      <c r="G1184" s="972"/>
      <c r="H1184" s="972"/>
      <c r="I1184" s="972"/>
      <c r="J1184" s="972"/>
      <c r="K1184" s="972"/>
      <c r="L1184" s="1041"/>
      <c r="M1184" s="1041"/>
      <c r="N1184" s="1041"/>
      <c r="O1184" s="975"/>
    </row>
    <row r="1185" spans="1:15">
      <c r="A1185" s="972"/>
      <c r="B1185" s="972"/>
      <c r="C1185" s="972"/>
      <c r="D1185" s="972"/>
      <c r="E1185" s="972"/>
      <c r="F1185" s="972"/>
      <c r="G1185" s="972"/>
      <c r="H1185" s="972"/>
      <c r="I1185" s="972"/>
      <c r="J1185" s="972"/>
      <c r="K1185" s="972"/>
      <c r="L1185" s="1041"/>
      <c r="M1185" s="1041"/>
      <c r="N1185" s="1041"/>
      <c r="O1185" s="975"/>
    </row>
    <row r="1186" spans="1:15">
      <c r="A1186" s="972"/>
      <c r="B1186" s="972"/>
      <c r="C1186" s="972"/>
      <c r="D1186" s="972"/>
      <c r="E1186" s="972"/>
      <c r="F1186" s="972"/>
      <c r="G1186" s="972"/>
      <c r="H1186" s="972"/>
      <c r="I1186" s="972"/>
      <c r="J1186" s="972"/>
      <c r="K1186" s="972"/>
      <c r="L1186" s="1041"/>
      <c r="M1186" s="1041"/>
      <c r="N1186" s="1041"/>
      <c r="O1186" s="975"/>
    </row>
    <row r="1187" spans="1:15">
      <c r="A1187" s="972"/>
      <c r="B1187" s="972"/>
      <c r="C1187" s="972"/>
      <c r="D1187" s="972"/>
      <c r="E1187" s="972"/>
      <c r="F1187" s="972"/>
      <c r="G1187" s="972"/>
      <c r="H1187" s="972"/>
      <c r="I1187" s="972"/>
      <c r="J1187" s="972"/>
      <c r="K1187" s="972"/>
      <c r="L1187" s="1041"/>
      <c r="M1187" s="1041"/>
      <c r="N1187" s="1041"/>
      <c r="O1187" s="975"/>
    </row>
    <row r="1188" spans="1:15">
      <c r="A1188" s="972"/>
      <c r="B1188" s="972"/>
      <c r="C1188" s="972"/>
      <c r="D1188" s="972"/>
      <c r="E1188" s="972"/>
      <c r="F1188" s="972"/>
      <c r="G1188" s="972"/>
      <c r="H1188" s="972"/>
      <c r="I1188" s="972"/>
      <c r="J1188" s="972"/>
      <c r="K1188" s="972"/>
      <c r="L1188" s="1041"/>
      <c r="M1188" s="1041"/>
      <c r="N1188" s="1041"/>
      <c r="O1188" s="975"/>
    </row>
    <row r="1189" spans="1:15">
      <c r="A1189" s="972"/>
      <c r="B1189" s="972"/>
      <c r="C1189" s="972"/>
      <c r="D1189" s="972"/>
      <c r="E1189" s="972"/>
      <c r="F1189" s="972"/>
      <c r="G1189" s="972"/>
      <c r="H1189" s="972"/>
      <c r="I1189" s="972"/>
      <c r="J1189" s="972"/>
      <c r="K1189" s="972"/>
      <c r="L1189" s="1041"/>
      <c r="M1189" s="1041"/>
      <c r="N1189" s="1041"/>
      <c r="O1189" s="975"/>
    </row>
    <row r="1190" spans="1:15">
      <c r="A1190" s="972"/>
      <c r="B1190" s="972"/>
      <c r="C1190" s="972"/>
      <c r="D1190" s="972"/>
      <c r="E1190" s="972"/>
      <c r="F1190" s="972"/>
      <c r="G1190" s="972"/>
      <c r="H1190" s="972"/>
      <c r="I1190" s="972"/>
      <c r="J1190" s="972"/>
      <c r="K1190" s="972"/>
      <c r="L1190" s="1041"/>
      <c r="M1190" s="1041"/>
      <c r="N1190" s="1041"/>
      <c r="O1190" s="975"/>
    </row>
    <row r="1191" spans="1:15">
      <c r="A1191" s="972"/>
      <c r="B1191" s="972"/>
      <c r="C1191" s="972"/>
      <c r="D1191" s="972"/>
      <c r="E1191" s="972"/>
      <c r="F1191" s="972"/>
      <c r="G1191" s="972"/>
      <c r="H1191" s="972"/>
      <c r="I1191" s="972"/>
      <c r="J1191" s="972"/>
      <c r="K1191" s="972"/>
      <c r="L1191" s="1041"/>
      <c r="M1191" s="1041"/>
      <c r="N1191" s="1041"/>
      <c r="O1191" s="975"/>
    </row>
    <row r="1192" spans="1:15">
      <c r="A1192" s="972"/>
      <c r="B1192" s="972"/>
      <c r="C1192" s="972"/>
      <c r="D1192" s="972"/>
      <c r="E1192" s="972"/>
      <c r="F1192" s="972"/>
      <c r="G1192" s="972"/>
      <c r="H1192" s="972"/>
      <c r="I1192" s="972"/>
      <c r="J1192" s="972"/>
      <c r="K1192" s="972"/>
      <c r="L1192" s="1041"/>
      <c r="M1192" s="1041"/>
      <c r="N1192" s="1041"/>
      <c r="O1192" s="975"/>
    </row>
    <row r="1193" spans="1:15">
      <c r="A1193" s="972"/>
      <c r="B1193" s="972"/>
      <c r="C1193" s="972"/>
      <c r="D1193" s="972"/>
      <c r="E1193" s="972"/>
      <c r="F1193" s="972"/>
      <c r="G1193" s="972"/>
      <c r="H1193" s="972"/>
      <c r="I1193" s="972"/>
      <c r="J1193" s="972"/>
      <c r="K1193" s="972"/>
      <c r="L1193" s="1041"/>
      <c r="M1193" s="1041"/>
      <c r="N1193" s="1041"/>
      <c r="O1193" s="975"/>
    </row>
    <row r="1194" spans="1:15">
      <c r="A1194" s="972"/>
      <c r="B1194" s="972"/>
      <c r="C1194" s="972"/>
      <c r="D1194" s="972"/>
      <c r="E1194" s="972"/>
      <c r="F1194" s="972"/>
      <c r="G1194" s="972"/>
      <c r="H1194" s="972"/>
      <c r="I1194" s="972"/>
      <c r="J1194" s="972"/>
      <c r="K1194" s="972"/>
      <c r="L1194" s="1041"/>
      <c r="M1194" s="1041"/>
      <c r="N1194" s="1041"/>
      <c r="O1194" s="975"/>
    </row>
    <row r="1195" spans="1:15">
      <c r="A1195" s="972"/>
      <c r="B1195" s="972"/>
      <c r="C1195" s="972"/>
      <c r="D1195" s="972"/>
      <c r="E1195" s="972"/>
      <c r="F1195" s="972"/>
      <c r="G1195" s="972"/>
      <c r="H1195" s="972"/>
      <c r="I1195" s="972"/>
      <c r="J1195" s="972"/>
      <c r="K1195" s="972"/>
      <c r="L1195" s="1041"/>
      <c r="M1195" s="1041"/>
      <c r="N1195" s="1041"/>
      <c r="O1195" s="975"/>
    </row>
    <row r="1196" spans="1:15">
      <c r="A1196" s="972"/>
      <c r="B1196" s="972"/>
      <c r="C1196" s="972"/>
      <c r="D1196" s="972"/>
      <c r="E1196" s="972"/>
      <c r="F1196" s="972"/>
      <c r="G1196" s="972"/>
      <c r="H1196" s="972"/>
      <c r="I1196" s="972"/>
      <c r="J1196" s="972"/>
      <c r="K1196" s="972"/>
      <c r="L1196" s="1041"/>
      <c r="M1196" s="1041"/>
      <c r="N1196" s="1041"/>
      <c r="O1196" s="975"/>
    </row>
    <row r="1197" spans="1:15">
      <c r="A1197" s="972"/>
      <c r="B1197" s="972"/>
      <c r="C1197" s="972"/>
      <c r="D1197" s="972"/>
      <c r="E1197" s="972"/>
      <c r="F1197" s="972"/>
      <c r="G1197" s="972"/>
      <c r="H1197" s="972"/>
      <c r="I1197" s="972"/>
      <c r="J1197" s="972"/>
      <c r="K1197" s="972"/>
      <c r="L1197" s="1041"/>
      <c r="M1197" s="1041"/>
      <c r="N1197" s="1041"/>
      <c r="O1197" s="975"/>
    </row>
    <row r="1198" spans="1:15">
      <c r="A1198" s="972"/>
      <c r="B1198" s="972"/>
      <c r="C1198" s="972"/>
      <c r="D1198" s="972"/>
      <c r="E1198" s="972"/>
      <c r="F1198" s="972"/>
      <c r="G1198" s="972"/>
      <c r="H1198" s="972"/>
      <c r="I1198" s="972"/>
      <c r="J1198" s="972"/>
      <c r="K1198" s="972"/>
      <c r="L1198" s="1041"/>
      <c r="M1198" s="1041"/>
      <c r="N1198" s="1041"/>
      <c r="O1198" s="975"/>
    </row>
    <row r="1199" spans="1:15">
      <c r="A1199" s="972"/>
      <c r="B1199" s="972"/>
      <c r="C1199" s="972"/>
      <c r="D1199" s="972"/>
      <c r="E1199" s="972"/>
      <c r="F1199" s="972"/>
      <c r="G1199" s="972"/>
      <c r="H1199" s="972"/>
      <c r="I1199" s="972"/>
      <c r="J1199" s="972"/>
      <c r="K1199" s="972"/>
      <c r="L1199" s="1041"/>
      <c r="M1199" s="1041"/>
      <c r="N1199" s="1041"/>
      <c r="O1199" s="975"/>
    </row>
    <row r="1200" spans="1:15">
      <c r="A1200" s="972"/>
      <c r="B1200" s="972"/>
      <c r="C1200" s="972"/>
      <c r="D1200" s="972"/>
      <c r="E1200" s="972"/>
      <c r="F1200" s="972"/>
      <c r="G1200" s="972"/>
      <c r="H1200" s="972"/>
      <c r="I1200" s="972"/>
      <c r="J1200" s="972"/>
      <c r="K1200" s="972"/>
      <c r="L1200" s="1041"/>
      <c r="M1200" s="1041"/>
      <c r="N1200" s="1041"/>
      <c r="O1200" s="975"/>
    </row>
    <row r="1201" spans="1:15">
      <c r="A1201" s="972"/>
      <c r="B1201" s="972"/>
      <c r="C1201" s="972"/>
      <c r="D1201" s="972"/>
      <c r="E1201" s="972"/>
      <c r="F1201" s="972"/>
      <c r="G1201" s="972"/>
      <c r="H1201" s="972"/>
      <c r="I1201" s="972"/>
      <c r="J1201" s="972"/>
      <c r="K1201" s="972"/>
      <c r="L1201" s="1041"/>
      <c r="M1201" s="1041"/>
      <c r="N1201" s="1041"/>
      <c r="O1201" s="975"/>
    </row>
    <row r="1202" spans="1:15">
      <c r="A1202" s="972"/>
      <c r="B1202" s="972"/>
      <c r="C1202" s="972"/>
      <c r="D1202" s="972"/>
      <c r="E1202" s="972"/>
      <c r="F1202" s="972"/>
      <c r="G1202" s="972"/>
      <c r="H1202" s="972"/>
      <c r="I1202" s="972"/>
      <c r="J1202" s="972"/>
      <c r="K1202" s="972"/>
      <c r="L1202" s="1041"/>
      <c r="M1202" s="1041"/>
      <c r="N1202" s="1041"/>
      <c r="O1202" s="975"/>
    </row>
    <row r="1203" spans="1:15">
      <c r="A1203" s="972"/>
      <c r="B1203" s="972"/>
      <c r="C1203" s="972"/>
      <c r="D1203" s="972"/>
      <c r="E1203" s="972"/>
      <c r="F1203" s="972"/>
      <c r="G1203" s="972"/>
      <c r="H1203" s="972"/>
      <c r="I1203" s="972"/>
      <c r="J1203" s="972"/>
      <c r="K1203" s="972"/>
      <c r="L1203" s="1041"/>
      <c r="M1203" s="1041"/>
      <c r="N1203" s="1041"/>
      <c r="O1203" s="975"/>
    </row>
    <row r="1204" spans="1:15">
      <c r="A1204" s="972"/>
      <c r="B1204" s="972"/>
      <c r="C1204" s="972"/>
      <c r="D1204" s="972"/>
      <c r="E1204" s="972"/>
      <c r="F1204" s="972"/>
      <c r="G1204" s="972"/>
      <c r="H1204" s="972"/>
      <c r="I1204" s="972"/>
      <c r="J1204" s="972"/>
      <c r="K1204" s="972"/>
      <c r="L1204" s="1041"/>
      <c r="M1204" s="1041"/>
      <c r="N1204" s="1041"/>
      <c r="O1204" s="975"/>
    </row>
    <row r="1205" spans="1:15">
      <c r="A1205" s="972"/>
      <c r="B1205" s="972"/>
      <c r="C1205" s="972"/>
      <c r="D1205" s="972"/>
      <c r="E1205" s="972"/>
      <c r="F1205" s="972"/>
      <c r="G1205" s="972"/>
      <c r="H1205" s="972"/>
      <c r="I1205" s="972"/>
      <c r="J1205" s="972"/>
      <c r="K1205" s="972"/>
      <c r="L1205" s="1041"/>
      <c r="M1205" s="1041"/>
      <c r="N1205" s="1041"/>
      <c r="O1205" s="975"/>
    </row>
    <row r="1206" spans="1:15">
      <c r="A1206" s="972"/>
      <c r="B1206" s="972"/>
      <c r="C1206" s="972"/>
      <c r="D1206" s="972"/>
      <c r="E1206" s="972"/>
      <c r="F1206" s="972"/>
      <c r="G1206" s="972"/>
      <c r="H1206" s="972"/>
      <c r="I1206" s="972"/>
      <c r="J1206" s="972"/>
      <c r="K1206" s="972"/>
      <c r="L1206" s="1041"/>
      <c r="M1206" s="1041"/>
      <c r="N1206" s="1041"/>
      <c r="O1206" s="975"/>
    </row>
    <row r="1207" spans="1:15">
      <c r="A1207" s="972"/>
      <c r="B1207" s="972"/>
      <c r="C1207" s="972"/>
      <c r="D1207" s="972"/>
      <c r="E1207" s="972"/>
      <c r="F1207" s="972"/>
      <c r="G1207" s="972"/>
      <c r="H1207" s="972"/>
      <c r="I1207" s="972"/>
      <c r="J1207" s="972"/>
      <c r="K1207" s="972"/>
      <c r="L1207" s="1041"/>
      <c r="M1207" s="1041"/>
      <c r="N1207" s="1041"/>
      <c r="O1207" s="975"/>
    </row>
    <row r="1208" spans="1:15">
      <c r="A1208" s="972"/>
      <c r="B1208" s="972"/>
      <c r="C1208" s="972"/>
      <c r="D1208" s="972"/>
      <c r="E1208" s="972"/>
      <c r="F1208" s="972"/>
      <c r="G1208" s="972"/>
      <c r="H1208" s="972"/>
      <c r="I1208" s="972"/>
      <c r="J1208" s="972"/>
      <c r="K1208" s="972"/>
      <c r="L1208" s="1041"/>
      <c r="M1208" s="1041"/>
      <c r="N1208" s="1041"/>
      <c r="O1208" s="975"/>
    </row>
    <row r="1209" spans="1:15">
      <c r="A1209" s="972"/>
      <c r="B1209" s="972"/>
      <c r="C1209" s="972"/>
      <c r="D1209" s="972"/>
      <c r="E1209" s="972"/>
      <c r="F1209" s="972"/>
      <c r="G1209" s="972"/>
      <c r="H1209" s="972"/>
      <c r="I1209" s="972"/>
      <c r="J1209" s="972"/>
      <c r="K1209" s="972"/>
      <c r="L1209" s="1041"/>
      <c r="M1209" s="1041"/>
      <c r="N1209" s="1041"/>
      <c r="O1209" s="975"/>
    </row>
    <row r="1210" spans="1:15">
      <c r="A1210" s="972"/>
      <c r="B1210" s="972"/>
      <c r="C1210" s="972"/>
      <c r="D1210" s="972"/>
      <c r="E1210" s="972"/>
      <c r="F1210" s="972"/>
      <c r="G1210" s="972"/>
      <c r="H1210" s="972"/>
      <c r="I1210" s="972"/>
      <c r="J1210" s="972"/>
      <c r="K1210" s="972"/>
      <c r="L1210" s="1041"/>
      <c r="M1210" s="1041"/>
      <c r="N1210" s="1041"/>
      <c r="O1210" s="975"/>
    </row>
    <row r="1211" spans="1:15">
      <c r="A1211" s="972"/>
      <c r="B1211" s="972"/>
      <c r="C1211" s="972"/>
      <c r="D1211" s="972"/>
      <c r="E1211" s="972"/>
      <c r="F1211" s="972"/>
      <c r="G1211" s="972"/>
      <c r="H1211" s="972"/>
      <c r="I1211" s="972"/>
      <c r="J1211" s="972"/>
      <c r="K1211" s="972"/>
      <c r="L1211" s="1041"/>
      <c r="M1211" s="1041"/>
      <c r="N1211" s="1041"/>
      <c r="O1211" s="975"/>
    </row>
    <row r="1212" spans="1:15">
      <c r="A1212" s="972"/>
      <c r="B1212" s="972"/>
      <c r="C1212" s="972"/>
      <c r="D1212" s="972"/>
      <c r="E1212" s="972"/>
      <c r="F1212" s="972"/>
      <c r="G1212" s="972"/>
      <c r="H1212" s="972"/>
      <c r="I1212" s="972"/>
      <c r="J1212" s="972"/>
      <c r="K1212" s="972"/>
      <c r="L1212" s="1041"/>
      <c r="M1212" s="1041"/>
      <c r="N1212" s="1041"/>
      <c r="O1212" s="975"/>
    </row>
    <row r="1213" spans="1:15">
      <c r="A1213" s="972"/>
      <c r="B1213" s="972"/>
      <c r="C1213" s="972"/>
      <c r="D1213" s="972"/>
      <c r="E1213" s="972"/>
      <c r="F1213" s="972"/>
      <c r="G1213" s="972"/>
      <c r="H1213" s="972"/>
      <c r="I1213" s="972"/>
      <c r="J1213" s="972"/>
      <c r="K1213" s="972"/>
      <c r="L1213" s="1041"/>
      <c r="M1213" s="1041"/>
      <c r="N1213" s="1041"/>
      <c r="O1213" s="975"/>
    </row>
    <row r="1214" spans="1:15">
      <c r="A1214" s="972"/>
      <c r="B1214" s="972"/>
      <c r="C1214" s="972"/>
      <c r="D1214" s="972"/>
      <c r="E1214" s="972"/>
      <c r="F1214" s="972"/>
      <c r="G1214" s="972"/>
      <c r="H1214" s="972"/>
      <c r="I1214" s="972"/>
      <c r="J1214" s="972"/>
      <c r="K1214" s="972"/>
      <c r="L1214" s="1041"/>
      <c r="M1214" s="1041"/>
      <c r="N1214" s="1041"/>
      <c r="O1214" s="975"/>
    </row>
    <row r="1215" spans="1:15">
      <c r="A1215" s="972"/>
      <c r="B1215" s="972"/>
      <c r="C1215" s="972"/>
      <c r="D1215" s="972"/>
      <c r="E1215" s="972"/>
      <c r="F1215" s="972"/>
      <c r="G1215" s="972"/>
      <c r="H1215" s="972"/>
      <c r="I1215" s="972"/>
      <c r="J1215" s="972"/>
      <c r="K1215" s="972"/>
      <c r="L1215" s="1041"/>
      <c r="M1215" s="1041"/>
      <c r="N1215" s="1041"/>
      <c r="O1215" s="975"/>
    </row>
    <row r="1216" spans="1:15">
      <c r="A1216" s="972"/>
      <c r="B1216" s="972"/>
      <c r="C1216" s="972"/>
      <c r="D1216" s="972"/>
      <c r="E1216" s="972"/>
      <c r="F1216" s="972"/>
      <c r="G1216" s="972"/>
      <c r="H1216" s="972"/>
      <c r="I1216" s="972"/>
      <c r="J1216" s="972"/>
      <c r="K1216" s="972"/>
      <c r="L1216" s="1041"/>
      <c r="M1216" s="1041"/>
      <c r="N1216" s="1041"/>
      <c r="O1216" s="975"/>
    </row>
    <row r="1217" spans="1:15">
      <c r="A1217" s="972"/>
      <c r="B1217" s="972"/>
      <c r="C1217" s="972"/>
      <c r="D1217" s="972"/>
      <c r="E1217" s="972"/>
      <c r="F1217" s="972"/>
      <c r="G1217" s="972"/>
      <c r="H1217" s="972"/>
      <c r="I1217" s="972"/>
      <c r="J1217" s="972"/>
      <c r="K1217" s="972"/>
      <c r="L1217" s="1041"/>
      <c r="M1217" s="1041"/>
      <c r="N1217" s="1041"/>
      <c r="O1217" s="975"/>
    </row>
    <row r="1218" spans="1:15">
      <c r="A1218" s="972"/>
      <c r="B1218" s="972"/>
      <c r="C1218" s="972"/>
      <c r="D1218" s="972"/>
      <c r="E1218" s="972"/>
      <c r="F1218" s="972"/>
      <c r="G1218" s="972"/>
      <c r="H1218" s="972"/>
      <c r="I1218" s="972"/>
      <c r="J1218" s="972"/>
      <c r="K1218" s="972"/>
      <c r="L1218" s="1041"/>
      <c r="M1218" s="1041"/>
      <c r="N1218" s="1041"/>
      <c r="O1218" s="975"/>
    </row>
    <row r="1219" spans="1:15">
      <c r="A1219" s="972"/>
      <c r="B1219" s="972"/>
      <c r="C1219" s="972"/>
      <c r="D1219" s="972"/>
      <c r="E1219" s="972"/>
      <c r="F1219" s="972"/>
      <c r="G1219" s="972"/>
      <c r="H1219" s="972"/>
      <c r="I1219" s="972"/>
      <c r="J1219" s="972"/>
      <c r="K1219" s="972"/>
      <c r="L1219" s="1041"/>
      <c r="M1219" s="1041"/>
      <c r="N1219" s="1041"/>
      <c r="O1219" s="975"/>
    </row>
    <row r="1220" spans="1:15">
      <c r="A1220" s="972"/>
      <c r="B1220" s="972"/>
      <c r="C1220" s="972"/>
      <c r="D1220" s="972"/>
      <c r="E1220" s="972"/>
      <c r="F1220" s="972"/>
      <c r="G1220" s="972"/>
      <c r="H1220" s="972"/>
      <c r="I1220" s="972"/>
      <c r="J1220" s="972"/>
      <c r="K1220" s="972"/>
      <c r="L1220" s="1041"/>
      <c r="M1220" s="1041"/>
      <c r="N1220" s="1041"/>
      <c r="O1220" s="975"/>
    </row>
    <row r="1221" spans="1:15">
      <c r="A1221" s="972"/>
      <c r="B1221" s="972"/>
      <c r="C1221" s="972"/>
      <c r="D1221" s="972"/>
      <c r="E1221" s="972"/>
      <c r="F1221" s="972"/>
      <c r="G1221" s="972"/>
      <c r="H1221" s="972"/>
      <c r="I1221" s="972"/>
      <c r="J1221" s="972"/>
      <c r="K1221" s="972"/>
      <c r="L1221" s="1041"/>
      <c r="M1221" s="1041"/>
      <c r="N1221" s="1041"/>
      <c r="O1221" s="975"/>
    </row>
    <row r="1222" spans="1:15">
      <c r="A1222" s="972"/>
      <c r="B1222" s="972"/>
      <c r="C1222" s="972"/>
      <c r="D1222" s="972"/>
      <c r="E1222" s="972"/>
      <c r="F1222" s="972"/>
      <c r="G1222" s="972"/>
      <c r="H1222" s="972"/>
      <c r="I1222" s="972"/>
      <c r="J1222" s="972"/>
      <c r="K1222" s="972"/>
      <c r="L1222" s="1041"/>
      <c r="M1222" s="1041"/>
      <c r="N1222" s="1041"/>
      <c r="O1222" s="975"/>
    </row>
    <row r="1223" spans="1:15">
      <c r="A1223" s="972"/>
      <c r="B1223" s="972"/>
      <c r="C1223" s="972"/>
      <c r="D1223" s="972"/>
      <c r="E1223" s="972"/>
      <c r="F1223" s="972"/>
      <c r="G1223" s="972"/>
      <c r="H1223" s="972"/>
      <c r="I1223" s="972"/>
      <c r="J1223" s="972"/>
      <c r="K1223" s="972"/>
      <c r="L1223" s="1041"/>
      <c r="M1223" s="1041"/>
      <c r="N1223" s="1041"/>
      <c r="O1223" s="975"/>
    </row>
    <row r="1224" spans="1:15">
      <c r="A1224" s="972"/>
      <c r="B1224" s="972"/>
      <c r="C1224" s="972"/>
      <c r="D1224" s="972"/>
      <c r="E1224" s="972"/>
      <c r="F1224" s="972"/>
      <c r="G1224" s="972"/>
      <c r="H1224" s="972"/>
      <c r="I1224" s="972"/>
      <c r="J1224" s="972"/>
      <c r="K1224" s="972"/>
      <c r="L1224" s="1041"/>
      <c r="M1224" s="1041"/>
      <c r="N1224" s="1041"/>
      <c r="O1224" s="975"/>
    </row>
    <row r="1225" spans="1:15">
      <c r="A1225" s="972"/>
      <c r="B1225" s="972"/>
      <c r="C1225" s="972"/>
      <c r="D1225" s="972"/>
      <c r="E1225" s="972"/>
      <c r="F1225" s="972"/>
      <c r="G1225" s="972"/>
      <c r="H1225" s="972"/>
      <c r="I1225" s="972"/>
      <c r="J1225" s="972"/>
      <c r="K1225" s="972"/>
      <c r="L1225" s="1041"/>
      <c r="M1225" s="1041"/>
      <c r="N1225" s="1041"/>
      <c r="O1225" s="975"/>
    </row>
    <row r="1226" spans="1:15">
      <c r="A1226" s="972"/>
      <c r="B1226" s="972"/>
      <c r="C1226" s="972"/>
      <c r="D1226" s="972"/>
      <c r="E1226" s="972"/>
      <c r="F1226" s="972"/>
      <c r="G1226" s="972"/>
      <c r="H1226" s="972"/>
      <c r="I1226" s="972"/>
      <c r="J1226" s="972"/>
      <c r="K1226" s="972"/>
      <c r="L1226" s="1041"/>
      <c r="M1226" s="1041"/>
      <c r="N1226" s="1041"/>
      <c r="O1226" s="975"/>
    </row>
    <row r="1227" spans="1:15">
      <c r="A1227" s="972"/>
      <c r="B1227" s="972"/>
      <c r="C1227" s="972"/>
      <c r="D1227" s="972"/>
      <c r="E1227" s="972"/>
      <c r="F1227" s="972"/>
      <c r="G1227" s="972"/>
      <c r="H1227" s="972"/>
      <c r="I1227" s="972"/>
      <c r="J1227" s="972"/>
      <c r="K1227" s="972"/>
      <c r="L1227" s="1041"/>
      <c r="M1227" s="1041"/>
      <c r="N1227" s="1041"/>
      <c r="O1227" s="975"/>
    </row>
    <row r="1228" spans="1:15">
      <c r="A1228" s="972"/>
      <c r="B1228" s="972"/>
      <c r="C1228" s="972"/>
      <c r="D1228" s="972"/>
      <c r="E1228" s="972"/>
      <c r="F1228" s="972"/>
      <c r="G1228" s="972"/>
      <c r="H1228" s="972"/>
      <c r="I1228" s="972"/>
      <c r="J1228" s="972"/>
      <c r="K1228" s="972"/>
      <c r="L1228" s="1041"/>
      <c r="M1228" s="1041"/>
      <c r="N1228" s="1041"/>
      <c r="O1228" s="975"/>
    </row>
    <row r="1229" spans="1:15">
      <c r="A1229" s="972"/>
      <c r="B1229" s="972"/>
      <c r="C1229" s="972"/>
      <c r="D1229" s="972"/>
      <c r="E1229" s="972"/>
      <c r="F1229" s="972"/>
      <c r="G1229" s="972"/>
      <c r="H1229" s="972"/>
      <c r="I1229" s="972"/>
      <c r="J1229" s="972"/>
      <c r="K1229" s="972"/>
      <c r="L1229" s="1041"/>
      <c r="M1229" s="1041"/>
      <c r="N1229" s="1041"/>
      <c r="O1229" s="975"/>
    </row>
    <row r="1230" spans="1:15">
      <c r="A1230" s="972"/>
      <c r="B1230" s="972"/>
      <c r="C1230" s="972"/>
      <c r="D1230" s="972"/>
      <c r="E1230" s="972"/>
      <c r="F1230" s="972"/>
      <c r="G1230" s="972"/>
      <c r="H1230" s="972"/>
      <c r="I1230" s="972"/>
      <c r="J1230" s="972"/>
      <c r="K1230" s="972"/>
      <c r="L1230" s="1041"/>
      <c r="M1230" s="1041"/>
      <c r="N1230" s="1041"/>
      <c r="O1230" s="975"/>
    </row>
    <row r="1231" spans="1:15">
      <c r="A1231" s="972"/>
      <c r="B1231" s="972"/>
      <c r="C1231" s="972"/>
      <c r="D1231" s="972"/>
      <c r="E1231" s="972"/>
      <c r="F1231" s="972"/>
      <c r="G1231" s="972"/>
      <c r="H1231" s="972"/>
      <c r="I1231" s="972"/>
      <c r="J1231" s="972"/>
      <c r="K1231" s="972"/>
      <c r="L1231" s="1041"/>
      <c r="M1231" s="1041"/>
      <c r="N1231" s="1041"/>
      <c r="O1231" s="975"/>
    </row>
    <row r="1232" spans="1:15">
      <c r="A1232" s="972"/>
      <c r="B1232" s="972"/>
      <c r="C1232" s="972"/>
      <c r="D1232" s="972"/>
      <c r="E1232" s="972"/>
      <c r="F1232" s="972"/>
      <c r="G1232" s="972"/>
      <c r="H1232" s="972"/>
      <c r="I1232" s="972"/>
      <c r="J1232" s="972"/>
      <c r="K1232" s="972"/>
      <c r="L1232" s="1041"/>
      <c r="M1232" s="1041"/>
      <c r="N1232" s="1041"/>
      <c r="O1232" s="975"/>
    </row>
    <row r="1233" spans="1:15">
      <c r="A1233" s="972"/>
      <c r="B1233" s="972"/>
      <c r="C1233" s="972"/>
      <c r="D1233" s="972"/>
      <c r="E1233" s="972"/>
      <c r="F1233" s="972"/>
      <c r="G1233" s="972"/>
      <c r="H1233" s="972"/>
      <c r="I1233" s="972"/>
      <c r="J1233" s="972"/>
      <c r="K1233" s="972"/>
      <c r="L1233" s="1041"/>
      <c r="M1233" s="1041"/>
      <c r="N1233" s="1041"/>
      <c r="O1233" s="975"/>
    </row>
    <row r="1234" spans="1:15">
      <c r="A1234" s="972"/>
      <c r="B1234" s="972"/>
      <c r="C1234" s="972"/>
      <c r="D1234" s="972"/>
      <c r="E1234" s="972"/>
      <c r="F1234" s="972"/>
      <c r="G1234" s="972"/>
      <c r="H1234" s="972"/>
      <c r="I1234" s="972"/>
      <c r="J1234" s="972"/>
      <c r="K1234" s="972"/>
      <c r="L1234" s="1041"/>
      <c r="M1234" s="1041"/>
      <c r="N1234" s="1041"/>
      <c r="O1234" s="975"/>
    </row>
    <row r="1235" spans="1:15">
      <c r="A1235" s="972"/>
      <c r="B1235" s="972"/>
      <c r="C1235" s="972"/>
      <c r="D1235" s="972"/>
      <c r="E1235" s="972"/>
      <c r="F1235" s="972"/>
      <c r="G1235" s="972"/>
      <c r="H1235" s="972"/>
      <c r="I1235" s="972"/>
      <c r="J1235" s="972"/>
      <c r="K1235" s="972"/>
      <c r="L1235" s="1041"/>
      <c r="M1235" s="1041"/>
      <c r="N1235" s="1041"/>
      <c r="O1235" s="975"/>
    </row>
    <row r="1236" spans="1:15">
      <c r="A1236" s="972"/>
      <c r="B1236" s="972"/>
      <c r="C1236" s="972"/>
      <c r="D1236" s="972"/>
      <c r="E1236" s="972"/>
      <c r="F1236" s="972"/>
      <c r="G1236" s="972"/>
      <c r="H1236" s="972"/>
      <c r="I1236" s="972"/>
      <c r="J1236" s="972"/>
      <c r="K1236" s="972"/>
      <c r="L1236" s="1041"/>
      <c r="M1236" s="1041"/>
      <c r="N1236" s="1041"/>
      <c r="O1236" s="975"/>
    </row>
    <row r="1237" spans="1:15">
      <c r="A1237" s="972"/>
      <c r="B1237" s="972"/>
      <c r="C1237" s="972"/>
      <c r="D1237" s="972"/>
      <c r="E1237" s="972"/>
      <c r="F1237" s="972"/>
      <c r="G1237" s="972"/>
      <c r="H1237" s="972"/>
      <c r="I1237" s="972"/>
      <c r="J1237" s="972"/>
      <c r="K1237" s="972"/>
      <c r="L1237" s="1041"/>
      <c r="M1237" s="1041"/>
      <c r="N1237" s="1041"/>
      <c r="O1237" s="975"/>
    </row>
    <row r="1238" spans="1:15">
      <c r="A1238" s="972"/>
      <c r="B1238" s="972"/>
      <c r="C1238" s="972"/>
      <c r="D1238" s="972"/>
      <c r="E1238" s="972"/>
      <c r="F1238" s="972"/>
      <c r="G1238" s="972"/>
      <c r="H1238" s="972"/>
      <c r="I1238" s="972"/>
      <c r="J1238" s="972"/>
      <c r="K1238" s="972"/>
      <c r="L1238" s="1041"/>
      <c r="M1238" s="1041"/>
      <c r="N1238" s="1041"/>
      <c r="O1238" s="975"/>
    </row>
    <row r="1239" spans="1:15">
      <c r="A1239" s="972"/>
      <c r="B1239" s="972"/>
      <c r="C1239" s="972"/>
      <c r="D1239" s="972"/>
      <c r="E1239" s="972"/>
      <c r="F1239" s="972"/>
      <c r="G1239" s="972"/>
      <c r="H1239" s="972"/>
      <c r="I1239" s="972"/>
      <c r="J1239" s="972"/>
      <c r="K1239" s="972"/>
      <c r="L1239" s="1041"/>
      <c r="M1239" s="1041"/>
      <c r="N1239" s="1041"/>
      <c r="O1239" s="975"/>
    </row>
    <row r="1240" spans="1:15">
      <c r="A1240" s="972"/>
      <c r="B1240" s="972"/>
      <c r="C1240" s="972"/>
      <c r="D1240" s="972"/>
      <c r="E1240" s="972"/>
      <c r="F1240" s="972"/>
      <c r="G1240" s="972"/>
      <c r="H1240" s="972"/>
      <c r="I1240" s="972"/>
      <c r="J1240" s="972"/>
      <c r="K1240" s="972"/>
      <c r="L1240" s="1041"/>
      <c r="M1240" s="1041"/>
      <c r="N1240" s="1041"/>
      <c r="O1240" s="975"/>
    </row>
    <row r="1241" spans="1:15">
      <c r="A1241" s="972"/>
      <c r="B1241" s="972"/>
      <c r="C1241" s="972"/>
      <c r="D1241" s="972"/>
      <c r="E1241" s="972"/>
      <c r="F1241" s="972"/>
      <c r="G1241" s="972"/>
      <c r="H1241" s="972"/>
      <c r="I1241" s="972"/>
      <c r="J1241" s="972"/>
      <c r="K1241" s="972"/>
      <c r="L1241" s="1041"/>
      <c r="M1241" s="1041"/>
      <c r="N1241" s="1041"/>
      <c r="O1241" s="975"/>
    </row>
    <row r="1242" spans="1:15">
      <c r="A1242" s="972"/>
      <c r="B1242" s="972"/>
      <c r="C1242" s="972"/>
      <c r="D1242" s="972"/>
      <c r="E1242" s="972"/>
      <c r="F1242" s="972"/>
      <c r="G1242" s="972"/>
      <c r="H1242" s="972"/>
      <c r="I1242" s="972"/>
      <c r="J1242" s="972"/>
      <c r="K1242" s="972"/>
      <c r="L1242" s="1041"/>
      <c r="M1242" s="1041"/>
      <c r="N1242" s="1041"/>
      <c r="O1242" s="975"/>
    </row>
    <row r="1243" spans="1:15">
      <c r="A1243" s="972"/>
      <c r="B1243" s="972"/>
      <c r="C1243" s="972"/>
      <c r="D1243" s="972"/>
      <c r="E1243" s="972"/>
      <c r="F1243" s="972"/>
      <c r="G1243" s="972"/>
      <c r="H1243" s="972"/>
      <c r="I1243" s="972"/>
      <c r="J1243" s="972"/>
      <c r="K1243" s="972"/>
      <c r="L1243" s="1041"/>
      <c r="M1243" s="1041"/>
      <c r="N1243" s="1041"/>
      <c r="O1243" s="975"/>
    </row>
    <row r="1244" spans="1:15">
      <c r="A1244" s="972"/>
      <c r="B1244" s="972"/>
      <c r="C1244" s="972"/>
      <c r="D1244" s="972"/>
      <c r="E1244" s="972"/>
      <c r="F1244" s="972"/>
      <c r="G1244" s="972"/>
      <c r="H1244" s="972"/>
      <c r="I1244" s="972"/>
      <c r="J1244" s="972"/>
      <c r="K1244" s="972"/>
      <c r="L1244" s="1041"/>
      <c r="M1244" s="1041"/>
      <c r="N1244" s="1041"/>
      <c r="O1244" s="975"/>
    </row>
    <row r="1245" spans="1:15">
      <c r="A1245" s="972"/>
      <c r="B1245" s="972"/>
      <c r="C1245" s="972"/>
      <c r="D1245" s="972"/>
      <c r="E1245" s="972"/>
      <c r="F1245" s="972"/>
      <c r="G1245" s="972"/>
      <c r="H1245" s="972"/>
      <c r="I1245" s="972"/>
      <c r="J1245" s="972"/>
      <c r="K1245" s="972"/>
      <c r="L1245" s="1041"/>
      <c r="M1245" s="1041"/>
      <c r="N1245" s="1041"/>
      <c r="O1245" s="975"/>
    </row>
    <row r="1246" spans="1:15">
      <c r="A1246" s="972"/>
      <c r="B1246" s="972"/>
      <c r="C1246" s="972"/>
      <c r="D1246" s="972"/>
      <c r="E1246" s="972"/>
      <c r="F1246" s="972"/>
      <c r="G1246" s="972"/>
      <c r="H1246" s="972"/>
      <c r="I1246" s="972"/>
      <c r="J1246" s="972"/>
      <c r="K1246" s="972"/>
      <c r="L1246" s="1041"/>
      <c r="M1246" s="1041"/>
      <c r="N1246" s="1041"/>
      <c r="O1246" s="975"/>
    </row>
    <row r="1247" spans="1:15">
      <c r="A1247" s="972"/>
      <c r="B1247" s="972"/>
      <c r="C1247" s="972"/>
      <c r="D1247" s="972"/>
      <c r="E1247" s="972"/>
      <c r="F1247" s="972"/>
      <c r="G1247" s="972"/>
      <c r="H1247" s="972"/>
      <c r="I1247" s="972"/>
      <c r="J1247" s="972"/>
      <c r="K1247" s="972"/>
      <c r="L1247" s="1041"/>
      <c r="M1247" s="1041"/>
      <c r="N1247" s="1041"/>
      <c r="O1247" s="975"/>
    </row>
    <row r="1248" spans="1:15">
      <c r="A1248" s="972"/>
      <c r="B1248" s="972"/>
      <c r="C1248" s="972"/>
      <c r="D1248" s="972"/>
      <c r="E1248" s="972"/>
      <c r="F1248" s="972"/>
      <c r="G1248" s="972"/>
      <c r="H1248" s="972"/>
      <c r="I1248" s="972"/>
      <c r="J1248" s="972"/>
      <c r="K1248" s="972"/>
      <c r="L1248" s="1041"/>
      <c r="M1248" s="1041"/>
      <c r="N1248" s="1041"/>
      <c r="O1248" s="975"/>
    </row>
    <row r="1249" spans="1:15">
      <c r="A1249" s="972"/>
      <c r="B1249" s="972"/>
      <c r="C1249" s="972"/>
      <c r="D1249" s="972"/>
      <c r="E1249" s="972"/>
      <c r="F1249" s="972"/>
      <c r="G1249" s="972"/>
      <c r="H1249" s="972"/>
      <c r="I1249" s="972"/>
      <c r="J1249" s="972"/>
      <c r="K1249" s="972"/>
      <c r="L1249" s="1041"/>
      <c r="M1249" s="1041"/>
      <c r="N1249" s="1041"/>
      <c r="O1249" s="975"/>
    </row>
    <row r="1250" spans="1:15">
      <c r="A1250" s="972"/>
      <c r="B1250" s="972"/>
      <c r="C1250" s="972"/>
      <c r="D1250" s="972"/>
      <c r="E1250" s="972"/>
      <c r="F1250" s="972"/>
      <c r="G1250" s="972"/>
      <c r="H1250" s="972"/>
      <c r="I1250" s="972"/>
      <c r="J1250" s="972"/>
      <c r="K1250" s="972"/>
      <c r="L1250" s="1041"/>
      <c r="M1250" s="1041"/>
      <c r="N1250" s="1041"/>
      <c r="O1250" s="975"/>
    </row>
    <row r="1251" spans="1:15">
      <c r="A1251" s="972"/>
      <c r="B1251" s="972"/>
      <c r="C1251" s="972"/>
      <c r="D1251" s="972"/>
      <c r="E1251" s="972"/>
      <c r="F1251" s="972"/>
      <c r="G1251" s="972"/>
      <c r="H1251" s="972"/>
      <c r="I1251" s="972"/>
      <c r="J1251" s="972"/>
      <c r="K1251" s="972"/>
      <c r="L1251" s="1041"/>
      <c r="M1251" s="1041"/>
      <c r="N1251" s="1041"/>
      <c r="O1251" s="975"/>
    </row>
    <row r="1252" spans="1:15">
      <c r="A1252" s="972"/>
      <c r="B1252" s="972"/>
      <c r="C1252" s="972"/>
      <c r="D1252" s="972"/>
      <c r="E1252" s="972"/>
      <c r="F1252" s="972"/>
      <c r="G1252" s="972"/>
      <c r="H1252" s="972"/>
      <c r="I1252" s="972"/>
      <c r="J1252" s="972"/>
      <c r="K1252" s="972"/>
      <c r="L1252" s="1041"/>
      <c r="M1252" s="1041"/>
      <c r="N1252" s="1041"/>
      <c r="O1252" s="975"/>
    </row>
    <row r="1253" spans="1:15">
      <c r="A1253" s="972"/>
      <c r="B1253" s="972"/>
      <c r="C1253" s="972"/>
      <c r="D1253" s="972"/>
      <c r="E1253" s="972"/>
      <c r="F1253" s="972"/>
      <c r="G1253" s="972"/>
      <c r="H1253" s="972"/>
      <c r="I1253" s="972"/>
      <c r="J1253" s="972"/>
      <c r="K1253" s="972"/>
      <c r="L1253" s="1041"/>
      <c r="M1253" s="1041"/>
      <c r="N1253" s="1041"/>
      <c r="O1253" s="975"/>
    </row>
    <row r="1254" spans="1:15">
      <c r="A1254" s="972"/>
      <c r="B1254" s="972"/>
      <c r="C1254" s="972"/>
      <c r="D1254" s="972"/>
      <c r="E1254" s="972"/>
      <c r="F1254" s="972"/>
      <c r="G1254" s="972"/>
      <c r="H1254" s="972"/>
      <c r="I1254" s="972"/>
      <c r="J1254" s="972"/>
      <c r="K1254" s="972"/>
      <c r="L1254" s="1041"/>
      <c r="M1254" s="1041"/>
      <c r="N1254" s="1041"/>
      <c r="O1254" s="975"/>
    </row>
    <row r="1255" spans="1:15">
      <c r="A1255" s="972"/>
      <c r="B1255" s="972"/>
      <c r="C1255" s="972"/>
      <c r="D1255" s="972"/>
      <c r="E1255" s="972"/>
      <c r="F1255" s="972"/>
      <c r="G1255" s="972"/>
      <c r="H1255" s="972"/>
      <c r="I1255" s="972"/>
      <c r="J1255" s="972"/>
      <c r="K1255" s="972"/>
      <c r="L1255" s="1041"/>
      <c r="M1255" s="1041"/>
      <c r="N1255" s="1041"/>
      <c r="O1255" s="975"/>
    </row>
    <row r="1256" spans="1:15">
      <c r="A1256" s="972"/>
      <c r="B1256" s="972"/>
      <c r="C1256" s="972"/>
      <c r="D1256" s="972"/>
      <c r="E1256" s="972"/>
      <c r="F1256" s="972"/>
      <c r="G1256" s="972"/>
      <c r="H1256" s="972"/>
      <c r="I1256" s="972"/>
      <c r="J1256" s="972"/>
      <c r="K1256" s="972"/>
      <c r="L1256" s="1041"/>
      <c r="M1256" s="1041"/>
      <c r="N1256" s="1041"/>
      <c r="O1256" s="975"/>
    </row>
    <row r="1257" spans="1:15">
      <c r="A1257" s="972"/>
      <c r="B1257" s="972"/>
      <c r="C1257" s="972"/>
      <c r="D1257" s="972"/>
      <c r="E1257" s="972"/>
      <c r="F1257" s="972"/>
      <c r="G1257" s="972"/>
      <c r="H1257" s="972"/>
      <c r="I1257" s="972"/>
      <c r="J1257" s="972"/>
      <c r="K1257" s="972"/>
      <c r="L1257" s="1041"/>
      <c r="M1257" s="1041"/>
      <c r="N1257" s="1041"/>
      <c r="O1257" s="975"/>
    </row>
    <row r="1258" spans="1:15">
      <c r="A1258" s="972"/>
      <c r="B1258" s="972"/>
      <c r="C1258" s="972"/>
      <c r="D1258" s="972"/>
      <c r="E1258" s="972"/>
      <c r="F1258" s="972"/>
      <c r="G1258" s="972"/>
      <c r="H1258" s="972"/>
      <c r="I1258" s="972"/>
      <c r="J1258" s="972"/>
      <c r="K1258" s="972"/>
      <c r="L1258" s="1041"/>
      <c r="M1258" s="1041"/>
      <c r="N1258" s="1041"/>
      <c r="O1258" s="975"/>
    </row>
    <row r="1259" spans="1:15">
      <c r="A1259" s="972"/>
      <c r="B1259" s="972"/>
      <c r="C1259" s="972"/>
      <c r="D1259" s="972"/>
      <c r="E1259" s="972"/>
      <c r="F1259" s="972"/>
      <c r="G1259" s="972"/>
      <c r="H1259" s="972"/>
      <c r="I1259" s="972"/>
      <c r="J1259" s="972"/>
      <c r="K1259" s="972"/>
      <c r="L1259" s="1041"/>
      <c r="M1259" s="1041"/>
      <c r="N1259" s="1041"/>
      <c r="O1259" s="975"/>
    </row>
    <row r="1260" spans="1:15">
      <c r="A1260" s="972"/>
      <c r="B1260" s="972"/>
      <c r="C1260" s="972"/>
      <c r="D1260" s="972"/>
      <c r="E1260" s="972"/>
      <c r="F1260" s="972"/>
      <c r="G1260" s="972"/>
      <c r="H1260" s="972"/>
      <c r="I1260" s="972"/>
      <c r="J1260" s="972"/>
      <c r="K1260" s="972"/>
      <c r="L1260" s="1041"/>
      <c r="M1260" s="1041"/>
      <c r="N1260" s="1041"/>
      <c r="O1260" s="975"/>
    </row>
    <row r="1261" spans="1:15">
      <c r="A1261" s="972"/>
      <c r="B1261" s="972"/>
      <c r="C1261" s="972"/>
      <c r="D1261" s="972"/>
      <c r="E1261" s="972"/>
      <c r="F1261" s="972"/>
      <c r="G1261" s="972"/>
      <c r="H1261" s="972"/>
      <c r="I1261" s="972"/>
      <c r="J1261" s="972"/>
      <c r="K1261" s="972"/>
      <c r="L1261" s="1041"/>
      <c r="M1261" s="1041"/>
      <c r="N1261" s="1041"/>
      <c r="O1261" s="975"/>
    </row>
    <row r="1262" spans="1:15">
      <c r="A1262" s="972"/>
      <c r="B1262" s="972"/>
      <c r="C1262" s="972"/>
      <c r="D1262" s="972"/>
      <c r="E1262" s="972"/>
      <c r="F1262" s="972"/>
      <c r="G1262" s="972"/>
      <c r="H1262" s="972"/>
      <c r="I1262" s="972"/>
      <c r="J1262" s="972"/>
      <c r="K1262" s="972"/>
      <c r="L1262" s="1041"/>
      <c r="M1262" s="1041"/>
      <c r="N1262" s="1041"/>
      <c r="O1262" s="975"/>
    </row>
    <row r="1263" spans="1:15">
      <c r="A1263" s="972"/>
      <c r="B1263" s="972"/>
      <c r="C1263" s="972"/>
      <c r="D1263" s="972"/>
      <c r="E1263" s="972"/>
      <c r="F1263" s="972"/>
      <c r="G1263" s="972"/>
      <c r="H1263" s="972"/>
      <c r="I1263" s="972"/>
      <c r="J1263" s="972"/>
      <c r="K1263" s="972"/>
      <c r="L1263" s="1041"/>
      <c r="M1263" s="1041"/>
      <c r="N1263" s="1041"/>
      <c r="O1263" s="975"/>
    </row>
    <row r="1264" spans="1:15">
      <c r="A1264" s="972"/>
      <c r="B1264" s="972"/>
      <c r="C1264" s="972"/>
      <c r="D1264" s="972"/>
      <c r="E1264" s="972"/>
      <c r="F1264" s="972"/>
      <c r="G1264" s="972"/>
      <c r="H1264" s="972"/>
      <c r="I1264" s="972"/>
      <c r="J1264" s="972"/>
      <c r="K1264" s="972"/>
      <c r="L1264" s="1041"/>
      <c r="M1264" s="1041"/>
      <c r="N1264" s="1041"/>
      <c r="O1264" s="975"/>
    </row>
    <row r="1265" spans="1:15">
      <c r="A1265" s="972"/>
      <c r="B1265" s="972"/>
      <c r="C1265" s="972"/>
      <c r="D1265" s="972"/>
      <c r="E1265" s="972"/>
      <c r="F1265" s="972"/>
      <c r="G1265" s="972"/>
      <c r="H1265" s="972"/>
      <c r="I1265" s="972"/>
      <c r="J1265" s="972"/>
      <c r="K1265" s="972"/>
      <c r="L1265" s="1041"/>
      <c r="M1265" s="1041"/>
      <c r="N1265" s="1041"/>
      <c r="O1265" s="975"/>
    </row>
    <row r="1266" spans="1:15">
      <c r="A1266" s="972"/>
      <c r="B1266" s="972"/>
      <c r="C1266" s="972"/>
      <c r="D1266" s="972"/>
      <c r="E1266" s="972"/>
      <c r="F1266" s="972"/>
      <c r="G1266" s="972"/>
      <c r="H1266" s="972"/>
      <c r="I1266" s="972"/>
      <c r="J1266" s="972"/>
      <c r="K1266" s="972"/>
      <c r="L1266" s="1041"/>
      <c r="M1266" s="1041"/>
      <c r="N1266" s="1041"/>
      <c r="O1266" s="975"/>
    </row>
    <row r="1267" spans="1:15">
      <c r="A1267" s="972"/>
      <c r="B1267" s="972"/>
      <c r="C1267" s="972"/>
      <c r="D1267" s="972"/>
      <c r="E1267" s="972"/>
      <c r="F1267" s="972"/>
      <c r="G1267" s="972"/>
      <c r="H1267" s="972"/>
      <c r="I1267" s="972"/>
      <c r="J1267" s="972"/>
      <c r="K1267" s="972"/>
      <c r="L1267" s="1041"/>
      <c r="M1267" s="1041"/>
      <c r="N1267" s="1041"/>
      <c r="O1267" s="975"/>
    </row>
    <row r="1268" spans="1:15">
      <c r="A1268" s="972"/>
      <c r="B1268" s="972"/>
      <c r="C1268" s="972"/>
      <c r="D1268" s="972"/>
      <c r="E1268" s="972"/>
      <c r="F1268" s="972"/>
      <c r="G1268" s="972"/>
      <c r="H1268" s="972"/>
      <c r="I1268" s="972"/>
      <c r="J1268" s="972"/>
      <c r="K1268" s="972"/>
      <c r="L1268" s="1041"/>
      <c r="M1268" s="1041"/>
      <c r="N1268" s="1041"/>
      <c r="O1268" s="975"/>
    </row>
    <row r="1269" spans="1:15">
      <c r="A1269" s="972"/>
      <c r="B1269" s="972"/>
      <c r="C1269" s="972"/>
      <c r="D1269" s="972"/>
      <c r="E1269" s="972"/>
      <c r="F1269" s="972"/>
      <c r="G1269" s="972"/>
      <c r="H1269" s="972"/>
      <c r="I1269" s="972"/>
      <c r="J1269" s="972"/>
      <c r="K1269" s="972"/>
      <c r="L1269" s="1041"/>
      <c r="M1269" s="1041"/>
      <c r="N1269" s="1041"/>
      <c r="O1269" s="975"/>
    </row>
    <row r="1270" spans="1:15">
      <c r="A1270" s="972"/>
      <c r="B1270" s="972"/>
      <c r="C1270" s="972"/>
      <c r="D1270" s="972"/>
      <c r="E1270" s="972"/>
      <c r="F1270" s="972"/>
      <c r="G1270" s="972"/>
      <c r="H1270" s="972"/>
      <c r="I1270" s="972"/>
      <c r="J1270" s="972"/>
      <c r="K1270" s="972"/>
      <c r="L1270" s="1041"/>
      <c r="M1270" s="1041"/>
      <c r="N1270" s="1041"/>
      <c r="O1270" s="975"/>
    </row>
    <row r="1271" spans="1:15">
      <c r="A1271" s="972"/>
      <c r="B1271" s="972"/>
      <c r="C1271" s="972"/>
      <c r="D1271" s="972"/>
      <c r="E1271" s="972"/>
      <c r="F1271" s="972"/>
      <c r="G1271" s="972"/>
      <c r="H1271" s="972"/>
      <c r="I1271" s="972"/>
      <c r="J1271" s="972"/>
      <c r="K1271" s="972"/>
      <c r="L1271" s="1041"/>
      <c r="M1271" s="1041"/>
      <c r="N1271" s="1041"/>
      <c r="O1271" s="975"/>
    </row>
    <row r="1272" spans="1:15">
      <c r="A1272" s="972"/>
      <c r="B1272" s="972"/>
      <c r="C1272" s="972"/>
      <c r="D1272" s="972"/>
      <c r="E1272" s="972"/>
      <c r="F1272" s="972"/>
      <c r="G1272" s="972"/>
      <c r="H1272" s="972"/>
      <c r="I1272" s="972"/>
      <c r="J1272" s="972"/>
      <c r="K1272" s="972"/>
      <c r="L1272" s="1041"/>
      <c r="M1272" s="1041"/>
      <c r="N1272" s="1041"/>
      <c r="O1272" s="975"/>
    </row>
    <row r="1273" spans="1:15">
      <c r="A1273" s="972"/>
      <c r="B1273" s="972"/>
      <c r="C1273" s="972"/>
      <c r="D1273" s="972"/>
      <c r="E1273" s="972"/>
      <c r="F1273" s="972"/>
      <c r="G1273" s="972"/>
      <c r="H1273" s="972"/>
      <c r="I1273" s="972"/>
      <c r="J1273" s="972"/>
      <c r="K1273" s="972"/>
      <c r="L1273" s="1041"/>
      <c r="M1273" s="1041"/>
      <c r="N1273" s="1041"/>
      <c r="O1273" s="975"/>
    </row>
    <row r="1274" spans="1:15">
      <c r="A1274" s="972"/>
      <c r="B1274" s="972"/>
      <c r="C1274" s="972"/>
      <c r="D1274" s="972"/>
      <c r="E1274" s="972"/>
      <c r="F1274" s="972"/>
      <c r="G1274" s="972"/>
      <c r="H1274" s="972"/>
      <c r="I1274" s="972"/>
      <c r="J1274" s="972"/>
      <c r="K1274" s="972"/>
      <c r="L1274" s="1041"/>
      <c r="M1274" s="1041"/>
      <c r="N1274" s="1041"/>
      <c r="O1274" s="975"/>
    </row>
    <row r="1275" spans="1:15">
      <c r="A1275" s="972"/>
      <c r="B1275" s="972"/>
      <c r="C1275" s="972"/>
      <c r="D1275" s="972"/>
      <c r="E1275" s="972"/>
      <c r="F1275" s="972"/>
      <c r="G1275" s="972"/>
      <c r="H1275" s="972"/>
      <c r="I1275" s="972"/>
      <c r="J1275" s="972"/>
      <c r="K1275" s="972"/>
      <c r="L1275" s="1041"/>
      <c r="M1275" s="1041"/>
      <c r="N1275" s="1041"/>
      <c r="O1275" s="975"/>
    </row>
    <row r="1276" spans="1:15">
      <c r="A1276" s="972"/>
      <c r="B1276" s="972"/>
      <c r="C1276" s="972"/>
      <c r="D1276" s="972"/>
      <c r="E1276" s="972"/>
      <c r="F1276" s="972"/>
      <c r="G1276" s="972"/>
      <c r="H1276" s="972"/>
      <c r="I1276" s="972"/>
      <c r="J1276" s="972"/>
      <c r="K1276" s="972"/>
      <c r="L1276" s="1041"/>
      <c r="M1276" s="1041"/>
      <c r="N1276" s="1041"/>
      <c r="O1276" s="975"/>
    </row>
    <row r="1277" spans="1:15">
      <c r="A1277" s="972"/>
      <c r="B1277" s="972"/>
      <c r="C1277" s="972"/>
      <c r="D1277" s="972"/>
      <c r="E1277" s="972"/>
      <c r="F1277" s="972"/>
      <c r="G1277" s="972"/>
      <c r="H1277" s="972"/>
      <c r="I1277" s="972"/>
      <c r="J1277" s="972"/>
      <c r="K1277" s="972"/>
      <c r="L1277" s="1041"/>
      <c r="M1277" s="1041"/>
      <c r="N1277" s="1041"/>
      <c r="O1277" s="975"/>
    </row>
    <row r="1278" spans="1:15">
      <c r="A1278" s="972"/>
      <c r="B1278" s="972"/>
      <c r="C1278" s="972"/>
      <c r="D1278" s="972"/>
      <c r="E1278" s="972"/>
      <c r="F1278" s="972"/>
      <c r="G1278" s="972"/>
      <c r="H1278" s="972"/>
      <c r="I1278" s="972"/>
      <c r="J1278" s="972"/>
      <c r="K1278" s="972"/>
      <c r="L1278" s="1041"/>
      <c r="M1278" s="1041"/>
      <c r="N1278" s="1041"/>
      <c r="O1278" s="975"/>
    </row>
    <row r="1279" spans="1:15">
      <c r="A1279" s="972"/>
      <c r="B1279" s="972"/>
      <c r="C1279" s="972"/>
      <c r="D1279" s="972"/>
      <c r="E1279" s="972"/>
      <c r="F1279" s="972"/>
      <c r="G1279" s="972"/>
      <c r="H1279" s="972"/>
      <c r="I1279" s="972"/>
      <c r="J1279" s="972"/>
      <c r="K1279" s="972"/>
      <c r="L1279" s="1041"/>
      <c r="M1279" s="1041"/>
      <c r="N1279" s="1041"/>
      <c r="O1279" s="975"/>
    </row>
    <row r="1280" spans="1:15">
      <c r="A1280" s="972"/>
      <c r="B1280" s="972"/>
      <c r="C1280" s="972"/>
      <c r="D1280" s="972"/>
      <c r="E1280" s="972"/>
      <c r="F1280" s="972"/>
      <c r="G1280" s="972"/>
      <c r="H1280" s="972"/>
      <c r="I1280" s="972"/>
      <c r="J1280" s="972"/>
      <c r="K1280" s="972"/>
      <c r="L1280" s="1041"/>
      <c r="M1280" s="1041"/>
      <c r="N1280" s="1041"/>
      <c r="O1280" s="975"/>
    </row>
    <row r="1281" spans="1:15">
      <c r="A1281" s="972"/>
      <c r="B1281" s="972"/>
      <c r="C1281" s="972"/>
      <c r="D1281" s="972"/>
      <c r="E1281" s="972"/>
      <c r="F1281" s="972"/>
      <c r="G1281" s="972"/>
      <c r="H1281" s="972"/>
      <c r="I1281" s="972"/>
      <c r="J1281" s="972"/>
      <c r="K1281" s="972"/>
      <c r="L1281" s="1041"/>
      <c r="M1281" s="1041"/>
      <c r="N1281" s="1041"/>
      <c r="O1281" s="975"/>
    </row>
    <row r="1282" spans="1:15">
      <c r="A1282" s="972"/>
      <c r="B1282" s="972"/>
      <c r="C1282" s="972"/>
      <c r="D1282" s="972"/>
      <c r="E1282" s="972"/>
      <c r="F1282" s="972"/>
      <c r="G1282" s="972"/>
      <c r="H1282" s="972"/>
      <c r="I1282" s="972"/>
      <c r="J1282" s="972"/>
      <c r="K1282" s="972"/>
      <c r="L1282" s="1041"/>
      <c r="M1282" s="1041"/>
      <c r="N1282" s="1041"/>
      <c r="O1282" s="975"/>
    </row>
    <row r="1283" spans="1:15">
      <c r="A1283" s="972"/>
      <c r="B1283" s="972"/>
      <c r="C1283" s="972"/>
      <c r="D1283" s="972"/>
      <c r="E1283" s="972"/>
      <c r="F1283" s="972"/>
      <c r="G1283" s="972"/>
      <c r="H1283" s="972"/>
      <c r="I1283" s="972"/>
      <c r="J1283" s="972"/>
      <c r="K1283" s="972"/>
      <c r="L1283" s="1041"/>
      <c r="M1283" s="1041"/>
      <c r="N1283" s="1041"/>
      <c r="O1283" s="975"/>
    </row>
    <row r="1284" spans="1:15">
      <c r="A1284" s="972"/>
      <c r="B1284" s="972"/>
      <c r="C1284" s="972"/>
      <c r="D1284" s="972"/>
      <c r="E1284" s="972"/>
      <c r="F1284" s="972"/>
      <c r="G1284" s="972"/>
      <c r="H1284" s="972"/>
      <c r="I1284" s="972"/>
      <c r="J1284" s="972"/>
      <c r="K1284" s="972"/>
      <c r="L1284" s="1041"/>
      <c r="M1284" s="1041"/>
      <c r="N1284" s="1041"/>
      <c r="O1284" s="975"/>
    </row>
    <row r="1285" spans="1:15">
      <c r="A1285" s="972"/>
      <c r="B1285" s="972"/>
      <c r="C1285" s="972"/>
      <c r="D1285" s="972"/>
      <c r="E1285" s="972"/>
      <c r="F1285" s="972"/>
      <c r="G1285" s="972"/>
      <c r="H1285" s="972"/>
      <c r="I1285" s="972"/>
      <c r="J1285" s="972"/>
      <c r="K1285" s="972"/>
      <c r="L1285" s="1041"/>
      <c r="M1285" s="1041"/>
      <c r="N1285" s="1041"/>
      <c r="O1285" s="975"/>
    </row>
    <row r="1286" spans="1:15">
      <c r="A1286" s="972"/>
      <c r="B1286" s="972"/>
      <c r="C1286" s="972"/>
      <c r="D1286" s="972"/>
      <c r="E1286" s="972"/>
      <c r="F1286" s="972"/>
      <c r="G1286" s="972"/>
      <c r="H1286" s="972"/>
      <c r="I1286" s="972"/>
      <c r="J1286" s="972"/>
      <c r="K1286" s="972"/>
      <c r="L1286" s="1041"/>
      <c r="M1286" s="1041"/>
      <c r="N1286" s="1041"/>
      <c r="O1286" s="975"/>
    </row>
    <row r="1287" spans="1:15">
      <c r="A1287" s="972"/>
      <c r="B1287" s="972"/>
      <c r="C1287" s="972"/>
      <c r="D1287" s="972"/>
      <c r="E1287" s="972"/>
      <c r="F1287" s="972"/>
      <c r="G1287" s="972"/>
      <c r="H1287" s="972"/>
      <c r="I1287" s="972"/>
      <c r="J1287" s="972"/>
      <c r="K1287" s="972"/>
      <c r="L1287" s="1041"/>
      <c r="M1287" s="1041"/>
      <c r="N1287" s="1041"/>
      <c r="O1287" s="975"/>
    </row>
    <row r="1288" spans="1:15">
      <c r="A1288" s="972"/>
      <c r="B1288" s="972"/>
      <c r="C1288" s="972"/>
      <c r="D1288" s="972"/>
      <c r="E1288" s="972"/>
      <c r="F1288" s="972"/>
      <c r="G1288" s="972"/>
      <c r="H1288" s="972"/>
      <c r="I1288" s="972"/>
      <c r="J1288" s="972"/>
      <c r="K1288" s="972"/>
      <c r="L1288" s="1041"/>
      <c r="M1288" s="1041"/>
      <c r="N1288" s="1041"/>
      <c r="O1288" s="975"/>
    </row>
    <row r="1289" spans="1:15">
      <c r="A1289" s="972"/>
      <c r="B1289" s="972"/>
      <c r="C1289" s="972"/>
      <c r="D1289" s="972"/>
      <c r="E1289" s="972"/>
      <c r="F1289" s="972"/>
      <c r="G1289" s="972"/>
      <c r="H1289" s="972"/>
      <c r="I1289" s="972"/>
      <c r="J1289" s="972"/>
      <c r="K1289" s="972"/>
      <c r="L1289" s="1041"/>
      <c r="M1289" s="1041"/>
      <c r="N1289" s="1041"/>
      <c r="O1289" s="975"/>
    </row>
    <row r="1290" spans="1:15">
      <c r="A1290" s="972"/>
      <c r="B1290" s="972"/>
      <c r="C1290" s="972"/>
      <c r="D1290" s="972"/>
      <c r="E1290" s="972"/>
      <c r="F1290" s="972"/>
      <c r="G1290" s="972"/>
      <c r="H1290" s="972"/>
      <c r="I1290" s="972"/>
      <c r="J1290" s="972"/>
      <c r="K1290" s="972"/>
      <c r="L1290" s="1041"/>
      <c r="M1290" s="1041"/>
      <c r="N1290" s="1041"/>
      <c r="O1290" s="975"/>
    </row>
    <row r="1291" spans="1:15">
      <c r="A1291" s="972"/>
      <c r="B1291" s="972"/>
      <c r="C1291" s="972"/>
      <c r="D1291" s="972"/>
      <c r="E1291" s="972"/>
      <c r="F1291" s="972"/>
      <c r="G1291" s="972"/>
      <c r="H1291" s="972"/>
      <c r="I1291" s="972"/>
      <c r="J1291" s="972"/>
      <c r="K1291" s="972"/>
      <c r="L1291" s="1041"/>
      <c r="M1291" s="1041"/>
      <c r="N1291" s="1041"/>
      <c r="O1291" s="975"/>
    </row>
    <row r="1292" spans="1:15">
      <c r="A1292" s="972"/>
      <c r="B1292" s="972"/>
      <c r="C1292" s="972"/>
      <c r="D1292" s="972"/>
      <c r="E1292" s="972"/>
      <c r="F1292" s="972"/>
      <c r="G1292" s="972"/>
      <c r="H1292" s="972"/>
      <c r="I1292" s="972"/>
      <c r="J1292" s="972"/>
      <c r="K1292" s="972"/>
      <c r="L1292" s="1041"/>
      <c r="M1292" s="1041"/>
      <c r="N1292" s="1041"/>
      <c r="O1292" s="975"/>
    </row>
    <row r="1293" spans="1:15">
      <c r="A1293" s="972"/>
      <c r="B1293" s="972"/>
      <c r="C1293" s="972"/>
      <c r="D1293" s="972"/>
      <c r="E1293" s="972"/>
      <c r="F1293" s="972"/>
      <c r="G1293" s="972"/>
      <c r="H1293" s="972"/>
      <c r="I1293" s="972"/>
      <c r="J1293" s="972"/>
      <c r="K1293" s="972"/>
      <c r="L1293" s="1041"/>
      <c r="M1293" s="1041"/>
      <c r="N1293" s="1041"/>
      <c r="O1293" s="975"/>
    </row>
    <row r="1294" spans="1:15">
      <c r="A1294" s="972"/>
      <c r="B1294" s="972"/>
      <c r="C1294" s="972"/>
      <c r="D1294" s="972"/>
      <c r="E1294" s="972"/>
      <c r="F1294" s="972"/>
      <c r="G1294" s="972"/>
      <c r="H1294" s="972"/>
      <c r="I1294" s="972"/>
      <c r="J1294" s="972"/>
      <c r="K1294" s="972"/>
      <c r="L1294" s="1041"/>
      <c r="M1294" s="1041"/>
      <c r="N1294" s="1041"/>
      <c r="O1294" s="975"/>
    </row>
    <row r="1295" spans="1:15">
      <c r="A1295" s="972"/>
      <c r="B1295" s="972"/>
      <c r="C1295" s="972"/>
      <c r="D1295" s="972"/>
      <c r="E1295" s="972"/>
      <c r="F1295" s="972"/>
      <c r="G1295" s="972"/>
      <c r="H1295" s="972"/>
      <c r="I1295" s="972"/>
      <c r="J1295" s="972"/>
      <c r="K1295" s="972"/>
      <c r="L1295" s="1041"/>
      <c r="M1295" s="1041"/>
      <c r="N1295" s="1041"/>
      <c r="O1295" s="975"/>
    </row>
    <row r="1296" spans="1:15">
      <c r="A1296" s="972"/>
      <c r="B1296" s="972"/>
      <c r="C1296" s="972"/>
      <c r="D1296" s="972"/>
      <c r="E1296" s="972"/>
      <c r="F1296" s="972"/>
      <c r="G1296" s="972"/>
      <c r="H1296" s="972"/>
      <c r="I1296" s="972"/>
      <c r="J1296" s="972"/>
      <c r="K1296" s="972"/>
      <c r="L1296" s="1041"/>
      <c r="M1296" s="1041"/>
      <c r="N1296" s="1041"/>
      <c r="O1296" s="975"/>
    </row>
    <row r="1297" spans="1:15">
      <c r="A1297" s="972"/>
      <c r="B1297" s="972"/>
      <c r="C1297" s="972"/>
      <c r="D1297" s="972"/>
      <c r="E1297" s="972"/>
      <c r="F1297" s="972"/>
      <c r="G1297" s="972"/>
      <c r="H1297" s="972"/>
      <c r="I1297" s="972"/>
      <c r="J1297" s="972"/>
      <c r="K1297" s="972"/>
      <c r="L1297" s="1041"/>
      <c r="M1297" s="1041"/>
      <c r="N1297" s="1041"/>
      <c r="O1297" s="975"/>
    </row>
    <row r="1298" spans="1:15">
      <c r="A1298" s="972"/>
      <c r="B1298" s="972"/>
      <c r="C1298" s="972"/>
      <c r="D1298" s="972"/>
      <c r="E1298" s="972"/>
      <c r="F1298" s="972"/>
      <c r="G1298" s="972"/>
      <c r="H1298" s="972"/>
      <c r="I1298" s="972"/>
      <c r="J1298" s="972"/>
      <c r="K1298" s="972"/>
      <c r="L1298" s="1041"/>
      <c r="M1298" s="1041"/>
      <c r="N1298" s="1041"/>
      <c r="O1298" s="975"/>
    </row>
    <row r="1299" spans="1:15">
      <c r="A1299" s="972"/>
      <c r="B1299" s="972"/>
      <c r="C1299" s="972"/>
      <c r="D1299" s="972"/>
      <c r="E1299" s="972"/>
      <c r="F1299" s="972"/>
      <c r="G1299" s="972"/>
      <c r="H1299" s="972"/>
      <c r="I1299" s="972"/>
      <c r="J1299" s="972"/>
      <c r="K1299" s="972"/>
      <c r="L1299" s="1041"/>
      <c r="M1299" s="1041"/>
      <c r="N1299" s="1041"/>
      <c r="O1299" s="975"/>
    </row>
    <row r="1300" spans="1:15">
      <c r="A1300" s="972"/>
      <c r="B1300" s="972"/>
      <c r="C1300" s="972"/>
      <c r="D1300" s="972"/>
      <c r="E1300" s="972"/>
      <c r="F1300" s="972"/>
      <c r="G1300" s="972"/>
      <c r="H1300" s="972"/>
      <c r="I1300" s="972"/>
      <c r="J1300" s="972"/>
      <c r="K1300" s="972"/>
      <c r="L1300" s="1041"/>
      <c r="M1300" s="1041"/>
      <c r="N1300" s="1041"/>
      <c r="O1300" s="975"/>
    </row>
    <row r="1301" spans="1:15">
      <c r="A1301" s="972"/>
      <c r="B1301" s="972"/>
      <c r="C1301" s="972"/>
      <c r="D1301" s="972"/>
      <c r="E1301" s="972"/>
      <c r="F1301" s="972"/>
      <c r="G1301" s="972"/>
      <c r="H1301" s="972"/>
      <c r="I1301" s="972"/>
      <c r="J1301" s="972"/>
      <c r="K1301" s="972"/>
      <c r="L1301" s="1041"/>
      <c r="M1301" s="1041"/>
      <c r="N1301" s="1041"/>
      <c r="O1301" s="975"/>
    </row>
    <row r="1302" spans="1:15">
      <c r="A1302" s="972"/>
      <c r="B1302" s="972"/>
      <c r="C1302" s="972"/>
      <c r="D1302" s="972"/>
      <c r="E1302" s="972"/>
      <c r="F1302" s="972"/>
      <c r="G1302" s="972"/>
      <c r="H1302" s="972"/>
      <c r="I1302" s="972"/>
      <c r="J1302" s="972"/>
      <c r="K1302" s="972"/>
      <c r="L1302" s="1041"/>
      <c r="M1302" s="1041"/>
      <c r="N1302" s="1041"/>
      <c r="O1302" s="975"/>
    </row>
    <row r="1303" spans="1:15">
      <c r="A1303" s="972"/>
      <c r="B1303" s="972"/>
      <c r="C1303" s="972"/>
      <c r="D1303" s="972"/>
      <c r="E1303" s="972"/>
      <c r="F1303" s="972"/>
      <c r="G1303" s="972"/>
      <c r="H1303" s="972"/>
      <c r="I1303" s="972"/>
      <c r="J1303" s="972"/>
      <c r="K1303" s="972"/>
      <c r="L1303" s="1041"/>
      <c r="M1303" s="1041"/>
      <c r="N1303" s="1041"/>
      <c r="O1303" s="975"/>
    </row>
    <row r="1304" spans="1:15">
      <c r="A1304" s="972"/>
      <c r="B1304" s="972"/>
      <c r="C1304" s="972"/>
      <c r="D1304" s="972"/>
      <c r="E1304" s="972"/>
      <c r="F1304" s="972"/>
      <c r="G1304" s="972"/>
      <c r="H1304" s="972"/>
      <c r="I1304" s="972"/>
      <c r="J1304" s="972"/>
      <c r="K1304" s="972"/>
      <c r="L1304" s="1041"/>
      <c r="M1304" s="1041"/>
      <c r="N1304" s="1041"/>
      <c r="O1304" s="975"/>
    </row>
    <row r="1305" spans="1:15">
      <c r="A1305" s="972"/>
      <c r="B1305" s="972"/>
      <c r="C1305" s="972"/>
      <c r="D1305" s="972"/>
      <c r="E1305" s="972"/>
      <c r="F1305" s="972"/>
      <c r="G1305" s="972"/>
      <c r="H1305" s="972"/>
      <c r="I1305" s="972"/>
      <c r="J1305" s="972"/>
      <c r="K1305" s="972"/>
      <c r="L1305" s="1041"/>
      <c r="M1305" s="1041"/>
      <c r="N1305" s="1041"/>
      <c r="O1305" s="975"/>
    </row>
    <row r="1306" spans="1:15">
      <c r="A1306" s="972"/>
      <c r="B1306" s="972"/>
      <c r="C1306" s="972"/>
      <c r="D1306" s="972"/>
      <c r="E1306" s="972"/>
      <c r="F1306" s="972"/>
      <c r="G1306" s="972"/>
      <c r="H1306" s="972"/>
      <c r="I1306" s="972"/>
      <c r="J1306" s="972"/>
      <c r="K1306" s="972"/>
      <c r="L1306" s="1041"/>
      <c r="M1306" s="1041"/>
      <c r="N1306" s="1041"/>
      <c r="O1306" s="975"/>
    </row>
    <row r="1307" spans="1:15">
      <c r="A1307" s="972"/>
      <c r="B1307" s="972"/>
      <c r="C1307" s="972"/>
      <c r="D1307" s="972"/>
      <c r="E1307" s="972"/>
      <c r="F1307" s="972"/>
      <c r="G1307" s="972"/>
      <c r="H1307" s="972"/>
      <c r="I1307" s="972"/>
      <c r="J1307" s="972"/>
      <c r="K1307" s="972"/>
      <c r="L1307" s="1041"/>
      <c r="M1307" s="1041"/>
      <c r="N1307" s="1041"/>
      <c r="O1307" s="975"/>
    </row>
    <row r="1308" spans="1:15">
      <c r="A1308" s="972"/>
      <c r="B1308" s="972"/>
      <c r="C1308" s="972"/>
      <c r="D1308" s="972"/>
      <c r="E1308" s="972"/>
      <c r="F1308" s="972"/>
      <c r="G1308" s="972"/>
      <c r="H1308" s="972"/>
      <c r="I1308" s="972"/>
      <c r="J1308" s="972"/>
      <c r="K1308" s="972"/>
      <c r="L1308" s="1041"/>
      <c r="M1308" s="1041"/>
      <c r="N1308" s="1041"/>
      <c r="O1308" s="975"/>
    </row>
    <row r="1309" spans="1:15">
      <c r="A1309" s="972"/>
      <c r="B1309" s="972"/>
      <c r="C1309" s="972"/>
      <c r="D1309" s="972"/>
      <c r="E1309" s="972"/>
      <c r="F1309" s="972"/>
      <c r="G1309" s="972"/>
      <c r="H1309" s="972"/>
      <c r="I1309" s="972"/>
      <c r="J1309" s="972"/>
      <c r="K1309" s="972"/>
      <c r="L1309" s="1041"/>
      <c r="M1309" s="1041"/>
      <c r="N1309" s="1041"/>
      <c r="O1309" s="975"/>
    </row>
    <row r="1310" spans="1:15">
      <c r="A1310" s="972"/>
      <c r="B1310" s="972"/>
      <c r="C1310" s="972"/>
      <c r="D1310" s="972"/>
      <c r="E1310" s="972"/>
      <c r="F1310" s="972"/>
      <c r="G1310" s="972"/>
      <c r="H1310" s="972"/>
      <c r="I1310" s="972"/>
      <c r="J1310" s="972"/>
      <c r="K1310" s="972"/>
      <c r="L1310" s="1041"/>
      <c r="M1310" s="1041"/>
      <c r="N1310" s="1041"/>
      <c r="O1310" s="975"/>
    </row>
    <row r="1311" spans="1:15">
      <c r="A1311" s="972"/>
      <c r="B1311" s="972"/>
      <c r="C1311" s="972"/>
      <c r="D1311" s="972"/>
      <c r="E1311" s="972"/>
      <c r="F1311" s="972"/>
      <c r="G1311" s="972"/>
      <c r="H1311" s="972"/>
      <c r="I1311" s="972"/>
      <c r="J1311" s="972"/>
      <c r="K1311" s="972"/>
      <c r="L1311" s="1041"/>
      <c r="M1311" s="1041"/>
      <c r="N1311" s="1041"/>
      <c r="O1311" s="975"/>
    </row>
    <row r="1312" spans="1:15">
      <c r="A1312" s="972"/>
      <c r="B1312" s="972"/>
      <c r="C1312" s="972"/>
      <c r="D1312" s="972"/>
      <c r="E1312" s="972"/>
      <c r="F1312" s="972"/>
      <c r="G1312" s="972"/>
      <c r="H1312" s="972"/>
      <c r="I1312" s="972"/>
      <c r="J1312" s="972"/>
      <c r="K1312" s="972"/>
      <c r="L1312" s="1041"/>
      <c r="M1312" s="1041"/>
      <c r="N1312" s="1041"/>
      <c r="O1312" s="975"/>
    </row>
    <row r="1313" spans="1:15">
      <c r="A1313" s="972"/>
      <c r="B1313" s="972"/>
      <c r="C1313" s="972"/>
      <c r="D1313" s="972"/>
      <c r="E1313" s="972"/>
      <c r="F1313" s="972"/>
      <c r="G1313" s="972"/>
      <c r="H1313" s="972"/>
      <c r="I1313" s="972"/>
      <c r="J1313" s="972"/>
      <c r="K1313" s="972"/>
      <c r="L1313" s="1041"/>
      <c r="M1313" s="1041"/>
      <c r="N1313" s="1041"/>
      <c r="O1313" s="975"/>
    </row>
    <row r="1314" spans="1:15">
      <c r="A1314" s="972"/>
      <c r="B1314" s="972"/>
      <c r="C1314" s="972"/>
      <c r="D1314" s="972"/>
      <c r="E1314" s="972"/>
      <c r="F1314" s="972"/>
      <c r="G1314" s="972"/>
      <c r="H1314" s="972"/>
      <c r="I1314" s="972"/>
      <c r="J1314" s="972"/>
      <c r="K1314" s="972"/>
      <c r="L1314" s="1041"/>
      <c r="M1314" s="1041"/>
      <c r="N1314" s="1041"/>
      <c r="O1314" s="975"/>
    </row>
    <row r="1315" spans="1:15">
      <c r="A1315" s="972"/>
      <c r="B1315" s="972"/>
      <c r="C1315" s="972"/>
      <c r="D1315" s="972"/>
      <c r="E1315" s="972"/>
      <c r="F1315" s="972"/>
      <c r="G1315" s="972"/>
      <c r="H1315" s="972"/>
      <c r="I1315" s="972"/>
      <c r="J1315" s="972"/>
      <c r="K1315" s="972"/>
      <c r="L1315" s="1041"/>
      <c r="M1315" s="1041"/>
      <c r="N1315" s="1041"/>
      <c r="O1315" s="975"/>
    </row>
    <row r="1316" spans="1:15">
      <c r="A1316" s="972"/>
      <c r="B1316" s="972"/>
      <c r="C1316" s="972"/>
      <c r="D1316" s="972"/>
      <c r="E1316" s="972"/>
      <c r="F1316" s="972"/>
      <c r="G1316" s="972"/>
      <c r="H1316" s="972"/>
      <c r="I1316" s="972"/>
      <c r="J1316" s="972"/>
      <c r="K1316" s="972"/>
      <c r="L1316" s="1041"/>
      <c r="M1316" s="1041"/>
      <c r="N1316" s="1041"/>
      <c r="O1316" s="975"/>
    </row>
    <row r="1317" spans="1:15">
      <c r="A1317" s="972"/>
      <c r="B1317" s="972"/>
      <c r="C1317" s="972"/>
      <c r="D1317" s="972"/>
      <c r="E1317" s="972"/>
      <c r="F1317" s="972"/>
      <c r="G1317" s="972"/>
      <c r="H1317" s="972"/>
      <c r="I1317" s="972"/>
      <c r="J1317" s="972"/>
      <c r="K1317" s="972"/>
      <c r="L1317" s="1041"/>
      <c r="M1317" s="1041"/>
      <c r="N1317" s="1041"/>
      <c r="O1317" s="975"/>
    </row>
    <row r="1318" spans="1:15">
      <c r="A1318" s="972"/>
      <c r="B1318" s="972"/>
      <c r="C1318" s="972"/>
      <c r="D1318" s="972"/>
      <c r="E1318" s="972"/>
      <c r="F1318" s="972"/>
      <c r="G1318" s="972"/>
      <c r="H1318" s="972"/>
      <c r="I1318" s="972"/>
      <c r="J1318" s="972"/>
      <c r="K1318" s="972"/>
      <c r="L1318" s="1041"/>
      <c r="M1318" s="1041"/>
      <c r="N1318" s="1041"/>
      <c r="O1318" s="975"/>
    </row>
    <row r="1319" spans="1:15">
      <c r="A1319" s="972"/>
      <c r="B1319" s="972"/>
      <c r="C1319" s="972"/>
      <c r="D1319" s="972"/>
      <c r="E1319" s="972"/>
      <c r="F1319" s="972"/>
      <c r="G1319" s="972"/>
      <c r="H1319" s="972"/>
      <c r="I1319" s="972"/>
      <c r="J1319" s="972"/>
      <c r="K1319" s="972"/>
      <c r="L1319" s="1041"/>
      <c r="M1319" s="1041"/>
      <c r="N1319" s="1041"/>
      <c r="O1319" s="975"/>
    </row>
    <row r="1320" spans="1:15">
      <c r="A1320" s="972"/>
      <c r="B1320" s="972"/>
      <c r="C1320" s="972"/>
      <c r="D1320" s="972"/>
      <c r="E1320" s="972"/>
      <c r="F1320" s="972"/>
      <c r="G1320" s="972"/>
      <c r="H1320" s="972"/>
      <c r="I1320" s="972"/>
      <c r="J1320" s="972"/>
      <c r="K1320" s="972"/>
      <c r="L1320" s="1041"/>
      <c r="M1320" s="1041"/>
      <c r="N1320" s="1041"/>
      <c r="O1320" s="975"/>
    </row>
    <row r="1321" spans="1:15">
      <c r="A1321" s="972"/>
      <c r="B1321" s="972"/>
      <c r="C1321" s="972"/>
      <c r="D1321" s="972"/>
      <c r="E1321" s="972"/>
      <c r="F1321" s="972"/>
      <c r="G1321" s="972"/>
      <c r="H1321" s="972"/>
      <c r="I1321" s="972"/>
      <c r="J1321" s="972"/>
      <c r="K1321" s="972"/>
      <c r="L1321" s="1041"/>
      <c r="M1321" s="1041"/>
      <c r="N1321" s="1041"/>
      <c r="O1321" s="975"/>
    </row>
    <row r="1322" spans="1:15">
      <c r="A1322" s="972"/>
      <c r="B1322" s="972"/>
      <c r="C1322" s="972"/>
      <c r="D1322" s="972"/>
      <c r="E1322" s="972"/>
      <c r="F1322" s="972"/>
      <c r="G1322" s="972"/>
      <c r="H1322" s="972"/>
      <c r="I1322" s="972"/>
      <c r="J1322" s="972"/>
      <c r="K1322" s="972"/>
      <c r="L1322" s="1041"/>
      <c r="M1322" s="1041"/>
      <c r="N1322" s="1041"/>
      <c r="O1322" s="975"/>
    </row>
    <row r="1323" spans="1:15">
      <c r="A1323" s="972"/>
      <c r="B1323" s="972"/>
      <c r="C1323" s="972"/>
      <c r="D1323" s="972"/>
      <c r="E1323" s="972"/>
      <c r="F1323" s="972"/>
      <c r="G1323" s="972"/>
      <c r="H1323" s="972"/>
      <c r="I1323" s="972"/>
      <c r="J1323" s="972"/>
      <c r="K1323" s="972"/>
      <c r="L1323" s="1041"/>
      <c r="M1323" s="1041"/>
      <c r="N1323" s="1041"/>
      <c r="O1323" s="975"/>
    </row>
    <row r="1324" spans="1:15">
      <c r="A1324" s="972"/>
      <c r="B1324" s="972"/>
      <c r="C1324" s="972"/>
      <c r="D1324" s="972"/>
      <c r="E1324" s="972"/>
      <c r="F1324" s="972"/>
      <c r="G1324" s="972"/>
      <c r="H1324" s="972"/>
      <c r="I1324" s="972"/>
      <c r="J1324" s="972"/>
      <c r="K1324" s="972"/>
      <c r="L1324" s="1041"/>
      <c r="M1324" s="1041"/>
      <c r="N1324" s="1041"/>
      <c r="O1324" s="975"/>
    </row>
    <row r="1325" spans="1:15">
      <c r="A1325" s="972"/>
      <c r="B1325" s="972"/>
      <c r="C1325" s="972"/>
      <c r="D1325" s="972"/>
      <c r="E1325" s="972"/>
      <c r="F1325" s="972"/>
      <c r="G1325" s="972"/>
      <c r="H1325" s="972"/>
      <c r="I1325" s="972"/>
      <c r="J1325" s="972"/>
      <c r="K1325" s="972"/>
      <c r="L1325" s="1041"/>
      <c r="M1325" s="1041"/>
      <c r="N1325" s="1041"/>
      <c r="O1325" s="975"/>
    </row>
    <row r="1326" spans="1:15">
      <c r="A1326" s="972"/>
      <c r="B1326" s="972"/>
      <c r="C1326" s="972"/>
      <c r="D1326" s="972"/>
      <c r="E1326" s="972"/>
      <c r="F1326" s="972"/>
      <c r="G1326" s="972"/>
      <c r="H1326" s="972"/>
      <c r="I1326" s="972"/>
      <c r="J1326" s="972"/>
      <c r="K1326" s="972"/>
      <c r="L1326" s="1041"/>
      <c r="M1326" s="1041"/>
      <c r="N1326" s="1041"/>
      <c r="O1326" s="975"/>
    </row>
    <row r="1327" spans="1:15">
      <c r="A1327" s="972"/>
      <c r="B1327" s="972"/>
      <c r="C1327" s="972"/>
      <c r="D1327" s="972"/>
      <c r="E1327" s="972"/>
      <c r="F1327" s="972"/>
      <c r="G1327" s="972"/>
      <c r="H1327" s="972"/>
      <c r="I1327" s="972"/>
      <c r="J1327" s="972"/>
      <c r="K1327" s="972"/>
      <c r="L1327" s="1041"/>
      <c r="M1327" s="1041"/>
      <c r="N1327" s="1041"/>
      <c r="O1327" s="975"/>
    </row>
    <row r="1328" spans="1:15">
      <c r="A1328" s="972"/>
      <c r="B1328" s="972"/>
      <c r="C1328" s="972"/>
      <c r="D1328" s="972"/>
      <c r="E1328" s="972"/>
      <c r="F1328" s="972"/>
      <c r="G1328" s="972"/>
      <c r="H1328" s="972"/>
      <c r="I1328" s="972"/>
      <c r="J1328" s="972"/>
      <c r="K1328" s="972"/>
      <c r="L1328" s="1041"/>
      <c r="M1328" s="1041"/>
      <c r="N1328" s="1041"/>
      <c r="O1328" s="975"/>
    </row>
    <row r="1329" spans="1:15">
      <c r="A1329" s="972"/>
      <c r="B1329" s="972"/>
      <c r="C1329" s="972"/>
      <c r="D1329" s="972"/>
      <c r="E1329" s="972"/>
      <c r="F1329" s="972"/>
      <c r="G1329" s="972"/>
      <c r="H1329" s="972"/>
      <c r="I1329" s="972"/>
      <c r="J1329" s="972"/>
      <c r="K1329" s="972"/>
      <c r="L1329" s="1041"/>
      <c r="M1329" s="1041"/>
      <c r="N1329" s="1041"/>
      <c r="O1329" s="975"/>
    </row>
    <row r="1330" spans="1:15">
      <c r="A1330" s="972"/>
      <c r="B1330" s="972"/>
      <c r="C1330" s="972"/>
      <c r="D1330" s="972"/>
      <c r="E1330" s="972"/>
      <c r="F1330" s="972"/>
      <c r="G1330" s="972"/>
      <c r="H1330" s="972"/>
      <c r="I1330" s="972"/>
      <c r="J1330" s="972"/>
      <c r="K1330" s="972"/>
      <c r="L1330" s="1041"/>
      <c r="M1330" s="1041"/>
      <c r="N1330" s="1041"/>
      <c r="O1330" s="975"/>
    </row>
    <row r="1331" spans="1:15">
      <c r="A1331" s="972"/>
      <c r="B1331" s="972"/>
      <c r="C1331" s="972"/>
      <c r="D1331" s="972"/>
      <c r="E1331" s="972"/>
      <c r="F1331" s="972"/>
      <c r="G1331" s="972"/>
      <c r="H1331" s="972"/>
      <c r="I1331" s="972"/>
      <c r="J1331" s="972"/>
      <c r="K1331" s="972"/>
      <c r="L1331" s="1041"/>
      <c r="M1331" s="1041"/>
      <c r="N1331" s="1041"/>
      <c r="O1331" s="975"/>
    </row>
    <row r="1332" spans="1:15">
      <c r="A1332" s="972"/>
      <c r="B1332" s="972"/>
      <c r="C1332" s="972"/>
      <c r="D1332" s="972"/>
      <c r="E1332" s="972"/>
      <c r="F1332" s="972"/>
      <c r="G1332" s="972"/>
      <c r="H1332" s="972"/>
      <c r="I1332" s="972"/>
      <c r="J1332" s="972"/>
      <c r="K1332" s="972"/>
      <c r="L1332" s="1041"/>
      <c r="M1332" s="1041"/>
      <c r="N1332" s="1041"/>
      <c r="O1332" s="975"/>
    </row>
    <row r="1333" spans="1:15">
      <c r="A1333" s="972"/>
      <c r="B1333" s="972"/>
      <c r="C1333" s="972"/>
      <c r="D1333" s="972"/>
      <c r="E1333" s="972"/>
      <c r="F1333" s="972"/>
      <c r="G1333" s="972"/>
      <c r="H1333" s="972"/>
      <c r="I1333" s="972"/>
      <c r="J1333" s="972"/>
      <c r="K1333" s="972"/>
      <c r="L1333" s="1041"/>
      <c r="M1333" s="1041"/>
      <c r="N1333" s="1041"/>
      <c r="O1333" s="975"/>
    </row>
    <row r="1334" spans="1:15">
      <c r="A1334" s="972"/>
      <c r="B1334" s="972"/>
      <c r="C1334" s="972"/>
      <c r="D1334" s="972"/>
      <c r="E1334" s="972"/>
      <c r="F1334" s="972"/>
      <c r="G1334" s="972"/>
      <c r="H1334" s="972"/>
      <c r="I1334" s="972"/>
      <c r="J1334" s="972"/>
      <c r="K1334" s="972"/>
      <c r="L1334" s="1041"/>
      <c r="M1334" s="1041"/>
      <c r="N1334" s="1041"/>
      <c r="O1334" s="975"/>
    </row>
    <row r="1335" spans="1:15">
      <c r="A1335" s="972"/>
      <c r="B1335" s="972"/>
      <c r="C1335" s="972"/>
      <c r="D1335" s="972"/>
      <c r="E1335" s="972"/>
      <c r="F1335" s="972"/>
      <c r="G1335" s="972"/>
      <c r="H1335" s="972"/>
      <c r="I1335" s="972"/>
      <c r="J1335" s="972"/>
      <c r="K1335" s="972"/>
      <c r="L1335" s="1041"/>
      <c r="M1335" s="1041"/>
      <c r="N1335" s="1041"/>
      <c r="O1335" s="975"/>
    </row>
    <row r="1336" spans="1:15">
      <c r="A1336" s="972"/>
      <c r="B1336" s="972"/>
      <c r="C1336" s="972"/>
      <c r="D1336" s="972"/>
      <c r="E1336" s="972"/>
      <c r="F1336" s="972"/>
      <c r="G1336" s="972"/>
      <c r="H1336" s="972"/>
      <c r="I1336" s="972"/>
      <c r="J1336" s="972"/>
      <c r="K1336" s="972"/>
      <c r="L1336" s="1041"/>
      <c r="M1336" s="1041"/>
      <c r="N1336" s="1041"/>
      <c r="O1336" s="975"/>
    </row>
    <row r="1337" spans="1:15">
      <c r="A1337" s="972"/>
      <c r="B1337" s="972"/>
      <c r="C1337" s="972"/>
      <c r="D1337" s="972"/>
      <c r="E1337" s="972"/>
      <c r="F1337" s="972"/>
      <c r="G1337" s="972"/>
      <c r="H1337" s="972"/>
      <c r="I1337" s="972"/>
      <c r="J1337" s="972"/>
      <c r="K1337" s="972"/>
      <c r="L1337" s="1041"/>
      <c r="M1337" s="1041"/>
      <c r="N1337" s="1041"/>
      <c r="O1337" s="975"/>
    </row>
    <row r="1338" spans="1:15">
      <c r="A1338" s="972"/>
      <c r="B1338" s="972"/>
      <c r="C1338" s="972"/>
      <c r="D1338" s="972"/>
      <c r="E1338" s="972"/>
      <c r="F1338" s="972"/>
      <c r="G1338" s="972"/>
      <c r="H1338" s="972"/>
      <c r="I1338" s="972"/>
      <c r="J1338" s="972"/>
      <c r="K1338" s="972"/>
      <c r="L1338" s="1041"/>
      <c r="M1338" s="1041"/>
      <c r="N1338" s="1041"/>
      <c r="O1338" s="975"/>
    </row>
    <row r="1339" spans="1:15">
      <c r="A1339" s="972"/>
      <c r="B1339" s="972"/>
      <c r="C1339" s="972"/>
      <c r="D1339" s="972"/>
      <c r="E1339" s="972"/>
      <c r="F1339" s="972"/>
      <c r="G1339" s="972"/>
      <c r="H1339" s="972"/>
      <c r="I1339" s="972"/>
      <c r="J1339" s="972"/>
      <c r="K1339" s="972"/>
      <c r="L1339" s="1041"/>
      <c r="M1339" s="1041"/>
      <c r="N1339" s="1041"/>
      <c r="O1339" s="975"/>
    </row>
    <row r="1340" spans="1:15">
      <c r="A1340" s="972"/>
      <c r="B1340" s="972"/>
      <c r="C1340" s="972"/>
      <c r="D1340" s="972"/>
      <c r="E1340" s="972"/>
      <c r="F1340" s="972"/>
      <c r="G1340" s="972"/>
      <c r="H1340" s="972"/>
      <c r="I1340" s="972"/>
      <c r="J1340" s="972"/>
      <c r="K1340" s="972"/>
      <c r="L1340" s="1041"/>
      <c r="M1340" s="1041"/>
      <c r="N1340" s="1041"/>
      <c r="O1340" s="975"/>
    </row>
    <row r="1341" spans="1:15">
      <c r="A1341" s="972"/>
      <c r="B1341" s="972"/>
      <c r="C1341" s="972"/>
      <c r="D1341" s="972"/>
      <c r="E1341" s="972"/>
      <c r="F1341" s="972"/>
      <c r="G1341" s="972"/>
      <c r="H1341" s="972"/>
      <c r="I1341" s="972"/>
      <c r="J1341" s="972"/>
      <c r="K1341" s="972"/>
      <c r="L1341" s="1041"/>
      <c r="M1341" s="1041"/>
      <c r="N1341" s="1041"/>
      <c r="O1341" s="975"/>
    </row>
    <row r="1342" spans="1:15">
      <c r="A1342" s="972"/>
      <c r="B1342" s="972"/>
      <c r="C1342" s="972"/>
      <c r="D1342" s="972"/>
      <c r="E1342" s="972"/>
      <c r="F1342" s="972"/>
      <c r="G1342" s="972"/>
      <c r="H1342" s="972"/>
      <c r="I1342" s="972"/>
      <c r="J1342" s="972"/>
      <c r="K1342" s="972"/>
      <c r="L1342" s="1041"/>
      <c r="M1342" s="1041"/>
      <c r="N1342" s="1041"/>
      <c r="O1342" s="975"/>
    </row>
    <row r="1343" spans="1:15">
      <c r="A1343" s="972"/>
      <c r="B1343" s="972"/>
      <c r="C1343" s="972"/>
      <c r="D1343" s="972"/>
      <c r="E1343" s="972"/>
      <c r="F1343" s="972"/>
      <c r="G1343" s="972"/>
      <c r="H1343" s="972"/>
      <c r="I1343" s="972"/>
      <c r="J1343" s="972"/>
      <c r="K1343" s="972"/>
      <c r="L1343" s="1041"/>
      <c r="M1343" s="1041"/>
      <c r="N1343" s="1041"/>
      <c r="O1343" s="975"/>
    </row>
    <row r="1344" spans="1:15">
      <c r="A1344" s="972"/>
      <c r="B1344" s="972"/>
      <c r="C1344" s="972"/>
      <c r="D1344" s="972"/>
      <c r="E1344" s="972"/>
      <c r="F1344" s="972"/>
      <c r="G1344" s="972"/>
      <c r="H1344" s="972"/>
      <c r="I1344" s="972"/>
      <c r="J1344" s="972"/>
      <c r="K1344" s="972"/>
      <c r="L1344" s="1041"/>
      <c r="M1344" s="1041"/>
      <c r="N1344" s="1041"/>
      <c r="O1344" s="975"/>
    </row>
    <row r="1345" spans="1:15">
      <c r="A1345" s="972"/>
      <c r="B1345" s="972"/>
      <c r="C1345" s="972"/>
      <c r="D1345" s="972"/>
      <c r="E1345" s="972"/>
      <c r="F1345" s="972"/>
      <c r="G1345" s="972"/>
      <c r="H1345" s="972"/>
      <c r="I1345" s="972"/>
      <c r="J1345" s="972"/>
      <c r="K1345" s="972"/>
      <c r="L1345" s="1041"/>
      <c r="M1345" s="1041"/>
      <c r="N1345" s="1041"/>
      <c r="O1345" s="975"/>
    </row>
    <row r="1346" spans="1:15">
      <c r="A1346" s="972"/>
      <c r="B1346" s="972"/>
      <c r="C1346" s="972"/>
      <c r="D1346" s="972"/>
      <c r="E1346" s="972"/>
      <c r="F1346" s="972"/>
      <c r="G1346" s="972"/>
      <c r="H1346" s="972"/>
      <c r="I1346" s="972"/>
      <c r="J1346" s="972"/>
      <c r="K1346" s="972"/>
      <c r="L1346" s="1041"/>
      <c r="M1346" s="1041"/>
      <c r="N1346" s="1041"/>
      <c r="O1346" s="975"/>
    </row>
    <row r="1347" spans="1:15">
      <c r="A1347" s="972"/>
      <c r="B1347" s="972"/>
      <c r="C1347" s="972"/>
      <c r="D1347" s="972"/>
      <c r="E1347" s="972"/>
      <c r="F1347" s="972"/>
      <c r="G1347" s="972"/>
      <c r="H1347" s="972"/>
      <c r="I1347" s="972"/>
      <c r="J1347" s="972"/>
      <c r="K1347" s="972"/>
      <c r="L1347" s="1041"/>
      <c r="M1347" s="1041"/>
      <c r="N1347" s="1041"/>
      <c r="O1347" s="975"/>
    </row>
    <row r="1348" spans="1:15">
      <c r="A1348" s="972"/>
      <c r="B1348" s="972"/>
      <c r="C1348" s="972"/>
      <c r="D1348" s="972"/>
      <c r="E1348" s="972"/>
      <c r="F1348" s="972"/>
      <c r="G1348" s="972"/>
      <c r="H1348" s="972"/>
      <c r="I1348" s="972"/>
      <c r="J1348" s="972"/>
      <c r="K1348" s="972"/>
      <c r="L1348" s="1041"/>
      <c r="M1348" s="1041"/>
      <c r="N1348" s="1041"/>
      <c r="O1348" s="975"/>
    </row>
    <row r="1349" spans="1:15">
      <c r="A1349" s="972"/>
      <c r="B1349" s="972"/>
      <c r="C1349" s="972"/>
      <c r="D1349" s="972"/>
      <c r="E1349" s="972"/>
      <c r="F1349" s="972"/>
      <c r="G1349" s="972"/>
      <c r="H1349" s="972"/>
      <c r="I1349" s="972"/>
      <c r="J1349" s="972"/>
      <c r="K1349" s="972"/>
      <c r="L1349" s="1041"/>
      <c r="M1349" s="1041"/>
      <c r="N1349" s="1041"/>
      <c r="O1349" s="975"/>
    </row>
    <row r="1350" spans="1:15">
      <c r="A1350" s="972"/>
      <c r="B1350" s="972"/>
      <c r="C1350" s="972"/>
      <c r="D1350" s="972"/>
      <c r="E1350" s="972"/>
      <c r="F1350" s="972"/>
      <c r="G1350" s="972"/>
      <c r="H1350" s="972"/>
      <c r="I1350" s="972"/>
      <c r="J1350" s="972"/>
      <c r="K1350" s="972"/>
      <c r="L1350" s="1041"/>
      <c r="M1350" s="1041"/>
      <c r="N1350" s="1041"/>
      <c r="O1350" s="975"/>
    </row>
    <row r="1351" spans="1:15">
      <c r="A1351" s="972"/>
      <c r="B1351" s="972"/>
      <c r="C1351" s="972"/>
      <c r="D1351" s="972"/>
      <c r="E1351" s="972"/>
      <c r="F1351" s="972"/>
      <c r="G1351" s="972"/>
      <c r="H1351" s="972"/>
      <c r="I1351" s="972"/>
      <c r="J1351" s="972"/>
      <c r="K1351" s="972"/>
      <c r="L1351" s="1041"/>
      <c r="M1351" s="1041"/>
      <c r="N1351" s="1041"/>
      <c r="O1351" s="975"/>
    </row>
    <row r="1352" spans="1:15">
      <c r="A1352" s="972"/>
      <c r="B1352" s="972"/>
      <c r="C1352" s="972"/>
      <c r="D1352" s="972"/>
      <c r="E1352" s="972"/>
      <c r="F1352" s="972"/>
      <c r="G1352" s="972"/>
      <c r="H1352" s="972"/>
      <c r="I1352" s="972"/>
      <c r="J1352" s="972"/>
      <c r="K1352" s="972"/>
      <c r="L1352" s="1041"/>
      <c r="M1352" s="1041"/>
      <c r="N1352" s="1041"/>
      <c r="O1352" s="975"/>
    </row>
    <row r="1353" spans="1:15">
      <c r="A1353" s="972"/>
      <c r="B1353" s="972"/>
      <c r="C1353" s="972"/>
      <c r="D1353" s="972"/>
      <c r="E1353" s="972"/>
      <c r="F1353" s="972"/>
      <c r="G1353" s="972"/>
      <c r="H1353" s="972"/>
      <c r="I1353" s="972"/>
      <c r="J1353" s="972"/>
      <c r="K1353" s="972"/>
      <c r="L1353" s="1041"/>
      <c r="M1353" s="1041"/>
      <c r="N1353" s="1041"/>
      <c r="O1353" s="975"/>
    </row>
    <row r="1354" spans="1:15">
      <c r="A1354" s="972"/>
      <c r="B1354" s="972"/>
      <c r="C1354" s="972"/>
      <c r="D1354" s="972"/>
      <c r="E1354" s="972"/>
      <c r="F1354" s="972"/>
      <c r="G1354" s="972"/>
      <c r="H1354" s="972"/>
      <c r="I1354" s="972"/>
      <c r="J1354" s="972"/>
      <c r="K1354" s="972"/>
      <c r="L1354" s="1041"/>
      <c r="M1354" s="1041"/>
      <c r="N1354" s="1041"/>
      <c r="O1354" s="975"/>
    </row>
    <row r="1355" spans="1:15">
      <c r="A1355" s="972"/>
      <c r="B1355" s="972"/>
      <c r="C1355" s="972"/>
      <c r="D1355" s="972"/>
      <c r="E1355" s="972"/>
      <c r="F1355" s="972"/>
      <c r="G1355" s="972"/>
      <c r="H1355" s="972"/>
      <c r="I1355" s="972"/>
      <c r="J1355" s="972"/>
      <c r="K1355" s="972"/>
      <c r="L1355" s="1041"/>
      <c r="M1355" s="1041"/>
      <c r="N1355" s="1041"/>
      <c r="O1355" s="975"/>
    </row>
    <row r="1356" spans="1:15">
      <c r="A1356" s="972"/>
      <c r="B1356" s="972"/>
      <c r="C1356" s="972"/>
      <c r="D1356" s="972"/>
      <c r="E1356" s="972"/>
      <c r="F1356" s="972"/>
      <c r="G1356" s="972"/>
      <c r="H1356" s="972"/>
      <c r="I1356" s="972"/>
      <c r="J1356" s="972"/>
      <c r="K1356" s="972"/>
      <c r="L1356" s="1041"/>
      <c r="M1356" s="1041"/>
      <c r="N1356" s="1041"/>
      <c r="O1356" s="975"/>
    </row>
    <row r="1357" spans="1:15">
      <c r="A1357" s="972"/>
      <c r="B1357" s="972"/>
      <c r="C1357" s="972"/>
      <c r="D1357" s="972"/>
      <c r="E1357" s="972"/>
      <c r="F1357" s="972"/>
      <c r="G1357" s="972"/>
      <c r="H1357" s="972"/>
      <c r="I1357" s="972"/>
      <c r="J1357" s="972"/>
      <c r="K1357" s="972"/>
      <c r="L1357" s="1041"/>
      <c r="M1357" s="1041"/>
      <c r="N1357" s="1041"/>
      <c r="O1357" s="975"/>
    </row>
    <row r="1358" spans="1:15">
      <c r="A1358" s="972"/>
      <c r="B1358" s="972"/>
      <c r="C1358" s="972"/>
      <c r="D1358" s="972"/>
      <c r="E1358" s="972"/>
      <c r="F1358" s="972"/>
      <c r="G1358" s="972"/>
      <c r="H1358" s="972"/>
      <c r="I1358" s="972"/>
      <c r="J1358" s="972"/>
      <c r="K1358" s="972"/>
      <c r="L1358" s="1041"/>
      <c r="M1358" s="1041"/>
      <c r="N1358" s="1041"/>
      <c r="O1358" s="975"/>
    </row>
    <row r="1359" spans="1:15">
      <c r="A1359" s="972"/>
      <c r="B1359" s="972"/>
      <c r="C1359" s="972"/>
      <c r="D1359" s="972"/>
      <c r="E1359" s="972"/>
      <c r="F1359" s="972"/>
      <c r="G1359" s="972"/>
      <c r="H1359" s="972"/>
      <c r="I1359" s="972"/>
      <c r="J1359" s="972"/>
      <c r="K1359" s="972"/>
      <c r="L1359" s="1041"/>
      <c r="M1359" s="1041"/>
      <c r="N1359" s="1041"/>
      <c r="O1359" s="975"/>
    </row>
    <row r="1360" spans="1:15">
      <c r="A1360" s="972"/>
      <c r="B1360" s="972"/>
      <c r="C1360" s="972"/>
      <c r="D1360" s="972"/>
      <c r="E1360" s="972"/>
      <c r="F1360" s="972"/>
      <c r="G1360" s="972"/>
      <c r="H1360" s="972"/>
      <c r="I1360" s="972"/>
      <c r="J1360" s="972"/>
      <c r="K1360" s="972"/>
      <c r="L1360" s="1041"/>
      <c r="M1360" s="1041"/>
      <c r="N1360" s="1041"/>
      <c r="O1360" s="975"/>
    </row>
    <row r="1361" spans="1:15">
      <c r="A1361" s="972"/>
      <c r="B1361" s="972"/>
      <c r="C1361" s="972"/>
      <c r="D1361" s="972"/>
      <c r="E1361" s="972"/>
      <c r="F1361" s="972"/>
      <c r="G1361" s="972"/>
      <c r="H1361" s="972"/>
      <c r="I1361" s="972"/>
      <c r="J1361" s="972"/>
      <c r="K1361" s="972"/>
      <c r="L1361" s="1041"/>
      <c r="M1361" s="1041"/>
      <c r="N1361" s="1041"/>
      <c r="O1361" s="975"/>
    </row>
    <row r="1362" spans="1:15">
      <c r="A1362" s="972"/>
      <c r="B1362" s="972"/>
      <c r="C1362" s="972"/>
      <c r="D1362" s="972"/>
      <c r="E1362" s="972"/>
      <c r="F1362" s="972"/>
      <c r="G1362" s="972"/>
      <c r="H1362" s="972"/>
      <c r="I1362" s="972"/>
      <c r="J1362" s="972"/>
      <c r="K1362" s="972"/>
      <c r="L1362" s="1041"/>
      <c r="M1362" s="1041"/>
      <c r="N1362" s="1041"/>
      <c r="O1362" s="975"/>
    </row>
    <row r="1363" spans="1:15">
      <c r="A1363" s="972"/>
      <c r="B1363" s="972"/>
      <c r="C1363" s="972"/>
      <c r="D1363" s="972"/>
      <c r="E1363" s="972"/>
      <c r="F1363" s="972"/>
      <c r="G1363" s="972"/>
      <c r="H1363" s="972"/>
      <c r="I1363" s="972"/>
      <c r="J1363" s="972"/>
      <c r="K1363" s="972"/>
      <c r="L1363" s="1041"/>
      <c r="M1363" s="1041"/>
      <c r="N1363" s="1041"/>
      <c r="O1363" s="975"/>
    </row>
    <row r="1364" spans="1:15">
      <c r="A1364" s="972"/>
      <c r="B1364" s="972"/>
      <c r="C1364" s="972"/>
      <c r="D1364" s="972"/>
      <c r="E1364" s="972"/>
      <c r="F1364" s="972"/>
      <c r="G1364" s="972"/>
      <c r="H1364" s="972"/>
      <c r="I1364" s="972"/>
      <c r="J1364" s="972"/>
      <c r="K1364" s="972"/>
      <c r="L1364" s="1041"/>
      <c r="M1364" s="1041"/>
      <c r="N1364" s="1041"/>
      <c r="O1364" s="975"/>
    </row>
    <row r="1365" spans="1:15">
      <c r="A1365" s="972"/>
      <c r="B1365" s="972"/>
      <c r="C1365" s="972"/>
      <c r="D1365" s="972"/>
      <c r="E1365" s="972"/>
      <c r="F1365" s="972"/>
      <c r="G1365" s="972"/>
      <c r="H1365" s="972"/>
      <c r="I1365" s="972"/>
      <c r="J1365" s="972"/>
      <c r="K1365" s="972"/>
      <c r="L1365" s="1041"/>
      <c r="M1365" s="1041"/>
      <c r="N1365" s="1041"/>
      <c r="O1365" s="975"/>
    </row>
    <row r="1366" spans="1:15">
      <c r="A1366" s="972"/>
      <c r="B1366" s="972"/>
      <c r="C1366" s="972"/>
      <c r="D1366" s="972"/>
      <c r="E1366" s="972"/>
      <c r="F1366" s="972"/>
      <c r="G1366" s="972"/>
      <c r="H1366" s="972"/>
      <c r="I1366" s="972"/>
      <c r="J1366" s="972"/>
      <c r="K1366" s="972"/>
      <c r="L1366" s="1041"/>
      <c r="M1366" s="1041"/>
      <c r="N1366" s="1041"/>
      <c r="O1366" s="975"/>
    </row>
    <row r="1367" spans="1:15">
      <c r="A1367" s="972"/>
      <c r="B1367" s="972"/>
      <c r="C1367" s="972"/>
      <c r="D1367" s="972"/>
      <c r="E1367" s="972"/>
      <c r="F1367" s="972"/>
      <c r="G1367" s="972"/>
      <c r="H1367" s="972"/>
      <c r="I1367" s="972"/>
      <c r="J1367" s="972"/>
      <c r="K1367" s="972"/>
      <c r="L1367" s="1041"/>
      <c r="M1367" s="1041"/>
      <c r="N1367" s="1041"/>
      <c r="O1367" s="975"/>
    </row>
    <row r="1368" spans="1:15">
      <c r="A1368" s="972"/>
      <c r="B1368" s="972"/>
      <c r="C1368" s="972"/>
      <c r="D1368" s="972"/>
      <c r="E1368" s="972"/>
      <c r="F1368" s="972"/>
      <c r="G1368" s="972"/>
      <c r="H1368" s="972"/>
      <c r="I1368" s="972"/>
      <c r="J1368" s="972"/>
      <c r="K1368" s="972"/>
      <c r="L1368" s="1041"/>
      <c r="M1368" s="1041"/>
      <c r="N1368" s="1041"/>
      <c r="O1368" s="975"/>
    </row>
    <row r="1369" spans="1:15">
      <c r="A1369" s="972"/>
      <c r="B1369" s="972"/>
      <c r="C1369" s="972"/>
      <c r="D1369" s="972"/>
      <c r="E1369" s="972"/>
      <c r="F1369" s="972"/>
      <c r="G1369" s="972"/>
      <c r="H1369" s="972"/>
      <c r="I1369" s="972"/>
      <c r="J1369" s="972"/>
      <c r="K1369" s="972"/>
      <c r="L1369" s="1041"/>
      <c r="M1369" s="1041"/>
      <c r="N1369" s="1041"/>
      <c r="O1369" s="975"/>
    </row>
    <row r="1370" spans="1:15">
      <c r="A1370" s="972"/>
      <c r="B1370" s="972"/>
      <c r="C1370" s="972"/>
      <c r="D1370" s="972"/>
      <c r="E1370" s="972"/>
      <c r="F1370" s="972"/>
      <c r="G1370" s="972"/>
      <c r="H1370" s="972"/>
      <c r="I1370" s="972"/>
      <c r="J1370" s="972"/>
      <c r="K1370" s="972"/>
      <c r="L1370" s="1041"/>
      <c r="M1370" s="1041"/>
      <c r="N1370" s="1041"/>
      <c r="O1370" s="975"/>
    </row>
    <row r="1371" spans="1:15">
      <c r="A1371" s="972"/>
      <c r="B1371" s="972"/>
      <c r="C1371" s="972"/>
      <c r="D1371" s="972"/>
      <c r="E1371" s="972"/>
      <c r="F1371" s="972"/>
      <c r="G1371" s="972"/>
      <c r="H1371" s="972"/>
      <c r="I1371" s="972"/>
      <c r="J1371" s="972"/>
      <c r="K1371" s="972"/>
      <c r="L1371" s="1041"/>
      <c r="M1371" s="1041"/>
      <c r="N1371" s="1041"/>
      <c r="O1371" s="975"/>
    </row>
    <row r="1372" spans="1:15">
      <c r="A1372" s="972"/>
      <c r="B1372" s="972"/>
      <c r="C1372" s="972"/>
      <c r="D1372" s="972"/>
      <c r="E1372" s="972"/>
      <c r="F1372" s="972"/>
      <c r="G1372" s="972"/>
      <c r="H1372" s="972"/>
      <c r="I1372" s="972"/>
      <c r="J1372" s="972"/>
      <c r="K1372" s="972"/>
      <c r="L1372" s="1041"/>
      <c r="M1372" s="1041"/>
      <c r="N1372" s="1041"/>
      <c r="O1372" s="975"/>
    </row>
    <row r="1373" spans="1:15">
      <c r="A1373" s="972"/>
      <c r="B1373" s="972"/>
      <c r="C1373" s="972"/>
      <c r="D1373" s="972"/>
      <c r="E1373" s="972"/>
      <c r="F1373" s="972"/>
      <c r="G1373" s="972"/>
      <c r="H1373" s="972"/>
      <c r="I1373" s="972"/>
      <c r="J1373" s="972"/>
      <c r="K1373" s="972"/>
      <c r="L1373" s="1041"/>
      <c r="M1373" s="1041"/>
      <c r="N1373" s="1041"/>
      <c r="O1373" s="975"/>
    </row>
    <row r="1374" spans="1:15">
      <c r="A1374" s="972"/>
      <c r="B1374" s="972"/>
      <c r="C1374" s="972"/>
      <c r="D1374" s="972"/>
      <c r="E1374" s="972"/>
      <c r="F1374" s="972"/>
      <c r="G1374" s="972"/>
      <c r="H1374" s="972"/>
      <c r="I1374" s="972"/>
      <c r="J1374" s="972"/>
      <c r="K1374" s="972"/>
      <c r="L1374" s="1041"/>
      <c r="M1374" s="1041"/>
      <c r="N1374" s="1041"/>
      <c r="O1374" s="975"/>
    </row>
    <row r="1375" spans="1:15">
      <c r="A1375" s="972"/>
      <c r="B1375" s="972"/>
      <c r="C1375" s="972"/>
      <c r="D1375" s="972"/>
      <c r="E1375" s="972"/>
      <c r="F1375" s="972"/>
      <c r="G1375" s="972"/>
      <c r="H1375" s="972"/>
      <c r="I1375" s="972"/>
      <c r="J1375" s="972"/>
      <c r="K1375" s="972"/>
      <c r="L1375" s="1041"/>
      <c r="M1375" s="1041"/>
      <c r="N1375" s="1041"/>
      <c r="O1375" s="975"/>
    </row>
    <row r="1376" spans="1:15">
      <c r="A1376" s="972"/>
      <c r="B1376" s="972"/>
      <c r="C1376" s="972"/>
      <c r="D1376" s="972"/>
      <c r="E1376" s="972"/>
      <c r="F1376" s="972"/>
      <c r="G1376" s="972"/>
      <c r="H1376" s="972"/>
      <c r="I1376" s="972"/>
      <c r="J1376" s="972"/>
      <c r="K1376" s="972"/>
      <c r="L1376" s="1041"/>
      <c r="M1376" s="1041"/>
      <c r="N1376" s="1041"/>
      <c r="O1376" s="975"/>
    </row>
    <row r="1377" spans="1:15">
      <c r="A1377" s="972"/>
      <c r="B1377" s="972"/>
      <c r="C1377" s="972"/>
      <c r="D1377" s="972"/>
      <c r="E1377" s="972"/>
      <c r="F1377" s="972"/>
      <c r="G1377" s="972"/>
      <c r="H1377" s="972"/>
      <c r="I1377" s="972"/>
      <c r="J1377" s="972"/>
      <c r="K1377" s="972"/>
      <c r="L1377" s="1041"/>
      <c r="M1377" s="1041"/>
      <c r="N1377" s="1041"/>
      <c r="O1377" s="975"/>
    </row>
    <row r="1378" spans="1:15">
      <c r="A1378" s="972"/>
      <c r="B1378" s="972"/>
      <c r="C1378" s="972"/>
      <c r="D1378" s="972"/>
      <c r="E1378" s="972"/>
      <c r="F1378" s="972"/>
      <c r="G1378" s="972"/>
      <c r="H1378" s="972"/>
      <c r="I1378" s="972"/>
      <c r="J1378" s="972"/>
      <c r="K1378" s="972"/>
      <c r="L1378" s="1041"/>
      <c r="M1378" s="1041"/>
      <c r="N1378" s="1041"/>
      <c r="O1378" s="975"/>
    </row>
    <row r="1379" spans="1:15">
      <c r="A1379" s="972"/>
      <c r="B1379" s="972"/>
      <c r="C1379" s="972"/>
      <c r="D1379" s="972"/>
      <c r="E1379" s="972"/>
      <c r="F1379" s="972"/>
      <c r="G1379" s="972"/>
      <c r="H1379" s="972"/>
      <c r="I1379" s="972"/>
      <c r="J1379" s="972"/>
      <c r="K1379" s="972"/>
      <c r="L1379" s="1041"/>
      <c r="M1379" s="1041"/>
      <c r="N1379" s="1041"/>
      <c r="O1379" s="975"/>
    </row>
    <row r="1380" spans="1:15">
      <c r="A1380" s="972"/>
      <c r="B1380" s="972"/>
      <c r="C1380" s="972"/>
      <c r="D1380" s="972"/>
      <c r="E1380" s="972"/>
      <c r="F1380" s="972"/>
      <c r="G1380" s="972"/>
      <c r="H1380" s="972"/>
      <c r="I1380" s="972"/>
      <c r="J1380" s="972"/>
      <c r="K1380" s="972"/>
      <c r="L1380" s="1041"/>
      <c r="M1380" s="1041"/>
      <c r="N1380" s="1041"/>
      <c r="O1380" s="975"/>
    </row>
    <row r="1381" spans="1:15">
      <c r="A1381" s="972"/>
      <c r="B1381" s="972"/>
      <c r="C1381" s="972"/>
      <c r="D1381" s="972"/>
      <c r="E1381" s="972"/>
      <c r="F1381" s="972"/>
      <c r="G1381" s="972"/>
      <c r="H1381" s="972"/>
      <c r="I1381" s="972"/>
      <c r="J1381" s="972"/>
      <c r="K1381" s="972"/>
      <c r="L1381" s="1041"/>
      <c r="M1381" s="1041"/>
      <c r="N1381" s="1041"/>
      <c r="O1381" s="975"/>
    </row>
    <row r="1382" spans="1:15">
      <c r="A1382" s="972"/>
      <c r="B1382" s="972"/>
      <c r="C1382" s="972"/>
      <c r="D1382" s="972"/>
      <c r="E1382" s="972"/>
      <c r="F1382" s="972"/>
      <c r="G1382" s="972"/>
      <c r="H1382" s="972"/>
      <c r="I1382" s="972"/>
      <c r="J1382" s="972"/>
      <c r="K1382" s="972"/>
      <c r="L1382" s="1041"/>
      <c r="M1382" s="1041"/>
      <c r="N1382" s="1041"/>
      <c r="O1382" s="975"/>
    </row>
    <row r="1383" spans="1:15">
      <c r="A1383" s="972"/>
      <c r="B1383" s="972"/>
      <c r="C1383" s="972"/>
      <c r="D1383" s="972"/>
      <c r="E1383" s="972"/>
      <c r="F1383" s="972"/>
      <c r="G1383" s="972"/>
      <c r="H1383" s="972"/>
      <c r="I1383" s="972"/>
      <c r="J1383" s="972"/>
      <c r="K1383" s="972"/>
      <c r="L1383" s="1041"/>
      <c r="M1383" s="1041"/>
      <c r="N1383" s="1041"/>
      <c r="O1383" s="975"/>
    </row>
    <row r="1384" spans="1:15">
      <c r="A1384" s="972"/>
      <c r="B1384" s="972"/>
      <c r="C1384" s="972"/>
      <c r="D1384" s="972"/>
      <c r="E1384" s="972"/>
      <c r="F1384" s="972"/>
      <c r="G1384" s="972"/>
      <c r="H1384" s="972"/>
      <c r="I1384" s="972"/>
      <c r="J1384" s="972"/>
      <c r="K1384" s="972"/>
      <c r="L1384" s="1041"/>
      <c r="M1384" s="1041"/>
      <c r="N1384" s="1041"/>
      <c r="O1384" s="975"/>
    </row>
    <row r="1385" spans="1:15">
      <c r="A1385" s="972"/>
      <c r="B1385" s="972"/>
      <c r="C1385" s="972"/>
      <c r="D1385" s="972"/>
      <c r="E1385" s="972"/>
      <c r="F1385" s="972"/>
      <c r="G1385" s="972"/>
      <c r="H1385" s="972"/>
      <c r="I1385" s="972"/>
      <c r="J1385" s="972"/>
      <c r="K1385" s="972"/>
      <c r="L1385" s="1041"/>
      <c r="M1385" s="1041"/>
      <c r="N1385" s="1041"/>
      <c r="O1385" s="975"/>
    </row>
    <row r="1386" spans="1:15">
      <c r="A1386" s="972"/>
      <c r="B1386" s="972"/>
      <c r="C1386" s="972"/>
      <c r="D1386" s="972"/>
      <c r="E1386" s="972"/>
      <c r="F1386" s="972"/>
      <c r="G1386" s="972"/>
      <c r="H1386" s="972"/>
      <c r="I1386" s="972"/>
      <c r="J1386" s="972"/>
      <c r="K1386" s="972"/>
      <c r="L1386" s="1041"/>
      <c r="M1386" s="1041"/>
      <c r="N1386" s="1041"/>
      <c r="O1386" s="975"/>
    </row>
    <row r="1387" spans="1:15">
      <c r="A1387" s="972"/>
      <c r="B1387" s="972"/>
      <c r="C1387" s="972"/>
      <c r="D1387" s="972"/>
      <c r="E1387" s="972"/>
      <c r="F1387" s="972"/>
      <c r="G1387" s="972"/>
      <c r="H1387" s="972"/>
      <c r="I1387" s="972"/>
      <c r="J1387" s="972"/>
      <c r="K1387" s="972"/>
      <c r="L1387" s="1041"/>
      <c r="M1387" s="1041"/>
      <c r="N1387" s="1041"/>
      <c r="O1387" s="975"/>
    </row>
    <row r="1388" spans="1:15">
      <c r="A1388" s="972"/>
      <c r="B1388" s="972"/>
      <c r="C1388" s="972"/>
      <c r="D1388" s="972"/>
      <c r="E1388" s="972"/>
      <c r="F1388" s="972"/>
      <c r="G1388" s="972"/>
      <c r="H1388" s="972"/>
      <c r="I1388" s="972"/>
      <c r="J1388" s="972"/>
      <c r="K1388" s="972"/>
      <c r="L1388" s="1041"/>
      <c r="M1388" s="1041"/>
      <c r="N1388" s="1041"/>
      <c r="O1388" s="975"/>
    </row>
    <row r="1389" spans="1:15">
      <c r="A1389" s="972"/>
      <c r="B1389" s="972"/>
      <c r="C1389" s="972"/>
      <c r="D1389" s="972"/>
      <c r="E1389" s="972"/>
      <c r="F1389" s="972"/>
      <c r="G1389" s="972"/>
      <c r="H1389" s="972"/>
      <c r="I1389" s="972"/>
      <c r="J1389" s="972"/>
      <c r="K1389" s="972"/>
      <c r="L1389" s="1041"/>
      <c r="M1389" s="1041"/>
      <c r="N1389" s="1041"/>
      <c r="O1389" s="975"/>
    </row>
    <row r="1390" spans="1:15">
      <c r="A1390" s="972"/>
      <c r="B1390" s="972"/>
      <c r="C1390" s="972"/>
      <c r="D1390" s="972"/>
      <c r="E1390" s="972"/>
      <c r="F1390" s="972"/>
      <c r="G1390" s="972"/>
      <c r="H1390" s="972"/>
      <c r="I1390" s="972"/>
      <c r="J1390" s="972"/>
      <c r="K1390" s="972"/>
      <c r="L1390" s="1041"/>
      <c r="M1390" s="1041"/>
      <c r="N1390" s="1041"/>
      <c r="O1390" s="975"/>
    </row>
    <row r="1391" spans="1:15">
      <c r="A1391" s="972"/>
      <c r="B1391" s="972"/>
      <c r="C1391" s="972"/>
      <c r="D1391" s="972"/>
      <c r="E1391" s="972"/>
      <c r="F1391" s="972"/>
      <c r="G1391" s="972"/>
      <c r="H1391" s="972"/>
      <c r="I1391" s="972"/>
      <c r="J1391" s="972"/>
      <c r="K1391" s="972"/>
      <c r="L1391" s="1041"/>
      <c r="M1391" s="1041"/>
      <c r="N1391" s="1041"/>
      <c r="O1391" s="975"/>
    </row>
    <row r="1392" spans="1:15">
      <c r="A1392" s="972"/>
      <c r="B1392" s="972"/>
      <c r="C1392" s="972"/>
      <c r="D1392" s="972"/>
      <c r="E1392" s="972"/>
      <c r="F1392" s="972"/>
      <c r="G1392" s="972"/>
      <c r="H1392" s="972"/>
      <c r="I1392" s="972"/>
      <c r="J1392" s="972"/>
      <c r="K1392" s="972"/>
      <c r="L1392" s="1041"/>
      <c r="M1392" s="1041"/>
      <c r="N1392" s="1041"/>
      <c r="O1392" s="975"/>
    </row>
    <row r="1393" spans="1:15">
      <c r="A1393" s="972"/>
      <c r="B1393" s="972"/>
      <c r="C1393" s="972"/>
      <c r="D1393" s="972"/>
      <c r="E1393" s="972"/>
      <c r="F1393" s="972"/>
      <c r="G1393" s="972"/>
      <c r="H1393" s="972"/>
      <c r="I1393" s="972"/>
      <c r="J1393" s="972"/>
      <c r="K1393" s="972"/>
      <c r="L1393" s="1041"/>
      <c r="M1393" s="1041"/>
      <c r="N1393" s="1041"/>
      <c r="O1393" s="975"/>
    </row>
    <row r="1394" spans="1:15">
      <c r="A1394" s="972"/>
      <c r="B1394" s="972"/>
      <c r="C1394" s="972"/>
      <c r="D1394" s="972"/>
      <c r="E1394" s="972"/>
      <c r="F1394" s="972"/>
      <c r="G1394" s="972"/>
      <c r="H1394" s="972"/>
      <c r="I1394" s="972"/>
      <c r="J1394" s="972"/>
      <c r="K1394" s="972"/>
      <c r="L1394" s="1041"/>
      <c r="M1394" s="1041"/>
      <c r="N1394" s="1041"/>
      <c r="O1394" s="975"/>
    </row>
    <row r="1395" spans="1:15">
      <c r="A1395" s="972"/>
      <c r="B1395" s="972"/>
      <c r="C1395" s="972"/>
      <c r="D1395" s="972"/>
      <c r="E1395" s="972"/>
      <c r="F1395" s="972"/>
      <c r="G1395" s="972"/>
      <c r="H1395" s="972"/>
      <c r="I1395" s="972"/>
      <c r="J1395" s="972"/>
      <c r="K1395" s="972"/>
      <c r="L1395" s="1041"/>
      <c r="M1395" s="1041"/>
      <c r="N1395" s="1041"/>
      <c r="O1395" s="975"/>
    </row>
    <row r="1396" spans="1:15">
      <c r="A1396" s="972"/>
      <c r="I1396" s="972"/>
      <c r="L1396" s="1041"/>
      <c r="M1396" s="1041"/>
      <c r="N1396" s="1041"/>
      <c r="O1396" s="975"/>
    </row>
    <row r="1397" spans="1:15">
      <c r="A1397" s="972"/>
      <c r="L1397" s="1041"/>
      <c r="M1397" s="1041"/>
      <c r="N1397" s="1041"/>
      <c r="O1397" s="975"/>
    </row>
    <row r="1398" spans="1:15">
      <c r="A1398" s="972"/>
      <c r="L1398" s="1041"/>
      <c r="M1398" s="1041"/>
      <c r="N1398" s="1041"/>
      <c r="O1398" s="975"/>
    </row>
    <row r="1399" spans="1:15">
      <c r="A1399" s="972"/>
      <c r="L1399" s="1041"/>
      <c r="M1399" s="1041"/>
      <c r="N1399" s="1041"/>
      <c r="O1399" s="975"/>
    </row>
    <row r="1400" spans="1:15">
      <c r="A1400" s="972"/>
      <c r="L1400" s="1041"/>
      <c r="M1400" s="1041"/>
      <c r="N1400" s="1041"/>
      <c r="O1400" s="975"/>
    </row>
    <row r="1401" spans="1:15">
      <c r="A1401" s="972"/>
      <c r="L1401" s="1041"/>
      <c r="M1401" s="1041"/>
      <c r="N1401" s="1041"/>
      <c r="O1401" s="975"/>
    </row>
    <row r="1402" spans="1:15">
      <c r="A1402" s="972"/>
      <c r="L1402" s="1041"/>
      <c r="M1402" s="1041"/>
      <c r="N1402" s="1041"/>
      <c r="O1402" s="975"/>
    </row>
    <row r="1403" spans="1:15">
      <c r="A1403" s="972"/>
      <c r="L1403" s="1041"/>
      <c r="M1403" s="1041"/>
      <c r="N1403" s="1041"/>
      <c r="O1403" s="975"/>
    </row>
    <row r="1404" spans="1:15">
      <c r="A1404" s="972"/>
      <c r="L1404" s="1041"/>
      <c r="M1404" s="1041"/>
      <c r="N1404" s="1041"/>
      <c r="O1404" s="975"/>
    </row>
    <row r="1405" spans="1:15">
      <c r="A1405" s="972"/>
      <c r="L1405" s="1041"/>
      <c r="M1405" s="1041"/>
      <c r="N1405" s="1041"/>
      <c r="O1405" s="975"/>
    </row>
    <row r="1406" spans="1:15">
      <c r="A1406" s="972"/>
      <c r="L1406" s="1041"/>
      <c r="M1406" s="1041"/>
      <c r="N1406" s="1041"/>
      <c r="O1406" s="975"/>
    </row>
    <row r="1407" spans="1:15">
      <c r="A1407" s="972"/>
      <c r="L1407" s="1041"/>
      <c r="M1407" s="1041"/>
      <c r="N1407" s="1041"/>
      <c r="O1407" s="975"/>
    </row>
    <row r="1408" spans="1:15">
      <c r="A1408" s="972"/>
      <c r="L1408" s="1041"/>
      <c r="M1408" s="1041"/>
      <c r="N1408" s="1041"/>
      <c r="O1408" s="975"/>
    </row>
    <row r="1409" spans="12:15">
      <c r="L1409" s="1041"/>
      <c r="M1409" s="1041"/>
      <c r="N1409" s="1041"/>
      <c r="O1409" s="975"/>
    </row>
    <row r="1410" spans="12:15">
      <c r="O1410" s="975"/>
    </row>
  </sheetData>
  <mergeCells count="2">
    <mergeCell ref="C23:I24"/>
    <mergeCell ref="C25:I25"/>
  </mergeCells>
  <pageMargins left="0.7" right="0.7" top="0.75" bottom="0.75" header="0.3" footer="0.3"/>
  <pageSetup scale="53" orientation="landscape" r:id="rId1"/>
  <headerFooter>
    <oddHeader>&amp;CPSE_ASC_Filing_Appendix_1_CY_2018</oddHeader>
    <oddFooter>&amp;R&amp;F&amp;A</oddFooter>
  </headerFooter>
  <customProperties>
    <customPr name="_pios_id" r:id="rId2"/>
  </customProperties>
  <drawing r:id="rId3"/>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rgb="FF92D050"/>
    <pageSetUpPr fitToPage="1"/>
  </sheetPr>
  <dimension ref="A1:K39"/>
  <sheetViews>
    <sheetView workbookViewId="0">
      <pane ySplit="6" topLeftCell="A7" activePane="bottomLeft" state="frozen"/>
      <selection sqref="A1:XFD1048576"/>
      <selection pane="bottomLeft" sqref="A1:XFD1048576"/>
    </sheetView>
  </sheetViews>
  <sheetFormatPr defaultColWidth="8" defaultRowHeight="11.25"/>
  <cols>
    <col min="1" max="1" width="1.5" style="963" customWidth="1"/>
    <col min="2" max="2" width="8" style="963" customWidth="1"/>
    <col min="3" max="3" width="6.875" style="963" bestFit="1" customWidth="1"/>
    <col min="4" max="4" width="28.5" style="963" bestFit="1" customWidth="1"/>
    <col min="5" max="5" width="10.5" style="963" bestFit="1" customWidth="1"/>
    <col min="6" max="6" width="7.875" style="963" bestFit="1" customWidth="1"/>
    <col min="7" max="7" width="12.75" style="963" customWidth="1"/>
    <col min="8" max="8" width="10.5" style="963" bestFit="1" customWidth="1"/>
    <col min="9" max="9" width="13.75" style="963" bestFit="1" customWidth="1"/>
    <col min="10" max="10" width="24.25" style="963" customWidth="1"/>
    <col min="11" max="11" width="5.125" style="963" customWidth="1"/>
    <col min="12" max="16384" width="8" style="963"/>
  </cols>
  <sheetData>
    <row r="1" spans="1:11" s="926" customFormat="1">
      <c r="A1" s="846" t="s">
        <v>4589</v>
      </c>
      <c r="B1" s="846"/>
      <c r="C1" s="846"/>
      <c r="D1" s="846"/>
    </row>
    <row r="2" spans="1:11" s="926" customFormat="1">
      <c r="A2" s="846" t="s">
        <v>4826</v>
      </c>
      <c r="B2" s="846"/>
      <c r="C2" s="846"/>
      <c r="D2" s="846"/>
    </row>
    <row r="3" spans="1:11" s="926" customFormat="1">
      <c r="A3" s="846" t="s">
        <v>7152</v>
      </c>
      <c r="B3" s="846"/>
      <c r="C3" s="846"/>
      <c r="D3" s="846"/>
    </row>
    <row r="5" spans="1:11" ht="12" thickBot="1"/>
    <row r="6" spans="1:11" ht="23.25" thickBot="1">
      <c r="B6" s="1047" t="s">
        <v>3790</v>
      </c>
      <c r="C6" s="1047" t="s">
        <v>4684</v>
      </c>
      <c r="D6" s="1047" t="s">
        <v>4593</v>
      </c>
      <c r="E6" s="1047" t="s">
        <v>4775</v>
      </c>
      <c r="F6" s="978" t="s">
        <v>4686</v>
      </c>
      <c r="G6" s="979" t="s">
        <v>105</v>
      </c>
      <c r="H6" s="980" t="s">
        <v>106</v>
      </c>
      <c r="I6" s="981" t="s">
        <v>347</v>
      </c>
      <c r="J6" s="982" t="s">
        <v>4595</v>
      </c>
      <c r="K6" s="1048" t="s">
        <v>927</v>
      </c>
    </row>
    <row r="7" spans="1:11">
      <c r="B7" s="1049" t="s">
        <v>4827</v>
      </c>
      <c r="C7" s="963">
        <v>40600011</v>
      </c>
      <c r="D7" s="963" t="s">
        <v>4828</v>
      </c>
      <c r="E7" s="1062">
        <v>0</v>
      </c>
      <c r="F7" s="1050" t="s">
        <v>392</v>
      </c>
      <c r="G7" s="861">
        <f t="shared" ref="G7:G13" si="0">VLOOKUP($F7,Ratio,2,FALSE)*$E7</f>
        <v>0</v>
      </c>
      <c r="H7" s="861">
        <f t="shared" ref="H7:H13" si="1">VLOOKUP($F7,Ratio,3,FALSE)*$E7</f>
        <v>0</v>
      </c>
      <c r="I7" s="861">
        <f t="shared" ref="I7:I13" si="2">VLOOKUP($F7,Ratio,4,FALSE)*$E7</f>
        <v>0</v>
      </c>
      <c r="J7" s="1051"/>
      <c r="K7" s="1860">
        <f t="shared" ref="K7:K14" si="3">E7-SUM(G7:I7)</f>
        <v>0</v>
      </c>
    </row>
    <row r="8" spans="1:11">
      <c r="B8" s="1052"/>
      <c r="C8" s="963">
        <v>40600012</v>
      </c>
      <c r="D8" s="963" t="s">
        <v>4829</v>
      </c>
      <c r="E8" s="1062">
        <v>715282.68</v>
      </c>
      <c r="F8" s="1053" t="s">
        <v>392</v>
      </c>
      <c r="G8" s="861">
        <f t="shared" si="0"/>
        <v>715282.68</v>
      </c>
      <c r="H8" s="861">
        <f t="shared" si="1"/>
        <v>0</v>
      </c>
      <c r="I8" s="861">
        <f t="shared" si="2"/>
        <v>0</v>
      </c>
      <c r="J8" s="1054"/>
      <c r="K8" s="1860">
        <f t="shared" si="3"/>
        <v>0</v>
      </c>
    </row>
    <row r="9" spans="1:11">
      <c r="B9" s="1052"/>
      <c r="C9" s="963">
        <v>40600021</v>
      </c>
      <c r="D9" s="963" t="s">
        <v>4830</v>
      </c>
      <c r="E9" s="1062">
        <v>3075449.77</v>
      </c>
      <c r="F9" s="1053" t="s">
        <v>99</v>
      </c>
      <c r="G9" s="861">
        <f t="shared" si="0"/>
        <v>1073613.2594674872</v>
      </c>
      <c r="H9" s="861">
        <f t="shared" si="1"/>
        <v>0</v>
      </c>
      <c r="I9" s="861">
        <f t="shared" si="2"/>
        <v>2001836.510532513</v>
      </c>
      <c r="J9" s="1054"/>
      <c r="K9" s="1860">
        <f>E9-SUM(G9:I9)</f>
        <v>0</v>
      </c>
    </row>
    <row r="10" spans="1:11">
      <c r="B10" s="1052"/>
      <c r="C10" s="963">
        <v>40600031</v>
      </c>
      <c r="D10" s="963" t="s">
        <v>4831</v>
      </c>
      <c r="E10" s="1062">
        <v>0</v>
      </c>
      <c r="F10" s="1053" t="s">
        <v>392</v>
      </c>
      <c r="G10" s="861">
        <f t="shared" si="0"/>
        <v>0</v>
      </c>
      <c r="H10" s="861">
        <f t="shared" si="1"/>
        <v>0</v>
      </c>
      <c r="I10" s="861">
        <f t="shared" si="2"/>
        <v>0</v>
      </c>
      <c r="J10" s="1054"/>
      <c r="K10" s="1860">
        <f t="shared" si="3"/>
        <v>0</v>
      </c>
    </row>
    <row r="11" spans="1:11">
      <c r="B11" s="1052"/>
      <c r="C11" s="963">
        <v>40600041</v>
      </c>
      <c r="D11" s="963" t="s">
        <v>4832</v>
      </c>
      <c r="E11" s="1062">
        <v>4616499.3600000003</v>
      </c>
      <c r="F11" s="1053" t="s">
        <v>392</v>
      </c>
      <c r="G11" s="861">
        <f t="shared" si="0"/>
        <v>4616499.3600000003</v>
      </c>
      <c r="H11" s="861">
        <f t="shared" si="1"/>
        <v>0</v>
      </c>
      <c r="I11" s="861">
        <f t="shared" si="2"/>
        <v>0</v>
      </c>
      <c r="J11" s="1054"/>
      <c r="K11" s="1860">
        <f t="shared" si="3"/>
        <v>0</v>
      </c>
    </row>
    <row r="12" spans="1:11">
      <c r="B12" s="1052"/>
      <c r="C12" s="1052">
        <v>40600051</v>
      </c>
      <c r="D12" s="963" t="s">
        <v>4833</v>
      </c>
      <c r="E12" s="1062">
        <v>0</v>
      </c>
      <c r="F12" s="1053" t="s">
        <v>392</v>
      </c>
      <c r="G12" s="861">
        <f t="shared" si="0"/>
        <v>0</v>
      </c>
      <c r="H12" s="861">
        <f t="shared" si="1"/>
        <v>0</v>
      </c>
      <c r="I12" s="861">
        <f t="shared" si="2"/>
        <v>0</v>
      </c>
      <c r="J12" s="1054"/>
      <c r="K12" s="1860">
        <f t="shared" si="3"/>
        <v>0</v>
      </c>
    </row>
    <row r="13" spans="1:11">
      <c r="B13" s="1055"/>
      <c r="C13" s="1055">
        <v>40600061</v>
      </c>
      <c r="D13" s="963" t="s">
        <v>4834</v>
      </c>
      <c r="E13" s="1062">
        <v>1144993.8</v>
      </c>
      <c r="F13" s="1053" t="s">
        <v>392</v>
      </c>
      <c r="G13" s="861">
        <f t="shared" si="0"/>
        <v>1144993.8</v>
      </c>
      <c r="H13" s="861">
        <f t="shared" si="1"/>
        <v>0</v>
      </c>
      <c r="I13" s="861">
        <f t="shared" si="2"/>
        <v>0</v>
      </c>
      <c r="J13" s="1056"/>
      <c r="K13" s="1860">
        <f t="shared" si="3"/>
        <v>0</v>
      </c>
    </row>
    <row r="14" spans="1:11">
      <c r="B14" s="960"/>
      <c r="C14" s="960"/>
      <c r="D14" s="960" t="s">
        <v>4835</v>
      </c>
      <c r="E14" s="961">
        <f>SUM(E7:E13)</f>
        <v>9552225.6100000013</v>
      </c>
      <c r="F14" s="962"/>
      <c r="G14" s="961">
        <f>SUM(G7:G13)</f>
        <v>7550389.0994674871</v>
      </c>
      <c r="H14" s="961">
        <f>SUM(H7:H13)</f>
        <v>0</v>
      </c>
      <c r="I14" s="961">
        <f>SUM(I7:I13)</f>
        <v>2001836.510532513</v>
      </c>
      <c r="J14" s="960"/>
      <c r="K14" s="1860">
        <f t="shared" si="3"/>
        <v>0</v>
      </c>
    </row>
    <row r="15" spans="1:11" ht="12" thickBot="1">
      <c r="D15" s="874" t="s">
        <v>4681</v>
      </c>
      <c r="E15" s="875">
        <v>9552225.6099999994</v>
      </c>
      <c r="F15" s="964"/>
    </row>
    <row r="16" spans="1:11" ht="12" thickTop="1">
      <c r="D16" s="876" t="s">
        <v>929</v>
      </c>
      <c r="E16" s="1780">
        <f>E14-E15</f>
        <v>0</v>
      </c>
      <c r="F16" s="1781">
        <f>'FERC p114-117a Income'!H21-E15</f>
        <v>0.39000000059604645</v>
      </c>
      <c r="G16" s="1696" t="s">
        <v>4713</v>
      </c>
      <c r="H16" s="1784"/>
    </row>
    <row r="17" spans="2:11" ht="12" thickBot="1">
      <c r="D17" s="876"/>
      <c r="E17" s="940"/>
      <c r="F17" s="1057"/>
      <c r="G17" s="573"/>
      <c r="H17" s="1058"/>
      <c r="I17" s="1058"/>
    </row>
    <row r="18" spans="2:11" ht="23.25" thickBot="1">
      <c r="B18" s="1047" t="s">
        <v>3790</v>
      </c>
      <c r="C18" s="1047" t="s">
        <v>4684</v>
      </c>
      <c r="D18" s="1047" t="s">
        <v>4593</v>
      </c>
      <c r="E18" s="1047" t="s">
        <v>4775</v>
      </c>
      <c r="F18" s="978" t="s">
        <v>4686</v>
      </c>
      <c r="G18" s="979" t="s">
        <v>105</v>
      </c>
      <c r="H18" s="980" t="s">
        <v>106</v>
      </c>
      <c r="I18" s="981" t="s">
        <v>347</v>
      </c>
      <c r="J18" s="982" t="s">
        <v>4595</v>
      </c>
      <c r="K18" s="1048" t="s">
        <v>927</v>
      </c>
    </row>
    <row r="19" spans="2:11">
      <c r="B19" s="1049" t="s">
        <v>4836</v>
      </c>
      <c r="C19" s="1049">
        <v>40700014</v>
      </c>
      <c r="D19" s="1059" t="s">
        <v>4837</v>
      </c>
      <c r="E19" s="1060">
        <v>0</v>
      </c>
      <c r="F19" s="1050" t="s">
        <v>392</v>
      </c>
      <c r="G19" s="861">
        <f t="shared" ref="G19:G29" si="4">VLOOKUP($F19,Ratio,2,FALSE)*$E19</f>
        <v>0</v>
      </c>
      <c r="H19" s="861">
        <f t="shared" ref="H19:H29" si="5">VLOOKUP($F19,Ratio,3,FALSE)*$E19</f>
        <v>0</v>
      </c>
      <c r="I19" s="861">
        <f t="shared" ref="I19:I29" si="6">VLOOKUP($F19,Ratio,4,FALSE)*$E19</f>
        <v>0</v>
      </c>
      <c r="J19" s="1051"/>
      <c r="K19" s="1860">
        <f t="shared" ref="K19:K30" si="7">E19-SUM(G19:I19)</f>
        <v>0</v>
      </c>
    </row>
    <row r="20" spans="2:11">
      <c r="B20" s="1052"/>
      <c r="C20" s="1052">
        <v>40700015</v>
      </c>
      <c r="D20" s="1061" t="s">
        <v>4838</v>
      </c>
      <c r="E20" s="1062">
        <v>0</v>
      </c>
      <c r="F20" s="1053" t="s">
        <v>392</v>
      </c>
      <c r="G20" s="861">
        <f t="shared" si="4"/>
        <v>0</v>
      </c>
      <c r="H20" s="861">
        <f t="shared" si="5"/>
        <v>0</v>
      </c>
      <c r="I20" s="861">
        <f t="shared" si="6"/>
        <v>0</v>
      </c>
      <c r="J20" s="1054"/>
      <c r="K20" s="1860">
        <f t="shared" si="7"/>
        <v>0</v>
      </c>
    </row>
    <row r="21" spans="2:11">
      <c r="B21" s="1052"/>
      <c r="C21" s="1052">
        <v>40700018</v>
      </c>
      <c r="D21" s="1061" t="s">
        <v>4839</v>
      </c>
      <c r="E21" s="1062">
        <v>0</v>
      </c>
      <c r="F21" s="1053" t="s">
        <v>392</v>
      </c>
      <c r="G21" s="861">
        <f t="shared" si="4"/>
        <v>0</v>
      </c>
      <c r="H21" s="861">
        <f t="shared" si="5"/>
        <v>0</v>
      </c>
      <c r="I21" s="861">
        <f t="shared" si="6"/>
        <v>0</v>
      </c>
      <c r="J21" s="1054"/>
      <c r="K21" s="1860">
        <f t="shared" si="7"/>
        <v>0</v>
      </c>
    </row>
    <row r="22" spans="2:11">
      <c r="B22" s="1052"/>
      <c r="C22" s="1052">
        <v>40700021</v>
      </c>
      <c r="D22" s="1061" t="s">
        <v>7153</v>
      </c>
      <c r="E22" s="1062">
        <v>12065366</v>
      </c>
      <c r="F22" s="1053" t="s">
        <v>8456</v>
      </c>
      <c r="G22" s="861">
        <f t="shared" si="4"/>
        <v>0</v>
      </c>
      <c r="H22" s="861">
        <f t="shared" si="5"/>
        <v>0</v>
      </c>
      <c r="I22" s="861">
        <f t="shared" si="6"/>
        <v>12065366</v>
      </c>
      <c r="J22" s="1054"/>
      <c r="K22" s="1860">
        <f t="shared" si="7"/>
        <v>0</v>
      </c>
    </row>
    <row r="23" spans="2:11">
      <c r="B23" s="1052"/>
      <c r="C23" s="1052">
        <v>40700025</v>
      </c>
      <c r="D23" s="1061" t="s">
        <v>4840</v>
      </c>
      <c r="E23" s="1062">
        <v>0</v>
      </c>
      <c r="F23" s="1050" t="s">
        <v>390</v>
      </c>
      <c r="G23" s="861">
        <f t="shared" si="4"/>
        <v>0</v>
      </c>
      <c r="H23" s="861">
        <f t="shared" si="5"/>
        <v>0</v>
      </c>
      <c r="I23" s="861">
        <f t="shared" si="6"/>
        <v>0</v>
      </c>
      <c r="J23" s="1054"/>
      <c r="K23" s="1860">
        <f t="shared" si="7"/>
        <v>0</v>
      </c>
    </row>
    <row r="24" spans="2:11">
      <c r="B24" s="1052"/>
      <c r="C24" s="1052">
        <v>40700035</v>
      </c>
      <c r="D24" s="1061" t="s">
        <v>4841</v>
      </c>
      <c r="E24" s="1062">
        <v>0</v>
      </c>
      <c r="F24" s="1050" t="s">
        <v>390</v>
      </c>
      <c r="G24" s="861">
        <f t="shared" si="4"/>
        <v>0</v>
      </c>
      <c r="H24" s="861">
        <f t="shared" si="5"/>
        <v>0</v>
      </c>
      <c r="I24" s="861">
        <f t="shared" si="6"/>
        <v>0</v>
      </c>
      <c r="J24" s="1054"/>
      <c r="K24" s="1860">
        <f t="shared" si="7"/>
        <v>0</v>
      </c>
    </row>
    <row r="25" spans="2:11">
      <c r="B25" s="1052"/>
      <c r="C25" s="1052">
        <v>40700040</v>
      </c>
      <c r="D25" s="1061" t="s">
        <v>4842</v>
      </c>
      <c r="E25" s="1062">
        <v>0</v>
      </c>
      <c r="F25" s="1050" t="s">
        <v>390</v>
      </c>
      <c r="G25" s="861">
        <f t="shared" si="4"/>
        <v>0</v>
      </c>
      <c r="H25" s="861">
        <f t="shared" si="5"/>
        <v>0</v>
      </c>
      <c r="I25" s="861">
        <f t="shared" si="6"/>
        <v>0</v>
      </c>
      <c r="J25" s="1054"/>
      <c r="K25" s="1860">
        <f t="shared" si="7"/>
        <v>0</v>
      </c>
    </row>
    <row r="26" spans="2:11">
      <c r="B26" s="1052"/>
      <c r="C26" s="1052">
        <v>40700045</v>
      </c>
      <c r="D26" s="1061" t="s">
        <v>4843</v>
      </c>
      <c r="E26" s="1062">
        <v>0</v>
      </c>
      <c r="F26" s="1050" t="s">
        <v>390</v>
      </c>
      <c r="G26" s="861">
        <f t="shared" si="4"/>
        <v>0</v>
      </c>
      <c r="H26" s="861">
        <f t="shared" si="5"/>
        <v>0</v>
      </c>
      <c r="I26" s="861">
        <f t="shared" si="6"/>
        <v>0</v>
      </c>
      <c r="J26" s="1054"/>
      <c r="K26" s="1860">
        <f t="shared" si="7"/>
        <v>0</v>
      </c>
    </row>
    <row r="27" spans="2:11" ht="12" customHeight="1">
      <c r="B27" s="1052"/>
      <c r="C27" s="1052">
        <v>40700050</v>
      </c>
      <c r="D27" s="1061" t="s">
        <v>4844</v>
      </c>
      <c r="E27" s="1062">
        <v>0</v>
      </c>
      <c r="F27" s="1050" t="s">
        <v>390</v>
      </c>
      <c r="G27" s="861">
        <f t="shared" si="4"/>
        <v>0</v>
      </c>
      <c r="H27" s="861">
        <f t="shared" si="5"/>
        <v>0</v>
      </c>
      <c r="I27" s="861">
        <f t="shared" si="6"/>
        <v>0</v>
      </c>
      <c r="J27" s="1054"/>
      <c r="K27" s="1860">
        <f t="shared" si="7"/>
        <v>0</v>
      </c>
    </row>
    <row r="28" spans="2:11">
      <c r="B28" s="1052"/>
      <c r="C28" s="1052">
        <v>40700055</v>
      </c>
      <c r="D28" s="1061" t="s">
        <v>4845</v>
      </c>
      <c r="E28" s="1062">
        <v>0</v>
      </c>
      <c r="F28" s="1050" t="s">
        <v>390</v>
      </c>
      <c r="G28" s="861">
        <f t="shared" si="4"/>
        <v>0</v>
      </c>
      <c r="H28" s="861">
        <f t="shared" si="5"/>
        <v>0</v>
      </c>
      <c r="I28" s="861">
        <f t="shared" si="6"/>
        <v>0</v>
      </c>
      <c r="J28" s="1054"/>
      <c r="K28" s="1860">
        <f t="shared" si="7"/>
        <v>0</v>
      </c>
    </row>
    <row r="29" spans="2:11">
      <c r="B29" s="1055"/>
      <c r="C29" s="1055">
        <v>40700060</v>
      </c>
      <c r="D29" s="1063" t="s">
        <v>4846</v>
      </c>
      <c r="E29" s="1869">
        <v>21846432</v>
      </c>
      <c r="F29" s="1050" t="s">
        <v>390</v>
      </c>
      <c r="G29" s="861">
        <f t="shared" si="4"/>
        <v>0</v>
      </c>
      <c r="H29" s="861">
        <f t="shared" si="5"/>
        <v>0</v>
      </c>
      <c r="I29" s="861">
        <f t="shared" si="6"/>
        <v>21846432</v>
      </c>
      <c r="J29" s="1056" t="s">
        <v>4847</v>
      </c>
      <c r="K29" s="1860">
        <f t="shared" si="7"/>
        <v>0</v>
      </c>
    </row>
    <row r="30" spans="2:11">
      <c r="B30" s="960"/>
      <c r="C30" s="960"/>
      <c r="D30" s="960" t="s">
        <v>4848</v>
      </c>
      <c r="E30" s="961">
        <f>SUM(E19:E29)</f>
        <v>33911798</v>
      </c>
      <c r="F30" s="962"/>
      <c r="G30" s="961">
        <f>SUM(G19:G29)</f>
        <v>0</v>
      </c>
      <c r="H30" s="961">
        <f>SUM(H19:H29)</f>
        <v>0</v>
      </c>
      <c r="I30" s="961">
        <f>SUM(I19:I29)</f>
        <v>33911798</v>
      </c>
      <c r="J30" s="960"/>
      <c r="K30" s="1860">
        <f t="shared" si="7"/>
        <v>0</v>
      </c>
    </row>
    <row r="31" spans="2:11" ht="12" thickBot="1">
      <c r="D31" s="874" t="s">
        <v>4681</v>
      </c>
      <c r="E31" s="875">
        <v>33911798</v>
      </c>
      <c r="F31" s="964"/>
    </row>
    <row r="32" spans="2:11" ht="12" thickTop="1">
      <c r="D32" s="876" t="s">
        <v>929</v>
      </c>
      <c r="E32" s="1780">
        <f>E30-E31</f>
        <v>0</v>
      </c>
      <c r="F32" s="1781">
        <f>'FERC p114-117a Income'!H22-E31</f>
        <v>0</v>
      </c>
      <c r="G32" s="1696" t="s">
        <v>4713</v>
      </c>
      <c r="H32" s="1784"/>
    </row>
    <row r="33" spans="4:9" ht="12" thickBot="1">
      <c r="D33" s="876"/>
      <c r="E33" s="940"/>
      <c r="F33" s="1057"/>
      <c r="G33" s="573"/>
      <c r="H33" s="1058"/>
      <c r="I33" s="1058"/>
    </row>
    <row r="34" spans="4:9">
      <c r="D34" s="876"/>
      <c r="E34" s="940"/>
      <c r="F34" s="1057"/>
      <c r="G34" s="1064" t="s">
        <v>105</v>
      </c>
      <c r="H34" s="1065" t="s">
        <v>106</v>
      </c>
      <c r="I34" s="1066" t="s">
        <v>347</v>
      </c>
    </row>
    <row r="35" spans="4:9">
      <c r="D35" s="1067" t="s">
        <v>2301</v>
      </c>
      <c r="E35" s="1068">
        <f>E14+E30</f>
        <v>43464023.609999999</v>
      </c>
      <c r="F35" s="960"/>
      <c r="G35" s="1068">
        <f>G14+G30</f>
        <v>7550389.0994674871</v>
      </c>
      <c r="H35" s="1068">
        <f>H14+H30</f>
        <v>0</v>
      </c>
      <c r="I35" s="1068">
        <f>I14+I30</f>
        <v>35913634.510532513</v>
      </c>
    </row>
    <row r="38" spans="4:9">
      <c r="E38" s="1069"/>
    </row>
    <row r="39" spans="4:9">
      <c r="E39" s="1069"/>
    </row>
  </sheetData>
  <pageMargins left="0.7" right="0.7" top="0.75" bottom="0.75" header="0.3" footer="0.3"/>
  <pageSetup scale="74" orientation="portrait" r:id="rId1"/>
  <headerFooter>
    <oddHeader>&amp;CPSE_ASC_Filing_Appendix_1_CY_2018</oddHeader>
    <oddFooter>&amp;R&amp;F&amp;A</oddFooter>
  </headerFooter>
  <customProperties>
    <customPr name="_pios_id" r:id="rId2"/>
  </customProperties>
  <drawing r:id="rId3"/>
  <legacyDrawing r:id="rId4"/>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rgb="FF92D050"/>
    <pageSetUpPr fitToPage="1"/>
  </sheetPr>
  <dimension ref="A1:M3416"/>
  <sheetViews>
    <sheetView workbookViewId="0">
      <pane ySplit="6" topLeftCell="A7" activePane="bottomLeft" state="frozen"/>
      <selection sqref="A1:XFD1048576"/>
      <selection pane="bottomLeft" sqref="A1:XFD1048576"/>
    </sheetView>
  </sheetViews>
  <sheetFormatPr defaultColWidth="8" defaultRowHeight="11.25"/>
  <cols>
    <col min="1" max="1" width="1.75" style="1076" customWidth="1"/>
    <col min="2" max="2" width="8.375" style="1076" customWidth="1"/>
    <col min="3" max="3" width="6.875" style="1076" bestFit="1" customWidth="1"/>
    <col min="4" max="4" width="8" style="1077" customWidth="1"/>
    <col min="5" max="5" width="27.25" style="1076" bestFit="1" customWidth="1"/>
    <col min="6" max="6" width="9.125" style="739" bestFit="1" customWidth="1"/>
    <col min="7" max="7" width="9.125" style="739" customWidth="1"/>
    <col min="8" max="8" width="13.375" style="1076" customWidth="1"/>
    <col min="9" max="9" width="10.25" style="1076" bestFit="1" customWidth="1"/>
    <col min="10" max="10" width="10.5" style="1076" bestFit="1" customWidth="1"/>
    <col min="11" max="11" width="13.25" style="1076" bestFit="1" customWidth="1"/>
    <col min="12" max="12" width="9" style="963" bestFit="1" customWidth="1"/>
    <col min="13" max="13" width="5.5" style="1076" customWidth="1"/>
    <col min="14" max="16384" width="8" style="1076"/>
  </cols>
  <sheetData>
    <row r="1" spans="1:13" s="493" customFormat="1" ht="12" thickBot="1">
      <c r="A1" s="1070" t="s">
        <v>4589</v>
      </c>
      <c r="B1" s="1071"/>
      <c r="C1" s="1071"/>
      <c r="D1" s="1072"/>
      <c r="E1" s="847"/>
      <c r="L1" s="926"/>
    </row>
    <row r="2" spans="1:13" s="493" customFormat="1" ht="22.5">
      <c r="A2" s="1073" t="s">
        <v>4849</v>
      </c>
      <c r="B2" s="847"/>
      <c r="C2" s="847"/>
      <c r="D2" s="1074"/>
      <c r="E2" s="847"/>
      <c r="H2" s="605" t="s">
        <v>919</v>
      </c>
      <c r="I2" s="606" t="s">
        <v>920</v>
      </c>
      <c r="L2" s="926"/>
    </row>
    <row r="3" spans="1:13" s="493" customFormat="1" ht="12" thickBot="1">
      <c r="A3" s="1073" t="s">
        <v>7152</v>
      </c>
      <c r="B3" s="847"/>
      <c r="C3" s="847"/>
      <c r="D3" s="1074"/>
      <c r="E3" s="847"/>
      <c r="H3" s="694">
        <f>'Four Factor Allocator'!$C$5</f>
        <v>0.65660000353553882</v>
      </c>
      <c r="I3" s="695">
        <f>'Four Factor Allocator'!$D$5</f>
        <v>0.34339999646446118</v>
      </c>
      <c r="L3" s="926"/>
    </row>
    <row r="4" spans="1:13" s="493" customFormat="1">
      <c r="A4" s="850"/>
      <c r="B4" s="849"/>
      <c r="C4" s="849"/>
      <c r="D4" s="1075"/>
      <c r="E4" s="849"/>
      <c r="L4" s="963"/>
    </row>
    <row r="5" spans="1:13" ht="12" thickBot="1"/>
    <row r="6" spans="1:13" ht="45.75" thickBot="1">
      <c r="B6" s="1078" t="s">
        <v>3790</v>
      </c>
      <c r="C6" s="1078" t="s">
        <v>4684</v>
      </c>
      <c r="D6" s="1078"/>
      <c r="E6" s="1078" t="s">
        <v>4850</v>
      </c>
      <c r="F6" s="1079" t="s">
        <v>4685</v>
      </c>
      <c r="G6" s="1080" t="s">
        <v>1630</v>
      </c>
      <c r="H6" s="978" t="s">
        <v>4686</v>
      </c>
      <c r="I6" s="979" t="s">
        <v>105</v>
      </c>
      <c r="J6" s="980" t="s">
        <v>106</v>
      </c>
      <c r="K6" s="981" t="s">
        <v>347</v>
      </c>
      <c r="L6" s="982" t="s">
        <v>4595</v>
      </c>
      <c r="M6" s="1081" t="s">
        <v>927</v>
      </c>
    </row>
    <row r="7" spans="1:13">
      <c r="B7" s="1082">
        <v>411.6</v>
      </c>
      <c r="C7" s="1083">
        <v>41160001</v>
      </c>
      <c r="D7" s="1084" t="s">
        <v>510</v>
      </c>
      <c r="E7" s="1085" t="s">
        <v>4851</v>
      </c>
      <c r="F7" s="1874">
        <v>-611696.39</v>
      </c>
      <c r="G7" s="1086">
        <f>F7</f>
        <v>-611696.39</v>
      </c>
      <c r="H7" s="1087" t="s">
        <v>99</v>
      </c>
      <c r="I7" s="1088">
        <f>VLOOKUP($H7,Ratio,2,FALSE)*$G7</f>
        <v>-213537.98767209105</v>
      </c>
      <c r="J7" s="1088">
        <f>VLOOKUP($H7,Ratio,3,FALSE)*$G7</f>
        <v>0</v>
      </c>
      <c r="K7" s="1088">
        <f>VLOOKUP($H7,Ratio,4,FALSE)*$G7</f>
        <v>-398158.40232790902</v>
      </c>
      <c r="L7" s="1051"/>
      <c r="M7" s="1783">
        <f>F7-SUM(I7:K7)</f>
        <v>0</v>
      </c>
    </row>
    <row r="8" spans="1:13">
      <c r="B8" s="1833">
        <v>411.6</v>
      </c>
      <c r="C8" s="1834">
        <v>41160302</v>
      </c>
      <c r="D8" s="1835" t="s">
        <v>4691</v>
      </c>
      <c r="E8" s="1836" t="s">
        <v>4851</v>
      </c>
      <c r="F8" s="1841">
        <v>0</v>
      </c>
      <c r="G8" s="1837"/>
      <c r="H8" s="1831" t="s">
        <v>950</v>
      </c>
      <c r="I8" s="1838"/>
      <c r="J8" s="1838"/>
      <c r="K8" s="1839"/>
      <c r="L8" s="1840"/>
      <c r="M8" s="1832"/>
    </row>
    <row r="9" spans="1:13">
      <c r="B9" s="1093">
        <v>411.6</v>
      </c>
      <c r="C9" s="1094">
        <v>41160605</v>
      </c>
      <c r="D9" s="1095" t="s">
        <v>4822</v>
      </c>
      <c r="E9" s="1096" t="s">
        <v>4852</v>
      </c>
      <c r="F9" s="1875">
        <v>0</v>
      </c>
      <c r="G9" s="1097">
        <f>F9*H3</f>
        <v>0</v>
      </c>
      <c r="H9" s="1098" t="s">
        <v>99</v>
      </c>
      <c r="I9" s="1099">
        <f>VLOOKUP($H9,Ratio,2,FALSE)*$G9</f>
        <v>0</v>
      </c>
      <c r="J9" s="1099">
        <f>VLOOKUP($H9,Ratio,3,FALSE)*$G9</f>
        <v>0</v>
      </c>
      <c r="K9" s="1099">
        <f>VLOOKUP($H9,Ratio,4,FALSE)*$G9</f>
        <v>0</v>
      </c>
      <c r="L9" s="1056"/>
      <c r="M9" s="1783">
        <f t="shared" ref="M9:M10" si="0">F9-SUM(I9:K9)</f>
        <v>0</v>
      </c>
    </row>
    <row r="10" spans="1:13">
      <c r="B10" s="1089">
        <v>411.7</v>
      </c>
      <c r="C10" s="1090">
        <v>41170001</v>
      </c>
      <c r="D10" s="1091" t="s">
        <v>510</v>
      </c>
      <c r="E10" s="1076" t="s">
        <v>4853</v>
      </c>
      <c r="F10" s="1100">
        <v>5518.8</v>
      </c>
      <c r="G10" s="1100">
        <f>F10</f>
        <v>5518.8</v>
      </c>
      <c r="H10" s="1101" t="s">
        <v>99</v>
      </c>
      <c r="I10" s="1092">
        <f t="shared" ref="I10" si="1">VLOOKUP($H10,Ratio,2,FALSE)*$G10</f>
        <v>1926.5659657804031</v>
      </c>
      <c r="J10" s="1092">
        <f>VLOOKUP($H10,Ratio,3,FALSE)*$G10</f>
        <v>0</v>
      </c>
      <c r="K10" s="1092">
        <f>VLOOKUP($H10,Ratio,4,FALSE)*$G10</f>
        <v>3592.2340342195976</v>
      </c>
      <c r="L10" s="1054"/>
      <c r="M10" s="1783">
        <f t="shared" si="0"/>
        <v>0</v>
      </c>
    </row>
    <row r="11" spans="1:13">
      <c r="B11" s="1833">
        <v>411.7</v>
      </c>
      <c r="C11" s="1834">
        <v>41170302</v>
      </c>
      <c r="D11" s="1835" t="s">
        <v>894</v>
      </c>
      <c r="E11" s="1836" t="s">
        <v>4853</v>
      </c>
      <c r="F11" s="1841">
        <v>1877403.78</v>
      </c>
      <c r="G11" s="1841"/>
      <c r="H11" s="1831" t="s">
        <v>950</v>
      </c>
      <c r="I11" s="1838"/>
      <c r="J11" s="1838"/>
      <c r="K11" s="1839"/>
      <c r="L11" s="1840"/>
      <c r="M11" s="1832"/>
    </row>
    <row r="12" spans="1:13">
      <c r="B12" s="1089">
        <v>411.7</v>
      </c>
      <c r="C12" s="1094">
        <v>41170605</v>
      </c>
      <c r="D12" s="1095" t="s">
        <v>4822</v>
      </c>
      <c r="E12" s="1076" t="s">
        <v>4854</v>
      </c>
      <c r="F12" s="1875">
        <v>0</v>
      </c>
      <c r="G12" s="1097">
        <f>F12*H3</f>
        <v>0</v>
      </c>
      <c r="H12" s="1098" t="s">
        <v>99</v>
      </c>
      <c r="I12" s="1099">
        <f>VLOOKUP($H12,Ratio,2,FALSE)*$G12</f>
        <v>0</v>
      </c>
      <c r="J12" s="1099">
        <f>VLOOKUP($H12,Ratio,3,FALSE)*$G12</f>
        <v>0</v>
      </c>
      <c r="K12" s="1099">
        <f>VLOOKUP($H12,Ratio,4,FALSE)*$G12</f>
        <v>0</v>
      </c>
      <c r="L12" s="1056"/>
      <c r="M12" s="1783">
        <f>G12-SUM(I12:K12)</f>
        <v>0</v>
      </c>
    </row>
    <row r="13" spans="1:13">
      <c r="B13" s="1102"/>
      <c r="C13" s="1102"/>
      <c r="D13" s="1103"/>
      <c r="E13" s="1104" t="s">
        <v>104</v>
      </c>
      <c r="F13" s="1105">
        <f>SUM(F7:F12)</f>
        <v>1271226.19</v>
      </c>
      <c r="G13" s="1105">
        <f>SUM(G7:G12)</f>
        <v>-606177.59</v>
      </c>
      <c r="H13" s="960"/>
      <c r="I13" s="1105">
        <f>SUM(I7:I12)</f>
        <v>-211611.42170631065</v>
      </c>
      <c r="J13" s="1105">
        <f>SUM(J7:J12)</f>
        <v>0</v>
      </c>
      <c r="K13" s="1105">
        <f>SUM(K7:K12)</f>
        <v>-394566.16829368944</v>
      </c>
      <c r="L13" s="960"/>
      <c r="M13" s="1783">
        <f>G13-SUM(I13:K13)</f>
        <v>0</v>
      </c>
    </row>
    <row r="14" spans="1:13" s="963" customFormat="1" ht="12" thickBot="1">
      <c r="D14" s="1106"/>
      <c r="E14" s="874" t="s">
        <v>4681</v>
      </c>
      <c r="F14" s="1107">
        <f>-611696.39+1882922.58</f>
        <v>1271226.19</v>
      </c>
      <c r="G14" s="1108"/>
    </row>
    <row r="15" spans="1:13" s="963" customFormat="1" ht="12" thickTop="1">
      <c r="D15" s="1106"/>
      <c r="E15" s="876" t="s">
        <v>929</v>
      </c>
      <c r="F15" s="1780">
        <f>F13-F14</f>
        <v>0</v>
      </c>
      <c r="G15" s="1781">
        <f>+'FERC p114-117a Income'!H32+SUM(G7:G9)</f>
        <v>-0.39000000001396984</v>
      </c>
      <c r="H15" s="1696" t="s">
        <v>4713</v>
      </c>
      <c r="I15" s="1782"/>
    </row>
    <row r="16" spans="1:13">
      <c r="F16" s="1109"/>
      <c r="G16" s="1781">
        <f>+'FERC p114-117a Income'!H33-SUM(G10:G12)</f>
        <v>0.1999999999998181</v>
      </c>
      <c r="H16" s="1696" t="s">
        <v>4713</v>
      </c>
      <c r="I16" s="1782"/>
      <c r="J16" s="963"/>
      <c r="K16" s="963"/>
    </row>
    <row r="17" spans="2:11">
      <c r="F17" s="1109"/>
      <c r="G17" s="1109"/>
      <c r="H17" s="1109"/>
      <c r="I17" s="1109"/>
      <c r="J17" s="1109"/>
      <c r="K17" s="963"/>
    </row>
    <row r="18" spans="2:11">
      <c r="F18" s="1109"/>
      <c r="G18" s="1109"/>
    </row>
    <row r="19" spans="2:11">
      <c r="B19" s="1076" t="s">
        <v>4855</v>
      </c>
    </row>
    <row r="20" spans="2:11">
      <c r="B20" s="1076" t="s">
        <v>4856</v>
      </c>
    </row>
    <row r="22" spans="2:11">
      <c r="B22" s="1076" t="s">
        <v>4857</v>
      </c>
    </row>
    <row r="23" spans="2:11">
      <c r="B23" s="1076" t="s">
        <v>4858</v>
      </c>
    </row>
    <row r="24" spans="2:11">
      <c r="B24" s="1076" t="s">
        <v>4712</v>
      </c>
    </row>
    <row r="34" spans="6:7">
      <c r="F34" s="1076"/>
      <c r="G34" s="1076"/>
    </row>
    <row r="35" spans="6:7">
      <c r="F35" s="1076"/>
      <c r="G35" s="1076"/>
    </row>
    <row r="36" spans="6:7">
      <c r="F36" s="1076"/>
      <c r="G36" s="1076"/>
    </row>
    <row r="37" spans="6:7">
      <c r="F37" s="1076"/>
      <c r="G37" s="1076"/>
    </row>
    <row r="38" spans="6:7">
      <c r="F38" s="1076"/>
      <c r="G38" s="1076"/>
    </row>
    <row r="39" spans="6:7">
      <c r="F39" s="1076"/>
      <c r="G39" s="1076"/>
    </row>
    <row r="40" spans="6:7">
      <c r="F40" s="1076"/>
      <c r="G40" s="1076"/>
    </row>
    <row r="41" spans="6:7">
      <c r="F41" s="1076"/>
      <c r="G41" s="1076"/>
    </row>
    <row r="42" spans="6:7">
      <c r="F42" s="1076"/>
      <c r="G42" s="1076"/>
    </row>
    <row r="43" spans="6:7">
      <c r="F43" s="1076"/>
      <c r="G43" s="1076"/>
    </row>
    <row r="44" spans="6:7">
      <c r="F44" s="1076"/>
      <c r="G44" s="1076"/>
    </row>
    <row r="45" spans="6:7">
      <c r="F45" s="1076"/>
      <c r="G45" s="1076"/>
    </row>
    <row r="46" spans="6:7">
      <c r="F46" s="1076"/>
      <c r="G46" s="1076"/>
    </row>
    <row r="47" spans="6:7">
      <c r="F47" s="1076"/>
      <c r="G47" s="1076"/>
    </row>
    <row r="48" spans="6:7">
      <c r="F48" s="1076"/>
      <c r="G48" s="1076"/>
    </row>
    <row r="49" spans="6:7">
      <c r="F49" s="1076"/>
      <c r="G49" s="1076"/>
    </row>
    <row r="50" spans="6:7">
      <c r="F50" s="1076"/>
      <c r="G50" s="1076"/>
    </row>
    <row r="51" spans="6:7">
      <c r="F51" s="1076"/>
      <c r="G51" s="1076"/>
    </row>
    <row r="52" spans="6:7">
      <c r="F52" s="1076"/>
      <c r="G52" s="1076"/>
    </row>
    <row r="53" spans="6:7">
      <c r="F53" s="1076"/>
      <c r="G53" s="1076"/>
    </row>
    <row r="54" spans="6:7">
      <c r="F54" s="1076"/>
      <c r="G54" s="1076"/>
    </row>
    <row r="55" spans="6:7">
      <c r="F55" s="1076"/>
      <c r="G55" s="1076"/>
    </row>
    <row r="56" spans="6:7">
      <c r="F56" s="1076"/>
      <c r="G56" s="1076"/>
    </row>
    <row r="57" spans="6:7">
      <c r="F57" s="1076"/>
      <c r="G57" s="1076"/>
    </row>
    <row r="58" spans="6:7">
      <c r="F58" s="1076"/>
      <c r="G58" s="1076"/>
    </row>
    <row r="59" spans="6:7">
      <c r="F59" s="1076"/>
      <c r="G59" s="1076"/>
    </row>
    <row r="60" spans="6:7">
      <c r="F60" s="1076"/>
      <c r="G60" s="1076"/>
    </row>
    <row r="61" spans="6:7">
      <c r="F61" s="1076"/>
      <c r="G61" s="1076"/>
    </row>
    <row r="62" spans="6:7">
      <c r="F62" s="1076"/>
      <c r="G62" s="1076"/>
    </row>
    <row r="63" spans="6:7">
      <c r="F63" s="1076"/>
      <c r="G63" s="1076"/>
    </row>
    <row r="64" spans="6:7">
      <c r="F64" s="1076"/>
      <c r="G64" s="1076"/>
    </row>
    <row r="65" spans="6:7">
      <c r="F65" s="1076"/>
      <c r="G65" s="1076"/>
    </row>
    <row r="66" spans="6:7">
      <c r="F66" s="1076"/>
      <c r="G66" s="1076"/>
    </row>
    <row r="67" spans="6:7">
      <c r="F67" s="1076"/>
      <c r="G67" s="1076"/>
    </row>
    <row r="68" spans="6:7">
      <c r="F68" s="1076"/>
      <c r="G68" s="1076"/>
    </row>
    <row r="69" spans="6:7">
      <c r="F69" s="1076"/>
      <c r="G69" s="1076"/>
    </row>
    <row r="70" spans="6:7">
      <c r="F70" s="1076"/>
      <c r="G70" s="1076"/>
    </row>
    <row r="71" spans="6:7">
      <c r="F71" s="1076"/>
      <c r="G71" s="1076"/>
    </row>
    <row r="72" spans="6:7">
      <c r="F72" s="1076"/>
      <c r="G72" s="1076"/>
    </row>
    <row r="73" spans="6:7">
      <c r="F73" s="1076"/>
      <c r="G73" s="1076"/>
    </row>
    <row r="74" spans="6:7">
      <c r="F74" s="1076"/>
      <c r="G74" s="1076"/>
    </row>
    <row r="75" spans="6:7">
      <c r="F75" s="1076"/>
      <c r="G75" s="1076"/>
    </row>
    <row r="76" spans="6:7">
      <c r="F76" s="1076"/>
      <c r="G76" s="1076"/>
    </row>
    <row r="77" spans="6:7">
      <c r="F77" s="1076"/>
      <c r="G77" s="1076"/>
    </row>
    <row r="78" spans="6:7">
      <c r="F78" s="1076"/>
      <c r="G78" s="1076"/>
    </row>
    <row r="79" spans="6:7">
      <c r="F79" s="1076"/>
      <c r="G79" s="1076"/>
    </row>
    <row r="80" spans="6:7">
      <c r="F80" s="1076"/>
      <c r="G80" s="1076"/>
    </row>
    <row r="81" spans="6:7">
      <c r="F81" s="1076"/>
      <c r="G81" s="1076"/>
    </row>
    <row r="82" spans="6:7">
      <c r="F82" s="1076"/>
      <c r="G82" s="1076"/>
    </row>
    <row r="83" spans="6:7">
      <c r="F83" s="1076"/>
      <c r="G83" s="1076"/>
    </row>
    <row r="84" spans="6:7">
      <c r="F84" s="1076"/>
      <c r="G84" s="1076"/>
    </row>
    <row r="85" spans="6:7">
      <c r="F85" s="1076"/>
      <c r="G85" s="1076"/>
    </row>
    <row r="86" spans="6:7">
      <c r="F86" s="1076"/>
      <c r="G86" s="1076"/>
    </row>
    <row r="87" spans="6:7">
      <c r="F87" s="1076"/>
      <c r="G87" s="1076"/>
    </row>
    <row r="88" spans="6:7">
      <c r="F88" s="1076"/>
      <c r="G88" s="1076"/>
    </row>
    <row r="89" spans="6:7">
      <c r="F89" s="1076"/>
      <c r="G89" s="1076"/>
    </row>
    <row r="90" spans="6:7">
      <c r="F90" s="1076"/>
      <c r="G90" s="1076"/>
    </row>
    <row r="91" spans="6:7">
      <c r="F91" s="1076"/>
      <c r="G91" s="1076"/>
    </row>
    <row r="92" spans="6:7">
      <c r="F92" s="1076"/>
      <c r="G92" s="1076"/>
    </row>
    <row r="93" spans="6:7">
      <c r="F93" s="1076"/>
      <c r="G93" s="1076"/>
    </row>
    <row r="94" spans="6:7">
      <c r="F94" s="1076"/>
      <c r="G94" s="1076"/>
    </row>
    <row r="95" spans="6:7">
      <c r="F95" s="1076"/>
      <c r="G95" s="1076"/>
    </row>
    <row r="96" spans="6:7">
      <c r="F96" s="1076"/>
      <c r="G96" s="1076"/>
    </row>
    <row r="97" spans="6:7">
      <c r="F97" s="1076"/>
      <c r="G97" s="1076"/>
    </row>
    <row r="98" spans="6:7">
      <c r="F98" s="1076"/>
      <c r="G98" s="1076"/>
    </row>
    <row r="99" spans="6:7">
      <c r="F99" s="1076"/>
      <c r="G99" s="1076"/>
    </row>
    <row r="100" spans="6:7">
      <c r="F100" s="1076"/>
      <c r="G100" s="1076"/>
    </row>
    <row r="101" spans="6:7">
      <c r="F101" s="1076"/>
      <c r="G101" s="1076"/>
    </row>
    <row r="102" spans="6:7">
      <c r="F102" s="1076"/>
      <c r="G102" s="1076"/>
    </row>
    <row r="103" spans="6:7">
      <c r="F103" s="1076"/>
      <c r="G103" s="1076"/>
    </row>
    <row r="104" spans="6:7">
      <c r="F104" s="1076"/>
      <c r="G104" s="1076"/>
    </row>
    <row r="105" spans="6:7">
      <c r="F105" s="1076"/>
      <c r="G105" s="1076"/>
    </row>
    <row r="106" spans="6:7">
      <c r="F106" s="1076"/>
      <c r="G106" s="1076"/>
    </row>
    <row r="107" spans="6:7">
      <c r="F107" s="1076"/>
      <c r="G107" s="1076"/>
    </row>
    <row r="108" spans="6:7">
      <c r="F108" s="1076"/>
      <c r="G108" s="1076"/>
    </row>
    <row r="109" spans="6:7">
      <c r="F109" s="1076"/>
      <c r="G109" s="1076"/>
    </row>
    <row r="110" spans="6:7">
      <c r="F110" s="1076"/>
      <c r="G110" s="1076"/>
    </row>
    <row r="111" spans="6:7">
      <c r="F111" s="1076"/>
      <c r="G111" s="1076"/>
    </row>
    <row r="112" spans="6:7">
      <c r="F112" s="1076"/>
      <c r="G112" s="1076"/>
    </row>
    <row r="113" spans="6:7">
      <c r="F113" s="1076"/>
      <c r="G113" s="1076"/>
    </row>
    <row r="114" spans="6:7">
      <c r="F114" s="1076"/>
      <c r="G114" s="1076"/>
    </row>
    <row r="115" spans="6:7">
      <c r="F115" s="1076"/>
      <c r="G115" s="1076"/>
    </row>
    <row r="116" spans="6:7">
      <c r="F116" s="1076"/>
      <c r="G116" s="1076"/>
    </row>
    <row r="117" spans="6:7">
      <c r="F117" s="1076"/>
      <c r="G117" s="1076"/>
    </row>
    <row r="118" spans="6:7">
      <c r="F118" s="1076"/>
      <c r="G118" s="1076"/>
    </row>
    <row r="119" spans="6:7">
      <c r="F119" s="1076"/>
      <c r="G119" s="1076"/>
    </row>
    <row r="120" spans="6:7">
      <c r="F120" s="1076"/>
      <c r="G120" s="1076"/>
    </row>
    <row r="121" spans="6:7">
      <c r="F121" s="1076"/>
      <c r="G121" s="1076"/>
    </row>
    <row r="122" spans="6:7">
      <c r="F122" s="1076"/>
      <c r="G122" s="1076"/>
    </row>
    <row r="123" spans="6:7">
      <c r="F123" s="1076"/>
      <c r="G123" s="1076"/>
    </row>
    <row r="124" spans="6:7">
      <c r="F124" s="1076"/>
      <c r="G124" s="1076"/>
    </row>
    <row r="125" spans="6:7">
      <c r="F125" s="1076"/>
      <c r="G125" s="1076"/>
    </row>
    <row r="126" spans="6:7">
      <c r="F126" s="1076"/>
      <c r="G126" s="1076"/>
    </row>
    <row r="127" spans="6:7">
      <c r="F127" s="1076"/>
      <c r="G127" s="1076"/>
    </row>
    <row r="128" spans="6:7">
      <c r="F128" s="1076"/>
      <c r="G128" s="1076"/>
    </row>
    <row r="129" spans="6:7">
      <c r="F129" s="1076"/>
      <c r="G129" s="1076"/>
    </row>
    <row r="130" spans="6:7">
      <c r="F130" s="1076"/>
      <c r="G130" s="1076"/>
    </row>
    <row r="131" spans="6:7">
      <c r="F131" s="1076"/>
      <c r="G131" s="1076"/>
    </row>
    <row r="132" spans="6:7">
      <c r="F132" s="1076"/>
      <c r="G132" s="1076"/>
    </row>
    <row r="133" spans="6:7">
      <c r="F133" s="1076"/>
      <c r="G133" s="1076"/>
    </row>
    <row r="134" spans="6:7">
      <c r="F134" s="1076"/>
      <c r="G134" s="1076"/>
    </row>
    <row r="135" spans="6:7">
      <c r="F135" s="1076"/>
      <c r="G135" s="1076"/>
    </row>
    <row r="136" spans="6:7">
      <c r="F136" s="1076"/>
      <c r="G136" s="1076"/>
    </row>
    <row r="137" spans="6:7">
      <c r="F137" s="1076"/>
      <c r="G137" s="1076"/>
    </row>
    <row r="138" spans="6:7">
      <c r="F138" s="1076"/>
      <c r="G138" s="1076"/>
    </row>
    <row r="139" spans="6:7">
      <c r="F139" s="1076"/>
      <c r="G139" s="1076"/>
    </row>
    <row r="140" spans="6:7">
      <c r="F140" s="1076"/>
      <c r="G140" s="1076"/>
    </row>
    <row r="141" spans="6:7">
      <c r="F141" s="1076"/>
      <c r="G141" s="1076"/>
    </row>
    <row r="142" spans="6:7">
      <c r="F142" s="1076"/>
      <c r="G142" s="1076"/>
    </row>
    <row r="143" spans="6:7">
      <c r="F143" s="1076"/>
      <c r="G143" s="1076"/>
    </row>
    <row r="144" spans="6:7">
      <c r="F144" s="1076"/>
      <c r="G144" s="1076"/>
    </row>
    <row r="145" spans="6:7">
      <c r="F145" s="1076"/>
      <c r="G145" s="1076"/>
    </row>
    <row r="146" spans="6:7">
      <c r="F146" s="1076"/>
      <c r="G146" s="1076"/>
    </row>
    <row r="147" spans="6:7">
      <c r="F147" s="1076"/>
      <c r="G147" s="1076"/>
    </row>
    <row r="148" spans="6:7">
      <c r="F148" s="1076"/>
      <c r="G148" s="1076"/>
    </row>
    <row r="149" spans="6:7">
      <c r="F149" s="1076"/>
      <c r="G149" s="1076"/>
    </row>
    <row r="150" spans="6:7">
      <c r="F150" s="1076"/>
      <c r="G150" s="1076"/>
    </row>
    <row r="151" spans="6:7">
      <c r="F151" s="1076"/>
      <c r="G151" s="1076"/>
    </row>
    <row r="152" spans="6:7">
      <c r="F152" s="1076"/>
      <c r="G152" s="1076"/>
    </row>
    <row r="153" spans="6:7">
      <c r="F153" s="1076"/>
      <c r="G153" s="1076"/>
    </row>
    <row r="154" spans="6:7">
      <c r="F154" s="1076"/>
      <c r="G154" s="1076"/>
    </row>
    <row r="155" spans="6:7">
      <c r="F155" s="1076"/>
      <c r="G155" s="1076"/>
    </row>
    <row r="156" spans="6:7">
      <c r="F156" s="1076"/>
      <c r="G156" s="1076"/>
    </row>
    <row r="157" spans="6:7">
      <c r="F157" s="1076"/>
      <c r="G157" s="1076"/>
    </row>
    <row r="158" spans="6:7">
      <c r="F158" s="1076"/>
      <c r="G158" s="1076"/>
    </row>
    <row r="159" spans="6:7">
      <c r="F159" s="1076"/>
      <c r="G159" s="1076"/>
    </row>
    <row r="160" spans="6:7">
      <c r="F160" s="1076"/>
      <c r="G160" s="1076"/>
    </row>
    <row r="161" spans="6:7">
      <c r="F161" s="1076"/>
      <c r="G161" s="1076"/>
    </row>
    <row r="162" spans="6:7">
      <c r="F162" s="1076"/>
      <c r="G162" s="1076"/>
    </row>
    <row r="163" spans="6:7">
      <c r="F163" s="1076"/>
      <c r="G163" s="1076"/>
    </row>
    <row r="164" spans="6:7">
      <c r="F164" s="1076"/>
      <c r="G164" s="1076"/>
    </row>
    <row r="165" spans="6:7">
      <c r="F165" s="1076"/>
      <c r="G165" s="1076"/>
    </row>
    <row r="166" spans="6:7">
      <c r="F166" s="1076"/>
      <c r="G166" s="1076"/>
    </row>
    <row r="167" spans="6:7">
      <c r="F167" s="1076"/>
      <c r="G167" s="1076"/>
    </row>
    <row r="168" spans="6:7">
      <c r="F168" s="1076"/>
      <c r="G168" s="1076"/>
    </row>
    <row r="169" spans="6:7">
      <c r="F169" s="1076"/>
      <c r="G169" s="1076"/>
    </row>
    <row r="170" spans="6:7">
      <c r="F170" s="1076"/>
      <c r="G170" s="1076"/>
    </row>
    <row r="171" spans="6:7">
      <c r="F171" s="1076"/>
      <c r="G171" s="1076"/>
    </row>
    <row r="172" spans="6:7">
      <c r="F172" s="1076"/>
      <c r="G172" s="1076"/>
    </row>
    <row r="173" spans="6:7">
      <c r="F173" s="1076"/>
      <c r="G173" s="1076"/>
    </row>
    <row r="174" spans="6:7">
      <c r="F174" s="1076"/>
      <c r="G174" s="1076"/>
    </row>
    <row r="175" spans="6:7">
      <c r="F175" s="1076"/>
      <c r="G175" s="1076"/>
    </row>
    <row r="176" spans="6:7">
      <c r="F176" s="1076"/>
      <c r="G176" s="1076"/>
    </row>
    <row r="177" spans="6:7">
      <c r="F177" s="1076"/>
      <c r="G177" s="1076"/>
    </row>
    <row r="178" spans="6:7">
      <c r="F178" s="1076"/>
      <c r="G178" s="1076"/>
    </row>
    <row r="179" spans="6:7">
      <c r="F179" s="1076"/>
      <c r="G179" s="1076"/>
    </row>
    <row r="180" spans="6:7">
      <c r="F180" s="1076"/>
      <c r="G180" s="1076"/>
    </row>
    <row r="181" spans="6:7">
      <c r="F181" s="1076"/>
      <c r="G181" s="1076"/>
    </row>
    <row r="182" spans="6:7">
      <c r="F182" s="1076"/>
      <c r="G182" s="1076"/>
    </row>
    <row r="183" spans="6:7">
      <c r="F183" s="1076"/>
      <c r="G183" s="1076"/>
    </row>
    <row r="184" spans="6:7">
      <c r="F184" s="1076"/>
      <c r="G184" s="1076"/>
    </row>
    <row r="185" spans="6:7">
      <c r="F185" s="1076"/>
      <c r="G185" s="1076"/>
    </row>
    <row r="186" spans="6:7">
      <c r="F186" s="1076"/>
      <c r="G186" s="1076"/>
    </row>
    <row r="187" spans="6:7">
      <c r="F187" s="1076"/>
      <c r="G187" s="1076"/>
    </row>
    <row r="188" spans="6:7">
      <c r="F188" s="1076"/>
      <c r="G188" s="1076"/>
    </row>
    <row r="189" spans="6:7">
      <c r="F189" s="1076"/>
      <c r="G189" s="1076"/>
    </row>
    <row r="190" spans="6:7">
      <c r="F190" s="1076"/>
      <c r="G190" s="1076"/>
    </row>
    <row r="191" spans="6:7">
      <c r="F191" s="1076"/>
      <c r="G191" s="1076"/>
    </row>
    <row r="192" spans="6:7">
      <c r="F192" s="1076"/>
      <c r="G192" s="1076"/>
    </row>
    <row r="193" spans="6:7">
      <c r="F193" s="1076"/>
      <c r="G193" s="1076"/>
    </row>
    <row r="194" spans="6:7">
      <c r="F194" s="1076"/>
      <c r="G194" s="1076"/>
    </row>
    <row r="195" spans="6:7">
      <c r="F195" s="1076"/>
      <c r="G195" s="1076"/>
    </row>
    <row r="196" spans="6:7">
      <c r="F196" s="1076"/>
      <c r="G196" s="1076"/>
    </row>
    <row r="197" spans="6:7">
      <c r="F197" s="1076"/>
      <c r="G197" s="1076"/>
    </row>
    <row r="198" spans="6:7">
      <c r="F198" s="1076"/>
      <c r="G198" s="1076"/>
    </row>
    <row r="199" spans="6:7">
      <c r="F199" s="1076"/>
      <c r="G199" s="1076"/>
    </row>
    <row r="200" spans="6:7">
      <c r="F200" s="1076"/>
      <c r="G200" s="1076"/>
    </row>
    <row r="201" spans="6:7">
      <c r="F201" s="1076"/>
      <c r="G201" s="1076"/>
    </row>
    <row r="202" spans="6:7">
      <c r="F202" s="1076"/>
      <c r="G202" s="1076"/>
    </row>
    <row r="203" spans="6:7">
      <c r="F203" s="1076"/>
      <c r="G203" s="1076"/>
    </row>
    <row r="204" spans="6:7">
      <c r="F204" s="1076"/>
      <c r="G204" s="1076"/>
    </row>
    <row r="205" spans="6:7">
      <c r="F205" s="1076"/>
      <c r="G205" s="1076"/>
    </row>
    <row r="206" spans="6:7">
      <c r="F206" s="1076"/>
      <c r="G206" s="1076"/>
    </row>
    <row r="207" spans="6:7">
      <c r="F207" s="1076"/>
      <c r="G207" s="1076"/>
    </row>
    <row r="208" spans="6:7">
      <c r="F208" s="1076"/>
      <c r="G208" s="1076"/>
    </row>
    <row r="209" spans="6:7">
      <c r="F209" s="1076"/>
      <c r="G209" s="1076"/>
    </row>
    <row r="210" spans="6:7">
      <c r="F210" s="1076"/>
      <c r="G210" s="1076"/>
    </row>
    <row r="211" spans="6:7">
      <c r="F211" s="1076"/>
      <c r="G211" s="1076"/>
    </row>
    <row r="212" spans="6:7">
      <c r="F212" s="1076"/>
      <c r="G212" s="1076"/>
    </row>
    <row r="213" spans="6:7">
      <c r="F213" s="1076"/>
      <c r="G213" s="1076"/>
    </row>
    <row r="214" spans="6:7">
      <c r="F214" s="1076"/>
      <c r="G214" s="1076"/>
    </row>
    <row r="215" spans="6:7">
      <c r="F215" s="1076"/>
      <c r="G215" s="1076"/>
    </row>
    <row r="216" spans="6:7">
      <c r="F216" s="1076"/>
      <c r="G216" s="1076"/>
    </row>
    <row r="217" spans="6:7">
      <c r="F217" s="1076"/>
      <c r="G217" s="1076"/>
    </row>
    <row r="218" spans="6:7">
      <c r="F218" s="1076"/>
      <c r="G218" s="1076"/>
    </row>
    <row r="219" spans="6:7">
      <c r="F219" s="1076"/>
      <c r="G219" s="1076"/>
    </row>
    <row r="220" spans="6:7">
      <c r="F220" s="1076"/>
      <c r="G220" s="1076"/>
    </row>
    <row r="221" spans="6:7">
      <c r="F221" s="1076"/>
      <c r="G221" s="1076"/>
    </row>
    <row r="222" spans="6:7">
      <c r="F222" s="1076"/>
      <c r="G222" s="1076"/>
    </row>
    <row r="223" spans="6:7">
      <c r="F223" s="1076"/>
      <c r="G223" s="1076"/>
    </row>
    <row r="224" spans="6:7">
      <c r="F224" s="1076"/>
      <c r="G224" s="1076"/>
    </row>
    <row r="225" spans="6:7">
      <c r="F225" s="1076"/>
      <c r="G225" s="1076"/>
    </row>
    <row r="226" spans="6:7">
      <c r="F226" s="1076"/>
      <c r="G226" s="1076"/>
    </row>
    <row r="227" spans="6:7">
      <c r="F227" s="1076"/>
      <c r="G227" s="1076"/>
    </row>
    <row r="228" spans="6:7">
      <c r="F228" s="1076"/>
      <c r="G228" s="1076"/>
    </row>
    <row r="229" spans="6:7">
      <c r="F229" s="1076"/>
      <c r="G229" s="1076"/>
    </row>
    <row r="230" spans="6:7">
      <c r="F230" s="1076"/>
      <c r="G230" s="1076"/>
    </row>
    <row r="231" spans="6:7">
      <c r="F231" s="1076"/>
      <c r="G231" s="1076"/>
    </row>
    <row r="232" spans="6:7">
      <c r="F232" s="1076"/>
      <c r="G232" s="1076"/>
    </row>
    <row r="233" spans="6:7">
      <c r="F233" s="1076"/>
      <c r="G233" s="1076"/>
    </row>
    <row r="234" spans="6:7">
      <c r="F234" s="1076"/>
      <c r="G234" s="1076"/>
    </row>
    <row r="235" spans="6:7">
      <c r="F235" s="1076"/>
      <c r="G235" s="1076"/>
    </row>
    <row r="236" spans="6:7">
      <c r="F236" s="1076"/>
      <c r="G236" s="1076"/>
    </row>
    <row r="237" spans="6:7">
      <c r="F237" s="1076"/>
      <c r="G237" s="1076"/>
    </row>
    <row r="238" spans="6:7">
      <c r="F238" s="1076"/>
      <c r="G238" s="1076"/>
    </row>
    <row r="239" spans="6:7">
      <c r="F239" s="1076"/>
      <c r="G239" s="1076"/>
    </row>
    <row r="240" spans="6:7">
      <c r="F240" s="1076"/>
      <c r="G240" s="1076"/>
    </row>
    <row r="241" spans="6:7">
      <c r="F241" s="1076"/>
      <c r="G241" s="1076"/>
    </row>
    <row r="242" spans="6:7">
      <c r="F242" s="1076"/>
      <c r="G242" s="1076"/>
    </row>
    <row r="243" spans="6:7">
      <c r="F243" s="1076"/>
      <c r="G243" s="1076"/>
    </row>
    <row r="244" spans="6:7">
      <c r="F244" s="1076"/>
      <c r="G244" s="1076"/>
    </row>
    <row r="245" spans="6:7">
      <c r="F245" s="1076"/>
      <c r="G245" s="1076"/>
    </row>
    <row r="246" spans="6:7">
      <c r="F246" s="1076"/>
      <c r="G246" s="1076"/>
    </row>
    <row r="247" spans="6:7">
      <c r="F247" s="1076"/>
      <c r="G247" s="1076"/>
    </row>
    <row r="248" spans="6:7">
      <c r="F248" s="1076"/>
      <c r="G248" s="1076"/>
    </row>
    <row r="249" spans="6:7">
      <c r="F249" s="1076"/>
      <c r="G249" s="1076"/>
    </row>
    <row r="250" spans="6:7">
      <c r="F250" s="1076"/>
      <c r="G250" s="1076"/>
    </row>
    <row r="251" spans="6:7">
      <c r="F251" s="1076"/>
      <c r="G251" s="1076"/>
    </row>
    <row r="252" spans="6:7">
      <c r="F252" s="1076"/>
      <c r="G252" s="1076"/>
    </row>
    <row r="253" spans="6:7">
      <c r="F253" s="1076"/>
      <c r="G253" s="1076"/>
    </row>
    <row r="254" spans="6:7">
      <c r="F254" s="1076"/>
      <c r="G254" s="1076"/>
    </row>
    <row r="255" spans="6:7">
      <c r="F255" s="1076"/>
      <c r="G255" s="1076"/>
    </row>
    <row r="256" spans="6:7">
      <c r="F256" s="1076"/>
      <c r="G256" s="1076"/>
    </row>
    <row r="257" spans="6:7">
      <c r="F257" s="1076"/>
      <c r="G257" s="1076"/>
    </row>
    <row r="258" spans="6:7">
      <c r="F258" s="1076"/>
      <c r="G258" s="1076"/>
    </row>
    <row r="259" spans="6:7">
      <c r="F259" s="1076"/>
      <c r="G259" s="1076"/>
    </row>
    <row r="260" spans="6:7">
      <c r="F260" s="1076"/>
      <c r="G260" s="1076"/>
    </row>
    <row r="261" spans="6:7">
      <c r="F261" s="1076"/>
      <c r="G261" s="1076"/>
    </row>
    <row r="262" spans="6:7">
      <c r="F262" s="1076"/>
      <c r="G262" s="1076"/>
    </row>
    <row r="263" spans="6:7">
      <c r="F263" s="1076"/>
      <c r="G263" s="1076"/>
    </row>
    <row r="264" spans="6:7">
      <c r="F264" s="1076"/>
      <c r="G264" s="1076"/>
    </row>
    <row r="265" spans="6:7">
      <c r="F265" s="1076"/>
      <c r="G265" s="1076"/>
    </row>
    <row r="266" spans="6:7">
      <c r="F266" s="1076"/>
      <c r="G266" s="1076"/>
    </row>
    <row r="267" spans="6:7">
      <c r="F267" s="1076"/>
      <c r="G267" s="1076"/>
    </row>
    <row r="268" spans="6:7">
      <c r="F268" s="1076"/>
      <c r="G268" s="1076"/>
    </row>
    <row r="269" spans="6:7">
      <c r="F269" s="1076"/>
      <c r="G269" s="1076"/>
    </row>
    <row r="270" spans="6:7">
      <c r="F270" s="1076"/>
      <c r="G270" s="1076"/>
    </row>
    <row r="271" spans="6:7">
      <c r="F271" s="1076"/>
      <c r="G271" s="1076"/>
    </row>
    <row r="272" spans="6:7">
      <c r="F272" s="1076"/>
      <c r="G272" s="1076"/>
    </row>
    <row r="273" spans="6:7">
      <c r="F273" s="1076"/>
      <c r="G273" s="1076"/>
    </row>
    <row r="274" spans="6:7">
      <c r="F274" s="1076"/>
      <c r="G274" s="1076"/>
    </row>
    <row r="275" spans="6:7">
      <c r="F275" s="1076"/>
      <c r="G275" s="1076"/>
    </row>
    <row r="276" spans="6:7">
      <c r="F276" s="1076"/>
      <c r="G276" s="1076"/>
    </row>
    <row r="277" spans="6:7">
      <c r="F277" s="1076"/>
      <c r="G277" s="1076"/>
    </row>
    <row r="278" spans="6:7">
      <c r="F278" s="1076"/>
      <c r="G278" s="1076"/>
    </row>
    <row r="279" spans="6:7">
      <c r="F279" s="1076"/>
      <c r="G279" s="1076"/>
    </row>
    <row r="280" spans="6:7">
      <c r="F280" s="1076"/>
      <c r="G280" s="1076"/>
    </row>
    <row r="281" spans="6:7">
      <c r="F281" s="1076"/>
      <c r="G281" s="1076"/>
    </row>
    <row r="282" spans="6:7">
      <c r="F282" s="1076"/>
      <c r="G282" s="1076"/>
    </row>
    <row r="283" spans="6:7">
      <c r="F283" s="1076"/>
      <c r="G283" s="1076"/>
    </row>
    <row r="284" spans="6:7">
      <c r="F284" s="1076"/>
      <c r="G284" s="1076"/>
    </row>
    <row r="285" spans="6:7">
      <c r="F285" s="1076"/>
      <c r="G285" s="1076"/>
    </row>
    <row r="286" spans="6:7">
      <c r="F286" s="1076"/>
      <c r="G286" s="1076"/>
    </row>
    <row r="287" spans="6:7">
      <c r="F287" s="1076"/>
      <c r="G287" s="1076"/>
    </row>
    <row r="288" spans="6:7">
      <c r="F288" s="1076"/>
      <c r="G288" s="1076"/>
    </row>
    <row r="289" spans="6:7">
      <c r="F289" s="1076"/>
      <c r="G289" s="1076"/>
    </row>
    <row r="290" spans="6:7">
      <c r="F290" s="1076"/>
      <c r="G290" s="1076"/>
    </row>
    <row r="291" spans="6:7">
      <c r="F291" s="1076"/>
      <c r="G291" s="1076"/>
    </row>
    <row r="292" spans="6:7">
      <c r="F292" s="1076"/>
      <c r="G292" s="1076"/>
    </row>
    <row r="293" spans="6:7">
      <c r="F293" s="1076"/>
      <c r="G293" s="1076"/>
    </row>
    <row r="294" spans="6:7">
      <c r="F294" s="1076"/>
      <c r="G294" s="1076"/>
    </row>
    <row r="295" spans="6:7">
      <c r="F295" s="1076"/>
      <c r="G295" s="1076"/>
    </row>
    <row r="296" spans="6:7">
      <c r="F296" s="1076"/>
      <c r="G296" s="1076"/>
    </row>
    <row r="297" spans="6:7">
      <c r="F297" s="1076"/>
      <c r="G297" s="1076"/>
    </row>
    <row r="298" spans="6:7">
      <c r="F298" s="1076"/>
      <c r="G298" s="1076"/>
    </row>
    <row r="299" spans="6:7">
      <c r="F299" s="1076"/>
      <c r="G299" s="1076"/>
    </row>
    <row r="300" spans="6:7">
      <c r="F300" s="1076"/>
      <c r="G300" s="1076"/>
    </row>
    <row r="301" spans="6:7">
      <c r="F301" s="1076"/>
      <c r="G301" s="1076"/>
    </row>
    <row r="302" spans="6:7">
      <c r="F302" s="1076"/>
      <c r="G302" s="1076"/>
    </row>
    <row r="303" spans="6:7">
      <c r="F303" s="1076"/>
      <c r="G303" s="1076"/>
    </row>
    <row r="304" spans="6:7">
      <c r="F304" s="1076"/>
      <c r="G304" s="1076"/>
    </row>
    <row r="305" spans="6:7">
      <c r="F305" s="1076"/>
      <c r="G305" s="1076"/>
    </row>
    <row r="306" spans="6:7">
      <c r="F306" s="1076"/>
      <c r="G306" s="1076"/>
    </row>
    <row r="307" spans="6:7">
      <c r="F307" s="1076"/>
      <c r="G307" s="1076"/>
    </row>
    <row r="308" spans="6:7">
      <c r="F308" s="1076"/>
      <c r="G308" s="1076"/>
    </row>
    <row r="309" spans="6:7">
      <c r="F309" s="1076"/>
      <c r="G309" s="1076"/>
    </row>
    <row r="310" spans="6:7">
      <c r="F310" s="1076"/>
      <c r="G310" s="1076"/>
    </row>
    <row r="311" spans="6:7">
      <c r="F311" s="1076"/>
      <c r="G311" s="1076"/>
    </row>
    <row r="312" spans="6:7">
      <c r="F312" s="1076"/>
      <c r="G312" s="1076"/>
    </row>
    <row r="313" spans="6:7">
      <c r="F313" s="1076"/>
      <c r="G313" s="1076"/>
    </row>
    <row r="314" spans="6:7">
      <c r="F314" s="1076"/>
      <c r="G314" s="1076"/>
    </row>
    <row r="315" spans="6:7">
      <c r="F315" s="1076"/>
      <c r="G315" s="1076"/>
    </row>
    <row r="316" spans="6:7">
      <c r="F316" s="1076"/>
      <c r="G316" s="1076"/>
    </row>
    <row r="317" spans="6:7">
      <c r="F317" s="1076"/>
      <c r="G317" s="1076"/>
    </row>
    <row r="318" spans="6:7">
      <c r="F318" s="1076"/>
      <c r="G318" s="1076"/>
    </row>
    <row r="319" spans="6:7">
      <c r="F319" s="1076"/>
      <c r="G319" s="1076"/>
    </row>
    <row r="320" spans="6:7">
      <c r="F320" s="1076"/>
      <c r="G320" s="1076"/>
    </row>
    <row r="321" spans="6:7">
      <c r="F321" s="1076"/>
      <c r="G321" s="1076"/>
    </row>
    <row r="322" spans="6:7">
      <c r="F322" s="1076"/>
      <c r="G322" s="1076"/>
    </row>
    <row r="323" spans="6:7">
      <c r="F323" s="1076"/>
      <c r="G323" s="1076"/>
    </row>
    <row r="324" spans="6:7">
      <c r="F324" s="1076"/>
      <c r="G324" s="1076"/>
    </row>
    <row r="325" spans="6:7">
      <c r="F325" s="1076"/>
      <c r="G325" s="1076"/>
    </row>
    <row r="326" spans="6:7">
      <c r="F326" s="1076"/>
      <c r="G326" s="1076"/>
    </row>
    <row r="327" spans="6:7">
      <c r="F327" s="1076"/>
      <c r="G327" s="1076"/>
    </row>
    <row r="328" spans="6:7">
      <c r="F328" s="1076"/>
      <c r="G328" s="1076"/>
    </row>
    <row r="329" spans="6:7">
      <c r="F329" s="1076"/>
      <c r="G329" s="1076"/>
    </row>
    <row r="330" spans="6:7">
      <c r="F330" s="1076"/>
      <c r="G330" s="1076"/>
    </row>
    <row r="331" spans="6:7">
      <c r="F331" s="1076"/>
      <c r="G331" s="1076"/>
    </row>
    <row r="332" spans="6:7">
      <c r="F332" s="1076"/>
      <c r="G332" s="1076"/>
    </row>
    <row r="333" spans="6:7">
      <c r="F333" s="1076"/>
      <c r="G333" s="1076"/>
    </row>
    <row r="334" spans="6:7">
      <c r="F334" s="1076"/>
      <c r="G334" s="1076"/>
    </row>
    <row r="335" spans="6:7">
      <c r="F335" s="1076"/>
      <c r="G335" s="1076"/>
    </row>
    <row r="336" spans="6:7">
      <c r="F336" s="1076"/>
      <c r="G336" s="1076"/>
    </row>
    <row r="337" spans="6:7">
      <c r="F337" s="1076"/>
      <c r="G337" s="1076"/>
    </row>
    <row r="338" spans="6:7">
      <c r="F338" s="1076"/>
      <c r="G338" s="1076"/>
    </row>
    <row r="339" spans="6:7">
      <c r="F339" s="1076"/>
      <c r="G339" s="1076"/>
    </row>
    <row r="340" spans="6:7">
      <c r="F340" s="1076"/>
      <c r="G340" s="1076"/>
    </row>
    <row r="341" spans="6:7">
      <c r="F341" s="1076"/>
      <c r="G341" s="1076"/>
    </row>
    <row r="342" spans="6:7">
      <c r="F342" s="1076"/>
      <c r="G342" s="1076"/>
    </row>
    <row r="343" spans="6:7">
      <c r="F343" s="1076"/>
      <c r="G343" s="1076"/>
    </row>
    <row r="344" spans="6:7">
      <c r="F344" s="1076"/>
      <c r="G344" s="1076"/>
    </row>
    <row r="345" spans="6:7">
      <c r="F345" s="1076"/>
      <c r="G345" s="1076"/>
    </row>
    <row r="346" spans="6:7">
      <c r="F346" s="1076"/>
      <c r="G346" s="1076"/>
    </row>
    <row r="347" spans="6:7">
      <c r="F347" s="1076"/>
      <c r="G347" s="1076"/>
    </row>
    <row r="348" spans="6:7">
      <c r="F348" s="1076"/>
      <c r="G348" s="1076"/>
    </row>
    <row r="349" spans="6:7">
      <c r="F349" s="1076"/>
      <c r="G349" s="1076"/>
    </row>
    <row r="350" spans="6:7">
      <c r="F350" s="1076"/>
      <c r="G350" s="1076"/>
    </row>
    <row r="351" spans="6:7">
      <c r="F351" s="1076"/>
      <c r="G351" s="1076"/>
    </row>
    <row r="352" spans="6:7">
      <c r="F352" s="1076"/>
      <c r="G352" s="1076"/>
    </row>
    <row r="353" spans="6:7">
      <c r="F353" s="1076"/>
      <c r="G353" s="1076"/>
    </row>
    <row r="354" spans="6:7">
      <c r="F354" s="1076"/>
      <c r="G354" s="1076"/>
    </row>
    <row r="355" spans="6:7">
      <c r="F355" s="1076"/>
      <c r="G355" s="1076"/>
    </row>
    <row r="356" spans="6:7">
      <c r="F356" s="1076"/>
      <c r="G356" s="1076"/>
    </row>
    <row r="357" spans="6:7">
      <c r="F357" s="1076"/>
      <c r="G357" s="1076"/>
    </row>
    <row r="358" spans="6:7">
      <c r="F358" s="1076"/>
      <c r="G358" s="1076"/>
    </row>
    <row r="359" spans="6:7">
      <c r="F359" s="1076"/>
      <c r="G359" s="1076"/>
    </row>
    <row r="360" spans="6:7">
      <c r="F360" s="1076"/>
      <c r="G360" s="1076"/>
    </row>
    <row r="361" spans="6:7">
      <c r="F361" s="1076"/>
      <c r="G361" s="1076"/>
    </row>
    <row r="362" spans="6:7">
      <c r="F362" s="1076"/>
      <c r="G362" s="1076"/>
    </row>
    <row r="363" spans="6:7">
      <c r="F363" s="1076"/>
      <c r="G363" s="1076"/>
    </row>
    <row r="364" spans="6:7">
      <c r="F364" s="1076"/>
      <c r="G364" s="1076"/>
    </row>
    <row r="365" spans="6:7">
      <c r="F365" s="1076"/>
      <c r="G365" s="1076"/>
    </row>
    <row r="366" spans="6:7">
      <c r="F366" s="1076"/>
      <c r="G366" s="1076"/>
    </row>
    <row r="367" spans="6:7">
      <c r="F367" s="1076"/>
      <c r="G367" s="1076"/>
    </row>
    <row r="368" spans="6:7">
      <c r="F368" s="1076"/>
      <c r="G368" s="1076"/>
    </row>
    <row r="369" spans="6:7">
      <c r="F369" s="1076"/>
      <c r="G369" s="1076"/>
    </row>
    <row r="370" spans="6:7">
      <c r="F370" s="1076"/>
      <c r="G370" s="1076"/>
    </row>
    <row r="371" spans="6:7">
      <c r="F371" s="1076"/>
      <c r="G371" s="1076"/>
    </row>
    <row r="372" spans="6:7">
      <c r="F372" s="1076"/>
      <c r="G372" s="1076"/>
    </row>
    <row r="373" spans="6:7">
      <c r="F373" s="1076"/>
      <c r="G373" s="1076"/>
    </row>
    <row r="374" spans="6:7">
      <c r="F374" s="1076"/>
      <c r="G374" s="1076"/>
    </row>
    <row r="375" spans="6:7">
      <c r="F375" s="1076"/>
      <c r="G375" s="1076"/>
    </row>
    <row r="376" spans="6:7">
      <c r="F376" s="1076"/>
      <c r="G376" s="1076"/>
    </row>
    <row r="377" spans="6:7">
      <c r="F377" s="1076"/>
      <c r="G377" s="1076"/>
    </row>
    <row r="378" spans="6:7">
      <c r="F378" s="1076"/>
      <c r="G378" s="1076"/>
    </row>
    <row r="379" spans="6:7">
      <c r="F379" s="1076"/>
      <c r="G379" s="1076"/>
    </row>
    <row r="380" spans="6:7">
      <c r="F380" s="1076"/>
      <c r="G380" s="1076"/>
    </row>
    <row r="381" spans="6:7">
      <c r="F381" s="1076"/>
      <c r="G381" s="1076"/>
    </row>
    <row r="382" spans="6:7">
      <c r="F382" s="1076"/>
      <c r="G382" s="1076"/>
    </row>
    <row r="383" spans="6:7">
      <c r="F383" s="1076"/>
      <c r="G383" s="1076"/>
    </row>
    <row r="384" spans="6:7">
      <c r="F384" s="1076"/>
      <c r="G384" s="1076"/>
    </row>
    <row r="385" spans="6:7">
      <c r="F385" s="1076"/>
      <c r="G385" s="1076"/>
    </row>
    <row r="386" spans="6:7">
      <c r="F386" s="1076"/>
      <c r="G386" s="1076"/>
    </row>
    <row r="387" spans="6:7">
      <c r="F387" s="1076"/>
      <c r="G387" s="1076"/>
    </row>
    <row r="388" spans="6:7">
      <c r="F388" s="1076"/>
      <c r="G388" s="1076"/>
    </row>
    <row r="389" spans="6:7">
      <c r="F389" s="1076"/>
      <c r="G389" s="1076"/>
    </row>
    <row r="390" spans="6:7">
      <c r="F390" s="1076"/>
      <c r="G390" s="1076"/>
    </row>
    <row r="391" spans="6:7">
      <c r="F391" s="1076"/>
      <c r="G391" s="1076"/>
    </row>
    <row r="392" spans="6:7">
      <c r="F392" s="1076"/>
      <c r="G392" s="1076"/>
    </row>
    <row r="393" spans="6:7">
      <c r="F393" s="1076"/>
      <c r="G393" s="1076"/>
    </row>
    <row r="394" spans="6:7">
      <c r="F394" s="1076"/>
      <c r="G394" s="1076"/>
    </row>
    <row r="395" spans="6:7">
      <c r="F395" s="1076"/>
      <c r="G395" s="1076"/>
    </row>
    <row r="396" spans="6:7">
      <c r="F396" s="1076"/>
      <c r="G396" s="1076"/>
    </row>
    <row r="397" spans="6:7">
      <c r="F397" s="1076"/>
      <c r="G397" s="1076"/>
    </row>
    <row r="398" spans="6:7">
      <c r="F398" s="1076"/>
      <c r="G398" s="1076"/>
    </row>
    <row r="399" spans="6:7">
      <c r="F399" s="1076"/>
      <c r="G399" s="1076"/>
    </row>
    <row r="400" spans="6:7">
      <c r="F400" s="1076"/>
      <c r="G400" s="1076"/>
    </row>
    <row r="401" spans="6:7">
      <c r="F401" s="1076"/>
      <c r="G401" s="1076"/>
    </row>
    <row r="402" spans="6:7">
      <c r="F402" s="1076"/>
      <c r="G402" s="1076"/>
    </row>
    <row r="403" spans="6:7">
      <c r="F403" s="1076"/>
      <c r="G403" s="1076"/>
    </row>
    <row r="404" spans="6:7">
      <c r="F404" s="1076"/>
      <c r="G404" s="1076"/>
    </row>
    <row r="405" spans="6:7">
      <c r="F405" s="1076"/>
      <c r="G405" s="1076"/>
    </row>
    <row r="406" spans="6:7">
      <c r="F406" s="1076"/>
      <c r="G406" s="1076"/>
    </row>
    <row r="407" spans="6:7">
      <c r="F407" s="1076"/>
      <c r="G407" s="1076"/>
    </row>
    <row r="408" spans="6:7">
      <c r="F408" s="1076"/>
      <c r="G408" s="1076"/>
    </row>
    <row r="409" spans="6:7">
      <c r="F409" s="1076"/>
      <c r="G409" s="1076"/>
    </row>
    <row r="410" spans="6:7">
      <c r="F410" s="1076"/>
      <c r="G410" s="1076"/>
    </row>
    <row r="411" spans="6:7">
      <c r="F411" s="1076"/>
      <c r="G411" s="1076"/>
    </row>
    <row r="412" spans="6:7">
      <c r="F412" s="1076"/>
      <c r="G412" s="1076"/>
    </row>
    <row r="413" spans="6:7">
      <c r="F413" s="1076"/>
      <c r="G413" s="1076"/>
    </row>
    <row r="414" spans="6:7">
      <c r="F414" s="1076"/>
      <c r="G414" s="1076"/>
    </row>
    <row r="415" spans="6:7">
      <c r="F415" s="1076"/>
      <c r="G415" s="1076"/>
    </row>
    <row r="416" spans="6:7">
      <c r="F416" s="1076"/>
      <c r="G416" s="1076"/>
    </row>
    <row r="417" spans="6:7">
      <c r="F417" s="1076"/>
      <c r="G417" s="1076"/>
    </row>
    <row r="418" spans="6:7">
      <c r="F418" s="1076"/>
      <c r="G418" s="1076"/>
    </row>
    <row r="419" spans="6:7">
      <c r="F419" s="1076"/>
      <c r="G419" s="1076"/>
    </row>
    <row r="420" spans="6:7">
      <c r="F420" s="1076"/>
      <c r="G420" s="1076"/>
    </row>
    <row r="421" spans="6:7">
      <c r="F421" s="1076"/>
      <c r="G421" s="1076"/>
    </row>
    <row r="422" spans="6:7">
      <c r="F422" s="1076"/>
      <c r="G422" s="1076"/>
    </row>
    <row r="423" spans="6:7">
      <c r="F423" s="1076"/>
      <c r="G423" s="1076"/>
    </row>
    <row r="424" spans="6:7">
      <c r="F424" s="1076"/>
      <c r="G424" s="1076"/>
    </row>
    <row r="425" spans="6:7">
      <c r="F425" s="1076"/>
      <c r="G425" s="1076"/>
    </row>
    <row r="426" spans="6:7">
      <c r="F426" s="1076"/>
      <c r="G426" s="1076"/>
    </row>
    <row r="427" spans="6:7">
      <c r="F427" s="1076"/>
      <c r="G427" s="1076"/>
    </row>
    <row r="428" spans="6:7">
      <c r="F428" s="1076"/>
      <c r="G428" s="1076"/>
    </row>
    <row r="429" spans="6:7">
      <c r="F429" s="1076"/>
      <c r="G429" s="1076"/>
    </row>
    <row r="430" spans="6:7">
      <c r="F430" s="1076"/>
      <c r="G430" s="1076"/>
    </row>
    <row r="431" spans="6:7">
      <c r="F431" s="1076"/>
      <c r="G431" s="1076"/>
    </row>
    <row r="432" spans="6:7">
      <c r="F432" s="1076"/>
      <c r="G432" s="1076"/>
    </row>
    <row r="433" spans="6:7">
      <c r="F433" s="1076"/>
      <c r="G433" s="1076"/>
    </row>
    <row r="434" spans="6:7">
      <c r="F434" s="1076"/>
      <c r="G434" s="1076"/>
    </row>
    <row r="435" spans="6:7">
      <c r="F435" s="1076"/>
      <c r="G435" s="1076"/>
    </row>
    <row r="436" spans="6:7">
      <c r="F436" s="1076"/>
      <c r="G436" s="1076"/>
    </row>
    <row r="437" spans="6:7">
      <c r="F437" s="1076"/>
      <c r="G437" s="1076"/>
    </row>
    <row r="438" spans="6:7">
      <c r="F438" s="1076"/>
      <c r="G438" s="1076"/>
    </row>
    <row r="439" spans="6:7">
      <c r="F439" s="1076"/>
      <c r="G439" s="1076"/>
    </row>
    <row r="440" spans="6:7">
      <c r="F440" s="1076"/>
      <c r="G440" s="1076"/>
    </row>
    <row r="441" spans="6:7">
      <c r="F441" s="1076"/>
      <c r="G441" s="1076"/>
    </row>
    <row r="442" spans="6:7">
      <c r="F442" s="1076"/>
      <c r="G442" s="1076"/>
    </row>
    <row r="443" spans="6:7">
      <c r="F443" s="1076"/>
      <c r="G443" s="1076"/>
    </row>
    <row r="444" spans="6:7">
      <c r="F444" s="1076"/>
      <c r="G444" s="1076"/>
    </row>
    <row r="445" spans="6:7">
      <c r="F445" s="1076"/>
      <c r="G445" s="1076"/>
    </row>
    <row r="446" spans="6:7">
      <c r="F446" s="1076"/>
      <c r="G446" s="1076"/>
    </row>
    <row r="447" spans="6:7">
      <c r="F447" s="1076"/>
      <c r="G447" s="1076"/>
    </row>
    <row r="448" spans="6:7">
      <c r="F448" s="1076"/>
      <c r="G448" s="1076"/>
    </row>
    <row r="449" spans="6:7">
      <c r="F449" s="1076"/>
      <c r="G449" s="1076"/>
    </row>
    <row r="450" spans="6:7">
      <c r="F450" s="1076"/>
      <c r="G450" s="1076"/>
    </row>
    <row r="451" spans="6:7">
      <c r="F451" s="1076"/>
      <c r="G451" s="1076"/>
    </row>
    <row r="452" spans="6:7">
      <c r="F452" s="1076"/>
      <c r="G452" s="1076"/>
    </row>
    <row r="453" spans="6:7">
      <c r="F453" s="1076"/>
      <c r="G453" s="1076"/>
    </row>
    <row r="454" spans="6:7">
      <c r="F454" s="1076"/>
      <c r="G454" s="1076"/>
    </row>
    <row r="455" spans="6:7">
      <c r="F455" s="1076"/>
      <c r="G455" s="1076"/>
    </row>
    <row r="456" spans="6:7">
      <c r="F456" s="1076"/>
      <c r="G456" s="1076"/>
    </row>
    <row r="457" spans="6:7">
      <c r="F457" s="1076"/>
      <c r="G457" s="1076"/>
    </row>
    <row r="458" spans="6:7">
      <c r="F458" s="1076"/>
      <c r="G458" s="1076"/>
    </row>
    <row r="459" spans="6:7">
      <c r="F459" s="1076"/>
      <c r="G459" s="1076"/>
    </row>
    <row r="460" spans="6:7">
      <c r="F460" s="1076"/>
      <c r="G460" s="1076"/>
    </row>
    <row r="461" spans="6:7">
      <c r="F461" s="1076"/>
      <c r="G461" s="1076"/>
    </row>
    <row r="462" spans="6:7">
      <c r="F462" s="1076"/>
      <c r="G462" s="1076"/>
    </row>
    <row r="463" spans="6:7">
      <c r="F463" s="1076"/>
      <c r="G463" s="1076"/>
    </row>
    <row r="464" spans="6:7">
      <c r="F464" s="1076"/>
      <c r="G464" s="1076"/>
    </row>
    <row r="465" spans="6:7">
      <c r="F465" s="1076"/>
      <c r="G465" s="1076"/>
    </row>
    <row r="466" spans="6:7">
      <c r="F466" s="1076"/>
      <c r="G466" s="1076"/>
    </row>
    <row r="467" spans="6:7">
      <c r="F467" s="1076"/>
      <c r="G467" s="1076"/>
    </row>
    <row r="468" spans="6:7">
      <c r="F468" s="1076"/>
      <c r="G468" s="1076"/>
    </row>
    <row r="469" spans="6:7">
      <c r="F469" s="1076"/>
      <c r="G469" s="1076"/>
    </row>
    <row r="470" spans="6:7">
      <c r="F470" s="1076"/>
      <c r="G470" s="1076"/>
    </row>
    <row r="471" spans="6:7">
      <c r="F471" s="1076"/>
      <c r="G471" s="1076"/>
    </row>
    <row r="472" spans="6:7">
      <c r="F472" s="1076"/>
      <c r="G472" s="1076"/>
    </row>
    <row r="473" spans="6:7">
      <c r="F473" s="1076"/>
      <c r="G473" s="1076"/>
    </row>
    <row r="474" spans="6:7">
      <c r="F474" s="1076"/>
      <c r="G474" s="1076"/>
    </row>
    <row r="475" spans="6:7">
      <c r="F475" s="1076"/>
      <c r="G475" s="1076"/>
    </row>
    <row r="476" spans="6:7">
      <c r="F476" s="1076"/>
      <c r="G476" s="1076"/>
    </row>
    <row r="477" spans="6:7">
      <c r="F477" s="1076"/>
      <c r="G477" s="1076"/>
    </row>
    <row r="478" spans="6:7">
      <c r="F478" s="1076"/>
      <c r="G478" s="1076"/>
    </row>
    <row r="479" spans="6:7">
      <c r="F479" s="1076"/>
      <c r="G479" s="1076"/>
    </row>
    <row r="480" spans="6:7">
      <c r="F480" s="1076"/>
      <c r="G480" s="1076"/>
    </row>
    <row r="481" spans="6:7">
      <c r="F481" s="1076"/>
      <c r="G481" s="1076"/>
    </row>
    <row r="482" spans="6:7">
      <c r="F482" s="1076"/>
      <c r="G482" s="1076"/>
    </row>
    <row r="483" spans="6:7">
      <c r="F483" s="1076"/>
      <c r="G483" s="1076"/>
    </row>
    <row r="484" spans="6:7">
      <c r="F484" s="1076"/>
      <c r="G484" s="1076"/>
    </row>
    <row r="485" spans="6:7">
      <c r="F485" s="1076"/>
      <c r="G485" s="1076"/>
    </row>
    <row r="486" spans="6:7">
      <c r="F486" s="1076"/>
      <c r="G486" s="1076"/>
    </row>
    <row r="487" spans="6:7">
      <c r="F487" s="1076"/>
      <c r="G487" s="1076"/>
    </row>
    <row r="488" spans="6:7">
      <c r="F488" s="1076"/>
      <c r="G488" s="1076"/>
    </row>
    <row r="489" spans="6:7">
      <c r="F489" s="1076"/>
      <c r="G489" s="1076"/>
    </row>
    <row r="490" spans="6:7">
      <c r="F490" s="1076"/>
      <c r="G490" s="1076"/>
    </row>
    <row r="491" spans="6:7">
      <c r="F491" s="1076"/>
      <c r="G491" s="1076"/>
    </row>
    <row r="492" spans="6:7">
      <c r="F492" s="1076"/>
      <c r="G492" s="1076"/>
    </row>
    <row r="493" spans="6:7">
      <c r="F493" s="1076"/>
      <c r="G493" s="1076"/>
    </row>
    <row r="494" spans="6:7">
      <c r="F494" s="1076"/>
      <c r="G494" s="1076"/>
    </row>
    <row r="495" spans="6:7">
      <c r="F495" s="1076"/>
      <c r="G495" s="1076"/>
    </row>
    <row r="496" spans="6:7">
      <c r="F496" s="1076"/>
      <c r="G496" s="1076"/>
    </row>
    <row r="497" spans="6:7">
      <c r="F497" s="1076"/>
      <c r="G497" s="1076"/>
    </row>
    <row r="498" spans="6:7">
      <c r="F498" s="1076"/>
      <c r="G498" s="1076"/>
    </row>
    <row r="499" spans="6:7">
      <c r="F499" s="1076"/>
      <c r="G499" s="1076"/>
    </row>
    <row r="500" spans="6:7">
      <c r="F500" s="1076"/>
      <c r="G500" s="1076"/>
    </row>
    <row r="501" spans="6:7">
      <c r="F501" s="1076"/>
      <c r="G501" s="1076"/>
    </row>
    <row r="502" spans="6:7">
      <c r="F502" s="1076"/>
      <c r="G502" s="1076"/>
    </row>
    <row r="503" spans="6:7">
      <c r="F503" s="1076"/>
      <c r="G503" s="1076"/>
    </row>
    <row r="504" spans="6:7">
      <c r="F504" s="1076"/>
      <c r="G504" s="1076"/>
    </row>
    <row r="505" spans="6:7">
      <c r="F505" s="1076"/>
      <c r="G505" s="1076"/>
    </row>
    <row r="506" spans="6:7">
      <c r="F506" s="1076"/>
      <c r="G506" s="1076"/>
    </row>
    <row r="507" spans="6:7">
      <c r="F507" s="1076"/>
      <c r="G507" s="1076"/>
    </row>
    <row r="508" spans="6:7">
      <c r="F508" s="1076"/>
      <c r="G508" s="1076"/>
    </row>
    <row r="509" spans="6:7">
      <c r="F509" s="1076"/>
      <c r="G509" s="1076"/>
    </row>
    <row r="510" spans="6:7">
      <c r="F510" s="1076"/>
      <c r="G510" s="1076"/>
    </row>
    <row r="511" spans="6:7">
      <c r="F511" s="1076"/>
      <c r="G511" s="1076"/>
    </row>
    <row r="512" spans="6:7">
      <c r="F512" s="1076"/>
      <c r="G512" s="1076"/>
    </row>
    <row r="513" spans="6:7">
      <c r="F513" s="1076"/>
      <c r="G513" s="1076"/>
    </row>
    <row r="514" spans="6:7">
      <c r="F514" s="1076"/>
      <c r="G514" s="1076"/>
    </row>
    <row r="515" spans="6:7">
      <c r="F515" s="1076"/>
      <c r="G515" s="1076"/>
    </row>
    <row r="516" spans="6:7">
      <c r="F516" s="1076"/>
      <c r="G516" s="1076"/>
    </row>
    <row r="517" spans="6:7">
      <c r="F517" s="1076"/>
      <c r="G517" s="1076"/>
    </row>
    <row r="518" spans="6:7">
      <c r="F518" s="1076"/>
      <c r="G518" s="1076"/>
    </row>
    <row r="519" spans="6:7">
      <c r="F519" s="1076"/>
      <c r="G519" s="1076"/>
    </row>
    <row r="520" spans="6:7">
      <c r="F520" s="1076"/>
      <c r="G520" s="1076"/>
    </row>
    <row r="521" spans="6:7">
      <c r="F521" s="1076"/>
      <c r="G521" s="1076"/>
    </row>
    <row r="522" spans="6:7">
      <c r="F522" s="1076"/>
      <c r="G522" s="1076"/>
    </row>
    <row r="523" spans="6:7">
      <c r="F523" s="1076"/>
      <c r="G523" s="1076"/>
    </row>
    <row r="524" spans="6:7">
      <c r="F524" s="1076"/>
      <c r="G524" s="1076"/>
    </row>
    <row r="525" spans="6:7">
      <c r="F525" s="1076"/>
      <c r="G525" s="1076"/>
    </row>
    <row r="526" spans="6:7">
      <c r="F526" s="1076"/>
      <c r="G526" s="1076"/>
    </row>
    <row r="527" spans="6:7">
      <c r="F527" s="1076"/>
      <c r="G527" s="1076"/>
    </row>
    <row r="528" spans="6:7">
      <c r="F528" s="1076"/>
      <c r="G528" s="1076"/>
    </row>
    <row r="529" spans="6:7">
      <c r="F529" s="1076"/>
      <c r="G529" s="1076"/>
    </row>
    <row r="530" spans="6:7">
      <c r="F530" s="1076"/>
      <c r="G530" s="1076"/>
    </row>
    <row r="531" spans="6:7">
      <c r="F531" s="1076"/>
      <c r="G531" s="1076"/>
    </row>
    <row r="532" spans="6:7">
      <c r="F532" s="1076"/>
      <c r="G532" s="1076"/>
    </row>
    <row r="533" spans="6:7">
      <c r="F533" s="1076"/>
      <c r="G533" s="1076"/>
    </row>
    <row r="534" spans="6:7">
      <c r="F534" s="1076"/>
      <c r="G534" s="1076"/>
    </row>
    <row r="535" spans="6:7">
      <c r="F535" s="1076"/>
      <c r="G535" s="1076"/>
    </row>
    <row r="536" spans="6:7">
      <c r="F536" s="1076"/>
      <c r="G536" s="1076"/>
    </row>
    <row r="537" spans="6:7">
      <c r="F537" s="1076"/>
      <c r="G537" s="1076"/>
    </row>
    <row r="538" spans="6:7">
      <c r="F538" s="1076"/>
      <c r="G538" s="1076"/>
    </row>
    <row r="539" spans="6:7">
      <c r="F539" s="1076"/>
      <c r="G539" s="1076"/>
    </row>
    <row r="540" spans="6:7">
      <c r="F540" s="1076"/>
      <c r="G540" s="1076"/>
    </row>
    <row r="541" spans="6:7">
      <c r="F541" s="1076"/>
      <c r="G541" s="1076"/>
    </row>
    <row r="542" spans="6:7">
      <c r="F542" s="1076"/>
      <c r="G542" s="1076"/>
    </row>
    <row r="543" spans="6:7">
      <c r="F543" s="1076"/>
      <c r="G543" s="1076"/>
    </row>
    <row r="544" spans="6:7">
      <c r="F544" s="1076"/>
      <c r="G544" s="1076"/>
    </row>
    <row r="545" spans="6:7">
      <c r="F545" s="1076"/>
      <c r="G545" s="1076"/>
    </row>
    <row r="546" spans="6:7">
      <c r="F546" s="1076"/>
      <c r="G546" s="1076"/>
    </row>
    <row r="547" spans="6:7">
      <c r="F547" s="1076"/>
      <c r="G547" s="1076"/>
    </row>
    <row r="548" spans="6:7">
      <c r="F548" s="1076"/>
      <c r="G548" s="1076"/>
    </row>
    <row r="549" spans="6:7">
      <c r="F549" s="1076"/>
      <c r="G549" s="1076"/>
    </row>
    <row r="550" spans="6:7">
      <c r="F550" s="1076"/>
      <c r="G550" s="1076"/>
    </row>
    <row r="551" spans="6:7">
      <c r="F551" s="1076"/>
      <c r="G551" s="1076"/>
    </row>
    <row r="552" spans="6:7">
      <c r="F552" s="1076"/>
      <c r="G552" s="1076"/>
    </row>
    <row r="553" spans="6:7">
      <c r="F553" s="1076"/>
      <c r="G553" s="1076"/>
    </row>
    <row r="554" spans="6:7">
      <c r="F554" s="1076"/>
      <c r="G554" s="1076"/>
    </row>
    <row r="555" spans="6:7">
      <c r="F555" s="1076"/>
      <c r="G555" s="1076"/>
    </row>
    <row r="556" spans="6:7">
      <c r="F556" s="1076"/>
      <c r="G556" s="1076"/>
    </row>
    <row r="557" spans="6:7">
      <c r="F557" s="1076"/>
      <c r="G557" s="1076"/>
    </row>
    <row r="558" spans="6:7">
      <c r="F558" s="1076"/>
      <c r="G558" s="1076"/>
    </row>
    <row r="559" spans="6:7">
      <c r="F559" s="1076"/>
      <c r="G559" s="1076"/>
    </row>
    <row r="560" spans="6:7">
      <c r="F560" s="1076"/>
      <c r="G560" s="1076"/>
    </row>
    <row r="561" spans="6:7">
      <c r="F561" s="1076"/>
      <c r="G561" s="1076"/>
    </row>
    <row r="562" spans="6:7">
      <c r="F562" s="1076"/>
      <c r="G562" s="1076"/>
    </row>
    <row r="563" spans="6:7">
      <c r="F563" s="1076"/>
      <c r="G563" s="1076"/>
    </row>
    <row r="564" spans="6:7">
      <c r="F564" s="1076"/>
      <c r="G564" s="1076"/>
    </row>
    <row r="565" spans="6:7">
      <c r="F565" s="1076"/>
      <c r="G565" s="1076"/>
    </row>
    <row r="566" spans="6:7">
      <c r="F566" s="1076"/>
      <c r="G566" s="1076"/>
    </row>
    <row r="567" spans="6:7">
      <c r="F567" s="1076"/>
      <c r="G567" s="1076"/>
    </row>
    <row r="568" spans="6:7">
      <c r="F568" s="1076"/>
      <c r="G568" s="1076"/>
    </row>
    <row r="569" spans="6:7">
      <c r="F569" s="1076"/>
      <c r="G569" s="1076"/>
    </row>
    <row r="570" spans="6:7">
      <c r="F570" s="1076"/>
      <c r="G570" s="1076"/>
    </row>
    <row r="571" spans="6:7">
      <c r="F571" s="1076"/>
      <c r="G571" s="1076"/>
    </row>
    <row r="572" spans="6:7">
      <c r="F572" s="1076"/>
      <c r="G572" s="1076"/>
    </row>
    <row r="573" spans="6:7">
      <c r="F573" s="1076"/>
      <c r="G573" s="1076"/>
    </row>
    <row r="574" spans="6:7">
      <c r="F574" s="1076"/>
      <c r="G574" s="1076"/>
    </row>
    <row r="575" spans="6:7">
      <c r="F575" s="1076"/>
      <c r="G575" s="1076"/>
    </row>
    <row r="576" spans="6:7">
      <c r="F576" s="1076"/>
      <c r="G576" s="1076"/>
    </row>
    <row r="577" spans="6:7">
      <c r="F577" s="1076"/>
      <c r="G577" s="1076"/>
    </row>
    <row r="578" spans="6:7">
      <c r="F578" s="1076"/>
      <c r="G578" s="1076"/>
    </row>
    <row r="579" spans="6:7">
      <c r="F579" s="1076"/>
      <c r="G579" s="1076"/>
    </row>
    <row r="580" spans="6:7">
      <c r="F580" s="1076"/>
      <c r="G580" s="1076"/>
    </row>
    <row r="581" spans="6:7">
      <c r="F581" s="1076"/>
      <c r="G581" s="1076"/>
    </row>
    <row r="582" spans="6:7">
      <c r="F582" s="1076"/>
      <c r="G582" s="1076"/>
    </row>
    <row r="583" spans="6:7">
      <c r="F583" s="1076"/>
      <c r="G583" s="1076"/>
    </row>
    <row r="584" spans="6:7">
      <c r="F584" s="1076"/>
      <c r="G584" s="1076"/>
    </row>
    <row r="585" spans="6:7">
      <c r="F585" s="1076"/>
      <c r="G585" s="1076"/>
    </row>
    <row r="586" spans="6:7">
      <c r="F586" s="1076"/>
      <c r="G586" s="1076"/>
    </row>
    <row r="587" spans="6:7">
      <c r="F587" s="1076"/>
      <c r="G587" s="1076"/>
    </row>
    <row r="588" spans="6:7">
      <c r="F588" s="1076"/>
      <c r="G588" s="1076"/>
    </row>
    <row r="589" spans="6:7">
      <c r="F589" s="1076"/>
      <c r="G589" s="1076"/>
    </row>
    <row r="590" spans="6:7">
      <c r="F590" s="1076"/>
      <c r="G590" s="1076"/>
    </row>
    <row r="591" spans="6:7">
      <c r="F591" s="1076"/>
      <c r="G591" s="1076"/>
    </row>
    <row r="592" spans="6:7">
      <c r="F592" s="1076"/>
      <c r="G592" s="1076"/>
    </row>
    <row r="593" spans="6:7">
      <c r="F593" s="1076"/>
      <c r="G593" s="1076"/>
    </row>
    <row r="594" spans="6:7">
      <c r="F594" s="1076"/>
      <c r="G594" s="1076"/>
    </row>
    <row r="595" spans="6:7">
      <c r="F595" s="1076"/>
      <c r="G595" s="1076"/>
    </row>
    <row r="596" spans="6:7">
      <c r="F596" s="1076"/>
      <c r="G596" s="1076"/>
    </row>
    <row r="597" spans="6:7">
      <c r="F597" s="1076"/>
      <c r="G597" s="1076"/>
    </row>
    <row r="598" spans="6:7">
      <c r="F598" s="1076"/>
      <c r="G598" s="1076"/>
    </row>
    <row r="599" spans="6:7">
      <c r="F599" s="1076"/>
      <c r="G599" s="1076"/>
    </row>
    <row r="600" spans="6:7">
      <c r="F600" s="1076"/>
      <c r="G600" s="1076"/>
    </row>
    <row r="601" spans="6:7">
      <c r="F601" s="1076"/>
      <c r="G601" s="1076"/>
    </row>
    <row r="602" spans="6:7">
      <c r="F602" s="1076"/>
      <c r="G602" s="1076"/>
    </row>
    <row r="603" spans="6:7">
      <c r="F603" s="1076"/>
      <c r="G603" s="1076"/>
    </row>
    <row r="604" spans="6:7">
      <c r="F604" s="1076"/>
      <c r="G604" s="1076"/>
    </row>
    <row r="605" spans="6:7">
      <c r="F605" s="1076"/>
      <c r="G605" s="1076"/>
    </row>
    <row r="606" spans="6:7">
      <c r="F606" s="1076"/>
      <c r="G606" s="1076"/>
    </row>
    <row r="607" spans="6:7">
      <c r="F607" s="1076"/>
      <c r="G607" s="1076"/>
    </row>
    <row r="608" spans="6:7">
      <c r="F608" s="1076"/>
      <c r="G608" s="1076"/>
    </row>
    <row r="609" spans="6:7">
      <c r="F609" s="1076"/>
      <c r="G609" s="1076"/>
    </row>
    <row r="610" spans="6:7">
      <c r="F610" s="1076"/>
      <c r="G610" s="1076"/>
    </row>
    <row r="611" spans="6:7">
      <c r="F611" s="1076"/>
      <c r="G611" s="1076"/>
    </row>
    <row r="612" spans="6:7">
      <c r="F612" s="1076"/>
      <c r="G612" s="1076"/>
    </row>
    <row r="613" spans="6:7">
      <c r="F613" s="1076"/>
      <c r="G613" s="1076"/>
    </row>
    <row r="614" spans="6:7">
      <c r="F614" s="1076"/>
      <c r="G614" s="1076"/>
    </row>
    <row r="615" spans="6:7">
      <c r="F615" s="1076"/>
      <c r="G615" s="1076"/>
    </row>
    <row r="616" spans="6:7">
      <c r="F616" s="1076"/>
      <c r="G616" s="1076"/>
    </row>
    <row r="617" spans="6:7">
      <c r="F617" s="1076"/>
      <c r="G617" s="1076"/>
    </row>
    <row r="618" spans="6:7">
      <c r="F618" s="1076"/>
      <c r="G618" s="1076"/>
    </row>
    <row r="619" spans="6:7">
      <c r="F619" s="1076"/>
      <c r="G619" s="1076"/>
    </row>
    <row r="620" spans="6:7">
      <c r="F620" s="1076"/>
      <c r="G620" s="1076"/>
    </row>
    <row r="621" spans="6:7">
      <c r="F621" s="1076"/>
      <c r="G621" s="1076"/>
    </row>
    <row r="622" spans="6:7">
      <c r="F622" s="1076"/>
      <c r="G622" s="1076"/>
    </row>
    <row r="623" spans="6:7">
      <c r="F623" s="1076"/>
      <c r="G623" s="1076"/>
    </row>
    <row r="624" spans="6:7">
      <c r="F624" s="1076"/>
      <c r="G624" s="1076"/>
    </row>
    <row r="625" spans="6:7">
      <c r="F625" s="1076"/>
      <c r="G625" s="1076"/>
    </row>
    <row r="626" spans="6:7">
      <c r="F626" s="1076"/>
      <c r="G626" s="1076"/>
    </row>
    <row r="627" spans="6:7">
      <c r="F627" s="1076"/>
      <c r="G627" s="1076"/>
    </row>
    <row r="628" spans="6:7">
      <c r="F628" s="1076"/>
      <c r="G628" s="1076"/>
    </row>
    <row r="629" spans="6:7">
      <c r="F629" s="1076"/>
      <c r="G629" s="1076"/>
    </row>
    <row r="630" spans="6:7">
      <c r="F630" s="1076"/>
      <c r="G630" s="1076"/>
    </row>
    <row r="631" spans="6:7">
      <c r="F631" s="1076"/>
      <c r="G631" s="1076"/>
    </row>
    <row r="632" spans="6:7">
      <c r="F632" s="1076"/>
      <c r="G632" s="1076"/>
    </row>
    <row r="633" spans="6:7">
      <c r="F633" s="1076"/>
      <c r="G633" s="1076"/>
    </row>
    <row r="634" spans="6:7">
      <c r="F634" s="1076"/>
      <c r="G634" s="1076"/>
    </row>
    <row r="635" spans="6:7">
      <c r="F635" s="1076"/>
      <c r="G635" s="1076"/>
    </row>
    <row r="636" spans="6:7">
      <c r="F636" s="1076"/>
      <c r="G636" s="1076"/>
    </row>
    <row r="637" spans="6:7">
      <c r="F637" s="1076"/>
      <c r="G637" s="1076"/>
    </row>
    <row r="638" spans="6:7">
      <c r="F638" s="1076"/>
      <c r="G638" s="1076"/>
    </row>
    <row r="639" spans="6:7">
      <c r="F639" s="1076"/>
      <c r="G639" s="1076"/>
    </row>
    <row r="640" spans="6:7">
      <c r="F640" s="1076"/>
      <c r="G640" s="1076"/>
    </row>
    <row r="641" spans="6:7">
      <c r="F641" s="1076"/>
      <c r="G641" s="1076"/>
    </row>
    <row r="642" spans="6:7">
      <c r="F642" s="1076"/>
      <c r="G642" s="1076"/>
    </row>
    <row r="643" spans="6:7">
      <c r="F643" s="1076"/>
      <c r="G643" s="1076"/>
    </row>
    <row r="644" spans="6:7">
      <c r="F644" s="1076"/>
      <c r="G644" s="1076"/>
    </row>
    <row r="645" spans="6:7">
      <c r="F645" s="1076"/>
      <c r="G645" s="1076"/>
    </row>
    <row r="646" spans="6:7">
      <c r="F646" s="1076"/>
      <c r="G646" s="1076"/>
    </row>
    <row r="647" spans="6:7">
      <c r="F647" s="1076"/>
      <c r="G647" s="1076"/>
    </row>
    <row r="648" spans="6:7">
      <c r="F648" s="1076"/>
      <c r="G648" s="1076"/>
    </row>
    <row r="649" spans="6:7">
      <c r="F649" s="1076"/>
      <c r="G649" s="1076"/>
    </row>
    <row r="650" spans="6:7">
      <c r="F650" s="1076"/>
      <c r="G650" s="1076"/>
    </row>
    <row r="651" spans="6:7">
      <c r="F651" s="1076"/>
      <c r="G651" s="1076"/>
    </row>
    <row r="652" spans="6:7">
      <c r="F652" s="1076"/>
      <c r="G652" s="1076"/>
    </row>
    <row r="653" spans="6:7">
      <c r="F653" s="1076"/>
      <c r="G653" s="1076"/>
    </row>
    <row r="654" spans="6:7">
      <c r="F654" s="1076"/>
      <c r="G654" s="1076"/>
    </row>
    <row r="655" spans="6:7">
      <c r="F655" s="1076"/>
      <c r="G655" s="1076"/>
    </row>
    <row r="656" spans="6:7">
      <c r="F656" s="1076"/>
      <c r="G656" s="1076"/>
    </row>
    <row r="657" spans="6:7">
      <c r="F657" s="1076"/>
      <c r="G657" s="1076"/>
    </row>
    <row r="658" spans="6:7">
      <c r="F658" s="1076"/>
      <c r="G658" s="1076"/>
    </row>
    <row r="659" spans="6:7">
      <c r="F659" s="1076"/>
      <c r="G659" s="1076"/>
    </row>
    <row r="660" spans="6:7">
      <c r="F660" s="1076"/>
      <c r="G660" s="1076"/>
    </row>
    <row r="661" spans="6:7">
      <c r="F661" s="1076"/>
      <c r="G661" s="1076"/>
    </row>
    <row r="662" spans="6:7">
      <c r="F662" s="1076"/>
      <c r="G662" s="1076"/>
    </row>
    <row r="663" spans="6:7">
      <c r="F663" s="1076"/>
      <c r="G663" s="1076"/>
    </row>
    <row r="664" spans="6:7">
      <c r="F664" s="1076"/>
      <c r="G664" s="1076"/>
    </row>
    <row r="665" spans="6:7">
      <c r="F665" s="1076"/>
      <c r="G665" s="1076"/>
    </row>
    <row r="666" spans="6:7">
      <c r="F666" s="1076"/>
      <c r="G666" s="1076"/>
    </row>
    <row r="667" spans="6:7">
      <c r="F667" s="1076"/>
      <c r="G667" s="1076"/>
    </row>
    <row r="668" spans="6:7">
      <c r="F668" s="1076"/>
      <c r="G668" s="1076"/>
    </row>
    <row r="669" spans="6:7">
      <c r="F669" s="1076"/>
      <c r="G669" s="1076"/>
    </row>
    <row r="670" spans="6:7">
      <c r="F670" s="1076"/>
      <c r="G670" s="1076"/>
    </row>
    <row r="671" spans="6:7">
      <c r="F671" s="1076"/>
      <c r="G671" s="1076"/>
    </row>
    <row r="672" spans="6:7">
      <c r="F672" s="1076"/>
      <c r="G672" s="1076"/>
    </row>
    <row r="673" spans="6:7">
      <c r="F673" s="1076"/>
      <c r="G673" s="1076"/>
    </row>
    <row r="674" spans="6:7">
      <c r="F674" s="1076"/>
      <c r="G674" s="1076"/>
    </row>
    <row r="675" spans="6:7">
      <c r="F675" s="1076"/>
      <c r="G675" s="1076"/>
    </row>
    <row r="676" spans="6:7">
      <c r="F676" s="1076"/>
      <c r="G676" s="1076"/>
    </row>
    <row r="677" spans="6:7">
      <c r="F677" s="1076"/>
      <c r="G677" s="1076"/>
    </row>
    <row r="678" spans="6:7">
      <c r="F678" s="1076"/>
      <c r="G678" s="1076"/>
    </row>
    <row r="679" spans="6:7">
      <c r="F679" s="1076"/>
      <c r="G679" s="1076"/>
    </row>
    <row r="680" spans="6:7">
      <c r="F680" s="1076"/>
      <c r="G680" s="1076"/>
    </row>
    <row r="681" spans="6:7">
      <c r="F681" s="1076"/>
      <c r="G681" s="1076"/>
    </row>
    <row r="682" spans="6:7">
      <c r="F682" s="1076"/>
      <c r="G682" s="1076"/>
    </row>
    <row r="683" spans="6:7">
      <c r="F683" s="1076"/>
      <c r="G683" s="1076"/>
    </row>
    <row r="684" spans="6:7">
      <c r="F684" s="1076"/>
      <c r="G684" s="1076"/>
    </row>
    <row r="685" spans="6:7">
      <c r="F685" s="1076"/>
      <c r="G685" s="1076"/>
    </row>
    <row r="686" spans="6:7">
      <c r="F686" s="1076"/>
      <c r="G686" s="1076"/>
    </row>
    <row r="687" spans="6:7">
      <c r="F687" s="1076"/>
      <c r="G687" s="1076"/>
    </row>
    <row r="688" spans="6:7">
      <c r="F688" s="1076"/>
      <c r="G688" s="1076"/>
    </row>
    <row r="689" spans="6:7">
      <c r="F689" s="1076"/>
      <c r="G689" s="1076"/>
    </row>
    <row r="690" spans="6:7">
      <c r="F690" s="1076"/>
      <c r="G690" s="1076"/>
    </row>
    <row r="691" spans="6:7">
      <c r="F691" s="1076"/>
      <c r="G691" s="1076"/>
    </row>
    <row r="692" spans="6:7">
      <c r="F692" s="1076"/>
      <c r="G692" s="1076"/>
    </row>
    <row r="693" spans="6:7">
      <c r="F693" s="1076"/>
      <c r="G693" s="1076"/>
    </row>
    <row r="694" spans="6:7">
      <c r="F694" s="1076"/>
      <c r="G694" s="1076"/>
    </row>
    <row r="695" spans="6:7">
      <c r="F695" s="1076"/>
      <c r="G695" s="1076"/>
    </row>
    <row r="696" spans="6:7">
      <c r="F696" s="1076"/>
      <c r="G696" s="1076"/>
    </row>
    <row r="697" spans="6:7">
      <c r="F697" s="1076"/>
      <c r="G697" s="1076"/>
    </row>
    <row r="698" spans="6:7">
      <c r="F698" s="1076"/>
      <c r="G698" s="1076"/>
    </row>
    <row r="699" spans="6:7">
      <c r="F699" s="1076"/>
      <c r="G699" s="1076"/>
    </row>
    <row r="700" spans="6:7">
      <c r="F700" s="1076"/>
      <c r="G700" s="1076"/>
    </row>
    <row r="701" spans="6:7">
      <c r="F701" s="1076"/>
      <c r="G701" s="1076"/>
    </row>
    <row r="702" spans="6:7">
      <c r="F702" s="1076"/>
      <c r="G702" s="1076"/>
    </row>
    <row r="703" spans="6:7">
      <c r="F703" s="1076"/>
      <c r="G703" s="1076"/>
    </row>
    <row r="704" spans="6:7">
      <c r="F704" s="1076"/>
      <c r="G704" s="1076"/>
    </row>
    <row r="705" spans="6:7">
      <c r="F705" s="1076"/>
      <c r="G705" s="1076"/>
    </row>
    <row r="706" spans="6:7">
      <c r="F706" s="1076"/>
      <c r="G706" s="1076"/>
    </row>
    <row r="707" spans="6:7">
      <c r="F707" s="1076"/>
      <c r="G707" s="1076"/>
    </row>
    <row r="708" spans="6:7">
      <c r="F708" s="1076"/>
      <c r="G708" s="1076"/>
    </row>
    <row r="709" spans="6:7">
      <c r="F709" s="1076"/>
      <c r="G709" s="1076"/>
    </row>
    <row r="710" spans="6:7">
      <c r="F710" s="1076"/>
      <c r="G710" s="1076"/>
    </row>
    <row r="711" spans="6:7">
      <c r="F711" s="1076"/>
      <c r="G711" s="1076"/>
    </row>
    <row r="712" spans="6:7">
      <c r="F712" s="1076"/>
      <c r="G712" s="1076"/>
    </row>
    <row r="713" spans="6:7">
      <c r="F713" s="1076"/>
      <c r="G713" s="1076"/>
    </row>
    <row r="714" spans="6:7">
      <c r="F714" s="1076"/>
      <c r="G714" s="1076"/>
    </row>
    <row r="715" spans="6:7">
      <c r="F715" s="1076"/>
      <c r="G715" s="1076"/>
    </row>
    <row r="716" spans="6:7">
      <c r="F716" s="1076"/>
      <c r="G716" s="1076"/>
    </row>
    <row r="717" spans="6:7">
      <c r="F717" s="1076"/>
      <c r="G717" s="1076"/>
    </row>
    <row r="718" spans="6:7">
      <c r="F718" s="1076"/>
      <c r="G718" s="1076"/>
    </row>
    <row r="719" spans="6:7">
      <c r="F719" s="1076"/>
      <c r="G719" s="1076"/>
    </row>
    <row r="720" spans="6:7">
      <c r="F720" s="1076"/>
      <c r="G720" s="1076"/>
    </row>
    <row r="721" spans="6:7">
      <c r="F721" s="1076"/>
      <c r="G721" s="1076"/>
    </row>
    <row r="722" spans="6:7">
      <c r="F722" s="1076"/>
      <c r="G722" s="1076"/>
    </row>
    <row r="723" spans="6:7">
      <c r="F723" s="1076"/>
      <c r="G723" s="1076"/>
    </row>
    <row r="724" spans="6:7">
      <c r="F724" s="1076"/>
      <c r="G724" s="1076"/>
    </row>
    <row r="725" spans="6:7">
      <c r="F725" s="1076"/>
      <c r="G725" s="1076"/>
    </row>
    <row r="726" spans="6:7">
      <c r="F726" s="1076"/>
      <c r="G726" s="1076"/>
    </row>
    <row r="727" spans="6:7">
      <c r="F727" s="1076"/>
      <c r="G727" s="1076"/>
    </row>
    <row r="728" spans="6:7">
      <c r="F728" s="1076"/>
      <c r="G728" s="1076"/>
    </row>
    <row r="729" spans="6:7">
      <c r="F729" s="1076"/>
      <c r="G729" s="1076"/>
    </row>
    <row r="730" spans="6:7">
      <c r="F730" s="1076"/>
      <c r="G730" s="1076"/>
    </row>
    <row r="731" spans="6:7">
      <c r="F731" s="1076"/>
      <c r="G731" s="1076"/>
    </row>
    <row r="732" spans="6:7">
      <c r="F732" s="1076"/>
      <c r="G732" s="1076"/>
    </row>
    <row r="733" spans="6:7">
      <c r="F733" s="1076"/>
      <c r="G733" s="1076"/>
    </row>
    <row r="734" spans="6:7">
      <c r="F734" s="1076"/>
      <c r="G734" s="1076"/>
    </row>
    <row r="735" spans="6:7">
      <c r="F735" s="1076"/>
      <c r="G735" s="1076"/>
    </row>
    <row r="736" spans="6:7">
      <c r="F736" s="1076"/>
      <c r="G736" s="1076"/>
    </row>
    <row r="737" spans="6:7">
      <c r="F737" s="1076"/>
      <c r="G737" s="1076"/>
    </row>
    <row r="738" spans="6:7">
      <c r="F738" s="1076"/>
      <c r="G738" s="1076"/>
    </row>
    <row r="739" spans="6:7">
      <c r="F739" s="1076"/>
      <c r="G739" s="1076"/>
    </row>
    <row r="740" spans="6:7">
      <c r="F740" s="1076"/>
      <c r="G740" s="1076"/>
    </row>
    <row r="741" spans="6:7">
      <c r="F741" s="1076"/>
      <c r="G741" s="1076"/>
    </row>
    <row r="742" spans="6:7">
      <c r="F742" s="1076"/>
      <c r="G742" s="1076"/>
    </row>
    <row r="743" spans="6:7">
      <c r="F743" s="1076"/>
      <c r="G743" s="1076"/>
    </row>
    <row r="744" spans="6:7">
      <c r="F744" s="1076"/>
      <c r="G744" s="1076"/>
    </row>
    <row r="745" spans="6:7">
      <c r="F745" s="1076"/>
      <c r="G745" s="1076"/>
    </row>
    <row r="746" spans="6:7">
      <c r="F746" s="1076"/>
      <c r="G746" s="1076"/>
    </row>
    <row r="747" spans="6:7">
      <c r="F747" s="1076"/>
      <c r="G747" s="1076"/>
    </row>
    <row r="748" spans="6:7">
      <c r="F748" s="1076"/>
      <c r="G748" s="1076"/>
    </row>
    <row r="749" spans="6:7">
      <c r="F749" s="1076"/>
      <c r="G749" s="1076"/>
    </row>
    <row r="750" spans="6:7">
      <c r="F750" s="1076"/>
      <c r="G750" s="1076"/>
    </row>
    <row r="751" spans="6:7">
      <c r="F751" s="1076"/>
      <c r="G751" s="1076"/>
    </row>
    <row r="752" spans="6:7">
      <c r="F752" s="1076"/>
      <c r="G752" s="1076"/>
    </row>
    <row r="753" spans="6:7">
      <c r="F753" s="1076"/>
      <c r="G753" s="1076"/>
    </row>
    <row r="754" spans="6:7">
      <c r="F754" s="1076"/>
      <c r="G754" s="1076"/>
    </row>
    <row r="755" spans="6:7">
      <c r="F755" s="1076"/>
      <c r="G755" s="1076"/>
    </row>
    <row r="756" spans="6:7">
      <c r="F756" s="1076"/>
      <c r="G756" s="1076"/>
    </row>
    <row r="757" spans="6:7">
      <c r="F757" s="1076"/>
      <c r="G757" s="1076"/>
    </row>
    <row r="758" spans="6:7">
      <c r="F758" s="1076"/>
      <c r="G758" s="1076"/>
    </row>
    <row r="759" spans="6:7">
      <c r="F759" s="1076"/>
      <c r="G759" s="1076"/>
    </row>
    <row r="760" spans="6:7">
      <c r="F760" s="1076"/>
      <c r="G760" s="1076"/>
    </row>
    <row r="761" spans="6:7">
      <c r="F761" s="1076"/>
      <c r="G761" s="1076"/>
    </row>
    <row r="762" spans="6:7">
      <c r="F762" s="1076"/>
      <c r="G762" s="1076"/>
    </row>
    <row r="763" spans="6:7">
      <c r="F763" s="1076"/>
      <c r="G763" s="1076"/>
    </row>
    <row r="764" spans="6:7">
      <c r="F764" s="1076"/>
      <c r="G764" s="1076"/>
    </row>
    <row r="765" spans="6:7">
      <c r="F765" s="1076"/>
      <c r="G765" s="1076"/>
    </row>
    <row r="766" spans="6:7">
      <c r="F766" s="1076"/>
      <c r="G766" s="1076"/>
    </row>
    <row r="767" spans="6:7">
      <c r="F767" s="1076"/>
      <c r="G767" s="1076"/>
    </row>
    <row r="768" spans="6:7">
      <c r="F768" s="1076"/>
      <c r="G768" s="1076"/>
    </row>
    <row r="769" spans="6:7">
      <c r="F769" s="1076"/>
      <c r="G769" s="1076"/>
    </row>
    <row r="770" spans="6:7">
      <c r="F770" s="1076"/>
      <c r="G770" s="1076"/>
    </row>
    <row r="771" spans="6:7">
      <c r="F771" s="1076"/>
      <c r="G771" s="1076"/>
    </row>
    <row r="772" spans="6:7">
      <c r="F772" s="1076"/>
      <c r="G772" s="1076"/>
    </row>
    <row r="773" spans="6:7">
      <c r="F773" s="1076"/>
      <c r="G773" s="1076"/>
    </row>
    <row r="774" spans="6:7">
      <c r="F774" s="1076"/>
      <c r="G774" s="1076"/>
    </row>
    <row r="775" spans="6:7">
      <c r="F775" s="1076"/>
      <c r="G775" s="1076"/>
    </row>
    <row r="776" spans="6:7">
      <c r="F776" s="1076"/>
      <c r="G776" s="1076"/>
    </row>
    <row r="777" spans="6:7">
      <c r="F777" s="1076"/>
      <c r="G777" s="1076"/>
    </row>
    <row r="778" spans="6:7">
      <c r="F778" s="1076"/>
      <c r="G778" s="1076"/>
    </row>
    <row r="779" spans="6:7">
      <c r="F779" s="1076"/>
      <c r="G779" s="1076"/>
    </row>
    <row r="780" spans="6:7">
      <c r="F780" s="1076"/>
      <c r="G780" s="1076"/>
    </row>
    <row r="781" spans="6:7">
      <c r="F781" s="1076"/>
      <c r="G781" s="1076"/>
    </row>
    <row r="782" spans="6:7">
      <c r="F782" s="1076"/>
      <c r="G782" s="1076"/>
    </row>
    <row r="783" spans="6:7">
      <c r="F783" s="1076"/>
      <c r="G783" s="1076"/>
    </row>
    <row r="784" spans="6:7">
      <c r="F784" s="1076"/>
      <c r="G784" s="1076"/>
    </row>
    <row r="785" spans="6:7">
      <c r="F785" s="1076"/>
      <c r="G785" s="1076"/>
    </row>
    <row r="786" spans="6:7">
      <c r="F786" s="1076"/>
      <c r="G786" s="1076"/>
    </row>
    <row r="787" spans="6:7">
      <c r="F787" s="1076"/>
      <c r="G787" s="1076"/>
    </row>
    <row r="788" spans="6:7">
      <c r="F788" s="1076"/>
      <c r="G788" s="1076"/>
    </row>
    <row r="789" spans="6:7">
      <c r="F789" s="1076"/>
      <c r="G789" s="1076"/>
    </row>
    <row r="790" spans="6:7">
      <c r="F790" s="1076"/>
      <c r="G790" s="1076"/>
    </row>
    <row r="791" spans="6:7">
      <c r="F791" s="1076"/>
      <c r="G791" s="1076"/>
    </row>
    <row r="792" spans="6:7">
      <c r="F792" s="1076"/>
      <c r="G792" s="1076"/>
    </row>
    <row r="793" spans="6:7">
      <c r="F793" s="1076"/>
      <c r="G793" s="1076"/>
    </row>
    <row r="794" spans="6:7">
      <c r="F794" s="1076"/>
      <c r="G794" s="1076"/>
    </row>
    <row r="795" spans="6:7">
      <c r="F795" s="1076"/>
      <c r="G795" s="1076"/>
    </row>
    <row r="796" spans="6:7">
      <c r="F796" s="1076"/>
      <c r="G796" s="1076"/>
    </row>
    <row r="797" spans="6:7">
      <c r="F797" s="1076"/>
      <c r="G797" s="1076"/>
    </row>
    <row r="798" spans="6:7">
      <c r="F798" s="1076"/>
      <c r="G798" s="1076"/>
    </row>
    <row r="799" spans="6:7">
      <c r="F799" s="1076"/>
      <c r="G799" s="1076"/>
    </row>
    <row r="800" spans="6:7">
      <c r="F800" s="1076"/>
      <c r="G800" s="1076"/>
    </row>
    <row r="801" spans="6:7">
      <c r="F801" s="1076"/>
      <c r="G801" s="1076"/>
    </row>
    <row r="802" spans="6:7">
      <c r="F802" s="1076"/>
      <c r="G802" s="1076"/>
    </row>
    <row r="803" spans="6:7">
      <c r="F803" s="1076"/>
      <c r="G803" s="1076"/>
    </row>
    <row r="804" spans="6:7">
      <c r="F804" s="1076"/>
      <c r="G804" s="1076"/>
    </row>
    <row r="805" spans="6:7">
      <c r="F805" s="1076"/>
      <c r="G805" s="1076"/>
    </row>
    <row r="806" spans="6:7">
      <c r="F806" s="1076"/>
      <c r="G806" s="1076"/>
    </row>
    <row r="807" spans="6:7">
      <c r="F807" s="1076"/>
      <c r="G807" s="1076"/>
    </row>
    <row r="808" spans="6:7">
      <c r="F808" s="1076"/>
      <c r="G808" s="1076"/>
    </row>
    <row r="809" spans="6:7">
      <c r="F809" s="1076"/>
      <c r="G809" s="1076"/>
    </row>
    <row r="810" spans="6:7">
      <c r="F810" s="1076"/>
      <c r="G810" s="1076"/>
    </row>
    <row r="811" spans="6:7">
      <c r="F811" s="1076"/>
      <c r="G811" s="1076"/>
    </row>
    <row r="812" spans="6:7">
      <c r="F812" s="1076"/>
      <c r="G812" s="1076"/>
    </row>
    <row r="813" spans="6:7">
      <c r="F813" s="1076"/>
      <c r="G813" s="1076"/>
    </row>
    <row r="814" spans="6:7">
      <c r="F814" s="1076"/>
      <c r="G814" s="1076"/>
    </row>
    <row r="815" spans="6:7">
      <c r="F815" s="1076"/>
      <c r="G815" s="1076"/>
    </row>
    <row r="816" spans="6:7">
      <c r="F816" s="1076"/>
      <c r="G816" s="1076"/>
    </row>
    <row r="817" spans="6:7">
      <c r="F817" s="1076"/>
      <c r="G817" s="1076"/>
    </row>
    <row r="818" spans="6:7">
      <c r="F818" s="1076"/>
      <c r="G818" s="1076"/>
    </row>
    <row r="819" spans="6:7">
      <c r="F819" s="1076"/>
      <c r="G819" s="1076"/>
    </row>
    <row r="820" spans="6:7">
      <c r="F820" s="1076"/>
      <c r="G820" s="1076"/>
    </row>
    <row r="821" spans="6:7">
      <c r="F821" s="1076"/>
      <c r="G821" s="1076"/>
    </row>
    <row r="822" spans="6:7">
      <c r="F822" s="1076"/>
      <c r="G822" s="1076"/>
    </row>
    <row r="823" spans="6:7">
      <c r="F823" s="1076"/>
      <c r="G823" s="1076"/>
    </row>
    <row r="824" spans="6:7">
      <c r="F824" s="1076"/>
      <c r="G824" s="1076"/>
    </row>
    <row r="825" spans="6:7">
      <c r="F825" s="1076"/>
      <c r="G825" s="1076"/>
    </row>
    <row r="826" spans="6:7">
      <c r="F826" s="1076"/>
      <c r="G826" s="1076"/>
    </row>
    <row r="827" spans="6:7">
      <c r="F827" s="1076"/>
      <c r="G827" s="1076"/>
    </row>
    <row r="828" spans="6:7">
      <c r="F828" s="1076"/>
      <c r="G828" s="1076"/>
    </row>
    <row r="829" spans="6:7">
      <c r="F829" s="1076"/>
      <c r="G829" s="1076"/>
    </row>
    <row r="830" spans="6:7">
      <c r="F830" s="1076"/>
      <c r="G830" s="1076"/>
    </row>
    <row r="831" spans="6:7">
      <c r="F831" s="1076"/>
      <c r="G831" s="1076"/>
    </row>
    <row r="832" spans="6:7">
      <c r="F832" s="1076"/>
      <c r="G832" s="1076"/>
    </row>
    <row r="833" spans="6:7">
      <c r="F833" s="1076"/>
      <c r="G833" s="1076"/>
    </row>
    <row r="834" spans="6:7">
      <c r="F834" s="1076"/>
      <c r="G834" s="1076"/>
    </row>
    <row r="835" spans="6:7">
      <c r="F835" s="1076"/>
      <c r="G835" s="1076"/>
    </row>
    <row r="836" spans="6:7">
      <c r="F836" s="1076"/>
      <c r="G836" s="1076"/>
    </row>
    <row r="837" spans="6:7">
      <c r="F837" s="1076"/>
      <c r="G837" s="1076"/>
    </row>
    <row r="838" spans="6:7">
      <c r="F838" s="1076"/>
      <c r="G838" s="1076"/>
    </row>
    <row r="839" spans="6:7">
      <c r="F839" s="1076"/>
      <c r="G839" s="1076"/>
    </row>
    <row r="840" spans="6:7">
      <c r="F840" s="1076"/>
      <c r="G840" s="1076"/>
    </row>
    <row r="841" spans="6:7">
      <c r="F841" s="1076"/>
      <c r="G841" s="1076"/>
    </row>
    <row r="842" spans="6:7">
      <c r="F842" s="1076"/>
      <c r="G842" s="1076"/>
    </row>
    <row r="843" spans="6:7">
      <c r="F843" s="1076"/>
      <c r="G843" s="1076"/>
    </row>
    <row r="844" spans="6:7">
      <c r="F844" s="1076"/>
      <c r="G844" s="1076"/>
    </row>
    <row r="845" spans="6:7">
      <c r="F845" s="1076"/>
      <c r="G845" s="1076"/>
    </row>
    <row r="846" spans="6:7">
      <c r="F846" s="1076"/>
      <c r="G846" s="1076"/>
    </row>
    <row r="847" spans="6:7">
      <c r="F847" s="1076"/>
      <c r="G847" s="1076"/>
    </row>
    <row r="848" spans="6:7">
      <c r="F848" s="1076"/>
      <c r="G848" s="1076"/>
    </row>
    <row r="849" spans="6:7">
      <c r="F849" s="1076"/>
      <c r="G849" s="1076"/>
    </row>
    <row r="850" spans="6:7">
      <c r="F850" s="1076"/>
      <c r="G850" s="1076"/>
    </row>
    <row r="851" spans="6:7">
      <c r="F851" s="1076"/>
      <c r="G851" s="1076"/>
    </row>
    <row r="852" spans="6:7">
      <c r="F852" s="1076"/>
      <c r="G852" s="1076"/>
    </row>
    <row r="853" spans="6:7">
      <c r="F853" s="1076"/>
      <c r="G853" s="1076"/>
    </row>
    <row r="854" spans="6:7">
      <c r="F854" s="1076"/>
      <c r="G854" s="1076"/>
    </row>
    <row r="855" spans="6:7">
      <c r="F855" s="1076"/>
      <c r="G855" s="1076"/>
    </row>
    <row r="856" spans="6:7">
      <c r="F856" s="1076"/>
      <c r="G856" s="1076"/>
    </row>
    <row r="857" spans="6:7">
      <c r="F857" s="1076"/>
      <c r="G857" s="1076"/>
    </row>
    <row r="858" spans="6:7">
      <c r="F858" s="1076"/>
      <c r="G858" s="1076"/>
    </row>
    <row r="859" spans="6:7">
      <c r="F859" s="1076"/>
      <c r="G859" s="1076"/>
    </row>
    <row r="860" spans="6:7">
      <c r="F860" s="1076"/>
      <c r="G860" s="1076"/>
    </row>
    <row r="861" spans="6:7">
      <c r="F861" s="1076"/>
      <c r="G861" s="1076"/>
    </row>
    <row r="862" spans="6:7">
      <c r="F862" s="1076"/>
      <c r="G862" s="1076"/>
    </row>
    <row r="863" spans="6:7">
      <c r="F863" s="1076"/>
      <c r="G863" s="1076"/>
    </row>
    <row r="864" spans="6:7">
      <c r="F864" s="1076"/>
      <c r="G864" s="1076"/>
    </row>
    <row r="865" spans="6:7">
      <c r="F865" s="1076"/>
      <c r="G865" s="1076"/>
    </row>
    <row r="866" spans="6:7">
      <c r="F866" s="1076"/>
      <c r="G866" s="1076"/>
    </row>
    <row r="867" spans="6:7">
      <c r="F867" s="1076"/>
      <c r="G867" s="1076"/>
    </row>
    <row r="868" spans="6:7">
      <c r="F868" s="1076"/>
      <c r="G868" s="1076"/>
    </row>
    <row r="869" spans="6:7">
      <c r="F869" s="1076"/>
      <c r="G869" s="1076"/>
    </row>
    <row r="870" spans="6:7">
      <c r="F870" s="1076"/>
      <c r="G870" s="1076"/>
    </row>
    <row r="871" spans="6:7">
      <c r="F871" s="1076"/>
      <c r="G871" s="1076"/>
    </row>
    <row r="872" spans="6:7">
      <c r="F872" s="1076"/>
      <c r="G872" s="1076"/>
    </row>
    <row r="873" spans="6:7">
      <c r="F873" s="1076"/>
      <c r="G873" s="1076"/>
    </row>
    <row r="874" spans="6:7">
      <c r="F874" s="1076"/>
      <c r="G874" s="1076"/>
    </row>
    <row r="875" spans="6:7">
      <c r="F875" s="1076"/>
      <c r="G875" s="1076"/>
    </row>
    <row r="876" spans="6:7">
      <c r="F876" s="1076"/>
      <c r="G876" s="1076"/>
    </row>
    <row r="877" spans="6:7">
      <c r="F877" s="1076"/>
      <c r="G877" s="1076"/>
    </row>
    <row r="878" spans="6:7">
      <c r="F878" s="1076"/>
      <c r="G878" s="1076"/>
    </row>
    <row r="879" spans="6:7">
      <c r="F879" s="1076"/>
      <c r="G879" s="1076"/>
    </row>
    <row r="880" spans="6:7">
      <c r="F880" s="1076"/>
      <c r="G880" s="1076"/>
    </row>
    <row r="881" spans="6:7">
      <c r="F881" s="1076"/>
      <c r="G881" s="1076"/>
    </row>
    <row r="882" spans="6:7">
      <c r="F882" s="1076"/>
      <c r="G882" s="1076"/>
    </row>
    <row r="883" spans="6:7">
      <c r="F883" s="1076"/>
      <c r="G883" s="1076"/>
    </row>
    <row r="884" spans="6:7">
      <c r="F884" s="1076"/>
      <c r="G884" s="1076"/>
    </row>
    <row r="885" spans="6:7">
      <c r="F885" s="1076"/>
      <c r="G885" s="1076"/>
    </row>
    <row r="886" spans="6:7">
      <c r="F886" s="1076"/>
      <c r="G886" s="1076"/>
    </row>
    <row r="887" spans="6:7">
      <c r="F887" s="1076"/>
      <c r="G887" s="1076"/>
    </row>
    <row r="888" spans="6:7">
      <c r="F888" s="1076"/>
      <c r="G888" s="1076"/>
    </row>
    <row r="889" spans="6:7">
      <c r="F889" s="1076"/>
      <c r="G889" s="1076"/>
    </row>
    <row r="890" spans="6:7">
      <c r="F890" s="1076"/>
      <c r="G890" s="1076"/>
    </row>
    <row r="891" spans="6:7">
      <c r="F891" s="1076"/>
      <c r="G891" s="1076"/>
    </row>
    <row r="892" spans="6:7">
      <c r="F892" s="1076"/>
      <c r="G892" s="1076"/>
    </row>
    <row r="893" spans="6:7">
      <c r="F893" s="1076"/>
      <c r="G893" s="1076"/>
    </row>
    <row r="894" spans="6:7">
      <c r="F894" s="1076"/>
      <c r="G894" s="1076"/>
    </row>
    <row r="895" spans="6:7">
      <c r="F895" s="1076"/>
      <c r="G895" s="1076"/>
    </row>
    <row r="896" spans="6:7">
      <c r="F896" s="1076"/>
      <c r="G896" s="1076"/>
    </row>
    <row r="897" spans="6:7">
      <c r="F897" s="1076"/>
      <c r="G897" s="1076"/>
    </row>
    <row r="898" spans="6:7">
      <c r="F898" s="1076"/>
      <c r="G898" s="1076"/>
    </row>
    <row r="899" spans="6:7">
      <c r="F899" s="1076"/>
      <c r="G899" s="1076"/>
    </row>
    <row r="900" spans="6:7">
      <c r="F900" s="1076"/>
      <c r="G900" s="1076"/>
    </row>
    <row r="901" spans="6:7">
      <c r="F901" s="1076"/>
      <c r="G901" s="1076"/>
    </row>
    <row r="902" spans="6:7">
      <c r="F902" s="1076"/>
      <c r="G902" s="1076"/>
    </row>
    <row r="903" spans="6:7">
      <c r="F903" s="1076"/>
      <c r="G903" s="1076"/>
    </row>
    <row r="904" spans="6:7">
      <c r="F904" s="1076"/>
      <c r="G904" s="1076"/>
    </row>
    <row r="905" spans="6:7">
      <c r="F905" s="1076"/>
      <c r="G905" s="1076"/>
    </row>
    <row r="906" spans="6:7">
      <c r="F906" s="1076"/>
      <c r="G906" s="1076"/>
    </row>
    <row r="907" spans="6:7">
      <c r="F907" s="1076"/>
      <c r="G907" s="1076"/>
    </row>
    <row r="908" spans="6:7">
      <c r="F908" s="1076"/>
      <c r="G908" s="1076"/>
    </row>
    <row r="909" spans="6:7">
      <c r="F909" s="1076"/>
      <c r="G909" s="1076"/>
    </row>
    <row r="910" spans="6:7">
      <c r="F910" s="1076"/>
      <c r="G910" s="1076"/>
    </row>
    <row r="911" spans="6:7">
      <c r="F911" s="1076"/>
      <c r="G911" s="1076"/>
    </row>
    <row r="912" spans="6:7">
      <c r="F912" s="1076"/>
      <c r="G912" s="1076"/>
    </row>
    <row r="913" spans="6:7">
      <c r="F913" s="1076"/>
      <c r="G913" s="1076"/>
    </row>
    <row r="914" spans="6:7">
      <c r="F914" s="1076"/>
      <c r="G914" s="1076"/>
    </row>
    <row r="915" spans="6:7">
      <c r="F915" s="1076"/>
      <c r="G915" s="1076"/>
    </row>
    <row r="916" spans="6:7">
      <c r="F916" s="1076"/>
      <c r="G916" s="1076"/>
    </row>
    <row r="917" spans="6:7">
      <c r="F917" s="1076"/>
      <c r="G917" s="1076"/>
    </row>
    <row r="918" spans="6:7">
      <c r="F918" s="1076"/>
      <c r="G918" s="1076"/>
    </row>
    <row r="919" spans="6:7">
      <c r="F919" s="1076"/>
      <c r="G919" s="1076"/>
    </row>
    <row r="920" spans="6:7">
      <c r="F920" s="1076"/>
      <c r="G920" s="1076"/>
    </row>
    <row r="921" spans="6:7">
      <c r="F921" s="1076"/>
      <c r="G921" s="1076"/>
    </row>
    <row r="922" spans="6:7">
      <c r="F922" s="1076"/>
      <c r="G922" s="1076"/>
    </row>
    <row r="923" spans="6:7">
      <c r="F923" s="1076"/>
      <c r="G923" s="1076"/>
    </row>
    <row r="924" spans="6:7">
      <c r="F924" s="1076"/>
      <c r="G924" s="1076"/>
    </row>
    <row r="925" spans="6:7">
      <c r="F925" s="1076"/>
      <c r="G925" s="1076"/>
    </row>
    <row r="926" spans="6:7">
      <c r="F926" s="1076"/>
      <c r="G926" s="1076"/>
    </row>
    <row r="927" spans="6:7">
      <c r="F927" s="1076"/>
      <c r="G927" s="1076"/>
    </row>
    <row r="928" spans="6:7">
      <c r="F928" s="1076"/>
      <c r="G928" s="1076"/>
    </row>
    <row r="929" spans="6:7">
      <c r="F929" s="1076"/>
      <c r="G929" s="1076"/>
    </row>
    <row r="930" spans="6:7">
      <c r="F930" s="1076"/>
      <c r="G930" s="1076"/>
    </row>
    <row r="931" spans="6:7">
      <c r="F931" s="1076"/>
      <c r="G931" s="1076"/>
    </row>
    <row r="932" spans="6:7">
      <c r="F932" s="1076"/>
      <c r="G932" s="1076"/>
    </row>
    <row r="933" spans="6:7">
      <c r="F933" s="1076"/>
      <c r="G933" s="1076"/>
    </row>
    <row r="934" spans="6:7">
      <c r="F934" s="1076"/>
      <c r="G934" s="1076"/>
    </row>
    <row r="935" spans="6:7">
      <c r="F935" s="1076"/>
      <c r="G935" s="1076"/>
    </row>
    <row r="936" spans="6:7">
      <c r="F936" s="1076"/>
      <c r="G936" s="1076"/>
    </row>
    <row r="937" spans="6:7">
      <c r="F937" s="1076"/>
      <c r="G937" s="1076"/>
    </row>
    <row r="938" spans="6:7">
      <c r="F938" s="1076"/>
      <c r="G938" s="1076"/>
    </row>
    <row r="939" spans="6:7">
      <c r="F939" s="1076"/>
      <c r="G939" s="1076"/>
    </row>
    <row r="940" spans="6:7">
      <c r="F940" s="1076"/>
      <c r="G940" s="1076"/>
    </row>
    <row r="941" spans="6:7">
      <c r="F941" s="1076"/>
      <c r="G941" s="1076"/>
    </row>
    <row r="942" spans="6:7">
      <c r="F942" s="1076"/>
      <c r="G942" s="1076"/>
    </row>
    <row r="943" spans="6:7">
      <c r="F943" s="1076"/>
      <c r="G943" s="1076"/>
    </row>
    <row r="944" spans="6:7">
      <c r="F944" s="1076"/>
      <c r="G944" s="1076"/>
    </row>
    <row r="945" spans="6:7">
      <c r="F945" s="1076"/>
      <c r="G945" s="1076"/>
    </row>
    <row r="946" spans="6:7">
      <c r="F946" s="1076"/>
      <c r="G946" s="1076"/>
    </row>
    <row r="947" spans="6:7">
      <c r="F947" s="1076"/>
      <c r="G947" s="1076"/>
    </row>
    <row r="948" spans="6:7">
      <c r="F948" s="1076"/>
      <c r="G948" s="1076"/>
    </row>
    <row r="949" spans="6:7">
      <c r="F949" s="1076"/>
      <c r="G949" s="1076"/>
    </row>
    <row r="950" spans="6:7">
      <c r="F950" s="1076"/>
      <c r="G950" s="1076"/>
    </row>
    <row r="951" spans="6:7">
      <c r="F951" s="1076"/>
      <c r="G951" s="1076"/>
    </row>
    <row r="952" spans="6:7">
      <c r="F952" s="1076"/>
      <c r="G952" s="1076"/>
    </row>
    <row r="953" spans="6:7">
      <c r="F953" s="1076"/>
      <c r="G953" s="1076"/>
    </row>
    <row r="954" spans="6:7">
      <c r="F954" s="1076"/>
      <c r="G954" s="1076"/>
    </row>
    <row r="955" spans="6:7">
      <c r="F955" s="1076"/>
      <c r="G955" s="1076"/>
    </row>
    <row r="956" spans="6:7">
      <c r="F956" s="1076"/>
      <c r="G956" s="1076"/>
    </row>
    <row r="957" spans="6:7">
      <c r="F957" s="1076"/>
      <c r="G957" s="1076"/>
    </row>
    <row r="958" spans="6:7">
      <c r="F958" s="1076"/>
      <c r="G958" s="1076"/>
    </row>
    <row r="959" spans="6:7">
      <c r="F959" s="1076"/>
      <c r="G959" s="1076"/>
    </row>
    <row r="960" spans="6:7">
      <c r="F960" s="1076"/>
      <c r="G960" s="1076"/>
    </row>
    <row r="961" spans="6:7">
      <c r="F961" s="1076"/>
      <c r="G961" s="1076"/>
    </row>
    <row r="962" spans="6:7">
      <c r="F962" s="1076"/>
      <c r="G962" s="1076"/>
    </row>
    <row r="963" spans="6:7">
      <c r="F963" s="1076"/>
      <c r="G963" s="1076"/>
    </row>
    <row r="964" spans="6:7">
      <c r="F964" s="1076"/>
      <c r="G964" s="1076"/>
    </row>
    <row r="965" spans="6:7">
      <c r="F965" s="1076"/>
      <c r="G965" s="1076"/>
    </row>
    <row r="966" spans="6:7">
      <c r="F966" s="1076"/>
      <c r="G966" s="1076"/>
    </row>
    <row r="967" spans="6:7">
      <c r="F967" s="1076"/>
      <c r="G967" s="1076"/>
    </row>
    <row r="968" spans="6:7">
      <c r="F968" s="1076"/>
      <c r="G968" s="1076"/>
    </row>
    <row r="969" spans="6:7">
      <c r="F969" s="1076"/>
      <c r="G969" s="1076"/>
    </row>
    <row r="970" spans="6:7">
      <c r="F970" s="1076"/>
      <c r="G970" s="1076"/>
    </row>
    <row r="971" spans="6:7">
      <c r="F971" s="1076"/>
      <c r="G971" s="1076"/>
    </row>
    <row r="972" spans="6:7">
      <c r="F972" s="1076"/>
      <c r="G972" s="1076"/>
    </row>
    <row r="973" spans="6:7">
      <c r="F973" s="1076"/>
      <c r="G973" s="1076"/>
    </row>
    <row r="974" spans="6:7">
      <c r="F974" s="1076"/>
      <c r="G974" s="1076"/>
    </row>
    <row r="975" spans="6:7">
      <c r="F975" s="1076"/>
      <c r="G975" s="1076"/>
    </row>
    <row r="976" spans="6:7">
      <c r="F976" s="1076"/>
      <c r="G976" s="1076"/>
    </row>
    <row r="977" spans="6:7">
      <c r="F977" s="1076"/>
      <c r="G977" s="1076"/>
    </row>
    <row r="978" spans="6:7">
      <c r="F978" s="1076"/>
      <c r="G978" s="1076"/>
    </row>
    <row r="979" spans="6:7">
      <c r="F979" s="1076"/>
      <c r="G979" s="1076"/>
    </row>
    <row r="980" spans="6:7">
      <c r="F980" s="1076"/>
      <c r="G980" s="1076"/>
    </row>
    <row r="981" spans="6:7">
      <c r="F981" s="1076"/>
      <c r="G981" s="1076"/>
    </row>
    <row r="982" spans="6:7">
      <c r="F982" s="1076"/>
      <c r="G982" s="1076"/>
    </row>
    <row r="983" spans="6:7">
      <c r="F983" s="1076"/>
      <c r="G983" s="1076"/>
    </row>
    <row r="984" spans="6:7">
      <c r="F984" s="1076"/>
      <c r="G984" s="1076"/>
    </row>
    <row r="985" spans="6:7">
      <c r="F985" s="1076"/>
      <c r="G985" s="1076"/>
    </row>
    <row r="986" spans="6:7">
      <c r="F986" s="1076"/>
      <c r="G986" s="1076"/>
    </row>
    <row r="987" spans="6:7">
      <c r="F987" s="1076"/>
      <c r="G987" s="1076"/>
    </row>
    <row r="988" spans="6:7">
      <c r="F988" s="1076"/>
      <c r="G988" s="1076"/>
    </row>
    <row r="989" spans="6:7">
      <c r="F989" s="1076"/>
      <c r="G989" s="1076"/>
    </row>
    <row r="990" spans="6:7">
      <c r="F990" s="1076"/>
      <c r="G990" s="1076"/>
    </row>
    <row r="991" spans="6:7">
      <c r="F991" s="1076"/>
      <c r="G991" s="1076"/>
    </row>
    <row r="992" spans="6:7">
      <c r="F992" s="1076"/>
      <c r="G992" s="1076"/>
    </row>
    <row r="993" spans="6:7">
      <c r="F993" s="1076"/>
      <c r="G993" s="1076"/>
    </row>
    <row r="994" spans="6:7">
      <c r="F994" s="1076"/>
      <c r="G994" s="1076"/>
    </row>
    <row r="995" spans="6:7">
      <c r="F995" s="1076"/>
      <c r="G995" s="1076"/>
    </row>
    <row r="996" spans="6:7">
      <c r="F996" s="1076"/>
      <c r="G996" s="1076"/>
    </row>
    <row r="997" spans="6:7">
      <c r="F997" s="1076"/>
      <c r="G997" s="1076"/>
    </row>
    <row r="998" spans="6:7">
      <c r="F998" s="1076"/>
      <c r="G998" s="1076"/>
    </row>
    <row r="999" spans="6:7">
      <c r="F999" s="1076"/>
      <c r="G999" s="1076"/>
    </row>
    <row r="1000" spans="6:7">
      <c r="F1000" s="1076"/>
      <c r="G1000" s="1076"/>
    </row>
    <row r="1001" spans="6:7">
      <c r="F1001" s="1076"/>
      <c r="G1001" s="1076"/>
    </row>
    <row r="1002" spans="6:7">
      <c r="F1002" s="1076"/>
      <c r="G1002" s="1076"/>
    </row>
    <row r="1003" spans="6:7">
      <c r="F1003" s="1076"/>
      <c r="G1003" s="1076"/>
    </row>
    <row r="1004" spans="6:7">
      <c r="F1004" s="1076"/>
      <c r="G1004" s="1076"/>
    </row>
    <row r="1005" spans="6:7">
      <c r="F1005" s="1076"/>
      <c r="G1005" s="1076"/>
    </row>
    <row r="1006" spans="6:7">
      <c r="F1006" s="1076"/>
      <c r="G1006" s="1076"/>
    </row>
    <row r="1007" spans="6:7">
      <c r="F1007" s="1076"/>
      <c r="G1007" s="1076"/>
    </row>
    <row r="1008" spans="6:7">
      <c r="F1008" s="1076"/>
      <c r="G1008" s="1076"/>
    </row>
    <row r="1009" spans="6:7">
      <c r="F1009" s="1076"/>
      <c r="G1009" s="1076"/>
    </row>
    <row r="1010" spans="6:7">
      <c r="F1010" s="1076"/>
      <c r="G1010" s="1076"/>
    </row>
    <row r="1011" spans="6:7">
      <c r="F1011" s="1076"/>
      <c r="G1011" s="1076"/>
    </row>
    <row r="1012" spans="6:7">
      <c r="F1012" s="1076"/>
      <c r="G1012" s="1076"/>
    </row>
    <row r="1013" spans="6:7">
      <c r="F1013" s="1076"/>
      <c r="G1013" s="1076"/>
    </row>
    <row r="1014" spans="6:7">
      <c r="F1014" s="1076"/>
      <c r="G1014" s="1076"/>
    </row>
    <row r="1015" spans="6:7">
      <c r="F1015" s="1076"/>
      <c r="G1015" s="1076"/>
    </row>
    <row r="1016" spans="6:7">
      <c r="F1016" s="1076"/>
      <c r="G1016" s="1076"/>
    </row>
    <row r="1017" spans="6:7">
      <c r="F1017" s="1076"/>
      <c r="G1017" s="1076"/>
    </row>
    <row r="1018" spans="6:7">
      <c r="F1018" s="1076"/>
      <c r="G1018" s="1076"/>
    </row>
    <row r="1019" spans="6:7">
      <c r="F1019" s="1076"/>
      <c r="G1019" s="1076"/>
    </row>
    <row r="1020" spans="6:7">
      <c r="F1020" s="1076"/>
      <c r="G1020" s="1076"/>
    </row>
    <row r="1021" spans="6:7">
      <c r="F1021" s="1076"/>
      <c r="G1021" s="1076"/>
    </row>
    <row r="1022" spans="6:7">
      <c r="F1022" s="1076"/>
      <c r="G1022" s="1076"/>
    </row>
    <row r="1023" spans="6:7">
      <c r="F1023" s="1076"/>
      <c r="G1023" s="1076"/>
    </row>
    <row r="1024" spans="6:7">
      <c r="F1024" s="1076"/>
      <c r="G1024" s="1076"/>
    </row>
    <row r="1025" spans="6:7">
      <c r="F1025" s="1076"/>
      <c r="G1025" s="1076"/>
    </row>
    <row r="1026" spans="6:7">
      <c r="F1026" s="1076"/>
      <c r="G1026" s="1076"/>
    </row>
    <row r="1027" spans="6:7">
      <c r="F1027" s="1076"/>
      <c r="G1027" s="1076"/>
    </row>
    <row r="1028" spans="6:7">
      <c r="F1028" s="1076"/>
      <c r="G1028" s="1076"/>
    </row>
    <row r="1029" spans="6:7">
      <c r="F1029" s="1076"/>
      <c r="G1029" s="1076"/>
    </row>
    <row r="1030" spans="6:7">
      <c r="F1030" s="1076"/>
      <c r="G1030" s="1076"/>
    </row>
    <row r="1031" spans="6:7">
      <c r="F1031" s="1076"/>
      <c r="G1031" s="1076"/>
    </row>
    <row r="1032" spans="6:7">
      <c r="F1032" s="1076"/>
      <c r="G1032" s="1076"/>
    </row>
    <row r="1033" spans="6:7">
      <c r="F1033" s="1076"/>
      <c r="G1033" s="1076"/>
    </row>
    <row r="1034" spans="6:7">
      <c r="F1034" s="1076"/>
      <c r="G1034" s="1076"/>
    </row>
    <row r="1035" spans="6:7">
      <c r="F1035" s="1076"/>
      <c r="G1035" s="1076"/>
    </row>
    <row r="1036" spans="6:7">
      <c r="F1036" s="1076"/>
      <c r="G1036" s="1076"/>
    </row>
    <row r="1037" spans="6:7">
      <c r="F1037" s="1076"/>
      <c r="G1037" s="1076"/>
    </row>
    <row r="1038" spans="6:7">
      <c r="F1038" s="1076"/>
      <c r="G1038" s="1076"/>
    </row>
    <row r="1039" spans="6:7">
      <c r="F1039" s="1076"/>
      <c r="G1039" s="1076"/>
    </row>
    <row r="1040" spans="6:7">
      <c r="F1040" s="1076"/>
      <c r="G1040" s="1076"/>
    </row>
    <row r="1041" spans="6:7">
      <c r="F1041" s="1076"/>
      <c r="G1041" s="1076"/>
    </row>
    <row r="1042" spans="6:7">
      <c r="F1042" s="1076"/>
      <c r="G1042" s="1076"/>
    </row>
    <row r="1043" spans="6:7">
      <c r="F1043" s="1076"/>
      <c r="G1043" s="1076"/>
    </row>
    <row r="1044" spans="6:7">
      <c r="F1044" s="1076"/>
      <c r="G1044" s="1076"/>
    </row>
    <row r="1045" spans="6:7">
      <c r="F1045" s="1076"/>
      <c r="G1045" s="1076"/>
    </row>
    <row r="1046" spans="6:7">
      <c r="F1046" s="1076"/>
      <c r="G1046" s="1076"/>
    </row>
    <row r="1047" spans="6:7">
      <c r="F1047" s="1076"/>
      <c r="G1047" s="1076"/>
    </row>
    <row r="1048" spans="6:7">
      <c r="F1048" s="1076"/>
      <c r="G1048" s="1076"/>
    </row>
    <row r="1049" spans="6:7">
      <c r="F1049" s="1076"/>
      <c r="G1049" s="1076"/>
    </row>
    <row r="1050" spans="6:7">
      <c r="F1050" s="1076"/>
      <c r="G1050" s="1076"/>
    </row>
    <row r="1051" spans="6:7">
      <c r="F1051" s="1076"/>
      <c r="G1051" s="1076"/>
    </row>
    <row r="1052" spans="6:7">
      <c r="F1052" s="1076"/>
      <c r="G1052" s="1076"/>
    </row>
    <row r="1053" spans="6:7">
      <c r="F1053" s="1076"/>
      <c r="G1053" s="1076"/>
    </row>
    <row r="1054" spans="6:7">
      <c r="F1054" s="1076"/>
      <c r="G1054" s="1076"/>
    </row>
    <row r="1055" spans="6:7">
      <c r="F1055" s="1076"/>
      <c r="G1055" s="1076"/>
    </row>
    <row r="1056" spans="6:7">
      <c r="F1056" s="1076"/>
      <c r="G1056" s="1076"/>
    </row>
    <row r="1057" spans="6:7">
      <c r="F1057" s="1076"/>
      <c r="G1057" s="1076"/>
    </row>
    <row r="1058" spans="6:7">
      <c r="F1058" s="1076"/>
      <c r="G1058" s="1076"/>
    </row>
    <row r="1059" spans="6:7">
      <c r="F1059" s="1076"/>
      <c r="G1059" s="1076"/>
    </row>
    <row r="1060" spans="6:7">
      <c r="F1060" s="1076"/>
      <c r="G1060" s="1076"/>
    </row>
    <row r="1061" spans="6:7">
      <c r="F1061" s="1076"/>
      <c r="G1061" s="1076"/>
    </row>
    <row r="1062" spans="6:7">
      <c r="F1062" s="1076"/>
      <c r="G1062" s="1076"/>
    </row>
    <row r="1063" spans="6:7">
      <c r="F1063" s="1076"/>
      <c r="G1063" s="1076"/>
    </row>
    <row r="1064" spans="6:7">
      <c r="F1064" s="1076"/>
      <c r="G1064" s="1076"/>
    </row>
    <row r="1065" spans="6:7">
      <c r="F1065" s="1076"/>
      <c r="G1065" s="1076"/>
    </row>
    <row r="1066" spans="6:7">
      <c r="F1066" s="1076"/>
      <c r="G1066" s="1076"/>
    </row>
    <row r="1067" spans="6:7">
      <c r="F1067" s="1076"/>
      <c r="G1067" s="1076"/>
    </row>
    <row r="1068" spans="6:7">
      <c r="F1068" s="1076"/>
      <c r="G1068" s="1076"/>
    </row>
    <row r="1069" spans="6:7">
      <c r="F1069" s="1076"/>
      <c r="G1069" s="1076"/>
    </row>
    <row r="1070" spans="6:7">
      <c r="F1070" s="1076"/>
      <c r="G1070" s="1076"/>
    </row>
    <row r="1071" spans="6:7">
      <c r="F1071" s="1076"/>
      <c r="G1071" s="1076"/>
    </row>
    <row r="1072" spans="6:7">
      <c r="F1072" s="1076"/>
      <c r="G1072" s="1076"/>
    </row>
    <row r="1073" spans="6:7">
      <c r="F1073" s="1076"/>
      <c r="G1073" s="1076"/>
    </row>
    <row r="1074" spans="6:7">
      <c r="F1074" s="1076"/>
      <c r="G1074" s="1076"/>
    </row>
    <row r="1075" spans="6:7">
      <c r="F1075" s="1076"/>
      <c r="G1075" s="1076"/>
    </row>
    <row r="1076" spans="6:7">
      <c r="F1076" s="1076"/>
      <c r="G1076" s="1076"/>
    </row>
    <row r="1077" spans="6:7">
      <c r="F1077" s="1076"/>
      <c r="G1077" s="1076"/>
    </row>
    <row r="1078" spans="6:7">
      <c r="F1078" s="1076"/>
      <c r="G1078" s="1076"/>
    </row>
    <row r="1079" spans="6:7">
      <c r="F1079" s="1076"/>
      <c r="G1079" s="1076"/>
    </row>
    <row r="1080" spans="6:7">
      <c r="F1080" s="1076"/>
      <c r="G1080" s="1076"/>
    </row>
    <row r="1081" spans="6:7">
      <c r="F1081" s="1076"/>
      <c r="G1081" s="1076"/>
    </row>
    <row r="1082" spans="6:7">
      <c r="F1082" s="1076"/>
      <c r="G1082" s="1076"/>
    </row>
    <row r="1083" spans="6:7">
      <c r="F1083" s="1076"/>
      <c r="G1083" s="1076"/>
    </row>
    <row r="1084" spans="6:7">
      <c r="F1084" s="1076"/>
      <c r="G1084" s="1076"/>
    </row>
    <row r="1085" spans="6:7">
      <c r="F1085" s="1076"/>
      <c r="G1085" s="1076"/>
    </row>
    <row r="1086" spans="6:7">
      <c r="F1086" s="1076"/>
      <c r="G1086" s="1076"/>
    </row>
    <row r="1087" spans="6:7">
      <c r="F1087" s="1076"/>
      <c r="G1087" s="1076"/>
    </row>
    <row r="1088" spans="6:7">
      <c r="F1088" s="1076"/>
      <c r="G1088" s="1076"/>
    </row>
    <row r="1089" spans="6:7">
      <c r="F1089" s="1076"/>
      <c r="G1089" s="1076"/>
    </row>
    <row r="1090" spans="6:7">
      <c r="F1090" s="1076"/>
      <c r="G1090" s="1076"/>
    </row>
    <row r="1091" spans="6:7">
      <c r="F1091" s="1076"/>
      <c r="G1091" s="1076"/>
    </row>
    <row r="1092" spans="6:7">
      <c r="F1092" s="1076"/>
      <c r="G1092" s="1076"/>
    </row>
    <row r="1093" spans="6:7">
      <c r="F1093" s="1076"/>
      <c r="G1093" s="1076"/>
    </row>
    <row r="1094" spans="6:7">
      <c r="F1094" s="1076"/>
      <c r="G1094" s="1076"/>
    </row>
    <row r="1095" spans="6:7">
      <c r="F1095" s="1076"/>
      <c r="G1095" s="1076"/>
    </row>
    <row r="1096" spans="6:7">
      <c r="F1096" s="1076"/>
      <c r="G1096" s="1076"/>
    </row>
    <row r="1097" spans="6:7">
      <c r="F1097" s="1076"/>
      <c r="G1097" s="1076"/>
    </row>
    <row r="1098" spans="6:7">
      <c r="F1098" s="1076"/>
      <c r="G1098" s="1076"/>
    </row>
    <row r="1099" spans="6:7">
      <c r="F1099" s="1076"/>
      <c r="G1099" s="1076"/>
    </row>
    <row r="1100" spans="6:7">
      <c r="F1100" s="1076"/>
      <c r="G1100" s="1076"/>
    </row>
    <row r="1101" spans="6:7">
      <c r="F1101" s="1076"/>
      <c r="G1101" s="1076"/>
    </row>
    <row r="1102" spans="6:7">
      <c r="F1102" s="1076"/>
      <c r="G1102" s="1076"/>
    </row>
    <row r="1103" spans="6:7">
      <c r="F1103" s="1076"/>
      <c r="G1103" s="1076"/>
    </row>
    <row r="1104" spans="6:7">
      <c r="F1104" s="1076"/>
      <c r="G1104" s="1076"/>
    </row>
    <row r="1105" spans="6:7">
      <c r="F1105" s="1076"/>
      <c r="G1105" s="1076"/>
    </row>
    <row r="1106" spans="6:7">
      <c r="F1106" s="1076"/>
      <c r="G1106" s="1076"/>
    </row>
    <row r="1107" spans="6:7">
      <c r="F1107" s="1076"/>
      <c r="G1107" s="1076"/>
    </row>
    <row r="1108" spans="6:7">
      <c r="F1108" s="1076"/>
      <c r="G1108" s="1076"/>
    </row>
    <row r="1109" spans="6:7">
      <c r="F1109" s="1076"/>
      <c r="G1109" s="1076"/>
    </row>
    <row r="1110" spans="6:7">
      <c r="F1110" s="1076"/>
      <c r="G1110" s="1076"/>
    </row>
    <row r="1111" spans="6:7">
      <c r="F1111" s="1076"/>
      <c r="G1111" s="1076"/>
    </row>
    <row r="1112" spans="6:7">
      <c r="F1112" s="1076"/>
      <c r="G1112" s="1076"/>
    </row>
    <row r="1113" spans="6:7">
      <c r="F1113" s="1076"/>
      <c r="G1113" s="1076"/>
    </row>
    <row r="1114" spans="6:7">
      <c r="F1114" s="1076"/>
      <c r="G1114" s="1076"/>
    </row>
    <row r="1115" spans="6:7">
      <c r="F1115" s="1076"/>
      <c r="G1115" s="1076"/>
    </row>
    <row r="1116" spans="6:7">
      <c r="F1116" s="1076"/>
      <c r="G1116" s="1076"/>
    </row>
    <row r="1117" spans="6:7">
      <c r="F1117" s="1076"/>
      <c r="G1117" s="1076"/>
    </row>
    <row r="1118" spans="6:7">
      <c r="F1118" s="1076"/>
      <c r="G1118" s="1076"/>
    </row>
    <row r="1119" spans="6:7">
      <c r="F1119" s="1076"/>
      <c r="G1119" s="1076"/>
    </row>
    <row r="1120" spans="6:7">
      <c r="F1120" s="1076"/>
      <c r="G1120" s="1076"/>
    </row>
    <row r="1121" spans="6:7">
      <c r="F1121" s="1076"/>
      <c r="G1121" s="1076"/>
    </row>
    <row r="1122" spans="6:7">
      <c r="F1122" s="1076"/>
      <c r="G1122" s="1076"/>
    </row>
    <row r="1123" spans="6:7">
      <c r="F1123" s="1076"/>
      <c r="G1123" s="1076"/>
    </row>
    <row r="1124" spans="6:7">
      <c r="F1124" s="1076"/>
      <c r="G1124" s="1076"/>
    </row>
    <row r="1125" spans="6:7">
      <c r="F1125" s="1076"/>
      <c r="G1125" s="1076"/>
    </row>
    <row r="1126" spans="6:7">
      <c r="F1126" s="1076"/>
      <c r="G1126" s="1076"/>
    </row>
    <row r="1127" spans="6:7">
      <c r="F1127" s="1076"/>
      <c r="G1127" s="1076"/>
    </row>
    <row r="1128" spans="6:7">
      <c r="F1128" s="1076"/>
      <c r="G1128" s="1076"/>
    </row>
    <row r="1129" spans="6:7">
      <c r="F1129" s="1076"/>
      <c r="G1129" s="1076"/>
    </row>
    <row r="1130" spans="6:7">
      <c r="F1130" s="1076"/>
      <c r="G1130" s="1076"/>
    </row>
    <row r="1131" spans="6:7">
      <c r="F1131" s="1076"/>
      <c r="G1131" s="1076"/>
    </row>
    <row r="1132" spans="6:7">
      <c r="F1132" s="1076"/>
      <c r="G1132" s="1076"/>
    </row>
    <row r="1133" spans="6:7">
      <c r="F1133" s="1076"/>
      <c r="G1133" s="1076"/>
    </row>
    <row r="1134" spans="6:7">
      <c r="F1134" s="1076"/>
      <c r="G1134" s="1076"/>
    </row>
    <row r="1135" spans="6:7">
      <c r="F1135" s="1076"/>
      <c r="G1135" s="1076"/>
    </row>
    <row r="1136" spans="6:7">
      <c r="F1136" s="1076"/>
      <c r="G1136" s="1076"/>
    </row>
    <row r="1137" spans="6:7">
      <c r="F1137" s="1076"/>
      <c r="G1137" s="1076"/>
    </row>
    <row r="1138" spans="6:7">
      <c r="F1138" s="1076"/>
      <c r="G1138" s="1076"/>
    </row>
    <row r="1139" spans="6:7">
      <c r="F1139" s="1076"/>
      <c r="G1139" s="1076"/>
    </row>
    <row r="1140" spans="6:7">
      <c r="F1140" s="1076"/>
      <c r="G1140" s="1076"/>
    </row>
    <row r="1141" spans="6:7">
      <c r="F1141" s="1076"/>
      <c r="G1141" s="1076"/>
    </row>
    <row r="1142" spans="6:7">
      <c r="F1142" s="1076"/>
      <c r="G1142" s="1076"/>
    </row>
    <row r="1143" spans="6:7">
      <c r="F1143" s="1076"/>
      <c r="G1143" s="1076"/>
    </row>
    <row r="1144" spans="6:7">
      <c r="F1144" s="1076"/>
      <c r="G1144" s="1076"/>
    </row>
    <row r="1145" spans="6:7">
      <c r="F1145" s="1076"/>
      <c r="G1145" s="1076"/>
    </row>
    <row r="1146" spans="6:7">
      <c r="F1146" s="1076"/>
      <c r="G1146" s="1076"/>
    </row>
    <row r="1147" spans="6:7">
      <c r="F1147" s="1076"/>
      <c r="G1147" s="1076"/>
    </row>
    <row r="1148" spans="6:7">
      <c r="F1148" s="1076"/>
      <c r="G1148" s="1076"/>
    </row>
    <row r="1149" spans="6:7">
      <c r="F1149" s="1076"/>
      <c r="G1149" s="1076"/>
    </row>
    <row r="1150" spans="6:7">
      <c r="F1150" s="1076"/>
      <c r="G1150" s="1076"/>
    </row>
    <row r="1151" spans="6:7">
      <c r="F1151" s="1076"/>
      <c r="G1151" s="1076"/>
    </row>
    <row r="1152" spans="6:7">
      <c r="F1152" s="1076"/>
      <c r="G1152" s="1076"/>
    </row>
    <row r="1153" spans="6:7">
      <c r="F1153" s="1076"/>
      <c r="G1153" s="1076"/>
    </row>
    <row r="1154" spans="6:7">
      <c r="F1154" s="1076"/>
      <c r="G1154" s="1076"/>
    </row>
    <row r="1155" spans="6:7">
      <c r="F1155" s="1076"/>
      <c r="G1155" s="1076"/>
    </row>
    <row r="1156" spans="6:7">
      <c r="F1156" s="1076"/>
      <c r="G1156" s="1076"/>
    </row>
    <row r="1157" spans="6:7">
      <c r="F1157" s="1076"/>
      <c r="G1157" s="1076"/>
    </row>
    <row r="1158" spans="6:7">
      <c r="F1158" s="1076"/>
      <c r="G1158" s="1076"/>
    </row>
    <row r="1159" spans="6:7">
      <c r="F1159" s="1076"/>
      <c r="G1159" s="1076"/>
    </row>
    <row r="1160" spans="6:7">
      <c r="F1160" s="1076"/>
      <c r="G1160" s="1076"/>
    </row>
    <row r="1161" spans="6:7">
      <c r="F1161" s="1076"/>
      <c r="G1161" s="1076"/>
    </row>
    <row r="1162" spans="6:7">
      <c r="F1162" s="1076"/>
      <c r="G1162" s="1076"/>
    </row>
    <row r="1163" spans="6:7">
      <c r="F1163" s="1076"/>
      <c r="G1163" s="1076"/>
    </row>
    <row r="1164" spans="6:7">
      <c r="F1164" s="1076"/>
      <c r="G1164" s="1076"/>
    </row>
    <row r="1165" spans="6:7">
      <c r="F1165" s="1076"/>
      <c r="G1165" s="1076"/>
    </row>
    <row r="1166" spans="6:7">
      <c r="F1166" s="1076"/>
      <c r="G1166" s="1076"/>
    </row>
    <row r="1167" spans="6:7">
      <c r="F1167" s="1076"/>
      <c r="G1167" s="1076"/>
    </row>
    <row r="1168" spans="6:7">
      <c r="F1168" s="1076"/>
      <c r="G1168" s="1076"/>
    </row>
    <row r="1169" spans="6:7">
      <c r="F1169" s="1076"/>
      <c r="G1169" s="1076"/>
    </row>
    <row r="1170" spans="6:7">
      <c r="F1170" s="1076"/>
      <c r="G1170" s="1076"/>
    </row>
    <row r="1171" spans="6:7">
      <c r="F1171" s="1076"/>
      <c r="G1171" s="1076"/>
    </row>
    <row r="1172" spans="6:7">
      <c r="F1172" s="1076"/>
      <c r="G1172" s="1076"/>
    </row>
    <row r="1173" spans="6:7">
      <c r="F1173" s="1076"/>
      <c r="G1173" s="1076"/>
    </row>
    <row r="1174" spans="6:7">
      <c r="F1174" s="1076"/>
      <c r="G1174" s="1076"/>
    </row>
    <row r="1175" spans="6:7">
      <c r="F1175" s="1076"/>
      <c r="G1175" s="1076"/>
    </row>
    <row r="1176" spans="6:7">
      <c r="F1176" s="1076"/>
      <c r="G1176" s="1076"/>
    </row>
    <row r="1177" spans="6:7">
      <c r="F1177" s="1076"/>
      <c r="G1177" s="1076"/>
    </row>
    <row r="1178" spans="6:7">
      <c r="F1178" s="1076"/>
      <c r="G1178" s="1076"/>
    </row>
    <row r="1179" spans="6:7">
      <c r="F1179" s="1076"/>
      <c r="G1179" s="1076"/>
    </row>
    <row r="1180" spans="6:7">
      <c r="F1180" s="1076"/>
      <c r="G1180" s="1076"/>
    </row>
    <row r="1181" spans="6:7">
      <c r="F1181" s="1076"/>
      <c r="G1181" s="1076"/>
    </row>
    <row r="1182" spans="6:7">
      <c r="F1182" s="1076"/>
      <c r="G1182" s="1076"/>
    </row>
    <row r="1183" spans="6:7">
      <c r="F1183" s="1076"/>
      <c r="G1183" s="1076"/>
    </row>
    <row r="1184" spans="6:7">
      <c r="F1184" s="1076"/>
      <c r="G1184" s="1076"/>
    </row>
    <row r="1185" spans="6:7">
      <c r="F1185" s="1076"/>
      <c r="G1185" s="1076"/>
    </row>
    <row r="1186" spans="6:7">
      <c r="F1186" s="1076"/>
      <c r="G1186" s="1076"/>
    </row>
    <row r="1187" spans="6:7">
      <c r="F1187" s="1076"/>
      <c r="G1187" s="1076"/>
    </row>
    <row r="1188" spans="6:7">
      <c r="F1188" s="1076"/>
      <c r="G1188" s="1076"/>
    </row>
    <row r="1189" spans="6:7">
      <c r="F1189" s="1076"/>
      <c r="G1189" s="1076"/>
    </row>
    <row r="1190" spans="6:7">
      <c r="F1190" s="1076"/>
      <c r="G1190" s="1076"/>
    </row>
    <row r="1191" spans="6:7">
      <c r="F1191" s="1076"/>
      <c r="G1191" s="1076"/>
    </row>
    <row r="1192" spans="6:7">
      <c r="F1192" s="1076"/>
      <c r="G1192" s="1076"/>
    </row>
    <row r="1193" spans="6:7">
      <c r="F1193" s="1076"/>
      <c r="G1193" s="1076"/>
    </row>
    <row r="1194" spans="6:7">
      <c r="F1194" s="1076"/>
      <c r="G1194" s="1076"/>
    </row>
    <row r="1195" spans="6:7">
      <c r="F1195" s="1076"/>
      <c r="G1195" s="1076"/>
    </row>
    <row r="1196" spans="6:7">
      <c r="F1196" s="1076"/>
      <c r="G1196" s="1076"/>
    </row>
    <row r="1197" spans="6:7">
      <c r="F1197" s="1076"/>
      <c r="G1197" s="1076"/>
    </row>
    <row r="1198" spans="6:7">
      <c r="F1198" s="1076"/>
      <c r="G1198" s="1076"/>
    </row>
    <row r="1199" spans="6:7">
      <c r="F1199" s="1076"/>
      <c r="G1199" s="1076"/>
    </row>
    <row r="1200" spans="6:7">
      <c r="F1200" s="1076"/>
      <c r="G1200" s="1076"/>
    </row>
    <row r="1201" spans="6:7">
      <c r="F1201" s="1076"/>
      <c r="G1201" s="1076"/>
    </row>
    <row r="1202" spans="6:7">
      <c r="F1202" s="1076"/>
      <c r="G1202" s="1076"/>
    </row>
    <row r="1203" spans="6:7">
      <c r="F1203" s="1076"/>
      <c r="G1203" s="1076"/>
    </row>
    <row r="1204" spans="6:7">
      <c r="F1204" s="1076"/>
      <c r="G1204" s="1076"/>
    </row>
    <row r="1205" spans="6:7">
      <c r="F1205" s="1076"/>
      <c r="G1205" s="1076"/>
    </row>
    <row r="1206" spans="6:7">
      <c r="F1206" s="1076"/>
      <c r="G1206" s="1076"/>
    </row>
    <row r="1207" spans="6:7">
      <c r="F1207" s="1076"/>
      <c r="G1207" s="1076"/>
    </row>
    <row r="1208" spans="6:7">
      <c r="F1208" s="1076"/>
      <c r="G1208" s="1076"/>
    </row>
    <row r="1209" spans="6:7">
      <c r="F1209" s="1076"/>
      <c r="G1209" s="1076"/>
    </row>
    <row r="1210" spans="6:7">
      <c r="F1210" s="1076"/>
      <c r="G1210" s="1076"/>
    </row>
    <row r="1211" spans="6:7">
      <c r="F1211" s="1076"/>
      <c r="G1211" s="1076"/>
    </row>
    <row r="1212" spans="6:7">
      <c r="F1212" s="1076"/>
      <c r="G1212" s="1076"/>
    </row>
    <row r="1213" spans="6:7">
      <c r="F1213" s="1076"/>
      <c r="G1213" s="1076"/>
    </row>
    <row r="1214" spans="6:7">
      <c r="F1214" s="1076"/>
      <c r="G1214" s="1076"/>
    </row>
    <row r="1215" spans="6:7">
      <c r="F1215" s="1076"/>
      <c r="G1215" s="1076"/>
    </row>
    <row r="1216" spans="6:7">
      <c r="F1216" s="1076"/>
      <c r="G1216" s="1076"/>
    </row>
    <row r="1217" spans="6:7">
      <c r="F1217" s="1076"/>
      <c r="G1217" s="1076"/>
    </row>
    <row r="1218" spans="6:7">
      <c r="F1218" s="1076"/>
      <c r="G1218" s="1076"/>
    </row>
    <row r="1219" spans="6:7">
      <c r="F1219" s="1076"/>
      <c r="G1219" s="1076"/>
    </row>
    <row r="1220" spans="6:7">
      <c r="F1220" s="1076"/>
      <c r="G1220" s="1076"/>
    </row>
    <row r="1221" spans="6:7">
      <c r="F1221" s="1076"/>
      <c r="G1221" s="1076"/>
    </row>
    <row r="1222" spans="6:7">
      <c r="F1222" s="1076"/>
      <c r="G1222" s="1076"/>
    </row>
    <row r="1223" spans="6:7">
      <c r="F1223" s="1076"/>
      <c r="G1223" s="1076"/>
    </row>
    <row r="1224" spans="6:7">
      <c r="F1224" s="1076"/>
      <c r="G1224" s="1076"/>
    </row>
    <row r="1225" spans="6:7">
      <c r="F1225" s="1076"/>
      <c r="G1225" s="1076"/>
    </row>
    <row r="1226" spans="6:7">
      <c r="F1226" s="1076"/>
      <c r="G1226" s="1076"/>
    </row>
    <row r="1227" spans="6:7">
      <c r="F1227" s="1076"/>
      <c r="G1227" s="1076"/>
    </row>
    <row r="1228" spans="6:7">
      <c r="F1228" s="1076"/>
      <c r="G1228" s="1076"/>
    </row>
    <row r="1229" spans="6:7">
      <c r="F1229" s="1076"/>
      <c r="G1229" s="1076"/>
    </row>
    <row r="1230" spans="6:7">
      <c r="F1230" s="1076"/>
      <c r="G1230" s="1076"/>
    </row>
    <row r="1231" spans="6:7">
      <c r="F1231" s="1076"/>
      <c r="G1231" s="1076"/>
    </row>
    <row r="1232" spans="6:7">
      <c r="F1232" s="1076"/>
      <c r="G1232" s="1076"/>
    </row>
    <row r="1233" spans="6:7">
      <c r="F1233" s="1076"/>
      <c r="G1233" s="1076"/>
    </row>
    <row r="1234" spans="6:7">
      <c r="F1234" s="1076"/>
      <c r="G1234" s="1076"/>
    </row>
    <row r="1235" spans="6:7">
      <c r="F1235" s="1076"/>
      <c r="G1235" s="1076"/>
    </row>
    <row r="1236" spans="6:7">
      <c r="F1236" s="1076"/>
      <c r="G1236" s="1076"/>
    </row>
    <row r="1237" spans="6:7">
      <c r="F1237" s="1076"/>
      <c r="G1237" s="1076"/>
    </row>
    <row r="1238" spans="6:7">
      <c r="F1238" s="1076"/>
      <c r="G1238" s="1076"/>
    </row>
    <row r="1239" spans="6:7">
      <c r="F1239" s="1076"/>
      <c r="G1239" s="1076"/>
    </row>
    <row r="1240" spans="6:7">
      <c r="F1240" s="1076"/>
      <c r="G1240" s="1076"/>
    </row>
    <row r="1241" spans="6:7">
      <c r="F1241" s="1076"/>
      <c r="G1241" s="1076"/>
    </row>
    <row r="1242" spans="6:7">
      <c r="F1242" s="1076"/>
      <c r="G1242" s="1076"/>
    </row>
    <row r="1243" spans="6:7">
      <c r="F1243" s="1076"/>
      <c r="G1243" s="1076"/>
    </row>
    <row r="1244" spans="6:7">
      <c r="F1244" s="1076"/>
      <c r="G1244" s="1076"/>
    </row>
    <row r="1245" spans="6:7">
      <c r="F1245" s="1076"/>
      <c r="G1245" s="1076"/>
    </row>
    <row r="1246" spans="6:7">
      <c r="F1246" s="1076"/>
      <c r="G1246" s="1076"/>
    </row>
    <row r="1247" spans="6:7">
      <c r="F1247" s="1076"/>
      <c r="G1247" s="1076"/>
    </row>
    <row r="1248" spans="6:7">
      <c r="F1248" s="1076"/>
      <c r="G1248" s="1076"/>
    </row>
    <row r="1249" spans="6:7">
      <c r="F1249" s="1076"/>
      <c r="G1249" s="1076"/>
    </row>
    <row r="1250" spans="6:7">
      <c r="F1250" s="1076"/>
      <c r="G1250" s="1076"/>
    </row>
    <row r="1251" spans="6:7">
      <c r="F1251" s="1076"/>
      <c r="G1251" s="1076"/>
    </row>
    <row r="1252" spans="6:7">
      <c r="F1252" s="1076"/>
      <c r="G1252" s="1076"/>
    </row>
    <row r="1253" spans="6:7">
      <c r="F1253" s="1076"/>
      <c r="G1253" s="1076"/>
    </row>
    <row r="1254" spans="6:7">
      <c r="F1254" s="1076"/>
      <c r="G1254" s="1076"/>
    </row>
    <row r="1255" spans="6:7">
      <c r="F1255" s="1076"/>
      <c r="G1255" s="1076"/>
    </row>
    <row r="1256" spans="6:7">
      <c r="F1256" s="1076"/>
      <c r="G1256" s="1076"/>
    </row>
    <row r="1257" spans="6:7">
      <c r="F1257" s="1076"/>
      <c r="G1257" s="1076"/>
    </row>
    <row r="1258" spans="6:7">
      <c r="F1258" s="1076"/>
      <c r="G1258" s="1076"/>
    </row>
    <row r="1259" spans="6:7">
      <c r="F1259" s="1076"/>
      <c r="G1259" s="1076"/>
    </row>
    <row r="1260" spans="6:7">
      <c r="F1260" s="1076"/>
      <c r="G1260" s="1076"/>
    </row>
    <row r="1261" spans="6:7">
      <c r="F1261" s="1076"/>
      <c r="G1261" s="1076"/>
    </row>
    <row r="1262" spans="6:7">
      <c r="F1262" s="1076"/>
      <c r="G1262" s="1076"/>
    </row>
    <row r="1263" spans="6:7">
      <c r="F1263" s="1076"/>
      <c r="G1263" s="1076"/>
    </row>
    <row r="1264" spans="6:7">
      <c r="F1264" s="1076"/>
      <c r="G1264" s="1076"/>
    </row>
    <row r="1265" spans="6:7">
      <c r="F1265" s="1076"/>
      <c r="G1265" s="1076"/>
    </row>
    <row r="1266" spans="6:7">
      <c r="F1266" s="1076"/>
      <c r="G1266" s="1076"/>
    </row>
    <row r="1267" spans="6:7">
      <c r="F1267" s="1076"/>
      <c r="G1267" s="1076"/>
    </row>
    <row r="1268" spans="6:7">
      <c r="F1268" s="1076"/>
      <c r="G1268" s="1076"/>
    </row>
    <row r="1269" spans="6:7">
      <c r="F1269" s="1076"/>
      <c r="G1269" s="1076"/>
    </row>
    <row r="1270" spans="6:7">
      <c r="F1270" s="1076"/>
      <c r="G1270" s="1076"/>
    </row>
    <row r="1271" spans="6:7">
      <c r="F1271" s="1076"/>
      <c r="G1271" s="1076"/>
    </row>
    <row r="1272" spans="6:7">
      <c r="F1272" s="1076"/>
      <c r="G1272" s="1076"/>
    </row>
    <row r="1273" spans="6:7">
      <c r="F1273" s="1076"/>
      <c r="G1273" s="1076"/>
    </row>
    <row r="1274" spans="6:7">
      <c r="F1274" s="1076"/>
      <c r="G1274" s="1076"/>
    </row>
    <row r="1275" spans="6:7">
      <c r="F1275" s="1076"/>
      <c r="G1275" s="1076"/>
    </row>
    <row r="1276" spans="6:7">
      <c r="F1276" s="1076"/>
      <c r="G1276" s="1076"/>
    </row>
    <row r="1277" spans="6:7">
      <c r="F1277" s="1076"/>
      <c r="G1277" s="1076"/>
    </row>
    <row r="1278" spans="6:7">
      <c r="F1278" s="1076"/>
      <c r="G1278" s="1076"/>
    </row>
    <row r="1279" spans="6:7">
      <c r="F1279" s="1076"/>
      <c r="G1279" s="1076"/>
    </row>
    <row r="1280" spans="6:7">
      <c r="F1280" s="1076"/>
      <c r="G1280" s="1076"/>
    </row>
    <row r="1281" spans="6:7">
      <c r="F1281" s="1076"/>
      <c r="G1281" s="1076"/>
    </row>
    <row r="1282" spans="6:7">
      <c r="F1282" s="1076"/>
      <c r="G1282" s="1076"/>
    </row>
    <row r="1283" spans="6:7">
      <c r="F1283" s="1076"/>
      <c r="G1283" s="1076"/>
    </row>
    <row r="1284" spans="6:7">
      <c r="F1284" s="1076"/>
      <c r="G1284" s="1076"/>
    </row>
    <row r="1285" spans="6:7">
      <c r="F1285" s="1076"/>
      <c r="G1285" s="1076"/>
    </row>
    <row r="1286" spans="6:7">
      <c r="F1286" s="1076"/>
      <c r="G1286" s="1076"/>
    </row>
    <row r="1287" spans="6:7">
      <c r="F1287" s="1076"/>
      <c r="G1287" s="1076"/>
    </row>
    <row r="1288" spans="6:7">
      <c r="F1288" s="1076"/>
      <c r="G1288" s="1076"/>
    </row>
    <row r="1289" spans="6:7">
      <c r="F1289" s="1076"/>
      <c r="G1289" s="1076"/>
    </row>
    <row r="1290" spans="6:7">
      <c r="F1290" s="1076"/>
      <c r="G1290" s="1076"/>
    </row>
    <row r="1291" spans="6:7">
      <c r="F1291" s="1076"/>
      <c r="G1291" s="1076"/>
    </row>
    <row r="1292" spans="6:7">
      <c r="F1292" s="1076"/>
      <c r="G1292" s="1076"/>
    </row>
    <row r="1293" spans="6:7">
      <c r="F1293" s="1076"/>
      <c r="G1293" s="1076"/>
    </row>
    <row r="1294" spans="6:7">
      <c r="F1294" s="1076"/>
      <c r="G1294" s="1076"/>
    </row>
    <row r="1295" spans="6:7">
      <c r="F1295" s="1076"/>
      <c r="G1295" s="1076"/>
    </row>
    <row r="1296" spans="6:7">
      <c r="F1296" s="1076"/>
      <c r="G1296" s="1076"/>
    </row>
    <row r="1297" spans="6:7">
      <c r="F1297" s="1076"/>
      <c r="G1297" s="1076"/>
    </row>
    <row r="1298" spans="6:7">
      <c r="F1298" s="1076"/>
      <c r="G1298" s="1076"/>
    </row>
    <row r="1299" spans="6:7">
      <c r="F1299" s="1076"/>
      <c r="G1299" s="1076"/>
    </row>
    <row r="1300" spans="6:7">
      <c r="F1300" s="1076"/>
      <c r="G1300" s="1076"/>
    </row>
    <row r="1301" spans="6:7">
      <c r="F1301" s="1076"/>
      <c r="G1301" s="1076"/>
    </row>
    <row r="1302" spans="6:7">
      <c r="F1302" s="1076"/>
      <c r="G1302" s="1076"/>
    </row>
    <row r="1303" spans="6:7">
      <c r="F1303" s="1076"/>
      <c r="G1303" s="1076"/>
    </row>
    <row r="1304" spans="6:7">
      <c r="F1304" s="1076"/>
      <c r="G1304" s="1076"/>
    </row>
    <row r="1305" spans="6:7">
      <c r="F1305" s="1076"/>
      <c r="G1305" s="1076"/>
    </row>
    <row r="1306" spans="6:7">
      <c r="F1306" s="1076"/>
      <c r="G1306" s="1076"/>
    </row>
    <row r="1307" spans="6:7">
      <c r="F1307" s="1076"/>
      <c r="G1307" s="1076"/>
    </row>
    <row r="1308" spans="6:7">
      <c r="F1308" s="1076"/>
      <c r="G1308" s="1076"/>
    </row>
    <row r="1309" spans="6:7">
      <c r="F1309" s="1076"/>
      <c r="G1309" s="1076"/>
    </row>
    <row r="1310" spans="6:7">
      <c r="F1310" s="1076"/>
      <c r="G1310" s="1076"/>
    </row>
    <row r="1311" spans="6:7">
      <c r="F1311" s="1076"/>
      <c r="G1311" s="1076"/>
    </row>
    <row r="1312" spans="6:7">
      <c r="F1312" s="1076"/>
      <c r="G1312" s="1076"/>
    </row>
    <row r="1313" spans="6:7">
      <c r="F1313" s="1076"/>
      <c r="G1313" s="1076"/>
    </row>
    <row r="1314" spans="6:7">
      <c r="F1314" s="1076"/>
      <c r="G1314" s="1076"/>
    </row>
    <row r="1315" spans="6:7">
      <c r="F1315" s="1076"/>
      <c r="G1315" s="1076"/>
    </row>
    <row r="1316" spans="6:7">
      <c r="F1316" s="1076"/>
      <c r="G1316" s="1076"/>
    </row>
    <row r="1317" spans="6:7">
      <c r="F1317" s="1076"/>
      <c r="G1317" s="1076"/>
    </row>
    <row r="1318" spans="6:7">
      <c r="F1318" s="1076"/>
      <c r="G1318" s="1076"/>
    </row>
    <row r="1319" spans="6:7">
      <c r="F1319" s="1076"/>
      <c r="G1319" s="1076"/>
    </row>
    <row r="1320" spans="6:7">
      <c r="F1320" s="1076"/>
      <c r="G1320" s="1076"/>
    </row>
    <row r="1321" spans="6:7">
      <c r="F1321" s="1076"/>
      <c r="G1321" s="1076"/>
    </row>
    <row r="1322" spans="6:7">
      <c r="F1322" s="1076"/>
      <c r="G1322" s="1076"/>
    </row>
    <row r="1323" spans="6:7">
      <c r="F1323" s="1076"/>
      <c r="G1323" s="1076"/>
    </row>
    <row r="1324" spans="6:7">
      <c r="F1324" s="1076"/>
      <c r="G1324" s="1076"/>
    </row>
    <row r="1325" spans="6:7">
      <c r="F1325" s="1076"/>
      <c r="G1325" s="1076"/>
    </row>
    <row r="1326" spans="6:7">
      <c r="F1326" s="1076"/>
      <c r="G1326" s="1076"/>
    </row>
    <row r="1327" spans="6:7">
      <c r="F1327" s="1076"/>
      <c r="G1327" s="1076"/>
    </row>
    <row r="1328" spans="6:7">
      <c r="F1328" s="1076"/>
      <c r="G1328" s="1076"/>
    </row>
    <row r="1329" spans="6:7">
      <c r="F1329" s="1076"/>
      <c r="G1329" s="1076"/>
    </row>
    <row r="1330" spans="6:7">
      <c r="F1330" s="1076"/>
      <c r="G1330" s="1076"/>
    </row>
    <row r="1331" spans="6:7">
      <c r="F1331" s="1076"/>
      <c r="G1331" s="1076"/>
    </row>
    <row r="1332" spans="6:7">
      <c r="F1332" s="1076"/>
      <c r="G1332" s="1076"/>
    </row>
    <row r="1333" spans="6:7">
      <c r="F1333" s="1076"/>
      <c r="G1333" s="1076"/>
    </row>
    <row r="1334" spans="6:7">
      <c r="F1334" s="1076"/>
      <c r="G1334" s="1076"/>
    </row>
    <row r="1335" spans="6:7">
      <c r="F1335" s="1076"/>
      <c r="G1335" s="1076"/>
    </row>
    <row r="1336" spans="6:7">
      <c r="F1336" s="1076"/>
      <c r="G1336" s="1076"/>
    </row>
    <row r="1337" spans="6:7">
      <c r="F1337" s="1076"/>
      <c r="G1337" s="1076"/>
    </row>
    <row r="1338" spans="6:7">
      <c r="F1338" s="1076"/>
      <c r="G1338" s="1076"/>
    </row>
    <row r="1339" spans="6:7">
      <c r="F1339" s="1076"/>
      <c r="G1339" s="1076"/>
    </row>
    <row r="1340" spans="6:7">
      <c r="F1340" s="1076"/>
      <c r="G1340" s="1076"/>
    </row>
    <row r="1341" spans="6:7">
      <c r="F1341" s="1076"/>
      <c r="G1341" s="1076"/>
    </row>
    <row r="1342" spans="6:7">
      <c r="F1342" s="1076"/>
      <c r="G1342" s="1076"/>
    </row>
    <row r="1343" spans="6:7">
      <c r="F1343" s="1076"/>
      <c r="G1343" s="1076"/>
    </row>
    <row r="1344" spans="6:7">
      <c r="F1344" s="1076"/>
      <c r="G1344" s="1076"/>
    </row>
    <row r="1345" spans="6:7">
      <c r="F1345" s="1076"/>
      <c r="G1345" s="1076"/>
    </row>
    <row r="1346" spans="6:7">
      <c r="F1346" s="1076"/>
      <c r="G1346" s="1076"/>
    </row>
    <row r="1347" spans="6:7">
      <c r="F1347" s="1076"/>
      <c r="G1347" s="1076"/>
    </row>
    <row r="1348" spans="6:7">
      <c r="F1348" s="1076"/>
      <c r="G1348" s="1076"/>
    </row>
    <row r="1349" spans="6:7">
      <c r="F1349" s="1076"/>
      <c r="G1349" s="1076"/>
    </row>
    <row r="1350" spans="6:7">
      <c r="F1350" s="1076"/>
      <c r="G1350" s="1076"/>
    </row>
    <row r="1351" spans="6:7">
      <c r="F1351" s="1076"/>
      <c r="G1351" s="1076"/>
    </row>
    <row r="1352" spans="6:7">
      <c r="F1352" s="1076"/>
      <c r="G1352" s="1076"/>
    </row>
    <row r="1353" spans="6:7">
      <c r="F1353" s="1076"/>
      <c r="G1353" s="1076"/>
    </row>
    <row r="1354" spans="6:7">
      <c r="F1354" s="1076"/>
      <c r="G1354" s="1076"/>
    </row>
    <row r="1355" spans="6:7">
      <c r="F1355" s="1076"/>
      <c r="G1355" s="1076"/>
    </row>
    <row r="1356" spans="6:7">
      <c r="F1356" s="1076"/>
      <c r="G1356" s="1076"/>
    </row>
    <row r="1357" spans="6:7">
      <c r="F1357" s="1076"/>
      <c r="G1357" s="1076"/>
    </row>
    <row r="1358" spans="6:7">
      <c r="F1358" s="1076"/>
      <c r="G1358" s="1076"/>
    </row>
    <row r="1359" spans="6:7">
      <c r="F1359" s="1076"/>
      <c r="G1359" s="1076"/>
    </row>
    <row r="1360" spans="6:7">
      <c r="F1360" s="1076"/>
      <c r="G1360" s="1076"/>
    </row>
    <row r="1361" spans="6:7">
      <c r="F1361" s="1076"/>
      <c r="G1361" s="1076"/>
    </row>
    <row r="1362" spans="6:7">
      <c r="F1362" s="1076"/>
      <c r="G1362" s="1076"/>
    </row>
    <row r="1363" spans="6:7">
      <c r="F1363" s="1076"/>
      <c r="G1363" s="1076"/>
    </row>
    <row r="1364" spans="6:7">
      <c r="F1364" s="1076"/>
      <c r="G1364" s="1076"/>
    </row>
    <row r="1365" spans="6:7">
      <c r="F1365" s="1076"/>
      <c r="G1365" s="1076"/>
    </row>
    <row r="1366" spans="6:7">
      <c r="F1366" s="1076"/>
      <c r="G1366" s="1076"/>
    </row>
    <row r="1367" spans="6:7">
      <c r="F1367" s="1076"/>
      <c r="G1367" s="1076"/>
    </row>
    <row r="1368" spans="6:7">
      <c r="F1368" s="1076"/>
      <c r="G1368" s="1076"/>
    </row>
    <row r="1369" spans="6:7">
      <c r="F1369" s="1076"/>
      <c r="G1369" s="1076"/>
    </row>
    <row r="1370" spans="6:7">
      <c r="F1370" s="1076"/>
      <c r="G1370" s="1076"/>
    </row>
    <row r="1371" spans="6:7">
      <c r="F1371" s="1076"/>
      <c r="G1371" s="1076"/>
    </row>
    <row r="1372" spans="6:7">
      <c r="F1372" s="1076"/>
      <c r="G1372" s="1076"/>
    </row>
    <row r="1373" spans="6:7">
      <c r="F1373" s="1076"/>
      <c r="G1373" s="1076"/>
    </row>
    <row r="1374" spans="6:7">
      <c r="F1374" s="1076"/>
      <c r="G1374" s="1076"/>
    </row>
    <row r="1375" spans="6:7">
      <c r="F1375" s="1076"/>
      <c r="G1375" s="1076"/>
    </row>
    <row r="1376" spans="6:7">
      <c r="F1376" s="1076"/>
      <c r="G1376" s="1076"/>
    </row>
    <row r="1377" spans="6:7">
      <c r="F1377" s="1076"/>
      <c r="G1377" s="1076"/>
    </row>
    <row r="1378" spans="6:7">
      <c r="F1378" s="1076"/>
      <c r="G1378" s="1076"/>
    </row>
    <row r="1379" spans="6:7">
      <c r="F1379" s="1076"/>
      <c r="G1379" s="1076"/>
    </row>
    <row r="1380" spans="6:7">
      <c r="F1380" s="1076"/>
      <c r="G1380" s="1076"/>
    </row>
    <row r="1381" spans="6:7">
      <c r="F1381" s="1076"/>
      <c r="G1381" s="1076"/>
    </row>
    <row r="1382" spans="6:7">
      <c r="F1382" s="1076"/>
      <c r="G1382" s="1076"/>
    </row>
    <row r="1383" spans="6:7">
      <c r="F1383" s="1076"/>
      <c r="G1383" s="1076"/>
    </row>
    <row r="1384" spans="6:7">
      <c r="F1384" s="1076"/>
      <c r="G1384" s="1076"/>
    </row>
    <row r="1385" spans="6:7">
      <c r="F1385" s="1076"/>
      <c r="G1385" s="1076"/>
    </row>
    <row r="1386" spans="6:7">
      <c r="F1386" s="1076"/>
      <c r="G1386" s="1076"/>
    </row>
    <row r="1387" spans="6:7">
      <c r="F1387" s="1076"/>
      <c r="G1387" s="1076"/>
    </row>
    <row r="1388" spans="6:7">
      <c r="F1388" s="1076"/>
      <c r="G1388" s="1076"/>
    </row>
    <row r="1389" spans="6:7">
      <c r="F1389" s="1076"/>
      <c r="G1389" s="1076"/>
    </row>
    <row r="1390" spans="6:7">
      <c r="F1390" s="1076"/>
      <c r="G1390" s="1076"/>
    </row>
    <row r="1391" spans="6:7">
      <c r="F1391" s="1076"/>
      <c r="G1391" s="1076"/>
    </row>
    <row r="1392" spans="6:7">
      <c r="F1392" s="1076"/>
      <c r="G1392" s="1076"/>
    </row>
    <row r="1393" spans="6:7">
      <c r="F1393" s="1076"/>
      <c r="G1393" s="1076"/>
    </row>
    <row r="1394" spans="6:7">
      <c r="F1394" s="1076"/>
      <c r="G1394" s="1076"/>
    </row>
    <row r="1395" spans="6:7">
      <c r="F1395" s="1076"/>
      <c r="G1395" s="1076"/>
    </row>
    <row r="1396" spans="6:7">
      <c r="F1396" s="1076"/>
      <c r="G1396" s="1076"/>
    </row>
    <row r="1397" spans="6:7">
      <c r="F1397" s="1076"/>
      <c r="G1397" s="1076"/>
    </row>
    <row r="1398" spans="6:7">
      <c r="F1398" s="1076"/>
      <c r="G1398" s="1076"/>
    </row>
    <row r="1399" spans="6:7">
      <c r="F1399" s="1076"/>
      <c r="G1399" s="1076"/>
    </row>
    <row r="1400" spans="6:7">
      <c r="F1400" s="1076"/>
      <c r="G1400" s="1076"/>
    </row>
    <row r="1401" spans="6:7">
      <c r="F1401" s="1076"/>
      <c r="G1401" s="1076"/>
    </row>
    <row r="1402" spans="6:7">
      <c r="F1402" s="1076"/>
      <c r="G1402" s="1076"/>
    </row>
    <row r="1403" spans="6:7">
      <c r="F1403" s="1076"/>
      <c r="G1403" s="1076"/>
    </row>
    <row r="1404" spans="6:7">
      <c r="F1404" s="1076"/>
      <c r="G1404" s="1076"/>
    </row>
    <row r="1405" spans="6:7">
      <c r="F1405" s="1076"/>
      <c r="G1405" s="1076"/>
    </row>
    <row r="1406" spans="6:7">
      <c r="F1406" s="1076"/>
      <c r="G1406" s="1076"/>
    </row>
    <row r="1407" spans="6:7">
      <c r="F1407" s="1076"/>
      <c r="G1407" s="1076"/>
    </row>
    <row r="1408" spans="6:7">
      <c r="F1408" s="1076"/>
      <c r="G1408" s="1076"/>
    </row>
    <row r="1409" spans="6:7">
      <c r="F1409" s="1076"/>
      <c r="G1409" s="1076"/>
    </row>
    <row r="1410" spans="6:7">
      <c r="F1410" s="1076"/>
      <c r="G1410" s="1076"/>
    </row>
    <row r="1411" spans="6:7">
      <c r="F1411" s="1076"/>
      <c r="G1411" s="1076"/>
    </row>
    <row r="1412" spans="6:7">
      <c r="F1412" s="1076"/>
      <c r="G1412" s="1076"/>
    </row>
    <row r="1413" spans="6:7">
      <c r="F1413" s="1076"/>
      <c r="G1413" s="1076"/>
    </row>
    <row r="1414" spans="6:7">
      <c r="F1414" s="1076"/>
      <c r="G1414" s="1076"/>
    </row>
    <row r="1415" spans="6:7">
      <c r="F1415" s="1076"/>
      <c r="G1415" s="1076"/>
    </row>
    <row r="1416" spans="6:7">
      <c r="F1416" s="1076"/>
      <c r="G1416" s="1076"/>
    </row>
    <row r="1417" spans="6:7">
      <c r="F1417" s="1076"/>
      <c r="G1417" s="1076"/>
    </row>
    <row r="1418" spans="6:7">
      <c r="F1418" s="1076"/>
      <c r="G1418" s="1076"/>
    </row>
    <row r="1419" spans="6:7">
      <c r="F1419" s="1076"/>
      <c r="G1419" s="1076"/>
    </row>
    <row r="1420" spans="6:7">
      <c r="F1420" s="1076"/>
      <c r="G1420" s="1076"/>
    </row>
    <row r="1421" spans="6:7">
      <c r="F1421" s="1076"/>
      <c r="G1421" s="1076"/>
    </row>
    <row r="1422" spans="6:7">
      <c r="F1422" s="1076"/>
      <c r="G1422" s="1076"/>
    </row>
    <row r="1423" spans="6:7">
      <c r="F1423" s="1076"/>
      <c r="G1423" s="1076"/>
    </row>
    <row r="1424" spans="6:7">
      <c r="F1424" s="1076"/>
      <c r="G1424" s="1076"/>
    </row>
    <row r="1425" spans="6:7">
      <c r="F1425" s="1076"/>
      <c r="G1425" s="1076"/>
    </row>
    <row r="1426" spans="6:7">
      <c r="F1426" s="1076"/>
      <c r="G1426" s="1076"/>
    </row>
    <row r="1427" spans="6:7">
      <c r="F1427" s="1076"/>
      <c r="G1427" s="1076"/>
    </row>
    <row r="1428" spans="6:7">
      <c r="F1428" s="1076"/>
      <c r="G1428" s="1076"/>
    </row>
    <row r="1429" spans="6:7">
      <c r="F1429" s="1076"/>
      <c r="G1429" s="1076"/>
    </row>
    <row r="1430" spans="6:7">
      <c r="F1430" s="1076"/>
      <c r="G1430" s="1076"/>
    </row>
    <row r="1431" spans="6:7">
      <c r="F1431" s="1076"/>
      <c r="G1431" s="1076"/>
    </row>
    <row r="1432" spans="6:7">
      <c r="F1432" s="1076"/>
      <c r="G1432" s="1076"/>
    </row>
    <row r="1433" spans="6:7">
      <c r="F1433" s="1076"/>
      <c r="G1433" s="1076"/>
    </row>
    <row r="1434" spans="6:7">
      <c r="F1434" s="1076"/>
      <c r="G1434" s="1076"/>
    </row>
    <row r="1435" spans="6:7">
      <c r="F1435" s="1076"/>
      <c r="G1435" s="1076"/>
    </row>
    <row r="1436" spans="6:7">
      <c r="F1436" s="1076"/>
      <c r="G1436" s="1076"/>
    </row>
    <row r="1437" spans="6:7">
      <c r="F1437" s="1076"/>
      <c r="G1437" s="1076"/>
    </row>
    <row r="1438" spans="6:7">
      <c r="F1438" s="1076"/>
      <c r="G1438" s="1076"/>
    </row>
    <row r="1439" spans="6:7">
      <c r="F1439" s="1076"/>
      <c r="G1439" s="1076"/>
    </row>
    <row r="1440" spans="6:7">
      <c r="F1440" s="1076"/>
      <c r="G1440" s="1076"/>
    </row>
    <row r="1441" spans="6:7">
      <c r="F1441" s="1076"/>
      <c r="G1441" s="1076"/>
    </row>
    <row r="1442" spans="6:7">
      <c r="F1442" s="1076"/>
      <c r="G1442" s="1076"/>
    </row>
    <row r="1443" spans="6:7">
      <c r="F1443" s="1076"/>
      <c r="G1443" s="1076"/>
    </row>
    <row r="1444" spans="6:7">
      <c r="F1444" s="1076"/>
      <c r="G1444" s="1076"/>
    </row>
    <row r="1445" spans="6:7">
      <c r="F1445" s="1076"/>
      <c r="G1445" s="1076"/>
    </row>
    <row r="1446" spans="6:7">
      <c r="F1446" s="1076"/>
      <c r="G1446" s="1076"/>
    </row>
    <row r="1447" spans="6:7">
      <c r="F1447" s="1076"/>
      <c r="G1447" s="1076"/>
    </row>
    <row r="1448" spans="6:7">
      <c r="F1448" s="1076"/>
      <c r="G1448" s="1076"/>
    </row>
    <row r="1449" spans="6:7">
      <c r="F1449" s="1076"/>
      <c r="G1449" s="1076"/>
    </row>
    <row r="1450" spans="6:7">
      <c r="F1450" s="1076"/>
      <c r="G1450" s="1076"/>
    </row>
    <row r="1451" spans="6:7">
      <c r="F1451" s="1076"/>
      <c r="G1451" s="1076"/>
    </row>
    <row r="1452" spans="6:7">
      <c r="F1452" s="1076"/>
      <c r="G1452" s="1076"/>
    </row>
    <row r="1453" spans="6:7">
      <c r="F1453" s="1076"/>
      <c r="G1453" s="1076"/>
    </row>
    <row r="1454" spans="6:7">
      <c r="F1454" s="1076"/>
      <c r="G1454" s="1076"/>
    </row>
    <row r="1455" spans="6:7">
      <c r="F1455" s="1076"/>
      <c r="G1455" s="1076"/>
    </row>
    <row r="1456" spans="6:7">
      <c r="F1456" s="1076"/>
      <c r="G1456" s="1076"/>
    </row>
    <row r="1457" spans="6:7">
      <c r="F1457" s="1076"/>
      <c r="G1457" s="1076"/>
    </row>
    <row r="1458" spans="6:7">
      <c r="F1458" s="1076"/>
      <c r="G1458" s="1076"/>
    </row>
    <row r="1459" spans="6:7">
      <c r="F1459" s="1076"/>
      <c r="G1459" s="1076"/>
    </row>
    <row r="1460" spans="6:7">
      <c r="F1460" s="1076"/>
      <c r="G1460" s="1076"/>
    </row>
    <row r="1461" spans="6:7">
      <c r="F1461" s="1076"/>
      <c r="G1461" s="1076"/>
    </row>
    <row r="1462" spans="6:7">
      <c r="F1462" s="1076"/>
      <c r="G1462" s="1076"/>
    </row>
    <row r="1463" spans="6:7">
      <c r="F1463" s="1076"/>
      <c r="G1463" s="1076"/>
    </row>
    <row r="1464" spans="6:7">
      <c r="F1464" s="1076"/>
      <c r="G1464" s="1076"/>
    </row>
    <row r="1465" spans="6:7">
      <c r="F1465" s="1076"/>
      <c r="G1465" s="1076"/>
    </row>
    <row r="1466" spans="6:7">
      <c r="F1466" s="1076"/>
      <c r="G1466" s="1076"/>
    </row>
    <row r="1467" spans="6:7">
      <c r="F1467" s="1076"/>
      <c r="G1467" s="1076"/>
    </row>
    <row r="1468" spans="6:7">
      <c r="F1468" s="1076"/>
      <c r="G1468" s="1076"/>
    </row>
    <row r="1469" spans="6:7">
      <c r="F1469" s="1076"/>
      <c r="G1469" s="1076"/>
    </row>
    <row r="1470" spans="6:7">
      <c r="F1470" s="1076"/>
      <c r="G1470" s="1076"/>
    </row>
    <row r="1471" spans="6:7">
      <c r="F1471" s="1076"/>
      <c r="G1471" s="1076"/>
    </row>
    <row r="1472" spans="6:7">
      <c r="F1472" s="1076"/>
      <c r="G1472" s="1076"/>
    </row>
    <row r="1473" spans="6:7">
      <c r="F1473" s="1076"/>
      <c r="G1473" s="1076"/>
    </row>
    <row r="1474" spans="6:7">
      <c r="F1474" s="1076"/>
      <c r="G1474" s="1076"/>
    </row>
    <row r="1475" spans="6:7">
      <c r="F1475" s="1076"/>
      <c r="G1475" s="1076"/>
    </row>
    <row r="1476" spans="6:7">
      <c r="F1476" s="1076"/>
      <c r="G1476" s="1076"/>
    </row>
    <row r="1477" spans="6:7">
      <c r="F1477" s="1076"/>
      <c r="G1477" s="1076"/>
    </row>
    <row r="1478" spans="6:7">
      <c r="F1478" s="1076"/>
      <c r="G1478" s="1076"/>
    </row>
    <row r="1479" spans="6:7">
      <c r="F1479" s="1076"/>
      <c r="G1479" s="1076"/>
    </row>
    <row r="1480" spans="6:7">
      <c r="F1480" s="1076"/>
      <c r="G1480" s="1076"/>
    </row>
    <row r="1481" spans="6:7">
      <c r="F1481" s="1076"/>
      <c r="G1481" s="1076"/>
    </row>
    <row r="1482" spans="6:7">
      <c r="F1482" s="1076"/>
      <c r="G1482" s="1076"/>
    </row>
    <row r="1483" spans="6:7">
      <c r="F1483" s="1076"/>
      <c r="G1483" s="1076"/>
    </row>
    <row r="1484" spans="6:7">
      <c r="F1484" s="1076"/>
      <c r="G1484" s="1076"/>
    </row>
    <row r="1485" spans="6:7">
      <c r="F1485" s="1076"/>
      <c r="G1485" s="1076"/>
    </row>
    <row r="1486" spans="6:7">
      <c r="F1486" s="1076"/>
      <c r="G1486" s="1076"/>
    </row>
    <row r="1487" spans="6:7">
      <c r="F1487" s="1076"/>
      <c r="G1487" s="1076"/>
    </row>
    <row r="1488" spans="6:7">
      <c r="F1488" s="1076"/>
      <c r="G1488" s="1076"/>
    </row>
    <row r="1489" spans="6:7">
      <c r="F1489" s="1076"/>
      <c r="G1489" s="1076"/>
    </row>
    <row r="1490" spans="6:7">
      <c r="F1490" s="1076"/>
      <c r="G1490" s="1076"/>
    </row>
    <row r="1491" spans="6:7">
      <c r="F1491" s="1076"/>
      <c r="G1491" s="1076"/>
    </row>
    <row r="1492" spans="6:7">
      <c r="F1492" s="1076"/>
      <c r="G1492" s="1076"/>
    </row>
    <row r="1493" spans="6:7">
      <c r="F1493" s="1076"/>
      <c r="G1493" s="1076"/>
    </row>
    <row r="1494" spans="6:7">
      <c r="F1494" s="1076"/>
      <c r="G1494" s="1076"/>
    </row>
    <row r="1495" spans="6:7">
      <c r="F1495" s="1076"/>
      <c r="G1495" s="1076"/>
    </row>
    <row r="1496" spans="6:7">
      <c r="F1496" s="1076"/>
      <c r="G1496" s="1076"/>
    </row>
    <row r="1497" spans="6:7">
      <c r="F1497" s="1076"/>
      <c r="G1497" s="1076"/>
    </row>
    <row r="1498" spans="6:7">
      <c r="F1498" s="1076"/>
      <c r="G1498" s="1076"/>
    </row>
    <row r="1499" spans="6:7">
      <c r="F1499" s="1076"/>
      <c r="G1499" s="1076"/>
    </row>
    <row r="1500" spans="6:7">
      <c r="F1500" s="1076"/>
      <c r="G1500" s="1076"/>
    </row>
    <row r="1501" spans="6:7">
      <c r="F1501" s="1076"/>
      <c r="G1501" s="1076"/>
    </row>
    <row r="1502" spans="6:7">
      <c r="F1502" s="1076"/>
      <c r="G1502" s="1076"/>
    </row>
    <row r="1503" spans="6:7">
      <c r="F1503" s="1076"/>
      <c r="G1503" s="1076"/>
    </row>
    <row r="1504" spans="6:7">
      <c r="F1504" s="1076"/>
      <c r="G1504" s="1076"/>
    </row>
    <row r="1505" spans="6:7">
      <c r="F1505" s="1076"/>
      <c r="G1505" s="1076"/>
    </row>
    <row r="1506" spans="6:7">
      <c r="F1506" s="1076"/>
      <c r="G1506" s="1076"/>
    </row>
    <row r="1507" spans="6:7">
      <c r="F1507" s="1076"/>
      <c r="G1507" s="1076"/>
    </row>
    <row r="1508" spans="6:7">
      <c r="F1508" s="1076"/>
      <c r="G1508" s="1076"/>
    </row>
    <row r="1509" spans="6:7">
      <c r="F1509" s="1076"/>
      <c r="G1509" s="1076"/>
    </row>
    <row r="1510" spans="6:7">
      <c r="F1510" s="1076"/>
      <c r="G1510" s="1076"/>
    </row>
    <row r="1511" spans="6:7">
      <c r="F1511" s="1076"/>
      <c r="G1511" s="1076"/>
    </row>
    <row r="1512" spans="6:7">
      <c r="F1512" s="1076"/>
      <c r="G1512" s="1076"/>
    </row>
    <row r="1513" spans="6:7">
      <c r="F1513" s="1076"/>
      <c r="G1513" s="1076"/>
    </row>
    <row r="1514" spans="6:7">
      <c r="F1514" s="1076"/>
      <c r="G1514" s="1076"/>
    </row>
    <row r="1515" spans="6:7">
      <c r="F1515" s="1076"/>
      <c r="G1515" s="1076"/>
    </row>
    <row r="1516" spans="6:7">
      <c r="F1516" s="1076"/>
      <c r="G1516" s="1076"/>
    </row>
    <row r="1517" spans="6:7">
      <c r="F1517" s="1076"/>
      <c r="G1517" s="1076"/>
    </row>
    <row r="1518" spans="6:7">
      <c r="F1518" s="1076"/>
      <c r="G1518" s="1076"/>
    </row>
    <row r="1519" spans="6:7">
      <c r="F1519" s="1076"/>
      <c r="G1519" s="1076"/>
    </row>
    <row r="1520" spans="6:7">
      <c r="F1520" s="1076"/>
      <c r="G1520" s="1076"/>
    </row>
    <row r="1521" spans="6:7">
      <c r="F1521" s="1076"/>
      <c r="G1521" s="1076"/>
    </row>
    <row r="1522" spans="6:7">
      <c r="F1522" s="1076"/>
      <c r="G1522" s="1076"/>
    </row>
    <row r="1523" spans="6:7">
      <c r="F1523" s="1076"/>
      <c r="G1523" s="1076"/>
    </row>
    <row r="1524" spans="6:7">
      <c r="F1524" s="1076"/>
      <c r="G1524" s="1076"/>
    </row>
    <row r="1525" spans="6:7">
      <c r="F1525" s="1076"/>
      <c r="G1525" s="1076"/>
    </row>
    <row r="1526" spans="6:7">
      <c r="F1526" s="1076"/>
      <c r="G1526" s="1076"/>
    </row>
    <row r="1527" spans="6:7">
      <c r="F1527" s="1076"/>
      <c r="G1527" s="1076"/>
    </row>
    <row r="1528" spans="6:7">
      <c r="F1528" s="1076"/>
      <c r="G1528" s="1076"/>
    </row>
    <row r="1529" spans="6:7">
      <c r="F1529" s="1076"/>
      <c r="G1529" s="1076"/>
    </row>
    <row r="1530" spans="6:7">
      <c r="F1530" s="1076"/>
      <c r="G1530" s="1076"/>
    </row>
    <row r="1531" spans="6:7">
      <c r="F1531" s="1076"/>
      <c r="G1531" s="1076"/>
    </row>
    <row r="1532" spans="6:7">
      <c r="F1532" s="1076"/>
      <c r="G1532" s="1076"/>
    </row>
    <row r="1533" spans="6:7">
      <c r="F1533" s="1076"/>
      <c r="G1533" s="1076"/>
    </row>
    <row r="1534" spans="6:7">
      <c r="F1534" s="1076"/>
      <c r="G1534" s="1076"/>
    </row>
    <row r="1535" spans="6:7">
      <c r="F1535" s="1076"/>
      <c r="G1535" s="1076"/>
    </row>
    <row r="1536" spans="6:7">
      <c r="F1536" s="1076"/>
      <c r="G1536" s="1076"/>
    </row>
    <row r="1537" spans="6:7">
      <c r="F1537" s="1076"/>
      <c r="G1537" s="1076"/>
    </row>
    <row r="1538" spans="6:7">
      <c r="F1538" s="1076"/>
      <c r="G1538" s="1076"/>
    </row>
    <row r="1539" spans="6:7">
      <c r="F1539" s="1076"/>
      <c r="G1539" s="1076"/>
    </row>
    <row r="1540" spans="6:7">
      <c r="F1540" s="1076"/>
      <c r="G1540" s="1076"/>
    </row>
    <row r="1541" spans="6:7">
      <c r="F1541" s="1076"/>
      <c r="G1541" s="1076"/>
    </row>
    <row r="1542" spans="6:7">
      <c r="F1542" s="1076"/>
      <c r="G1542" s="1076"/>
    </row>
    <row r="1543" spans="6:7">
      <c r="F1543" s="1076"/>
      <c r="G1543" s="1076"/>
    </row>
    <row r="1544" spans="6:7">
      <c r="F1544" s="1076"/>
      <c r="G1544" s="1076"/>
    </row>
    <row r="1545" spans="6:7">
      <c r="F1545" s="1076"/>
      <c r="G1545" s="1076"/>
    </row>
    <row r="1546" spans="6:7">
      <c r="F1546" s="1076"/>
      <c r="G1546" s="1076"/>
    </row>
    <row r="1547" spans="6:7">
      <c r="F1547" s="1076"/>
      <c r="G1547" s="1076"/>
    </row>
    <row r="1548" spans="6:7">
      <c r="F1548" s="1076"/>
      <c r="G1548" s="1076"/>
    </row>
    <row r="1549" spans="6:7">
      <c r="F1549" s="1076"/>
      <c r="G1549" s="1076"/>
    </row>
    <row r="1550" spans="6:7">
      <c r="F1550" s="1076"/>
      <c r="G1550" s="1076"/>
    </row>
    <row r="1551" spans="6:7">
      <c r="F1551" s="1076"/>
      <c r="G1551" s="1076"/>
    </row>
    <row r="1552" spans="6:7">
      <c r="F1552" s="1076"/>
      <c r="G1552" s="1076"/>
    </row>
    <row r="1553" spans="6:7">
      <c r="F1553" s="1076"/>
      <c r="G1553" s="1076"/>
    </row>
    <row r="1554" spans="6:7">
      <c r="F1554" s="1076"/>
      <c r="G1554" s="1076"/>
    </row>
    <row r="1555" spans="6:7">
      <c r="F1555" s="1076"/>
      <c r="G1555" s="1076"/>
    </row>
    <row r="1556" spans="6:7">
      <c r="F1556" s="1076"/>
      <c r="G1556" s="1076"/>
    </row>
    <row r="1557" spans="6:7">
      <c r="F1557" s="1076"/>
      <c r="G1557" s="1076"/>
    </row>
    <row r="1558" spans="6:7">
      <c r="F1558" s="1076"/>
      <c r="G1558" s="1076"/>
    </row>
    <row r="1559" spans="6:7">
      <c r="F1559" s="1076"/>
      <c r="G1559" s="1076"/>
    </row>
    <row r="1560" spans="6:7">
      <c r="F1560" s="1076"/>
      <c r="G1560" s="1076"/>
    </row>
    <row r="1561" spans="6:7">
      <c r="F1561" s="1076"/>
      <c r="G1561" s="1076"/>
    </row>
    <row r="1562" spans="6:7">
      <c r="F1562" s="1076"/>
      <c r="G1562" s="1076"/>
    </row>
    <row r="1563" spans="6:7">
      <c r="F1563" s="1076"/>
      <c r="G1563" s="1076"/>
    </row>
    <row r="1564" spans="6:7">
      <c r="F1564" s="1076"/>
      <c r="G1564" s="1076"/>
    </row>
    <row r="1565" spans="6:7">
      <c r="F1565" s="1076"/>
      <c r="G1565" s="1076"/>
    </row>
    <row r="1566" spans="6:7">
      <c r="F1566" s="1076"/>
      <c r="G1566" s="1076"/>
    </row>
    <row r="1567" spans="6:7">
      <c r="F1567" s="1076"/>
      <c r="G1567" s="1076"/>
    </row>
    <row r="1568" spans="6:7">
      <c r="F1568" s="1076"/>
      <c r="G1568" s="1076"/>
    </row>
    <row r="1569" spans="6:7">
      <c r="F1569" s="1076"/>
      <c r="G1569" s="1076"/>
    </row>
    <row r="1570" spans="6:7">
      <c r="F1570" s="1076"/>
      <c r="G1570" s="1076"/>
    </row>
    <row r="1571" spans="6:7">
      <c r="F1571" s="1076"/>
      <c r="G1571" s="1076"/>
    </row>
    <row r="1572" spans="6:7">
      <c r="F1572" s="1076"/>
      <c r="G1572" s="1076"/>
    </row>
    <row r="1573" spans="6:7">
      <c r="F1573" s="1076"/>
      <c r="G1573" s="1076"/>
    </row>
    <row r="1574" spans="6:7">
      <c r="F1574" s="1076"/>
      <c r="G1574" s="1076"/>
    </row>
    <row r="1575" spans="6:7">
      <c r="F1575" s="1076"/>
      <c r="G1575" s="1076"/>
    </row>
    <row r="1576" spans="6:7">
      <c r="F1576" s="1076"/>
      <c r="G1576" s="1076"/>
    </row>
    <row r="1577" spans="6:7">
      <c r="F1577" s="1076"/>
      <c r="G1577" s="1076"/>
    </row>
    <row r="1578" spans="6:7">
      <c r="F1578" s="1076"/>
      <c r="G1578" s="1076"/>
    </row>
    <row r="1579" spans="6:7">
      <c r="F1579" s="1076"/>
      <c r="G1579" s="1076"/>
    </row>
    <row r="1580" spans="6:7">
      <c r="F1580" s="1076"/>
      <c r="G1580" s="1076"/>
    </row>
    <row r="1581" spans="6:7">
      <c r="F1581" s="1076"/>
      <c r="G1581" s="1076"/>
    </row>
    <row r="1582" spans="6:7">
      <c r="F1582" s="1076"/>
      <c r="G1582" s="1076"/>
    </row>
    <row r="1583" spans="6:7">
      <c r="F1583" s="1076"/>
      <c r="G1583" s="1076"/>
    </row>
    <row r="1584" spans="6:7">
      <c r="F1584" s="1076"/>
      <c r="G1584" s="1076"/>
    </row>
    <row r="1585" spans="6:7">
      <c r="F1585" s="1076"/>
      <c r="G1585" s="1076"/>
    </row>
    <row r="1586" spans="6:7">
      <c r="F1586" s="1076"/>
      <c r="G1586" s="1076"/>
    </row>
    <row r="1587" spans="6:7">
      <c r="F1587" s="1076"/>
      <c r="G1587" s="1076"/>
    </row>
    <row r="1588" spans="6:7">
      <c r="F1588" s="1076"/>
      <c r="G1588" s="1076"/>
    </row>
    <row r="1589" spans="6:7">
      <c r="F1589" s="1076"/>
      <c r="G1589" s="1076"/>
    </row>
    <row r="1590" spans="6:7">
      <c r="F1590" s="1076"/>
      <c r="G1590" s="1076"/>
    </row>
    <row r="1591" spans="6:7">
      <c r="F1591" s="1076"/>
      <c r="G1591" s="1076"/>
    </row>
    <row r="1592" spans="6:7">
      <c r="F1592" s="1076"/>
      <c r="G1592" s="1076"/>
    </row>
    <row r="1593" spans="6:7">
      <c r="F1593" s="1076"/>
      <c r="G1593" s="1076"/>
    </row>
    <row r="1594" spans="6:7">
      <c r="F1594" s="1076"/>
      <c r="G1594" s="1076"/>
    </row>
    <row r="1595" spans="6:7">
      <c r="F1595" s="1076"/>
      <c r="G1595" s="1076"/>
    </row>
    <row r="1596" spans="6:7">
      <c r="F1596" s="1076"/>
      <c r="G1596" s="1076"/>
    </row>
    <row r="1597" spans="6:7">
      <c r="F1597" s="1076"/>
      <c r="G1597" s="1076"/>
    </row>
    <row r="1598" spans="6:7">
      <c r="F1598" s="1076"/>
      <c r="G1598" s="1076"/>
    </row>
    <row r="1599" spans="6:7">
      <c r="F1599" s="1076"/>
      <c r="G1599" s="1076"/>
    </row>
    <row r="1600" spans="6:7">
      <c r="F1600" s="1076"/>
      <c r="G1600" s="1076"/>
    </row>
    <row r="1601" spans="6:7">
      <c r="F1601" s="1076"/>
      <c r="G1601" s="1076"/>
    </row>
    <row r="1602" spans="6:7">
      <c r="F1602" s="1076"/>
      <c r="G1602" s="1076"/>
    </row>
    <row r="1603" spans="6:7">
      <c r="F1603" s="1076"/>
      <c r="G1603" s="1076"/>
    </row>
    <row r="1604" spans="6:7">
      <c r="F1604" s="1076"/>
      <c r="G1604" s="1076"/>
    </row>
    <row r="1605" spans="6:7">
      <c r="F1605" s="1076"/>
      <c r="G1605" s="1076"/>
    </row>
    <row r="1606" spans="6:7">
      <c r="F1606" s="1076"/>
      <c r="G1606" s="1076"/>
    </row>
    <row r="1607" spans="6:7">
      <c r="F1607" s="1076"/>
      <c r="G1607" s="1076"/>
    </row>
    <row r="1608" spans="6:7">
      <c r="F1608" s="1076"/>
      <c r="G1608" s="1076"/>
    </row>
    <row r="1609" spans="6:7">
      <c r="F1609" s="1076"/>
      <c r="G1609" s="1076"/>
    </row>
    <row r="1610" spans="6:7">
      <c r="F1610" s="1076"/>
      <c r="G1610" s="1076"/>
    </row>
    <row r="1611" spans="6:7">
      <c r="F1611" s="1076"/>
      <c r="G1611" s="1076"/>
    </row>
    <row r="1612" spans="6:7">
      <c r="F1612" s="1076"/>
      <c r="G1612" s="1076"/>
    </row>
    <row r="1613" spans="6:7">
      <c r="F1613" s="1076"/>
      <c r="G1613" s="1076"/>
    </row>
    <row r="1614" spans="6:7">
      <c r="F1614" s="1076"/>
      <c r="G1614" s="1076"/>
    </row>
    <row r="1615" spans="6:7">
      <c r="F1615" s="1076"/>
      <c r="G1615" s="1076"/>
    </row>
    <row r="1616" spans="6:7">
      <c r="F1616" s="1076"/>
      <c r="G1616" s="1076"/>
    </row>
    <row r="1617" spans="6:7">
      <c r="F1617" s="1076"/>
      <c r="G1617" s="1076"/>
    </row>
    <row r="1618" spans="6:7">
      <c r="F1618" s="1076"/>
      <c r="G1618" s="1076"/>
    </row>
    <row r="1619" spans="6:7">
      <c r="F1619" s="1076"/>
      <c r="G1619" s="1076"/>
    </row>
    <row r="1620" spans="6:7">
      <c r="F1620" s="1076"/>
      <c r="G1620" s="1076"/>
    </row>
    <row r="1621" spans="6:7">
      <c r="F1621" s="1076"/>
      <c r="G1621" s="1076"/>
    </row>
    <row r="1622" spans="6:7">
      <c r="F1622" s="1076"/>
      <c r="G1622" s="1076"/>
    </row>
    <row r="1623" spans="6:7">
      <c r="F1623" s="1076"/>
      <c r="G1623" s="1076"/>
    </row>
    <row r="1624" spans="6:7">
      <c r="F1624" s="1076"/>
      <c r="G1624" s="1076"/>
    </row>
    <row r="1625" spans="6:7">
      <c r="F1625" s="1076"/>
      <c r="G1625" s="1076"/>
    </row>
    <row r="1626" spans="6:7">
      <c r="F1626" s="1076"/>
      <c r="G1626" s="1076"/>
    </row>
    <row r="1627" spans="6:7">
      <c r="F1627" s="1076"/>
      <c r="G1627" s="1076"/>
    </row>
    <row r="1628" spans="6:7">
      <c r="F1628" s="1076"/>
      <c r="G1628" s="1076"/>
    </row>
    <row r="1629" spans="6:7">
      <c r="F1629" s="1076"/>
      <c r="G1629" s="1076"/>
    </row>
    <row r="1630" spans="6:7">
      <c r="F1630" s="1076"/>
      <c r="G1630" s="1076"/>
    </row>
    <row r="1631" spans="6:7">
      <c r="F1631" s="1076"/>
      <c r="G1631" s="1076"/>
    </row>
    <row r="1632" spans="6:7">
      <c r="F1632" s="1076"/>
      <c r="G1632" s="1076"/>
    </row>
    <row r="1633" spans="6:7">
      <c r="F1633" s="1076"/>
      <c r="G1633" s="1076"/>
    </row>
    <row r="1634" spans="6:7">
      <c r="F1634" s="1076"/>
      <c r="G1634" s="1076"/>
    </row>
    <row r="1635" spans="6:7">
      <c r="F1635" s="1076"/>
      <c r="G1635" s="1076"/>
    </row>
    <row r="1636" spans="6:7">
      <c r="F1636" s="1076"/>
      <c r="G1636" s="1076"/>
    </row>
    <row r="1637" spans="6:7">
      <c r="F1637" s="1076"/>
      <c r="G1637" s="1076"/>
    </row>
    <row r="1638" spans="6:7">
      <c r="F1638" s="1076"/>
      <c r="G1638" s="1076"/>
    </row>
    <row r="1639" spans="6:7">
      <c r="F1639" s="1076"/>
      <c r="G1639" s="1076"/>
    </row>
    <row r="1640" spans="6:7">
      <c r="F1640" s="1076"/>
      <c r="G1640" s="1076"/>
    </row>
    <row r="1641" spans="6:7">
      <c r="F1641" s="1076"/>
      <c r="G1641" s="1076"/>
    </row>
    <row r="1642" spans="6:7">
      <c r="F1642" s="1076"/>
      <c r="G1642" s="1076"/>
    </row>
    <row r="1643" spans="6:7">
      <c r="F1643" s="1076"/>
      <c r="G1643" s="1076"/>
    </row>
    <row r="1644" spans="6:7">
      <c r="F1644" s="1076"/>
      <c r="G1644" s="1076"/>
    </row>
    <row r="1645" spans="6:7">
      <c r="F1645" s="1076"/>
      <c r="G1645" s="1076"/>
    </row>
    <row r="1646" spans="6:7">
      <c r="F1646" s="1076"/>
      <c r="G1646" s="1076"/>
    </row>
    <row r="1647" spans="6:7">
      <c r="F1647" s="1076"/>
      <c r="G1647" s="1076"/>
    </row>
    <row r="1648" spans="6:7">
      <c r="F1648" s="1076"/>
      <c r="G1648" s="1076"/>
    </row>
    <row r="1649" spans="6:7">
      <c r="F1649" s="1076"/>
      <c r="G1649" s="1076"/>
    </row>
    <row r="1650" spans="6:7">
      <c r="F1650" s="1076"/>
      <c r="G1650" s="1076"/>
    </row>
    <row r="1651" spans="6:7">
      <c r="F1651" s="1076"/>
      <c r="G1651" s="1076"/>
    </row>
    <row r="1652" spans="6:7">
      <c r="F1652" s="1076"/>
      <c r="G1652" s="1076"/>
    </row>
    <row r="1653" spans="6:7">
      <c r="F1653" s="1076"/>
      <c r="G1653" s="1076"/>
    </row>
    <row r="1654" spans="6:7">
      <c r="F1654" s="1076"/>
      <c r="G1654" s="1076"/>
    </row>
    <row r="1655" spans="6:7">
      <c r="F1655" s="1076"/>
      <c r="G1655" s="1076"/>
    </row>
    <row r="1656" spans="6:7">
      <c r="F1656" s="1076"/>
      <c r="G1656" s="1076"/>
    </row>
    <row r="1657" spans="6:7">
      <c r="F1657" s="1076"/>
      <c r="G1657" s="1076"/>
    </row>
    <row r="1658" spans="6:7">
      <c r="F1658" s="1076"/>
      <c r="G1658" s="1076"/>
    </row>
    <row r="1659" spans="6:7">
      <c r="F1659" s="1076"/>
      <c r="G1659" s="1076"/>
    </row>
    <row r="1660" spans="6:7">
      <c r="F1660" s="1076"/>
      <c r="G1660" s="1076"/>
    </row>
    <row r="1661" spans="6:7">
      <c r="F1661" s="1076"/>
      <c r="G1661" s="1076"/>
    </row>
    <row r="1662" spans="6:7">
      <c r="F1662" s="1076"/>
      <c r="G1662" s="1076"/>
    </row>
    <row r="1663" spans="6:7">
      <c r="F1663" s="1076"/>
      <c r="G1663" s="1076"/>
    </row>
    <row r="1664" spans="6:7">
      <c r="F1664" s="1076"/>
      <c r="G1664" s="1076"/>
    </row>
    <row r="1665" spans="6:7">
      <c r="F1665" s="1076"/>
      <c r="G1665" s="1076"/>
    </row>
    <row r="1666" spans="6:7">
      <c r="F1666" s="1076"/>
      <c r="G1666" s="1076"/>
    </row>
    <row r="1667" spans="6:7">
      <c r="F1667" s="1076"/>
      <c r="G1667" s="1076"/>
    </row>
    <row r="1668" spans="6:7">
      <c r="F1668" s="1076"/>
      <c r="G1668" s="1076"/>
    </row>
    <row r="1669" spans="6:7">
      <c r="F1669" s="1076"/>
      <c r="G1669" s="1076"/>
    </row>
    <row r="1670" spans="6:7">
      <c r="F1670" s="1076"/>
      <c r="G1670" s="1076"/>
    </row>
    <row r="1671" spans="6:7">
      <c r="F1671" s="1076"/>
      <c r="G1671" s="1076"/>
    </row>
    <row r="1672" spans="6:7">
      <c r="F1672" s="1076"/>
      <c r="G1672" s="1076"/>
    </row>
    <row r="1673" spans="6:7">
      <c r="F1673" s="1076"/>
      <c r="G1673" s="1076"/>
    </row>
    <row r="1674" spans="6:7">
      <c r="F1674" s="1076"/>
      <c r="G1674" s="1076"/>
    </row>
    <row r="1675" spans="6:7">
      <c r="F1675" s="1076"/>
      <c r="G1675" s="1076"/>
    </row>
    <row r="1676" spans="6:7">
      <c r="F1676" s="1076"/>
      <c r="G1676" s="1076"/>
    </row>
    <row r="1677" spans="6:7">
      <c r="F1677" s="1076"/>
      <c r="G1677" s="1076"/>
    </row>
    <row r="1678" spans="6:7">
      <c r="F1678" s="1076"/>
      <c r="G1678" s="1076"/>
    </row>
    <row r="1679" spans="6:7">
      <c r="F1679" s="1076"/>
      <c r="G1679" s="1076"/>
    </row>
    <row r="1680" spans="6:7">
      <c r="F1680" s="1076"/>
      <c r="G1680" s="1076"/>
    </row>
    <row r="1681" spans="6:7">
      <c r="F1681" s="1076"/>
      <c r="G1681" s="1076"/>
    </row>
    <row r="1682" spans="6:7">
      <c r="F1682" s="1076"/>
      <c r="G1682" s="1076"/>
    </row>
    <row r="1683" spans="6:7">
      <c r="F1683" s="1076"/>
      <c r="G1683" s="1076"/>
    </row>
    <row r="1684" spans="6:7">
      <c r="F1684" s="1076"/>
      <c r="G1684" s="1076"/>
    </row>
    <row r="1685" spans="6:7">
      <c r="F1685" s="1076"/>
      <c r="G1685" s="1076"/>
    </row>
    <row r="1686" spans="6:7">
      <c r="F1686" s="1076"/>
      <c r="G1686" s="1076"/>
    </row>
    <row r="1687" spans="6:7">
      <c r="F1687" s="1076"/>
      <c r="G1687" s="1076"/>
    </row>
    <row r="1688" spans="6:7">
      <c r="F1688" s="1076"/>
      <c r="G1688" s="1076"/>
    </row>
    <row r="1689" spans="6:7">
      <c r="F1689" s="1076"/>
      <c r="G1689" s="1076"/>
    </row>
    <row r="1690" spans="6:7">
      <c r="F1690" s="1076"/>
      <c r="G1690" s="1076"/>
    </row>
    <row r="1691" spans="6:7">
      <c r="F1691" s="1076"/>
      <c r="G1691" s="1076"/>
    </row>
    <row r="1692" spans="6:7">
      <c r="F1692" s="1076"/>
      <c r="G1692" s="1076"/>
    </row>
    <row r="1693" spans="6:7">
      <c r="F1693" s="1076"/>
      <c r="G1693" s="1076"/>
    </row>
    <row r="1694" spans="6:7">
      <c r="F1694" s="1076"/>
      <c r="G1694" s="1076"/>
    </row>
    <row r="1695" spans="6:7">
      <c r="F1695" s="1076"/>
      <c r="G1695" s="1076"/>
    </row>
    <row r="1696" spans="6:7">
      <c r="F1696" s="1076"/>
      <c r="G1696" s="1076"/>
    </row>
    <row r="1697" spans="6:7">
      <c r="F1697" s="1076"/>
      <c r="G1697" s="1076"/>
    </row>
    <row r="1698" spans="6:7">
      <c r="F1698" s="1076"/>
      <c r="G1698" s="1076"/>
    </row>
    <row r="1699" spans="6:7">
      <c r="F1699" s="1076"/>
      <c r="G1699" s="1076"/>
    </row>
    <row r="1700" spans="6:7">
      <c r="F1700" s="1076"/>
      <c r="G1700" s="1076"/>
    </row>
    <row r="1701" spans="6:7">
      <c r="F1701" s="1076"/>
      <c r="G1701" s="1076"/>
    </row>
    <row r="1702" spans="6:7">
      <c r="F1702" s="1076"/>
      <c r="G1702" s="1076"/>
    </row>
    <row r="1703" spans="6:7">
      <c r="F1703" s="1076"/>
      <c r="G1703" s="1076"/>
    </row>
    <row r="1704" spans="6:7">
      <c r="F1704" s="1076"/>
      <c r="G1704" s="1076"/>
    </row>
    <row r="1705" spans="6:7">
      <c r="F1705" s="1076"/>
      <c r="G1705" s="1076"/>
    </row>
    <row r="1706" spans="6:7">
      <c r="F1706" s="1076"/>
      <c r="G1706" s="1076"/>
    </row>
    <row r="1707" spans="6:7">
      <c r="F1707" s="1076"/>
      <c r="G1707" s="1076"/>
    </row>
    <row r="1708" spans="6:7">
      <c r="F1708" s="1076"/>
      <c r="G1708" s="1076"/>
    </row>
    <row r="1709" spans="6:7">
      <c r="F1709" s="1076"/>
      <c r="G1709" s="1076"/>
    </row>
    <row r="1710" spans="6:7">
      <c r="F1710" s="1076"/>
      <c r="G1710" s="1076"/>
    </row>
    <row r="1711" spans="6:7">
      <c r="F1711" s="1076"/>
      <c r="G1711" s="1076"/>
    </row>
    <row r="1712" spans="6:7">
      <c r="F1712" s="1076"/>
      <c r="G1712" s="1076"/>
    </row>
    <row r="1713" spans="6:7">
      <c r="F1713" s="1076"/>
      <c r="G1713" s="1076"/>
    </row>
    <row r="1714" spans="6:7">
      <c r="F1714" s="1076"/>
      <c r="G1714" s="1076"/>
    </row>
    <row r="1715" spans="6:7">
      <c r="F1715" s="1076"/>
      <c r="G1715" s="1076"/>
    </row>
    <row r="1716" spans="6:7">
      <c r="F1716" s="1076"/>
      <c r="G1716" s="1076"/>
    </row>
    <row r="1717" spans="6:7">
      <c r="F1717" s="1076"/>
      <c r="G1717" s="1076"/>
    </row>
    <row r="1718" spans="6:7">
      <c r="F1718" s="1076"/>
      <c r="G1718" s="1076"/>
    </row>
    <row r="1719" spans="6:7">
      <c r="F1719" s="1076"/>
      <c r="G1719" s="1076"/>
    </row>
    <row r="1720" spans="6:7">
      <c r="F1720" s="1076"/>
      <c r="G1720" s="1076"/>
    </row>
    <row r="1721" spans="6:7">
      <c r="F1721" s="1076"/>
      <c r="G1721" s="1076"/>
    </row>
    <row r="1722" spans="6:7">
      <c r="F1722" s="1076"/>
      <c r="G1722" s="1076"/>
    </row>
    <row r="1723" spans="6:7">
      <c r="F1723" s="1076"/>
      <c r="G1723" s="1076"/>
    </row>
    <row r="1724" spans="6:7">
      <c r="F1724" s="1076"/>
      <c r="G1724" s="1076"/>
    </row>
    <row r="1725" spans="6:7">
      <c r="F1725" s="1076"/>
      <c r="G1725" s="1076"/>
    </row>
    <row r="1726" spans="6:7">
      <c r="F1726" s="1076"/>
      <c r="G1726" s="1076"/>
    </row>
    <row r="1727" spans="6:7">
      <c r="F1727" s="1076"/>
      <c r="G1727" s="1076"/>
    </row>
    <row r="1728" spans="6:7">
      <c r="F1728" s="1076"/>
      <c r="G1728" s="1076"/>
    </row>
    <row r="1729" spans="6:7">
      <c r="F1729" s="1076"/>
      <c r="G1729" s="1076"/>
    </row>
    <row r="1730" spans="6:7">
      <c r="F1730" s="1076"/>
      <c r="G1730" s="1076"/>
    </row>
    <row r="1731" spans="6:7">
      <c r="F1731" s="1076"/>
      <c r="G1731" s="1076"/>
    </row>
    <row r="1732" spans="6:7">
      <c r="F1732" s="1076"/>
      <c r="G1732" s="1076"/>
    </row>
    <row r="1733" spans="6:7">
      <c r="F1733" s="1076"/>
      <c r="G1733" s="1076"/>
    </row>
    <row r="1734" spans="6:7">
      <c r="F1734" s="1076"/>
      <c r="G1734" s="1076"/>
    </row>
    <row r="1735" spans="6:7">
      <c r="F1735" s="1076"/>
      <c r="G1735" s="1076"/>
    </row>
    <row r="1736" spans="6:7">
      <c r="F1736" s="1076"/>
      <c r="G1736" s="1076"/>
    </row>
    <row r="1737" spans="6:7">
      <c r="F1737" s="1076"/>
      <c r="G1737" s="1076"/>
    </row>
    <row r="1738" spans="6:7">
      <c r="F1738" s="1076"/>
      <c r="G1738" s="1076"/>
    </row>
    <row r="1739" spans="6:7">
      <c r="F1739" s="1076"/>
      <c r="G1739" s="1076"/>
    </row>
    <row r="1740" spans="6:7">
      <c r="F1740" s="1076"/>
      <c r="G1740" s="1076"/>
    </row>
    <row r="1741" spans="6:7">
      <c r="F1741" s="1076"/>
      <c r="G1741" s="1076"/>
    </row>
    <row r="1742" spans="6:7">
      <c r="F1742" s="1076"/>
      <c r="G1742" s="1076"/>
    </row>
    <row r="1743" spans="6:7">
      <c r="F1743" s="1076"/>
      <c r="G1743" s="1076"/>
    </row>
    <row r="1744" spans="6:7">
      <c r="F1744" s="1076"/>
      <c r="G1744" s="1076"/>
    </row>
    <row r="1745" spans="6:7">
      <c r="F1745" s="1076"/>
      <c r="G1745" s="1076"/>
    </row>
    <row r="1746" spans="6:7">
      <c r="F1746" s="1076"/>
      <c r="G1746" s="1076"/>
    </row>
    <row r="1747" spans="6:7">
      <c r="F1747" s="1076"/>
      <c r="G1747" s="1076"/>
    </row>
    <row r="1748" spans="6:7">
      <c r="F1748" s="1076"/>
      <c r="G1748" s="1076"/>
    </row>
    <row r="1749" spans="6:7">
      <c r="F1749" s="1076"/>
      <c r="G1749" s="1076"/>
    </row>
    <row r="1750" spans="6:7">
      <c r="F1750" s="1076"/>
      <c r="G1750" s="1076"/>
    </row>
    <row r="1751" spans="6:7">
      <c r="F1751" s="1076"/>
      <c r="G1751" s="1076"/>
    </row>
    <row r="1752" spans="6:7">
      <c r="F1752" s="1076"/>
      <c r="G1752" s="1076"/>
    </row>
    <row r="1753" spans="6:7">
      <c r="F1753" s="1076"/>
      <c r="G1753" s="1076"/>
    </row>
    <row r="1754" spans="6:7">
      <c r="F1754" s="1076"/>
      <c r="G1754" s="1076"/>
    </row>
    <row r="1755" spans="6:7">
      <c r="F1755" s="1076"/>
      <c r="G1755" s="1076"/>
    </row>
    <row r="1756" spans="6:7">
      <c r="F1756" s="1076"/>
      <c r="G1756" s="1076"/>
    </row>
    <row r="1757" spans="6:7">
      <c r="F1757" s="1076"/>
      <c r="G1757" s="1076"/>
    </row>
    <row r="1758" spans="6:7">
      <c r="F1758" s="1076"/>
      <c r="G1758" s="1076"/>
    </row>
    <row r="1759" spans="6:7">
      <c r="F1759" s="1076"/>
      <c r="G1759" s="1076"/>
    </row>
    <row r="1760" spans="6:7">
      <c r="F1760" s="1076"/>
      <c r="G1760" s="1076"/>
    </row>
    <row r="1761" spans="6:7">
      <c r="F1761" s="1076"/>
      <c r="G1761" s="1076"/>
    </row>
    <row r="1762" spans="6:7">
      <c r="F1762" s="1076"/>
      <c r="G1762" s="1076"/>
    </row>
    <row r="1763" spans="6:7">
      <c r="F1763" s="1076"/>
      <c r="G1763" s="1076"/>
    </row>
    <row r="1764" spans="6:7">
      <c r="F1764" s="1076"/>
      <c r="G1764" s="1076"/>
    </row>
    <row r="1765" spans="6:7">
      <c r="F1765" s="1076"/>
      <c r="G1765" s="1076"/>
    </row>
    <row r="1766" spans="6:7">
      <c r="F1766" s="1076"/>
      <c r="G1766" s="1076"/>
    </row>
    <row r="1767" spans="6:7">
      <c r="F1767" s="1076"/>
      <c r="G1767" s="1076"/>
    </row>
    <row r="1768" spans="6:7">
      <c r="F1768" s="1076"/>
      <c r="G1768" s="1076"/>
    </row>
    <row r="1769" spans="6:7">
      <c r="F1769" s="1076"/>
      <c r="G1769" s="1076"/>
    </row>
    <row r="1770" spans="6:7">
      <c r="F1770" s="1076"/>
      <c r="G1770" s="1076"/>
    </row>
    <row r="1771" spans="6:7">
      <c r="F1771" s="1076"/>
      <c r="G1771" s="1076"/>
    </row>
    <row r="1772" spans="6:7">
      <c r="F1772" s="1076"/>
      <c r="G1772" s="1076"/>
    </row>
    <row r="1773" spans="6:7">
      <c r="F1773" s="1076"/>
      <c r="G1773" s="1076"/>
    </row>
    <row r="1774" spans="6:7">
      <c r="F1774" s="1076"/>
      <c r="G1774" s="1076"/>
    </row>
    <row r="1775" spans="6:7">
      <c r="F1775" s="1076"/>
      <c r="G1775" s="1076"/>
    </row>
    <row r="1776" spans="6:7">
      <c r="F1776" s="1076"/>
      <c r="G1776" s="1076"/>
    </row>
    <row r="1777" spans="6:7">
      <c r="F1777" s="1076"/>
      <c r="G1777" s="1076"/>
    </row>
    <row r="1778" spans="6:7">
      <c r="F1778" s="1076"/>
      <c r="G1778" s="1076"/>
    </row>
    <row r="1779" spans="6:7">
      <c r="F1779" s="1076"/>
      <c r="G1779" s="1076"/>
    </row>
    <row r="1780" spans="6:7">
      <c r="F1780" s="1076"/>
      <c r="G1780" s="1076"/>
    </row>
    <row r="1781" spans="6:7">
      <c r="F1781" s="1076"/>
      <c r="G1781" s="1076"/>
    </row>
    <row r="1782" spans="6:7">
      <c r="F1782" s="1076"/>
      <c r="G1782" s="1076"/>
    </row>
    <row r="1783" spans="6:7">
      <c r="F1783" s="1076"/>
      <c r="G1783" s="1076"/>
    </row>
    <row r="1784" spans="6:7">
      <c r="F1784" s="1076"/>
      <c r="G1784" s="1076"/>
    </row>
    <row r="1785" spans="6:7">
      <c r="F1785" s="1076"/>
      <c r="G1785" s="1076"/>
    </row>
    <row r="1786" spans="6:7">
      <c r="F1786" s="1076"/>
      <c r="G1786" s="1076"/>
    </row>
    <row r="1787" spans="6:7">
      <c r="F1787" s="1076"/>
      <c r="G1787" s="1076"/>
    </row>
    <row r="1788" spans="6:7">
      <c r="F1788" s="1076"/>
      <c r="G1788" s="1076"/>
    </row>
    <row r="1789" spans="6:7">
      <c r="F1789" s="1076"/>
      <c r="G1789" s="1076"/>
    </row>
    <row r="1790" spans="6:7">
      <c r="F1790" s="1076"/>
      <c r="G1790" s="1076"/>
    </row>
    <row r="1791" spans="6:7">
      <c r="F1791" s="1076"/>
      <c r="G1791" s="1076"/>
    </row>
    <row r="1792" spans="6:7">
      <c r="F1792" s="1076"/>
      <c r="G1792" s="1076"/>
    </row>
    <row r="1793" spans="6:7">
      <c r="F1793" s="1076"/>
      <c r="G1793" s="1076"/>
    </row>
    <row r="1794" spans="6:7">
      <c r="F1794" s="1076"/>
      <c r="G1794" s="1076"/>
    </row>
    <row r="1795" spans="6:7">
      <c r="F1795" s="1076"/>
      <c r="G1795" s="1076"/>
    </row>
    <row r="1796" spans="6:7">
      <c r="F1796" s="1076"/>
      <c r="G1796" s="1076"/>
    </row>
    <row r="1797" spans="6:7">
      <c r="F1797" s="1076"/>
      <c r="G1797" s="1076"/>
    </row>
    <row r="1798" spans="6:7">
      <c r="F1798" s="1076"/>
      <c r="G1798" s="1076"/>
    </row>
    <row r="1799" spans="6:7">
      <c r="F1799" s="1076"/>
      <c r="G1799" s="1076"/>
    </row>
    <row r="1800" spans="6:7">
      <c r="F1800" s="1076"/>
      <c r="G1800" s="1076"/>
    </row>
    <row r="1801" spans="6:7">
      <c r="F1801" s="1076"/>
      <c r="G1801" s="1076"/>
    </row>
    <row r="1802" spans="6:7">
      <c r="F1802" s="1076"/>
      <c r="G1802" s="1076"/>
    </row>
    <row r="1803" spans="6:7">
      <c r="F1803" s="1076"/>
      <c r="G1803" s="1076"/>
    </row>
    <row r="1804" spans="6:7">
      <c r="F1804" s="1076"/>
      <c r="G1804" s="1076"/>
    </row>
    <row r="1805" spans="6:7">
      <c r="F1805" s="1076"/>
      <c r="G1805" s="1076"/>
    </row>
    <row r="1806" spans="6:7">
      <c r="F1806" s="1076"/>
      <c r="G1806" s="1076"/>
    </row>
    <row r="1807" spans="6:7">
      <c r="F1807" s="1076"/>
      <c r="G1807" s="1076"/>
    </row>
    <row r="1808" spans="6:7">
      <c r="F1808" s="1076"/>
      <c r="G1808" s="1076"/>
    </row>
    <row r="1809" spans="6:7">
      <c r="F1809" s="1076"/>
      <c r="G1809" s="1076"/>
    </row>
    <row r="1810" spans="6:7">
      <c r="F1810" s="1076"/>
      <c r="G1810" s="1076"/>
    </row>
    <row r="1811" spans="6:7">
      <c r="F1811" s="1076"/>
      <c r="G1811" s="1076"/>
    </row>
    <row r="1812" spans="6:7">
      <c r="F1812" s="1076"/>
      <c r="G1812" s="1076"/>
    </row>
    <row r="1813" spans="6:7">
      <c r="F1813" s="1076"/>
      <c r="G1813" s="1076"/>
    </row>
    <row r="1814" spans="6:7">
      <c r="F1814" s="1076"/>
      <c r="G1814" s="1076"/>
    </row>
    <row r="1815" spans="6:7">
      <c r="F1815" s="1076"/>
      <c r="G1815" s="1076"/>
    </row>
    <row r="1816" spans="6:7">
      <c r="F1816" s="1076"/>
      <c r="G1816" s="1076"/>
    </row>
    <row r="1817" spans="6:7">
      <c r="F1817" s="1076"/>
      <c r="G1817" s="1076"/>
    </row>
    <row r="1818" spans="6:7">
      <c r="F1818" s="1076"/>
      <c r="G1818" s="1076"/>
    </row>
    <row r="1819" spans="6:7">
      <c r="F1819" s="1076"/>
      <c r="G1819" s="1076"/>
    </row>
    <row r="1820" spans="6:7">
      <c r="F1820" s="1076"/>
      <c r="G1820" s="1076"/>
    </row>
    <row r="1821" spans="6:7">
      <c r="F1821" s="1076"/>
      <c r="G1821" s="1076"/>
    </row>
    <row r="1822" spans="6:7">
      <c r="F1822" s="1076"/>
      <c r="G1822" s="1076"/>
    </row>
    <row r="1823" spans="6:7">
      <c r="F1823" s="1076"/>
      <c r="G1823" s="1076"/>
    </row>
    <row r="1824" spans="6:7">
      <c r="F1824" s="1076"/>
      <c r="G1824" s="1076"/>
    </row>
    <row r="1825" spans="6:7">
      <c r="F1825" s="1076"/>
      <c r="G1825" s="1076"/>
    </row>
    <row r="1826" spans="6:7">
      <c r="F1826" s="1076"/>
      <c r="G1826" s="1076"/>
    </row>
    <row r="1827" spans="6:7">
      <c r="F1827" s="1076"/>
      <c r="G1827" s="1076"/>
    </row>
    <row r="1828" spans="6:7">
      <c r="F1828" s="1076"/>
      <c r="G1828" s="1076"/>
    </row>
    <row r="1829" spans="6:7">
      <c r="F1829" s="1076"/>
      <c r="G1829" s="1076"/>
    </row>
    <row r="1830" spans="6:7">
      <c r="F1830" s="1076"/>
      <c r="G1830" s="1076"/>
    </row>
    <row r="1831" spans="6:7">
      <c r="F1831" s="1076"/>
      <c r="G1831" s="1076"/>
    </row>
    <row r="1832" spans="6:7">
      <c r="F1832" s="1076"/>
      <c r="G1832" s="1076"/>
    </row>
    <row r="1833" spans="6:7">
      <c r="F1833" s="1076"/>
      <c r="G1833" s="1076"/>
    </row>
    <row r="1834" spans="6:7">
      <c r="F1834" s="1076"/>
      <c r="G1834" s="1076"/>
    </row>
    <row r="1835" spans="6:7">
      <c r="F1835" s="1076"/>
      <c r="G1835" s="1076"/>
    </row>
    <row r="1836" spans="6:7">
      <c r="F1836" s="1076"/>
      <c r="G1836" s="1076"/>
    </row>
    <row r="1837" spans="6:7">
      <c r="F1837" s="1076"/>
      <c r="G1837" s="1076"/>
    </row>
    <row r="1838" spans="6:7">
      <c r="F1838" s="1076"/>
      <c r="G1838" s="1076"/>
    </row>
    <row r="1839" spans="6:7">
      <c r="F1839" s="1076"/>
      <c r="G1839" s="1076"/>
    </row>
    <row r="1840" spans="6:7">
      <c r="F1840" s="1076"/>
      <c r="G1840" s="1076"/>
    </row>
    <row r="1841" spans="6:7">
      <c r="F1841" s="1076"/>
      <c r="G1841" s="1076"/>
    </row>
    <row r="1842" spans="6:7">
      <c r="F1842" s="1076"/>
      <c r="G1842" s="1076"/>
    </row>
    <row r="1843" spans="6:7">
      <c r="F1843" s="1076"/>
      <c r="G1843" s="1076"/>
    </row>
    <row r="1844" spans="6:7">
      <c r="F1844" s="1076"/>
      <c r="G1844" s="1076"/>
    </row>
    <row r="1845" spans="6:7">
      <c r="F1845" s="1076"/>
      <c r="G1845" s="1076"/>
    </row>
    <row r="1846" spans="6:7">
      <c r="F1846" s="1076"/>
      <c r="G1846" s="1076"/>
    </row>
    <row r="1847" spans="6:7">
      <c r="F1847" s="1076"/>
      <c r="G1847" s="1076"/>
    </row>
    <row r="1848" spans="6:7">
      <c r="F1848" s="1076"/>
      <c r="G1848" s="1076"/>
    </row>
    <row r="1849" spans="6:7">
      <c r="F1849" s="1076"/>
      <c r="G1849" s="1076"/>
    </row>
    <row r="1850" spans="6:7">
      <c r="F1850" s="1076"/>
      <c r="G1850" s="1076"/>
    </row>
    <row r="1851" spans="6:7">
      <c r="F1851" s="1076"/>
      <c r="G1851" s="1076"/>
    </row>
    <row r="1852" spans="6:7">
      <c r="F1852" s="1076"/>
      <c r="G1852" s="1076"/>
    </row>
    <row r="1853" spans="6:7">
      <c r="F1853" s="1076"/>
      <c r="G1853" s="1076"/>
    </row>
    <row r="1854" spans="6:7">
      <c r="F1854" s="1076"/>
      <c r="G1854" s="1076"/>
    </row>
    <row r="1855" spans="6:7">
      <c r="F1855" s="1076"/>
      <c r="G1855" s="1076"/>
    </row>
    <row r="1856" spans="6:7">
      <c r="F1856" s="1076"/>
      <c r="G1856" s="1076"/>
    </row>
    <row r="1857" spans="6:7">
      <c r="F1857" s="1076"/>
      <c r="G1857" s="1076"/>
    </row>
    <row r="1858" spans="6:7">
      <c r="F1858" s="1076"/>
      <c r="G1858" s="1076"/>
    </row>
    <row r="1859" spans="6:7">
      <c r="F1859" s="1076"/>
      <c r="G1859" s="1076"/>
    </row>
    <row r="1860" spans="6:7">
      <c r="F1860" s="1076"/>
      <c r="G1860" s="1076"/>
    </row>
    <row r="1861" spans="6:7">
      <c r="F1861" s="1076"/>
      <c r="G1861" s="1076"/>
    </row>
    <row r="1862" spans="6:7">
      <c r="F1862" s="1076"/>
      <c r="G1862" s="1076"/>
    </row>
    <row r="1863" spans="6:7">
      <c r="F1863" s="1076"/>
      <c r="G1863" s="1076"/>
    </row>
    <row r="1864" spans="6:7">
      <c r="F1864" s="1076"/>
      <c r="G1864" s="1076"/>
    </row>
    <row r="1865" spans="6:7">
      <c r="F1865" s="1076"/>
      <c r="G1865" s="1076"/>
    </row>
    <row r="1866" spans="6:7">
      <c r="F1866" s="1076"/>
      <c r="G1866" s="1076"/>
    </row>
    <row r="1867" spans="6:7">
      <c r="F1867" s="1076"/>
      <c r="G1867" s="1076"/>
    </row>
    <row r="1868" spans="6:7">
      <c r="F1868" s="1076"/>
      <c r="G1868" s="1076"/>
    </row>
    <row r="1869" spans="6:7">
      <c r="F1869" s="1076"/>
      <c r="G1869" s="1076"/>
    </row>
    <row r="1870" spans="6:7">
      <c r="F1870" s="1076"/>
      <c r="G1870" s="1076"/>
    </row>
    <row r="1871" spans="6:7">
      <c r="F1871" s="1076"/>
      <c r="G1871" s="1076"/>
    </row>
    <row r="1872" spans="6:7">
      <c r="F1872" s="1076"/>
      <c r="G1872" s="1076"/>
    </row>
    <row r="1873" spans="6:7">
      <c r="F1873" s="1076"/>
      <c r="G1873" s="1076"/>
    </row>
    <row r="1874" spans="6:7">
      <c r="F1874" s="1076"/>
      <c r="G1874" s="1076"/>
    </row>
    <row r="1875" spans="6:7">
      <c r="F1875" s="1076"/>
      <c r="G1875" s="1076"/>
    </row>
    <row r="1876" spans="6:7">
      <c r="F1876" s="1076"/>
      <c r="G1876" s="1076"/>
    </row>
    <row r="1877" spans="6:7">
      <c r="F1877" s="1076"/>
      <c r="G1877" s="1076"/>
    </row>
    <row r="1878" spans="6:7">
      <c r="F1878" s="1076"/>
      <c r="G1878" s="1076"/>
    </row>
    <row r="1879" spans="6:7">
      <c r="F1879" s="1076"/>
      <c r="G1879" s="1076"/>
    </row>
    <row r="1880" spans="6:7">
      <c r="F1880" s="1076"/>
      <c r="G1880" s="1076"/>
    </row>
    <row r="1881" spans="6:7">
      <c r="F1881" s="1076"/>
      <c r="G1881" s="1076"/>
    </row>
    <row r="1882" spans="6:7">
      <c r="F1882" s="1076"/>
      <c r="G1882" s="1076"/>
    </row>
    <row r="1883" spans="6:7">
      <c r="F1883" s="1076"/>
      <c r="G1883" s="1076"/>
    </row>
    <row r="1884" spans="6:7">
      <c r="F1884" s="1076"/>
      <c r="G1884" s="1076"/>
    </row>
    <row r="1885" spans="6:7">
      <c r="F1885" s="1076"/>
      <c r="G1885" s="1076"/>
    </row>
    <row r="1886" spans="6:7">
      <c r="F1886" s="1076"/>
      <c r="G1886" s="1076"/>
    </row>
    <row r="1887" spans="6:7">
      <c r="F1887" s="1076"/>
      <c r="G1887" s="1076"/>
    </row>
    <row r="1888" spans="6:7">
      <c r="F1888" s="1076"/>
      <c r="G1888" s="1076"/>
    </row>
    <row r="1889" spans="6:7">
      <c r="F1889" s="1076"/>
      <c r="G1889" s="1076"/>
    </row>
    <row r="1890" spans="6:7">
      <c r="F1890" s="1076"/>
      <c r="G1890" s="1076"/>
    </row>
    <row r="1891" spans="6:7">
      <c r="F1891" s="1076"/>
      <c r="G1891" s="1076"/>
    </row>
    <row r="1892" spans="6:7">
      <c r="F1892" s="1076"/>
      <c r="G1892" s="1076"/>
    </row>
    <row r="1893" spans="6:7">
      <c r="F1893" s="1076"/>
      <c r="G1893" s="1076"/>
    </row>
    <row r="1894" spans="6:7">
      <c r="F1894" s="1076"/>
      <c r="G1894" s="1076"/>
    </row>
    <row r="1895" spans="6:7">
      <c r="F1895" s="1076"/>
      <c r="G1895" s="1076"/>
    </row>
    <row r="1896" spans="6:7">
      <c r="F1896" s="1076"/>
      <c r="G1896" s="1076"/>
    </row>
    <row r="1897" spans="6:7">
      <c r="F1897" s="1076"/>
      <c r="G1897" s="1076"/>
    </row>
    <row r="1898" spans="6:7">
      <c r="F1898" s="1076"/>
      <c r="G1898" s="1076"/>
    </row>
    <row r="1899" spans="6:7">
      <c r="F1899" s="1076"/>
      <c r="G1899" s="1076"/>
    </row>
    <row r="1900" spans="6:7">
      <c r="F1900" s="1076"/>
      <c r="G1900" s="1076"/>
    </row>
    <row r="1901" spans="6:7">
      <c r="F1901" s="1076"/>
      <c r="G1901" s="1076"/>
    </row>
    <row r="1902" spans="6:7">
      <c r="F1902" s="1076"/>
      <c r="G1902" s="1076"/>
    </row>
    <row r="1903" spans="6:7">
      <c r="F1903" s="1076"/>
      <c r="G1903" s="1076"/>
    </row>
    <row r="1904" spans="6:7">
      <c r="F1904" s="1076"/>
      <c r="G1904" s="1076"/>
    </row>
    <row r="1905" spans="6:7">
      <c r="F1905" s="1076"/>
      <c r="G1905" s="1076"/>
    </row>
    <row r="1906" spans="6:7">
      <c r="F1906" s="1076"/>
      <c r="G1906" s="1076"/>
    </row>
    <row r="1907" spans="6:7">
      <c r="F1907" s="1076"/>
      <c r="G1907" s="1076"/>
    </row>
    <row r="1908" spans="6:7">
      <c r="F1908" s="1076"/>
      <c r="G1908" s="1076"/>
    </row>
    <row r="1909" spans="6:7">
      <c r="F1909" s="1076"/>
      <c r="G1909" s="1076"/>
    </row>
    <row r="1910" spans="6:7">
      <c r="F1910" s="1076"/>
      <c r="G1910" s="1076"/>
    </row>
    <row r="1911" spans="6:7">
      <c r="F1911" s="1076"/>
      <c r="G1911" s="1076"/>
    </row>
    <row r="1912" spans="6:7">
      <c r="F1912" s="1076"/>
      <c r="G1912" s="1076"/>
    </row>
    <row r="1913" spans="6:7">
      <c r="F1913" s="1076"/>
      <c r="G1913" s="1076"/>
    </row>
    <row r="1914" spans="6:7">
      <c r="F1914" s="1076"/>
      <c r="G1914" s="1076"/>
    </row>
    <row r="1915" spans="6:7">
      <c r="F1915" s="1076"/>
      <c r="G1915" s="1076"/>
    </row>
    <row r="1916" spans="6:7">
      <c r="F1916" s="1076"/>
      <c r="G1916" s="1076"/>
    </row>
    <row r="1917" spans="6:7">
      <c r="F1917" s="1076"/>
      <c r="G1917" s="1076"/>
    </row>
    <row r="1918" spans="6:7">
      <c r="F1918" s="1076"/>
      <c r="G1918" s="1076"/>
    </row>
    <row r="1919" spans="6:7">
      <c r="F1919" s="1076"/>
      <c r="G1919" s="1076"/>
    </row>
    <row r="1920" spans="6:7">
      <c r="F1920" s="1076"/>
      <c r="G1920" s="1076"/>
    </row>
    <row r="1921" spans="6:7">
      <c r="F1921" s="1076"/>
      <c r="G1921" s="1076"/>
    </row>
    <row r="1922" spans="6:7">
      <c r="F1922" s="1076"/>
      <c r="G1922" s="1076"/>
    </row>
    <row r="1923" spans="6:7">
      <c r="F1923" s="1076"/>
      <c r="G1923" s="1076"/>
    </row>
    <row r="1924" spans="6:7">
      <c r="F1924" s="1076"/>
      <c r="G1924" s="1076"/>
    </row>
    <row r="1925" spans="6:7">
      <c r="F1925" s="1076"/>
      <c r="G1925" s="1076"/>
    </row>
    <row r="1926" spans="6:7">
      <c r="F1926" s="1076"/>
      <c r="G1926" s="1076"/>
    </row>
    <row r="1927" spans="6:7">
      <c r="F1927" s="1076"/>
      <c r="G1927" s="1076"/>
    </row>
    <row r="1928" spans="6:7">
      <c r="F1928" s="1076"/>
      <c r="G1928" s="1076"/>
    </row>
    <row r="1929" spans="6:7">
      <c r="F1929" s="1076"/>
      <c r="G1929" s="1076"/>
    </row>
    <row r="1930" spans="6:7">
      <c r="F1930" s="1076"/>
      <c r="G1930" s="1076"/>
    </row>
    <row r="1931" spans="6:7">
      <c r="F1931" s="1076"/>
      <c r="G1931" s="1076"/>
    </row>
    <row r="1932" spans="6:7">
      <c r="F1932" s="1076"/>
      <c r="G1932" s="1076"/>
    </row>
    <row r="1933" spans="6:7">
      <c r="F1933" s="1076"/>
      <c r="G1933" s="1076"/>
    </row>
    <row r="1934" spans="6:7">
      <c r="F1934" s="1076"/>
      <c r="G1934" s="1076"/>
    </row>
    <row r="1935" spans="6:7">
      <c r="F1935" s="1076"/>
      <c r="G1935" s="1076"/>
    </row>
    <row r="1936" spans="6:7">
      <c r="F1936" s="1076"/>
      <c r="G1936" s="1076"/>
    </row>
    <row r="1937" spans="6:7">
      <c r="F1937" s="1076"/>
      <c r="G1937" s="1076"/>
    </row>
    <row r="1938" spans="6:7">
      <c r="F1938" s="1076"/>
      <c r="G1938" s="1076"/>
    </row>
    <row r="1939" spans="6:7">
      <c r="F1939" s="1076"/>
      <c r="G1939" s="1076"/>
    </row>
    <row r="1940" spans="6:7">
      <c r="F1940" s="1076"/>
      <c r="G1940" s="1076"/>
    </row>
    <row r="1941" spans="6:7">
      <c r="F1941" s="1076"/>
      <c r="G1941" s="1076"/>
    </row>
    <row r="1942" spans="6:7">
      <c r="F1942" s="1076"/>
      <c r="G1942" s="1076"/>
    </row>
    <row r="1943" spans="6:7">
      <c r="F1943" s="1076"/>
      <c r="G1943" s="1076"/>
    </row>
    <row r="1944" spans="6:7">
      <c r="F1944" s="1076"/>
      <c r="G1944" s="1076"/>
    </row>
    <row r="1945" spans="6:7">
      <c r="F1945" s="1076"/>
      <c r="G1945" s="1076"/>
    </row>
    <row r="1946" spans="6:7">
      <c r="F1946" s="1076"/>
      <c r="G1946" s="1076"/>
    </row>
    <row r="1947" spans="6:7">
      <c r="F1947" s="1076"/>
      <c r="G1947" s="1076"/>
    </row>
    <row r="1948" spans="6:7">
      <c r="F1948" s="1076"/>
      <c r="G1948" s="1076"/>
    </row>
    <row r="1949" spans="6:7">
      <c r="F1949" s="1076"/>
      <c r="G1949" s="1076"/>
    </row>
    <row r="1950" spans="6:7">
      <c r="F1950" s="1076"/>
      <c r="G1950" s="1076"/>
    </row>
    <row r="1951" spans="6:7">
      <c r="F1951" s="1076"/>
      <c r="G1951" s="1076"/>
    </row>
    <row r="1952" spans="6:7">
      <c r="F1952" s="1076"/>
      <c r="G1952" s="1076"/>
    </row>
    <row r="1953" spans="6:7">
      <c r="F1953" s="1076"/>
      <c r="G1953" s="1076"/>
    </row>
    <row r="1954" spans="6:7">
      <c r="F1954" s="1076"/>
      <c r="G1954" s="1076"/>
    </row>
    <row r="1955" spans="6:7">
      <c r="F1955" s="1076"/>
      <c r="G1955" s="1076"/>
    </row>
    <row r="1956" spans="6:7">
      <c r="F1956" s="1076"/>
      <c r="G1956" s="1076"/>
    </row>
    <row r="1957" spans="6:7">
      <c r="F1957" s="1076"/>
      <c r="G1957" s="1076"/>
    </row>
    <row r="1958" spans="6:7">
      <c r="F1958" s="1076"/>
      <c r="G1958" s="1076"/>
    </row>
    <row r="1959" spans="6:7">
      <c r="F1959" s="1076"/>
      <c r="G1959" s="1076"/>
    </row>
    <row r="1960" spans="6:7">
      <c r="F1960" s="1076"/>
      <c r="G1960" s="1076"/>
    </row>
    <row r="1961" spans="6:7">
      <c r="F1961" s="1076"/>
      <c r="G1961" s="1076"/>
    </row>
    <row r="1962" spans="6:7">
      <c r="F1962" s="1076"/>
      <c r="G1962" s="1076"/>
    </row>
    <row r="1963" spans="6:7">
      <c r="F1963" s="1076"/>
      <c r="G1963" s="1076"/>
    </row>
    <row r="1964" spans="6:7">
      <c r="F1964" s="1076"/>
      <c r="G1964" s="1076"/>
    </row>
    <row r="1965" spans="6:7">
      <c r="F1965" s="1076"/>
      <c r="G1965" s="1076"/>
    </row>
    <row r="1966" spans="6:7">
      <c r="F1966" s="1076"/>
      <c r="G1966" s="1076"/>
    </row>
    <row r="1967" spans="6:7">
      <c r="F1967" s="1076"/>
      <c r="G1967" s="1076"/>
    </row>
    <row r="1968" spans="6:7">
      <c r="F1968" s="1076"/>
      <c r="G1968" s="1076"/>
    </row>
    <row r="1969" spans="6:7">
      <c r="F1969" s="1076"/>
      <c r="G1969" s="1076"/>
    </row>
    <row r="1970" spans="6:7">
      <c r="F1970" s="1076"/>
      <c r="G1970" s="1076"/>
    </row>
    <row r="1971" spans="6:7">
      <c r="F1971" s="1076"/>
      <c r="G1971" s="1076"/>
    </row>
    <row r="1972" spans="6:7">
      <c r="F1972" s="1076"/>
      <c r="G1972" s="1076"/>
    </row>
    <row r="1973" spans="6:7">
      <c r="F1973" s="1076"/>
      <c r="G1973" s="1076"/>
    </row>
    <row r="1974" spans="6:7">
      <c r="F1974" s="1076"/>
      <c r="G1974" s="1076"/>
    </row>
    <row r="1975" spans="6:7">
      <c r="F1975" s="1076"/>
      <c r="G1975" s="1076"/>
    </row>
    <row r="1976" spans="6:7">
      <c r="F1976" s="1076"/>
      <c r="G1976" s="1076"/>
    </row>
    <row r="1977" spans="6:7">
      <c r="F1977" s="1076"/>
      <c r="G1977" s="1076"/>
    </row>
    <row r="1978" spans="6:7">
      <c r="F1978" s="1076"/>
      <c r="G1978" s="1076"/>
    </row>
    <row r="1979" spans="6:7">
      <c r="F1979" s="1076"/>
      <c r="G1979" s="1076"/>
    </row>
    <row r="1980" spans="6:7">
      <c r="F1980" s="1076"/>
      <c r="G1980" s="1076"/>
    </row>
    <row r="1981" spans="6:7">
      <c r="F1981" s="1076"/>
      <c r="G1981" s="1076"/>
    </row>
    <row r="1982" spans="6:7">
      <c r="F1982" s="1076"/>
      <c r="G1982" s="1076"/>
    </row>
    <row r="1983" spans="6:7">
      <c r="F1983" s="1076"/>
      <c r="G1983" s="1076"/>
    </row>
    <row r="1984" spans="6:7">
      <c r="F1984" s="1076"/>
      <c r="G1984" s="1076"/>
    </row>
    <row r="1985" spans="6:7">
      <c r="F1985" s="1076"/>
      <c r="G1985" s="1076"/>
    </row>
    <row r="1986" spans="6:7">
      <c r="F1986" s="1076"/>
      <c r="G1986" s="1076"/>
    </row>
    <row r="1987" spans="6:7">
      <c r="F1987" s="1076"/>
      <c r="G1987" s="1076"/>
    </row>
    <row r="1988" spans="6:7">
      <c r="F1988" s="1076"/>
      <c r="G1988" s="1076"/>
    </row>
    <row r="1989" spans="6:7">
      <c r="F1989" s="1076"/>
      <c r="G1989" s="1076"/>
    </row>
    <row r="1990" spans="6:7">
      <c r="F1990" s="1076"/>
      <c r="G1990" s="1076"/>
    </row>
    <row r="1991" spans="6:7">
      <c r="F1991" s="1076"/>
      <c r="G1991" s="1076"/>
    </row>
    <row r="1992" spans="6:7">
      <c r="F1992" s="1076"/>
      <c r="G1992" s="1076"/>
    </row>
    <row r="1993" spans="6:7">
      <c r="F1993" s="1076"/>
      <c r="G1993" s="1076"/>
    </row>
    <row r="1994" spans="6:7">
      <c r="F1994" s="1076"/>
      <c r="G1994" s="1076"/>
    </row>
    <row r="1995" spans="6:7">
      <c r="F1995" s="1076"/>
      <c r="G1995" s="1076"/>
    </row>
    <row r="1996" spans="6:7">
      <c r="F1996" s="1076"/>
      <c r="G1996" s="1076"/>
    </row>
    <row r="1997" spans="6:7">
      <c r="F1997" s="1076"/>
      <c r="G1997" s="1076"/>
    </row>
    <row r="1998" spans="6:7">
      <c r="F1998" s="1076"/>
      <c r="G1998" s="1076"/>
    </row>
    <row r="1999" spans="6:7">
      <c r="F1999" s="1076"/>
      <c r="G1999" s="1076"/>
    </row>
    <row r="2000" spans="6:7">
      <c r="F2000" s="1076"/>
      <c r="G2000" s="1076"/>
    </row>
    <row r="2001" spans="6:7">
      <c r="F2001" s="1076"/>
      <c r="G2001" s="1076"/>
    </row>
    <row r="2002" spans="6:7">
      <c r="F2002" s="1076"/>
      <c r="G2002" s="1076"/>
    </row>
    <row r="2003" spans="6:7">
      <c r="F2003" s="1076"/>
      <c r="G2003" s="1076"/>
    </row>
    <row r="2004" spans="6:7">
      <c r="F2004" s="1076"/>
      <c r="G2004" s="1076"/>
    </row>
    <row r="2005" spans="6:7">
      <c r="F2005" s="1076"/>
      <c r="G2005" s="1076"/>
    </row>
    <row r="2006" spans="6:7">
      <c r="F2006" s="1076"/>
      <c r="G2006" s="1076"/>
    </row>
    <row r="2007" spans="6:7">
      <c r="F2007" s="1076"/>
      <c r="G2007" s="1076"/>
    </row>
    <row r="2008" spans="6:7">
      <c r="F2008" s="1076"/>
      <c r="G2008" s="1076"/>
    </row>
    <row r="2009" spans="6:7">
      <c r="F2009" s="1076"/>
      <c r="G2009" s="1076"/>
    </row>
    <row r="2010" spans="6:7">
      <c r="F2010" s="1076"/>
      <c r="G2010" s="1076"/>
    </row>
    <row r="2011" spans="6:7">
      <c r="F2011" s="1076"/>
      <c r="G2011" s="1076"/>
    </row>
    <row r="2012" spans="6:7">
      <c r="F2012" s="1076"/>
      <c r="G2012" s="1076"/>
    </row>
    <row r="2013" spans="6:7">
      <c r="F2013" s="1076"/>
      <c r="G2013" s="1076"/>
    </row>
    <row r="2014" spans="6:7">
      <c r="F2014" s="1076"/>
      <c r="G2014" s="1076"/>
    </row>
    <row r="2015" spans="6:7">
      <c r="F2015" s="1076"/>
      <c r="G2015" s="1076"/>
    </row>
    <row r="2016" spans="6:7">
      <c r="F2016" s="1076"/>
      <c r="G2016" s="1076"/>
    </row>
    <row r="2017" spans="6:7">
      <c r="F2017" s="1076"/>
      <c r="G2017" s="1076"/>
    </row>
    <row r="2018" spans="6:7">
      <c r="F2018" s="1076"/>
      <c r="G2018" s="1076"/>
    </row>
    <row r="2019" spans="6:7">
      <c r="F2019" s="1076"/>
      <c r="G2019" s="1076"/>
    </row>
    <row r="2020" spans="6:7">
      <c r="F2020" s="1076"/>
      <c r="G2020" s="1076"/>
    </row>
    <row r="2021" spans="6:7">
      <c r="F2021" s="1076"/>
      <c r="G2021" s="1076"/>
    </row>
    <row r="2022" spans="6:7">
      <c r="F2022" s="1076"/>
      <c r="G2022" s="1076"/>
    </row>
    <row r="2023" spans="6:7">
      <c r="F2023" s="1076"/>
      <c r="G2023" s="1076"/>
    </row>
    <row r="2024" spans="6:7">
      <c r="F2024" s="1076"/>
      <c r="G2024" s="1076"/>
    </row>
    <row r="2025" spans="6:7">
      <c r="F2025" s="1076"/>
      <c r="G2025" s="1076"/>
    </row>
    <row r="2026" spans="6:7">
      <c r="F2026" s="1076"/>
      <c r="G2026" s="1076"/>
    </row>
    <row r="2027" spans="6:7">
      <c r="F2027" s="1076"/>
      <c r="G2027" s="1076"/>
    </row>
    <row r="2028" spans="6:7">
      <c r="F2028" s="1076"/>
      <c r="G2028" s="1076"/>
    </row>
    <row r="2029" spans="6:7">
      <c r="F2029" s="1076"/>
      <c r="G2029" s="1076"/>
    </row>
    <row r="2030" spans="6:7">
      <c r="F2030" s="1076"/>
      <c r="G2030" s="1076"/>
    </row>
    <row r="2031" spans="6:7">
      <c r="F2031" s="1076"/>
      <c r="G2031" s="1076"/>
    </row>
    <row r="2032" spans="6:7">
      <c r="F2032" s="1076"/>
      <c r="G2032" s="1076"/>
    </row>
    <row r="2033" spans="6:7">
      <c r="F2033" s="1076"/>
      <c r="G2033" s="1076"/>
    </row>
    <row r="2034" spans="6:7">
      <c r="F2034" s="1076"/>
      <c r="G2034" s="1076"/>
    </row>
    <row r="2035" spans="6:7">
      <c r="F2035" s="1076"/>
      <c r="G2035" s="1076"/>
    </row>
    <row r="2036" spans="6:7">
      <c r="F2036" s="1076"/>
      <c r="G2036" s="1076"/>
    </row>
    <row r="2037" spans="6:7">
      <c r="F2037" s="1076"/>
      <c r="G2037" s="1076"/>
    </row>
    <row r="2038" spans="6:7">
      <c r="F2038" s="1076"/>
      <c r="G2038" s="1076"/>
    </row>
    <row r="2039" spans="6:7">
      <c r="F2039" s="1076"/>
      <c r="G2039" s="1076"/>
    </row>
    <row r="2040" spans="6:7">
      <c r="F2040" s="1076"/>
      <c r="G2040" s="1076"/>
    </row>
    <row r="2041" spans="6:7">
      <c r="F2041" s="1076"/>
      <c r="G2041" s="1076"/>
    </row>
    <row r="2042" spans="6:7">
      <c r="F2042" s="1076"/>
      <c r="G2042" s="1076"/>
    </row>
    <row r="2043" spans="6:7">
      <c r="F2043" s="1076"/>
      <c r="G2043" s="1076"/>
    </row>
    <row r="2044" spans="6:7">
      <c r="F2044" s="1076"/>
      <c r="G2044" s="1076"/>
    </row>
    <row r="2045" spans="6:7">
      <c r="F2045" s="1076"/>
      <c r="G2045" s="1076"/>
    </row>
    <row r="2046" spans="6:7">
      <c r="F2046" s="1076"/>
      <c r="G2046" s="1076"/>
    </row>
    <row r="2047" spans="6:7">
      <c r="F2047" s="1076"/>
      <c r="G2047" s="1076"/>
    </row>
    <row r="2048" spans="6:7">
      <c r="F2048" s="1076"/>
      <c r="G2048" s="1076"/>
    </row>
    <row r="2049" spans="6:7">
      <c r="F2049" s="1076"/>
      <c r="G2049" s="1076"/>
    </row>
    <row r="2050" spans="6:7">
      <c r="F2050" s="1076"/>
      <c r="G2050" s="1076"/>
    </row>
    <row r="2051" spans="6:7">
      <c r="F2051" s="1076"/>
      <c r="G2051" s="1076"/>
    </row>
    <row r="2052" spans="6:7">
      <c r="F2052" s="1076"/>
      <c r="G2052" s="1076"/>
    </row>
    <row r="2053" spans="6:7">
      <c r="F2053" s="1076"/>
      <c r="G2053" s="1076"/>
    </row>
    <row r="2054" spans="6:7">
      <c r="F2054" s="1076"/>
      <c r="G2054" s="1076"/>
    </row>
    <row r="2055" spans="6:7">
      <c r="F2055" s="1076"/>
      <c r="G2055" s="1076"/>
    </row>
    <row r="2056" spans="6:7">
      <c r="F2056" s="1076"/>
      <c r="G2056" s="1076"/>
    </row>
    <row r="2057" spans="6:7">
      <c r="F2057" s="1076"/>
      <c r="G2057" s="1076"/>
    </row>
    <row r="2058" spans="6:7">
      <c r="F2058" s="1076"/>
      <c r="G2058" s="1076"/>
    </row>
    <row r="2059" spans="6:7">
      <c r="F2059" s="1076"/>
      <c r="G2059" s="1076"/>
    </row>
    <row r="2060" spans="6:7">
      <c r="F2060" s="1076"/>
      <c r="G2060" s="1076"/>
    </row>
    <row r="2061" spans="6:7">
      <c r="F2061" s="1076"/>
      <c r="G2061" s="1076"/>
    </row>
    <row r="2062" spans="6:7">
      <c r="F2062" s="1076"/>
      <c r="G2062" s="1076"/>
    </row>
    <row r="2063" spans="6:7">
      <c r="F2063" s="1076"/>
      <c r="G2063" s="1076"/>
    </row>
    <row r="2064" spans="6:7">
      <c r="F2064" s="1076"/>
      <c r="G2064" s="1076"/>
    </row>
    <row r="2065" spans="6:7">
      <c r="F2065" s="1076"/>
      <c r="G2065" s="1076"/>
    </row>
    <row r="2066" spans="6:7">
      <c r="F2066" s="1076"/>
      <c r="G2066" s="1076"/>
    </row>
    <row r="2067" spans="6:7">
      <c r="F2067" s="1076"/>
      <c r="G2067" s="1076"/>
    </row>
    <row r="2068" spans="6:7">
      <c r="F2068" s="1076"/>
      <c r="G2068" s="1076"/>
    </row>
    <row r="2069" spans="6:7">
      <c r="F2069" s="1076"/>
      <c r="G2069" s="1076"/>
    </row>
    <row r="2070" spans="6:7">
      <c r="F2070" s="1076"/>
      <c r="G2070" s="1076"/>
    </row>
    <row r="2071" spans="6:7">
      <c r="F2071" s="1076"/>
      <c r="G2071" s="1076"/>
    </row>
    <row r="2072" spans="6:7">
      <c r="F2072" s="1076"/>
      <c r="G2072" s="1076"/>
    </row>
    <row r="2073" spans="6:7">
      <c r="F2073" s="1076"/>
      <c r="G2073" s="1076"/>
    </row>
    <row r="2074" spans="6:7">
      <c r="F2074" s="1076"/>
      <c r="G2074" s="1076"/>
    </row>
    <row r="2075" spans="6:7">
      <c r="F2075" s="1076"/>
      <c r="G2075" s="1076"/>
    </row>
    <row r="2076" spans="6:7">
      <c r="F2076" s="1076"/>
      <c r="G2076" s="1076"/>
    </row>
    <row r="2077" spans="6:7">
      <c r="F2077" s="1076"/>
      <c r="G2077" s="1076"/>
    </row>
    <row r="2078" spans="6:7">
      <c r="F2078" s="1076"/>
      <c r="G2078" s="1076"/>
    </row>
    <row r="2079" spans="6:7">
      <c r="F2079" s="1076"/>
      <c r="G2079" s="1076"/>
    </row>
    <row r="2080" spans="6:7">
      <c r="F2080" s="1076"/>
      <c r="G2080" s="1076"/>
    </row>
    <row r="2081" spans="6:7">
      <c r="F2081" s="1076"/>
      <c r="G2081" s="1076"/>
    </row>
    <row r="2082" spans="6:7">
      <c r="F2082" s="1076"/>
      <c r="G2082" s="1076"/>
    </row>
    <row r="2083" spans="6:7">
      <c r="F2083" s="1076"/>
      <c r="G2083" s="1076"/>
    </row>
    <row r="2084" spans="6:7">
      <c r="F2084" s="1076"/>
      <c r="G2084" s="1076"/>
    </row>
    <row r="2085" spans="6:7">
      <c r="F2085" s="1076"/>
      <c r="G2085" s="1076"/>
    </row>
    <row r="2086" spans="6:7">
      <c r="F2086" s="1076"/>
      <c r="G2086" s="1076"/>
    </row>
    <row r="2087" spans="6:7">
      <c r="F2087" s="1076"/>
      <c r="G2087" s="1076"/>
    </row>
    <row r="2088" spans="6:7">
      <c r="F2088" s="1076"/>
      <c r="G2088" s="1076"/>
    </row>
    <row r="2089" spans="6:7">
      <c r="F2089" s="1076"/>
      <c r="G2089" s="1076"/>
    </row>
    <row r="2090" spans="6:7">
      <c r="F2090" s="1076"/>
      <c r="G2090" s="1076"/>
    </row>
    <row r="2091" spans="6:7">
      <c r="F2091" s="1076"/>
      <c r="G2091" s="1076"/>
    </row>
    <row r="2092" spans="6:7">
      <c r="F2092" s="1076"/>
      <c r="G2092" s="1076"/>
    </row>
    <row r="2093" spans="6:7">
      <c r="F2093" s="1076"/>
      <c r="G2093" s="1076"/>
    </row>
    <row r="2094" spans="6:7">
      <c r="F2094" s="1076"/>
      <c r="G2094" s="1076"/>
    </row>
    <row r="2095" spans="6:7">
      <c r="F2095" s="1076"/>
      <c r="G2095" s="1076"/>
    </row>
    <row r="2096" spans="6:7">
      <c r="F2096" s="1076"/>
      <c r="G2096" s="1076"/>
    </row>
    <row r="2097" spans="6:7">
      <c r="F2097" s="1076"/>
      <c r="G2097" s="1076"/>
    </row>
    <row r="2098" spans="6:7">
      <c r="F2098" s="1076"/>
      <c r="G2098" s="1076"/>
    </row>
    <row r="2099" spans="6:7">
      <c r="F2099" s="1076"/>
      <c r="G2099" s="1076"/>
    </row>
    <row r="2100" spans="6:7">
      <c r="F2100" s="1076"/>
      <c r="G2100" s="1076"/>
    </row>
    <row r="2101" spans="6:7">
      <c r="F2101" s="1076"/>
      <c r="G2101" s="1076"/>
    </row>
    <row r="2102" spans="6:7">
      <c r="F2102" s="1076"/>
      <c r="G2102" s="1076"/>
    </row>
    <row r="2103" spans="6:7">
      <c r="F2103" s="1076"/>
      <c r="G2103" s="1076"/>
    </row>
    <row r="2104" spans="6:7">
      <c r="F2104" s="1076"/>
      <c r="G2104" s="1076"/>
    </row>
    <row r="2105" spans="6:7">
      <c r="F2105" s="1076"/>
      <c r="G2105" s="1076"/>
    </row>
    <row r="2106" spans="6:7">
      <c r="F2106" s="1076"/>
      <c r="G2106" s="1076"/>
    </row>
    <row r="2107" spans="6:7">
      <c r="F2107" s="1076"/>
      <c r="G2107" s="1076"/>
    </row>
    <row r="2108" spans="6:7">
      <c r="F2108" s="1076"/>
      <c r="G2108" s="1076"/>
    </row>
    <row r="2109" spans="6:7">
      <c r="F2109" s="1076"/>
      <c r="G2109" s="1076"/>
    </row>
    <row r="2110" spans="6:7">
      <c r="F2110" s="1076"/>
      <c r="G2110" s="1076"/>
    </row>
    <row r="2111" spans="6:7">
      <c r="F2111" s="1076"/>
      <c r="G2111" s="1076"/>
    </row>
    <row r="2112" spans="6:7">
      <c r="F2112" s="1076"/>
      <c r="G2112" s="1076"/>
    </row>
    <row r="2113" spans="6:7">
      <c r="F2113" s="1076"/>
      <c r="G2113" s="1076"/>
    </row>
    <row r="2114" spans="6:7">
      <c r="F2114" s="1076"/>
      <c r="G2114" s="1076"/>
    </row>
    <row r="2115" spans="6:7">
      <c r="F2115" s="1076"/>
      <c r="G2115" s="1076"/>
    </row>
    <row r="2116" spans="6:7">
      <c r="F2116" s="1076"/>
      <c r="G2116" s="1076"/>
    </row>
    <row r="2117" spans="6:7">
      <c r="F2117" s="1076"/>
      <c r="G2117" s="1076"/>
    </row>
    <row r="2118" spans="6:7">
      <c r="F2118" s="1076"/>
      <c r="G2118" s="1076"/>
    </row>
    <row r="2119" spans="6:7">
      <c r="F2119" s="1076"/>
      <c r="G2119" s="1076"/>
    </row>
    <row r="2120" spans="6:7">
      <c r="F2120" s="1076"/>
      <c r="G2120" s="1076"/>
    </row>
    <row r="2121" spans="6:7">
      <c r="F2121" s="1076"/>
      <c r="G2121" s="1076"/>
    </row>
    <row r="2122" spans="6:7">
      <c r="F2122" s="1076"/>
      <c r="G2122" s="1076"/>
    </row>
    <row r="2123" spans="6:7">
      <c r="F2123" s="1076"/>
      <c r="G2123" s="1076"/>
    </row>
    <row r="2124" spans="6:7">
      <c r="F2124" s="1076"/>
      <c r="G2124" s="1076"/>
    </row>
    <row r="2125" spans="6:7">
      <c r="F2125" s="1076"/>
      <c r="G2125" s="1076"/>
    </row>
    <row r="2126" spans="6:7">
      <c r="F2126" s="1076"/>
      <c r="G2126" s="1076"/>
    </row>
    <row r="2127" spans="6:7">
      <c r="F2127" s="1076"/>
      <c r="G2127" s="1076"/>
    </row>
    <row r="2128" spans="6:7">
      <c r="F2128" s="1076"/>
      <c r="G2128" s="1076"/>
    </row>
    <row r="2129" spans="6:7">
      <c r="F2129" s="1076"/>
      <c r="G2129" s="1076"/>
    </row>
    <row r="2130" spans="6:7">
      <c r="F2130" s="1076"/>
      <c r="G2130" s="1076"/>
    </row>
    <row r="2131" spans="6:7">
      <c r="F2131" s="1076"/>
      <c r="G2131" s="1076"/>
    </row>
    <row r="2132" spans="6:7">
      <c r="F2132" s="1076"/>
      <c r="G2132" s="1076"/>
    </row>
    <row r="2133" spans="6:7">
      <c r="F2133" s="1076"/>
      <c r="G2133" s="1076"/>
    </row>
    <row r="2134" spans="6:7">
      <c r="F2134" s="1076"/>
      <c r="G2134" s="1076"/>
    </row>
    <row r="2135" spans="6:7">
      <c r="F2135" s="1076"/>
      <c r="G2135" s="1076"/>
    </row>
    <row r="2136" spans="6:7">
      <c r="F2136" s="1076"/>
      <c r="G2136" s="1076"/>
    </row>
    <row r="2137" spans="6:7">
      <c r="F2137" s="1076"/>
      <c r="G2137" s="1076"/>
    </row>
    <row r="2138" spans="6:7">
      <c r="F2138" s="1076"/>
      <c r="G2138" s="1076"/>
    </row>
    <row r="2139" spans="6:7">
      <c r="F2139" s="1076"/>
      <c r="G2139" s="1076"/>
    </row>
    <row r="2140" spans="6:7">
      <c r="F2140" s="1076"/>
      <c r="G2140" s="1076"/>
    </row>
    <row r="2141" spans="6:7">
      <c r="F2141" s="1076"/>
      <c r="G2141" s="1076"/>
    </row>
    <row r="2142" spans="6:7">
      <c r="F2142" s="1076"/>
      <c r="G2142" s="1076"/>
    </row>
    <row r="2143" spans="6:7">
      <c r="F2143" s="1076"/>
      <c r="G2143" s="1076"/>
    </row>
    <row r="2144" spans="6:7">
      <c r="F2144" s="1076"/>
      <c r="G2144" s="1076"/>
    </row>
    <row r="2145" spans="6:7">
      <c r="F2145" s="1076"/>
      <c r="G2145" s="1076"/>
    </row>
    <row r="2146" spans="6:7">
      <c r="F2146" s="1076"/>
      <c r="G2146" s="1076"/>
    </row>
    <row r="2147" spans="6:7">
      <c r="F2147" s="1076"/>
      <c r="G2147" s="1076"/>
    </row>
    <row r="2148" spans="6:7">
      <c r="F2148" s="1076"/>
      <c r="G2148" s="1076"/>
    </row>
    <row r="2149" spans="6:7">
      <c r="F2149" s="1076"/>
      <c r="G2149" s="1076"/>
    </row>
    <row r="2150" spans="6:7">
      <c r="F2150" s="1076"/>
      <c r="G2150" s="1076"/>
    </row>
    <row r="2151" spans="6:7">
      <c r="F2151" s="1076"/>
      <c r="G2151" s="1076"/>
    </row>
    <row r="2152" spans="6:7">
      <c r="F2152" s="1076"/>
      <c r="G2152" s="1076"/>
    </row>
    <row r="2153" spans="6:7">
      <c r="F2153" s="1076"/>
      <c r="G2153" s="1076"/>
    </row>
    <row r="2154" spans="6:7">
      <c r="F2154" s="1076"/>
      <c r="G2154" s="1076"/>
    </row>
    <row r="2155" spans="6:7">
      <c r="F2155" s="1076"/>
      <c r="G2155" s="1076"/>
    </row>
    <row r="2156" spans="6:7">
      <c r="F2156" s="1076"/>
      <c r="G2156" s="1076"/>
    </row>
    <row r="2157" spans="6:7">
      <c r="F2157" s="1076"/>
      <c r="G2157" s="1076"/>
    </row>
    <row r="2158" spans="6:7">
      <c r="F2158" s="1076"/>
      <c r="G2158" s="1076"/>
    </row>
    <row r="2159" spans="6:7">
      <c r="F2159" s="1076"/>
      <c r="G2159" s="1076"/>
    </row>
    <row r="2160" spans="6:7">
      <c r="F2160" s="1076"/>
      <c r="G2160" s="1076"/>
    </row>
    <row r="2161" spans="6:7">
      <c r="F2161" s="1076"/>
      <c r="G2161" s="1076"/>
    </row>
    <row r="2162" spans="6:7">
      <c r="F2162" s="1076"/>
      <c r="G2162" s="1076"/>
    </row>
    <row r="2163" spans="6:7">
      <c r="F2163" s="1076"/>
      <c r="G2163" s="1076"/>
    </row>
    <row r="2164" spans="6:7">
      <c r="F2164" s="1076"/>
      <c r="G2164" s="1076"/>
    </row>
    <row r="2165" spans="6:7">
      <c r="F2165" s="1076"/>
      <c r="G2165" s="1076"/>
    </row>
    <row r="2166" spans="6:7">
      <c r="F2166" s="1076"/>
      <c r="G2166" s="1076"/>
    </row>
    <row r="2167" spans="6:7">
      <c r="F2167" s="1076"/>
      <c r="G2167" s="1076"/>
    </row>
    <row r="2168" spans="6:7">
      <c r="F2168" s="1076"/>
      <c r="G2168" s="1076"/>
    </row>
    <row r="2169" spans="6:7">
      <c r="F2169" s="1076"/>
      <c r="G2169" s="1076"/>
    </row>
    <row r="2170" spans="6:7">
      <c r="F2170" s="1076"/>
      <c r="G2170" s="1076"/>
    </row>
    <row r="2171" spans="6:7">
      <c r="F2171" s="1076"/>
      <c r="G2171" s="1076"/>
    </row>
    <row r="2172" spans="6:7">
      <c r="F2172" s="1076"/>
      <c r="G2172" s="1076"/>
    </row>
    <row r="2173" spans="6:7">
      <c r="F2173" s="1076"/>
      <c r="G2173" s="1076"/>
    </row>
    <row r="2174" spans="6:7">
      <c r="F2174" s="1076"/>
      <c r="G2174" s="1076"/>
    </row>
    <row r="2175" spans="6:7">
      <c r="F2175" s="1076"/>
      <c r="G2175" s="1076"/>
    </row>
    <row r="2176" spans="6:7">
      <c r="F2176" s="1076"/>
      <c r="G2176" s="1076"/>
    </row>
    <row r="2177" spans="6:7">
      <c r="F2177" s="1076"/>
      <c r="G2177" s="1076"/>
    </row>
    <row r="2178" spans="6:7">
      <c r="F2178" s="1076"/>
      <c r="G2178" s="1076"/>
    </row>
    <row r="2179" spans="6:7">
      <c r="F2179" s="1076"/>
      <c r="G2179" s="1076"/>
    </row>
    <row r="2180" spans="6:7">
      <c r="F2180" s="1076"/>
      <c r="G2180" s="1076"/>
    </row>
    <row r="2181" spans="6:7">
      <c r="F2181" s="1076"/>
      <c r="G2181" s="1076"/>
    </row>
    <row r="2182" spans="6:7">
      <c r="F2182" s="1076"/>
      <c r="G2182" s="1076"/>
    </row>
    <row r="2183" spans="6:7">
      <c r="F2183" s="1076"/>
      <c r="G2183" s="1076"/>
    </row>
    <row r="2184" spans="6:7">
      <c r="F2184" s="1076"/>
      <c r="G2184" s="1076"/>
    </row>
    <row r="2185" spans="6:7">
      <c r="F2185" s="1076"/>
      <c r="G2185" s="1076"/>
    </row>
    <row r="2186" spans="6:7">
      <c r="F2186" s="1076"/>
      <c r="G2186" s="1076"/>
    </row>
    <row r="2187" spans="6:7">
      <c r="F2187" s="1076"/>
      <c r="G2187" s="1076"/>
    </row>
    <row r="2188" spans="6:7">
      <c r="F2188" s="1076"/>
      <c r="G2188" s="1076"/>
    </row>
    <row r="2189" spans="6:7">
      <c r="F2189" s="1076"/>
      <c r="G2189" s="1076"/>
    </row>
    <row r="2190" spans="6:7">
      <c r="F2190" s="1076"/>
      <c r="G2190" s="1076"/>
    </row>
    <row r="2191" spans="6:7">
      <c r="F2191" s="1076"/>
      <c r="G2191" s="1076"/>
    </row>
    <row r="2192" spans="6:7">
      <c r="F2192" s="1076"/>
      <c r="G2192" s="1076"/>
    </row>
    <row r="2193" spans="6:7">
      <c r="F2193" s="1076"/>
      <c r="G2193" s="1076"/>
    </row>
    <row r="2194" spans="6:7">
      <c r="F2194" s="1076"/>
      <c r="G2194" s="1076"/>
    </row>
    <row r="2195" spans="6:7">
      <c r="F2195" s="1076"/>
      <c r="G2195" s="1076"/>
    </row>
    <row r="2196" spans="6:7">
      <c r="F2196" s="1076"/>
      <c r="G2196" s="1076"/>
    </row>
    <row r="2197" spans="6:7">
      <c r="F2197" s="1076"/>
      <c r="G2197" s="1076"/>
    </row>
    <row r="2198" spans="6:7">
      <c r="F2198" s="1076"/>
      <c r="G2198" s="1076"/>
    </row>
    <row r="2199" spans="6:7">
      <c r="F2199" s="1076"/>
      <c r="G2199" s="1076"/>
    </row>
    <row r="2200" spans="6:7">
      <c r="F2200" s="1076"/>
      <c r="G2200" s="1076"/>
    </row>
    <row r="2201" spans="6:7">
      <c r="F2201" s="1076"/>
      <c r="G2201" s="1076"/>
    </row>
    <row r="2202" spans="6:7">
      <c r="F2202" s="1076"/>
      <c r="G2202" s="1076"/>
    </row>
    <row r="2203" spans="6:7">
      <c r="F2203" s="1076"/>
      <c r="G2203" s="1076"/>
    </row>
    <row r="2204" spans="6:7">
      <c r="F2204" s="1076"/>
      <c r="G2204" s="1076"/>
    </row>
    <row r="2205" spans="6:7">
      <c r="F2205" s="1076"/>
      <c r="G2205" s="1076"/>
    </row>
    <row r="2206" spans="6:7">
      <c r="F2206" s="1076"/>
      <c r="G2206" s="1076"/>
    </row>
    <row r="2207" spans="6:7">
      <c r="F2207" s="1076"/>
      <c r="G2207" s="1076"/>
    </row>
    <row r="2208" spans="6:7">
      <c r="F2208" s="1076"/>
      <c r="G2208" s="1076"/>
    </row>
    <row r="2209" spans="6:7">
      <c r="F2209" s="1076"/>
      <c r="G2209" s="1076"/>
    </row>
    <row r="2210" spans="6:7">
      <c r="F2210" s="1076"/>
      <c r="G2210" s="1076"/>
    </row>
    <row r="2211" spans="6:7">
      <c r="F2211" s="1076"/>
      <c r="G2211" s="1076"/>
    </row>
    <row r="2212" spans="6:7">
      <c r="F2212" s="1076"/>
      <c r="G2212" s="1076"/>
    </row>
    <row r="2213" spans="6:7">
      <c r="F2213" s="1076"/>
      <c r="G2213" s="1076"/>
    </row>
    <row r="2214" spans="6:7">
      <c r="F2214" s="1076"/>
      <c r="G2214" s="1076"/>
    </row>
    <row r="2215" spans="6:7">
      <c r="F2215" s="1076"/>
      <c r="G2215" s="1076"/>
    </row>
    <row r="2216" spans="6:7">
      <c r="F2216" s="1076"/>
      <c r="G2216" s="1076"/>
    </row>
    <row r="2217" spans="6:7">
      <c r="F2217" s="1076"/>
      <c r="G2217" s="1076"/>
    </row>
    <row r="2218" spans="6:7">
      <c r="F2218" s="1076"/>
      <c r="G2218" s="1076"/>
    </row>
    <row r="2219" spans="6:7">
      <c r="F2219" s="1076"/>
      <c r="G2219" s="1076"/>
    </row>
    <row r="2220" spans="6:7">
      <c r="F2220" s="1076"/>
      <c r="G2220" s="1076"/>
    </row>
    <row r="2221" spans="6:7">
      <c r="F2221" s="1076"/>
      <c r="G2221" s="1076"/>
    </row>
    <row r="2222" spans="6:7">
      <c r="F2222" s="1076"/>
      <c r="G2222" s="1076"/>
    </row>
    <row r="2223" spans="6:7">
      <c r="F2223" s="1076"/>
      <c r="G2223" s="1076"/>
    </row>
    <row r="2224" spans="6:7">
      <c r="F2224" s="1076"/>
      <c r="G2224" s="1076"/>
    </row>
    <row r="2225" spans="6:7">
      <c r="F2225" s="1076"/>
      <c r="G2225" s="1076"/>
    </row>
    <row r="2226" spans="6:7">
      <c r="F2226" s="1076"/>
      <c r="G2226" s="1076"/>
    </row>
    <row r="2227" spans="6:7">
      <c r="F2227" s="1076"/>
      <c r="G2227" s="1076"/>
    </row>
    <row r="2228" spans="6:7">
      <c r="F2228" s="1076"/>
      <c r="G2228" s="1076"/>
    </row>
    <row r="2229" spans="6:7">
      <c r="F2229" s="1076"/>
      <c r="G2229" s="1076"/>
    </row>
    <row r="2230" spans="6:7">
      <c r="F2230" s="1076"/>
      <c r="G2230" s="1076"/>
    </row>
    <row r="2231" spans="6:7">
      <c r="F2231" s="1076"/>
      <c r="G2231" s="1076"/>
    </row>
    <row r="2232" spans="6:7">
      <c r="F2232" s="1076"/>
      <c r="G2232" s="1076"/>
    </row>
    <row r="2233" spans="6:7">
      <c r="F2233" s="1076"/>
      <c r="G2233" s="1076"/>
    </row>
    <row r="2234" spans="6:7">
      <c r="F2234" s="1076"/>
      <c r="G2234" s="1076"/>
    </row>
    <row r="2235" spans="6:7">
      <c r="F2235" s="1076"/>
      <c r="G2235" s="1076"/>
    </row>
    <row r="2236" spans="6:7">
      <c r="F2236" s="1076"/>
      <c r="G2236" s="1076"/>
    </row>
    <row r="2237" spans="6:7">
      <c r="F2237" s="1076"/>
      <c r="G2237" s="1076"/>
    </row>
    <row r="2238" spans="6:7">
      <c r="F2238" s="1076"/>
      <c r="G2238" s="1076"/>
    </row>
    <row r="2239" spans="6:7">
      <c r="F2239" s="1076"/>
      <c r="G2239" s="1076"/>
    </row>
    <row r="2240" spans="6:7">
      <c r="F2240" s="1076"/>
      <c r="G2240" s="1076"/>
    </row>
    <row r="2241" spans="6:7">
      <c r="F2241" s="1076"/>
      <c r="G2241" s="1076"/>
    </row>
    <row r="2242" spans="6:7">
      <c r="F2242" s="1076"/>
      <c r="G2242" s="1076"/>
    </row>
    <row r="2243" spans="6:7">
      <c r="F2243" s="1076"/>
      <c r="G2243" s="1076"/>
    </row>
    <row r="2244" spans="6:7">
      <c r="F2244" s="1076"/>
      <c r="G2244" s="1076"/>
    </row>
    <row r="2245" spans="6:7">
      <c r="F2245" s="1076"/>
      <c r="G2245" s="1076"/>
    </row>
    <row r="2246" spans="6:7">
      <c r="F2246" s="1076"/>
      <c r="G2246" s="1076"/>
    </row>
    <row r="2247" spans="6:7">
      <c r="F2247" s="1076"/>
      <c r="G2247" s="1076"/>
    </row>
    <row r="2248" spans="6:7">
      <c r="F2248" s="1076"/>
      <c r="G2248" s="1076"/>
    </row>
    <row r="2249" spans="6:7">
      <c r="F2249" s="1076"/>
      <c r="G2249" s="1076"/>
    </row>
    <row r="2250" spans="6:7">
      <c r="F2250" s="1076"/>
      <c r="G2250" s="1076"/>
    </row>
    <row r="2251" spans="6:7">
      <c r="F2251" s="1076"/>
      <c r="G2251" s="1076"/>
    </row>
    <row r="2252" spans="6:7">
      <c r="F2252" s="1076"/>
      <c r="G2252" s="1076"/>
    </row>
    <row r="2253" spans="6:7">
      <c r="F2253" s="1076"/>
      <c r="G2253" s="1076"/>
    </row>
    <row r="2254" spans="6:7">
      <c r="F2254" s="1076"/>
      <c r="G2254" s="1076"/>
    </row>
    <row r="2255" spans="6:7">
      <c r="F2255" s="1076"/>
      <c r="G2255" s="1076"/>
    </row>
    <row r="2256" spans="6:7">
      <c r="F2256" s="1076"/>
      <c r="G2256" s="1076"/>
    </row>
    <row r="2257" spans="6:7">
      <c r="F2257" s="1076"/>
      <c r="G2257" s="1076"/>
    </row>
    <row r="2258" spans="6:7">
      <c r="F2258" s="1076"/>
      <c r="G2258" s="1076"/>
    </row>
    <row r="2259" spans="6:7">
      <c r="F2259" s="1076"/>
      <c r="G2259" s="1076"/>
    </row>
    <row r="2260" spans="6:7">
      <c r="F2260" s="1076"/>
      <c r="G2260" s="1076"/>
    </row>
    <row r="2261" spans="6:7">
      <c r="F2261" s="1076"/>
      <c r="G2261" s="1076"/>
    </row>
    <row r="2262" spans="6:7">
      <c r="F2262" s="1076"/>
      <c r="G2262" s="1076"/>
    </row>
    <row r="2263" spans="6:7">
      <c r="F2263" s="1076"/>
      <c r="G2263" s="1076"/>
    </row>
    <row r="2264" spans="6:7">
      <c r="F2264" s="1076"/>
      <c r="G2264" s="1076"/>
    </row>
    <row r="2265" spans="6:7">
      <c r="F2265" s="1076"/>
      <c r="G2265" s="1076"/>
    </row>
    <row r="2266" spans="6:7">
      <c r="F2266" s="1076"/>
      <c r="G2266" s="1076"/>
    </row>
    <row r="2267" spans="6:7">
      <c r="F2267" s="1076"/>
      <c r="G2267" s="1076"/>
    </row>
    <row r="2268" spans="6:7">
      <c r="F2268" s="1076"/>
      <c r="G2268" s="1076"/>
    </row>
    <row r="2269" spans="6:7">
      <c r="F2269" s="1076"/>
      <c r="G2269" s="1076"/>
    </row>
    <row r="2270" spans="6:7">
      <c r="F2270" s="1076"/>
      <c r="G2270" s="1076"/>
    </row>
    <row r="2271" spans="6:7">
      <c r="F2271" s="1076"/>
      <c r="G2271" s="1076"/>
    </row>
    <row r="2272" spans="6:7">
      <c r="F2272" s="1076"/>
      <c r="G2272" s="1076"/>
    </row>
    <row r="2273" spans="6:7">
      <c r="F2273" s="1076"/>
      <c r="G2273" s="1076"/>
    </row>
    <row r="2274" spans="6:7">
      <c r="F2274" s="1076"/>
      <c r="G2274" s="1076"/>
    </row>
    <row r="2275" spans="6:7">
      <c r="F2275" s="1076"/>
      <c r="G2275" s="1076"/>
    </row>
    <row r="2276" spans="6:7">
      <c r="F2276" s="1076"/>
      <c r="G2276" s="1076"/>
    </row>
    <row r="2277" spans="6:7">
      <c r="F2277" s="1076"/>
      <c r="G2277" s="1076"/>
    </row>
    <row r="2278" spans="6:7">
      <c r="F2278" s="1076"/>
      <c r="G2278" s="1076"/>
    </row>
    <row r="2279" spans="6:7">
      <c r="F2279" s="1076"/>
      <c r="G2279" s="1076"/>
    </row>
    <row r="2280" spans="6:7">
      <c r="F2280" s="1076"/>
      <c r="G2280" s="1076"/>
    </row>
    <row r="2281" spans="6:7">
      <c r="F2281" s="1076"/>
      <c r="G2281" s="1076"/>
    </row>
    <row r="2282" spans="6:7">
      <c r="F2282" s="1076"/>
      <c r="G2282" s="1076"/>
    </row>
    <row r="2283" spans="6:7">
      <c r="F2283" s="1076"/>
      <c r="G2283" s="1076"/>
    </row>
    <row r="2284" spans="6:7">
      <c r="F2284" s="1076"/>
      <c r="G2284" s="1076"/>
    </row>
    <row r="2285" spans="6:7">
      <c r="F2285" s="1076"/>
      <c r="G2285" s="1076"/>
    </row>
    <row r="2286" spans="6:7">
      <c r="F2286" s="1076"/>
      <c r="G2286" s="1076"/>
    </row>
    <row r="2287" spans="6:7">
      <c r="F2287" s="1076"/>
      <c r="G2287" s="1076"/>
    </row>
    <row r="2288" spans="6:7">
      <c r="F2288" s="1076"/>
      <c r="G2288" s="1076"/>
    </row>
    <row r="2289" spans="6:7">
      <c r="F2289" s="1076"/>
      <c r="G2289" s="1076"/>
    </row>
    <row r="2290" spans="6:7">
      <c r="F2290" s="1076"/>
      <c r="G2290" s="1076"/>
    </row>
    <row r="2291" spans="6:7">
      <c r="F2291" s="1076"/>
      <c r="G2291" s="1076"/>
    </row>
    <row r="2292" spans="6:7">
      <c r="F2292" s="1076"/>
      <c r="G2292" s="1076"/>
    </row>
    <row r="2293" spans="6:7">
      <c r="F2293" s="1076"/>
      <c r="G2293" s="1076"/>
    </row>
    <row r="2294" spans="6:7">
      <c r="F2294" s="1076"/>
      <c r="G2294" s="1076"/>
    </row>
    <row r="2295" spans="6:7">
      <c r="F2295" s="1076"/>
      <c r="G2295" s="1076"/>
    </row>
    <row r="2296" spans="6:7">
      <c r="F2296" s="1076"/>
      <c r="G2296" s="1076"/>
    </row>
    <row r="2297" spans="6:7">
      <c r="F2297" s="1076"/>
      <c r="G2297" s="1076"/>
    </row>
    <row r="2298" spans="6:7">
      <c r="F2298" s="1076"/>
      <c r="G2298" s="1076"/>
    </row>
    <row r="2299" spans="6:7">
      <c r="F2299" s="1076"/>
      <c r="G2299" s="1076"/>
    </row>
    <row r="2300" spans="6:7">
      <c r="F2300" s="1076"/>
      <c r="G2300" s="1076"/>
    </row>
    <row r="2301" spans="6:7">
      <c r="F2301" s="1076"/>
      <c r="G2301" s="1076"/>
    </row>
    <row r="2302" spans="6:7">
      <c r="F2302" s="1076"/>
      <c r="G2302" s="1076"/>
    </row>
    <row r="2303" spans="6:7">
      <c r="F2303" s="1076"/>
      <c r="G2303" s="1076"/>
    </row>
    <row r="2304" spans="6:7">
      <c r="F2304" s="1076"/>
      <c r="G2304" s="1076"/>
    </row>
    <row r="2305" spans="6:7">
      <c r="F2305" s="1076"/>
      <c r="G2305" s="1076"/>
    </row>
    <row r="2306" spans="6:7">
      <c r="F2306" s="1076"/>
      <c r="G2306" s="1076"/>
    </row>
    <row r="2307" spans="6:7">
      <c r="F2307" s="1076"/>
      <c r="G2307" s="1076"/>
    </row>
    <row r="2308" spans="6:7">
      <c r="F2308" s="1076"/>
      <c r="G2308" s="1076"/>
    </row>
    <row r="2309" spans="6:7">
      <c r="F2309" s="1076"/>
      <c r="G2309" s="1076"/>
    </row>
    <row r="2310" spans="6:7">
      <c r="F2310" s="1076"/>
      <c r="G2310" s="1076"/>
    </row>
    <row r="2311" spans="6:7">
      <c r="F2311" s="1076"/>
      <c r="G2311" s="1076"/>
    </row>
    <row r="2312" spans="6:7">
      <c r="F2312" s="1076"/>
      <c r="G2312" s="1076"/>
    </row>
    <row r="2313" spans="6:7">
      <c r="F2313" s="1076"/>
      <c r="G2313" s="1076"/>
    </row>
    <row r="2314" spans="6:7">
      <c r="F2314" s="1076"/>
      <c r="G2314" s="1076"/>
    </row>
    <row r="2315" spans="6:7">
      <c r="F2315" s="1076"/>
      <c r="G2315" s="1076"/>
    </row>
    <row r="2316" spans="6:7">
      <c r="F2316" s="1076"/>
      <c r="G2316" s="1076"/>
    </row>
    <row r="2317" spans="6:7">
      <c r="F2317" s="1076"/>
      <c r="G2317" s="1076"/>
    </row>
    <row r="2318" spans="6:7">
      <c r="F2318" s="1076"/>
      <c r="G2318" s="1076"/>
    </row>
    <row r="2319" spans="6:7">
      <c r="F2319" s="1076"/>
      <c r="G2319" s="1076"/>
    </row>
    <row r="2320" spans="6:7">
      <c r="F2320" s="1076"/>
      <c r="G2320" s="1076"/>
    </row>
    <row r="2321" spans="6:7">
      <c r="F2321" s="1076"/>
      <c r="G2321" s="1076"/>
    </row>
    <row r="2322" spans="6:7">
      <c r="F2322" s="1076"/>
      <c r="G2322" s="1076"/>
    </row>
    <row r="2323" spans="6:7">
      <c r="F2323" s="1076"/>
      <c r="G2323" s="1076"/>
    </row>
    <row r="2324" spans="6:7">
      <c r="F2324" s="1076"/>
      <c r="G2324" s="1076"/>
    </row>
    <row r="2325" spans="6:7">
      <c r="F2325" s="1076"/>
      <c r="G2325" s="1076"/>
    </row>
    <row r="2326" spans="6:7">
      <c r="F2326" s="1076"/>
      <c r="G2326" s="1076"/>
    </row>
    <row r="2327" spans="6:7">
      <c r="F2327" s="1076"/>
      <c r="G2327" s="1076"/>
    </row>
    <row r="2328" spans="6:7">
      <c r="F2328" s="1076"/>
      <c r="G2328" s="1076"/>
    </row>
    <row r="2329" spans="6:7">
      <c r="F2329" s="1076"/>
      <c r="G2329" s="1076"/>
    </row>
    <row r="2330" spans="6:7">
      <c r="F2330" s="1076"/>
      <c r="G2330" s="1076"/>
    </row>
    <row r="2331" spans="6:7">
      <c r="F2331" s="1076"/>
      <c r="G2331" s="1076"/>
    </row>
    <row r="2332" spans="6:7">
      <c r="F2332" s="1076"/>
      <c r="G2332" s="1076"/>
    </row>
    <row r="2333" spans="6:7">
      <c r="F2333" s="1076"/>
      <c r="G2333" s="1076"/>
    </row>
    <row r="2334" spans="6:7">
      <c r="F2334" s="1076"/>
      <c r="G2334" s="1076"/>
    </row>
    <row r="2335" spans="6:7">
      <c r="F2335" s="1076"/>
      <c r="G2335" s="1076"/>
    </row>
    <row r="2336" spans="6:7">
      <c r="F2336" s="1076"/>
      <c r="G2336" s="1076"/>
    </row>
    <row r="2337" spans="6:7">
      <c r="F2337" s="1076"/>
      <c r="G2337" s="1076"/>
    </row>
    <row r="2338" spans="6:7">
      <c r="F2338" s="1076"/>
      <c r="G2338" s="1076"/>
    </row>
    <row r="2339" spans="6:7">
      <c r="F2339" s="1076"/>
      <c r="G2339" s="1076"/>
    </row>
    <row r="2340" spans="6:7">
      <c r="F2340" s="1076"/>
      <c r="G2340" s="1076"/>
    </row>
    <row r="2341" spans="6:7">
      <c r="F2341" s="1076"/>
      <c r="G2341" s="1076"/>
    </row>
    <row r="2342" spans="6:7">
      <c r="F2342" s="1076"/>
      <c r="G2342" s="1076"/>
    </row>
    <row r="2343" spans="6:7">
      <c r="F2343" s="1076"/>
      <c r="G2343" s="1076"/>
    </row>
    <row r="2344" spans="6:7">
      <c r="F2344" s="1076"/>
      <c r="G2344" s="1076"/>
    </row>
    <row r="2345" spans="6:7">
      <c r="F2345" s="1076"/>
      <c r="G2345" s="1076"/>
    </row>
    <row r="2346" spans="6:7">
      <c r="F2346" s="1076"/>
      <c r="G2346" s="1076"/>
    </row>
    <row r="2347" spans="6:7">
      <c r="F2347" s="1076"/>
      <c r="G2347" s="1076"/>
    </row>
    <row r="2348" spans="6:7">
      <c r="F2348" s="1076"/>
      <c r="G2348" s="1076"/>
    </row>
    <row r="2349" spans="6:7">
      <c r="F2349" s="1076"/>
      <c r="G2349" s="1076"/>
    </row>
    <row r="2350" spans="6:7">
      <c r="F2350" s="1076"/>
      <c r="G2350" s="1076"/>
    </row>
    <row r="2351" spans="6:7">
      <c r="F2351" s="1076"/>
      <c r="G2351" s="1076"/>
    </row>
    <row r="2352" spans="6:7">
      <c r="F2352" s="1076"/>
      <c r="G2352" s="1076"/>
    </row>
    <row r="2353" spans="6:7">
      <c r="F2353" s="1076"/>
      <c r="G2353" s="1076"/>
    </row>
    <row r="2354" spans="6:7">
      <c r="F2354" s="1076"/>
      <c r="G2354" s="1076"/>
    </row>
    <row r="2355" spans="6:7">
      <c r="F2355" s="1076"/>
      <c r="G2355" s="1076"/>
    </row>
    <row r="2356" spans="6:7">
      <c r="F2356" s="1076"/>
      <c r="G2356" s="1076"/>
    </row>
    <row r="2357" spans="6:7">
      <c r="F2357" s="1076"/>
      <c r="G2357" s="1076"/>
    </row>
    <row r="2358" spans="6:7">
      <c r="F2358" s="1076"/>
      <c r="G2358" s="1076"/>
    </row>
    <row r="2359" spans="6:7">
      <c r="F2359" s="1076"/>
      <c r="G2359" s="1076"/>
    </row>
    <row r="2360" spans="6:7">
      <c r="F2360" s="1076"/>
      <c r="G2360" s="1076"/>
    </row>
    <row r="2361" spans="6:7">
      <c r="F2361" s="1076"/>
      <c r="G2361" s="1076"/>
    </row>
    <row r="2362" spans="6:7">
      <c r="F2362" s="1076"/>
      <c r="G2362" s="1076"/>
    </row>
    <row r="2363" spans="6:7">
      <c r="F2363" s="1076"/>
      <c r="G2363" s="1076"/>
    </row>
    <row r="2364" spans="6:7">
      <c r="F2364" s="1076"/>
      <c r="G2364" s="1076"/>
    </row>
    <row r="2365" spans="6:7">
      <c r="F2365" s="1076"/>
      <c r="G2365" s="1076"/>
    </row>
    <row r="2366" spans="6:7">
      <c r="F2366" s="1076"/>
      <c r="G2366" s="1076"/>
    </row>
    <row r="2367" spans="6:7">
      <c r="F2367" s="1076"/>
      <c r="G2367" s="1076"/>
    </row>
    <row r="2368" spans="6:7">
      <c r="F2368" s="1076"/>
      <c r="G2368" s="1076"/>
    </row>
    <row r="2369" spans="6:7">
      <c r="F2369" s="1076"/>
      <c r="G2369" s="1076"/>
    </row>
    <row r="2370" spans="6:7">
      <c r="F2370" s="1076"/>
      <c r="G2370" s="1076"/>
    </row>
    <row r="2371" spans="6:7">
      <c r="F2371" s="1076"/>
      <c r="G2371" s="1076"/>
    </row>
    <row r="2372" spans="6:7">
      <c r="F2372" s="1076"/>
      <c r="G2372" s="1076"/>
    </row>
    <row r="2373" spans="6:7">
      <c r="F2373" s="1076"/>
      <c r="G2373" s="1076"/>
    </row>
    <row r="2374" spans="6:7">
      <c r="F2374" s="1076"/>
      <c r="G2374" s="1076"/>
    </row>
    <row r="2375" spans="6:7">
      <c r="F2375" s="1076"/>
      <c r="G2375" s="1076"/>
    </row>
    <row r="2376" spans="6:7">
      <c r="F2376" s="1076"/>
      <c r="G2376" s="1076"/>
    </row>
    <row r="2377" spans="6:7">
      <c r="F2377" s="1076"/>
      <c r="G2377" s="1076"/>
    </row>
    <row r="2378" spans="6:7">
      <c r="F2378" s="1076"/>
      <c r="G2378" s="1076"/>
    </row>
    <row r="2379" spans="6:7">
      <c r="F2379" s="1076"/>
      <c r="G2379" s="1076"/>
    </row>
    <row r="2380" spans="6:7">
      <c r="F2380" s="1076"/>
      <c r="G2380" s="1076"/>
    </row>
    <row r="2381" spans="6:7">
      <c r="F2381" s="1076"/>
      <c r="G2381" s="1076"/>
    </row>
    <row r="2382" spans="6:7">
      <c r="F2382" s="1076"/>
      <c r="G2382" s="1076"/>
    </row>
    <row r="2383" spans="6:7">
      <c r="F2383" s="1076"/>
      <c r="G2383" s="1076"/>
    </row>
    <row r="2384" spans="6:7">
      <c r="F2384" s="1076"/>
      <c r="G2384" s="1076"/>
    </row>
    <row r="2385" spans="6:7">
      <c r="F2385" s="1076"/>
      <c r="G2385" s="1076"/>
    </row>
    <row r="2386" spans="6:7">
      <c r="F2386" s="1076"/>
      <c r="G2386" s="1076"/>
    </row>
    <row r="2387" spans="6:7">
      <c r="F2387" s="1076"/>
      <c r="G2387" s="1076"/>
    </row>
    <row r="2388" spans="6:7">
      <c r="F2388" s="1076"/>
      <c r="G2388" s="1076"/>
    </row>
    <row r="2389" spans="6:7">
      <c r="F2389" s="1076"/>
      <c r="G2389" s="1076"/>
    </row>
    <row r="2390" spans="6:7">
      <c r="F2390" s="1076"/>
      <c r="G2390" s="1076"/>
    </row>
    <row r="2391" spans="6:7">
      <c r="F2391" s="1076"/>
      <c r="G2391" s="1076"/>
    </row>
    <row r="2392" spans="6:7">
      <c r="F2392" s="1076"/>
      <c r="G2392" s="1076"/>
    </row>
    <row r="2393" spans="6:7">
      <c r="F2393" s="1076"/>
      <c r="G2393" s="1076"/>
    </row>
    <row r="2394" spans="6:7">
      <c r="F2394" s="1076"/>
      <c r="G2394" s="1076"/>
    </row>
    <row r="2395" spans="6:7">
      <c r="F2395" s="1076"/>
      <c r="G2395" s="1076"/>
    </row>
    <row r="2396" spans="6:7">
      <c r="F2396" s="1076"/>
      <c r="G2396" s="1076"/>
    </row>
    <row r="2397" spans="6:7">
      <c r="F2397" s="1076"/>
      <c r="G2397" s="1076"/>
    </row>
    <row r="2398" spans="6:7">
      <c r="F2398" s="1076"/>
      <c r="G2398" s="1076"/>
    </row>
    <row r="2399" spans="6:7">
      <c r="F2399" s="1076"/>
      <c r="G2399" s="1076"/>
    </row>
    <row r="2400" spans="6:7">
      <c r="F2400" s="1076"/>
      <c r="G2400" s="1076"/>
    </row>
    <row r="2401" spans="6:7">
      <c r="F2401" s="1076"/>
      <c r="G2401" s="1076"/>
    </row>
    <row r="2402" spans="6:7">
      <c r="F2402" s="1076"/>
      <c r="G2402" s="1076"/>
    </row>
    <row r="2403" spans="6:7">
      <c r="F2403" s="1076"/>
      <c r="G2403" s="1076"/>
    </row>
    <row r="2404" spans="6:7">
      <c r="F2404" s="1076"/>
      <c r="G2404" s="1076"/>
    </row>
    <row r="2405" spans="6:7">
      <c r="F2405" s="1076"/>
      <c r="G2405" s="1076"/>
    </row>
    <row r="2406" spans="6:7">
      <c r="F2406" s="1076"/>
      <c r="G2406" s="1076"/>
    </row>
    <row r="2407" spans="6:7">
      <c r="F2407" s="1076"/>
      <c r="G2407" s="1076"/>
    </row>
    <row r="2408" spans="6:7">
      <c r="F2408" s="1076"/>
      <c r="G2408" s="1076"/>
    </row>
    <row r="2409" spans="6:7">
      <c r="F2409" s="1076"/>
      <c r="G2409" s="1076"/>
    </row>
    <row r="2410" spans="6:7">
      <c r="F2410" s="1076"/>
      <c r="G2410" s="1076"/>
    </row>
    <row r="2411" spans="6:7">
      <c r="F2411" s="1076"/>
      <c r="G2411" s="1076"/>
    </row>
    <row r="2412" spans="6:7">
      <c r="F2412" s="1076"/>
      <c r="G2412" s="1076"/>
    </row>
    <row r="2413" spans="6:7">
      <c r="F2413" s="1076"/>
      <c r="G2413" s="1076"/>
    </row>
    <row r="2414" spans="6:7">
      <c r="F2414" s="1076"/>
      <c r="G2414" s="1076"/>
    </row>
    <row r="2415" spans="6:7">
      <c r="F2415" s="1076"/>
      <c r="G2415" s="1076"/>
    </row>
    <row r="2416" spans="6:7">
      <c r="F2416" s="1076"/>
      <c r="G2416" s="1076"/>
    </row>
    <row r="2417" spans="6:7">
      <c r="F2417" s="1076"/>
      <c r="G2417" s="1076"/>
    </row>
    <row r="2418" spans="6:7">
      <c r="F2418" s="1076"/>
      <c r="G2418" s="1076"/>
    </row>
    <row r="2419" spans="6:7">
      <c r="F2419" s="1076"/>
      <c r="G2419" s="1076"/>
    </row>
    <row r="2420" spans="6:7">
      <c r="F2420" s="1076"/>
      <c r="G2420" s="1076"/>
    </row>
    <row r="2421" spans="6:7">
      <c r="F2421" s="1076"/>
      <c r="G2421" s="1076"/>
    </row>
    <row r="2422" spans="6:7">
      <c r="F2422" s="1076"/>
      <c r="G2422" s="1076"/>
    </row>
    <row r="2423" spans="6:7">
      <c r="F2423" s="1076"/>
      <c r="G2423" s="1076"/>
    </row>
    <row r="2424" spans="6:7">
      <c r="F2424" s="1076"/>
      <c r="G2424" s="1076"/>
    </row>
    <row r="2425" spans="6:7">
      <c r="F2425" s="1076"/>
      <c r="G2425" s="1076"/>
    </row>
    <row r="2426" spans="6:7">
      <c r="F2426" s="1076"/>
      <c r="G2426" s="1076"/>
    </row>
    <row r="2427" spans="6:7">
      <c r="F2427" s="1076"/>
      <c r="G2427" s="1076"/>
    </row>
    <row r="2428" spans="6:7">
      <c r="F2428" s="1076"/>
      <c r="G2428" s="1076"/>
    </row>
    <row r="2429" spans="6:7">
      <c r="F2429" s="1076"/>
      <c r="G2429" s="1076"/>
    </row>
    <row r="2430" spans="6:7">
      <c r="F2430" s="1076"/>
      <c r="G2430" s="1076"/>
    </row>
    <row r="2431" spans="6:7">
      <c r="F2431" s="1076"/>
      <c r="G2431" s="1076"/>
    </row>
    <row r="2432" spans="6:7">
      <c r="F2432" s="1076"/>
      <c r="G2432" s="1076"/>
    </row>
    <row r="2433" spans="6:7">
      <c r="F2433" s="1076"/>
      <c r="G2433" s="1076"/>
    </row>
    <row r="2434" spans="6:7">
      <c r="F2434" s="1076"/>
      <c r="G2434" s="1076"/>
    </row>
    <row r="2435" spans="6:7">
      <c r="F2435" s="1076"/>
      <c r="G2435" s="1076"/>
    </row>
    <row r="2436" spans="6:7">
      <c r="F2436" s="1076"/>
      <c r="G2436" s="1076"/>
    </row>
    <row r="2437" spans="6:7">
      <c r="F2437" s="1076"/>
      <c r="G2437" s="1076"/>
    </row>
    <row r="2438" spans="6:7">
      <c r="F2438" s="1076"/>
      <c r="G2438" s="1076"/>
    </row>
    <row r="2439" spans="6:7">
      <c r="F2439" s="1076"/>
      <c r="G2439" s="1076"/>
    </row>
    <row r="2440" spans="6:7">
      <c r="F2440" s="1076"/>
      <c r="G2440" s="1076"/>
    </row>
    <row r="2441" spans="6:7">
      <c r="F2441" s="1076"/>
      <c r="G2441" s="1076"/>
    </row>
    <row r="2442" spans="6:7">
      <c r="F2442" s="1076"/>
      <c r="G2442" s="1076"/>
    </row>
    <row r="2443" spans="6:7">
      <c r="F2443" s="1076"/>
      <c r="G2443" s="1076"/>
    </row>
    <row r="2444" spans="6:7">
      <c r="F2444" s="1076"/>
      <c r="G2444" s="1076"/>
    </row>
    <row r="2445" spans="6:7">
      <c r="F2445" s="1076"/>
      <c r="G2445" s="1076"/>
    </row>
    <row r="2446" spans="6:7">
      <c r="F2446" s="1076"/>
      <c r="G2446" s="1076"/>
    </row>
    <row r="2447" spans="6:7">
      <c r="F2447" s="1076"/>
      <c r="G2447" s="1076"/>
    </row>
    <row r="2448" spans="6:7">
      <c r="F2448" s="1076"/>
      <c r="G2448" s="1076"/>
    </row>
    <row r="2449" spans="6:7">
      <c r="F2449" s="1076"/>
      <c r="G2449" s="1076"/>
    </row>
    <row r="2450" spans="6:7">
      <c r="F2450" s="1076"/>
      <c r="G2450" s="1076"/>
    </row>
    <row r="2451" spans="6:7">
      <c r="F2451" s="1076"/>
      <c r="G2451" s="1076"/>
    </row>
    <row r="2452" spans="6:7">
      <c r="F2452" s="1076"/>
      <c r="G2452" s="1076"/>
    </row>
    <row r="2453" spans="6:7">
      <c r="F2453" s="1076"/>
      <c r="G2453" s="1076"/>
    </row>
    <row r="2454" spans="6:7">
      <c r="F2454" s="1076"/>
      <c r="G2454" s="1076"/>
    </row>
    <row r="2455" spans="6:7">
      <c r="F2455" s="1076"/>
      <c r="G2455" s="1076"/>
    </row>
    <row r="2456" spans="6:7">
      <c r="F2456" s="1076"/>
      <c r="G2456" s="1076"/>
    </row>
    <row r="2457" spans="6:7">
      <c r="F2457" s="1076"/>
      <c r="G2457" s="1076"/>
    </row>
    <row r="2458" spans="6:7">
      <c r="F2458" s="1076"/>
      <c r="G2458" s="1076"/>
    </row>
    <row r="2459" spans="6:7">
      <c r="F2459" s="1076"/>
      <c r="G2459" s="1076"/>
    </row>
    <row r="2460" spans="6:7">
      <c r="F2460" s="1076"/>
      <c r="G2460" s="1076"/>
    </row>
    <row r="2461" spans="6:7">
      <c r="F2461" s="1076"/>
      <c r="G2461" s="1076"/>
    </row>
    <row r="2462" spans="6:7">
      <c r="F2462" s="1076"/>
      <c r="G2462" s="1076"/>
    </row>
    <row r="2463" spans="6:7">
      <c r="F2463" s="1076"/>
      <c r="G2463" s="1076"/>
    </row>
    <row r="2464" spans="6:7">
      <c r="F2464" s="1076"/>
      <c r="G2464" s="1076"/>
    </row>
    <row r="2465" spans="6:7">
      <c r="F2465" s="1076"/>
      <c r="G2465" s="1076"/>
    </row>
    <row r="2466" spans="6:7">
      <c r="F2466" s="1076"/>
      <c r="G2466" s="1076"/>
    </row>
    <row r="2467" spans="6:7">
      <c r="F2467" s="1076"/>
      <c r="G2467" s="1076"/>
    </row>
    <row r="2468" spans="6:7">
      <c r="F2468" s="1076"/>
      <c r="G2468" s="1076"/>
    </row>
    <row r="2469" spans="6:7">
      <c r="F2469" s="1076"/>
      <c r="G2469" s="1076"/>
    </row>
    <row r="2470" spans="6:7">
      <c r="F2470" s="1076"/>
      <c r="G2470" s="1076"/>
    </row>
    <row r="2471" spans="6:7">
      <c r="F2471" s="1076"/>
      <c r="G2471" s="1076"/>
    </row>
    <row r="2472" spans="6:7">
      <c r="F2472" s="1076"/>
      <c r="G2472" s="1076"/>
    </row>
    <row r="2473" spans="6:7">
      <c r="F2473" s="1076"/>
      <c r="G2473" s="1076"/>
    </row>
    <row r="2474" spans="6:7">
      <c r="F2474" s="1076"/>
      <c r="G2474" s="1076"/>
    </row>
    <row r="2475" spans="6:7">
      <c r="F2475" s="1076"/>
      <c r="G2475" s="1076"/>
    </row>
    <row r="2476" spans="6:7">
      <c r="F2476" s="1076"/>
      <c r="G2476" s="1076"/>
    </row>
    <row r="2477" spans="6:7">
      <c r="F2477" s="1076"/>
      <c r="G2477" s="1076"/>
    </row>
    <row r="2478" spans="6:7">
      <c r="F2478" s="1076"/>
      <c r="G2478" s="1076"/>
    </row>
    <row r="2479" spans="6:7">
      <c r="F2479" s="1076"/>
      <c r="G2479" s="1076"/>
    </row>
    <row r="2480" spans="6:7">
      <c r="F2480" s="1076"/>
      <c r="G2480" s="1076"/>
    </row>
    <row r="2481" spans="6:7">
      <c r="F2481" s="1076"/>
      <c r="G2481" s="1076"/>
    </row>
    <row r="2482" spans="6:7">
      <c r="F2482" s="1076"/>
      <c r="G2482" s="1076"/>
    </row>
    <row r="2483" spans="6:7">
      <c r="F2483" s="1076"/>
      <c r="G2483" s="1076"/>
    </row>
    <row r="2484" spans="6:7">
      <c r="F2484" s="1076"/>
      <c r="G2484" s="1076"/>
    </row>
    <row r="2485" spans="6:7">
      <c r="F2485" s="1076"/>
      <c r="G2485" s="1076"/>
    </row>
    <row r="2486" spans="6:7">
      <c r="F2486" s="1076"/>
      <c r="G2486" s="1076"/>
    </row>
    <row r="2487" spans="6:7">
      <c r="F2487" s="1076"/>
      <c r="G2487" s="1076"/>
    </row>
    <row r="2488" spans="6:7">
      <c r="F2488" s="1076"/>
      <c r="G2488" s="1076"/>
    </row>
    <row r="2489" spans="6:7">
      <c r="F2489" s="1076"/>
      <c r="G2489" s="1076"/>
    </row>
    <row r="2490" spans="6:7">
      <c r="F2490" s="1076"/>
      <c r="G2490" s="1076"/>
    </row>
    <row r="2491" spans="6:7">
      <c r="F2491" s="1076"/>
      <c r="G2491" s="1076"/>
    </row>
    <row r="2492" spans="6:7">
      <c r="F2492" s="1076"/>
      <c r="G2492" s="1076"/>
    </row>
    <row r="2493" spans="6:7">
      <c r="F2493" s="1076"/>
      <c r="G2493" s="1076"/>
    </row>
    <row r="2494" spans="6:7">
      <c r="F2494" s="1076"/>
      <c r="G2494" s="1076"/>
    </row>
    <row r="2495" spans="6:7">
      <c r="F2495" s="1076"/>
      <c r="G2495" s="1076"/>
    </row>
    <row r="2496" spans="6:7">
      <c r="F2496" s="1076"/>
      <c r="G2496" s="1076"/>
    </row>
    <row r="2497" spans="6:7">
      <c r="F2497" s="1076"/>
      <c r="G2497" s="1076"/>
    </row>
    <row r="2498" spans="6:7">
      <c r="F2498" s="1076"/>
      <c r="G2498" s="1076"/>
    </row>
    <row r="2499" spans="6:7">
      <c r="F2499" s="1076"/>
      <c r="G2499" s="1076"/>
    </row>
    <row r="2500" spans="6:7">
      <c r="F2500" s="1076"/>
      <c r="G2500" s="1076"/>
    </row>
    <row r="2501" spans="6:7">
      <c r="F2501" s="1076"/>
      <c r="G2501" s="1076"/>
    </row>
    <row r="2502" spans="6:7">
      <c r="F2502" s="1076"/>
      <c r="G2502" s="1076"/>
    </row>
    <row r="2503" spans="6:7">
      <c r="F2503" s="1076"/>
      <c r="G2503" s="1076"/>
    </row>
    <row r="2504" spans="6:7">
      <c r="F2504" s="1076"/>
      <c r="G2504" s="1076"/>
    </row>
    <row r="2505" spans="6:7">
      <c r="F2505" s="1076"/>
      <c r="G2505" s="1076"/>
    </row>
    <row r="2506" spans="6:7">
      <c r="F2506" s="1076"/>
      <c r="G2506" s="1076"/>
    </row>
    <row r="2507" spans="6:7">
      <c r="F2507" s="1076"/>
      <c r="G2507" s="1076"/>
    </row>
    <row r="2508" spans="6:7">
      <c r="F2508" s="1076"/>
      <c r="G2508" s="1076"/>
    </row>
    <row r="2509" spans="6:7">
      <c r="F2509" s="1076"/>
      <c r="G2509" s="1076"/>
    </row>
    <row r="2510" spans="6:7">
      <c r="F2510" s="1076"/>
      <c r="G2510" s="1076"/>
    </row>
    <row r="2511" spans="6:7">
      <c r="F2511" s="1076"/>
      <c r="G2511" s="1076"/>
    </row>
    <row r="2512" spans="6:7">
      <c r="F2512" s="1076"/>
      <c r="G2512" s="1076"/>
    </row>
    <row r="2513" spans="6:7">
      <c r="F2513" s="1076"/>
      <c r="G2513" s="1076"/>
    </row>
    <row r="2514" spans="6:7">
      <c r="F2514" s="1076"/>
      <c r="G2514" s="1076"/>
    </row>
    <row r="2515" spans="6:7">
      <c r="F2515" s="1076"/>
      <c r="G2515" s="1076"/>
    </row>
    <row r="2516" spans="6:7">
      <c r="F2516" s="1076"/>
      <c r="G2516" s="1076"/>
    </row>
    <row r="2517" spans="6:7">
      <c r="F2517" s="1076"/>
      <c r="G2517" s="1076"/>
    </row>
    <row r="2518" spans="6:7">
      <c r="F2518" s="1076"/>
      <c r="G2518" s="1076"/>
    </row>
    <row r="2519" spans="6:7">
      <c r="F2519" s="1076"/>
      <c r="G2519" s="1076"/>
    </row>
    <row r="2520" spans="6:7">
      <c r="F2520" s="1076"/>
      <c r="G2520" s="1076"/>
    </row>
    <row r="2521" spans="6:7">
      <c r="F2521" s="1076"/>
      <c r="G2521" s="1076"/>
    </row>
    <row r="2522" spans="6:7">
      <c r="F2522" s="1076"/>
      <c r="G2522" s="1076"/>
    </row>
    <row r="2523" spans="6:7">
      <c r="F2523" s="1076"/>
      <c r="G2523" s="1076"/>
    </row>
    <row r="2524" spans="6:7">
      <c r="F2524" s="1076"/>
      <c r="G2524" s="1076"/>
    </row>
    <row r="2525" spans="6:7">
      <c r="F2525" s="1076"/>
      <c r="G2525" s="1076"/>
    </row>
    <row r="2526" spans="6:7">
      <c r="F2526" s="1076"/>
      <c r="G2526" s="1076"/>
    </row>
    <row r="2527" spans="6:7">
      <c r="F2527" s="1076"/>
      <c r="G2527" s="1076"/>
    </row>
    <row r="2528" spans="6:7">
      <c r="F2528" s="1076"/>
      <c r="G2528" s="1076"/>
    </row>
    <row r="2529" spans="6:7">
      <c r="F2529" s="1076"/>
      <c r="G2529" s="1076"/>
    </row>
    <row r="2530" spans="6:7">
      <c r="F2530" s="1076"/>
      <c r="G2530" s="1076"/>
    </row>
    <row r="2531" spans="6:7">
      <c r="F2531" s="1076"/>
      <c r="G2531" s="1076"/>
    </row>
    <row r="2532" spans="6:7">
      <c r="F2532" s="1076"/>
      <c r="G2532" s="1076"/>
    </row>
    <row r="2533" spans="6:7">
      <c r="F2533" s="1076"/>
      <c r="G2533" s="1076"/>
    </row>
    <row r="2534" spans="6:7">
      <c r="F2534" s="1076"/>
      <c r="G2534" s="1076"/>
    </row>
    <row r="2535" spans="6:7">
      <c r="F2535" s="1076"/>
      <c r="G2535" s="1076"/>
    </row>
    <row r="2536" spans="6:7">
      <c r="F2536" s="1076"/>
      <c r="G2536" s="1076"/>
    </row>
    <row r="2537" spans="6:7">
      <c r="F2537" s="1076"/>
      <c r="G2537" s="1076"/>
    </row>
    <row r="2538" spans="6:7">
      <c r="F2538" s="1076"/>
      <c r="G2538" s="1076"/>
    </row>
    <row r="2539" spans="6:7">
      <c r="F2539" s="1076"/>
      <c r="G2539" s="1076"/>
    </row>
    <row r="2540" spans="6:7">
      <c r="F2540" s="1076"/>
      <c r="G2540" s="1076"/>
    </row>
    <row r="2541" spans="6:7">
      <c r="F2541" s="1076"/>
      <c r="G2541" s="1076"/>
    </row>
    <row r="2542" spans="6:7">
      <c r="F2542" s="1076"/>
      <c r="G2542" s="1076"/>
    </row>
    <row r="2543" spans="6:7">
      <c r="F2543" s="1076"/>
      <c r="G2543" s="1076"/>
    </row>
    <row r="2544" spans="6:7">
      <c r="F2544" s="1076"/>
      <c r="G2544" s="1076"/>
    </row>
    <row r="2545" spans="6:7">
      <c r="F2545" s="1076"/>
      <c r="G2545" s="1076"/>
    </row>
    <row r="2546" spans="6:7">
      <c r="F2546" s="1076"/>
      <c r="G2546" s="1076"/>
    </row>
    <row r="2547" spans="6:7">
      <c r="F2547" s="1076"/>
      <c r="G2547" s="1076"/>
    </row>
    <row r="2548" spans="6:7">
      <c r="F2548" s="1076"/>
      <c r="G2548" s="1076"/>
    </row>
    <row r="2549" spans="6:7">
      <c r="F2549" s="1076"/>
      <c r="G2549" s="1076"/>
    </row>
    <row r="2550" spans="6:7">
      <c r="F2550" s="1076"/>
      <c r="G2550" s="1076"/>
    </row>
    <row r="2551" spans="6:7">
      <c r="F2551" s="1076"/>
      <c r="G2551" s="1076"/>
    </row>
    <row r="2552" spans="6:7">
      <c r="F2552" s="1076"/>
      <c r="G2552" s="1076"/>
    </row>
    <row r="2553" spans="6:7">
      <c r="F2553" s="1076"/>
      <c r="G2553" s="1076"/>
    </row>
    <row r="2554" spans="6:7">
      <c r="F2554" s="1076"/>
      <c r="G2554" s="1076"/>
    </row>
    <row r="2555" spans="6:7">
      <c r="F2555" s="1076"/>
      <c r="G2555" s="1076"/>
    </row>
    <row r="2556" spans="6:7">
      <c r="F2556" s="1076"/>
      <c r="G2556" s="1076"/>
    </row>
    <row r="2557" spans="6:7">
      <c r="F2557" s="1076"/>
      <c r="G2557" s="1076"/>
    </row>
    <row r="2558" spans="6:7">
      <c r="F2558" s="1076"/>
      <c r="G2558" s="1076"/>
    </row>
    <row r="2559" spans="6:7">
      <c r="F2559" s="1076"/>
      <c r="G2559" s="1076"/>
    </row>
    <row r="2560" spans="6:7">
      <c r="F2560" s="1076"/>
      <c r="G2560" s="1076"/>
    </row>
    <row r="2561" spans="6:7">
      <c r="F2561" s="1076"/>
      <c r="G2561" s="1076"/>
    </row>
    <row r="2562" spans="6:7">
      <c r="F2562" s="1076"/>
      <c r="G2562" s="1076"/>
    </row>
    <row r="2563" spans="6:7">
      <c r="F2563" s="1076"/>
      <c r="G2563" s="1076"/>
    </row>
    <row r="2564" spans="6:7">
      <c r="F2564" s="1076"/>
      <c r="G2564" s="1076"/>
    </row>
    <row r="2565" spans="6:7">
      <c r="F2565" s="1076"/>
      <c r="G2565" s="1076"/>
    </row>
    <row r="2566" spans="6:7">
      <c r="F2566" s="1076"/>
      <c r="G2566" s="1076"/>
    </row>
    <row r="2567" spans="6:7">
      <c r="F2567" s="1076"/>
      <c r="G2567" s="1076"/>
    </row>
    <row r="2568" spans="6:7">
      <c r="F2568" s="1076"/>
      <c r="G2568" s="1076"/>
    </row>
    <row r="2569" spans="6:7">
      <c r="F2569" s="1076"/>
      <c r="G2569" s="1076"/>
    </row>
    <row r="2570" spans="6:7">
      <c r="F2570" s="1076"/>
      <c r="G2570" s="1076"/>
    </row>
    <row r="2571" spans="6:7">
      <c r="F2571" s="1076"/>
      <c r="G2571" s="1076"/>
    </row>
    <row r="2572" spans="6:7">
      <c r="F2572" s="1076"/>
      <c r="G2572" s="1076"/>
    </row>
    <row r="2573" spans="6:7">
      <c r="F2573" s="1076"/>
      <c r="G2573" s="1076"/>
    </row>
    <row r="2574" spans="6:7">
      <c r="F2574" s="1076"/>
      <c r="G2574" s="1076"/>
    </row>
    <row r="2575" spans="6:7">
      <c r="F2575" s="1076"/>
      <c r="G2575" s="1076"/>
    </row>
    <row r="2576" spans="6:7">
      <c r="F2576" s="1076"/>
      <c r="G2576" s="1076"/>
    </row>
    <row r="2577" spans="6:7">
      <c r="F2577" s="1076"/>
      <c r="G2577" s="1076"/>
    </row>
    <row r="2578" spans="6:7">
      <c r="F2578" s="1076"/>
      <c r="G2578" s="1076"/>
    </row>
    <row r="2579" spans="6:7">
      <c r="F2579" s="1076"/>
      <c r="G2579" s="1076"/>
    </row>
    <row r="2580" spans="6:7">
      <c r="F2580" s="1076"/>
      <c r="G2580" s="1076"/>
    </row>
    <row r="2581" spans="6:7">
      <c r="F2581" s="1076"/>
      <c r="G2581" s="1076"/>
    </row>
    <row r="2582" spans="6:7">
      <c r="F2582" s="1076"/>
      <c r="G2582" s="1076"/>
    </row>
    <row r="2583" spans="6:7">
      <c r="F2583" s="1076"/>
      <c r="G2583" s="1076"/>
    </row>
    <row r="2584" spans="6:7">
      <c r="F2584" s="1076"/>
      <c r="G2584" s="1076"/>
    </row>
    <row r="2585" spans="6:7">
      <c r="F2585" s="1076"/>
      <c r="G2585" s="1076"/>
    </row>
    <row r="2586" spans="6:7">
      <c r="F2586" s="1076"/>
      <c r="G2586" s="1076"/>
    </row>
    <row r="2587" spans="6:7">
      <c r="F2587" s="1076"/>
      <c r="G2587" s="1076"/>
    </row>
    <row r="2588" spans="6:7">
      <c r="F2588" s="1076"/>
      <c r="G2588" s="1076"/>
    </row>
    <row r="2589" spans="6:7">
      <c r="F2589" s="1076"/>
      <c r="G2589" s="1076"/>
    </row>
    <row r="2590" spans="6:7">
      <c r="F2590" s="1076"/>
      <c r="G2590" s="1076"/>
    </row>
    <row r="2591" spans="6:7">
      <c r="F2591" s="1076"/>
      <c r="G2591" s="1076"/>
    </row>
    <row r="2592" spans="6:7">
      <c r="F2592" s="1076"/>
      <c r="G2592" s="1076"/>
    </row>
    <row r="2593" spans="6:7">
      <c r="F2593" s="1076"/>
      <c r="G2593" s="1076"/>
    </row>
    <row r="2594" spans="6:7">
      <c r="F2594" s="1076"/>
      <c r="G2594" s="1076"/>
    </row>
    <row r="2595" spans="6:7">
      <c r="F2595" s="1076"/>
      <c r="G2595" s="1076"/>
    </row>
    <row r="2596" spans="6:7">
      <c r="F2596" s="1076"/>
      <c r="G2596" s="1076"/>
    </row>
    <row r="2597" spans="6:7">
      <c r="F2597" s="1076"/>
      <c r="G2597" s="1076"/>
    </row>
    <row r="2598" spans="6:7">
      <c r="F2598" s="1076"/>
      <c r="G2598" s="1076"/>
    </row>
    <row r="2599" spans="6:7">
      <c r="F2599" s="1076"/>
      <c r="G2599" s="1076"/>
    </row>
    <row r="2600" spans="6:7">
      <c r="F2600" s="1076"/>
      <c r="G2600" s="1076"/>
    </row>
    <row r="2601" spans="6:7">
      <c r="F2601" s="1076"/>
      <c r="G2601" s="1076"/>
    </row>
    <row r="2602" spans="6:7">
      <c r="F2602" s="1076"/>
      <c r="G2602" s="1076"/>
    </row>
    <row r="2603" spans="6:7">
      <c r="F2603" s="1076"/>
      <c r="G2603" s="1076"/>
    </row>
    <row r="2604" spans="6:7">
      <c r="F2604" s="1076"/>
      <c r="G2604" s="1076"/>
    </row>
    <row r="2605" spans="6:7">
      <c r="F2605" s="1076"/>
      <c r="G2605" s="1076"/>
    </row>
    <row r="2606" spans="6:7">
      <c r="F2606" s="1076"/>
      <c r="G2606" s="1076"/>
    </row>
    <row r="2607" spans="6:7">
      <c r="F2607" s="1076"/>
      <c r="G2607" s="1076"/>
    </row>
    <row r="2608" spans="6:7">
      <c r="F2608" s="1076"/>
      <c r="G2608" s="1076"/>
    </row>
    <row r="2609" spans="6:7">
      <c r="F2609" s="1076"/>
      <c r="G2609" s="1076"/>
    </row>
    <row r="2610" spans="6:7">
      <c r="F2610" s="1076"/>
      <c r="G2610" s="1076"/>
    </row>
    <row r="2611" spans="6:7">
      <c r="F2611" s="1076"/>
      <c r="G2611" s="1076"/>
    </row>
    <row r="2612" spans="6:7">
      <c r="F2612" s="1076"/>
      <c r="G2612" s="1076"/>
    </row>
    <row r="2613" spans="6:7">
      <c r="F2613" s="1076"/>
      <c r="G2613" s="1076"/>
    </row>
    <row r="2614" spans="6:7">
      <c r="F2614" s="1076"/>
      <c r="G2614" s="1076"/>
    </row>
    <row r="2615" spans="6:7">
      <c r="F2615" s="1076"/>
      <c r="G2615" s="1076"/>
    </row>
    <row r="2616" spans="6:7">
      <c r="F2616" s="1076"/>
      <c r="G2616" s="1076"/>
    </row>
    <row r="2617" spans="6:7">
      <c r="F2617" s="1076"/>
      <c r="G2617" s="1076"/>
    </row>
    <row r="2618" spans="6:7">
      <c r="F2618" s="1076"/>
      <c r="G2618" s="1076"/>
    </row>
    <row r="2619" spans="6:7">
      <c r="F2619" s="1076"/>
      <c r="G2619" s="1076"/>
    </row>
    <row r="2620" spans="6:7">
      <c r="F2620" s="1076"/>
      <c r="G2620" s="1076"/>
    </row>
    <row r="2621" spans="6:7">
      <c r="F2621" s="1076"/>
      <c r="G2621" s="1076"/>
    </row>
    <row r="2622" spans="6:7">
      <c r="F2622" s="1076"/>
      <c r="G2622" s="1076"/>
    </row>
    <row r="2623" spans="6:7">
      <c r="F2623" s="1076"/>
      <c r="G2623" s="1076"/>
    </row>
    <row r="2624" spans="6:7">
      <c r="F2624" s="1076"/>
      <c r="G2624" s="1076"/>
    </row>
    <row r="2625" spans="6:7">
      <c r="F2625" s="1076"/>
      <c r="G2625" s="1076"/>
    </row>
    <row r="2626" spans="6:7">
      <c r="F2626" s="1076"/>
      <c r="G2626" s="1076"/>
    </row>
    <row r="2627" spans="6:7">
      <c r="F2627" s="1076"/>
      <c r="G2627" s="1076"/>
    </row>
    <row r="2628" spans="6:7">
      <c r="F2628" s="1076"/>
      <c r="G2628" s="1076"/>
    </row>
    <row r="2629" spans="6:7">
      <c r="F2629" s="1076"/>
      <c r="G2629" s="1076"/>
    </row>
    <row r="2630" spans="6:7">
      <c r="F2630" s="1076"/>
      <c r="G2630" s="1076"/>
    </row>
    <row r="2631" spans="6:7">
      <c r="F2631" s="1076"/>
      <c r="G2631" s="1076"/>
    </row>
    <row r="2632" spans="6:7">
      <c r="F2632" s="1076"/>
      <c r="G2632" s="1076"/>
    </row>
    <row r="2633" spans="6:7">
      <c r="F2633" s="1076"/>
      <c r="G2633" s="1076"/>
    </row>
    <row r="2634" spans="6:7">
      <c r="F2634" s="1076"/>
      <c r="G2634" s="1076"/>
    </row>
    <row r="2635" spans="6:7">
      <c r="F2635" s="1076"/>
      <c r="G2635" s="1076"/>
    </row>
    <row r="2636" spans="6:7">
      <c r="F2636" s="1076"/>
      <c r="G2636" s="1076"/>
    </row>
    <row r="2637" spans="6:7">
      <c r="F2637" s="1076"/>
      <c r="G2637" s="1076"/>
    </row>
    <row r="2638" spans="6:7">
      <c r="F2638" s="1076"/>
      <c r="G2638" s="1076"/>
    </row>
    <row r="2639" spans="6:7">
      <c r="F2639" s="1076"/>
      <c r="G2639" s="1076"/>
    </row>
    <row r="2640" spans="6:7">
      <c r="F2640" s="1076"/>
      <c r="G2640" s="1076"/>
    </row>
    <row r="2641" spans="6:7">
      <c r="F2641" s="1076"/>
      <c r="G2641" s="1076"/>
    </row>
    <row r="2642" spans="6:7">
      <c r="F2642" s="1076"/>
      <c r="G2642" s="1076"/>
    </row>
    <row r="2643" spans="6:7">
      <c r="F2643" s="1076"/>
      <c r="G2643" s="1076"/>
    </row>
    <row r="2644" spans="6:7">
      <c r="F2644" s="1076"/>
      <c r="G2644" s="1076"/>
    </row>
    <row r="2645" spans="6:7">
      <c r="F2645" s="1076"/>
      <c r="G2645" s="1076"/>
    </row>
    <row r="2646" spans="6:7">
      <c r="F2646" s="1076"/>
      <c r="G2646" s="1076"/>
    </row>
    <row r="2647" spans="6:7">
      <c r="F2647" s="1076"/>
      <c r="G2647" s="1076"/>
    </row>
    <row r="2648" spans="6:7">
      <c r="F2648" s="1076"/>
      <c r="G2648" s="1076"/>
    </row>
    <row r="2649" spans="6:7">
      <c r="F2649" s="1076"/>
      <c r="G2649" s="1076"/>
    </row>
    <row r="2650" spans="6:7">
      <c r="F2650" s="1076"/>
      <c r="G2650" s="1076"/>
    </row>
    <row r="2651" spans="6:7">
      <c r="F2651" s="1076"/>
      <c r="G2651" s="1076"/>
    </row>
    <row r="2652" spans="6:7">
      <c r="F2652" s="1076"/>
      <c r="G2652" s="1076"/>
    </row>
    <row r="2653" spans="6:7">
      <c r="F2653" s="1076"/>
      <c r="G2653" s="1076"/>
    </row>
    <row r="2654" spans="6:7">
      <c r="F2654" s="1076"/>
      <c r="G2654" s="1076"/>
    </row>
    <row r="2655" spans="6:7">
      <c r="F2655" s="1076"/>
      <c r="G2655" s="1076"/>
    </row>
    <row r="2656" spans="6:7">
      <c r="F2656" s="1076"/>
      <c r="G2656" s="1076"/>
    </row>
    <row r="2657" spans="6:7">
      <c r="F2657" s="1076"/>
      <c r="G2657" s="1076"/>
    </row>
    <row r="2658" spans="6:7">
      <c r="F2658" s="1076"/>
      <c r="G2658" s="1076"/>
    </row>
    <row r="2659" spans="6:7">
      <c r="F2659" s="1076"/>
      <c r="G2659" s="1076"/>
    </row>
    <row r="2660" spans="6:7">
      <c r="F2660" s="1076"/>
      <c r="G2660" s="1076"/>
    </row>
    <row r="2661" spans="6:7">
      <c r="F2661" s="1076"/>
      <c r="G2661" s="1076"/>
    </row>
    <row r="2662" spans="6:7">
      <c r="F2662" s="1076"/>
      <c r="G2662" s="1076"/>
    </row>
    <row r="2663" spans="6:7">
      <c r="F2663" s="1076"/>
      <c r="G2663" s="1076"/>
    </row>
    <row r="2664" spans="6:7">
      <c r="F2664" s="1076"/>
      <c r="G2664" s="1076"/>
    </row>
    <row r="2665" spans="6:7">
      <c r="F2665" s="1076"/>
      <c r="G2665" s="1076"/>
    </row>
    <row r="2666" spans="6:7">
      <c r="F2666" s="1076"/>
      <c r="G2666" s="1076"/>
    </row>
    <row r="2667" spans="6:7">
      <c r="F2667" s="1076"/>
      <c r="G2667" s="1076"/>
    </row>
    <row r="2668" spans="6:7">
      <c r="F2668" s="1076"/>
      <c r="G2668" s="1076"/>
    </row>
    <row r="2669" spans="6:7">
      <c r="F2669" s="1076"/>
      <c r="G2669" s="1076"/>
    </row>
    <row r="2670" spans="6:7">
      <c r="F2670" s="1076"/>
      <c r="G2670" s="1076"/>
    </row>
    <row r="2671" spans="6:7">
      <c r="F2671" s="1076"/>
      <c r="G2671" s="1076"/>
    </row>
    <row r="2672" spans="6:7">
      <c r="F2672" s="1076"/>
      <c r="G2672" s="1076"/>
    </row>
    <row r="2673" spans="6:7">
      <c r="F2673" s="1076"/>
      <c r="G2673" s="1076"/>
    </row>
    <row r="2674" spans="6:7">
      <c r="F2674" s="1076"/>
      <c r="G2674" s="1076"/>
    </row>
    <row r="2675" spans="6:7">
      <c r="F2675" s="1076"/>
      <c r="G2675" s="1076"/>
    </row>
    <row r="2676" spans="6:7">
      <c r="F2676" s="1076"/>
      <c r="G2676" s="1076"/>
    </row>
    <row r="2677" spans="6:7">
      <c r="F2677" s="1076"/>
      <c r="G2677" s="1076"/>
    </row>
    <row r="2678" spans="6:7">
      <c r="F2678" s="1076"/>
      <c r="G2678" s="1076"/>
    </row>
    <row r="2679" spans="6:7">
      <c r="F2679" s="1076"/>
      <c r="G2679" s="1076"/>
    </row>
    <row r="2680" spans="6:7">
      <c r="F2680" s="1076"/>
      <c r="G2680" s="1076"/>
    </row>
    <row r="2681" spans="6:7">
      <c r="F2681" s="1076"/>
      <c r="G2681" s="1076"/>
    </row>
    <row r="2682" spans="6:7">
      <c r="F2682" s="1076"/>
      <c r="G2682" s="1076"/>
    </row>
    <row r="2683" spans="6:7">
      <c r="F2683" s="1076"/>
      <c r="G2683" s="1076"/>
    </row>
    <row r="2684" spans="6:7">
      <c r="F2684" s="1076"/>
      <c r="G2684" s="1076"/>
    </row>
    <row r="2685" spans="6:7">
      <c r="F2685" s="1076"/>
      <c r="G2685" s="1076"/>
    </row>
    <row r="2686" spans="6:7">
      <c r="F2686" s="1076"/>
      <c r="G2686" s="1076"/>
    </row>
    <row r="2687" spans="6:7">
      <c r="F2687" s="1076"/>
      <c r="G2687" s="1076"/>
    </row>
    <row r="2688" spans="6:7">
      <c r="F2688" s="1076"/>
      <c r="G2688" s="1076"/>
    </row>
    <row r="2689" spans="6:7">
      <c r="F2689" s="1076"/>
      <c r="G2689" s="1076"/>
    </row>
    <row r="2690" spans="6:7">
      <c r="F2690" s="1076"/>
      <c r="G2690" s="1076"/>
    </row>
    <row r="2691" spans="6:7">
      <c r="F2691" s="1076"/>
      <c r="G2691" s="1076"/>
    </row>
    <row r="2692" spans="6:7">
      <c r="F2692" s="1076"/>
      <c r="G2692" s="1076"/>
    </row>
    <row r="2693" spans="6:7">
      <c r="F2693" s="1076"/>
      <c r="G2693" s="1076"/>
    </row>
    <row r="2694" spans="6:7">
      <c r="F2694" s="1076"/>
      <c r="G2694" s="1076"/>
    </row>
    <row r="2695" spans="6:7">
      <c r="F2695" s="1076"/>
      <c r="G2695" s="1076"/>
    </row>
    <row r="2696" spans="6:7">
      <c r="F2696" s="1076"/>
      <c r="G2696" s="1076"/>
    </row>
    <row r="2697" spans="6:7">
      <c r="F2697" s="1076"/>
      <c r="G2697" s="1076"/>
    </row>
    <row r="2698" spans="6:7">
      <c r="F2698" s="1076"/>
      <c r="G2698" s="1076"/>
    </row>
    <row r="2699" spans="6:7">
      <c r="F2699" s="1076"/>
      <c r="G2699" s="1076"/>
    </row>
    <row r="2700" spans="6:7">
      <c r="F2700" s="1076"/>
      <c r="G2700" s="1076"/>
    </row>
    <row r="2701" spans="6:7">
      <c r="F2701" s="1076"/>
      <c r="G2701" s="1076"/>
    </row>
    <row r="2702" spans="6:7">
      <c r="F2702" s="1076"/>
      <c r="G2702" s="1076"/>
    </row>
    <row r="2703" spans="6:7">
      <c r="F2703" s="1076"/>
      <c r="G2703" s="1076"/>
    </row>
    <row r="2704" spans="6:7">
      <c r="F2704" s="1076"/>
      <c r="G2704" s="1076"/>
    </row>
    <row r="2705" spans="6:7">
      <c r="F2705" s="1076"/>
      <c r="G2705" s="1076"/>
    </row>
    <row r="2706" spans="6:7">
      <c r="F2706" s="1076"/>
      <c r="G2706" s="1076"/>
    </row>
    <row r="2707" spans="6:7">
      <c r="F2707" s="1076"/>
      <c r="G2707" s="1076"/>
    </row>
    <row r="2708" spans="6:7">
      <c r="F2708" s="1076"/>
      <c r="G2708" s="1076"/>
    </row>
    <row r="2709" spans="6:7">
      <c r="F2709" s="1076"/>
      <c r="G2709" s="1076"/>
    </row>
    <row r="2710" spans="6:7">
      <c r="F2710" s="1076"/>
      <c r="G2710" s="1076"/>
    </row>
    <row r="2711" spans="6:7">
      <c r="F2711" s="1076"/>
      <c r="G2711" s="1076"/>
    </row>
    <row r="2712" spans="6:7">
      <c r="F2712" s="1076"/>
      <c r="G2712" s="1076"/>
    </row>
    <row r="2713" spans="6:7">
      <c r="F2713" s="1076"/>
      <c r="G2713" s="1076"/>
    </row>
    <row r="2714" spans="6:7">
      <c r="F2714" s="1076"/>
      <c r="G2714" s="1076"/>
    </row>
    <row r="2715" spans="6:7">
      <c r="F2715" s="1076"/>
      <c r="G2715" s="1076"/>
    </row>
    <row r="2716" spans="6:7">
      <c r="F2716" s="1076"/>
      <c r="G2716" s="1076"/>
    </row>
    <row r="2717" spans="6:7">
      <c r="F2717" s="1076"/>
      <c r="G2717" s="1076"/>
    </row>
    <row r="2718" spans="6:7">
      <c r="F2718" s="1076"/>
      <c r="G2718" s="1076"/>
    </row>
    <row r="2719" spans="6:7">
      <c r="F2719" s="1076"/>
      <c r="G2719" s="1076"/>
    </row>
    <row r="2720" spans="6:7">
      <c r="F2720" s="1076"/>
      <c r="G2720" s="1076"/>
    </row>
    <row r="2721" spans="6:7">
      <c r="F2721" s="1076"/>
      <c r="G2721" s="1076"/>
    </row>
    <row r="2722" spans="6:7">
      <c r="F2722" s="1076"/>
      <c r="G2722" s="1076"/>
    </row>
    <row r="2723" spans="6:7">
      <c r="F2723" s="1076"/>
      <c r="G2723" s="1076"/>
    </row>
    <row r="2724" spans="6:7">
      <c r="F2724" s="1076"/>
      <c r="G2724" s="1076"/>
    </row>
    <row r="2725" spans="6:7">
      <c r="F2725" s="1076"/>
      <c r="G2725" s="1076"/>
    </row>
    <row r="2726" spans="6:7">
      <c r="F2726" s="1076"/>
      <c r="G2726" s="1076"/>
    </row>
    <row r="2727" spans="6:7">
      <c r="F2727" s="1076"/>
      <c r="G2727" s="1076"/>
    </row>
    <row r="2728" spans="6:7">
      <c r="F2728" s="1076"/>
      <c r="G2728" s="1076"/>
    </row>
    <row r="2729" spans="6:7">
      <c r="F2729" s="1076"/>
      <c r="G2729" s="1076"/>
    </row>
    <row r="2730" spans="6:7">
      <c r="F2730" s="1076"/>
      <c r="G2730" s="1076"/>
    </row>
    <row r="2731" spans="6:7">
      <c r="F2731" s="1076"/>
      <c r="G2731" s="1076"/>
    </row>
    <row r="2732" spans="6:7">
      <c r="F2732" s="1076"/>
      <c r="G2732" s="1076"/>
    </row>
    <row r="2733" spans="6:7">
      <c r="F2733" s="1076"/>
      <c r="G2733" s="1076"/>
    </row>
    <row r="2734" spans="6:7">
      <c r="F2734" s="1076"/>
      <c r="G2734" s="1076"/>
    </row>
    <row r="2735" spans="6:7">
      <c r="F2735" s="1076"/>
      <c r="G2735" s="1076"/>
    </row>
    <row r="2736" spans="6:7">
      <c r="F2736" s="1076"/>
      <c r="G2736" s="1076"/>
    </row>
    <row r="2737" spans="6:7">
      <c r="F2737" s="1076"/>
      <c r="G2737" s="1076"/>
    </row>
    <row r="2738" spans="6:7">
      <c r="F2738" s="1076"/>
      <c r="G2738" s="1076"/>
    </row>
    <row r="2739" spans="6:7">
      <c r="F2739" s="1076"/>
      <c r="G2739" s="1076"/>
    </row>
    <row r="2740" spans="6:7">
      <c r="F2740" s="1076"/>
      <c r="G2740" s="1076"/>
    </row>
    <row r="2741" spans="6:7">
      <c r="F2741" s="1076"/>
      <c r="G2741" s="1076"/>
    </row>
    <row r="2742" spans="6:7">
      <c r="F2742" s="1076"/>
      <c r="G2742" s="1076"/>
    </row>
    <row r="2743" spans="6:7">
      <c r="F2743" s="1076"/>
      <c r="G2743" s="1076"/>
    </row>
    <row r="2744" spans="6:7">
      <c r="F2744" s="1076"/>
      <c r="G2744" s="1076"/>
    </row>
    <row r="2745" spans="6:7">
      <c r="F2745" s="1076"/>
      <c r="G2745" s="1076"/>
    </row>
    <row r="2746" spans="6:7">
      <c r="F2746" s="1076"/>
      <c r="G2746" s="1076"/>
    </row>
    <row r="2747" spans="6:7">
      <c r="F2747" s="1076"/>
      <c r="G2747" s="1076"/>
    </row>
    <row r="2748" spans="6:7">
      <c r="F2748" s="1076"/>
      <c r="G2748" s="1076"/>
    </row>
    <row r="2749" spans="6:7">
      <c r="F2749" s="1076"/>
      <c r="G2749" s="1076"/>
    </row>
    <row r="2750" spans="6:7">
      <c r="F2750" s="1076"/>
      <c r="G2750" s="1076"/>
    </row>
    <row r="2751" spans="6:7">
      <c r="F2751" s="1076"/>
      <c r="G2751" s="1076"/>
    </row>
    <row r="2752" spans="6:7">
      <c r="F2752" s="1076"/>
      <c r="G2752" s="1076"/>
    </row>
    <row r="2753" spans="6:7">
      <c r="F2753" s="1076"/>
      <c r="G2753" s="1076"/>
    </row>
    <row r="2754" spans="6:7">
      <c r="F2754" s="1076"/>
      <c r="G2754" s="1076"/>
    </row>
    <row r="2755" spans="6:7">
      <c r="F2755" s="1076"/>
      <c r="G2755" s="1076"/>
    </row>
    <row r="2756" spans="6:7">
      <c r="F2756" s="1076"/>
      <c r="G2756" s="1076"/>
    </row>
    <row r="2757" spans="6:7">
      <c r="F2757" s="1076"/>
      <c r="G2757" s="1076"/>
    </row>
    <row r="2758" spans="6:7">
      <c r="F2758" s="1076"/>
      <c r="G2758" s="1076"/>
    </row>
    <row r="2759" spans="6:7">
      <c r="F2759" s="1076"/>
      <c r="G2759" s="1076"/>
    </row>
    <row r="2760" spans="6:7">
      <c r="F2760" s="1076"/>
      <c r="G2760" s="1076"/>
    </row>
    <row r="2761" spans="6:7">
      <c r="F2761" s="1076"/>
      <c r="G2761" s="1076"/>
    </row>
    <row r="2762" spans="6:7">
      <c r="F2762" s="1076"/>
      <c r="G2762" s="1076"/>
    </row>
    <row r="2763" spans="6:7">
      <c r="F2763" s="1076"/>
      <c r="G2763" s="1076"/>
    </row>
    <row r="2764" spans="6:7">
      <c r="F2764" s="1076"/>
      <c r="G2764" s="1076"/>
    </row>
    <row r="2765" spans="6:7">
      <c r="F2765" s="1076"/>
      <c r="G2765" s="1076"/>
    </row>
    <row r="2766" spans="6:7">
      <c r="F2766" s="1076"/>
      <c r="G2766" s="1076"/>
    </row>
    <row r="2767" spans="6:7">
      <c r="F2767" s="1076"/>
      <c r="G2767" s="1076"/>
    </row>
    <row r="2768" spans="6:7">
      <c r="F2768" s="1076"/>
      <c r="G2768" s="1076"/>
    </row>
    <row r="2769" spans="6:7">
      <c r="F2769" s="1076"/>
      <c r="G2769" s="1076"/>
    </row>
    <row r="2770" spans="6:7">
      <c r="F2770" s="1076"/>
      <c r="G2770" s="1076"/>
    </row>
    <row r="2771" spans="6:7">
      <c r="F2771" s="1076"/>
      <c r="G2771" s="1076"/>
    </row>
    <row r="2772" spans="6:7">
      <c r="F2772" s="1076"/>
      <c r="G2772" s="1076"/>
    </row>
    <row r="2773" spans="6:7">
      <c r="F2773" s="1076"/>
      <c r="G2773" s="1076"/>
    </row>
    <row r="2774" spans="6:7">
      <c r="F2774" s="1076"/>
      <c r="G2774" s="1076"/>
    </row>
    <row r="2775" spans="6:7">
      <c r="F2775" s="1076"/>
      <c r="G2775" s="1076"/>
    </row>
    <row r="2776" spans="6:7">
      <c r="F2776" s="1076"/>
      <c r="G2776" s="1076"/>
    </row>
    <row r="2777" spans="6:7">
      <c r="F2777" s="1076"/>
      <c r="G2777" s="1076"/>
    </row>
    <row r="2778" spans="6:7">
      <c r="F2778" s="1076"/>
      <c r="G2778" s="1076"/>
    </row>
    <row r="2779" spans="6:7">
      <c r="F2779" s="1076"/>
      <c r="G2779" s="1076"/>
    </row>
    <row r="2780" spans="6:7">
      <c r="F2780" s="1076"/>
      <c r="G2780" s="1076"/>
    </row>
    <row r="2781" spans="6:7">
      <c r="F2781" s="1076"/>
      <c r="G2781" s="1076"/>
    </row>
    <row r="2782" spans="6:7">
      <c r="F2782" s="1076"/>
      <c r="G2782" s="1076"/>
    </row>
    <row r="2783" spans="6:7">
      <c r="F2783" s="1076"/>
      <c r="G2783" s="1076"/>
    </row>
    <row r="2784" spans="6:7">
      <c r="F2784" s="1076"/>
      <c r="G2784" s="1076"/>
    </row>
    <row r="2785" spans="6:7">
      <c r="F2785" s="1076"/>
      <c r="G2785" s="1076"/>
    </row>
    <row r="2786" spans="6:7">
      <c r="F2786" s="1076"/>
      <c r="G2786" s="1076"/>
    </row>
    <row r="2787" spans="6:7">
      <c r="F2787" s="1076"/>
      <c r="G2787" s="1076"/>
    </row>
    <row r="2788" spans="6:7">
      <c r="F2788" s="1076"/>
      <c r="G2788" s="1076"/>
    </row>
    <row r="2789" spans="6:7">
      <c r="F2789" s="1076"/>
      <c r="G2789" s="1076"/>
    </row>
    <row r="2790" spans="6:7">
      <c r="F2790" s="1076"/>
      <c r="G2790" s="1076"/>
    </row>
    <row r="2791" spans="6:7">
      <c r="F2791" s="1076"/>
      <c r="G2791" s="1076"/>
    </row>
    <row r="2792" spans="6:7">
      <c r="F2792" s="1076"/>
      <c r="G2792" s="1076"/>
    </row>
    <row r="2793" spans="6:7">
      <c r="F2793" s="1076"/>
      <c r="G2793" s="1076"/>
    </row>
    <row r="2794" spans="6:7">
      <c r="F2794" s="1076"/>
      <c r="G2794" s="1076"/>
    </row>
    <row r="2795" spans="6:7">
      <c r="F2795" s="1076"/>
      <c r="G2795" s="1076"/>
    </row>
    <row r="2796" spans="6:7">
      <c r="F2796" s="1076"/>
      <c r="G2796" s="1076"/>
    </row>
    <row r="2797" spans="6:7">
      <c r="F2797" s="1076"/>
      <c r="G2797" s="1076"/>
    </row>
    <row r="2798" spans="6:7">
      <c r="F2798" s="1076"/>
      <c r="G2798" s="1076"/>
    </row>
    <row r="2799" spans="6:7">
      <c r="F2799" s="1076"/>
      <c r="G2799" s="1076"/>
    </row>
    <row r="2800" spans="6:7">
      <c r="F2800" s="1076"/>
      <c r="G2800" s="1076"/>
    </row>
    <row r="2801" spans="6:7">
      <c r="F2801" s="1076"/>
      <c r="G2801" s="1076"/>
    </row>
    <row r="2802" spans="6:7">
      <c r="F2802" s="1076"/>
      <c r="G2802" s="1076"/>
    </row>
    <row r="2803" spans="6:7">
      <c r="F2803" s="1076"/>
      <c r="G2803" s="1076"/>
    </row>
    <row r="2804" spans="6:7">
      <c r="F2804" s="1076"/>
      <c r="G2804" s="1076"/>
    </row>
    <row r="2805" spans="6:7">
      <c r="F2805" s="1076"/>
      <c r="G2805" s="1076"/>
    </row>
    <row r="2806" spans="6:7">
      <c r="F2806" s="1076"/>
      <c r="G2806" s="1076"/>
    </row>
    <row r="2807" spans="6:7">
      <c r="F2807" s="1076"/>
      <c r="G2807" s="1076"/>
    </row>
    <row r="2808" spans="6:7">
      <c r="F2808" s="1076"/>
      <c r="G2808" s="1076"/>
    </row>
    <row r="2809" spans="6:7">
      <c r="F2809" s="1076"/>
      <c r="G2809" s="1076"/>
    </row>
    <row r="2810" spans="6:7">
      <c r="F2810" s="1076"/>
      <c r="G2810" s="1076"/>
    </row>
    <row r="2811" spans="6:7">
      <c r="F2811" s="1076"/>
      <c r="G2811" s="1076"/>
    </row>
    <row r="2812" spans="6:7">
      <c r="F2812" s="1076"/>
      <c r="G2812" s="1076"/>
    </row>
    <row r="2813" spans="6:7">
      <c r="F2813" s="1076"/>
      <c r="G2813" s="1076"/>
    </row>
    <row r="2814" spans="6:7">
      <c r="F2814" s="1076"/>
      <c r="G2814" s="1076"/>
    </row>
    <row r="2815" spans="6:7">
      <c r="F2815" s="1076"/>
      <c r="G2815" s="1076"/>
    </row>
    <row r="2816" spans="6:7">
      <c r="F2816" s="1076"/>
      <c r="G2816" s="1076"/>
    </row>
    <row r="2817" spans="6:7">
      <c r="F2817" s="1076"/>
      <c r="G2817" s="1076"/>
    </row>
    <row r="2818" spans="6:7">
      <c r="F2818" s="1076"/>
      <c r="G2818" s="1076"/>
    </row>
    <row r="2819" spans="6:7">
      <c r="F2819" s="1076"/>
      <c r="G2819" s="1076"/>
    </row>
    <row r="2820" spans="6:7">
      <c r="F2820" s="1076"/>
      <c r="G2820" s="1076"/>
    </row>
    <row r="2821" spans="6:7">
      <c r="F2821" s="1076"/>
      <c r="G2821" s="1076"/>
    </row>
    <row r="2822" spans="6:7">
      <c r="F2822" s="1076"/>
      <c r="G2822" s="1076"/>
    </row>
    <row r="2823" spans="6:7">
      <c r="F2823" s="1076"/>
      <c r="G2823" s="1076"/>
    </row>
    <row r="2824" spans="6:7">
      <c r="F2824" s="1076"/>
      <c r="G2824" s="1076"/>
    </row>
    <row r="2825" spans="6:7">
      <c r="F2825" s="1076"/>
      <c r="G2825" s="1076"/>
    </row>
    <row r="2826" spans="6:7">
      <c r="F2826" s="1076"/>
      <c r="G2826" s="1076"/>
    </row>
    <row r="2827" spans="6:7">
      <c r="F2827" s="1076"/>
      <c r="G2827" s="1076"/>
    </row>
    <row r="2828" spans="6:7">
      <c r="F2828" s="1076"/>
      <c r="G2828" s="1076"/>
    </row>
    <row r="2829" spans="6:7">
      <c r="F2829" s="1076"/>
      <c r="G2829" s="1076"/>
    </row>
    <row r="2830" spans="6:7">
      <c r="F2830" s="1076"/>
      <c r="G2830" s="1076"/>
    </row>
    <row r="2831" spans="6:7">
      <c r="F2831" s="1076"/>
      <c r="G2831" s="1076"/>
    </row>
    <row r="2832" spans="6:7">
      <c r="F2832" s="1076"/>
      <c r="G2832" s="1076"/>
    </row>
    <row r="2833" spans="6:7">
      <c r="F2833" s="1076"/>
      <c r="G2833" s="1076"/>
    </row>
    <row r="2834" spans="6:7">
      <c r="F2834" s="1076"/>
      <c r="G2834" s="1076"/>
    </row>
    <row r="2835" spans="6:7">
      <c r="F2835" s="1076"/>
      <c r="G2835" s="1076"/>
    </row>
    <row r="2836" spans="6:7">
      <c r="F2836" s="1076"/>
      <c r="G2836" s="1076"/>
    </row>
    <row r="2837" spans="6:7">
      <c r="F2837" s="1076"/>
      <c r="G2837" s="1076"/>
    </row>
    <row r="2838" spans="6:7">
      <c r="F2838" s="1076"/>
      <c r="G2838" s="1076"/>
    </row>
    <row r="2839" spans="6:7">
      <c r="F2839" s="1076"/>
      <c r="G2839" s="1076"/>
    </row>
    <row r="2840" spans="6:7">
      <c r="F2840" s="1076"/>
      <c r="G2840" s="1076"/>
    </row>
    <row r="2841" spans="6:7">
      <c r="F2841" s="1076"/>
      <c r="G2841" s="1076"/>
    </row>
    <row r="2842" spans="6:7">
      <c r="F2842" s="1076"/>
      <c r="G2842" s="1076"/>
    </row>
    <row r="2843" spans="6:7">
      <c r="F2843" s="1076"/>
      <c r="G2843" s="1076"/>
    </row>
    <row r="2844" spans="6:7">
      <c r="F2844" s="1076"/>
      <c r="G2844" s="1076"/>
    </row>
    <row r="2845" spans="6:7">
      <c r="F2845" s="1076"/>
      <c r="G2845" s="1076"/>
    </row>
    <row r="2846" spans="6:7">
      <c r="F2846" s="1076"/>
      <c r="G2846" s="1076"/>
    </row>
    <row r="2847" spans="6:7">
      <c r="F2847" s="1076"/>
      <c r="G2847" s="1076"/>
    </row>
    <row r="2848" spans="6:7">
      <c r="F2848" s="1076"/>
      <c r="G2848" s="1076"/>
    </row>
    <row r="2849" spans="6:7">
      <c r="F2849" s="1076"/>
      <c r="G2849" s="1076"/>
    </row>
    <row r="2850" spans="6:7">
      <c r="F2850" s="1076"/>
      <c r="G2850" s="1076"/>
    </row>
    <row r="2851" spans="6:7">
      <c r="F2851" s="1076"/>
      <c r="G2851" s="1076"/>
    </row>
    <row r="2852" spans="6:7">
      <c r="F2852" s="1076"/>
      <c r="G2852" s="1076"/>
    </row>
    <row r="2853" spans="6:7">
      <c r="F2853" s="1076"/>
      <c r="G2853" s="1076"/>
    </row>
    <row r="2854" spans="6:7">
      <c r="F2854" s="1076"/>
      <c r="G2854" s="1076"/>
    </row>
    <row r="2855" spans="6:7">
      <c r="F2855" s="1076"/>
      <c r="G2855" s="1076"/>
    </row>
    <row r="2856" spans="6:7">
      <c r="F2856" s="1076"/>
      <c r="G2856" s="1076"/>
    </row>
    <row r="2857" spans="6:7">
      <c r="F2857" s="1076"/>
      <c r="G2857" s="1076"/>
    </row>
    <row r="2858" spans="6:7">
      <c r="F2858" s="1076"/>
      <c r="G2858" s="1076"/>
    </row>
    <row r="2859" spans="6:7">
      <c r="F2859" s="1076"/>
      <c r="G2859" s="1076"/>
    </row>
    <row r="2860" spans="6:7">
      <c r="F2860" s="1076"/>
      <c r="G2860" s="1076"/>
    </row>
    <row r="2861" spans="6:7">
      <c r="F2861" s="1076"/>
      <c r="G2861" s="1076"/>
    </row>
    <row r="2862" spans="6:7">
      <c r="F2862" s="1076"/>
      <c r="G2862" s="1076"/>
    </row>
    <row r="2863" spans="6:7">
      <c r="F2863" s="1076"/>
      <c r="G2863" s="1076"/>
    </row>
    <row r="2864" spans="6:7">
      <c r="F2864" s="1076"/>
      <c r="G2864" s="1076"/>
    </row>
    <row r="2865" spans="6:7">
      <c r="F2865" s="1076"/>
      <c r="G2865" s="1076"/>
    </row>
    <row r="2866" spans="6:7">
      <c r="F2866" s="1076"/>
      <c r="G2866" s="1076"/>
    </row>
    <row r="2867" spans="6:7">
      <c r="F2867" s="1076"/>
      <c r="G2867" s="1076"/>
    </row>
    <row r="2868" spans="6:7">
      <c r="F2868" s="1076"/>
      <c r="G2868" s="1076"/>
    </row>
    <row r="2869" spans="6:7">
      <c r="F2869" s="1076"/>
      <c r="G2869" s="1076"/>
    </row>
    <row r="2870" spans="6:7">
      <c r="F2870" s="1076"/>
      <c r="G2870" s="1076"/>
    </row>
    <row r="2871" spans="6:7">
      <c r="F2871" s="1076"/>
      <c r="G2871" s="1076"/>
    </row>
    <row r="2872" spans="6:7">
      <c r="F2872" s="1076"/>
      <c r="G2872" s="1076"/>
    </row>
    <row r="2873" spans="6:7">
      <c r="F2873" s="1076"/>
      <c r="G2873" s="1076"/>
    </row>
    <row r="2874" spans="6:7">
      <c r="F2874" s="1076"/>
      <c r="G2874" s="1076"/>
    </row>
    <row r="2875" spans="6:7">
      <c r="F2875" s="1076"/>
      <c r="G2875" s="1076"/>
    </row>
    <row r="2876" spans="6:7">
      <c r="F2876" s="1076"/>
      <c r="G2876" s="1076"/>
    </row>
    <row r="2877" spans="6:7">
      <c r="F2877" s="1076"/>
      <c r="G2877" s="1076"/>
    </row>
    <row r="2878" spans="6:7">
      <c r="F2878" s="1076"/>
      <c r="G2878" s="1076"/>
    </row>
    <row r="2879" spans="6:7">
      <c r="F2879" s="1076"/>
      <c r="G2879" s="1076"/>
    </row>
    <row r="2880" spans="6:7">
      <c r="F2880" s="1076"/>
      <c r="G2880" s="1076"/>
    </row>
    <row r="2881" spans="6:7">
      <c r="F2881" s="1076"/>
      <c r="G2881" s="1076"/>
    </row>
    <row r="2882" spans="6:7">
      <c r="F2882" s="1076"/>
      <c r="G2882" s="1076"/>
    </row>
    <row r="2883" spans="6:7">
      <c r="F2883" s="1076"/>
      <c r="G2883" s="1076"/>
    </row>
    <row r="2884" spans="6:7">
      <c r="F2884" s="1076"/>
      <c r="G2884" s="1076"/>
    </row>
    <row r="2885" spans="6:7">
      <c r="F2885" s="1076"/>
      <c r="G2885" s="1076"/>
    </row>
    <row r="2886" spans="6:7">
      <c r="F2886" s="1076"/>
      <c r="G2886" s="1076"/>
    </row>
    <row r="2887" spans="6:7">
      <c r="F2887" s="1076"/>
      <c r="G2887" s="1076"/>
    </row>
    <row r="2888" spans="6:7">
      <c r="F2888" s="1076"/>
      <c r="G2888" s="1076"/>
    </row>
    <row r="2889" spans="6:7">
      <c r="F2889" s="1076"/>
      <c r="G2889" s="1076"/>
    </row>
    <row r="2890" spans="6:7">
      <c r="F2890" s="1076"/>
      <c r="G2890" s="1076"/>
    </row>
    <row r="2891" spans="6:7">
      <c r="F2891" s="1076"/>
      <c r="G2891" s="1076"/>
    </row>
    <row r="2892" spans="6:7">
      <c r="F2892" s="1076"/>
      <c r="G2892" s="1076"/>
    </row>
    <row r="2893" spans="6:7">
      <c r="F2893" s="1076"/>
      <c r="G2893" s="1076"/>
    </row>
    <row r="2894" spans="6:7">
      <c r="F2894" s="1076"/>
      <c r="G2894" s="1076"/>
    </row>
    <row r="2895" spans="6:7">
      <c r="F2895" s="1076"/>
      <c r="G2895" s="1076"/>
    </row>
    <row r="2896" spans="6:7">
      <c r="F2896" s="1076"/>
      <c r="G2896" s="1076"/>
    </row>
    <row r="2897" spans="6:7">
      <c r="F2897" s="1076"/>
      <c r="G2897" s="1076"/>
    </row>
    <row r="2898" spans="6:7">
      <c r="F2898" s="1076"/>
      <c r="G2898" s="1076"/>
    </row>
    <row r="2899" spans="6:7">
      <c r="F2899" s="1076"/>
      <c r="G2899" s="1076"/>
    </row>
    <row r="2900" spans="6:7">
      <c r="F2900" s="1076"/>
      <c r="G2900" s="1076"/>
    </row>
    <row r="2901" spans="6:7">
      <c r="F2901" s="1076"/>
      <c r="G2901" s="1076"/>
    </row>
    <row r="2902" spans="6:7">
      <c r="F2902" s="1076"/>
      <c r="G2902" s="1076"/>
    </row>
    <row r="2903" spans="6:7">
      <c r="F2903" s="1076"/>
      <c r="G2903" s="1076"/>
    </row>
    <row r="2904" spans="6:7">
      <c r="F2904" s="1076"/>
      <c r="G2904" s="1076"/>
    </row>
    <row r="2905" spans="6:7">
      <c r="F2905" s="1076"/>
      <c r="G2905" s="1076"/>
    </row>
    <row r="2906" spans="6:7">
      <c r="F2906" s="1076"/>
      <c r="G2906" s="1076"/>
    </row>
    <row r="2907" spans="6:7">
      <c r="F2907" s="1076"/>
      <c r="G2907" s="1076"/>
    </row>
    <row r="2908" spans="6:7">
      <c r="F2908" s="1076"/>
      <c r="G2908" s="1076"/>
    </row>
    <row r="2909" spans="6:7">
      <c r="F2909" s="1076"/>
      <c r="G2909" s="1076"/>
    </row>
    <row r="2910" spans="6:7">
      <c r="F2910" s="1076"/>
      <c r="G2910" s="1076"/>
    </row>
    <row r="2911" spans="6:7">
      <c r="F2911" s="1076"/>
      <c r="G2911" s="1076"/>
    </row>
    <row r="2912" spans="6:7">
      <c r="F2912" s="1076"/>
      <c r="G2912" s="1076"/>
    </row>
    <row r="2913" spans="6:7">
      <c r="F2913" s="1076"/>
      <c r="G2913" s="1076"/>
    </row>
    <row r="2914" spans="6:7">
      <c r="F2914" s="1076"/>
      <c r="G2914" s="1076"/>
    </row>
    <row r="2915" spans="6:7">
      <c r="F2915" s="1076"/>
      <c r="G2915" s="1076"/>
    </row>
    <row r="2916" spans="6:7">
      <c r="F2916" s="1076"/>
      <c r="G2916" s="1076"/>
    </row>
    <row r="2917" spans="6:7">
      <c r="F2917" s="1076"/>
      <c r="G2917" s="1076"/>
    </row>
    <row r="2918" spans="6:7">
      <c r="F2918" s="1076"/>
      <c r="G2918" s="1076"/>
    </row>
    <row r="2919" spans="6:7">
      <c r="F2919" s="1076"/>
      <c r="G2919" s="1076"/>
    </row>
    <row r="2920" spans="6:7">
      <c r="F2920" s="1076"/>
      <c r="G2920" s="1076"/>
    </row>
    <row r="2921" spans="6:7">
      <c r="F2921" s="1076"/>
      <c r="G2921" s="1076"/>
    </row>
    <row r="2922" spans="6:7">
      <c r="F2922" s="1076"/>
      <c r="G2922" s="1076"/>
    </row>
    <row r="2923" spans="6:7">
      <c r="F2923" s="1076"/>
      <c r="G2923" s="1076"/>
    </row>
    <row r="2924" spans="6:7">
      <c r="F2924" s="1076"/>
      <c r="G2924" s="1076"/>
    </row>
    <row r="2925" spans="6:7">
      <c r="F2925" s="1076"/>
      <c r="G2925" s="1076"/>
    </row>
    <row r="2926" spans="6:7">
      <c r="F2926" s="1076"/>
      <c r="G2926" s="1076"/>
    </row>
    <row r="2927" spans="6:7">
      <c r="F2927" s="1076"/>
      <c r="G2927" s="1076"/>
    </row>
    <row r="2928" spans="6:7">
      <c r="F2928" s="1076"/>
      <c r="G2928" s="1076"/>
    </row>
    <row r="2929" spans="6:7">
      <c r="F2929" s="1076"/>
      <c r="G2929" s="1076"/>
    </row>
    <row r="2930" spans="6:7">
      <c r="F2930" s="1076"/>
      <c r="G2930" s="1076"/>
    </row>
    <row r="2931" spans="6:7">
      <c r="F2931" s="1076"/>
      <c r="G2931" s="1076"/>
    </row>
    <row r="2932" spans="6:7">
      <c r="F2932" s="1076"/>
      <c r="G2932" s="1076"/>
    </row>
    <row r="2933" spans="6:7">
      <c r="F2933" s="1076"/>
      <c r="G2933" s="1076"/>
    </row>
    <row r="2934" spans="6:7">
      <c r="F2934" s="1076"/>
      <c r="G2934" s="1076"/>
    </row>
    <row r="2935" spans="6:7">
      <c r="F2935" s="1076"/>
      <c r="G2935" s="1076"/>
    </row>
    <row r="2936" spans="6:7">
      <c r="F2936" s="1076"/>
      <c r="G2936" s="1076"/>
    </row>
    <row r="2937" spans="6:7">
      <c r="F2937" s="1076"/>
      <c r="G2937" s="1076"/>
    </row>
    <row r="2938" spans="6:7">
      <c r="F2938" s="1076"/>
      <c r="G2938" s="1076"/>
    </row>
    <row r="2939" spans="6:7">
      <c r="F2939" s="1076"/>
      <c r="G2939" s="1076"/>
    </row>
    <row r="2940" spans="6:7">
      <c r="F2940" s="1076"/>
      <c r="G2940" s="1076"/>
    </row>
    <row r="2941" spans="6:7">
      <c r="F2941" s="1076"/>
      <c r="G2941" s="1076"/>
    </row>
    <row r="2942" spans="6:7">
      <c r="F2942" s="1076"/>
      <c r="G2942" s="1076"/>
    </row>
    <row r="2943" spans="6:7">
      <c r="F2943" s="1076"/>
      <c r="G2943" s="1076"/>
    </row>
    <row r="2944" spans="6:7">
      <c r="F2944" s="1076"/>
      <c r="G2944" s="1076"/>
    </row>
    <row r="2945" spans="6:7">
      <c r="F2945" s="1076"/>
      <c r="G2945" s="1076"/>
    </row>
    <row r="2946" spans="6:7">
      <c r="F2946" s="1076"/>
      <c r="G2946" s="1076"/>
    </row>
    <row r="2947" spans="6:7">
      <c r="F2947" s="1076"/>
      <c r="G2947" s="1076"/>
    </row>
    <row r="2948" spans="6:7">
      <c r="F2948" s="1076"/>
      <c r="G2948" s="1076"/>
    </row>
    <row r="2949" spans="6:7">
      <c r="F2949" s="1076"/>
      <c r="G2949" s="1076"/>
    </row>
    <row r="2950" spans="6:7">
      <c r="F2950" s="1076"/>
      <c r="G2950" s="1076"/>
    </row>
    <row r="2951" spans="6:7">
      <c r="F2951" s="1076"/>
      <c r="G2951" s="1076"/>
    </row>
    <row r="2952" spans="6:7">
      <c r="F2952" s="1076"/>
      <c r="G2952" s="1076"/>
    </row>
    <row r="2953" spans="6:7">
      <c r="F2953" s="1076"/>
      <c r="G2953" s="1076"/>
    </row>
    <row r="2954" spans="6:7">
      <c r="F2954" s="1076"/>
      <c r="G2954" s="1076"/>
    </row>
    <row r="2955" spans="6:7">
      <c r="F2955" s="1076"/>
      <c r="G2955" s="1076"/>
    </row>
    <row r="2956" spans="6:7">
      <c r="F2956" s="1076"/>
      <c r="G2956" s="1076"/>
    </row>
    <row r="2957" spans="6:7">
      <c r="F2957" s="1076"/>
      <c r="G2957" s="1076"/>
    </row>
    <row r="2958" spans="6:7">
      <c r="F2958" s="1076"/>
      <c r="G2958" s="1076"/>
    </row>
    <row r="2959" spans="6:7">
      <c r="F2959" s="1076"/>
      <c r="G2959" s="1076"/>
    </row>
    <row r="2960" spans="6:7">
      <c r="F2960" s="1076"/>
      <c r="G2960" s="1076"/>
    </row>
    <row r="2961" spans="6:7">
      <c r="F2961" s="1076"/>
      <c r="G2961" s="1076"/>
    </row>
    <row r="2962" spans="6:7">
      <c r="F2962" s="1076"/>
      <c r="G2962" s="1076"/>
    </row>
    <row r="2963" spans="6:7">
      <c r="F2963" s="1076"/>
      <c r="G2963" s="1076"/>
    </row>
    <row r="2964" spans="6:7">
      <c r="F2964" s="1076"/>
      <c r="G2964" s="1076"/>
    </row>
    <row r="2965" spans="6:7">
      <c r="F2965" s="1076"/>
      <c r="G2965" s="1076"/>
    </row>
    <row r="2966" spans="6:7">
      <c r="F2966" s="1076"/>
      <c r="G2966" s="1076"/>
    </row>
    <row r="2967" spans="6:7">
      <c r="F2967" s="1076"/>
      <c r="G2967" s="1076"/>
    </row>
    <row r="2968" spans="6:7">
      <c r="F2968" s="1076"/>
      <c r="G2968" s="1076"/>
    </row>
    <row r="2969" spans="6:7">
      <c r="F2969" s="1076"/>
      <c r="G2969" s="1076"/>
    </row>
    <row r="2970" spans="6:7">
      <c r="F2970" s="1076"/>
      <c r="G2970" s="1076"/>
    </row>
    <row r="2971" spans="6:7">
      <c r="F2971" s="1076"/>
      <c r="G2971" s="1076"/>
    </row>
    <row r="2972" spans="6:7">
      <c r="F2972" s="1076"/>
      <c r="G2972" s="1076"/>
    </row>
    <row r="2973" spans="6:7">
      <c r="F2973" s="1076"/>
      <c r="G2973" s="1076"/>
    </row>
    <row r="2974" spans="6:7">
      <c r="F2974" s="1076"/>
      <c r="G2974" s="1076"/>
    </row>
    <row r="2975" spans="6:7">
      <c r="F2975" s="1076"/>
      <c r="G2975" s="1076"/>
    </row>
    <row r="2976" spans="6:7">
      <c r="F2976" s="1076"/>
      <c r="G2976" s="1076"/>
    </row>
    <row r="2977" spans="6:7">
      <c r="F2977" s="1076"/>
      <c r="G2977" s="1076"/>
    </row>
    <row r="2978" spans="6:7">
      <c r="F2978" s="1076"/>
      <c r="G2978" s="1076"/>
    </row>
    <row r="2979" spans="6:7">
      <c r="F2979" s="1076"/>
      <c r="G2979" s="1076"/>
    </row>
    <row r="2980" spans="6:7">
      <c r="F2980" s="1076"/>
      <c r="G2980" s="1076"/>
    </row>
    <row r="2981" spans="6:7">
      <c r="F2981" s="1076"/>
      <c r="G2981" s="1076"/>
    </row>
    <row r="2982" spans="6:7">
      <c r="F2982" s="1076"/>
      <c r="G2982" s="1076"/>
    </row>
    <row r="2983" spans="6:7">
      <c r="F2983" s="1076"/>
      <c r="G2983" s="1076"/>
    </row>
    <row r="2984" spans="6:7">
      <c r="F2984" s="1076"/>
      <c r="G2984" s="1076"/>
    </row>
    <row r="2985" spans="6:7">
      <c r="F2985" s="1076"/>
      <c r="G2985" s="1076"/>
    </row>
    <row r="2986" spans="6:7">
      <c r="F2986" s="1076"/>
      <c r="G2986" s="1076"/>
    </row>
    <row r="2987" spans="6:7">
      <c r="F2987" s="1076"/>
      <c r="G2987" s="1076"/>
    </row>
    <row r="2988" spans="6:7">
      <c r="F2988" s="1076"/>
      <c r="G2988" s="1076"/>
    </row>
    <row r="2989" spans="6:7">
      <c r="F2989" s="1076"/>
      <c r="G2989" s="1076"/>
    </row>
    <row r="2990" spans="6:7">
      <c r="F2990" s="1076"/>
      <c r="G2990" s="1076"/>
    </row>
    <row r="2991" spans="6:7">
      <c r="F2991" s="1076"/>
      <c r="G2991" s="1076"/>
    </row>
    <row r="2992" spans="6:7">
      <c r="F2992" s="1076"/>
      <c r="G2992" s="1076"/>
    </row>
    <row r="2993" spans="6:7">
      <c r="F2993" s="1076"/>
      <c r="G2993" s="1076"/>
    </row>
    <row r="2994" spans="6:7">
      <c r="F2994" s="1076"/>
      <c r="G2994" s="1076"/>
    </row>
    <row r="2995" spans="6:7">
      <c r="F2995" s="1076"/>
      <c r="G2995" s="1076"/>
    </row>
    <row r="2996" spans="6:7">
      <c r="F2996" s="1076"/>
      <c r="G2996" s="1076"/>
    </row>
    <row r="2997" spans="6:7">
      <c r="F2997" s="1076"/>
      <c r="G2997" s="1076"/>
    </row>
    <row r="2998" spans="6:7">
      <c r="F2998" s="1076"/>
      <c r="G2998" s="1076"/>
    </row>
    <row r="2999" spans="6:7">
      <c r="F2999" s="1076"/>
      <c r="G2999" s="1076"/>
    </row>
    <row r="3000" spans="6:7">
      <c r="F3000" s="1076"/>
      <c r="G3000" s="1076"/>
    </row>
    <row r="3001" spans="6:7">
      <c r="F3001" s="1076"/>
      <c r="G3001" s="1076"/>
    </row>
    <row r="3002" spans="6:7">
      <c r="F3002" s="1076"/>
      <c r="G3002" s="1076"/>
    </row>
    <row r="3003" spans="6:7">
      <c r="F3003" s="1076"/>
      <c r="G3003" s="1076"/>
    </row>
    <row r="3004" spans="6:7">
      <c r="F3004" s="1076"/>
      <c r="G3004" s="1076"/>
    </row>
    <row r="3005" spans="6:7">
      <c r="F3005" s="1076"/>
      <c r="G3005" s="1076"/>
    </row>
    <row r="3006" spans="6:7">
      <c r="F3006" s="1076"/>
      <c r="G3006" s="1076"/>
    </row>
    <row r="3007" spans="6:7">
      <c r="F3007" s="1076"/>
      <c r="G3007" s="1076"/>
    </row>
    <row r="3008" spans="6:7">
      <c r="F3008" s="1076"/>
      <c r="G3008" s="1076"/>
    </row>
    <row r="3009" spans="6:7">
      <c r="F3009" s="1076"/>
      <c r="G3009" s="1076"/>
    </row>
    <row r="3010" spans="6:7">
      <c r="F3010" s="1076"/>
      <c r="G3010" s="1076"/>
    </row>
    <row r="3011" spans="6:7">
      <c r="F3011" s="1076"/>
      <c r="G3011" s="1076"/>
    </row>
    <row r="3012" spans="6:7">
      <c r="F3012" s="1076"/>
      <c r="G3012" s="1076"/>
    </row>
    <row r="3013" spans="6:7">
      <c r="F3013" s="1076"/>
      <c r="G3013" s="1076"/>
    </row>
    <row r="3014" spans="6:7">
      <c r="F3014" s="1076"/>
      <c r="G3014" s="1076"/>
    </row>
    <row r="3015" spans="6:7">
      <c r="F3015" s="1076"/>
      <c r="G3015" s="1076"/>
    </row>
    <row r="3016" spans="6:7">
      <c r="F3016" s="1076"/>
      <c r="G3016" s="1076"/>
    </row>
    <row r="3017" spans="6:7">
      <c r="F3017" s="1076"/>
      <c r="G3017" s="1076"/>
    </row>
    <row r="3018" spans="6:7">
      <c r="F3018" s="1076"/>
      <c r="G3018" s="1076"/>
    </row>
    <row r="3019" spans="6:7">
      <c r="F3019" s="1076"/>
      <c r="G3019" s="1076"/>
    </row>
    <row r="3020" spans="6:7">
      <c r="F3020" s="1076"/>
      <c r="G3020" s="1076"/>
    </row>
    <row r="3021" spans="6:7">
      <c r="F3021" s="1076"/>
      <c r="G3021" s="1076"/>
    </row>
    <row r="3022" spans="6:7">
      <c r="F3022" s="1076"/>
      <c r="G3022" s="1076"/>
    </row>
    <row r="3023" spans="6:7">
      <c r="F3023" s="1076"/>
      <c r="G3023" s="1076"/>
    </row>
    <row r="3024" spans="6:7">
      <c r="F3024" s="1076"/>
      <c r="G3024" s="1076"/>
    </row>
    <row r="3025" spans="6:7">
      <c r="F3025" s="1076"/>
      <c r="G3025" s="1076"/>
    </row>
    <row r="3026" spans="6:7">
      <c r="F3026" s="1076"/>
      <c r="G3026" s="1076"/>
    </row>
    <row r="3027" spans="6:7">
      <c r="F3027" s="1076"/>
      <c r="G3027" s="1076"/>
    </row>
    <row r="3028" spans="6:7">
      <c r="F3028" s="1076"/>
      <c r="G3028" s="1076"/>
    </row>
    <row r="3029" spans="6:7">
      <c r="F3029" s="1076"/>
      <c r="G3029" s="1076"/>
    </row>
    <row r="3030" spans="6:7">
      <c r="F3030" s="1076"/>
      <c r="G3030" s="1076"/>
    </row>
    <row r="3031" spans="6:7">
      <c r="F3031" s="1076"/>
      <c r="G3031" s="1076"/>
    </row>
    <row r="3032" spans="6:7">
      <c r="F3032" s="1076"/>
      <c r="G3032" s="1076"/>
    </row>
    <row r="3033" spans="6:7">
      <c r="F3033" s="1076"/>
      <c r="G3033" s="1076"/>
    </row>
    <row r="3034" spans="6:7">
      <c r="F3034" s="1076"/>
      <c r="G3034" s="1076"/>
    </row>
    <row r="3035" spans="6:7">
      <c r="F3035" s="1076"/>
      <c r="G3035" s="1076"/>
    </row>
    <row r="3036" spans="6:7">
      <c r="F3036" s="1076"/>
      <c r="G3036" s="1076"/>
    </row>
    <row r="3037" spans="6:7">
      <c r="F3037" s="1076"/>
      <c r="G3037" s="1076"/>
    </row>
    <row r="3038" spans="6:7">
      <c r="F3038" s="1076"/>
      <c r="G3038" s="1076"/>
    </row>
    <row r="3039" spans="6:7">
      <c r="F3039" s="1076"/>
      <c r="G3039" s="1076"/>
    </row>
    <row r="3040" spans="6:7">
      <c r="F3040" s="1076"/>
      <c r="G3040" s="1076"/>
    </row>
    <row r="3041" spans="6:7">
      <c r="F3041" s="1076"/>
      <c r="G3041" s="1076"/>
    </row>
    <row r="3042" spans="6:7">
      <c r="F3042" s="1076"/>
      <c r="G3042" s="1076"/>
    </row>
    <row r="3043" spans="6:7">
      <c r="F3043" s="1076"/>
      <c r="G3043" s="1076"/>
    </row>
    <row r="3044" spans="6:7">
      <c r="F3044" s="1076"/>
      <c r="G3044" s="1076"/>
    </row>
    <row r="3045" spans="6:7">
      <c r="F3045" s="1076"/>
      <c r="G3045" s="1076"/>
    </row>
    <row r="3046" spans="6:7">
      <c r="F3046" s="1076"/>
      <c r="G3046" s="1076"/>
    </row>
    <row r="3047" spans="6:7">
      <c r="F3047" s="1076"/>
      <c r="G3047" s="1076"/>
    </row>
    <row r="3048" spans="6:7">
      <c r="F3048" s="1076"/>
      <c r="G3048" s="1076"/>
    </row>
    <row r="3049" spans="6:7">
      <c r="F3049" s="1076"/>
      <c r="G3049" s="1076"/>
    </row>
    <row r="3050" spans="6:7">
      <c r="F3050" s="1076"/>
      <c r="G3050" s="1076"/>
    </row>
    <row r="3051" spans="6:7">
      <c r="F3051" s="1076"/>
      <c r="G3051" s="1076"/>
    </row>
    <row r="3052" spans="6:7">
      <c r="F3052" s="1076"/>
      <c r="G3052" s="1076"/>
    </row>
    <row r="3053" spans="6:7">
      <c r="F3053" s="1076"/>
      <c r="G3053" s="1076"/>
    </row>
    <row r="3054" spans="6:7">
      <c r="F3054" s="1076"/>
      <c r="G3054" s="1076"/>
    </row>
    <row r="3055" spans="6:7">
      <c r="F3055" s="1076"/>
      <c r="G3055" s="1076"/>
    </row>
    <row r="3056" spans="6:7">
      <c r="F3056" s="1076"/>
      <c r="G3056" s="1076"/>
    </row>
    <row r="3057" spans="6:7">
      <c r="F3057" s="1076"/>
      <c r="G3057" s="1076"/>
    </row>
    <row r="3058" spans="6:7">
      <c r="F3058" s="1076"/>
      <c r="G3058" s="1076"/>
    </row>
    <row r="3059" spans="6:7">
      <c r="F3059" s="1076"/>
      <c r="G3059" s="1076"/>
    </row>
    <row r="3060" spans="6:7">
      <c r="F3060" s="1076"/>
      <c r="G3060" s="1076"/>
    </row>
    <row r="3061" spans="6:7">
      <c r="F3061" s="1076"/>
      <c r="G3061" s="1076"/>
    </row>
    <row r="3062" spans="6:7">
      <c r="F3062" s="1076"/>
      <c r="G3062" s="1076"/>
    </row>
    <row r="3063" spans="6:7">
      <c r="F3063" s="1076"/>
      <c r="G3063" s="1076"/>
    </row>
    <row r="3064" spans="6:7">
      <c r="F3064" s="1076"/>
      <c r="G3064" s="1076"/>
    </row>
    <row r="3065" spans="6:7">
      <c r="F3065" s="1076"/>
      <c r="G3065" s="1076"/>
    </row>
    <row r="3066" spans="6:7">
      <c r="F3066" s="1076"/>
      <c r="G3066" s="1076"/>
    </row>
    <row r="3067" spans="6:7">
      <c r="F3067" s="1076"/>
      <c r="G3067" s="1076"/>
    </row>
    <row r="3068" spans="6:7">
      <c r="F3068" s="1076"/>
      <c r="G3068" s="1076"/>
    </row>
    <row r="3069" spans="6:7">
      <c r="F3069" s="1076"/>
      <c r="G3069" s="1076"/>
    </row>
    <row r="3070" spans="6:7">
      <c r="F3070" s="1076"/>
      <c r="G3070" s="1076"/>
    </row>
    <row r="3071" spans="6:7">
      <c r="F3071" s="1076"/>
      <c r="G3071" s="1076"/>
    </row>
    <row r="3072" spans="6:7">
      <c r="F3072" s="1076"/>
      <c r="G3072" s="1076"/>
    </row>
    <row r="3073" spans="6:7">
      <c r="F3073" s="1076"/>
      <c r="G3073" s="1076"/>
    </row>
    <row r="3074" spans="6:7">
      <c r="F3074" s="1076"/>
      <c r="G3074" s="1076"/>
    </row>
    <row r="3075" spans="6:7">
      <c r="F3075" s="1076"/>
      <c r="G3075" s="1076"/>
    </row>
    <row r="3076" spans="6:7">
      <c r="F3076" s="1076"/>
      <c r="G3076" s="1076"/>
    </row>
    <row r="3077" spans="6:7">
      <c r="F3077" s="1076"/>
      <c r="G3077" s="1076"/>
    </row>
    <row r="3078" spans="6:7">
      <c r="F3078" s="1076"/>
      <c r="G3078" s="1076"/>
    </row>
    <row r="3079" spans="6:7">
      <c r="F3079" s="1076"/>
      <c r="G3079" s="1076"/>
    </row>
    <row r="3080" spans="6:7">
      <c r="F3080" s="1076"/>
      <c r="G3080" s="1076"/>
    </row>
    <row r="3081" spans="6:7">
      <c r="F3081" s="1076"/>
      <c r="G3081" s="1076"/>
    </row>
    <row r="3082" spans="6:7">
      <c r="F3082" s="1076"/>
      <c r="G3082" s="1076"/>
    </row>
    <row r="3083" spans="6:7">
      <c r="F3083" s="1076"/>
      <c r="G3083" s="1076"/>
    </row>
    <row r="3084" spans="6:7">
      <c r="F3084" s="1076"/>
      <c r="G3084" s="1076"/>
    </row>
    <row r="3085" spans="6:7">
      <c r="F3085" s="1076"/>
      <c r="G3085" s="1076"/>
    </row>
    <row r="3086" spans="6:7">
      <c r="F3086" s="1076"/>
      <c r="G3086" s="1076"/>
    </row>
    <row r="3087" spans="6:7">
      <c r="F3087" s="1076"/>
      <c r="G3087" s="1076"/>
    </row>
    <row r="3088" spans="6:7">
      <c r="F3088" s="1076"/>
      <c r="G3088" s="1076"/>
    </row>
    <row r="3089" spans="6:7">
      <c r="F3089" s="1076"/>
      <c r="G3089" s="1076"/>
    </row>
    <row r="3090" spans="6:7">
      <c r="F3090" s="1076"/>
      <c r="G3090" s="1076"/>
    </row>
    <row r="3091" spans="6:7">
      <c r="F3091" s="1076"/>
      <c r="G3091" s="1076"/>
    </row>
    <row r="3092" spans="6:7">
      <c r="F3092" s="1076"/>
      <c r="G3092" s="1076"/>
    </row>
    <row r="3093" spans="6:7">
      <c r="F3093" s="1076"/>
      <c r="G3093" s="1076"/>
    </row>
    <row r="3094" spans="6:7">
      <c r="F3094" s="1076"/>
      <c r="G3094" s="1076"/>
    </row>
    <row r="3095" spans="6:7">
      <c r="F3095" s="1076"/>
      <c r="G3095" s="1076"/>
    </row>
    <row r="3096" spans="6:7">
      <c r="F3096" s="1076"/>
      <c r="G3096" s="1076"/>
    </row>
    <row r="3097" spans="6:7">
      <c r="F3097" s="1076"/>
      <c r="G3097" s="1076"/>
    </row>
    <row r="3098" spans="6:7">
      <c r="F3098" s="1076"/>
      <c r="G3098" s="1076"/>
    </row>
    <row r="3099" spans="6:7">
      <c r="F3099" s="1076"/>
      <c r="G3099" s="1076"/>
    </row>
    <row r="3100" spans="6:7">
      <c r="F3100" s="1076"/>
      <c r="G3100" s="1076"/>
    </row>
    <row r="3101" spans="6:7">
      <c r="F3101" s="1076"/>
      <c r="G3101" s="1076"/>
    </row>
    <row r="3102" spans="6:7">
      <c r="F3102" s="1076"/>
      <c r="G3102" s="1076"/>
    </row>
    <row r="3103" spans="6:7">
      <c r="F3103" s="1076"/>
      <c r="G3103" s="1076"/>
    </row>
    <row r="3104" spans="6:7">
      <c r="F3104" s="1076"/>
      <c r="G3104" s="1076"/>
    </row>
    <row r="3105" spans="6:7">
      <c r="F3105" s="1076"/>
      <c r="G3105" s="1076"/>
    </row>
    <row r="3106" spans="6:7">
      <c r="F3106" s="1076"/>
      <c r="G3106" s="1076"/>
    </row>
    <row r="3107" spans="6:7">
      <c r="F3107" s="1076"/>
      <c r="G3107" s="1076"/>
    </row>
    <row r="3108" spans="6:7">
      <c r="F3108" s="1076"/>
      <c r="G3108" s="1076"/>
    </row>
    <row r="3109" spans="6:7">
      <c r="F3109" s="1076"/>
      <c r="G3109" s="1076"/>
    </row>
    <row r="3110" spans="6:7">
      <c r="F3110" s="1076"/>
      <c r="G3110" s="1076"/>
    </row>
    <row r="3111" spans="6:7">
      <c r="F3111" s="1076"/>
      <c r="G3111" s="1076"/>
    </row>
    <row r="3112" spans="6:7">
      <c r="F3112" s="1076"/>
      <c r="G3112" s="1076"/>
    </row>
    <row r="3113" spans="6:7">
      <c r="F3113" s="1076"/>
      <c r="G3113" s="1076"/>
    </row>
    <row r="3114" spans="6:7">
      <c r="F3114" s="1076"/>
      <c r="G3114" s="1076"/>
    </row>
    <row r="3115" spans="6:7">
      <c r="F3115" s="1076"/>
      <c r="G3115" s="1076"/>
    </row>
    <row r="3116" spans="6:7">
      <c r="F3116" s="1076"/>
      <c r="G3116" s="1076"/>
    </row>
    <row r="3117" spans="6:7">
      <c r="F3117" s="1076"/>
      <c r="G3117" s="1076"/>
    </row>
    <row r="3118" spans="6:7">
      <c r="F3118" s="1076"/>
      <c r="G3118" s="1076"/>
    </row>
    <row r="3119" spans="6:7">
      <c r="F3119" s="1076"/>
      <c r="G3119" s="1076"/>
    </row>
    <row r="3120" spans="6:7">
      <c r="F3120" s="1076"/>
      <c r="G3120" s="1076"/>
    </row>
    <row r="3121" spans="6:7">
      <c r="F3121" s="1076"/>
      <c r="G3121" s="1076"/>
    </row>
    <row r="3122" spans="6:7">
      <c r="F3122" s="1076"/>
      <c r="G3122" s="1076"/>
    </row>
    <row r="3123" spans="6:7">
      <c r="F3123" s="1076"/>
      <c r="G3123" s="1076"/>
    </row>
    <row r="3124" spans="6:7">
      <c r="F3124" s="1076"/>
      <c r="G3124" s="1076"/>
    </row>
    <row r="3125" spans="6:7">
      <c r="F3125" s="1076"/>
      <c r="G3125" s="1076"/>
    </row>
    <row r="3126" spans="6:7">
      <c r="F3126" s="1076"/>
      <c r="G3126" s="1076"/>
    </row>
    <row r="3127" spans="6:7">
      <c r="F3127" s="1076"/>
      <c r="G3127" s="1076"/>
    </row>
    <row r="3128" spans="6:7">
      <c r="F3128" s="1076"/>
      <c r="G3128" s="1076"/>
    </row>
    <row r="3129" spans="6:7">
      <c r="F3129" s="1076"/>
      <c r="G3129" s="1076"/>
    </row>
    <row r="3130" spans="6:7">
      <c r="F3130" s="1076"/>
      <c r="G3130" s="1076"/>
    </row>
    <row r="3131" spans="6:7">
      <c r="F3131" s="1076"/>
      <c r="G3131" s="1076"/>
    </row>
    <row r="3132" spans="6:7">
      <c r="F3132" s="1076"/>
      <c r="G3132" s="1076"/>
    </row>
    <row r="3133" spans="6:7">
      <c r="F3133" s="1076"/>
      <c r="G3133" s="1076"/>
    </row>
    <row r="3134" spans="6:7">
      <c r="F3134" s="1076"/>
      <c r="G3134" s="1076"/>
    </row>
    <row r="3135" spans="6:7">
      <c r="F3135" s="1076"/>
      <c r="G3135" s="1076"/>
    </row>
    <row r="3136" spans="6:7">
      <c r="F3136" s="1076"/>
      <c r="G3136" s="1076"/>
    </row>
    <row r="3137" spans="6:7">
      <c r="F3137" s="1076"/>
      <c r="G3137" s="1076"/>
    </row>
    <row r="3138" spans="6:7">
      <c r="F3138" s="1076"/>
      <c r="G3138" s="1076"/>
    </row>
    <row r="3139" spans="6:7">
      <c r="F3139" s="1076"/>
      <c r="G3139" s="1076"/>
    </row>
    <row r="3140" spans="6:7">
      <c r="F3140" s="1076"/>
      <c r="G3140" s="1076"/>
    </row>
    <row r="3141" spans="6:7">
      <c r="F3141" s="1076"/>
      <c r="G3141" s="1076"/>
    </row>
    <row r="3142" spans="6:7">
      <c r="F3142" s="1076"/>
      <c r="G3142" s="1076"/>
    </row>
    <row r="3143" spans="6:7">
      <c r="F3143" s="1076"/>
      <c r="G3143" s="1076"/>
    </row>
    <row r="3144" spans="6:7">
      <c r="F3144" s="1076"/>
      <c r="G3144" s="1076"/>
    </row>
    <row r="3145" spans="6:7">
      <c r="F3145" s="1076"/>
      <c r="G3145" s="1076"/>
    </row>
    <row r="3146" spans="6:7">
      <c r="F3146" s="1076"/>
      <c r="G3146" s="1076"/>
    </row>
    <row r="3147" spans="6:7">
      <c r="F3147" s="1076"/>
      <c r="G3147" s="1076"/>
    </row>
    <row r="3148" spans="6:7">
      <c r="F3148" s="1076"/>
      <c r="G3148" s="1076"/>
    </row>
    <row r="3149" spans="6:7">
      <c r="F3149" s="1076"/>
      <c r="G3149" s="1076"/>
    </row>
    <row r="3150" spans="6:7">
      <c r="F3150" s="1076"/>
      <c r="G3150" s="1076"/>
    </row>
    <row r="3151" spans="6:7">
      <c r="F3151" s="1076"/>
      <c r="G3151" s="1076"/>
    </row>
    <row r="3152" spans="6:7">
      <c r="F3152" s="1076"/>
      <c r="G3152" s="1076"/>
    </row>
    <row r="3153" spans="6:7">
      <c r="F3153" s="1076"/>
      <c r="G3153" s="1076"/>
    </row>
    <row r="3154" spans="6:7">
      <c r="F3154" s="1076"/>
      <c r="G3154" s="1076"/>
    </row>
    <row r="3155" spans="6:7">
      <c r="F3155" s="1076"/>
      <c r="G3155" s="1076"/>
    </row>
    <row r="3156" spans="6:7">
      <c r="F3156" s="1076"/>
      <c r="G3156" s="1076"/>
    </row>
    <row r="3157" spans="6:7">
      <c r="F3157" s="1076"/>
      <c r="G3157" s="1076"/>
    </row>
    <row r="3158" spans="6:7">
      <c r="F3158" s="1076"/>
      <c r="G3158" s="1076"/>
    </row>
    <row r="3159" spans="6:7">
      <c r="F3159" s="1076"/>
      <c r="G3159" s="1076"/>
    </row>
    <row r="3160" spans="6:7">
      <c r="F3160" s="1076"/>
      <c r="G3160" s="1076"/>
    </row>
    <row r="3161" spans="6:7">
      <c r="F3161" s="1076"/>
      <c r="G3161" s="1076"/>
    </row>
    <row r="3162" spans="6:7">
      <c r="F3162" s="1076"/>
      <c r="G3162" s="1076"/>
    </row>
    <row r="3163" spans="6:7">
      <c r="F3163" s="1076"/>
      <c r="G3163" s="1076"/>
    </row>
    <row r="3164" spans="6:7">
      <c r="F3164" s="1076"/>
      <c r="G3164" s="1076"/>
    </row>
    <row r="3165" spans="6:7">
      <c r="F3165" s="1076"/>
      <c r="G3165" s="1076"/>
    </row>
    <row r="3166" spans="6:7">
      <c r="F3166" s="1076"/>
      <c r="G3166" s="1076"/>
    </row>
    <row r="3167" spans="6:7">
      <c r="F3167" s="1076"/>
      <c r="G3167" s="1076"/>
    </row>
    <row r="3168" spans="6:7">
      <c r="F3168" s="1076"/>
      <c r="G3168" s="1076"/>
    </row>
    <row r="3169" spans="6:7">
      <c r="F3169" s="1076"/>
      <c r="G3169" s="1076"/>
    </row>
    <row r="3170" spans="6:7">
      <c r="F3170" s="1076"/>
      <c r="G3170" s="1076"/>
    </row>
    <row r="3171" spans="6:7">
      <c r="F3171" s="1076"/>
      <c r="G3171" s="1076"/>
    </row>
    <row r="3172" spans="6:7">
      <c r="F3172" s="1076"/>
      <c r="G3172" s="1076"/>
    </row>
    <row r="3173" spans="6:7">
      <c r="F3173" s="1076"/>
      <c r="G3173" s="1076"/>
    </row>
    <row r="3174" spans="6:7">
      <c r="F3174" s="1076"/>
      <c r="G3174" s="1076"/>
    </row>
    <row r="3175" spans="6:7">
      <c r="F3175" s="1076"/>
      <c r="G3175" s="1076"/>
    </row>
    <row r="3176" spans="6:7">
      <c r="F3176" s="1076"/>
      <c r="G3176" s="1076"/>
    </row>
    <row r="3177" spans="6:7">
      <c r="F3177" s="1076"/>
      <c r="G3177" s="1076"/>
    </row>
    <row r="3178" spans="6:7">
      <c r="F3178" s="1076"/>
      <c r="G3178" s="1076"/>
    </row>
    <row r="3179" spans="6:7">
      <c r="F3179" s="1076"/>
      <c r="G3179" s="1076"/>
    </row>
    <row r="3180" spans="6:7">
      <c r="F3180" s="1076"/>
      <c r="G3180" s="1076"/>
    </row>
    <row r="3181" spans="6:7">
      <c r="F3181" s="1076"/>
      <c r="G3181" s="1076"/>
    </row>
    <row r="3182" spans="6:7">
      <c r="F3182" s="1076"/>
      <c r="G3182" s="1076"/>
    </row>
    <row r="3183" spans="6:7">
      <c r="F3183" s="1076"/>
      <c r="G3183" s="1076"/>
    </row>
    <row r="3184" spans="6:7">
      <c r="F3184" s="1076"/>
      <c r="G3184" s="1076"/>
    </row>
    <row r="3185" spans="6:7">
      <c r="F3185" s="1076"/>
      <c r="G3185" s="1076"/>
    </row>
    <row r="3186" spans="6:7">
      <c r="F3186" s="1076"/>
      <c r="G3186" s="1076"/>
    </row>
    <row r="3187" spans="6:7">
      <c r="F3187" s="1076"/>
      <c r="G3187" s="1076"/>
    </row>
    <row r="3188" spans="6:7">
      <c r="F3188" s="1076"/>
      <c r="G3188" s="1076"/>
    </row>
    <row r="3189" spans="6:7">
      <c r="F3189" s="1076"/>
      <c r="G3189" s="1076"/>
    </row>
    <row r="3190" spans="6:7">
      <c r="F3190" s="1076"/>
      <c r="G3190" s="1076"/>
    </row>
    <row r="3191" spans="6:7">
      <c r="F3191" s="1076"/>
      <c r="G3191" s="1076"/>
    </row>
    <row r="3192" spans="6:7">
      <c r="F3192" s="1076"/>
      <c r="G3192" s="1076"/>
    </row>
    <row r="3193" spans="6:7">
      <c r="F3193" s="1076"/>
      <c r="G3193" s="1076"/>
    </row>
    <row r="3194" spans="6:7">
      <c r="F3194" s="1076"/>
      <c r="G3194" s="1076"/>
    </row>
    <row r="3195" spans="6:7">
      <c r="F3195" s="1076"/>
      <c r="G3195" s="1076"/>
    </row>
    <row r="3196" spans="6:7">
      <c r="F3196" s="1076"/>
      <c r="G3196" s="1076"/>
    </row>
    <row r="3197" spans="6:7">
      <c r="F3197" s="1076"/>
      <c r="G3197" s="1076"/>
    </row>
    <row r="3198" spans="6:7">
      <c r="F3198" s="1076"/>
      <c r="G3198" s="1076"/>
    </row>
    <row r="3199" spans="6:7">
      <c r="F3199" s="1076"/>
      <c r="G3199" s="1076"/>
    </row>
    <row r="3200" spans="6:7">
      <c r="F3200" s="1076"/>
      <c r="G3200" s="1076"/>
    </row>
    <row r="3201" spans="6:7">
      <c r="F3201" s="1076"/>
      <c r="G3201" s="1076"/>
    </row>
    <row r="3202" spans="6:7">
      <c r="F3202" s="1076"/>
      <c r="G3202" s="1076"/>
    </row>
    <row r="3203" spans="6:7">
      <c r="F3203" s="1076"/>
      <c r="G3203" s="1076"/>
    </row>
    <row r="3204" spans="6:7">
      <c r="F3204" s="1076"/>
      <c r="G3204" s="1076"/>
    </row>
    <row r="3205" spans="6:7">
      <c r="F3205" s="1076"/>
      <c r="G3205" s="1076"/>
    </row>
    <row r="3206" spans="6:7">
      <c r="F3206" s="1076"/>
      <c r="G3206" s="1076"/>
    </row>
    <row r="3207" spans="6:7">
      <c r="F3207" s="1076"/>
      <c r="G3207" s="1076"/>
    </row>
    <row r="3208" spans="6:7">
      <c r="F3208" s="1076"/>
      <c r="G3208" s="1076"/>
    </row>
    <row r="3209" spans="6:7">
      <c r="F3209" s="1076"/>
      <c r="G3209" s="1076"/>
    </row>
    <row r="3210" spans="6:7">
      <c r="F3210" s="1076"/>
      <c r="G3210" s="1076"/>
    </row>
    <row r="3211" spans="6:7">
      <c r="F3211" s="1076"/>
      <c r="G3211" s="1076"/>
    </row>
    <row r="3212" spans="6:7">
      <c r="F3212" s="1076"/>
      <c r="G3212" s="1076"/>
    </row>
    <row r="3213" spans="6:7">
      <c r="F3213" s="1076"/>
      <c r="G3213" s="1076"/>
    </row>
    <row r="3214" spans="6:7">
      <c r="F3214" s="1076"/>
      <c r="G3214" s="1076"/>
    </row>
    <row r="3215" spans="6:7">
      <c r="F3215" s="1076"/>
      <c r="G3215" s="1076"/>
    </row>
    <row r="3216" spans="6:7">
      <c r="F3216" s="1076"/>
      <c r="G3216" s="1076"/>
    </row>
    <row r="3217" spans="6:7">
      <c r="F3217" s="1076"/>
      <c r="G3217" s="1076"/>
    </row>
    <row r="3218" spans="6:7">
      <c r="F3218" s="1076"/>
      <c r="G3218" s="1076"/>
    </row>
    <row r="3219" spans="6:7">
      <c r="F3219" s="1076"/>
      <c r="G3219" s="1076"/>
    </row>
    <row r="3220" spans="6:7">
      <c r="F3220" s="1076"/>
      <c r="G3220" s="1076"/>
    </row>
    <row r="3221" spans="6:7">
      <c r="F3221" s="1076"/>
      <c r="G3221" s="1076"/>
    </row>
    <row r="3222" spans="6:7">
      <c r="F3222" s="1076"/>
      <c r="G3222" s="1076"/>
    </row>
    <row r="3223" spans="6:7">
      <c r="F3223" s="1076"/>
      <c r="G3223" s="1076"/>
    </row>
    <row r="3224" spans="6:7">
      <c r="F3224" s="1076"/>
      <c r="G3224" s="1076"/>
    </row>
    <row r="3225" spans="6:7">
      <c r="F3225" s="1076"/>
      <c r="G3225" s="1076"/>
    </row>
    <row r="3226" spans="6:7">
      <c r="F3226" s="1076"/>
      <c r="G3226" s="1076"/>
    </row>
    <row r="3227" spans="6:7">
      <c r="F3227" s="1076"/>
      <c r="G3227" s="1076"/>
    </row>
    <row r="3228" spans="6:7">
      <c r="F3228" s="1076"/>
      <c r="G3228" s="1076"/>
    </row>
    <row r="3229" spans="6:7">
      <c r="F3229" s="1076"/>
      <c r="G3229" s="1076"/>
    </row>
    <row r="3230" spans="6:7">
      <c r="F3230" s="1076"/>
      <c r="G3230" s="1076"/>
    </row>
    <row r="3231" spans="6:7">
      <c r="F3231" s="1076"/>
      <c r="G3231" s="1076"/>
    </row>
    <row r="3232" spans="6:7">
      <c r="F3232" s="1076"/>
      <c r="G3232" s="1076"/>
    </row>
    <row r="3233" spans="6:7">
      <c r="F3233" s="1076"/>
      <c r="G3233" s="1076"/>
    </row>
    <row r="3234" spans="6:7">
      <c r="F3234" s="1076"/>
      <c r="G3234" s="1076"/>
    </row>
    <row r="3235" spans="6:7">
      <c r="F3235" s="1076"/>
      <c r="G3235" s="1076"/>
    </row>
    <row r="3236" spans="6:7">
      <c r="F3236" s="1076"/>
      <c r="G3236" s="1076"/>
    </row>
    <row r="3237" spans="6:7">
      <c r="F3237" s="1076"/>
      <c r="G3237" s="1076"/>
    </row>
    <row r="3238" spans="6:7">
      <c r="F3238" s="1076"/>
      <c r="G3238" s="1076"/>
    </row>
    <row r="3239" spans="6:7">
      <c r="F3239" s="1076"/>
      <c r="G3239" s="1076"/>
    </row>
    <row r="3240" spans="6:7">
      <c r="F3240" s="1076"/>
      <c r="G3240" s="1076"/>
    </row>
    <row r="3241" spans="6:7">
      <c r="F3241" s="1076"/>
      <c r="G3241" s="1076"/>
    </row>
    <row r="3242" spans="6:7">
      <c r="F3242" s="1076"/>
      <c r="G3242" s="1076"/>
    </row>
    <row r="3243" spans="6:7">
      <c r="F3243" s="1076"/>
      <c r="G3243" s="1076"/>
    </row>
    <row r="3244" spans="6:7">
      <c r="F3244" s="1076"/>
      <c r="G3244" s="1076"/>
    </row>
    <row r="3245" spans="6:7">
      <c r="F3245" s="1076"/>
      <c r="G3245" s="1076"/>
    </row>
    <row r="3246" spans="6:7">
      <c r="F3246" s="1076"/>
      <c r="G3246" s="1076"/>
    </row>
    <row r="3247" spans="6:7">
      <c r="F3247" s="1076"/>
      <c r="G3247" s="1076"/>
    </row>
    <row r="3248" spans="6:7">
      <c r="F3248" s="1076"/>
      <c r="G3248" s="1076"/>
    </row>
    <row r="3249" spans="6:7">
      <c r="F3249" s="1076"/>
      <c r="G3249" s="1076"/>
    </row>
    <row r="3250" spans="6:7">
      <c r="F3250" s="1076"/>
      <c r="G3250" s="1076"/>
    </row>
    <row r="3251" spans="6:7">
      <c r="F3251" s="1076"/>
      <c r="G3251" s="1076"/>
    </row>
    <row r="3252" spans="6:7">
      <c r="F3252" s="1076"/>
      <c r="G3252" s="1076"/>
    </row>
    <row r="3253" spans="6:7">
      <c r="F3253" s="1076"/>
      <c r="G3253" s="1076"/>
    </row>
    <row r="3254" spans="6:7">
      <c r="F3254" s="1076"/>
      <c r="G3254" s="1076"/>
    </row>
    <row r="3255" spans="6:7">
      <c r="F3255" s="1076"/>
      <c r="G3255" s="1076"/>
    </row>
    <row r="3256" spans="6:7">
      <c r="F3256" s="1076"/>
      <c r="G3256" s="1076"/>
    </row>
    <row r="3257" spans="6:7">
      <c r="F3257" s="1076"/>
      <c r="G3257" s="1076"/>
    </row>
    <row r="3258" spans="6:7">
      <c r="F3258" s="1076"/>
      <c r="G3258" s="1076"/>
    </row>
    <row r="3259" spans="6:7">
      <c r="F3259" s="1076"/>
      <c r="G3259" s="1076"/>
    </row>
    <row r="3260" spans="6:7">
      <c r="F3260" s="1076"/>
      <c r="G3260" s="1076"/>
    </row>
    <row r="3261" spans="6:7">
      <c r="F3261" s="1076"/>
      <c r="G3261" s="1076"/>
    </row>
    <row r="3262" spans="6:7">
      <c r="F3262" s="1076"/>
      <c r="G3262" s="1076"/>
    </row>
    <row r="3263" spans="6:7">
      <c r="F3263" s="1076"/>
      <c r="G3263" s="1076"/>
    </row>
    <row r="3264" spans="6:7">
      <c r="F3264" s="1076"/>
      <c r="G3264" s="1076"/>
    </row>
    <row r="3265" spans="6:7">
      <c r="F3265" s="1076"/>
      <c r="G3265" s="1076"/>
    </row>
    <row r="3266" spans="6:7">
      <c r="F3266" s="1076"/>
      <c r="G3266" s="1076"/>
    </row>
    <row r="3267" spans="6:7">
      <c r="F3267" s="1076"/>
      <c r="G3267" s="1076"/>
    </row>
    <row r="3268" spans="6:7">
      <c r="F3268" s="1076"/>
      <c r="G3268" s="1076"/>
    </row>
    <row r="3269" spans="6:7">
      <c r="F3269" s="1076"/>
      <c r="G3269" s="1076"/>
    </row>
    <row r="3270" spans="6:7">
      <c r="F3270" s="1076"/>
      <c r="G3270" s="1076"/>
    </row>
    <row r="3271" spans="6:7">
      <c r="F3271" s="1076"/>
      <c r="G3271" s="1076"/>
    </row>
    <row r="3272" spans="6:7">
      <c r="F3272" s="1076"/>
      <c r="G3272" s="1076"/>
    </row>
    <row r="3273" spans="6:7">
      <c r="F3273" s="1076"/>
      <c r="G3273" s="1076"/>
    </row>
    <row r="3274" spans="6:7">
      <c r="F3274" s="1076"/>
      <c r="G3274" s="1076"/>
    </row>
    <row r="3275" spans="6:7">
      <c r="F3275" s="1076"/>
      <c r="G3275" s="1076"/>
    </row>
    <row r="3276" spans="6:7">
      <c r="F3276" s="1076"/>
      <c r="G3276" s="1076"/>
    </row>
    <row r="3277" spans="6:7">
      <c r="F3277" s="1076"/>
      <c r="G3277" s="1076"/>
    </row>
    <row r="3278" spans="6:7">
      <c r="F3278" s="1076"/>
      <c r="G3278" s="1076"/>
    </row>
    <row r="3279" spans="6:7">
      <c r="F3279" s="1076"/>
      <c r="G3279" s="1076"/>
    </row>
    <row r="3280" spans="6:7">
      <c r="F3280" s="1076"/>
      <c r="G3280" s="1076"/>
    </row>
    <row r="3281" spans="6:7">
      <c r="F3281" s="1076"/>
      <c r="G3281" s="1076"/>
    </row>
    <row r="3282" spans="6:7">
      <c r="F3282" s="1076"/>
      <c r="G3282" s="1076"/>
    </row>
    <row r="3283" spans="6:7">
      <c r="F3283" s="1076"/>
      <c r="G3283" s="1076"/>
    </row>
    <row r="3284" spans="6:7">
      <c r="F3284" s="1076"/>
      <c r="G3284" s="1076"/>
    </row>
    <row r="3285" spans="6:7">
      <c r="F3285" s="1076"/>
      <c r="G3285" s="1076"/>
    </row>
    <row r="3286" spans="6:7">
      <c r="F3286" s="1076"/>
      <c r="G3286" s="1076"/>
    </row>
    <row r="3287" spans="6:7">
      <c r="F3287" s="1076"/>
      <c r="G3287" s="1076"/>
    </row>
    <row r="3288" spans="6:7">
      <c r="F3288" s="1076"/>
      <c r="G3288" s="1076"/>
    </row>
    <row r="3289" spans="6:7">
      <c r="F3289" s="1076"/>
      <c r="G3289" s="1076"/>
    </row>
    <row r="3290" spans="6:7">
      <c r="F3290" s="1076"/>
      <c r="G3290" s="1076"/>
    </row>
    <row r="3291" spans="6:7">
      <c r="F3291" s="1076"/>
      <c r="G3291" s="1076"/>
    </row>
    <row r="3292" spans="6:7">
      <c r="F3292" s="1076"/>
      <c r="G3292" s="1076"/>
    </row>
    <row r="3293" spans="6:7">
      <c r="F3293" s="1076"/>
      <c r="G3293" s="1076"/>
    </row>
    <row r="3294" spans="6:7">
      <c r="F3294" s="1076"/>
      <c r="G3294" s="1076"/>
    </row>
    <row r="3295" spans="6:7">
      <c r="F3295" s="1076"/>
      <c r="G3295" s="1076"/>
    </row>
    <row r="3296" spans="6:7">
      <c r="F3296" s="1076"/>
      <c r="G3296" s="1076"/>
    </row>
    <row r="3297" spans="6:7">
      <c r="F3297" s="1076"/>
      <c r="G3297" s="1076"/>
    </row>
    <row r="3298" spans="6:7">
      <c r="F3298" s="1076"/>
      <c r="G3298" s="1076"/>
    </row>
    <row r="3299" spans="6:7">
      <c r="F3299" s="1076"/>
      <c r="G3299" s="1076"/>
    </row>
    <row r="3300" spans="6:7">
      <c r="F3300" s="1076"/>
      <c r="G3300" s="1076"/>
    </row>
    <row r="3301" spans="6:7">
      <c r="F3301" s="1076"/>
      <c r="G3301" s="1076"/>
    </row>
    <row r="3302" spans="6:7">
      <c r="F3302" s="1076"/>
      <c r="G3302" s="1076"/>
    </row>
    <row r="3303" spans="6:7">
      <c r="F3303" s="1076"/>
      <c r="G3303" s="1076"/>
    </row>
    <row r="3304" spans="6:7">
      <c r="F3304" s="1076"/>
      <c r="G3304" s="1076"/>
    </row>
    <row r="3305" spans="6:7">
      <c r="F3305" s="1076"/>
      <c r="G3305" s="1076"/>
    </row>
    <row r="3306" spans="6:7">
      <c r="F3306" s="1076"/>
      <c r="G3306" s="1076"/>
    </row>
    <row r="3307" spans="6:7">
      <c r="F3307" s="1076"/>
      <c r="G3307" s="1076"/>
    </row>
    <row r="3308" spans="6:7">
      <c r="F3308" s="1076"/>
      <c r="G3308" s="1076"/>
    </row>
    <row r="3309" spans="6:7">
      <c r="F3309" s="1076"/>
      <c r="G3309" s="1076"/>
    </row>
    <row r="3310" spans="6:7">
      <c r="F3310" s="1076"/>
      <c r="G3310" s="1076"/>
    </row>
    <row r="3311" spans="6:7">
      <c r="F3311" s="1076"/>
      <c r="G3311" s="1076"/>
    </row>
    <row r="3312" spans="6:7">
      <c r="F3312" s="1076"/>
      <c r="G3312" s="1076"/>
    </row>
    <row r="3313" spans="6:7">
      <c r="F3313" s="1076"/>
      <c r="G3313" s="1076"/>
    </row>
    <row r="3314" spans="6:7">
      <c r="F3314" s="1076"/>
      <c r="G3314" s="1076"/>
    </row>
    <row r="3315" spans="6:7">
      <c r="F3315" s="1076"/>
      <c r="G3315" s="1076"/>
    </row>
    <row r="3316" spans="6:7">
      <c r="F3316" s="1076"/>
      <c r="G3316" s="1076"/>
    </row>
    <row r="3317" spans="6:7">
      <c r="F3317" s="1076"/>
      <c r="G3317" s="1076"/>
    </row>
    <row r="3318" spans="6:7">
      <c r="F3318" s="1076"/>
      <c r="G3318" s="1076"/>
    </row>
    <row r="3319" spans="6:7">
      <c r="F3319" s="1076"/>
      <c r="G3319" s="1076"/>
    </row>
    <row r="3320" spans="6:7">
      <c r="F3320" s="1076"/>
      <c r="G3320" s="1076"/>
    </row>
    <row r="3321" spans="6:7">
      <c r="F3321" s="1076"/>
      <c r="G3321" s="1076"/>
    </row>
    <row r="3322" spans="6:7">
      <c r="F3322" s="1076"/>
      <c r="G3322" s="1076"/>
    </row>
    <row r="3323" spans="6:7">
      <c r="F3323" s="1076"/>
      <c r="G3323" s="1076"/>
    </row>
    <row r="3324" spans="6:7">
      <c r="F3324" s="1076"/>
      <c r="G3324" s="1076"/>
    </row>
    <row r="3325" spans="6:7">
      <c r="F3325" s="1076"/>
      <c r="G3325" s="1076"/>
    </row>
    <row r="3326" spans="6:7">
      <c r="F3326" s="1076"/>
      <c r="G3326" s="1076"/>
    </row>
    <row r="3327" spans="6:7">
      <c r="F3327" s="1076"/>
      <c r="G3327" s="1076"/>
    </row>
    <row r="3328" spans="6:7">
      <c r="F3328" s="1076"/>
      <c r="G3328" s="1076"/>
    </row>
    <row r="3329" spans="6:7">
      <c r="F3329" s="1076"/>
      <c r="G3329" s="1076"/>
    </row>
    <row r="3330" spans="6:7">
      <c r="F3330" s="1076"/>
      <c r="G3330" s="1076"/>
    </row>
    <row r="3331" spans="6:7">
      <c r="F3331" s="1076"/>
      <c r="G3331" s="1076"/>
    </row>
    <row r="3332" spans="6:7">
      <c r="F3332" s="1076"/>
      <c r="G3332" s="1076"/>
    </row>
    <row r="3333" spans="6:7">
      <c r="F3333" s="1076"/>
      <c r="G3333" s="1076"/>
    </row>
    <row r="3334" spans="6:7">
      <c r="F3334" s="1076"/>
      <c r="G3334" s="1076"/>
    </row>
    <row r="3335" spans="6:7">
      <c r="F3335" s="1076"/>
      <c r="G3335" s="1076"/>
    </row>
    <row r="3336" spans="6:7">
      <c r="F3336" s="1076"/>
      <c r="G3336" s="1076"/>
    </row>
    <row r="3337" spans="6:7">
      <c r="F3337" s="1076"/>
      <c r="G3337" s="1076"/>
    </row>
    <row r="3338" spans="6:7">
      <c r="F3338" s="1076"/>
      <c r="G3338" s="1076"/>
    </row>
    <row r="3339" spans="6:7">
      <c r="F3339" s="1076"/>
      <c r="G3339" s="1076"/>
    </row>
    <row r="3340" spans="6:7">
      <c r="F3340" s="1076"/>
      <c r="G3340" s="1076"/>
    </row>
    <row r="3341" spans="6:7">
      <c r="F3341" s="1076"/>
      <c r="G3341" s="1076"/>
    </row>
    <row r="3342" spans="6:7">
      <c r="F3342" s="1076"/>
      <c r="G3342" s="1076"/>
    </row>
    <row r="3343" spans="6:7">
      <c r="F3343" s="1076"/>
      <c r="G3343" s="1076"/>
    </row>
    <row r="3344" spans="6:7">
      <c r="F3344" s="1076"/>
      <c r="G3344" s="1076"/>
    </row>
    <row r="3345" spans="6:7">
      <c r="F3345" s="1076"/>
      <c r="G3345" s="1076"/>
    </row>
    <row r="3346" spans="6:7">
      <c r="F3346" s="1076"/>
      <c r="G3346" s="1076"/>
    </row>
    <row r="3347" spans="6:7">
      <c r="F3347" s="1076"/>
      <c r="G3347" s="1076"/>
    </row>
    <row r="3348" spans="6:7">
      <c r="F3348" s="1076"/>
      <c r="G3348" s="1076"/>
    </row>
    <row r="3349" spans="6:7">
      <c r="F3349" s="1076"/>
      <c r="G3349" s="1076"/>
    </row>
    <row r="3350" spans="6:7">
      <c r="F3350" s="1076"/>
      <c r="G3350" s="1076"/>
    </row>
    <row r="3351" spans="6:7">
      <c r="F3351" s="1076"/>
      <c r="G3351" s="1076"/>
    </row>
    <row r="3352" spans="6:7">
      <c r="F3352" s="1076"/>
      <c r="G3352" s="1076"/>
    </row>
    <row r="3353" spans="6:7">
      <c r="F3353" s="1076"/>
      <c r="G3353" s="1076"/>
    </row>
    <row r="3354" spans="6:7">
      <c r="F3354" s="1076"/>
      <c r="G3354" s="1076"/>
    </row>
    <row r="3355" spans="6:7">
      <c r="F3355" s="1076"/>
      <c r="G3355" s="1076"/>
    </row>
    <row r="3356" spans="6:7">
      <c r="F3356" s="1076"/>
      <c r="G3356" s="1076"/>
    </row>
    <row r="3357" spans="6:7">
      <c r="F3357" s="1076"/>
      <c r="G3357" s="1076"/>
    </row>
    <row r="3358" spans="6:7">
      <c r="F3358" s="1076"/>
      <c r="G3358" s="1076"/>
    </row>
    <row r="3359" spans="6:7">
      <c r="F3359" s="1076"/>
      <c r="G3359" s="1076"/>
    </row>
    <row r="3360" spans="6:7">
      <c r="F3360" s="1076"/>
      <c r="G3360" s="1076"/>
    </row>
    <row r="3361" spans="6:7">
      <c r="F3361" s="1076"/>
      <c r="G3361" s="1076"/>
    </row>
    <row r="3362" spans="6:7">
      <c r="F3362" s="1076"/>
      <c r="G3362" s="1076"/>
    </row>
    <row r="3363" spans="6:7">
      <c r="F3363" s="1076"/>
      <c r="G3363" s="1076"/>
    </row>
    <row r="3364" spans="6:7">
      <c r="F3364" s="1076"/>
      <c r="G3364" s="1076"/>
    </row>
    <row r="3365" spans="6:7">
      <c r="F3365" s="1076"/>
      <c r="G3365" s="1076"/>
    </row>
    <row r="3366" spans="6:7">
      <c r="F3366" s="1076"/>
      <c r="G3366" s="1076"/>
    </row>
    <row r="3367" spans="6:7">
      <c r="F3367" s="1076"/>
      <c r="G3367" s="1076"/>
    </row>
    <row r="3368" spans="6:7">
      <c r="F3368" s="1076"/>
      <c r="G3368" s="1076"/>
    </row>
    <row r="3369" spans="6:7">
      <c r="F3369" s="1076"/>
      <c r="G3369" s="1076"/>
    </row>
    <row r="3370" spans="6:7">
      <c r="F3370" s="1076"/>
      <c r="G3370" s="1076"/>
    </row>
    <row r="3371" spans="6:7">
      <c r="F3371" s="1076"/>
      <c r="G3371" s="1076"/>
    </row>
    <row r="3372" spans="6:7">
      <c r="F3372" s="1076"/>
      <c r="G3372" s="1076"/>
    </row>
    <row r="3373" spans="6:7">
      <c r="F3373" s="1076"/>
      <c r="G3373" s="1076"/>
    </row>
    <row r="3374" spans="6:7">
      <c r="F3374" s="1076"/>
      <c r="G3374" s="1076"/>
    </row>
    <row r="3375" spans="6:7">
      <c r="F3375" s="1076"/>
      <c r="G3375" s="1076"/>
    </row>
    <row r="3376" spans="6:7">
      <c r="F3376" s="1076"/>
      <c r="G3376" s="1076"/>
    </row>
    <row r="3377" spans="6:7">
      <c r="F3377" s="1076"/>
      <c r="G3377" s="1076"/>
    </row>
    <row r="3378" spans="6:7">
      <c r="F3378" s="1076"/>
      <c r="G3378" s="1076"/>
    </row>
    <row r="3379" spans="6:7">
      <c r="F3379" s="1076"/>
      <c r="G3379" s="1076"/>
    </row>
    <row r="3380" spans="6:7">
      <c r="F3380" s="1076"/>
      <c r="G3380" s="1076"/>
    </row>
    <row r="3381" spans="6:7">
      <c r="F3381" s="1076"/>
      <c r="G3381" s="1076"/>
    </row>
    <row r="3382" spans="6:7">
      <c r="F3382" s="1076"/>
      <c r="G3382" s="1076"/>
    </row>
    <row r="3383" spans="6:7">
      <c r="F3383" s="1076"/>
      <c r="G3383" s="1076"/>
    </row>
    <row r="3384" spans="6:7">
      <c r="F3384" s="1076"/>
      <c r="G3384" s="1076"/>
    </row>
    <row r="3385" spans="6:7">
      <c r="F3385" s="1076"/>
      <c r="G3385" s="1076"/>
    </row>
    <row r="3386" spans="6:7">
      <c r="F3386" s="1076"/>
      <c r="G3386" s="1076"/>
    </row>
    <row r="3387" spans="6:7">
      <c r="F3387" s="1076"/>
      <c r="G3387" s="1076"/>
    </row>
    <row r="3388" spans="6:7">
      <c r="F3388" s="1076"/>
      <c r="G3388" s="1076"/>
    </row>
    <row r="3389" spans="6:7">
      <c r="F3389" s="1076"/>
      <c r="G3389" s="1076"/>
    </row>
    <row r="3390" spans="6:7">
      <c r="F3390" s="1076"/>
      <c r="G3390" s="1076"/>
    </row>
    <row r="3391" spans="6:7">
      <c r="F3391" s="1076"/>
      <c r="G3391" s="1076"/>
    </row>
    <row r="3392" spans="6:7">
      <c r="F3392" s="1076"/>
      <c r="G3392" s="1076"/>
    </row>
    <row r="3393" spans="6:7">
      <c r="F3393" s="1076"/>
      <c r="G3393" s="1076"/>
    </row>
    <row r="3394" spans="6:7">
      <c r="F3394" s="1076"/>
      <c r="G3394" s="1076"/>
    </row>
    <row r="3395" spans="6:7">
      <c r="F3395" s="1076"/>
      <c r="G3395" s="1076"/>
    </row>
    <row r="3396" spans="6:7">
      <c r="F3396" s="1076"/>
      <c r="G3396" s="1076"/>
    </row>
    <row r="3397" spans="6:7">
      <c r="F3397" s="1076"/>
      <c r="G3397" s="1076"/>
    </row>
    <row r="3398" spans="6:7">
      <c r="F3398" s="1076"/>
      <c r="G3398" s="1076"/>
    </row>
    <row r="3399" spans="6:7">
      <c r="F3399" s="1076"/>
      <c r="G3399" s="1076"/>
    </row>
    <row r="3400" spans="6:7">
      <c r="F3400" s="1076"/>
      <c r="G3400" s="1076"/>
    </row>
    <row r="3401" spans="6:7">
      <c r="F3401" s="1076"/>
      <c r="G3401" s="1076"/>
    </row>
    <row r="3402" spans="6:7">
      <c r="F3402" s="1076"/>
      <c r="G3402" s="1076"/>
    </row>
    <row r="3403" spans="6:7">
      <c r="F3403" s="1076"/>
      <c r="G3403" s="1076"/>
    </row>
    <row r="3404" spans="6:7">
      <c r="F3404" s="1076"/>
      <c r="G3404" s="1076"/>
    </row>
    <row r="3405" spans="6:7">
      <c r="F3405" s="1076"/>
      <c r="G3405" s="1076"/>
    </row>
    <row r="3406" spans="6:7">
      <c r="F3406" s="1076"/>
      <c r="G3406" s="1076"/>
    </row>
    <row r="3407" spans="6:7">
      <c r="F3407" s="1076"/>
      <c r="G3407" s="1076"/>
    </row>
    <row r="3408" spans="6:7">
      <c r="F3408" s="1076"/>
      <c r="G3408" s="1076"/>
    </row>
    <row r="3409" spans="6:7">
      <c r="F3409" s="1076"/>
      <c r="G3409" s="1076"/>
    </row>
    <row r="3410" spans="6:7">
      <c r="F3410" s="1076"/>
      <c r="G3410" s="1076"/>
    </row>
    <row r="3411" spans="6:7">
      <c r="F3411" s="1076"/>
      <c r="G3411" s="1076"/>
    </row>
    <row r="3412" spans="6:7">
      <c r="F3412" s="1076"/>
      <c r="G3412" s="1076"/>
    </row>
    <row r="3413" spans="6:7">
      <c r="F3413" s="1076"/>
      <c r="G3413" s="1076"/>
    </row>
    <row r="3414" spans="6:7">
      <c r="F3414" s="1076"/>
      <c r="G3414" s="1076"/>
    </row>
    <row r="3415" spans="6:7">
      <c r="F3415" s="1076"/>
      <c r="G3415" s="1076"/>
    </row>
    <row r="3416" spans="6:7">
      <c r="F3416" s="1076"/>
      <c r="G3416" s="1076"/>
    </row>
  </sheetData>
  <pageMargins left="0.7" right="0.7" top="0.75" bottom="0.75" header="0.3" footer="0.3"/>
  <pageSetup scale="10" orientation="portrait" r:id="rId1"/>
  <headerFooter>
    <oddHeader>&amp;CPSE_ASC_Filing_Appendix_1_CY_2018</oddHeader>
    <oddFooter>&amp;R&amp;F&amp;A</oddFooter>
  </headerFooter>
  <customProperties>
    <customPr name="_pios_id" r:id="rId2"/>
  </customProperties>
  <drawing r:id="rId3"/>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rgb="FF92D050"/>
    <pageSetUpPr fitToPage="1"/>
  </sheetPr>
  <dimension ref="A1:L120"/>
  <sheetViews>
    <sheetView workbookViewId="0">
      <pane ySplit="6" topLeftCell="A7" activePane="bottomLeft" state="frozen"/>
      <selection sqref="A1:XFD1048576"/>
      <selection pane="bottomLeft" sqref="A1:XFD1048576"/>
    </sheetView>
  </sheetViews>
  <sheetFormatPr defaultColWidth="9" defaultRowHeight="11.25"/>
  <cols>
    <col min="1" max="1" width="7.625" style="493" bestFit="1" customWidth="1"/>
    <col min="2" max="2" width="30.75" style="493" bestFit="1" customWidth="1"/>
    <col min="3" max="3" width="11.75" style="493" bestFit="1" customWidth="1"/>
    <col min="4" max="4" width="11.875" style="493" bestFit="1" customWidth="1"/>
    <col min="5" max="7" width="10.75" style="493" bestFit="1" customWidth="1"/>
    <col min="8" max="8" width="9.125" style="493" bestFit="1" customWidth="1"/>
    <col min="9" max="9" width="11.75" style="493" bestFit="1" customWidth="1"/>
    <col min="10" max="10" width="6.625" style="573" customWidth="1"/>
    <col min="11" max="11" width="29.625" style="493" bestFit="1" customWidth="1"/>
    <col min="12" max="16384" width="9" style="493"/>
  </cols>
  <sheetData>
    <row r="1" spans="1:11">
      <c r="A1" s="1752" t="s">
        <v>4589</v>
      </c>
      <c r="B1" s="1752"/>
    </row>
    <row r="2" spans="1:11">
      <c r="A2" s="1752" t="s">
        <v>4859</v>
      </c>
      <c r="B2" s="1752"/>
    </row>
    <row r="3" spans="1:11">
      <c r="A3" s="1752" t="s">
        <v>8093</v>
      </c>
      <c r="B3" s="1752"/>
      <c r="D3" s="589" t="s">
        <v>440</v>
      </c>
      <c r="E3" s="589" t="s">
        <v>440</v>
      </c>
      <c r="F3" s="589" t="s">
        <v>440</v>
      </c>
      <c r="G3" s="589" t="s">
        <v>440</v>
      </c>
      <c r="H3" s="589"/>
    </row>
    <row r="4" spans="1:11" ht="22.5">
      <c r="D4" s="1753" t="s">
        <v>4860</v>
      </c>
      <c r="E4" s="1753" t="s">
        <v>4861</v>
      </c>
      <c r="F4" s="1753" t="s">
        <v>4861</v>
      </c>
      <c r="G4" s="1753" t="s">
        <v>4860</v>
      </c>
      <c r="H4" s="1753"/>
    </row>
    <row r="5" spans="1:11" ht="12" thickBot="1">
      <c r="B5" s="1754" t="s">
        <v>4862</v>
      </c>
      <c r="C5" s="1110" t="s">
        <v>4863</v>
      </c>
      <c r="D5" s="1110" t="s">
        <v>4864</v>
      </c>
      <c r="E5" s="1110" t="s">
        <v>4865</v>
      </c>
      <c r="F5" s="1111" t="s">
        <v>4865</v>
      </c>
      <c r="G5" s="1111" t="s">
        <v>4864</v>
      </c>
      <c r="H5" s="1111"/>
      <c r="I5" s="1111"/>
      <c r="J5" s="493"/>
    </row>
    <row r="6" spans="1:11" ht="45.75" thickBot="1">
      <c r="B6" s="1754"/>
      <c r="C6" s="980"/>
      <c r="D6" s="981" t="s">
        <v>4866</v>
      </c>
      <c r="E6" s="981" t="s">
        <v>4867</v>
      </c>
      <c r="F6" s="981" t="s">
        <v>4868</v>
      </c>
      <c r="G6" s="982" t="s">
        <v>4869</v>
      </c>
      <c r="H6" s="978" t="s">
        <v>4870</v>
      </c>
      <c r="I6" s="978" t="s">
        <v>4871</v>
      </c>
      <c r="J6" s="493"/>
    </row>
    <row r="7" spans="1:11">
      <c r="A7" s="1755">
        <v>55700002</v>
      </c>
      <c r="B7" s="1755" t="s">
        <v>4872</v>
      </c>
      <c r="C7" s="1756">
        <v>248276.56</v>
      </c>
      <c r="D7" s="2274">
        <v>0</v>
      </c>
      <c r="E7" s="2274">
        <v>0</v>
      </c>
      <c r="F7" s="1756"/>
      <c r="G7" s="1756"/>
      <c r="H7" s="1756"/>
      <c r="I7" s="774">
        <f>C7-SUM(D7:H7)</f>
        <v>248276.56</v>
      </c>
      <c r="J7" s="493"/>
      <c r="K7" s="746"/>
    </row>
    <row r="8" spans="1:11">
      <c r="A8" s="1755">
        <v>55700003</v>
      </c>
      <c r="B8" s="1755" t="s">
        <v>4873</v>
      </c>
      <c r="C8" s="1756">
        <v>546255.34</v>
      </c>
      <c r="D8" s="2274">
        <v>0</v>
      </c>
      <c r="E8" s="2274">
        <v>0</v>
      </c>
      <c r="F8" s="1756"/>
      <c r="G8" s="1756"/>
      <c r="H8" s="1756"/>
      <c r="I8" s="774">
        <f t="shared" ref="I8:I92" si="0">C8-SUM(D8:H8)</f>
        <v>546255.34</v>
      </c>
      <c r="J8" s="949"/>
      <c r="K8" s="746"/>
    </row>
    <row r="9" spans="1:11">
      <c r="A9" s="1755">
        <v>55700006</v>
      </c>
      <c r="B9" s="1755" t="s">
        <v>4874</v>
      </c>
      <c r="C9" s="1756">
        <v>4941505.4400000004</v>
      </c>
      <c r="D9" s="2274">
        <v>0</v>
      </c>
      <c r="E9" s="2274">
        <v>0</v>
      </c>
      <c r="F9" s="1756"/>
      <c r="G9" s="1756"/>
      <c r="H9" s="1756"/>
      <c r="I9" s="774">
        <f t="shared" si="0"/>
        <v>4941505.4400000004</v>
      </c>
      <c r="J9" s="949"/>
      <c r="K9" s="746"/>
    </row>
    <row r="10" spans="1:11">
      <c r="A10" s="1757">
        <v>55700007</v>
      </c>
      <c r="B10" s="1755" t="s">
        <v>4875</v>
      </c>
      <c r="C10" s="1756">
        <v>153051.96</v>
      </c>
      <c r="D10" s="2274">
        <v>0</v>
      </c>
      <c r="E10" s="2274">
        <v>0</v>
      </c>
      <c r="F10" s="1756"/>
      <c r="G10" s="1756"/>
      <c r="H10" s="1756"/>
      <c r="I10" s="774">
        <f t="shared" si="0"/>
        <v>153051.96</v>
      </c>
      <c r="J10" s="949"/>
      <c r="K10" s="746"/>
    </row>
    <row r="11" spans="1:11">
      <c r="A11" s="1757">
        <v>55700008</v>
      </c>
      <c r="B11" s="1755" t="s">
        <v>4876</v>
      </c>
      <c r="C11" s="1756">
        <v>86602.8</v>
      </c>
      <c r="D11" s="2274">
        <v>0</v>
      </c>
      <c r="E11" s="2274">
        <v>0</v>
      </c>
      <c r="F11" s="1756"/>
      <c r="G11" s="1756"/>
      <c r="H11" s="1756"/>
      <c r="I11" s="774">
        <f t="shared" si="0"/>
        <v>86602.8</v>
      </c>
      <c r="J11" s="949"/>
      <c r="K11" s="746"/>
    </row>
    <row r="12" spans="1:11">
      <c r="A12" s="1757">
        <v>55700009</v>
      </c>
      <c r="B12" s="1755" t="s">
        <v>4877</v>
      </c>
      <c r="C12" s="1756">
        <v>0</v>
      </c>
      <c r="D12" s="2274">
        <v>0</v>
      </c>
      <c r="E12" s="2274">
        <v>0</v>
      </c>
      <c r="F12" s="1756"/>
      <c r="G12" s="1756"/>
      <c r="H12" s="1756"/>
      <c r="I12" s="774">
        <f t="shared" si="0"/>
        <v>0</v>
      </c>
      <c r="J12" s="949"/>
      <c r="K12" s="746"/>
    </row>
    <row r="13" spans="1:11">
      <c r="A13" s="1757">
        <v>55700011</v>
      </c>
      <c r="B13" s="1755" t="s">
        <v>4878</v>
      </c>
      <c r="C13" s="1756">
        <v>461252.65</v>
      </c>
      <c r="D13" s="2274">
        <v>0</v>
      </c>
      <c r="E13" s="2274">
        <v>0</v>
      </c>
      <c r="F13" s="1756"/>
      <c r="G13" s="1756"/>
      <c r="H13" s="1756"/>
      <c r="I13" s="774">
        <f t="shared" si="0"/>
        <v>461252.65</v>
      </c>
      <c r="J13" s="949"/>
      <c r="K13" s="746"/>
    </row>
    <row r="14" spans="1:11">
      <c r="A14" s="1757">
        <v>55700012</v>
      </c>
      <c r="B14" s="1755" t="s">
        <v>4879</v>
      </c>
      <c r="C14" s="1756">
        <v>70739.28</v>
      </c>
      <c r="D14" s="2274">
        <v>0</v>
      </c>
      <c r="E14" s="2274">
        <v>0</v>
      </c>
      <c r="F14" s="1756"/>
      <c r="G14" s="1756"/>
      <c r="H14" s="1756"/>
      <c r="I14" s="774">
        <f t="shared" si="0"/>
        <v>70739.28</v>
      </c>
      <c r="J14" s="949"/>
      <c r="K14" s="746"/>
    </row>
    <row r="15" spans="1:11">
      <c r="A15" s="1755">
        <v>55700015</v>
      </c>
      <c r="B15" s="1755" t="s">
        <v>4880</v>
      </c>
      <c r="C15" s="1756">
        <v>0</v>
      </c>
      <c r="D15" s="2274">
        <v>0</v>
      </c>
      <c r="E15" s="2274">
        <v>0</v>
      </c>
      <c r="F15" s="1756"/>
      <c r="G15" s="1756"/>
      <c r="H15" s="1756"/>
      <c r="I15" s="774">
        <f t="shared" si="0"/>
        <v>0</v>
      </c>
      <c r="J15" s="949"/>
      <c r="K15" s="746"/>
    </row>
    <row r="16" spans="1:11">
      <c r="A16" s="1755">
        <v>55700016</v>
      </c>
      <c r="B16" s="1755" t="s">
        <v>4881</v>
      </c>
      <c r="C16" s="1756">
        <v>0</v>
      </c>
      <c r="D16" s="2274">
        <v>0</v>
      </c>
      <c r="E16" s="2274">
        <v>0</v>
      </c>
      <c r="F16" s="1756"/>
      <c r="G16" s="1756"/>
      <c r="H16" s="1756"/>
      <c r="I16" s="774">
        <f t="shared" si="0"/>
        <v>0</v>
      </c>
      <c r="J16" s="949"/>
      <c r="K16" s="746"/>
    </row>
    <row r="17" spans="1:11">
      <c r="A17" s="1755">
        <v>55700017</v>
      </c>
      <c r="B17" s="1755" t="s">
        <v>4882</v>
      </c>
      <c r="C17" s="1756">
        <v>5721.42</v>
      </c>
      <c r="D17" s="2274">
        <v>291.44</v>
      </c>
      <c r="E17" s="2274">
        <v>982.41000000000008</v>
      </c>
      <c r="F17" s="1756"/>
      <c r="G17" s="1756"/>
      <c r="H17" s="1756"/>
      <c r="I17" s="774">
        <f t="shared" si="0"/>
        <v>4447.57</v>
      </c>
      <c r="J17" s="949"/>
      <c r="K17" s="746"/>
    </row>
    <row r="18" spans="1:11">
      <c r="A18" s="1755">
        <v>55700018</v>
      </c>
      <c r="B18" s="1755" t="s">
        <v>4883</v>
      </c>
      <c r="C18" s="1756">
        <v>502.86</v>
      </c>
      <c r="D18" s="2274">
        <v>25.52</v>
      </c>
      <c r="E18" s="2274">
        <v>86.009999999999991</v>
      </c>
      <c r="F18" s="1756"/>
      <c r="G18" s="1756"/>
      <c r="H18" s="1756"/>
      <c r="I18" s="774">
        <f t="shared" si="0"/>
        <v>391.33000000000004</v>
      </c>
      <c r="J18" s="949"/>
      <c r="K18" s="746"/>
    </row>
    <row r="19" spans="1:11">
      <c r="A19" s="1755">
        <v>55700019</v>
      </c>
      <c r="B19" s="1755" t="s">
        <v>4884</v>
      </c>
      <c r="C19" s="1756">
        <v>561.89</v>
      </c>
      <c r="D19" s="2274">
        <v>28.680000000000003</v>
      </c>
      <c r="E19" s="2274">
        <v>96.479999999999961</v>
      </c>
      <c r="F19" s="1756"/>
      <c r="G19" s="1756"/>
      <c r="H19" s="1756"/>
      <c r="I19" s="774">
        <f t="shared" si="0"/>
        <v>436.73</v>
      </c>
      <c r="J19" s="949"/>
      <c r="K19" s="746"/>
    </row>
    <row r="20" spans="1:11">
      <c r="A20" s="1755">
        <v>55700020</v>
      </c>
      <c r="B20" s="1755" t="s">
        <v>4885</v>
      </c>
      <c r="C20" s="1756">
        <v>0</v>
      </c>
      <c r="D20" s="2274">
        <v>0</v>
      </c>
      <c r="E20" s="2274">
        <v>0</v>
      </c>
      <c r="F20" s="1756"/>
      <c r="G20" s="1756"/>
      <c r="H20" s="1756"/>
      <c r="I20" s="774">
        <f t="shared" si="0"/>
        <v>0</v>
      </c>
      <c r="J20" s="949"/>
      <c r="K20" s="746"/>
    </row>
    <row r="21" spans="1:11">
      <c r="A21" s="1755">
        <v>55700021</v>
      </c>
      <c r="B21" s="1755" t="s">
        <v>4886</v>
      </c>
      <c r="C21" s="1756">
        <v>18184.16</v>
      </c>
      <c r="D21" s="2274">
        <v>925.76</v>
      </c>
      <c r="E21" s="2274">
        <v>3120.55</v>
      </c>
      <c r="F21" s="1756"/>
      <c r="G21" s="1756"/>
      <c r="H21" s="1756"/>
      <c r="I21" s="774">
        <f t="shared" si="0"/>
        <v>14137.849999999999</v>
      </c>
      <c r="J21" s="949"/>
      <c r="K21" s="746"/>
    </row>
    <row r="22" spans="1:11">
      <c r="A22" s="1755">
        <v>55700022</v>
      </c>
      <c r="B22" s="1755" t="s">
        <v>4887</v>
      </c>
      <c r="C22" s="1756">
        <v>10952.16</v>
      </c>
      <c r="D22" s="2274">
        <v>793.93</v>
      </c>
      <c r="E22" s="2274">
        <v>2676.15</v>
      </c>
      <c r="F22" s="1756"/>
      <c r="G22" s="1756"/>
      <c r="H22" s="1756"/>
      <c r="I22" s="774">
        <f t="shared" si="0"/>
        <v>7482.08</v>
      </c>
      <c r="J22" s="949"/>
      <c r="K22" s="746"/>
    </row>
    <row r="23" spans="1:11">
      <c r="A23" s="1755">
        <v>55700023</v>
      </c>
      <c r="B23" s="1755" t="s">
        <v>4888</v>
      </c>
      <c r="C23" s="1756">
        <v>0</v>
      </c>
      <c r="D23" s="2274">
        <v>0</v>
      </c>
      <c r="E23" s="2274">
        <v>0</v>
      </c>
      <c r="F23" s="1756"/>
      <c r="G23" s="1756"/>
      <c r="H23" s="1756"/>
      <c r="I23" s="774">
        <f t="shared" si="0"/>
        <v>0</v>
      </c>
      <c r="J23" s="949"/>
      <c r="K23" s="746"/>
    </row>
    <row r="24" spans="1:11">
      <c r="A24" s="1755">
        <v>55700024</v>
      </c>
      <c r="B24" s="1755" t="s">
        <v>4889</v>
      </c>
      <c r="C24" s="1756">
        <v>0</v>
      </c>
      <c r="D24" s="2274">
        <v>0</v>
      </c>
      <c r="E24" s="2274">
        <v>0</v>
      </c>
      <c r="F24" s="1756"/>
      <c r="G24" s="1756"/>
      <c r="H24" s="1756"/>
      <c r="I24" s="774">
        <f t="shared" si="0"/>
        <v>0</v>
      </c>
      <c r="J24" s="949"/>
      <c r="K24" s="746"/>
    </row>
    <row r="25" spans="1:11">
      <c r="A25" s="1755">
        <v>55700025</v>
      </c>
      <c r="B25" s="1755" t="s">
        <v>4890</v>
      </c>
      <c r="C25" s="1756">
        <v>0</v>
      </c>
      <c r="D25" s="2274">
        <v>0</v>
      </c>
      <c r="E25" s="2274">
        <v>0</v>
      </c>
      <c r="F25" s="1756"/>
      <c r="G25" s="1756"/>
      <c r="H25" s="1756"/>
      <c r="I25" s="774">
        <f t="shared" si="0"/>
        <v>0</v>
      </c>
      <c r="J25" s="949"/>
      <c r="K25" s="746"/>
    </row>
    <row r="26" spans="1:11">
      <c r="A26" s="1755">
        <v>55700027</v>
      </c>
      <c r="B26" s="1755" t="s">
        <v>4891</v>
      </c>
      <c r="C26" s="1756">
        <v>0</v>
      </c>
      <c r="D26" s="2274">
        <v>0</v>
      </c>
      <c r="E26" s="2274">
        <v>0</v>
      </c>
      <c r="F26" s="1756"/>
      <c r="G26" s="1756"/>
      <c r="H26" s="1756"/>
      <c r="I26" s="774">
        <f t="shared" si="0"/>
        <v>0</v>
      </c>
      <c r="J26" s="949"/>
      <c r="K26" s="746"/>
    </row>
    <row r="27" spans="1:11">
      <c r="A27" s="1757">
        <v>55700028</v>
      </c>
      <c r="B27" s="1755" t="s">
        <v>4892</v>
      </c>
      <c r="C27" s="1756">
        <v>0</v>
      </c>
      <c r="D27" s="2274">
        <v>0</v>
      </c>
      <c r="E27" s="2274">
        <v>0</v>
      </c>
      <c r="F27" s="1756"/>
      <c r="G27" s="1756"/>
      <c r="H27" s="1756"/>
      <c r="I27" s="774">
        <f t="shared" si="0"/>
        <v>0</v>
      </c>
      <c r="J27" s="949"/>
      <c r="K27" s="746"/>
    </row>
    <row r="28" spans="1:11">
      <c r="A28" s="1757">
        <v>55700030</v>
      </c>
      <c r="B28" s="1758" t="s">
        <v>4893</v>
      </c>
      <c r="C28" s="1756">
        <v>663839.82999999996</v>
      </c>
      <c r="D28" s="2274">
        <v>0</v>
      </c>
      <c r="E28" s="2274">
        <v>0</v>
      </c>
      <c r="F28" s="1756"/>
      <c r="G28" s="1756"/>
      <c r="H28" s="1756"/>
      <c r="I28" s="774">
        <f t="shared" si="0"/>
        <v>663839.82999999996</v>
      </c>
      <c r="J28" s="949"/>
      <c r="K28" s="746"/>
    </row>
    <row r="29" spans="1:11">
      <c r="A29" s="1757">
        <v>55700031</v>
      </c>
      <c r="B29" s="1755" t="s">
        <v>4894</v>
      </c>
      <c r="C29" s="1756">
        <v>198477.91</v>
      </c>
      <c r="D29" s="2274">
        <v>0</v>
      </c>
      <c r="E29" s="2274">
        <v>0</v>
      </c>
      <c r="F29" s="1756"/>
      <c r="G29" s="1756"/>
      <c r="H29" s="1756"/>
      <c r="I29" s="774">
        <f t="shared" si="0"/>
        <v>198477.91</v>
      </c>
      <c r="J29" s="949"/>
      <c r="K29" s="746"/>
    </row>
    <row r="30" spans="1:11">
      <c r="A30" s="1757">
        <v>55700032</v>
      </c>
      <c r="B30" s="1755" t="s">
        <v>4895</v>
      </c>
      <c r="C30" s="1756">
        <v>196546.37</v>
      </c>
      <c r="D30" s="2274">
        <v>0</v>
      </c>
      <c r="E30" s="2274">
        <v>0</v>
      </c>
      <c r="F30" s="1756"/>
      <c r="G30" s="1756"/>
      <c r="H30" s="1756"/>
      <c r="I30" s="774">
        <f t="shared" si="0"/>
        <v>196546.37</v>
      </c>
      <c r="J30" s="949"/>
      <c r="K30" s="746"/>
    </row>
    <row r="31" spans="1:11">
      <c r="A31" s="1759">
        <v>55700033</v>
      </c>
      <c r="B31" s="1760" t="s">
        <v>4896</v>
      </c>
      <c r="C31" s="1761">
        <v>29418.38</v>
      </c>
      <c r="D31" s="2275">
        <v>1498.1999999999998</v>
      </c>
      <c r="E31" s="2275">
        <v>5050.1099999999997</v>
      </c>
      <c r="F31" s="1761"/>
      <c r="G31" s="1761"/>
      <c r="H31" s="1761"/>
      <c r="I31" s="1762">
        <f>C31-SUM(D31:H31)</f>
        <v>22870.07</v>
      </c>
      <c r="J31" s="1796" t="s">
        <v>973</v>
      </c>
      <c r="K31" s="746"/>
    </row>
    <row r="32" spans="1:11">
      <c r="A32" s="1759">
        <v>55700036</v>
      </c>
      <c r="B32" s="1760" t="s">
        <v>4897</v>
      </c>
      <c r="C32" s="1761">
        <v>79459.91</v>
      </c>
      <c r="D32" s="2275">
        <v>4046.91</v>
      </c>
      <c r="E32" s="2275">
        <v>13641.240000000002</v>
      </c>
      <c r="F32" s="1761"/>
      <c r="G32" s="1761"/>
      <c r="H32" s="1761"/>
      <c r="I32" s="1762">
        <f t="shared" ref="I32:I45" si="1">C32-SUM(D32:H32)</f>
        <v>61771.76</v>
      </c>
      <c r="J32" s="1796" t="s">
        <v>973</v>
      </c>
      <c r="K32" s="746"/>
    </row>
    <row r="33" spans="1:11">
      <c r="A33" s="1759">
        <v>55700037</v>
      </c>
      <c r="B33" s="1760" t="s">
        <v>4898</v>
      </c>
      <c r="C33" s="1761">
        <v>976158.69</v>
      </c>
      <c r="D33" s="2275">
        <v>14690.190000000002</v>
      </c>
      <c r="E33" s="2275">
        <v>49517.52</v>
      </c>
      <c r="F33" s="1761"/>
      <c r="G33" s="1761"/>
      <c r="H33" s="1761"/>
      <c r="I33" s="1762">
        <f t="shared" si="1"/>
        <v>911950.98</v>
      </c>
      <c r="J33" s="1796" t="s">
        <v>973</v>
      </c>
      <c r="K33" s="746"/>
    </row>
    <row r="34" spans="1:11">
      <c r="A34" s="1759">
        <v>55700038</v>
      </c>
      <c r="B34" s="1760" t="s">
        <v>7154</v>
      </c>
      <c r="C34" s="1761">
        <v>134459.96</v>
      </c>
      <c r="D34" s="2275">
        <v>7086.12</v>
      </c>
      <c r="E34" s="2275">
        <v>23885.84</v>
      </c>
      <c r="F34" s="1761"/>
      <c r="G34" s="1761"/>
      <c r="H34" s="1761"/>
      <c r="I34" s="1762">
        <f t="shared" si="1"/>
        <v>103488</v>
      </c>
      <c r="J34" s="1796" t="s">
        <v>973</v>
      </c>
      <c r="K34" s="746"/>
    </row>
    <row r="35" spans="1:11">
      <c r="A35" s="1759">
        <v>55700039</v>
      </c>
      <c r="B35" s="1760" t="s">
        <v>7155</v>
      </c>
      <c r="C35" s="1761">
        <v>77770.62</v>
      </c>
      <c r="D35" s="2275">
        <v>0</v>
      </c>
      <c r="E35" s="2275">
        <v>0</v>
      </c>
      <c r="F35" s="1761"/>
      <c r="G35" s="1761"/>
      <c r="H35" s="1761"/>
      <c r="I35" s="1762">
        <f t="shared" si="1"/>
        <v>77770.62</v>
      </c>
      <c r="J35" s="1796" t="s">
        <v>973</v>
      </c>
      <c r="K35" s="746"/>
    </row>
    <row r="36" spans="1:11">
      <c r="A36" s="1759">
        <v>55700040</v>
      </c>
      <c r="B36" s="1760" t="s">
        <v>7156</v>
      </c>
      <c r="C36" s="1761">
        <v>38810.230000000003</v>
      </c>
      <c r="D36" s="2275">
        <v>1812.33</v>
      </c>
      <c r="E36" s="2275">
        <v>6109.01</v>
      </c>
      <c r="F36" s="1761"/>
      <c r="G36" s="1761"/>
      <c r="H36" s="1761"/>
      <c r="I36" s="1762">
        <f t="shared" si="1"/>
        <v>30888.890000000003</v>
      </c>
      <c r="J36" s="1796" t="s">
        <v>973</v>
      </c>
      <c r="K36" s="746"/>
    </row>
    <row r="37" spans="1:11">
      <c r="A37" s="1759">
        <v>55700043</v>
      </c>
      <c r="B37" s="1760" t="s">
        <v>7157</v>
      </c>
      <c r="C37" s="1761">
        <v>201128.03</v>
      </c>
      <c r="D37" s="2275">
        <v>10269.670000000002</v>
      </c>
      <c r="E37" s="2275">
        <v>34616.829999999994</v>
      </c>
      <c r="F37" s="1761"/>
      <c r="G37" s="1761"/>
      <c r="H37" s="1761"/>
      <c r="I37" s="1762">
        <f t="shared" si="1"/>
        <v>156241.53</v>
      </c>
      <c r="J37" s="1796" t="s">
        <v>973</v>
      </c>
      <c r="K37" s="746"/>
    </row>
    <row r="38" spans="1:11">
      <c r="A38" s="1759">
        <v>55700044</v>
      </c>
      <c r="B38" s="1760" t="s">
        <v>7165</v>
      </c>
      <c r="C38" s="1761">
        <v>33007.269999999997</v>
      </c>
      <c r="D38" s="2275">
        <v>1687.5300000000002</v>
      </c>
      <c r="E38" s="2275">
        <v>5688.32</v>
      </c>
      <c r="F38" s="1761"/>
      <c r="G38" s="1761"/>
      <c r="H38" s="1761"/>
      <c r="I38" s="1762">
        <f t="shared" si="1"/>
        <v>25631.42</v>
      </c>
      <c r="J38" s="1796" t="s">
        <v>973</v>
      </c>
      <c r="K38" s="746"/>
    </row>
    <row r="39" spans="1:11">
      <c r="A39" s="1759">
        <v>55700071</v>
      </c>
      <c r="B39" s="1760" t="s">
        <v>7158</v>
      </c>
      <c r="C39" s="1761">
        <v>0</v>
      </c>
      <c r="D39" s="2275">
        <v>0</v>
      </c>
      <c r="E39" s="2275">
        <v>0</v>
      </c>
      <c r="F39" s="1761"/>
      <c r="G39" s="1761"/>
      <c r="H39" s="1761"/>
      <c r="I39" s="1762">
        <f t="shared" si="1"/>
        <v>0</v>
      </c>
      <c r="J39" s="1796" t="s">
        <v>973</v>
      </c>
      <c r="K39" s="746"/>
    </row>
    <row r="40" spans="1:11">
      <c r="A40" s="1759">
        <v>55700072</v>
      </c>
      <c r="B40" s="1760" t="s">
        <v>7159</v>
      </c>
      <c r="C40" s="1761">
        <v>-558192.5</v>
      </c>
      <c r="D40" s="2275">
        <v>0</v>
      </c>
      <c r="E40" s="2275">
        <v>0</v>
      </c>
      <c r="F40" s="1761"/>
      <c r="G40" s="1761"/>
      <c r="H40" s="1761"/>
      <c r="I40" s="1762">
        <f t="shared" si="1"/>
        <v>-558192.5</v>
      </c>
      <c r="J40" s="1796" t="s">
        <v>973</v>
      </c>
      <c r="K40" s="746"/>
    </row>
    <row r="41" spans="1:11">
      <c r="A41" s="1759">
        <v>55700073</v>
      </c>
      <c r="B41" s="1760" t="s">
        <v>7160</v>
      </c>
      <c r="C41" s="1761">
        <v>-304976.98</v>
      </c>
      <c r="D41" s="2275">
        <v>0</v>
      </c>
      <c r="E41" s="2275">
        <v>0</v>
      </c>
      <c r="F41" s="1761"/>
      <c r="G41" s="1761"/>
      <c r="H41" s="1761"/>
      <c r="I41" s="1762">
        <f t="shared" si="1"/>
        <v>-304976.98</v>
      </c>
      <c r="J41" s="1796" t="s">
        <v>973</v>
      </c>
      <c r="K41" s="746"/>
    </row>
    <row r="42" spans="1:11">
      <c r="A42" s="1759">
        <v>55700074</v>
      </c>
      <c r="B42" s="1760" t="s">
        <v>7161</v>
      </c>
      <c r="C42" s="1761">
        <v>0</v>
      </c>
      <c r="D42" s="2275">
        <v>0</v>
      </c>
      <c r="E42" s="2275">
        <v>0</v>
      </c>
      <c r="F42" s="1761"/>
      <c r="G42" s="1761"/>
      <c r="H42" s="1761"/>
      <c r="I42" s="1762">
        <f t="shared" si="1"/>
        <v>0</v>
      </c>
      <c r="J42" s="1796" t="s">
        <v>973</v>
      </c>
      <c r="K42" s="746"/>
    </row>
    <row r="43" spans="1:11">
      <c r="A43" s="1759">
        <v>55700075</v>
      </c>
      <c r="B43" s="1760" t="s">
        <v>7162</v>
      </c>
      <c r="C43" s="1761">
        <v>558192.5</v>
      </c>
      <c r="D43" s="2275">
        <v>0</v>
      </c>
      <c r="E43" s="2275">
        <v>0</v>
      </c>
      <c r="F43" s="1761"/>
      <c r="G43" s="1761"/>
      <c r="H43" s="1761"/>
      <c r="I43" s="1762">
        <f t="shared" si="1"/>
        <v>558192.5</v>
      </c>
      <c r="J43" s="1796" t="s">
        <v>973</v>
      </c>
      <c r="K43" s="746"/>
    </row>
    <row r="44" spans="1:11">
      <c r="A44" s="1759">
        <v>55700076</v>
      </c>
      <c r="B44" s="1760" t="s">
        <v>7163</v>
      </c>
      <c r="C44" s="1761">
        <v>304976.98</v>
      </c>
      <c r="D44" s="2275">
        <v>0</v>
      </c>
      <c r="E44" s="2275">
        <v>0</v>
      </c>
      <c r="F44" s="1761"/>
      <c r="G44" s="1761"/>
      <c r="H44" s="1761"/>
      <c r="I44" s="1762">
        <f t="shared" si="1"/>
        <v>304976.98</v>
      </c>
      <c r="J44" s="1796" t="s">
        <v>973</v>
      </c>
      <c r="K44" s="746"/>
    </row>
    <row r="45" spans="1:11">
      <c r="A45" s="1759">
        <v>55700077</v>
      </c>
      <c r="B45" s="1760" t="s">
        <v>7164</v>
      </c>
      <c r="C45" s="1761">
        <v>0</v>
      </c>
      <c r="D45" s="2275">
        <v>0</v>
      </c>
      <c r="E45" s="2275">
        <v>0</v>
      </c>
      <c r="F45" s="1761"/>
      <c r="G45" s="1761"/>
      <c r="H45" s="1761"/>
      <c r="I45" s="1762">
        <f t="shared" si="1"/>
        <v>0</v>
      </c>
      <c r="J45" s="1796" t="s">
        <v>973</v>
      </c>
      <c r="K45" s="746"/>
    </row>
    <row r="46" spans="1:11">
      <c r="A46" s="1755">
        <v>55700083</v>
      </c>
      <c r="B46" s="1755" t="s">
        <v>4899</v>
      </c>
      <c r="C46" s="1756">
        <v>0</v>
      </c>
      <c r="D46" s="2274">
        <v>0</v>
      </c>
      <c r="E46" s="2274">
        <v>0</v>
      </c>
      <c r="F46" s="1756"/>
      <c r="G46" s="1756"/>
      <c r="H46" s="1756"/>
      <c r="I46" s="774">
        <f t="shared" si="0"/>
        <v>0</v>
      </c>
      <c r="J46" s="949"/>
      <c r="K46" s="746"/>
    </row>
    <row r="47" spans="1:11">
      <c r="A47" s="1755">
        <v>55700086</v>
      </c>
      <c r="B47" s="1755" t="s">
        <v>4900</v>
      </c>
      <c r="C47" s="1756">
        <v>0</v>
      </c>
      <c r="D47" s="2274">
        <v>0</v>
      </c>
      <c r="E47" s="2274">
        <v>0</v>
      </c>
      <c r="F47" s="1756"/>
      <c r="G47" s="1756"/>
      <c r="H47" s="1756"/>
      <c r="I47" s="774">
        <f t="shared" si="0"/>
        <v>0</v>
      </c>
      <c r="J47" s="949"/>
      <c r="K47" s="746"/>
    </row>
    <row r="48" spans="1:11">
      <c r="A48" s="1755">
        <v>55700090</v>
      </c>
      <c r="B48" s="1755" t="s">
        <v>4901</v>
      </c>
      <c r="C48" s="1756">
        <v>17855.5</v>
      </c>
      <c r="D48" s="2274">
        <v>0</v>
      </c>
      <c r="E48" s="2274">
        <v>0</v>
      </c>
      <c r="F48" s="1756"/>
      <c r="G48" s="1756"/>
      <c r="H48" s="1756"/>
      <c r="I48" s="774">
        <f t="shared" si="0"/>
        <v>17855.5</v>
      </c>
      <c r="J48" s="949"/>
      <c r="K48" s="746"/>
    </row>
    <row r="49" spans="1:11">
      <c r="A49" s="1755">
        <v>55700100</v>
      </c>
      <c r="B49" s="1755" t="s">
        <v>4902</v>
      </c>
      <c r="C49" s="1756">
        <v>1488.59</v>
      </c>
      <c r="D49" s="2274">
        <v>0</v>
      </c>
      <c r="E49" s="2274">
        <v>0</v>
      </c>
      <c r="F49" s="1756"/>
      <c r="G49" s="1756"/>
      <c r="H49" s="1756"/>
      <c r="I49" s="774">
        <f t="shared" si="0"/>
        <v>1488.59</v>
      </c>
      <c r="J49" s="949"/>
      <c r="K49" s="746"/>
    </row>
    <row r="50" spans="1:11">
      <c r="A50" s="1759">
        <v>55700101</v>
      </c>
      <c r="B50" s="1760" t="s">
        <v>7166</v>
      </c>
      <c r="C50" s="1761">
        <v>98406.36</v>
      </c>
      <c r="D50" s="2275">
        <v>5005.8599999999997</v>
      </c>
      <c r="E50" s="2275">
        <v>16873.739999999998</v>
      </c>
      <c r="F50" s="1761"/>
      <c r="G50" s="1761"/>
      <c r="H50" s="1761"/>
      <c r="I50" s="1762">
        <f t="shared" si="0"/>
        <v>76526.760000000009</v>
      </c>
      <c r="J50" s="1796" t="s">
        <v>973</v>
      </c>
      <c r="K50" s="746"/>
    </row>
    <row r="51" spans="1:11">
      <c r="A51" s="1759">
        <v>55700102</v>
      </c>
      <c r="B51" s="1760" t="s">
        <v>7167</v>
      </c>
      <c r="C51" s="1761">
        <v>20156.2</v>
      </c>
      <c r="D51" s="2275">
        <v>1025.33</v>
      </c>
      <c r="E51" s="2275">
        <v>3456.1900000000005</v>
      </c>
      <c r="F51" s="1761"/>
      <c r="G51" s="1761"/>
      <c r="H51" s="1761"/>
      <c r="I51" s="1762">
        <f t="shared" si="0"/>
        <v>15674.68</v>
      </c>
      <c r="J51" s="1796" t="s">
        <v>973</v>
      </c>
      <c r="K51" s="746"/>
    </row>
    <row r="52" spans="1:11">
      <c r="A52" s="1757">
        <v>55700106</v>
      </c>
      <c r="B52" s="1755" t="s">
        <v>4903</v>
      </c>
      <c r="C52" s="1756">
        <v>1165627.6299999999</v>
      </c>
      <c r="D52" s="2274">
        <v>52046.640000000007</v>
      </c>
      <c r="E52" s="2274">
        <v>175438.05</v>
      </c>
      <c r="F52" s="1756"/>
      <c r="G52" s="1756"/>
      <c r="H52" s="1756"/>
      <c r="I52" s="774">
        <f t="shared" si="0"/>
        <v>938142.94</v>
      </c>
      <c r="J52" s="1763"/>
      <c r="K52" s="746"/>
    </row>
    <row r="53" spans="1:11">
      <c r="A53" s="1757">
        <v>55700107</v>
      </c>
      <c r="B53" s="1758" t="s">
        <v>4904</v>
      </c>
      <c r="C53" s="1756">
        <v>752149.14</v>
      </c>
      <c r="D53" s="2274">
        <v>38305.129999999997</v>
      </c>
      <c r="E53" s="2274">
        <v>129118.42999999998</v>
      </c>
      <c r="F53" s="1756"/>
      <c r="G53" s="1756"/>
      <c r="H53" s="1756"/>
      <c r="I53" s="774">
        <f t="shared" si="0"/>
        <v>584725.58000000007</v>
      </c>
      <c r="J53" s="1763"/>
      <c r="K53" s="746"/>
    </row>
    <row r="54" spans="1:11">
      <c r="A54" s="1759">
        <v>55700109</v>
      </c>
      <c r="B54" s="1764" t="s">
        <v>4905</v>
      </c>
      <c r="C54" s="1761">
        <v>-4635</v>
      </c>
      <c r="D54" s="2275">
        <v>0</v>
      </c>
      <c r="E54" s="2275">
        <v>0</v>
      </c>
      <c r="F54" s="1761"/>
      <c r="G54" s="1761"/>
      <c r="H54" s="1761"/>
      <c r="I54" s="1762">
        <f t="shared" ref="I54" si="2">C54-SUM(D54:H54)</f>
        <v>-4635</v>
      </c>
      <c r="J54" s="1796" t="s">
        <v>973</v>
      </c>
      <c r="K54" s="746"/>
    </row>
    <row r="55" spans="1:11">
      <c r="A55" s="1755">
        <v>55700123</v>
      </c>
      <c r="B55" s="1755" t="s">
        <v>4906</v>
      </c>
      <c r="C55" s="1756">
        <v>0</v>
      </c>
      <c r="D55" s="2274">
        <v>0</v>
      </c>
      <c r="E55" s="2274">
        <v>0</v>
      </c>
      <c r="F55" s="1756"/>
      <c r="G55" s="1756"/>
      <c r="H55" s="1756"/>
      <c r="I55" s="774">
        <f t="shared" si="0"/>
        <v>0</v>
      </c>
      <c r="J55" s="949"/>
      <c r="K55" s="746"/>
    </row>
    <row r="56" spans="1:11">
      <c r="A56" s="1765">
        <v>55700130</v>
      </c>
      <c r="B56" s="1765" t="s">
        <v>4907</v>
      </c>
      <c r="C56" s="1766">
        <v>24948345</v>
      </c>
      <c r="D56" s="2276">
        <v>0</v>
      </c>
      <c r="E56" s="2276">
        <v>0</v>
      </c>
      <c r="F56" s="1766"/>
      <c r="G56" s="1766"/>
      <c r="H56" s="1766"/>
      <c r="I56" s="1766">
        <f t="shared" si="0"/>
        <v>24948345</v>
      </c>
      <c r="J56" s="1796" t="s">
        <v>8124</v>
      </c>
      <c r="K56" s="746"/>
    </row>
    <row r="57" spans="1:11">
      <c r="A57" s="1767">
        <v>55700132</v>
      </c>
      <c r="B57" s="1767" t="s">
        <v>4908</v>
      </c>
      <c r="C57" s="1756">
        <v>0</v>
      </c>
      <c r="D57" s="2274">
        <v>0</v>
      </c>
      <c r="E57" s="2274">
        <v>0</v>
      </c>
      <c r="F57" s="1756"/>
      <c r="G57" s="1756"/>
      <c r="H57" s="1756"/>
      <c r="I57" s="774">
        <f t="shared" si="0"/>
        <v>0</v>
      </c>
      <c r="J57" s="739"/>
      <c r="K57" s="746"/>
    </row>
    <row r="58" spans="1:11">
      <c r="A58" s="1767">
        <v>55700133</v>
      </c>
      <c r="B58" s="1767" t="s">
        <v>4909</v>
      </c>
      <c r="C58" s="1756">
        <v>0</v>
      </c>
      <c r="D58" s="2274">
        <v>0</v>
      </c>
      <c r="E58" s="2274">
        <v>0</v>
      </c>
      <c r="F58" s="1756"/>
      <c r="G58" s="1756"/>
      <c r="H58" s="1756"/>
      <c r="I58" s="774">
        <f t="shared" si="0"/>
        <v>0</v>
      </c>
      <c r="J58" s="739"/>
      <c r="K58" s="746"/>
    </row>
    <row r="59" spans="1:11">
      <c r="A59" s="1767">
        <v>55700134</v>
      </c>
      <c r="B59" s="1767" t="s">
        <v>4910</v>
      </c>
      <c r="C59" s="1756">
        <v>0</v>
      </c>
      <c r="D59" s="2274">
        <v>0</v>
      </c>
      <c r="E59" s="2274">
        <v>0</v>
      </c>
      <c r="F59" s="1756"/>
      <c r="G59" s="1756"/>
      <c r="H59" s="1756"/>
      <c r="I59" s="774">
        <f t="shared" si="0"/>
        <v>0</v>
      </c>
      <c r="J59" s="739"/>
      <c r="K59" s="746"/>
    </row>
    <row r="60" spans="1:11">
      <c r="A60" s="1767">
        <v>55700135</v>
      </c>
      <c r="B60" s="1767" t="s">
        <v>4911</v>
      </c>
      <c r="C60" s="1756">
        <v>0</v>
      </c>
      <c r="D60" s="2274">
        <v>0</v>
      </c>
      <c r="E60" s="2274">
        <v>0</v>
      </c>
      <c r="F60" s="1756"/>
      <c r="G60" s="1756"/>
      <c r="H60" s="1756"/>
      <c r="I60" s="774">
        <f t="shared" si="0"/>
        <v>0</v>
      </c>
      <c r="J60" s="739"/>
      <c r="K60" s="746"/>
    </row>
    <row r="61" spans="1:11">
      <c r="A61" s="1767">
        <v>55700136</v>
      </c>
      <c r="B61" s="1767" t="s">
        <v>4912</v>
      </c>
      <c r="C61" s="1756">
        <v>0</v>
      </c>
      <c r="D61" s="2274">
        <v>0</v>
      </c>
      <c r="E61" s="2274">
        <v>0</v>
      </c>
      <c r="F61" s="1756"/>
      <c r="G61" s="1756"/>
      <c r="H61" s="1756"/>
      <c r="I61" s="774">
        <f t="shared" si="0"/>
        <v>0</v>
      </c>
      <c r="J61" s="739"/>
      <c r="K61" s="746"/>
    </row>
    <row r="62" spans="1:11">
      <c r="A62" s="1767">
        <v>55700137</v>
      </c>
      <c r="B62" s="1767" t="s">
        <v>4913</v>
      </c>
      <c r="C62" s="1756">
        <v>0</v>
      </c>
      <c r="D62" s="2274">
        <v>0</v>
      </c>
      <c r="E62" s="2274">
        <v>0</v>
      </c>
      <c r="F62" s="1756"/>
      <c r="G62" s="1756"/>
      <c r="H62" s="1756"/>
      <c r="I62" s="774">
        <f t="shared" si="0"/>
        <v>0</v>
      </c>
      <c r="J62" s="739"/>
      <c r="K62" s="746"/>
    </row>
    <row r="63" spans="1:11">
      <c r="A63" s="1757">
        <v>55700138</v>
      </c>
      <c r="B63" s="1755" t="s">
        <v>4914</v>
      </c>
      <c r="C63" s="1756">
        <v>44451247.25</v>
      </c>
      <c r="D63" s="2274">
        <v>0</v>
      </c>
      <c r="E63" s="2274">
        <v>0</v>
      </c>
      <c r="F63" s="1756"/>
      <c r="G63" s="1756"/>
      <c r="H63" s="1768"/>
      <c r="I63" s="774">
        <f t="shared" si="0"/>
        <v>44451247.25</v>
      </c>
      <c r="J63" s="739"/>
      <c r="K63" s="746"/>
    </row>
    <row r="64" spans="1:11">
      <c r="A64" s="1755">
        <v>55700144</v>
      </c>
      <c r="B64" s="1755" t="s">
        <v>4915</v>
      </c>
      <c r="C64" s="1756">
        <v>19583.14</v>
      </c>
      <c r="D64" s="2274">
        <v>998.44</v>
      </c>
      <c r="E64" s="2274">
        <v>3365.5299999999997</v>
      </c>
      <c r="F64" s="1756"/>
      <c r="G64" s="1756"/>
      <c r="H64" s="1756"/>
      <c r="I64" s="774">
        <f t="shared" si="0"/>
        <v>15219.17</v>
      </c>
      <c r="J64" s="949"/>
      <c r="K64" s="746"/>
    </row>
    <row r="65" spans="1:11">
      <c r="A65" s="1755">
        <v>55700145</v>
      </c>
      <c r="B65" s="1755" t="s">
        <v>4916</v>
      </c>
      <c r="C65" s="1756">
        <v>66589.929999999993</v>
      </c>
      <c r="D65" s="2274">
        <v>3387.7100000000005</v>
      </c>
      <c r="E65" s="2274">
        <v>11419.260000000002</v>
      </c>
      <c r="F65" s="1756"/>
      <c r="G65" s="1756"/>
      <c r="H65" s="1756"/>
      <c r="I65" s="774">
        <f t="shared" si="0"/>
        <v>51782.959999999992</v>
      </c>
      <c r="J65" s="949"/>
      <c r="K65" s="746"/>
    </row>
    <row r="66" spans="1:11">
      <c r="A66" s="1755">
        <v>55700146</v>
      </c>
      <c r="B66" s="1755" t="s">
        <v>4917</v>
      </c>
      <c r="C66" s="1756">
        <v>496382.28</v>
      </c>
      <c r="D66" s="2274">
        <v>25282.579999999998</v>
      </c>
      <c r="E66" s="2274">
        <v>85222.150000000023</v>
      </c>
      <c r="F66" s="1756"/>
      <c r="G66" s="1756"/>
      <c r="H66" s="1756"/>
      <c r="I66" s="774">
        <f t="shared" si="0"/>
        <v>385877.55</v>
      </c>
      <c r="J66" s="949"/>
      <c r="K66" s="746"/>
    </row>
    <row r="67" spans="1:11">
      <c r="A67" s="1755">
        <v>55700147</v>
      </c>
      <c r="B67" s="1755" t="s">
        <v>4918</v>
      </c>
      <c r="C67" s="1756">
        <v>10124.52</v>
      </c>
      <c r="D67" s="2274">
        <v>515.71</v>
      </c>
      <c r="E67" s="2274">
        <v>1738.4300000000003</v>
      </c>
      <c r="F67" s="1756"/>
      <c r="G67" s="1756"/>
      <c r="H67" s="1756"/>
      <c r="I67" s="774">
        <f t="shared" si="0"/>
        <v>7870.38</v>
      </c>
      <c r="J67" s="949"/>
      <c r="K67" s="746"/>
    </row>
    <row r="68" spans="1:11">
      <c r="A68" s="1755">
        <v>55700148</v>
      </c>
      <c r="B68" s="1755" t="s">
        <v>4919</v>
      </c>
      <c r="C68" s="1756">
        <v>10124.52</v>
      </c>
      <c r="D68" s="2274">
        <v>515.71</v>
      </c>
      <c r="E68" s="2274">
        <v>1738.4300000000003</v>
      </c>
      <c r="F68" s="1756"/>
      <c r="G68" s="1756"/>
      <c r="H68" s="1756"/>
      <c r="I68" s="774">
        <f t="shared" si="0"/>
        <v>7870.38</v>
      </c>
      <c r="J68" s="949"/>
      <c r="K68" s="746"/>
    </row>
    <row r="69" spans="1:11">
      <c r="A69" s="1755">
        <v>55700150</v>
      </c>
      <c r="B69" s="1755" t="s">
        <v>4920</v>
      </c>
      <c r="C69" s="1756">
        <v>34368.65</v>
      </c>
      <c r="D69" s="2274">
        <v>0</v>
      </c>
      <c r="E69" s="2274">
        <v>0</v>
      </c>
      <c r="F69" s="1756"/>
      <c r="G69" s="1756"/>
      <c r="H69" s="1756"/>
      <c r="I69" s="774">
        <f t="shared" si="0"/>
        <v>34368.65</v>
      </c>
      <c r="J69" s="949"/>
      <c r="K69" s="746"/>
    </row>
    <row r="70" spans="1:11">
      <c r="A70" s="1755">
        <v>55700151</v>
      </c>
      <c r="B70" s="1767" t="s">
        <v>4921</v>
      </c>
      <c r="C70" s="1756">
        <v>3118.5</v>
      </c>
      <c r="D70" s="2274">
        <v>0</v>
      </c>
      <c r="E70" s="2274">
        <v>0</v>
      </c>
      <c r="F70" s="1756"/>
      <c r="G70" s="1756"/>
      <c r="H70" s="1756"/>
      <c r="I70" s="774">
        <f t="shared" si="0"/>
        <v>3118.5</v>
      </c>
      <c r="J70" s="1769"/>
      <c r="K70" s="746"/>
    </row>
    <row r="71" spans="1:11">
      <c r="A71" s="1760">
        <v>55700152</v>
      </c>
      <c r="B71" s="1770" t="s">
        <v>4922</v>
      </c>
      <c r="C71" s="1761">
        <v>0</v>
      </c>
      <c r="D71" s="2275">
        <v>0</v>
      </c>
      <c r="E71" s="2275">
        <v>0</v>
      </c>
      <c r="F71" s="1761"/>
      <c r="G71" s="1761"/>
      <c r="H71" s="1761"/>
      <c r="I71" s="1762">
        <f t="shared" si="0"/>
        <v>0</v>
      </c>
      <c r="J71" s="1796" t="s">
        <v>973</v>
      </c>
      <c r="K71" s="746"/>
    </row>
    <row r="72" spans="1:11">
      <c r="A72" s="1755">
        <v>55700155</v>
      </c>
      <c r="B72" s="1755" t="s">
        <v>4923</v>
      </c>
      <c r="C72" s="1756">
        <v>2273.5100000000002</v>
      </c>
      <c r="D72" s="2274">
        <v>119.8</v>
      </c>
      <c r="E72" s="2274">
        <v>403.82</v>
      </c>
      <c r="F72" s="1756"/>
      <c r="G72" s="1756"/>
      <c r="H72" s="1756"/>
      <c r="I72" s="774">
        <f t="shared" si="0"/>
        <v>1749.8900000000003</v>
      </c>
      <c r="J72" s="949"/>
      <c r="K72" s="746"/>
    </row>
    <row r="73" spans="1:11">
      <c r="A73" s="1755">
        <v>55700157</v>
      </c>
      <c r="B73" s="1755" t="s">
        <v>4924</v>
      </c>
      <c r="C73" s="1756">
        <v>0</v>
      </c>
      <c r="D73" s="2274">
        <v>0</v>
      </c>
      <c r="E73" s="2274">
        <v>0</v>
      </c>
      <c r="F73" s="1756"/>
      <c r="G73" s="1756"/>
      <c r="H73" s="1756"/>
      <c r="I73" s="774">
        <f t="shared" si="0"/>
        <v>0</v>
      </c>
      <c r="J73" s="949"/>
      <c r="K73" s="746"/>
    </row>
    <row r="74" spans="1:11">
      <c r="A74" s="1755">
        <v>55700158</v>
      </c>
      <c r="B74" s="1755" t="s">
        <v>4925</v>
      </c>
      <c r="C74" s="1756">
        <v>1397846.3</v>
      </c>
      <c r="D74" s="2274">
        <v>1582.35</v>
      </c>
      <c r="E74" s="2274">
        <v>5333.73</v>
      </c>
      <c r="F74" s="1756"/>
      <c r="G74" s="1756"/>
      <c r="H74" s="1756"/>
      <c r="I74" s="774">
        <f t="shared" si="0"/>
        <v>1390930.22</v>
      </c>
      <c r="J74" s="949"/>
      <c r="K74" s="746"/>
    </row>
    <row r="75" spans="1:11">
      <c r="A75" s="1755">
        <v>55700159</v>
      </c>
      <c r="B75" s="1755" t="s">
        <v>4926</v>
      </c>
      <c r="C75" s="1756">
        <v>0</v>
      </c>
      <c r="D75" s="2274">
        <v>0</v>
      </c>
      <c r="E75" s="2274">
        <v>0</v>
      </c>
      <c r="F75" s="1756"/>
      <c r="G75" s="1756"/>
      <c r="H75" s="1756"/>
      <c r="I75" s="774">
        <f t="shared" si="0"/>
        <v>0</v>
      </c>
      <c r="J75" s="949"/>
      <c r="K75" s="746"/>
    </row>
    <row r="76" spans="1:11">
      <c r="A76" s="1755">
        <v>55700166</v>
      </c>
      <c r="B76" s="1755" t="s">
        <v>4927</v>
      </c>
      <c r="C76" s="1756">
        <v>236657.11</v>
      </c>
      <c r="D76" s="2274">
        <v>370.29</v>
      </c>
      <c r="E76" s="2274">
        <v>1248.17</v>
      </c>
      <c r="F76" s="1756"/>
      <c r="G76" s="1756"/>
      <c r="H76" s="1756"/>
      <c r="I76" s="774">
        <f t="shared" si="0"/>
        <v>235038.65</v>
      </c>
      <c r="J76" s="949"/>
      <c r="K76" s="746"/>
    </row>
    <row r="77" spans="1:11">
      <c r="A77" s="1755">
        <v>55700167</v>
      </c>
      <c r="B77" s="1755" t="s">
        <v>4928</v>
      </c>
      <c r="C77" s="1756">
        <v>124674.34</v>
      </c>
      <c r="D77" s="2274">
        <v>108.91</v>
      </c>
      <c r="E77" s="2274">
        <v>367.11</v>
      </c>
      <c r="F77" s="1756"/>
      <c r="G77" s="1756"/>
      <c r="H77" s="1756"/>
      <c r="I77" s="774">
        <f t="shared" si="0"/>
        <v>124198.31999999999</v>
      </c>
      <c r="J77" s="949"/>
      <c r="K77" s="746"/>
    </row>
    <row r="78" spans="1:11">
      <c r="A78" s="1755">
        <v>55700170</v>
      </c>
      <c r="B78" s="1755" t="s">
        <v>4929</v>
      </c>
      <c r="C78" s="1756">
        <v>0</v>
      </c>
      <c r="D78" s="2274">
        <v>0</v>
      </c>
      <c r="E78" s="2274">
        <v>0</v>
      </c>
      <c r="F78" s="1756"/>
      <c r="G78" s="1756"/>
      <c r="H78" s="1756"/>
      <c r="I78" s="774">
        <f t="shared" si="0"/>
        <v>0</v>
      </c>
      <c r="J78" s="949"/>
      <c r="K78" s="746"/>
    </row>
    <row r="79" spans="1:11">
      <c r="A79" s="1755">
        <v>55700178</v>
      </c>
      <c r="B79" s="1755" t="s">
        <v>4930</v>
      </c>
      <c r="C79" s="1756">
        <v>0</v>
      </c>
      <c r="D79" s="2274">
        <v>0</v>
      </c>
      <c r="E79" s="2274">
        <v>0</v>
      </c>
      <c r="F79" s="1756"/>
      <c r="G79" s="1756"/>
      <c r="H79" s="1756"/>
      <c r="I79" s="774">
        <f t="shared" si="0"/>
        <v>0</v>
      </c>
      <c r="J79" s="949"/>
      <c r="K79" s="746"/>
    </row>
    <row r="80" spans="1:11">
      <c r="A80" s="1757">
        <v>55700181</v>
      </c>
      <c r="B80" s="1755" t="s">
        <v>4931</v>
      </c>
      <c r="C80" s="1756">
        <v>107270.63</v>
      </c>
      <c r="D80" s="2274">
        <v>5433.21</v>
      </c>
      <c r="E80" s="2274">
        <v>18314.18</v>
      </c>
      <c r="F80" s="1756"/>
      <c r="G80" s="1756"/>
      <c r="H80" s="1756"/>
      <c r="I80" s="774">
        <f t="shared" si="0"/>
        <v>83523.240000000005</v>
      </c>
      <c r="J80" s="949"/>
      <c r="K80" s="746"/>
    </row>
    <row r="81" spans="1:12">
      <c r="A81" s="1757">
        <v>55700182</v>
      </c>
      <c r="B81" s="1755" t="s">
        <v>4932</v>
      </c>
      <c r="C81" s="1756">
        <v>4219299.28</v>
      </c>
      <c r="D81" s="2274">
        <v>219846.59</v>
      </c>
      <c r="E81" s="2274">
        <v>741055.90999999992</v>
      </c>
      <c r="F81" s="1756"/>
      <c r="G81" s="1756"/>
      <c r="H81" s="1756"/>
      <c r="I81" s="774">
        <f t="shared" si="0"/>
        <v>3258396.7800000003</v>
      </c>
      <c r="J81" s="949"/>
      <c r="K81" s="746"/>
      <c r="L81" s="756"/>
    </row>
    <row r="82" spans="1:12">
      <c r="A82" s="1755">
        <v>55700200</v>
      </c>
      <c r="B82" s="1755" t="s">
        <v>4933</v>
      </c>
      <c r="C82" s="1756">
        <v>0</v>
      </c>
      <c r="D82" s="2274">
        <v>0</v>
      </c>
      <c r="E82" s="2274">
        <v>0</v>
      </c>
      <c r="F82" s="1756"/>
      <c r="G82" s="1756"/>
      <c r="H82" s="1756"/>
      <c r="I82" s="774">
        <f t="shared" si="0"/>
        <v>0</v>
      </c>
      <c r="J82" s="949"/>
      <c r="K82" s="746"/>
      <c r="L82" s="756"/>
    </row>
    <row r="83" spans="1:12">
      <c r="A83" s="1755">
        <v>55700250</v>
      </c>
      <c r="B83" s="1755" t="s">
        <v>4934</v>
      </c>
      <c r="C83" s="1756">
        <v>0</v>
      </c>
      <c r="D83" s="2274">
        <v>0</v>
      </c>
      <c r="E83" s="2274">
        <v>0</v>
      </c>
      <c r="F83" s="1756"/>
      <c r="G83" s="1756"/>
      <c r="H83" s="1756"/>
      <c r="I83" s="774">
        <f t="shared" si="0"/>
        <v>0</v>
      </c>
      <c r="J83" s="949"/>
      <c r="K83" s="746"/>
    </row>
    <row r="84" spans="1:12">
      <c r="A84" s="1759">
        <v>55700252</v>
      </c>
      <c r="B84" s="1760" t="s">
        <v>7168</v>
      </c>
      <c r="C84" s="1761">
        <v>669931.91</v>
      </c>
      <c r="D84" s="2275">
        <v>0</v>
      </c>
      <c r="E84" s="2275">
        <v>0</v>
      </c>
      <c r="F84" s="1761"/>
      <c r="G84" s="1761"/>
      <c r="H84" s="1761"/>
      <c r="I84" s="1762">
        <f t="shared" si="0"/>
        <v>669931.91</v>
      </c>
      <c r="J84" s="1796" t="s">
        <v>973</v>
      </c>
      <c r="K84" s="746"/>
    </row>
    <row r="85" spans="1:12">
      <c r="A85" s="1759">
        <v>55700253</v>
      </c>
      <c r="B85" s="1760" t="s">
        <v>7169</v>
      </c>
      <c r="C85" s="1761">
        <v>901680.38</v>
      </c>
      <c r="D85" s="2275">
        <v>0</v>
      </c>
      <c r="E85" s="2275">
        <v>0</v>
      </c>
      <c r="F85" s="1761"/>
      <c r="G85" s="1761"/>
      <c r="H85" s="1761"/>
      <c r="I85" s="1762">
        <f t="shared" si="0"/>
        <v>901680.38</v>
      </c>
      <c r="J85" s="1796" t="s">
        <v>973</v>
      </c>
      <c r="K85" s="746"/>
    </row>
    <row r="86" spans="1:12">
      <c r="A86" s="1755">
        <v>55700305</v>
      </c>
      <c r="B86" s="1755" t="s">
        <v>7170</v>
      </c>
      <c r="C86" s="1756">
        <v>472186.43</v>
      </c>
      <c r="D86" s="2274">
        <v>23390.52</v>
      </c>
      <c r="E86" s="2274">
        <v>78844.42</v>
      </c>
      <c r="F86" s="1756"/>
      <c r="G86" s="1756"/>
      <c r="H86" s="1756"/>
      <c r="I86" s="774">
        <f t="shared" si="0"/>
        <v>369951.49</v>
      </c>
      <c r="J86" s="949"/>
      <c r="K86" s="746"/>
    </row>
    <row r="87" spans="1:12">
      <c r="A87" s="1755">
        <v>55700321</v>
      </c>
      <c r="B87" s="1755" t="s">
        <v>7171</v>
      </c>
      <c r="C87" s="1756">
        <v>45690.879999999997</v>
      </c>
      <c r="D87" s="2274">
        <v>2407.9800000000005</v>
      </c>
      <c r="E87" s="2274">
        <v>8116.8</v>
      </c>
      <c r="F87" s="1756"/>
      <c r="G87" s="1756"/>
      <c r="H87" s="1756"/>
      <c r="I87" s="774">
        <f t="shared" si="0"/>
        <v>35166.1</v>
      </c>
      <c r="J87" s="949"/>
      <c r="K87" s="746"/>
    </row>
    <row r="88" spans="1:12">
      <c r="A88" s="1755">
        <v>55700322</v>
      </c>
      <c r="B88" s="1755" t="s">
        <v>7172</v>
      </c>
      <c r="C88" s="1756">
        <v>84082.09</v>
      </c>
      <c r="D88" s="2274">
        <v>4431.2299999999996</v>
      </c>
      <c r="E88" s="2274">
        <v>14936.8</v>
      </c>
      <c r="F88" s="1756"/>
      <c r="G88" s="1756"/>
      <c r="H88" s="1756"/>
      <c r="I88" s="774">
        <f t="shared" si="0"/>
        <v>64714.06</v>
      </c>
      <c r="J88" s="949"/>
      <c r="K88" s="746"/>
    </row>
    <row r="89" spans="1:12">
      <c r="A89" s="1759">
        <v>55700323</v>
      </c>
      <c r="B89" s="1760" t="s">
        <v>7173</v>
      </c>
      <c r="C89" s="1761">
        <v>160557.54999999999</v>
      </c>
      <c r="D89" s="2275">
        <v>0</v>
      </c>
      <c r="E89" s="2275">
        <v>0</v>
      </c>
      <c r="F89" s="1761"/>
      <c r="G89" s="1761"/>
      <c r="H89" s="1761"/>
      <c r="I89" s="1762">
        <f t="shared" si="0"/>
        <v>160557.54999999999</v>
      </c>
      <c r="J89" s="1796" t="s">
        <v>973</v>
      </c>
      <c r="K89" s="746"/>
    </row>
    <row r="90" spans="1:12">
      <c r="A90" s="1755">
        <v>55700536</v>
      </c>
      <c r="B90" s="1755" t="s">
        <v>4935</v>
      </c>
      <c r="C90" s="1756">
        <v>0</v>
      </c>
      <c r="D90" s="2274">
        <v>0</v>
      </c>
      <c r="E90" s="2274">
        <v>0</v>
      </c>
      <c r="F90" s="1756"/>
      <c r="G90" s="1756"/>
      <c r="H90" s="1756"/>
      <c r="I90" s="774">
        <f t="shared" si="0"/>
        <v>0</v>
      </c>
      <c r="J90" s="949"/>
      <c r="K90" s="746"/>
    </row>
    <row r="91" spans="1:12">
      <c r="A91" s="1755">
        <v>55700537</v>
      </c>
      <c r="B91" s="1755" t="s">
        <v>4936</v>
      </c>
      <c r="C91" s="1756">
        <v>253649.53</v>
      </c>
      <c r="D91" s="2274">
        <v>13324.829999999998</v>
      </c>
      <c r="E91" s="2274">
        <v>44915.11</v>
      </c>
      <c r="F91" s="1756"/>
      <c r="G91" s="1756"/>
      <c r="H91" s="1756"/>
      <c r="I91" s="774">
        <f t="shared" si="0"/>
        <v>195409.59</v>
      </c>
      <c r="J91" s="949"/>
      <c r="K91" s="746"/>
    </row>
    <row r="92" spans="1:12">
      <c r="A92" s="1755">
        <v>55700538</v>
      </c>
      <c r="B92" s="1755" t="s">
        <v>4937</v>
      </c>
      <c r="C92" s="1756">
        <v>0</v>
      </c>
      <c r="D92" s="2274">
        <v>0</v>
      </c>
      <c r="E92" s="2274">
        <v>0</v>
      </c>
      <c r="F92" s="1756"/>
      <c r="G92" s="1756"/>
      <c r="H92" s="1756"/>
      <c r="I92" s="774">
        <f t="shared" si="0"/>
        <v>0</v>
      </c>
      <c r="J92" s="949"/>
      <c r="K92" s="746"/>
    </row>
    <row r="93" spans="1:12">
      <c r="A93" s="1755">
        <v>55700539</v>
      </c>
      <c r="B93" s="1755" t="s">
        <v>4938</v>
      </c>
      <c r="C93" s="1756">
        <v>75979.789999999994</v>
      </c>
      <c r="D93" s="2274">
        <v>3942.58</v>
      </c>
      <c r="E93" s="2274">
        <v>13289.539999999999</v>
      </c>
      <c r="F93" s="1756"/>
      <c r="G93" s="1756"/>
      <c r="H93" s="1756"/>
      <c r="I93" s="774">
        <f>C93-SUM(D93:H93)</f>
        <v>58747.67</v>
      </c>
      <c r="J93" s="949"/>
      <c r="K93" s="746"/>
    </row>
    <row r="94" spans="1:12">
      <c r="A94" s="1755">
        <v>55700540</v>
      </c>
      <c r="B94" s="1755" t="s">
        <v>4939</v>
      </c>
      <c r="C94" s="1756">
        <v>668467.25</v>
      </c>
      <c r="D94" s="2274">
        <v>33780.409999999996</v>
      </c>
      <c r="E94" s="2274">
        <v>113866.56000000001</v>
      </c>
      <c r="F94" s="1756"/>
      <c r="G94" s="1756"/>
      <c r="H94" s="1756"/>
      <c r="I94" s="774">
        <f t="shared" ref="I94:I110" si="3">C94-SUM(D94:H94)</f>
        <v>520820.28</v>
      </c>
      <c r="J94" s="949"/>
      <c r="K94" s="746"/>
    </row>
    <row r="95" spans="1:12">
      <c r="A95" s="1755">
        <v>55700541</v>
      </c>
      <c r="B95" s="1755" t="s">
        <v>4940</v>
      </c>
      <c r="C95" s="1756">
        <v>137996.29</v>
      </c>
      <c r="D95" s="2274">
        <v>7271.6399999999985</v>
      </c>
      <c r="E95" s="2274">
        <v>24511.180000000004</v>
      </c>
      <c r="F95" s="1756"/>
      <c r="G95" s="1756"/>
      <c r="H95" s="1756"/>
      <c r="I95" s="774">
        <f t="shared" si="3"/>
        <v>106213.47</v>
      </c>
      <c r="J95" s="949"/>
      <c r="K95" s="746"/>
    </row>
    <row r="96" spans="1:12">
      <c r="A96" s="1755">
        <v>55700542</v>
      </c>
      <c r="B96" s="1755" t="s">
        <v>4941</v>
      </c>
      <c r="C96" s="1756">
        <v>24150.47</v>
      </c>
      <c r="D96" s="2274">
        <v>1272.58</v>
      </c>
      <c r="E96" s="2274">
        <v>4289.6100000000006</v>
      </c>
      <c r="F96" s="1756"/>
      <c r="G96" s="1756"/>
      <c r="H96" s="1756"/>
      <c r="I96" s="774">
        <f t="shared" si="3"/>
        <v>18588.28</v>
      </c>
      <c r="J96" s="949"/>
      <c r="K96" s="746"/>
    </row>
    <row r="97" spans="1:11">
      <c r="A97" s="1755">
        <v>55700543</v>
      </c>
      <c r="B97" s="1755" t="s">
        <v>4942</v>
      </c>
      <c r="C97" s="1756">
        <v>103048.04</v>
      </c>
      <c r="D97" s="2274">
        <v>5430.08</v>
      </c>
      <c r="E97" s="2274">
        <v>18303.63</v>
      </c>
      <c r="F97" s="1756"/>
      <c r="G97" s="1756"/>
      <c r="H97" s="1756"/>
      <c r="I97" s="774">
        <f t="shared" si="3"/>
        <v>79314.329999999987</v>
      </c>
      <c r="J97" s="949"/>
      <c r="K97" s="746"/>
    </row>
    <row r="98" spans="1:11">
      <c r="A98" s="1755">
        <v>55700544</v>
      </c>
      <c r="B98" s="1755" t="s">
        <v>4943</v>
      </c>
      <c r="C98" s="1756">
        <v>490265.23</v>
      </c>
      <c r="D98" s="2274">
        <v>26232.54</v>
      </c>
      <c r="E98" s="2274">
        <v>88424.319999999992</v>
      </c>
      <c r="F98" s="1756"/>
      <c r="G98" s="1756"/>
      <c r="H98" s="1756"/>
      <c r="I98" s="774">
        <f t="shared" si="3"/>
        <v>375608.37</v>
      </c>
      <c r="J98" s="949"/>
      <c r="K98" s="746"/>
    </row>
    <row r="99" spans="1:11">
      <c r="A99" s="1755">
        <v>55700545</v>
      </c>
      <c r="B99" s="1755" t="s">
        <v>4944</v>
      </c>
      <c r="C99" s="1756">
        <v>188163.47</v>
      </c>
      <c r="D99" s="2274">
        <v>9912.36</v>
      </c>
      <c r="E99" s="2274">
        <v>33412.479999999996</v>
      </c>
      <c r="F99" s="1756"/>
      <c r="G99" s="1756"/>
      <c r="H99" s="1756"/>
      <c r="I99" s="774">
        <f t="shared" si="3"/>
        <v>144838.63</v>
      </c>
      <c r="J99" s="949"/>
      <c r="K99" s="746"/>
    </row>
    <row r="100" spans="1:11">
      <c r="A100" s="1755">
        <v>55700546</v>
      </c>
      <c r="B100" s="1755" t="s">
        <v>4945</v>
      </c>
      <c r="C100" s="1756">
        <v>0</v>
      </c>
      <c r="D100" s="2274">
        <v>0</v>
      </c>
      <c r="E100" s="2274">
        <v>0</v>
      </c>
      <c r="F100" s="1756"/>
      <c r="G100" s="1756"/>
      <c r="H100" s="1756"/>
      <c r="I100" s="774">
        <f t="shared" si="3"/>
        <v>0</v>
      </c>
      <c r="J100" s="949"/>
      <c r="K100" s="746"/>
    </row>
    <row r="101" spans="1:11">
      <c r="A101" s="1755">
        <v>55700547</v>
      </c>
      <c r="B101" s="1755" t="s">
        <v>4946</v>
      </c>
      <c r="C101" s="1756">
        <v>1983628.77</v>
      </c>
      <c r="D101" s="2274">
        <v>98030.250000000015</v>
      </c>
      <c r="E101" s="2274">
        <v>330439.03999999998</v>
      </c>
      <c r="F101" s="1756"/>
      <c r="G101" s="1756"/>
      <c r="H101" s="1756"/>
      <c r="I101" s="774">
        <f t="shared" si="3"/>
        <v>1555159.48</v>
      </c>
      <c r="J101" s="949"/>
      <c r="K101" s="746"/>
    </row>
    <row r="102" spans="1:11">
      <c r="A102" s="1755">
        <v>55700549</v>
      </c>
      <c r="B102" s="1755" t="s">
        <v>4947</v>
      </c>
      <c r="C102" s="1756">
        <v>137613.29999999999</v>
      </c>
      <c r="D102" s="2274">
        <v>7427.28</v>
      </c>
      <c r="E102" s="2274">
        <v>25035.78</v>
      </c>
      <c r="F102" s="1756"/>
      <c r="G102" s="1756"/>
      <c r="H102" s="1756"/>
      <c r="I102" s="774">
        <f t="shared" si="3"/>
        <v>105150.23999999999</v>
      </c>
      <c r="J102" s="949"/>
      <c r="K102" s="746"/>
    </row>
    <row r="103" spans="1:11">
      <c r="A103" s="1755">
        <v>55700550</v>
      </c>
      <c r="B103" s="1755" t="s">
        <v>4948</v>
      </c>
      <c r="C103" s="1756">
        <v>2318705.2799999998</v>
      </c>
      <c r="D103" s="2274">
        <v>55893.700000000012</v>
      </c>
      <c r="E103" s="2274">
        <v>188405.68999999997</v>
      </c>
      <c r="F103" s="1756"/>
      <c r="G103" s="1756"/>
      <c r="H103" s="1756"/>
      <c r="I103" s="774">
        <f t="shared" si="3"/>
        <v>2074405.89</v>
      </c>
      <c r="J103" s="949"/>
      <c r="K103" s="746"/>
    </row>
    <row r="104" spans="1:11">
      <c r="A104" s="1760">
        <v>55700553</v>
      </c>
      <c r="B104" s="1760" t="s">
        <v>4949</v>
      </c>
      <c r="C104" s="1761">
        <v>35937.29</v>
      </c>
      <c r="D104" s="2275">
        <v>0</v>
      </c>
      <c r="E104" s="2275">
        <v>0</v>
      </c>
      <c r="F104" s="1761"/>
      <c r="G104" s="1761"/>
      <c r="H104" s="1761"/>
      <c r="I104" s="1762">
        <f t="shared" si="3"/>
        <v>35937.29</v>
      </c>
      <c r="J104" s="1796" t="s">
        <v>973</v>
      </c>
      <c r="K104" s="746"/>
    </row>
    <row r="105" spans="1:11">
      <c r="A105" s="1760">
        <v>55700555</v>
      </c>
      <c r="B105" s="1760" t="s">
        <v>4896</v>
      </c>
      <c r="C105" s="1761">
        <v>32762.85</v>
      </c>
      <c r="D105" s="2275">
        <v>1669.0900000000001</v>
      </c>
      <c r="E105" s="2275">
        <v>5626.0999999999995</v>
      </c>
      <c r="F105" s="1761"/>
      <c r="G105" s="1761"/>
      <c r="H105" s="1761"/>
      <c r="I105" s="1762">
        <f t="shared" si="3"/>
        <v>25467.66</v>
      </c>
      <c r="J105" s="1796" t="s">
        <v>973</v>
      </c>
      <c r="K105" s="746"/>
    </row>
    <row r="106" spans="1:11">
      <c r="A106" s="1760">
        <v>55700556</v>
      </c>
      <c r="B106" s="1760" t="s">
        <v>4950</v>
      </c>
      <c r="C106" s="1761">
        <v>7224.83</v>
      </c>
      <c r="D106" s="2275">
        <v>368.44999999999993</v>
      </c>
      <c r="E106" s="2275">
        <v>1241.9099999999999</v>
      </c>
      <c r="F106" s="1761"/>
      <c r="G106" s="1761"/>
      <c r="H106" s="1761"/>
      <c r="I106" s="1762">
        <f t="shared" si="3"/>
        <v>5614.47</v>
      </c>
      <c r="J106" s="1796" t="s">
        <v>973</v>
      </c>
      <c r="K106" s="746"/>
    </row>
    <row r="107" spans="1:11">
      <c r="A107" s="1760">
        <v>55700557</v>
      </c>
      <c r="B107" s="1760" t="s">
        <v>4951</v>
      </c>
      <c r="C107" s="1761">
        <v>7224.83</v>
      </c>
      <c r="D107" s="2275">
        <v>368.44999999999993</v>
      </c>
      <c r="E107" s="2275">
        <v>1241.9099999999999</v>
      </c>
      <c r="F107" s="1761"/>
      <c r="G107" s="1761"/>
      <c r="H107" s="1761"/>
      <c r="I107" s="1762">
        <f t="shared" si="3"/>
        <v>5614.47</v>
      </c>
      <c r="J107" s="1796" t="s">
        <v>973</v>
      </c>
      <c r="K107" s="746"/>
    </row>
    <row r="108" spans="1:11">
      <c r="A108" s="1760">
        <v>55700558</v>
      </c>
      <c r="B108" s="1760" t="s">
        <v>4952</v>
      </c>
      <c r="C108" s="1761">
        <v>102850.18</v>
      </c>
      <c r="D108" s="2275">
        <v>4907.2299999999996</v>
      </c>
      <c r="E108" s="2275">
        <v>16541.190000000002</v>
      </c>
      <c r="F108" s="1761"/>
      <c r="G108" s="1761"/>
      <c r="H108" s="1761"/>
      <c r="I108" s="1762">
        <f t="shared" si="3"/>
        <v>81401.759999999995</v>
      </c>
      <c r="J108" s="1796" t="s">
        <v>973</v>
      </c>
      <c r="K108" s="746"/>
    </row>
    <row r="109" spans="1:11">
      <c r="A109" s="1760">
        <v>55700559</v>
      </c>
      <c r="B109" s="1760" t="s">
        <v>4953</v>
      </c>
      <c r="C109" s="1761">
        <v>1034623.76</v>
      </c>
      <c r="D109" s="2275">
        <v>22026.52</v>
      </c>
      <c r="E109" s="2275">
        <v>74246.679999999993</v>
      </c>
      <c r="F109" s="1761"/>
      <c r="G109" s="1761"/>
      <c r="H109" s="1761"/>
      <c r="I109" s="1762">
        <f t="shared" si="3"/>
        <v>938350.56</v>
      </c>
      <c r="J109" s="1796" t="s">
        <v>973</v>
      </c>
      <c r="K109" s="746"/>
    </row>
    <row r="110" spans="1:11">
      <c r="A110" s="1757">
        <v>55700647</v>
      </c>
      <c r="B110" s="1755" t="s">
        <v>4954</v>
      </c>
      <c r="C110" s="1756">
        <v>0</v>
      </c>
      <c r="D110" s="2274">
        <v>0</v>
      </c>
      <c r="E110" s="2274">
        <v>0</v>
      </c>
      <c r="F110" s="1756"/>
      <c r="G110" s="1756"/>
      <c r="H110" s="1756"/>
      <c r="I110" s="774">
        <f t="shared" si="3"/>
        <v>0</v>
      </c>
      <c r="J110" s="949"/>
      <c r="K110" s="746"/>
    </row>
    <row r="111" spans="1:11">
      <c r="A111" s="1112"/>
      <c r="B111" s="895" t="s">
        <v>196</v>
      </c>
      <c r="C111" s="1113">
        <f>SUM(C7:C110)</f>
        <v>97288057.50000003</v>
      </c>
      <c r="D111" s="1113">
        <f>SUM(D7:D110)</f>
        <v>719788.25999999989</v>
      </c>
      <c r="E111" s="1113">
        <f>SUM(E7:E110)</f>
        <v>2426252.3500000006</v>
      </c>
      <c r="F111" s="1113">
        <f>SUM(F7:F110)</f>
        <v>0</v>
      </c>
      <c r="G111" s="1113">
        <f>SUM(G7:G110)</f>
        <v>0</v>
      </c>
      <c r="H111" s="1113"/>
      <c r="I111" s="1113">
        <f>SUM(I7:I110)</f>
        <v>94142016.889999971</v>
      </c>
      <c r="J111" s="1771">
        <f>'FERC p320-323 Elec. O&amp;M'!C99-I111</f>
        <v>0.11000002920627594</v>
      </c>
      <c r="K111" s="1772" t="s">
        <v>4955</v>
      </c>
    </row>
    <row r="112" spans="1:11" ht="12" thickBot="1">
      <c r="B112" s="1773" t="s">
        <v>4681</v>
      </c>
      <c r="C112" s="1774">
        <v>97288057.5</v>
      </c>
      <c r="D112" s="1774">
        <v>719788.26</v>
      </c>
      <c r="E112" s="1774">
        <v>2426252.35</v>
      </c>
      <c r="F112" s="1774">
        <v>0</v>
      </c>
      <c r="G112" s="1774">
        <v>0</v>
      </c>
      <c r="H112" s="1775"/>
      <c r="I112" s="754"/>
      <c r="J112" s="949"/>
    </row>
    <row r="113" spans="1:11" s="573" customFormat="1" ht="12" thickTop="1">
      <c r="B113" s="1776" t="s">
        <v>929</v>
      </c>
      <c r="C113" s="1777">
        <f>C111-C112</f>
        <v>0</v>
      </c>
      <c r="D113" s="1777">
        <f t="shared" ref="D113:G113" si="4">D111-D112</f>
        <v>0</v>
      </c>
      <c r="E113" s="1777">
        <f t="shared" si="4"/>
        <v>0</v>
      </c>
      <c r="F113" s="1777">
        <f t="shared" si="4"/>
        <v>0</v>
      </c>
      <c r="G113" s="1777">
        <f t="shared" si="4"/>
        <v>0</v>
      </c>
    </row>
    <row r="114" spans="1:11">
      <c r="C114" s="1732"/>
    </row>
    <row r="115" spans="1:11">
      <c r="A115" s="1778" t="s">
        <v>4956</v>
      </c>
      <c r="B115" s="1751"/>
      <c r="C115" s="1751"/>
      <c r="D115" s="1751"/>
      <c r="E115" s="1751"/>
      <c r="F115" s="1751"/>
      <c r="G115" s="1751"/>
      <c r="H115" s="1751"/>
      <c r="I115" s="1696"/>
      <c r="J115" s="1696"/>
    </row>
    <row r="120" spans="1:11">
      <c r="K120" s="1779"/>
    </row>
  </sheetData>
  <pageMargins left="0.7" right="0.7" top="0.75" bottom="0.75" header="0.3" footer="0.3"/>
  <pageSetup scale="55" orientation="landscape" r:id="rId1"/>
  <headerFooter>
    <oddHeader>&amp;CPSE_ASC_Filing_Appendix_1_CY_2018</oddHeader>
    <oddFooter>&amp;R&amp;F&amp;A</oddFooter>
  </headerFooter>
  <customProperties>
    <customPr name="_pios_id" r:id="rId2"/>
  </customProperties>
  <drawing r:id="rId3"/>
  <legacyDrawing r:id="rId4"/>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rgb="FF92D050"/>
    <pageSetUpPr fitToPage="1"/>
  </sheetPr>
  <dimension ref="A1:H32"/>
  <sheetViews>
    <sheetView workbookViewId="0">
      <pane ySplit="7" topLeftCell="A8" activePane="bottomLeft" state="frozen"/>
      <selection sqref="A1:XFD1048576"/>
      <selection pane="bottomLeft" sqref="A1:XFD1048576"/>
    </sheetView>
  </sheetViews>
  <sheetFormatPr defaultColWidth="9" defaultRowHeight="11.25"/>
  <cols>
    <col min="1" max="1" width="27.875" style="493" customWidth="1"/>
    <col min="2" max="2" width="10.5" style="493" bestFit="1" customWidth="1"/>
    <col min="3" max="3" width="10.375" style="493" bestFit="1" customWidth="1"/>
    <col min="4" max="4" width="10.875" style="493" customWidth="1"/>
    <col min="5" max="5" width="9.875" style="493" bestFit="1" customWidth="1"/>
    <col min="6" max="6" width="11" style="493" bestFit="1" customWidth="1"/>
    <col min="7" max="7" width="9.375" style="493" customWidth="1"/>
    <col min="8" max="8" width="12.375" style="493" customWidth="1"/>
    <col min="9" max="9" width="1.375" style="493" customWidth="1"/>
    <col min="10" max="16384" width="9" style="493"/>
  </cols>
  <sheetData>
    <row r="1" spans="1:8">
      <c r="A1" s="1114" t="s">
        <v>4589</v>
      </c>
      <c r="B1" s="1115"/>
      <c r="C1" s="1116"/>
      <c r="D1" s="1116"/>
      <c r="E1" s="1116"/>
      <c r="F1" s="1116"/>
      <c r="G1" s="1116"/>
      <c r="H1" s="1117"/>
    </row>
    <row r="2" spans="1:8">
      <c r="A2" s="1118" t="s">
        <v>4957</v>
      </c>
      <c r="B2" s="847"/>
      <c r="C2" s="849"/>
      <c r="D2" s="849"/>
      <c r="E2" s="849"/>
      <c r="F2" s="849"/>
      <c r="G2" s="849"/>
      <c r="H2" s="1119"/>
    </row>
    <row r="3" spans="1:8">
      <c r="A3" s="1118" t="s">
        <v>7152</v>
      </c>
      <c r="B3" s="847"/>
      <c r="C3" s="849"/>
      <c r="D3" s="849"/>
      <c r="E3" s="849"/>
      <c r="F3" s="849"/>
      <c r="G3" s="849"/>
      <c r="H3" s="1119"/>
    </row>
    <row r="4" spans="1:8">
      <c r="A4" s="1120"/>
      <c r="B4" s="849"/>
      <c r="C4" s="849"/>
      <c r="D4" s="849"/>
      <c r="E4" s="849"/>
      <c r="F4" s="849"/>
      <c r="G4" s="849"/>
      <c r="H4" s="1119"/>
    </row>
    <row r="5" spans="1:8">
      <c r="A5" s="1120"/>
      <c r="B5" s="849"/>
      <c r="C5" s="849"/>
      <c r="D5" s="849"/>
      <c r="E5" s="849"/>
      <c r="F5" s="849"/>
      <c r="G5" s="849"/>
      <c r="H5" s="1119"/>
    </row>
    <row r="6" spans="1:8" ht="12" thickBot="1">
      <c r="A6" s="1120" t="s">
        <v>4958</v>
      </c>
      <c r="B6" s="1110" t="s">
        <v>4959</v>
      </c>
      <c r="C6" s="1110" t="s">
        <v>4960</v>
      </c>
      <c r="D6" s="1110" t="s">
        <v>4961</v>
      </c>
      <c r="E6" s="1111" t="s">
        <v>4865</v>
      </c>
      <c r="F6" s="1111" t="s">
        <v>4864</v>
      </c>
      <c r="G6" s="1111"/>
      <c r="H6" s="1121"/>
    </row>
    <row r="7" spans="1:8" s="574" customFormat="1" ht="45.75" thickBot="1">
      <c r="A7" s="1122"/>
      <c r="B7" s="980"/>
      <c r="C7" s="981" t="s">
        <v>4866</v>
      </c>
      <c r="D7" s="981" t="s">
        <v>4867</v>
      </c>
      <c r="E7" s="981" t="s">
        <v>4868</v>
      </c>
      <c r="F7" s="982" t="s">
        <v>4869</v>
      </c>
      <c r="G7" s="978" t="s">
        <v>4870</v>
      </c>
      <c r="H7" s="1123" t="s">
        <v>4962</v>
      </c>
    </row>
    <row r="8" spans="1:8">
      <c r="A8" s="1124" t="s">
        <v>4963</v>
      </c>
      <c r="B8" s="1125">
        <v>46530191.369999997</v>
      </c>
      <c r="C8" s="1125">
        <v>46362.19</v>
      </c>
      <c r="D8" s="1125">
        <v>156277.13</v>
      </c>
      <c r="E8" s="1126">
        <v>0</v>
      </c>
      <c r="F8" s="1126">
        <v>0</v>
      </c>
      <c r="G8" s="1125">
        <v>126618</v>
      </c>
      <c r="H8" s="1127">
        <f>B8-SUM(C8:G8)</f>
        <v>46200934.049999997</v>
      </c>
    </row>
    <row r="9" spans="1:8">
      <c r="A9" s="1124" t="s">
        <v>4964</v>
      </c>
      <c r="B9" s="1125">
        <v>3266403.82</v>
      </c>
      <c r="C9" s="1125">
        <v>5546.6</v>
      </c>
      <c r="D9" s="1125">
        <v>18696.45</v>
      </c>
      <c r="E9" s="1126">
        <v>0</v>
      </c>
      <c r="F9" s="1126">
        <v>0</v>
      </c>
      <c r="G9" s="1126">
        <v>0</v>
      </c>
      <c r="H9" s="1127">
        <f>B9-SUM(C9:G9)</f>
        <v>3242160.77</v>
      </c>
    </row>
    <row r="10" spans="1:8">
      <c r="A10" s="1128" t="s">
        <v>4965</v>
      </c>
      <c r="B10" s="1129">
        <v>950338.12</v>
      </c>
      <c r="C10" s="1129">
        <v>49567.63</v>
      </c>
      <c r="D10" s="1129">
        <v>167081.92000000001</v>
      </c>
      <c r="E10" s="1126">
        <v>0</v>
      </c>
      <c r="F10" s="1126">
        <v>0</v>
      </c>
      <c r="G10" s="1746">
        <v>5.57</v>
      </c>
      <c r="H10" s="1127">
        <f>B10-SUM(C10:G10)</f>
        <v>733683</v>
      </c>
    </row>
    <row r="11" spans="1:8">
      <c r="A11" s="1112" t="s">
        <v>196</v>
      </c>
      <c r="B11" s="895">
        <f>SUM(B8:B10)</f>
        <v>50746933.309999995</v>
      </c>
      <c r="C11" s="895">
        <f>SUM(C8:C10)</f>
        <v>101476.42</v>
      </c>
      <c r="D11" s="895">
        <f t="shared" ref="D11:G11" si="0">SUM(D8:D10)</f>
        <v>342055.5</v>
      </c>
      <c r="E11" s="895">
        <f t="shared" si="0"/>
        <v>0</v>
      </c>
      <c r="F11" s="895">
        <f t="shared" si="0"/>
        <v>0</v>
      </c>
      <c r="G11" s="895">
        <f t="shared" si="0"/>
        <v>126623.57</v>
      </c>
      <c r="H11" s="1130">
        <f>SUM(H8:H10)</f>
        <v>50176777.82</v>
      </c>
    </row>
    <row r="12" spans="1:8" ht="12" thickBot="1">
      <c r="A12" s="1015" t="s">
        <v>4681</v>
      </c>
      <c r="B12" s="1107">
        <v>50746933.310000002</v>
      </c>
      <c r="C12" s="1107">
        <v>101476.42</v>
      </c>
      <c r="D12" s="1107">
        <v>342055.5</v>
      </c>
      <c r="E12" s="1107">
        <v>0</v>
      </c>
      <c r="F12" s="1107">
        <v>0</v>
      </c>
      <c r="G12" s="940"/>
      <c r="H12" s="1131"/>
    </row>
    <row r="13" spans="1:8" ht="12.75" thickTop="1" thickBot="1">
      <c r="A13" s="1016" t="s">
        <v>4966</v>
      </c>
      <c r="B13" s="1740">
        <f>B12-B11</f>
        <v>0</v>
      </c>
      <c r="C13" s="1740">
        <f t="shared" ref="C13:F13" si="1">C12-C11</f>
        <v>0</v>
      </c>
      <c r="D13" s="1740">
        <f t="shared" si="1"/>
        <v>0</v>
      </c>
      <c r="E13" s="1740">
        <f t="shared" si="1"/>
        <v>0</v>
      </c>
      <c r="F13" s="1740">
        <f t="shared" si="1"/>
        <v>0</v>
      </c>
      <c r="G13" s="1132"/>
      <c r="H13" s="1133"/>
    </row>
    <row r="14" spans="1:8" ht="12" thickBot="1">
      <c r="A14" s="849"/>
      <c r="B14" s="849"/>
      <c r="C14" s="849"/>
      <c r="D14" s="849"/>
      <c r="E14" s="849"/>
      <c r="F14" s="849"/>
      <c r="G14" s="849"/>
      <c r="H14" s="849"/>
    </row>
    <row r="15" spans="1:8">
      <c r="A15" s="1114" t="s">
        <v>4589</v>
      </c>
      <c r="B15" s="1115"/>
      <c r="C15" s="1116"/>
      <c r="D15" s="1116"/>
      <c r="E15" s="1116"/>
      <c r="F15" s="1116"/>
      <c r="G15" s="1116"/>
      <c r="H15" s="1117"/>
    </row>
    <row r="16" spans="1:8">
      <c r="A16" s="1118" t="s">
        <v>4967</v>
      </c>
      <c r="B16" s="847"/>
      <c r="C16" s="849"/>
      <c r="D16" s="849"/>
      <c r="E16" s="849"/>
      <c r="F16" s="849"/>
      <c r="G16" s="849"/>
      <c r="H16" s="1119"/>
    </row>
    <row r="17" spans="1:8">
      <c r="A17" s="1118" t="s">
        <v>8092</v>
      </c>
      <c r="B17" s="847"/>
      <c r="C17" s="849"/>
      <c r="D17" s="849"/>
      <c r="E17" s="849"/>
      <c r="F17" s="849"/>
      <c r="G17" s="849"/>
      <c r="H17" s="1119"/>
    </row>
    <row r="18" spans="1:8">
      <c r="A18" s="1118"/>
      <c r="B18" s="847"/>
      <c r="C18" s="849"/>
      <c r="D18" s="849"/>
      <c r="E18" s="849"/>
      <c r="F18" s="849"/>
      <c r="G18" s="849"/>
      <c r="H18" s="1119"/>
    </row>
    <row r="19" spans="1:8" ht="12" thickBot="1">
      <c r="A19" s="1120"/>
      <c r="B19" s="1110" t="s">
        <v>4959</v>
      </c>
      <c r="C19" s="1110" t="s">
        <v>4960</v>
      </c>
      <c r="D19" s="1110" t="s">
        <v>4961</v>
      </c>
      <c r="E19" s="1111" t="s">
        <v>4865</v>
      </c>
      <c r="F19" s="1111" t="s">
        <v>4864</v>
      </c>
      <c r="G19" s="1111"/>
      <c r="H19" s="1121"/>
    </row>
    <row r="20" spans="1:8" ht="45.75" thickBot="1">
      <c r="A20" s="1134" t="s">
        <v>4958</v>
      </c>
      <c r="B20" s="980"/>
      <c r="C20" s="981" t="s">
        <v>4866</v>
      </c>
      <c r="D20" s="981" t="s">
        <v>4867</v>
      </c>
      <c r="E20" s="981" t="s">
        <v>4868</v>
      </c>
      <c r="F20" s="982" t="s">
        <v>4869</v>
      </c>
      <c r="G20" s="978" t="s">
        <v>4870</v>
      </c>
      <c r="H20" s="1123" t="s">
        <v>4962</v>
      </c>
    </row>
    <row r="21" spans="1:8">
      <c r="A21" s="1135" t="s">
        <v>4968</v>
      </c>
      <c r="B21" s="1129">
        <v>97941405.329999998</v>
      </c>
      <c r="C21" s="1136">
        <v>0</v>
      </c>
      <c r="D21" s="1136">
        <v>0</v>
      </c>
      <c r="E21" s="1136">
        <v>0</v>
      </c>
      <c r="F21" s="1136">
        <v>0</v>
      </c>
      <c r="G21" s="1136"/>
      <c r="H21" s="1137">
        <f>B21-SUM(C21:G21)</f>
        <v>97941405.329999998</v>
      </c>
    </row>
    <row r="22" spans="1:8">
      <c r="A22" s="1112" t="s">
        <v>196</v>
      </c>
      <c r="B22" s="895">
        <f>SUM(B20:B21)</f>
        <v>97941405.329999998</v>
      </c>
      <c r="C22" s="895">
        <f t="shared" ref="C22:H22" si="2">SUM(C20:C21)</f>
        <v>0</v>
      </c>
      <c r="D22" s="895">
        <f t="shared" si="2"/>
        <v>0</v>
      </c>
      <c r="E22" s="895">
        <f t="shared" si="2"/>
        <v>0</v>
      </c>
      <c r="F22" s="895">
        <f t="shared" si="2"/>
        <v>0</v>
      </c>
      <c r="G22" s="895">
        <f t="shared" si="2"/>
        <v>0</v>
      </c>
      <c r="H22" s="1130">
        <f t="shared" si="2"/>
        <v>97941405.329999998</v>
      </c>
    </row>
    <row r="23" spans="1:8" ht="12" thickBot="1">
      <c r="A23" s="1138" t="s">
        <v>4969</v>
      </c>
      <c r="B23" s="1139">
        <v>97941405.329999998</v>
      </c>
      <c r="C23" s="849"/>
      <c r="D23" s="849"/>
      <c r="E23" s="849"/>
      <c r="F23" s="849"/>
      <c r="G23" s="849"/>
      <c r="H23" s="1119"/>
    </row>
    <row r="24" spans="1:8" ht="12.75" thickTop="1" thickBot="1">
      <c r="A24" s="1016" t="s">
        <v>4966</v>
      </c>
      <c r="B24" s="1018">
        <f>B22-B23</f>
        <v>0</v>
      </c>
      <c r="C24" s="1140"/>
      <c r="D24" s="1140"/>
      <c r="E24" s="1140"/>
      <c r="F24" s="1140"/>
      <c r="G24" s="1140"/>
      <c r="H24" s="1141"/>
    </row>
    <row r="25" spans="1:8" ht="12" thickBot="1">
      <c r="A25" s="849"/>
      <c r="B25" s="849"/>
      <c r="C25" s="849"/>
      <c r="D25" s="849"/>
      <c r="E25" s="849"/>
      <c r="F25" s="849"/>
      <c r="G25" s="849"/>
      <c r="H25" s="849"/>
    </row>
    <row r="26" spans="1:8" ht="45.75" thickBot="1">
      <c r="A26" s="1142"/>
      <c r="B26" s="981" t="s">
        <v>4970</v>
      </c>
      <c r="C26" s="981" t="s">
        <v>510</v>
      </c>
      <c r="D26" s="981" t="s">
        <v>4971</v>
      </c>
      <c r="E26" s="981" t="s">
        <v>1630</v>
      </c>
      <c r="F26" s="1143"/>
      <c r="G26" s="1144"/>
    </row>
    <row r="27" spans="1:8">
      <c r="A27" s="1120" t="s">
        <v>4972</v>
      </c>
      <c r="B27" s="1145">
        <f>H8</f>
        <v>46200934.049999997</v>
      </c>
      <c r="C27" s="1145">
        <f>B27</f>
        <v>46200934.049999997</v>
      </c>
      <c r="D27" s="849"/>
      <c r="E27" s="2656">
        <f>SUM(C27:D27)</f>
        <v>46200934.049999997</v>
      </c>
      <c r="F27" s="1146" t="s">
        <v>390</v>
      </c>
      <c r="G27" s="850"/>
    </row>
    <row r="28" spans="1:8">
      <c r="A28" s="1120" t="s">
        <v>4973</v>
      </c>
      <c r="B28" s="1145">
        <f>H10</f>
        <v>733683</v>
      </c>
      <c r="C28" s="849"/>
      <c r="D28" s="1743">
        <f>'FERC p356 Common Plant'!$D$34</f>
        <v>426930</v>
      </c>
      <c r="E28" s="2656">
        <f>SUM(C28:D28)</f>
        <v>426930</v>
      </c>
      <c r="F28" s="1146" t="s">
        <v>390</v>
      </c>
    </row>
    <row r="29" spans="1:8">
      <c r="A29" s="1120" t="s">
        <v>4974</v>
      </c>
      <c r="B29" s="1145">
        <f>H21</f>
        <v>97941405.329999998</v>
      </c>
      <c r="C29" s="1145">
        <f>B29</f>
        <v>97941405.329999998</v>
      </c>
      <c r="D29" s="849"/>
      <c r="E29" s="2656">
        <f>SUM(C29:D29)</f>
        <v>97941405.329999998</v>
      </c>
      <c r="F29" s="1146" t="s">
        <v>392</v>
      </c>
    </row>
    <row r="30" spans="1:8">
      <c r="A30" s="1120"/>
      <c r="B30" s="849"/>
      <c r="C30" s="849"/>
      <c r="D30" s="849"/>
      <c r="E30" s="2657">
        <f>SUM(E27:E29)</f>
        <v>144569269.38</v>
      </c>
      <c r="F30" s="1742">
        <f>'FERC p320-323 Elec. O&amp;M'!C207-E30</f>
        <v>-0.37999999523162842</v>
      </c>
      <c r="G30" s="1696" t="s">
        <v>4975</v>
      </c>
      <c r="H30" s="1751"/>
    </row>
    <row r="31" spans="1:8" ht="12" thickBot="1">
      <c r="A31" s="1147"/>
      <c r="B31" s="1140"/>
      <c r="C31" s="1140"/>
      <c r="D31" s="1140"/>
      <c r="E31" s="1140"/>
      <c r="F31" s="1148"/>
    </row>
    <row r="32" spans="1:8">
      <c r="B32" s="1741">
        <f>'FERC p356 Common Plant'!$C$34-B28</f>
        <v>0</v>
      </c>
      <c r="C32" s="1696" t="s">
        <v>4976</v>
      </c>
      <c r="D32" s="1751"/>
    </row>
  </sheetData>
  <pageMargins left="0.7" right="0.7" top="0.75" bottom="0.75" header="0.3" footer="0.3"/>
  <pageSetup scale="51" orientation="landscape" r:id="rId1"/>
  <headerFooter>
    <oddHeader>&amp;CPSE_ASC_Filing_Appendix_1_CY_2018</oddHeader>
    <oddFooter>&amp;R&amp;F&amp;A</oddFooter>
  </headerFooter>
  <customProperties>
    <customPr name="_pios_id" r:id="rId2"/>
  </customProperties>
  <drawing r:id="rId3"/>
  <legacyDrawing r:id="rId4"/>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rgb="FFFFC000"/>
  </sheetPr>
  <dimension ref="A1"/>
  <sheetViews>
    <sheetView workbookViewId="0">
      <selection sqref="A1:XFD1048576"/>
    </sheetView>
  </sheetViews>
  <sheetFormatPr defaultRowHeight="15.75"/>
  <sheetData/>
  <pageMargins left="0.7" right="0.7" top="0.75" bottom="0.75" header="0.3" footer="0.3"/>
  <customProperties>
    <customPr name="_pios_id" r:id="rId1"/>
  </customPropertie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rgb="FF92D050"/>
  </sheetPr>
  <dimension ref="A1:E99"/>
  <sheetViews>
    <sheetView workbookViewId="0">
      <pane ySplit="9" topLeftCell="A10" activePane="bottomLeft" state="frozen"/>
      <selection sqref="A1:XFD1048576"/>
      <selection pane="bottomLeft" sqref="A1:XFD1048576"/>
    </sheetView>
  </sheetViews>
  <sheetFormatPr defaultColWidth="11.625" defaultRowHeight="11.25"/>
  <cols>
    <col min="1" max="1" width="3.625" style="1149" bestFit="1" customWidth="1"/>
    <col min="2" max="2" width="46.625" style="1149" bestFit="1" customWidth="1"/>
    <col min="3" max="3" width="8.75" style="1149" bestFit="1" customWidth="1"/>
    <col min="4" max="4" width="13.5" style="1149" bestFit="1" customWidth="1"/>
    <col min="5" max="5" width="13.375" style="1149" bestFit="1" customWidth="1"/>
    <col min="6" max="16384" width="11.625" style="1149"/>
  </cols>
  <sheetData>
    <row r="1" spans="1:5">
      <c r="A1" s="507" t="s">
        <v>4977</v>
      </c>
      <c r="B1" s="507"/>
    </row>
    <row r="2" spans="1:5">
      <c r="A2" s="507" t="s">
        <v>6778</v>
      </c>
      <c r="B2" s="507"/>
    </row>
    <row r="3" spans="1:5">
      <c r="A3" s="1150"/>
    </row>
    <row r="4" spans="1:5">
      <c r="A4" s="1150"/>
    </row>
    <row r="6" spans="1:5" ht="11.25" customHeight="1">
      <c r="A6" s="3936" t="s">
        <v>4979</v>
      </c>
      <c r="B6" s="3936"/>
      <c r="C6" s="3936"/>
      <c r="D6" s="3936"/>
      <c r="E6" s="3936"/>
    </row>
    <row r="7" spans="1:5" ht="11.25" customHeight="1">
      <c r="A7" s="3937" t="s">
        <v>4980</v>
      </c>
      <c r="B7" s="3938"/>
      <c r="C7" s="3938"/>
      <c r="D7" s="3938"/>
      <c r="E7" s="3939"/>
    </row>
    <row r="8" spans="1:5" ht="33.75">
      <c r="A8" s="1151" t="s">
        <v>4981</v>
      </c>
      <c r="B8" s="1152"/>
      <c r="C8" s="1153" t="s">
        <v>4982</v>
      </c>
      <c r="D8" s="1153" t="s">
        <v>4983</v>
      </c>
      <c r="E8" s="1153" t="s">
        <v>4984</v>
      </c>
    </row>
    <row r="9" spans="1:5">
      <c r="A9" s="1154" t="s">
        <v>4985</v>
      </c>
      <c r="B9" s="1155" t="s">
        <v>4986</v>
      </c>
      <c r="C9" s="1155" t="s">
        <v>4987</v>
      </c>
      <c r="D9" s="1156" t="s">
        <v>6777</v>
      </c>
      <c r="E9" s="1156" t="s">
        <v>4988</v>
      </c>
    </row>
    <row r="10" spans="1:5">
      <c r="A10" s="1157"/>
      <c r="B10" s="1158" t="s">
        <v>4989</v>
      </c>
      <c r="C10" s="1158" t="s">
        <v>4990</v>
      </c>
      <c r="D10" s="1158" t="s">
        <v>4991</v>
      </c>
      <c r="E10" s="1158" t="s">
        <v>4992</v>
      </c>
    </row>
    <row r="11" spans="1:5">
      <c r="A11" s="1159">
        <v>1</v>
      </c>
      <c r="B11" s="1160" t="s">
        <v>4993</v>
      </c>
      <c r="C11" s="1157"/>
      <c r="D11" s="1161" t="s">
        <v>902</v>
      </c>
      <c r="E11" s="1162" t="s">
        <v>97</v>
      </c>
    </row>
    <row r="12" spans="1:5">
      <c r="A12" s="1159">
        <v>2</v>
      </c>
      <c r="B12" s="1157" t="s">
        <v>4994</v>
      </c>
      <c r="C12" s="1163" t="s">
        <v>69</v>
      </c>
      <c r="D12" s="1164">
        <v>18577648828</v>
      </c>
      <c r="E12" s="1164">
        <v>17795827941</v>
      </c>
    </row>
    <row r="13" spans="1:5">
      <c r="A13" s="1159">
        <v>3</v>
      </c>
      <c r="B13" s="1157" t="s">
        <v>4995</v>
      </c>
      <c r="C13" s="1163" t="s">
        <v>69</v>
      </c>
      <c r="D13" s="1164">
        <v>1156264737</v>
      </c>
      <c r="E13" s="1164">
        <v>861801465</v>
      </c>
    </row>
    <row r="14" spans="1:5">
      <c r="A14" s="1159">
        <v>4</v>
      </c>
      <c r="B14" s="1165" t="s">
        <v>4996</v>
      </c>
      <c r="C14" s="1165"/>
      <c r="D14" s="1166">
        <f>SUM(D12:D13)</f>
        <v>19733913565</v>
      </c>
      <c r="E14" s="1166">
        <f>SUM(E12:E13)</f>
        <v>18657629406</v>
      </c>
    </row>
    <row r="15" spans="1:5">
      <c r="A15" s="1159">
        <v>5</v>
      </c>
      <c r="B15" s="1157" t="s">
        <v>4997</v>
      </c>
      <c r="C15" s="1163" t="s">
        <v>69</v>
      </c>
      <c r="D15" s="1164">
        <v>7763962154</v>
      </c>
      <c r="E15" s="1164">
        <v>7461206807</v>
      </c>
    </row>
    <row r="16" spans="1:5">
      <c r="A16" s="1159">
        <v>6</v>
      </c>
      <c r="B16" s="1165" t="s">
        <v>4998</v>
      </c>
      <c r="C16" s="1165"/>
      <c r="D16" s="1166">
        <f>D14-D15</f>
        <v>11969951411</v>
      </c>
      <c r="E16" s="1166">
        <f>E14-E15</f>
        <v>11196422599</v>
      </c>
    </row>
    <row r="17" spans="1:5">
      <c r="A17" s="1159">
        <v>7</v>
      </c>
      <c r="B17" s="1157" t="s">
        <v>4999</v>
      </c>
      <c r="C17" s="1163" t="s">
        <v>5000</v>
      </c>
      <c r="D17" s="1164">
        <v>0</v>
      </c>
      <c r="E17" s="1164">
        <v>0</v>
      </c>
    </row>
    <row r="18" spans="1:5">
      <c r="A18" s="1159">
        <v>8</v>
      </c>
      <c r="B18" s="1157" t="s">
        <v>5001</v>
      </c>
      <c r="C18" s="1157"/>
      <c r="D18" s="1164">
        <v>0</v>
      </c>
      <c r="E18" s="1164">
        <v>0</v>
      </c>
    </row>
    <row r="19" spans="1:5">
      <c r="A19" s="1159">
        <v>9</v>
      </c>
      <c r="B19" s="1157" t="s">
        <v>5002</v>
      </c>
      <c r="C19" s="1157"/>
      <c r="D19" s="1164">
        <v>0</v>
      </c>
      <c r="E19" s="1164">
        <v>0</v>
      </c>
    </row>
    <row r="20" spans="1:5">
      <c r="A20" s="1159">
        <v>10</v>
      </c>
      <c r="B20" s="1157" t="s">
        <v>5003</v>
      </c>
      <c r="C20" s="1157"/>
      <c r="D20" s="1164">
        <v>0</v>
      </c>
      <c r="E20" s="1164">
        <v>0</v>
      </c>
    </row>
    <row r="21" spans="1:5">
      <c r="A21" s="1159">
        <v>11</v>
      </c>
      <c r="B21" s="1157" t="s">
        <v>5004</v>
      </c>
      <c r="C21" s="1157"/>
      <c r="D21" s="1164">
        <v>0</v>
      </c>
      <c r="E21" s="1164">
        <v>0</v>
      </c>
    </row>
    <row r="22" spans="1:5">
      <c r="A22" s="1159">
        <v>12</v>
      </c>
      <c r="B22" s="1157" t="s">
        <v>5005</v>
      </c>
      <c r="C22" s="1163" t="s">
        <v>5000</v>
      </c>
      <c r="D22" s="1164">
        <v>0</v>
      </c>
      <c r="E22" s="1164">
        <v>0</v>
      </c>
    </row>
    <row r="23" spans="1:5">
      <c r="A23" s="1159">
        <v>13</v>
      </c>
      <c r="B23" s="1165" t="s">
        <v>5006</v>
      </c>
      <c r="C23" s="1165"/>
      <c r="D23" s="1166">
        <f>SUM(D17:D21)-D22</f>
        <v>0</v>
      </c>
      <c r="E23" s="1166">
        <f>SUM(E17:E21)-E22</f>
        <v>0</v>
      </c>
    </row>
    <row r="24" spans="1:5">
      <c r="A24" s="1159">
        <v>14</v>
      </c>
      <c r="B24" s="1165" t="s">
        <v>5007</v>
      </c>
      <c r="C24" s="1165"/>
      <c r="D24" s="1166">
        <f>D16+D23</f>
        <v>11969951411</v>
      </c>
      <c r="E24" s="1166">
        <f>E16+E23</f>
        <v>11196422599</v>
      </c>
    </row>
    <row r="25" spans="1:5">
      <c r="A25" s="1159">
        <v>15</v>
      </c>
      <c r="B25" s="1157" t="s">
        <v>5008</v>
      </c>
      <c r="C25" s="1163"/>
      <c r="D25" s="1164">
        <v>0</v>
      </c>
      <c r="E25" s="1164">
        <v>0</v>
      </c>
    </row>
    <row r="26" spans="1:5">
      <c r="A26" s="1159">
        <v>16</v>
      </c>
      <c r="B26" s="1157" t="s">
        <v>5009</v>
      </c>
      <c r="C26" s="1157"/>
      <c r="D26" s="1164">
        <v>8783943</v>
      </c>
      <c r="E26" s="1164">
        <v>8783943</v>
      </c>
    </row>
    <row r="27" spans="1:5">
      <c r="A27" s="1159">
        <v>17</v>
      </c>
      <c r="B27" s="1167" t="s">
        <v>5010</v>
      </c>
      <c r="C27" s="1157"/>
      <c r="D27" s="1161" t="s">
        <v>97</v>
      </c>
      <c r="E27" s="1162"/>
    </row>
    <row r="28" spans="1:5">
      <c r="A28" s="1159">
        <v>18</v>
      </c>
      <c r="B28" s="1157" t="s">
        <v>5011</v>
      </c>
      <c r="C28" s="1157"/>
      <c r="D28" s="1168">
        <v>3644360</v>
      </c>
      <c r="E28" s="1164">
        <v>3650229</v>
      </c>
    </row>
    <row r="29" spans="1:5">
      <c r="A29" s="1159">
        <v>19</v>
      </c>
      <c r="B29" s="1157" t="s">
        <v>5012</v>
      </c>
      <c r="C29" s="1157"/>
      <c r="D29" s="1168">
        <v>24656</v>
      </c>
      <c r="E29" s="1164">
        <v>24655</v>
      </c>
    </row>
    <row r="30" spans="1:5">
      <c r="A30" s="1159">
        <v>20</v>
      </c>
      <c r="B30" s="1169" t="s">
        <v>5013</v>
      </c>
      <c r="C30" s="1169"/>
      <c r="D30" s="1171">
        <v>0</v>
      </c>
      <c r="E30" s="1172">
        <v>0</v>
      </c>
    </row>
    <row r="31" spans="1:5">
      <c r="A31" s="1159">
        <v>21</v>
      </c>
      <c r="B31" s="1169" t="s">
        <v>5014</v>
      </c>
      <c r="C31" s="1170" t="s">
        <v>5015</v>
      </c>
      <c r="D31" s="1171">
        <v>38792842</v>
      </c>
      <c r="E31" s="1172">
        <v>38582474</v>
      </c>
    </row>
    <row r="32" spans="1:5">
      <c r="A32" s="1159">
        <v>22</v>
      </c>
      <c r="B32" s="1157" t="s">
        <v>5016</v>
      </c>
      <c r="C32" s="1157"/>
      <c r="D32" s="1161" t="s">
        <v>97</v>
      </c>
      <c r="E32" s="1162"/>
    </row>
    <row r="33" spans="1:5">
      <c r="A33" s="1159">
        <v>23</v>
      </c>
      <c r="B33" s="1157" t="s">
        <v>5017</v>
      </c>
      <c r="C33" s="1163" t="s">
        <v>5018</v>
      </c>
      <c r="D33" s="1168">
        <v>0</v>
      </c>
      <c r="E33" s="1164">
        <v>0</v>
      </c>
    </row>
    <row r="34" spans="1:5">
      <c r="A34" s="1159">
        <v>24</v>
      </c>
      <c r="B34" s="1169" t="s">
        <v>5019</v>
      </c>
      <c r="C34" s="1169"/>
      <c r="D34" s="1171">
        <v>44639936</v>
      </c>
      <c r="E34" s="1172">
        <v>54983320</v>
      </c>
    </row>
    <row r="35" spans="1:5">
      <c r="A35" s="1159">
        <v>25</v>
      </c>
      <c r="B35" s="1157" t="s">
        <v>5020</v>
      </c>
      <c r="C35" s="1157"/>
      <c r="D35" s="1168">
        <v>0</v>
      </c>
      <c r="E35" s="1164">
        <v>0</v>
      </c>
    </row>
    <row r="36" spans="1:5">
      <c r="A36" s="1159">
        <v>26</v>
      </c>
      <c r="B36" s="1157" t="s">
        <v>5021</v>
      </c>
      <c r="C36" s="1157"/>
      <c r="D36" s="1168">
        <v>0</v>
      </c>
      <c r="E36" s="1164">
        <v>0</v>
      </c>
    </row>
    <row r="37" spans="1:5">
      <c r="A37" s="1159">
        <v>27</v>
      </c>
      <c r="B37" s="1157" t="s">
        <v>5022</v>
      </c>
      <c r="C37" s="1157"/>
      <c r="D37" s="1168">
        <v>0</v>
      </c>
      <c r="E37" s="1164">
        <v>0</v>
      </c>
    </row>
    <row r="38" spans="1:5">
      <c r="A38" s="1159">
        <v>28</v>
      </c>
      <c r="B38" s="1157" t="s">
        <v>5023</v>
      </c>
      <c r="C38" s="1157"/>
      <c r="D38" s="1164">
        <v>20211184</v>
      </c>
      <c r="E38" s="1164">
        <v>20191500</v>
      </c>
    </row>
    <row r="39" spans="1:5">
      <c r="A39" s="1159">
        <v>29</v>
      </c>
      <c r="B39" s="1157" t="s">
        <v>5024</v>
      </c>
      <c r="C39" s="1157"/>
      <c r="D39" s="1168">
        <v>0</v>
      </c>
      <c r="E39" s="1164">
        <v>0</v>
      </c>
    </row>
    <row r="40" spans="1:5">
      <c r="A40" s="1159">
        <v>30</v>
      </c>
      <c r="B40" s="1157" t="s">
        <v>5025</v>
      </c>
      <c r="C40" s="1157"/>
      <c r="D40" s="1168">
        <v>35323976</v>
      </c>
      <c r="E40" s="1164">
        <v>94621186</v>
      </c>
    </row>
    <row r="41" spans="1:5">
      <c r="A41" s="1159">
        <v>31</v>
      </c>
      <c r="B41" s="1157" t="s">
        <v>5026</v>
      </c>
      <c r="C41" s="1157"/>
      <c r="D41" s="1168">
        <v>0</v>
      </c>
      <c r="E41" s="1164">
        <v>0</v>
      </c>
    </row>
    <row r="42" spans="1:5">
      <c r="A42" s="1159">
        <v>32</v>
      </c>
      <c r="B42" s="1165" t="s">
        <v>5027</v>
      </c>
      <c r="C42" s="1165"/>
      <c r="D42" s="1166">
        <f>(D28-D29+D30+D31)+SUM(D33:D41)</f>
        <v>142587642</v>
      </c>
      <c r="E42" s="1166">
        <f>(E28-E29+E30+E31)+SUM(E33:E41)</f>
        <v>212004054</v>
      </c>
    </row>
    <row r="43" spans="1:5">
      <c r="A43" s="1159">
        <v>33</v>
      </c>
      <c r="B43" s="1167" t="s">
        <v>5028</v>
      </c>
      <c r="C43" s="1157"/>
      <c r="D43" s="1161" t="s">
        <v>97</v>
      </c>
      <c r="E43" s="1162"/>
    </row>
    <row r="44" spans="1:5">
      <c r="A44" s="1159">
        <v>34</v>
      </c>
      <c r="B44" s="1157" t="s">
        <v>5029</v>
      </c>
      <c r="C44" s="1157"/>
      <c r="D44" s="1168">
        <v>0</v>
      </c>
      <c r="E44" s="1164">
        <v>0</v>
      </c>
    </row>
    <row r="45" spans="1:5">
      <c r="A45" s="1159">
        <v>35</v>
      </c>
      <c r="B45" s="1157" t="s">
        <v>5030</v>
      </c>
      <c r="C45" s="1157"/>
      <c r="D45" s="1168">
        <v>37804878</v>
      </c>
      <c r="E45" s="1164">
        <v>88139126</v>
      </c>
    </row>
    <row r="46" spans="1:5">
      <c r="A46" s="1159">
        <v>36</v>
      </c>
      <c r="B46" s="1157" t="s">
        <v>5031</v>
      </c>
      <c r="C46" s="1157"/>
      <c r="D46" s="1168">
        <v>60363961</v>
      </c>
      <c r="E46" s="1164">
        <v>60437596</v>
      </c>
    </row>
    <row r="47" spans="1:5">
      <c r="A47" s="1159">
        <v>37</v>
      </c>
      <c r="B47" s="1157" t="s">
        <v>5032</v>
      </c>
      <c r="C47" s="1157"/>
      <c r="D47" s="1164">
        <v>5664228</v>
      </c>
      <c r="E47" s="1164">
        <v>2607514</v>
      </c>
    </row>
    <row r="48" spans="1:5">
      <c r="A48" s="1159">
        <v>38</v>
      </c>
      <c r="B48" s="1157" t="s">
        <v>5033</v>
      </c>
      <c r="C48" s="1157"/>
      <c r="D48" s="1168">
        <v>92000000</v>
      </c>
      <c r="E48" s="1164">
        <v>0</v>
      </c>
    </row>
    <row r="49" spans="1:5">
      <c r="A49" s="1159">
        <v>39</v>
      </c>
      <c r="B49" s="1157" t="s">
        <v>5034</v>
      </c>
      <c r="C49" s="1157"/>
      <c r="D49" s="1168">
        <v>0</v>
      </c>
      <c r="E49" s="1164">
        <v>0</v>
      </c>
    </row>
    <row r="50" spans="1:5">
      <c r="A50" s="1159">
        <v>40</v>
      </c>
      <c r="B50" s="1157" t="s">
        <v>5035</v>
      </c>
      <c r="C50" s="1157"/>
      <c r="D50" s="1164">
        <v>381639286</v>
      </c>
      <c r="E50" s="1164">
        <v>370666115</v>
      </c>
    </row>
    <row r="51" spans="1:5">
      <c r="A51" s="1159">
        <v>41</v>
      </c>
      <c r="B51" s="1157" t="s">
        <v>5036</v>
      </c>
      <c r="C51" s="1157"/>
      <c r="D51" s="1164">
        <v>179199363</v>
      </c>
      <c r="E51" s="1164">
        <v>326336152</v>
      </c>
    </row>
    <row r="52" spans="1:5">
      <c r="A52" s="1159">
        <v>42</v>
      </c>
      <c r="B52" s="1157" t="s">
        <v>5037</v>
      </c>
      <c r="C52" s="1157"/>
      <c r="D52" s="1164">
        <v>38211010</v>
      </c>
      <c r="E52" s="1164">
        <v>41961715</v>
      </c>
    </row>
    <row r="53" spans="1:5">
      <c r="A53" s="1159">
        <v>43</v>
      </c>
      <c r="B53" s="1157" t="s">
        <v>5038</v>
      </c>
      <c r="C53" s="1157"/>
      <c r="D53" s="1168">
        <v>0</v>
      </c>
      <c r="E53" s="1164">
        <v>0</v>
      </c>
    </row>
    <row r="54" spans="1:5">
      <c r="A54" s="1159">
        <v>44</v>
      </c>
      <c r="B54" s="1157" t="s">
        <v>5039</v>
      </c>
      <c r="C54" s="1157"/>
      <c r="D54" s="1168">
        <v>5199298</v>
      </c>
      <c r="E54" s="1164">
        <v>4043420</v>
      </c>
    </row>
    <row r="55" spans="1:5">
      <c r="A55" s="1159">
        <v>45</v>
      </c>
      <c r="B55" s="1169" t="s">
        <v>5040</v>
      </c>
      <c r="C55" s="1173">
        <v>227</v>
      </c>
      <c r="D55" s="1172">
        <v>32347791</v>
      </c>
      <c r="E55" s="1172">
        <v>21182653</v>
      </c>
    </row>
    <row r="56" spans="1:5">
      <c r="A56" s="1159">
        <v>46</v>
      </c>
      <c r="B56" s="1169" t="s">
        <v>5041</v>
      </c>
      <c r="C56" s="1173">
        <v>227</v>
      </c>
      <c r="D56" s="1171">
        <v>0</v>
      </c>
      <c r="E56" s="1172">
        <v>0</v>
      </c>
    </row>
    <row r="57" spans="1:5">
      <c r="A57" s="1159">
        <v>47</v>
      </c>
      <c r="B57" s="1157" t="s">
        <v>5042</v>
      </c>
      <c r="C57" s="1159">
        <v>227</v>
      </c>
      <c r="D57" s="1168">
        <v>0</v>
      </c>
      <c r="E57" s="1164">
        <v>0</v>
      </c>
    </row>
    <row r="58" spans="1:5">
      <c r="A58" s="1159">
        <v>48</v>
      </c>
      <c r="B58" s="1169" t="s">
        <v>5043</v>
      </c>
      <c r="C58" s="1173">
        <v>227</v>
      </c>
      <c r="D58" s="1172">
        <v>173859027</v>
      </c>
      <c r="E58" s="1172">
        <v>131283900</v>
      </c>
    </row>
    <row r="59" spans="1:5">
      <c r="A59" s="1159">
        <v>49</v>
      </c>
      <c r="B59" s="1169" t="s">
        <v>5044</v>
      </c>
      <c r="C59" s="1173">
        <v>227</v>
      </c>
      <c r="D59" s="1171">
        <v>0</v>
      </c>
      <c r="E59" s="1172">
        <v>0</v>
      </c>
    </row>
    <row r="60" spans="1:5">
      <c r="A60" s="1159">
        <v>50</v>
      </c>
      <c r="B60" s="1169" t="s">
        <v>5045</v>
      </c>
      <c r="C60" s="1173">
        <v>227</v>
      </c>
      <c r="D60" s="1171">
        <v>0</v>
      </c>
      <c r="E60" s="1172">
        <v>221957</v>
      </c>
    </row>
    <row r="61" spans="1:5">
      <c r="A61" s="1159">
        <v>51</v>
      </c>
      <c r="B61" s="1157" t="s">
        <v>5046</v>
      </c>
      <c r="C61" s="1163" t="s">
        <v>5047</v>
      </c>
      <c r="D61" s="1168">
        <v>0</v>
      </c>
      <c r="E61" s="1164">
        <v>0</v>
      </c>
    </row>
    <row r="62" spans="1:5">
      <c r="A62" s="1159">
        <v>52</v>
      </c>
      <c r="B62" s="1169" t="s">
        <v>5048</v>
      </c>
      <c r="C62" s="1170" t="s">
        <v>5018</v>
      </c>
      <c r="D62" s="1171">
        <v>-167982040</v>
      </c>
      <c r="E62" s="1172">
        <v>731067</v>
      </c>
    </row>
    <row r="63" spans="1:5">
      <c r="A63" s="1174"/>
      <c r="B63" s="1175"/>
      <c r="C63" s="1176"/>
      <c r="D63" s="1176" t="s">
        <v>97</v>
      </c>
      <c r="E63" s="1176" t="s">
        <v>97</v>
      </c>
    </row>
    <row r="64" spans="1:5">
      <c r="A64" s="493"/>
      <c r="B64" s="493"/>
      <c r="C64" s="493"/>
      <c r="D64" s="1177" t="s">
        <v>97</v>
      </c>
      <c r="E64" s="1177" t="s">
        <v>5049</v>
      </c>
    </row>
    <row r="65" spans="1:5" ht="11.25" customHeight="1">
      <c r="A65" s="3940" t="s">
        <v>5050</v>
      </c>
      <c r="B65" s="3941"/>
      <c r="C65" s="3941"/>
      <c r="D65" s="1178" t="s">
        <v>902</v>
      </c>
      <c r="E65" s="1179"/>
    </row>
    <row r="66" spans="1:5">
      <c r="A66" s="1159">
        <v>53</v>
      </c>
      <c r="B66" s="1157" t="s">
        <v>5051</v>
      </c>
      <c r="C66" s="1157"/>
      <c r="D66" s="1168">
        <v>0</v>
      </c>
      <c r="E66" s="1164">
        <v>0</v>
      </c>
    </row>
    <row r="67" spans="1:5">
      <c r="A67" s="1159">
        <v>54</v>
      </c>
      <c r="B67" s="1169" t="s">
        <v>5052</v>
      </c>
      <c r="C67" s="1173">
        <v>227</v>
      </c>
      <c r="D67" s="1172">
        <v>-1312553</v>
      </c>
      <c r="E67" s="1172">
        <v>156825</v>
      </c>
    </row>
    <row r="68" spans="1:5">
      <c r="A68" s="1159">
        <v>55</v>
      </c>
      <c r="B68" s="1157" t="s">
        <v>5053</v>
      </c>
      <c r="C68" s="1157"/>
      <c r="D68" s="1168">
        <v>49613011</v>
      </c>
      <c r="E68" s="1164">
        <v>66796355</v>
      </c>
    </row>
    <row r="69" spans="1:5">
      <c r="A69" s="1159">
        <v>56</v>
      </c>
      <c r="B69" s="1157" t="s">
        <v>5054</v>
      </c>
      <c r="C69" s="1157"/>
      <c r="D69" s="1168">
        <v>1471548</v>
      </c>
      <c r="E69" s="1164">
        <v>979449</v>
      </c>
    </row>
    <row r="70" spans="1:5">
      <c r="A70" s="1159">
        <v>57</v>
      </c>
      <c r="B70" s="1169" t="s">
        <v>5055</v>
      </c>
      <c r="C70" s="1169"/>
      <c r="D70" s="1172">
        <v>87769352</v>
      </c>
      <c r="E70" s="1172">
        <v>51382582</v>
      </c>
    </row>
    <row r="71" spans="1:5">
      <c r="A71" s="1159">
        <v>58</v>
      </c>
      <c r="B71" s="1157" t="s">
        <v>5056</v>
      </c>
      <c r="C71" s="1157"/>
      <c r="D71" s="1168">
        <v>0</v>
      </c>
      <c r="E71" s="1164">
        <v>0</v>
      </c>
    </row>
    <row r="72" spans="1:5">
      <c r="A72" s="1159">
        <v>59</v>
      </c>
      <c r="B72" s="1157" t="s">
        <v>5057</v>
      </c>
      <c r="C72" s="1157"/>
      <c r="D72" s="1168">
        <v>0</v>
      </c>
      <c r="E72" s="1164">
        <v>0</v>
      </c>
    </row>
    <row r="73" spans="1:5">
      <c r="A73" s="1159">
        <v>60</v>
      </c>
      <c r="B73" s="1157" t="s">
        <v>5058</v>
      </c>
      <c r="C73" s="1157"/>
      <c r="D73" s="1168">
        <v>0</v>
      </c>
      <c r="E73" s="1164">
        <v>0</v>
      </c>
    </row>
    <row r="74" spans="1:5">
      <c r="A74" s="1159">
        <v>61</v>
      </c>
      <c r="B74" s="1157" t="s">
        <v>5059</v>
      </c>
      <c r="C74" s="1157"/>
      <c r="D74" s="1164">
        <v>243342662</v>
      </c>
      <c r="E74" s="1164">
        <v>284014591</v>
      </c>
    </row>
    <row r="75" spans="1:5">
      <c r="A75" s="1159">
        <v>62</v>
      </c>
      <c r="B75" s="1169" t="s">
        <v>5060</v>
      </c>
      <c r="C75" s="1169"/>
      <c r="D75" s="1172">
        <v>3021644</v>
      </c>
      <c r="E75" s="1172">
        <v>3331136</v>
      </c>
    </row>
    <row r="76" spans="1:5">
      <c r="A76" s="1159">
        <v>63</v>
      </c>
      <c r="B76" s="1169" t="s">
        <v>5061</v>
      </c>
      <c r="C76" s="1169"/>
      <c r="D76" s="1171">
        <v>109548647</v>
      </c>
      <c r="E76" s="1172">
        <v>681650782</v>
      </c>
    </row>
    <row r="77" spans="1:5">
      <c r="A77" s="1159">
        <v>64</v>
      </c>
      <c r="B77" s="1157" t="s">
        <v>5062</v>
      </c>
      <c r="C77" s="1157"/>
      <c r="D77" s="1168">
        <v>35323976</v>
      </c>
      <c r="E77" s="1164">
        <v>94621186</v>
      </c>
    </row>
    <row r="78" spans="1:5">
      <c r="A78" s="1159">
        <v>65</v>
      </c>
      <c r="B78" s="1169" t="s">
        <v>5063</v>
      </c>
      <c r="C78" s="1169"/>
      <c r="D78" s="1171">
        <v>0</v>
      </c>
      <c r="E78" s="1172">
        <v>0</v>
      </c>
    </row>
    <row r="79" spans="1:5">
      <c r="A79" s="1159">
        <v>66</v>
      </c>
      <c r="B79" s="1157" t="s">
        <v>5064</v>
      </c>
      <c r="C79" s="1157"/>
      <c r="D79" s="1168">
        <v>0</v>
      </c>
      <c r="E79" s="1164">
        <v>0</v>
      </c>
    </row>
    <row r="80" spans="1:5">
      <c r="A80" s="1159">
        <v>67</v>
      </c>
      <c r="B80" s="1165" t="s">
        <v>5065</v>
      </c>
      <c r="C80" s="1165"/>
      <c r="D80" s="1166">
        <f>SUM(D44:D51,D53:D62,D67:D76,D78)-SUM(D52,D66,D77,D79)</f>
        <v>1220015117</v>
      </c>
      <c r="E80" s="1166">
        <f>SUM(E44:E51,E53:E62,E67:E76,E78)-SUM(E52,E66,E77,E79)</f>
        <v>1957378319</v>
      </c>
    </row>
    <row r="81" spans="1:5">
      <c r="A81" s="1159">
        <v>68</v>
      </c>
      <c r="B81" s="1167" t="s">
        <v>5066</v>
      </c>
      <c r="C81" s="1157"/>
      <c r="D81" s="1180"/>
      <c r="E81" s="1180"/>
    </row>
    <row r="82" spans="1:5">
      <c r="A82" s="1159">
        <v>69</v>
      </c>
      <c r="B82" s="1169" t="s">
        <v>5067</v>
      </c>
      <c r="C82" s="1169"/>
      <c r="D82" s="1172">
        <v>23407807</v>
      </c>
      <c r="E82" s="1172">
        <v>24172621</v>
      </c>
    </row>
    <row r="83" spans="1:5">
      <c r="A83" s="1159">
        <v>70</v>
      </c>
      <c r="B83" s="1169" t="s">
        <v>5068</v>
      </c>
      <c r="C83" s="1170" t="s">
        <v>5069</v>
      </c>
      <c r="D83" s="1171">
        <v>95753810</v>
      </c>
      <c r="E83" s="1172">
        <v>127524176</v>
      </c>
    </row>
    <row r="84" spans="1:5">
      <c r="A84" s="1159">
        <v>71</v>
      </c>
      <c r="B84" s="1169" t="s">
        <v>5070</v>
      </c>
      <c r="C84" s="1170" t="s">
        <v>5071</v>
      </c>
      <c r="D84" s="1171">
        <v>0</v>
      </c>
      <c r="E84" s="1172">
        <v>0</v>
      </c>
    </row>
    <row r="85" spans="1:5">
      <c r="A85" s="1159">
        <v>72</v>
      </c>
      <c r="B85" s="1169" t="s">
        <v>5072</v>
      </c>
      <c r="C85" s="1173">
        <v>232</v>
      </c>
      <c r="D85" s="1172">
        <v>799152296</v>
      </c>
      <c r="E85" s="1172">
        <v>565039247</v>
      </c>
    </row>
    <row r="86" spans="1:5">
      <c r="A86" s="1159">
        <v>73</v>
      </c>
      <c r="B86" s="1169" t="s">
        <v>5073</v>
      </c>
      <c r="C86" s="1169"/>
      <c r="D86" s="1172">
        <v>779622</v>
      </c>
      <c r="E86" s="1172">
        <v>106872</v>
      </c>
    </row>
    <row r="87" spans="1:5">
      <c r="A87" s="1159">
        <v>74</v>
      </c>
      <c r="B87" s="1169" t="s">
        <v>5074</v>
      </c>
      <c r="C87" s="1169"/>
      <c r="D87" s="1171">
        <v>0</v>
      </c>
      <c r="E87" s="1172">
        <v>0</v>
      </c>
    </row>
    <row r="88" spans="1:5">
      <c r="A88" s="1159">
        <v>75</v>
      </c>
      <c r="B88" s="1169" t="s">
        <v>5075</v>
      </c>
      <c r="C88" s="1169"/>
      <c r="D88" s="1171">
        <v>0</v>
      </c>
      <c r="E88" s="1172">
        <v>0</v>
      </c>
    </row>
    <row r="89" spans="1:5">
      <c r="A89" s="1159">
        <v>76</v>
      </c>
      <c r="B89" s="1169" t="s">
        <v>5076</v>
      </c>
      <c r="C89" s="1169"/>
      <c r="D89" s="1172">
        <v>0</v>
      </c>
      <c r="E89" s="1172">
        <v>0</v>
      </c>
    </row>
    <row r="90" spans="1:5">
      <c r="A90" s="1159">
        <v>77</v>
      </c>
      <c r="B90" s="1169" t="s">
        <v>5077</v>
      </c>
      <c r="C90" s="1169"/>
      <c r="D90" s="1171">
        <v>184265</v>
      </c>
      <c r="E90" s="1172">
        <v>137168</v>
      </c>
    </row>
    <row r="91" spans="1:5">
      <c r="A91" s="1159">
        <v>78</v>
      </c>
      <c r="B91" s="1169" t="s">
        <v>5078</v>
      </c>
      <c r="C91" s="1173">
        <v>233</v>
      </c>
      <c r="D91" s="1172">
        <v>395589865</v>
      </c>
      <c r="E91" s="1172">
        <v>284321034</v>
      </c>
    </row>
    <row r="92" spans="1:5">
      <c r="A92" s="1159">
        <v>79</v>
      </c>
      <c r="B92" s="1169" t="s">
        <v>5079</v>
      </c>
      <c r="C92" s="1169"/>
      <c r="D92" s="1171">
        <v>3858634</v>
      </c>
      <c r="E92" s="1172">
        <v>5741557</v>
      </c>
    </row>
    <row r="93" spans="1:5">
      <c r="A93" s="1159">
        <v>80</v>
      </c>
      <c r="B93" s="1169" t="s">
        <v>5080</v>
      </c>
      <c r="C93" s="1170" t="s">
        <v>5081</v>
      </c>
      <c r="D93" s="1171">
        <v>0</v>
      </c>
      <c r="E93" s="1172">
        <v>0</v>
      </c>
    </row>
    <row r="94" spans="1:5">
      <c r="A94" s="1159">
        <v>81</v>
      </c>
      <c r="B94" s="1169" t="s">
        <v>5082</v>
      </c>
      <c r="C94" s="1169"/>
      <c r="D94" s="1172">
        <v>31625503</v>
      </c>
      <c r="E94" s="1172">
        <v>33731648</v>
      </c>
    </row>
    <row r="95" spans="1:5">
      <c r="A95" s="1159">
        <v>82</v>
      </c>
      <c r="B95" s="1169" t="s">
        <v>5083</v>
      </c>
      <c r="C95" s="1173">
        <v>234</v>
      </c>
      <c r="D95" s="1172">
        <v>365019041</v>
      </c>
      <c r="E95" s="1172">
        <v>430016445</v>
      </c>
    </row>
    <row r="96" spans="1:5">
      <c r="A96" s="1159">
        <v>83</v>
      </c>
      <c r="B96" s="1157" t="s">
        <v>5084</v>
      </c>
      <c r="C96" s="1157"/>
      <c r="D96" s="1168">
        <v>-132082170</v>
      </c>
      <c r="E96" s="1164">
        <v>-3536308</v>
      </c>
    </row>
    <row r="97" spans="1:5">
      <c r="A97" s="1159">
        <v>84</v>
      </c>
      <c r="B97" s="1165" t="s">
        <v>5085</v>
      </c>
      <c r="C97" s="1165"/>
      <c r="D97" s="1166">
        <f>SUM(D82:D96)</f>
        <v>1583288673</v>
      </c>
      <c r="E97" s="1166">
        <f>SUM(E82:E96)</f>
        <v>1467254460</v>
      </c>
    </row>
    <row r="98" spans="1:5">
      <c r="A98" s="1159">
        <v>85</v>
      </c>
      <c r="B98" s="1165" t="s">
        <v>5086</v>
      </c>
      <c r="C98" s="1165"/>
      <c r="D98" s="1166">
        <f>SUM(D24:D26,D42,D80,D97)</f>
        <v>14924626786</v>
      </c>
      <c r="E98" s="1166">
        <f>SUM(E24:E26,E42,E80,E97)</f>
        <v>14841843375</v>
      </c>
    </row>
    <row r="99" spans="1:5">
      <c r="A99" s="3942"/>
      <c r="B99" s="3942"/>
      <c r="C99" s="3942"/>
      <c r="D99" s="3942"/>
      <c r="E99" s="3942"/>
    </row>
  </sheetData>
  <mergeCells count="4">
    <mergeCell ref="A6:E6"/>
    <mergeCell ref="A7:E7"/>
    <mergeCell ref="A65:C65"/>
    <mergeCell ref="A99:E99"/>
  </mergeCells>
  <pageMargins left="0.75" right="0.75" top="1" bottom="1" header="0.5" footer="0.5"/>
  <pageSetup orientation="portrait" horizontalDpi="90" verticalDpi="90" r:id="rId1"/>
  <customProperties>
    <customPr name="_pios_id" r:id="rId2"/>
  </customPropertie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rgb="FF92D050"/>
  </sheetPr>
  <dimension ref="A1:E82"/>
  <sheetViews>
    <sheetView workbookViewId="0">
      <pane ySplit="10" topLeftCell="A11" activePane="bottomLeft" state="frozen"/>
      <selection sqref="A1:XFD1048576"/>
      <selection pane="bottomLeft" sqref="A1:XFD1048576"/>
    </sheetView>
  </sheetViews>
  <sheetFormatPr defaultColWidth="11.625" defaultRowHeight="11.25"/>
  <cols>
    <col min="1" max="1" width="4.5" style="1149" customWidth="1"/>
    <col min="2" max="2" width="52.625" style="1149" bestFit="1" customWidth="1"/>
    <col min="3" max="3" width="9.625" style="1149" customWidth="1"/>
    <col min="4" max="4" width="18.125" style="1149" customWidth="1"/>
    <col min="5" max="5" width="17.125" style="1149" customWidth="1"/>
    <col min="6" max="16384" width="11.625" style="1149"/>
  </cols>
  <sheetData>
    <row r="1" spans="1:5">
      <c r="A1" s="507" t="s">
        <v>4977</v>
      </c>
      <c r="B1" s="507"/>
    </row>
    <row r="2" spans="1:5">
      <c r="A2" s="507" t="s">
        <v>6778</v>
      </c>
      <c r="B2" s="507"/>
    </row>
    <row r="3" spans="1:5">
      <c r="A3" s="1150"/>
    </row>
    <row r="4" spans="1:5">
      <c r="A4" s="1150"/>
    </row>
    <row r="6" spans="1:5" ht="11.25" customHeight="1">
      <c r="A6" s="3936" t="s">
        <v>5087</v>
      </c>
      <c r="B6" s="3936"/>
      <c r="C6" s="3936"/>
      <c r="D6" s="3936"/>
      <c r="E6" s="3936"/>
    </row>
    <row r="7" spans="1:5" ht="11.25" customHeight="1">
      <c r="A7" s="3937" t="s">
        <v>5088</v>
      </c>
      <c r="B7" s="3938"/>
      <c r="C7" s="3938"/>
      <c r="D7" s="3938"/>
      <c r="E7" s="3939"/>
    </row>
    <row r="8" spans="1:5" ht="22.5">
      <c r="A8" s="1151" t="s">
        <v>5089</v>
      </c>
      <c r="B8" s="1153" t="s">
        <v>4986</v>
      </c>
      <c r="C8" s="1153" t="s">
        <v>5090</v>
      </c>
      <c r="D8" s="1153" t="s">
        <v>5091</v>
      </c>
      <c r="E8" s="1153" t="s">
        <v>5092</v>
      </c>
    </row>
    <row r="9" spans="1:5">
      <c r="A9" s="1181"/>
      <c r="B9" s="1182"/>
      <c r="C9" s="1182"/>
      <c r="D9" s="1183" t="s">
        <v>6777</v>
      </c>
      <c r="E9" s="1183" t="s">
        <v>4988</v>
      </c>
    </row>
    <row r="10" spans="1:5">
      <c r="A10" s="1184"/>
      <c r="B10" s="1155" t="s">
        <v>4989</v>
      </c>
      <c r="C10" s="1155" t="s">
        <v>4990</v>
      </c>
      <c r="D10" s="1155" t="s">
        <v>4991</v>
      </c>
      <c r="E10" s="1155" t="s">
        <v>4992</v>
      </c>
    </row>
    <row r="11" spans="1:5">
      <c r="A11" s="1159">
        <v>1</v>
      </c>
      <c r="B11" s="1167" t="s">
        <v>5093</v>
      </c>
      <c r="C11" s="1157"/>
      <c r="D11" s="1161" t="s">
        <v>97</v>
      </c>
      <c r="E11" s="1162"/>
    </row>
    <row r="12" spans="1:5">
      <c r="A12" s="1159">
        <v>2</v>
      </c>
      <c r="B12" s="1157" t="s">
        <v>5094</v>
      </c>
      <c r="C12" s="1163" t="s">
        <v>5095</v>
      </c>
      <c r="D12" s="1168">
        <v>859038</v>
      </c>
      <c r="E12" s="1168">
        <v>859038</v>
      </c>
    </row>
    <row r="13" spans="1:5">
      <c r="A13" s="1159">
        <v>3</v>
      </c>
      <c r="B13" s="1157" t="s">
        <v>5096</v>
      </c>
      <c r="C13" s="1163" t="s">
        <v>5095</v>
      </c>
      <c r="D13" s="1168">
        <v>0</v>
      </c>
      <c r="E13" s="1164">
        <v>0</v>
      </c>
    </row>
    <row r="14" spans="1:5">
      <c r="A14" s="1159">
        <v>4</v>
      </c>
      <c r="B14" s="1157" t="s">
        <v>5097</v>
      </c>
      <c r="C14" s="1157"/>
      <c r="D14" s="1168">
        <v>0</v>
      </c>
      <c r="E14" s="1164">
        <v>0</v>
      </c>
    </row>
    <row r="15" spans="1:5">
      <c r="A15" s="1159">
        <v>5</v>
      </c>
      <c r="B15" s="1157" t="s">
        <v>5098</v>
      </c>
      <c r="C15" s="1157"/>
      <c r="D15" s="1168">
        <v>0</v>
      </c>
      <c r="E15" s="1164">
        <v>0</v>
      </c>
    </row>
    <row r="16" spans="1:5">
      <c r="A16" s="1159">
        <v>6</v>
      </c>
      <c r="B16" s="1157" t="s">
        <v>5099</v>
      </c>
      <c r="C16" s="1157"/>
      <c r="D16" s="1168">
        <v>478145250</v>
      </c>
      <c r="E16" s="1164">
        <v>478145250</v>
      </c>
    </row>
    <row r="17" spans="1:5">
      <c r="A17" s="1159">
        <v>7</v>
      </c>
      <c r="B17" s="1157" t="s">
        <v>5100</v>
      </c>
      <c r="C17" s="1159">
        <v>253</v>
      </c>
      <c r="D17" s="1168">
        <v>3164096691</v>
      </c>
      <c r="E17" s="1164">
        <v>3064096691</v>
      </c>
    </row>
    <row r="18" spans="1:5">
      <c r="A18" s="1159">
        <v>8</v>
      </c>
      <c r="B18" s="1157" t="s">
        <v>5101</v>
      </c>
      <c r="C18" s="1159">
        <v>252</v>
      </c>
      <c r="D18" s="1168">
        <v>0</v>
      </c>
      <c r="E18" s="1164">
        <v>0</v>
      </c>
    </row>
    <row r="19" spans="1:5">
      <c r="A19" s="1159">
        <v>9</v>
      </c>
      <c r="B19" s="1157" t="s">
        <v>5102</v>
      </c>
      <c r="C19" s="1159">
        <v>254</v>
      </c>
      <c r="D19" s="1168">
        <v>0</v>
      </c>
      <c r="E19" s="1164">
        <v>0</v>
      </c>
    </row>
    <row r="20" spans="1:5">
      <c r="A20" s="1159">
        <v>10</v>
      </c>
      <c r="B20" s="1157" t="s">
        <v>5103</v>
      </c>
      <c r="C20" s="1163" t="s">
        <v>5104</v>
      </c>
      <c r="D20" s="1168">
        <v>7133879</v>
      </c>
      <c r="E20" s="1164">
        <v>7133879</v>
      </c>
    </row>
    <row r="21" spans="1:5">
      <c r="A21" s="1159">
        <v>11</v>
      </c>
      <c r="B21" s="1157" t="s">
        <v>5105</v>
      </c>
      <c r="C21" s="1163" t="s">
        <v>5106</v>
      </c>
      <c r="D21" s="1168">
        <v>1486273152</v>
      </c>
      <c r="E21" s="1164">
        <v>1451424351</v>
      </c>
    </row>
    <row r="22" spans="1:5">
      <c r="A22" s="1159">
        <v>12</v>
      </c>
      <c r="B22" s="1157" t="s">
        <v>5107</v>
      </c>
      <c r="C22" s="1163" t="s">
        <v>5106</v>
      </c>
      <c r="D22" s="1168">
        <v>-13054602</v>
      </c>
      <c r="E22" s="1164">
        <v>-13264970</v>
      </c>
    </row>
    <row r="23" spans="1:5">
      <c r="A23" s="1159">
        <v>13</v>
      </c>
      <c r="B23" s="1157" t="s">
        <v>5108</v>
      </c>
      <c r="C23" s="1163" t="s">
        <v>5095</v>
      </c>
      <c r="D23" s="1168">
        <v>0</v>
      </c>
      <c r="E23" s="1164">
        <v>0</v>
      </c>
    </row>
    <row r="24" spans="1:5">
      <c r="A24" s="1159">
        <v>14</v>
      </c>
      <c r="B24" s="1157" t="s">
        <v>5109</v>
      </c>
      <c r="C24" s="1157"/>
      <c r="D24" s="1168">
        <v>0</v>
      </c>
      <c r="E24" s="1164">
        <v>0</v>
      </c>
    </row>
    <row r="25" spans="1:5">
      <c r="A25" s="1159">
        <v>15</v>
      </c>
      <c r="B25" s="1157" t="s">
        <v>5110</v>
      </c>
      <c r="C25" s="1163" t="s">
        <v>5111</v>
      </c>
      <c r="D25" s="1185">
        <v>-58396308</v>
      </c>
      <c r="E25" s="1186">
        <v>-103045030</v>
      </c>
    </row>
    <row r="26" spans="1:5">
      <c r="A26" s="1159">
        <v>16</v>
      </c>
      <c r="B26" s="1165" t="s">
        <v>5112</v>
      </c>
      <c r="C26" s="1165"/>
      <c r="D26" s="1187">
        <f>SUM(D12:D18,D21:D22,D24:D25)-SUM(D19:D20,D23)</f>
        <v>5050789342</v>
      </c>
      <c r="E26" s="1187">
        <f>SUM(E12:E18,E21:E22,E24:E25)-SUM(E19:E20,E23)</f>
        <v>4871081451</v>
      </c>
    </row>
    <row r="27" spans="1:5">
      <c r="A27" s="1159">
        <v>17</v>
      </c>
      <c r="B27" s="1167" t="s">
        <v>5113</v>
      </c>
      <c r="C27" s="1157"/>
      <c r="D27" s="1188" t="s">
        <v>97</v>
      </c>
      <c r="E27" s="1162"/>
    </row>
    <row r="28" spans="1:5">
      <c r="A28" s="1159">
        <v>18</v>
      </c>
      <c r="B28" s="1157" t="s">
        <v>5114</v>
      </c>
      <c r="C28" s="1163" t="s">
        <v>5115</v>
      </c>
      <c r="D28" s="1168">
        <v>5223860000</v>
      </c>
      <c r="E28" s="1164">
        <v>4823860000</v>
      </c>
    </row>
    <row r="29" spans="1:5">
      <c r="A29" s="1159">
        <v>19</v>
      </c>
      <c r="B29" s="1157" t="s">
        <v>5116</v>
      </c>
      <c r="C29" s="1163" t="s">
        <v>5115</v>
      </c>
      <c r="D29" s="1168">
        <v>0</v>
      </c>
      <c r="E29" s="1164">
        <v>0</v>
      </c>
    </row>
    <row r="30" spans="1:5">
      <c r="A30" s="1159">
        <v>20</v>
      </c>
      <c r="B30" s="1157" t="s">
        <v>5117</v>
      </c>
      <c r="C30" s="1163" t="s">
        <v>5115</v>
      </c>
      <c r="D30" s="1168">
        <v>0</v>
      </c>
      <c r="E30" s="1164">
        <v>0</v>
      </c>
    </row>
    <row r="31" spans="1:5">
      <c r="A31" s="1159">
        <v>21</v>
      </c>
      <c r="B31" s="1157" t="s">
        <v>5118</v>
      </c>
      <c r="C31" s="1163" t="s">
        <v>5115</v>
      </c>
      <c r="D31" s="1168">
        <v>0</v>
      </c>
      <c r="E31" s="1164">
        <v>0</v>
      </c>
    </row>
    <row r="32" spans="1:5">
      <c r="A32" s="1159">
        <v>22</v>
      </c>
      <c r="B32" s="1157" t="s">
        <v>5119</v>
      </c>
      <c r="C32" s="1157"/>
      <c r="D32" s="1168">
        <v>0</v>
      </c>
      <c r="E32" s="1164">
        <v>0</v>
      </c>
    </row>
    <row r="33" spans="1:5">
      <c r="A33" s="1159">
        <v>23</v>
      </c>
      <c r="B33" s="1157" t="s">
        <v>5120</v>
      </c>
      <c r="C33" s="1157"/>
      <c r="D33" s="1168">
        <v>18570269</v>
      </c>
      <c r="E33" s="1164">
        <v>15729451</v>
      </c>
    </row>
    <row r="34" spans="1:5">
      <c r="A34" s="1159">
        <v>24</v>
      </c>
      <c r="B34" s="1165" t="s">
        <v>5121</v>
      </c>
      <c r="C34" s="1165"/>
      <c r="D34" s="1187">
        <f>SUM(D28,D30:D32)-SUM(D29,D33)</f>
        <v>5205289731</v>
      </c>
      <c r="E34" s="1187">
        <f>SUM(E28,E30:E32)-SUM(E29,E33)</f>
        <v>4808130549</v>
      </c>
    </row>
    <row r="35" spans="1:5">
      <c r="A35" s="1159">
        <v>25</v>
      </c>
      <c r="B35" s="1167" t="s">
        <v>5122</v>
      </c>
      <c r="C35" s="1157"/>
      <c r="D35" s="1188" t="s">
        <v>97</v>
      </c>
      <c r="E35" s="1162"/>
    </row>
    <row r="36" spans="1:5">
      <c r="A36" s="1159">
        <v>26</v>
      </c>
      <c r="B36" s="1157" t="s">
        <v>5123</v>
      </c>
      <c r="C36" s="1157"/>
      <c r="D36" s="1168">
        <v>280265535</v>
      </c>
      <c r="E36" s="1164">
        <v>283782671</v>
      </c>
    </row>
    <row r="37" spans="1:5">
      <c r="A37" s="1159">
        <v>27</v>
      </c>
      <c r="B37" s="1157" t="s">
        <v>5124</v>
      </c>
      <c r="C37" s="1157"/>
      <c r="D37" s="1157">
        <v>0</v>
      </c>
      <c r="E37" s="1164">
        <v>0</v>
      </c>
    </row>
    <row r="38" spans="1:5">
      <c r="A38" s="1159">
        <v>28</v>
      </c>
      <c r="B38" s="1157" t="s">
        <v>5125</v>
      </c>
      <c r="C38" s="1157"/>
      <c r="D38" s="1168">
        <v>-142500</v>
      </c>
      <c r="E38" s="1164">
        <v>88000</v>
      </c>
    </row>
    <row r="39" spans="1:5">
      <c r="A39" s="1159">
        <v>29</v>
      </c>
      <c r="B39" s="1157" t="s">
        <v>5126</v>
      </c>
      <c r="C39" s="1157"/>
      <c r="D39" s="1168">
        <v>-102236489</v>
      </c>
      <c r="E39" s="1164">
        <v>-28709995</v>
      </c>
    </row>
    <row r="40" spans="1:5">
      <c r="A40" s="1159">
        <v>30</v>
      </c>
      <c r="B40" s="1157" t="s">
        <v>5127</v>
      </c>
      <c r="C40" s="1157"/>
      <c r="D40" s="1168">
        <v>180440185</v>
      </c>
      <c r="E40" s="1164">
        <v>135051835</v>
      </c>
    </row>
    <row r="41" spans="1:5">
      <c r="A41" s="1159">
        <v>31</v>
      </c>
      <c r="B41" s="1157" t="s">
        <v>5128</v>
      </c>
      <c r="C41" s="1157"/>
      <c r="D41" s="1168">
        <v>0</v>
      </c>
      <c r="E41" s="1164">
        <v>0</v>
      </c>
    </row>
    <row r="42" spans="1:5">
      <c r="A42" s="1159">
        <v>32</v>
      </c>
      <c r="B42" s="1157" t="s">
        <v>372</v>
      </c>
      <c r="C42" s="1157"/>
      <c r="D42" s="1168">
        <v>38048777</v>
      </c>
      <c r="E42" s="1164">
        <v>18366683</v>
      </c>
    </row>
    <row r="43" spans="1:5">
      <c r="A43" s="1159">
        <v>33</v>
      </c>
      <c r="B43" s="1157" t="s">
        <v>373</v>
      </c>
      <c r="C43" s="1157"/>
      <c r="D43" s="1168">
        <v>0</v>
      </c>
      <c r="E43" s="1164">
        <v>0</v>
      </c>
    </row>
    <row r="44" spans="1:5">
      <c r="A44" s="1159">
        <v>34</v>
      </c>
      <c r="B44" s="1157" t="s">
        <v>5129</v>
      </c>
      <c r="C44" s="1157"/>
      <c r="D44" s="1168">
        <v>203037437</v>
      </c>
      <c r="E44" s="1164">
        <v>205559099</v>
      </c>
    </row>
    <row r="45" spans="1:5">
      <c r="A45" s="1159">
        <v>35</v>
      </c>
      <c r="B45" s="1165" t="s">
        <v>5130</v>
      </c>
      <c r="C45" s="1165"/>
      <c r="D45" s="1187">
        <f>SUM(D36:D44)</f>
        <v>599412945</v>
      </c>
      <c r="E45" s="1187">
        <f>SUM(E36:E44)</f>
        <v>614138293</v>
      </c>
    </row>
    <row r="46" spans="1:5">
      <c r="A46" s="1159">
        <v>36</v>
      </c>
      <c r="B46" s="1167" t="s">
        <v>433</v>
      </c>
      <c r="C46" s="1157"/>
      <c r="D46" s="1188" t="s">
        <v>902</v>
      </c>
      <c r="E46" s="1162"/>
    </row>
    <row r="47" spans="1:5">
      <c r="A47" s="1159">
        <v>37</v>
      </c>
      <c r="B47" s="1157" t="s">
        <v>5131</v>
      </c>
      <c r="C47" s="1157"/>
      <c r="D47" s="1168">
        <v>336600000</v>
      </c>
      <c r="E47" s="1164">
        <v>357000000</v>
      </c>
    </row>
    <row r="48" spans="1:5">
      <c r="A48" s="1159">
        <v>38</v>
      </c>
      <c r="B48" s="1157" t="s">
        <v>5132</v>
      </c>
      <c r="C48" s="1157"/>
      <c r="D48" s="1168">
        <v>509277531</v>
      </c>
      <c r="E48" s="1164">
        <v>708906799</v>
      </c>
    </row>
    <row r="49" spans="1:5">
      <c r="A49" s="1159">
        <v>39</v>
      </c>
      <c r="B49" s="1157" t="s">
        <v>5133</v>
      </c>
      <c r="C49" s="1157"/>
      <c r="D49" s="1168">
        <v>0</v>
      </c>
      <c r="E49" s="1164">
        <v>0</v>
      </c>
    </row>
    <row r="50" spans="1:5">
      <c r="A50" s="1159">
        <v>40</v>
      </c>
      <c r="B50" s="1157" t="s">
        <v>5134</v>
      </c>
      <c r="C50" s="1157"/>
      <c r="D50" s="1168">
        <v>2051640</v>
      </c>
      <c r="E50" s="1164">
        <v>291713</v>
      </c>
    </row>
    <row r="51" spans="1:5">
      <c r="A51" s="1159">
        <v>41</v>
      </c>
      <c r="B51" s="1157" t="s">
        <v>5135</v>
      </c>
      <c r="C51" s="1157"/>
      <c r="D51" s="1168">
        <v>7608513</v>
      </c>
      <c r="E51" s="1164">
        <v>13733533</v>
      </c>
    </row>
    <row r="52" spans="1:5">
      <c r="A52" s="1159">
        <v>42</v>
      </c>
      <c r="B52" s="1157" t="s">
        <v>5136</v>
      </c>
      <c r="C52" s="1163" t="s">
        <v>821</v>
      </c>
      <c r="D52" s="1168">
        <v>98255029</v>
      </c>
      <c r="E52" s="1164">
        <v>116472982</v>
      </c>
    </row>
    <row r="53" spans="1:5">
      <c r="A53" s="1159">
        <v>43</v>
      </c>
      <c r="B53" s="1157" t="s">
        <v>5137</v>
      </c>
      <c r="C53" s="1157"/>
      <c r="D53" s="1168">
        <v>53833663</v>
      </c>
      <c r="E53" s="1164">
        <v>52169671</v>
      </c>
    </row>
    <row r="54" spans="1:5">
      <c r="A54" s="1159">
        <v>44</v>
      </c>
      <c r="B54" s="1157" t="s">
        <v>5138</v>
      </c>
      <c r="C54" s="1157"/>
      <c r="D54" s="1168">
        <v>0</v>
      </c>
      <c r="E54" s="1164">
        <v>0</v>
      </c>
    </row>
    <row r="55" spans="1:5">
      <c r="A55" s="1159">
        <v>45</v>
      </c>
      <c r="B55" s="1157" t="s">
        <v>5139</v>
      </c>
      <c r="C55" s="1157"/>
      <c r="D55" s="1168">
        <v>0</v>
      </c>
      <c r="E55" s="1164">
        <v>0</v>
      </c>
    </row>
    <row r="56" spans="1:5">
      <c r="A56" s="1174"/>
      <c r="B56" s="1175"/>
      <c r="C56" s="1176"/>
      <c r="D56" s="1176"/>
      <c r="E56" s="1176"/>
    </row>
    <row r="57" spans="1:5">
      <c r="A57" s="493"/>
      <c r="B57" s="493"/>
      <c r="C57" s="493"/>
      <c r="D57" s="493"/>
      <c r="E57" s="493"/>
    </row>
    <row r="58" spans="1:5" ht="11.25" customHeight="1">
      <c r="A58" s="3943" t="s">
        <v>5140</v>
      </c>
      <c r="B58" s="3943"/>
      <c r="C58" s="3943"/>
      <c r="D58" s="3943"/>
      <c r="E58" s="3943"/>
    </row>
    <row r="59" spans="1:5">
      <c r="A59" s="1159">
        <v>46</v>
      </c>
      <c r="B59" s="1157" t="s">
        <v>5141</v>
      </c>
      <c r="C59" s="1157"/>
      <c r="D59" s="1168">
        <v>0</v>
      </c>
      <c r="E59" s="1164">
        <v>0</v>
      </c>
    </row>
    <row r="60" spans="1:5">
      <c r="A60" s="1159">
        <v>47</v>
      </c>
      <c r="B60" s="1157" t="s">
        <v>5142</v>
      </c>
      <c r="C60" s="1157"/>
      <c r="D60" s="1168">
        <v>1380682</v>
      </c>
      <c r="E60" s="1164">
        <v>3951481</v>
      </c>
    </row>
    <row r="61" spans="1:5">
      <c r="A61" s="1159">
        <v>48</v>
      </c>
      <c r="B61" s="1157" t="s">
        <v>5143</v>
      </c>
      <c r="C61" s="1157"/>
      <c r="D61" s="1168">
        <v>45791718</v>
      </c>
      <c r="E61" s="1164">
        <v>40266693</v>
      </c>
    </row>
    <row r="62" spans="1:5">
      <c r="A62" s="1159">
        <v>49</v>
      </c>
      <c r="B62" s="1157" t="s">
        <v>5144</v>
      </c>
      <c r="C62" s="1157"/>
      <c r="D62" s="1168">
        <v>24999694</v>
      </c>
      <c r="E62" s="1164">
        <v>23509170</v>
      </c>
    </row>
    <row r="63" spans="1:5">
      <c r="A63" s="1159">
        <v>50</v>
      </c>
      <c r="B63" s="1169" t="s">
        <v>5145</v>
      </c>
      <c r="C63" s="1169"/>
      <c r="D63" s="1171">
        <v>223836299</v>
      </c>
      <c r="E63" s="1172">
        <v>143342442</v>
      </c>
    </row>
    <row r="64" spans="1:5">
      <c r="A64" s="1159">
        <v>51</v>
      </c>
      <c r="B64" s="1157" t="s">
        <v>5146</v>
      </c>
      <c r="C64" s="1157"/>
      <c r="D64" s="1168">
        <v>38048777</v>
      </c>
      <c r="E64" s="1164">
        <v>18366683</v>
      </c>
    </row>
    <row r="65" spans="1:5">
      <c r="A65" s="1159">
        <v>52</v>
      </c>
      <c r="B65" s="1169" t="s">
        <v>5147</v>
      </c>
      <c r="C65" s="1169"/>
      <c r="D65" s="1171">
        <v>0</v>
      </c>
      <c r="E65" s="1172">
        <v>0</v>
      </c>
    </row>
    <row r="66" spans="1:5">
      <c r="A66" s="1159">
        <v>53</v>
      </c>
      <c r="B66" s="1157" t="s">
        <v>5148</v>
      </c>
      <c r="C66" s="1157"/>
      <c r="D66" s="1168">
        <v>0</v>
      </c>
      <c r="E66" s="1164">
        <v>0</v>
      </c>
    </row>
    <row r="67" spans="1:5">
      <c r="A67" s="1159">
        <v>54</v>
      </c>
      <c r="B67" s="1165" t="s">
        <v>5149</v>
      </c>
      <c r="C67" s="1165"/>
      <c r="D67" s="1187">
        <f>SUM(D47:D55,D59:D63,D65)-SUM(D64,D66)</f>
        <v>1265585992</v>
      </c>
      <c r="E67" s="1187">
        <f>SUM(E47:E55,E59:E63,E65)-SUM(E64,E66)</f>
        <v>1441277801</v>
      </c>
    </row>
    <row r="68" spans="1:5">
      <c r="A68" s="1159">
        <v>55</v>
      </c>
      <c r="B68" s="1167" t="s">
        <v>434</v>
      </c>
      <c r="C68" s="1157"/>
      <c r="D68" s="1168"/>
      <c r="E68" s="1189"/>
    </row>
    <row r="69" spans="1:5">
      <c r="A69" s="1159">
        <v>56</v>
      </c>
      <c r="B69" s="1169" t="s">
        <v>5150</v>
      </c>
      <c r="C69" s="1169"/>
      <c r="D69" s="1171">
        <v>141948045</v>
      </c>
      <c r="E69" s="1172">
        <v>123708753</v>
      </c>
    </row>
    <row r="70" spans="1:5">
      <c r="A70" s="1159">
        <v>57</v>
      </c>
      <c r="B70" s="1169" t="s">
        <v>5151</v>
      </c>
      <c r="C70" s="1170" t="s">
        <v>5152</v>
      </c>
      <c r="D70" s="1171">
        <v>0</v>
      </c>
      <c r="E70" s="1172">
        <v>0</v>
      </c>
    </row>
    <row r="71" spans="1:5">
      <c r="A71" s="1159">
        <v>58</v>
      </c>
      <c r="B71" s="1169" t="s">
        <v>5153</v>
      </c>
      <c r="C71" s="1169"/>
      <c r="D71" s="1171">
        <v>1353225</v>
      </c>
      <c r="E71" s="1172">
        <v>1928264</v>
      </c>
    </row>
    <row r="72" spans="1:5">
      <c r="A72" s="1159">
        <v>59</v>
      </c>
      <c r="B72" s="1169" t="s">
        <v>5154</v>
      </c>
      <c r="C72" s="1173">
        <v>269</v>
      </c>
      <c r="D72" s="1171">
        <v>293574358</v>
      </c>
      <c r="E72" s="1172">
        <v>518347061</v>
      </c>
    </row>
    <row r="73" spans="1:5">
      <c r="A73" s="1159">
        <v>60</v>
      </c>
      <c r="B73" s="1169" t="s">
        <v>5155</v>
      </c>
      <c r="C73" s="1173">
        <v>278</v>
      </c>
      <c r="D73" s="1171">
        <v>920886418</v>
      </c>
      <c r="E73" s="1172">
        <v>891629751</v>
      </c>
    </row>
    <row r="74" spans="1:5">
      <c r="A74" s="1159">
        <v>61</v>
      </c>
      <c r="B74" s="1169" t="s">
        <v>5156</v>
      </c>
      <c r="C74" s="1169"/>
      <c r="D74" s="1171">
        <v>0</v>
      </c>
      <c r="E74" s="1172">
        <v>0</v>
      </c>
    </row>
    <row r="75" spans="1:5">
      <c r="A75" s="1159">
        <v>62</v>
      </c>
      <c r="B75" s="1169" t="s">
        <v>5157</v>
      </c>
      <c r="C75" s="1170" t="s">
        <v>5158</v>
      </c>
      <c r="D75" s="1171">
        <v>0</v>
      </c>
      <c r="E75" s="1172">
        <v>0</v>
      </c>
    </row>
    <row r="76" spans="1:5">
      <c r="A76" s="1159">
        <v>63</v>
      </c>
      <c r="B76" s="1169" t="s">
        <v>5159</v>
      </c>
      <c r="C76" s="1169"/>
      <c r="D76" s="1190">
        <v>1148658824</v>
      </c>
      <c r="E76" s="1191">
        <v>1177028707</v>
      </c>
    </row>
    <row r="77" spans="1:5">
      <c r="A77" s="1159">
        <v>64</v>
      </c>
      <c r="B77" s="1169" t="s">
        <v>5160</v>
      </c>
      <c r="C77" s="1169"/>
      <c r="D77" s="1171">
        <v>297127906</v>
      </c>
      <c r="E77" s="1172">
        <v>394572745</v>
      </c>
    </row>
    <row r="78" spans="1:5">
      <c r="A78" s="1159">
        <v>65</v>
      </c>
      <c r="B78" s="1165" t="s">
        <v>5161</v>
      </c>
      <c r="C78" s="1165"/>
      <c r="D78" s="1187">
        <f>SUM(D69:D77)</f>
        <v>2803548776</v>
      </c>
      <c r="E78" s="1187">
        <f>SUM(E69:E77)</f>
        <v>3107215281</v>
      </c>
    </row>
    <row r="79" spans="1:5">
      <c r="A79" s="1159">
        <v>66</v>
      </c>
      <c r="B79" s="1165" t="s">
        <v>5162</v>
      </c>
      <c r="C79" s="1165"/>
      <c r="D79" s="1187">
        <f>SUM(D26,D34,D45,D67,D78)</f>
        <v>14924626786</v>
      </c>
      <c r="E79" s="1187">
        <f>SUM(E26,E34,E45,E67,E78)</f>
        <v>14841843375</v>
      </c>
    </row>
    <row r="80" spans="1:5">
      <c r="A80" s="1192"/>
      <c r="B80" s="1193"/>
      <c r="C80" s="1194"/>
      <c r="D80" s="1195"/>
      <c r="E80" s="1195"/>
    </row>
    <row r="82" spans="4:4">
      <c r="D82" s="1196"/>
    </row>
  </sheetData>
  <mergeCells count="3">
    <mergeCell ref="A6:E6"/>
    <mergeCell ref="A7:E7"/>
    <mergeCell ref="A58:E58"/>
  </mergeCells>
  <pageMargins left="0.75" right="0.75" top="1" bottom="1" header="0.5" footer="0.5"/>
  <pageSetup orientation="portrait" r:id="rId1"/>
  <customProperties>
    <customPr name="_pios_id" r:id="rId2"/>
  </customPropertie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rgb="FF92D050"/>
  </sheetPr>
  <dimension ref="A1:O93"/>
  <sheetViews>
    <sheetView workbookViewId="0">
      <pane ySplit="12" topLeftCell="A13" activePane="bottomLeft" state="frozen"/>
      <selection sqref="A1:XFD1048576"/>
      <selection pane="bottomLeft" sqref="A1:XFD1048576"/>
    </sheetView>
  </sheetViews>
  <sheetFormatPr defaultColWidth="11.625" defaultRowHeight="11.25"/>
  <cols>
    <col min="1" max="1" width="3.375" style="1149" customWidth="1"/>
    <col min="2" max="2" width="47.375" style="1149" bestFit="1" customWidth="1"/>
    <col min="3" max="3" width="9.125" style="1149" bestFit="1" customWidth="1"/>
    <col min="4" max="7" width="13.375" style="1149" bestFit="1" customWidth="1"/>
    <col min="8" max="8" width="13.875" style="1149" bestFit="1" customWidth="1"/>
    <col min="9" max="9" width="14.75" style="1149" bestFit="1" customWidth="1"/>
    <col min="10" max="10" width="13.875" style="1149" bestFit="1" customWidth="1"/>
    <col min="11" max="11" width="14.75" style="1149" bestFit="1" customWidth="1"/>
    <col min="12" max="12" width="13.875" style="1149" bestFit="1" customWidth="1"/>
    <col min="13" max="13" width="14.75" style="1149" bestFit="1" customWidth="1"/>
    <col min="14" max="14" width="3.625" style="1149" bestFit="1" customWidth="1"/>
    <col min="15" max="15" width="1.375" style="1149" customWidth="1"/>
    <col min="16" max="16384" width="11.625" style="1149"/>
  </cols>
  <sheetData>
    <row r="1" spans="1:15">
      <c r="A1" s="507" t="s">
        <v>4977</v>
      </c>
      <c r="B1" s="507"/>
    </row>
    <row r="2" spans="1:15">
      <c r="A2" s="507" t="s">
        <v>6778</v>
      </c>
      <c r="B2" s="507"/>
    </row>
    <row r="3" spans="1:15">
      <c r="A3" s="3948"/>
      <c r="B3" s="3949"/>
      <c r="C3" s="3949"/>
      <c r="D3" s="3949"/>
      <c r="E3" s="3949"/>
    </row>
    <row r="4" spans="1:15">
      <c r="A4" s="1197"/>
    </row>
    <row r="6" spans="1:15" ht="11.25" customHeight="1">
      <c r="A6" s="3950" t="s">
        <v>5163</v>
      </c>
      <c r="B6" s="3950"/>
      <c r="C6" s="3950"/>
      <c r="D6" s="3950"/>
      <c r="E6" s="3950"/>
      <c r="F6" s="3950"/>
      <c r="G6" s="3950"/>
      <c r="H6" s="3951" t="s">
        <v>5164</v>
      </c>
      <c r="I6" s="3952"/>
      <c r="J6" s="3952"/>
      <c r="K6" s="3952"/>
      <c r="L6" s="3952"/>
      <c r="M6" s="3952"/>
      <c r="N6" s="3952"/>
      <c r="O6" s="1198"/>
    </row>
    <row r="7" spans="1:15" ht="11.25" customHeight="1">
      <c r="A7" s="3953" t="s">
        <v>5165</v>
      </c>
      <c r="B7" s="3938"/>
      <c r="C7" s="3938"/>
      <c r="D7" s="3938"/>
      <c r="E7" s="3938"/>
      <c r="F7" s="3938"/>
      <c r="G7" s="3939"/>
      <c r="H7" s="3954" t="s">
        <v>5166</v>
      </c>
      <c r="I7" s="3946"/>
      <c r="J7" s="3946"/>
      <c r="K7" s="3946"/>
      <c r="L7" s="3946"/>
      <c r="M7" s="3946"/>
      <c r="N7" s="3947"/>
      <c r="O7" s="1198"/>
    </row>
    <row r="8" spans="1:15" ht="11.25" customHeight="1">
      <c r="A8" s="3944" t="s">
        <v>5167</v>
      </c>
      <c r="B8" s="3938"/>
      <c r="C8" s="3938"/>
      <c r="D8" s="3938"/>
      <c r="E8" s="3938"/>
      <c r="F8" s="3938"/>
      <c r="G8" s="3939"/>
      <c r="H8" s="3945" t="s">
        <v>5168</v>
      </c>
      <c r="I8" s="3946"/>
      <c r="J8" s="3946"/>
      <c r="K8" s="3946"/>
      <c r="L8" s="3946"/>
      <c r="M8" s="3946"/>
      <c r="N8" s="3947"/>
      <c r="O8" s="1198"/>
    </row>
    <row r="9" spans="1:15" ht="11.25" customHeight="1">
      <c r="A9" s="3960" t="s">
        <v>5089</v>
      </c>
      <c r="B9" s="3963" t="s">
        <v>4986</v>
      </c>
      <c r="C9" s="3963" t="s">
        <v>5169</v>
      </c>
      <c r="D9" s="3963" t="s">
        <v>5170</v>
      </c>
      <c r="E9" s="3963" t="s">
        <v>5171</v>
      </c>
      <c r="F9" s="3963" t="s">
        <v>5172</v>
      </c>
      <c r="G9" s="3963" t="s">
        <v>5173</v>
      </c>
      <c r="H9" s="3966" t="s">
        <v>5174</v>
      </c>
      <c r="I9" s="3967"/>
      <c r="J9" s="3966" t="s">
        <v>5175</v>
      </c>
      <c r="K9" s="3967"/>
      <c r="L9" s="3966" t="s">
        <v>5176</v>
      </c>
      <c r="M9" s="3967"/>
      <c r="N9" s="3955" t="s">
        <v>5177</v>
      </c>
      <c r="O9" s="1198"/>
    </row>
    <row r="10" spans="1:15" ht="22.5">
      <c r="A10" s="3961"/>
      <c r="B10" s="3964"/>
      <c r="C10" s="3964"/>
      <c r="D10" s="3964"/>
      <c r="E10" s="3964"/>
      <c r="F10" s="3964"/>
      <c r="G10" s="3964"/>
      <c r="H10" s="1199" t="s">
        <v>5178</v>
      </c>
      <c r="I10" s="1199" t="s">
        <v>5179</v>
      </c>
      <c r="J10" s="1199" t="s">
        <v>5178</v>
      </c>
      <c r="K10" s="1199" t="s">
        <v>5179</v>
      </c>
      <c r="L10" s="1199" t="s">
        <v>5178</v>
      </c>
      <c r="M10" s="1199" t="s">
        <v>5179</v>
      </c>
      <c r="N10" s="3956"/>
      <c r="O10" s="1198"/>
    </row>
    <row r="11" spans="1:15">
      <c r="A11" s="3961"/>
      <c r="B11" s="1153"/>
      <c r="C11" s="1153"/>
      <c r="D11" s="1200" t="s">
        <v>6777</v>
      </c>
      <c r="E11" s="1200" t="s">
        <v>4988</v>
      </c>
      <c r="F11" s="1200" t="s">
        <v>6777</v>
      </c>
      <c r="G11" s="1200" t="s">
        <v>4988</v>
      </c>
      <c r="H11" s="1201" t="s">
        <v>6777</v>
      </c>
      <c r="I11" s="1201" t="s">
        <v>4988</v>
      </c>
      <c r="J11" s="1201" t="s">
        <v>6777</v>
      </c>
      <c r="K11" s="1201" t="s">
        <v>4988</v>
      </c>
      <c r="L11" s="1201" t="s">
        <v>6777</v>
      </c>
      <c r="M11" s="1201" t="s">
        <v>4988</v>
      </c>
      <c r="N11" s="3956"/>
      <c r="O11" s="1198"/>
    </row>
    <row r="12" spans="1:15">
      <c r="A12" s="3962"/>
      <c r="B12" s="1202" t="s">
        <v>4989</v>
      </c>
      <c r="C12" s="1202" t="s">
        <v>4990</v>
      </c>
      <c r="D12" s="1163" t="s">
        <v>5180</v>
      </c>
      <c r="E12" s="1163" t="s">
        <v>4992</v>
      </c>
      <c r="F12" s="1163" t="s">
        <v>5181</v>
      </c>
      <c r="G12" s="1163" t="s">
        <v>5182</v>
      </c>
      <c r="H12" s="1199" t="s">
        <v>5183</v>
      </c>
      <c r="I12" s="1199" t="s">
        <v>5184</v>
      </c>
      <c r="J12" s="1199" t="s">
        <v>5185</v>
      </c>
      <c r="K12" s="1199" t="s">
        <v>5186</v>
      </c>
      <c r="L12" s="1199" t="s">
        <v>5187</v>
      </c>
      <c r="M12" s="1199" t="s">
        <v>5188</v>
      </c>
      <c r="N12" s="3956"/>
      <c r="O12" s="1198"/>
    </row>
    <row r="13" spans="1:15">
      <c r="A13" s="1203">
        <v>1</v>
      </c>
      <c r="B13" s="1204" t="s">
        <v>5189</v>
      </c>
      <c r="C13" s="1157"/>
      <c r="D13" s="1205" t="s">
        <v>97</v>
      </c>
      <c r="E13" s="1206" t="s">
        <v>97</v>
      </c>
      <c r="F13" s="1206" t="s">
        <v>97</v>
      </c>
      <c r="G13" s="1207" t="s">
        <v>97</v>
      </c>
      <c r="H13" s="1208" t="s">
        <v>97</v>
      </c>
      <c r="I13" s="1205" t="s">
        <v>902</v>
      </c>
      <c r="J13" s="1206" t="s">
        <v>902</v>
      </c>
      <c r="K13" s="1206" t="s">
        <v>902</v>
      </c>
      <c r="L13" s="1206" t="s">
        <v>902</v>
      </c>
      <c r="M13" s="1207" t="s">
        <v>902</v>
      </c>
      <c r="N13" s="1203">
        <v>1</v>
      </c>
      <c r="O13" s="1198"/>
    </row>
    <row r="14" spans="1:15">
      <c r="A14" s="1203">
        <v>2</v>
      </c>
      <c r="B14" s="1157" t="s">
        <v>5190</v>
      </c>
      <c r="C14" s="1163" t="s">
        <v>5191</v>
      </c>
      <c r="D14" s="1168">
        <v>4994572831</v>
      </c>
      <c r="E14" s="1168">
        <v>4388121714</v>
      </c>
      <c r="F14" s="1168">
        <v>0</v>
      </c>
      <c r="G14" s="1168">
        <v>0</v>
      </c>
      <c r="H14" s="1168">
        <v>3483981859</v>
      </c>
      <c r="I14" s="1168">
        <v>3178485486</v>
      </c>
      <c r="J14" s="1168">
        <v>1510590972</v>
      </c>
      <c r="K14" s="1168">
        <v>1209636228</v>
      </c>
      <c r="L14" s="1168">
        <v>0</v>
      </c>
      <c r="M14" s="1168">
        <v>0</v>
      </c>
      <c r="N14" s="1203">
        <v>2</v>
      </c>
      <c r="O14" s="1198"/>
    </row>
    <row r="15" spans="1:15">
      <c r="A15" s="1203">
        <v>3</v>
      </c>
      <c r="B15" s="1157" t="s">
        <v>5192</v>
      </c>
      <c r="C15" s="1157"/>
      <c r="D15" s="1209" t="s">
        <v>5193</v>
      </c>
      <c r="E15" s="1209" t="s">
        <v>902</v>
      </c>
      <c r="F15" s="1210"/>
      <c r="G15" s="1209" t="s">
        <v>97</v>
      </c>
      <c r="H15" s="1208"/>
      <c r="I15" s="1209" t="s">
        <v>902</v>
      </c>
      <c r="J15" s="1208"/>
      <c r="K15" s="1209" t="s">
        <v>902</v>
      </c>
      <c r="L15" s="1208"/>
      <c r="M15" s="1209" t="s">
        <v>902</v>
      </c>
      <c r="N15" s="1211">
        <v>3</v>
      </c>
      <c r="O15" s="1198"/>
    </row>
    <row r="16" spans="1:15">
      <c r="A16" s="1203">
        <v>4</v>
      </c>
      <c r="B16" s="1157" t="s">
        <v>5194</v>
      </c>
      <c r="C16" s="1163" t="s">
        <v>72</v>
      </c>
      <c r="D16" s="1168">
        <v>3113930315</v>
      </c>
      <c r="E16" s="1168">
        <v>2635508553</v>
      </c>
      <c r="F16" s="1168">
        <v>0</v>
      </c>
      <c r="G16" s="1168">
        <v>0</v>
      </c>
      <c r="H16" s="1168">
        <v>2203863789</v>
      </c>
      <c r="I16" s="1168">
        <v>1970839868</v>
      </c>
      <c r="J16" s="1168">
        <v>910066526</v>
      </c>
      <c r="K16" s="1168">
        <v>664668685</v>
      </c>
      <c r="L16" s="1168">
        <v>0</v>
      </c>
      <c r="M16" s="1168">
        <v>0</v>
      </c>
      <c r="N16" s="1211">
        <v>4</v>
      </c>
      <c r="O16" s="1198"/>
    </row>
    <row r="17" spans="1:15">
      <c r="A17" s="1203">
        <v>5</v>
      </c>
      <c r="B17" s="1157" t="s">
        <v>5195</v>
      </c>
      <c r="C17" s="1163" t="s">
        <v>72</v>
      </c>
      <c r="D17" s="1168">
        <v>182504901</v>
      </c>
      <c r="E17" s="1168">
        <v>175029070</v>
      </c>
      <c r="F17" s="1168">
        <v>0</v>
      </c>
      <c r="G17" s="1168">
        <v>0</v>
      </c>
      <c r="H17" s="1168">
        <v>152225910</v>
      </c>
      <c r="I17" s="1168">
        <v>147385918</v>
      </c>
      <c r="J17" s="1168">
        <v>30278991</v>
      </c>
      <c r="K17" s="1168">
        <v>27643152</v>
      </c>
      <c r="L17" s="1168">
        <v>0</v>
      </c>
      <c r="M17" s="1168">
        <v>0</v>
      </c>
      <c r="N17" s="1211">
        <v>5</v>
      </c>
      <c r="O17" s="1198"/>
    </row>
    <row r="18" spans="1:15">
      <c r="A18" s="1203">
        <v>6</v>
      </c>
      <c r="B18" s="1157" t="s">
        <v>5196</v>
      </c>
      <c r="C18" s="1163" t="s">
        <v>5197</v>
      </c>
      <c r="D18" s="1168">
        <v>571184422</v>
      </c>
      <c r="E18" s="1168">
        <v>524822928</v>
      </c>
      <c r="F18" s="1168">
        <v>0</v>
      </c>
      <c r="G18" s="1168">
        <v>0</v>
      </c>
      <c r="H18" s="1168">
        <v>393750409</v>
      </c>
      <c r="I18" s="1168">
        <v>374468383</v>
      </c>
      <c r="J18" s="1168">
        <v>177434013</v>
      </c>
      <c r="K18" s="1168">
        <v>150354545</v>
      </c>
      <c r="L18" s="1168">
        <v>0</v>
      </c>
      <c r="M18" s="1168">
        <v>0</v>
      </c>
      <c r="N18" s="1211">
        <v>6</v>
      </c>
      <c r="O18" s="1198"/>
    </row>
    <row r="19" spans="1:15">
      <c r="A19" s="1203">
        <v>7</v>
      </c>
      <c r="B19" s="1157" t="s">
        <v>5198</v>
      </c>
      <c r="C19" s="1163" t="s">
        <v>5197</v>
      </c>
      <c r="D19" s="1168">
        <v>4105749</v>
      </c>
      <c r="E19" s="1168">
        <v>9365324</v>
      </c>
      <c r="F19" s="1168">
        <v>0</v>
      </c>
      <c r="G19" s="1168">
        <v>0</v>
      </c>
      <c r="H19" s="1168">
        <v>3764421</v>
      </c>
      <c r="I19" s="1168">
        <v>8902654</v>
      </c>
      <c r="J19" s="1168">
        <v>341328</v>
      </c>
      <c r="K19" s="1168">
        <v>462670</v>
      </c>
      <c r="L19" s="1168">
        <v>0</v>
      </c>
      <c r="M19" s="1168">
        <v>0</v>
      </c>
      <c r="N19" s="1211">
        <v>7</v>
      </c>
      <c r="O19" s="1198"/>
    </row>
    <row r="20" spans="1:15">
      <c r="A20" s="1203">
        <v>8</v>
      </c>
      <c r="B20" s="1157" t="s">
        <v>5199</v>
      </c>
      <c r="C20" s="1163" t="s">
        <v>5197</v>
      </c>
      <c r="D20" s="1168">
        <v>83766414</v>
      </c>
      <c r="E20" s="1168">
        <v>101835503</v>
      </c>
      <c r="F20" s="1168">
        <v>0</v>
      </c>
      <c r="G20" s="1168">
        <v>0</v>
      </c>
      <c r="H20" s="1168">
        <v>56875003</v>
      </c>
      <c r="I20" s="1168">
        <v>69876938</v>
      </c>
      <c r="J20" s="1168">
        <v>26891411</v>
      </c>
      <c r="K20" s="1168">
        <v>31958565</v>
      </c>
      <c r="L20" s="1168">
        <v>0</v>
      </c>
      <c r="M20" s="1168">
        <v>0</v>
      </c>
      <c r="N20" s="1211">
        <v>8</v>
      </c>
      <c r="O20" s="1198"/>
    </row>
    <row r="21" spans="1:15">
      <c r="A21" s="1203">
        <v>9</v>
      </c>
      <c r="B21" s="1169" t="s">
        <v>5200</v>
      </c>
      <c r="C21" s="1163" t="s">
        <v>5197</v>
      </c>
      <c r="D21" s="1168">
        <v>9552226</v>
      </c>
      <c r="E21" s="1168">
        <v>11687828</v>
      </c>
      <c r="F21" s="1168">
        <v>0</v>
      </c>
      <c r="G21" s="1168">
        <v>0</v>
      </c>
      <c r="H21" s="1171">
        <v>9552226</v>
      </c>
      <c r="I21" s="1168">
        <v>11687828</v>
      </c>
      <c r="J21" s="1168">
        <v>0</v>
      </c>
      <c r="K21" s="1168">
        <v>0</v>
      </c>
      <c r="L21" s="1157"/>
      <c r="M21" s="1168">
        <v>0</v>
      </c>
      <c r="N21" s="1203">
        <v>9</v>
      </c>
      <c r="O21" s="1198"/>
    </row>
    <row r="22" spans="1:15">
      <c r="A22" s="1203">
        <v>10</v>
      </c>
      <c r="B22" s="1169" t="s">
        <v>5201</v>
      </c>
      <c r="C22" s="1157"/>
      <c r="D22" s="1168">
        <v>33911798</v>
      </c>
      <c r="E22" s="1168">
        <v>21846432</v>
      </c>
      <c r="F22" s="1168">
        <v>0</v>
      </c>
      <c r="G22" s="1168">
        <v>0</v>
      </c>
      <c r="H22" s="1171">
        <v>33911798</v>
      </c>
      <c r="I22" s="1168">
        <v>21846432</v>
      </c>
      <c r="J22" s="1168">
        <v>0</v>
      </c>
      <c r="K22" s="1168">
        <v>0</v>
      </c>
      <c r="L22" s="1157"/>
      <c r="M22" s="1168">
        <v>0</v>
      </c>
      <c r="N22" s="1203">
        <v>10</v>
      </c>
      <c r="O22" s="1198"/>
    </row>
    <row r="23" spans="1:15">
      <c r="A23" s="1203">
        <v>11</v>
      </c>
      <c r="B23" s="1157" t="s">
        <v>5202</v>
      </c>
      <c r="C23" s="1157"/>
      <c r="D23" s="1189"/>
      <c r="E23" s="1189"/>
      <c r="F23" s="1189"/>
      <c r="G23" s="1168">
        <v>0</v>
      </c>
      <c r="H23" s="1185">
        <v>0</v>
      </c>
      <c r="I23" s="1802">
        <v>0</v>
      </c>
      <c r="J23" s="1168">
        <v>0</v>
      </c>
      <c r="K23" s="1168">
        <v>0</v>
      </c>
      <c r="L23" s="1157"/>
      <c r="M23" s="1168">
        <v>0</v>
      </c>
      <c r="N23" s="1203">
        <v>11</v>
      </c>
      <c r="O23" s="1198"/>
    </row>
    <row r="24" spans="1:15">
      <c r="A24" s="1203">
        <v>12</v>
      </c>
      <c r="B24" s="1169" t="s">
        <v>5203</v>
      </c>
      <c r="C24" s="1157"/>
      <c r="D24" s="1168">
        <v>379526844</v>
      </c>
      <c r="E24" s="1168">
        <v>21725532</v>
      </c>
      <c r="F24" s="1168">
        <v>0</v>
      </c>
      <c r="G24" s="1168">
        <v>0</v>
      </c>
      <c r="H24" s="1171">
        <v>66572207</v>
      </c>
      <c r="I24" s="1168">
        <v>12725650</v>
      </c>
      <c r="J24" s="1168">
        <v>312954637</v>
      </c>
      <c r="K24" s="1168">
        <v>8999882</v>
      </c>
      <c r="L24" s="1168">
        <v>0</v>
      </c>
      <c r="M24" s="1168">
        <v>0</v>
      </c>
      <c r="N24" s="1203">
        <v>12</v>
      </c>
      <c r="O24" s="1198"/>
    </row>
    <row r="25" spans="1:15">
      <c r="A25" s="1203">
        <v>13</v>
      </c>
      <c r="B25" s="1169" t="s">
        <v>5204</v>
      </c>
      <c r="C25" s="1157"/>
      <c r="D25" s="1168">
        <v>443634375</v>
      </c>
      <c r="E25" s="1168">
        <v>42514738</v>
      </c>
      <c r="F25" s="1168">
        <v>0</v>
      </c>
      <c r="G25" s="1168">
        <v>0</v>
      </c>
      <c r="H25" s="1171">
        <v>134166092</v>
      </c>
      <c r="I25" s="1168">
        <v>32370162</v>
      </c>
      <c r="J25" s="1168">
        <v>309468283</v>
      </c>
      <c r="K25" s="1168">
        <v>10144576</v>
      </c>
      <c r="L25" s="1168">
        <v>0</v>
      </c>
      <c r="M25" s="1168">
        <v>0</v>
      </c>
      <c r="N25" s="1203">
        <v>13</v>
      </c>
      <c r="O25" s="1198"/>
    </row>
    <row r="26" spans="1:15">
      <c r="A26" s="1203">
        <v>14</v>
      </c>
      <c r="B26" s="1157" t="s">
        <v>5205</v>
      </c>
      <c r="C26" s="1163" t="s">
        <v>821</v>
      </c>
      <c r="D26" s="1168">
        <v>407278222</v>
      </c>
      <c r="E26" s="1168">
        <v>386340822</v>
      </c>
      <c r="F26" s="1168">
        <v>0</v>
      </c>
      <c r="G26" s="1168">
        <v>0</v>
      </c>
      <c r="H26" s="1168">
        <v>269731981</v>
      </c>
      <c r="I26" s="1168">
        <v>259360685</v>
      </c>
      <c r="J26" s="1168">
        <v>137546241</v>
      </c>
      <c r="K26" s="1168">
        <v>126980137</v>
      </c>
      <c r="L26" s="1168">
        <v>0</v>
      </c>
      <c r="M26" s="1168">
        <v>0</v>
      </c>
      <c r="N26" s="1203">
        <v>14</v>
      </c>
      <c r="O26" s="1198"/>
    </row>
    <row r="27" spans="1:15">
      <c r="A27" s="1203">
        <v>15</v>
      </c>
      <c r="B27" s="1157" t="s">
        <v>5206</v>
      </c>
      <c r="C27" s="1163" t="s">
        <v>821</v>
      </c>
      <c r="D27" s="1168">
        <v>217610004</v>
      </c>
      <c r="E27" s="1168">
        <v>81592777</v>
      </c>
      <c r="F27" s="1168">
        <v>0</v>
      </c>
      <c r="G27" s="1168">
        <v>0</v>
      </c>
      <c r="H27" s="1168">
        <v>179574754</v>
      </c>
      <c r="I27" s="1168">
        <v>41484612</v>
      </c>
      <c r="J27" s="1168">
        <v>38035250</v>
      </c>
      <c r="K27" s="1168">
        <v>40108165</v>
      </c>
      <c r="L27" s="1168">
        <v>0</v>
      </c>
      <c r="M27" s="1168">
        <v>0</v>
      </c>
      <c r="N27" s="1203">
        <v>15</v>
      </c>
      <c r="O27" s="1198"/>
    </row>
    <row r="28" spans="1:15">
      <c r="A28" s="1203">
        <v>16</v>
      </c>
      <c r="B28" s="1803" t="s">
        <v>5207</v>
      </c>
      <c r="C28" s="1163" t="s">
        <v>821</v>
      </c>
      <c r="D28" s="1168">
        <v>1626265</v>
      </c>
      <c r="E28" s="1168">
        <v>869191</v>
      </c>
      <c r="F28" s="1168">
        <v>0</v>
      </c>
      <c r="G28" s="1168">
        <v>0</v>
      </c>
      <c r="H28" s="1168">
        <v>1626265</v>
      </c>
      <c r="I28" s="1168">
        <v>869191</v>
      </c>
      <c r="J28" s="1157">
        <v>0</v>
      </c>
      <c r="K28" s="1168">
        <v>0</v>
      </c>
      <c r="L28" s="1157"/>
      <c r="M28" s="1168">
        <v>0</v>
      </c>
      <c r="N28" s="1203">
        <v>16</v>
      </c>
      <c r="O28" s="1198"/>
    </row>
    <row r="29" spans="1:15">
      <c r="A29" s="1203">
        <v>17</v>
      </c>
      <c r="B29" s="1157" t="s">
        <v>5208</v>
      </c>
      <c r="C29" s="1163" t="s">
        <v>5209</v>
      </c>
      <c r="D29" s="1168">
        <v>285043374</v>
      </c>
      <c r="E29" s="1168">
        <v>465808227</v>
      </c>
      <c r="F29" s="1168">
        <v>0</v>
      </c>
      <c r="G29" s="1168">
        <v>0</v>
      </c>
      <c r="H29" s="1168">
        <v>125951781</v>
      </c>
      <c r="I29" s="1168">
        <v>264566257</v>
      </c>
      <c r="J29" s="1168">
        <v>159091593</v>
      </c>
      <c r="K29" s="1168">
        <v>201241970</v>
      </c>
      <c r="L29" s="1168">
        <v>0</v>
      </c>
      <c r="M29" s="1168">
        <v>0</v>
      </c>
      <c r="N29" s="1211">
        <v>17</v>
      </c>
      <c r="O29" s="1198"/>
    </row>
    <row r="30" spans="1:15">
      <c r="A30" s="1203">
        <v>18</v>
      </c>
      <c r="B30" s="1157" t="s">
        <v>5210</v>
      </c>
      <c r="C30" s="1163" t="s">
        <v>5209</v>
      </c>
      <c r="D30" s="1168">
        <v>398082515</v>
      </c>
      <c r="E30" s="1168">
        <v>467480717</v>
      </c>
      <c r="F30" s="1168">
        <v>0</v>
      </c>
      <c r="G30" s="1168">
        <v>0</v>
      </c>
      <c r="H30" s="1168">
        <v>243405410</v>
      </c>
      <c r="I30" s="1168">
        <v>263542456</v>
      </c>
      <c r="J30" s="1168">
        <v>154677105</v>
      </c>
      <c r="K30" s="1168">
        <v>203938261</v>
      </c>
      <c r="L30" s="1168">
        <v>0</v>
      </c>
      <c r="M30" s="1168">
        <v>0</v>
      </c>
      <c r="N30" s="1211">
        <v>18</v>
      </c>
      <c r="O30" s="1198"/>
    </row>
    <row r="31" spans="1:15">
      <c r="A31" s="1203">
        <v>19</v>
      </c>
      <c r="B31" s="1157" t="s">
        <v>5211</v>
      </c>
      <c r="C31" s="1159">
        <v>266</v>
      </c>
      <c r="D31" s="1189"/>
      <c r="E31" s="1189"/>
      <c r="F31" s="1168">
        <v>0</v>
      </c>
      <c r="G31" s="1168">
        <v>0</v>
      </c>
      <c r="H31" s="1185">
        <v>0</v>
      </c>
      <c r="I31" s="1802">
        <v>0</v>
      </c>
      <c r="J31" s="1168">
        <v>0</v>
      </c>
      <c r="K31" s="1168">
        <v>0</v>
      </c>
      <c r="L31" s="1157"/>
      <c r="M31" s="1168">
        <v>0</v>
      </c>
      <c r="N31" s="1211">
        <v>19</v>
      </c>
      <c r="O31" s="1198"/>
    </row>
    <row r="32" spans="1:15">
      <c r="A32" s="1203">
        <v>20</v>
      </c>
      <c r="B32" s="1169" t="s">
        <v>5212</v>
      </c>
      <c r="C32" s="1157"/>
      <c r="D32" s="1168">
        <v>611696</v>
      </c>
      <c r="E32" s="1168">
        <v>5013242</v>
      </c>
      <c r="F32" s="1168">
        <v>0</v>
      </c>
      <c r="G32" s="1168">
        <v>0</v>
      </c>
      <c r="H32" s="1171">
        <v>611696</v>
      </c>
      <c r="I32" s="1168">
        <v>5013242</v>
      </c>
      <c r="J32" s="1168">
        <v>0</v>
      </c>
      <c r="K32" s="1168">
        <v>0</v>
      </c>
      <c r="L32" s="1168">
        <v>0</v>
      </c>
      <c r="M32" s="1168">
        <v>0</v>
      </c>
      <c r="N32" s="1211">
        <v>20</v>
      </c>
      <c r="O32" s="1198"/>
    </row>
    <row r="33" spans="1:15">
      <c r="A33" s="1203">
        <v>21</v>
      </c>
      <c r="B33" s="1169" t="s">
        <v>5213</v>
      </c>
      <c r="C33" s="1157"/>
      <c r="D33" s="1168">
        <v>1882923</v>
      </c>
      <c r="E33" s="1168">
        <v>0</v>
      </c>
      <c r="F33" s="1168">
        <v>0</v>
      </c>
      <c r="G33" s="1168">
        <v>0</v>
      </c>
      <c r="H33" s="1171">
        <v>5519</v>
      </c>
      <c r="I33" s="1168">
        <v>0</v>
      </c>
      <c r="J33" s="1168">
        <v>1877404</v>
      </c>
      <c r="K33" s="1168">
        <v>0</v>
      </c>
      <c r="L33" s="1168">
        <v>0</v>
      </c>
      <c r="M33" s="1168">
        <v>0</v>
      </c>
      <c r="N33" s="1211">
        <v>21</v>
      </c>
      <c r="O33" s="1198"/>
    </row>
    <row r="34" spans="1:15">
      <c r="A34" s="1203">
        <v>22</v>
      </c>
      <c r="B34" s="1169" t="s">
        <v>5214</v>
      </c>
      <c r="C34" s="1157"/>
      <c r="D34" s="1168">
        <v>0</v>
      </c>
      <c r="E34" s="1168">
        <v>0</v>
      </c>
      <c r="F34" s="1168">
        <v>0</v>
      </c>
      <c r="G34" s="1168">
        <v>0</v>
      </c>
      <c r="H34" s="1171">
        <v>0</v>
      </c>
      <c r="I34" s="1168">
        <v>0</v>
      </c>
      <c r="J34" s="1168">
        <v>0</v>
      </c>
      <c r="K34" s="1168">
        <v>0</v>
      </c>
      <c r="L34" s="1157"/>
      <c r="M34" s="1168">
        <v>0</v>
      </c>
      <c r="N34" s="1211">
        <v>22</v>
      </c>
      <c r="O34" s="1198"/>
    </row>
    <row r="35" spans="1:15">
      <c r="A35" s="1203">
        <v>23</v>
      </c>
      <c r="B35" s="1169" t="s">
        <v>5215</v>
      </c>
      <c r="C35" s="1157"/>
      <c r="D35" s="1189"/>
      <c r="E35" s="1189"/>
      <c r="F35" s="1157"/>
      <c r="G35" s="1168">
        <v>0</v>
      </c>
      <c r="H35" s="1169"/>
      <c r="I35" s="1168">
        <v>0</v>
      </c>
      <c r="J35" s="1168">
        <v>0</v>
      </c>
      <c r="K35" s="1168">
        <v>0</v>
      </c>
      <c r="L35" s="1168">
        <v>0</v>
      </c>
      <c r="M35" s="1168">
        <v>0</v>
      </c>
      <c r="N35" s="1211">
        <v>23</v>
      </c>
      <c r="O35" s="1198"/>
    </row>
    <row r="36" spans="1:15">
      <c r="A36" s="1203">
        <v>24</v>
      </c>
      <c r="B36" s="1157" t="s">
        <v>5216</v>
      </c>
      <c r="C36" s="1157"/>
      <c r="D36" s="1168">
        <v>3205012</v>
      </c>
      <c r="E36" s="1168">
        <v>3834848</v>
      </c>
      <c r="F36" s="1168">
        <v>0</v>
      </c>
      <c r="G36" s="1168">
        <v>0</v>
      </c>
      <c r="H36" s="1168">
        <v>2969331</v>
      </c>
      <c r="I36" s="1168">
        <v>3539560</v>
      </c>
      <c r="J36" s="1168">
        <v>235681</v>
      </c>
      <c r="K36" s="1168">
        <v>295288</v>
      </c>
      <c r="L36" s="1168">
        <v>0</v>
      </c>
      <c r="M36" s="1168">
        <v>0</v>
      </c>
      <c r="N36" s="1211">
        <v>24</v>
      </c>
      <c r="O36" s="1198"/>
    </row>
    <row r="37" spans="1:15">
      <c r="A37" s="1203">
        <v>25</v>
      </c>
      <c r="B37" s="1165" t="s">
        <v>5217</v>
      </c>
      <c r="C37" s="1165"/>
      <c r="D37" s="1187">
        <f t="shared" ref="D37:M37" si="0">SUM(D16:D24,D26:D29,D31,D33,D35:D36)-SUM(D25,D30,D32,D34)</f>
        <v>4452799883</v>
      </c>
      <c r="E37" s="1187">
        <f t="shared" si="0"/>
        <v>3925258338</v>
      </c>
      <c r="F37" s="1187">
        <f t="shared" si="0"/>
        <v>0</v>
      </c>
      <c r="G37" s="1187">
        <f t="shared" si="0"/>
        <v>0</v>
      </c>
      <c r="H37" s="1187">
        <f t="shared" si="0"/>
        <v>3122192196</v>
      </c>
      <c r="I37" s="1187">
        <f t="shared" si="0"/>
        <v>2886628116</v>
      </c>
      <c r="J37" s="1187">
        <f t="shared" si="0"/>
        <v>1330607687</v>
      </c>
      <c r="K37" s="1187">
        <f t="shared" si="0"/>
        <v>1038630222</v>
      </c>
      <c r="L37" s="1187">
        <f t="shared" si="0"/>
        <v>0</v>
      </c>
      <c r="M37" s="1187">
        <f t="shared" si="0"/>
        <v>0</v>
      </c>
      <c r="N37" s="1211">
        <v>25</v>
      </c>
      <c r="O37" s="1198"/>
    </row>
    <row r="38" spans="1:15">
      <c r="A38" s="1203">
        <v>26</v>
      </c>
      <c r="B38" s="1165" t="s">
        <v>5218</v>
      </c>
      <c r="C38" s="1165"/>
      <c r="D38" s="1187">
        <f t="shared" ref="D38:M38" si="1">D14-D37</f>
        <v>541772948</v>
      </c>
      <c r="E38" s="1187">
        <f t="shared" si="1"/>
        <v>462863376</v>
      </c>
      <c r="F38" s="1187">
        <f t="shared" si="1"/>
        <v>0</v>
      </c>
      <c r="G38" s="1187">
        <f t="shared" si="1"/>
        <v>0</v>
      </c>
      <c r="H38" s="1187">
        <f t="shared" si="1"/>
        <v>361789663</v>
      </c>
      <c r="I38" s="1187">
        <f t="shared" si="1"/>
        <v>291857370</v>
      </c>
      <c r="J38" s="1187">
        <f t="shared" si="1"/>
        <v>179983285</v>
      </c>
      <c r="K38" s="1187">
        <f t="shared" si="1"/>
        <v>171006006</v>
      </c>
      <c r="L38" s="1187">
        <f t="shared" si="1"/>
        <v>0</v>
      </c>
      <c r="M38" s="1187">
        <f t="shared" si="1"/>
        <v>0</v>
      </c>
      <c r="N38" s="1211">
        <v>26</v>
      </c>
      <c r="O38" s="1198"/>
    </row>
    <row r="39" spans="1:15">
      <c r="A39" s="1212"/>
      <c r="B39" s="1213"/>
      <c r="C39" s="1214"/>
      <c r="D39" s="1212"/>
      <c r="E39" s="1212"/>
      <c r="F39" s="1214"/>
      <c r="G39" s="1214"/>
      <c r="H39" s="1213"/>
      <c r="I39" s="1213"/>
      <c r="J39" s="1213"/>
      <c r="K39" s="1213"/>
      <c r="L39" s="1213"/>
      <c r="M39" s="1213"/>
      <c r="N39" s="1212"/>
    </row>
    <row r="40" spans="1:15" ht="11.25" customHeight="1">
      <c r="A40" s="3943" t="s">
        <v>5219</v>
      </c>
      <c r="B40" s="3943"/>
      <c r="C40" s="3943"/>
      <c r="D40" s="3943"/>
      <c r="E40" s="3943"/>
      <c r="F40" s="3943"/>
      <c r="G40" s="3943"/>
      <c r="H40" s="3957" t="s">
        <v>5220</v>
      </c>
      <c r="I40" s="3958"/>
      <c r="J40" s="3958"/>
      <c r="K40" s="3958"/>
      <c r="L40" s="3958"/>
      <c r="M40" s="3958"/>
      <c r="N40" s="3959"/>
      <c r="O40" s="1198"/>
    </row>
    <row r="41" spans="1:15">
      <c r="A41" s="1203">
        <v>27</v>
      </c>
      <c r="B41" s="1165" t="s">
        <v>5221</v>
      </c>
      <c r="C41" s="1165"/>
      <c r="D41" s="1187">
        <f t="shared" ref="D41:M41" si="2">D38</f>
        <v>541772948</v>
      </c>
      <c r="E41" s="1187">
        <f t="shared" si="2"/>
        <v>462863376</v>
      </c>
      <c r="F41" s="1187">
        <f t="shared" si="2"/>
        <v>0</v>
      </c>
      <c r="G41" s="1187">
        <f t="shared" si="2"/>
        <v>0</v>
      </c>
      <c r="H41" s="1187">
        <f t="shared" si="2"/>
        <v>361789663</v>
      </c>
      <c r="I41" s="1187">
        <f t="shared" si="2"/>
        <v>291857370</v>
      </c>
      <c r="J41" s="1187">
        <f t="shared" si="2"/>
        <v>179983285</v>
      </c>
      <c r="K41" s="1187">
        <f t="shared" si="2"/>
        <v>171006006</v>
      </c>
      <c r="L41" s="1187">
        <f t="shared" si="2"/>
        <v>0</v>
      </c>
      <c r="M41" s="1187">
        <f t="shared" si="2"/>
        <v>0</v>
      </c>
      <c r="N41" s="1203">
        <v>27</v>
      </c>
      <c r="O41" s="1198"/>
    </row>
    <row r="42" spans="1:15">
      <c r="A42" s="1203">
        <v>28</v>
      </c>
      <c r="B42" s="1157" t="s">
        <v>5222</v>
      </c>
      <c r="C42" s="1157"/>
      <c r="D42" s="1205" t="s">
        <v>97</v>
      </c>
      <c r="E42" s="1206" t="s">
        <v>97</v>
      </c>
      <c r="F42" s="1206" t="s">
        <v>97</v>
      </c>
      <c r="G42" s="1206" t="s">
        <v>97</v>
      </c>
      <c r="H42" s="1206" t="s">
        <v>97</v>
      </c>
      <c r="I42" s="1206" t="s">
        <v>97</v>
      </c>
      <c r="J42" s="1206" t="s">
        <v>97</v>
      </c>
      <c r="K42" s="1206" t="s">
        <v>97</v>
      </c>
      <c r="L42" s="1206" t="s">
        <v>97</v>
      </c>
      <c r="M42" s="1207" t="s">
        <v>97</v>
      </c>
      <c r="N42" s="1203">
        <v>28</v>
      </c>
      <c r="O42" s="1198"/>
    </row>
    <row r="43" spans="1:15">
      <c r="A43" s="1203">
        <v>29</v>
      </c>
      <c r="B43" s="1157" t="s">
        <v>5223</v>
      </c>
      <c r="C43" s="1157"/>
      <c r="D43" s="1205" t="s">
        <v>97</v>
      </c>
      <c r="E43" s="1206" t="s">
        <v>97</v>
      </c>
      <c r="F43" s="1206" t="s">
        <v>97</v>
      </c>
      <c r="G43" s="1206" t="s">
        <v>97</v>
      </c>
      <c r="H43" s="1206" t="s">
        <v>97</v>
      </c>
      <c r="I43" s="1206" t="s">
        <v>97</v>
      </c>
      <c r="J43" s="1206" t="s">
        <v>97</v>
      </c>
      <c r="K43" s="1206" t="s">
        <v>97</v>
      </c>
      <c r="L43" s="1206" t="s">
        <v>97</v>
      </c>
      <c r="M43" s="1207" t="s">
        <v>97</v>
      </c>
      <c r="N43" s="1203">
        <v>29</v>
      </c>
      <c r="O43" s="1198"/>
    </row>
    <row r="44" spans="1:15">
      <c r="A44" s="1203">
        <v>30</v>
      </c>
      <c r="B44" s="1157" t="s">
        <v>5224</v>
      </c>
      <c r="C44" s="1157"/>
      <c r="D44" s="1205" t="s">
        <v>97</v>
      </c>
      <c r="E44" s="1206" t="s">
        <v>97</v>
      </c>
      <c r="F44" s="1206" t="s">
        <v>97</v>
      </c>
      <c r="G44" s="1206" t="s">
        <v>97</v>
      </c>
      <c r="H44" s="1206" t="s">
        <v>97</v>
      </c>
      <c r="I44" s="1206" t="s">
        <v>97</v>
      </c>
      <c r="J44" s="1206" t="s">
        <v>97</v>
      </c>
      <c r="K44" s="1206" t="s">
        <v>97</v>
      </c>
      <c r="L44" s="1206" t="s">
        <v>97</v>
      </c>
      <c r="M44" s="1207" t="s">
        <v>97</v>
      </c>
      <c r="N44" s="1203">
        <v>30</v>
      </c>
      <c r="O44" s="1198"/>
    </row>
    <row r="45" spans="1:15">
      <c r="A45" s="1203">
        <v>31</v>
      </c>
      <c r="B45" s="1157" t="s">
        <v>5225</v>
      </c>
      <c r="C45" s="1157"/>
      <c r="D45" s="1168">
        <v>216099</v>
      </c>
      <c r="E45" s="1168">
        <v>271813</v>
      </c>
      <c r="F45" s="1168">
        <v>0</v>
      </c>
      <c r="G45" s="1168">
        <v>0</v>
      </c>
      <c r="H45" s="1168">
        <v>0</v>
      </c>
      <c r="I45" s="1168">
        <v>0</v>
      </c>
      <c r="J45" s="1168">
        <v>0</v>
      </c>
      <c r="K45" s="1168">
        <v>0</v>
      </c>
      <c r="L45" s="1157"/>
      <c r="M45" s="1168">
        <v>0</v>
      </c>
      <c r="N45" s="1203">
        <v>31</v>
      </c>
      <c r="O45" s="1198"/>
    </row>
    <row r="46" spans="1:15">
      <c r="A46" s="1203">
        <v>32</v>
      </c>
      <c r="B46" s="1157" t="s">
        <v>5226</v>
      </c>
      <c r="C46" s="1157"/>
      <c r="D46" s="1168">
        <v>404975</v>
      </c>
      <c r="E46" s="1168">
        <v>988707</v>
      </c>
      <c r="F46" s="1168">
        <v>0</v>
      </c>
      <c r="G46" s="1168">
        <v>0</v>
      </c>
      <c r="H46" s="1168">
        <v>0</v>
      </c>
      <c r="I46" s="1168">
        <v>0</v>
      </c>
      <c r="J46" s="1168">
        <v>0</v>
      </c>
      <c r="K46" s="1168">
        <v>0</v>
      </c>
      <c r="L46" s="1157"/>
      <c r="M46" s="1168">
        <v>0</v>
      </c>
      <c r="N46" s="1203">
        <v>32</v>
      </c>
      <c r="O46" s="1198"/>
    </row>
    <row r="47" spans="1:15">
      <c r="A47" s="1203">
        <v>33</v>
      </c>
      <c r="B47" s="1157" t="s">
        <v>5227</v>
      </c>
      <c r="C47" s="1157"/>
      <c r="D47" s="1168">
        <v>14166573</v>
      </c>
      <c r="E47" s="1168">
        <v>44808060</v>
      </c>
      <c r="F47" s="1168">
        <v>0</v>
      </c>
      <c r="G47" s="1168">
        <v>0</v>
      </c>
      <c r="H47" s="1168">
        <v>0</v>
      </c>
      <c r="I47" s="1168">
        <v>0</v>
      </c>
      <c r="J47" s="1168">
        <v>0</v>
      </c>
      <c r="K47" s="1168">
        <v>0</v>
      </c>
      <c r="L47" s="1157"/>
      <c r="M47" s="1168">
        <v>0</v>
      </c>
      <c r="N47" s="1203">
        <v>33</v>
      </c>
      <c r="O47" s="1198"/>
    </row>
    <row r="48" spans="1:15">
      <c r="A48" s="1203">
        <v>34</v>
      </c>
      <c r="B48" s="1157" t="s">
        <v>5228</v>
      </c>
      <c r="C48" s="1157"/>
      <c r="D48" s="1168">
        <v>19588018</v>
      </c>
      <c r="E48" s="1168">
        <v>40561238</v>
      </c>
      <c r="F48" s="1168">
        <v>0</v>
      </c>
      <c r="G48" s="1168">
        <v>0</v>
      </c>
      <c r="H48" s="1168">
        <v>0</v>
      </c>
      <c r="I48" s="1168">
        <v>0</v>
      </c>
      <c r="J48" s="1168">
        <v>0</v>
      </c>
      <c r="K48" s="1168">
        <v>0</v>
      </c>
      <c r="L48" s="1157"/>
      <c r="M48" s="1168">
        <v>0</v>
      </c>
      <c r="N48" s="1203">
        <v>34</v>
      </c>
      <c r="O48" s="1198"/>
    </row>
    <row r="49" spans="1:15">
      <c r="A49" s="1203">
        <v>35</v>
      </c>
      <c r="B49" s="1157" t="s">
        <v>5229</v>
      </c>
      <c r="C49" s="1157"/>
      <c r="D49" s="1157"/>
      <c r="E49" s="1168">
        <v>0</v>
      </c>
      <c r="F49" s="1157"/>
      <c r="G49" s="1168">
        <v>0</v>
      </c>
      <c r="H49" s="1189"/>
      <c r="I49" s="1168">
        <v>0</v>
      </c>
      <c r="J49" s="1168">
        <v>0</v>
      </c>
      <c r="K49" s="1168">
        <v>0</v>
      </c>
      <c r="L49" s="1157"/>
      <c r="M49" s="1168">
        <v>0</v>
      </c>
      <c r="N49" s="1203">
        <v>35</v>
      </c>
      <c r="O49" s="1198"/>
    </row>
    <row r="50" spans="1:15">
      <c r="A50" s="1203">
        <v>36</v>
      </c>
      <c r="B50" s="1157" t="s">
        <v>5230</v>
      </c>
      <c r="C50" s="1159">
        <v>119</v>
      </c>
      <c r="D50" s="1168">
        <v>210368</v>
      </c>
      <c r="E50" s="1168">
        <v>270654</v>
      </c>
      <c r="F50" s="1168">
        <v>0</v>
      </c>
      <c r="G50" s="1168">
        <v>0</v>
      </c>
      <c r="H50" s="1168">
        <v>0</v>
      </c>
      <c r="I50" s="1168">
        <v>0</v>
      </c>
      <c r="J50" s="1168">
        <v>0</v>
      </c>
      <c r="K50" s="1168">
        <v>0</v>
      </c>
      <c r="L50" s="1157"/>
      <c r="M50" s="1168">
        <v>0</v>
      </c>
      <c r="N50" s="1203">
        <v>36</v>
      </c>
      <c r="O50" s="1198"/>
    </row>
    <row r="51" spans="1:15">
      <c r="A51" s="1203">
        <v>37</v>
      </c>
      <c r="B51" s="1157" t="s">
        <v>5231</v>
      </c>
      <c r="C51" s="1157"/>
      <c r="D51" s="1168">
        <v>2321152</v>
      </c>
      <c r="E51" s="1168">
        <v>-8731661</v>
      </c>
      <c r="F51" s="1168">
        <v>0</v>
      </c>
      <c r="G51" s="1168">
        <v>0</v>
      </c>
      <c r="H51" s="1168">
        <v>0</v>
      </c>
      <c r="I51" s="1168">
        <v>0</v>
      </c>
      <c r="J51" s="1168">
        <v>0</v>
      </c>
      <c r="K51" s="1168">
        <v>0</v>
      </c>
      <c r="L51" s="1157"/>
      <c r="M51" s="1168">
        <v>0</v>
      </c>
      <c r="N51" s="1203">
        <v>37</v>
      </c>
      <c r="O51" s="1198"/>
    </row>
    <row r="52" spans="1:15">
      <c r="A52" s="1203">
        <v>38</v>
      </c>
      <c r="B52" s="1157" t="s">
        <v>5232</v>
      </c>
      <c r="C52" s="1157"/>
      <c r="D52" s="1168">
        <v>39011961</v>
      </c>
      <c r="E52" s="1168">
        <v>28310136</v>
      </c>
      <c r="F52" s="1168">
        <v>0</v>
      </c>
      <c r="G52" s="1168">
        <v>0</v>
      </c>
      <c r="H52" s="1168">
        <v>0</v>
      </c>
      <c r="I52" s="1168">
        <v>0</v>
      </c>
      <c r="J52" s="1168">
        <v>0</v>
      </c>
      <c r="K52" s="1168">
        <v>0</v>
      </c>
      <c r="L52" s="1157"/>
      <c r="M52" s="1168">
        <v>0</v>
      </c>
      <c r="N52" s="1203">
        <v>38</v>
      </c>
      <c r="O52" s="1198"/>
    </row>
    <row r="53" spans="1:15">
      <c r="A53" s="1203">
        <v>39</v>
      </c>
      <c r="B53" s="1169" t="s">
        <v>5233</v>
      </c>
      <c r="C53" s="1169"/>
      <c r="D53" s="1171">
        <v>-261572131</v>
      </c>
      <c r="E53" s="1168">
        <v>289517265</v>
      </c>
      <c r="F53" s="1168">
        <v>0</v>
      </c>
      <c r="G53" s="1168">
        <v>0</v>
      </c>
      <c r="H53" s="1168">
        <v>0</v>
      </c>
      <c r="I53" s="1168">
        <v>0</v>
      </c>
      <c r="J53" s="1157"/>
      <c r="K53" s="1168">
        <v>0</v>
      </c>
      <c r="L53" s="1157"/>
      <c r="M53" s="1168">
        <v>0</v>
      </c>
      <c r="N53" s="1203">
        <v>39</v>
      </c>
      <c r="O53" s="1198"/>
    </row>
    <row r="54" spans="1:15">
      <c r="A54" s="1203">
        <v>40</v>
      </c>
      <c r="B54" s="1157" t="s">
        <v>5234</v>
      </c>
      <c r="C54" s="1157"/>
      <c r="D54" s="1168">
        <v>141079</v>
      </c>
      <c r="E54" s="1168">
        <v>235262</v>
      </c>
      <c r="F54" s="1215">
        <v>0</v>
      </c>
      <c r="G54" s="1168">
        <v>0</v>
      </c>
      <c r="H54" s="1189"/>
      <c r="I54" s="1168">
        <v>0</v>
      </c>
      <c r="J54" s="1157"/>
      <c r="K54" s="1168">
        <v>0</v>
      </c>
      <c r="L54" s="1157"/>
      <c r="M54" s="1168">
        <v>0</v>
      </c>
      <c r="N54" s="1203">
        <v>40</v>
      </c>
      <c r="O54" s="1198"/>
    </row>
    <row r="55" spans="1:15">
      <c r="A55" s="1203">
        <v>41</v>
      </c>
      <c r="B55" s="1165" t="s">
        <v>5235</v>
      </c>
      <c r="C55" s="1165"/>
      <c r="D55" s="1187">
        <f t="shared" ref="D55:M55" si="3">SUM(D45,D47,D49:D54)-SUM(D46,D48)</f>
        <v>-225497892</v>
      </c>
      <c r="E55" s="1187">
        <f t="shared" si="3"/>
        <v>313131584</v>
      </c>
      <c r="F55" s="1216">
        <f t="shared" si="3"/>
        <v>0</v>
      </c>
      <c r="G55" s="1187">
        <f t="shared" si="3"/>
        <v>0</v>
      </c>
      <c r="H55" s="1187">
        <f t="shared" si="3"/>
        <v>0</v>
      </c>
      <c r="I55" s="1187">
        <f t="shared" si="3"/>
        <v>0</v>
      </c>
      <c r="J55" s="1187">
        <f t="shared" si="3"/>
        <v>0</v>
      </c>
      <c r="K55" s="1187">
        <f t="shared" si="3"/>
        <v>0</v>
      </c>
      <c r="L55" s="1187">
        <f t="shared" si="3"/>
        <v>0</v>
      </c>
      <c r="M55" s="1187">
        <f t="shared" si="3"/>
        <v>0</v>
      </c>
      <c r="N55" s="1203">
        <v>41</v>
      </c>
      <c r="O55" s="1198"/>
    </row>
    <row r="56" spans="1:15">
      <c r="A56" s="1203">
        <v>42</v>
      </c>
      <c r="B56" s="1157" t="s">
        <v>5236</v>
      </c>
      <c r="C56" s="1157"/>
      <c r="D56" s="1205" t="s">
        <v>97</v>
      </c>
      <c r="E56" s="1206" t="s">
        <v>97</v>
      </c>
      <c r="F56" s="1206" t="s">
        <v>97</v>
      </c>
      <c r="G56" s="1206" t="s">
        <v>902</v>
      </c>
      <c r="H56" s="1206" t="s">
        <v>97</v>
      </c>
      <c r="I56" s="1206" t="s">
        <v>97</v>
      </c>
      <c r="J56" s="1206" t="s">
        <v>97</v>
      </c>
      <c r="K56" s="1206" t="s">
        <v>97</v>
      </c>
      <c r="L56" s="1206" t="s">
        <v>97</v>
      </c>
      <c r="M56" s="1207" t="s">
        <v>97</v>
      </c>
      <c r="N56" s="1203">
        <v>42</v>
      </c>
      <c r="O56" s="1198"/>
    </row>
    <row r="57" spans="1:15">
      <c r="A57" s="1203">
        <v>43</v>
      </c>
      <c r="B57" s="1157" t="s">
        <v>5237</v>
      </c>
      <c r="C57" s="1157"/>
      <c r="D57" s="1157"/>
      <c r="E57" s="1168">
        <v>0</v>
      </c>
      <c r="F57" s="1157"/>
      <c r="G57" s="1168">
        <v>0</v>
      </c>
      <c r="H57" s="1189"/>
      <c r="I57" s="1168">
        <v>0</v>
      </c>
      <c r="J57" s="1157"/>
      <c r="K57" s="1168">
        <v>0</v>
      </c>
      <c r="L57" s="1157"/>
      <c r="M57" s="1168">
        <v>0</v>
      </c>
      <c r="N57" s="1203">
        <v>43</v>
      </c>
      <c r="O57" s="1198"/>
    </row>
    <row r="58" spans="1:15">
      <c r="A58" s="1203">
        <v>44</v>
      </c>
      <c r="B58" s="1157" t="s">
        <v>5238</v>
      </c>
      <c r="C58" s="1157"/>
      <c r="D58" s="1157"/>
      <c r="E58" s="1168">
        <v>0</v>
      </c>
      <c r="F58" s="1157"/>
      <c r="G58" s="1168">
        <v>0</v>
      </c>
      <c r="H58" s="1189"/>
      <c r="I58" s="1168">
        <v>0</v>
      </c>
      <c r="J58" s="1157"/>
      <c r="K58" s="1168">
        <v>0</v>
      </c>
      <c r="L58" s="1157"/>
      <c r="M58" s="1168">
        <v>0</v>
      </c>
      <c r="N58" s="1203">
        <v>44</v>
      </c>
      <c r="O58" s="1198"/>
    </row>
    <row r="59" spans="1:15">
      <c r="A59" s="1203">
        <v>45</v>
      </c>
      <c r="B59" s="1157" t="s">
        <v>5239</v>
      </c>
      <c r="C59" s="1157"/>
      <c r="D59" s="1168">
        <v>29350</v>
      </c>
      <c r="E59" s="1168">
        <v>36800</v>
      </c>
      <c r="F59" s="1168">
        <v>0</v>
      </c>
      <c r="G59" s="1168">
        <v>0</v>
      </c>
      <c r="H59" s="1168">
        <v>0</v>
      </c>
      <c r="I59" s="1168">
        <v>0</v>
      </c>
      <c r="J59" s="1168">
        <v>0</v>
      </c>
      <c r="K59" s="1168">
        <v>0</v>
      </c>
      <c r="L59" s="1157"/>
      <c r="M59" s="1168">
        <v>0</v>
      </c>
      <c r="N59" s="1203">
        <v>45</v>
      </c>
      <c r="O59" s="1198"/>
    </row>
    <row r="60" spans="1:15">
      <c r="A60" s="1203">
        <v>46</v>
      </c>
      <c r="B60" s="1157" t="s">
        <v>5240</v>
      </c>
      <c r="C60" s="1157"/>
      <c r="D60" s="1168">
        <v>-3990191</v>
      </c>
      <c r="E60" s="1168">
        <v>-1759020</v>
      </c>
      <c r="F60" s="1168">
        <v>0</v>
      </c>
      <c r="G60" s="1168">
        <v>0</v>
      </c>
      <c r="H60" s="1168">
        <v>0</v>
      </c>
      <c r="I60" s="1168">
        <v>0</v>
      </c>
      <c r="J60" s="1168">
        <v>0</v>
      </c>
      <c r="K60" s="1168">
        <v>0</v>
      </c>
      <c r="L60" s="1157"/>
      <c r="M60" s="1168">
        <v>0</v>
      </c>
      <c r="N60" s="1203">
        <v>46</v>
      </c>
      <c r="O60" s="1198"/>
    </row>
    <row r="61" spans="1:15">
      <c r="A61" s="1203">
        <v>47</v>
      </c>
      <c r="B61" s="1157" t="s">
        <v>5241</v>
      </c>
      <c r="C61" s="1157"/>
      <c r="D61" s="1168">
        <v>688659</v>
      </c>
      <c r="E61" s="1168">
        <v>1529387</v>
      </c>
      <c r="F61" s="1168">
        <v>0</v>
      </c>
      <c r="G61" s="1168">
        <v>0</v>
      </c>
      <c r="H61" s="1168">
        <v>0</v>
      </c>
      <c r="I61" s="1168">
        <v>0</v>
      </c>
      <c r="J61" s="1168">
        <v>0</v>
      </c>
      <c r="K61" s="1168">
        <v>0</v>
      </c>
      <c r="L61" s="1157"/>
      <c r="M61" s="1168">
        <v>0</v>
      </c>
      <c r="N61" s="1203">
        <v>47</v>
      </c>
      <c r="O61" s="1198"/>
    </row>
    <row r="62" spans="1:15">
      <c r="A62" s="1203">
        <v>48</v>
      </c>
      <c r="B62" s="1157" t="s">
        <v>5242</v>
      </c>
      <c r="C62" s="1157"/>
      <c r="D62" s="1168">
        <v>8921500</v>
      </c>
      <c r="E62" s="1168">
        <v>8488691</v>
      </c>
      <c r="F62" s="1168">
        <v>0</v>
      </c>
      <c r="G62" s="1168">
        <v>0</v>
      </c>
      <c r="H62" s="1168">
        <v>0</v>
      </c>
      <c r="I62" s="1168">
        <v>0</v>
      </c>
      <c r="J62" s="1168">
        <v>0</v>
      </c>
      <c r="K62" s="1168">
        <v>0</v>
      </c>
      <c r="L62" s="1157"/>
      <c r="M62" s="1168">
        <v>0</v>
      </c>
      <c r="N62" s="1203">
        <v>48</v>
      </c>
      <c r="O62" s="1198"/>
    </row>
    <row r="63" spans="1:15">
      <c r="A63" s="1203">
        <v>49</v>
      </c>
      <c r="B63" s="1157" t="s">
        <v>5243</v>
      </c>
      <c r="C63" s="1157"/>
      <c r="D63" s="1168">
        <v>34842655</v>
      </c>
      <c r="E63" s="1168">
        <v>40784988</v>
      </c>
      <c r="F63" s="1168">
        <v>0</v>
      </c>
      <c r="G63" s="1168">
        <v>0</v>
      </c>
      <c r="H63" s="1168">
        <v>0</v>
      </c>
      <c r="I63" s="1168">
        <v>0</v>
      </c>
      <c r="J63" s="1157"/>
      <c r="K63" s="1168">
        <v>0</v>
      </c>
      <c r="L63" s="1157"/>
      <c r="M63" s="1168">
        <v>0</v>
      </c>
      <c r="N63" s="1203">
        <v>49</v>
      </c>
      <c r="O63" s="1198"/>
    </row>
    <row r="64" spans="1:15">
      <c r="A64" s="1203">
        <v>50</v>
      </c>
      <c r="B64" s="1165" t="s">
        <v>5244</v>
      </c>
      <c r="C64" s="1165"/>
      <c r="D64" s="1187">
        <f t="shared" ref="D64:M64" si="4">SUM(D57:D63)</f>
        <v>40491973</v>
      </c>
      <c r="E64" s="1187">
        <f t="shared" si="4"/>
        <v>49080846</v>
      </c>
      <c r="F64" s="1187">
        <f t="shared" si="4"/>
        <v>0</v>
      </c>
      <c r="G64" s="1187">
        <f t="shared" si="4"/>
        <v>0</v>
      </c>
      <c r="H64" s="1187">
        <f t="shared" si="4"/>
        <v>0</v>
      </c>
      <c r="I64" s="1187">
        <f t="shared" si="4"/>
        <v>0</v>
      </c>
      <c r="J64" s="1187">
        <f t="shared" si="4"/>
        <v>0</v>
      </c>
      <c r="K64" s="1187">
        <f t="shared" si="4"/>
        <v>0</v>
      </c>
      <c r="L64" s="1187">
        <f t="shared" si="4"/>
        <v>0</v>
      </c>
      <c r="M64" s="1187">
        <f t="shared" si="4"/>
        <v>0</v>
      </c>
      <c r="N64" s="1203">
        <v>50</v>
      </c>
      <c r="O64" s="1198"/>
    </row>
    <row r="65" spans="1:15">
      <c r="A65" s="1203">
        <v>51</v>
      </c>
      <c r="B65" s="1157" t="s">
        <v>5245</v>
      </c>
      <c r="C65" s="1157"/>
      <c r="D65" s="3965"/>
      <c r="E65" s="3965"/>
      <c r="F65" s="3965"/>
      <c r="G65" s="3965"/>
      <c r="H65" s="3965"/>
      <c r="I65" s="3965"/>
      <c r="J65" s="3965"/>
      <c r="K65" s="3965"/>
      <c r="L65" s="3965"/>
      <c r="M65" s="3965"/>
      <c r="N65" s="1203">
        <v>51</v>
      </c>
      <c r="O65" s="1198"/>
    </row>
    <row r="66" spans="1:15">
      <c r="A66" s="1203">
        <v>52</v>
      </c>
      <c r="B66" s="1157" t="s">
        <v>5246</v>
      </c>
      <c r="C66" s="1163" t="s">
        <v>821</v>
      </c>
      <c r="D66" s="1168">
        <v>356000</v>
      </c>
      <c r="E66" s="1168">
        <v>681438</v>
      </c>
      <c r="F66" s="1168">
        <v>0</v>
      </c>
      <c r="G66" s="1168">
        <v>0</v>
      </c>
      <c r="H66" s="1189"/>
      <c r="I66" s="1168">
        <v>0</v>
      </c>
      <c r="J66" s="1157"/>
      <c r="K66" s="1168">
        <v>0</v>
      </c>
      <c r="L66" s="1157"/>
      <c r="M66" s="1168">
        <v>0</v>
      </c>
      <c r="N66" s="1203">
        <v>52</v>
      </c>
      <c r="O66" s="1198"/>
    </row>
    <row r="67" spans="1:15">
      <c r="A67" s="1203">
        <v>53</v>
      </c>
      <c r="B67" s="1157" t="s">
        <v>5247</v>
      </c>
      <c r="C67" s="1163" t="s">
        <v>821</v>
      </c>
      <c r="D67" s="1168">
        <v>-105438142</v>
      </c>
      <c r="E67" s="1168">
        <v>-67633</v>
      </c>
      <c r="F67" s="1168">
        <v>0</v>
      </c>
      <c r="G67" s="1168">
        <v>0</v>
      </c>
      <c r="H67" s="1189"/>
      <c r="I67" s="1168">
        <v>0</v>
      </c>
      <c r="J67" s="1157"/>
      <c r="K67" s="1168">
        <v>0</v>
      </c>
      <c r="L67" s="1157"/>
      <c r="M67" s="1168">
        <v>0</v>
      </c>
      <c r="N67" s="1203">
        <v>53</v>
      </c>
      <c r="O67" s="1198"/>
    </row>
    <row r="68" spans="1:15">
      <c r="A68" s="1203">
        <v>54</v>
      </c>
      <c r="B68" s="1157" t="s">
        <v>5248</v>
      </c>
      <c r="C68" s="1163" t="s">
        <v>821</v>
      </c>
      <c r="D68" s="1189"/>
      <c r="E68" s="1168">
        <v>0</v>
      </c>
      <c r="F68" s="1157"/>
      <c r="G68" s="1168">
        <v>0</v>
      </c>
      <c r="H68" s="1189"/>
      <c r="I68" s="1168">
        <v>0</v>
      </c>
      <c r="J68" s="1157"/>
      <c r="K68" s="1168">
        <v>0</v>
      </c>
      <c r="L68" s="1157"/>
      <c r="M68" s="1168">
        <v>0</v>
      </c>
      <c r="N68" s="1203">
        <v>54</v>
      </c>
      <c r="O68" s="1198"/>
    </row>
    <row r="69" spans="1:15">
      <c r="A69" s="1203">
        <v>55</v>
      </c>
      <c r="B69" s="1157" t="s">
        <v>5249</v>
      </c>
      <c r="C69" s="1163" t="s">
        <v>5209</v>
      </c>
      <c r="D69" s="1168">
        <v>-7418032</v>
      </c>
      <c r="E69" s="1168">
        <v>-498795</v>
      </c>
      <c r="F69" s="1168">
        <v>0</v>
      </c>
      <c r="G69" s="1168">
        <v>0</v>
      </c>
      <c r="H69" s="1189"/>
      <c r="I69" s="1168">
        <v>0</v>
      </c>
      <c r="J69" s="1157"/>
      <c r="K69" s="1168">
        <v>0</v>
      </c>
      <c r="L69" s="1157"/>
      <c r="M69" s="1168">
        <v>0</v>
      </c>
      <c r="N69" s="1203">
        <v>55</v>
      </c>
      <c r="O69" s="1198"/>
    </row>
    <row r="70" spans="1:15">
      <c r="A70" s="1203">
        <v>56</v>
      </c>
      <c r="B70" s="1157" t="s">
        <v>5250</v>
      </c>
      <c r="C70" s="1163" t="s">
        <v>5209</v>
      </c>
      <c r="D70" s="1168">
        <v>0</v>
      </c>
      <c r="E70" s="1168">
        <v>0</v>
      </c>
      <c r="F70" s="1157"/>
      <c r="G70" s="1168">
        <v>0</v>
      </c>
      <c r="H70" s="1189"/>
      <c r="I70" s="1168">
        <v>0</v>
      </c>
      <c r="J70" s="1157"/>
      <c r="K70" s="1168">
        <v>0</v>
      </c>
      <c r="L70" s="1157"/>
      <c r="M70" s="1168">
        <v>0</v>
      </c>
      <c r="N70" s="1203">
        <v>56</v>
      </c>
      <c r="O70" s="1198"/>
    </row>
    <row r="71" spans="1:15">
      <c r="A71" s="1203">
        <v>57</v>
      </c>
      <c r="B71" s="1157" t="s">
        <v>5251</v>
      </c>
      <c r="C71" s="1157"/>
      <c r="D71" s="1157"/>
      <c r="E71" s="1168">
        <v>0</v>
      </c>
      <c r="F71" s="1157"/>
      <c r="G71" s="1168">
        <v>0</v>
      </c>
      <c r="H71" s="1189"/>
      <c r="I71" s="1168">
        <v>0</v>
      </c>
      <c r="J71" s="1157"/>
      <c r="K71" s="1168">
        <v>0</v>
      </c>
      <c r="L71" s="1157"/>
      <c r="M71" s="1168">
        <v>0</v>
      </c>
      <c r="N71" s="1203">
        <v>57</v>
      </c>
      <c r="O71" s="1198"/>
    </row>
    <row r="72" spans="1:15">
      <c r="A72" s="1203">
        <v>58</v>
      </c>
      <c r="B72" s="1157" t="s">
        <v>5252</v>
      </c>
      <c r="C72" s="1157"/>
      <c r="D72" s="1157"/>
      <c r="E72" s="1168">
        <v>0</v>
      </c>
      <c r="F72" s="1152"/>
      <c r="G72" s="1168">
        <v>0</v>
      </c>
      <c r="H72" s="1189"/>
      <c r="I72" s="1168">
        <v>0</v>
      </c>
      <c r="J72" s="1157"/>
      <c r="K72" s="1168">
        <v>0</v>
      </c>
      <c r="L72" s="1157"/>
      <c r="M72" s="1168">
        <v>0</v>
      </c>
      <c r="N72" s="1203">
        <v>58</v>
      </c>
      <c r="O72" s="1198"/>
    </row>
    <row r="73" spans="1:15">
      <c r="A73" s="1203">
        <v>59</v>
      </c>
      <c r="B73" s="1165" t="s">
        <v>5253</v>
      </c>
      <c r="C73" s="1165"/>
      <c r="D73" s="1187">
        <f t="shared" ref="D73:M73" si="5">SUM(D66:D69,D71)-SUM(D70,D72)</f>
        <v>-112500174</v>
      </c>
      <c r="E73" s="1187">
        <f t="shared" si="5"/>
        <v>115010</v>
      </c>
      <c r="F73" s="1216">
        <f t="shared" si="5"/>
        <v>0</v>
      </c>
      <c r="G73" s="1187">
        <f t="shared" si="5"/>
        <v>0</v>
      </c>
      <c r="H73" s="1187">
        <f t="shared" si="5"/>
        <v>0</v>
      </c>
      <c r="I73" s="1187">
        <f t="shared" si="5"/>
        <v>0</v>
      </c>
      <c r="J73" s="1187">
        <f t="shared" si="5"/>
        <v>0</v>
      </c>
      <c r="K73" s="1187">
        <f t="shared" si="5"/>
        <v>0</v>
      </c>
      <c r="L73" s="1187">
        <f t="shared" si="5"/>
        <v>0</v>
      </c>
      <c r="M73" s="1187">
        <f t="shared" si="5"/>
        <v>0</v>
      </c>
      <c r="N73" s="1203">
        <v>59</v>
      </c>
      <c r="O73" s="1198"/>
    </row>
    <row r="74" spans="1:15">
      <c r="A74" s="1203">
        <v>60</v>
      </c>
      <c r="B74" s="1165" t="s">
        <v>5254</v>
      </c>
      <c r="C74" s="1165"/>
      <c r="D74" s="1187">
        <f t="shared" ref="D74:M74" si="6">D55-D64-D73</f>
        <v>-153489691</v>
      </c>
      <c r="E74" s="1187">
        <f t="shared" si="6"/>
        <v>263935728</v>
      </c>
      <c r="F74" s="1187">
        <f t="shared" si="6"/>
        <v>0</v>
      </c>
      <c r="G74" s="1187">
        <f t="shared" si="6"/>
        <v>0</v>
      </c>
      <c r="H74" s="1187">
        <f t="shared" si="6"/>
        <v>0</v>
      </c>
      <c r="I74" s="1187">
        <f t="shared" si="6"/>
        <v>0</v>
      </c>
      <c r="J74" s="1187">
        <f t="shared" si="6"/>
        <v>0</v>
      </c>
      <c r="K74" s="1187">
        <f t="shared" si="6"/>
        <v>0</v>
      </c>
      <c r="L74" s="1187">
        <f t="shared" si="6"/>
        <v>0</v>
      </c>
      <c r="M74" s="1187">
        <f t="shared" si="6"/>
        <v>0</v>
      </c>
      <c r="N74" s="1203">
        <v>60</v>
      </c>
      <c r="O74" s="1198"/>
    </row>
    <row r="75" spans="1:15">
      <c r="A75" s="1203">
        <v>61</v>
      </c>
      <c r="B75" s="1157" t="s">
        <v>5255</v>
      </c>
      <c r="C75" s="1157"/>
      <c r="D75" s="3965"/>
      <c r="E75" s="3965"/>
      <c r="F75" s="3965"/>
      <c r="G75" s="3965"/>
      <c r="H75" s="3965"/>
      <c r="I75" s="3965"/>
      <c r="J75" s="3965"/>
      <c r="K75" s="3965"/>
      <c r="L75" s="3965"/>
      <c r="M75" s="3965"/>
      <c r="N75" s="1203">
        <v>61</v>
      </c>
      <c r="O75" s="1198"/>
    </row>
    <row r="76" spans="1:15">
      <c r="A76" s="1203">
        <v>62</v>
      </c>
      <c r="B76" s="1157" t="s">
        <v>5256</v>
      </c>
      <c r="C76" s="1157"/>
      <c r="D76" s="1168">
        <v>253702267</v>
      </c>
      <c r="E76" s="1168">
        <v>240203334</v>
      </c>
      <c r="F76" s="1168">
        <v>0</v>
      </c>
      <c r="G76" s="1168">
        <v>0</v>
      </c>
      <c r="H76" s="1189"/>
      <c r="I76" s="1168">
        <v>0</v>
      </c>
      <c r="J76" s="1157"/>
      <c r="K76" s="1168">
        <v>0</v>
      </c>
      <c r="L76" s="1157"/>
      <c r="M76" s="1168">
        <v>0</v>
      </c>
      <c r="N76" s="1203">
        <v>62</v>
      </c>
      <c r="O76" s="1198"/>
    </row>
    <row r="77" spans="1:15">
      <c r="A77" s="1203">
        <v>63</v>
      </c>
      <c r="B77" s="1157" t="s">
        <v>5257</v>
      </c>
      <c r="C77" s="1157"/>
      <c r="D77" s="1168">
        <v>2648196</v>
      </c>
      <c r="E77" s="1168">
        <v>2651955</v>
      </c>
      <c r="F77" s="1168">
        <v>0</v>
      </c>
      <c r="G77" s="1168">
        <v>0</v>
      </c>
      <c r="H77" s="1189"/>
      <c r="I77" s="1168">
        <v>0</v>
      </c>
      <c r="J77" s="1157"/>
      <c r="K77" s="1168">
        <v>0</v>
      </c>
      <c r="L77" s="1157"/>
      <c r="M77" s="1168">
        <v>0</v>
      </c>
      <c r="N77" s="1203">
        <v>63</v>
      </c>
      <c r="O77" s="1198"/>
    </row>
    <row r="78" spans="1:15">
      <c r="A78" s="1203">
        <v>64</v>
      </c>
      <c r="B78" s="1157" t="s">
        <v>5258</v>
      </c>
      <c r="C78" s="1157"/>
      <c r="D78" s="1168">
        <v>2106146</v>
      </c>
      <c r="E78" s="1168">
        <v>2168876</v>
      </c>
      <c r="F78" s="1168">
        <v>0</v>
      </c>
      <c r="G78" s="1168">
        <v>0</v>
      </c>
      <c r="H78" s="1189"/>
      <c r="I78" s="1168">
        <v>0</v>
      </c>
      <c r="J78" s="1157"/>
      <c r="K78" s="1168">
        <v>0</v>
      </c>
      <c r="L78" s="1157"/>
      <c r="M78" s="1168">
        <v>0</v>
      </c>
      <c r="N78" s="1203">
        <v>64</v>
      </c>
      <c r="O78" s="1198"/>
    </row>
    <row r="79" spans="1:15">
      <c r="A79" s="1203">
        <v>65</v>
      </c>
      <c r="B79" s="1157" t="s">
        <v>5259</v>
      </c>
      <c r="C79" s="1157"/>
      <c r="D79" s="1157"/>
      <c r="E79" s="1168">
        <v>0</v>
      </c>
      <c r="F79" s="1157"/>
      <c r="G79" s="1168">
        <v>0</v>
      </c>
      <c r="H79" s="1189"/>
      <c r="I79" s="1168">
        <v>0</v>
      </c>
      <c r="J79" s="1157"/>
      <c r="K79" s="1168">
        <v>0</v>
      </c>
      <c r="L79" s="1157"/>
      <c r="M79" s="1168">
        <v>0</v>
      </c>
      <c r="N79" s="1203">
        <v>65</v>
      </c>
      <c r="O79" s="1198"/>
    </row>
    <row r="80" spans="1:15">
      <c r="A80" s="1203">
        <v>66</v>
      </c>
      <c r="B80" s="1157" t="s">
        <v>5260</v>
      </c>
      <c r="C80" s="1157"/>
      <c r="D80" s="1157"/>
      <c r="E80" s="1168">
        <v>0</v>
      </c>
      <c r="F80" s="1157"/>
      <c r="G80" s="1168">
        <v>0</v>
      </c>
      <c r="H80" s="1189"/>
      <c r="I80" s="1168">
        <v>0</v>
      </c>
      <c r="J80" s="1157"/>
      <c r="K80" s="1168">
        <v>0</v>
      </c>
      <c r="L80" s="1157"/>
      <c r="M80" s="1168">
        <v>0</v>
      </c>
      <c r="N80" s="1203">
        <v>66</v>
      </c>
      <c r="O80" s="1198"/>
    </row>
    <row r="81" spans="1:15">
      <c r="A81" s="1203">
        <v>67</v>
      </c>
      <c r="B81" s="1157" t="s">
        <v>5261</v>
      </c>
      <c r="C81" s="1157"/>
      <c r="D81" s="1189"/>
      <c r="E81" s="1168">
        <v>0</v>
      </c>
      <c r="F81" s="1157"/>
      <c r="G81" s="1168">
        <v>0</v>
      </c>
      <c r="H81" s="1189"/>
      <c r="I81" s="1168">
        <v>0</v>
      </c>
      <c r="J81" s="1157"/>
      <c r="K81" s="1168">
        <v>0</v>
      </c>
      <c r="L81" s="1157"/>
      <c r="M81" s="1168">
        <v>0</v>
      </c>
      <c r="N81" s="1203">
        <v>67</v>
      </c>
      <c r="O81" s="1198"/>
    </row>
    <row r="82" spans="1:15">
      <c r="A82" s="1203">
        <v>68</v>
      </c>
      <c r="B82" s="1157" t="s">
        <v>5262</v>
      </c>
      <c r="C82" s="1157"/>
      <c r="D82" s="1168">
        <v>23454299</v>
      </c>
      <c r="E82" s="1168">
        <v>9268172</v>
      </c>
      <c r="F82" s="1168">
        <v>0</v>
      </c>
      <c r="G82" s="1168">
        <v>0</v>
      </c>
      <c r="H82" s="1189"/>
      <c r="I82" s="1168">
        <v>0</v>
      </c>
      <c r="J82" s="1157"/>
      <c r="K82" s="1168">
        <v>0</v>
      </c>
      <c r="L82" s="1157"/>
      <c r="M82" s="1168">
        <v>0</v>
      </c>
      <c r="N82" s="1203">
        <v>68</v>
      </c>
      <c r="O82" s="1198"/>
    </row>
    <row r="83" spans="1:15">
      <c r="A83" s="1203">
        <v>69</v>
      </c>
      <c r="B83" s="1157" t="s">
        <v>5263</v>
      </c>
      <c r="C83" s="1157"/>
      <c r="D83" s="1168">
        <v>24686821</v>
      </c>
      <c r="E83" s="1168">
        <v>18443620</v>
      </c>
      <c r="F83" s="1168">
        <v>0</v>
      </c>
      <c r="G83" s="1168">
        <v>0</v>
      </c>
      <c r="H83" s="1189"/>
      <c r="I83" s="1168">
        <v>0</v>
      </c>
      <c r="J83" s="1157"/>
      <c r="K83" s="1168">
        <v>0</v>
      </c>
      <c r="L83" s="1157"/>
      <c r="M83" s="1168">
        <v>0</v>
      </c>
      <c r="N83" s="1203">
        <v>69</v>
      </c>
      <c r="O83" s="1198"/>
    </row>
    <row r="84" spans="1:15">
      <c r="A84" s="1203">
        <v>70</v>
      </c>
      <c r="B84" s="1165" t="s">
        <v>5264</v>
      </c>
      <c r="C84" s="1165"/>
      <c r="D84" s="1187">
        <f t="shared" ref="D84:M84" si="7">SUM(D76:D78,D81:D82)-SUM(D79:D80,D83)</f>
        <v>257224087</v>
      </c>
      <c r="E84" s="1187">
        <f t="shared" si="7"/>
        <v>235848717</v>
      </c>
      <c r="F84" s="1187">
        <f t="shared" si="7"/>
        <v>0</v>
      </c>
      <c r="G84" s="1187">
        <f t="shared" si="7"/>
        <v>0</v>
      </c>
      <c r="H84" s="1187">
        <f t="shared" si="7"/>
        <v>0</v>
      </c>
      <c r="I84" s="1187">
        <f t="shared" si="7"/>
        <v>0</v>
      </c>
      <c r="J84" s="1187">
        <f t="shared" si="7"/>
        <v>0</v>
      </c>
      <c r="K84" s="1187">
        <f t="shared" si="7"/>
        <v>0</v>
      </c>
      <c r="L84" s="1187">
        <f t="shared" si="7"/>
        <v>0</v>
      </c>
      <c r="M84" s="1187">
        <f t="shared" si="7"/>
        <v>0</v>
      </c>
      <c r="N84" s="1203">
        <v>70</v>
      </c>
      <c r="O84" s="1198"/>
    </row>
    <row r="85" spans="1:15">
      <c r="A85" s="1203">
        <v>71</v>
      </c>
      <c r="B85" s="1165" t="s">
        <v>5265</v>
      </c>
      <c r="C85" s="1165"/>
      <c r="D85" s="1187">
        <f t="shared" ref="D85:M85" si="8">SUM(D41,D74)-D84</f>
        <v>131059170</v>
      </c>
      <c r="E85" s="1187">
        <f t="shared" si="8"/>
        <v>490950387</v>
      </c>
      <c r="F85" s="1187">
        <f t="shared" si="8"/>
        <v>0</v>
      </c>
      <c r="G85" s="1187">
        <f t="shared" si="8"/>
        <v>0</v>
      </c>
      <c r="H85" s="1187">
        <f t="shared" si="8"/>
        <v>361789663</v>
      </c>
      <c r="I85" s="1187">
        <f t="shared" si="8"/>
        <v>291857370</v>
      </c>
      <c r="J85" s="1187">
        <f t="shared" si="8"/>
        <v>179983285</v>
      </c>
      <c r="K85" s="1187">
        <f t="shared" si="8"/>
        <v>171006006</v>
      </c>
      <c r="L85" s="1187">
        <f t="shared" si="8"/>
        <v>0</v>
      </c>
      <c r="M85" s="1187">
        <f t="shared" si="8"/>
        <v>0</v>
      </c>
      <c r="N85" s="1203">
        <v>71</v>
      </c>
      <c r="O85" s="1198"/>
    </row>
    <row r="86" spans="1:15">
      <c r="A86" s="1203">
        <v>72</v>
      </c>
      <c r="B86" s="1157" t="s">
        <v>5266</v>
      </c>
      <c r="C86" s="1157"/>
      <c r="D86" s="3965"/>
      <c r="E86" s="3965"/>
      <c r="F86" s="3965"/>
      <c r="G86" s="3965"/>
      <c r="H86" s="3965"/>
      <c r="I86" s="3965"/>
      <c r="J86" s="3965"/>
      <c r="K86" s="3965"/>
      <c r="L86" s="3965"/>
      <c r="M86" s="3965"/>
      <c r="N86" s="1203">
        <v>72</v>
      </c>
      <c r="O86" s="1198"/>
    </row>
    <row r="87" spans="1:15">
      <c r="A87" s="1203">
        <v>73</v>
      </c>
      <c r="B87" s="1157" t="s">
        <v>5267</v>
      </c>
      <c r="C87" s="1157"/>
      <c r="D87" s="1157"/>
      <c r="E87" s="1157"/>
      <c r="F87" s="1157"/>
      <c r="G87" s="1168">
        <f ca="1">SUMIFS($V87:$AJ87,$V$11:$AJ$11,$J$11,$V$12:$AJ$12,$I$12)</f>
        <v>0</v>
      </c>
      <c r="H87" s="1189"/>
      <c r="I87" s="1168">
        <f ca="1">SUMIFS($U87:$XFD87,$U$11:$XFD$11,I$11,$U$12:$XFD$12,H$12)</f>
        <v>0</v>
      </c>
      <c r="J87" s="1157"/>
      <c r="K87" s="1168">
        <f ca="1">SUMIFS($U87:$XFD87,$U$11:$XFD$11,K$11,$U$12:$XFD$12,J$12)</f>
        <v>0</v>
      </c>
      <c r="L87" s="1157"/>
      <c r="M87" s="1168">
        <f ca="1">SUMIFS($U87:$XFD87,$U$11:$XFD$11,M$11,$U$12:$XFD$12,L$12)</f>
        <v>0</v>
      </c>
      <c r="N87" s="1203">
        <v>73</v>
      </c>
      <c r="O87" s="1198"/>
    </row>
    <row r="88" spans="1:15">
      <c r="A88" s="1203">
        <v>74</v>
      </c>
      <c r="B88" s="1157" t="s">
        <v>5268</v>
      </c>
      <c r="C88" s="1157"/>
      <c r="D88" s="1157"/>
      <c r="E88" s="1157"/>
      <c r="F88" s="1157"/>
      <c r="G88" s="1168">
        <f ca="1">SUMIFS($V88:$AJ88,$V$11:$AJ$11,$J$11,$V$12:$AJ$12,$I$12)</f>
        <v>0</v>
      </c>
      <c r="H88" s="1189"/>
      <c r="I88" s="1168">
        <f ca="1">SUMIFS($U88:$XFD88,$U$11:$XFD$11,I$11,$U$12:$XFD$12,H$12)</f>
        <v>0</v>
      </c>
      <c r="J88" s="1157"/>
      <c r="K88" s="1168">
        <f ca="1">SUMIFS($U88:$XFD88,$U$11:$XFD$11,K$11,$U$12:$XFD$12,J$12)</f>
        <v>0</v>
      </c>
      <c r="L88" s="1157"/>
      <c r="M88" s="1168">
        <f ca="1">SUMIFS($U88:$XFD88,$U$11:$XFD$11,M$11,$U$12:$XFD$12,L$12)</f>
        <v>0</v>
      </c>
      <c r="N88" s="1203">
        <v>74</v>
      </c>
      <c r="O88" s="1198"/>
    </row>
    <row r="89" spans="1:15">
      <c r="A89" s="1203">
        <v>75</v>
      </c>
      <c r="B89" s="1165" t="s">
        <v>5269</v>
      </c>
      <c r="C89" s="1165"/>
      <c r="D89" s="1187">
        <f t="shared" ref="D89:M89" si="9">D87-D88</f>
        <v>0</v>
      </c>
      <c r="E89" s="1187">
        <f t="shared" si="9"/>
        <v>0</v>
      </c>
      <c r="F89" s="1187">
        <f t="shared" si="9"/>
        <v>0</v>
      </c>
      <c r="G89" s="1187">
        <f t="shared" ca="1" si="9"/>
        <v>0</v>
      </c>
      <c r="H89" s="1187">
        <f t="shared" si="9"/>
        <v>0</v>
      </c>
      <c r="I89" s="1187">
        <f t="shared" ca="1" si="9"/>
        <v>0</v>
      </c>
      <c r="J89" s="1187">
        <f t="shared" si="9"/>
        <v>0</v>
      </c>
      <c r="K89" s="1187">
        <f t="shared" ca="1" si="9"/>
        <v>0</v>
      </c>
      <c r="L89" s="1187">
        <f t="shared" si="9"/>
        <v>0</v>
      </c>
      <c r="M89" s="1187">
        <f t="shared" ca="1" si="9"/>
        <v>0</v>
      </c>
      <c r="N89" s="1203">
        <v>75</v>
      </c>
      <c r="O89" s="1198"/>
    </row>
    <row r="90" spans="1:15">
      <c r="A90" s="1203">
        <v>76</v>
      </c>
      <c r="B90" s="1157" t="s">
        <v>5270</v>
      </c>
      <c r="C90" s="1163" t="s">
        <v>821</v>
      </c>
      <c r="D90" s="1157"/>
      <c r="E90" s="1157"/>
      <c r="F90" s="1157"/>
      <c r="G90" s="1168">
        <f ca="1">SUMIFS($V90:$AJ90,$V$11:$AJ$11,$J$11,$V$12:$AJ$12,$I$12)</f>
        <v>0</v>
      </c>
      <c r="H90" s="1189"/>
      <c r="I90" s="1168">
        <f ca="1">SUMIFS($U90:$XFD90,$U$11:$XFD$11,I$11,$U$12:$XFD$12,H$12)</f>
        <v>0</v>
      </c>
      <c r="J90" s="1157"/>
      <c r="K90" s="1168">
        <f ca="1">SUMIFS($U90:$XFD90,$U$11:$XFD$11,K$11,$U$12:$XFD$12,J$12)</f>
        <v>0</v>
      </c>
      <c r="L90" s="1157"/>
      <c r="M90" s="1168">
        <f ca="1">SUMIFS($U90:$XFD90,$U$11:$XFD$11,M$11,$U$12:$XFD$12,L$12)</f>
        <v>0</v>
      </c>
      <c r="N90" s="1203">
        <v>76</v>
      </c>
      <c r="O90" s="1198"/>
    </row>
    <row r="91" spans="1:15">
      <c r="A91" s="1203">
        <v>77</v>
      </c>
      <c r="B91" s="1165" t="s">
        <v>5271</v>
      </c>
      <c r="C91" s="1165"/>
      <c r="D91" s="1187">
        <f>D89-D90</f>
        <v>0</v>
      </c>
      <c r="E91" s="1187">
        <f>E89-E90</f>
        <v>0</v>
      </c>
      <c r="F91" s="1187">
        <f>F89-F90</f>
        <v>0</v>
      </c>
      <c r="G91" s="1187">
        <f ca="1">G89-G90</f>
        <v>0</v>
      </c>
      <c r="H91" s="1217"/>
      <c r="I91" s="1217"/>
      <c r="J91" s="1217"/>
      <c r="K91" s="1217"/>
      <c r="L91" s="1217"/>
      <c r="M91" s="1217"/>
      <c r="N91" s="1203">
        <v>77</v>
      </c>
      <c r="O91" s="1198"/>
    </row>
    <row r="92" spans="1:15">
      <c r="A92" s="1203">
        <v>78</v>
      </c>
      <c r="B92" s="1165" t="s">
        <v>5272</v>
      </c>
      <c r="C92" s="1165"/>
      <c r="D92" s="1187">
        <f>SUM(D85,D91)</f>
        <v>131059170</v>
      </c>
      <c r="E92" s="1187">
        <f>SUM(E85,E91)</f>
        <v>490950387</v>
      </c>
      <c r="F92" s="1187">
        <f>SUM(F85,F91)</f>
        <v>0</v>
      </c>
      <c r="G92" s="1187">
        <f ca="1">SUM(G85,G91)</f>
        <v>0</v>
      </c>
      <c r="H92" s="1217"/>
      <c r="I92" s="1217"/>
      <c r="J92" s="1217"/>
      <c r="K92" s="1217"/>
      <c r="L92" s="1217"/>
      <c r="M92" s="1217"/>
      <c r="N92" s="1203">
        <v>78</v>
      </c>
      <c r="O92" s="1198"/>
    </row>
    <row r="93" spans="1:15">
      <c r="A93" s="1194"/>
      <c r="B93" s="1194"/>
      <c r="C93" s="1194"/>
      <c r="D93" s="1218"/>
      <c r="E93" s="1218"/>
      <c r="F93" s="1218"/>
      <c r="G93" s="1218"/>
      <c r="H93" s="1218"/>
      <c r="I93" s="1218"/>
      <c r="J93" s="1218"/>
      <c r="K93" s="1218"/>
      <c r="L93" s="1218"/>
      <c r="M93" s="1218"/>
      <c r="N93" s="1194"/>
    </row>
  </sheetData>
  <mergeCells count="23">
    <mergeCell ref="D65:M65"/>
    <mergeCell ref="D75:M75"/>
    <mergeCell ref="D86:M86"/>
    <mergeCell ref="G9:G10"/>
    <mergeCell ref="H9:I9"/>
    <mergeCell ref="J9:K9"/>
    <mergeCell ref="L9:M9"/>
    <mergeCell ref="N9:N12"/>
    <mergeCell ref="A40:G40"/>
    <mergeCell ref="H40:N40"/>
    <mergeCell ref="A9:A12"/>
    <mergeCell ref="B9:B10"/>
    <mergeCell ref="C9:C10"/>
    <mergeCell ref="D9:D10"/>
    <mergeCell ref="E9:E10"/>
    <mergeCell ref="F9:F10"/>
    <mergeCell ref="A8:G8"/>
    <mergeCell ref="H8:N8"/>
    <mergeCell ref="A3:E3"/>
    <mergeCell ref="A6:G6"/>
    <mergeCell ref="H6:N6"/>
    <mergeCell ref="A7:G7"/>
    <mergeCell ref="H7:N7"/>
  </mergeCells>
  <pageMargins left="0.75" right="0.75" top="1" bottom="1" header="0.5" footer="0.5"/>
  <pageSetup orientation="portrait" horizontalDpi="90" verticalDpi="90" r:id="rId1"/>
  <customProperties>
    <customPr name="_pios_id" r:id="rId2"/>
  </customPropertie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rgb="FF92D050"/>
  </sheetPr>
  <dimension ref="A1:S47"/>
  <sheetViews>
    <sheetView workbookViewId="0">
      <pane ySplit="10" topLeftCell="A11" activePane="bottomLeft" state="frozen"/>
      <selection sqref="A1:XFD1048576"/>
      <selection pane="bottomLeft" sqref="A1:XFD1048576"/>
    </sheetView>
  </sheetViews>
  <sheetFormatPr defaultColWidth="15.875" defaultRowHeight="11.25"/>
  <cols>
    <col min="1" max="1" width="4.125" style="1149" bestFit="1" customWidth="1"/>
    <col min="2" max="2" width="46.375" style="1149" customWidth="1"/>
    <col min="3" max="3" width="16" style="1149" bestFit="1" customWidth="1"/>
    <col min="4" max="5" width="12" style="1149" bestFit="1" customWidth="1"/>
    <col min="6" max="6" width="10.5" style="1149" bestFit="1" customWidth="1"/>
    <col min="7" max="7" width="11.25" style="1149" bestFit="1" customWidth="1"/>
    <col min="8" max="8" width="10.5" style="1149" bestFit="1" customWidth="1"/>
    <col min="9" max="9" width="11.125" style="1149" bestFit="1" customWidth="1"/>
    <col min="10" max="10" width="4.125" style="1149" bestFit="1" customWidth="1"/>
    <col min="11" max="11" width="1.375" style="1149" customWidth="1"/>
    <col min="12" max="12" width="30" style="1149" bestFit="1" customWidth="1"/>
    <col min="13" max="13" width="9.75" style="1149" bestFit="1" customWidth="1"/>
    <col min="14" max="14" width="19.25" style="1149" bestFit="1" customWidth="1"/>
    <col min="15" max="15" width="1.375" style="1149" bestFit="1" customWidth="1"/>
    <col min="16" max="16" width="12.25" style="1149" bestFit="1" customWidth="1"/>
    <col min="17" max="17" width="7.875" style="1149" customWidth="1"/>
    <col min="18" max="16384" width="15.875" style="1149"/>
  </cols>
  <sheetData>
    <row r="1" spans="1:19" ht="12" thickBot="1">
      <c r="A1" s="507" t="s">
        <v>4977</v>
      </c>
      <c r="B1" s="507"/>
      <c r="C1" s="605" t="s">
        <v>919</v>
      </c>
      <c r="D1" s="606" t="s">
        <v>920</v>
      </c>
    </row>
    <row r="2" spans="1:19" ht="12" thickBot="1">
      <c r="A2" s="507" t="s">
        <v>6778</v>
      </c>
      <c r="B2" s="507"/>
      <c r="C2" s="694">
        <f>'Four Factor Allocator'!$C$5</f>
        <v>0.65660000353553882</v>
      </c>
      <c r="D2" s="695">
        <f>'Four Factor Allocator'!$D$5</f>
        <v>0.34339999646446118</v>
      </c>
      <c r="E2" s="743"/>
      <c r="L2" s="488" t="s">
        <v>5273</v>
      </c>
      <c r="M2" s="489" t="s">
        <v>968</v>
      </c>
      <c r="N2" s="1219" t="s">
        <v>968</v>
      </c>
      <c r="O2" s="493"/>
      <c r="P2" s="493"/>
    </row>
    <row r="3" spans="1:19" ht="12" thickBot="1">
      <c r="A3" s="1197"/>
      <c r="B3" s="1220"/>
      <c r="L3" s="1221" t="s">
        <v>5274</v>
      </c>
      <c r="M3" s="1222" t="s">
        <v>968</v>
      </c>
      <c r="N3" s="1223">
        <f>D31</f>
        <v>48948753</v>
      </c>
      <c r="O3" s="493"/>
      <c r="P3" s="1951"/>
    </row>
    <row r="4" spans="1:19" ht="12" thickTop="1">
      <c r="A4" s="1197"/>
      <c r="L4" s="520" t="s">
        <v>368</v>
      </c>
      <c r="M4" s="493"/>
      <c r="N4" s="1224">
        <f>'E Intangible_Summary'!F36</f>
        <v>0</v>
      </c>
      <c r="O4" s="493"/>
      <c r="P4" s="1951"/>
    </row>
    <row r="5" spans="1:19">
      <c r="L5" s="520" t="s">
        <v>369</v>
      </c>
      <c r="M5" s="493"/>
      <c r="N5" s="1947">
        <f>'E Intangible_Summary'!F42</f>
        <v>30864423.829999998</v>
      </c>
      <c r="O5" s="493"/>
      <c r="P5" s="1951"/>
    </row>
    <row r="6" spans="1:19" ht="11.25" customHeight="1">
      <c r="A6" s="3950" t="s">
        <v>5275</v>
      </c>
      <c r="B6" s="3950"/>
      <c r="C6" s="3950"/>
      <c r="D6" s="3950"/>
      <c r="E6" s="3943" t="s">
        <v>5276</v>
      </c>
      <c r="F6" s="3943"/>
      <c r="G6" s="3943"/>
      <c r="H6" s="3943"/>
      <c r="I6" s="3943"/>
      <c r="J6" s="3943"/>
      <c r="K6" s="1198"/>
      <c r="L6" s="520" t="s">
        <v>398</v>
      </c>
      <c r="M6" s="493"/>
      <c r="N6" s="1947">
        <f>'E Intangible_Summary'!F49</f>
        <v>17899552.579999994</v>
      </c>
      <c r="O6" s="493"/>
      <c r="P6" s="1951"/>
    </row>
    <row r="7" spans="1:19" ht="11.25" customHeight="1" thickBot="1">
      <c r="A7" s="3968" t="s">
        <v>5277</v>
      </c>
      <c r="B7" s="3969"/>
      <c r="C7" s="3969"/>
      <c r="D7" s="3969"/>
      <c r="E7" s="3970" t="s">
        <v>5278</v>
      </c>
      <c r="F7" s="3971"/>
      <c r="G7" s="3971"/>
      <c r="H7" s="3971"/>
      <c r="I7" s="3971"/>
      <c r="J7" s="3972"/>
      <c r="K7" s="1198"/>
      <c r="L7" s="1225" t="s">
        <v>5279</v>
      </c>
      <c r="M7" s="537" t="s">
        <v>968</v>
      </c>
      <c r="N7" s="1948">
        <f>'E Intangible_Summary'!F57</f>
        <v>184775.85</v>
      </c>
      <c r="O7" s="493"/>
      <c r="P7" s="745"/>
    </row>
    <row r="8" spans="1:19" ht="11.25" customHeight="1" thickBot="1">
      <c r="A8" s="3973" t="s">
        <v>5280</v>
      </c>
      <c r="B8" s="3973"/>
      <c r="C8" s="3973"/>
      <c r="D8" s="3973"/>
      <c r="E8" s="3970"/>
      <c r="F8" s="3971"/>
      <c r="G8" s="3971"/>
      <c r="H8" s="3971"/>
      <c r="I8" s="3971"/>
      <c r="J8" s="3972"/>
      <c r="K8" s="1198"/>
      <c r="L8" s="493"/>
      <c r="M8" s="1696" t="s">
        <v>5281</v>
      </c>
      <c r="N8" s="1739">
        <f>N3-SUM(N4:N7)</f>
        <v>0.74000000208616257</v>
      </c>
      <c r="O8" s="493"/>
      <c r="P8" s="573"/>
      <c r="R8" s="746"/>
      <c r="S8" s="1949"/>
    </row>
    <row r="9" spans="1:19" ht="33.75">
      <c r="A9" s="1226" t="s">
        <v>5282</v>
      </c>
      <c r="B9" s="1226" t="s">
        <v>547</v>
      </c>
      <c r="C9" s="1153" t="s">
        <v>5283</v>
      </c>
      <c r="D9" s="1153" t="s">
        <v>510</v>
      </c>
      <c r="E9" s="1227" t="s">
        <v>894</v>
      </c>
      <c r="F9" s="1227" t="s">
        <v>5284</v>
      </c>
      <c r="G9" s="1227" t="s">
        <v>5284</v>
      </c>
      <c r="H9" s="1227" t="s">
        <v>5284</v>
      </c>
      <c r="I9" s="1227" t="s">
        <v>4822</v>
      </c>
      <c r="J9" s="1227" t="s">
        <v>5282</v>
      </c>
      <c r="K9" s="1198"/>
      <c r="L9" s="1228" t="s">
        <v>5285</v>
      </c>
      <c r="M9" s="1229" t="s">
        <v>968</v>
      </c>
      <c r="N9" s="1229" t="s">
        <v>968</v>
      </c>
      <c r="O9" s="1229" t="s">
        <v>968</v>
      </c>
      <c r="P9" s="1230" t="s">
        <v>968</v>
      </c>
    </row>
    <row r="10" spans="1:19" ht="45">
      <c r="A10" s="1202"/>
      <c r="B10" s="1202" t="s">
        <v>4989</v>
      </c>
      <c r="C10" s="1202" t="s">
        <v>4990</v>
      </c>
      <c r="D10" s="1202" t="s">
        <v>4991</v>
      </c>
      <c r="E10" s="1231" t="s">
        <v>5286</v>
      </c>
      <c r="F10" s="1231" t="s">
        <v>5287</v>
      </c>
      <c r="G10" s="1231" t="s">
        <v>5182</v>
      </c>
      <c r="H10" s="1231" t="s">
        <v>5183</v>
      </c>
      <c r="I10" s="1231" t="s">
        <v>5288</v>
      </c>
      <c r="J10" s="1232"/>
      <c r="K10" s="1198"/>
      <c r="L10" s="1233" t="s">
        <v>5289</v>
      </c>
      <c r="M10" s="1234" t="s">
        <v>968</v>
      </c>
      <c r="N10" s="1234" t="s">
        <v>968</v>
      </c>
      <c r="O10" s="1234" t="s">
        <v>968</v>
      </c>
      <c r="P10" s="1235" t="s">
        <v>968</v>
      </c>
    </row>
    <row r="11" spans="1:19" ht="12" thickBot="1">
      <c r="A11" s="1236">
        <v>1</v>
      </c>
      <c r="B11" s="1204" t="s">
        <v>272</v>
      </c>
      <c r="C11" s="3974"/>
      <c r="D11" s="3975"/>
      <c r="E11" s="3974"/>
      <c r="F11" s="3976"/>
      <c r="G11" s="3976"/>
      <c r="H11" s="3976"/>
      <c r="I11" s="3975"/>
      <c r="J11" s="1211">
        <v>1</v>
      </c>
      <c r="K11" s="1198"/>
      <c r="L11" s="1237" t="s">
        <v>104</v>
      </c>
      <c r="M11" s="1238">
        <v>40400121</v>
      </c>
      <c r="N11" s="1238" t="s">
        <v>5290</v>
      </c>
      <c r="O11" s="1238" t="s">
        <v>968</v>
      </c>
      <c r="P11" s="1239">
        <f>N7</f>
        <v>184775.85</v>
      </c>
    </row>
    <row r="12" spans="1:19" ht="12" thickBot="1">
      <c r="A12" s="1236">
        <v>2</v>
      </c>
      <c r="B12" s="1204" t="s">
        <v>5291</v>
      </c>
      <c r="C12" s="3974"/>
      <c r="D12" s="3975"/>
      <c r="E12" s="3974"/>
      <c r="F12" s="3976"/>
      <c r="G12" s="3976"/>
      <c r="H12" s="3976"/>
      <c r="I12" s="3975"/>
      <c r="J12" s="1211">
        <v>2</v>
      </c>
      <c r="K12" s="1198"/>
      <c r="L12" s="493"/>
      <c r="M12" s="493"/>
      <c r="N12" s="493"/>
      <c r="O12" s="493"/>
      <c r="P12" s="493"/>
    </row>
    <row r="13" spans="1:19">
      <c r="A13" s="1236">
        <v>3</v>
      </c>
      <c r="B13" s="1257" t="s">
        <v>5292</v>
      </c>
      <c r="C13" s="1168">
        <v>16913856243</v>
      </c>
      <c r="D13" s="1168">
        <v>10869139274</v>
      </c>
      <c r="E13" s="1168">
        <v>5176955011</v>
      </c>
      <c r="F13" s="1189"/>
      <c r="G13" s="1189"/>
      <c r="H13" s="1189"/>
      <c r="I13" s="1171">
        <v>867761958</v>
      </c>
      <c r="J13" s="1211">
        <v>3</v>
      </c>
      <c r="K13" s="1198"/>
      <c r="L13" s="1240" t="s">
        <v>5293</v>
      </c>
      <c r="M13" s="1241" t="s">
        <v>968</v>
      </c>
      <c r="N13" s="1241" t="s">
        <v>968</v>
      </c>
      <c r="O13" s="1241" t="s">
        <v>968</v>
      </c>
      <c r="P13" s="1242" t="s">
        <v>968</v>
      </c>
    </row>
    <row r="14" spans="1:19">
      <c r="A14" s="1236">
        <v>4</v>
      </c>
      <c r="B14" s="1204" t="s">
        <v>5294</v>
      </c>
      <c r="C14" s="1168">
        <v>289435404</v>
      </c>
      <c r="D14" s="1168">
        <v>39358368</v>
      </c>
      <c r="E14" s="1168">
        <v>0</v>
      </c>
      <c r="F14" s="1189"/>
      <c r="G14" s="1189"/>
      <c r="H14" s="1189"/>
      <c r="I14" s="1168">
        <v>250077036</v>
      </c>
      <c r="J14" s="1211">
        <v>4</v>
      </c>
      <c r="K14" s="1198"/>
      <c r="L14" s="1243" t="s">
        <v>5289</v>
      </c>
      <c r="M14" s="1234" t="s">
        <v>968</v>
      </c>
      <c r="N14" s="1234" t="s">
        <v>968</v>
      </c>
      <c r="O14" s="1234" t="s">
        <v>968</v>
      </c>
      <c r="P14" s="1244" t="s">
        <v>968</v>
      </c>
    </row>
    <row r="15" spans="1:19">
      <c r="A15" s="1236">
        <v>5</v>
      </c>
      <c r="B15" s="1204" t="s">
        <v>5295</v>
      </c>
      <c r="C15" s="1168">
        <v>0</v>
      </c>
      <c r="D15" s="1168">
        <v>0</v>
      </c>
      <c r="E15" s="1189"/>
      <c r="F15" s="1189"/>
      <c r="G15" s="1189"/>
      <c r="H15" s="1189"/>
      <c r="I15" s="1168">
        <v>0</v>
      </c>
      <c r="J15" s="1211">
        <v>5</v>
      </c>
      <c r="K15" s="1245"/>
      <c r="L15" s="1243"/>
      <c r="M15" s="1234">
        <v>40400091</v>
      </c>
      <c r="N15" s="1234" t="s">
        <v>5296</v>
      </c>
      <c r="O15" s="1234" t="s">
        <v>968</v>
      </c>
      <c r="P15" s="1244" t="s">
        <v>968</v>
      </c>
    </row>
    <row r="16" spans="1:19">
      <c r="A16" s="1236">
        <v>6</v>
      </c>
      <c r="B16" s="1204" t="s">
        <v>5297</v>
      </c>
      <c r="C16" s="1168">
        <v>1032004041</v>
      </c>
      <c r="D16" s="1168">
        <v>742689871</v>
      </c>
      <c r="E16" s="1168">
        <v>184341112</v>
      </c>
      <c r="F16" s="1189"/>
      <c r="G16" s="1189"/>
      <c r="H16" s="1189"/>
      <c r="I16" s="1168">
        <v>104973058</v>
      </c>
      <c r="J16" s="1211">
        <v>6</v>
      </c>
      <c r="K16" s="1245"/>
      <c r="L16" s="1246"/>
      <c r="M16" s="1234">
        <v>40400032</v>
      </c>
      <c r="N16" s="1234" t="s">
        <v>5298</v>
      </c>
      <c r="O16" s="1247" t="s">
        <v>968</v>
      </c>
      <c r="P16" s="531" t="s">
        <v>968</v>
      </c>
    </row>
    <row r="17" spans="1:16" ht="12" thickBot="1">
      <c r="A17" s="1236">
        <v>7</v>
      </c>
      <c r="B17" s="1204" t="s">
        <v>5299</v>
      </c>
      <c r="C17" s="1168">
        <v>0</v>
      </c>
      <c r="D17" s="1157"/>
      <c r="E17" s="1157"/>
      <c r="F17" s="1157"/>
      <c r="G17" s="1157"/>
      <c r="H17" s="1157"/>
      <c r="I17" s="1157"/>
      <c r="J17" s="1211">
        <v>7</v>
      </c>
      <c r="K17" s="1197"/>
      <c r="L17" s="1248" t="s">
        <v>104</v>
      </c>
      <c r="M17" s="1249" t="s">
        <v>968</v>
      </c>
      <c r="N17" s="1249" t="s">
        <v>968</v>
      </c>
      <c r="O17" s="1249" t="s">
        <v>968</v>
      </c>
      <c r="P17" s="1250">
        <f>N6</f>
        <v>17899552.579999994</v>
      </c>
    </row>
    <row r="18" spans="1:16" ht="12" thickBot="1">
      <c r="A18" s="1236">
        <v>8</v>
      </c>
      <c r="B18" s="1251" t="s">
        <v>5300</v>
      </c>
      <c r="C18" s="1187">
        <f t="shared" ref="C18:I18" si="0">SUM(C13:C17)</f>
        <v>18235295688</v>
      </c>
      <c r="D18" s="1187">
        <f t="shared" si="0"/>
        <v>11651187513</v>
      </c>
      <c r="E18" s="1187">
        <f t="shared" si="0"/>
        <v>5361296123</v>
      </c>
      <c r="F18" s="1187">
        <f t="shared" si="0"/>
        <v>0</v>
      </c>
      <c r="G18" s="1187">
        <f t="shared" si="0"/>
        <v>0</v>
      </c>
      <c r="H18" s="1187">
        <f t="shared" si="0"/>
        <v>0</v>
      </c>
      <c r="I18" s="1187">
        <f t="shared" si="0"/>
        <v>1222812052</v>
      </c>
      <c r="J18" s="1211">
        <v>8</v>
      </c>
      <c r="K18" s="1197"/>
    </row>
    <row r="19" spans="1:16">
      <c r="A19" s="1236">
        <v>9</v>
      </c>
      <c r="B19" s="1204" t="s">
        <v>5301</v>
      </c>
      <c r="C19" s="1168">
        <v>0</v>
      </c>
      <c r="D19" s="1168">
        <v>0</v>
      </c>
      <c r="E19" s="1168">
        <v>0</v>
      </c>
      <c r="F19" s="1157"/>
      <c r="G19" s="1157"/>
      <c r="H19" s="1157"/>
      <c r="I19" s="1168">
        <v>0</v>
      </c>
      <c r="J19" s="1211">
        <v>9</v>
      </c>
      <c r="K19" s="1197"/>
      <c r="L19" s="1240" t="s">
        <v>5302</v>
      </c>
      <c r="M19" s="1241" t="s">
        <v>968</v>
      </c>
      <c r="N19" s="1241" t="s">
        <v>968</v>
      </c>
      <c r="O19" s="1241" t="s">
        <v>968</v>
      </c>
      <c r="P19" s="1242" t="s">
        <v>968</v>
      </c>
    </row>
    <row r="20" spans="1:16">
      <c r="A20" s="1236">
        <v>10</v>
      </c>
      <c r="B20" s="1257" t="s">
        <v>5303</v>
      </c>
      <c r="C20" s="1168">
        <v>59561465</v>
      </c>
      <c r="D20" s="1171">
        <v>49315001</v>
      </c>
      <c r="E20" s="1168">
        <v>10246464</v>
      </c>
      <c r="F20" s="1157"/>
      <c r="G20" s="1157"/>
      <c r="H20" s="1157"/>
      <c r="I20" s="1168">
        <v>0</v>
      </c>
      <c r="J20" s="1211">
        <v>10</v>
      </c>
      <c r="K20" s="1197"/>
      <c r="L20" s="1243" t="s">
        <v>5289</v>
      </c>
      <c r="M20" s="1234" t="s">
        <v>968</v>
      </c>
      <c r="N20" s="1234" t="s">
        <v>968</v>
      </c>
      <c r="O20" s="1234" t="s">
        <v>968</v>
      </c>
      <c r="P20" s="1244" t="s">
        <v>968</v>
      </c>
    </row>
    <row r="21" spans="1:16">
      <c r="A21" s="1236">
        <v>11</v>
      </c>
      <c r="B21" s="1257" t="s">
        <v>5304</v>
      </c>
      <c r="C21" s="1168">
        <v>1156264737</v>
      </c>
      <c r="D21" s="1171">
        <v>1060266765</v>
      </c>
      <c r="E21" s="1168">
        <v>100170208</v>
      </c>
      <c r="F21" s="1189"/>
      <c r="G21" s="1189"/>
      <c r="H21" s="1189"/>
      <c r="I21" s="1168">
        <v>-4172236</v>
      </c>
      <c r="J21" s="1211">
        <v>11</v>
      </c>
      <c r="K21" s="1197"/>
      <c r="L21" s="1243"/>
      <c r="M21" s="1234">
        <v>40400011</v>
      </c>
      <c r="N21" s="1234" t="s">
        <v>5305</v>
      </c>
      <c r="O21" s="1234" t="s">
        <v>968</v>
      </c>
      <c r="P21" s="1244" t="s">
        <v>968</v>
      </c>
    </row>
    <row r="22" spans="1:16">
      <c r="A22" s="1236">
        <v>12</v>
      </c>
      <c r="B22" s="1257" t="s">
        <v>5306</v>
      </c>
      <c r="C22" s="1168">
        <v>282791675</v>
      </c>
      <c r="D22" s="1171">
        <v>282791675</v>
      </c>
      <c r="E22" s="1168">
        <v>0</v>
      </c>
      <c r="F22" s="1189"/>
      <c r="G22" s="1189"/>
      <c r="H22" s="1189"/>
      <c r="I22" s="1168">
        <v>0</v>
      </c>
      <c r="J22" s="1211">
        <v>12</v>
      </c>
      <c r="K22" s="1197"/>
      <c r="L22" s="1243"/>
      <c r="M22" s="1234">
        <v>40400012</v>
      </c>
      <c r="N22" s="1234" t="s">
        <v>5307</v>
      </c>
      <c r="O22" s="1234" t="s">
        <v>968</v>
      </c>
      <c r="P22" s="1244" t="s">
        <v>968</v>
      </c>
    </row>
    <row r="23" spans="1:16" ht="12" thickBot="1">
      <c r="A23" s="1236">
        <v>13</v>
      </c>
      <c r="B23" s="1257" t="s">
        <v>5308</v>
      </c>
      <c r="C23" s="1187">
        <f t="shared" ref="C23:I23" si="1">SUM(C18:C22)</f>
        <v>19733913565</v>
      </c>
      <c r="D23" s="1187">
        <f>SUM(D18:D22)</f>
        <v>13043560954</v>
      </c>
      <c r="E23" s="1187">
        <f t="shared" si="1"/>
        <v>5471712795</v>
      </c>
      <c r="F23" s="1187">
        <f t="shared" si="1"/>
        <v>0</v>
      </c>
      <c r="G23" s="1187">
        <f t="shared" si="1"/>
        <v>0</v>
      </c>
      <c r="H23" s="1187">
        <f t="shared" si="1"/>
        <v>0</v>
      </c>
      <c r="I23" s="1171">
        <f t="shared" si="1"/>
        <v>1218639816</v>
      </c>
      <c r="J23" s="1211">
        <v>13</v>
      </c>
      <c r="K23" s="1198"/>
      <c r="L23" s="1252" t="s">
        <v>104</v>
      </c>
      <c r="M23" s="1253" t="s">
        <v>968</v>
      </c>
      <c r="N23" s="1253" t="s">
        <v>968</v>
      </c>
      <c r="O23" s="1253" t="s">
        <v>968</v>
      </c>
      <c r="P23" s="1250">
        <f>N5</f>
        <v>30864423.829999998</v>
      </c>
    </row>
    <row r="24" spans="1:16">
      <c r="A24" s="1236">
        <v>14</v>
      </c>
      <c r="B24" s="1204" t="s">
        <v>5309</v>
      </c>
      <c r="C24" s="1168">
        <v>7763962154</v>
      </c>
      <c r="D24" s="1168">
        <v>5319116637</v>
      </c>
      <c r="E24" s="1168">
        <v>2044580958</v>
      </c>
      <c r="F24" s="1189"/>
      <c r="G24" s="1189"/>
      <c r="H24" s="1189"/>
      <c r="I24" s="1168">
        <v>400264559</v>
      </c>
      <c r="J24" s="1211">
        <v>14</v>
      </c>
      <c r="K24" s="1198"/>
    </row>
    <row r="25" spans="1:16">
      <c r="A25" s="1236">
        <v>15</v>
      </c>
      <c r="B25" s="1251" t="s">
        <v>5310</v>
      </c>
      <c r="C25" s="1187">
        <f t="shared" ref="C25:I25" si="2">C23-C24</f>
        <v>11969951411</v>
      </c>
      <c r="D25" s="1187">
        <f t="shared" si="2"/>
        <v>7724444317</v>
      </c>
      <c r="E25" s="1187">
        <f t="shared" si="2"/>
        <v>3427131837</v>
      </c>
      <c r="F25" s="1187">
        <f t="shared" si="2"/>
        <v>0</v>
      </c>
      <c r="G25" s="1187">
        <f t="shared" si="2"/>
        <v>0</v>
      </c>
      <c r="H25" s="1187">
        <f t="shared" si="2"/>
        <v>0</v>
      </c>
      <c r="I25" s="1187">
        <f t="shared" si="2"/>
        <v>818375257</v>
      </c>
      <c r="J25" s="1211">
        <v>15</v>
      </c>
      <c r="K25" s="1198"/>
    </row>
    <row r="26" spans="1:16" ht="12" thickBot="1">
      <c r="A26" s="1236">
        <v>16</v>
      </c>
      <c r="B26" s="1204" t="s">
        <v>5311</v>
      </c>
      <c r="C26" s="3974"/>
      <c r="D26" s="3975"/>
      <c r="E26" s="3974"/>
      <c r="F26" s="3976"/>
      <c r="G26" s="3976"/>
      <c r="H26" s="3976"/>
      <c r="I26" s="3975"/>
      <c r="J26" s="1211">
        <v>16</v>
      </c>
      <c r="K26" s="1245"/>
      <c r="L26" s="578" t="s">
        <v>5312</v>
      </c>
      <c r="M26" s="493"/>
      <c r="N26" s="493"/>
      <c r="O26" s="493"/>
      <c r="P26" s="493"/>
    </row>
    <row r="27" spans="1:16">
      <c r="A27" s="1236">
        <v>17</v>
      </c>
      <c r="B27" s="1204" t="s">
        <v>5313</v>
      </c>
      <c r="C27" s="1210"/>
      <c r="D27" s="1210"/>
      <c r="E27" s="1210"/>
      <c r="F27" s="1210"/>
      <c r="G27" s="1210"/>
      <c r="H27" s="1210"/>
      <c r="I27" s="1210"/>
      <c r="J27" s="1211">
        <v>17</v>
      </c>
      <c r="K27" s="1245"/>
      <c r="L27" s="1240" t="s">
        <v>5285</v>
      </c>
      <c r="M27" s="1241" t="s">
        <v>968</v>
      </c>
      <c r="N27" s="1241" t="s">
        <v>968</v>
      </c>
      <c r="O27" s="1241" t="s">
        <v>968</v>
      </c>
      <c r="P27" s="1242" t="s">
        <v>968</v>
      </c>
    </row>
    <row r="28" spans="1:16">
      <c r="A28" s="1236">
        <v>18</v>
      </c>
      <c r="B28" s="1257" t="s">
        <v>589</v>
      </c>
      <c r="C28" s="1168">
        <v>7253904526</v>
      </c>
      <c r="D28" s="1168">
        <v>5092947633</v>
      </c>
      <c r="E28" s="1168">
        <v>2029432815</v>
      </c>
      <c r="F28" s="1189"/>
      <c r="G28" s="1189"/>
      <c r="H28" s="1189"/>
      <c r="I28" s="1171">
        <v>131524078</v>
      </c>
      <c r="J28" s="1211">
        <v>18</v>
      </c>
      <c r="K28" s="1197"/>
      <c r="L28" s="1243" t="s">
        <v>400</v>
      </c>
      <c r="M28" s="1234" t="s">
        <v>968</v>
      </c>
      <c r="N28" s="1234" t="s">
        <v>968</v>
      </c>
      <c r="O28" s="1234" t="s">
        <v>968</v>
      </c>
      <c r="P28" s="1244" t="s">
        <v>968</v>
      </c>
    </row>
    <row r="29" spans="1:16">
      <c r="A29" s="1236">
        <v>19</v>
      </c>
      <c r="B29" s="1204" t="s">
        <v>5314</v>
      </c>
      <c r="C29" s="1189"/>
      <c r="D29" s="1254"/>
      <c r="E29" s="1168">
        <v>0</v>
      </c>
      <c r="F29" s="3977"/>
      <c r="G29" s="3978"/>
      <c r="H29" s="3978"/>
      <c r="I29" s="3979"/>
      <c r="J29" s="1211">
        <v>19</v>
      </c>
      <c r="K29" s="1197"/>
      <c r="L29" s="1243"/>
      <c r="M29" s="1234">
        <v>40400121</v>
      </c>
      <c r="N29" s="1234" t="s">
        <v>5315</v>
      </c>
      <c r="O29" s="1234" t="s">
        <v>968</v>
      </c>
      <c r="P29" s="1255">
        <f>'DIRECT Int Amort E302 and E303'!F12+'DIRECT Int Amort E302 and E303'!F13+'DIRECT Int Amort E302 and E303'!F14</f>
        <v>1070004.96</v>
      </c>
    </row>
    <row r="30" spans="1:16" ht="12" thickBot="1">
      <c r="A30" s="1236">
        <v>20</v>
      </c>
      <c r="B30" s="1204" t="s">
        <v>5316</v>
      </c>
      <c r="C30" s="1189"/>
      <c r="D30" s="1254"/>
      <c r="E30" s="1168">
        <v>0</v>
      </c>
      <c r="F30" s="3977"/>
      <c r="G30" s="3978"/>
      <c r="H30" s="3978"/>
      <c r="I30" s="3979"/>
      <c r="J30" s="1211">
        <v>20</v>
      </c>
      <c r="K30" s="1197"/>
      <c r="L30" s="1252" t="s">
        <v>104</v>
      </c>
      <c r="M30" s="1253" t="s">
        <v>968</v>
      </c>
      <c r="N30" s="1253" t="s">
        <v>968</v>
      </c>
      <c r="O30" s="1253" t="s">
        <v>968</v>
      </c>
      <c r="P30" s="1256">
        <f>SUM(P27:P29)</f>
        <v>1070004.96</v>
      </c>
    </row>
    <row r="31" spans="1:16" ht="12" thickBot="1">
      <c r="A31" s="1236">
        <v>21</v>
      </c>
      <c r="B31" s="1257" t="s">
        <v>5317</v>
      </c>
      <c r="C31" s="1168">
        <v>332837377</v>
      </c>
      <c r="D31" s="1171">
        <v>48948753</v>
      </c>
      <c r="E31" s="1168">
        <v>15148143</v>
      </c>
      <c r="F31" s="1189"/>
      <c r="G31" s="1189"/>
      <c r="H31" s="1189"/>
      <c r="I31" s="1171">
        <v>268740481</v>
      </c>
      <c r="J31" s="1211">
        <v>21</v>
      </c>
      <c r="K31" s="1197"/>
      <c r="L31" s="493"/>
      <c r="M31" s="493"/>
      <c r="N31" s="493"/>
      <c r="O31" s="493"/>
      <c r="P31" s="493"/>
    </row>
    <row r="32" spans="1:16">
      <c r="A32" s="1236">
        <v>22</v>
      </c>
      <c r="B32" s="1251" t="s">
        <v>5318</v>
      </c>
      <c r="C32" s="1187">
        <f>C28+C29+C31+C30</f>
        <v>7586741903</v>
      </c>
      <c r="D32" s="1187">
        <f t="shared" ref="D32:I32" si="3">SUM(D28:D31)</f>
        <v>5141896386</v>
      </c>
      <c r="E32" s="1187">
        <f t="shared" si="3"/>
        <v>2044580958</v>
      </c>
      <c r="F32" s="1187">
        <f t="shared" si="3"/>
        <v>0</v>
      </c>
      <c r="G32" s="1187">
        <f t="shared" si="3"/>
        <v>0</v>
      </c>
      <c r="H32" s="1187">
        <f t="shared" si="3"/>
        <v>0</v>
      </c>
      <c r="I32" s="1187">
        <f t="shared" si="3"/>
        <v>400264559</v>
      </c>
      <c r="J32" s="1211">
        <v>22</v>
      </c>
      <c r="K32" s="1197"/>
      <c r="L32" s="1240" t="s">
        <v>5293</v>
      </c>
      <c r="M32" s="1241" t="s">
        <v>968</v>
      </c>
      <c r="N32" s="1241" t="s">
        <v>968</v>
      </c>
      <c r="O32" s="1241" t="s">
        <v>968</v>
      </c>
      <c r="P32" s="1242" t="s">
        <v>968</v>
      </c>
    </row>
    <row r="33" spans="1:17">
      <c r="A33" s="1236">
        <v>23</v>
      </c>
      <c r="B33" s="1204" t="s">
        <v>5301</v>
      </c>
      <c r="C33" s="3974"/>
      <c r="D33" s="3975"/>
      <c r="E33" s="3974"/>
      <c r="F33" s="3976"/>
      <c r="G33" s="3976"/>
      <c r="H33" s="3976"/>
      <c r="I33" s="3975"/>
      <c r="J33" s="1211">
        <v>23</v>
      </c>
      <c r="K33" s="1197"/>
      <c r="L33" s="1243" t="s">
        <v>400</v>
      </c>
      <c r="M33" s="1234" t="s">
        <v>968</v>
      </c>
      <c r="N33" s="1234" t="s">
        <v>968</v>
      </c>
      <c r="O33" s="1234" t="s">
        <v>968</v>
      </c>
      <c r="P33" s="1244"/>
    </row>
    <row r="34" spans="1:17">
      <c r="A34" s="1236">
        <v>24</v>
      </c>
      <c r="B34" s="1204" t="s">
        <v>589</v>
      </c>
      <c r="C34" s="1168">
        <v>0</v>
      </c>
      <c r="D34" s="1168">
        <v>0</v>
      </c>
      <c r="E34" s="1168">
        <v>0</v>
      </c>
      <c r="F34" s="1168">
        <v>0</v>
      </c>
      <c r="G34" s="1189"/>
      <c r="H34" s="1189"/>
      <c r="I34" s="1168">
        <v>0</v>
      </c>
      <c r="J34" s="1211">
        <v>24</v>
      </c>
      <c r="K34" s="1197"/>
      <c r="L34" s="1243"/>
      <c r="M34" s="1950">
        <v>40400091</v>
      </c>
      <c r="N34" s="1950" t="s">
        <v>5319</v>
      </c>
      <c r="O34" s="1950" t="s">
        <v>968</v>
      </c>
      <c r="P34" s="1259">
        <f>'DIRECT Int Amort E302 and E303'!F11</f>
        <v>9732326.5399999991</v>
      </c>
    </row>
    <row r="35" spans="1:17">
      <c r="A35" s="1236">
        <v>25</v>
      </c>
      <c r="B35" s="1204" t="s">
        <v>5320</v>
      </c>
      <c r="C35" s="1168">
        <v>0</v>
      </c>
      <c r="D35" s="1168">
        <v>0</v>
      </c>
      <c r="E35" s="1168">
        <v>0</v>
      </c>
      <c r="F35" s="1168">
        <v>0</v>
      </c>
      <c r="G35" s="1189"/>
      <c r="H35" s="1189"/>
      <c r="I35" s="1168">
        <v>0</v>
      </c>
      <c r="J35" s="1211">
        <v>25</v>
      </c>
      <c r="K35" s="1197"/>
      <c r="L35" s="1246"/>
      <c r="M35" s="1234">
        <v>40400032</v>
      </c>
      <c r="N35" s="1234" t="s">
        <v>5321</v>
      </c>
      <c r="O35" s="1247" t="s">
        <v>968</v>
      </c>
      <c r="P35" s="1259">
        <f>'DIRECT Int Amort E302 and E303'!F10</f>
        <v>0</v>
      </c>
    </row>
    <row r="36" spans="1:17" ht="12" thickBot="1">
      <c r="A36" s="1236">
        <v>26</v>
      </c>
      <c r="B36" s="1251" t="s">
        <v>5322</v>
      </c>
      <c r="C36" s="1187">
        <f t="shared" ref="C36:I36" si="4">SUM(C34:C35)</f>
        <v>0</v>
      </c>
      <c r="D36" s="1187">
        <f t="shared" si="4"/>
        <v>0</v>
      </c>
      <c r="E36" s="1187">
        <f t="shared" si="4"/>
        <v>0</v>
      </c>
      <c r="F36" s="1187">
        <f t="shared" si="4"/>
        <v>0</v>
      </c>
      <c r="G36" s="1187">
        <f t="shared" si="4"/>
        <v>0</v>
      </c>
      <c r="H36" s="1187">
        <f t="shared" si="4"/>
        <v>0</v>
      </c>
      <c r="I36" s="1187">
        <f t="shared" si="4"/>
        <v>0</v>
      </c>
      <c r="J36" s="1211">
        <v>26</v>
      </c>
      <c r="K36" s="1197"/>
      <c r="L36" s="1260" t="s">
        <v>104</v>
      </c>
      <c r="M36" s="1249" t="s">
        <v>968</v>
      </c>
      <c r="N36" s="1249" t="s">
        <v>968</v>
      </c>
      <c r="O36" s="1249" t="s">
        <v>968</v>
      </c>
      <c r="P36" s="1256">
        <f>SUM(P32:P35)</f>
        <v>9732326.5399999991</v>
      </c>
    </row>
    <row r="37" spans="1:17" ht="12" thickBot="1">
      <c r="A37" s="1236">
        <v>27</v>
      </c>
      <c r="B37" s="1204" t="s">
        <v>5303</v>
      </c>
      <c r="C37" s="3974"/>
      <c r="D37" s="3975"/>
      <c r="E37" s="3974"/>
      <c r="F37" s="3976"/>
      <c r="G37" s="3976"/>
      <c r="H37" s="3976"/>
      <c r="I37" s="3975"/>
      <c r="J37" s="1211">
        <v>27</v>
      </c>
      <c r="K37" s="1197"/>
    </row>
    <row r="38" spans="1:17">
      <c r="A38" s="1236">
        <v>28</v>
      </c>
      <c r="B38" s="1204" t="s">
        <v>589</v>
      </c>
      <c r="C38" s="1168">
        <v>162425</v>
      </c>
      <c r="D38" s="1168">
        <v>162425</v>
      </c>
      <c r="E38" s="1168">
        <v>0</v>
      </c>
      <c r="F38" s="1168">
        <v>0</v>
      </c>
      <c r="G38" s="1189"/>
      <c r="H38" s="1189"/>
      <c r="I38" s="1168">
        <v>0</v>
      </c>
      <c r="J38" s="1211">
        <v>28</v>
      </c>
      <c r="K38" s="1197"/>
      <c r="L38" s="1240" t="s">
        <v>5302</v>
      </c>
      <c r="M38" s="1241" t="s">
        <v>968</v>
      </c>
      <c r="N38" s="1241" t="s">
        <v>968</v>
      </c>
      <c r="O38" s="1241" t="s">
        <v>968</v>
      </c>
      <c r="P38" s="1242" t="s">
        <v>968</v>
      </c>
    </row>
    <row r="39" spans="1:17">
      <c r="A39" s="1236">
        <v>29</v>
      </c>
      <c r="B39" s="1204" t="s">
        <v>5323</v>
      </c>
      <c r="C39" s="1168">
        <v>0</v>
      </c>
      <c r="D39" s="1168">
        <v>0</v>
      </c>
      <c r="E39" s="1168">
        <v>0</v>
      </c>
      <c r="F39" s="1168">
        <v>0</v>
      </c>
      <c r="G39" s="1189"/>
      <c r="H39" s="1189"/>
      <c r="I39" s="1168">
        <v>0</v>
      </c>
      <c r="J39" s="1211">
        <v>29</v>
      </c>
      <c r="K39" s="1197"/>
      <c r="L39" s="1243" t="s">
        <v>400</v>
      </c>
      <c r="M39" s="1234" t="s">
        <v>968</v>
      </c>
      <c r="N39" s="1234" t="s">
        <v>968</v>
      </c>
      <c r="O39" s="1234" t="s">
        <v>968</v>
      </c>
      <c r="P39" s="1244" t="s">
        <v>968</v>
      </c>
    </row>
    <row r="40" spans="1:17">
      <c r="A40" s="1236">
        <v>30</v>
      </c>
      <c r="B40" s="1251" t="s">
        <v>5324</v>
      </c>
      <c r="C40" s="1187">
        <f t="shared" ref="C40:I40" si="5">SUM(C38:C39)</f>
        <v>162425</v>
      </c>
      <c r="D40" s="1187">
        <f t="shared" si="5"/>
        <v>162425</v>
      </c>
      <c r="E40" s="1187">
        <f t="shared" si="5"/>
        <v>0</v>
      </c>
      <c r="F40" s="1187">
        <f t="shared" si="5"/>
        <v>0</v>
      </c>
      <c r="G40" s="1187">
        <f t="shared" si="5"/>
        <v>0</v>
      </c>
      <c r="H40" s="1187">
        <f t="shared" si="5"/>
        <v>0</v>
      </c>
      <c r="I40" s="1187">
        <f t="shared" si="5"/>
        <v>0</v>
      </c>
      <c r="J40" s="1211">
        <v>30</v>
      </c>
      <c r="K40" s="1197"/>
      <c r="L40" s="1243"/>
      <c r="M40" s="1234">
        <v>40400011</v>
      </c>
      <c r="N40" s="1234" t="s">
        <v>5325</v>
      </c>
      <c r="O40" s="1234" t="s">
        <v>968</v>
      </c>
      <c r="P40" s="1261">
        <f>'DIRECT Int Amort E302 and E303'!F8</f>
        <v>1808863.53</v>
      </c>
    </row>
    <row r="41" spans="1:17">
      <c r="A41" s="1236">
        <v>31</v>
      </c>
      <c r="B41" s="1204" t="s">
        <v>5326</v>
      </c>
      <c r="C41" s="1168">
        <v>0</v>
      </c>
      <c r="D41" s="1254"/>
      <c r="E41" s="1168">
        <v>0</v>
      </c>
      <c r="F41" s="3974"/>
      <c r="G41" s="3976"/>
      <c r="H41" s="3976"/>
      <c r="I41" s="3975"/>
      <c r="J41" s="1211">
        <v>31</v>
      </c>
      <c r="K41" s="1197"/>
      <c r="L41" s="1246"/>
      <c r="M41" s="1234">
        <v>40400012</v>
      </c>
      <c r="N41" s="1234" t="s">
        <v>5327</v>
      </c>
      <c r="O41" s="1247" t="s">
        <v>968</v>
      </c>
      <c r="P41" s="1261">
        <f>'DIRECT Int Amort E302 and E303'!F9</f>
        <v>1237952.1200000001</v>
      </c>
      <c r="Q41" s="1696" t="s">
        <v>3782</v>
      </c>
    </row>
    <row r="42" spans="1:17" ht="12" thickBot="1">
      <c r="A42" s="1236">
        <v>32</v>
      </c>
      <c r="B42" s="1257" t="s">
        <v>5328</v>
      </c>
      <c r="C42" s="1171">
        <v>177057826</v>
      </c>
      <c r="D42" s="1168">
        <v>177057826</v>
      </c>
      <c r="E42" s="1168">
        <v>0</v>
      </c>
      <c r="F42" s="1168">
        <v>0</v>
      </c>
      <c r="G42" s="1189"/>
      <c r="H42" s="1189"/>
      <c r="I42" s="1168">
        <v>0</v>
      </c>
      <c r="J42" s="1211">
        <v>32</v>
      </c>
      <c r="K42" s="1197"/>
      <c r="L42" s="1260" t="s">
        <v>104</v>
      </c>
      <c r="M42" s="1249" t="s">
        <v>968</v>
      </c>
      <c r="N42" s="1249" t="s">
        <v>968</v>
      </c>
      <c r="O42" s="1249" t="s">
        <v>968</v>
      </c>
      <c r="P42" s="1256">
        <f>SUM(P38:P41)</f>
        <v>3046815.6500000004</v>
      </c>
      <c r="Q42" s="1739">
        <f>-'DIRECT Int Amort E302 and E303'!F16+P30+P36+P42</f>
        <v>0</v>
      </c>
    </row>
    <row r="43" spans="1:17">
      <c r="A43" s="1236">
        <v>33</v>
      </c>
      <c r="B43" s="1257" t="s">
        <v>5329</v>
      </c>
      <c r="C43" s="1171">
        <f t="shared" ref="C43:I43" si="6">SUM(C32,C36,C40:C42)</f>
        <v>7763962154</v>
      </c>
      <c r="D43" s="1171">
        <f>SUM(D32,D36,D40:D42)</f>
        <v>5319116637</v>
      </c>
      <c r="E43" s="1187">
        <f t="shared" si="6"/>
        <v>2044580958</v>
      </c>
      <c r="F43" s="1187">
        <f t="shared" si="6"/>
        <v>0</v>
      </c>
      <c r="G43" s="1187">
        <f t="shared" si="6"/>
        <v>0</v>
      </c>
      <c r="H43" s="1187">
        <f t="shared" si="6"/>
        <v>0</v>
      </c>
      <c r="I43" s="1171">
        <f t="shared" si="6"/>
        <v>400264559</v>
      </c>
      <c r="J43" s="1262">
        <v>33</v>
      </c>
      <c r="K43" s="1197"/>
    </row>
    <row r="44" spans="1:17">
      <c r="A44" s="1194"/>
      <c r="B44" s="1194"/>
      <c r="C44" s="2074" t="s">
        <v>927</v>
      </c>
      <c r="D44" s="1263"/>
      <c r="E44" s="1263"/>
      <c r="F44" s="1263"/>
      <c r="G44" s="1263"/>
      <c r="H44" s="1263"/>
      <c r="I44" s="1263"/>
      <c r="J44" s="1192"/>
    </row>
    <row r="45" spans="1:17">
      <c r="C45" s="2075">
        <f>C43-'FERC p110-111 Assets'!D15</f>
        <v>0</v>
      </c>
    </row>
    <row r="46" spans="1:17">
      <c r="C46" s="1264"/>
      <c r="G46" s="1738"/>
      <c r="I46" s="1738"/>
    </row>
    <row r="47" spans="1:17">
      <c r="C47" s="1265"/>
    </row>
  </sheetData>
  <mergeCells count="19">
    <mergeCell ref="F41:I41"/>
    <mergeCell ref="F29:I29"/>
    <mergeCell ref="F30:I30"/>
    <mergeCell ref="C33:D33"/>
    <mergeCell ref="E33:I33"/>
    <mergeCell ref="C37:D37"/>
    <mergeCell ref="E37:I37"/>
    <mergeCell ref="C11:D11"/>
    <mergeCell ref="E11:I11"/>
    <mergeCell ref="C12:D12"/>
    <mergeCell ref="E12:I12"/>
    <mergeCell ref="C26:D26"/>
    <mergeCell ref="E26:I26"/>
    <mergeCell ref="A6:D6"/>
    <mergeCell ref="E6:J6"/>
    <mergeCell ref="A7:D7"/>
    <mergeCell ref="E7:J7"/>
    <mergeCell ref="A8:D8"/>
    <mergeCell ref="E8:J8"/>
  </mergeCells>
  <pageMargins left="0.75" right="0.75" top="1" bottom="1" header="0.5" footer="0.5"/>
  <customProperties>
    <customPr name="_pios_id" r:id="rId1"/>
  </customPropertie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rgb="FF92D050"/>
  </sheetPr>
  <dimension ref="A1:K123"/>
  <sheetViews>
    <sheetView workbookViewId="0">
      <pane ySplit="11" topLeftCell="A12" activePane="bottomLeft" state="frozen"/>
      <selection sqref="A1:XFD1048576"/>
      <selection pane="bottomLeft" sqref="A1:XFD1048576"/>
    </sheetView>
  </sheetViews>
  <sheetFormatPr defaultColWidth="11.625" defaultRowHeight="11.25"/>
  <cols>
    <col min="1" max="1" width="4.5" style="1149" bestFit="1" customWidth="1"/>
    <col min="2" max="2" width="47.5" style="1149" customWidth="1"/>
    <col min="3" max="3" width="13.75" style="1149" bestFit="1" customWidth="1"/>
    <col min="4" max="4" width="9.875" style="1149" bestFit="1" customWidth="1"/>
    <col min="5" max="5" width="9.75" style="1149" bestFit="1" customWidth="1"/>
    <col min="6" max="7" width="9.25" style="1149" bestFit="1" customWidth="1"/>
    <col min="8" max="8" width="13.75" style="1149" bestFit="1" customWidth="1"/>
    <col min="9" max="9" width="3.875" style="1149" customWidth="1"/>
    <col min="10" max="10" width="4.125" style="1149" bestFit="1" customWidth="1"/>
    <col min="11" max="11" width="17.625" style="1149" customWidth="1"/>
    <col min="12" max="16384" width="11.625" style="1149"/>
  </cols>
  <sheetData>
    <row r="1" spans="1:11">
      <c r="A1" s="507" t="s">
        <v>4977</v>
      </c>
      <c r="B1" s="507"/>
    </row>
    <row r="2" spans="1:11">
      <c r="A2" s="507" t="s">
        <v>6778</v>
      </c>
      <c r="B2" s="507"/>
    </row>
    <row r="3" spans="1:11">
      <c r="A3" s="1197"/>
    </row>
    <row r="4" spans="1:11">
      <c r="A4" s="1197"/>
    </row>
    <row r="6" spans="1:11">
      <c r="A6" s="3982" t="s">
        <v>5330</v>
      </c>
      <c r="B6" s="3982"/>
      <c r="C6" s="3982"/>
      <c r="D6" s="3982"/>
      <c r="E6" s="3983" t="s">
        <v>5331</v>
      </c>
      <c r="F6" s="3983"/>
      <c r="G6" s="3983"/>
      <c r="H6" s="3983"/>
      <c r="I6" s="3983"/>
      <c r="J6" s="3983"/>
      <c r="K6" s="1198"/>
    </row>
    <row r="7" spans="1:11">
      <c r="A7" s="3984" t="s">
        <v>5332</v>
      </c>
      <c r="B7" s="3985"/>
      <c r="C7" s="3985"/>
      <c r="D7" s="3986"/>
      <c r="E7" s="3987" t="s">
        <v>5333</v>
      </c>
      <c r="F7" s="3988"/>
      <c r="G7" s="3988"/>
      <c r="H7" s="3988"/>
      <c r="I7" s="3988"/>
      <c r="J7" s="3989"/>
      <c r="K7" s="1198"/>
    </row>
    <row r="8" spans="1:11">
      <c r="A8" s="3990" t="s">
        <v>5334</v>
      </c>
      <c r="B8" s="3985"/>
      <c r="C8" s="3985"/>
      <c r="D8" s="3986"/>
      <c r="E8" s="3991" t="s">
        <v>5335</v>
      </c>
      <c r="F8" s="3992"/>
      <c r="G8" s="3992"/>
      <c r="H8" s="3992"/>
      <c r="I8" s="3992"/>
      <c r="J8" s="3993"/>
      <c r="K8" s="1198"/>
    </row>
    <row r="9" spans="1:11" ht="22.5">
      <c r="A9" s="1266" t="s">
        <v>5177</v>
      </c>
      <c r="B9" s="1267" t="s">
        <v>96</v>
      </c>
      <c r="C9" s="1267" t="s">
        <v>5336</v>
      </c>
      <c r="D9" s="1267" t="s">
        <v>5337</v>
      </c>
      <c r="E9" s="1268" t="s">
        <v>5338</v>
      </c>
      <c r="F9" s="1268" t="s">
        <v>5339</v>
      </c>
      <c r="G9" s="1268" t="s">
        <v>5340</v>
      </c>
      <c r="H9" s="1268" t="s">
        <v>5341</v>
      </c>
      <c r="I9" s="3994"/>
      <c r="J9" s="3994" t="s">
        <v>5177</v>
      </c>
      <c r="K9" s="1198"/>
    </row>
    <row r="10" spans="1:11">
      <c r="A10" s="1269"/>
      <c r="B10" s="1270" t="s">
        <v>4989</v>
      </c>
      <c r="C10" s="1270" t="s">
        <v>4990</v>
      </c>
      <c r="D10" s="1270" t="s">
        <v>4991</v>
      </c>
      <c r="E10" s="1271" t="s">
        <v>4992</v>
      </c>
      <c r="F10" s="1271" t="s">
        <v>5181</v>
      </c>
      <c r="G10" s="1271" t="s">
        <v>5182</v>
      </c>
      <c r="H10" s="1271" t="s">
        <v>5183</v>
      </c>
      <c r="I10" s="3995"/>
      <c r="J10" s="3995"/>
      <c r="K10" s="1198"/>
    </row>
    <row r="11" spans="1:11">
      <c r="A11" s="1272"/>
      <c r="B11" s="1273"/>
      <c r="C11" s="1274" t="s">
        <v>4988</v>
      </c>
      <c r="D11" s="1275"/>
      <c r="E11" s="1276"/>
      <c r="F11" s="1276"/>
      <c r="G11" s="1276"/>
      <c r="H11" s="1277" t="s">
        <v>6777</v>
      </c>
      <c r="I11" s="1278"/>
      <c r="J11" s="1278"/>
      <c r="K11" s="1198"/>
    </row>
    <row r="12" spans="1:11">
      <c r="A12" s="1279" t="s">
        <v>5342</v>
      </c>
      <c r="B12" s="1204" t="s">
        <v>5343</v>
      </c>
      <c r="C12" s="3980"/>
      <c r="D12" s="3981"/>
      <c r="E12" s="1280"/>
      <c r="F12" s="1280"/>
      <c r="G12" s="1280"/>
      <c r="H12" s="1280"/>
      <c r="I12" s="1281"/>
      <c r="J12" s="1262">
        <v>1</v>
      </c>
      <c r="K12" s="1198"/>
    </row>
    <row r="13" spans="1:11">
      <c r="A13" s="1279" t="s">
        <v>5344</v>
      </c>
      <c r="B13" s="1257" t="s">
        <v>5345</v>
      </c>
      <c r="C13" s="1168">
        <v>114202</v>
      </c>
      <c r="D13" s="1168">
        <v>0</v>
      </c>
      <c r="E13" s="1168">
        <v>0</v>
      </c>
      <c r="F13" s="1168">
        <v>0</v>
      </c>
      <c r="G13" s="1168">
        <v>0</v>
      </c>
      <c r="H13" s="1171">
        <v>114202</v>
      </c>
      <c r="I13" s="1282"/>
      <c r="J13" s="1283">
        <v>1</v>
      </c>
      <c r="K13" s="1198"/>
    </row>
    <row r="14" spans="1:11">
      <c r="A14" s="1279" t="s">
        <v>5346</v>
      </c>
      <c r="B14" s="1257" t="s">
        <v>5347</v>
      </c>
      <c r="C14" s="1168">
        <v>79706707</v>
      </c>
      <c r="D14" s="1168">
        <v>501373</v>
      </c>
      <c r="E14" s="1168">
        <v>11430</v>
      </c>
      <c r="F14" s="1168"/>
      <c r="G14" s="1168">
        <v>0</v>
      </c>
      <c r="H14" s="1171">
        <v>80196650</v>
      </c>
      <c r="I14" s="1282"/>
      <c r="J14" s="1283">
        <v>2</v>
      </c>
      <c r="K14" s="1198"/>
    </row>
    <row r="15" spans="1:11">
      <c r="A15" s="1279" t="s">
        <v>5348</v>
      </c>
      <c r="B15" s="1257" t="s">
        <v>5349</v>
      </c>
      <c r="C15" s="1168">
        <v>120636783</v>
      </c>
      <c r="D15" s="1168">
        <v>11723207</v>
      </c>
      <c r="E15" s="1168">
        <v>56829721</v>
      </c>
      <c r="F15" s="1168">
        <v>0</v>
      </c>
      <c r="G15" s="1168">
        <v>0</v>
      </c>
      <c r="H15" s="1171">
        <v>75530269</v>
      </c>
      <c r="I15" s="1282"/>
      <c r="J15" s="1283">
        <v>3</v>
      </c>
      <c r="K15" s="1198"/>
    </row>
    <row r="16" spans="1:11">
      <c r="A16" s="1279" t="s">
        <v>5350</v>
      </c>
      <c r="B16" s="1257" t="s">
        <v>5351</v>
      </c>
      <c r="C16" s="1187">
        <f t="shared" ref="C16:H16" si="0">SUM(C13:C15)</f>
        <v>200457692</v>
      </c>
      <c r="D16" s="1187">
        <f t="shared" si="0"/>
        <v>12224580</v>
      </c>
      <c r="E16" s="1187">
        <f t="shared" si="0"/>
        <v>56841151</v>
      </c>
      <c r="F16" s="1187">
        <f t="shared" si="0"/>
        <v>0</v>
      </c>
      <c r="G16" s="1187">
        <f t="shared" si="0"/>
        <v>0</v>
      </c>
      <c r="H16" s="1171">
        <f t="shared" si="0"/>
        <v>155841121</v>
      </c>
      <c r="I16" s="1282"/>
      <c r="J16" s="1283">
        <v>4</v>
      </c>
      <c r="K16" s="1198"/>
    </row>
    <row r="17" spans="1:11">
      <c r="A17" s="1279" t="s">
        <v>5352</v>
      </c>
      <c r="B17" s="1204" t="s">
        <v>5353</v>
      </c>
      <c r="C17" s="3980"/>
      <c r="D17" s="3981"/>
      <c r="E17" s="1280"/>
      <c r="F17" s="1280"/>
      <c r="G17" s="1280"/>
      <c r="H17" s="1280"/>
      <c r="I17" s="1282"/>
      <c r="J17" s="1283">
        <v>5</v>
      </c>
      <c r="K17" s="1198"/>
    </row>
    <row r="18" spans="1:11">
      <c r="A18" s="1279" t="s">
        <v>5354</v>
      </c>
      <c r="B18" s="1204" t="s">
        <v>5355</v>
      </c>
      <c r="C18" s="3980"/>
      <c r="D18" s="3981"/>
      <c r="E18" s="1280"/>
      <c r="F18" s="1280"/>
      <c r="G18" s="1280"/>
      <c r="H18" s="1280"/>
      <c r="I18" s="1282"/>
      <c r="J18" s="1283">
        <v>6</v>
      </c>
      <c r="K18" s="1198"/>
    </row>
    <row r="19" spans="1:11">
      <c r="A19" s="1279" t="s">
        <v>5356</v>
      </c>
      <c r="B19" s="1204" t="s">
        <v>5357</v>
      </c>
      <c r="C19" s="1168">
        <v>2788745</v>
      </c>
      <c r="D19" s="1168">
        <v>0</v>
      </c>
      <c r="E19" s="1168">
        <v>0</v>
      </c>
      <c r="F19" s="1168">
        <v>0</v>
      </c>
      <c r="G19" s="1168">
        <v>0</v>
      </c>
      <c r="H19" s="1168">
        <v>2788745</v>
      </c>
      <c r="I19" s="1282"/>
      <c r="J19" s="1283">
        <v>7</v>
      </c>
      <c r="K19" s="1198"/>
    </row>
    <row r="20" spans="1:11">
      <c r="A20" s="1279" t="s">
        <v>5358</v>
      </c>
      <c r="B20" s="1204" t="s">
        <v>5359</v>
      </c>
      <c r="C20" s="1168">
        <v>136208233</v>
      </c>
      <c r="D20" s="1168">
        <v>121204</v>
      </c>
      <c r="E20" s="1168">
        <v>0</v>
      </c>
      <c r="F20" s="1168">
        <v>0</v>
      </c>
      <c r="G20" s="1168">
        <v>0</v>
      </c>
      <c r="H20" s="1168">
        <v>136329437</v>
      </c>
      <c r="I20" s="1282"/>
      <c r="J20" s="1283">
        <v>8</v>
      </c>
      <c r="K20" s="1198"/>
    </row>
    <row r="21" spans="1:11">
      <c r="A21" s="1279" t="s">
        <v>5360</v>
      </c>
      <c r="B21" s="1204" t="s">
        <v>5361</v>
      </c>
      <c r="C21" s="1168">
        <v>522963324</v>
      </c>
      <c r="D21" s="1168">
        <v>2079486</v>
      </c>
      <c r="E21" s="1168">
        <v>1196665</v>
      </c>
      <c r="F21" s="1168">
        <v>0</v>
      </c>
      <c r="G21" s="1168">
        <v>0</v>
      </c>
      <c r="H21" s="1168">
        <v>523846145</v>
      </c>
      <c r="I21" s="1282"/>
      <c r="J21" s="1283">
        <v>9</v>
      </c>
      <c r="K21" s="1198"/>
    </row>
    <row r="22" spans="1:11">
      <c r="A22" s="1279" t="s">
        <v>5362</v>
      </c>
      <c r="B22" s="1204" t="s">
        <v>5363</v>
      </c>
      <c r="C22" s="1168">
        <v>0</v>
      </c>
      <c r="D22" s="1168">
        <v>0</v>
      </c>
      <c r="E22" s="1168">
        <v>0</v>
      </c>
      <c r="F22" s="1168">
        <v>0</v>
      </c>
      <c r="G22" s="1168">
        <v>0</v>
      </c>
      <c r="H22" s="1168">
        <v>0</v>
      </c>
      <c r="I22" s="1282"/>
      <c r="J22" s="1283">
        <v>10</v>
      </c>
      <c r="K22" s="1198"/>
    </row>
    <row r="23" spans="1:11">
      <c r="A23" s="1279" t="s">
        <v>5364</v>
      </c>
      <c r="B23" s="1204" t="s">
        <v>5365</v>
      </c>
      <c r="C23" s="1168">
        <v>281739623</v>
      </c>
      <c r="D23" s="1168">
        <v>1698525</v>
      </c>
      <c r="E23" s="1168">
        <v>2823454</v>
      </c>
      <c r="F23" s="1168">
        <v>0</v>
      </c>
      <c r="G23" s="1168">
        <v>0</v>
      </c>
      <c r="H23" s="1168">
        <v>280614694</v>
      </c>
      <c r="I23" s="1282"/>
      <c r="J23" s="1283">
        <v>11</v>
      </c>
      <c r="K23" s="1198"/>
    </row>
    <row r="24" spans="1:11">
      <c r="A24" s="1279" t="s">
        <v>5366</v>
      </c>
      <c r="B24" s="1204" t="s">
        <v>5367</v>
      </c>
      <c r="C24" s="1168">
        <v>38963991</v>
      </c>
      <c r="D24" s="1168">
        <v>648177</v>
      </c>
      <c r="E24" s="1168">
        <v>315099</v>
      </c>
      <c r="F24" s="1168">
        <v>0</v>
      </c>
      <c r="G24" s="1168">
        <v>0</v>
      </c>
      <c r="H24" s="1168">
        <v>39297069</v>
      </c>
      <c r="I24" s="1282"/>
      <c r="J24" s="1283">
        <v>12</v>
      </c>
      <c r="K24" s="1198"/>
    </row>
    <row r="25" spans="1:11">
      <c r="A25" s="1279" t="s">
        <v>5368</v>
      </c>
      <c r="B25" s="1204" t="s">
        <v>5369</v>
      </c>
      <c r="C25" s="1168">
        <v>7581106</v>
      </c>
      <c r="D25" s="1168">
        <v>346142</v>
      </c>
      <c r="E25" s="1168">
        <v>252660</v>
      </c>
      <c r="F25" s="1168">
        <v>0</v>
      </c>
      <c r="G25" s="1168">
        <v>0</v>
      </c>
      <c r="H25" s="1168">
        <v>7674588</v>
      </c>
      <c r="I25" s="1282"/>
      <c r="J25" s="1283">
        <v>13</v>
      </c>
      <c r="K25" s="1198"/>
    </row>
    <row r="26" spans="1:11">
      <c r="A26" s="1279" t="s">
        <v>5370</v>
      </c>
      <c r="B26" s="1204" t="s">
        <v>5371</v>
      </c>
      <c r="C26" s="1168">
        <v>43758248</v>
      </c>
      <c r="D26" s="1168">
        <v>0</v>
      </c>
      <c r="E26" s="1168">
        <v>0</v>
      </c>
      <c r="F26" s="1168">
        <v>0</v>
      </c>
      <c r="G26" s="1168">
        <v>0</v>
      </c>
      <c r="H26" s="1168">
        <v>43758248</v>
      </c>
      <c r="I26" s="1282"/>
      <c r="J26" s="1283">
        <v>14</v>
      </c>
      <c r="K26" s="1198"/>
    </row>
    <row r="27" spans="1:11">
      <c r="A27" s="1279" t="s">
        <v>5372</v>
      </c>
      <c r="B27" s="1257" t="s">
        <v>5373</v>
      </c>
      <c r="C27" s="1187">
        <f t="shared" ref="C27:H27" si="1">SUM(C19:C26)</f>
        <v>1034003270</v>
      </c>
      <c r="D27" s="1187">
        <f t="shared" si="1"/>
        <v>4893534</v>
      </c>
      <c r="E27" s="1187">
        <f t="shared" si="1"/>
        <v>4587878</v>
      </c>
      <c r="F27" s="1187">
        <f t="shared" si="1"/>
        <v>0</v>
      </c>
      <c r="G27" s="1187">
        <f t="shared" si="1"/>
        <v>0</v>
      </c>
      <c r="H27" s="1171">
        <f t="shared" si="1"/>
        <v>1034308926</v>
      </c>
      <c r="I27" s="1282"/>
      <c r="J27" s="1283">
        <v>15</v>
      </c>
      <c r="K27" s="1198"/>
    </row>
    <row r="28" spans="1:11">
      <c r="A28" s="1279" t="s">
        <v>5374</v>
      </c>
      <c r="B28" s="1204" t="s">
        <v>5375</v>
      </c>
      <c r="C28" s="3980"/>
      <c r="D28" s="3981"/>
      <c r="E28" s="1280"/>
      <c r="F28" s="1280"/>
      <c r="G28" s="1280"/>
      <c r="H28" s="1280"/>
      <c r="I28" s="1282"/>
      <c r="J28" s="1283">
        <v>16</v>
      </c>
      <c r="K28" s="1198"/>
    </row>
    <row r="29" spans="1:11">
      <c r="A29" s="1279" t="s">
        <v>5376</v>
      </c>
      <c r="B29" s="1204" t="s">
        <v>5377</v>
      </c>
      <c r="C29" s="1168">
        <v>0</v>
      </c>
      <c r="D29" s="1168">
        <v>0</v>
      </c>
      <c r="E29" s="1168">
        <v>0</v>
      </c>
      <c r="F29" s="1168">
        <v>0</v>
      </c>
      <c r="G29" s="1168">
        <v>0</v>
      </c>
      <c r="H29" s="1168">
        <v>0</v>
      </c>
      <c r="I29" s="1282"/>
      <c r="J29" s="1283">
        <v>17</v>
      </c>
      <c r="K29" s="1198"/>
    </row>
    <row r="30" spans="1:11">
      <c r="A30" s="1279" t="s">
        <v>5378</v>
      </c>
      <c r="B30" s="1204" t="s">
        <v>5379</v>
      </c>
      <c r="C30" s="1168">
        <v>0</v>
      </c>
      <c r="D30" s="1168">
        <v>0</v>
      </c>
      <c r="E30" s="1168">
        <v>0</v>
      </c>
      <c r="F30" s="1168">
        <v>0</v>
      </c>
      <c r="G30" s="1168">
        <v>0</v>
      </c>
      <c r="H30" s="1168">
        <v>0</v>
      </c>
      <c r="I30" s="1282"/>
      <c r="J30" s="1283">
        <v>18</v>
      </c>
      <c r="K30" s="1198"/>
    </row>
    <row r="31" spans="1:11">
      <c r="A31" s="1279" t="s">
        <v>5380</v>
      </c>
      <c r="B31" s="1204" t="s">
        <v>5381</v>
      </c>
      <c r="C31" s="1168">
        <v>0</v>
      </c>
      <c r="D31" s="1168">
        <v>0</v>
      </c>
      <c r="E31" s="1168">
        <v>0</v>
      </c>
      <c r="F31" s="1168">
        <v>0</v>
      </c>
      <c r="G31" s="1168">
        <v>0</v>
      </c>
      <c r="H31" s="1168">
        <v>0</v>
      </c>
      <c r="I31" s="1282"/>
      <c r="J31" s="1283">
        <v>19</v>
      </c>
      <c r="K31" s="1198"/>
    </row>
    <row r="32" spans="1:11">
      <c r="A32" s="1279" t="s">
        <v>5382</v>
      </c>
      <c r="B32" s="1204" t="s">
        <v>5383</v>
      </c>
      <c r="C32" s="1168">
        <v>0</v>
      </c>
      <c r="D32" s="1168">
        <v>0</v>
      </c>
      <c r="E32" s="1168">
        <v>0</v>
      </c>
      <c r="F32" s="1168">
        <v>0</v>
      </c>
      <c r="G32" s="1168">
        <v>0</v>
      </c>
      <c r="H32" s="1168">
        <v>0</v>
      </c>
      <c r="I32" s="1282"/>
      <c r="J32" s="1283">
        <v>20</v>
      </c>
      <c r="K32" s="1198"/>
    </row>
    <row r="33" spans="1:11">
      <c r="A33" s="1279" t="s">
        <v>5384</v>
      </c>
      <c r="B33" s="1204" t="s">
        <v>5385</v>
      </c>
      <c r="C33" s="1168">
        <v>0</v>
      </c>
      <c r="D33" s="1168">
        <v>0</v>
      </c>
      <c r="E33" s="1168">
        <v>0</v>
      </c>
      <c r="F33" s="1168">
        <v>0</v>
      </c>
      <c r="G33" s="1168">
        <v>0</v>
      </c>
      <c r="H33" s="1168">
        <v>0</v>
      </c>
      <c r="I33" s="1282"/>
      <c r="J33" s="1283">
        <v>21</v>
      </c>
      <c r="K33" s="1198"/>
    </row>
    <row r="34" spans="1:11">
      <c r="A34" s="1279" t="s">
        <v>5386</v>
      </c>
      <c r="B34" s="1204" t="s">
        <v>5387</v>
      </c>
      <c r="C34" s="1168">
        <v>0</v>
      </c>
      <c r="D34" s="1168">
        <v>0</v>
      </c>
      <c r="E34" s="1168">
        <v>0</v>
      </c>
      <c r="F34" s="1168">
        <v>0</v>
      </c>
      <c r="G34" s="1168">
        <v>0</v>
      </c>
      <c r="H34" s="1168">
        <v>0</v>
      </c>
      <c r="I34" s="1282"/>
      <c r="J34" s="1283">
        <v>22</v>
      </c>
      <c r="K34" s="1198"/>
    </row>
    <row r="35" spans="1:11">
      <c r="A35" s="1279" t="s">
        <v>5388</v>
      </c>
      <c r="B35" s="1204" t="s">
        <v>5389</v>
      </c>
      <c r="C35" s="1168">
        <v>0</v>
      </c>
      <c r="D35" s="1168">
        <v>0</v>
      </c>
      <c r="E35" s="1168">
        <v>0</v>
      </c>
      <c r="F35" s="1168">
        <v>0</v>
      </c>
      <c r="G35" s="1168">
        <v>0</v>
      </c>
      <c r="H35" s="1168">
        <v>0</v>
      </c>
      <c r="I35" s="1282"/>
      <c r="J35" s="1283">
        <v>23</v>
      </c>
      <c r="K35" s="1198"/>
    </row>
    <row r="36" spans="1:11">
      <c r="A36" s="1279" t="s">
        <v>5390</v>
      </c>
      <c r="B36" s="1257" t="s">
        <v>5391</v>
      </c>
      <c r="C36" s="1187">
        <f t="shared" ref="C36:H36" si="2">SUM(C29:C35)</f>
        <v>0</v>
      </c>
      <c r="D36" s="1187">
        <f t="shared" si="2"/>
        <v>0</v>
      </c>
      <c r="E36" s="1187">
        <f t="shared" si="2"/>
        <v>0</v>
      </c>
      <c r="F36" s="1187">
        <f t="shared" si="2"/>
        <v>0</v>
      </c>
      <c r="G36" s="1187">
        <f t="shared" si="2"/>
        <v>0</v>
      </c>
      <c r="H36" s="1171">
        <f t="shared" si="2"/>
        <v>0</v>
      </c>
      <c r="I36" s="1282"/>
      <c r="J36" s="1283">
        <v>24</v>
      </c>
      <c r="K36" s="1198"/>
    </row>
    <row r="37" spans="1:11">
      <c r="A37" s="1279" t="s">
        <v>5392</v>
      </c>
      <c r="B37" s="1204" t="s">
        <v>5393</v>
      </c>
      <c r="C37" s="3980"/>
      <c r="D37" s="3981"/>
      <c r="E37" s="1280"/>
      <c r="F37" s="1280"/>
      <c r="G37" s="1280"/>
      <c r="H37" s="1280"/>
      <c r="I37" s="1282"/>
      <c r="J37" s="1283">
        <v>25</v>
      </c>
      <c r="K37" s="1198"/>
    </row>
    <row r="38" spans="1:11">
      <c r="A38" s="1279" t="s">
        <v>5394</v>
      </c>
      <c r="B38" s="1204" t="s">
        <v>5395</v>
      </c>
      <c r="C38" s="1168">
        <v>11306992</v>
      </c>
      <c r="D38" s="1168">
        <v>0</v>
      </c>
      <c r="E38" s="1168">
        <v>0</v>
      </c>
      <c r="F38" s="1168">
        <v>0</v>
      </c>
      <c r="G38" s="1168">
        <v>0</v>
      </c>
      <c r="H38" s="1168">
        <v>11306992</v>
      </c>
      <c r="I38" s="1282"/>
      <c r="J38" s="1283">
        <v>26</v>
      </c>
      <c r="K38" s="1198"/>
    </row>
    <row r="39" spans="1:11">
      <c r="A39" s="1279" t="s">
        <v>5396</v>
      </c>
      <c r="B39" s="1204" t="s">
        <v>5397</v>
      </c>
      <c r="C39" s="1168">
        <v>179267298</v>
      </c>
      <c r="D39" s="1168">
        <v>153075</v>
      </c>
      <c r="E39" s="1168">
        <v>0</v>
      </c>
      <c r="F39" s="1168">
        <v>0</v>
      </c>
      <c r="G39" s="1168">
        <v>0</v>
      </c>
      <c r="H39" s="1168">
        <v>179420373</v>
      </c>
      <c r="I39" s="1282"/>
      <c r="J39" s="1283">
        <v>27</v>
      </c>
      <c r="K39" s="1198"/>
    </row>
    <row r="40" spans="1:11">
      <c r="A40" s="1279" t="s">
        <v>5398</v>
      </c>
      <c r="B40" s="1204" t="s">
        <v>5399</v>
      </c>
      <c r="C40" s="1168">
        <v>365477625</v>
      </c>
      <c r="D40" s="1168">
        <v>16293032</v>
      </c>
      <c r="E40" s="1168">
        <v>450251</v>
      </c>
      <c r="F40" s="1168">
        <v>0</v>
      </c>
      <c r="G40" s="1168">
        <v>0</v>
      </c>
      <c r="H40" s="1168">
        <v>381320406</v>
      </c>
      <c r="I40" s="1282"/>
      <c r="J40" s="1283">
        <v>28</v>
      </c>
      <c r="K40" s="1198"/>
    </row>
    <row r="41" spans="1:11">
      <c r="A41" s="1279" t="s">
        <v>5400</v>
      </c>
      <c r="B41" s="1204" t="s">
        <v>5401</v>
      </c>
      <c r="C41" s="1168">
        <v>139713005</v>
      </c>
      <c r="D41" s="1168">
        <v>4964</v>
      </c>
      <c r="E41" s="1168">
        <v>131474</v>
      </c>
      <c r="F41" s="1168">
        <v>0</v>
      </c>
      <c r="G41" s="1168">
        <v>0</v>
      </c>
      <c r="H41" s="1168">
        <v>139586495</v>
      </c>
      <c r="I41" s="1282"/>
      <c r="J41" s="1283">
        <v>29</v>
      </c>
      <c r="K41" s="1198"/>
    </row>
    <row r="42" spans="1:11">
      <c r="A42" s="1279" t="s">
        <v>5402</v>
      </c>
      <c r="B42" s="1204" t="s">
        <v>5403</v>
      </c>
      <c r="C42" s="1168">
        <v>55490459</v>
      </c>
      <c r="D42" s="1168">
        <v>3698</v>
      </c>
      <c r="E42" s="1168">
        <v>0</v>
      </c>
      <c r="F42" s="1168">
        <v>0</v>
      </c>
      <c r="G42" s="1168">
        <v>0</v>
      </c>
      <c r="H42" s="1168">
        <v>55494157</v>
      </c>
      <c r="I42" s="1282"/>
      <c r="J42" s="1283">
        <v>30</v>
      </c>
      <c r="K42" s="1198"/>
    </row>
    <row r="43" spans="1:11">
      <c r="A43" s="1279" t="s">
        <v>5404</v>
      </c>
      <c r="B43" s="1204" t="s">
        <v>5405</v>
      </c>
      <c r="C43" s="1168">
        <v>16685325</v>
      </c>
      <c r="D43" s="1168">
        <v>100758</v>
      </c>
      <c r="E43" s="1168">
        <v>17806</v>
      </c>
      <c r="F43" s="1168">
        <v>0</v>
      </c>
      <c r="G43" s="1168">
        <v>0</v>
      </c>
      <c r="H43" s="1168">
        <v>16768277</v>
      </c>
      <c r="I43" s="1282"/>
      <c r="J43" s="1283">
        <v>31</v>
      </c>
      <c r="K43" s="1198"/>
    </row>
    <row r="44" spans="1:11">
      <c r="A44" s="1279" t="s">
        <v>5406</v>
      </c>
      <c r="B44" s="1204" t="s">
        <v>5407</v>
      </c>
      <c r="C44" s="1168">
        <v>5045062</v>
      </c>
      <c r="D44" s="1168">
        <v>0</v>
      </c>
      <c r="E44" s="1168">
        <v>0</v>
      </c>
      <c r="F44" s="1168">
        <v>0</v>
      </c>
      <c r="G44" s="1168">
        <v>0</v>
      </c>
      <c r="H44" s="1168">
        <v>5045062</v>
      </c>
      <c r="I44" s="1282"/>
      <c r="J44" s="1283">
        <v>32</v>
      </c>
      <c r="K44" s="1198"/>
    </row>
    <row r="45" spans="1:11">
      <c r="A45" s="1279" t="s">
        <v>5408</v>
      </c>
      <c r="B45" s="1204" t="s">
        <v>5409</v>
      </c>
      <c r="C45" s="1168">
        <v>0</v>
      </c>
      <c r="D45" s="1168">
        <v>0</v>
      </c>
      <c r="E45" s="1168">
        <v>0</v>
      </c>
      <c r="F45" s="1168">
        <v>0</v>
      </c>
      <c r="G45" s="1168">
        <v>0</v>
      </c>
      <c r="H45" s="1168">
        <v>0</v>
      </c>
      <c r="I45" s="1282"/>
      <c r="J45" s="1283">
        <v>33</v>
      </c>
      <c r="K45" s="1198"/>
    </row>
    <row r="46" spans="1:11">
      <c r="A46" s="1279" t="s">
        <v>5410</v>
      </c>
      <c r="B46" s="1257" t="s">
        <v>5411</v>
      </c>
      <c r="C46" s="1187">
        <f t="shared" ref="C46:H46" si="3">SUM(C38:C45)</f>
        <v>772985766</v>
      </c>
      <c r="D46" s="1187">
        <f t="shared" si="3"/>
        <v>16555527</v>
      </c>
      <c r="E46" s="1187">
        <f t="shared" si="3"/>
        <v>599531</v>
      </c>
      <c r="F46" s="1187">
        <f t="shared" si="3"/>
        <v>0</v>
      </c>
      <c r="G46" s="1187">
        <f t="shared" si="3"/>
        <v>0</v>
      </c>
      <c r="H46" s="1171">
        <f t="shared" si="3"/>
        <v>788941762</v>
      </c>
      <c r="I46" s="1282"/>
      <c r="J46" s="1283">
        <v>34</v>
      </c>
      <c r="K46" s="1198"/>
    </row>
    <row r="47" spans="1:11">
      <c r="A47" s="1279" t="s">
        <v>5412</v>
      </c>
      <c r="B47" s="1204" t="s">
        <v>5413</v>
      </c>
      <c r="C47" s="3980"/>
      <c r="D47" s="3981"/>
      <c r="E47" s="1280"/>
      <c r="F47" s="1280"/>
      <c r="G47" s="1280"/>
      <c r="H47" s="1280"/>
      <c r="I47" s="1282"/>
      <c r="J47" s="1283">
        <v>35</v>
      </c>
      <c r="K47" s="1198"/>
    </row>
    <row r="48" spans="1:11">
      <c r="A48" s="1279" t="s">
        <v>5414</v>
      </c>
      <c r="B48" s="1204" t="s">
        <v>5415</v>
      </c>
      <c r="C48" s="1168">
        <v>16016762</v>
      </c>
      <c r="D48" s="1168">
        <v>0</v>
      </c>
      <c r="E48" s="1168">
        <v>0</v>
      </c>
      <c r="F48" s="1168">
        <v>0</v>
      </c>
      <c r="G48" s="1168">
        <v>0</v>
      </c>
      <c r="H48" s="1168">
        <v>16016762</v>
      </c>
      <c r="I48" s="1282"/>
      <c r="J48" s="1283">
        <v>36</v>
      </c>
      <c r="K48" s="1198"/>
    </row>
    <row r="49" spans="1:11">
      <c r="A49" s="1279" t="s">
        <v>5416</v>
      </c>
      <c r="B49" s="1204" t="s">
        <v>5417</v>
      </c>
      <c r="C49" s="1168">
        <v>133513921</v>
      </c>
      <c r="D49" s="1168">
        <v>1262966</v>
      </c>
      <c r="E49" s="1168">
        <v>1016598</v>
      </c>
      <c r="F49" s="1168">
        <v>0</v>
      </c>
      <c r="G49" s="1168">
        <v>0</v>
      </c>
      <c r="H49" s="1168">
        <v>133760289</v>
      </c>
      <c r="I49" s="1282"/>
      <c r="J49" s="1283">
        <v>37</v>
      </c>
      <c r="K49" s="1198"/>
    </row>
    <row r="50" spans="1:11">
      <c r="A50" s="1279" t="s">
        <v>5418</v>
      </c>
      <c r="B50" s="1204" t="s">
        <v>5419</v>
      </c>
      <c r="C50" s="1168">
        <v>26274619</v>
      </c>
      <c r="D50" s="1168">
        <v>629285</v>
      </c>
      <c r="E50" s="1168">
        <v>0</v>
      </c>
      <c r="F50" s="1168">
        <v>0</v>
      </c>
      <c r="G50" s="1168">
        <v>0</v>
      </c>
      <c r="H50" s="1168">
        <v>26903904</v>
      </c>
      <c r="I50" s="1282"/>
      <c r="J50" s="1283">
        <v>38</v>
      </c>
      <c r="K50" s="1198"/>
    </row>
    <row r="51" spans="1:11">
      <c r="A51" s="1279" t="s">
        <v>5420</v>
      </c>
      <c r="B51" s="1204" t="s">
        <v>5421</v>
      </c>
      <c r="C51" s="1168">
        <v>0</v>
      </c>
      <c r="D51" s="1168">
        <v>0</v>
      </c>
      <c r="E51" s="1168">
        <v>0</v>
      </c>
      <c r="F51" s="1168">
        <v>0</v>
      </c>
      <c r="G51" s="1168">
        <v>0</v>
      </c>
      <c r="H51" s="1168">
        <v>0</v>
      </c>
      <c r="I51" s="1282"/>
      <c r="J51" s="1283">
        <v>39</v>
      </c>
      <c r="K51" s="1198"/>
    </row>
    <row r="52" spans="1:11">
      <c r="A52" s="1279" t="s">
        <v>5422</v>
      </c>
      <c r="B52" s="1204" t="s">
        <v>5423</v>
      </c>
      <c r="C52" s="1168">
        <v>1636397887</v>
      </c>
      <c r="D52" s="1168">
        <v>81715842</v>
      </c>
      <c r="E52" s="1168">
        <v>51783146</v>
      </c>
      <c r="F52" s="1168">
        <v>0</v>
      </c>
      <c r="G52" s="1168">
        <v>0</v>
      </c>
      <c r="H52" s="1168">
        <v>1666330583</v>
      </c>
      <c r="I52" s="1282"/>
      <c r="J52" s="1283">
        <v>40</v>
      </c>
      <c r="K52" s="1198"/>
    </row>
    <row r="53" spans="1:11">
      <c r="A53" s="1279" t="s">
        <v>5424</v>
      </c>
      <c r="B53" s="1204" t="s">
        <v>5425</v>
      </c>
      <c r="C53" s="1168">
        <v>156968221</v>
      </c>
      <c r="D53" s="1168">
        <v>4105083</v>
      </c>
      <c r="E53" s="1168">
        <v>1643310</v>
      </c>
      <c r="F53" s="1168">
        <v>0</v>
      </c>
      <c r="G53" s="1168">
        <v>0</v>
      </c>
      <c r="H53" s="1168">
        <v>159429994</v>
      </c>
      <c r="I53" s="1282"/>
      <c r="J53" s="1283">
        <v>41</v>
      </c>
      <c r="K53" s="1198"/>
    </row>
    <row r="54" spans="1:11">
      <c r="A54" s="1279" t="s">
        <v>5426</v>
      </c>
      <c r="B54" s="1204" t="s">
        <v>5427</v>
      </c>
      <c r="C54" s="1168">
        <v>21558270</v>
      </c>
      <c r="D54" s="1168">
        <v>1558432</v>
      </c>
      <c r="E54" s="1168">
        <v>0</v>
      </c>
      <c r="F54" s="1168">
        <v>0</v>
      </c>
      <c r="G54" s="1168">
        <v>0</v>
      </c>
      <c r="H54" s="1168">
        <v>23116702</v>
      </c>
      <c r="I54" s="1282"/>
      <c r="J54" s="1283">
        <v>42</v>
      </c>
      <c r="K54" s="1198"/>
    </row>
    <row r="55" spans="1:11">
      <c r="A55" s="1279" t="s">
        <v>5428</v>
      </c>
      <c r="B55" s="1204" t="s">
        <v>5429</v>
      </c>
      <c r="C55" s="1168">
        <v>53575909</v>
      </c>
      <c r="D55" s="1168">
        <v>0</v>
      </c>
      <c r="E55" s="1168">
        <v>0</v>
      </c>
      <c r="F55" s="1168">
        <v>0</v>
      </c>
      <c r="G55" s="1168">
        <v>0</v>
      </c>
      <c r="H55" s="1168">
        <v>53575909</v>
      </c>
      <c r="I55" s="1282"/>
      <c r="J55" s="1283">
        <v>43</v>
      </c>
      <c r="K55" s="1198"/>
    </row>
    <row r="56" spans="1:11">
      <c r="A56" s="1284" t="s">
        <v>5430</v>
      </c>
      <c r="B56" s="1204" t="s">
        <v>5431</v>
      </c>
      <c r="C56" s="1168">
        <v>0</v>
      </c>
      <c r="D56" s="1157"/>
      <c r="E56" s="1157"/>
      <c r="F56" s="1157"/>
      <c r="G56" s="1157"/>
      <c r="H56" s="1168">
        <v>0</v>
      </c>
      <c r="I56" s="1282"/>
      <c r="J56" s="1283">
        <v>44</v>
      </c>
      <c r="K56" s="1198"/>
    </row>
    <row r="57" spans="1:11">
      <c r="A57" s="1279" t="s">
        <v>5432</v>
      </c>
      <c r="B57" s="1257" t="s">
        <v>5433</v>
      </c>
      <c r="C57" s="1187">
        <f t="shared" ref="C57:H57" si="4">SUM(C48:C55)</f>
        <v>2044305589</v>
      </c>
      <c r="D57" s="1187">
        <f t="shared" si="4"/>
        <v>89271608</v>
      </c>
      <c r="E57" s="1187">
        <f t="shared" si="4"/>
        <v>54443054</v>
      </c>
      <c r="F57" s="1187">
        <f t="shared" si="4"/>
        <v>0</v>
      </c>
      <c r="G57" s="1187">
        <f t="shared" si="4"/>
        <v>0</v>
      </c>
      <c r="H57" s="1171">
        <f t="shared" si="4"/>
        <v>2079134143</v>
      </c>
      <c r="I57" s="1282"/>
      <c r="J57" s="1285">
        <v>44.1</v>
      </c>
      <c r="K57" s="1198"/>
    </row>
    <row r="58" spans="1:11">
      <c r="A58" s="1279" t="s">
        <v>5434</v>
      </c>
      <c r="B58" s="1257" t="s">
        <v>5435</v>
      </c>
      <c r="C58" s="1187">
        <f t="shared" ref="C58:H58" si="5">C27+C36+C46+C57</f>
        <v>3851294625</v>
      </c>
      <c r="D58" s="1187">
        <f t="shared" si="5"/>
        <v>110720669</v>
      </c>
      <c r="E58" s="1187">
        <f t="shared" si="5"/>
        <v>59630463</v>
      </c>
      <c r="F58" s="1187">
        <f t="shared" si="5"/>
        <v>0</v>
      </c>
      <c r="G58" s="1187">
        <f t="shared" si="5"/>
        <v>0</v>
      </c>
      <c r="H58" s="1171">
        <f t="shared" si="5"/>
        <v>3902384831</v>
      </c>
      <c r="I58" s="1282"/>
      <c r="J58" s="1286">
        <v>45</v>
      </c>
      <c r="K58" s="1198"/>
    </row>
    <row r="59" spans="1:11">
      <c r="A59" s="1287"/>
      <c r="B59" s="1287"/>
      <c r="C59" s="1287"/>
      <c r="D59" s="1287"/>
      <c r="E59" s="1287"/>
      <c r="F59" s="1287"/>
      <c r="G59" s="1287"/>
      <c r="H59" s="1287"/>
      <c r="I59" s="1288"/>
      <c r="J59" s="1288"/>
    </row>
    <row r="60" spans="1:11">
      <c r="A60" s="3982" t="s">
        <v>5436</v>
      </c>
      <c r="B60" s="3982"/>
      <c r="C60" s="3982"/>
      <c r="D60" s="3982"/>
      <c r="E60" s="3983" t="s">
        <v>5437</v>
      </c>
      <c r="F60" s="3983"/>
      <c r="G60" s="3983"/>
      <c r="H60" s="3983"/>
      <c r="I60" s="3983"/>
      <c r="J60" s="3983"/>
      <c r="K60" s="1198"/>
    </row>
    <row r="61" spans="1:11">
      <c r="A61" s="3996" t="s">
        <v>5438</v>
      </c>
      <c r="B61" s="3996"/>
      <c r="C61" s="3996"/>
      <c r="D61" s="3996"/>
      <c r="E61" s="3997" t="s">
        <v>5333</v>
      </c>
      <c r="F61" s="3997"/>
      <c r="G61" s="3997"/>
      <c r="H61" s="3997"/>
      <c r="I61" s="3997"/>
      <c r="J61" s="3997"/>
      <c r="K61" s="1198"/>
    </row>
    <row r="62" spans="1:11" ht="22.5">
      <c r="A62" s="1289" t="s">
        <v>5177</v>
      </c>
      <c r="B62" s="1290" t="s">
        <v>96</v>
      </c>
      <c r="C62" s="1290" t="s">
        <v>5336</v>
      </c>
      <c r="D62" s="1290" t="s">
        <v>5337</v>
      </c>
      <c r="E62" s="1291" t="s">
        <v>5338</v>
      </c>
      <c r="F62" s="1291" t="s">
        <v>5339</v>
      </c>
      <c r="G62" s="1291" t="s">
        <v>5340</v>
      </c>
      <c r="H62" s="1291" t="s">
        <v>5341</v>
      </c>
      <c r="I62" s="3994"/>
      <c r="J62" s="3999" t="s">
        <v>5177</v>
      </c>
      <c r="K62" s="1198"/>
    </row>
    <row r="63" spans="1:11">
      <c r="A63" s="1292"/>
      <c r="B63" s="1293" t="s">
        <v>4989</v>
      </c>
      <c r="C63" s="1293" t="s">
        <v>4990</v>
      </c>
      <c r="D63" s="1293" t="s">
        <v>4991</v>
      </c>
      <c r="E63" s="1294" t="s">
        <v>4992</v>
      </c>
      <c r="F63" s="1294" t="s">
        <v>5181</v>
      </c>
      <c r="G63" s="1294" t="s">
        <v>5182</v>
      </c>
      <c r="H63" s="1294" t="s">
        <v>5183</v>
      </c>
      <c r="I63" s="3998"/>
      <c r="J63" s="3999"/>
      <c r="K63" s="1198"/>
    </row>
    <row r="64" spans="1:11">
      <c r="A64" s="1279" t="s">
        <v>5439</v>
      </c>
      <c r="B64" s="1204" t="s">
        <v>5440</v>
      </c>
      <c r="C64" s="3980"/>
      <c r="D64" s="3981"/>
      <c r="E64" s="1295"/>
      <c r="F64" s="1295"/>
      <c r="G64" s="1295"/>
      <c r="H64" s="1295"/>
      <c r="I64" s="1158"/>
      <c r="J64" s="1296">
        <v>47</v>
      </c>
      <c r="K64" s="1198"/>
    </row>
    <row r="65" spans="1:11">
      <c r="A65" s="1279" t="s">
        <v>5441</v>
      </c>
      <c r="B65" s="1204" t="s">
        <v>5442</v>
      </c>
      <c r="C65" s="1168">
        <v>64355939</v>
      </c>
      <c r="D65" s="1168">
        <v>119</v>
      </c>
      <c r="E65" s="1168">
        <v>0</v>
      </c>
      <c r="F65" s="1168">
        <v>0</v>
      </c>
      <c r="G65" s="1168">
        <v>0</v>
      </c>
      <c r="H65" s="1168">
        <v>64356058</v>
      </c>
      <c r="I65" s="1158"/>
      <c r="J65" s="1296">
        <v>48</v>
      </c>
      <c r="K65" s="1198"/>
    </row>
    <row r="66" spans="1:11">
      <c r="A66" s="1284" t="s">
        <v>5443</v>
      </c>
      <c r="B66" s="1204" t="s">
        <v>5444</v>
      </c>
      <c r="C66" s="1168">
        <v>0</v>
      </c>
      <c r="D66" s="1168">
        <v>0</v>
      </c>
      <c r="E66" s="1168">
        <v>0</v>
      </c>
      <c r="F66" s="1168">
        <v>0</v>
      </c>
      <c r="G66" s="1168">
        <v>0</v>
      </c>
      <c r="H66" s="1168">
        <v>0</v>
      </c>
      <c r="I66" s="1158"/>
      <c r="J66" s="1297">
        <v>48.1</v>
      </c>
      <c r="K66" s="1198"/>
    </row>
    <row r="67" spans="1:11">
      <c r="A67" s="1279" t="s">
        <v>5445</v>
      </c>
      <c r="B67" s="1204" t="s">
        <v>5446</v>
      </c>
      <c r="C67" s="1168">
        <v>11878174</v>
      </c>
      <c r="D67" s="1168">
        <v>6887</v>
      </c>
      <c r="E67" s="1168">
        <v>0</v>
      </c>
      <c r="F67" s="1168">
        <v>0</v>
      </c>
      <c r="G67" s="1168">
        <v>0</v>
      </c>
      <c r="H67" s="1168">
        <v>11885061</v>
      </c>
      <c r="I67" s="1158"/>
      <c r="J67" s="1296">
        <v>49</v>
      </c>
      <c r="K67" s="1198"/>
    </row>
    <row r="68" spans="1:11">
      <c r="A68" s="1279" t="s">
        <v>5447</v>
      </c>
      <c r="B68" s="1204" t="s">
        <v>5448</v>
      </c>
      <c r="C68" s="1168">
        <v>711730921</v>
      </c>
      <c r="D68" s="1168">
        <v>74633516</v>
      </c>
      <c r="E68" s="1168">
        <v>1961272</v>
      </c>
      <c r="F68" s="1168">
        <v>0</v>
      </c>
      <c r="G68" s="1168">
        <v>0</v>
      </c>
      <c r="H68" s="1168">
        <v>784403165</v>
      </c>
      <c r="I68" s="1158"/>
      <c r="J68" s="1296">
        <v>50</v>
      </c>
      <c r="K68" s="1198"/>
    </row>
    <row r="69" spans="1:11">
      <c r="A69" s="1279" t="s">
        <v>5449</v>
      </c>
      <c r="B69" s="1204" t="s">
        <v>5450</v>
      </c>
      <c r="C69" s="1168">
        <v>92279886</v>
      </c>
      <c r="D69" s="1168">
        <v>14251</v>
      </c>
      <c r="E69" s="1168">
        <v>32971</v>
      </c>
      <c r="F69" s="1168">
        <v>0</v>
      </c>
      <c r="G69" s="1168">
        <v>0</v>
      </c>
      <c r="H69" s="1168">
        <v>92261166</v>
      </c>
      <c r="I69" s="1158"/>
      <c r="J69" s="1296">
        <v>51</v>
      </c>
      <c r="K69" s="1198"/>
    </row>
    <row r="70" spans="1:11">
      <c r="A70" s="1279" t="s">
        <v>5451</v>
      </c>
      <c r="B70" s="1204" t="s">
        <v>5452</v>
      </c>
      <c r="C70" s="1168">
        <v>440701872</v>
      </c>
      <c r="D70" s="1168">
        <v>147499243</v>
      </c>
      <c r="E70" s="1168">
        <v>2655102</v>
      </c>
      <c r="F70" s="1168">
        <v>0</v>
      </c>
      <c r="G70" s="1168">
        <v>0</v>
      </c>
      <c r="H70" s="1168">
        <v>585546013</v>
      </c>
      <c r="I70" s="1158"/>
      <c r="J70" s="1296">
        <v>52</v>
      </c>
      <c r="K70" s="1198"/>
    </row>
    <row r="71" spans="1:11">
      <c r="A71" s="1279" t="s">
        <v>5453</v>
      </c>
      <c r="B71" s="1204" t="s">
        <v>5454</v>
      </c>
      <c r="C71" s="1168">
        <v>337038615</v>
      </c>
      <c r="D71" s="1168">
        <v>74360235</v>
      </c>
      <c r="E71" s="1168">
        <v>102556</v>
      </c>
      <c r="F71" s="1168">
        <v>0</v>
      </c>
      <c r="G71" s="1168">
        <v>0</v>
      </c>
      <c r="H71" s="1168">
        <v>411296294</v>
      </c>
      <c r="I71" s="1158"/>
      <c r="J71" s="1296">
        <v>53</v>
      </c>
      <c r="K71" s="1198"/>
    </row>
    <row r="72" spans="1:11">
      <c r="A72" s="1279" t="s">
        <v>5455</v>
      </c>
      <c r="B72" s="1204" t="s">
        <v>5456</v>
      </c>
      <c r="C72" s="1168">
        <v>1210859</v>
      </c>
      <c r="D72" s="1168">
        <v>0</v>
      </c>
      <c r="E72" s="1168">
        <v>0</v>
      </c>
      <c r="F72" s="1168">
        <v>0</v>
      </c>
      <c r="G72" s="1168">
        <v>0</v>
      </c>
      <c r="H72" s="1168">
        <v>1210859</v>
      </c>
      <c r="I72" s="1158"/>
      <c r="J72" s="1296">
        <v>54</v>
      </c>
      <c r="K72" s="1198"/>
    </row>
    <row r="73" spans="1:11">
      <c r="A73" s="1279" t="s">
        <v>5457</v>
      </c>
      <c r="B73" s="1204" t="s">
        <v>5458</v>
      </c>
      <c r="C73" s="1168">
        <v>36956731</v>
      </c>
      <c r="D73" s="1168">
        <v>0</v>
      </c>
      <c r="E73" s="1168">
        <v>0</v>
      </c>
      <c r="F73" s="1168">
        <v>0</v>
      </c>
      <c r="G73" s="1168">
        <v>0</v>
      </c>
      <c r="H73" s="1168">
        <v>36956731</v>
      </c>
      <c r="I73" s="1158"/>
      <c r="J73" s="1296">
        <v>55</v>
      </c>
      <c r="K73" s="1198"/>
    </row>
    <row r="74" spans="1:11">
      <c r="A74" s="1279" t="s">
        <v>5459</v>
      </c>
      <c r="B74" s="1204" t="s">
        <v>5460</v>
      </c>
      <c r="C74" s="1168">
        <v>2494713</v>
      </c>
      <c r="D74" s="1168">
        <v>0</v>
      </c>
      <c r="E74" s="1168">
        <v>0</v>
      </c>
      <c r="F74" s="1168">
        <v>0</v>
      </c>
      <c r="G74" s="1168">
        <v>0</v>
      </c>
      <c r="H74" s="1168">
        <v>2494713</v>
      </c>
      <c r="I74" s="1158"/>
      <c r="J74" s="1296">
        <v>56</v>
      </c>
      <c r="K74" s="1198"/>
    </row>
    <row r="75" spans="1:11">
      <c r="A75" s="1279" t="s">
        <v>5461</v>
      </c>
      <c r="B75" s="1204" t="s">
        <v>5462</v>
      </c>
      <c r="C75" s="1168">
        <v>3234300</v>
      </c>
      <c r="D75" s="1168">
        <v>-1263122</v>
      </c>
      <c r="E75" s="1168">
        <v>0</v>
      </c>
      <c r="F75" s="1168">
        <v>0</v>
      </c>
      <c r="G75" s="1168">
        <v>0</v>
      </c>
      <c r="H75" s="1168">
        <v>1971178</v>
      </c>
      <c r="I75" s="1158"/>
      <c r="J75" s="1296">
        <v>57</v>
      </c>
      <c r="K75" s="1198"/>
    </row>
    <row r="76" spans="1:11">
      <c r="A76" s="1279" t="s">
        <v>5463</v>
      </c>
      <c r="B76" s="1257" t="s">
        <v>5464</v>
      </c>
      <c r="C76" s="1187">
        <f t="shared" ref="C76:H76" si="6">SUM(C65:C75)</f>
        <v>1701882010</v>
      </c>
      <c r="D76" s="1187">
        <f t="shared" si="6"/>
        <v>295251129</v>
      </c>
      <c r="E76" s="1187">
        <f t="shared" si="6"/>
        <v>4751901</v>
      </c>
      <c r="F76" s="1187">
        <f t="shared" si="6"/>
        <v>0</v>
      </c>
      <c r="G76" s="1187">
        <f t="shared" si="6"/>
        <v>0</v>
      </c>
      <c r="H76" s="1171">
        <f t="shared" si="6"/>
        <v>1992381238</v>
      </c>
      <c r="I76" s="1158"/>
      <c r="J76" s="1296">
        <v>58</v>
      </c>
      <c r="K76" s="1198"/>
    </row>
    <row r="77" spans="1:11">
      <c r="A77" s="1279" t="s">
        <v>5465</v>
      </c>
      <c r="B77" s="1204" t="s">
        <v>5466</v>
      </c>
      <c r="C77" s="3980"/>
      <c r="D77" s="3981"/>
      <c r="E77" s="1295"/>
      <c r="F77" s="1295"/>
      <c r="G77" s="1295"/>
      <c r="H77" s="1295"/>
      <c r="I77" s="1158"/>
      <c r="J77" s="1296">
        <v>59</v>
      </c>
      <c r="K77" s="1198"/>
    </row>
    <row r="78" spans="1:11">
      <c r="A78" s="1279" t="s">
        <v>5467</v>
      </c>
      <c r="B78" s="1204" t="s">
        <v>5468</v>
      </c>
      <c r="C78" s="1168">
        <v>46599255</v>
      </c>
      <c r="D78" s="1168">
        <v>1589632</v>
      </c>
      <c r="E78" s="1168">
        <v>0</v>
      </c>
      <c r="F78" s="1168">
        <v>0</v>
      </c>
      <c r="G78" s="1168">
        <v>-21</v>
      </c>
      <c r="H78" s="1168">
        <v>48188866</v>
      </c>
      <c r="I78" s="1158"/>
      <c r="J78" s="1296">
        <v>60</v>
      </c>
      <c r="K78" s="1198"/>
    </row>
    <row r="79" spans="1:11">
      <c r="A79" s="1279" t="s">
        <v>5469</v>
      </c>
      <c r="B79" s="1204" t="s">
        <v>5470</v>
      </c>
      <c r="C79" s="1168">
        <v>8254721</v>
      </c>
      <c r="D79" s="1168">
        <v>0</v>
      </c>
      <c r="E79" s="1168">
        <v>0</v>
      </c>
      <c r="F79" s="1168">
        <v>0</v>
      </c>
      <c r="G79" s="1168">
        <v>0</v>
      </c>
      <c r="H79" s="1168">
        <v>8254721</v>
      </c>
      <c r="I79" s="1158"/>
      <c r="J79" s="1296">
        <v>61</v>
      </c>
      <c r="K79" s="1198"/>
    </row>
    <row r="80" spans="1:11">
      <c r="A80" s="1279" t="s">
        <v>5471</v>
      </c>
      <c r="B80" s="1204" t="s">
        <v>5472</v>
      </c>
      <c r="C80" s="1168">
        <v>525180724</v>
      </c>
      <c r="D80" s="1168">
        <v>23202458</v>
      </c>
      <c r="E80" s="1168">
        <v>3364148</v>
      </c>
      <c r="F80" s="1168">
        <v>0</v>
      </c>
      <c r="G80" s="1168">
        <v>0</v>
      </c>
      <c r="H80" s="1168">
        <v>545019034</v>
      </c>
      <c r="I80" s="1158"/>
      <c r="J80" s="1296">
        <v>62</v>
      </c>
      <c r="K80" s="1198"/>
    </row>
    <row r="81" spans="1:11">
      <c r="A81" s="1279" t="s">
        <v>5473</v>
      </c>
      <c r="B81" s="1204" t="s">
        <v>5474</v>
      </c>
      <c r="C81" s="1168">
        <v>1210115</v>
      </c>
      <c r="D81" s="1168">
        <v>0</v>
      </c>
      <c r="E81" s="1168">
        <v>0</v>
      </c>
      <c r="F81" s="1168">
        <v>0</v>
      </c>
      <c r="G81" s="1168">
        <v>0</v>
      </c>
      <c r="H81" s="1168">
        <v>1210115</v>
      </c>
      <c r="I81" s="1158"/>
      <c r="J81" s="1296">
        <v>63</v>
      </c>
      <c r="K81" s="1198"/>
    </row>
    <row r="82" spans="1:11">
      <c r="A82" s="1279" t="s">
        <v>5475</v>
      </c>
      <c r="B82" s="1204" t="s">
        <v>5476</v>
      </c>
      <c r="C82" s="1168">
        <v>509747449</v>
      </c>
      <c r="D82" s="1168">
        <v>38252048</v>
      </c>
      <c r="E82" s="1168">
        <v>2906635</v>
      </c>
      <c r="F82" s="1168">
        <v>0</v>
      </c>
      <c r="G82" s="1168">
        <v>0</v>
      </c>
      <c r="H82" s="1168">
        <v>545092862</v>
      </c>
      <c r="I82" s="1158"/>
      <c r="J82" s="1296">
        <v>64</v>
      </c>
      <c r="K82" s="1198"/>
    </row>
    <row r="83" spans="1:11">
      <c r="A83" s="1279" t="s">
        <v>5477</v>
      </c>
      <c r="B83" s="1204" t="s">
        <v>5478</v>
      </c>
      <c r="C83" s="1168">
        <v>650144028</v>
      </c>
      <c r="D83" s="1168">
        <v>64050884</v>
      </c>
      <c r="E83" s="1168">
        <v>6060859</v>
      </c>
      <c r="F83" s="1168">
        <v>0</v>
      </c>
      <c r="G83" s="1168">
        <v>0</v>
      </c>
      <c r="H83" s="1168">
        <v>708134053</v>
      </c>
      <c r="I83" s="1158"/>
      <c r="J83" s="1296">
        <v>65</v>
      </c>
      <c r="K83" s="1198"/>
    </row>
    <row r="84" spans="1:11">
      <c r="A84" s="1279" t="s">
        <v>5479</v>
      </c>
      <c r="B84" s="1204" t="s">
        <v>5480</v>
      </c>
      <c r="C84" s="1168">
        <v>881223861</v>
      </c>
      <c r="D84" s="1168">
        <v>60879526</v>
      </c>
      <c r="E84" s="1168">
        <v>1231013</v>
      </c>
      <c r="F84" s="1168">
        <v>0</v>
      </c>
      <c r="G84" s="1168">
        <v>0</v>
      </c>
      <c r="H84" s="1168">
        <v>940872374</v>
      </c>
      <c r="I84" s="1158"/>
      <c r="J84" s="1296">
        <v>66</v>
      </c>
      <c r="K84" s="1198"/>
    </row>
    <row r="85" spans="1:11">
      <c r="A85" s="1279" t="s">
        <v>5481</v>
      </c>
      <c r="B85" s="1204" t="s">
        <v>5482</v>
      </c>
      <c r="C85" s="1168">
        <v>1220390532</v>
      </c>
      <c r="D85" s="1168">
        <v>93069526</v>
      </c>
      <c r="E85" s="1168">
        <v>6582707</v>
      </c>
      <c r="F85" s="1168">
        <v>0</v>
      </c>
      <c r="G85" s="1168">
        <v>0</v>
      </c>
      <c r="H85" s="1168">
        <v>1306877351</v>
      </c>
      <c r="I85" s="1158"/>
      <c r="J85" s="1296">
        <v>67</v>
      </c>
      <c r="K85" s="1198"/>
    </row>
    <row r="86" spans="1:11">
      <c r="A86" s="1279" t="s">
        <v>5483</v>
      </c>
      <c r="B86" s="1204" t="s">
        <v>5484</v>
      </c>
      <c r="C86" s="1168">
        <v>595580939</v>
      </c>
      <c r="D86" s="1168">
        <v>42250411</v>
      </c>
      <c r="E86" s="1168">
        <v>4728365</v>
      </c>
      <c r="F86" s="1168">
        <v>-99142</v>
      </c>
      <c r="G86" s="1168">
        <v>0</v>
      </c>
      <c r="H86" s="1168">
        <v>633003843</v>
      </c>
      <c r="I86" s="1158"/>
      <c r="J86" s="1296">
        <v>68</v>
      </c>
      <c r="K86" s="1198"/>
    </row>
    <row r="87" spans="1:11">
      <c r="A87" s="1279" t="s">
        <v>5485</v>
      </c>
      <c r="B87" s="1204" t="s">
        <v>5486</v>
      </c>
      <c r="C87" s="1168">
        <v>204371296</v>
      </c>
      <c r="D87" s="1168">
        <v>6219202</v>
      </c>
      <c r="E87" s="1168">
        <v>384834</v>
      </c>
      <c r="F87" s="1168">
        <v>0</v>
      </c>
      <c r="G87" s="1168">
        <v>0</v>
      </c>
      <c r="H87" s="1168">
        <v>210205664</v>
      </c>
      <c r="I87" s="1158"/>
      <c r="J87" s="1296">
        <v>69</v>
      </c>
      <c r="K87" s="1198"/>
    </row>
    <row r="88" spans="1:11">
      <c r="A88" s="1279" t="s">
        <v>5487</v>
      </c>
      <c r="B88" s="1204" t="s">
        <v>5488</v>
      </c>
      <c r="C88" s="1168">
        <v>268159457</v>
      </c>
      <c r="D88" s="1168">
        <v>50509362</v>
      </c>
      <c r="E88" s="1168">
        <v>55756826</v>
      </c>
      <c r="F88" s="1168">
        <v>-31047</v>
      </c>
      <c r="G88" s="1168">
        <v>0</v>
      </c>
      <c r="H88" s="1168">
        <v>262880946</v>
      </c>
      <c r="I88" s="1158"/>
      <c r="J88" s="1296">
        <v>70</v>
      </c>
      <c r="K88" s="1198"/>
    </row>
    <row r="89" spans="1:11">
      <c r="A89" s="1279" t="s">
        <v>5489</v>
      </c>
      <c r="B89" s="1204" t="s">
        <v>5490</v>
      </c>
      <c r="C89" s="1168">
        <v>854792</v>
      </c>
      <c r="D89" s="1168">
        <v>0</v>
      </c>
      <c r="E89" s="1168">
        <v>0</v>
      </c>
      <c r="F89" s="1168">
        <v>0</v>
      </c>
      <c r="G89" s="1168">
        <v>0</v>
      </c>
      <c r="H89" s="1168">
        <v>854792</v>
      </c>
      <c r="I89" s="1158"/>
      <c r="J89" s="1296">
        <v>71</v>
      </c>
      <c r="K89" s="1198"/>
    </row>
    <row r="90" spans="1:11">
      <c r="A90" s="1279" t="s">
        <v>5491</v>
      </c>
      <c r="B90" s="1204" t="s">
        <v>5492</v>
      </c>
      <c r="C90" s="1168">
        <v>0</v>
      </c>
      <c r="D90" s="1168">
        <v>0</v>
      </c>
      <c r="E90" s="1168">
        <v>0</v>
      </c>
      <c r="F90" s="1168">
        <v>0</v>
      </c>
      <c r="G90" s="1168">
        <v>0</v>
      </c>
      <c r="H90" s="1168">
        <v>0</v>
      </c>
      <c r="I90" s="1158"/>
      <c r="J90" s="1296">
        <v>72</v>
      </c>
      <c r="K90" s="1198"/>
    </row>
    <row r="91" spans="1:11">
      <c r="A91" s="1279" t="s">
        <v>5493</v>
      </c>
      <c r="B91" s="1204" t="s">
        <v>5494</v>
      </c>
      <c r="C91" s="1168">
        <v>64924902</v>
      </c>
      <c r="D91" s="1168">
        <v>2654130</v>
      </c>
      <c r="E91" s="1168">
        <v>5827</v>
      </c>
      <c r="F91" s="1168">
        <v>0</v>
      </c>
      <c r="G91" s="1168">
        <v>0</v>
      </c>
      <c r="H91" s="1168">
        <v>67573205</v>
      </c>
      <c r="I91" s="1158"/>
      <c r="J91" s="1296">
        <v>73</v>
      </c>
      <c r="K91" s="1198"/>
    </row>
    <row r="92" spans="1:11">
      <c r="A92" s="1279" t="s">
        <v>5495</v>
      </c>
      <c r="B92" s="1204" t="s">
        <v>5496</v>
      </c>
      <c r="C92" s="1168">
        <v>10622685</v>
      </c>
      <c r="D92" s="1168">
        <v>-4867769</v>
      </c>
      <c r="E92" s="1168">
        <v>0</v>
      </c>
      <c r="F92" s="1168">
        <v>0</v>
      </c>
      <c r="G92" s="1168">
        <v>0</v>
      </c>
      <c r="H92" s="1168">
        <v>5754916</v>
      </c>
      <c r="I92" s="1158"/>
      <c r="J92" s="1296">
        <v>74</v>
      </c>
      <c r="K92" s="1198"/>
    </row>
    <row r="93" spans="1:11">
      <c r="A93" s="1279" t="s">
        <v>5497</v>
      </c>
      <c r="B93" s="1257" t="s">
        <v>5498</v>
      </c>
      <c r="C93" s="1187">
        <f t="shared" ref="C93:H93" si="7">SUM(C78:C92)</f>
        <v>4987264756</v>
      </c>
      <c r="D93" s="1187">
        <f t="shared" si="7"/>
        <v>377809410</v>
      </c>
      <c r="E93" s="1187">
        <f t="shared" si="7"/>
        <v>81021214</v>
      </c>
      <c r="F93" s="1187">
        <f t="shared" si="7"/>
        <v>-130189</v>
      </c>
      <c r="G93" s="1187">
        <f t="shared" si="7"/>
        <v>-21</v>
      </c>
      <c r="H93" s="1171">
        <f t="shared" si="7"/>
        <v>5283922742</v>
      </c>
      <c r="I93" s="1158"/>
      <c r="J93" s="1296">
        <v>75</v>
      </c>
      <c r="K93" s="1198"/>
    </row>
    <row r="94" spans="1:11">
      <c r="A94" s="1279" t="s">
        <v>5499</v>
      </c>
      <c r="B94" s="1204" t="s">
        <v>5500</v>
      </c>
      <c r="C94" s="3980"/>
      <c r="D94" s="3981"/>
      <c r="E94" s="1295"/>
      <c r="F94" s="1295"/>
      <c r="G94" s="1295"/>
      <c r="H94" s="1295"/>
      <c r="I94" s="1158"/>
      <c r="J94" s="1296">
        <v>76</v>
      </c>
      <c r="K94" s="1198"/>
    </row>
    <row r="95" spans="1:11">
      <c r="A95" s="1279" t="s">
        <v>5501</v>
      </c>
      <c r="B95" s="1204" t="s">
        <v>5502</v>
      </c>
      <c r="C95" s="1168">
        <f t="shared" ref="C95:C101" si="8">SUMIFS($Q95:$XFD95,$Q$11:$XFD$11,$F$11)</f>
        <v>0</v>
      </c>
      <c r="D95" s="1168">
        <v>0</v>
      </c>
      <c r="E95" s="1168">
        <v>0</v>
      </c>
      <c r="F95" s="1168">
        <v>0</v>
      </c>
      <c r="G95" s="1168">
        <v>0</v>
      </c>
      <c r="H95" s="1168">
        <f t="shared" ref="H95:H101" si="9">C95+D95-E95+F95+G95</f>
        <v>0</v>
      </c>
      <c r="I95" s="1158"/>
      <c r="J95" s="1296">
        <v>77</v>
      </c>
      <c r="K95" s="1198"/>
    </row>
    <row r="96" spans="1:11">
      <c r="A96" s="1279" t="s">
        <v>5503</v>
      </c>
      <c r="B96" s="1204" t="s">
        <v>5504</v>
      </c>
      <c r="C96" s="1168">
        <f t="shared" si="8"/>
        <v>0</v>
      </c>
      <c r="D96" s="1168">
        <v>0</v>
      </c>
      <c r="E96" s="1168">
        <v>0</v>
      </c>
      <c r="F96" s="1168">
        <v>0</v>
      </c>
      <c r="G96" s="1168">
        <v>0</v>
      </c>
      <c r="H96" s="1168">
        <f t="shared" si="9"/>
        <v>0</v>
      </c>
      <c r="I96" s="1158"/>
      <c r="J96" s="1296">
        <v>78</v>
      </c>
      <c r="K96" s="1198"/>
    </row>
    <row r="97" spans="1:11">
      <c r="A97" s="1279" t="s">
        <v>5505</v>
      </c>
      <c r="B97" s="1204" t="s">
        <v>5506</v>
      </c>
      <c r="C97" s="1168">
        <f t="shared" si="8"/>
        <v>0</v>
      </c>
      <c r="D97" s="1168">
        <v>0</v>
      </c>
      <c r="E97" s="1168">
        <v>0</v>
      </c>
      <c r="F97" s="1168">
        <v>0</v>
      </c>
      <c r="G97" s="1168">
        <v>0</v>
      </c>
      <c r="H97" s="1168">
        <f t="shared" si="9"/>
        <v>0</v>
      </c>
      <c r="I97" s="1158"/>
      <c r="J97" s="1296">
        <v>79</v>
      </c>
      <c r="K97" s="1198"/>
    </row>
    <row r="98" spans="1:11">
      <c r="A98" s="1279" t="s">
        <v>5507</v>
      </c>
      <c r="B98" s="1204" t="s">
        <v>5508</v>
      </c>
      <c r="C98" s="1168">
        <f t="shared" si="8"/>
        <v>0</v>
      </c>
      <c r="D98" s="1168">
        <v>0</v>
      </c>
      <c r="E98" s="1168">
        <v>0</v>
      </c>
      <c r="F98" s="1168">
        <v>0</v>
      </c>
      <c r="G98" s="1168">
        <v>0</v>
      </c>
      <c r="H98" s="1168">
        <f t="shared" si="9"/>
        <v>0</v>
      </c>
      <c r="I98" s="1158"/>
      <c r="J98" s="1296">
        <v>80</v>
      </c>
      <c r="K98" s="1198"/>
    </row>
    <row r="99" spans="1:11">
      <c r="A99" s="1279" t="s">
        <v>5509</v>
      </c>
      <c r="B99" s="1204" t="s">
        <v>5510</v>
      </c>
      <c r="C99" s="1168">
        <f t="shared" si="8"/>
        <v>0</v>
      </c>
      <c r="D99" s="1168">
        <v>0</v>
      </c>
      <c r="E99" s="1168">
        <v>0</v>
      </c>
      <c r="F99" s="1168">
        <v>0</v>
      </c>
      <c r="G99" s="1168">
        <v>0</v>
      </c>
      <c r="H99" s="1168">
        <f t="shared" si="9"/>
        <v>0</v>
      </c>
      <c r="I99" s="1158"/>
      <c r="J99" s="1296">
        <v>81</v>
      </c>
      <c r="K99" s="1198"/>
    </row>
    <row r="100" spans="1:11">
      <c r="A100" s="1279" t="s">
        <v>5511</v>
      </c>
      <c r="B100" s="1204" t="s">
        <v>5512</v>
      </c>
      <c r="C100" s="1168">
        <f t="shared" si="8"/>
        <v>0</v>
      </c>
      <c r="D100" s="1168">
        <v>0</v>
      </c>
      <c r="E100" s="1168">
        <v>0</v>
      </c>
      <c r="F100" s="1168">
        <v>0</v>
      </c>
      <c r="G100" s="1168">
        <v>0</v>
      </c>
      <c r="H100" s="1168">
        <f t="shared" si="9"/>
        <v>0</v>
      </c>
      <c r="I100" s="1158"/>
      <c r="J100" s="1296">
        <v>82</v>
      </c>
      <c r="K100" s="1198"/>
    </row>
    <row r="101" spans="1:11">
      <c r="A101" s="1279" t="s">
        <v>5513</v>
      </c>
      <c r="B101" s="1204" t="s">
        <v>5514</v>
      </c>
      <c r="C101" s="1168">
        <f t="shared" si="8"/>
        <v>0</v>
      </c>
      <c r="D101" s="1168">
        <v>0</v>
      </c>
      <c r="E101" s="1168">
        <v>0</v>
      </c>
      <c r="F101" s="1168">
        <v>0</v>
      </c>
      <c r="G101" s="1168">
        <v>0</v>
      </c>
      <c r="H101" s="1168">
        <f t="shared" si="9"/>
        <v>0</v>
      </c>
      <c r="I101" s="1158"/>
      <c r="J101" s="1296">
        <v>83</v>
      </c>
      <c r="K101" s="1198"/>
    </row>
    <row r="102" spans="1:11">
      <c r="A102" s="1279" t="s">
        <v>5515</v>
      </c>
      <c r="B102" s="1251" t="s">
        <v>5516</v>
      </c>
      <c r="C102" s="1187">
        <f t="shared" ref="C102:H102" si="10">SUM(C95:C101)</f>
        <v>0</v>
      </c>
      <c r="D102" s="1187">
        <f t="shared" si="10"/>
        <v>0</v>
      </c>
      <c r="E102" s="1187">
        <f t="shared" si="10"/>
        <v>0</v>
      </c>
      <c r="F102" s="1187">
        <f t="shared" si="10"/>
        <v>0</v>
      </c>
      <c r="G102" s="1187">
        <f t="shared" si="10"/>
        <v>0</v>
      </c>
      <c r="H102" s="1187">
        <f t="shared" si="10"/>
        <v>0</v>
      </c>
      <c r="I102" s="1158"/>
      <c r="J102" s="1296">
        <v>84</v>
      </c>
      <c r="K102" s="1198"/>
    </row>
    <row r="103" spans="1:11">
      <c r="A103" s="1279" t="s">
        <v>5517</v>
      </c>
      <c r="B103" s="1204" t="s">
        <v>5518</v>
      </c>
      <c r="C103" s="3980"/>
      <c r="D103" s="3981"/>
      <c r="E103" s="1295"/>
      <c r="F103" s="1295"/>
      <c r="G103" s="1295"/>
      <c r="H103" s="1295"/>
      <c r="I103" s="1158"/>
      <c r="J103" s="1296">
        <v>85</v>
      </c>
      <c r="K103" s="1198"/>
    </row>
    <row r="104" spans="1:11">
      <c r="A104" s="1279" t="s">
        <v>5519</v>
      </c>
      <c r="B104" s="1257" t="s">
        <v>5520</v>
      </c>
      <c r="C104" s="1168">
        <v>5100521</v>
      </c>
      <c r="D104" s="1168">
        <v>0</v>
      </c>
      <c r="E104" s="1168">
        <v>0</v>
      </c>
      <c r="F104" s="1168">
        <v>0</v>
      </c>
      <c r="G104" s="1168">
        <v>0</v>
      </c>
      <c r="H104" s="1171">
        <v>5100521</v>
      </c>
      <c r="I104" s="1158"/>
      <c r="J104" s="1296">
        <v>86</v>
      </c>
      <c r="K104" s="1198"/>
    </row>
    <row r="105" spans="1:11">
      <c r="A105" s="1279" t="s">
        <v>5521</v>
      </c>
      <c r="B105" s="1257" t="s">
        <v>5522</v>
      </c>
      <c r="C105" s="1168">
        <v>113151052</v>
      </c>
      <c r="D105" s="1168">
        <v>13570118</v>
      </c>
      <c r="E105" s="1168">
        <v>0</v>
      </c>
      <c r="F105" s="1168">
        <v>0</v>
      </c>
      <c r="G105" s="1168">
        <v>0</v>
      </c>
      <c r="H105" s="1171">
        <v>126721170</v>
      </c>
      <c r="I105" s="1158"/>
      <c r="J105" s="1296">
        <v>87</v>
      </c>
      <c r="K105" s="1198"/>
    </row>
    <row r="106" spans="1:11">
      <c r="A106" s="1279" t="s">
        <v>5523</v>
      </c>
      <c r="B106" s="1257" t="s">
        <v>5524</v>
      </c>
      <c r="C106" s="1168">
        <v>31186920</v>
      </c>
      <c r="D106" s="1168">
        <v>6673684</v>
      </c>
      <c r="E106" s="1168">
        <v>6262907</v>
      </c>
      <c r="F106" s="1168">
        <v>0</v>
      </c>
      <c r="G106" s="1168">
        <v>0</v>
      </c>
      <c r="H106" s="1171">
        <v>31597697</v>
      </c>
      <c r="I106" s="1158"/>
      <c r="J106" s="1296">
        <v>88</v>
      </c>
      <c r="K106" s="1198"/>
    </row>
    <row r="107" spans="1:11">
      <c r="A107" s="1279" t="s">
        <v>5525</v>
      </c>
      <c r="B107" s="1257" t="s">
        <v>5526</v>
      </c>
      <c r="C107" s="1168">
        <v>2182246</v>
      </c>
      <c r="D107" s="1168">
        <v>1866850</v>
      </c>
      <c r="E107" s="1168">
        <v>55031</v>
      </c>
      <c r="F107" s="1168">
        <v>0</v>
      </c>
      <c r="G107" s="1168">
        <v>0</v>
      </c>
      <c r="H107" s="1171">
        <v>3994065</v>
      </c>
      <c r="I107" s="1158"/>
      <c r="J107" s="1296">
        <v>89</v>
      </c>
      <c r="K107" s="1198"/>
    </row>
    <row r="108" spans="1:11">
      <c r="A108" s="1279" t="s">
        <v>5527</v>
      </c>
      <c r="B108" s="1257" t="s">
        <v>5528</v>
      </c>
      <c r="C108" s="1168">
        <v>170597</v>
      </c>
      <c r="D108" s="1168">
        <v>1798594</v>
      </c>
      <c r="E108" s="1168">
        <v>0</v>
      </c>
      <c r="F108" s="1168">
        <v>0</v>
      </c>
      <c r="G108" s="1168">
        <v>0</v>
      </c>
      <c r="H108" s="1171">
        <v>1969191</v>
      </c>
      <c r="I108" s="1158"/>
      <c r="J108" s="1296">
        <v>90</v>
      </c>
      <c r="K108" s="1198"/>
    </row>
    <row r="109" spans="1:11">
      <c r="A109" s="1279" t="s">
        <v>5529</v>
      </c>
      <c r="B109" s="1257" t="s">
        <v>5530</v>
      </c>
      <c r="C109" s="1168">
        <v>26306435</v>
      </c>
      <c r="D109" s="1168">
        <v>6087765</v>
      </c>
      <c r="E109" s="1168">
        <v>22018</v>
      </c>
      <c r="F109" s="1168">
        <v>0</v>
      </c>
      <c r="G109" s="1168">
        <v>0</v>
      </c>
      <c r="H109" s="1171">
        <v>32372182</v>
      </c>
      <c r="I109" s="1158"/>
      <c r="J109" s="1296">
        <v>91</v>
      </c>
      <c r="K109" s="1198"/>
    </row>
    <row r="110" spans="1:11">
      <c r="A110" s="1279" t="s">
        <v>5531</v>
      </c>
      <c r="B110" s="1257" t="s">
        <v>5532</v>
      </c>
      <c r="C110" s="1168">
        <v>6654825</v>
      </c>
      <c r="D110" s="1168">
        <v>0</v>
      </c>
      <c r="E110" s="1168">
        <v>681203</v>
      </c>
      <c r="F110" s="1168">
        <v>0</v>
      </c>
      <c r="G110" s="1168">
        <v>0</v>
      </c>
      <c r="H110" s="1171">
        <v>5973622</v>
      </c>
      <c r="I110" s="1158"/>
      <c r="J110" s="1296">
        <v>92</v>
      </c>
      <c r="K110" s="1198"/>
    </row>
    <row r="111" spans="1:11">
      <c r="A111" s="1279" t="s">
        <v>5533</v>
      </c>
      <c r="B111" s="1257" t="s">
        <v>5534</v>
      </c>
      <c r="C111" s="1168">
        <v>5519575</v>
      </c>
      <c r="D111" s="1168">
        <v>-863009</v>
      </c>
      <c r="E111" s="1168">
        <v>1941053</v>
      </c>
      <c r="F111" s="1168">
        <v>0</v>
      </c>
      <c r="G111" s="1168">
        <v>0</v>
      </c>
      <c r="H111" s="1171">
        <v>2715513</v>
      </c>
      <c r="I111" s="1158"/>
      <c r="J111" s="1296">
        <v>93</v>
      </c>
      <c r="K111" s="1198"/>
    </row>
    <row r="112" spans="1:11">
      <c r="A112" s="1279" t="s">
        <v>5535</v>
      </c>
      <c r="B112" s="1257" t="s">
        <v>5536</v>
      </c>
      <c r="C112" s="1168">
        <v>102753341</v>
      </c>
      <c r="D112" s="1168">
        <v>7685517</v>
      </c>
      <c r="E112" s="1168">
        <v>4606811</v>
      </c>
      <c r="F112" s="1168">
        <v>0</v>
      </c>
      <c r="G112" s="1168">
        <v>0</v>
      </c>
      <c r="H112" s="1171">
        <v>105832047</v>
      </c>
      <c r="I112" s="1158"/>
      <c r="J112" s="1296">
        <v>94</v>
      </c>
      <c r="K112" s="1198"/>
    </row>
    <row r="113" spans="1:11">
      <c r="A113" s="1279" t="s">
        <v>5537</v>
      </c>
      <c r="B113" s="1257" t="s">
        <v>5538</v>
      </c>
      <c r="C113" s="1168">
        <v>402560</v>
      </c>
      <c r="D113" s="1168">
        <v>0</v>
      </c>
      <c r="E113" s="1168">
        <v>20985</v>
      </c>
      <c r="F113" s="1168">
        <v>0</v>
      </c>
      <c r="G113" s="1168">
        <v>0</v>
      </c>
      <c r="H113" s="1171">
        <v>381575</v>
      </c>
      <c r="I113" s="1158"/>
      <c r="J113" s="1296">
        <v>95</v>
      </c>
      <c r="K113" s="1198"/>
    </row>
    <row r="114" spans="1:11">
      <c r="A114" s="1279" t="s">
        <v>5539</v>
      </c>
      <c r="B114" s="1251" t="s">
        <v>5540</v>
      </c>
      <c r="C114" s="1187">
        <f t="shared" ref="C114:H114" si="11">SUM(C104:C113)</f>
        <v>293428072</v>
      </c>
      <c r="D114" s="1187">
        <f t="shared" si="11"/>
        <v>36819519</v>
      </c>
      <c r="E114" s="1187">
        <f t="shared" si="11"/>
        <v>13590008</v>
      </c>
      <c r="F114" s="1187">
        <f t="shared" si="11"/>
        <v>0</v>
      </c>
      <c r="G114" s="1187">
        <f t="shared" si="11"/>
        <v>0</v>
      </c>
      <c r="H114" s="1187">
        <f t="shared" si="11"/>
        <v>316657583</v>
      </c>
      <c r="I114" s="1158"/>
      <c r="J114" s="1296">
        <v>96</v>
      </c>
      <c r="K114" s="1198"/>
    </row>
    <row r="115" spans="1:11">
      <c r="A115" s="1279" t="s">
        <v>5541</v>
      </c>
      <c r="B115" s="1257" t="s">
        <v>5542</v>
      </c>
      <c r="C115" s="1168">
        <f>SUMIFS($Q115:$XFD115,$Q$11:$XFD$11,$F$11)</f>
        <v>0</v>
      </c>
      <c r="D115" s="1168">
        <v>0</v>
      </c>
      <c r="E115" s="1168">
        <v>0</v>
      </c>
      <c r="F115" s="1168">
        <v>0</v>
      </c>
      <c r="G115" s="1168">
        <v>0</v>
      </c>
      <c r="H115" s="1171">
        <f>C115+D115-E115+F115+G115</f>
        <v>0</v>
      </c>
      <c r="I115" s="1158"/>
      <c r="J115" s="1296">
        <v>97</v>
      </c>
      <c r="K115" s="1198"/>
    </row>
    <row r="116" spans="1:11">
      <c r="A116" s="1279" t="s">
        <v>5543</v>
      </c>
      <c r="B116" s="1257" t="s">
        <v>5544</v>
      </c>
      <c r="C116" s="1168">
        <f>SUMIFS($Q116:$XFD116,$Q$11:$XFD$11,$F$11)</f>
        <v>0</v>
      </c>
      <c r="D116" s="1168">
        <v>0</v>
      </c>
      <c r="E116" s="1168">
        <v>0</v>
      </c>
      <c r="F116" s="1168">
        <v>0</v>
      </c>
      <c r="G116" s="1168">
        <v>0</v>
      </c>
      <c r="H116" s="1171">
        <f>C116+D116-E116+F116+G116</f>
        <v>0</v>
      </c>
      <c r="I116" s="1158"/>
      <c r="J116" s="1296">
        <v>98</v>
      </c>
      <c r="K116" s="1198"/>
    </row>
    <row r="117" spans="1:11">
      <c r="A117" s="1279" t="s">
        <v>5545</v>
      </c>
      <c r="B117" s="1257" t="s">
        <v>5546</v>
      </c>
      <c r="C117" s="1187">
        <f t="shared" ref="C117:H117" si="12">SUM(C114:C116)</f>
        <v>293428072</v>
      </c>
      <c r="D117" s="1187">
        <f t="shared" si="12"/>
        <v>36819519</v>
      </c>
      <c r="E117" s="1187">
        <f t="shared" si="12"/>
        <v>13590008</v>
      </c>
      <c r="F117" s="1187">
        <f t="shared" si="12"/>
        <v>0</v>
      </c>
      <c r="G117" s="1187">
        <f t="shared" si="12"/>
        <v>0</v>
      </c>
      <c r="H117" s="1171">
        <f t="shared" si="12"/>
        <v>316657583</v>
      </c>
      <c r="I117" s="1158"/>
      <c r="J117" s="1296">
        <v>99</v>
      </c>
      <c r="K117" s="1198"/>
    </row>
    <row r="118" spans="1:11">
      <c r="A118" s="1279" t="s">
        <v>5547</v>
      </c>
      <c r="B118" s="1204" t="s">
        <v>5548</v>
      </c>
      <c r="C118" s="1168">
        <v>11034327155</v>
      </c>
      <c r="D118" s="1168">
        <v>832825307</v>
      </c>
      <c r="E118" s="1168">
        <v>215834737</v>
      </c>
      <c r="F118" s="1168">
        <v>-130189</v>
      </c>
      <c r="G118" s="1168">
        <v>-21</v>
      </c>
      <c r="H118" s="1168">
        <v>11651187515</v>
      </c>
      <c r="I118" s="1158"/>
      <c r="J118" s="1296">
        <v>100</v>
      </c>
      <c r="K118" s="1198"/>
    </row>
    <row r="119" spans="1:11">
      <c r="A119" s="1279" t="s">
        <v>5549</v>
      </c>
      <c r="B119" s="1204" t="s">
        <v>5550</v>
      </c>
      <c r="C119" s="1168">
        <v>0</v>
      </c>
      <c r="D119" s="1157"/>
      <c r="E119" s="1157"/>
      <c r="F119" s="1157"/>
      <c r="G119" s="1157"/>
      <c r="H119" s="1168">
        <f>C119+D119-E119+F119+G119</f>
        <v>0</v>
      </c>
      <c r="I119" s="1158"/>
      <c r="J119" s="1296">
        <v>101</v>
      </c>
      <c r="K119" s="1198"/>
    </row>
    <row r="120" spans="1:11">
      <c r="A120" s="1279" t="s">
        <v>5551</v>
      </c>
      <c r="B120" s="1204" t="s">
        <v>5552</v>
      </c>
      <c r="C120" s="1168">
        <v>0</v>
      </c>
      <c r="D120" s="1157"/>
      <c r="E120" s="1157"/>
      <c r="F120" s="1157"/>
      <c r="G120" s="1157"/>
      <c r="H120" s="1168">
        <f>C120+D120-E120+F120+G120</f>
        <v>0</v>
      </c>
      <c r="I120" s="1158"/>
      <c r="J120" s="1296">
        <v>102</v>
      </c>
      <c r="K120" s="1198"/>
    </row>
    <row r="121" spans="1:11">
      <c r="A121" s="1279" t="s">
        <v>5553</v>
      </c>
      <c r="B121" s="1204" t="s">
        <v>5554</v>
      </c>
      <c r="C121" s="1168">
        <v>0</v>
      </c>
      <c r="D121" s="1157"/>
      <c r="E121" s="1157"/>
      <c r="F121" s="1157"/>
      <c r="G121" s="1157"/>
      <c r="H121" s="1168">
        <f>C121+D121-E121+F121+G121</f>
        <v>0</v>
      </c>
      <c r="I121" s="1158"/>
      <c r="J121" s="1296">
        <v>103</v>
      </c>
      <c r="K121" s="1198"/>
    </row>
    <row r="122" spans="1:11">
      <c r="A122" s="1279" t="s">
        <v>5555</v>
      </c>
      <c r="B122" s="1877" t="s">
        <v>5556</v>
      </c>
      <c r="C122" s="1298">
        <f t="shared" ref="C122:H122" si="13">SUM(C118:C119,C121)-C120</f>
        <v>11034327155</v>
      </c>
      <c r="D122" s="1298">
        <f t="shared" si="13"/>
        <v>832825307</v>
      </c>
      <c r="E122" s="1298">
        <f t="shared" si="13"/>
        <v>215834737</v>
      </c>
      <c r="F122" s="1298">
        <f t="shared" si="13"/>
        <v>-130189</v>
      </c>
      <c r="G122" s="1298">
        <f t="shared" si="13"/>
        <v>-21</v>
      </c>
      <c r="H122" s="1880">
        <f t="shared" si="13"/>
        <v>11651187515</v>
      </c>
      <c r="I122" s="1158"/>
      <c r="J122" s="1296">
        <v>104</v>
      </c>
      <c r="K122" s="1198"/>
    </row>
    <row r="123" spans="1:11">
      <c r="A123" s="1194"/>
      <c r="B123" s="1194"/>
      <c r="C123" s="1299"/>
      <c r="D123" s="1299"/>
      <c r="E123" s="1299"/>
      <c r="F123" s="1299"/>
      <c r="G123" s="1299"/>
      <c r="H123" s="1299"/>
      <c r="I123" s="1194"/>
      <c r="J123" s="1194"/>
    </row>
  </sheetData>
  <mergeCells count="24">
    <mergeCell ref="C103:D103"/>
    <mergeCell ref="C37:D37"/>
    <mergeCell ref="C47:D47"/>
    <mergeCell ref="A60:D60"/>
    <mergeCell ref="E60:J60"/>
    <mergeCell ref="A61:D61"/>
    <mergeCell ref="E61:J61"/>
    <mergeCell ref="I62:I63"/>
    <mergeCell ref="J62:J63"/>
    <mergeCell ref="C64:D64"/>
    <mergeCell ref="C77:D77"/>
    <mergeCell ref="C94:D94"/>
    <mergeCell ref="C28:D28"/>
    <mergeCell ref="A6:D6"/>
    <mergeCell ref="E6:J6"/>
    <mergeCell ref="A7:D7"/>
    <mergeCell ref="E7:J7"/>
    <mergeCell ref="A8:D8"/>
    <mergeCell ref="E8:J8"/>
    <mergeCell ref="I9:I10"/>
    <mergeCell ref="J9:J10"/>
    <mergeCell ref="C12:D12"/>
    <mergeCell ref="C17:D17"/>
    <mergeCell ref="C18:D18"/>
  </mergeCells>
  <pageMargins left="0.75" right="0.75" top="1" bottom="1" header="0.5" footer="0.5"/>
  <pageSetup orientation="portrait" horizontalDpi="90" verticalDpi="90" r:id="rId1"/>
  <customProperties>
    <customPr name="_pios_id" r:id="rId2"/>
  </customProperties>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rgb="FF92D050"/>
  </sheetPr>
  <dimension ref="A1:F46"/>
  <sheetViews>
    <sheetView workbookViewId="0">
      <pane ySplit="10" topLeftCell="A11" activePane="bottomLeft" state="frozen"/>
      <selection sqref="A1:XFD1048576"/>
      <selection pane="bottomLeft" sqref="A1:XFD1048576"/>
    </sheetView>
  </sheetViews>
  <sheetFormatPr defaultColWidth="11.625" defaultRowHeight="11.25"/>
  <cols>
    <col min="1" max="1" width="3.625" style="1149" bestFit="1" customWidth="1"/>
    <col min="2" max="2" width="40.25" style="1149" bestFit="1" customWidth="1"/>
    <col min="3" max="3" width="9.5" style="1149" bestFit="1" customWidth="1"/>
    <col min="4" max="4" width="9.875" style="1149" bestFit="1" customWidth="1"/>
    <col min="5" max="5" width="13.75" style="1149" bestFit="1" customWidth="1"/>
    <col min="6" max="6" width="11.375" style="1149" bestFit="1" customWidth="1"/>
    <col min="7" max="16384" width="11.625" style="1149"/>
  </cols>
  <sheetData>
    <row r="1" spans="1:6">
      <c r="A1" s="507" t="s">
        <v>4977</v>
      </c>
      <c r="B1" s="507"/>
    </row>
    <row r="2" spans="1:6">
      <c r="A2" s="507" t="s">
        <v>6778</v>
      </c>
      <c r="B2" s="507"/>
    </row>
    <row r="3" spans="1:6">
      <c r="A3" s="1150"/>
    </row>
    <row r="4" spans="1:6">
      <c r="A4" s="1150"/>
    </row>
    <row r="6" spans="1:6">
      <c r="A6" s="4001" t="s">
        <v>5557</v>
      </c>
      <c r="B6" s="4002"/>
      <c r="C6" s="4002"/>
      <c r="D6" s="4002"/>
      <c r="E6" s="4002"/>
      <c r="F6" s="4003"/>
    </row>
    <row r="7" spans="1:6">
      <c r="A7" s="3990" t="s">
        <v>5558</v>
      </c>
      <c r="B7" s="4004"/>
      <c r="C7" s="4004"/>
      <c r="D7" s="4004"/>
      <c r="E7" s="4004"/>
      <c r="F7" s="4005"/>
    </row>
    <row r="8" spans="1:6">
      <c r="A8" s="4006" t="s">
        <v>5559</v>
      </c>
      <c r="B8" s="4007"/>
      <c r="C8" s="4007"/>
      <c r="D8" s="4007"/>
      <c r="E8" s="4007"/>
      <c r="F8" s="4008"/>
    </row>
    <row r="9" spans="1:6" ht="22.5">
      <c r="A9" s="1267" t="s">
        <v>5177</v>
      </c>
      <c r="B9" s="1267" t="s">
        <v>5560</v>
      </c>
      <c r="C9" s="1300" t="s">
        <v>5561</v>
      </c>
      <c r="D9" s="1267" t="s">
        <v>5562</v>
      </c>
      <c r="E9" s="1267" t="s">
        <v>5563</v>
      </c>
      <c r="F9" s="1267" t="s">
        <v>5564</v>
      </c>
    </row>
    <row r="10" spans="1:6">
      <c r="A10" s="1301"/>
      <c r="B10" s="1293" t="s">
        <v>4989</v>
      </c>
      <c r="C10" s="1302" t="s">
        <v>4990</v>
      </c>
      <c r="D10" s="1293" t="s">
        <v>4991</v>
      </c>
      <c r="E10" s="1293" t="s">
        <v>4992</v>
      </c>
      <c r="F10" s="1293" t="s">
        <v>5181</v>
      </c>
    </row>
    <row r="11" spans="1:6">
      <c r="A11" s="1211">
        <v>1</v>
      </c>
      <c r="B11" s="1204" t="s">
        <v>5565</v>
      </c>
      <c r="C11" s="1187">
        <v>4902238564</v>
      </c>
      <c r="D11" s="1168">
        <v>4902076139</v>
      </c>
      <c r="E11" s="1168">
        <v>162425</v>
      </c>
      <c r="F11" s="1157"/>
    </row>
    <row r="12" spans="1:6">
      <c r="A12" s="1211">
        <v>2</v>
      </c>
      <c r="B12" s="1204" t="s">
        <v>5566</v>
      </c>
      <c r="C12" s="1303"/>
      <c r="D12" s="1304"/>
      <c r="E12" s="1304"/>
      <c r="F12" s="1305"/>
    </row>
    <row r="13" spans="1:6">
      <c r="A13" s="1211">
        <v>3</v>
      </c>
      <c r="B13" s="1204" t="s">
        <v>5567</v>
      </c>
      <c r="C13" s="1187">
        <v>393750409</v>
      </c>
      <c r="D13" s="1168">
        <v>393750409</v>
      </c>
      <c r="E13" s="1157"/>
      <c r="F13" s="1295"/>
    </row>
    <row r="14" spans="1:6">
      <c r="A14" s="4009">
        <v>4</v>
      </c>
      <c r="B14" s="4011" t="s">
        <v>5568</v>
      </c>
      <c r="C14" s="4013">
        <v>3764421</v>
      </c>
      <c r="D14" s="4015">
        <v>3764421</v>
      </c>
      <c r="E14" s="4017"/>
      <c r="F14" s="1295"/>
    </row>
    <row r="15" spans="1:6">
      <c r="A15" s="4010"/>
      <c r="B15" s="4012"/>
      <c r="C15" s="4014"/>
      <c r="D15" s="4016"/>
      <c r="E15" s="4016"/>
      <c r="F15" s="1157"/>
    </row>
    <row r="16" spans="1:6">
      <c r="A16" s="1211">
        <v>5</v>
      </c>
      <c r="B16" s="1204" t="s">
        <v>5569</v>
      </c>
      <c r="C16" s="1187">
        <v>0</v>
      </c>
      <c r="D16" s="1303"/>
      <c r="E16" s="1305"/>
      <c r="F16" s="1157"/>
    </row>
    <row r="17" spans="1:6">
      <c r="A17" s="1211">
        <v>6</v>
      </c>
      <c r="B17" s="1204" t="s">
        <v>5570</v>
      </c>
      <c r="C17" s="1187">
        <v>0</v>
      </c>
      <c r="D17" s="1189"/>
      <c r="E17" s="1303"/>
      <c r="F17" s="1305"/>
    </row>
    <row r="18" spans="1:6">
      <c r="A18" s="1211">
        <v>7</v>
      </c>
      <c r="B18" s="1204" t="s">
        <v>5571</v>
      </c>
      <c r="C18" s="1187">
        <v>0</v>
      </c>
      <c r="D18" s="1157"/>
      <c r="E18" s="1157"/>
      <c r="F18" s="1157"/>
    </row>
    <row r="19" spans="1:6">
      <c r="A19" s="1211">
        <v>8</v>
      </c>
      <c r="B19" s="1204" t="s">
        <v>5572</v>
      </c>
      <c r="C19" s="1187">
        <v>0</v>
      </c>
      <c r="D19" s="1168">
        <v>0</v>
      </c>
      <c r="E19" s="1157"/>
      <c r="F19" s="1157"/>
    </row>
    <row r="20" spans="1:6">
      <c r="A20" s="1211">
        <v>9</v>
      </c>
      <c r="B20" s="1157"/>
      <c r="C20" s="1187">
        <v>0</v>
      </c>
      <c r="D20" s="1157"/>
      <c r="E20" s="1157"/>
      <c r="F20" s="1157"/>
    </row>
    <row r="21" spans="1:6">
      <c r="A21" s="1211">
        <v>10</v>
      </c>
      <c r="B21" s="1251" t="s">
        <v>5573</v>
      </c>
      <c r="C21" s="1187">
        <v>397514830</v>
      </c>
      <c r="D21" s="1187">
        <v>397514830</v>
      </c>
      <c r="E21" s="1187"/>
      <c r="F21" s="1187"/>
    </row>
    <row r="22" spans="1:6">
      <c r="A22" s="1211">
        <v>11</v>
      </c>
      <c r="B22" s="1204" t="s">
        <v>5574</v>
      </c>
      <c r="C22" s="1303"/>
      <c r="D22" s="1304"/>
      <c r="E22" s="1304"/>
      <c r="F22" s="1305"/>
    </row>
    <row r="23" spans="1:6">
      <c r="A23" s="1211">
        <v>12</v>
      </c>
      <c r="B23" s="1204" t="s">
        <v>5575</v>
      </c>
      <c r="C23" s="1187">
        <v>-180595572</v>
      </c>
      <c r="D23" s="1168">
        <v>-180595572</v>
      </c>
      <c r="E23" s="1157"/>
      <c r="F23" s="1157"/>
    </row>
    <row r="24" spans="1:6">
      <c r="A24" s="1211">
        <v>13</v>
      </c>
      <c r="B24" s="1204" t="s">
        <v>5576</v>
      </c>
      <c r="C24" s="1187">
        <v>-29309371</v>
      </c>
      <c r="D24" s="1168">
        <v>-29309371</v>
      </c>
      <c r="E24" s="1157"/>
      <c r="F24" s="1157"/>
    </row>
    <row r="25" spans="1:6">
      <c r="A25" s="1211">
        <v>14</v>
      </c>
      <c r="B25" s="1204" t="s">
        <v>5577</v>
      </c>
      <c r="C25" s="1187">
        <v>3099608</v>
      </c>
      <c r="D25" s="1168">
        <v>3099608</v>
      </c>
      <c r="E25" s="1157"/>
      <c r="F25" s="1157"/>
    </row>
    <row r="26" spans="1:6">
      <c r="A26" s="1211">
        <v>15</v>
      </c>
      <c r="B26" s="1251" t="s">
        <v>5578</v>
      </c>
      <c r="C26" s="1187">
        <v>-206805335</v>
      </c>
      <c r="D26" s="1187">
        <v>-206805335</v>
      </c>
      <c r="E26" s="1187"/>
      <c r="F26" s="1187"/>
    </row>
    <row r="27" spans="1:6">
      <c r="A27" s="1211">
        <v>16</v>
      </c>
      <c r="B27" s="1204" t="s">
        <v>5579</v>
      </c>
      <c r="C27" s="1187">
        <v>-1754755</v>
      </c>
      <c r="D27" s="1168">
        <v>-1754755</v>
      </c>
      <c r="E27" s="1157"/>
      <c r="F27" s="1157"/>
    </row>
    <row r="28" spans="1:6">
      <c r="A28" s="1211">
        <v>17</v>
      </c>
      <c r="B28" s="1157"/>
      <c r="C28" s="1187">
        <v>88275464</v>
      </c>
      <c r="D28" s="1168">
        <v>88275464</v>
      </c>
      <c r="E28" s="1157"/>
      <c r="F28" s="1157"/>
    </row>
    <row r="29" spans="1:6">
      <c r="A29" s="1211">
        <v>18</v>
      </c>
      <c r="B29" s="1204" t="s">
        <v>5580</v>
      </c>
      <c r="C29" s="1187">
        <v>0</v>
      </c>
      <c r="D29" s="1157"/>
      <c r="E29" s="1157"/>
      <c r="F29" s="1157"/>
    </row>
    <row r="30" spans="1:6">
      <c r="A30" s="1211">
        <v>19</v>
      </c>
      <c r="B30" s="1251" t="s">
        <v>5581</v>
      </c>
      <c r="C30" s="1187">
        <v>5179468768</v>
      </c>
      <c r="D30" s="1187">
        <v>5179306343</v>
      </c>
      <c r="E30" s="1187">
        <v>162425</v>
      </c>
      <c r="F30" s="1187">
        <v>0</v>
      </c>
    </row>
    <row r="31" spans="1:6" ht="11.25" customHeight="1">
      <c r="A31" s="4000" t="s">
        <v>5582</v>
      </c>
      <c r="B31" s="3938"/>
      <c r="C31" s="3938"/>
      <c r="D31" s="3938"/>
      <c r="E31" s="3938"/>
      <c r="F31" s="3939"/>
    </row>
    <row r="32" spans="1:6">
      <c r="A32" s="1211">
        <v>20</v>
      </c>
      <c r="B32" s="1257" t="s">
        <v>111</v>
      </c>
      <c r="C32" s="1187">
        <v>953504602</v>
      </c>
      <c r="D32" s="1171">
        <v>953504602</v>
      </c>
      <c r="E32" s="1157"/>
      <c r="F32" s="1157"/>
    </row>
    <row r="33" spans="1:6">
      <c r="A33" s="1211">
        <v>21</v>
      </c>
      <c r="B33" s="1257" t="s">
        <v>5583</v>
      </c>
      <c r="C33" s="1187">
        <v>0</v>
      </c>
      <c r="D33" s="1169"/>
      <c r="E33" s="1157"/>
      <c r="F33" s="1157"/>
    </row>
    <row r="34" spans="1:6">
      <c r="A34" s="1211">
        <v>22</v>
      </c>
      <c r="B34" s="1257" t="s">
        <v>5584</v>
      </c>
      <c r="C34" s="1187">
        <v>270525277</v>
      </c>
      <c r="D34" s="1171">
        <v>270525277</v>
      </c>
      <c r="E34" s="1157"/>
      <c r="F34" s="1157"/>
    </row>
    <row r="35" spans="1:6">
      <c r="A35" s="1211">
        <v>23</v>
      </c>
      <c r="B35" s="1257" t="s">
        <v>5585</v>
      </c>
      <c r="C35" s="1187">
        <v>0</v>
      </c>
      <c r="D35" s="1169"/>
      <c r="E35" s="1157"/>
      <c r="F35" s="1157"/>
    </row>
    <row r="36" spans="1:6">
      <c r="A36" s="1211">
        <v>24</v>
      </c>
      <c r="B36" s="1257" t="s">
        <v>117</v>
      </c>
      <c r="C36" s="1187">
        <v>1084449271</v>
      </c>
      <c r="D36" s="1171">
        <v>1084449271</v>
      </c>
      <c r="E36" s="1157"/>
      <c r="F36" s="1157"/>
    </row>
    <row r="37" spans="1:6">
      <c r="A37" s="1211">
        <v>25</v>
      </c>
      <c r="B37" s="1257" t="s">
        <v>106</v>
      </c>
      <c r="C37" s="1187">
        <v>663570457</v>
      </c>
      <c r="D37" s="1171">
        <v>663408032</v>
      </c>
      <c r="E37" s="1171">
        <v>162425</v>
      </c>
      <c r="F37" s="1157"/>
    </row>
    <row r="38" spans="1:6">
      <c r="A38" s="1211">
        <v>26</v>
      </c>
      <c r="B38" s="1257" t="s">
        <v>511</v>
      </c>
      <c r="C38" s="1187">
        <v>2008273620</v>
      </c>
      <c r="D38" s="1171">
        <v>2008273620</v>
      </c>
      <c r="E38" s="1157"/>
      <c r="F38" s="1157"/>
    </row>
    <row r="39" spans="1:6">
      <c r="A39" s="1211">
        <v>27</v>
      </c>
      <c r="B39" s="1204" t="s">
        <v>5586</v>
      </c>
      <c r="C39" s="1187">
        <v>0</v>
      </c>
      <c r="D39" s="1157"/>
      <c r="E39" s="1157"/>
      <c r="F39" s="1157"/>
    </row>
    <row r="40" spans="1:6">
      <c r="A40" s="1211">
        <v>28</v>
      </c>
      <c r="B40" s="1257" t="s">
        <v>5587</v>
      </c>
      <c r="C40" s="1187">
        <v>199145541</v>
      </c>
      <c r="D40" s="1171">
        <v>199145541</v>
      </c>
      <c r="E40" s="1157"/>
      <c r="F40" s="1157"/>
    </row>
    <row r="41" spans="1:6">
      <c r="A41" s="1211">
        <v>29</v>
      </c>
      <c r="B41" s="1257" t="s">
        <v>5588</v>
      </c>
      <c r="C41" s="1171">
        <v>5179468768</v>
      </c>
      <c r="D41" s="1171">
        <v>5179306343</v>
      </c>
      <c r="E41" s="1187">
        <v>162425</v>
      </c>
      <c r="F41" s="1187">
        <v>0</v>
      </c>
    </row>
    <row r="42" spans="1:6">
      <c r="A42" s="1292"/>
      <c r="B42" s="1292"/>
      <c r="C42" s="1292"/>
      <c r="D42" s="1292"/>
      <c r="E42" s="1292"/>
      <c r="F42" s="1292"/>
    </row>
    <row r="43" spans="1:6">
      <c r="A43" s="1194"/>
      <c r="B43" s="1194"/>
      <c r="C43" s="1736">
        <f>C30-C41</f>
        <v>0</v>
      </c>
      <c r="D43" s="1736">
        <f>D30-D41</f>
        <v>0</v>
      </c>
      <c r="E43" s="573" t="s">
        <v>927</v>
      </c>
      <c r="F43" s="1194"/>
    </row>
    <row r="44" spans="1:6">
      <c r="C44" s="573"/>
      <c r="D44" s="1737">
        <f>'FERC p200-201 Utility Plant'!D28+('FERC p200-201 Utility Plant'!I28*'Four Factor Allocator'!C5)-D41</f>
        <v>7.9808235168457031E-2</v>
      </c>
      <c r="E44" s="573" t="s">
        <v>927</v>
      </c>
    </row>
    <row r="45" spans="1:6">
      <c r="C45" s="1306"/>
      <c r="D45" s="1306"/>
      <c r="E45" s="1306"/>
      <c r="F45" s="1306"/>
    </row>
    <row r="46" spans="1:6">
      <c r="C46" s="1306"/>
      <c r="D46" s="1306"/>
      <c r="E46" s="1306"/>
      <c r="F46" s="1306">
        <f t="shared" ref="F46" si="0">SUM(F11:F41)</f>
        <v>0</v>
      </c>
    </row>
  </sheetData>
  <mergeCells count="9">
    <mergeCell ref="A31:F31"/>
    <mergeCell ref="A6:F6"/>
    <mergeCell ref="A7:F7"/>
    <mergeCell ref="A8:F8"/>
    <mergeCell ref="A14:A15"/>
    <mergeCell ref="B14:B15"/>
    <mergeCell ref="C14:C15"/>
    <mergeCell ref="D14:D15"/>
    <mergeCell ref="E14:E15"/>
  </mergeCells>
  <pageMargins left="0.75" right="0.75" top="1" bottom="1" header="0.5" footer="0.5"/>
  <customProperties>
    <customPr name="_pios_id" r:id="rId1"/>
  </customProperties>
  <legacy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92D050"/>
  </sheetPr>
  <dimension ref="A1:H56"/>
  <sheetViews>
    <sheetView workbookViewId="0">
      <pane ySplit="11" topLeftCell="A12" activePane="bottomLeft" state="frozen"/>
      <selection sqref="A1:XFD1048576"/>
      <selection pane="bottomLeft" sqref="A1:XFD1048576"/>
    </sheetView>
  </sheetViews>
  <sheetFormatPr defaultColWidth="11.625" defaultRowHeight="11.25"/>
  <cols>
    <col min="1" max="1" width="3.625" style="1149" bestFit="1" customWidth="1"/>
    <col min="2" max="2" width="47.125" style="1149" customWidth="1"/>
    <col min="3" max="3" width="13.5" style="1149" bestFit="1" customWidth="1"/>
    <col min="4" max="4" width="10.375" style="1149" bestFit="1" customWidth="1"/>
    <col min="5" max="6" width="12" style="1149" customWidth="1"/>
    <col min="7" max="7" width="14.125" style="1149" customWidth="1"/>
    <col min="8" max="16384" width="11.625" style="1149"/>
  </cols>
  <sheetData>
    <row r="1" spans="1:7">
      <c r="A1" s="507" t="s">
        <v>4977</v>
      </c>
      <c r="B1" s="507"/>
    </row>
    <row r="2" spans="1:7">
      <c r="A2" s="507" t="s">
        <v>6778</v>
      </c>
      <c r="B2" s="507"/>
    </row>
    <row r="3" spans="1:7">
      <c r="A3" s="1197"/>
    </row>
    <row r="4" spans="1:7">
      <c r="A4" s="1197"/>
    </row>
    <row r="6" spans="1:7" ht="11.25" customHeight="1">
      <c r="A6" s="3953" t="s">
        <v>5589</v>
      </c>
      <c r="B6" s="3938"/>
      <c r="C6" s="3938"/>
      <c r="D6" s="3938"/>
      <c r="E6" s="3938"/>
      <c r="F6" s="3938"/>
      <c r="G6" s="3939"/>
    </row>
    <row r="7" spans="1:7" ht="34.9" customHeight="1">
      <c r="A7" s="3944" t="s">
        <v>5590</v>
      </c>
      <c r="B7" s="3938"/>
      <c r="C7" s="3938"/>
      <c r="D7" s="3938"/>
      <c r="E7" s="3938"/>
      <c r="F7" s="3938"/>
      <c r="G7" s="3939"/>
    </row>
    <row r="8" spans="1:7" ht="10.15" customHeight="1">
      <c r="A8" s="4020" t="s">
        <v>5591</v>
      </c>
      <c r="B8" s="4021" t="s">
        <v>5592</v>
      </c>
      <c r="C8" s="4021" t="s">
        <v>5593</v>
      </c>
      <c r="D8" s="4021" t="s">
        <v>5594</v>
      </c>
      <c r="E8" s="4022" t="s">
        <v>5595</v>
      </c>
      <c r="F8" s="3939"/>
      <c r="G8" s="4021" t="s">
        <v>5596</v>
      </c>
    </row>
    <row r="9" spans="1:7" ht="33.75">
      <c r="A9" s="4016"/>
      <c r="B9" s="4016"/>
      <c r="C9" s="4016"/>
      <c r="D9" s="4016"/>
      <c r="E9" s="1158" t="s">
        <v>5597</v>
      </c>
      <c r="F9" s="1158" t="s">
        <v>5598</v>
      </c>
      <c r="G9" s="4016"/>
    </row>
    <row r="10" spans="1:7">
      <c r="A10" s="1152"/>
      <c r="B10" s="1307" t="s">
        <v>4989</v>
      </c>
      <c r="C10" s="1158" t="s">
        <v>4990</v>
      </c>
      <c r="D10" s="1307" t="s">
        <v>5180</v>
      </c>
      <c r="E10" s="1307" t="s">
        <v>4992</v>
      </c>
      <c r="F10" s="1307" t="s">
        <v>5181</v>
      </c>
      <c r="G10" s="1152" t="s">
        <v>5182</v>
      </c>
    </row>
    <row r="11" spans="1:7" ht="14.25" customHeight="1">
      <c r="A11" s="1184"/>
      <c r="B11" s="1155"/>
      <c r="C11" s="1681">
        <v>44926</v>
      </c>
      <c r="D11" s="1308"/>
      <c r="E11" s="1308"/>
      <c r="F11" s="1308"/>
      <c r="G11" s="1682" t="s">
        <v>6777</v>
      </c>
    </row>
    <row r="12" spans="1:7">
      <c r="A12" s="1236">
        <v>1</v>
      </c>
      <c r="B12" s="1204" t="s">
        <v>8390</v>
      </c>
      <c r="C12" s="1683">
        <v>10295889</v>
      </c>
      <c r="D12" s="1684">
        <v>358721256</v>
      </c>
      <c r="E12" s="1163" t="s">
        <v>8391</v>
      </c>
      <c r="F12" s="1684">
        <v>331457516</v>
      </c>
      <c r="G12" s="1684">
        <v>37559629</v>
      </c>
    </row>
    <row r="13" spans="1:7">
      <c r="A13" s="1236">
        <v>2</v>
      </c>
      <c r="B13" s="1204" t="s">
        <v>8392</v>
      </c>
      <c r="C13" s="1683">
        <v>61463089</v>
      </c>
      <c r="D13" s="1684">
        <v>260686</v>
      </c>
      <c r="E13" s="1310">
        <v>406</v>
      </c>
      <c r="F13" s="1684">
        <v>3075450</v>
      </c>
      <c r="G13" s="1684">
        <v>58648325</v>
      </c>
    </row>
    <row r="14" spans="1:7">
      <c r="A14" s="1236">
        <v>3</v>
      </c>
      <c r="B14" s="1204" t="s">
        <v>8393</v>
      </c>
      <c r="C14" s="1683">
        <v>128755044</v>
      </c>
      <c r="D14" s="1684">
        <v>6300469</v>
      </c>
      <c r="E14" s="1163" t="s">
        <v>8394</v>
      </c>
      <c r="F14" s="1684">
        <v>4635914</v>
      </c>
      <c r="G14" s="1684">
        <v>130419599</v>
      </c>
    </row>
    <row r="15" spans="1:7">
      <c r="A15" s="1236">
        <v>4</v>
      </c>
      <c r="B15" s="1204" t="s">
        <v>8395</v>
      </c>
      <c r="C15" s="1683">
        <v>206017</v>
      </c>
      <c r="D15" s="1684">
        <v>25982786</v>
      </c>
      <c r="E15" s="1310" t="s">
        <v>8396</v>
      </c>
      <c r="F15" s="1684">
        <v>195552</v>
      </c>
      <c r="G15" s="1684">
        <v>25993251</v>
      </c>
    </row>
    <row r="16" spans="1:7">
      <c r="A16" s="1236">
        <v>5</v>
      </c>
      <c r="B16" s="1204" t="s">
        <v>8397</v>
      </c>
      <c r="C16" s="1683">
        <v>14868879</v>
      </c>
      <c r="D16" s="1684">
        <v>11114905</v>
      </c>
      <c r="E16" s="1163" t="s">
        <v>5631</v>
      </c>
      <c r="F16" s="1684">
        <v>12434426</v>
      </c>
      <c r="G16" s="1684">
        <v>13549358</v>
      </c>
    </row>
    <row r="17" spans="1:8">
      <c r="A17" s="1236">
        <v>6</v>
      </c>
      <c r="B17" s="1204" t="s">
        <v>8398</v>
      </c>
      <c r="C17" s="1683">
        <v>12397881</v>
      </c>
      <c r="D17" s="1684">
        <v>23490893</v>
      </c>
      <c r="E17" s="1310" t="s">
        <v>8399</v>
      </c>
      <c r="F17" s="1684">
        <v>47023920</v>
      </c>
      <c r="G17" s="1684">
        <v>-11135146</v>
      </c>
    </row>
    <row r="18" spans="1:8">
      <c r="A18" s="1236">
        <v>7</v>
      </c>
      <c r="B18" s="1204" t="s">
        <v>8400</v>
      </c>
      <c r="C18" s="1683">
        <v>36773072</v>
      </c>
      <c r="D18" s="1684">
        <v>90099488</v>
      </c>
      <c r="E18" s="1163" t="s">
        <v>5631</v>
      </c>
      <c r="F18" s="1684">
        <v>95474745</v>
      </c>
      <c r="G18" s="1684">
        <v>31397815</v>
      </c>
    </row>
    <row r="19" spans="1:8">
      <c r="A19" s="1236">
        <v>8</v>
      </c>
      <c r="B19" s="1204" t="s">
        <v>8401</v>
      </c>
      <c r="C19" s="1683">
        <v>17370482</v>
      </c>
      <c r="D19" s="1684">
        <v>48280148</v>
      </c>
      <c r="E19" s="1163" t="s">
        <v>8402</v>
      </c>
      <c r="F19" s="1684">
        <v>66597988</v>
      </c>
      <c r="G19" s="1684">
        <v>-947358</v>
      </c>
    </row>
    <row r="20" spans="1:8">
      <c r="A20" s="1236">
        <v>9</v>
      </c>
      <c r="B20" s="1204" t="s">
        <v>8403</v>
      </c>
      <c r="C20" s="1683">
        <v>112207122</v>
      </c>
      <c r="D20" s="1684">
        <v>188718001</v>
      </c>
      <c r="E20" s="1163" t="s">
        <v>8404</v>
      </c>
      <c r="F20" s="1684">
        <v>252498884</v>
      </c>
      <c r="G20" s="1684">
        <v>48426239</v>
      </c>
    </row>
    <row r="21" spans="1:8">
      <c r="A21" s="1236">
        <v>10</v>
      </c>
      <c r="B21" s="1204" t="s">
        <v>8405</v>
      </c>
      <c r="C21" s="1683">
        <v>3780</v>
      </c>
      <c r="D21" s="1684">
        <v>645</v>
      </c>
      <c r="E21" s="1163">
        <v>182</v>
      </c>
      <c r="F21" s="1684"/>
      <c r="G21" s="1684">
        <v>4425</v>
      </c>
    </row>
    <row r="22" spans="1:8">
      <c r="A22" s="1236">
        <v>11</v>
      </c>
      <c r="B22" s="1204" t="s">
        <v>8406</v>
      </c>
      <c r="C22" s="1683">
        <v>62611246</v>
      </c>
      <c r="D22" s="1684"/>
      <c r="E22" s="1310">
        <v>555</v>
      </c>
      <c r="F22" s="1684">
        <v>7088066</v>
      </c>
      <c r="G22" s="1684">
        <v>55523180</v>
      </c>
    </row>
    <row r="23" spans="1:8">
      <c r="A23" s="1236">
        <v>12</v>
      </c>
      <c r="B23" s="1204" t="s">
        <v>8407</v>
      </c>
      <c r="C23" s="1683">
        <v>6325127</v>
      </c>
      <c r="D23" s="1684"/>
      <c r="E23" s="1310">
        <v>407</v>
      </c>
      <c r="F23" s="1684">
        <v>2885052</v>
      </c>
      <c r="G23" s="1684">
        <v>3440075</v>
      </c>
    </row>
    <row r="24" spans="1:8">
      <c r="A24" s="1236">
        <v>13</v>
      </c>
      <c r="B24" s="1157" t="s">
        <v>8408</v>
      </c>
      <c r="C24" s="1683">
        <v>52501201</v>
      </c>
      <c r="D24" s="1684">
        <v>1</v>
      </c>
      <c r="E24" s="1163" t="s">
        <v>8409</v>
      </c>
      <c r="F24" s="1684">
        <v>5592477</v>
      </c>
      <c r="G24" s="1684">
        <v>46908725</v>
      </c>
    </row>
    <row r="25" spans="1:8">
      <c r="A25" s="1236">
        <v>14</v>
      </c>
      <c r="B25" s="1157" t="s">
        <v>8410</v>
      </c>
      <c r="C25" s="1683">
        <v>39753332</v>
      </c>
      <c r="D25" s="1684">
        <v>51678927</v>
      </c>
      <c r="E25" s="1163">
        <v>407</v>
      </c>
      <c r="F25" s="1684">
        <v>43721437</v>
      </c>
      <c r="G25" s="1684">
        <v>47710822</v>
      </c>
    </row>
    <row r="26" spans="1:8">
      <c r="A26" s="1236">
        <v>15</v>
      </c>
      <c r="B26" s="1157" t="s">
        <v>8411</v>
      </c>
      <c r="C26" s="1683">
        <v>-1073380</v>
      </c>
      <c r="D26" s="1684">
        <v>2667081</v>
      </c>
      <c r="E26" s="1163" t="s">
        <v>8412</v>
      </c>
      <c r="F26" s="1684">
        <v>1593701</v>
      </c>
      <c r="G26" s="1684">
        <v>0</v>
      </c>
    </row>
    <row r="27" spans="1:8">
      <c r="A27" s="1236">
        <v>16</v>
      </c>
      <c r="B27" s="1157" t="s">
        <v>8413</v>
      </c>
      <c r="C27" s="1683">
        <v>599048</v>
      </c>
      <c r="D27" s="1684"/>
      <c r="E27" s="1310">
        <v>407</v>
      </c>
      <c r="F27" s="1684">
        <v>599048</v>
      </c>
      <c r="G27" s="1684">
        <v>0</v>
      </c>
    </row>
    <row r="28" spans="1:8">
      <c r="A28" s="1236">
        <v>17</v>
      </c>
      <c r="B28" s="1157" t="s">
        <v>8414</v>
      </c>
      <c r="C28" s="1683">
        <v>9981418</v>
      </c>
      <c r="D28" s="1684">
        <v>17255452</v>
      </c>
      <c r="E28" s="1163" t="s">
        <v>8415</v>
      </c>
      <c r="F28" s="1684">
        <v>2196064</v>
      </c>
      <c r="G28" s="1684">
        <v>25040806</v>
      </c>
      <c r="H28" s="1311"/>
    </row>
    <row r="29" spans="1:8">
      <c r="A29" s="1236">
        <v>18</v>
      </c>
      <c r="B29" s="1157" t="s">
        <v>8416</v>
      </c>
      <c r="C29" s="1683">
        <v>0</v>
      </c>
      <c r="D29" s="1684">
        <v>4072788</v>
      </c>
      <c r="E29" s="1163">
        <v>182</v>
      </c>
      <c r="F29" s="1684">
        <v>407503</v>
      </c>
      <c r="G29" s="1684">
        <v>3665285</v>
      </c>
    </row>
    <row r="30" spans="1:8">
      <c r="A30" s="1236">
        <v>19</v>
      </c>
      <c r="B30" s="1157" t="s">
        <v>8417</v>
      </c>
      <c r="C30" s="1683">
        <v>0</v>
      </c>
      <c r="D30" s="1684">
        <v>561297</v>
      </c>
      <c r="E30" s="1163">
        <v>419</v>
      </c>
      <c r="F30" s="1684">
        <v>10753</v>
      </c>
      <c r="G30" s="1684">
        <v>550544</v>
      </c>
    </row>
    <row r="31" spans="1:8">
      <c r="A31" s="1236">
        <v>20</v>
      </c>
      <c r="B31" s="1157" t="s">
        <v>8418</v>
      </c>
      <c r="C31" s="1683">
        <v>0</v>
      </c>
      <c r="D31" s="1684">
        <v>2756456</v>
      </c>
      <c r="E31" s="1163">
        <v>407</v>
      </c>
      <c r="F31" s="1684">
        <v>1465337</v>
      </c>
      <c r="G31" s="1684">
        <v>1291119</v>
      </c>
    </row>
    <row r="32" spans="1:8">
      <c r="A32" s="1236">
        <v>21</v>
      </c>
      <c r="B32" s="1157" t="s">
        <v>8419</v>
      </c>
      <c r="C32" s="1683">
        <v>0</v>
      </c>
      <c r="D32" s="1684">
        <v>5884624</v>
      </c>
      <c r="E32" s="1163">
        <v>407</v>
      </c>
      <c r="F32" s="1684">
        <v>7806527</v>
      </c>
      <c r="G32" s="1684">
        <v>-1921903</v>
      </c>
    </row>
    <row r="33" spans="1:7">
      <c r="A33" s="1236">
        <v>22</v>
      </c>
      <c r="B33" s="1157" t="s">
        <v>6716</v>
      </c>
      <c r="C33" s="1683">
        <v>0</v>
      </c>
      <c r="D33" s="1684">
        <v>9611284</v>
      </c>
      <c r="E33" s="1163" t="s">
        <v>8420</v>
      </c>
      <c r="F33" s="1684">
        <v>11445571</v>
      </c>
      <c r="G33" s="1684">
        <v>-1834287</v>
      </c>
    </row>
    <row r="34" spans="1:7">
      <c r="A34" s="1236">
        <v>23</v>
      </c>
      <c r="B34" s="1157" t="s">
        <v>8421</v>
      </c>
      <c r="C34" s="1683">
        <v>0</v>
      </c>
      <c r="D34" s="1684">
        <v>373696027</v>
      </c>
      <c r="E34" s="1163" t="s">
        <v>5631</v>
      </c>
      <c r="F34" s="1684">
        <v>187145561</v>
      </c>
      <c r="G34" s="1684">
        <v>186550466</v>
      </c>
    </row>
    <row r="35" spans="1:7">
      <c r="A35" s="1236">
        <v>24</v>
      </c>
      <c r="B35" s="1157" t="s">
        <v>8422</v>
      </c>
      <c r="C35" s="1683">
        <v>0</v>
      </c>
      <c r="D35" s="1684">
        <v>122345943</v>
      </c>
      <c r="E35" s="1163" t="s">
        <v>5631</v>
      </c>
      <c r="F35" s="1684">
        <v>17736392</v>
      </c>
      <c r="G35" s="1684">
        <v>104609551</v>
      </c>
    </row>
    <row r="36" spans="1:7">
      <c r="A36" s="1236">
        <v>25</v>
      </c>
      <c r="B36" s="1157" t="s">
        <v>8423</v>
      </c>
      <c r="C36" s="1683">
        <v>0</v>
      </c>
      <c r="D36" s="1684">
        <v>280331</v>
      </c>
      <c r="E36" s="1163">
        <v>928</v>
      </c>
      <c r="F36" s="1684"/>
      <c r="G36" s="1684">
        <v>280331</v>
      </c>
    </row>
    <row r="37" spans="1:7">
      <c r="A37" s="1236">
        <v>26</v>
      </c>
      <c r="B37" s="1157" t="s">
        <v>8424</v>
      </c>
      <c r="C37" s="1683">
        <v>0</v>
      </c>
      <c r="D37" s="1157"/>
      <c r="E37" s="1163" t="s">
        <v>8412</v>
      </c>
      <c r="F37" s="1684">
        <v>6578555</v>
      </c>
      <c r="G37" s="1684">
        <v>-6578555</v>
      </c>
    </row>
    <row r="38" spans="1:7">
      <c r="A38" s="1236">
        <v>27</v>
      </c>
      <c r="B38" s="1157"/>
      <c r="C38" s="1309"/>
      <c r="D38" s="1157"/>
      <c r="E38" s="1163"/>
      <c r="F38" s="1157"/>
      <c r="G38" s="1157"/>
    </row>
    <row r="39" spans="1:7">
      <c r="A39" s="1236">
        <v>28</v>
      </c>
      <c r="B39" s="1157"/>
      <c r="C39" s="1309"/>
      <c r="D39" s="1157"/>
      <c r="E39" s="1163"/>
      <c r="F39" s="1157"/>
      <c r="G39" s="1157"/>
    </row>
    <row r="40" spans="1:7">
      <c r="A40" s="1236">
        <v>29</v>
      </c>
      <c r="B40" s="1157"/>
      <c r="C40" s="1309"/>
      <c r="D40" s="1157"/>
      <c r="E40" s="1163"/>
      <c r="F40" s="1157"/>
      <c r="G40" s="1157"/>
    </row>
    <row r="41" spans="1:7">
      <c r="A41" s="1236">
        <v>30</v>
      </c>
      <c r="B41" s="1157"/>
      <c r="C41" s="1309"/>
      <c r="D41" s="1157"/>
      <c r="E41" s="1163"/>
      <c r="F41" s="1157"/>
      <c r="G41" s="1157"/>
    </row>
    <row r="42" spans="1:7">
      <c r="A42" s="1236">
        <v>31</v>
      </c>
      <c r="B42" s="1157"/>
      <c r="C42" s="1309"/>
      <c r="D42" s="1157"/>
      <c r="E42" s="1163"/>
      <c r="F42" s="1157"/>
      <c r="G42" s="1157"/>
    </row>
    <row r="43" spans="1:7">
      <c r="A43" s="1236">
        <v>32</v>
      </c>
      <c r="B43" s="1157"/>
      <c r="C43" s="1309"/>
      <c r="D43" s="1157"/>
      <c r="E43" s="1163"/>
      <c r="F43" s="1157"/>
      <c r="G43" s="1157"/>
    </row>
    <row r="44" spans="1:7">
      <c r="A44" s="1236">
        <v>33</v>
      </c>
      <c r="B44" s="1157"/>
      <c r="C44" s="1309"/>
      <c r="D44" s="1157"/>
      <c r="E44" s="1163"/>
      <c r="F44" s="1157"/>
      <c r="G44" s="1157"/>
    </row>
    <row r="45" spans="1:7">
      <c r="A45" s="1236">
        <v>34</v>
      </c>
      <c r="B45" s="1157"/>
      <c r="C45" s="1309"/>
      <c r="D45" s="1157"/>
      <c r="E45" s="1163"/>
      <c r="F45" s="1157"/>
      <c r="G45" s="1157"/>
    </row>
    <row r="46" spans="1:7">
      <c r="A46" s="1236">
        <v>35</v>
      </c>
      <c r="B46" s="1157"/>
      <c r="C46" s="1309"/>
      <c r="D46" s="1157"/>
      <c r="E46" s="1163"/>
      <c r="F46" s="1157"/>
      <c r="G46" s="1157"/>
    </row>
    <row r="47" spans="1:7">
      <c r="A47" s="1236">
        <v>36</v>
      </c>
      <c r="B47" s="1157"/>
      <c r="C47" s="1309"/>
      <c r="D47" s="1157"/>
      <c r="E47" s="1163"/>
      <c r="F47" s="1157"/>
      <c r="G47" s="1157"/>
    </row>
    <row r="48" spans="1:7">
      <c r="A48" s="1236">
        <v>37</v>
      </c>
      <c r="B48" s="1157"/>
      <c r="C48" s="1309"/>
      <c r="D48" s="1157"/>
      <c r="E48" s="1163"/>
      <c r="F48" s="1157"/>
      <c r="G48" s="1157"/>
    </row>
    <row r="49" spans="1:7">
      <c r="A49" s="1236">
        <v>38</v>
      </c>
      <c r="B49" s="1157"/>
      <c r="C49" s="1309"/>
      <c r="D49" s="1157"/>
      <c r="E49" s="1163"/>
      <c r="F49" s="1157"/>
      <c r="G49" s="1157"/>
    </row>
    <row r="50" spans="1:7">
      <c r="A50" s="1236">
        <v>39</v>
      </c>
      <c r="B50" s="1157"/>
      <c r="C50" s="1309"/>
      <c r="D50" s="1157"/>
      <c r="E50" s="1163"/>
      <c r="F50" s="1157"/>
      <c r="G50" s="1157"/>
    </row>
    <row r="51" spans="1:7">
      <c r="A51" s="1236">
        <v>40</v>
      </c>
      <c r="B51" s="1157"/>
      <c r="C51" s="1309"/>
      <c r="D51" s="1157"/>
      <c r="E51" s="1163"/>
      <c r="F51" s="1157"/>
      <c r="G51" s="1157"/>
    </row>
    <row r="52" spans="1:7">
      <c r="A52" s="1236">
        <v>41</v>
      </c>
      <c r="B52" s="1157"/>
      <c r="C52" s="1309"/>
      <c r="D52" s="1157"/>
      <c r="E52" s="1163"/>
      <c r="F52" s="1157"/>
      <c r="G52" s="1157"/>
    </row>
    <row r="53" spans="1:7">
      <c r="A53" s="1236">
        <v>42</v>
      </c>
      <c r="B53" s="1157"/>
      <c r="C53" s="1309"/>
      <c r="D53" s="1157"/>
      <c r="E53" s="1163"/>
      <c r="F53" s="1157"/>
      <c r="G53" s="1157"/>
    </row>
    <row r="54" spans="1:7">
      <c r="A54" s="1236">
        <v>43</v>
      </c>
      <c r="B54" s="1157"/>
      <c r="C54" s="1309"/>
      <c r="D54" s="1157"/>
      <c r="E54" s="1163"/>
      <c r="F54" s="1157"/>
      <c r="G54" s="1157"/>
    </row>
    <row r="55" spans="1:7">
      <c r="A55" s="4018">
        <v>44</v>
      </c>
      <c r="B55" s="4011" t="s">
        <v>196</v>
      </c>
      <c r="C55" s="1312">
        <f>SUM(C12:C54)</f>
        <v>565039247</v>
      </c>
      <c r="D55" s="1312">
        <f>SUM(D12:D54)</f>
        <v>1343779488</v>
      </c>
      <c r="E55" s="1204"/>
      <c r="F55" s="4013">
        <f>SUM(F12:F54)</f>
        <v>1109666439</v>
      </c>
      <c r="G55" s="4013">
        <f>SUM(G12:G54)</f>
        <v>799152296</v>
      </c>
    </row>
    <row r="56" spans="1:7">
      <c r="A56" s="3968"/>
      <c r="B56" s="4012"/>
      <c r="C56" s="1313"/>
      <c r="D56" s="1313"/>
      <c r="E56" s="1314"/>
      <c r="F56" s="4019"/>
      <c r="G56" s="4019"/>
    </row>
  </sheetData>
  <mergeCells count="12">
    <mergeCell ref="A55:A56"/>
    <mergeCell ref="B55:B56"/>
    <mergeCell ref="F55:F56"/>
    <mergeCell ref="G55:G56"/>
    <mergeCell ref="A6:G6"/>
    <mergeCell ref="A7:G7"/>
    <mergeCell ref="A8:A9"/>
    <mergeCell ref="B8:B9"/>
    <mergeCell ref="C8:C9"/>
    <mergeCell ref="D8:D9"/>
    <mergeCell ref="E8:F8"/>
    <mergeCell ref="G8:G9"/>
  </mergeCells>
  <pageMargins left="0.75" right="0.75" top="1" bottom="1" header="0.5" footer="0.5"/>
  <pageSetup orientation="portrait" horizontalDpi="90" verticalDpi="90" r:id="rId1"/>
  <customProperties>
    <customPr name="_pios_id" r:id="rId2"/>
  </customPropertie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rgb="FF92D050"/>
  </sheetPr>
  <dimension ref="A1:I61"/>
  <sheetViews>
    <sheetView zoomScaleNormal="100" workbookViewId="0">
      <pane ySplit="11" topLeftCell="A12" activePane="bottomLeft" state="frozen"/>
      <selection sqref="A1:XFD1048576"/>
      <selection pane="bottomLeft" sqref="A1:XFD1048576"/>
    </sheetView>
  </sheetViews>
  <sheetFormatPr defaultColWidth="11.625" defaultRowHeight="11.25"/>
  <cols>
    <col min="1" max="1" width="3.375" style="1149" customWidth="1"/>
    <col min="2" max="2" width="51" style="1149" customWidth="1"/>
    <col min="3" max="3" width="13.5" style="1149" customWidth="1"/>
    <col min="4" max="4" width="10" style="1149" bestFit="1" customWidth="1"/>
    <col min="5" max="5" width="13.625" style="1149" customWidth="1"/>
    <col min="6" max="6" width="10" style="1149" bestFit="1" customWidth="1"/>
    <col min="7" max="7" width="14.625" style="1149" customWidth="1"/>
    <col min="8" max="16384" width="11.625" style="1149"/>
  </cols>
  <sheetData>
    <row r="1" spans="1:7">
      <c r="A1" s="1197"/>
      <c r="B1" s="507" t="s">
        <v>4977</v>
      </c>
    </row>
    <row r="2" spans="1:7">
      <c r="A2" s="1197"/>
      <c r="B2" s="507" t="s">
        <v>6778</v>
      </c>
    </row>
    <row r="3" spans="1:7">
      <c r="A3" s="1197"/>
    </row>
    <row r="4" spans="1:7">
      <c r="A4" s="1197"/>
    </row>
    <row r="6" spans="1:7">
      <c r="A6" s="3953" t="s">
        <v>5600</v>
      </c>
      <c r="B6" s="3938"/>
      <c r="C6" s="3938"/>
      <c r="D6" s="3938"/>
      <c r="E6" s="3938"/>
      <c r="F6" s="3938"/>
      <c r="G6" s="3939"/>
    </row>
    <row r="7" spans="1:7">
      <c r="A7" s="3944" t="s">
        <v>5601</v>
      </c>
      <c r="B7" s="3938"/>
      <c r="C7" s="3938"/>
      <c r="D7" s="3938"/>
      <c r="E7" s="3938"/>
      <c r="F7" s="3938"/>
      <c r="G7" s="3939"/>
    </row>
    <row r="8" spans="1:7" ht="11.25" customHeight="1">
      <c r="A8" s="4020" t="s">
        <v>5591</v>
      </c>
      <c r="B8" s="4021" t="s">
        <v>5602</v>
      </c>
      <c r="C8" s="4021" t="s">
        <v>5603</v>
      </c>
      <c r="D8" s="4021" t="s">
        <v>5594</v>
      </c>
      <c r="E8" s="4022" t="s">
        <v>5595</v>
      </c>
      <c r="F8" s="3939"/>
      <c r="G8" s="4021" t="s">
        <v>5604</v>
      </c>
    </row>
    <row r="9" spans="1:7" ht="15.75" customHeight="1">
      <c r="A9" s="4026"/>
      <c r="B9" s="4026"/>
      <c r="C9" s="4026"/>
      <c r="D9" s="4026"/>
      <c r="E9" s="1307" t="s">
        <v>5605</v>
      </c>
      <c r="F9" s="1307" t="s">
        <v>440</v>
      </c>
      <c r="G9" s="4026"/>
    </row>
    <row r="10" spans="1:7">
      <c r="A10" s="1181"/>
      <c r="B10" s="1182" t="s">
        <v>4989</v>
      </c>
      <c r="C10" s="1182" t="s">
        <v>4990</v>
      </c>
      <c r="D10" s="1182" t="s">
        <v>5180</v>
      </c>
      <c r="E10" s="1182" t="s">
        <v>4992</v>
      </c>
      <c r="F10" s="1182" t="s">
        <v>5181</v>
      </c>
      <c r="G10" s="1340" t="s">
        <v>5182</v>
      </c>
    </row>
    <row r="11" spans="1:7" ht="14.25" customHeight="1">
      <c r="A11" s="1184"/>
      <c r="B11" s="1155"/>
      <c r="C11" s="1734" t="s">
        <v>4988</v>
      </c>
      <c r="D11" s="1155"/>
      <c r="E11" s="1155"/>
      <c r="F11" s="1155"/>
      <c r="G11" s="1734" t="s">
        <v>6777</v>
      </c>
    </row>
    <row r="12" spans="1:7">
      <c r="A12" s="1236">
        <v>1</v>
      </c>
      <c r="B12" s="1204" t="s">
        <v>5606</v>
      </c>
      <c r="C12" s="1309">
        <v>1460432</v>
      </c>
      <c r="D12" s="1168">
        <v>360994</v>
      </c>
      <c r="E12" s="1735">
        <v>186253</v>
      </c>
      <c r="F12" s="1168">
        <v>837426</v>
      </c>
      <c r="G12" s="1168">
        <v>984000</v>
      </c>
    </row>
    <row r="13" spans="1:7">
      <c r="A13" s="1236">
        <v>2</v>
      </c>
      <c r="B13" s="1204" t="s">
        <v>5607</v>
      </c>
      <c r="C13" s="1309">
        <v>-90291293</v>
      </c>
      <c r="D13" s="1168">
        <v>23581262</v>
      </c>
      <c r="E13" s="1204" t="s">
        <v>8425</v>
      </c>
      <c r="F13" s="1168">
        <v>28609993</v>
      </c>
      <c r="G13" s="1168">
        <v>-95320024</v>
      </c>
    </row>
    <row r="14" spans="1:7">
      <c r="A14" s="1236">
        <v>3</v>
      </c>
      <c r="B14" s="1157" t="s">
        <v>5608</v>
      </c>
      <c r="C14" s="1309">
        <v>5233355</v>
      </c>
      <c r="D14" s="1168">
        <v>15902347</v>
      </c>
      <c r="E14" s="1735">
        <v>186</v>
      </c>
      <c r="F14" s="1168">
        <v>14366624</v>
      </c>
      <c r="G14" s="1168">
        <v>6769078</v>
      </c>
    </row>
    <row r="15" spans="1:7">
      <c r="A15" s="1236">
        <v>4</v>
      </c>
      <c r="B15" s="1157" t="s">
        <v>5609</v>
      </c>
      <c r="C15" s="1309">
        <v>2285065</v>
      </c>
      <c r="D15" s="1168">
        <v>2458095</v>
      </c>
      <c r="E15" s="1735">
        <v>184186</v>
      </c>
      <c r="F15" s="1168">
        <v>1741743</v>
      </c>
      <c r="G15" s="1168">
        <v>3001417</v>
      </c>
    </row>
    <row r="16" spans="1:7">
      <c r="A16" s="1236">
        <v>5</v>
      </c>
      <c r="B16" s="1157" t="s">
        <v>5610</v>
      </c>
      <c r="C16" s="1309">
        <v>0</v>
      </c>
      <c r="D16" s="1168">
        <v>203254466</v>
      </c>
      <c r="E16" s="1735">
        <v>244</v>
      </c>
      <c r="F16" s="1168">
        <v>122878097</v>
      </c>
      <c r="G16" s="1168">
        <v>80376369</v>
      </c>
    </row>
    <row r="17" spans="1:9">
      <c r="A17" s="1236">
        <v>6</v>
      </c>
      <c r="B17" s="1157" t="s">
        <v>5611</v>
      </c>
      <c r="C17" s="1309">
        <v>4971443</v>
      </c>
      <c r="D17" s="1168">
        <v>519259</v>
      </c>
      <c r="E17" s="1735">
        <v>555</v>
      </c>
      <c r="F17" s="1168">
        <v>621589</v>
      </c>
      <c r="G17" s="1168">
        <v>4869113</v>
      </c>
    </row>
    <row r="18" spans="1:9">
      <c r="A18" s="1236">
        <v>7</v>
      </c>
      <c r="B18" s="1157" t="s">
        <v>5612</v>
      </c>
      <c r="C18" s="1309">
        <v>6158924</v>
      </c>
      <c r="D18" s="1168">
        <v>7312</v>
      </c>
      <c r="E18" s="1204" t="s">
        <v>8426</v>
      </c>
      <c r="F18" s="1168">
        <v>1009311</v>
      </c>
      <c r="G18" s="1168">
        <v>5156925</v>
      </c>
    </row>
    <row r="19" spans="1:9">
      <c r="A19" s="1236">
        <v>8</v>
      </c>
      <c r="B19" s="1157" t="s">
        <v>5613</v>
      </c>
      <c r="C19" s="1309">
        <v>4009441</v>
      </c>
      <c r="D19" s="1168">
        <v>0</v>
      </c>
      <c r="E19" s="1735">
        <v>553</v>
      </c>
      <c r="F19" s="1168">
        <v>1172145</v>
      </c>
      <c r="G19" s="1168">
        <v>2837296</v>
      </c>
    </row>
    <row r="20" spans="1:9">
      <c r="A20" s="1236">
        <v>9</v>
      </c>
      <c r="B20" s="1157" t="s">
        <v>5614</v>
      </c>
      <c r="C20" s="1309">
        <v>127024155</v>
      </c>
      <c r="D20" s="1168">
        <v>56085227</v>
      </c>
      <c r="E20" s="1204" t="s">
        <v>8427</v>
      </c>
      <c r="F20" s="1168">
        <v>13961636</v>
      </c>
      <c r="G20" s="1168">
        <v>169147746</v>
      </c>
    </row>
    <row r="21" spans="1:9">
      <c r="A21" s="1236">
        <v>10</v>
      </c>
      <c r="B21" s="1157" t="s">
        <v>5615</v>
      </c>
      <c r="C21" s="1309">
        <v>8336910</v>
      </c>
      <c r="D21" s="1168">
        <v>187623</v>
      </c>
      <c r="E21" s="1735">
        <v>931</v>
      </c>
      <c r="F21" s="1168">
        <v>52820</v>
      </c>
      <c r="G21" s="1168">
        <v>8471713</v>
      </c>
    </row>
    <row r="22" spans="1:9">
      <c r="A22" s="1236">
        <v>11</v>
      </c>
      <c r="B22" s="1157" t="s">
        <v>5616</v>
      </c>
      <c r="C22" s="1309">
        <v>7444780</v>
      </c>
      <c r="D22" s="1168">
        <v>0</v>
      </c>
      <c r="E22" s="1735">
        <v>253</v>
      </c>
      <c r="F22" s="1168">
        <v>16519</v>
      </c>
      <c r="G22" s="1168">
        <v>7428261</v>
      </c>
    </row>
    <row r="23" spans="1:9">
      <c r="A23" s="1236">
        <v>12</v>
      </c>
      <c r="B23" s="1157" t="s">
        <v>5617</v>
      </c>
      <c r="C23" s="1309">
        <v>6673732</v>
      </c>
      <c r="D23" s="1168">
        <v>331411</v>
      </c>
      <c r="E23" s="1735">
        <v>242</v>
      </c>
      <c r="F23" s="1168">
        <v>775905</v>
      </c>
      <c r="G23" s="1168">
        <v>6229238</v>
      </c>
    </row>
    <row r="24" spans="1:9">
      <c r="A24" s="1236">
        <v>13</v>
      </c>
      <c r="B24" s="1157" t="s">
        <v>5618</v>
      </c>
      <c r="C24" s="1309">
        <v>55049619</v>
      </c>
      <c r="D24" s="1168">
        <v>903661</v>
      </c>
      <c r="E24" s="1735">
        <v>253</v>
      </c>
      <c r="F24" s="1168">
        <v>312246</v>
      </c>
      <c r="G24" s="1168">
        <v>55641034</v>
      </c>
    </row>
    <row r="25" spans="1:9">
      <c r="A25" s="1236">
        <v>14</v>
      </c>
      <c r="B25" s="1157" t="s">
        <v>5619</v>
      </c>
      <c r="C25" s="1309">
        <v>5817925</v>
      </c>
      <c r="D25" s="1168">
        <v>0</v>
      </c>
      <c r="E25" s="1735">
        <v>253513</v>
      </c>
      <c r="F25" s="1168">
        <v>2010767</v>
      </c>
      <c r="G25" s="1168">
        <v>3807158</v>
      </c>
    </row>
    <row r="26" spans="1:9">
      <c r="A26" s="1236">
        <v>15</v>
      </c>
      <c r="B26" s="1157" t="s">
        <v>5620</v>
      </c>
      <c r="C26" s="1309">
        <v>35532260</v>
      </c>
      <c r="D26" s="1168">
        <v>13395961</v>
      </c>
      <c r="E26" s="1204" t="s">
        <v>8428</v>
      </c>
      <c r="F26" s="1168">
        <v>18867643</v>
      </c>
      <c r="G26" s="1168">
        <v>30060578</v>
      </c>
      <c r="I26" s="1311"/>
    </row>
    <row r="27" spans="1:9">
      <c r="A27" s="1236">
        <v>16</v>
      </c>
      <c r="B27" s="1157" t="s">
        <v>5621</v>
      </c>
      <c r="C27" s="1309">
        <v>4020145</v>
      </c>
      <c r="D27" s="1168">
        <v>0</v>
      </c>
      <c r="E27" s="1735">
        <v>553</v>
      </c>
      <c r="F27" s="1168">
        <v>1074921</v>
      </c>
      <c r="G27" s="1168">
        <v>2945224</v>
      </c>
    </row>
    <row r="28" spans="1:9">
      <c r="A28" s="1236">
        <v>17</v>
      </c>
      <c r="B28" s="1157" t="s">
        <v>5622</v>
      </c>
      <c r="C28" s="1309">
        <v>962485</v>
      </c>
      <c r="D28" s="1168">
        <v>708032</v>
      </c>
      <c r="E28" s="1735">
        <v>513553</v>
      </c>
      <c r="F28" s="1168">
        <v>696815</v>
      </c>
      <c r="G28" s="1168">
        <v>973702</v>
      </c>
    </row>
    <row r="29" spans="1:9">
      <c r="A29" s="1236">
        <v>18</v>
      </c>
      <c r="B29" s="1157" t="s">
        <v>5623</v>
      </c>
      <c r="C29" s="1309">
        <v>5913734</v>
      </c>
      <c r="D29" s="1168">
        <v>1565</v>
      </c>
      <c r="E29" s="1735">
        <v>553</v>
      </c>
      <c r="F29" s="1168">
        <v>1531802</v>
      </c>
      <c r="G29" s="1168">
        <v>4383497</v>
      </c>
    </row>
    <row r="30" spans="1:9">
      <c r="A30" s="1236">
        <v>19</v>
      </c>
      <c r="B30" s="1157" t="s">
        <v>5624</v>
      </c>
      <c r="C30" s="1309">
        <v>615115</v>
      </c>
      <c r="D30" s="1168">
        <v>483377</v>
      </c>
      <c r="E30" s="1735">
        <v>186</v>
      </c>
      <c r="F30" s="1168">
        <v>79080</v>
      </c>
      <c r="G30" s="1168">
        <v>1019412</v>
      </c>
    </row>
    <row r="31" spans="1:9">
      <c r="A31" s="1236">
        <v>20</v>
      </c>
      <c r="B31" s="1157" t="s">
        <v>5625</v>
      </c>
      <c r="C31" s="1309">
        <v>6879072</v>
      </c>
      <c r="D31" s="1168">
        <v>0</v>
      </c>
      <c r="E31" s="1735">
        <v>553</v>
      </c>
      <c r="F31" s="1168">
        <v>1818139</v>
      </c>
      <c r="G31" s="1168">
        <v>5060933</v>
      </c>
    </row>
    <row r="32" spans="1:9">
      <c r="A32" s="1236">
        <v>21</v>
      </c>
      <c r="B32" s="1157" t="s">
        <v>5626</v>
      </c>
      <c r="C32" s="1309">
        <v>1877639</v>
      </c>
      <c r="D32" s="1168">
        <v>169</v>
      </c>
      <c r="E32" s="1735">
        <v>553</v>
      </c>
      <c r="F32" s="1168">
        <v>321196</v>
      </c>
      <c r="G32" s="1168">
        <v>1556612</v>
      </c>
    </row>
    <row r="33" spans="1:8">
      <c r="A33" s="1236">
        <v>22</v>
      </c>
      <c r="B33" s="1157" t="s">
        <v>5627</v>
      </c>
      <c r="C33" s="1309">
        <v>19073481</v>
      </c>
      <c r="D33" s="1168">
        <v>37720432</v>
      </c>
      <c r="E33" s="1204" t="s">
        <v>8429</v>
      </c>
      <c r="F33" s="1168">
        <v>26984690</v>
      </c>
      <c r="G33" s="1168">
        <v>29809223</v>
      </c>
    </row>
    <row r="34" spans="1:8">
      <c r="A34" s="1236">
        <v>23</v>
      </c>
      <c r="B34" s="1157" t="s">
        <v>5628</v>
      </c>
      <c r="C34" s="1309">
        <v>15785109</v>
      </c>
      <c r="D34" s="1168">
        <v>147725041</v>
      </c>
      <c r="E34" s="1204" t="s">
        <v>5631</v>
      </c>
      <c r="F34" s="1168">
        <v>147421203</v>
      </c>
      <c r="G34" s="1168">
        <v>16088947</v>
      </c>
    </row>
    <row r="35" spans="1:8">
      <c r="A35" s="1236">
        <v>24</v>
      </c>
      <c r="B35" s="1157" t="s">
        <v>5629</v>
      </c>
      <c r="C35" s="1309">
        <v>22501039</v>
      </c>
      <c r="D35" s="1168">
        <v>0</v>
      </c>
      <c r="E35" s="1735">
        <v>182.3</v>
      </c>
      <c r="F35" s="1168">
        <v>22501039</v>
      </c>
      <c r="G35" s="1168">
        <v>0</v>
      </c>
    </row>
    <row r="36" spans="1:8">
      <c r="A36" s="1236">
        <v>25</v>
      </c>
      <c r="B36" s="1157" t="s">
        <v>5630</v>
      </c>
      <c r="C36" s="1309">
        <v>12376844</v>
      </c>
      <c r="D36" s="1168">
        <v>367562442</v>
      </c>
      <c r="E36" s="1204" t="s">
        <v>5631</v>
      </c>
      <c r="F36" s="1168">
        <v>366775276</v>
      </c>
      <c r="G36" s="1168">
        <v>13164010</v>
      </c>
    </row>
    <row r="37" spans="1:8">
      <c r="A37" s="1236">
        <v>26</v>
      </c>
      <c r="B37" s="1157" t="s">
        <v>5632</v>
      </c>
      <c r="C37" s="1309">
        <v>7050757</v>
      </c>
      <c r="D37" s="1168">
        <v>10470311</v>
      </c>
      <c r="E37" s="1204" t="s">
        <v>8430</v>
      </c>
      <c r="F37" s="1168">
        <v>424172</v>
      </c>
      <c r="G37" s="1168">
        <v>17096896</v>
      </c>
    </row>
    <row r="38" spans="1:8">
      <c r="A38" s="1236">
        <v>27</v>
      </c>
      <c r="B38" s="1157" t="s">
        <v>5633</v>
      </c>
      <c r="C38" s="1309">
        <v>7558866</v>
      </c>
      <c r="D38" s="1168">
        <v>7176245</v>
      </c>
      <c r="E38" s="1204" t="s">
        <v>8431</v>
      </c>
      <c r="F38" s="1168">
        <v>703604</v>
      </c>
      <c r="G38" s="1168">
        <v>14031507</v>
      </c>
      <c r="H38" s="1311"/>
    </row>
    <row r="39" spans="1:8">
      <c r="A39" s="1236">
        <v>28</v>
      </c>
      <c r="B39" s="1157"/>
      <c r="C39" s="1309">
        <f t="shared" ref="C39:C58" si="0">SUMIFS($M39:$XFD39,$M$11:$XFD$11,$F$11)</f>
        <v>0</v>
      </c>
      <c r="D39" s="1157"/>
      <c r="E39" s="1157"/>
      <c r="F39" s="1157"/>
      <c r="G39" s="1157"/>
    </row>
    <row r="40" spans="1:8">
      <c r="A40" s="1236">
        <v>29</v>
      </c>
      <c r="B40" s="1157"/>
      <c r="C40" s="1309">
        <f t="shared" si="0"/>
        <v>0</v>
      </c>
      <c r="D40" s="1157"/>
      <c r="E40" s="1157"/>
      <c r="F40" s="1157"/>
      <c r="G40" s="1157"/>
    </row>
    <row r="41" spans="1:8">
      <c r="A41" s="1236">
        <v>30</v>
      </c>
      <c r="B41" s="1157"/>
      <c r="C41" s="1309">
        <f t="shared" si="0"/>
        <v>0</v>
      </c>
      <c r="D41" s="1157"/>
      <c r="E41" s="1157"/>
      <c r="F41" s="1157"/>
      <c r="G41" s="1157"/>
    </row>
    <row r="42" spans="1:8">
      <c r="A42" s="1236">
        <v>31</v>
      </c>
      <c r="B42" s="1157"/>
      <c r="C42" s="1309">
        <f t="shared" si="0"/>
        <v>0</v>
      </c>
      <c r="D42" s="1157"/>
      <c r="E42" s="1157"/>
      <c r="F42" s="1157"/>
      <c r="G42" s="1157"/>
    </row>
    <row r="43" spans="1:8">
      <c r="A43" s="1236">
        <v>32</v>
      </c>
      <c r="B43" s="1157"/>
      <c r="C43" s="1309">
        <f t="shared" si="0"/>
        <v>0</v>
      </c>
      <c r="D43" s="1157"/>
      <c r="E43" s="1157"/>
      <c r="F43" s="1157"/>
      <c r="G43" s="1157"/>
    </row>
    <row r="44" spans="1:8">
      <c r="A44" s="1236">
        <v>33</v>
      </c>
      <c r="B44" s="1157"/>
      <c r="C44" s="1309">
        <f t="shared" si="0"/>
        <v>0</v>
      </c>
      <c r="D44" s="1157"/>
      <c r="E44" s="1157"/>
      <c r="F44" s="1157"/>
      <c r="G44" s="1157"/>
    </row>
    <row r="45" spans="1:8">
      <c r="A45" s="1236">
        <v>34</v>
      </c>
      <c r="B45" s="1157"/>
      <c r="C45" s="1309">
        <f t="shared" si="0"/>
        <v>0</v>
      </c>
      <c r="D45" s="1157"/>
      <c r="E45" s="1157"/>
      <c r="F45" s="1157"/>
      <c r="G45" s="1157"/>
    </row>
    <row r="46" spans="1:8">
      <c r="A46" s="1236">
        <v>35</v>
      </c>
      <c r="B46" s="1157"/>
      <c r="C46" s="1309">
        <f t="shared" si="0"/>
        <v>0</v>
      </c>
      <c r="D46" s="1157"/>
      <c r="E46" s="1157"/>
      <c r="F46" s="1157"/>
      <c r="G46" s="1157"/>
    </row>
    <row r="47" spans="1:8">
      <c r="A47" s="1236">
        <v>36</v>
      </c>
      <c r="B47" s="1157"/>
      <c r="C47" s="1309">
        <f t="shared" si="0"/>
        <v>0</v>
      </c>
      <c r="D47" s="1157"/>
      <c r="E47" s="1157"/>
      <c r="F47" s="1157"/>
      <c r="G47" s="1157"/>
    </row>
    <row r="48" spans="1:8">
      <c r="A48" s="1236">
        <v>37</v>
      </c>
      <c r="B48" s="1157"/>
      <c r="C48" s="1309">
        <f t="shared" si="0"/>
        <v>0</v>
      </c>
      <c r="D48" s="1157"/>
      <c r="E48" s="1157"/>
      <c r="F48" s="1157"/>
      <c r="G48" s="1157"/>
    </row>
    <row r="49" spans="1:7">
      <c r="A49" s="1236">
        <v>38</v>
      </c>
      <c r="B49" s="1157"/>
      <c r="C49" s="1309">
        <f t="shared" si="0"/>
        <v>0</v>
      </c>
      <c r="D49" s="1157"/>
      <c r="E49" s="1157"/>
      <c r="F49" s="1157"/>
      <c r="G49" s="1157"/>
    </row>
    <row r="50" spans="1:7">
      <c r="A50" s="1236">
        <v>39</v>
      </c>
      <c r="B50" s="1157"/>
      <c r="C50" s="1309">
        <f t="shared" si="0"/>
        <v>0</v>
      </c>
      <c r="D50" s="1157"/>
      <c r="E50" s="1157"/>
      <c r="F50" s="1157"/>
      <c r="G50" s="1157"/>
    </row>
    <row r="51" spans="1:7">
      <c r="A51" s="1236">
        <v>40</v>
      </c>
      <c r="B51" s="1157"/>
      <c r="C51" s="1309">
        <f t="shared" si="0"/>
        <v>0</v>
      </c>
      <c r="D51" s="1157"/>
      <c r="E51" s="1157"/>
      <c r="F51" s="1157"/>
      <c r="G51" s="1157"/>
    </row>
    <row r="52" spans="1:7">
      <c r="A52" s="1236">
        <v>41</v>
      </c>
      <c r="B52" s="1157"/>
      <c r="C52" s="1309">
        <f t="shared" si="0"/>
        <v>0</v>
      </c>
      <c r="D52" s="1157"/>
      <c r="E52" s="1157"/>
      <c r="F52" s="1157"/>
      <c r="G52" s="1157"/>
    </row>
    <row r="53" spans="1:7">
      <c r="A53" s="1236">
        <v>42</v>
      </c>
      <c r="B53" s="1157"/>
      <c r="C53" s="1309">
        <f t="shared" si="0"/>
        <v>0</v>
      </c>
      <c r="D53" s="1157"/>
      <c r="E53" s="1157"/>
      <c r="F53" s="1157"/>
      <c r="G53" s="1157"/>
    </row>
    <row r="54" spans="1:7">
      <c r="A54" s="1236">
        <v>43</v>
      </c>
      <c r="B54" s="1157"/>
      <c r="C54" s="1309">
        <f t="shared" si="0"/>
        <v>0</v>
      </c>
      <c r="D54" s="1157"/>
      <c r="E54" s="1157"/>
      <c r="F54" s="1157"/>
      <c r="G54" s="1157"/>
    </row>
    <row r="55" spans="1:7">
      <c r="A55" s="1236">
        <v>44</v>
      </c>
      <c r="B55" s="1157"/>
      <c r="C55" s="1309">
        <f t="shared" si="0"/>
        <v>0</v>
      </c>
      <c r="D55" s="1157"/>
      <c r="E55" s="1157"/>
      <c r="F55" s="1157"/>
      <c r="G55" s="1157"/>
    </row>
    <row r="56" spans="1:7">
      <c r="A56" s="1236">
        <v>45</v>
      </c>
      <c r="B56" s="1157"/>
      <c r="C56" s="1309">
        <f t="shared" si="0"/>
        <v>0</v>
      </c>
      <c r="D56" s="1157"/>
      <c r="E56" s="1157"/>
      <c r="F56" s="1157"/>
      <c r="G56" s="1157"/>
    </row>
    <row r="57" spans="1:7">
      <c r="A57" s="1236">
        <v>46</v>
      </c>
      <c r="B57" s="1157"/>
      <c r="C57" s="1309">
        <f t="shared" si="0"/>
        <v>0</v>
      </c>
      <c r="D57" s="1157"/>
      <c r="E57" s="1157"/>
      <c r="F57" s="1157"/>
      <c r="G57" s="1157"/>
    </row>
    <row r="58" spans="1:7">
      <c r="A58" s="4018">
        <v>47</v>
      </c>
      <c r="B58" s="4027" t="s">
        <v>5634</v>
      </c>
      <c r="C58" s="4028">
        <f t="shared" si="0"/>
        <v>0</v>
      </c>
      <c r="D58" s="1204"/>
      <c r="E58" s="1204"/>
      <c r="F58" s="1204"/>
      <c r="G58" s="3969"/>
    </row>
    <row r="59" spans="1:7">
      <c r="A59" s="3968"/>
      <c r="B59" s="4027"/>
      <c r="C59" s="4029"/>
      <c r="D59" s="4023"/>
      <c r="E59" s="4024"/>
      <c r="F59" s="4025"/>
      <c r="G59" s="3969"/>
    </row>
    <row r="60" spans="1:7">
      <c r="A60" s="1236">
        <v>48</v>
      </c>
      <c r="B60" s="1204" t="s">
        <v>5635</v>
      </c>
      <c r="C60" s="1309">
        <f>SUMIFS($M60:$XFD60,$M$11:$XFD$11,$F$11)</f>
        <v>0</v>
      </c>
      <c r="D60" s="1157"/>
      <c r="E60" s="1157"/>
      <c r="F60" s="1157"/>
      <c r="G60" s="1157"/>
    </row>
    <row r="61" spans="1:7">
      <c r="A61" s="1236">
        <v>49</v>
      </c>
      <c r="B61" s="1204" t="s">
        <v>196</v>
      </c>
      <c r="C61" s="1187">
        <f>SUM(C12:C60)</f>
        <v>284321034</v>
      </c>
      <c r="D61" s="4023"/>
      <c r="E61" s="4024"/>
      <c r="F61" s="4025"/>
      <c r="G61" s="1187">
        <f>SUM(G12:G60)</f>
        <v>395589865</v>
      </c>
    </row>
  </sheetData>
  <mergeCells count="14">
    <mergeCell ref="D61:F61"/>
    <mergeCell ref="A6:G6"/>
    <mergeCell ref="A7:G7"/>
    <mergeCell ref="A8:A9"/>
    <mergeCell ref="B8:B9"/>
    <mergeCell ref="C8:C9"/>
    <mergeCell ref="D8:D9"/>
    <mergeCell ref="E8:F8"/>
    <mergeCell ref="G8:G9"/>
    <mergeCell ref="A58:A59"/>
    <mergeCell ref="B58:B59"/>
    <mergeCell ref="C58:C59"/>
    <mergeCell ref="G58:G59"/>
    <mergeCell ref="D59:F59"/>
  </mergeCells>
  <pageMargins left="0.75" right="0.75" top="1" bottom="1" header="0.5" footer="0.5"/>
  <pageSetup orientation="portrait" horizontalDpi="360" verticalDpi="360" r:id="rId1"/>
  <customProperties>
    <customPr name="_pios_id" r:id="rId2"/>
  </customPropertie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rgb="FF92D050"/>
  </sheetPr>
  <dimension ref="A1:N51"/>
  <sheetViews>
    <sheetView workbookViewId="0">
      <pane ySplit="10" topLeftCell="A11" activePane="bottomLeft" state="frozen"/>
      <selection sqref="A1:XFD1048576"/>
      <selection pane="bottomLeft" sqref="A1:XFD1048576"/>
    </sheetView>
  </sheetViews>
  <sheetFormatPr defaultColWidth="15.625" defaultRowHeight="11.25"/>
  <cols>
    <col min="1" max="1" width="4.875" style="1149" bestFit="1" customWidth="1"/>
    <col min="2" max="2" width="31.5" style="1149" bestFit="1" customWidth="1"/>
    <col min="3" max="3" width="10.875" style="1149" bestFit="1" customWidth="1"/>
    <col min="4" max="4" width="15.75" style="1149" bestFit="1" customWidth="1"/>
    <col min="5" max="5" width="15.25" style="1149" bestFit="1" customWidth="1"/>
    <col min="6" max="6" width="9.375" style="1149" bestFit="1" customWidth="1"/>
    <col min="7" max="7" width="9.125" style="1149" bestFit="1" customWidth="1"/>
    <col min="8" max="8" width="9.375" style="1149" bestFit="1" customWidth="1"/>
    <col min="9" max="9" width="14" style="1149" bestFit="1" customWidth="1"/>
    <col min="10" max="10" width="10.375" style="1149" bestFit="1" customWidth="1"/>
    <col min="11" max="12" width="15.5" style="1149" bestFit="1" customWidth="1"/>
    <col min="13" max="13" width="16.5" style="1149" bestFit="1" customWidth="1"/>
    <col min="14" max="14" width="10.875" style="1149" bestFit="1" customWidth="1"/>
    <col min="15" max="16384" width="15.625" style="1149"/>
  </cols>
  <sheetData>
    <row r="1" spans="1:14">
      <c r="A1" s="507" t="s">
        <v>4977</v>
      </c>
      <c r="B1" s="507"/>
    </row>
    <row r="2" spans="1:14">
      <c r="A2" s="507" t="s">
        <v>6778</v>
      </c>
      <c r="B2" s="507"/>
    </row>
    <row r="3" spans="1:14">
      <c r="A3" s="1197"/>
    </row>
    <row r="4" spans="1:14">
      <c r="A4" s="1197"/>
    </row>
    <row r="6" spans="1:14" ht="11.25" customHeight="1">
      <c r="A6" s="4000" t="s">
        <v>5636</v>
      </c>
      <c r="B6" s="4030"/>
      <c r="C6" s="4030"/>
      <c r="D6" s="4030"/>
      <c r="E6" s="4030"/>
      <c r="F6" s="4030"/>
      <c r="G6" s="4030"/>
      <c r="H6" s="4031"/>
      <c r="I6" s="4032" t="s">
        <v>5637</v>
      </c>
      <c r="J6" s="4033"/>
      <c r="K6" s="4033"/>
      <c r="L6" s="4033"/>
      <c r="M6" s="4033"/>
      <c r="N6" s="4034"/>
    </row>
    <row r="7" spans="1:14" ht="11.25" customHeight="1">
      <c r="A7" s="3953" t="s">
        <v>5638</v>
      </c>
      <c r="B7" s="4035"/>
      <c r="C7" s="4035"/>
      <c r="D7" s="4035"/>
      <c r="E7" s="4035"/>
      <c r="F7" s="4035"/>
      <c r="G7" s="4035"/>
      <c r="H7" s="4036"/>
      <c r="I7" s="4037" t="s">
        <v>5639</v>
      </c>
      <c r="J7" s="4038"/>
      <c r="K7" s="4038"/>
      <c r="L7" s="4038"/>
      <c r="M7" s="4038"/>
      <c r="N7" s="4039"/>
    </row>
    <row r="8" spans="1:14" ht="11.25" customHeight="1">
      <c r="A8" s="3944" t="s">
        <v>5640</v>
      </c>
      <c r="B8" s="4040"/>
      <c r="C8" s="4040"/>
      <c r="D8" s="4040"/>
      <c r="E8" s="4040"/>
      <c r="F8" s="4040"/>
      <c r="G8" s="4040"/>
      <c r="H8" s="4041"/>
      <c r="I8" s="4042" t="s">
        <v>5641</v>
      </c>
      <c r="J8" s="4043"/>
      <c r="K8" s="4043"/>
      <c r="L8" s="4043"/>
      <c r="M8" s="4043"/>
      <c r="N8" s="4044"/>
    </row>
    <row r="9" spans="1:14" ht="56.25">
      <c r="A9" s="4011" t="s">
        <v>5177</v>
      </c>
      <c r="B9" s="1153" t="s">
        <v>5642</v>
      </c>
      <c r="C9" s="1153" t="s">
        <v>5643</v>
      </c>
      <c r="D9" s="1153" t="s">
        <v>5644</v>
      </c>
      <c r="E9" s="1153" t="s">
        <v>5645</v>
      </c>
      <c r="F9" s="1153" t="s">
        <v>5646</v>
      </c>
      <c r="G9" s="1153" t="s">
        <v>5647</v>
      </c>
      <c r="H9" s="1153" t="s">
        <v>5648</v>
      </c>
      <c r="I9" s="1315" t="s">
        <v>5649</v>
      </c>
      <c r="J9" s="1315" t="s">
        <v>5650</v>
      </c>
      <c r="K9" s="1315" t="s">
        <v>5651</v>
      </c>
      <c r="L9" s="1315" t="s">
        <v>5652</v>
      </c>
      <c r="M9" s="1315" t="s">
        <v>5653</v>
      </c>
      <c r="N9" s="1315" t="s">
        <v>5654</v>
      </c>
    </row>
    <row r="10" spans="1:14">
      <c r="A10" s="4012"/>
      <c r="B10" s="1202" t="s">
        <v>4989</v>
      </c>
      <c r="C10" s="1202" t="s">
        <v>4990</v>
      </c>
      <c r="D10" s="1202" t="s">
        <v>4991</v>
      </c>
      <c r="E10" s="1202" t="s">
        <v>4992</v>
      </c>
      <c r="F10" s="1202" t="s">
        <v>5181</v>
      </c>
      <c r="G10" s="1202" t="s">
        <v>5182</v>
      </c>
      <c r="H10" s="1202" t="s">
        <v>5183</v>
      </c>
      <c r="I10" s="1316" t="s">
        <v>5184</v>
      </c>
      <c r="J10" s="1316" t="s">
        <v>5185</v>
      </c>
      <c r="K10" s="1316" t="s">
        <v>5186</v>
      </c>
      <c r="L10" s="1316" t="s">
        <v>5187</v>
      </c>
      <c r="M10" s="1316" t="s">
        <v>5188</v>
      </c>
      <c r="N10" s="1316" t="s">
        <v>5655</v>
      </c>
    </row>
    <row r="11" spans="1:14">
      <c r="A11" s="1317">
        <v>1</v>
      </c>
      <c r="B11" s="1204" t="s">
        <v>5656</v>
      </c>
      <c r="C11" s="1318"/>
      <c r="D11" s="1318"/>
      <c r="E11" s="1318"/>
      <c r="F11" s="1318"/>
      <c r="G11" s="1318"/>
      <c r="H11" s="1318"/>
      <c r="I11" s="1318"/>
      <c r="J11" s="1318"/>
      <c r="K11" s="1318"/>
      <c r="L11" s="1318"/>
      <c r="M11" s="1318"/>
      <c r="N11" s="1318"/>
    </row>
    <row r="12" spans="1:14">
      <c r="A12" s="1317">
        <v>2</v>
      </c>
      <c r="B12" s="1204" t="s">
        <v>8432</v>
      </c>
      <c r="C12" s="1189"/>
      <c r="D12" s="1168">
        <v>300000000</v>
      </c>
      <c r="E12" s="1189"/>
      <c r="F12" s="1189"/>
      <c r="G12" s="1168">
        <v>3010746</v>
      </c>
      <c r="H12" s="1189"/>
      <c r="I12" s="1319">
        <v>35786</v>
      </c>
      <c r="J12" s="1319">
        <v>46722</v>
      </c>
      <c r="K12" s="1319">
        <v>35786</v>
      </c>
      <c r="L12" s="1319">
        <v>46722</v>
      </c>
      <c r="M12" s="1168">
        <v>300000000</v>
      </c>
      <c r="N12" s="1168">
        <v>21060000</v>
      </c>
    </row>
    <row r="13" spans="1:14">
      <c r="A13" s="1317">
        <v>3</v>
      </c>
      <c r="B13" s="1204" t="s">
        <v>8433</v>
      </c>
      <c r="C13" s="1189"/>
      <c r="D13" s="1168">
        <v>100000000</v>
      </c>
      <c r="E13" s="1189"/>
      <c r="F13" s="1189"/>
      <c r="G13" s="1168">
        <v>954608</v>
      </c>
      <c r="H13" s="1189"/>
      <c r="I13" s="1319">
        <v>36228</v>
      </c>
      <c r="J13" s="1319">
        <v>47186</v>
      </c>
      <c r="K13" s="1319">
        <v>36228</v>
      </c>
      <c r="L13" s="1319">
        <v>47186</v>
      </c>
      <c r="M13" s="1168">
        <v>100000000</v>
      </c>
      <c r="N13" s="1168">
        <v>7000000</v>
      </c>
    </row>
    <row r="14" spans="1:14">
      <c r="A14" s="1317">
        <v>4</v>
      </c>
      <c r="B14" s="1204" t="s">
        <v>8434</v>
      </c>
      <c r="C14" s="1189"/>
      <c r="D14" s="1168">
        <v>250000000</v>
      </c>
      <c r="E14" s="1189"/>
      <c r="F14" s="1189"/>
      <c r="G14" s="1168">
        <v>2460125</v>
      </c>
      <c r="H14" s="1189"/>
      <c r="I14" s="1319">
        <v>38499</v>
      </c>
      <c r="J14" s="1319">
        <v>49461</v>
      </c>
      <c r="K14" s="1319">
        <v>38499</v>
      </c>
      <c r="L14" s="1319">
        <v>49461</v>
      </c>
      <c r="M14" s="1168">
        <v>250000000</v>
      </c>
      <c r="N14" s="1168">
        <v>13707500</v>
      </c>
    </row>
    <row r="15" spans="1:14">
      <c r="A15" s="1320">
        <v>4.0010000000000003</v>
      </c>
      <c r="B15" s="1204" t="s">
        <v>8435</v>
      </c>
      <c r="C15" s="1189"/>
      <c r="D15" s="1168">
        <v>250000000</v>
      </c>
      <c r="E15" s="1189"/>
      <c r="F15" s="1189"/>
      <c r="G15" s="1168">
        <v>2527628</v>
      </c>
      <c r="H15" s="1189"/>
      <c r="I15" s="1319">
        <v>38898</v>
      </c>
      <c r="J15" s="1319">
        <v>49841</v>
      </c>
      <c r="K15" s="1319">
        <v>38898</v>
      </c>
      <c r="L15" s="1319">
        <v>49841</v>
      </c>
      <c r="M15" s="1168">
        <v>250000000</v>
      </c>
      <c r="N15" s="1168">
        <v>16810000</v>
      </c>
    </row>
    <row r="16" spans="1:14">
      <c r="A16" s="1320">
        <v>4.0019999999999998</v>
      </c>
      <c r="B16" s="1204" t="s">
        <v>8436</v>
      </c>
      <c r="C16" s="1189"/>
      <c r="D16" s="1168">
        <v>300000000</v>
      </c>
      <c r="E16" s="1189"/>
      <c r="F16" s="1189"/>
      <c r="G16" s="1168">
        <v>2921148</v>
      </c>
      <c r="H16" s="1189"/>
      <c r="I16" s="1319">
        <v>38978</v>
      </c>
      <c r="J16" s="1319">
        <v>50114</v>
      </c>
      <c r="K16" s="1319">
        <v>38978</v>
      </c>
      <c r="L16" s="1319">
        <v>50114</v>
      </c>
      <c r="M16" s="1168">
        <v>300000000</v>
      </c>
      <c r="N16" s="1168">
        <v>18822000</v>
      </c>
    </row>
    <row r="17" spans="1:14">
      <c r="A17" s="1320">
        <v>4.0030000000000001</v>
      </c>
      <c r="B17" s="1204" t="s">
        <v>8437</v>
      </c>
      <c r="C17" s="1189"/>
      <c r="D17" s="1309">
        <v>350000000</v>
      </c>
      <c r="E17" s="1321"/>
      <c r="F17" s="1189"/>
      <c r="G17" s="1309">
        <v>3557361</v>
      </c>
      <c r="H17" s="1189"/>
      <c r="I17" s="1322">
        <v>40067</v>
      </c>
      <c r="J17" s="1322">
        <v>51044</v>
      </c>
      <c r="K17" s="1322">
        <v>40067</v>
      </c>
      <c r="L17" s="1322">
        <v>51044</v>
      </c>
      <c r="M17" s="1309">
        <v>350000000</v>
      </c>
      <c r="N17" s="1309">
        <v>20149500</v>
      </c>
    </row>
    <row r="18" spans="1:14">
      <c r="A18" s="1320">
        <v>4.0039999999999996</v>
      </c>
      <c r="B18" s="1204" t="s">
        <v>8438</v>
      </c>
      <c r="C18" s="1189"/>
      <c r="D18" s="1309">
        <v>325000000</v>
      </c>
      <c r="E18" s="1321"/>
      <c r="F18" s="1189"/>
      <c r="G18" s="1309">
        <v>3384066</v>
      </c>
      <c r="H18" s="1189"/>
      <c r="I18" s="1322">
        <v>40245</v>
      </c>
      <c r="J18" s="1322">
        <v>51210</v>
      </c>
      <c r="K18" s="1322">
        <v>40245</v>
      </c>
      <c r="L18" s="1322">
        <v>51210</v>
      </c>
      <c r="M18" s="1309">
        <v>325000000</v>
      </c>
      <c r="N18" s="1309">
        <v>18833750</v>
      </c>
    </row>
    <row r="19" spans="1:14">
      <c r="A19" s="1320">
        <v>4.0049999999999999</v>
      </c>
      <c r="B19" s="1204" t="s">
        <v>8439</v>
      </c>
      <c r="C19" s="1189"/>
      <c r="D19" s="1309">
        <v>250000000</v>
      </c>
      <c r="E19" s="1321"/>
      <c r="F19" s="1189"/>
      <c r="G19" s="1309">
        <v>2587276</v>
      </c>
      <c r="H19" s="1189"/>
      <c r="I19" s="1322">
        <v>40358</v>
      </c>
      <c r="J19" s="1322">
        <v>51332</v>
      </c>
      <c r="K19" s="1322">
        <v>40358</v>
      </c>
      <c r="L19" s="1322">
        <v>51332</v>
      </c>
      <c r="M19" s="1309">
        <v>250000000</v>
      </c>
      <c r="N19" s="1309">
        <v>14410000</v>
      </c>
    </row>
    <row r="20" spans="1:14">
      <c r="A20" s="1320">
        <v>4.0060000000000002</v>
      </c>
      <c r="B20" s="1204" t="s">
        <v>8440</v>
      </c>
      <c r="C20" s="1189"/>
      <c r="D20" s="1309">
        <v>250000000</v>
      </c>
      <c r="E20" s="1321"/>
      <c r="F20" s="1189"/>
      <c r="G20" s="1309">
        <v>2592616</v>
      </c>
      <c r="H20" s="1189"/>
      <c r="I20" s="1322">
        <v>40863</v>
      </c>
      <c r="J20" s="1322">
        <v>51820</v>
      </c>
      <c r="K20" s="1322">
        <v>40863</v>
      </c>
      <c r="L20" s="1322">
        <v>51820</v>
      </c>
      <c r="M20" s="1309">
        <v>250000000</v>
      </c>
      <c r="N20" s="1309">
        <v>11085000</v>
      </c>
    </row>
    <row r="21" spans="1:14">
      <c r="A21" s="1320">
        <v>4.0069999999999997</v>
      </c>
      <c r="B21" s="1204" t="s">
        <v>8441</v>
      </c>
      <c r="C21" s="1189"/>
      <c r="D21" s="1309">
        <v>45000000</v>
      </c>
      <c r="E21" s="1321"/>
      <c r="F21" s="1189"/>
      <c r="G21" s="1309">
        <v>511229</v>
      </c>
      <c r="H21" s="1189"/>
      <c r="I21" s="1322">
        <v>40869</v>
      </c>
      <c r="J21" s="1322">
        <v>55472</v>
      </c>
      <c r="K21" s="1322">
        <v>40869</v>
      </c>
      <c r="L21" s="1322">
        <v>55472</v>
      </c>
      <c r="M21" s="1309">
        <v>45000000</v>
      </c>
      <c r="N21" s="1309">
        <v>2115000</v>
      </c>
    </row>
    <row r="22" spans="1:14">
      <c r="A22" s="1320">
        <v>4.008</v>
      </c>
      <c r="B22" s="1204" t="s">
        <v>8442</v>
      </c>
      <c r="C22" s="1189"/>
      <c r="D22" s="1309">
        <v>300000000</v>
      </c>
      <c r="E22" s="1321"/>
      <c r="F22" s="1189"/>
      <c r="G22" s="1309">
        <v>3071895</v>
      </c>
      <c r="H22" s="1189"/>
      <c r="I22" s="1322">
        <v>40627</v>
      </c>
      <c r="J22" s="1322">
        <v>51606</v>
      </c>
      <c r="K22" s="1322">
        <v>40627</v>
      </c>
      <c r="L22" s="1322">
        <v>51606</v>
      </c>
      <c r="M22" s="1309">
        <v>300000000</v>
      </c>
      <c r="N22" s="1309">
        <v>16914000</v>
      </c>
    </row>
    <row r="23" spans="1:14">
      <c r="A23" s="1320">
        <v>4.0090000000000003</v>
      </c>
      <c r="B23" s="1204" t="s">
        <v>8443</v>
      </c>
      <c r="C23" s="1189"/>
      <c r="D23" s="1323"/>
      <c r="E23" s="1321"/>
      <c r="F23" s="1189"/>
      <c r="G23" s="1309">
        <v>15000</v>
      </c>
      <c r="H23" s="1189"/>
      <c r="I23" s="1322"/>
      <c r="J23" s="1322"/>
      <c r="K23" s="1322"/>
      <c r="L23" s="1322"/>
      <c r="M23" s="1685"/>
      <c r="N23" s="1686"/>
    </row>
    <row r="24" spans="1:14">
      <c r="A24" s="1320">
        <v>4.01</v>
      </c>
      <c r="B24" s="1204" t="s">
        <v>8444</v>
      </c>
      <c r="C24" s="1189"/>
      <c r="D24" s="1309">
        <v>425000000</v>
      </c>
      <c r="E24" s="1321"/>
      <c r="F24" s="1189"/>
      <c r="G24" s="1309">
        <v>3718750</v>
      </c>
      <c r="H24" s="1189"/>
      <c r="I24" s="1322">
        <v>42150</v>
      </c>
      <c r="J24" s="1322">
        <v>53102</v>
      </c>
      <c r="K24" s="1322">
        <v>42150</v>
      </c>
      <c r="L24" s="1322">
        <v>53102</v>
      </c>
      <c r="M24" s="1309">
        <v>425000000</v>
      </c>
      <c r="N24" s="1309">
        <v>18275000</v>
      </c>
    </row>
    <row r="25" spans="1:14">
      <c r="A25" s="1320">
        <v>4.0110000000000001</v>
      </c>
      <c r="B25" s="1204" t="s">
        <v>8445</v>
      </c>
      <c r="C25" s="1189"/>
      <c r="D25" s="1323"/>
      <c r="E25" s="1321"/>
      <c r="F25" s="1189"/>
      <c r="G25" s="1309">
        <v>1912500</v>
      </c>
      <c r="H25" s="1189"/>
      <c r="I25" s="1322"/>
      <c r="J25" s="1322"/>
      <c r="K25" s="1322"/>
      <c r="L25" s="1322"/>
      <c r="M25" s="1685"/>
      <c r="N25" s="1685"/>
    </row>
    <row r="26" spans="1:14">
      <c r="A26" s="1320">
        <v>4.0119999999999996</v>
      </c>
      <c r="B26" s="1204" t="s">
        <v>8446</v>
      </c>
      <c r="C26" s="1189"/>
      <c r="D26" s="1309">
        <v>600000000</v>
      </c>
      <c r="E26" s="1321"/>
      <c r="F26" s="1189"/>
      <c r="G26" s="1309">
        <v>1429461</v>
      </c>
      <c r="H26" s="1189"/>
      <c r="I26" s="1322">
        <v>43255</v>
      </c>
      <c r="J26" s="1322">
        <v>54224</v>
      </c>
      <c r="K26" s="1322">
        <v>43255</v>
      </c>
      <c r="L26" s="1322">
        <v>54224</v>
      </c>
      <c r="M26" s="1309">
        <v>600000000</v>
      </c>
      <c r="N26" s="1309">
        <v>25338000</v>
      </c>
    </row>
    <row r="27" spans="1:14">
      <c r="A27" s="1320">
        <v>4.0129999999999999</v>
      </c>
      <c r="B27" s="1204" t="s">
        <v>8447</v>
      </c>
      <c r="C27" s="1189"/>
      <c r="D27" s="1309">
        <v>450000000</v>
      </c>
      <c r="E27" s="1321"/>
      <c r="F27" s="1189"/>
      <c r="G27" s="1309">
        <v>6849000</v>
      </c>
      <c r="H27" s="1189"/>
      <c r="I27" s="1322">
        <v>43707</v>
      </c>
      <c r="J27" s="1322">
        <v>54681</v>
      </c>
      <c r="K27" s="1322">
        <v>43707</v>
      </c>
      <c r="L27" s="1322">
        <v>54681</v>
      </c>
      <c r="M27" s="1309">
        <v>450000000</v>
      </c>
      <c r="N27" s="1309">
        <v>14625000</v>
      </c>
    </row>
    <row r="28" spans="1:14">
      <c r="A28" s="1320">
        <v>4.0140000000000002</v>
      </c>
      <c r="B28" s="1204" t="s">
        <v>8448</v>
      </c>
      <c r="C28" s="1189"/>
      <c r="D28" s="1309">
        <v>138460000</v>
      </c>
      <c r="E28" s="1321"/>
      <c r="F28" s="1189"/>
      <c r="G28" s="1309">
        <v>1473301</v>
      </c>
      <c r="H28" s="1189"/>
      <c r="I28" s="1322">
        <v>41417</v>
      </c>
      <c r="J28" s="1322">
        <v>47908</v>
      </c>
      <c r="K28" s="1322">
        <v>41417</v>
      </c>
      <c r="L28" s="1322">
        <v>47908</v>
      </c>
      <c r="M28" s="1309">
        <v>138460000</v>
      </c>
      <c r="N28" s="1309">
        <v>5399940</v>
      </c>
    </row>
    <row r="29" spans="1:14">
      <c r="A29" s="1320">
        <v>4.0149999999999997</v>
      </c>
      <c r="B29" s="1204" t="s">
        <v>8449</v>
      </c>
      <c r="C29" s="1189"/>
      <c r="D29" s="1309">
        <v>23400000</v>
      </c>
      <c r="E29" s="1321"/>
      <c r="F29" s="1189"/>
      <c r="G29" s="1309">
        <v>248243</v>
      </c>
      <c r="H29" s="1189"/>
      <c r="I29" s="1322">
        <v>41417</v>
      </c>
      <c r="J29" s="1322">
        <v>47908</v>
      </c>
      <c r="K29" s="1322">
        <v>41417</v>
      </c>
      <c r="L29" s="1322">
        <v>47908</v>
      </c>
      <c r="M29" s="1309">
        <v>23400000</v>
      </c>
      <c r="N29" s="1309">
        <v>936000</v>
      </c>
    </row>
    <row r="30" spans="1:14">
      <c r="A30" s="1320">
        <v>4.016</v>
      </c>
      <c r="B30" s="1204" t="s">
        <v>8450</v>
      </c>
      <c r="C30" s="1189"/>
      <c r="D30" s="1168">
        <v>450000000</v>
      </c>
      <c r="E30" s="1189"/>
      <c r="F30" s="1189"/>
      <c r="G30" s="1189"/>
      <c r="H30" s="1189"/>
      <c r="I30" s="1319">
        <v>44454</v>
      </c>
      <c r="J30" s="1319">
        <v>55411</v>
      </c>
      <c r="K30" s="1319">
        <v>44454</v>
      </c>
      <c r="L30" s="1319">
        <v>55411</v>
      </c>
      <c r="M30" s="1168">
        <v>450000000</v>
      </c>
      <c r="N30" s="1168">
        <v>13018500</v>
      </c>
    </row>
    <row r="31" spans="1:14">
      <c r="A31" s="1320">
        <v>4.0170000000000003</v>
      </c>
      <c r="B31" s="1204" t="s">
        <v>8451</v>
      </c>
      <c r="C31" s="1189"/>
      <c r="D31" s="1727">
        <v>15000000</v>
      </c>
      <c r="E31" s="1189"/>
      <c r="F31" s="1189"/>
      <c r="G31" s="1309">
        <v>112500</v>
      </c>
      <c r="H31" s="1189"/>
      <c r="I31" s="1319">
        <v>35053</v>
      </c>
      <c r="J31" s="1319">
        <v>46010</v>
      </c>
      <c r="K31" s="1319">
        <v>35053</v>
      </c>
      <c r="L31" s="1319">
        <v>46010</v>
      </c>
      <c r="M31" s="1168">
        <v>15000000</v>
      </c>
      <c r="N31" s="1687">
        <v>1072500</v>
      </c>
    </row>
    <row r="32" spans="1:14">
      <c r="A32" s="1320">
        <v>4.0179999999999998</v>
      </c>
      <c r="B32" s="1204" t="s">
        <v>8452</v>
      </c>
      <c r="C32" s="1189"/>
      <c r="D32" s="1309">
        <v>2000000</v>
      </c>
      <c r="E32" s="1321"/>
      <c r="F32" s="1189"/>
      <c r="G32" s="1309">
        <v>15000</v>
      </c>
      <c r="H32" s="1189"/>
      <c r="I32" s="1322">
        <v>35055</v>
      </c>
      <c r="J32" s="1322">
        <v>46013</v>
      </c>
      <c r="K32" s="1322">
        <v>35055</v>
      </c>
      <c r="L32" s="1322">
        <v>46013</v>
      </c>
      <c r="M32" s="1309">
        <v>2000000</v>
      </c>
      <c r="N32" s="1309">
        <v>144000</v>
      </c>
    </row>
    <row r="33" spans="1:14">
      <c r="A33" s="1320">
        <v>4.0190000000000001</v>
      </c>
      <c r="B33" s="1204" t="s">
        <v>8453</v>
      </c>
      <c r="C33" s="1189"/>
      <c r="D33" s="1309">
        <v>400000000</v>
      </c>
      <c r="E33" s="1321"/>
      <c r="F33" s="1309">
        <v>3500000</v>
      </c>
      <c r="G33" s="1309"/>
      <c r="H33" s="1309">
        <v>12000</v>
      </c>
      <c r="I33" s="1322">
        <v>45064</v>
      </c>
      <c r="J33" s="1322">
        <v>56036</v>
      </c>
      <c r="K33" s="1322">
        <v>45064</v>
      </c>
      <c r="L33" s="1322">
        <v>56036</v>
      </c>
      <c r="M33" s="1309">
        <v>400000000</v>
      </c>
      <c r="N33" s="1309">
        <v>13498933.33</v>
      </c>
    </row>
    <row r="34" spans="1:14">
      <c r="A34" s="1317">
        <v>5</v>
      </c>
      <c r="B34" s="1204" t="s">
        <v>5657</v>
      </c>
      <c r="C34" s="1324"/>
      <c r="D34" s="1187">
        <f>SUM(D12:D33)</f>
        <v>5223860000</v>
      </c>
      <c r="E34" s="1187">
        <f>SUM(E12:E33)</f>
        <v>0</v>
      </c>
      <c r="F34" s="1187">
        <f>SUM(F12:F33)</f>
        <v>3500000</v>
      </c>
      <c r="G34" s="1187">
        <f>SUM(G12:G33)</f>
        <v>43352453</v>
      </c>
      <c r="H34" s="1187">
        <f>SUM(H12:H33)</f>
        <v>12000</v>
      </c>
      <c r="I34" s="1324"/>
      <c r="J34" s="1324"/>
      <c r="K34" s="1324"/>
      <c r="L34" s="1324"/>
      <c r="M34" s="1187">
        <f>SUM(M12:M33)</f>
        <v>5223860000</v>
      </c>
      <c r="N34" s="1187">
        <f>SUM(N12:N33)</f>
        <v>253214623.33000001</v>
      </c>
    </row>
    <row r="35" spans="1:14">
      <c r="A35" s="1317">
        <v>6</v>
      </c>
      <c r="B35" s="1204" t="s">
        <v>5658</v>
      </c>
      <c r="C35" s="1324"/>
      <c r="D35" s="1324"/>
      <c r="E35" s="1324"/>
      <c r="F35" s="1324"/>
      <c r="G35" s="1324"/>
      <c r="H35" s="1324"/>
      <c r="I35" s="1324"/>
      <c r="J35" s="1324"/>
      <c r="K35" s="1324"/>
      <c r="L35" s="1324"/>
      <c r="M35" s="1324"/>
      <c r="N35" s="1324"/>
    </row>
    <row r="36" spans="1:14">
      <c r="A36" s="1317">
        <v>7</v>
      </c>
      <c r="B36" s="1204"/>
      <c r="C36" s="1189"/>
      <c r="D36" s="1189"/>
      <c r="E36" s="1189"/>
      <c r="F36" s="1189"/>
      <c r="G36" s="1189"/>
      <c r="H36" s="1189"/>
      <c r="I36" s="1319"/>
      <c r="J36" s="1319"/>
      <c r="K36" s="1319"/>
      <c r="L36" s="1319"/>
      <c r="M36" s="1189"/>
      <c r="N36" s="1189"/>
    </row>
    <row r="37" spans="1:14">
      <c r="A37" s="1317">
        <v>8</v>
      </c>
      <c r="B37" s="1204"/>
      <c r="C37" s="1189"/>
      <c r="D37" s="1189"/>
      <c r="E37" s="1189"/>
      <c r="F37" s="1189"/>
      <c r="G37" s="1189"/>
      <c r="H37" s="1189"/>
      <c r="I37" s="1189"/>
      <c r="J37" s="1319"/>
      <c r="K37" s="1319"/>
      <c r="L37" s="1319"/>
      <c r="M37" s="1189"/>
      <c r="N37" s="1189"/>
    </row>
    <row r="38" spans="1:14">
      <c r="A38" s="1317">
        <v>9</v>
      </c>
      <c r="B38" s="1204"/>
      <c r="C38" s="1189"/>
      <c r="D38" s="1189"/>
      <c r="E38" s="1189"/>
      <c r="F38" s="1189"/>
      <c r="G38" s="1189"/>
      <c r="H38" s="1189"/>
      <c r="I38" s="1189"/>
      <c r="J38" s="1319"/>
      <c r="K38" s="1319"/>
      <c r="L38" s="1319"/>
      <c r="M38" s="1189"/>
      <c r="N38" s="1189"/>
    </row>
    <row r="39" spans="1:14">
      <c r="A39" s="1317">
        <v>10</v>
      </c>
      <c r="B39" s="1204" t="s">
        <v>5657</v>
      </c>
      <c r="C39" s="1324"/>
      <c r="D39" s="1187">
        <f>SUM(D36:D38)</f>
        <v>0</v>
      </c>
      <c r="E39" s="1187">
        <f>SUM(E36:E38)</f>
        <v>0</v>
      </c>
      <c r="F39" s="1187">
        <f>SUM(F36:F38)</f>
        <v>0</v>
      </c>
      <c r="G39" s="1187">
        <f>SUM(G36:G38)</f>
        <v>0</v>
      </c>
      <c r="H39" s="1187">
        <f>SUM(H36:H38)</f>
        <v>0</v>
      </c>
      <c r="I39" s="1324"/>
      <c r="J39" s="1324"/>
      <c r="K39" s="1324"/>
      <c r="L39" s="1324"/>
      <c r="M39" s="1187">
        <f>SUM(M36:M38)</f>
        <v>0</v>
      </c>
      <c r="N39" s="1187">
        <f>SUM(N36:N38)</f>
        <v>0</v>
      </c>
    </row>
    <row r="40" spans="1:14" ht="22.5">
      <c r="A40" s="1317">
        <v>11</v>
      </c>
      <c r="B40" s="1204" t="s">
        <v>5659</v>
      </c>
      <c r="C40" s="1324"/>
      <c r="D40" s="1324"/>
      <c r="E40" s="1324"/>
      <c r="F40" s="1324"/>
      <c r="G40" s="1324"/>
      <c r="H40" s="1324"/>
      <c r="I40" s="1324"/>
      <c r="J40" s="1324"/>
      <c r="K40" s="1324"/>
      <c r="L40" s="1324"/>
      <c r="M40" s="1324"/>
      <c r="N40" s="1324"/>
    </row>
    <row r="41" spans="1:14">
      <c r="A41" s="1317">
        <v>12</v>
      </c>
      <c r="B41" s="1204"/>
      <c r="C41" s="1189"/>
      <c r="D41" s="1189"/>
      <c r="E41" s="1189"/>
      <c r="F41" s="1189"/>
      <c r="G41" s="1189"/>
      <c r="H41" s="1189"/>
      <c r="I41" s="1319"/>
      <c r="J41" s="1319"/>
      <c r="K41" s="1319"/>
      <c r="L41" s="1319"/>
      <c r="M41" s="1189"/>
      <c r="N41" s="1157"/>
    </row>
    <row r="42" spans="1:14">
      <c r="A42" s="1317">
        <v>13</v>
      </c>
      <c r="B42" s="1204"/>
      <c r="C42" s="1189"/>
      <c r="D42" s="1189"/>
      <c r="E42" s="1189"/>
      <c r="F42" s="1189"/>
      <c r="G42" s="1189"/>
      <c r="H42" s="1189"/>
      <c r="I42" s="1319"/>
      <c r="J42" s="1319"/>
      <c r="K42" s="1319"/>
      <c r="L42" s="1319"/>
      <c r="M42" s="1189"/>
      <c r="N42" s="1189"/>
    </row>
    <row r="43" spans="1:14">
      <c r="A43" s="1317">
        <v>14</v>
      </c>
      <c r="B43" s="1204"/>
      <c r="C43" s="1189"/>
      <c r="D43" s="1189"/>
      <c r="E43" s="1189"/>
      <c r="F43" s="1189"/>
      <c r="G43" s="1189"/>
      <c r="H43" s="1189"/>
      <c r="I43" s="1319"/>
      <c r="J43" s="1319"/>
      <c r="K43" s="1319"/>
      <c r="L43" s="1319"/>
      <c r="M43" s="1189"/>
      <c r="N43" s="1189"/>
    </row>
    <row r="44" spans="1:14">
      <c r="A44" s="1317">
        <v>15</v>
      </c>
      <c r="B44" s="1204" t="s">
        <v>5657</v>
      </c>
      <c r="C44" s="1324"/>
      <c r="D44" s="1187">
        <f>SUM(D41:D43)</f>
        <v>0</v>
      </c>
      <c r="E44" s="1187">
        <f>SUM(E41:E43)</f>
        <v>0</v>
      </c>
      <c r="F44" s="1187">
        <f>SUM(F41:F43)</f>
        <v>0</v>
      </c>
      <c r="G44" s="1187">
        <f>SUM(G41:G43)</f>
        <v>0</v>
      </c>
      <c r="H44" s="1187">
        <f>SUM(H41:H43)</f>
        <v>0</v>
      </c>
      <c r="I44" s="1324"/>
      <c r="J44" s="1324"/>
      <c r="K44" s="1324"/>
      <c r="L44" s="1324"/>
      <c r="M44" s="1187">
        <f>SUM(M41:M43)</f>
        <v>0</v>
      </c>
      <c r="N44" s="1187">
        <f>SUM(N41:N43)</f>
        <v>0</v>
      </c>
    </row>
    <row r="45" spans="1:14">
      <c r="A45" s="1317">
        <v>16</v>
      </c>
      <c r="B45" s="1204" t="s">
        <v>5660</v>
      </c>
      <c r="C45" s="1324"/>
      <c r="D45" s="1324"/>
      <c r="E45" s="1324"/>
      <c r="F45" s="1324"/>
      <c r="G45" s="1324"/>
      <c r="H45" s="1324"/>
      <c r="I45" s="1324"/>
      <c r="J45" s="1324"/>
      <c r="K45" s="1324"/>
      <c r="L45" s="1324"/>
      <c r="M45" s="1324"/>
      <c r="N45" s="1324"/>
    </row>
    <row r="46" spans="1:14">
      <c r="A46" s="1317">
        <v>17</v>
      </c>
      <c r="B46" s="1204"/>
      <c r="C46" s="1189"/>
      <c r="D46" s="1189"/>
      <c r="E46" s="1189"/>
      <c r="F46" s="1189"/>
      <c r="G46" s="1189"/>
      <c r="H46" s="1189"/>
      <c r="I46" s="1189"/>
      <c r="J46" s="1319"/>
      <c r="K46" s="1319"/>
      <c r="L46" s="1319"/>
      <c r="M46" s="1189"/>
      <c r="N46" s="1157"/>
    </row>
    <row r="47" spans="1:14">
      <c r="A47" s="1317">
        <v>18</v>
      </c>
      <c r="B47" s="1204"/>
      <c r="C47" s="1189"/>
      <c r="D47" s="1189"/>
      <c r="E47" s="1189"/>
      <c r="F47" s="1189"/>
      <c r="G47" s="1189"/>
      <c r="H47" s="1189"/>
      <c r="I47" s="1189"/>
      <c r="J47" s="1319"/>
      <c r="K47" s="1319"/>
      <c r="L47" s="1319"/>
      <c r="M47" s="1189"/>
      <c r="N47" s="1189"/>
    </row>
    <row r="48" spans="1:14">
      <c r="A48" s="1317">
        <v>19</v>
      </c>
      <c r="B48" s="1204"/>
      <c r="C48" s="1189"/>
      <c r="D48" s="1189"/>
      <c r="E48" s="1189"/>
      <c r="F48" s="1189"/>
      <c r="G48" s="1189"/>
      <c r="H48" s="1189"/>
      <c r="I48" s="1319"/>
      <c r="J48" s="1319"/>
      <c r="K48" s="1319"/>
      <c r="L48" s="1319"/>
      <c r="M48" s="1189"/>
      <c r="N48" s="1189"/>
    </row>
    <row r="49" spans="1:14">
      <c r="A49" s="1317">
        <v>20</v>
      </c>
      <c r="B49" s="1204" t="s">
        <v>5657</v>
      </c>
      <c r="C49" s="1324"/>
      <c r="D49" s="1187">
        <f>SUM(D46:D48)</f>
        <v>0</v>
      </c>
      <c r="E49" s="1187">
        <f>SUM(E46:E48)</f>
        <v>0</v>
      </c>
      <c r="F49" s="1187">
        <f>SUM(F46:F48)</f>
        <v>0</v>
      </c>
      <c r="G49" s="1187">
        <f>SUM(G46:G48)</f>
        <v>0</v>
      </c>
      <c r="H49" s="1187">
        <f>SUM(H46:H48)</f>
        <v>0</v>
      </c>
      <c r="I49" s="1324"/>
      <c r="J49" s="1324"/>
      <c r="K49" s="1324"/>
      <c r="L49" s="1324"/>
      <c r="M49" s="1187">
        <f>SUM(M46:M48)</f>
        <v>0</v>
      </c>
      <c r="N49" s="1187">
        <f>SUM(N46:N48)</f>
        <v>0</v>
      </c>
    </row>
    <row r="50" spans="1:14">
      <c r="A50" s="1317">
        <v>33</v>
      </c>
      <c r="B50" s="1204" t="s">
        <v>196</v>
      </c>
      <c r="C50" s="1324"/>
      <c r="D50" s="1187">
        <f>D34+D39+D44+D49</f>
        <v>5223860000</v>
      </c>
      <c r="E50" s="1187">
        <f>E34+E39+E44+E49</f>
        <v>0</v>
      </c>
      <c r="F50" s="1187">
        <f>F34+F39+F44+F49</f>
        <v>3500000</v>
      </c>
      <c r="G50" s="1187">
        <f>G34+G39+G44+G49</f>
        <v>43352453</v>
      </c>
      <c r="H50" s="1187">
        <f>H34+H39+H44+H49</f>
        <v>12000</v>
      </c>
      <c r="I50" s="1324"/>
      <c r="J50" s="1324"/>
      <c r="K50" s="1324"/>
      <c r="L50" s="1324"/>
      <c r="M50" s="1187">
        <f>M34+M39+M44+M49</f>
        <v>5223860000</v>
      </c>
      <c r="N50" s="1187">
        <f>N34+N39+N44+N49</f>
        <v>253214623.33000001</v>
      </c>
    </row>
    <row r="51" spans="1:14">
      <c r="A51" s="1194"/>
      <c r="B51" s="1194"/>
      <c r="C51" s="1194"/>
      <c r="D51" s="1194"/>
      <c r="E51" s="1194"/>
      <c r="F51" s="1194"/>
      <c r="G51" s="1325"/>
      <c r="H51" s="1325"/>
      <c r="I51" s="1325"/>
      <c r="J51" s="1325"/>
      <c r="K51" s="1194"/>
      <c r="L51" s="1194"/>
      <c r="M51" s="1194"/>
      <c r="N51" s="1194"/>
    </row>
  </sheetData>
  <mergeCells count="7">
    <mergeCell ref="A9:A10"/>
    <mergeCell ref="A6:H6"/>
    <mergeCell ref="I6:N6"/>
    <mergeCell ref="A7:H7"/>
    <mergeCell ref="I7:N7"/>
    <mergeCell ref="A8:H8"/>
    <mergeCell ref="I8:N8"/>
  </mergeCells>
  <pageMargins left="0.75" right="0.75" top="1" bottom="1" header="0.5" footer="0.5"/>
  <pageSetup orientation="portrait" horizontalDpi="360" verticalDpi="360" r:id="rId1"/>
  <customProperties>
    <customPr name="_pios_id" r:id="rId2"/>
  </customPropertie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92D050"/>
  </sheetPr>
  <dimension ref="A1:P93"/>
  <sheetViews>
    <sheetView topLeftCell="B1" workbookViewId="0">
      <pane ySplit="12" topLeftCell="A13" activePane="bottomLeft" state="frozen"/>
      <selection sqref="A1:XFD1048576"/>
      <selection pane="bottomLeft" sqref="A1:XFD1048576"/>
    </sheetView>
  </sheetViews>
  <sheetFormatPr defaultColWidth="11.625" defaultRowHeight="11.25"/>
  <cols>
    <col min="1" max="1" width="4.5" style="1327" bestFit="1" customWidth="1"/>
    <col min="2" max="2" width="30.375" style="1327" bestFit="1" customWidth="1"/>
    <col min="3" max="3" width="10.625" style="1327" bestFit="1" customWidth="1"/>
    <col min="4" max="4" width="13.25" style="1327" bestFit="1" customWidth="1"/>
    <col min="5" max="5" width="6.5" style="1327" bestFit="1" customWidth="1"/>
    <col min="6" max="6" width="12.625" style="1327" bestFit="1" customWidth="1"/>
    <col min="7" max="7" width="15.75" style="1327" bestFit="1" customWidth="1"/>
    <col min="8" max="10" width="8.375" style="1327" bestFit="1" customWidth="1"/>
    <col min="11" max="11" width="12.625" style="1327" bestFit="1" customWidth="1"/>
    <col min="12" max="12" width="25" style="1327" bestFit="1" customWidth="1"/>
    <col min="13" max="13" width="19.875" style="1327" bestFit="1" customWidth="1"/>
    <col min="14" max="14" width="10.75" style="1327" bestFit="1" customWidth="1"/>
    <col min="15" max="15" width="27.875" style="1327" bestFit="1" customWidth="1"/>
    <col min="16" max="16" width="8.625" style="1327" bestFit="1" customWidth="1"/>
    <col min="17" max="16384" width="11.625" style="1327"/>
  </cols>
  <sheetData>
    <row r="1" spans="1:16">
      <c r="A1" s="1326"/>
      <c r="B1" s="507" t="s">
        <v>4977</v>
      </c>
    </row>
    <row r="2" spans="1:16">
      <c r="A2" s="1326"/>
      <c r="B2" s="507" t="s">
        <v>6778</v>
      </c>
    </row>
    <row r="3" spans="1:16">
      <c r="A3" s="1326"/>
    </row>
    <row r="4" spans="1:16">
      <c r="A4" s="1326"/>
    </row>
    <row r="6" spans="1:16" ht="11.25" customHeight="1">
      <c r="A6" s="4046" t="s">
        <v>5661</v>
      </c>
      <c r="B6" s="4047"/>
      <c r="C6" s="4047"/>
      <c r="D6" s="4047"/>
      <c r="E6" s="4047"/>
      <c r="F6" s="4047"/>
      <c r="G6" s="4047"/>
      <c r="H6" s="4047"/>
      <c r="I6" s="4047"/>
      <c r="J6" s="4048"/>
      <c r="K6" s="3957" t="s">
        <v>5662</v>
      </c>
      <c r="L6" s="3958"/>
      <c r="M6" s="3958"/>
      <c r="N6" s="3958"/>
      <c r="O6" s="3958"/>
      <c r="P6" s="3958"/>
    </row>
    <row r="7" spans="1:16" ht="11.25" customHeight="1">
      <c r="A7" s="4022" t="s">
        <v>5663</v>
      </c>
      <c r="B7" s="4049"/>
      <c r="C7" s="4049"/>
      <c r="D7" s="4049"/>
      <c r="E7" s="4049"/>
      <c r="F7" s="4049"/>
      <c r="G7" s="4049"/>
      <c r="H7" s="4049"/>
      <c r="I7" s="4049"/>
      <c r="J7" s="4050"/>
      <c r="K7" s="3970" t="s">
        <v>5664</v>
      </c>
      <c r="L7" s="3971"/>
      <c r="M7" s="3971"/>
      <c r="N7" s="3971"/>
      <c r="O7" s="3971"/>
      <c r="P7" s="3971"/>
    </row>
    <row r="8" spans="1:16" ht="11.25" customHeight="1">
      <c r="A8" s="3944" t="s">
        <v>5665</v>
      </c>
      <c r="B8" s="4040"/>
      <c r="C8" s="4040"/>
      <c r="D8" s="4040"/>
      <c r="E8" s="4040"/>
      <c r="F8" s="4040"/>
      <c r="G8" s="4040"/>
      <c r="H8" s="4040"/>
      <c r="I8" s="4040"/>
      <c r="J8" s="4041"/>
      <c r="K8" s="4051" t="s">
        <v>5666</v>
      </c>
      <c r="L8" s="4052"/>
      <c r="M8" s="4052"/>
      <c r="N8" s="4052"/>
      <c r="O8" s="4052"/>
      <c r="P8" s="4052"/>
    </row>
    <row r="9" spans="1:16" ht="10.15" customHeight="1">
      <c r="A9" s="3963" t="s">
        <v>5177</v>
      </c>
      <c r="B9" s="3963" t="s">
        <v>5667</v>
      </c>
      <c r="C9" s="3963" t="s">
        <v>5668</v>
      </c>
      <c r="D9" s="3963" t="s">
        <v>5669</v>
      </c>
      <c r="E9" s="3963" t="s">
        <v>5670</v>
      </c>
      <c r="F9" s="3953" t="s">
        <v>5671</v>
      </c>
      <c r="G9" s="4036"/>
      <c r="H9" s="3963" t="s">
        <v>5672</v>
      </c>
      <c r="I9" s="3963" t="s">
        <v>5673</v>
      </c>
      <c r="J9" s="3963" t="s">
        <v>5339</v>
      </c>
      <c r="K9" s="3970" t="s">
        <v>5674</v>
      </c>
      <c r="L9" s="3972"/>
      <c r="M9" s="3970" t="s">
        <v>5675</v>
      </c>
      <c r="N9" s="3971"/>
      <c r="O9" s="3971"/>
      <c r="P9" s="3972"/>
    </row>
    <row r="10" spans="1:16" ht="20.45" customHeight="1">
      <c r="A10" s="4045"/>
      <c r="B10" s="4045"/>
      <c r="C10" s="4045"/>
      <c r="D10" s="4045"/>
      <c r="E10" s="4045"/>
      <c r="F10" s="1153" t="s">
        <v>5676</v>
      </c>
      <c r="G10" s="1153" t="s">
        <v>5677</v>
      </c>
      <c r="H10" s="4045"/>
      <c r="I10" s="4045"/>
      <c r="J10" s="4045"/>
      <c r="K10" s="1227" t="s">
        <v>5676</v>
      </c>
      <c r="L10" s="1227" t="s">
        <v>5678</v>
      </c>
      <c r="M10" s="1227" t="s">
        <v>5679</v>
      </c>
      <c r="N10" s="1227" t="s">
        <v>5680</v>
      </c>
      <c r="O10" s="1227" t="s">
        <v>5681</v>
      </c>
      <c r="P10" s="1227" t="s">
        <v>107</v>
      </c>
    </row>
    <row r="11" spans="1:16">
      <c r="A11" s="1181"/>
      <c r="B11" s="1668" t="s">
        <v>4989</v>
      </c>
      <c r="C11" s="1668" t="s">
        <v>4990</v>
      </c>
      <c r="D11" s="1668" t="s">
        <v>4991</v>
      </c>
      <c r="E11" s="1668" t="s">
        <v>4992</v>
      </c>
      <c r="F11" s="1668" t="s">
        <v>5181</v>
      </c>
      <c r="G11" s="1668" t="s">
        <v>5182</v>
      </c>
      <c r="H11" s="1668" t="s">
        <v>5183</v>
      </c>
      <c r="I11" s="1668" t="s">
        <v>5184</v>
      </c>
      <c r="J11" s="1668" t="s">
        <v>5185</v>
      </c>
      <c r="K11" s="1328" t="s">
        <v>5186</v>
      </c>
      <c r="L11" s="1328" t="s">
        <v>5187</v>
      </c>
      <c r="M11" s="1328" t="s">
        <v>5188</v>
      </c>
      <c r="N11" s="1328" t="s">
        <v>5655</v>
      </c>
      <c r="O11" s="1328" t="s">
        <v>5682</v>
      </c>
      <c r="P11" s="1328" t="s">
        <v>5683</v>
      </c>
    </row>
    <row r="12" spans="1:16" ht="26.45" customHeight="1">
      <c r="A12" s="1184"/>
      <c r="B12" s="1184"/>
      <c r="C12" s="1184"/>
      <c r="D12" s="1184"/>
      <c r="E12" s="1184"/>
      <c r="F12" s="1202" t="s">
        <v>4988</v>
      </c>
      <c r="G12" s="1202" t="s">
        <v>4988</v>
      </c>
      <c r="H12" s="1184"/>
      <c r="I12" s="1184"/>
      <c r="J12" s="1184"/>
      <c r="K12" s="1231" t="s">
        <v>6777</v>
      </c>
      <c r="L12" s="1231" t="s">
        <v>6777</v>
      </c>
      <c r="M12" s="1231"/>
      <c r="N12" s="1231"/>
      <c r="O12" s="1231"/>
      <c r="P12" s="1231"/>
    </row>
    <row r="13" spans="1:16">
      <c r="A13" s="1329" t="s">
        <v>5684</v>
      </c>
      <c r="B13" s="1204"/>
      <c r="C13" s="1157"/>
      <c r="D13" s="1157"/>
      <c r="E13" s="1157"/>
      <c r="F13" s="1187">
        <v>0</v>
      </c>
      <c r="G13" s="1187">
        <v>0</v>
      </c>
      <c r="H13" s="1157"/>
      <c r="I13" s="1157"/>
      <c r="J13" s="1157"/>
      <c r="K13" s="1187">
        <v>0</v>
      </c>
      <c r="L13" s="1157"/>
      <c r="M13" s="1157"/>
      <c r="N13" s="1157"/>
      <c r="O13" s="1157"/>
      <c r="P13" s="1157"/>
    </row>
    <row r="14" spans="1:16">
      <c r="A14" s="1329" t="s">
        <v>5685</v>
      </c>
      <c r="B14" s="1157"/>
      <c r="C14" s="1157"/>
      <c r="D14" s="1157"/>
      <c r="E14" s="1157"/>
      <c r="F14" s="1187">
        <v>0</v>
      </c>
      <c r="G14" s="1187">
        <v>0</v>
      </c>
      <c r="H14" s="1157"/>
      <c r="I14" s="1157"/>
      <c r="J14" s="1157"/>
      <c r="K14" s="1187">
        <v>0</v>
      </c>
      <c r="L14" s="1157"/>
      <c r="M14" s="1157"/>
      <c r="N14" s="1157"/>
      <c r="O14" s="1157"/>
      <c r="P14" s="1157"/>
    </row>
    <row r="15" spans="1:16">
      <c r="A15" s="1329" t="s">
        <v>5344</v>
      </c>
      <c r="B15" s="1204" t="s">
        <v>5686</v>
      </c>
      <c r="C15" s="1330"/>
      <c r="D15" s="1330"/>
      <c r="E15" s="1330"/>
      <c r="F15" s="1187">
        <v>0</v>
      </c>
      <c r="G15" s="1187">
        <v>0</v>
      </c>
      <c r="H15" s="1187">
        <v>0</v>
      </c>
      <c r="I15" s="1187">
        <v>0</v>
      </c>
      <c r="J15" s="1187">
        <v>0</v>
      </c>
      <c r="K15" s="1187">
        <v>0</v>
      </c>
      <c r="L15" s="1187">
        <v>0</v>
      </c>
      <c r="M15" s="1187">
        <v>0</v>
      </c>
      <c r="N15" s="1187">
        <v>0</v>
      </c>
      <c r="O15" s="1187">
        <v>0</v>
      </c>
      <c r="P15" s="1187">
        <v>0</v>
      </c>
    </row>
    <row r="16" spans="1:16">
      <c r="A16" s="1329" t="s">
        <v>5687</v>
      </c>
      <c r="B16" s="1204"/>
      <c r="C16" s="1157"/>
      <c r="D16" s="1157"/>
      <c r="E16" s="1157"/>
      <c r="F16" s="1187">
        <v>0</v>
      </c>
      <c r="G16" s="1187">
        <v>0</v>
      </c>
      <c r="H16" s="1157"/>
      <c r="I16" s="1157"/>
      <c r="J16" s="1157"/>
      <c r="K16" s="1187">
        <v>0</v>
      </c>
      <c r="L16" s="1157"/>
      <c r="M16" s="1157"/>
      <c r="N16" s="1157"/>
      <c r="O16" s="1157"/>
      <c r="P16" s="1157"/>
    </row>
    <row r="17" spans="1:16">
      <c r="A17" s="1329" t="s">
        <v>5688</v>
      </c>
      <c r="B17" s="1204"/>
      <c r="C17" s="1157"/>
      <c r="D17" s="1157"/>
      <c r="E17" s="1157"/>
      <c r="F17" s="1187">
        <v>0</v>
      </c>
      <c r="G17" s="1187">
        <v>0</v>
      </c>
      <c r="H17" s="1157"/>
      <c r="I17" s="1157"/>
      <c r="J17" s="1157"/>
      <c r="K17" s="1187">
        <v>0</v>
      </c>
      <c r="L17" s="1157"/>
      <c r="M17" s="1157"/>
      <c r="N17" s="1157"/>
      <c r="O17" s="1157"/>
      <c r="P17" s="1157"/>
    </row>
    <row r="18" spans="1:16">
      <c r="A18" s="1329" t="s">
        <v>5348</v>
      </c>
      <c r="B18" s="1157" t="s">
        <v>5689</v>
      </c>
      <c r="C18" s="1330"/>
      <c r="D18" s="1330"/>
      <c r="E18" s="1330"/>
      <c r="F18" s="1187">
        <v>0</v>
      </c>
      <c r="G18" s="1187">
        <v>0</v>
      </c>
      <c r="H18" s="1187">
        <v>0</v>
      </c>
      <c r="I18" s="1187">
        <v>0</v>
      </c>
      <c r="J18" s="1187">
        <v>0</v>
      </c>
      <c r="K18" s="1187">
        <v>0</v>
      </c>
      <c r="L18" s="1187">
        <v>0</v>
      </c>
      <c r="M18" s="1187">
        <v>0</v>
      </c>
      <c r="N18" s="1187">
        <v>0</v>
      </c>
      <c r="O18" s="1187">
        <v>0</v>
      </c>
      <c r="P18" s="1187">
        <v>0</v>
      </c>
    </row>
    <row r="19" spans="1:16">
      <c r="A19" s="1329" t="s">
        <v>5690</v>
      </c>
      <c r="B19" s="1204" t="s">
        <v>5691</v>
      </c>
      <c r="C19" s="1157" t="s">
        <v>5692</v>
      </c>
      <c r="D19" s="1157" t="s">
        <v>5693</v>
      </c>
      <c r="E19" s="1168">
        <v>2021</v>
      </c>
      <c r="F19" s="1187">
        <v>22891305</v>
      </c>
      <c r="G19" s="1187">
        <v>0</v>
      </c>
      <c r="H19" s="1168">
        <v>162740699</v>
      </c>
      <c r="I19" s="1168">
        <v>163514431</v>
      </c>
      <c r="J19" s="1157"/>
      <c r="K19" s="1187">
        <v>22117573</v>
      </c>
      <c r="L19" s="1157"/>
      <c r="M19" s="1168">
        <v>103454099</v>
      </c>
      <c r="N19" s="1157"/>
      <c r="O19" s="1157"/>
      <c r="P19" s="1168">
        <v>59286600</v>
      </c>
    </row>
    <row r="20" spans="1:16">
      <c r="A20" s="1329" t="s">
        <v>5694</v>
      </c>
      <c r="B20" s="1157"/>
      <c r="C20" s="1157"/>
      <c r="D20" s="1157"/>
      <c r="E20" s="1157"/>
      <c r="F20" s="1187">
        <v>0</v>
      </c>
      <c r="G20" s="1187">
        <v>0</v>
      </c>
      <c r="H20" s="1157"/>
      <c r="I20" s="1157"/>
      <c r="J20" s="1157"/>
      <c r="K20" s="1187">
        <v>0</v>
      </c>
      <c r="L20" s="1157"/>
      <c r="M20" s="1157"/>
      <c r="N20" s="1157"/>
      <c r="O20" s="1157"/>
      <c r="P20" s="1157"/>
    </row>
    <row r="21" spans="1:16">
      <c r="A21" s="1329" t="s">
        <v>5352</v>
      </c>
      <c r="B21" s="1257" t="s">
        <v>5695</v>
      </c>
      <c r="C21" s="1330"/>
      <c r="D21" s="1330"/>
      <c r="E21" s="1330"/>
      <c r="F21" s="1187">
        <v>22891305</v>
      </c>
      <c r="G21" s="1187">
        <v>0</v>
      </c>
      <c r="H21" s="1187">
        <v>162740699</v>
      </c>
      <c r="I21" s="1187">
        <v>163514431</v>
      </c>
      <c r="J21" s="1187">
        <v>0</v>
      </c>
      <c r="K21" s="1187">
        <v>22117573</v>
      </c>
      <c r="L21" s="1187">
        <v>0</v>
      </c>
      <c r="M21" s="1171">
        <v>103454099</v>
      </c>
      <c r="N21" s="1187">
        <v>0</v>
      </c>
      <c r="O21" s="1187">
        <v>0</v>
      </c>
      <c r="P21" s="1187">
        <v>59286600</v>
      </c>
    </row>
    <row r="22" spans="1:16">
      <c r="A22" s="1329" t="s">
        <v>5696</v>
      </c>
      <c r="B22" s="1204" t="s">
        <v>5697</v>
      </c>
      <c r="C22" s="1157" t="s">
        <v>5698</v>
      </c>
      <c r="D22" s="1157" t="s">
        <v>5693</v>
      </c>
      <c r="E22" s="1168">
        <v>2021</v>
      </c>
      <c r="F22" s="1187">
        <v>1133002</v>
      </c>
      <c r="G22" s="1187">
        <v>0</v>
      </c>
      <c r="H22" s="1168">
        <v>4668946</v>
      </c>
      <c r="I22" s="1168">
        <v>4843439</v>
      </c>
      <c r="J22" s="1157"/>
      <c r="K22" s="1187">
        <v>958509</v>
      </c>
      <c r="L22" s="1157"/>
      <c r="M22" s="1168">
        <v>879365</v>
      </c>
      <c r="N22" s="1157"/>
      <c r="O22" s="1157"/>
      <c r="P22" s="1168">
        <v>3789580</v>
      </c>
    </row>
    <row r="23" spans="1:16">
      <c r="A23" s="1329" t="s">
        <v>5699</v>
      </c>
      <c r="B23" s="1204"/>
      <c r="C23" s="1157"/>
      <c r="D23" s="1157"/>
      <c r="E23" s="1157"/>
      <c r="F23" s="1187">
        <v>0</v>
      </c>
      <c r="G23" s="1187">
        <v>0</v>
      </c>
      <c r="H23" s="1157"/>
      <c r="I23" s="1157"/>
      <c r="J23" s="1157"/>
      <c r="K23" s="1187">
        <v>0</v>
      </c>
      <c r="L23" s="1157"/>
      <c r="M23" s="1157"/>
      <c r="N23" s="1157"/>
      <c r="O23" s="1157"/>
      <c r="P23" s="1157"/>
    </row>
    <row r="24" spans="1:16">
      <c r="A24" s="1329" t="s">
        <v>5356</v>
      </c>
      <c r="B24" s="1257" t="s">
        <v>5700</v>
      </c>
      <c r="C24" s="1330"/>
      <c r="D24" s="1330"/>
      <c r="E24" s="1330"/>
      <c r="F24" s="1187">
        <v>1133002</v>
      </c>
      <c r="G24" s="1187">
        <v>0</v>
      </c>
      <c r="H24" s="1187">
        <v>4668946</v>
      </c>
      <c r="I24" s="1187">
        <v>4843439</v>
      </c>
      <c r="J24" s="1187">
        <v>0</v>
      </c>
      <c r="K24" s="1187">
        <v>958509</v>
      </c>
      <c r="L24" s="1187">
        <v>0</v>
      </c>
      <c r="M24" s="1171">
        <v>879365</v>
      </c>
      <c r="N24" s="1187">
        <v>0</v>
      </c>
      <c r="O24" s="1187">
        <v>0</v>
      </c>
      <c r="P24" s="1187">
        <v>3789580</v>
      </c>
    </row>
    <row r="25" spans="1:16">
      <c r="A25" s="1329" t="s">
        <v>5701</v>
      </c>
      <c r="B25" s="1204" t="s">
        <v>566</v>
      </c>
      <c r="C25" s="1157" t="s">
        <v>5702</v>
      </c>
      <c r="D25" s="1157" t="s">
        <v>5703</v>
      </c>
      <c r="E25" s="1168">
        <v>2021</v>
      </c>
      <c r="F25" s="1187">
        <v>64619774</v>
      </c>
      <c r="G25" s="1187">
        <v>0</v>
      </c>
      <c r="H25" s="1168">
        <v>54217645</v>
      </c>
      <c r="I25" s="1168">
        <v>68151319</v>
      </c>
      <c r="J25" s="1157"/>
      <c r="K25" s="1187">
        <v>50686100</v>
      </c>
      <c r="L25" s="1157"/>
      <c r="M25" s="1168">
        <v>47092120</v>
      </c>
      <c r="N25" s="1157"/>
      <c r="O25" s="1157"/>
      <c r="P25" s="1168">
        <v>7125525</v>
      </c>
    </row>
    <row r="26" spans="1:16">
      <c r="A26" s="1329" t="s">
        <v>5704</v>
      </c>
      <c r="B26" s="1157"/>
      <c r="C26" s="1157"/>
      <c r="D26" s="1157"/>
      <c r="E26" s="1157"/>
      <c r="F26" s="1187">
        <v>0</v>
      </c>
      <c r="G26" s="1187">
        <v>0</v>
      </c>
      <c r="H26" s="1157"/>
      <c r="I26" s="1157"/>
      <c r="J26" s="1157"/>
      <c r="K26" s="1187">
        <v>0</v>
      </c>
      <c r="L26" s="1157"/>
      <c r="M26" s="1157"/>
      <c r="N26" s="1157"/>
      <c r="O26" s="1157"/>
      <c r="P26" s="1157"/>
    </row>
    <row r="27" spans="1:16">
      <c r="A27" s="1329" t="s">
        <v>5360</v>
      </c>
      <c r="B27" s="1257" t="s">
        <v>5705</v>
      </c>
      <c r="C27" s="1330"/>
      <c r="D27" s="1330"/>
      <c r="E27" s="1330"/>
      <c r="F27" s="1187">
        <v>64619774</v>
      </c>
      <c r="G27" s="1187">
        <v>0</v>
      </c>
      <c r="H27" s="1187">
        <v>54217645</v>
      </c>
      <c r="I27" s="1187">
        <v>68151319</v>
      </c>
      <c r="J27" s="1187">
        <v>0</v>
      </c>
      <c r="K27" s="1187">
        <v>50686100</v>
      </c>
      <c r="L27" s="1187">
        <v>0</v>
      </c>
      <c r="M27" s="1171">
        <v>47092120</v>
      </c>
      <c r="N27" s="1187">
        <v>0</v>
      </c>
      <c r="O27" s="1187">
        <v>0</v>
      </c>
      <c r="P27" s="1187">
        <v>7125525</v>
      </c>
    </row>
    <row r="28" spans="1:16">
      <c r="A28" s="1329" t="s">
        <v>5706</v>
      </c>
      <c r="B28" s="1204"/>
      <c r="C28" s="1157"/>
      <c r="D28" s="1157"/>
      <c r="E28" s="1157"/>
      <c r="F28" s="1187">
        <v>0</v>
      </c>
      <c r="G28" s="1187">
        <v>0</v>
      </c>
      <c r="H28" s="1157"/>
      <c r="I28" s="1157"/>
      <c r="J28" s="1157"/>
      <c r="K28" s="1187">
        <v>0</v>
      </c>
      <c r="L28" s="1157"/>
      <c r="M28" s="1157"/>
      <c r="N28" s="1157"/>
      <c r="O28" s="1157"/>
      <c r="P28" s="1157"/>
    </row>
    <row r="29" spans="1:16">
      <c r="A29" s="1329" t="s">
        <v>5707</v>
      </c>
      <c r="B29" s="1204"/>
      <c r="C29" s="1157"/>
      <c r="D29" s="1157"/>
      <c r="E29" s="1157"/>
      <c r="F29" s="1187">
        <v>0</v>
      </c>
      <c r="G29" s="1187">
        <v>0</v>
      </c>
      <c r="H29" s="1157"/>
      <c r="I29" s="1157"/>
      <c r="J29" s="1157"/>
      <c r="K29" s="1187">
        <v>0</v>
      </c>
      <c r="L29" s="1157"/>
      <c r="M29" s="1157"/>
      <c r="N29" s="1157"/>
      <c r="O29" s="1157"/>
      <c r="P29" s="1157"/>
    </row>
    <row r="30" spans="1:16">
      <c r="A30" s="1329" t="s">
        <v>5364</v>
      </c>
      <c r="B30" s="1204" t="s">
        <v>5708</v>
      </c>
      <c r="C30" s="1330"/>
      <c r="D30" s="1330"/>
      <c r="E30" s="1330"/>
      <c r="F30" s="1187">
        <v>0</v>
      </c>
      <c r="G30" s="1187">
        <v>0</v>
      </c>
      <c r="H30" s="1187">
        <v>0</v>
      </c>
      <c r="I30" s="1187">
        <v>0</v>
      </c>
      <c r="J30" s="1187">
        <v>0</v>
      </c>
      <c r="K30" s="1187">
        <v>0</v>
      </c>
      <c r="L30" s="1187">
        <v>0</v>
      </c>
      <c r="M30" s="1187">
        <v>0</v>
      </c>
      <c r="N30" s="1187">
        <v>0</v>
      </c>
      <c r="O30" s="1187">
        <v>0</v>
      </c>
      <c r="P30" s="1187">
        <v>0</v>
      </c>
    </row>
    <row r="31" spans="1:16">
      <c r="A31" s="1329" t="s">
        <v>5709</v>
      </c>
      <c r="B31" s="1204"/>
      <c r="C31" s="1157"/>
      <c r="D31" s="1157"/>
      <c r="E31" s="1157"/>
      <c r="F31" s="1187">
        <v>0</v>
      </c>
      <c r="G31" s="1187">
        <v>0</v>
      </c>
      <c r="H31" s="1157"/>
      <c r="I31" s="1157"/>
      <c r="J31" s="1157"/>
      <c r="K31" s="1187">
        <v>0</v>
      </c>
      <c r="L31" s="1157"/>
      <c r="M31" s="1157"/>
      <c r="N31" s="1157"/>
      <c r="O31" s="1157"/>
      <c r="P31" s="1157"/>
    </row>
    <row r="32" spans="1:16">
      <c r="A32" s="1329" t="s">
        <v>5710</v>
      </c>
      <c r="B32" s="1204"/>
      <c r="C32" s="1157"/>
      <c r="D32" s="1157"/>
      <c r="E32" s="1157"/>
      <c r="F32" s="1187">
        <v>0</v>
      </c>
      <c r="G32" s="1187">
        <v>0</v>
      </c>
      <c r="H32" s="1157"/>
      <c r="I32" s="1157"/>
      <c r="J32" s="1157"/>
      <c r="K32" s="1187">
        <v>0</v>
      </c>
      <c r="L32" s="1157"/>
      <c r="M32" s="1157"/>
      <c r="N32" s="1157"/>
      <c r="O32" s="1157"/>
      <c r="P32" s="1157"/>
    </row>
    <row r="33" spans="1:16">
      <c r="A33" s="1329" t="s">
        <v>5368</v>
      </c>
      <c r="B33" s="1169" t="s">
        <v>5711</v>
      </c>
      <c r="C33" s="1330"/>
      <c r="D33" s="1330"/>
      <c r="E33" s="1330"/>
      <c r="F33" s="1187">
        <v>0</v>
      </c>
      <c r="G33" s="1187">
        <v>0</v>
      </c>
      <c r="H33" s="1187">
        <v>0</v>
      </c>
      <c r="I33" s="1187">
        <v>0</v>
      </c>
      <c r="J33" s="1187">
        <v>0</v>
      </c>
      <c r="K33" s="1187">
        <v>0</v>
      </c>
      <c r="L33" s="1187">
        <v>0</v>
      </c>
      <c r="M33" s="1171">
        <v>0</v>
      </c>
      <c r="N33" s="1187">
        <v>0</v>
      </c>
      <c r="O33" s="1187">
        <v>0</v>
      </c>
      <c r="P33" s="1187">
        <v>0</v>
      </c>
    </row>
    <row r="34" spans="1:16">
      <c r="A34" s="1329" t="s">
        <v>5712</v>
      </c>
      <c r="B34" s="1204"/>
      <c r="C34" s="1157"/>
      <c r="D34" s="1157"/>
      <c r="E34" s="1157"/>
      <c r="F34" s="1187">
        <v>0</v>
      </c>
      <c r="G34" s="1187">
        <v>0</v>
      </c>
      <c r="H34" s="1157"/>
      <c r="I34" s="1157"/>
      <c r="J34" s="1157"/>
      <c r="K34" s="1187">
        <v>0</v>
      </c>
      <c r="L34" s="1157"/>
      <c r="M34" s="1157"/>
      <c r="N34" s="1157"/>
      <c r="O34" s="1157"/>
      <c r="P34" s="1157"/>
    </row>
    <row r="35" spans="1:16">
      <c r="A35" s="1329" t="s">
        <v>5713</v>
      </c>
      <c r="B35" s="1204"/>
      <c r="C35" s="1157"/>
      <c r="D35" s="1157"/>
      <c r="E35" s="1157"/>
      <c r="F35" s="1187">
        <v>0</v>
      </c>
      <c r="G35" s="1187">
        <v>0</v>
      </c>
      <c r="H35" s="1157"/>
      <c r="I35" s="1157"/>
      <c r="J35" s="1157"/>
      <c r="K35" s="1187">
        <v>0</v>
      </c>
      <c r="L35" s="1157"/>
      <c r="M35" s="1157"/>
      <c r="N35" s="1157"/>
      <c r="O35" s="1157"/>
      <c r="P35" s="1157"/>
    </row>
    <row r="36" spans="1:16">
      <c r="A36" s="1329" t="s">
        <v>5372</v>
      </c>
      <c r="B36" s="1204" t="s">
        <v>5714</v>
      </c>
      <c r="C36" s="1330"/>
      <c r="D36" s="1330"/>
      <c r="E36" s="1330"/>
      <c r="F36" s="1187">
        <v>0</v>
      </c>
      <c r="G36" s="1187">
        <v>0</v>
      </c>
      <c r="H36" s="1187">
        <v>0</v>
      </c>
      <c r="I36" s="1187">
        <v>0</v>
      </c>
      <c r="J36" s="1187">
        <v>0</v>
      </c>
      <c r="K36" s="1187">
        <v>0</v>
      </c>
      <c r="L36" s="1187">
        <v>0</v>
      </c>
      <c r="M36" s="1187">
        <v>0</v>
      </c>
      <c r="N36" s="1187">
        <v>0</v>
      </c>
      <c r="O36" s="1187">
        <v>0</v>
      </c>
      <c r="P36" s="1187">
        <v>0</v>
      </c>
    </row>
    <row r="37" spans="1:16">
      <c r="A37" s="1329" t="s">
        <v>5715</v>
      </c>
      <c r="B37" s="1204" t="s">
        <v>5716</v>
      </c>
      <c r="C37" s="1157" t="s">
        <v>5717</v>
      </c>
      <c r="D37" s="1157" t="s">
        <v>5718</v>
      </c>
      <c r="E37" s="1168">
        <v>2021</v>
      </c>
      <c r="F37" s="1187">
        <v>-796457</v>
      </c>
      <c r="G37" s="1187">
        <v>0</v>
      </c>
      <c r="H37" s="1168">
        <v>114092819</v>
      </c>
      <c r="I37" s="1168">
        <v>118370171</v>
      </c>
      <c r="J37" s="1157"/>
      <c r="K37" s="1187">
        <v>-5073809</v>
      </c>
      <c r="L37" s="1157"/>
      <c r="M37" s="1168">
        <v>181201019</v>
      </c>
      <c r="N37" s="1157"/>
      <c r="O37" s="1157"/>
      <c r="P37" s="1168">
        <v>-67108199</v>
      </c>
    </row>
    <row r="38" spans="1:16">
      <c r="A38" s="1329" t="s">
        <v>5719</v>
      </c>
      <c r="B38" s="1204"/>
      <c r="C38" s="1157"/>
      <c r="D38" s="1157"/>
      <c r="E38" s="1157"/>
      <c r="F38" s="1187">
        <v>0</v>
      </c>
      <c r="G38" s="1187">
        <v>0</v>
      </c>
      <c r="H38" s="1157"/>
      <c r="I38" s="1157"/>
      <c r="J38" s="1157"/>
      <c r="K38" s="1187">
        <v>0</v>
      </c>
      <c r="L38" s="1157"/>
      <c r="M38" s="1157"/>
      <c r="N38" s="1157"/>
      <c r="O38" s="1157"/>
      <c r="P38" s="1157"/>
    </row>
    <row r="39" spans="1:16">
      <c r="A39" s="1329" t="s">
        <v>5376</v>
      </c>
      <c r="B39" s="1257" t="s">
        <v>5720</v>
      </c>
      <c r="C39" s="1330"/>
      <c r="D39" s="1330"/>
      <c r="E39" s="1330"/>
      <c r="F39" s="1187">
        <v>-796457</v>
      </c>
      <c r="G39" s="1187">
        <v>0</v>
      </c>
      <c r="H39" s="1187">
        <v>114092819</v>
      </c>
      <c r="I39" s="1187">
        <v>118370171</v>
      </c>
      <c r="J39" s="1187">
        <v>0</v>
      </c>
      <c r="K39" s="1187">
        <v>-5073809</v>
      </c>
      <c r="L39" s="1187">
        <v>0</v>
      </c>
      <c r="M39" s="1171">
        <v>181201019</v>
      </c>
      <c r="N39" s="1187">
        <v>0</v>
      </c>
      <c r="O39" s="1187">
        <v>0</v>
      </c>
      <c r="P39" s="1187">
        <v>-67108199</v>
      </c>
    </row>
    <row r="40" spans="1:16">
      <c r="A40" s="1329" t="s">
        <v>5721</v>
      </c>
      <c r="B40" s="1157" t="s">
        <v>5722</v>
      </c>
      <c r="C40" s="1157" t="s">
        <v>5723</v>
      </c>
      <c r="D40" s="1157" t="s">
        <v>5693</v>
      </c>
      <c r="E40" s="1168">
        <v>2021</v>
      </c>
      <c r="F40" s="1187">
        <v>28621012</v>
      </c>
      <c r="G40" s="1187">
        <v>0</v>
      </c>
      <c r="H40" s="1168">
        <v>161616068</v>
      </c>
      <c r="I40" s="1168">
        <v>160672685</v>
      </c>
      <c r="J40" s="1157"/>
      <c r="K40" s="1187">
        <v>29564395</v>
      </c>
      <c r="L40" s="1157"/>
      <c r="M40" s="1168">
        <v>104687355</v>
      </c>
      <c r="N40" s="1157"/>
      <c r="O40" s="1157"/>
      <c r="P40" s="1168">
        <v>56928713</v>
      </c>
    </row>
    <row r="41" spans="1:16">
      <c r="A41" s="1329" t="s">
        <v>5724</v>
      </c>
      <c r="B41" s="1157"/>
      <c r="C41" s="1157"/>
      <c r="D41" s="1157"/>
      <c r="E41" s="1157"/>
      <c r="F41" s="1187">
        <v>0</v>
      </c>
      <c r="G41" s="1187">
        <v>0</v>
      </c>
      <c r="H41" s="1157"/>
      <c r="I41" s="1157"/>
      <c r="J41" s="1157"/>
      <c r="K41" s="1187">
        <v>0</v>
      </c>
      <c r="L41" s="1157"/>
      <c r="M41" s="1157"/>
      <c r="N41" s="1157"/>
      <c r="O41" s="1157"/>
      <c r="P41" s="1157"/>
    </row>
    <row r="42" spans="1:16">
      <c r="A42" s="1329" t="s">
        <v>5380</v>
      </c>
      <c r="B42" s="1169" t="s">
        <v>5725</v>
      </c>
      <c r="C42" s="1330"/>
      <c r="D42" s="1330"/>
      <c r="E42" s="1330"/>
      <c r="F42" s="1187">
        <v>28621012</v>
      </c>
      <c r="G42" s="1187">
        <v>0</v>
      </c>
      <c r="H42" s="1187">
        <v>161616068</v>
      </c>
      <c r="I42" s="1187">
        <v>160672685</v>
      </c>
      <c r="J42" s="1187">
        <v>0</v>
      </c>
      <c r="K42" s="1187">
        <v>29564395</v>
      </c>
      <c r="L42" s="1187">
        <v>0</v>
      </c>
      <c r="M42" s="1171">
        <v>104687355</v>
      </c>
      <c r="N42" s="1187">
        <v>0</v>
      </c>
      <c r="O42" s="1187">
        <v>0</v>
      </c>
      <c r="P42" s="1187">
        <v>56928713</v>
      </c>
    </row>
    <row r="43" spans="1:16">
      <c r="A43" s="1329" t="s">
        <v>5726</v>
      </c>
      <c r="B43" s="1157"/>
      <c r="C43" s="1157"/>
      <c r="D43" s="1157"/>
      <c r="E43" s="1157"/>
      <c r="F43" s="1187">
        <v>0</v>
      </c>
      <c r="G43" s="1187">
        <v>0</v>
      </c>
      <c r="H43" s="1157"/>
      <c r="I43" s="1157"/>
      <c r="J43" s="1157"/>
      <c r="K43" s="1187">
        <v>0</v>
      </c>
      <c r="L43" s="1157"/>
      <c r="M43" s="1157"/>
      <c r="N43" s="1157"/>
      <c r="O43" s="1157"/>
      <c r="P43" s="1157"/>
    </row>
    <row r="44" spans="1:16">
      <c r="A44" s="1329" t="s">
        <v>5727</v>
      </c>
      <c r="B44" s="1157"/>
      <c r="C44" s="1157"/>
      <c r="D44" s="1157"/>
      <c r="E44" s="1157"/>
      <c r="F44" s="1187">
        <v>0</v>
      </c>
      <c r="G44" s="1187">
        <v>0</v>
      </c>
      <c r="H44" s="1157"/>
      <c r="I44" s="1157"/>
      <c r="J44" s="1157"/>
      <c r="K44" s="1187">
        <v>0</v>
      </c>
      <c r="L44" s="1157"/>
      <c r="M44" s="1157"/>
      <c r="N44" s="1157"/>
      <c r="O44" s="1157"/>
      <c r="P44" s="1157"/>
    </row>
    <row r="45" spans="1:16">
      <c r="A45" s="1329" t="s">
        <v>5384</v>
      </c>
      <c r="B45" s="1157" t="s">
        <v>5728</v>
      </c>
      <c r="C45" s="1330"/>
      <c r="D45" s="1330"/>
      <c r="E45" s="1330"/>
      <c r="F45" s="1187">
        <v>0</v>
      </c>
      <c r="G45" s="1187">
        <v>0</v>
      </c>
      <c r="H45" s="1187">
        <v>0</v>
      </c>
      <c r="I45" s="1187">
        <v>0</v>
      </c>
      <c r="J45" s="1187">
        <v>0</v>
      </c>
      <c r="K45" s="1187">
        <v>0</v>
      </c>
      <c r="L45" s="1187">
        <v>0</v>
      </c>
      <c r="M45" s="1187">
        <v>0</v>
      </c>
      <c r="N45" s="1187">
        <v>0</v>
      </c>
      <c r="O45" s="1187">
        <v>0</v>
      </c>
      <c r="P45" s="1187">
        <v>0</v>
      </c>
    </row>
    <row r="46" spans="1:16">
      <c r="A46" s="1329" t="s">
        <v>5729</v>
      </c>
      <c r="B46" s="1157"/>
      <c r="C46" s="1157"/>
      <c r="D46" s="1157"/>
      <c r="E46" s="1157"/>
      <c r="F46" s="1187">
        <v>0</v>
      </c>
      <c r="G46" s="1187">
        <v>0</v>
      </c>
      <c r="H46" s="1157"/>
      <c r="I46" s="1157"/>
      <c r="J46" s="1157"/>
      <c r="K46" s="1187">
        <v>0</v>
      </c>
      <c r="L46" s="1157"/>
      <c r="M46" s="1157"/>
      <c r="N46" s="1157"/>
      <c r="O46" s="1157"/>
      <c r="P46" s="1157"/>
    </row>
    <row r="47" spans="1:16">
      <c r="A47" s="1329" t="s">
        <v>5730</v>
      </c>
      <c r="B47" s="1157"/>
      <c r="C47" s="1157"/>
      <c r="D47" s="1157"/>
      <c r="E47" s="1157"/>
      <c r="F47" s="1187">
        <v>0</v>
      </c>
      <c r="G47" s="1187">
        <v>0</v>
      </c>
      <c r="H47" s="1157"/>
      <c r="I47" s="1157"/>
      <c r="J47" s="1157"/>
      <c r="K47" s="1187">
        <v>0</v>
      </c>
      <c r="L47" s="1157"/>
      <c r="M47" s="1157"/>
      <c r="N47" s="1157"/>
      <c r="O47" s="1157"/>
      <c r="P47" s="1157"/>
    </row>
    <row r="48" spans="1:16">
      <c r="A48" s="1329" t="s">
        <v>5388</v>
      </c>
      <c r="B48" s="1157" t="s">
        <v>5731</v>
      </c>
      <c r="C48" s="1330"/>
      <c r="D48" s="1330"/>
      <c r="E48" s="1330"/>
      <c r="F48" s="1187">
        <v>0</v>
      </c>
      <c r="G48" s="1187">
        <v>0</v>
      </c>
      <c r="H48" s="1187">
        <v>0</v>
      </c>
      <c r="I48" s="1187">
        <v>0</v>
      </c>
      <c r="J48" s="1187">
        <v>0</v>
      </c>
      <c r="K48" s="1187">
        <v>0</v>
      </c>
      <c r="L48" s="1187">
        <v>0</v>
      </c>
      <c r="M48" s="1187">
        <v>0</v>
      </c>
      <c r="N48" s="1187">
        <v>0</v>
      </c>
      <c r="O48" s="1187">
        <v>0</v>
      </c>
      <c r="P48" s="1187">
        <v>0</v>
      </c>
    </row>
    <row r="49" spans="1:16">
      <c r="A49" s="1329" t="s">
        <v>5732</v>
      </c>
      <c r="B49" s="1157"/>
      <c r="C49" s="1157"/>
      <c r="D49" s="1157"/>
      <c r="E49" s="1157"/>
      <c r="F49" s="1187">
        <v>0</v>
      </c>
      <c r="G49" s="1187">
        <v>0</v>
      </c>
      <c r="H49" s="1157"/>
      <c r="I49" s="1157"/>
      <c r="J49" s="1157"/>
      <c r="K49" s="1187">
        <v>0</v>
      </c>
      <c r="L49" s="1157"/>
      <c r="M49" s="1157"/>
      <c r="N49" s="1157"/>
      <c r="O49" s="1157"/>
      <c r="P49" s="1157"/>
    </row>
    <row r="50" spans="1:16">
      <c r="A50" s="1329" t="s">
        <v>5733</v>
      </c>
      <c r="B50" s="1157"/>
      <c r="C50" s="1157"/>
      <c r="D50" s="1157"/>
      <c r="E50" s="1157"/>
      <c r="F50" s="1187">
        <v>0</v>
      </c>
      <c r="G50" s="1187">
        <v>0</v>
      </c>
      <c r="H50" s="1157"/>
      <c r="I50" s="1157"/>
      <c r="J50" s="1157"/>
      <c r="K50" s="1187">
        <v>0</v>
      </c>
      <c r="L50" s="1157"/>
      <c r="M50" s="1157"/>
      <c r="N50" s="1157"/>
      <c r="O50" s="1157"/>
      <c r="P50" s="1157"/>
    </row>
    <row r="51" spans="1:16">
      <c r="A51" s="1329" t="s">
        <v>5392</v>
      </c>
      <c r="B51" s="1157" t="s">
        <v>5734</v>
      </c>
      <c r="C51" s="1330"/>
      <c r="D51" s="1330"/>
      <c r="E51" s="1330"/>
      <c r="F51" s="1187">
        <v>0</v>
      </c>
      <c r="G51" s="1187">
        <v>0</v>
      </c>
      <c r="H51" s="1187">
        <v>0</v>
      </c>
      <c r="I51" s="1187">
        <v>0</v>
      </c>
      <c r="J51" s="1187">
        <v>0</v>
      </c>
      <c r="K51" s="1187">
        <v>0</v>
      </c>
      <c r="L51" s="1187">
        <v>0</v>
      </c>
      <c r="M51" s="1187">
        <v>0</v>
      </c>
      <c r="N51" s="1187">
        <v>0</v>
      </c>
      <c r="O51" s="1187">
        <v>0</v>
      </c>
      <c r="P51" s="1187">
        <v>0</v>
      </c>
    </row>
    <row r="52" spans="1:16">
      <c r="A52" s="1329" t="s">
        <v>5735</v>
      </c>
      <c r="B52" s="1157"/>
      <c r="C52" s="1157"/>
      <c r="D52" s="1157"/>
      <c r="E52" s="1157"/>
      <c r="F52" s="1187">
        <v>0</v>
      </c>
      <c r="G52" s="1187">
        <v>0</v>
      </c>
      <c r="H52" s="1157"/>
      <c r="I52" s="1157"/>
      <c r="J52" s="1157"/>
      <c r="K52" s="1187">
        <v>0</v>
      </c>
      <c r="L52" s="1157"/>
      <c r="M52" s="1157"/>
      <c r="N52" s="1157"/>
      <c r="O52" s="1157"/>
      <c r="P52" s="1157"/>
    </row>
    <row r="53" spans="1:16">
      <c r="A53" s="1329" t="s">
        <v>5736</v>
      </c>
      <c r="B53" s="1157"/>
      <c r="C53" s="1157"/>
      <c r="D53" s="1157"/>
      <c r="E53" s="1157"/>
      <c r="F53" s="1187">
        <v>0</v>
      </c>
      <c r="G53" s="1187">
        <v>0</v>
      </c>
      <c r="H53" s="1157"/>
      <c r="I53" s="1157"/>
      <c r="J53" s="1157"/>
      <c r="K53" s="1187">
        <v>0</v>
      </c>
      <c r="L53" s="1157"/>
      <c r="M53" s="1157"/>
      <c r="N53" s="1157"/>
      <c r="O53" s="1157"/>
      <c r="P53" s="1157"/>
    </row>
    <row r="54" spans="1:16">
      <c r="A54" s="1329" t="s">
        <v>5396</v>
      </c>
      <c r="B54" s="1157" t="s">
        <v>5737</v>
      </c>
      <c r="C54" s="1330"/>
      <c r="D54" s="1330"/>
      <c r="E54" s="1330"/>
      <c r="F54" s="1187">
        <v>0</v>
      </c>
      <c r="G54" s="1187">
        <v>0</v>
      </c>
      <c r="H54" s="1187">
        <v>0</v>
      </c>
      <c r="I54" s="1187">
        <v>0</v>
      </c>
      <c r="J54" s="1187">
        <v>0</v>
      </c>
      <c r="K54" s="1187">
        <v>0</v>
      </c>
      <c r="L54" s="1187">
        <v>0</v>
      </c>
      <c r="M54" s="1187">
        <v>0</v>
      </c>
      <c r="N54" s="1187">
        <v>0</v>
      </c>
      <c r="O54" s="1187">
        <v>0</v>
      </c>
      <c r="P54" s="1187">
        <v>0</v>
      </c>
    </row>
    <row r="55" spans="1:16">
      <c r="A55" s="1329" t="s">
        <v>5738</v>
      </c>
      <c r="B55" s="1157"/>
      <c r="C55" s="1157"/>
      <c r="D55" s="1157"/>
      <c r="E55" s="1157"/>
      <c r="F55" s="1187">
        <v>0</v>
      </c>
      <c r="G55" s="1187">
        <v>0</v>
      </c>
      <c r="H55" s="1157"/>
      <c r="I55" s="1157"/>
      <c r="J55" s="1157"/>
      <c r="K55" s="1187">
        <v>0</v>
      </c>
      <c r="L55" s="1157"/>
      <c r="M55" s="1157"/>
      <c r="N55" s="1157"/>
      <c r="O55" s="1157"/>
      <c r="P55" s="1157"/>
    </row>
    <row r="56" spans="1:16">
      <c r="A56" s="1329" t="s">
        <v>5739</v>
      </c>
      <c r="B56" s="1157"/>
      <c r="C56" s="1157"/>
      <c r="D56" s="1157"/>
      <c r="E56" s="1157"/>
      <c r="F56" s="1187">
        <v>0</v>
      </c>
      <c r="G56" s="1187">
        <v>0</v>
      </c>
      <c r="H56" s="1157"/>
      <c r="I56" s="1157"/>
      <c r="J56" s="1157"/>
      <c r="K56" s="1187">
        <v>0</v>
      </c>
      <c r="L56" s="1157"/>
      <c r="M56" s="1157"/>
      <c r="N56" s="1157"/>
      <c r="O56" s="1157"/>
      <c r="P56" s="1157"/>
    </row>
    <row r="57" spans="1:16">
      <c r="A57" s="1329" t="s">
        <v>5400</v>
      </c>
      <c r="B57" s="1157" t="s">
        <v>5740</v>
      </c>
      <c r="C57" s="1330"/>
      <c r="D57" s="1330"/>
      <c r="E57" s="1330"/>
      <c r="F57" s="1187">
        <v>0</v>
      </c>
      <c r="G57" s="1187">
        <v>0</v>
      </c>
      <c r="H57" s="1187">
        <v>0</v>
      </c>
      <c r="I57" s="1187">
        <v>0</v>
      </c>
      <c r="J57" s="1187">
        <v>0</v>
      </c>
      <c r="K57" s="1187">
        <v>0</v>
      </c>
      <c r="L57" s="1187">
        <v>0</v>
      </c>
      <c r="M57" s="1171">
        <v>0</v>
      </c>
      <c r="N57" s="1187">
        <v>0</v>
      </c>
      <c r="O57" s="1187">
        <v>0</v>
      </c>
      <c r="P57" s="1187">
        <v>0</v>
      </c>
    </row>
    <row r="58" spans="1:16">
      <c r="A58" s="1329" t="s">
        <v>5741</v>
      </c>
      <c r="B58" s="1157"/>
      <c r="C58" s="1157"/>
      <c r="D58" s="1157"/>
      <c r="E58" s="1157"/>
      <c r="F58" s="1187">
        <v>0</v>
      </c>
      <c r="G58" s="1187">
        <v>0</v>
      </c>
      <c r="H58" s="1157"/>
      <c r="I58" s="1157"/>
      <c r="J58" s="1157"/>
      <c r="K58" s="1187">
        <v>0</v>
      </c>
      <c r="L58" s="1157"/>
      <c r="M58" s="1157"/>
      <c r="N58" s="1157"/>
      <c r="O58" s="1157"/>
      <c r="P58" s="1157"/>
    </row>
    <row r="59" spans="1:16">
      <c r="A59" s="1329" t="s">
        <v>5742</v>
      </c>
      <c r="B59" s="1157"/>
      <c r="C59" s="1157"/>
      <c r="D59" s="1157"/>
      <c r="E59" s="1157"/>
      <c r="F59" s="1187">
        <v>0</v>
      </c>
      <c r="G59" s="1187">
        <v>0</v>
      </c>
      <c r="H59" s="1157"/>
      <c r="I59" s="1157"/>
      <c r="J59" s="1157"/>
      <c r="K59" s="1187">
        <v>0</v>
      </c>
      <c r="L59" s="1157"/>
      <c r="M59" s="1157"/>
      <c r="N59" s="1157"/>
      <c r="O59" s="1157"/>
      <c r="P59" s="1157"/>
    </row>
    <row r="60" spans="1:16">
      <c r="A60" s="1329" t="s">
        <v>5404</v>
      </c>
      <c r="B60" s="1157" t="s">
        <v>5743</v>
      </c>
      <c r="C60" s="1330"/>
      <c r="D60" s="1330"/>
      <c r="E60" s="1330"/>
      <c r="F60" s="1187">
        <v>0</v>
      </c>
      <c r="G60" s="1187">
        <v>0</v>
      </c>
      <c r="H60" s="1187">
        <v>0</v>
      </c>
      <c r="I60" s="1187">
        <v>0</v>
      </c>
      <c r="J60" s="1187">
        <v>0</v>
      </c>
      <c r="K60" s="1187">
        <v>0</v>
      </c>
      <c r="L60" s="1187">
        <v>0</v>
      </c>
      <c r="M60" s="1187">
        <v>0</v>
      </c>
      <c r="N60" s="1187">
        <v>0</v>
      </c>
      <c r="O60" s="1187">
        <v>0</v>
      </c>
      <c r="P60" s="1187">
        <v>0</v>
      </c>
    </row>
    <row r="61" spans="1:16">
      <c r="A61" s="1329" t="s">
        <v>5744</v>
      </c>
      <c r="B61" s="1157"/>
      <c r="C61" s="1157"/>
      <c r="D61" s="1157"/>
      <c r="E61" s="1157"/>
      <c r="F61" s="1187">
        <v>0</v>
      </c>
      <c r="G61" s="1187">
        <v>0</v>
      </c>
      <c r="H61" s="1157"/>
      <c r="I61" s="1157"/>
      <c r="J61" s="1157"/>
      <c r="K61" s="1187">
        <v>0</v>
      </c>
      <c r="L61" s="1157"/>
      <c r="M61" s="1157"/>
      <c r="N61" s="1157"/>
      <c r="O61" s="1157"/>
      <c r="P61" s="1157"/>
    </row>
    <row r="62" spans="1:16">
      <c r="A62" s="1329" t="s">
        <v>5745</v>
      </c>
      <c r="B62" s="1157"/>
      <c r="C62" s="1157"/>
      <c r="D62" s="1157"/>
      <c r="E62" s="1157"/>
      <c r="F62" s="1187">
        <v>0</v>
      </c>
      <c r="G62" s="1187">
        <v>0</v>
      </c>
      <c r="H62" s="1157"/>
      <c r="I62" s="1157"/>
      <c r="J62" s="1157"/>
      <c r="K62" s="1187">
        <v>0</v>
      </c>
      <c r="L62" s="1157"/>
      <c r="M62" s="1157"/>
      <c r="N62" s="1157"/>
      <c r="O62" s="1157"/>
      <c r="P62" s="1157"/>
    </row>
    <row r="63" spans="1:16">
      <c r="A63" s="1329" t="s">
        <v>5408</v>
      </c>
      <c r="B63" s="1157" t="s">
        <v>5746</v>
      </c>
      <c r="C63" s="1330"/>
      <c r="D63" s="1330"/>
      <c r="E63" s="1330"/>
      <c r="F63" s="1187">
        <v>0</v>
      </c>
      <c r="G63" s="1187">
        <v>0</v>
      </c>
      <c r="H63" s="1187">
        <v>0</v>
      </c>
      <c r="I63" s="1187">
        <v>0</v>
      </c>
      <c r="J63" s="1187">
        <v>0</v>
      </c>
      <c r="K63" s="1187">
        <v>0</v>
      </c>
      <c r="L63" s="1187">
        <v>0</v>
      </c>
      <c r="M63" s="1187">
        <v>0</v>
      </c>
      <c r="N63" s="1187">
        <v>0</v>
      </c>
      <c r="O63" s="1187">
        <v>0</v>
      </c>
      <c r="P63" s="1187">
        <v>0</v>
      </c>
    </row>
    <row r="64" spans="1:16">
      <c r="A64" s="1329" t="s">
        <v>5747</v>
      </c>
      <c r="B64" s="1157"/>
      <c r="C64" s="1157"/>
      <c r="D64" s="1157"/>
      <c r="E64" s="1157"/>
      <c r="F64" s="1187">
        <v>0</v>
      </c>
      <c r="G64" s="1187">
        <v>0</v>
      </c>
      <c r="H64" s="1157"/>
      <c r="I64" s="1157"/>
      <c r="J64" s="1157"/>
      <c r="K64" s="1187">
        <v>0</v>
      </c>
      <c r="L64" s="1157"/>
      <c r="M64" s="1157"/>
      <c r="N64" s="1157"/>
      <c r="O64" s="1157"/>
      <c r="P64" s="1157"/>
    </row>
    <row r="65" spans="1:16">
      <c r="A65" s="1329" t="s">
        <v>5748</v>
      </c>
      <c r="B65" s="1157"/>
      <c r="C65" s="1157"/>
      <c r="D65" s="1157"/>
      <c r="E65" s="1157"/>
      <c r="F65" s="1187">
        <v>0</v>
      </c>
      <c r="G65" s="1187">
        <v>0</v>
      </c>
      <c r="H65" s="1157"/>
      <c r="I65" s="1157"/>
      <c r="J65" s="1157"/>
      <c r="K65" s="1187">
        <v>0</v>
      </c>
      <c r="L65" s="1157"/>
      <c r="M65" s="1157"/>
      <c r="N65" s="1157"/>
      <c r="O65" s="1157"/>
      <c r="P65" s="1157"/>
    </row>
    <row r="66" spans="1:16">
      <c r="A66" s="1329" t="s">
        <v>5412</v>
      </c>
      <c r="B66" s="1157" t="s">
        <v>5749</v>
      </c>
      <c r="C66" s="1330"/>
      <c r="D66" s="1330"/>
      <c r="E66" s="1330"/>
      <c r="F66" s="1187">
        <v>0</v>
      </c>
      <c r="G66" s="1187">
        <v>0</v>
      </c>
      <c r="H66" s="1187">
        <v>0</v>
      </c>
      <c r="I66" s="1187">
        <v>0</v>
      </c>
      <c r="J66" s="1187">
        <v>0</v>
      </c>
      <c r="K66" s="1187">
        <v>0</v>
      </c>
      <c r="L66" s="1187">
        <v>0</v>
      </c>
      <c r="M66" s="1187">
        <v>0</v>
      </c>
      <c r="N66" s="1187">
        <v>0</v>
      </c>
      <c r="O66" s="1187">
        <v>0</v>
      </c>
      <c r="P66" s="1187">
        <v>0</v>
      </c>
    </row>
    <row r="67" spans="1:16">
      <c r="A67" s="1329" t="s">
        <v>5750</v>
      </c>
      <c r="B67" s="1157"/>
      <c r="C67" s="1157"/>
      <c r="D67" s="1157"/>
      <c r="E67" s="1157"/>
      <c r="F67" s="1187">
        <v>0</v>
      </c>
      <c r="G67" s="1187">
        <v>0</v>
      </c>
      <c r="H67" s="1157"/>
      <c r="I67" s="1157"/>
      <c r="J67" s="1157"/>
      <c r="K67" s="1187">
        <v>0</v>
      </c>
      <c r="L67" s="1157"/>
      <c r="M67" s="1157"/>
      <c r="N67" s="1157"/>
      <c r="O67" s="1157"/>
      <c r="P67" s="1157"/>
    </row>
    <row r="68" spans="1:16">
      <c r="A68" s="1329" t="s">
        <v>5751</v>
      </c>
      <c r="B68" s="1157"/>
      <c r="C68" s="1157"/>
      <c r="D68" s="1157"/>
      <c r="E68" s="1157"/>
      <c r="F68" s="1187">
        <v>0</v>
      </c>
      <c r="G68" s="1187">
        <v>0</v>
      </c>
      <c r="H68" s="1157"/>
      <c r="I68" s="1157"/>
      <c r="J68" s="1157"/>
      <c r="K68" s="1187">
        <v>0</v>
      </c>
      <c r="L68" s="1157"/>
      <c r="M68" s="1157"/>
      <c r="N68" s="1157"/>
      <c r="O68" s="1157"/>
      <c r="P68" s="1157"/>
    </row>
    <row r="69" spans="1:16">
      <c r="A69" s="1329" t="s">
        <v>5416</v>
      </c>
      <c r="B69" s="1157" t="s">
        <v>5752</v>
      </c>
      <c r="C69" s="1330"/>
      <c r="D69" s="1330"/>
      <c r="E69" s="1330"/>
      <c r="F69" s="1187">
        <v>0</v>
      </c>
      <c r="G69" s="1187">
        <v>0</v>
      </c>
      <c r="H69" s="1187">
        <v>0</v>
      </c>
      <c r="I69" s="1187">
        <v>0</v>
      </c>
      <c r="J69" s="1187">
        <v>0</v>
      </c>
      <c r="K69" s="1187">
        <v>0</v>
      </c>
      <c r="L69" s="1187">
        <v>0</v>
      </c>
      <c r="M69" s="1187">
        <v>0</v>
      </c>
      <c r="N69" s="1187">
        <v>0</v>
      </c>
      <c r="O69" s="1187">
        <v>0</v>
      </c>
      <c r="P69" s="1187">
        <v>0</v>
      </c>
    </row>
    <row r="70" spans="1:16">
      <c r="A70" s="1329" t="s">
        <v>5753</v>
      </c>
      <c r="B70" s="1157"/>
      <c r="C70" s="1157"/>
      <c r="D70" s="1157"/>
      <c r="E70" s="1157"/>
      <c r="F70" s="1187">
        <v>0</v>
      </c>
      <c r="G70" s="1187">
        <v>0</v>
      </c>
      <c r="H70" s="1157"/>
      <c r="I70" s="1157"/>
      <c r="J70" s="1157"/>
      <c r="K70" s="1187">
        <v>0</v>
      </c>
      <c r="L70" s="1157"/>
      <c r="M70" s="1157"/>
      <c r="N70" s="1157"/>
      <c r="O70" s="1157"/>
      <c r="P70" s="1157"/>
    </row>
    <row r="71" spans="1:16">
      <c r="A71" s="1329" t="s">
        <v>5754</v>
      </c>
      <c r="B71" s="1157"/>
      <c r="C71" s="1157"/>
      <c r="D71" s="1157"/>
      <c r="E71" s="1157"/>
      <c r="F71" s="1187">
        <v>0</v>
      </c>
      <c r="G71" s="1187">
        <v>0</v>
      </c>
      <c r="H71" s="1157"/>
      <c r="I71" s="1157"/>
      <c r="J71" s="1157"/>
      <c r="K71" s="1187">
        <v>0</v>
      </c>
      <c r="L71" s="1157"/>
      <c r="M71" s="1157"/>
      <c r="N71" s="1157"/>
      <c r="O71" s="1157"/>
      <c r="P71" s="1157"/>
    </row>
    <row r="72" spans="1:16">
      <c r="A72" s="1329" t="s">
        <v>5420</v>
      </c>
      <c r="B72" s="1157" t="s">
        <v>5755</v>
      </c>
      <c r="C72" s="1330"/>
      <c r="D72" s="1330"/>
      <c r="E72" s="1330"/>
      <c r="F72" s="1187">
        <v>0</v>
      </c>
      <c r="G72" s="1187">
        <v>0</v>
      </c>
      <c r="H72" s="1187">
        <v>0</v>
      </c>
      <c r="I72" s="1187">
        <v>0</v>
      </c>
      <c r="J72" s="1187">
        <v>0</v>
      </c>
      <c r="K72" s="1187">
        <v>0</v>
      </c>
      <c r="L72" s="1187">
        <v>0</v>
      </c>
      <c r="M72" s="1187">
        <v>0</v>
      </c>
      <c r="N72" s="1187">
        <v>0</v>
      </c>
      <c r="O72" s="1187">
        <v>0</v>
      </c>
      <c r="P72" s="1187">
        <v>0</v>
      </c>
    </row>
    <row r="73" spans="1:16">
      <c r="A73" s="1329" t="s">
        <v>5756</v>
      </c>
      <c r="B73" s="1157" t="s">
        <v>5757</v>
      </c>
      <c r="C73" s="1157" t="s">
        <v>5758</v>
      </c>
      <c r="D73" s="1157" t="s">
        <v>5759</v>
      </c>
      <c r="E73" s="1168">
        <v>2021</v>
      </c>
      <c r="F73" s="1187">
        <v>4346</v>
      </c>
      <c r="G73" s="1187">
        <v>0</v>
      </c>
      <c r="H73" s="1168">
        <v>32563727</v>
      </c>
      <c r="I73" s="1168">
        <v>32565812</v>
      </c>
      <c r="J73" s="1157"/>
      <c r="K73" s="1187">
        <v>2261</v>
      </c>
      <c r="L73" s="1157"/>
      <c r="M73" s="1168">
        <v>10966229</v>
      </c>
      <c r="N73" s="1157"/>
      <c r="O73" s="1157"/>
      <c r="P73" s="1168">
        <v>21597499</v>
      </c>
    </row>
    <row r="74" spans="1:16">
      <c r="A74" s="1329" t="s">
        <v>5760</v>
      </c>
      <c r="B74" s="1157"/>
      <c r="C74" s="1157"/>
      <c r="D74" s="1157"/>
      <c r="E74" s="1157"/>
      <c r="F74" s="1187">
        <v>0</v>
      </c>
      <c r="G74" s="1187">
        <v>0</v>
      </c>
      <c r="H74" s="1157"/>
      <c r="I74" s="1157"/>
      <c r="J74" s="1157"/>
      <c r="K74" s="1187">
        <v>0</v>
      </c>
      <c r="L74" s="1157"/>
      <c r="M74" s="1157"/>
      <c r="N74" s="1157"/>
      <c r="O74" s="1157"/>
      <c r="P74" s="1157"/>
    </row>
    <row r="75" spans="1:16">
      <c r="A75" s="1329" t="s">
        <v>5424</v>
      </c>
      <c r="B75" s="1157" t="s">
        <v>5761</v>
      </c>
      <c r="C75" s="1330"/>
      <c r="D75" s="1330"/>
      <c r="E75" s="1330"/>
      <c r="F75" s="1187">
        <v>4346</v>
      </c>
      <c r="G75" s="1187">
        <v>0</v>
      </c>
      <c r="H75" s="1187">
        <v>32563727</v>
      </c>
      <c r="I75" s="1187">
        <v>32565812</v>
      </c>
      <c r="J75" s="1187">
        <v>0</v>
      </c>
      <c r="K75" s="1187">
        <v>2261</v>
      </c>
      <c r="L75" s="1187">
        <v>0</v>
      </c>
      <c r="M75" s="1171">
        <v>10966229</v>
      </c>
      <c r="N75" s="1187">
        <v>0</v>
      </c>
      <c r="O75" s="1187">
        <v>0</v>
      </c>
      <c r="P75" s="1187">
        <v>21597499</v>
      </c>
    </row>
    <row r="76" spans="1:16">
      <c r="A76" s="1329" t="s">
        <v>5762</v>
      </c>
      <c r="B76" s="1157"/>
      <c r="C76" s="1157"/>
      <c r="D76" s="1157"/>
      <c r="E76" s="1157"/>
      <c r="F76" s="1187">
        <v>0</v>
      </c>
      <c r="G76" s="1187">
        <v>0</v>
      </c>
      <c r="H76" s="1157"/>
      <c r="I76" s="1157"/>
      <c r="J76" s="1157"/>
      <c r="K76" s="1187">
        <v>0</v>
      </c>
      <c r="L76" s="1157"/>
      <c r="M76" s="1157"/>
      <c r="N76" s="1157"/>
      <c r="O76" s="1157"/>
      <c r="P76" s="1157"/>
    </row>
    <row r="77" spans="1:16">
      <c r="A77" s="1329" t="s">
        <v>5763</v>
      </c>
      <c r="B77" s="1157"/>
      <c r="C77" s="1157"/>
      <c r="D77" s="1157"/>
      <c r="E77" s="1157"/>
      <c r="F77" s="1187">
        <v>0</v>
      </c>
      <c r="G77" s="1187">
        <v>0</v>
      </c>
      <c r="H77" s="1157"/>
      <c r="I77" s="1157"/>
      <c r="J77" s="1157"/>
      <c r="K77" s="1187">
        <v>0</v>
      </c>
      <c r="L77" s="1157"/>
      <c r="M77" s="1157"/>
      <c r="N77" s="1157"/>
      <c r="O77" s="1157"/>
      <c r="P77" s="1157"/>
    </row>
    <row r="78" spans="1:16">
      <c r="A78" s="1329" t="s">
        <v>5428</v>
      </c>
      <c r="B78" s="1157" t="s">
        <v>5764</v>
      </c>
      <c r="C78" s="1330"/>
      <c r="D78" s="1330"/>
      <c r="E78" s="1330"/>
      <c r="F78" s="1187">
        <v>0</v>
      </c>
      <c r="G78" s="1187">
        <v>0</v>
      </c>
      <c r="H78" s="1187">
        <v>0</v>
      </c>
      <c r="I78" s="1187">
        <v>0</v>
      </c>
      <c r="J78" s="1187">
        <v>0</v>
      </c>
      <c r="K78" s="1187">
        <v>0</v>
      </c>
      <c r="L78" s="1187">
        <v>0</v>
      </c>
      <c r="M78" s="1187">
        <v>0</v>
      </c>
      <c r="N78" s="1187">
        <v>0</v>
      </c>
      <c r="O78" s="1187">
        <v>0</v>
      </c>
      <c r="P78" s="1187">
        <v>0</v>
      </c>
    </row>
    <row r="79" spans="1:16">
      <c r="A79" s="1329" t="s">
        <v>5765</v>
      </c>
      <c r="B79" s="1157"/>
      <c r="C79" s="1157"/>
      <c r="D79" s="1157"/>
      <c r="E79" s="1157"/>
      <c r="F79" s="1187">
        <v>0</v>
      </c>
      <c r="G79" s="1187">
        <v>0</v>
      </c>
      <c r="H79" s="1157"/>
      <c r="I79" s="1157"/>
      <c r="J79" s="1157"/>
      <c r="K79" s="1187">
        <v>0</v>
      </c>
      <c r="L79" s="1157"/>
      <c r="M79" s="1157"/>
      <c r="N79" s="1157"/>
      <c r="O79" s="1157"/>
      <c r="P79" s="1157"/>
    </row>
    <row r="80" spans="1:16">
      <c r="A80" s="1329" t="s">
        <v>5766</v>
      </c>
      <c r="B80" s="1157"/>
      <c r="C80" s="1157"/>
      <c r="D80" s="1157"/>
      <c r="E80" s="1157"/>
      <c r="F80" s="1187">
        <v>0</v>
      </c>
      <c r="G80" s="1187">
        <v>0</v>
      </c>
      <c r="H80" s="1157"/>
      <c r="I80" s="1157"/>
      <c r="J80" s="1157"/>
      <c r="K80" s="1187">
        <v>0</v>
      </c>
      <c r="L80" s="1157"/>
      <c r="M80" s="1157"/>
      <c r="N80" s="1157"/>
      <c r="O80" s="1157"/>
      <c r="P80" s="1157"/>
    </row>
    <row r="81" spans="1:16">
      <c r="A81" s="1329" t="s">
        <v>5434</v>
      </c>
      <c r="B81" s="1157" t="s">
        <v>5767</v>
      </c>
      <c r="C81" s="1330"/>
      <c r="D81" s="1330"/>
      <c r="E81" s="1330"/>
      <c r="F81" s="1187">
        <v>0</v>
      </c>
      <c r="G81" s="1187">
        <v>0</v>
      </c>
      <c r="H81" s="1187">
        <v>0</v>
      </c>
      <c r="I81" s="1187">
        <v>0</v>
      </c>
      <c r="J81" s="1187">
        <v>0</v>
      </c>
      <c r="K81" s="1187">
        <v>0</v>
      </c>
      <c r="L81" s="1187">
        <v>0</v>
      </c>
      <c r="M81" s="1187">
        <v>0</v>
      </c>
      <c r="N81" s="1187">
        <v>0</v>
      </c>
      <c r="O81" s="1187">
        <v>0</v>
      </c>
      <c r="P81" s="1187">
        <v>0</v>
      </c>
    </row>
    <row r="82" spans="1:16">
      <c r="A82" s="1329" t="s">
        <v>5768</v>
      </c>
      <c r="B82" s="1157"/>
      <c r="C82" s="1157"/>
      <c r="D82" s="1157"/>
      <c r="E82" s="1157"/>
      <c r="F82" s="1187">
        <v>0</v>
      </c>
      <c r="G82" s="1187">
        <v>0</v>
      </c>
      <c r="H82" s="1157"/>
      <c r="I82" s="1157"/>
      <c r="J82" s="1157"/>
      <c r="K82" s="1187">
        <v>0</v>
      </c>
      <c r="L82" s="1157"/>
      <c r="M82" s="1157"/>
      <c r="N82" s="1157"/>
      <c r="O82" s="1157"/>
      <c r="P82" s="1157"/>
    </row>
    <row r="83" spans="1:16">
      <c r="A83" s="1329" t="s">
        <v>5769</v>
      </c>
      <c r="B83" s="1157"/>
      <c r="C83" s="1157"/>
      <c r="D83" s="1157"/>
      <c r="E83" s="1157"/>
      <c r="F83" s="1187">
        <v>0</v>
      </c>
      <c r="G83" s="1187">
        <v>0</v>
      </c>
      <c r="H83" s="1157"/>
      <c r="I83" s="1157"/>
      <c r="J83" s="1157"/>
      <c r="K83" s="1187">
        <v>0</v>
      </c>
      <c r="L83" s="1157"/>
      <c r="M83" s="1157"/>
      <c r="N83" s="1157"/>
      <c r="O83" s="1157"/>
      <c r="P83" s="1157"/>
    </row>
    <row r="84" spans="1:16">
      <c r="A84" s="1329" t="s">
        <v>5441</v>
      </c>
      <c r="B84" s="1157" t="s">
        <v>5770</v>
      </c>
      <c r="C84" s="1330"/>
      <c r="D84" s="1330"/>
      <c r="E84" s="1330"/>
      <c r="F84" s="1187">
        <v>0</v>
      </c>
      <c r="G84" s="1187">
        <v>0</v>
      </c>
      <c r="H84" s="1187">
        <v>0</v>
      </c>
      <c r="I84" s="1187">
        <v>0</v>
      </c>
      <c r="J84" s="1187">
        <v>0</v>
      </c>
      <c r="K84" s="1187">
        <v>0</v>
      </c>
      <c r="L84" s="1187">
        <v>0</v>
      </c>
      <c r="M84" s="1187">
        <v>0</v>
      </c>
      <c r="N84" s="1187">
        <v>0</v>
      </c>
      <c r="O84" s="1187">
        <v>0</v>
      </c>
      <c r="P84" s="1187">
        <v>0</v>
      </c>
    </row>
    <row r="85" spans="1:16">
      <c r="A85" s="1329" t="s">
        <v>5771</v>
      </c>
      <c r="B85" s="1157"/>
      <c r="C85" s="1157"/>
      <c r="D85" s="1157"/>
      <c r="E85" s="1157"/>
      <c r="F85" s="1187">
        <v>0</v>
      </c>
      <c r="G85" s="1187">
        <v>0</v>
      </c>
      <c r="H85" s="1157"/>
      <c r="I85" s="1157"/>
      <c r="J85" s="1157"/>
      <c r="K85" s="1187">
        <v>0</v>
      </c>
      <c r="L85" s="1157"/>
      <c r="M85" s="1157"/>
      <c r="N85" s="1157"/>
      <c r="O85" s="1157"/>
      <c r="P85" s="1157"/>
    </row>
    <row r="86" spans="1:16">
      <c r="A86" s="1329" t="s">
        <v>5772</v>
      </c>
      <c r="B86" s="1157"/>
      <c r="C86" s="1157"/>
      <c r="D86" s="1157"/>
      <c r="E86" s="1157"/>
      <c r="F86" s="1187">
        <v>0</v>
      </c>
      <c r="G86" s="1187">
        <v>0</v>
      </c>
      <c r="H86" s="1157"/>
      <c r="I86" s="1157"/>
      <c r="J86" s="1157"/>
      <c r="K86" s="1187">
        <v>0</v>
      </c>
      <c r="L86" s="1157"/>
      <c r="M86" s="1157"/>
      <c r="N86" s="1157"/>
      <c r="O86" s="1157"/>
      <c r="P86" s="1157"/>
    </row>
    <row r="87" spans="1:16">
      <c r="A87" s="1329" t="s">
        <v>5447</v>
      </c>
      <c r="B87" s="1157" t="s">
        <v>5773</v>
      </c>
      <c r="C87" s="1330"/>
      <c r="D87" s="1330"/>
      <c r="E87" s="1330"/>
      <c r="F87" s="1187">
        <v>0</v>
      </c>
      <c r="G87" s="1187">
        <v>0</v>
      </c>
      <c r="H87" s="1187">
        <v>0</v>
      </c>
      <c r="I87" s="1187">
        <v>0</v>
      </c>
      <c r="J87" s="1187">
        <v>0</v>
      </c>
      <c r="K87" s="1187">
        <v>0</v>
      </c>
      <c r="L87" s="1187">
        <v>0</v>
      </c>
      <c r="M87" s="1187">
        <v>0</v>
      </c>
      <c r="N87" s="1187">
        <v>0</v>
      </c>
      <c r="O87" s="1187">
        <v>0</v>
      </c>
      <c r="P87" s="1187">
        <v>0</v>
      </c>
    </row>
    <row r="88" spans="1:16">
      <c r="A88" s="1329" t="s">
        <v>5774</v>
      </c>
      <c r="B88" s="1157"/>
      <c r="C88" s="1157"/>
      <c r="D88" s="1157"/>
      <c r="E88" s="1157"/>
      <c r="F88" s="1187">
        <v>0</v>
      </c>
      <c r="G88" s="1187">
        <v>0</v>
      </c>
      <c r="H88" s="1157"/>
      <c r="I88" s="1157"/>
      <c r="J88" s="1157"/>
      <c r="K88" s="1187">
        <v>0</v>
      </c>
      <c r="L88" s="1157"/>
      <c r="M88" s="1157"/>
      <c r="N88" s="1157"/>
      <c r="O88" s="1157"/>
      <c r="P88" s="1157"/>
    </row>
    <row r="89" spans="1:16">
      <c r="A89" s="1329" t="s">
        <v>5775</v>
      </c>
      <c r="B89" s="1157"/>
      <c r="C89" s="1157"/>
      <c r="D89" s="1157"/>
      <c r="E89" s="1157"/>
      <c r="F89" s="1187">
        <v>0</v>
      </c>
      <c r="G89" s="1187">
        <v>0</v>
      </c>
      <c r="H89" s="1157"/>
      <c r="I89" s="1157"/>
      <c r="J89" s="1157"/>
      <c r="K89" s="1187">
        <v>0</v>
      </c>
      <c r="L89" s="1157"/>
      <c r="M89" s="1157"/>
      <c r="N89" s="1157"/>
      <c r="O89" s="1157"/>
      <c r="P89" s="1157"/>
    </row>
    <row r="90" spans="1:16">
      <c r="A90" s="1329" t="s">
        <v>5451</v>
      </c>
      <c r="B90" s="1157" t="s">
        <v>5776</v>
      </c>
      <c r="C90" s="1330"/>
      <c r="D90" s="1330"/>
      <c r="E90" s="1330"/>
      <c r="F90" s="1187">
        <v>0</v>
      </c>
      <c r="G90" s="1187">
        <v>0</v>
      </c>
      <c r="H90" s="1187">
        <v>0</v>
      </c>
      <c r="I90" s="1187">
        <v>0</v>
      </c>
      <c r="J90" s="1187">
        <v>0</v>
      </c>
      <c r="K90" s="1187">
        <v>0</v>
      </c>
      <c r="L90" s="1187">
        <v>0</v>
      </c>
      <c r="M90" s="1187">
        <v>0</v>
      </c>
      <c r="N90" s="1187">
        <v>0</v>
      </c>
      <c r="O90" s="1187">
        <v>0</v>
      </c>
      <c r="P90" s="1187">
        <v>0</v>
      </c>
    </row>
    <row r="91" spans="1:16">
      <c r="A91" s="1329" t="s">
        <v>5453</v>
      </c>
      <c r="B91" s="1877" t="s">
        <v>196</v>
      </c>
      <c r="C91" s="1330"/>
      <c r="D91" s="1330"/>
      <c r="E91" s="1330"/>
      <c r="F91" s="1187">
        <v>116472982</v>
      </c>
      <c r="G91" s="1187">
        <v>0</v>
      </c>
      <c r="H91" s="1187">
        <v>529899904</v>
      </c>
      <c r="I91" s="1187">
        <v>548117857</v>
      </c>
      <c r="J91" s="1187">
        <v>0</v>
      </c>
      <c r="K91" s="1187">
        <v>98255029</v>
      </c>
      <c r="L91" s="1187">
        <v>0</v>
      </c>
      <c r="M91" s="1171">
        <v>448280187</v>
      </c>
      <c r="N91" s="1187">
        <v>0</v>
      </c>
      <c r="O91" s="1187">
        <v>0</v>
      </c>
      <c r="P91" s="1187">
        <v>81619718</v>
      </c>
    </row>
    <row r="92" spans="1:16">
      <c r="A92" s="1331"/>
      <c r="B92" s="1331"/>
      <c r="C92" s="1331"/>
      <c r="D92" s="1331"/>
      <c r="E92" s="1331"/>
      <c r="F92" s="1331"/>
      <c r="G92" s="1331"/>
      <c r="H92" s="1331"/>
      <c r="I92" s="1331"/>
      <c r="J92" s="1331"/>
      <c r="K92" s="1331"/>
      <c r="L92" s="1331"/>
      <c r="M92" s="1331"/>
      <c r="N92" s="1331"/>
      <c r="O92" s="1331"/>
      <c r="P92" s="1331"/>
    </row>
    <row r="93" spans="1:16">
      <c r="L93" s="1332" t="s">
        <v>927</v>
      </c>
      <c r="M93" s="1733">
        <f>'Sch 3A - Taxes'!F31-M91</f>
        <v>0</v>
      </c>
    </row>
  </sheetData>
  <mergeCells count="17">
    <mergeCell ref="A9:A10"/>
    <mergeCell ref="B9:B10"/>
    <mergeCell ref="C9:C10"/>
    <mergeCell ref="D9:D10"/>
    <mergeCell ref="E9:E10"/>
    <mergeCell ref="A6:J6"/>
    <mergeCell ref="K6:P6"/>
    <mergeCell ref="A7:J7"/>
    <mergeCell ref="K7:P7"/>
    <mergeCell ref="A8:J8"/>
    <mergeCell ref="K8:P8"/>
    <mergeCell ref="I9:I10"/>
    <mergeCell ref="J9:J10"/>
    <mergeCell ref="K9:L9"/>
    <mergeCell ref="M9:P9"/>
    <mergeCell ref="F9:G9"/>
    <mergeCell ref="H9:H10"/>
  </mergeCells>
  <dataValidations count="1">
    <dataValidation type="list" allowBlank="1" sqref="C25:C26 C16:C17 C88:C89 C67:C68 C28:C29 C49:C50 C73:C74 C85:C86 C70:C71 C61:C62 C31:C32 C34:C35 C40:C41 C76:C77 C79:C80 C22:C23 C46:C47 C37:C38 C64:C65 C58:C59 C43:C44 C19:C20 C55:C56 C13:C14 C52:C53 C82:C83" xr:uid="{00000000-0002-0000-3800-000000000000}">
      <formula1>"Federal Tax,State Tax,Local Tax,Other Taxes,Property Tax,Real Estate Tax,Unemployment Tax,Sales And Use Tax,Income Tax,Excise Tax,Fuel Tax,Federal Insurance Tax,Franchise Tax,Miscellaneous Other Tax,Other Federal Tax,Other State Tax,Other Property Tax"</formula1>
    </dataValidation>
  </dataValidations>
  <pageMargins left="0.75" right="0.75" top="1" bottom="1" header="0.5" footer="0.5"/>
  <pageSetup orientation="portrait" r:id="rId1"/>
  <customProperties>
    <customPr name="_pios_id" r:id="rId2"/>
  </customPropertie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rgb="FF92D050"/>
  </sheetPr>
  <dimension ref="A1:G60"/>
  <sheetViews>
    <sheetView workbookViewId="0">
      <pane ySplit="11" topLeftCell="A12" activePane="bottomLeft" state="frozen"/>
      <selection sqref="A1:XFD1048576"/>
      <selection pane="bottomLeft" sqref="A1:XFD1048576"/>
    </sheetView>
  </sheetViews>
  <sheetFormatPr defaultColWidth="15.25" defaultRowHeight="11.25"/>
  <cols>
    <col min="1" max="1" width="3.75" style="1149" bestFit="1" customWidth="1"/>
    <col min="2" max="2" width="30.25" style="1149" bestFit="1" customWidth="1"/>
    <col min="3" max="3" width="15.375" style="1149" bestFit="1" customWidth="1"/>
    <col min="4" max="4" width="10.75" style="1149" bestFit="1" customWidth="1"/>
    <col min="5" max="6" width="11.125" style="1149" bestFit="1" customWidth="1"/>
    <col min="7" max="7" width="15.375" style="1149" bestFit="1" customWidth="1"/>
    <col min="8" max="16384" width="15.25" style="1149"/>
  </cols>
  <sheetData>
    <row r="1" spans="1:7">
      <c r="A1" s="507" t="s">
        <v>4977</v>
      </c>
      <c r="B1" s="507"/>
    </row>
    <row r="2" spans="1:7">
      <c r="A2" s="507" t="s">
        <v>6778</v>
      </c>
      <c r="B2" s="507"/>
    </row>
    <row r="3" spans="1:7">
      <c r="A3" s="1333"/>
    </row>
    <row r="4" spans="1:7">
      <c r="A4" s="1333"/>
    </row>
    <row r="6" spans="1:7" ht="11.25" customHeight="1">
      <c r="A6" s="4022" t="s">
        <v>5777</v>
      </c>
      <c r="B6" s="3938"/>
      <c r="C6" s="3938"/>
      <c r="D6" s="3938"/>
      <c r="E6" s="3938"/>
      <c r="F6" s="3938"/>
      <c r="G6" s="3939"/>
    </row>
    <row r="7" spans="1:7">
      <c r="A7" s="3944" t="s">
        <v>5778</v>
      </c>
      <c r="B7" s="3938"/>
      <c r="C7" s="3938"/>
      <c r="D7" s="3938"/>
      <c r="E7" s="3938"/>
      <c r="F7" s="3938"/>
      <c r="G7" s="3939"/>
    </row>
    <row r="8" spans="1:7" ht="10.15" customHeight="1">
      <c r="A8" s="4021" t="s">
        <v>5177</v>
      </c>
      <c r="B8" s="4021" t="s">
        <v>5779</v>
      </c>
      <c r="C8" s="4021" t="s">
        <v>5603</v>
      </c>
      <c r="D8" s="4022" t="s">
        <v>5780</v>
      </c>
      <c r="E8" s="3939"/>
      <c r="F8" s="4021" t="s">
        <v>5595</v>
      </c>
      <c r="G8" s="4021" t="s">
        <v>5604</v>
      </c>
    </row>
    <row r="9" spans="1:7">
      <c r="A9" s="4026"/>
      <c r="B9" s="4026"/>
      <c r="C9" s="4026"/>
      <c r="D9" s="1307" t="s">
        <v>5781</v>
      </c>
      <c r="E9" s="1307" t="s">
        <v>440</v>
      </c>
      <c r="F9" s="4026"/>
      <c r="G9" s="4026"/>
    </row>
    <row r="10" spans="1:7">
      <c r="A10" s="4026"/>
      <c r="B10" s="1182" t="s">
        <v>4989</v>
      </c>
      <c r="C10" s="1182" t="s">
        <v>4990</v>
      </c>
      <c r="D10" s="1182" t="s">
        <v>5180</v>
      </c>
      <c r="E10" s="1182" t="s">
        <v>4992</v>
      </c>
      <c r="F10" s="1182" t="s">
        <v>5181</v>
      </c>
      <c r="G10" s="1334" t="s">
        <v>5182</v>
      </c>
    </row>
    <row r="11" spans="1:7" ht="21" customHeight="1">
      <c r="A11" s="1184"/>
      <c r="B11" s="1155"/>
      <c r="C11" s="1156" t="s">
        <v>4988</v>
      </c>
      <c r="D11" s="1308"/>
      <c r="E11" s="1308"/>
      <c r="F11" s="1308"/>
      <c r="G11" s="1335" t="s">
        <v>6777</v>
      </c>
    </row>
    <row r="12" spans="1:7">
      <c r="A12" s="1336">
        <v>1</v>
      </c>
      <c r="B12" s="1204" t="s">
        <v>5782</v>
      </c>
      <c r="C12" s="1168">
        <v>7299033</v>
      </c>
      <c r="D12" s="1163" t="s">
        <v>5631</v>
      </c>
      <c r="E12" s="1168">
        <v>4241775</v>
      </c>
      <c r="F12" s="1168">
        <v>4000437</v>
      </c>
      <c r="G12" s="1168">
        <v>7057695</v>
      </c>
    </row>
    <row r="13" spans="1:7">
      <c r="A13" s="1336">
        <v>2</v>
      </c>
      <c r="B13" s="1204" t="s">
        <v>5783</v>
      </c>
      <c r="C13" s="1168">
        <v>20968337</v>
      </c>
      <c r="D13" s="1163" t="s">
        <v>5631</v>
      </c>
      <c r="E13" s="1168">
        <v>9800622</v>
      </c>
      <c r="F13" s="1168">
        <v>17126029</v>
      </c>
      <c r="G13" s="1168">
        <v>28293744</v>
      </c>
    </row>
    <row r="14" spans="1:7">
      <c r="A14" s="1336">
        <v>3</v>
      </c>
      <c r="B14" s="1204" t="s">
        <v>5784</v>
      </c>
      <c r="C14" s="1168">
        <v>25817410</v>
      </c>
      <c r="D14" s="1163" t="s">
        <v>5631</v>
      </c>
      <c r="E14" s="1168">
        <v>57656268</v>
      </c>
      <c r="F14" s="1168">
        <v>53312965</v>
      </c>
      <c r="G14" s="1168">
        <v>21474107</v>
      </c>
    </row>
    <row r="15" spans="1:7">
      <c r="A15" s="1336">
        <v>4</v>
      </c>
      <c r="B15" s="1204" t="s">
        <v>5785</v>
      </c>
      <c r="C15" s="1168">
        <v>17164158</v>
      </c>
      <c r="D15" s="1310">
        <v>456</v>
      </c>
      <c r="E15" s="1168">
        <v>639701</v>
      </c>
      <c r="F15" s="1168">
        <v>1684146</v>
      </c>
      <c r="G15" s="1168">
        <v>18208603</v>
      </c>
    </row>
    <row r="16" spans="1:7">
      <c r="A16" s="1336">
        <v>5</v>
      </c>
      <c r="B16" s="1204" t="s">
        <v>5786</v>
      </c>
      <c r="C16" s="1168">
        <v>8602939</v>
      </c>
      <c r="D16" s="1310">
        <v>456</v>
      </c>
      <c r="E16" s="1168">
        <v>1809097</v>
      </c>
      <c r="F16" s="1168">
        <v>2728378</v>
      </c>
      <c r="G16" s="1168">
        <v>9522220</v>
      </c>
    </row>
    <row r="17" spans="1:7">
      <c r="A17" s="1336">
        <v>6</v>
      </c>
      <c r="B17" s="1204" t="s">
        <v>5787</v>
      </c>
      <c r="C17" s="1168">
        <v>13201891</v>
      </c>
      <c r="D17" s="1310">
        <v>931</v>
      </c>
      <c r="E17" s="1168">
        <v>1965472</v>
      </c>
      <c r="F17" s="1168">
        <v>0</v>
      </c>
      <c r="G17" s="1168">
        <v>11236419</v>
      </c>
    </row>
    <row r="18" spans="1:7">
      <c r="A18" s="1336">
        <v>7</v>
      </c>
      <c r="B18" s="1157" t="s">
        <v>5788</v>
      </c>
      <c r="C18" s="1168">
        <v>1774825</v>
      </c>
      <c r="D18" s="1317">
        <v>186</v>
      </c>
      <c r="E18" s="1168">
        <v>815169</v>
      </c>
      <c r="F18" s="1168">
        <v>338738</v>
      </c>
      <c r="G18" s="1168">
        <v>1298394</v>
      </c>
    </row>
    <row r="19" spans="1:7">
      <c r="A19" s="1336">
        <v>8</v>
      </c>
      <c r="B19" s="1157" t="s">
        <v>5628</v>
      </c>
      <c r="C19" s="1168">
        <v>0</v>
      </c>
      <c r="D19" s="1317">
        <v>555</v>
      </c>
      <c r="E19" s="1168">
        <v>120732491</v>
      </c>
      <c r="F19" s="1168">
        <v>120732491</v>
      </c>
      <c r="G19" s="1168">
        <v>0</v>
      </c>
    </row>
    <row r="20" spans="1:7">
      <c r="A20" s="1336">
        <v>9</v>
      </c>
      <c r="B20" s="1157" t="s">
        <v>5789</v>
      </c>
      <c r="C20" s="1168">
        <v>0</v>
      </c>
      <c r="D20" s="1317">
        <v>456</v>
      </c>
      <c r="E20" s="1168">
        <v>925622</v>
      </c>
      <c r="F20" s="1168">
        <v>925622</v>
      </c>
      <c r="G20" s="1168">
        <v>0</v>
      </c>
    </row>
    <row r="21" spans="1:7">
      <c r="A21" s="1336">
        <v>10</v>
      </c>
      <c r="B21" s="1157" t="s">
        <v>5790</v>
      </c>
      <c r="C21" s="1168">
        <v>7662955</v>
      </c>
      <c r="D21" s="1157" t="s">
        <v>5631</v>
      </c>
      <c r="E21" s="1168">
        <v>8656097</v>
      </c>
      <c r="F21" s="1168">
        <v>8173074</v>
      </c>
      <c r="G21" s="1168">
        <v>7179932</v>
      </c>
    </row>
    <row r="22" spans="1:7">
      <c r="A22" s="1336">
        <v>11</v>
      </c>
      <c r="B22" s="1157" t="s">
        <v>5791</v>
      </c>
      <c r="C22" s="1168">
        <v>7444780</v>
      </c>
      <c r="D22" s="1317">
        <v>186</v>
      </c>
      <c r="E22" s="1168">
        <v>16519</v>
      </c>
      <c r="F22" s="1168">
        <v>0</v>
      </c>
      <c r="G22" s="1168">
        <v>7428261</v>
      </c>
    </row>
    <row r="23" spans="1:7">
      <c r="A23" s="1336">
        <v>12</v>
      </c>
      <c r="B23" s="1157" t="s">
        <v>5792</v>
      </c>
      <c r="C23" s="1168">
        <v>55049619</v>
      </c>
      <c r="D23" s="1317">
        <v>186</v>
      </c>
      <c r="E23" s="1168">
        <v>312246</v>
      </c>
      <c r="F23" s="1168">
        <v>903661</v>
      </c>
      <c r="G23" s="1168">
        <v>55641034</v>
      </c>
    </row>
    <row r="24" spans="1:7">
      <c r="A24" s="1336">
        <v>13</v>
      </c>
      <c r="B24" s="1157" t="s">
        <v>5793</v>
      </c>
      <c r="C24" s="1168">
        <v>1314764</v>
      </c>
      <c r="D24" s="1157" t="s">
        <v>5794</v>
      </c>
      <c r="E24" s="1168">
        <v>4929786</v>
      </c>
      <c r="F24" s="1168">
        <v>6475237</v>
      </c>
      <c r="G24" s="1168">
        <v>2860215</v>
      </c>
    </row>
    <row r="25" spans="1:7">
      <c r="A25" s="1336">
        <v>14</v>
      </c>
      <c r="B25" s="1157" t="s">
        <v>5795</v>
      </c>
      <c r="C25" s="1168">
        <v>0</v>
      </c>
      <c r="D25" s="1317">
        <v>822</v>
      </c>
      <c r="E25" s="1168">
        <v>4241997</v>
      </c>
      <c r="F25" s="1168">
        <v>4241997</v>
      </c>
      <c r="G25" s="1168">
        <v>0</v>
      </c>
    </row>
    <row r="26" spans="1:7">
      <c r="A26" s="1336">
        <v>15</v>
      </c>
      <c r="B26" s="1157" t="s">
        <v>1452</v>
      </c>
      <c r="C26" s="1168">
        <v>287725009</v>
      </c>
      <c r="D26" s="1157" t="s">
        <v>5796</v>
      </c>
      <c r="E26" s="1168">
        <v>395222121</v>
      </c>
      <c r="F26" s="1168">
        <v>107497112</v>
      </c>
      <c r="G26" s="1168">
        <v>0</v>
      </c>
    </row>
    <row r="27" spans="1:7">
      <c r="A27" s="1336">
        <v>16</v>
      </c>
      <c r="B27" s="1157" t="s">
        <v>5797</v>
      </c>
      <c r="C27" s="1168">
        <v>9897270</v>
      </c>
      <c r="D27" s="1157">
        <v>419</v>
      </c>
      <c r="E27" s="1168">
        <v>305704</v>
      </c>
      <c r="F27" s="1168">
        <v>21102571</v>
      </c>
      <c r="G27" s="1168">
        <v>30694137</v>
      </c>
    </row>
    <row r="28" spans="1:7">
      <c r="A28" s="1336">
        <v>17</v>
      </c>
      <c r="B28" s="1157" t="s">
        <v>5798</v>
      </c>
      <c r="C28" s="1168">
        <v>451505</v>
      </c>
      <c r="D28" s="1317">
        <v>131</v>
      </c>
      <c r="E28" s="1168">
        <v>3394853</v>
      </c>
      <c r="F28" s="1168">
        <v>3577421</v>
      </c>
      <c r="G28" s="1168">
        <v>634073</v>
      </c>
    </row>
    <row r="29" spans="1:7">
      <c r="A29" s="1336">
        <v>18</v>
      </c>
      <c r="B29" s="1157" t="s">
        <v>6779</v>
      </c>
      <c r="C29" s="1168">
        <v>110437</v>
      </c>
      <c r="D29" s="1317" t="s">
        <v>6780</v>
      </c>
      <c r="E29" s="1168">
        <v>16528229</v>
      </c>
      <c r="F29" s="1168">
        <v>47464489</v>
      </c>
      <c r="G29" s="1168">
        <v>31046697</v>
      </c>
    </row>
    <row r="30" spans="1:7">
      <c r="A30" s="1336">
        <v>19</v>
      </c>
      <c r="B30" s="1157" t="s">
        <v>5799</v>
      </c>
      <c r="C30" s="1168">
        <v>2007818</v>
      </c>
      <c r="D30" s="1317">
        <v>419</v>
      </c>
      <c r="E30" s="1168">
        <v>884724</v>
      </c>
      <c r="F30" s="1168">
        <v>0</v>
      </c>
      <c r="G30" s="1168">
        <v>1123094</v>
      </c>
    </row>
    <row r="31" spans="1:7">
      <c r="A31" s="1336">
        <v>20</v>
      </c>
      <c r="B31" s="1157" t="s">
        <v>1435</v>
      </c>
      <c r="C31" s="1168">
        <v>0</v>
      </c>
      <c r="D31" s="1317">
        <v>555</v>
      </c>
      <c r="E31" s="1168">
        <v>17103639</v>
      </c>
      <c r="F31" s="1168">
        <v>17103639</v>
      </c>
      <c r="G31" s="1168">
        <v>0</v>
      </c>
    </row>
    <row r="32" spans="1:7">
      <c r="A32" s="1336">
        <v>21</v>
      </c>
      <c r="B32" s="1157" t="s">
        <v>5607</v>
      </c>
      <c r="C32" s="1168">
        <v>22420805</v>
      </c>
      <c r="D32" s="1317" t="s">
        <v>6781</v>
      </c>
      <c r="E32" s="1168">
        <v>14860752</v>
      </c>
      <c r="F32" s="1168">
        <v>7954988</v>
      </c>
      <c r="G32" s="1168">
        <v>15515041</v>
      </c>
    </row>
    <row r="33" spans="1:7">
      <c r="A33" s="1336">
        <v>22</v>
      </c>
      <c r="B33" s="1157" t="s">
        <v>5630</v>
      </c>
      <c r="C33" s="1168">
        <v>511452</v>
      </c>
      <c r="D33" s="1317" t="s">
        <v>6782</v>
      </c>
      <c r="E33" s="1168">
        <v>1035283</v>
      </c>
      <c r="F33" s="1168">
        <v>1241896</v>
      </c>
      <c r="G33" s="1168">
        <v>718065</v>
      </c>
    </row>
    <row r="34" spans="1:7">
      <c r="A34" s="1336">
        <v>23</v>
      </c>
      <c r="B34" s="1157" t="s">
        <v>5800</v>
      </c>
      <c r="C34" s="1168">
        <v>5011786</v>
      </c>
      <c r="D34" s="1157">
        <v>186</v>
      </c>
      <c r="E34" s="1168">
        <v>0</v>
      </c>
      <c r="F34" s="1168">
        <v>847</v>
      </c>
      <c r="G34" s="1168">
        <v>5012633</v>
      </c>
    </row>
    <row r="35" spans="1:7">
      <c r="A35" s="1336">
        <v>24</v>
      </c>
      <c r="B35" s="1157" t="s">
        <v>6783</v>
      </c>
      <c r="C35" s="1168">
        <v>1752928</v>
      </c>
      <c r="D35" s="1157" t="s">
        <v>6784</v>
      </c>
      <c r="E35" s="1168">
        <v>860183</v>
      </c>
      <c r="F35" s="1168">
        <v>1018060</v>
      </c>
      <c r="G35" s="1168">
        <v>1910805</v>
      </c>
    </row>
    <row r="36" spans="1:7">
      <c r="A36" s="1336">
        <v>25</v>
      </c>
      <c r="B36" s="1157" t="s">
        <v>5801</v>
      </c>
      <c r="C36" s="1168">
        <v>14450730</v>
      </c>
      <c r="D36" s="1157">
        <v>131</v>
      </c>
      <c r="E36" s="1168">
        <v>7620588</v>
      </c>
      <c r="F36" s="1168">
        <v>0</v>
      </c>
      <c r="G36" s="1168">
        <v>6830142</v>
      </c>
    </row>
    <row r="37" spans="1:7">
      <c r="A37" s="1336">
        <v>26</v>
      </c>
      <c r="B37" s="1157" t="s">
        <v>6785</v>
      </c>
      <c r="C37" s="1168">
        <v>0</v>
      </c>
      <c r="D37" s="1157">
        <v>107</v>
      </c>
      <c r="E37" s="1168">
        <v>0</v>
      </c>
      <c r="F37" s="1168">
        <v>21738957</v>
      </c>
      <c r="G37" s="1168">
        <v>21738957</v>
      </c>
    </row>
    <row r="38" spans="1:7">
      <c r="A38" s="1336">
        <v>27</v>
      </c>
      <c r="B38" s="1157" t="s">
        <v>6786</v>
      </c>
      <c r="C38" s="1168">
        <v>0</v>
      </c>
      <c r="D38" s="1317">
        <v>419</v>
      </c>
      <c r="E38" s="1168">
        <v>4150</v>
      </c>
      <c r="F38" s="1168">
        <v>26388</v>
      </c>
      <c r="G38" s="1168">
        <v>22238</v>
      </c>
    </row>
    <row r="39" spans="1:7">
      <c r="A39" s="1336">
        <v>28</v>
      </c>
      <c r="B39" s="1157" t="s">
        <v>6787</v>
      </c>
      <c r="C39" s="1168">
        <v>0</v>
      </c>
      <c r="D39" s="1317" t="s">
        <v>6788</v>
      </c>
      <c r="E39" s="1168">
        <v>1756602</v>
      </c>
      <c r="F39" s="1168">
        <v>9884454</v>
      </c>
      <c r="G39" s="1168">
        <v>8127852</v>
      </c>
    </row>
    <row r="40" spans="1:7">
      <c r="A40" s="1336">
        <v>29</v>
      </c>
      <c r="B40" s="1157" t="s">
        <v>6789</v>
      </c>
      <c r="C40" s="1168">
        <v>7706610</v>
      </c>
      <c r="D40" s="1157">
        <v>419</v>
      </c>
      <c r="E40" s="1168">
        <v>7706610</v>
      </c>
      <c r="F40" s="1168">
        <v>0</v>
      </c>
      <c r="G40" s="1157">
        <v>0</v>
      </c>
    </row>
    <row r="41" spans="1:7">
      <c r="A41" s="1336">
        <v>30</v>
      </c>
      <c r="B41" s="1157"/>
      <c r="C41" s="1168">
        <f t="shared" ref="C41:C57" si="0">SUMIFS($M41:$XFD41,$M$11:$XFD$11,$F$11)</f>
        <v>0</v>
      </c>
      <c r="D41" s="1157"/>
      <c r="E41" s="1168">
        <v>0</v>
      </c>
      <c r="F41" s="1168">
        <v>0</v>
      </c>
      <c r="G41" s="1157"/>
    </row>
    <row r="42" spans="1:7">
      <c r="A42" s="1336">
        <v>31</v>
      </c>
      <c r="B42" s="1157"/>
      <c r="C42" s="1168">
        <f t="shared" si="0"/>
        <v>0</v>
      </c>
      <c r="D42" s="1157"/>
      <c r="E42" s="1168">
        <v>0</v>
      </c>
      <c r="F42" s="1168">
        <v>0</v>
      </c>
      <c r="G42" s="1168">
        <f>C42-E42+F42</f>
        <v>0</v>
      </c>
    </row>
    <row r="43" spans="1:7">
      <c r="A43" s="1336">
        <v>32</v>
      </c>
      <c r="B43" s="1157"/>
      <c r="C43" s="1168">
        <f t="shared" si="0"/>
        <v>0</v>
      </c>
      <c r="D43" s="1157"/>
      <c r="E43" s="1168">
        <v>0</v>
      </c>
      <c r="F43" s="1168">
        <v>0</v>
      </c>
      <c r="G43" s="1157"/>
    </row>
    <row r="44" spans="1:7">
      <c r="A44" s="1336">
        <v>33</v>
      </c>
      <c r="B44" s="1157"/>
      <c r="C44" s="1168">
        <f t="shared" si="0"/>
        <v>0</v>
      </c>
      <c r="D44" s="1157"/>
      <c r="E44" s="1168">
        <v>0</v>
      </c>
      <c r="F44" s="1168">
        <v>0</v>
      </c>
      <c r="G44" s="1157"/>
    </row>
    <row r="45" spans="1:7">
      <c r="A45" s="1336">
        <v>34</v>
      </c>
      <c r="B45" s="1157"/>
      <c r="C45" s="1168">
        <f t="shared" si="0"/>
        <v>0</v>
      </c>
      <c r="D45" s="1157"/>
      <c r="E45" s="1168">
        <v>0</v>
      </c>
      <c r="F45" s="1168">
        <v>0</v>
      </c>
      <c r="G45" s="1157"/>
    </row>
    <row r="46" spans="1:7">
      <c r="A46" s="1336">
        <v>35</v>
      </c>
      <c r="B46" s="1157"/>
      <c r="C46" s="1168">
        <f t="shared" si="0"/>
        <v>0</v>
      </c>
      <c r="D46" s="1157"/>
      <c r="E46" s="1168">
        <v>0</v>
      </c>
      <c r="F46" s="1168">
        <v>0</v>
      </c>
      <c r="G46" s="1157"/>
    </row>
    <row r="47" spans="1:7">
      <c r="A47" s="1336">
        <v>36</v>
      </c>
      <c r="B47" s="1157"/>
      <c r="C47" s="1168">
        <f t="shared" si="0"/>
        <v>0</v>
      </c>
      <c r="D47" s="1157"/>
      <c r="E47" s="1168">
        <v>0</v>
      </c>
      <c r="F47" s="1168">
        <v>0</v>
      </c>
      <c r="G47" s="1157"/>
    </row>
    <row r="48" spans="1:7">
      <c r="A48" s="1336">
        <v>37</v>
      </c>
      <c r="B48" s="1157"/>
      <c r="C48" s="1168">
        <f t="shared" si="0"/>
        <v>0</v>
      </c>
      <c r="D48" s="1157"/>
      <c r="E48" s="1168">
        <v>0</v>
      </c>
      <c r="F48" s="1168">
        <v>0</v>
      </c>
      <c r="G48" s="1157"/>
    </row>
    <row r="49" spans="1:7">
      <c r="A49" s="1336">
        <v>38</v>
      </c>
      <c r="B49" s="1157"/>
      <c r="C49" s="1168">
        <f t="shared" si="0"/>
        <v>0</v>
      </c>
      <c r="D49" s="1157"/>
      <c r="E49" s="1168">
        <v>0</v>
      </c>
      <c r="F49" s="1168">
        <v>0</v>
      </c>
      <c r="G49" s="1157"/>
    </row>
    <row r="50" spans="1:7">
      <c r="A50" s="1336">
        <v>39</v>
      </c>
      <c r="B50" s="1157"/>
      <c r="C50" s="1168">
        <f t="shared" si="0"/>
        <v>0</v>
      </c>
      <c r="D50" s="1157"/>
      <c r="E50" s="1168">
        <v>0</v>
      </c>
      <c r="F50" s="1168">
        <v>0</v>
      </c>
      <c r="G50" s="1157"/>
    </row>
    <row r="51" spans="1:7">
      <c r="A51" s="1336">
        <v>40</v>
      </c>
      <c r="B51" s="1157"/>
      <c r="C51" s="1168">
        <f t="shared" si="0"/>
        <v>0</v>
      </c>
      <c r="D51" s="1157"/>
      <c r="E51" s="1168">
        <v>0</v>
      </c>
      <c r="F51" s="1168">
        <v>0</v>
      </c>
      <c r="G51" s="1157"/>
    </row>
    <row r="52" spans="1:7">
      <c r="A52" s="1336">
        <v>41</v>
      </c>
      <c r="B52" s="1157"/>
      <c r="C52" s="1168">
        <f t="shared" si="0"/>
        <v>0</v>
      </c>
      <c r="D52" s="1157"/>
      <c r="E52" s="1168">
        <v>0</v>
      </c>
      <c r="F52" s="1168">
        <v>0</v>
      </c>
      <c r="G52" s="1157"/>
    </row>
    <row r="53" spans="1:7">
      <c r="A53" s="1336">
        <v>42</v>
      </c>
      <c r="B53" s="1157"/>
      <c r="C53" s="1168">
        <f t="shared" si="0"/>
        <v>0</v>
      </c>
      <c r="D53" s="1157"/>
      <c r="E53" s="1168">
        <v>0</v>
      </c>
      <c r="F53" s="1168">
        <v>0</v>
      </c>
      <c r="G53" s="1157"/>
    </row>
    <row r="54" spans="1:7">
      <c r="A54" s="1336">
        <v>43</v>
      </c>
      <c r="B54" s="1157"/>
      <c r="C54" s="1168">
        <f t="shared" si="0"/>
        <v>0</v>
      </c>
      <c r="D54" s="1157"/>
      <c r="E54" s="1168">
        <v>0</v>
      </c>
      <c r="F54" s="1168">
        <v>0</v>
      </c>
      <c r="G54" s="1157"/>
    </row>
    <row r="55" spans="1:7">
      <c r="A55" s="1336">
        <v>44</v>
      </c>
      <c r="B55" s="1157"/>
      <c r="C55" s="1168">
        <f t="shared" si="0"/>
        <v>0</v>
      </c>
      <c r="D55" s="1157"/>
      <c r="E55" s="1168">
        <v>0</v>
      </c>
      <c r="F55" s="1168">
        <v>0</v>
      </c>
      <c r="G55" s="1157"/>
    </row>
    <row r="56" spans="1:7">
      <c r="A56" s="1336">
        <v>45</v>
      </c>
      <c r="B56" s="1157"/>
      <c r="C56" s="1168">
        <f t="shared" si="0"/>
        <v>0</v>
      </c>
      <c r="D56" s="1157"/>
      <c r="E56" s="1168">
        <v>0</v>
      </c>
      <c r="F56" s="1168">
        <v>0</v>
      </c>
      <c r="G56" s="1157"/>
    </row>
    <row r="57" spans="1:7">
      <c r="A57" s="1336">
        <v>46</v>
      </c>
      <c r="B57" s="1157"/>
      <c r="C57" s="1168">
        <f t="shared" si="0"/>
        <v>0</v>
      </c>
      <c r="D57" s="1157"/>
      <c r="E57" s="1168">
        <v>0</v>
      </c>
      <c r="F57" s="1168">
        <v>0</v>
      </c>
      <c r="G57" s="1157"/>
    </row>
    <row r="58" spans="1:7">
      <c r="A58" s="4053">
        <v>47</v>
      </c>
      <c r="B58" s="4011" t="s">
        <v>196</v>
      </c>
      <c r="C58" s="4013">
        <f>SUM(C12:C57)</f>
        <v>518347061</v>
      </c>
      <c r="D58" s="1204"/>
      <c r="E58" s="4013">
        <f>SUM(E12:E57)</f>
        <v>684026300</v>
      </c>
      <c r="F58" s="4013">
        <f>SUM(F12:F57)</f>
        <v>459253597</v>
      </c>
      <c r="G58" s="4013">
        <f>SUM(G12:G57)</f>
        <v>293574358</v>
      </c>
    </row>
    <row r="59" spans="1:7">
      <c r="A59" s="3964"/>
      <c r="B59" s="4012"/>
      <c r="C59" s="4019"/>
      <c r="D59" s="1295"/>
      <c r="E59" s="4019"/>
      <c r="F59" s="4019"/>
      <c r="G59" s="4019"/>
    </row>
    <row r="60" spans="1:7">
      <c r="A60" s="1194"/>
      <c r="B60" s="1194"/>
      <c r="C60" s="1194"/>
      <c r="D60" s="1194"/>
      <c r="E60" s="1194"/>
      <c r="F60" s="1194"/>
      <c r="G60" s="1194"/>
    </row>
  </sheetData>
  <mergeCells count="14">
    <mergeCell ref="G58:G59"/>
    <mergeCell ref="A6:G6"/>
    <mergeCell ref="A7:G7"/>
    <mergeCell ref="A8:A10"/>
    <mergeCell ref="B8:B9"/>
    <mergeCell ref="C8:C9"/>
    <mergeCell ref="D8:E8"/>
    <mergeCell ref="F8:F9"/>
    <mergeCell ref="G8:G9"/>
    <mergeCell ref="A58:A59"/>
    <mergeCell ref="B58:B59"/>
    <mergeCell ref="C58:C59"/>
    <mergeCell ref="E58:E59"/>
    <mergeCell ref="F58:F59"/>
  </mergeCells>
  <pageMargins left="0.75" right="0.75" top="1" bottom="1" header="0.5" footer="0.5"/>
  <pageSetup orientation="portrait" horizontalDpi="90" verticalDpi="90" r:id="rId1"/>
  <customProperties>
    <customPr name="_pios_id" r:id="rId2"/>
  </customPropertie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rgb="FF92D050"/>
  </sheetPr>
  <dimension ref="A1:G53"/>
  <sheetViews>
    <sheetView workbookViewId="0">
      <pane ySplit="11" topLeftCell="A12" activePane="bottomLeft" state="frozen"/>
      <selection sqref="A1:XFD1048576"/>
      <selection pane="bottomLeft" sqref="A1:XFD1048576"/>
    </sheetView>
  </sheetViews>
  <sheetFormatPr defaultColWidth="15.75" defaultRowHeight="11.25"/>
  <cols>
    <col min="1" max="1" width="3.625" style="1149" bestFit="1" customWidth="1"/>
    <col min="2" max="2" width="26.25" style="1149" bestFit="1" customWidth="1"/>
    <col min="3" max="3" width="13.625" style="1149" bestFit="1" customWidth="1"/>
    <col min="4" max="4" width="11.375" style="1149" bestFit="1" customWidth="1"/>
    <col min="5" max="6" width="8.375" style="1149" bestFit="1" customWidth="1"/>
    <col min="7" max="7" width="15.5" style="1149" bestFit="1" customWidth="1"/>
    <col min="8" max="16384" width="15.75" style="1149"/>
  </cols>
  <sheetData>
    <row r="1" spans="1:7">
      <c r="A1" s="507" t="s">
        <v>4977</v>
      </c>
      <c r="B1" s="507"/>
    </row>
    <row r="2" spans="1:7">
      <c r="A2" s="507" t="s">
        <v>6778</v>
      </c>
      <c r="B2" s="507"/>
    </row>
    <row r="3" spans="1:7">
      <c r="A3" s="1197"/>
    </row>
    <row r="4" spans="1:7">
      <c r="A4" s="1197"/>
    </row>
    <row r="6" spans="1:7" ht="11.25" customHeight="1">
      <c r="A6" s="3953" t="s">
        <v>5802</v>
      </c>
      <c r="B6" s="3938"/>
      <c r="C6" s="3938"/>
      <c r="D6" s="3938"/>
      <c r="E6" s="3938"/>
      <c r="F6" s="3938"/>
      <c r="G6" s="3939"/>
    </row>
    <row r="7" spans="1:7" ht="11.25" customHeight="1">
      <c r="A7" s="3944" t="s">
        <v>5803</v>
      </c>
      <c r="B7" s="3938"/>
      <c r="C7" s="3938"/>
      <c r="D7" s="3938"/>
      <c r="E7" s="3938"/>
      <c r="F7" s="3938"/>
      <c r="G7" s="3939"/>
    </row>
    <row r="8" spans="1:7" ht="10.15" customHeight="1">
      <c r="A8" s="4020" t="s">
        <v>5591</v>
      </c>
      <c r="B8" s="4021" t="s">
        <v>5804</v>
      </c>
      <c r="C8" s="4021" t="s">
        <v>5805</v>
      </c>
      <c r="D8" s="4022" t="s">
        <v>5780</v>
      </c>
      <c r="E8" s="3939"/>
      <c r="F8" s="4054" t="s">
        <v>5595</v>
      </c>
      <c r="G8" s="4021" t="s">
        <v>5806</v>
      </c>
    </row>
    <row r="9" spans="1:7">
      <c r="A9" s="4016"/>
      <c r="B9" s="4026"/>
      <c r="C9" s="4026"/>
      <c r="D9" s="1307" t="s">
        <v>5807</v>
      </c>
      <c r="E9" s="1307" t="s">
        <v>440</v>
      </c>
      <c r="F9" s="4026"/>
      <c r="G9" s="4026"/>
    </row>
    <row r="10" spans="1:7">
      <c r="A10" s="4017"/>
      <c r="B10" s="1182" t="s">
        <v>4989</v>
      </c>
      <c r="C10" s="1182" t="s">
        <v>4990</v>
      </c>
      <c r="D10" s="1182" t="s">
        <v>4991</v>
      </c>
      <c r="E10" s="1182" t="s">
        <v>4992</v>
      </c>
      <c r="F10" s="1182" t="s">
        <v>5181</v>
      </c>
      <c r="G10" s="1182" t="s">
        <v>5182</v>
      </c>
    </row>
    <row r="11" spans="1:7" ht="13.5" customHeight="1">
      <c r="A11" s="1184"/>
      <c r="B11" s="1155"/>
      <c r="C11" s="1308" t="s">
        <v>4988</v>
      </c>
      <c r="D11" s="1308"/>
      <c r="E11" s="1308"/>
      <c r="F11" s="1308"/>
      <c r="G11" s="1308" t="s">
        <v>6777</v>
      </c>
    </row>
    <row r="12" spans="1:7">
      <c r="A12" s="1236">
        <v>1</v>
      </c>
      <c r="B12" s="1204" t="s">
        <v>5808</v>
      </c>
      <c r="C12" s="1168">
        <v>-117490</v>
      </c>
      <c r="D12" s="1153" t="s">
        <v>5599</v>
      </c>
      <c r="E12" s="1168">
        <v>188435</v>
      </c>
      <c r="F12" s="1168">
        <v>167993</v>
      </c>
      <c r="G12" s="1168">
        <v>-137932</v>
      </c>
    </row>
    <row r="13" spans="1:7">
      <c r="A13" s="1236">
        <v>2</v>
      </c>
      <c r="B13" s="1204" t="s">
        <v>5809</v>
      </c>
      <c r="C13" s="1168">
        <v>-172976</v>
      </c>
      <c r="D13" s="1202" t="s">
        <v>6790</v>
      </c>
      <c r="E13" s="1168">
        <v>96752</v>
      </c>
      <c r="F13" s="1168">
        <v>269728</v>
      </c>
      <c r="G13" s="1168">
        <v>0</v>
      </c>
    </row>
    <row r="14" spans="1:7">
      <c r="A14" s="1236">
        <v>3</v>
      </c>
      <c r="B14" s="1204" t="s">
        <v>5810</v>
      </c>
      <c r="C14" s="1168">
        <v>63205547</v>
      </c>
      <c r="D14" s="1310" t="s">
        <v>5599</v>
      </c>
      <c r="E14" s="1168">
        <v>133635837</v>
      </c>
      <c r="F14" s="1168">
        <v>131094646</v>
      </c>
      <c r="G14" s="1168">
        <v>60664383</v>
      </c>
    </row>
    <row r="15" spans="1:7">
      <c r="A15" s="1236">
        <v>4</v>
      </c>
      <c r="B15" s="1204" t="s">
        <v>5811</v>
      </c>
      <c r="C15" s="1168">
        <v>800725088</v>
      </c>
      <c r="D15" s="1163">
        <v>190</v>
      </c>
      <c r="E15" s="1168">
        <v>54646183</v>
      </c>
      <c r="F15" s="1168">
        <v>15542083</v>
      </c>
      <c r="G15" s="1168">
        <v>761620988</v>
      </c>
    </row>
    <row r="16" spans="1:7">
      <c r="A16" s="1236">
        <v>5</v>
      </c>
      <c r="B16" s="1204" t="s">
        <v>5812</v>
      </c>
      <c r="C16" s="1168">
        <v>11836549</v>
      </c>
      <c r="D16" s="1337">
        <v>456</v>
      </c>
      <c r="E16" s="1168">
        <v>1394596</v>
      </c>
      <c r="F16" s="1168">
        <v>0</v>
      </c>
      <c r="G16" s="1168">
        <v>10441953</v>
      </c>
    </row>
    <row r="17" spans="1:7">
      <c r="A17" s="1236">
        <v>6</v>
      </c>
      <c r="B17" s="1157" t="s">
        <v>5813</v>
      </c>
      <c r="C17" s="1168">
        <v>-26753</v>
      </c>
      <c r="D17" s="1338" t="s">
        <v>6791</v>
      </c>
      <c r="E17" s="1168">
        <v>0</v>
      </c>
      <c r="F17" s="1168">
        <v>8678</v>
      </c>
      <c r="G17" s="1168">
        <v>-18075</v>
      </c>
    </row>
    <row r="18" spans="1:7">
      <c r="A18" s="1236">
        <v>7</v>
      </c>
      <c r="B18" s="1157" t="s">
        <v>5814</v>
      </c>
      <c r="C18" s="1168">
        <v>10998256</v>
      </c>
      <c r="D18" s="1163" t="s">
        <v>5815</v>
      </c>
      <c r="E18" s="1168">
        <v>11043573</v>
      </c>
      <c r="F18" s="1168">
        <v>45317</v>
      </c>
      <c r="G18" s="1168">
        <v>0</v>
      </c>
    </row>
    <row r="19" spans="1:7">
      <c r="A19" s="1236">
        <v>8</v>
      </c>
      <c r="B19" s="1157" t="s">
        <v>1614</v>
      </c>
      <c r="C19" s="1168">
        <v>828503</v>
      </c>
      <c r="D19" s="1163">
        <v>232</v>
      </c>
      <c r="E19" s="1168">
        <v>0</v>
      </c>
      <c r="F19" s="1168">
        <v>0</v>
      </c>
      <c r="G19" s="1168">
        <v>828503</v>
      </c>
    </row>
    <row r="20" spans="1:7">
      <c r="A20" s="1236">
        <v>9</v>
      </c>
      <c r="B20" s="1157" t="s">
        <v>1615</v>
      </c>
      <c r="C20" s="1168">
        <v>4353000</v>
      </c>
      <c r="D20" s="1163">
        <v>547</v>
      </c>
      <c r="E20" s="1168">
        <v>9159948</v>
      </c>
      <c r="F20" s="1168">
        <v>4806948</v>
      </c>
      <c r="G20" s="1168">
        <v>0</v>
      </c>
    </row>
    <row r="21" spans="1:7">
      <c r="A21" s="1236">
        <v>10</v>
      </c>
      <c r="B21" s="1157" t="s">
        <v>6792</v>
      </c>
      <c r="C21" s="1168">
        <v>0</v>
      </c>
      <c r="D21" s="1163">
        <v>495</v>
      </c>
      <c r="E21" s="1168">
        <v>1301513</v>
      </c>
      <c r="F21" s="1168">
        <v>3895452</v>
      </c>
      <c r="G21" s="1168">
        <v>2593939</v>
      </c>
    </row>
    <row r="22" spans="1:7">
      <c r="A22" s="1236">
        <v>11</v>
      </c>
      <c r="B22" s="1157" t="s">
        <v>6793</v>
      </c>
      <c r="C22" s="1168">
        <v>0</v>
      </c>
      <c r="D22" s="1163" t="s">
        <v>5599</v>
      </c>
      <c r="E22" s="1168">
        <v>101614482</v>
      </c>
      <c r="F22" s="1168">
        <v>186099219</v>
      </c>
      <c r="G22" s="1168">
        <v>84484737</v>
      </c>
    </row>
    <row r="23" spans="1:7">
      <c r="A23" s="1236">
        <v>12</v>
      </c>
      <c r="B23" s="1157" t="s">
        <v>6794</v>
      </c>
      <c r="C23" s="1168">
        <v>0</v>
      </c>
      <c r="D23" s="1163">
        <v>407.4</v>
      </c>
      <c r="E23" s="1157"/>
      <c r="F23" s="1168">
        <v>407922</v>
      </c>
      <c r="G23" s="1168">
        <v>407922</v>
      </c>
    </row>
    <row r="24" spans="1:7">
      <c r="A24" s="1236">
        <v>13</v>
      </c>
      <c r="B24" s="1157"/>
      <c r="C24" s="1168">
        <f t="shared" ref="C24:C51" si="0">SUMIFS($N24:$XFD24,$N$11:$XFD$11,$F$11)</f>
        <v>0</v>
      </c>
      <c r="D24" s="1157"/>
      <c r="E24" s="1157"/>
      <c r="F24" s="1157"/>
      <c r="G24" s="1157"/>
    </row>
    <row r="25" spans="1:7">
      <c r="A25" s="1236">
        <v>14</v>
      </c>
      <c r="B25" s="1157"/>
      <c r="C25" s="1168">
        <f t="shared" si="0"/>
        <v>0</v>
      </c>
      <c r="D25" s="1157"/>
      <c r="E25" s="1157"/>
      <c r="F25" s="1157"/>
      <c r="G25" s="1157"/>
    </row>
    <row r="26" spans="1:7">
      <c r="A26" s="1236">
        <v>15</v>
      </c>
      <c r="B26" s="1157"/>
      <c r="C26" s="1168">
        <f t="shared" si="0"/>
        <v>0</v>
      </c>
      <c r="D26" s="1157"/>
      <c r="E26" s="1157"/>
      <c r="F26" s="1157"/>
      <c r="G26" s="1157"/>
    </row>
    <row r="27" spans="1:7">
      <c r="A27" s="1236">
        <v>16</v>
      </c>
      <c r="B27" s="1157"/>
      <c r="C27" s="1168">
        <f t="shared" si="0"/>
        <v>0</v>
      </c>
      <c r="D27" s="1157"/>
      <c r="E27" s="1157"/>
      <c r="F27" s="1157"/>
      <c r="G27" s="1157"/>
    </row>
    <row r="28" spans="1:7">
      <c r="A28" s="1236">
        <v>17</v>
      </c>
      <c r="B28" s="1157"/>
      <c r="C28" s="1168">
        <f t="shared" si="0"/>
        <v>0</v>
      </c>
      <c r="D28" s="1157"/>
      <c r="E28" s="1157"/>
      <c r="F28" s="1157"/>
      <c r="G28" s="1157"/>
    </row>
    <row r="29" spans="1:7">
      <c r="A29" s="1236">
        <v>18</v>
      </c>
      <c r="B29" s="1157"/>
      <c r="C29" s="1168">
        <f t="shared" si="0"/>
        <v>0</v>
      </c>
      <c r="D29" s="1157"/>
      <c r="E29" s="1157"/>
      <c r="F29" s="1157"/>
      <c r="G29" s="1157"/>
    </row>
    <row r="30" spans="1:7">
      <c r="A30" s="1236">
        <v>19</v>
      </c>
      <c r="B30" s="1157"/>
      <c r="C30" s="1168">
        <f t="shared" si="0"/>
        <v>0</v>
      </c>
      <c r="D30" s="1157"/>
      <c r="E30" s="1157"/>
      <c r="F30" s="1157"/>
      <c r="G30" s="1157"/>
    </row>
    <row r="31" spans="1:7">
      <c r="A31" s="1236">
        <v>20</v>
      </c>
      <c r="B31" s="1157"/>
      <c r="C31" s="1168">
        <f t="shared" si="0"/>
        <v>0</v>
      </c>
      <c r="D31" s="1157"/>
      <c r="E31" s="1157"/>
      <c r="F31" s="1157"/>
      <c r="G31" s="1157"/>
    </row>
    <row r="32" spans="1:7">
      <c r="A32" s="1236">
        <v>21</v>
      </c>
      <c r="B32" s="1157"/>
      <c r="C32" s="1168">
        <f t="shared" si="0"/>
        <v>0</v>
      </c>
      <c r="D32" s="1157"/>
      <c r="E32" s="1157"/>
      <c r="F32" s="1157"/>
      <c r="G32" s="1157"/>
    </row>
    <row r="33" spans="1:7">
      <c r="A33" s="1236">
        <v>22</v>
      </c>
      <c r="B33" s="1157"/>
      <c r="C33" s="1168">
        <f t="shared" si="0"/>
        <v>0</v>
      </c>
      <c r="D33" s="1157"/>
      <c r="E33" s="1157"/>
      <c r="F33" s="1157"/>
      <c r="G33" s="1157"/>
    </row>
    <row r="34" spans="1:7">
      <c r="A34" s="1236">
        <v>23</v>
      </c>
      <c r="B34" s="1157"/>
      <c r="C34" s="1168">
        <f t="shared" si="0"/>
        <v>0</v>
      </c>
      <c r="D34" s="1157"/>
      <c r="E34" s="1157"/>
      <c r="F34" s="1157"/>
      <c r="G34" s="1157"/>
    </row>
    <row r="35" spans="1:7">
      <c r="A35" s="1236">
        <v>24</v>
      </c>
      <c r="B35" s="1157"/>
      <c r="C35" s="1168">
        <f t="shared" si="0"/>
        <v>0</v>
      </c>
      <c r="D35" s="1157"/>
      <c r="E35" s="1157"/>
      <c r="F35" s="1157"/>
      <c r="G35" s="1157"/>
    </row>
    <row r="36" spans="1:7">
      <c r="A36" s="1236">
        <v>25</v>
      </c>
      <c r="B36" s="1157"/>
      <c r="C36" s="1168">
        <f t="shared" si="0"/>
        <v>0</v>
      </c>
      <c r="D36" s="1157"/>
      <c r="E36" s="1157"/>
      <c r="F36" s="1157"/>
      <c r="G36" s="1157"/>
    </row>
    <row r="37" spans="1:7">
      <c r="A37" s="1236">
        <v>26</v>
      </c>
      <c r="B37" s="1157"/>
      <c r="C37" s="1168">
        <f t="shared" si="0"/>
        <v>0</v>
      </c>
      <c r="D37" s="1157"/>
      <c r="E37" s="1157"/>
      <c r="F37" s="1157"/>
      <c r="G37" s="1157"/>
    </row>
    <row r="38" spans="1:7">
      <c r="A38" s="1236">
        <v>27</v>
      </c>
      <c r="B38" s="1157"/>
      <c r="C38" s="1168">
        <f t="shared" si="0"/>
        <v>0</v>
      </c>
      <c r="D38" s="1157"/>
      <c r="E38" s="1157"/>
      <c r="F38" s="1157"/>
      <c r="G38" s="1157"/>
    </row>
    <row r="39" spans="1:7">
      <c r="A39" s="1236">
        <v>28</v>
      </c>
      <c r="B39" s="1157"/>
      <c r="C39" s="1168">
        <f t="shared" si="0"/>
        <v>0</v>
      </c>
      <c r="D39" s="1157"/>
      <c r="E39" s="1157"/>
      <c r="F39" s="1157"/>
      <c r="G39" s="1157"/>
    </row>
    <row r="40" spans="1:7">
      <c r="A40" s="1236">
        <v>29</v>
      </c>
      <c r="B40" s="1157"/>
      <c r="C40" s="1168">
        <f t="shared" si="0"/>
        <v>0</v>
      </c>
      <c r="D40" s="1157"/>
      <c r="E40" s="1157"/>
      <c r="F40" s="1157"/>
      <c r="G40" s="1157"/>
    </row>
    <row r="41" spans="1:7">
      <c r="A41" s="1236">
        <v>30</v>
      </c>
      <c r="B41" s="1157"/>
      <c r="C41" s="1168">
        <f t="shared" si="0"/>
        <v>0</v>
      </c>
      <c r="D41" s="1157"/>
      <c r="E41" s="1157"/>
      <c r="F41" s="1157"/>
      <c r="G41" s="1157"/>
    </row>
    <row r="42" spans="1:7">
      <c r="A42" s="1236">
        <v>31</v>
      </c>
      <c r="B42" s="1157"/>
      <c r="C42" s="1168">
        <f t="shared" si="0"/>
        <v>0</v>
      </c>
      <c r="D42" s="1157"/>
      <c r="E42" s="1157"/>
      <c r="F42" s="1157"/>
      <c r="G42" s="1157"/>
    </row>
    <row r="43" spans="1:7">
      <c r="A43" s="1236">
        <v>32</v>
      </c>
      <c r="B43" s="1157"/>
      <c r="C43" s="1168">
        <f t="shared" si="0"/>
        <v>0</v>
      </c>
      <c r="D43" s="1157"/>
      <c r="E43" s="1157"/>
      <c r="F43" s="1157"/>
      <c r="G43" s="1157"/>
    </row>
    <row r="44" spans="1:7">
      <c r="A44" s="1236">
        <v>33</v>
      </c>
      <c r="B44" s="1157"/>
      <c r="C44" s="1168">
        <f t="shared" si="0"/>
        <v>0</v>
      </c>
      <c r="D44" s="1157"/>
      <c r="E44" s="1157"/>
      <c r="F44" s="1157"/>
      <c r="G44" s="1157"/>
    </row>
    <row r="45" spans="1:7">
      <c r="A45" s="1236">
        <v>34</v>
      </c>
      <c r="B45" s="1157"/>
      <c r="C45" s="1168">
        <f t="shared" si="0"/>
        <v>0</v>
      </c>
      <c r="D45" s="1157"/>
      <c r="E45" s="1157"/>
      <c r="F45" s="1157"/>
      <c r="G45" s="1157"/>
    </row>
    <row r="46" spans="1:7">
      <c r="A46" s="1236">
        <v>35</v>
      </c>
      <c r="B46" s="1157"/>
      <c r="C46" s="1168">
        <f t="shared" si="0"/>
        <v>0</v>
      </c>
      <c r="D46" s="1157"/>
      <c r="E46" s="1157"/>
      <c r="F46" s="1157"/>
      <c r="G46" s="1157"/>
    </row>
    <row r="47" spans="1:7">
      <c r="A47" s="1236">
        <v>36</v>
      </c>
      <c r="B47" s="1157"/>
      <c r="C47" s="1168">
        <f t="shared" si="0"/>
        <v>0</v>
      </c>
      <c r="D47" s="1157"/>
      <c r="E47" s="1157"/>
      <c r="F47" s="1157"/>
      <c r="G47" s="1157"/>
    </row>
    <row r="48" spans="1:7">
      <c r="A48" s="1236">
        <v>37</v>
      </c>
      <c r="B48" s="1157"/>
      <c r="C48" s="1168">
        <f t="shared" si="0"/>
        <v>0</v>
      </c>
      <c r="D48" s="1157"/>
      <c r="E48" s="1157"/>
      <c r="F48" s="1157"/>
      <c r="G48" s="1157"/>
    </row>
    <row r="49" spans="1:7">
      <c r="A49" s="1236">
        <v>38</v>
      </c>
      <c r="B49" s="1157"/>
      <c r="C49" s="1168">
        <f t="shared" si="0"/>
        <v>0</v>
      </c>
      <c r="D49" s="1157"/>
      <c r="E49" s="1157"/>
      <c r="F49" s="1157"/>
      <c r="G49" s="1157"/>
    </row>
    <row r="50" spans="1:7">
      <c r="A50" s="1236">
        <v>39</v>
      </c>
      <c r="B50" s="1157"/>
      <c r="C50" s="1168">
        <f t="shared" si="0"/>
        <v>0</v>
      </c>
      <c r="D50" s="1157"/>
      <c r="E50" s="1157"/>
      <c r="F50" s="1157"/>
      <c r="G50" s="1157"/>
    </row>
    <row r="51" spans="1:7">
      <c r="A51" s="1236">
        <v>40</v>
      </c>
      <c r="B51" s="1157"/>
      <c r="C51" s="1168">
        <f t="shared" si="0"/>
        <v>0</v>
      </c>
      <c r="D51" s="1157"/>
      <c r="E51" s="1157"/>
      <c r="F51" s="1157"/>
      <c r="G51" s="1157"/>
    </row>
    <row r="52" spans="1:7">
      <c r="A52" s="4053">
        <v>41</v>
      </c>
      <c r="B52" s="4055" t="s">
        <v>196</v>
      </c>
      <c r="C52" s="4013">
        <v>891629751</v>
      </c>
      <c r="D52" s="1163"/>
      <c r="E52" s="4013">
        <f>SUM(E12:E51)</f>
        <v>313081319</v>
      </c>
      <c r="F52" s="4013">
        <f>SUM(F12:F51)</f>
        <v>342337986</v>
      </c>
      <c r="G52" s="4013">
        <f>SUM(G12:G51)</f>
        <v>920886418</v>
      </c>
    </row>
    <row r="53" spans="1:7">
      <c r="A53" s="3964"/>
      <c r="B53" s="4056"/>
      <c r="C53" s="4019"/>
      <c r="D53" s="1339"/>
      <c r="E53" s="4019"/>
      <c r="F53" s="4019"/>
      <c r="G53" s="4019"/>
    </row>
  </sheetData>
  <mergeCells count="14">
    <mergeCell ref="G52:G53"/>
    <mergeCell ref="A6:G6"/>
    <mergeCell ref="A7:G7"/>
    <mergeCell ref="A8:A10"/>
    <mergeCell ref="B8:B9"/>
    <mergeCell ref="C8:C9"/>
    <mergeCell ref="D8:E8"/>
    <mergeCell ref="F8:F9"/>
    <mergeCell ref="G8:G9"/>
    <mergeCell ref="A52:A53"/>
    <mergeCell ref="B52:B53"/>
    <mergeCell ref="C52:C53"/>
    <mergeCell ref="E52:E53"/>
    <mergeCell ref="F52:F53"/>
  </mergeCells>
  <pageMargins left="0.75" right="0.75" top="1" bottom="1" header="0.5" footer="0.5"/>
  <pageSetup orientation="portrait" horizontalDpi="90" verticalDpi="90" r:id="rId1"/>
  <customProperties>
    <customPr name="_pios_id" r:id="rId2"/>
  </customPropertie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rgb="FF92D050"/>
  </sheetPr>
  <dimension ref="A1:H39"/>
  <sheetViews>
    <sheetView workbookViewId="0">
      <pane ySplit="12" topLeftCell="A13" activePane="bottomLeft" state="frozen"/>
      <selection sqref="A1:XFD1048576"/>
      <selection pane="bottomLeft" sqref="A1:XFD1048576"/>
    </sheetView>
  </sheetViews>
  <sheetFormatPr defaultColWidth="11.625" defaultRowHeight="11.25"/>
  <cols>
    <col min="1" max="1" width="6.125" style="1149" bestFit="1" customWidth="1"/>
    <col min="2" max="2" width="38" style="1149" bestFit="1" customWidth="1"/>
    <col min="3" max="3" width="16.75" style="1149" bestFit="1" customWidth="1"/>
    <col min="4" max="4" width="19.125" style="1149" bestFit="1" customWidth="1"/>
    <col min="5" max="5" width="19.375" style="1149" bestFit="1" customWidth="1"/>
    <col min="6" max="6" width="23.5" style="1149" bestFit="1" customWidth="1"/>
    <col min="7" max="7" width="17.875" style="1149" bestFit="1" customWidth="1"/>
    <col min="8" max="8" width="18.625" style="1149" bestFit="1" customWidth="1"/>
    <col min="9" max="16384" width="11.625" style="1149"/>
  </cols>
  <sheetData>
    <row r="1" spans="1:8">
      <c r="A1" s="507" t="s">
        <v>4977</v>
      </c>
      <c r="B1" s="507"/>
    </row>
    <row r="2" spans="1:8">
      <c r="A2" s="507" t="s">
        <v>6778</v>
      </c>
      <c r="B2" s="507"/>
    </row>
    <row r="3" spans="1:8">
      <c r="A3" s="1197"/>
    </row>
    <row r="4" spans="1:8">
      <c r="A4" s="1197"/>
    </row>
    <row r="6" spans="1:8" ht="11.25" customHeight="1">
      <c r="A6" s="4000" t="s">
        <v>5816</v>
      </c>
      <c r="B6" s="4030"/>
      <c r="C6" s="4030"/>
      <c r="D6" s="4031"/>
      <c r="E6" s="3957" t="s">
        <v>5817</v>
      </c>
      <c r="F6" s="3958"/>
      <c r="G6" s="3958"/>
      <c r="H6" s="3959"/>
    </row>
    <row r="7" spans="1:8" ht="11.25" customHeight="1">
      <c r="A7" s="3953" t="s">
        <v>5818</v>
      </c>
      <c r="B7" s="4035"/>
      <c r="C7" s="4035"/>
      <c r="D7" s="4036"/>
      <c r="E7" s="3970" t="s">
        <v>5818</v>
      </c>
      <c r="F7" s="3971"/>
      <c r="G7" s="3971"/>
      <c r="H7" s="3972"/>
    </row>
    <row r="8" spans="1:8" ht="11.25" customHeight="1">
      <c r="A8" s="3944" t="s">
        <v>5819</v>
      </c>
      <c r="B8" s="4040"/>
      <c r="C8" s="4040"/>
      <c r="D8" s="4041"/>
      <c r="E8" s="4057" t="s">
        <v>5820</v>
      </c>
      <c r="F8" s="4058"/>
      <c r="G8" s="4058"/>
      <c r="H8" s="4059"/>
    </row>
    <row r="9" spans="1:8" ht="10.15" customHeight="1">
      <c r="A9" s="4011" t="s">
        <v>5821</v>
      </c>
      <c r="B9" s="3963" t="s">
        <v>4986</v>
      </c>
      <c r="C9" s="3963" t="s">
        <v>5822</v>
      </c>
      <c r="D9" s="3963" t="s">
        <v>5823</v>
      </c>
      <c r="E9" s="3970" t="s">
        <v>5824</v>
      </c>
      <c r="F9" s="3972"/>
      <c r="G9" s="3970" t="s">
        <v>5825</v>
      </c>
      <c r="H9" s="3972"/>
    </row>
    <row r="10" spans="1:8">
      <c r="A10" s="4060"/>
      <c r="B10" s="4045"/>
      <c r="C10" s="4045"/>
      <c r="D10" s="4045"/>
      <c r="E10" s="1227" t="s">
        <v>5826</v>
      </c>
      <c r="F10" s="1227" t="s">
        <v>5827</v>
      </c>
      <c r="G10" s="1227" t="s">
        <v>5828</v>
      </c>
      <c r="H10" s="1227" t="s">
        <v>5829</v>
      </c>
    </row>
    <row r="11" spans="1:8">
      <c r="A11" s="1181"/>
      <c r="B11" s="1340" t="s">
        <v>4989</v>
      </c>
      <c r="C11" s="1340" t="s">
        <v>4990</v>
      </c>
      <c r="D11" s="1340" t="s">
        <v>4991</v>
      </c>
      <c r="E11" s="1669" t="s">
        <v>4992</v>
      </c>
      <c r="F11" s="1669" t="s">
        <v>5181</v>
      </c>
      <c r="G11" s="1669" t="s">
        <v>5182</v>
      </c>
      <c r="H11" s="1669" t="s">
        <v>5183</v>
      </c>
    </row>
    <row r="12" spans="1:8">
      <c r="A12" s="1184"/>
      <c r="B12" s="1202"/>
      <c r="C12" s="1155" t="s">
        <v>6777</v>
      </c>
      <c r="D12" s="1155" t="s">
        <v>4988</v>
      </c>
      <c r="E12" s="1231" t="s">
        <v>6777</v>
      </c>
      <c r="F12" s="1231" t="s">
        <v>4988</v>
      </c>
      <c r="G12" s="1231" t="s">
        <v>6777</v>
      </c>
      <c r="H12" s="1231" t="s">
        <v>4988</v>
      </c>
    </row>
    <row r="13" spans="1:8">
      <c r="A13" s="1336">
        <v>1</v>
      </c>
      <c r="B13" s="1204" t="s">
        <v>5830</v>
      </c>
      <c r="C13" s="1188"/>
      <c r="D13" s="1688"/>
      <c r="E13" s="1188"/>
      <c r="F13" s="1689"/>
      <c r="G13" s="1689"/>
      <c r="H13" s="1688"/>
    </row>
    <row r="14" spans="1:8">
      <c r="A14" s="1336">
        <v>2</v>
      </c>
      <c r="B14" s="1204" t="s">
        <v>5831</v>
      </c>
      <c r="C14" s="1168">
        <v>1514148995</v>
      </c>
      <c r="D14" s="1187">
        <v>1381833366</v>
      </c>
      <c r="E14" s="1168">
        <v>11387970</v>
      </c>
      <c r="F14" s="1187">
        <v>11753057</v>
      </c>
      <c r="G14" s="1168">
        <v>1077407</v>
      </c>
      <c r="H14" s="1187">
        <v>1065508</v>
      </c>
    </row>
    <row r="15" spans="1:8">
      <c r="A15" s="1336">
        <v>3</v>
      </c>
      <c r="B15" s="1204" t="s">
        <v>5832</v>
      </c>
      <c r="C15" s="1188"/>
      <c r="D15" s="1688"/>
      <c r="E15" s="1188"/>
      <c r="F15" s="1689"/>
      <c r="G15" s="1689"/>
      <c r="H15" s="1688"/>
    </row>
    <row r="16" spans="1:8">
      <c r="A16" s="1336">
        <v>4</v>
      </c>
      <c r="B16" s="1204" t="s">
        <v>5833</v>
      </c>
      <c r="C16" s="1168">
        <v>1079565278</v>
      </c>
      <c r="D16" s="1187">
        <v>988817103</v>
      </c>
      <c r="E16" s="1168">
        <v>8637063</v>
      </c>
      <c r="F16" s="1187">
        <v>8677178</v>
      </c>
      <c r="G16" s="1168">
        <v>134471</v>
      </c>
      <c r="H16" s="1187">
        <v>133609</v>
      </c>
    </row>
    <row r="17" spans="1:8">
      <c r="A17" s="1336">
        <v>5</v>
      </c>
      <c r="B17" s="1204" t="s">
        <v>5834</v>
      </c>
      <c r="C17" s="1168">
        <v>127146530</v>
      </c>
      <c r="D17" s="1187">
        <v>119862308</v>
      </c>
      <c r="E17" s="1168">
        <v>1070933</v>
      </c>
      <c r="F17" s="1187">
        <v>1113909</v>
      </c>
      <c r="G17" s="1168">
        <v>3202</v>
      </c>
      <c r="H17" s="1187">
        <v>3238</v>
      </c>
    </row>
    <row r="18" spans="1:8">
      <c r="A18" s="1336">
        <v>6</v>
      </c>
      <c r="B18" s="1204" t="s">
        <v>5835</v>
      </c>
      <c r="C18" s="1168">
        <v>20865111</v>
      </c>
      <c r="D18" s="1187">
        <v>18414824</v>
      </c>
      <c r="E18" s="1168">
        <v>69796</v>
      </c>
      <c r="F18" s="1187">
        <v>69271</v>
      </c>
      <c r="G18" s="1168">
        <v>9246</v>
      </c>
      <c r="H18" s="1187">
        <v>8039</v>
      </c>
    </row>
    <row r="19" spans="1:8">
      <c r="A19" s="1336">
        <v>7</v>
      </c>
      <c r="B19" s="1204" t="s">
        <v>5836</v>
      </c>
      <c r="C19" s="1189"/>
      <c r="D19" s="1187">
        <v>0</v>
      </c>
      <c r="E19" s="1189"/>
      <c r="F19" s="1187">
        <v>0</v>
      </c>
      <c r="G19" s="1168">
        <v>0</v>
      </c>
      <c r="H19" s="1187">
        <v>0</v>
      </c>
    </row>
    <row r="20" spans="1:8">
      <c r="A20" s="1336">
        <v>8</v>
      </c>
      <c r="B20" s="1204" t="s">
        <v>5837</v>
      </c>
      <c r="C20" s="1189"/>
      <c r="D20" s="1187">
        <v>0</v>
      </c>
      <c r="E20" s="1189"/>
      <c r="F20" s="1187">
        <v>0</v>
      </c>
      <c r="G20" s="1189"/>
      <c r="H20" s="1187">
        <v>0</v>
      </c>
    </row>
    <row r="21" spans="1:8">
      <c r="A21" s="1336">
        <v>9</v>
      </c>
      <c r="B21" s="1204" t="s">
        <v>5838</v>
      </c>
      <c r="C21" s="1189"/>
      <c r="D21" s="1187">
        <v>0</v>
      </c>
      <c r="E21" s="1189"/>
      <c r="F21" s="1187">
        <v>0</v>
      </c>
      <c r="G21" s="1168">
        <v>0</v>
      </c>
      <c r="H21" s="1187">
        <v>0</v>
      </c>
    </row>
    <row r="22" spans="1:8">
      <c r="A22" s="1336">
        <v>10</v>
      </c>
      <c r="B22" s="1204" t="s">
        <v>5839</v>
      </c>
      <c r="C22" s="1187">
        <v>2741725914</v>
      </c>
      <c r="D22" s="1187">
        <v>2508927601</v>
      </c>
      <c r="E22" s="1187">
        <v>21165762</v>
      </c>
      <c r="F22" s="1187">
        <v>21613415</v>
      </c>
      <c r="G22" s="1187">
        <v>1224326</v>
      </c>
      <c r="H22" s="1187">
        <v>1210394</v>
      </c>
    </row>
    <row r="23" spans="1:8">
      <c r="A23" s="1336">
        <v>11</v>
      </c>
      <c r="B23" s="1204" t="s">
        <v>5840</v>
      </c>
      <c r="C23" s="1168">
        <v>640830574</v>
      </c>
      <c r="D23" s="1187">
        <v>546960679</v>
      </c>
      <c r="E23" s="1168">
        <v>9033624</v>
      </c>
      <c r="F23" s="1187">
        <v>6044433</v>
      </c>
      <c r="G23" s="1168">
        <v>8</v>
      </c>
      <c r="H23" s="1187">
        <v>8</v>
      </c>
    </row>
    <row r="24" spans="1:8">
      <c r="A24" s="1336">
        <v>12</v>
      </c>
      <c r="B24" s="1204" t="s">
        <v>5841</v>
      </c>
      <c r="C24" s="1187">
        <v>3382556488</v>
      </c>
      <c r="D24" s="1187">
        <v>3055888280</v>
      </c>
      <c r="E24" s="1187">
        <v>30199386</v>
      </c>
      <c r="F24" s="1187">
        <v>27657848</v>
      </c>
      <c r="G24" s="1187">
        <v>1224334</v>
      </c>
      <c r="H24" s="1187">
        <v>1210402</v>
      </c>
    </row>
    <row r="25" spans="1:8">
      <c r="A25" s="1336">
        <v>13</v>
      </c>
      <c r="B25" s="1204" t="s">
        <v>5842</v>
      </c>
      <c r="C25" s="1168">
        <v>0</v>
      </c>
      <c r="D25" s="1187">
        <v>0</v>
      </c>
      <c r="E25" s="1189"/>
      <c r="F25" s="1187">
        <v>0</v>
      </c>
      <c r="G25" s="1168">
        <v>0</v>
      </c>
      <c r="H25" s="1187">
        <v>0</v>
      </c>
    </row>
    <row r="26" spans="1:8">
      <c r="A26" s="1336">
        <v>14</v>
      </c>
      <c r="B26" s="1204" t="s">
        <v>5843</v>
      </c>
      <c r="C26" s="1187">
        <v>3382556488</v>
      </c>
      <c r="D26" s="1187">
        <v>3055888280</v>
      </c>
      <c r="E26" s="1187">
        <v>30199386</v>
      </c>
      <c r="F26" s="1187">
        <v>27657848</v>
      </c>
      <c r="G26" s="1187">
        <v>1224334</v>
      </c>
      <c r="H26" s="1187">
        <v>1210402</v>
      </c>
    </row>
    <row r="27" spans="1:8">
      <c r="A27" s="1336">
        <v>15</v>
      </c>
      <c r="B27" s="1204" t="s">
        <v>5844</v>
      </c>
      <c r="C27" s="1188"/>
      <c r="D27" s="1688"/>
      <c r="E27" s="1341" t="s">
        <v>5845</v>
      </c>
      <c r="F27" s="1168">
        <v>-11682685</v>
      </c>
      <c r="G27" s="3944" t="s">
        <v>5846</v>
      </c>
      <c r="H27" s="4041"/>
    </row>
    <row r="28" spans="1:8" ht="10.15" customHeight="1">
      <c r="A28" s="1336">
        <v>16</v>
      </c>
      <c r="B28" s="1257" t="s">
        <v>5847</v>
      </c>
      <c r="C28" s="1171">
        <v>-758</v>
      </c>
      <c r="D28" s="1187">
        <v>-1092</v>
      </c>
      <c r="E28" s="1341" t="s">
        <v>5848</v>
      </c>
      <c r="F28" s="1168">
        <v>-275827</v>
      </c>
      <c r="G28" s="3944" t="s">
        <v>5849</v>
      </c>
      <c r="H28" s="4041"/>
    </row>
    <row r="29" spans="1:8">
      <c r="A29" s="1336">
        <v>17</v>
      </c>
      <c r="B29" s="1257" t="s">
        <v>5850</v>
      </c>
      <c r="C29" s="1171">
        <v>16254690</v>
      </c>
      <c r="D29" s="1187">
        <v>14470160</v>
      </c>
      <c r="E29" s="1342"/>
      <c r="F29" s="1176"/>
      <c r="G29" s="1176"/>
      <c r="H29" s="1176"/>
    </row>
    <row r="30" spans="1:8">
      <c r="A30" s="1336">
        <v>18</v>
      </c>
      <c r="B30" s="1257" t="s">
        <v>5851</v>
      </c>
      <c r="C30" s="1258"/>
      <c r="D30" s="1187">
        <v>0</v>
      </c>
      <c r="E30" s="1343"/>
      <c r="F30" s="493"/>
      <c r="G30" s="493"/>
      <c r="H30" s="493"/>
    </row>
    <row r="31" spans="1:8">
      <c r="A31" s="1336">
        <v>19</v>
      </c>
      <c r="B31" s="1257" t="s">
        <v>5852</v>
      </c>
      <c r="C31" s="1171">
        <v>16990858</v>
      </c>
      <c r="D31" s="1187">
        <v>19386738</v>
      </c>
      <c r="E31" s="1343"/>
      <c r="F31" s="493"/>
      <c r="G31" s="493"/>
      <c r="H31" s="493"/>
    </row>
    <row r="32" spans="1:8">
      <c r="A32" s="1336">
        <v>20</v>
      </c>
      <c r="B32" s="1257" t="s">
        <v>5853</v>
      </c>
      <c r="C32" s="1258"/>
      <c r="D32" s="1187">
        <v>0</v>
      </c>
      <c r="E32" s="1343"/>
      <c r="F32" s="493"/>
      <c r="G32" s="493"/>
      <c r="H32" s="493"/>
    </row>
    <row r="33" spans="1:8">
      <c r="A33" s="1336">
        <v>21</v>
      </c>
      <c r="B33" s="1257" t="s">
        <v>5854</v>
      </c>
      <c r="C33" s="1171">
        <v>33809167</v>
      </c>
      <c r="D33" s="1187">
        <v>52511725</v>
      </c>
      <c r="E33" s="1343"/>
      <c r="F33" s="493"/>
      <c r="G33" s="493"/>
      <c r="H33" s="493"/>
    </row>
    <row r="34" spans="1:8">
      <c r="A34" s="1336">
        <v>22</v>
      </c>
      <c r="B34" s="1257" t="s">
        <v>5855</v>
      </c>
      <c r="C34" s="1171">
        <v>34371414</v>
      </c>
      <c r="D34" s="1187">
        <v>36229675</v>
      </c>
      <c r="E34" s="1343"/>
      <c r="F34" s="493"/>
      <c r="G34" s="493"/>
      <c r="H34" s="493"/>
    </row>
    <row r="35" spans="1:8">
      <c r="A35" s="1336">
        <v>23</v>
      </c>
      <c r="B35" s="1204" t="s">
        <v>5856</v>
      </c>
      <c r="C35" s="1189"/>
      <c r="D35" s="1187">
        <v>0</v>
      </c>
      <c r="E35" s="1343"/>
      <c r="F35" s="493"/>
      <c r="G35" s="493"/>
      <c r="H35" s="493"/>
    </row>
    <row r="36" spans="1:8">
      <c r="A36" s="1336">
        <v>24</v>
      </c>
      <c r="B36" s="1204" t="s">
        <v>5857</v>
      </c>
      <c r="C36" s="1189"/>
      <c r="D36" s="1187">
        <v>0</v>
      </c>
      <c r="E36" s="1343"/>
      <c r="F36" s="493"/>
      <c r="G36" s="493"/>
      <c r="H36" s="493"/>
    </row>
    <row r="37" spans="1:8">
      <c r="A37" s="1336">
        <v>25</v>
      </c>
      <c r="B37" s="1157"/>
      <c r="C37" s="1189"/>
      <c r="D37" s="1187">
        <v>0</v>
      </c>
      <c r="E37" s="1343"/>
      <c r="F37" s="493"/>
      <c r="G37" s="493"/>
      <c r="H37" s="493"/>
    </row>
    <row r="38" spans="1:8">
      <c r="A38" s="1336">
        <v>26</v>
      </c>
      <c r="B38" s="1257" t="s">
        <v>5858</v>
      </c>
      <c r="C38" s="1171">
        <v>101425371</v>
      </c>
      <c r="D38" s="1187">
        <v>122597206</v>
      </c>
      <c r="E38" s="1343"/>
      <c r="F38" s="493"/>
      <c r="G38" s="493"/>
      <c r="H38" s="493"/>
    </row>
    <row r="39" spans="1:8">
      <c r="A39" s="1336">
        <v>27</v>
      </c>
      <c r="B39" s="1204" t="s">
        <v>5859</v>
      </c>
      <c r="C39" s="1187">
        <v>3483981859</v>
      </c>
      <c r="D39" s="1187">
        <v>3178485486</v>
      </c>
      <c r="E39" s="1343"/>
      <c r="F39" s="493"/>
      <c r="G39" s="493"/>
      <c r="H39" s="493"/>
    </row>
  </sheetData>
  <mergeCells count="14">
    <mergeCell ref="G28:H28"/>
    <mergeCell ref="G27:H27"/>
    <mergeCell ref="G9:H9"/>
    <mergeCell ref="A6:D6"/>
    <mergeCell ref="E6:H6"/>
    <mergeCell ref="A7:D7"/>
    <mergeCell ref="E7:H7"/>
    <mergeCell ref="A8:D8"/>
    <mergeCell ref="E8:H8"/>
    <mergeCell ref="A9:A10"/>
    <mergeCell ref="B9:B10"/>
    <mergeCell ref="C9:C10"/>
    <mergeCell ref="D9:D10"/>
    <mergeCell ref="E9:F9"/>
  </mergeCells>
  <pageMargins left="0.75" right="0.75" top="1" bottom="1" header="0.5" footer="0.5"/>
  <customProperties>
    <customPr name="_pios_id" r:id="rId1"/>
  </customPropertie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92D050"/>
  </sheetPr>
  <dimension ref="A1:BW108"/>
  <sheetViews>
    <sheetView workbookViewId="0">
      <pane ySplit="11" topLeftCell="A12" activePane="bottomLeft" state="frozen"/>
      <selection sqref="A1:XFD1048576"/>
      <selection pane="bottomLeft" sqref="A1:XFD1048576"/>
    </sheetView>
  </sheetViews>
  <sheetFormatPr defaultColWidth="31.375" defaultRowHeight="11.25"/>
  <cols>
    <col min="1" max="1" width="5.75" style="1327" bestFit="1" customWidth="1"/>
    <col min="2" max="2" width="31.375" style="1327"/>
    <col min="3" max="3" width="6.875" style="1327" bestFit="1" customWidth="1"/>
    <col min="4" max="4" width="9.375" style="1327" bestFit="1" customWidth="1"/>
    <col min="5" max="5" width="10.25" style="1327" bestFit="1" customWidth="1"/>
    <col min="6" max="6" width="15" style="1327" bestFit="1" customWidth="1"/>
    <col min="7" max="7" width="14" style="1327" bestFit="1" customWidth="1"/>
    <col min="8" max="9" width="12" style="1327" bestFit="1" customWidth="1"/>
    <col min="10" max="10" width="11.125" style="1327" bestFit="1" customWidth="1"/>
    <col min="11" max="11" width="10.25" style="1327" bestFit="1" customWidth="1"/>
    <col min="12" max="12" width="11" style="1327" customWidth="1"/>
    <col min="13" max="13" width="1.75" style="1327" customWidth="1"/>
    <col min="14" max="14" width="8.25" style="1327" customWidth="1"/>
    <col min="15" max="15" width="8.625" style="1327" customWidth="1"/>
    <col min="16" max="16" width="7.25" style="1327" customWidth="1"/>
    <col min="17" max="16384" width="31.375" style="1327"/>
  </cols>
  <sheetData>
    <row r="1" spans="1:75">
      <c r="A1" s="507" t="s">
        <v>4977</v>
      </c>
      <c r="B1" s="507"/>
      <c r="O1" s="1344" t="s">
        <v>5860</v>
      </c>
      <c r="P1" s="1344" t="s">
        <v>5861</v>
      </c>
    </row>
    <row r="2" spans="1:75">
      <c r="A2" s="507" t="s">
        <v>6778</v>
      </c>
      <c r="B2" s="507"/>
      <c r="N2" s="3695" t="s">
        <v>4990</v>
      </c>
      <c r="O2" s="3696" t="s">
        <v>5862</v>
      </c>
      <c r="P2" s="3696" t="s">
        <v>5863</v>
      </c>
      <c r="Q2" s="493"/>
      <c r="R2" s="493"/>
      <c r="S2" s="493"/>
      <c r="T2" s="493"/>
      <c r="U2" s="493"/>
      <c r="V2" s="493"/>
      <c r="W2" s="493"/>
      <c r="X2" s="493"/>
      <c r="Y2" s="493"/>
      <c r="Z2" s="493"/>
      <c r="AA2" s="493"/>
      <c r="AB2" s="493"/>
      <c r="AC2" s="493"/>
      <c r="AD2" s="493"/>
      <c r="AE2" s="493"/>
      <c r="AF2" s="493"/>
      <c r="AG2" s="493"/>
      <c r="AH2" s="493"/>
      <c r="AI2" s="493"/>
      <c r="AJ2" s="493"/>
      <c r="AK2" s="493"/>
      <c r="AL2" s="493"/>
      <c r="AM2" s="493"/>
      <c r="AN2" s="493"/>
      <c r="AO2" s="493"/>
      <c r="AP2" s="493"/>
      <c r="AQ2" s="493"/>
      <c r="AR2" s="493"/>
      <c r="AS2" s="493"/>
      <c r="AT2" s="493"/>
      <c r="AU2" s="493"/>
      <c r="AV2" s="493"/>
      <c r="AW2" s="493"/>
      <c r="AX2" s="493"/>
      <c r="AY2" s="493"/>
      <c r="AZ2" s="493"/>
      <c r="BA2" s="493"/>
      <c r="BB2" s="493"/>
      <c r="BC2" s="493"/>
      <c r="BD2" s="493"/>
      <c r="BE2" s="493"/>
      <c r="BF2" s="493"/>
      <c r="BG2" s="493"/>
      <c r="BH2" s="493"/>
      <c r="BI2" s="493"/>
      <c r="BJ2" s="493"/>
      <c r="BK2" s="493"/>
      <c r="BL2" s="493"/>
      <c r="BM2" s="493"/>
      <c r="BN2" s="493"/>
      <c r="BO2" s="493"/>
      <c r="BP2" s="493"/>
      <c r="BQ2" s="493"/>
      <c r="BR2" s="493"/>
      <c r="BS2" s="493"/>
      <c r="BT2" s="493"/>
      <c r="BU2" s="493"/>
      <c r="BV2" s="493"/>
      <c r="BW2" s="493"/>
    </row>
    <row r="3" spans="1:75">
      <c r="A3" s="1345"/>
      <c r="N3" s="3699" t="s">
        <v>186</v>
      </c>
      <c r="O3" s="3700">
        <v>324999</v>
      </c>
      <c r="P3" s="3700">
        <v>6700</v>
      </c>
      <c r="Q3" s="493"/>
      <c r="R3" s="493"/>
      <c r="S3" s="493"/>
      <c r="T3" s="493"/>
      <c r="U3" s="493"/>
      <c r="V3" s="493"/>
      <c r="W3" s="493"/>
      <c r="X3" s="493"/>
      <c r="Y3" s="493"/>
      <c r="Z3" s="493"/>
      <c r="AA3" s="493"/>
      <c r="AB3" s="493"/>
      <c r="AC3" s="493"/>
      <c r="AD3" s="493"/>
      <c r="AE3" s="493"/>
      <c r="AF3" s="493"/>
      <c r="AG3" s="493"/>
      <c r="AH3" s="493"/>
      <c r="AI3" s="493"/>
      <c r="AJ3" s="493"/>
      <c r="AK3" s="493"/>
      <c r="AL3" s="493"/>
      <c r="AM3" s="493"/>
      <c r="AN3" s="493"/>
      <c r="AO3" s="493"/>
      <c r="AP3" s="493"/>
      <c r="AQ3" s="493"/>
      <c r="AR3" s="493"/>
      <c r="AS3" s="493"/>
      <c r="AT3" s="493"/>
      <c r="AU3" s="493"/>
      <c r="AV3" s="493"/>
      <c r="AW3" s="493"/>
      <c r="AX3" s="493"/>
      <c r="AY3" s="493"/>
      <c r="AZ3" s="493"/>
      <c r="BA3" s="493"/>
      <c r="BB3" s="493"/>
      <c r="BC3" s="493"/>
      <c r="BD3" s="493"/>
      <c r="BE3" s="493"/>
      <c r="BF3" s="493"/>
      <c r="BG3" s="493"/>
      <c r="BH3" s="493"/>
      <c r="BI3" s="493"/>
      <c r="BJ3" s="493"/>
      <c r="BK3" s="493"/>
      <c r="BL3" s="493"/>
      <c r="BM3" s="493"/>
      <c r="BN3" s="493"/>
      <c r="BO3" s="493"/>
      <c r="BP3" s="493"/>
      <c r="BQ3" s="493"/>
      <c r="BR3" s="493"/>
      <c r="BS3" s="493"/>
      <c r="BT3" s="493"/>
      <c r="BU3" s="493"/>
      <c r="BV3" s="493"/>
      <c r="BW3" s="493"/>
    </row>
    <row r="4" spans="1:75">
      <c r="A4" s="1345"/>
      <c r="N4" s="3699" t="s">
        <v>192</v>
      </c>
      <c r="O4" s="3700">
        <v>640780730</v>
      </c>
      <c r="P4" s="3700">
        <v>9027709</v>
      </c>
      <c r="Q4" s="493"/>
      <c r="R4" s="493"/>
      <c r="S4" s="493"/>
      <c r="T4" s="493"/>
      <c r="U4" s="493"/>
      <c r="V4" s="493"/>
      <c r="W4" s="493"/>
      <c r="X4" s="493"/>
      <c r="Y4" s="493"/>
      <c r="Z4" s="493"/>
      <c r="AA4" s="493"/>
      <c r="AB4" s="493"/>
      <c r="AC4" s="493"/>
      <c r="AD4" s="493"/>
      <c r="AE4" s="493"/>
      <c r="AF4" s="493"/>
      <c r="AG4" s="493"/>
      <c r="AH4" s="493"/>
      <c r="AI4" s="493"/>
      <c r="AJ4" s="493"/>
      <c r="AK4" s="493"/>
      <c r="AL4" s="493"/>
      <c r="AM4" s="493"/>
      <c r="AN4" s="493"/>
      <c r="AO4" s="493"/>
      <c r="AP4" s="493"/>
      <c r="AQ4" s="493"/>
      <c r="AR4" s="493"/>
      <c r="AS4" s="493"/>
      <c r="AT4" s="493"/>
      <c r="AU4" s="493"/>
      <c r="AV4" s="493"/>
      <c r="AW4" s="493"/>
      <c r="AX4" s="493"/>
      <c r="AY4" s="493"/>
      <c r="AZ4" s="493"/>
      <c r="BA4" s="493"/>
      <c r="BB4" s="493"/>
      <c r="BC4" s="493"/>
      <c r="BD4" s="493"/>
      <c r="BE4" s="493"/>
      <c r="BF4" s="493"/>
      <c r="BG4" s="493"/>
      <c r="BH4" s="493"/>
      <c r="BI4" s="493"/>
      <c r="BJ4" s="493"/>
      <c r="BK4" s="493"/>
      <c r="BL4" s="493"/>
      <c r="BM4" s="493"/>
      <c r="BN4" s="493"/>
      <c r="BO4" s="493"/>
      <c r="BP4" s="493"/>
      <c r="BQ4" s="493"/>
      <c r="BR4" s="493"/>
      <c r="BS4" s="493"/>
      <c r="BT4" s="493"/>
      <c r="BU4" s="493"/>
      <c r="BV4" s="493"/>
      <c r="BW4" s="493"/>
    </row>
    <row r="5" spans="1:75">
      <c r="N5" s="3699" t="s">
        <v>195</v>
      </c>
      <c r="O5" s="3700">
        <v>-275155</v>
      </c>
      <c r="P5" s="3700">
        <v>-785</v>
      </c>
      <c r="Q5" s="493"/>
      <c r="R5" s="493"/>
      <c r="S5" s="493"/>
      <c r="T5" s="493"/>
      <c r="U5" s="493"/>
      <c r="V5" s="493"/>
      <c r="W5" s="493"/>
      <c r="X5" s="493"/>
      <c r="Y5" s="493"/>
      <c r="Z5" s="493"/>
      <c r="AA5" s="493"/>
      <c r="AB5" s="493"/>
      <c r="AC5" s="493"/>
      <c r="AD5" s="493"/>
      <c r="AE5" s="493"/>
      <c r="AF5" s="493"/>
      <c r="AG5" s="493"/>
      <c r="AH5" s="493"/>
      <c r="AI5" s="493"/>
      <c r="AJ5" s="493"/>
      <c r="AK5" s="493"/>
      <c r="AL5" s="493"/>
      <c r="AM5" s="493"/>
      <c r="AN5" s="493"/>
      <c r="AO5" s="493"/>
      <c r="AP5" s="493"/>
      <c r="AQ5" s="493"/>
      <c r="AR5" s="493"/>
      <c r="AS5" s="493"/>
      <c r="AT5" s="493"/>
      <c r="AU5" s="493"/>
      <c r="AV5" s="493"/>
      <c r="AW5" s="493"/>
      <c r="AX5" s="493"/>
      <c r="AY5" s="493"/>
      <c r="AZ5" s="493"/>
      <c r="BA5" s="493"/>
      <c r="BB5" s="493"/>
      <c r="BC5" s="493"/>
      <c r="BD5" s="493"/>
      <c r="BE5" s="493"/>
      <c r="BF5" s="493"/>
      <c r="BG5" s="493"/>
      <c r="BH5" s="493"/>
      <c r="BI5" s="493"/>
      <c r="BJ5" s="493"/>
      <c r="BK5" s="493"/>
      <c r="BL5" s="493"/>
      <c r="BM5" s="493"/>
      <c r="BN5" s="493"/>
      <c r="BO5" s="493"/>
      <c r="BP5" s="493"/>
      <c r="BQ5" s="493"/>
      <c r="BR5" s="493"/>
      <c r="BS5" s="493"/>
      <c r="BT5" s="493"/>
      <c r="BU5" s="493"/>
      <c r="BV5" s="493"/>
      <c r="BW5" s="493"/>
    </row>
    <row r="6" spans="1:75">
      <c r="N6" s="3699" t="s">
        <v>2301</v>
      </c>
      <c r="O6" s="3700">
        <v>640830574</v>
      </c>
      <c r="P6" s="3700">
        <v>9033624</v>
      </c>
      <c r="Q6" s="493"/>
      <c r="R6" s="493"/>
      <c r="S6" s="493"/>
      <c r="T6" s="493"/>
      <c r="U6" s="493"/>
      <c r="V6" s="493"/>
      <c r="W6" s="493"/>
      <c r="X6" s="493"/>
      <c r="Y6" s="493"/>
      <c r="Z6" s="493"/>
      <c r="AA6" s="493"/>
      <c r="AB6" s="493"/>
      <c r="AC6" s="493"/>
      <c r="AD6" s="493"/>
      <c r="AE6" s="493"/>
      <c r="AF6" s="493"/>
      <c r="AG6" s="493"/>
      <c r="AH6" s="493"/>
      <c r="AI6" s="493"/>
      <c r="AJ6" s="493"/>
      <c r="AK6" s="493"/>
      <c r="AL6" s="493"/>
      <c r="AM6" s="493"/>
      <c r="AN6" s="493"/>
      <c r="AO6" s="493"/>
      <c r="AP6" s="493"/>
      <c r="AQ6" s="493"/>
      <c r="AR6" s="493"/>
      <c r="AS6" s="493"/>
      <c r="AT6" s="493"/>
      <c r="AU6" s="493"/>
      <c r="AV6" s="493"/>
      <c r="AW6" s="493"/>
      <c r="AX6" s="493"/>
      <c r="AY6" s="493"/>
      <c r="AZ6" s="493"/>
      <c r="BA6" s="493"/>
      <c r="BB6" s="493"/>
      <c r="BC6" s="493"/>
      <c r="BD6" s="493"/>
      <c r="BE6" s="493"/>
      <c r="BF6" s="493"/>
      <c r="BG6" s="493"/>
      <c r="BH6" s="493"/>
      <c r="BI6" s="493"/>
      <c r="BJ6" s="493"/>
      <c r="BK6" s="493"/>
      <c r="BL6" s="493"/>
      <c r="BM6" s="493"/>
      <c r="BN6" s="493"/>
      <c r="BO6" s="493"/>
      <c r="BP6" s="493"/>
      <c r="BQ6" s="493"/>
      <c r="BR6" s="493"/>
      <c r="BS6" s="493"/>
      <c r="BT6" s="493"/>
      <c r="BU6" s="493"/>
      <c r="BV6" s="493"/>
      <c r="BW6" s="493"/>
    </row>
    <row r="7" spans="1:75" ht="11.25" customHeight="1">
      <c r="A7" s="4066" t="s">
        <v>5864</v>
      </c>
      <c r="B7" s="4067"/>
      <c r="C7" s="4067"/>
      <c r="D7" s="4067"/>
      <c r="E7" s="4067"/>
      <c r="F7" s="4067"/>
      <c r="G7" s="4068"/>
      <c r="H7" s="4066" t="s">
        <v>5865</v>
      </c>
      <c r="I7" s="4067"/>
      <c r="J7" s="4067"/>
      <c r="K7" s="4067"/>
      <c r="L7" s="4068"/>
      <c r="N7" s="1346" t="s">
        <v>929</v>
      </c>
      <c r="O7" s="1347">
        <f>O6-L105</f>
        <v>0</v>
      </c>
      <c r="P7" s="1348">
        <f>P6-H105</f>
        <v>0</v>
      </c>
      <c r="Q7" s="493"/>
      <c r="R7" s="493"/>
      <c r="S7" s="493"/>
      <c r="T7" s="493"/>
      <c r="U7" s="493"/>
      <c r="V7" s="493"/>
      <c r="W7" s="493"/>
      <c r="X7" s="493"/>
      <c r="Y7" s="493"/>
      <c r="Z7" s="493"/>
      <c r="AA7" s="493"/>
      <c r="AB7" s="493"/>
      <c r="AC7" s="493"/>
      <c r="AD7" s="493"/>
      <c r="AE7" s="493"/>
      <c r="AF7" s="493"/>
      <c r="AG7" s="493"/>
      <c r="AH7" s="493"/>
      <c r="AI7" s="493"/>
      <c r="AJ7" s="493"/>
      <c r="AK7" s="493"/>
      <c r="AL7" s="493"/>
      <c r="AM7" s="493"/>
      <c r="AN7" s="493"/>
      <c r="AO7" s="493"/>
      <c r="AP7" s="493"/>
      <c r="AQ7" s="493"/>
      <c r="AR7" s="493"/>
      <c r="AS7" s="493"/>
      <c r="AT7" s="493"/>
      <c r="AU7" s="493"/>
      <c r="AV7" s="493"/>
      <c r="AW7" s="493"/>
      <c r="AX7" s="493"/>
      <c r="AY7" s="493"/>
      <c r="AZ7" s="493"/>
      <c r="BA7" s="493"/>
      <c r="BB7" s="493"/>
      <c r="BC7" s="493"/>
      <c r="BD7" s="493"/>
      <c r="BE7" s="493"/>
      <c r="BF7" s="493"/>
      <c r="BG7" s="493"/>
      <c r="BH7" s="493"/>
      <c r="BI7" s="493"/>
      <c r="BJ7" s="493"/>
      <c r="BK7" s="493"/>
      <c r="BL7" s="493"/>
      <c r="BM7" s="493"/>
      <c r="BN7" s="493"/>
      <c r="BO7" s="493"/>
      <c r="BP7" s="493"/>
      <c r="BQ7" s="493"/>
      <c r="BR7" s="493"/>
      <c r="BS7" s="493"/>
      <c r="BT7" s="493"/>
      <c r="BU7" s="493"/>
      <c r="BV7" s="493"/>
      <c r="BW7" s="493"/>
    </row>
    <row r="8" spans="1:75" ht="22.5" customHeight="1">
      <c r="A8" s="4069" t="s">
        <v>5866</v>
      </c>
      <c r="B8" s="4070"/>
      <c r="C8" s="4070"/>
      <c r="D8" s="4070"/>
      <c r="E8" s="4070"/>
      <c r="F8" s="4070"/>
      <c r="G8" s="4071"/>
      <c r="H8" s="4069" t="s">
        <v>5867</v>
      </c>
      <c r="I8" s="4070"/>
      <c r="J8" s="4070"/>
      <c r="K8" s="4070"/>
      <c r="L8" s="4071"/>
      <c r="N8" s="493"/>
      <c r="O8" s="493"/>
      <c r="P8" s="493"/>
      <c r="Q8" s="493"/>
      <c r="R8" s="493"/>
      <c r="S8" s="493"/>
      <c r="T8" s="493"/>
      <c r="U8" s="493"/>
      <c r="V8" s="493"/>
      <c r="W8" s="493"/>
      <c r="X8" s="493"/>
      <c r="Y8" s="493"/>
      <c r="Z8" s="493"/>
      <c r="AA8" s="493"/>
      <c r="AB8" s="493"/>
      <c r="AC8" s="493"/>
      <c r="AD8" s="493"/>
      <c r="AE8" s="493"/>
      <c r="AF8" s="493"/>
      <c r="AG8" s="493"/>
      <c r="AH8" s="493"/>
      <c r="AI8" s="493"/>
      <c r="AJ8" s="493"/>
      <c r="AK8" s="493"/>
      <c r="AL8" s="493"/>
      <c r="AM8" s="493"/>
      <c r="AN8" s="493"/>
      <c r="AO8" s="493"/>
      <c r="AP8" s="493"/>
      <c r="AQ8" s="493"/>
      <c r="AR8" s="493"/>
      <c r="AS8" s="493"/>
      <c r="AT8" s="493"/>
      <c r="AU8" s="493"/>
      <c r="AV8" s="493"/>
      <c r="AW8" s="493"/>
      <c r="AX8" s="493"/>
      <c r="AY8" s="493"/>
      <c r="AZ8" s="493"/>
      <c r="BA8" s="493"/>
      <c r="BB8" s="493"/>
      <c r="BC8" s="493"/>
      <c r="BD8" s="493"/>
      <c r="BE8" s="493"/>
      <c r="BF8" s="493"/>
      <c r="BG8" s="493"/>
      <c r="BH8" s="493"/>
      <c r="BI8" s="493"/>
      <c r="BJ8" s="493"/>
      <c r="BK8" s="493"/>
      <c r="BL8" s="493"/>
      <c r="BM8" s="493"/>
      <c r="BN8" s="493"/>
      <c r="BO8" s="493"/>
      <c r="BP8" s="493"/>
      <c r="BQ8" s="493"/>
      <c r="BR8" s="493"/>
      <c r="BS8" s="493"/>
      <c r="BT8" s="493"/>
      <c r="BU8" s="493"/>
      <c r="BV8" s="493"/>
      <c r="BW8" s="493"/>
    </row>
    <row r="9" spans="1:75" ht="15" customHeight="1">
      <c r="A9" s="4061" t="s">
        <v>5177</v>
      </c>
      <c r="B9" s="4061" t="s">
        <v>5868</v>
      </c>
      <c r="C9" s="4061" t="s">
        <v>5869</v>
      </c>
      <c r="D9" s="4061" t="s">
        <v>5870</v>
      </c>
      <c r="E9" s="4061" t="s">
        <v>5871</v>
      </c>
      <c r="F9" s="4073" t="s">
        <v>5872</v>
      </c>
      <c r="G9" s="4074"/>
      <c r="H9" s="4061" t="s">
        <v>5873</v>
      </c>
      <c r="I9" s="4063" t="s">
        <v>5874</v>
      </c>
      <c r="J9" s="4064"/>
      <c r="K9" s="4065"/>
      <c r="L9" s="4061" t="s">
        <v>5875</v>
      </c>
    </row>
    <row r="10" spans="1:75" ht="22.5">
      <c r="A10" s="4062"/>
      <c r="B10" s="4062"/>
      <c r="C10" s="4062"/>
      <c r="D10" s="4062"/>
      <c r="E10" s="4062"/>
      <c r="F10" s="1349" t="s">
        <v>5876</v>
      </c>
      <c r="G10" s="1349" t="s">
        <v>5877</v>
      </c>
      <c r="H10" s="4062"/>
      <c r="I10" s="1350" t="s">
        <v>5878</v>
      </c>
      <c r="J10" s="1350" t="s">
        <v>5879</v>
      </c>
      <c r="K10" s="1350" t="s">
        <v>5880</v>
      </c>
      <c r="L10" s="4062"/>
    </row>
    <row r="11" spans="1:75">
      <c r="A11" s="4072"/>
      <c r="B11" s="1351" t="s">
        <v>4989</v>
      </c>
      <c r="C11" s="1351" t="s">
        <v>4990</v>
      </c>
      <c r="D11" s="1351" t="s">
        <v>4991</v>
      </c>
      <c r="E11" s="1351" t="s">
        <v>4992</v>
      </c>
      <c r="F11" s="1351" t="s">
        <v>5181</v>
      </c>
      <c r="G11" s="1351" t="s">
        <v>5182</v>
      </c>
      <c r="H11" s="1351" t="s">
        <v>5183</v>
      </c>
      <c r="I11" s="1351" t="s">
        <v>5184</v>
      </c>
      <c r="J11" s="1351" t="s">
        <v>5185</v>
      </c>
      <c r="K11" s="1351" t="s">
        <v>5186</v>
      </c>
      <c r="L11" s="1351" t="s">
        <v>5187</v>
      </c>
    </row>
    <row r="12" spans="1:75" ht="12" customHeight="1">
      <c r="A12" s="1203">
        <v>1</v>
      </c>
      <c r="B12" s="1204" t="s">
        <v>5881</v>
      </c>
      <c r="C12" s="1204" t="s">
        <v>186</v>
      </c>
      <c r="D12" s="1163" t="s">
        <v>5882</v>
      </c>
      <c r="E12" s="1352">
        <v>0.13300000000000001</v>
      </c>
      <c r="F12" s="1352">
        <v>0.13300000000000001</v>
      </c>
      <c r="G12" s="1352">
        <v>0.13300000000000001</v>
      </c>
      <c r="H12" s="1203">
        <v>752</v>
      </c>
      <c r="I12" s="1168">
        <v>8387</v>
      </c>
      <c r="J12" s="1168">
        <v>26418</v>
      </c>
      <c r="K12" s="1168">
        <v>2610</v>
      </c>
      <c r="L12" s="1187">
        <v>37415</v>
      </c>
    </row>
    <row r="13" spans="1:75" ht="12" customHeight="1">
      <c r="A13" s="1203">
        <v>2</v>
      </c>
      <c r="B13" s="1204" t="s">
        <v>5883</v>
      </c>
      <c r="C13" s="1157" t="s">
        <v>186</v>
      </c>
      <c r="D13" s="1163" t="s">
        <v>5882</v>
      </c>
      <c r="E13" s="1352">
        <v>0.20300000000000001</v>
      </c>
      <c r="F13" s="1352">
        <v>0.20300000000000001</v>
      </c>
      <c r="G13" s="1352">
        <v>0.20300000000000001</v>
      </c>
      <c r="H13" s="1203">
        <v>1343</v>
      </c>
      <c r="I13" s="1168">
        <v>14030</v>
      </c>
      <c r="J13" s="1168">
        <v>47207</v>
      </c>
      <c r="K13" s="1168">
        <v>2591</v>
      </c>
      <c r="L13" s="1187">
        <v>63828</v>
      </c>
    </row>
    <row r="14" spans="1:75" ht="12" customHeight="1">
      <c r="A14" s="1203">
        <v>3</v>
      </c>
      <c r="B14" s="1204" t="s">
        <v>5884</v>
      </c>
      <c r="C14" s="1157" t="s">
        <v>186</v>
      </c>
      <c r="D14" s="1163" t="s">
        <v>5882</v>
      </c>
      <c r="E14" s="1320">
        <v>0.22700000000000001</v>
      </c>
      <c r="F14" s="1320">
        <v>0.22700000000000001</v>
      </c>
      <c r="G14" s="1320">
        <v>0.22700000000000001</v>
      </c>
      <c r="H14" s="1203">
        <v>1367</v>
      </c>
      <c r="I14" s="1168">
        <v>14314</v>
      </c>
      <c r="J14" s="1168">
        <v>48019</v>
      </c>
      <c r="K14" s="1168">
        <v>2610</v>
      </c>
      <c r="L14" s="1187">
        <v>64943</v>
      </c>
    </row>
    <row r="15" spans="1:75" ht="12" customHeight="1">
      <c r="A15" s="1203">
        <v>4</v>
      </c>
      <c r="B15" s="1204" t="s">
        <v>5885</v>
      </c>
      <c r="C15" s="1157" t="s">
        <v>186</v>
      </c>
      <c r="D15" s="1163" t="s">
        <v>5882</v>
      </c>
      <c r="E15" s="1320">
        <v>0.121</v>
      </c>
      <c r="F15" s="1320">
        <v>0.121</v>
      </c>
      <c r="G15" s="1320">
        <v>0.121</v>
      </c>
      <c r="H15" s="1203">
        <v>683</v>
      </c>
      <c r="I15" s="1168">
        <v>7617</v>
      </c>
      <c r="J15" s="1168">
        <v>23992</v>
      </c>
      <c r="K15" s="1168">
        <v>1285</v>
      </c>
      <c r="L15" s="1187">
        <v>32894</v>
      </c>
    </row>
    <row r="16" spans="1:75" ht="12" customHeight="1">
      <c r="A16" s="1203">
        <v>5</v>
      </c>
      <c r="B16" s="1204" t="s">
        <v>5886</v>
      </c>
      <c r="C16" s="1157" t="s">
        <v>186</v>
      </c>
      <c r="D16" s="1163" t="s">
        <v>5882</v>
      </c>
      <c r="E16" s="1320">
        <v>3.4000000000000002E-2</v>
      </c>
      <c r="F16" s="1320">
        <v>3.4000000000000002E-2</v>
      </c>
      <c r="G16" s="1320">
        <v>3.4000000000000002E-2</v>
      </c>
      <c r="H16" s="1203">
        <v>179</v>
      </c>
      <c r="I16" s="1168">
        <v>2681</v>
      </c>
      <c r="J16" s="1168">
        <v>6283</v>
      </c>
      <c r="K16" s="1168">
        <v>0</v>
      </c>
      <c r="L16" s="1187">
        <v>8964</v>
      </c>
    </row>
    <row r="17" spans="1:12" ht="12" customHeight="1">
      <c r="A17" s="1203">
        <v>6</v>
      </c>
      <c r="B17" s="1204" t="s">
        <v>5887</v>
      </c>
      <c r="C17" s="1157" t="s">
        <v>186</v>
      </c>
      <c r="D17" s="1163" t="s">
        <v>5882</v>
      </c>
      <c r="E17" s="1320">
        <v>0.106</v>
      </c>
      <c r="F17" s="1320">
        <v>0.106</v>
      </c>
      <c r="G17" s="1320">
        <v>0.106</v>
      </c>
      <c r="H17" s="1203">
        <v>626</v>
      </c>
      <c r="I17" s="1168">
        <v>6703</v>
      </c>
      <c r="J17" s="1168">
        <v>21986</v>
      </c>
      <c r="K17" s="1168">
        <v>2360</v>
      </c>
      <c r="L17" s="1187">
        <v>31049</v>
      </c>
    </row>
    <row r="18" spans="1:12" ht="12" customHeight="1">
      <c r="A18" s="1203">
        <v>7</v>
      </c>
      <c r="B18" s="1204" t="s">
        <v>5888</v>
      </c>
      <c r="C18" s="1157" t="s">
        <v>186</v>
      </c>
      <c r="D18" s="1163" t="s">
        <v>5882</v>
      </c>
      <c r="E18" s="1320">
        <v>7.5999999999999998E-2</v>
      </c>
      <c r="F18" s="1320">
        <v>7.5999999999999998E-2</v>
      </c>
      <c r="G18" s="1320">
        <v>7.5999999999999998E-2</v>
      </c>
      <c r="H18" s="1203">
        <v>464</v>
      </c>
      <c r="I18" s="1168">
        <v>4760</v>
      </c>
      <c r="J18" s="1168">
        <v>16301</v>
      </c>
      <c r="K18" s="1168">
        <v>1268</v>
      </c>
      <c r="L18" s="1187">
        <v>22329</v>
      </c>
    </row>
    <row r="19" spans="1:12" ht="12" customHeight="1">
      <c r="A19" s="1203">
        <v>8</v>
      </c>
      <c r="B19" s="1204" t="s">
        <v>5889</v>
      </c>
      <c r="C19" s="1157" t="s">
        <v>186</v>
      </c>
      <c r="D19" s="1163" t="s">
        <v>5882</v>
      </c>
      <c r="E19" s="1320">
        <v>7.8E-2</v>
      </c>
      <c r="F19" s="1320">
        <v>7.8E-2</v>
      </c>
      <c r="G19" s="1320">
        <v>7.8E-2</v>
      </c>
      <c r="H19" s="1203">
        <v>465</v>
      </c>
      <c r="I19" s="1168">
        <v>4923</v>
      </c>
      <c r="J19" s="1168">
        <v>16330</v>
      </c>
      <c r="K19" s="1168">
        <v>871</v>
      </c>
      <c r="L19" s="1187">
        <v>22124</v>
      </c>
    </row>
    <row r="20" spans="1:12" ht="12" customHeight="1">
      <c r="A20" s="1203">
        <v>9</v>
      </c>
      <c r="B20" s="1204" t="s">
        <v>5890</v>
      </c>
      <c r="C20" s="1157" t="s">
        <v>186</v>
      </c>
      <c r="D20" s="1163" t="s">
        <v>5882</v>
      </c>
      <c r="E20" s="1320">
        <v>0.16200000000000001</v>
      </c>
      <c r="F20" s="1320">
        <v>0.16200000000000001</v>
      </c>
      <c r="G20" s="1320">
        <v>0.16200000000000001</v>
      </c>
      <c r="H20" s="1203">
        <v>999</v>
      </c>
      <c r="I20" s="1168">
        <v>10222</v>
      </c>
      <c r="J20" s="1168">
        <v>35115</v>
      </c>
      <c r="K20" s="1168">
        <v>4876</v>
      </c>
      <c r="L20" s="1187">
        <v>50213</v>
      </c>
    </row>
    <row r="21" spans="1:12" ht="12" customHeight="1">
      <c r="A21" s="1203">
        <v>10</v>
      </c>
      <c r="B21" s="1204" t="s">
        <v>5891</v>
      </c>
      <c r="C21" s="1157" t="s">
        <v>186</v>
      </c>
      <c r="D21" s="1163" t="s">
        <v>5882</v>
      </c>
      <c r="E21" s="1157"/>
      <c r="F21" s="1157"/>
      <c r="G21" s="1157"/>
      <c r="H21" s="1203">
        <v>-178</v>
      </c>
      <c r="I21" s="1168">
        <v>-2525</v>
      </c>
      <c r="J21" s="1168">
        <v>-6235</v>
      </c>
      <c r="K21" s="1168">
        <v>0</v>
      </c>
      <c r="L21" s="1187">
        <v>-8760</v>
      </c>
    </row>
    <row r="22" spans="1:12" ht="12" customHeight="1">
      <c r="A22" s="1203">
        <v>11</v>
      </c>
      <c r="B22" s="1204" t="s">
        <v>5892</v>
      </c>
      <c r="C22" s="1157" t="s">
        <v>195</v>
      </c>
      <c r="D22" s="1163" t="s">
        <v>5893</v>
      </c>
      <c r="E22" s="1157"/>
      <c r="F22" s="1157"/>
      <c r="G22" s="1157"/>
      <c r="H22" s="1203">
        <v>12</v>
      </c>
      <c r="I22" s="1157"/>
      <c r="J22" s="1157"/>
      <c r="K22" s="1168">
        <v>1350</v>
      </c>
      <c r="L22" s="1187">
        <v>1350</v>
      </c>
    </row>
    <row r="23" spans="1:12" ht="12" customHeight="1">
      <c r="A23" s="1203">
        <v>12</v>
      </c>
      <c r="B23" s="1204" t="s">
        <v>5892</v>
      </c>
      <c r="C23" s="1157" t="s">
        <v>192</v>
      </c>
      <c r="D23" s="1163" t="s">
        <v>5893</v>
      </c>
      <c r="E23" s="1157"/>
      <c r="F23" s="1157"/>
      <c r="G23" s="1157"/>
      <c r="H23" s="1203">
        <v>939905</v>
      </c>
      <c r="I23" s="1157"/>
      <c r="J23" s="1168">
        <v>71455908</v>
      </c>
      <c r="K23" s="1157"/>
      <c r="L23" s="1187">
        <v>71455908</v>
      </c>
    </row>
    <row r="24" spans="1:12" ht="12" customHeight="1">
      <c r="A24" s="1203">
        <v>13</v>
      </c>
      <c r="B24" s="1204" t="s">
        <v>5892</v>
      </c>
      <c r="C24" s="1157" t="s">
        <v>192</v>
      </c>
      <c r="D24" s="1163" t="s">
        <v>5894</v>
      </c>
      <c r="E24" s="1157"/>
      <c r="F24" s="1157"/>
      <c r="G24" s="1157"/>
      <c r="H24" s="1203">
        <v>27</v>
      </c>
      <c r="I24" s="1157"/>
      <c r="J24" s="1168">
        <v>2110</v>
      </c>
      <c r="K24" s="1157"/>
      <c r="L24" s="1187">
        <v>2110</v>
      </c>
    </row>
    <row r="25" spans="1:12" ht="12" customHeight="1">
      <c r="A25" s="1203">
        <v>14</v>
      </c>
      <c r="B25" s="1204" t="s">
        <v>5895</v>
      </c>
      <c r="C25" s="1157" t="s">
        <v>195</v>
      </c>
      <c r="D25" s="1163" t="s">
        <v>5893</v>
      </c>
      <c r="E25" s="1157"/>
      <c r="F25" s="1157"/>
      <c r="G25" s="1157"/>
      <c r="H25" s="1203">
        <v>-45</v>
      </c>
      <c r="I25" s="1157"/>
      <c r="J25" s="1157"/>
      <c r="K25" s="1168">
        <v>-14225</v>
      </c>
      <c r="L25" s="1187">
        <v>-14225</v>
      </c>
    </row>
    <row r="26" spans="1:12" ht="12" customHeight="1">
      <c r="A26" s="1353">
        <v>14.000999999999999</v>
      </c>
      <c r="B26" s="1204" t="s">
        <v>5895</v>
      </c>
      <c r="C26" s="1204" t="s">
        <v>192</v>
      </c>
      <c r="D26" s="1163" t="s">
        <v>5893</v>
      </c>
      <c r="E26" s="1189"/>
      <c r="F26" s="1189"/>
      <c r="G26" s="1189"/>
      <c r="H26" s="1203">
        <v>22342</v>
      </c>
      <c r="I26" s="1157"/>
      <c r="J26" s="1168">
        <v>1749777</v>
      </c>
      <c r="K26" s="1157"/>
      <c r="L26" s="1187">
        <v>1749777</v>
      </c>
    </row>
    <row r="27" spans="1:12" ht="12" customHeight="1">
      <c r="A27" s="1353">
        <v>14.002000000000001</v>
      </c>
      <c r="B27" s="1204" t="s">
        <v>5895</v>
      </c>
      <c r="C27" s="1157" t="s">
        <v>192</v>
      </c>
      <c r="D27" s="1163" t="s">
        <v>5894</v>
      </c>
      <c r="E27" s="1189"/>
      <c r="F27" s="1189"/>
      <c r="G27" s="1189"/>
      <c r="H27" s="1203">
        <v>39</v>
      </c>
      <c r="I27" s="1157"/>
      <c r="J27" s="1168">
        <v>2651</v>
      </c>
      <c r="K27" s="1157"/>
      <c r="L27" s="1187">
        <v>2651</v>
      </c>
    </row>
    <row r="28" spans="1:12" ht="12" customHeight="1">
      <c r="A28" s="1353">
        <v>14.003</v>
      </c>
      <c r="B28" s="1204" t="s">
        <v>6795</v>
      </c>
      <c r="C28" s="1157" t="s">
        <v>192</v>
      </c>
      <c r="D28" s="1163" t="s">
        <v>5893</v>
      </c>
      <c r="E28" s="1157"/>
      <c r="F28" s="1157"/>
      <c r="G28" s="1157"/>
      <c r="H28" s="1203">
        <v>846</v>
      </c>
      <c r="I28" s="1157"/>
      <c r="J28" s="1168">
        <v>64485</v>
      </c>
      <c r="K28" s="1157"/>
      <c r="L28" s="1187">
        <v>64485</v>
      </c>
    </row>
    <row r="29" spans="1:12" ht="12" customHeight="1">
      <c r="A29" s="1353">
        <v>14.004</v>
      </c>
      <c r="B29" s="1204" t="s">
        <v>5896</v>
      </c>
      <c r="C29" s="1157" t="s">
        <v>192</v>
      </c>
      <c r="D29" s="1163" t="s">
        <v>5894</v>
      </c>
      <c r="E29" s="1157"/>
      <c r="F29" s="1157"/>
      <c r="G29" s="1157"/>
      <c r="H29" s="1203">
        <v>30</v>
      </c>
      <c r="I29" s="1157"/>
      <c r="J29" s="1157">
        <v>2192</v>
      </c>
      <c r="K29" s="1168"/>
      <c r="L29" s="1187">
        <v>2192</v>
      </c>
    </row>
    <row r="30" spans="1:12" ht="12" customHeight="1">
      <c r="A30" s="1353">
        <v>14.006</v>
      </c>
      <c r="B30" s="1204" t="s">
        <v>5897</v>
      </c>
      <c r="C30" s="1157" t="s">
        <v>195</v>
      </c>
      <c r="D30" s="1163" t="s">
        <v>5893</v>
      </c>
      <c r="E30" s="1157"/>
      <c r="F30" s="1157"/>
      <c r="G30" s="1157"/>
      <c r="H30" s="1203">
        <v>36</v>
      </c>
      <c r="I30" s="1157"/>
      <c r="J30" s="1168"/>
      <c r="K30" s="1157">
        <v>14277</v>
      </c>
      <c r="L30" s="1187">
        <v>14277</v>
      </c>
    </row>
    <row r="31" spans="1:12" ht="12" customHeight="1">
      <c r="A31" s="1353">
        <v>14.007</v>
      </c>
      <c r="B31" s="1204" t="s">
        <v>5897</v>
      </c>
      <c r="C31" s="1157" t="s">
        <v>192</v>
      </c>
      <c r="D31" s="1163" t="s">
        <v>5893</v>
      </c>
      <c r="E31" s="1157"/>
      <c r="F31" s="1157"/>
      <c r="G31" s="1157"/>
      <c r="H31" s="1203">
        <v>325075</v>
      </c>
      <c r="I31" s="1157"/>
      <c r="J31" s="1168">
        <v>26977655</v>
      </c>
      <c r="K31" s="1157"/>
      <c r="L31" s="1187">
        <v>26977655</v>
      </c>
    </row>
    <row r="32" spans="1:12" ht="12" customHeight="1">
      <c r="A32" s="1353">
        <v>14.007999999999999</v>
      </c>
      <c r="B32" s="1204" t="s">
        <v>5897</v>
      </c>
      <c r="C32" s="1157" t="s">
        <v>192</v>
      </c>
      <c r="D32" s="1163" t="s">
        <v>5894</v>
      </c>
      <c r="E32" s="1157"/>
      <c r="F32" s="1157"/>
      <c r="G32" s="1157"/>
      <c r="H32" s="1203">
        <v>78</v>
      </c>
      <c r="I32" s="1157"/>
      <c r="J32" s="1157">
        <v>3803</v>
      </c>
      <c r="K32" s="1168"/>
      <c r="L32" s="1187">
        <v>3803</v>
      </c>
    </row>
    <row r="33" spans="1:14" ht="12" customHeight="1">
      <c r="A33" s="1353">
        <v>14.009</v>
      </c>
      <c r="B33" s="1204" t="s">
        <v>5898</v>
      </c>
      <c r="C33" s="1157" t="s">
        <v>195</v>
      </c>
      <c r="D33" s="1163" t="s">
        <v>5893</v>
      </c>
      <c r="E33" s="1157"/>
      <c r="F33" s="1157"/>
      <c r="G33" s="1157"/>
      <c r="H33" s="1203"/>
      <c r="I33" s="1157"/>
      <c r="J33" s="1168"/>
      <c r="K33" s="1157">
        <v>76</v>
      </c>
      <c r="L33" s="1187">
        <v>76</v>
      </c>
    </row>
    <row r="34" spans="1:14" ht="12" customHeight="1">
      <c r="A34" s="1353">
        <v>14.01</v>
      </c>
      <c r="B34" s="1204" t="s">
        <v>5898</v>
      </c>
      <c r="C34" s="1157" t="s">
        <v>192</v>
      </c>
      <c r="D34" s="1163" t="s">
        <v>5893</v>
      </c>
      <c r="E34" s="1157"/>
      <c r="F34" s="1157"/>
      <c r="G34" s="1157"/>
      <c r="H34" s="1203">
        <v>496878</v>
      </c>
      <c r="I34" s="1157"/>
      <c r="J34" s="1168">
        <v>39504508</v>
      </c>
      <c r="K34" s="1157"/>
      <c r="L34" s="1187">
        <v>39504508</v>
      </c>
    </row>
    <row r="35" spans="1:14" ht="12" customHeight="1">
      <c r="A35" s="1353">
        <v>14.010999999999999</v>
      </c>
      <c r="B35" s="1204" t="s">
        <v>5899</v>
      </c>
      <c r="C35" s="1157" t="s">
        <v>195</v>
      </c>
      <c r="D35" s="1163" t="s">
        <v>5893</v>
      </c>
      <c r="E35" s="1157"/>
      <c r="F35" s="1157"/>
      <c r="G35" s="1157"/>
      <c r="H35" s="1203"/>
      <c r="I35" s="1157"/>
      <c r="J35" s="1168"/>
      <c r="K35" s="1157">
        <v>-30</v>
      </c>
      <c r="L35" s="1187">
        <v>-30</v>
      </c>
    </row>
    <row r="36" spans="1:14" ht="12" customHeight="1">
      <c r="A36" s="1353">
        <v>14.012</v>
      </c>
      <c r="B36" s="1204" t="s">
        <v>5899</v>
      </c>
      <c r="C36" s="1157" t="s">
        <v>192</v>
      </c>
      <c r="D36" s="1163" t="s">
        <v>5893</v>
      </c>
      <c r="E36" s="1157"/>
      <c r="F36" s="1157"/>
      <c r="G36" s="1157"/>
      <c r="H36" s="1203">
        <v>125207</v>
      </c>
      <c r="I36" s="1157"/>
      <c r="J36" s="1168">
        <v>8812873</v>
      </c>
      <c r="K36" s="1157"/>
      <c r="L36" s="1187">
        <v>8812873</v>
      </c>
      <c r="N36" s="1354"/>
    </row>
    <row r="37" spans="1:14" ht="12" customHeight="1">
      <c r="A37" s="1353">
        <v>14.013999999999999</v>
      </c>
      <c r="B37" s="1204" t="s">
        <v>5900</v>
      </c>
      <c r="C37" s="1204" t="s">
        <v>192</v>
      </c>
      <c r="D37" s="1163" t="s">
        <v>5893</v>
      </c>
      <c r="E37" s="1157"/>
      <c r="F37" s="1157"/>
      <c r="G37" s="1157"/>
      <c r="H37" s="1203">
        <v>883038</v>
      </c>
      <c r="I37" s="1157"/>
      <c r="J37" s="1168">
        <v>52512832</v>
      </c>
      <c r="K37" s="1157"/>
      <c r="L37" s="1187">
        <v>52512832</v>
      </c>
    </row>
    <row r="38" spans="1:14" ht="12" customHeight="1">
      <c r="A38" s="1353">
        <v>14.015000000000001</v>
      </c>
      <c r="B38" s="1204" t="s">
        <v>5901</v>
      </c>
      <c r="C38" s="1157" t="s">
        <v>192</v>
      </c>
      <c r="D38" s="1163" t="s">
        <v>5893</v>
      </c>
      <c r="E38" s="1157"/>
      <c r="F38" s="1157"/>
      <c r="G38" s="1157"/>
      <c r="H38" s="1189">
        <v>16104</v>
      </c>
      <c r="I38" s="1157"/>
      <c r="J38" s="1157">
        <v>837414</v>
      </c>
      <c r="K38" s="1168"/>
      <c r="L38" s="1187">
        <v>837414</v>
      </c>
      <c r="N38" s="1354"/>
    </row>
    <row r="39" spans="1:14" ht="12" customHeight="1">
      <c r="A39" s="1353">
        <v>14.016</v>
      </c>
      <c r="B39" s="1204" t="s">
        <v>5901</v>
      </c>
      <c r="C39" s="1157" t="s">
        <v>192</v>
      </c>
      <c r="D39" s="1163" t="s">
        <v>5894</v>
      </c>
      <c r="E39" s="1157"/>
      <c r="F39" s="1157"/>
      <c r="G39" s="1157"/>
      <c r="H39" s="1203">
        <v>16</v>
      </c>
      <c r="I39" s="1157"/>
      <c r="J39" s="1168">
        <v>2033</v>
      </c>
      <c r="K39" s="1157"/>
      <c r="L39" s="1187">
        <v>2033</v>
      </c>
    </row>
    <row r="40" spans="1:14" ht="12" customHeight="1">
      <c r="A40" s="1353">
        <v>14.016999999999999</v>
      </c>
      <c r="B40" s="1204" t="s">
        <v>5902</v>
      </c>
      <c r="C40" s="1157" t="s">
        <v>195</v>
      </c>
      <c r="D40" s="1163" t="s">
        <v>5893</v>
      </c>
      <c r="E40" s="1157"/>
      <c r="F40" s="1157"/>
      <c r="G40" s="1157"/>
      <c r="H40" s="1203">
        <v>1</v>
      </c>
      <c r="I40" s="1157"/>
      <c r="J40" s="1168"/>
      <c r="K40" s="1157">
        <v>52</v>
      </c>
      <c r="L40" s="1187">
        <v>52</v>
      </c>
    </row>
    <row r="41" spans="1:14" ht="12" customHeight="1">
      <c r="A41" s="1353">
        <v>14.018000000000001</v>
      </c>
      <c r="B41" s="1204" t="s">
        <v>5902</v>
      </c>
      <c r="C41" s="1157" t="s">
        <v>192</v>
      </c>
      <c r="D41" s="1163" t="s">
        <v>5893</v>
      </c>
      <c r="E41" s="1157"/>
      <c r="F41" s="1157"/>
      <c r="G41" s="1157"/>
      <c r="H41" s="1203">
        <v>444308</v>
      </c>
      <c r="I41" s="1157"/>
      <c r="J41" s="1157">
        <v>29975464</v>
      </c>
      <c r="K41" s="1168"/>
      <c r="L41" s="1187">
        <v>29975464</v>
      </c>
    </row>
    <row r="42" spans="1:14" ht="12" customHeight="1">
      <c r="A42" s="1353">
        <v>14.019</v>
      </c>
      <c r="B42" s="1204" t="s">
        <v>5904</v>
      </c>
      <c r="C42" s="1157" t="s">
        <v>195</v>
      </c>
      <c r="D42" s="1163" t="s">
        <v>5893</v>
      </c>
      <c r="E42" s="1157"/>
      <c r="F42" s="1157"/>
      <c r="G42" s="1157"/>
      <c r="H42" s="1203">
        <v>-9</v>
      </c>
      <c r="I42" s="1157"/>
      <c r="J42" s="1168"/>
      <c r="K42" s="1157">
        <v>-2025</v>
      </c>
      <c r="L42" s="1187">
        <v>-2025</v>
      </c>
    </row>
    <row r="43" spans="1:14" ht="12" customHeight="1">
      <c r="A43" s="1353">
        <v>14.021000000000001</v>
      </c>
      <c r="B43" s="1204" t="s">
        <v>5904</v>
      </c>
      <c r="C43" s="1157" t="s">
        <v>192</v>
      </c>
      <c r="D43" s="1163" t="s">
        <v>5893</v>
      </c>
      <c r="E43" s="1157"/>
      <c r="F43" s="1157"/>
      <c r="G43" s="1157"/>
      <c r="H43" s="1203">
        <v>6485</v>
      </c>
      <c r="I43" s="1157"/>
      <c r="J43" s="1157">
        <v>404243</v>
      </c>
      <c r="K43" s="1168"/>
      <c r="L43" s="1187">
        <v>404243</v>
      </c>
    </row>
    <row r="44" spans="1:14" ht="12" customHeight="1">
      <c r="A44" s="1353">
        <v>14.022</v>
      </c>
      <c r="B44" s="1204" t="s">
        <v>5905</v>
      </c>
      <c r="C44" s="1157" t="s">
        <v>195</v>
      </c>
      <c r="D44" s="1163" t="s">
        <v>5893</v>
      </c>
      <c r="E44" s="1157"/>
      <c r="F44" s="1157"/>
      <c r="G44" s="1157"/>
      <c r="H44" s="1203">
        <v>132</v>
      </c>
      <c r="I44" s="1157"/>
      <c r="J44" s="1168"/>
      <c r="K44" s="1157">
        <v>-8850</v>
      </c>
      <c r="L44" s="1187">
        <v>-8850</v>
      </c>
    </row>
    <row r="45" spans="1:14" ht="12" customHeight="1">
      <c r="A45" s="1353">
        <v>14.023</v>
      </c>
      <c r="B45" s="1204" t="s">
        <v>5905</v>
      </c>
      <c r="C45" s="1157" t="s">
        <v>192</v>
      </c>
      <c r="D45" s="1163" t="s">
        <v>5893</v>
      </c>
      <c r="E45" s="1157"/>
      <c r="F45" s="1157"/>
      <c r="G45" s="1157"/>
      <c r="H45" s="1203">
        <v>694051</v>
      </c>
      <c r="I45" s="1157"/>
      <c r="J45" s="1157">
        <v>49643883</v>
      </c>
      <c r="K45" s="1168"/>
      <c r="L45" s="1187">
        <v>49643883</v>
      </c>
    </row>
    <row r="46" spans="1:14" ht="12" customHeight="1">
      <c r="A46" s="1353">
        <v>14.023999999999999</v>
      </c>
      <c r="B46" s="1204" t="s">
        <v>5906</v>
      </c>
      <c r="C46" s="1157" t="s">
        <v>195</v>
      </c>
      <c r="D46" s="1163" t="s">
        <v>5893</v>
      </c>
      <c r="E46" s="1157"/>
      <c r="F46" s="1157"/>
      <c r="G46" s="1157"/>
      <c r="H46" s="1203">
        <v>147</v>
      </c>
      <c r="I46" s="1157"/>
      <c r="J46" s="1168"/>
      <c r="K46" s="1157">
        <v>52060</v>
      </c>
      <c r="L46" s="1187">
        <v>52060</v>
      </c>
    </row>
    <row r="47" spans="1:14" ht="12" customHeight="1">
      <c r="A47" s="1353">
        <v>14.025</v>
      </c>
      <c r="B47" s="1204" t="s">
        <v>5906</v>
      </c>
      <c r="C47" s="1157" t="s">
        <v>192</v>
      </c>
      <c r="D47" s="1163" t="s">
        <v>5893</v>
      </c>
      <c r="E47" s="1157"/>
      <c r="F47" s="1157"/>
      <c r="G47" s="1157"/>
      <c r="H47" s="1203">
        <v>107367</v>
      </c>
      <c r="I47" s="1157"/>
      <c r="J47" s="1168">
        <v>6839061</v>
      </c>
      <c r="K47" s="1157"/>
      <c r="L47" s="1187">
        <v>6839061</v>
      </c>
    </row>
    <row r="48" spans="1:14" ht="12" customHeight="1">
      <c r="A48" s="1353">
        <v>14.026</v>
      </c>
      <c r="B48" s="1204" t="s">
        <v>5941</v>
      </c>
      <c r="C48" s="1157" t="s">
        <v>192</v>
      </c>
      <c r="D48" s="1163" t="s">
        <v>5893</v>
      </c>
      <c r="E48" s="1157"/>
      <c r="F48" s="1157"/>
      <c r="G48" s="1157"/>
      <c r="H48" s="1203">
        <v>491</v>
      </c>
      <c r="I48" s="1157"/>
      <c r="J48" s="1168">
        <v>58665</v>
      </c>
      <c r="K48" s="1157"/>
      <c r="L48" s="1187">
        <v>58665</v>
      </c>
    </row>
    <row r="49" spans="1:12" ht="12" customHeight="1">
      <c r="A49" s="1353">
        <v>14.026999999999999</v>
      </c>
      <c r="B49" s="1204" t="s">
        <v>5907</v>
      </c>
      <c r="C49" s="1204" t="s">
        <v>195</v>
      </c>
      <c r="D49" s="1163" t="s">
        <v>5893</v>
      </c>
      <c r="E49" s="1157"/>
      <c r="F49" s="1157"/>
      <c r="G49" s="1157"/>
      <c r="H49" s="1203">
        <v>2</v>
      </c>
      <c r="I49" s="1157"/>
      <c r="J49" s="1157"/>
      <c r="K49" s="1168">
        <v>88</v>
      </c>
      <c r="L49" s="1187">
        <v>88</v>
      </c>
    </row>
    <row r="50" spans="1:12" ht="12" customHeight="1">
      <c r="A50" s="1353">
        <v>14.028</v>
      </c>
      <c r="B50" s="1204" t="s">
        <v>5907</v>
      </c>
      <c r="C50" s="1157" t="s">
        <v>192</v>
      </c>
      <c r="D50" s="1163" t="s">
        <v>5893</v>
      </c>
      <c r="E50" s="1157"/>
      <c r="F50" s="1157"/>
      <c r="G50" s="1157"/>
      <c r="H50" s="1203">
        <v>84264</v>
      </c>
      <c r="I50" s="1157"/>
      <c r="J50" s="1168">
        <v>5558513</v>
      </c>
      <c r="K50" s="1157"/>
      <c r="L50" s="1187">
        <v>5558513</v>
      </c>
    </row>
    <row r="51" spans="1:12" ht="12" customHeight="1">
      <c r="A51" s="1353">
        <v>14.029</v>
      </c>
      <c r="B51" s="1204" t="s">
        <v>5908</v>
      </c>
      <c r="C51" s="1157" t="s">
        <v>192</v>
      </c>
      <c r="D51" s="1163" t="s">
        <v>5893</v>
      </c>
      <c r="E51" s="1157"/>
      <c r="F51" s="1157"/>
      <c r="G51" s="1157"/>
      <c r="H51" s="1203">
        <v>41206</v>
      </c>
      <c r="I51" s="1157"/>
      <c r="J51" s="1157">
        <v>2986405</v>
      </c>
      <c r="K51" s="1168"/>
      <c r="L51" s="1187">
        <v>2986405</v>
      </c>
    </row>
    <row r="52" spans="1:12" ht="12" customHeight="1">
      <c r="A52" s="1353">
        <v>14.03</v>
      </c>
      <c r="B52" s="1204" t="s">
        <v>5909</v>
      </c>
      <c r="C52" s="1157" t="s">
        <v>195</v>
      </c>
      <c r="D52" s="1163" t="s">
        <v>5893</v>
      </c>
      <c r="E52" s="1157"/>
      <c r="F52" s="1157"/>
      <c r="G52" s="1157"/>
      <c r="H52" s="1203">
        <v>-8</v>
      </c>
      <c r="I52" s="1157"/>
      <c r="J52" s="1168"/>
      <c r="K52" s="1157"/>
      <c r="L52" s="1187">
        <v>0</v>
      </c>
    </row>
    <row r="53" spans="1:12" ht="12" customHeight="1">
      <c r="A53" s="1353">
        <v>14.031000000000001</v>
      </c>
      <c r="B53" s="1204" t="s">
        <v>5909</v>
      </c>
      <c r="C53" s="1157" t="s">
        <v>192</v>
      </c>
      <c r="D53" s="1163" t="s">
        <v>5893</v>
      </c>
      <c r="E53" s="1157"/>
      <c r="F53" s="1157"/>
      <c r="G53" s="1157"/>
      <c r="H53" s="1203">
        <v>504</v>
      </c>
      <c r="I53" s="1157"/>
      <c r="J53" s="1168">
        <v>46706</v>
      </c>
      <c r="K53" s="1157"/>
      <c r="L53" s="1187">
        <v>46706</v>
      </c>
    </row>
    <row r="54" spans="1:12" ht="12" customHeight="1">
      <c r="A54" s="1353">
        <v>14.032</v>
      </c>
      <c r="B54" s="1204" t="s">
        <v>5910</v>
      </c>
      <c r="C54" s="1157" t="s">
        <v>195</v>
      </c>
      <c r="D54" s="1163" t="s">
        <v>5893</v>
      </c>
      <c r="E54" s="1157"/>
      <c r="F54" s="1157"/>
      <c r="G54" s="1157"/>
      <c r="H54" s="1189">
        <v>-51</v>
      </c>
      <c r="I54" s="1157"/>
      <c r="J54" s="1157"/>
      <c r="K54" s="1168">
        <v>-6525</v>
      </c>
      <c r="L54" s="1187">
        <v>-6525</v>
      </c>
    </row>
    <row r="55" spans="1:12" ht="12" customHeight="1">
      <c r="A55" s="1353">
        <v>14.032999999999999</v>
      </c>
      <c r="B55" s="1204" t="s">
        <v>5910</v>
      </c>
      <c r="C55" s="1157" t="s">
        <v>192</v>
      </c>
      <c r="D55" s="1163" t="s">
        <v>5893</v>
      </c>
      <c r="E55" s="1157"/>
      <c r="F55" s="1157"/>
      <c r="G55" s="1157"/>
      <c r="H55" s="1203">
        <v>22612</v>
      </c>
      <c r="I55" s="1157"/>
      <c r="J55" s="1168">
        <v>1730815</v>
      </c>
      <c r="K55" s="1157"/>
      <c r="L55" s="1187">
        <v>1730815</v>
      </c>
    </row>
    <row r="56" spans="1:12" ht="12" customHeight="1">
      <c r="A56" s="1353">
        <v>14.034000000000001</v>
      </c>
      <c r="B56" s="1204" t="s">
        <v>5911</v>
      </c>
      <c r="C56" s="1157" t="s">
        <v>192</v>
      </c>
      <c r="D56" s="1163" t="s">
        <v>5893</v>
      </c>
      <c r="E56" s="1157"/>
      <c r="F56" s="1157"/>
      <c r="G56" s="1157"/>
      <c r="H56" s="1203">
        <v>10800</v>
      </c>
      <c r="I56" s="1157"/>
      <c r="J56" s="1157">
        <v>901800</v>
      </c>
      <c r="K56" s="1168"/>
      <c r="L56" s="1187">
        <v>901800</v>
      </c>
    </row>
    <row r="57" spans="1:12" ht="12" customHeight="1">
      <c r="A57" s="1353">
        <v>14.035</v>
      </c>
      <c r="B57" s="1204" t="s">
        <v>5911</v>
      </c>
      <c r="C57" s="1157" t="s">
        <v>192</v>
      </c>
      <c r="D57" s="1163" t="s">
        <v>5894</v>
      </c>
      <c r="E57" s="1157"/>
      <c r="F57" s="1157"/>
      <c r="G57" s="1157"/>
      <c r="H57" s="1203">
        <v>29</v>
      </c>
      <c r="I57" s="1157"/>
      <c r="J57" s="1168">
        <v>1581</v>
      </c>
      <c r="K57" s="1157"/>
      <c r="L57" s="1187">
        <v>1581</v>
      </c>
    </row>
    <row r="58" spans="1:12" ht="12" customHeight="1">
      <c r="A58" s="1353">
        <v>14.036</v>
      </c>
      <c r="B58" s="1204" t="s">
        <v>5912</v>
      </c>
      <c r="C58" s="1157" t="s">
        <v>192</v>
      </c>
      <c r="D58" s="1163" t="s">
        <v>5894</v>
      </c>
      <c r="E58" s="1157"/>
      <c r="F58" s="1157"/>
      <c r="G58" s="1157"/>
      <c r="H58" s="1203">
        <v>790</v>
      </c>
      <c r="I58" s="1157"/>
      <c r="J58" s="1168">
        <v>61503</v>
      </c>
      <c r="K58" s="1157"/>
      <c r="L58" s="1187">
        <v>61503</v>
      </c>
    </row>
    <row r="59" spans="1:12" ht="12" customHeight="1">
      <c r="A59" s="1353">
        <v>14.037000000000001</v>
      </c>
      <c r="B59" s="1204" t="s">
        <v>5913</v>
      </c>
      <c r="C59" s="1157" t="s">
        <v>195</v>
      </c>
      <c r="D59" s="1163" t="s">
        <v>5893</v>
      </c>
      <c r="E59" s="1157"/>
      <c r="F59" s="1157"/>
      <c r="G59" s="1157"/>
      <c r="H59" s="1203">
        <v>-1040</v>
      </c>
      <c r="I59" s="1157"/>
      <c r="J59" s="1157"/>
      <c r="K59" s="1168">
        <v>-325795</v>
      </c>
      <c r="L59" s="1187">
        <v>-325795</v>
      </c>
    </row>
    <row r="60" spans="1:12" ht="12" customHeight="1">
      <c r="A60" s="1353">
        <v>14.038</v>
      </c>
      <c r="B60" s="1204" t="s">
        <v>5913</v>
      </c>
      <c r="C60" s="1157" t="s">
        <v>192</v>
      </c>
      <c r="D60" s="1163" t="s">
        <v>5893</v>
      </c>
      <c r="E60" s="1157"/>
      <c r="F60" s="1157"/>
      <c r="G60" s="1157"/>
      <c r="H60" s="1203">
        <v>28649</v>
      </c>
      <c r="I60" s="1157"/>
      <c r="J60" s="1168">
        <v>2116197</v>
      </c>
      <c r="K60" s="1157"/>
      <c r="L60" s="1187">
        <v>2116197</v>
      </c>
    </row>
    <row r="61" spans="1:12" ht="12" customHeight="1">
      <c r="A61" s="1353">
        <v>14.039</v>
      </c>
      <c r="B61" s="1204" t="s">
        <v>5913</v>
      </c>
      <c r="C61" s="1157" t="s">
        <v>192</v>
      </c>
      <c r="D61" s="1163" t="s">
        <v>5894</v>
      </c>
      <c r="E61" s="1157"/>
      <c r="F61" s="1157"/>
      <c r="G61" s="1157"/>
      <c r="H61" s="1203">
        <v>70</v>
      </c>
      <c r="I61" s="1157"/>
      <c r="J61" s="1157">
        <v>3674</v>
      </c>
      <c r="K61" s="1168"/>
      <c r="L61" s="1187">
        <v>3674</v>
      </c>
    </row>
    <row r="62" spans="1:12" ht="12" customHeight="1">
      <c r="A62" s="1353">
        <v>14.04</v>
      </c>
      <c r="B62" s="1204" t="s">
        <v>5914</v>
      </c>
      <c r="C62" s="1157" t="s">
        <v>192</v>
      </c>
      <c r="D62" s="1163" t="s">
        <v>5893</v>
      </c>
      <c r="E62" s="1157"/>
      <c r="F62" s="1157"/>
      <c r="G62" s="1157"/>
      <c r="H62" s="1203">
        <v>127294</v>
      </c>
      <c r="I62" s="1157"/>
      <c r="J62" s="1168">
        <v>10013302</v>
      </c>
      <c r="K62" s="1157"/>
      <c r="L62" s="1187">
        <v>10013302</v>
      </c>
    </row>
    <row r="63" spans="1:12" ht="12" customHeight="1">
      <c r="A63" s="1353">
        <v>14.041</v>
      </c>
      <c r="B63" s="1204" t="s">
        <v>6796</v>
      </c>
      <c r="C63" s="1204" t="s">
        <v>195</v>
      </c>
      <c r="D63" s="1163" t="s">
        <v>5893</v>
      </c>
      <c r="E63" s="1157"/>
      <c r="F63" s="1157"/>
      <c r="G63" s="1157"/>
      <c r="H63" s="1189"/>
      <c r="I63" s="1157"/>
      <c r="J63" s="1157"/>
      <c r="K63" s="1168">
        <v>-100</v>
      </c>
      <c r="L63" s="1187">
        <v>-100</v>
      </c>
    </row>
    <row r="64" spans="1:12" ht="12" customHeight="1">
      <c r="A64" s="1353">
        <v>14.042</v>
      </c>
      <c r="B64" s="1204" t="s">
        <v>6796</v>
      </c>
      <c r="C64" s="1157" t="s">
        <v>192</v>
      </c>
      <c r="D64" s="1163" t="s">
        <v>5893</v>
      </c>
      <c r="E64" s="1157"/>
      <c r="F64" s="1157"/>
      <c r="G64" s="1157"/>
      <c r="H64" s="1203">
        <v>15600</v>
      </c>
      <c r="I64" s="1157"/>
      <c r="J64" s="1168">
        <v>871692</v>
      </c>
      <c r="K64" s="1157"/>
      <c r="L64" s="1187">
        <v>871692</v>
      </c>
    </row>
    <row r="65" spans="1:12" ht="12" customHeight="1">
      <c r="A65" s="1353">
        <v>14.042999999999999</v>
      </c>
      <c r="B65" s="1204" t="s">
        <v>5915</v>
      </c>
      <c r="C65" s="1157" t="s">
        <v>195</v>
      </c>
      <c r="D65" s="1163" t="s">
        <v>5893</v>
      </c>
      <c r="E65" s="1157"/>
      <c r="F65" s="1157"/>
      <c r="G65" s="1157"/>
      <c r="H65" s="1203">
        <v>-34</v>
      </c>
      <c r="I65" s="1157"/>
      <c r="J65" s="1168"/>
      <c r="K65" s="1157">
        <v>-2632</v>
      </c>
      <c r="L65" s="1187">
        <v>-2632</v>
      </c>
    </row>
    <row r="66" spans="1:12" ht="12" customHeight="1">
      <c r="A66" s="1353">
        <v>14.044</v>
      </c>
      <c r="B66" s="1204" t="s">
        <v>5915</v>
      </c>
      <c r="C66" s="1157" t="s">
        <v>192</v>
      </c>
      <c r="D66" s="1163" t="s">
        <v>5893</v>
      </c>
      <c r="E66" s="1157"/>
      <c r="F66" s="1157"/>
      <c r="G66" s="1157"/>
      <c r="H66" s="1203">
        <v>466086</v>
      </c>
      <c r="I66" s="1157"/>
      <c r="J66" s="1168">
        <v>31655047</v>
      </c>
      <c r="K66" s="1157"/>
      <c r="L66" s="1187">
        <v>31655047</v>
      </c>
    </row>
    <row r="67" spans="1:12" ht="12" customHeight="1">
      <c r="A67" s="1353">
        <v>14.045</v>
      </c>
      <c r="B67" s="1204" t="s">
        <v>5916</v>
      </c>
      <c r="C67" s="1157" t="s">
        <v>192</v>
      </c>
      <c r="D67" s="1163" t="s">
        <v>5894</v>
      </c>
      <c r="E67" s="1157"/>
      <c r="F67" s="1157"/>
      <c r="G67" s="1157"/>
      <c r="H67" s="1203">
        <v>50</v>
      </c>
      <c r="I67" s="1157"/>
      <c r="J67" s="1168">
        <v>3182</v>
      </c>
      <c r="K67" s="1157"/>
      <c r="L67" s="1187">
        <v>3182</v>
      </c>
    </row>
    <row r="68" spans="1:12" ht="12" customHeight="1">
      <c r="A68" s="1353">
        <v>14.045999999999999</v>
      </c>
      <c r="B68" s="1204" t="s">
        <v>5918</v>
      </c>
      <c r="C68" s="1157" t="s">
        <v>195</v>
      </c>
      <c r="D68" s="1163" t="s">
        <v>5893</v>
      </c>
      <c r="E68" s="1157"/>
      <c r="F68" s="1157"/>
      <c r="G68" s="1157"/>
      <c r="H68" s="1189">
        <v>-4</v>
      </c>
      <c r="I68" s="1157"/>
      <c r="J68" s="1157"/>
      <c r="K68" s="1168">
        <v>-293</v>
      </c>
      <c r="L68" s="1187">
        <v>-293</v>
      </c>
    </row>
    <row r="69" spans="1:12" ht="12" customHeight="1">
      <c r="A69" s="1353">
        <v>14.048</v>
      </c>
      <c r="B69" s="1204" t="s">
        <v>5918</v>
      </c>
      <c r="C69" s="1157" t="s">
        <v>192</v>
      </c>
      <c r="D69" s="1163" t="s">
        <v>5893</v>
      </c>
      <c r="E69" s="1157"/>
      <c r="F69" s="1157"/>
      <c r="G69" s="1157"/>
      <c r="H69" s="1203">
        <v>28219</v>
      </c>
      <c r="I69" s="1157"/>
      <c r="J69" s="1168">
        <v>3273466</v>
      </c>
      <c r="K69" s="1157"/>
      <c r="L69" s="1187">
        <v>3273466</v>
      </c>
    </row>
    <row r="70" spans="1:12" ht="12" customHeight="1">
      <c r="A70" s="1353">
        <v>14.048999999999999</v>
      </c>
      <c r="B70" s="1204" t="s">
        <v>5918</v>
      </c>
      <c r="C70" s="1157" t="s">
        <v>192</v>
      </c>
      <c r="D70" s="1163" t="s">
        <v>5894</v>
      </c>
      <c r="E70" s="1157"/>
      <c r="F70" s="1157"/>
      <c r="G70" s="1157"/>
      <c r="H70" s="1203">
        <v>35</v>
      </c>
      <c r="I70" s="1157"/>
      <c r="J70" s="1168">
        <v>1838</v>
      </c>
      <c r="K70" s="1157"/>
      <c r="L70" s="1187">
        <v>1838</v>
      </c>
    </row>
    <row r="71" spans="1:12" ht="12" customHeight="1">
      <c r="A71" s="1353">
        <v>14.05</v>
      </c>
      <c r="B71" s="1204" t="s">
        <v>5919</v>
      </c>
      <c r="C71" s="1157" t="s">
        <v>192</v>
      </c>
      <c r="D71" s="1163" t="s">
        <v>5893</v>
      </c>
      <c r="E71" s="1157"/>
      <c r="F71" s="1157"/>
      <c r="G71" s="1157"/>
      <c r="H71" s="1189">
        <v>93685</v>
      </c>
      <c r="I71" s="1157"/>
      <c r="J71" s="1157">
        <v>6898679</v>
      </c>
      <c r="K71" s="1168"/>
      <c r="L71" s="1187">
        <v>6898679</v>
      </c>
    </row>
    <row r="72" spans="1:12" ht="12" customHeight="1">
      <c r="A72" s="1353">
        <v>14.051</v>
      </c>
      <c r="B72" s="1204" t="s">
        <v>5919</v>
      </c>
      <c r="C72" s="1157" t="s">
        <v>192</v>
      </c>
      <c r="D72" s="1163" t="s">
        <v>5894</v>
      </c>
      <c r="E72" s="1157"/>
      <c r="F72" s="1157"/>
      <c r="G72" s="1157"/>
      <c r="H72" s="1203">
        <v>64</v>
      </c>
      <c r="I72" s="1157"/>
      <c r="J72" s="1168">
        <v>8297</v>
      </c>
      <c r="K72" s="1157"/>
      <c r="L72" s="1187">
        <v>8297</v>
      </c>
    </row>
    <row r="73" spans="1:12" ht="12" customHeight="1">
      <c r="A73" s="1353">
        <v>14.052</v>
      </c>
      <c r="B73" s="1204" t="s">
        <v>6797</v>
      </c>
      <c r="C73" s="1157" t="s">
        <v>192</v>
      </c>
      <c r="D73" s="1163" t="s">
        <v>5893</v>
      </c>
      <c r="E73" s="1157"/>
      <c r="F73" s="1157"/>
      <c r="G73" s="1157"/>
      <c r="H73" s="1203">
        <v>22340</v>
      </c>
      <c r="I73" s="1157"/>
      <c r="J73" s="1168">
        <v>1647425</v>
      </c>
      <c r="K73" s="1157"/>
      <c r="L73" s="1187">
        <v>1647425</v>
      </c>
    </row>
    <row r="74" spans="1:12" ht="12" customHeight="1">
      <c r="A74" s="1353">
        <v>14.053000000000001</v>
      </c>
      <c r="B74" s="1204" t="s">
        <v>5920</v>
      </c>
      <c r="C74" s="1157" t="s">
        <v>192</v>
      </c>
      <c r="D74" s="1163" t="s">
        <v>5893</v>
      </c>
      <c r="E74" s="1157"/>
      <c r="F74" s="1157"/>
      <c r="G74" s="1157"/>
      <c r="H74" s="1203">
        <v>178479</v>
      </c>
      <c r="I74" s="1157"/>
      <c r="J74" s="1168">
        <v>13726927</v>
      </c>
      <c r="K74" s="1157"/>
      <c r="L74" s="1187">
        <v>13726927</v>
      </c>
    </row>
    <row r="75" spans="1:12" ht="12" customHeight="1">
      <c r="A75" s="1353">
        <v>14.054</v>
      </c>
      <c r="B75" s="1204" t="s">
        <v>5920</v>
      </c>
      <c r="C75" s="1157" t="s">
        <v>192</v>
      </c>
      <c r="D75" s="1163" t="s">
        <v>5894</v>
      </c>
      <c r="E75" s="1157"/>
      <c r="F75" s="1157"/>
      <c r="G75" s="1157"/>
      <c r="H75" s="1203">
        <v>54</v>
      </c>
      <c r="I75" s="1157"/>
      <c r="J75" s="1168">
        <v>3799</v>
      </c>
      <c r="K75" s="1157"/>
      <c r="L75" s="1187">
        <v>3799</v>
      </c>
    </row>
    <row r="76" spans="1:12" ht="12" customHeight="1">
      <c r="A76" s="1353">
        <v>14.055</v>
      </c>
      <c r="B76" s="1204" t="s">
        <v>5921</v>
      </c>
      <c r="C76" s="1204" t="s">
        <v>195</v>
      </c>
      <c r="D76" s="1163" t="s">
        <v>5893</v>
      </c>
      <c r="E76" s="1157"/>
      <c r="F76" s="1157"/>
      <c r="G76" s="1157"/>
      <c r="H76" s="1203">
        <v>40</v>
      </c>
      <c r="I76" s="1157"/>
      <c r="J76" s="1168"/>
      <c r="K76" s="1157">
        <v>8344</v>
      </c>
      <c r="L76" s="1187">
        <v>8344</v>
      </c>
    </row>
    <row r="77" spans="1:12" ht="12" customHeight="1">
      <c r="A77" s="1353">
        <v>14.055999999999999</v>
      </c>
      <c r="B77" s="1204" t="s">
        <v>5921</v>
      </c>
      <c r="C77" s="1157" t="s">
        <v>192</v>
      </c>
      <c r="D77" s="1163" t="s">
        <v>5893</v>
      </c>
      <c r="E77" s="1157"/>
      <c r="F77" s="1157"/>
      <c r="G77" s="1157"/>
      <c r="H77" s="1189">
        <v>1097359</v>
      </c>
      <c r="I77" s="1157"/>
      <c r="J77" s="1157">
        <v>66310440</v>
      </c>
      <c r="K77" s="1168"/>
      <c r="L77" s="1187">
        <v>66310440</v>
      </c>
    </row>
    <row r="78" spans="1:12" ht="12" customHeight="1">
      <c r="A78" s="1353">
        <v>14.057</v>
      </c>
      <c r="B78" s="1204" t="s">
        <v>5923</v>
      </c>
      <c r="C78" s="1157" t="s">
        <v>192</v>
      </c>
      <c r="D78" s="1163" t="s">
        <v>5893</v>
      </c>
      <c r="E78" s="1157"/>
      <c r="F78" s="1157"/>
      <c r="G78" s="1157"/>
      <c r="H78" s="1203">
        <v>4761</v>
      </c>
      <c r="I78" s="1157"/>
      <c r="J78" s="1168">
        <v>646566</v>
      </c>
      <c r="K78" s="1157"/>
      <c r="L78" s="1187">
        <v>646566</v>
      </c>
    </row>
    <row r="79" spans="1:12" ht="12" customHeight="1">
      <c r="A79" s="1353">
        <v>14.058</v>
      </c>
      <c r="B79" s="1204" t="s">
        <v>5924</v>
      </c>
      <c r="C79" s="1157" t="s">
        <v>192</v>
      </c>
      <c r="D79" s="1163" t="s">
        <v>5894</v>
      </c>
      <c r="E79" s="1157"/>
      <c r="F79" s="1157"/>
      <c r="G79" s="1157"/>
      <c r="H79" s="1203">
        <v>60</v>
      </c>
      <c r="I79" s="1157"/>
      <c r="J79" s="1168">
        <v>3822</v>
      </c>
      <c r="K79" s="1157"/>
      <c r="L79" s="1187">
        <v>3822</v>
      </c>
    </row>
    <row r="80" spans="1:12" ht="12" customHeight="1">
      <c r="A80" s="1353">
        <v>14.058999999999999</v>
      </c>
      <c r="B80" s="1204" t="s">
        <v>5925</v>
      </c>
      <c r="C80" s="1157" t="s">
        <v>192</v>
      </c>
      <c r="D80" s="1163" t="s">
        <v>5893</v>
      </c>
      <c r="E80" s="1157"/>
      <c r="F80" s="1157"/>
      <c r="G80" s="1157"/>
      <c r="H80" s="1189">
        <v>126845</v>
      </c>
      <c r="I80" s="1157"/>
      <c r="J80" s="1157">
        <v>12358154</v>
      </c>
      <c r="K80" s="1168"/>
      <c r="L80" s="1187">
        <v>12358154</v>
      </c>
    </row>
    <row r="81" spans="1:14" ht="12" customHeight="1">
      <c r="A81" s="1353">
        <v>14.06</v>
      </c>
      <c r="B81" s="1204" t="s">
        <v>5925</v>
      </c>
      <c r="C81" s="1157" t="s">
        <v>192</v>
      </c>
      <c r="D81" s="1163" t="s">
        <v>5894</v>
      </c>
      <c r="E81" s="1157"/>
      <c r="F81" s="1157"/>
      <c r="G81" s="1157"/>
      <c r="H81" s="1203">
        <v>13</v>
      </c>
      <c r="I81" s="1157"/>
      <c r="J81" s="1168">
        <v>848</v>
      </c>
      <c r="K81" s="1157"/>
      <c r="L81" s="1187">
        <v>848</v>
      </c>
    </row>
    <row r="82" spans="1:14" ht="12" customHeight="1">
      <c r="A82" s="1353">
        <v>14.061</v>
      </c>
      <c r="B82" s="1204" t="s">
        <v>5926</v>
      </c>
      <c r="C82" s="1157" t="s">
        <v>195</v>
      </c>
      <c r="D82" s="1163" t="s">
        <v>5893</v>
      </c>
      <c r="E82" s="1157"/>
      <c r="F82" s="1157"/>
      <c r="G82" s="1157"/>
      <c r="H82" s="1203"/>
      <c r="I82" s="1157"/>
      <c r="J82" s="1168"/>
      <c r="K82" s="1157">
        <v>-1000</v>
      </c>
      <c r="L82" s="1187">
        <v>-1000</v>
      </c>
    </row>
    <row r="83" spans="1:14" ht="12" customHeight="1">
      <c r="A83" s="1353">
        <v>14.061999999999999</v>
      </c>
      <c r="B83" s="1204" t="s">
        <v>5926</v>
      </c>
      <c r="C83" s="1157" t="s">
        <v>192</v>
      </c>
      <c r="D83" s="1163" t="s">
        <v>5893</v>
      </c>
      <c r="E83" s="1157"/>
      <c r="F83" s="1157"/>
      <c r="G83" s="1157"/>
      <c r="H83" s="1203">
        <v>1279706</v>
      </c>
      <c r="I83" s="1157"/>
      <c r="J83" s="1157">
        <v>97465614</v>
      </c>
      <c r="K83" s="1168"/>
      <c r="L83" s="1187">
        <v>97465614</v>
      </c>
    </row>
    <row r="84" spans="1:14" ht="12" customHeight="1">
      <c r="A84" s="1353">
        <v>14.063000000000001</v>
      </c>
      <c r="B84" s="1204" t="s">
        <v>5927</v>
      </c>
      <c r="C84" s="1157" t="s">
        <v>195</v>
      </c>
      <c r="D84" s="1163" t="s">
        <v>5893</v>
      </c>
      <c r="E84" s="1157"/>
      <c r="F84" s="1157"/>
      <c r="G84" s="1157"/>
      <c r="H84" s="1203">
        <v>-12</v>
      </c>
      <c r="I84" s="1157"/>
      <c r="J84" s="1168"/>
      <c r="K84" s="1157">
        <v>-2280</v>
      </c>
      <c r="L84" s="1187">
        <v>-2280</v>
      </c>
    </row>
    <row r="85" spans="1:14" ht="12" customHeight="1">
      <c r="A85" s="1353">
        <v>14.064</v>
      </c>
      <c r="B85" s="1204" t="s">
        <v>5927</v>
      </c>
      <c r="C85" s="1157" t="s">
        <v>192</v>
      </c>
      <c r="D85" s="1163" t="s">
        <v>5893</v>
      </c>
      <c r="E85" s="1157"/>
      <c r="F85" s="1157"/>
      <c r="G85" s="1157"/>
      <c r="H85" s="1203">
        <v>153918</v>
      </c>
      <c r="I85" s="1157"/>
      <c r="J85" s="1168">
        <v>11960748</v>
      </c>
      <c r="K85" s="1157"/>
      <c r="L85" s="1187">
        <v>11960748</v>
      </c>
    </row>
    <row r="86" spans="1:14" ht="12" customHeight="1">
      <c r="A86" s="1353">
        <v>14.065</v>
      </c>
      <c r="B86" s="1204" t="s">
        <v>5928</v>
      </c>
      <c r="C86" s="1157" t="s">
        <v>192</v>
      </c>
      <c r="D86" s="1163" t="s">
        <v>5893</v>
      </c>
      <c r="E86" s="1157"/>
      <c r="F86" s="1157"/>
      <c r="G86" s="1157"/>
      <c r="H86" s="1203">
        <v>26105</v>
      </c>
      <c r="I86" s="1157"/>
      <c r="J86" s="1157">
        <v>1603928</v>
      </c>
      <c r="K86" s="1168"/>
      <c r="L86" s="1187">
        <v>1603928</v>
      </c>
    </row>
    <row r="87" spans="1:14" ht="12" customHeight="1">
      <c r="A87" s="1353">
        <v>14.066000000000001</v>
      </c>
      <c r="B87" s="1204" t="s">
        <v>5928</v>
      </c>
      <c r="C87" s="1157" t="s">
        <v>192</v>
      </c>
      <c r="D87" s="1163" t="s">
        <v>5894</v>
      </c>
      <c r="E87" s="1157"/>
      <c r="F87" s="1157"/>
      <c r="G87" s="1157"/>
      <c r="H87" s="1203">
        <v>21</v>
      </c>
      <c r="I87" s="1157"/>
      <c r="J87" s="1168">
        <v>802</v>
      </c>
      <c r="K87" s="1157"/>
      <c r="L87" s="1187">
        <v>802</v>
      </c>
    </row>
    <row r="88" spans="1:14" ht="12" customHeight="1">
      <c r="A88" s="1353">
        <v>14.067</v>
      </c>
      <c r="B88" s="1204" t="s">
        <v>5929</v>
      </c>
      <c r="C88" s="1157" t="s">
        <v>195</v>
      </c>
      <c r="D88" s="1163" t="s">
        <v>5893</v>
      </c>
      <c r="E88" s="1157"/>
      <c r="F88" s="1157"/>
      <c r="G88" s="1157"/>
      <c r="H88" s="1203"/>
      <c r="I88" s="1157"/>
      <c r="J88" s="1157"/>
      <c r="K88" s="1168">
        <v>400</v>
      </c>
      <c r="L88" s="1187">
        <v>400</v>
      </c>
    </row>
    <row r="89" spans="1:14" ht="12" customHeight="1">
      <c r="A89" s="1353">
        <v>14.068</v>
      </c>
      <c r="B89" s="1204" t="s">
        <v>5929</v>
      </c>
      <c r="C89" s="1157" t="s">
        <v>192</v>
      </c>
      <c r="D89" s="1163" t="s">
        <v>5893</v>
      </c>
      <c r="E89" s="1157"/>
      <c r="F89" s="1157"/>
      <c r="G89" s="1157"/>
      <c r="H89" s="1203">
        <v>148985</v>
      </c>
      <c r="I89" s="1157"/>
      <c r="J89" s="1168">
        <v>12537830</v>
      </c>
      <c r="K89" s="1157"/>
      <c r="L89" s="1187">
        <v>12537830</v>
      </c>
    </row>
    <row r="90" spans="1:14" ht="12" customHeight="1">
      <c r="A90" s="1353">
        <v>14.069000000000001</v>
      </c>
      <c r="B90" s="1204" t="s">
        <v>5930</v>
      </c>
      <c r="C90" s="1157" t="s">
        <v>195</v>
      </c>
      <c r="D90" s="1163" t="s">
        <v>5893</v>
      </c>
      <c r="E90" s="1157"/>
      <c r="F90" s="1157"/>
      <c r="G90" s="1157"/>
      <c r="H90" s="1203">
        <v>48</v>
      </c>
      <c r="I90" s="1157"/>
      <c r="J90" s="1168"/>
      <c r="K90" s="1157">
        <v>11953</v>
      </c>
      <c r="L90" s="1187">
        <v>11953</v>
      </c>
    </row>
    <row r="91" spans="1:14" ht="12" customHeight="1">
      <c r="A91" s="1353">
        <v>14.07</v>
      </c>
      <c r="B91" s="1204" t="s">
        <v>5930</v>
      </c>
      <c r="C91" s="1157" t="s">
        <v>192</v>
      </c>
      <c r="D91" s="1163" t="s">
        <v>5893</v>
      </c>
      <c r="E91" s="1157"/>
      <c r="F91" s="1157"/>
      <c r="G91" s="1157"/>
      <c r="H91" s="1189">
        <v>894329</v>
      </c>
      <c r="I91" s="1157"/>
      <c r="J91" s="1157">
        <v>60022571</v>
      </c>
      <c r="K91" s="1168"/>
      <c r="L91" s="1187">
        <v>60022571</v>
      </c>
    </row>
    <row r="92" spans="1:14" ht="12" customHeight="1">
      <c r="A92" s="1353">
        <v>14.071</v>
      </c>
      <c r="B92" s="1204" t="s">
        <v>5931</v>
      </c>
      <c r="C92" s="1157" t="s">
        <v>192</v>
      </c>
      <c r="D92" s="1163" t="s">
        <v>5893</v>
      </c>
      <c r="E92" s="1157"/>
      <c r="F92" s="1157"/>
      <c r="G92" s="1157"/>
      <c r="H92" s="1203">
        <v>4127</v>
      </c>
      <c r="I92" s="1157"/>
      <c r="J92" s="1168">
        <v>378325</v>
      </c>
      <c r="K92" s="1157"/>
      <c r="L92" s="1187">
        <v>378325</v>
      </c>
    </row>
    <row r="93" spans="1:14" ht="12" customHeight="1">
      <c r="A93" s="1353">
        <v>14.071999999999999</v>
      </c>
      <c r="B93" s="1204" t="s">
        <v>5933</v>
      </c>
      <c r="C93" s="1157" t="s">
        <v>192</v>
      </c>
      <c r="D93" s="1163" t="s">
        <v>5893</v>
      </c>
      <c r="E93" s="1157"/>
      <c r="F93" s="1157"/>
      <c r="G93" s="1157"/>
      <c r="H93" s="1203">
        <v>108363</v>
      </c>
      <c r="I93" s="1157"/>
      <c r="J93" s="1168">
        <v>7130677</v>
      </c>
      <c r="K93" s="1157"/>
      <c r="L93" s="1187">
        <v>7130677</v>
      </c>
    </row>
    <row r="94" spans="1:14" ht="12" customHeight="1">
      <c r="A94" s="1353">
        <v>14.073</v>
      </c>
      <c r="B94" s="1204"/>
      <c r="C94" s="1157"/>
      <c r="D94" s="1163"/>
      <c r="E94" s="1157"/>
      <c r="F94" s="1157"/>
      <c r="G94" s="1157"/>
      <c r="H94" s="1203"/>
      <c r="I94" s="1157"/>
      <c r="J94" s="1168"/>
      <c r="K94" s="1157"/>
      <c r="L94" s="1187"/>
      <c r="N94" s="1354"/>
    </row>
    <row r="95" spans="1:14" ht="12" customHeight="1">
      <c r="A95" s="1353">
        <v>14.074</v>
      </c>
      <c r="B95" s="1204"/>
      <c r="C95" s="1157"/>
      <c r="D95" s="1163"/>
      <c r="E95" s="1157"/>
      <c r="F95" s="1157"/>
      <c r="G95" s="1157"/>
      <c r="H95" s="1189"/>
      <c r="I95" s="1157"/>
      <c r="J95" s="1157"/>
      <c r="K95" s="1157"/>
      <c r="L95" s="1165"/>
    </row>
    <row r="96" spans="1:14" ht="12" customHeight="1">
      <c r="A96" s="1353">
        <v>14.074999999999999</v>
      </c>
      <c r="B96" s="1204"/>
      <c r="C96" s="1157"/>
      <c r="D96" s="1163"/>
      <c r="E96" s="1157"/>
      <c r="F96" s="1157"/>
      <c r="G96" s="1157"/>
      <c r="H96" s="1189"/>
      <c r="I96" s="1157"/>
      <c r="J96" s="1157"/>
      <c r="K96" s="1157"/>
      <c r="L96" s="1165"/>
    </row>
    <row r="97" spans="1:12" ht="12" customHeight="1">
      <c r="A97" s="1353">
        <v>14.076000000000001</v>
      </c>
      <c r="B97" s="1204"/>
      <c r="C97" s="1157"/>
      <c r="D97" s="1163"/>
      <c r="E97" s="1157"/>
      <c r="F97" s="1157"/>
      <c r="G97" s="1157"/>
      <c r="H97" s="1189"/>
      <c r="I97" s="1157"/>
      <c r="J97" s="1157"/>
      <c r="K97" s="1157"/>
      <c r="L97" s="1165"/>
    </row>
    <row r="98" spans="1:12" ht="12" customHeight="1">
      <c r="A98" s="1353">
        <v>14.077</v>
      </c>
      <c r="B98" s="1204"/>
      <c r="C98" s="1204"/>
      <c r="D98" s="1163"/>
      <c r="E98" s="1157"/>
      <c r="F98" s="1157"/>
      <c r="G98" s="1157"/>
      <c r="H98" s="1189"/>
      <c r="I98" s="1157"/>
      <c r="J98" s="1189"/>
      <c r="K98" s="1189"/>
      <c r="L98" s="1217"/>
    </row>
    <row r="99" spans="1:12" ht="12" customHeight="1">
      <c r="A99" s="1353">
        <v>14.077999999999999</v>
      </c>
      <c r="B99" s="1204"/>
      <c r="C99" s="1204"/>
      <c r="D99" s="1163"/>
      <c r="E99" s="1157"/>
      <c r="F99" s="1157"/>
      <c r="G99" s="1157"/>
      <c r="H99" s="1189"/>
      <c r="I99" s="1157"/>
      <c r="J99" s="1189"/>
      <c r="K99" s="1189"/>
      <c r="L99" s="1217"/>
    </row>
    <row r="100" spans="1:12" ht="12" customHeight="1">
      <c r="A100" s="1353">
        <v>14.079000000000001</v>
      </c>
      <c r="B100" s="1204"/>
      <c r="C100" s="1204"/>
      <c r="D100" s="1163"/>
      <c r="E100" s="1157"/>
      <c r="F100" s="1157"/>
      <c r="G100" s="1157"/>
      <c r="H100" s="1189"/>
      <c r="I100" s="1157"/>
      <c r="J100" s="1189"/>
      <c r="K100" s="1189"/>
      <c r="L100" s="1217"/>
    </row>
    <row r="101" spans="1:12" ht="12" customHeight="1">
      <c r="A101" s="1353">
        <v>14.08</v>
      </c>
      <c r="B101" s="1204"/>
      <c r="C101" s="1204"/>
      <c r="D101" s="1163"/>
      <c r="E101" s="1157"/>
      <c r="F101" s="1157"/>
      <c r="G101" s="1157"/>
      <c r="H101" s="1189"/>
      <c r="I101" s="1157"/>
      <c r="J101" s="1189"/>
      <c r="K101" s="1189"/>
      <c r="L101" s="1217"/>
    </row>
    <row r="102" spans="1:12" ht="12" customHeight="1">
      <c r="A102" s="1353">
        <v>14.081</v>
      </c>
      <c r="B102" s="1204"/>
      <c r="C102" s="1204"/>
      <c r="D102" s="1163"/>
      <c r="E102" s="1157"/>
      <c r="F102" s="1157"/>
      <c r="G102" s="1157"/>
      <c r="H102" s="1157"/>
      <c r="I102" s="1157"/>
      <c r="J102" s="1157"/>
      <c r="K102" s="1157"/>
      <c r="L102" s="1217"/>
    </row>
    <row r="103" spans="1:12" ht="12" customHeight="1">
      <c r="A103" s="1317">
        <v>15</v>
      </c>
      <c r="B103" s="1204" t="s">
        <v>5935</v>
      </c>
      <c r="C103" s="1157"/>
      <c r="D103" s="1157"/>
      <c r="E103" s="1355">
        <v>0</v>
      </c>
      <c r="F103" s="1355">
        <v>0</v>
      </c>
      <c r="G103" s="1355">
        <v>0</v>
      </c>
      <c r="H103" s="1187">
        <v>6700</v>
      </c>
      <c r="I103" s="1187">
        <v>71112</v>
      </c>
      <c r="J103" s="1187">
        <v>235416</v>
      </c>
      <c r="K103" s="1187">
        <v>18471</v>
      </c>
      <c r="L103" s="1187">
        <v>324999</v>
      </c>
    </row>
    <row r="104" spans="1:12" ht="12" customHeight="1">
      <c r="A104" s="1317">
        <v>16</v>
      </c>
      <c r="B104" s="1204" t="s">
        <v>5936</v>
      </c>
      <c r="C104" s="1157"/>
      <c r="D104" s="1157"/>
      <c r="E104" s="1355">
        <v>0</v>
      </c>
      <c r="F104" s="1355">
        <v>0</v>
      </c>
      <c r="G104" s="1355">
        <v>0</v>
      </c>
      <c r="H104" s="1187">
        <v>9026924</v>
      </c>
      <c r="I104" s="1187">
        <v>0</v>
      </c>
      <c r="J104" s="1187">
        <v>640780730</v>
      </c>
      <c r="K104" s="1187">
        <v>-275155</v>
      </c>
      <c r="L104" s="1187">
        <v>640505575</v>
      </c>
    </row>
    <row r="105" spans="1:12" ht="12" customHeight="1">
      <c r="A105" s="1317">
        <v>17</v>
      </c>
      <c r="B105" s="2719" t="s">
        <v>104</v>
      </c>
      <c r="C105" s="1157"/>
      <c r="D105" s="1157"/>
      <c r="E105" s="1355">
        <v>0</v>
      </c>
      <c r="F105" s="1355">
        <v>0</v>
      </c>
      <c r="G105" s="1355">
        <v>0</v>
      </c>
      <c r="H105" s="1187">
        <v>9033624</v>
      </c>
      <c r="I105" s="1187">
        <v>71112</v>
      </c>
      <c r="J105" s="1187">
        <v>641016146</v>
      </c>
      <c r="K105" s="1187">
        <v>-256684</v>
      </c>
      <c r="L105" s="1171">
        <v>640830574</v>
      </c>
    </row>
    <row r="106" spans="1:12">
      <c r="A106" s="1331"/>
      <c r="B106" s="1331"/>
      <c r="C106" s="1331"/>
      <c r="D106" s="1331"/>
      <c r="E106" s="1331"/>
      <c r="F106" s="1331"/>
      <c r="G106" s="1331"/>
      <c r="H106" s="1331"/>
      <c r="I106" s="1331"/>
      <c r="J106" s="1331"/>
      <c r="K106" s="1331"/>
      <c r="L106" s="1331"/>
    </row>
    <row r="107" spans="1:12">
      <c r="H107" s="1357"/>
      <c r="I107" s="1357"/>
      <c r="J107" s="1357"/>
      <c r="K107" s="1357"/>
      <c r="L107" s="1357"/>
    </row>
    <row r="108" spans="1:12">
      <c r="H108" s="1357"/>
      <c r="I108" s="1357"/>
      <c r="J108" s="1357"/>
      <c r="K108" s="1357"/>
      <c r="L108" s="1357"/>
    </row>
  </sheetData>
  <mergeCells count="13">
    <mergeCell ref="H9:H10"/>
    <mergeCell ref="I9:K9"/>
    <mergeCell ref="L9:L10"/>
    <mergeCell ref="A7:G7"/>
    <mergeCell ref="H7:L7"/>
    <mergeCell ref="A8:G8"/>
    <mergeCell ref="H8:L8"/>
    <mergeCell ref="A9:A11"/>
    <mergeCell ref="B9:B10"/>
    <mergeCell ref="C9:C10"/>
    <mergeCell ref="D9:D10"/>
    <mergeCell ref="E9:E10"/>
    <mergeCell ref="F9:G9"/>
  </mergeCells>
  <pageMargins left="0.75" right="0.75" top="1" bottom="1" header="0.5" footer="0.5"/>
  <pageSetup orientation="portrait" horizontalDpi="360" verticalDpi="360" r:id="rId2"/>
  <customProperties>
    <customPr name="_pios_id" r:id="rId3"/>
  </customPropertie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rgb="FF92D050"/>
  </sheetPr>
  <dimension ref="A1:BW108"/>
  <sheetViews>
    <sheetView workbookViewId="0">
      <pane ySplit="11" topLeftCell="A12" activePane="bottomLeft" state="frozen"/>
      <selection sqref="A1:XFD1048576"/>
      <selection pane="bottomLeft" sqref="A1:XFD1048576"/>
    </sheetView>
  </sheetViews>
  <sheetFormatPr defaultColWidth="31.375" defaultRowHeight="11.25"/>
  <cols>
    <col min="1" max="1" width="5.75" style="1327" bestFit="1" customWidth="1"/>
    <col min="2" max="2" width="30.25" style="1327" bestFit="1" customWidth="1"/>
    <col min="3" max="3" width="6.625" style="1327" bestFit="1" customWidth="1"/>
    <col min="4" max="4" width="9.125" style="1327" bestFit="1" customWidth="1"/>
    <col min="5" max="5" width="9.375" style="1327" bestFit="1" customWidth="1"/>
    <col min="6" max="6" width="13.75" style="1327" bestFit="1" customWidth="1"/>
    <col min="7" max="7" width="12.75" style="1327" bestFit="1" customWidth="1"/>
    <col min="8" max="9" width="11.25" style="1327" bestFit="1" customWidth="1"/>
    <col min="10" max="10" width="10.625" style="1327" bestFit="1" customWidth="1"/>
    <col min="11" max="11" width="9.75" style="1327" bestFit="1" customWidth="1"/>
    <col min="12" max="12" width="8.375" style="1327" bestFit="1" customWidth="1"/>
    <col min="13" max="13" width="1.75" style="1327" customWidth="1"/>
    <col min="14" max="14" width="12.75" style="1327" bestFit="1" customWidth="1"/>
    <col min="15" max="15" width="18.875" style="1327" bestFit="1" customWidth="1"/>
    <col min="16" max="16" width="13.5" style="1327" bestFit="1" customWidth="1"/>
    <col min="17" max="16384" width="31.375" style="1327"/>
  </cols>
  <sheetData>
    <row r="1" spans="1:75">
      <c r="A1" s="507" t="s">
        <v>4977</v>
      </c>
      <c r="B1" s="507"/>
      <c r="O1" s="1344" t="s">
        <v>5860</v>
      </c>
      <c r="P1" s="1344" t="s">
        <v>5861</v>
      </c>
    </row>
    <row r="2" spans="1:75">
      <c r="A2" s="507" t="s">
        <v>4978</v>
      </c>
      <c r="B2" s="507"/>
      <c r="N2" s="493" t="s">
        <v>4990</v>
      </c>
      <c r="O2" s="493" t="s">
        <v>5862</v>
      </c>
      <c r="P2" s="493" t="s">
        <v>5863</v>
      </c>
      <c r="Q2" s="493"/>
      <c r="R2" s="493"/>
      <c r="S2" s="493"/>
      <c r="T2" s="493"/>
      <c r="U2" s="493"/>
      <c r="V2" s="493"/>
      <c r="W2" s="493"/>
      <c r="X2" s="493"/>
      <c r="Y2" s="493"/>
      <c r="Z2" s="493"/>
      <c r="AA2" s="493"/>
      <c r="AB2" s="493"/>
      <c r="AC2" s="493"/>
      <c r="AD2" s="493"/>
      <c r="AE2" s="493"/>
      <c r="AF2" s="493"/>
      <c r="AG2" s="493"/>
      <c r="AH2" s="493"/>
      <c r="AI2" s="493"/>
      <c r="AJ2" s="493"/>
      <c r="AK2" s="493"/>
      <c r="AL2" s="493"/>
      <c r="AM2" s="493"/>
      <c r="AN2" s="493"/>
      <c r="AO2" s="493"/>
      <c r="AP2" s="493"/>
      <c r="AQ2" s="493"/>
      <c r="AR2" s="493"/>
      <c r="AS2" s="493"/>
      <c r="AT2" s="493"/>
      <c r="AU2" s="493"/>
      <c r="AV2" s="493"/>
      <c r="AW2" s="493"/>
      <c r="AX2" s="493"/>
      <c r="AY2" s="493"/>
      <c r="AZ2" s="493"/>
      <c r="BA2" s="493"/>
      <c r="BB2" s="493"/>
      <c r="BC2" s="493"/>
      <c r="BD2" s="493"/>
      <c r="BE2" s="493"/>
      <c r="BF2" s="493"/>
      <c r="BG2" s="493"/>
      <c r="BH2" s="493"/>
      <c r="BI2" s="493"/>
      <c r="BJ2" s="493"/>
      <c r="BK2" s="493"/>
      <c r="BL2" s="493"/>
      <c r="BM2" s="493"/>
      <c r="BN2" s="493"/>
      <c r="BO2" s="493"/>
      <c r="BP2" s="493"/>
      <c r="BQ2" s="493"/>
      <c r="BR2" s="493"/>
      <c r="BS2" s="493"/>
      <c r="BT2" s="493"/>
      <c r="BU2" s="493"/>
      <c r="BV2" s="493"/>
      <c r="BW2" s="493"/>
    </row>
    <row r="3" spans="1:75">
      <c r="A3" s="1345"/>
      <c r="N3" s="525" t="s">
        <v>195</v>
      </c>
      <c r="O3" s="568">
        <v>255176</v>
      </c>
      <c r="P3" s="568">
        <v>134</v>
      </c>
      <c r="Q3" s="493"/>
      <c r="R3" s="493"/>
      <c r="S3" s="493"/>
      <c r="T3" s="493"/>
      <c r="U3" s="493"/>
      <c r="V3" s="493"/>
      <c r="W3" s="493"/>
      <c r="X3" s="493"/>
      <c r="Y3" s="493"/>
      <c r="Z3" s="493"/>
      <c r="AA3" s="493"/>
      <c r="AB3" s="493"/>
      <c r="AC3" s="493"/>
      <c r="AD3" s="493"/>
      <c r="AE3" s="493"/>
      <c r="AF3" s="493"/>
      <c r="AG3" s="493"/>
      <c r="AH3" s="493"/>
      <c r="AI3" s="493"/>
      <c r="AJ3" s="493"/>
      <c r="AK3" s="493"/>
      <c r="AL3" s="493"/>
      <c r="AM3" s="493"/>
      <c r="AN3" s="493"/>
      <c r="AO3" s="493"/>
      <c r="AP3" s="493"/>
      <c r="AQ3" s="493"/>
      <c r="AR3" s="493"/>
      <c r="AS3" s="493"/>
      <c r="AT3" s="493"/>
      <c r="AU3" s="493"/>
      <c r="AV3" s="493"/>
      <c r="AW3" s="493"/>
      <c r="AX3" s="493"/>
      <c r="AY3" s="493"/>
      <c r="AZ3" s="493"/>
      <c r="BA3" s="493"/>
      <c r="BB3" s="493"/>
      <c r="BC3" s="493"/>
      <c r="BD3" s="493"/>
      <c r="BE3" s="493"/>
      <c r="BF3" s="493"/>
      <c r="BG3" s="493"/>
      <c r="BH3" s="493"/>
      <c r="BI3" s="493"/>
      <c r="BJ3" s="493"/>
      <c r="BK3" s="493"/>
      <c r="BL3" s="493"/>
      <c r="BM3" s="493"/>
      <c r="BN3" s="493"/>
      <c r="BO3" s="493"/>
      <c r="BP3" s="493"/>
      <c r="BQ3" s="493"/>
      <c r="BR3" s="493"/>
      <c r="BS3" s="493"/>
      <c r="BT3" s="493"/>
      <c r="BU3" s="493"/>
      <c r="BV3" s="493"/>
      <c r="BW3" s="493"/>
    </row>
    <row r="4" spans="1:75">
      <c r="A4" s="1345"/>
      <c r="N4" s="525" t="s">
        <v>192</v>
      </c>
      <c r="O4" s="568">
        <v>546361826</v>
      </c>
      <c r="P4" s="568">
        <v>6037163</v>
      </c>
      <c r="Q4" s="493"/>
      <c r="R4" s="493"/>
      <c r="S4" s="493"/>
      <c r="T4" s="493"/>
      <c r="U4" s="493"/>
      <c r="V4" s="493"/>
      <c r="W4" s="493"/>
      <c r="X4" s="493"/>
      <c r="Y4" s="493"/>
      <c r="Z4" s="493"/>
      <c r="AA4" s="493"/>
      <c r="AB4" s="493"/>
      <c r="AC4" s="493"/>
      <c r="AD4" s="493"/>
      <c r="AE4" s="493"/>
      <c r="AF4" s="493"/>
      <c r="AG4" s="493"/>
      <c r="AH4" s="493"/>
      <c r="AI4" s="493"/>
      <c r="AJ4" s="493"/>
      <c r="AK4" s="493"/>
      <c r="AL4" s="493"/>
      <c r="AM4" s="493"/>
      <c r="AN4" s="493"/>
      <c r="AO4" s="493"/>
      <c r="AP4" s="493"/>
      <c r="AQ4" s="493"/>
      <c r="AR4" s="493"/>
      <c r="AS4" s="493"/>
      <c r="AT4" s="493"/>
      <c r="AU4" s="493"/>
      <c r="AV4" s="493"/>
      <c r="AW4" s="493"/>
      <c r="AX4" s="493"/>
      <c r="AY4" s="493"/>
      <c r="AZ4" s="493"/>
      <c r="BA4" s="493"/>
      <c r="BB4" s="493"/>
      <c r="BC4" s="493"/>
      <c r="BD4" s="493"/>
      <c r="BE4" s="493"/>
      <c r="BF4" s="493"/>
      <c r="BG4" s="493"/>
      <c r="BH4" s="493"/>
      <c r="BI4" s="493"/>
      <c r="BJ4" s="493"/>
      <c r="BK4" s="493"/>
      <c r="BL4" s="493"/>
      <c r="BM4" s="493"/>
      <c r="BN4" s="493"/>
      <c r="BO4" s="493"/>
      <c r="BP4" s="493"/>
      <c r="BQ4" s="493"/>
      <c r="BR4" s="493"/>
      <c r="BS4" s="493"/>
      <c r="BT4" s="493"/>
      <c r="BU4" s="493"/>
      <c r="BV4" s="493"/>
      <c r="BW4" s="493"/>
    </row>
    <row r="5" spans="1:75">
      <c r="N5" s="525" t="s">
        <v>186</v>
      </c>
      <c r="O5" s="568">
        <v>343677</v>
      </c>
      <c r="P5" s="568">
        <v>7136</v>
      </c>
      <c r="Q5" s="493"/>
      <c r="R5" s="493"/>
      <c r="S5" s="493"/>
      <c r="T5" s="493"/>
      <c r="U5" s="493"/>
      <c r="V5" s="493"/>
      <c r="W5" s="493"/>
      <c r="X5" s="493"/>
      <c r="Y5" s="493"/>
      <c r="Z5" s="493"/>
      <c r="AA5" s="493"/>
      <c r="AB5" s="493"/>
      <c r="AC5" s="493"/>
      <c r="AD5" s="493"/>
      <c r="AE5" s="493"/>
      <c r="AF5" s="493"/>
      <c r="AG5" s="493"/>
      <c r="AH5" s="493"/>
      <c r="AI5" s="493"/>
      <c r="AJ5" s="493"/>
      <c r="AK5" s="493"/>
      <c r="AL5" s="493"/>
      <c r="AM5" s="493"/>
      <c r="AN5" s="493"/>
      <c r="AO5" s="493"/>
      <c r="AP5" s="493"/>
      <c r="AQ5" s="493"/>
      <c r="AR5" s="493"/>
      <c r="AS5" s="493"/>
      <c r="AT5" s="493"/>
      <c r="AU5" s="493"/>
      <c r="AV5" s="493"/>
      <c r="AW5" s="493"/>
      <c r="AX5" s="493"/>
      <c r="AY5" s="493"/>
      <c r="AZ5" s="493"/>
      <c r="BA5" s="493"/>
      <c r="BB5" s="493"/>
      <c r="BC5" s="493"/>
      <c r="BD5" s="493"/>
      <c r="BE5" s="493"/>
      <c r="BF5" s="493"/>
      <c r="BG5" s="493"/>
      <c r="BH5" s="493"/>
      <c r="BI5" s="493"/>
      <c r="BJ5" s="493"/>
      <c r="BK5" s="493"/>
      <c r="BL5" s="493"/>
      <c r="BM5" s="493"/>
      <c r="BN5" s="493"/>
      <c r="BO5" s="493"/>
      <c r="BP5" s="493"/>
      <c r="BQ5" s="493"/>
      <c r="BR5" s="493"/>
      <c r="BS5" s="493"/>
      <c r="BT5" s="493"/>
      <c r="BU5" s="493"/>
      <c r="BV5" s="493"/>
      <c r="BW5" s="493"/>
    </row>
    <row r="6" spans="1:75">
      <c r="N6" s="525" t="s">
        <v>2301</v>
      </c>
      <c r="O6" s="568">
        <v>546960679</v>
      </c>
      <c r="P6" s="568">
        <v>6044433</v>
      </c>
      <c r="Q6" s="493"/>
      <c r="R6" s="493"/>
      <c r="S6" s="493"/>
      <c r="T6" s="493"/>
      <c r="U6" s="493"/>
      <c r="V6" s="493"/>
      <c r="W6" s="493"/>
      <c r="X6" s="493"/>
      <c r="Y6" s="493"/>
      <c r="Z6" s="493"/>
      <c r="AA6" s="493"/>
      <c r="AB6" s="493"/>
      <c r="AC6" s="493"/>
      <c r="AD6" s="493"/>
      <c r="AE6" s="493"/>
      <c r="AF6" s="493"/>
      <c r="AG6" s="493"/>
      <c r="AH6" s="493"/>
      <c r="AI6" s="493"/>
      <c r="AJ6" s="493"/>
      <c r="AK6" s="493"/>
      <c r="AL6" s="493"/>
      <c r="AM6" s="493"/>
      <c r="AN6" s="493"/>
      <c r="AO6" s="493"/>
      <c r="AP6" s="493"/>
      <c r="AQ6" s="493"/>
      <c r="AR6" s="493"/>
      <c r="AS6" s="493"/>
      <c r="AT6" s="493"/>
      <c r="AU6" s="493"/>
      <c r="AV6" s="493"/>
      <c r="AW6" s="493"/>
      <c r="AX6" s="493"/>
      <c r="AY6" s="493"/>
      <c r="AZ6" s="493"/>
      <c r="BA6" s="493"/>
      <c r="BB6" s="493"/>
      <c r="BC6" s="493"/>
      <c r="BD6" s="493"/>
      <c r="BE6" s="493"/>
      <c r="BF6" s="493"/>
      <c r="BG6" s="493"/>
      <c r="BH6" s="493"/>
      <c r="BI6" s="493"/>
      <c r="BJ6" s="493"/>
      <c r="BK6" s="493"/>
      <c r="BL6" s="493"/>
      <c r="BM6" s="493"/>
      <c r="BN6" s="493"/>
      <c r="BO6" s="493"/>
      <c r="BP6" s="493"/>
      <c r="BQ6" s="493"/>
      <c r="BR6" s="493"/>
      <c r="BS6" s="493"/>
      <c r="BT6" s="493"/>
      <c r="BU6" s="493"/>
      <c r="BV6" s="493"/>
      <c r="BW6" s="493"/>
    </row>
    <row r="7" spans="1:75" ht="11.25" customHeight="1">
      <c r="A7" s="4066" t="s">
        <v>5864</v>
      </c>
      <c r="B7" s="4067"/>
      <c r="C7" s="4067"/>
      <c r="D7" s="4067"/>
      <c r="E7" s="4067"/>
      <c r="F7" s="4067"/>
      <c r="G7" s="4068"/>
      <c r="H7" s="4066" t="s">
        <v>5865</v>
      </c>
      <c r="I7" s="4067"/>
      <c r="J7" s="4067"/>
      <c r="K7" s="4067"/>
      <c r="L7" s="4068"/>
      <c r="N7" s="1346" t="s">
        <v>929</v>
      </c>
      <c r="O7" s="1347">
        <f>O6-L105</f>
        <v>0</v>
      </c>
      <c r="P7" s="1348">
        <f>P6-H105</f>
        <v>0</v>
      </c>
      <c r="Q7" s="493"/>
      <c r="R7" s="493"/>
      <c r="S7" s="493"/>
      <c r="T7" s="493"/>
      <c r="U7" s="493"/>
      <c r="V7" s="493"/>
      <c r="W7" s="493"/>
      <c r="X7" s="493"/>
      <c r="Y7" s="493"/>
      <c r="Z7" s="493"/>
      <c r="AA7" s="493"/>
      <c r="AB7" s="493"/>
      <c r="AC7" s="493"/>
      <c r="AD7" s="493"/>
      <c r="AE7" s="493"/>
      <c r="AF7" s="493"/>
      <c r="AG7" s="493"/>
      <c r="AH7" s="493"/>
      <c r="AI7" s="493"/>
      <c r="AJ7" s="493"/>
      <c r="AK7" s="493"/>
      <c r="AL7" s="493"/>
      <c r="AM7" s="493"/>
      <c r="AN7" s="493"/>
      <c r="AO7" s="493"/>
      <c r="AP7" s="493"/>
      <c r="AQ7" s="493"/>
      <c r="AR7" s="493"/>
      <c r="AS7" s="493"/>
      <c r="AT7" s="493"/>
      <c r="AU7" s="493"/>
      <c r="AV7" s="493"/>
      <c r="AW7" s="493"/>
      <c r="AX7" s="493"/>
      <c r="AY7" s="493"/>
      <c r="AZ7" s="493"/>
      <c r="BA7" s="493"/>
      <c r="BB7" s="493"/>
      <c r="BC7" s="493"/>
      <c r="BD7" s="493"/>
      <c r="BE7" s="493"/>
      <c r="BF7" s="493"/>
      <c r="BG7" s="493"/>
      <c r="BH7" s="493"/>
      <c r="BI7" s="493"/>
      <c r="BJ7" s="493"/>
      <c r="BK7" s="493"/>
      <c r="BL7" s="493"/>
      <c r="BM7" s="493"/>
      <c r="BN7" s="493"/>
      <c r="BO7" s="493"/>
      <c r="BP7" s="493"/>
      <c r="BQ7" s="493"/>
      <c r="BR7" s="493"/>
      <c r="BS7" s="493"/>
      <c r="BT7" s="493"/>
      <c r="BU7" s="493"/>
      <c r="BV7" s="493"/>
      <c r="BW7" s="493"/>
    </row>
    <row r="8" spans="1:75" ht="22.5" customHeight="1">
      <c r="A8" s="4069" t="s">
        <v>5866</v>
      </c>
      <c r="B8" s="4070"/>
      <c r="C8" s="4070"/>
      <c r="D8" s="4070"/>
      <c r="E8" s="4070"/>
      <c r="F8" s="4070"/>
      <c r="G8" s="4071"/>
      <c r="H8" s="4069" t="s">
        <v>5867</v>
      </c>
      <c r="I8" s="4070"/>
      <c r="J8" s="4070"/>
      <c r="K8" s="4070"/>
      <c r="L8" s="4071"/>
      <c r="N8" s="493"/>
      <c r="O8" s="493"/>
      <c r="P8" s="493"/>
      <c r="Q8" s="493"/>
      <c r="R8" s="493"/>
      <c r="S8" s="493"/>
      <c r="T8" s="493"/>
      <c r="U8" s="493"/>
      <c r="V8" s="493"/>
      <c r="W8" s="493"/>
      <c r="X8" s="493"/>
      <c r="Y8" s="493"/>
      <c r="Z8" s="493"/>
      <c r="AA8" s="493"/>
      <c r="AB8" s="493"/>
      <c r="AC8" s="493"/>
      <c r="AD8" s="493"/>
      <c r="AE8" s="493"/>
      <c r="AF8" s="493"/>
      <c r="AG8" s="493"/>
      <c r="AH8" s="493"/>
      <c r="AI8" s="493"/>
      <c r="AJ8" s="493"/>
      <c r="AK8" s="493"/>
      <c r="AL8" s="493"/>
      <c r="AM8" s="493"/>
      <c r="AN8" s="493"/>
      <c r="AO8" s="493"/>
      <c r="AP8" s="493"/>
      <c r="AQ8" s="493"/>
      <c r="AR8" s="493"/>
      <c r="AS8" s="493"/>
      <c r="AT8" s="493"/>
      <c r="AU8" s="493"/>
      <c r="AV8" s="493"/>
      <c r="AW8" s="493"/>
      <c r="AX8" s="493"/>
      <c r="AY8" s="493"/>
      <c r="AZ8" s="493"/>
      <c r="BA8" s="493"/>
      <c r="BB8" s="493"/>
      <c r="BC8" s="493"/>
      <c r="BD8" s="493"/>
      <c r="BE8" s="493"/>
      <c r="BF8" s="493"/>
      <c r="BG8" s="493"/>
      <c r="BH8" s="493"/>
      <c r="BI8" s="493"/>
      <c r="BJ8" s="493"/>
      <c r="BK8" s="493"/>
      <c r="BL8" s="493"/>
      <c r="BM8" s="493"/>
      <c r="BN8" s="493"/>
      <c r="BO8" s="493"/>
      <c r="BP8" s="493"/>
      <c r="BQ8" s="493"/>
      <c r="BR8" s="493"/>
      <c r="BS8" s="493"/>
      <c r="BT8" s="493"/>
      <c r="BU8" s="493"/>
      <c r="BV8" s="493"/>
      <c r="BW8" s="493"/>
    </row>
    <row r="9" spans="1:75" ht="15" customHeight="1">
      <c r="A9" s="4061" t="s">
        <v>5177</v>
      </c>
      <c r="B9" s="4061" t="s">
        <v>5868</v>
      </c>
      <c r="C9" s="4061" t="s">
        <v>5869</v>
      </c>
      <c r="D9" s="4061" t="s">
        <v>5870</v>
      </c>
      <c r="E9" s="4061" t="s">
        <v>5871</v>
      </c>
      <c r="F9" s="4073" t="s">
        <v>5872</v>
      </c>
      <c r="G9" s="4074"/>
      <c r="H9" s="4061" t="s">
        <v>5873</v>
      </c>
      <c r="I9" s="4063" t="s">
        <v>5874</v>
      </c>
      <c r="J9" s="4064"/>
      <c r="K9" s="4065"/>
      <c r="L9" s="4061" t="s">
        <v>5875</v>
      </c>
    </row>
    <row r="10" spans="1:75" ht="22.5">
      <c r="A10" s="4062"/>
      <c r="B10" s="4062"/>
      <c r="C10" s="4062"/>
      <c r="D10" s="4062"/>
      <c r="E10" s="4062"/>
      <c r="F10" s="1349" t="s">
        <v>5876</v>
      </c>
      <c r="G10" s="1349" t="s">
        <v>5877</v>
      </c>
      <c r="H10" s="4062"/>
      <c r="I10" s="1350" t="s">
        <v>5878</v>
      </c>
      <c r="J10" s="1350" t="s">
        <v>5879</v>
      </c>
      <c r="K10" s="1350" t="s">
        <v>5880</v>
      </c>
      <c r="L10" s="4062"/>
    </row>
    <row r="11" spans="1:75">
      <c r="A11" s="4072"/>
      <c r="B11" s="1351" t="s">
        <v>4989</v>
      </c>
      <c r="C11" s="1351" t="s">
        <v>4990</v>
      </c>
      <c r="D11" s="1351" t="s">
        <v>4991</v>
      </c>
      <c r="E11" s="1351" t="s">
        <v>4992</v>
      </c>
      <c r="F11" s="1351" t="s">
        <v>5181</v>
      </c>
      <c r="G11" s="1351" t="s">
        <v>5182</v>
      </c>
      <c r="H11" s="1351" t="s">
        <v>5183</v>
      </c>
      <c r="I11" s="1351" t="s">
        <v>5184</v>
      </c>
      <c r="J11" s="1351" t="s">
        <v>5185</v>
      </c>
      <c r="K11" s="1351" t="s">
        <v>5186</v>
      </c>
      <c r="L11" s="1351" t="s">
        <v>5187</v>
      </c>
    </row>
    <row r="12" spans="1:75" ht="12" customHeight="1">
      <c r="A12" s="1203">
        <v>1</v>
      </c>
      <c r="B12" s="1204" t="s">
        <v>5881</v>
      </c>
      <c r="C12" s="1204" t="s">
        <v>186</v>
      </c>
      <c r="D12" s="1163" t="s">
        <v>5882</v>
      </c>
      <c r="E12" s="1352">
        <v>0.13</v>
      </c>
      <c r="F12" s="1352">
        <v>0.13</v>
      </c>
      <c r="G12" s="1352">
        <v>0.13</v>
      </c>
      <c r="H12" s="1203">
        <v>784</v>
      </c>
      <c r="I12" s="1168">
        <v>8160</v>
      </c>
      <c r="J12" s="1168">
        <v>27546</v>
      </c>
      <c r="K12" s="1168">
        <v>2688</v>
      </c>
      <c r="L12" s="1187">
        <f t="shared" ref="L12:L43" si="0">SUM(I12:K12)</f>
        <v>38394</v>
      </c>
    </row>
    <row r="13" spans="1:75" ht="12" customHeight="1">
      <c r="A13" s="1203">
        <v>2</v>
      </c>
      <c r="B13" s="1204" t="s">
        <v>5883</v>
      </c>
      <c r="C13" s="1157" t="s">
        <v>186</v>
      </c>
      <c r="D13" s="1163" t="s">
        <v>5882</v>
      </c>
      <c r="E13" s="1352">
        <v>0.20699999999999999</v>
      </c>
      <c r="F13" s="1352">
        <v>0.20699999999999999</v>
      </c>
      <c r="G13" s="1352">
        <v>0.20699999999999999</v>
      </c>
      <c r="H13" s="1203">
        <v>1448</v>
      </c>
      <c r="I13" s="1168">
        <v>13999</v>
      </c>
      <c r="J13" s="1168">
        <v>50896</v>
      </c>
      <c r="K13" s="1168">
        <v>2733</v>
      </c>
      <c r="L13" s="1187">
        <f t="shared" si="0"/>
        <v>67628</v>
      </c>
    </row>
    <row r="14" spans="1:75" ht="12" customHeight="1">
      <c r="A14" s="1203">
        <v>3</v>
      </c>
      <c r="B14" s="1204" t="s">
        <v>5884</v>
      </c>
      <c r="C14" s="1157" t="s">
        <v>186</v>
      </c>
      <c r="D14" s="1163" t="s">
        <v>5882</v>
      </c>
      <c r="E14" s="1320">
        <v>0.22600000000000001</v>
      </c>
      <c r="F14" s="1320">
        <v>0.22600000000000001</v>
      </c>
      <c r="G14" s="1320">
        <v>0.22600000000000001</v>
      </c>
      <c r="H14" s="1203">
        <v>1362</v>
      </c>
      <c r="I14" s="1168">
        <v>14208</v>
      </c>
      <c r="J14" s="1168">
        <v>47861</v>
      </c>
      <c r="K14" s="1168">
        <v>2603</v>
      </c>
      <c r="L14" s="1187">
        <f t="shared" si="0"/>
        <v>64672</v>
      </c>
    </row>
    <row r="15" spans="1:75" ht="12" customHeight="1">
      <c r="A15" s="1203">
        <v>4</v>
      </c>
      <c r="B15" s="1204" t="s">
        <v>5885</v>
      </c>
      <c r="C15" s="1157" t="s">
        <v>186</v>
      </c>
      <c r="D15" s="1163" t="s">
        <v>5882</v>
      </c>
      <c r="E15" s="1320">
        <v>0.127</v>
      </c>
      <c r="F15" s="1320">
        <v>0.127</v>
      </c>
      <c r="G15" s="1320">
        <v>0.127</v>
      </c>
      <c r="H15" s="1203">
        <v>713</v>
      </c>
      <c r="I15" s="1168">
        <v>8031</v>
      </c>
      <c r="J15" s="1168">
        <v>25066</v>
      </c>
      <c r="K15" s="1168">
        <v>1345</v>
      </c>
      <c r="L15" s="1187">
        <f t="shared" si="0"/>
        <v>34442</v>
      </c>
    </row>
    <row r="16" spans="1:75" ht="12" customHeight="1">
      <c r="A16" s="1203">
        <v>5</v>
      </c>
      <c r="B16" s="1204" t="s">
        <v>5886</v>
      </c>
      <c r="C16" s="1157" t="s">
        <v>186</v>
      </c>
      <c r="D16" s="1163" t="s">
        <v>5882</v>
      </c>
      <c r="E16" s="1320">
        <v>3.6999999999999998E-2</v>
      </c>
      <c r="F16" s="1320">
        <v>3.6999999999999998E-2</v>
      </c>
      <c r="G16" s="1320">
        <v>3.6999999999999998E-2</v>
      </c>
      <c r="H16" s="1203">
        <v>185</v>
      </c>
      <c r="I16" s="1168">
        <v>2742</v>
      </c>
      <c r="J16" s="1168">
        <v>6498</v>
      </c>
      <c r="K16" s="1168">
        <v>0</v>
      </c>
      <c r="L16" s="1187">
        <f t="shared" si="0"/>
        <v>9240</v>
      </c>
    </row>
    <row r="17" spans="1:12" ht="12" customHeight="1">
      <c r="A17" s="1203">
        <v>6</v>
      </c>
      <c r="B17" s="1204" t="s">
        <v>5887</v>
      </c>
      <c r="C17" s="1157" t="s">
        <v>186</v>
      </c>
      <c r="D17" s="1163" t="s">
        <v>5882</v>
      </c>
      <c r="E17" s="1320">
        <v>0.111</v>
      </c>
      <c r="F17" s="1320">
        <v>0.111</v>
      </c>
      <c r="G17" s="1320">
        <v>0.111</v>
      </c>
      <c r="H17" s="1203">
        <v>619</v>
      </c>
      <c r="I17" s="1168">
        <v>6967</v>
      </c>
      <c r="J17" s="1168">
        <v>21750</v>
      </c>
      <c r="K17" s="1168">
        <v>2368</v>
      </c>
      <c r="L17" s="1187">
        <f t="shared" si="0"/>
        <v>31085</v>
      </c>
    </row>
    <row r="18" spans="1:12" ht="12" customHeight="1">
      <c r="A18" s="1203">
        <v>7</v>
      </c>
      <c r="B18" s="1204" t="s">
        <v>5888</v>
      </c>
      <c r="C18" s="1157" t="s">
        <v>186</v>
      </c>
      <c r="D18" s="1163" t="s">
        <v>5882</v>
      </c>
      <c r="E18" s="1320">
        <v>8.3000000000000004E-2</v>
      </c>
      <c r="F18" s="1320">
        <v>8.3000000000000004E-2</v>
      </c>
      <c r="G18" s="1320">
        <v>8.3000000000000004E-2</v>
      </c>
      <c r="H18" s="1203">
        <v>508</v>
      </c>
      <c r="I18" s="1168">
        <v>5243</v>
      </c>
      <c r="J18" s="1168">
        <v>17850</v>
      </c>
      <c r="K18" s="1168">
        <v>1389</v>
      </c>
      <c r="L18" s="1187">
        <f t="shared" si="0"/>
        <v>24482</v>
      </c>
    </row>
    <row r="19" spans="1:12" ht="12" customHeight="1">
      <c r="A19" s="1203">
        <v>8</v>
      </c>
      <c r="B19" s="1204" t="s">
        <v>5889</v>
      </c>
      <c r="C19" s="1157" t="s">
        <v>186</v>
      </c>
      <c r="D19" s="1163" t="s">
        <v>5882</v>
      </c>
      <c r="E19" s="1320">
        <v>8.3000000000000004E-2</v>
      </c>
      <c r="F19" s="1320">
        <v>8.3000000000000004E-2</v>
      </c>
      <c r="G19" s="1320">
        <v>8.3000000000000004E-2</v>
      </c>
      <c r="H19" s="1203">
        <v>522</v>
      </c>
      <c r="I19" s="1168">
        <v>5229</v>
      </c>
      <c r="J19" s="1168">
        <v>18343</v>
      </c>
      <c r="K19" s="1168">
        <v>965</v>
      </c>
      <c r="L19" s="1187">
        <f t="shared" si="0"/>
        <v>24537</v>
      </c>
    </row>
    <row r="20" spans="1:12" ht="12" customHeight="1">
      <c r="A20" s="1203">
        <v>9</v>
      </c>
      <c r="B20" s="1204" t="s">
        <v>5890</v>
      </c>
      <c r="C20" s="1157" t="s">
        <v>186</v>
      </c>
      <c r="D20" s="1163" t="s">
        <v>5882</v>
      </c>
      <c r="E20" s="1320">
        <v>0.157</v>
      </c>
      <c r="F20" s="1320">
        <v>0.157</v>
      </c>
      <c r="G20" s="1320">
        <v>0.157</v>
      </c>
      <c r="H20" s="1203">
        <v>972</v>
      </c>
      <c r="I20" s="1168">
        <v>9916</v>
      </c>
      <c r="J20" s="1168">
        <v>34146</v>
      </c>
      <c r="K20" s="1168">
        <v>4738</v>
      </c>
      <c r="L20" s="1187">
        <f t="shared" si="0"/>
        <v>48800</v>
      </c>
    </row>
    <row r="21" spans="1:12" ht="12" customHeight="1">
      <c r="A21" s="1203">
        <v>10</v>
      </c>
      <c r="B21" s="1204" t="s">
        <v>5891</v>
      </c>
      <c r="C21" s="1157" t="s">
        <v>186</v>
      </c>
      <c r="D21" s="1163" t="s">
        <v>5882</v>
      </c>
      <c r="E21" s="1157"/>
      <c r="F21" s="1157"/>
      <c r="G21" s="1157"/>
      <c r="H21" s="1203">
        <v>23</v>
      </c>
      <c r="I21" s="1168">
        <v>-410</v>
      </c>
      <c r="J21" s="1168">
        <v>807</v>
      </c>
      <c r="K21" s="1168">
        <v>0</v>
      </c>
      <c r="L21" s="1187">
        <f t="shared" si="0"/>
        <v>397</v>
      </c>
    </row>
    <row r="22" spans="1:12" ht="12" customHeight="1">
      <c r="A22" s="1203">
        <v>11</v>
      </c>
      <c r="B22" s="1204" t="s">
        <v>5892</v>
      </c>
      <c r="C22" s="1157" t="s">
        <v>195</v>
      </c>
      <c r="D22" s="1163" t="s">
        <v>5893</v>
      </c>
      <c r="E22" s="1157"/>
      <c r="F22" s="1157"/>
      <c r="G22" s="1157"/>
      <c r="H22" s="1203">
        <v>-400</v>
      </c>
      <c r="I22" s="1157"/>
      <c r="J22" s="1157"/>
      <c r="K22" s="1168">
        <v>-13676</v>
      </c>
      <c r="L22" s="1187">
        <f t="shared" si="0"/>
        <v>-13676</v>
      </c>
    </row>
    <row r="23" spans="1:12" ht="12" customHeight="1">
      <c r="A23" s="1203">
        <v>12</v>
      </c>
      <c r="B23" s="1204" t="s">
        <v>5892</v>
      </c>
      <c r="C23" s="1157" t="s">
        <v>192</v>
      </c>
      <c r="D23" s="1163" t="s">
        <v>5893</v>
      </c>
      <c r="E23" s="1157"/>
      <c r="F23" s="1157"/>
      <c r="G23" s="1157"/>
      <c r="H23" s="1203">
        <v>626024</v>
      </c>
      <c r="I23" s="1157"/>
      <c r="J23" s="1168">
        <v>55799048</v>
      </c>
      <c r="K23" s="1157"/>
      <c r="L23" s="1187">
        <f t="shared" si="0"/>
        <v>55799048</v>
      </c>
    </row>
    <row r="24" spans="1:12" ht="12" customHeight="1">
      <c r="A24" s="1203">
        <v>13</v>
      </c>
      <c r="B24" s="1204" t="s">
        <v>5892</v>
      </c>
      <c r="C24" s="1157" t="s">
        <v>192</v>
      </c>
      <c r="D24" s="1163" t="s">
        <v>5894</v>
      </c>
      <c r="E24" s="1157"/>
      <c r="F24" s="1157"/>
      <c r="G24" s="1157"/>
      <c r="H24" s="1203">
        <v>86</v>
      </c>
      <c r="I24" s="1157"/>
      <c r="J24" s="1168">
        <v>10096</v>
      </c>
      <c r="K24" s="1157"/>
      <c r="L24" s="1187">
        <f t="shared" si="0"/>
        <v>10096</v>
      </c>
    </row>
    <row r="25" spans="1:12" ht="12" customHeight="1">
      <c r="A25" s="1203">
        <v>14</v>
      </c>
      <c r="B25" s="1204" t="s">
        <v>5895</v>
      </c>
      <c r="C25" s="1157" t="s">
        <v>195</v>
      </c>
      <c r="D25" s="1163" t="s">
        <v>5893</v>
      </c>
      <c r="E25" s="1157"/>
      <c r="F25" s="1157"/>
      <c r="G25" s="1157"/>
      <c r="H25" s="1203">
        <v>45</v>
      </c>
      <c r="I25" s="1157"/>
      <c r="J25" s="1157"/>
      <c r="K25" s="1168">
        <v>14225</v>
      </c>
      <c r="L25" s="1187">
        <f t="shared" si="0"/>
        <v>14225</v>
      </c>
    </row>
    <row r="26" spans="1:12" ht="12" customHeight="1">
      <c r="A26" s="1353">
        <v>14.000999999999999</v>
      </c>
      <c r="B26" s="1204" t="s">
        <v>5895</v>
      </c>
      <c r="C26" s="1204" t="s">
        <v>192</v>
      </c>
      <c r="D26" s="1163" t="s">
        <v>5893</v>
      </c>
      <c r="E26" s="1189"/>
      <c r="F26" s="1189"/>
      <c r="G26" s="1189"/>
      <c r="H26" s="1203">
        <v>37005</v>
      </c>
      <c r="I26" s="1157"/>
      <c r="J26" s="1168">
        <v>3677100</v>
      </c>
      <c r="K26" s="1157"/>
      <c r="L26" s="1187">
        <f t="shared" si="0"/>
        <v>3677100</v>
      </c>
    </row>
    <row r="27" spans="1:12" ht="12" customHeight="1">
      <c r="A27" s="1353">
        <v>14.002000000000001</v>
      </c>
      <c r="B27" s="1204" t="s">
        <v>5895</v>
      </c>
      <c r="C27" s="1157" t="s">
        <v>192</v>
      </c>
      <c r="D27" s="1163" t="s">
        <v>5894</v>
      </c>
      <c r="E27" s="1189"/>
      <c r="F27" s="1189"/>
      <c r="G27" s="1189"/>
      <c r="H27" s="1203">
        <v>41</v>
      </c>
      <c r="I27" s="1157"/>
      <c r="J27" s="1168">
        <v>5317</v>
      </c>
      <c r="K27" s="1157"/>
      <c r="L27" s="1187">
        <f t="shared" si="0"/>
        <v>5317</v>
      </c>
    </row>
    <row r="28" spans="1:12" ht="12" customHeight="1">
      <c r="A28" s="1353">
        <v>14.003</v>
      </c>
      <c r="B28" s="1204" t="s">
        <v>5896</v>
      </c>
      <c r="C28" s="1157" t="s">
        <v>192</v>
      </c>
      <c r="D28" s="1163" t="s">
        <v>5894</v>
      </c>
      <c r="E28" s="1157"/>
      <c r="F28" s="1157"/>
      <c r="G28" s="1157"/>
      <c r="H28" s="1203">
        <v>100</v>
      </c>
      <c r="I28" s="1157"/>
      <c r="J28" s="1168">
        <v>6622</v>
      </c>
      <c r="K28" s="1157"/>
      <c r="L28" s="1187">
        <f t="shared" si="0"/>
        <v>6622</v>
      </c>
    </row>
    <row r="29" spans="1:12" ht="12" customHeight="1">
      <c r="A29" s="1353">
        <v>14.004</v>
      </c>
      <c r="B29" s="1204" t="s">
        <v>5897</v>
      </c>
      <c r="C29" s="1157" t="s">
        <v>195</v>
      </c>
      <c r="D29" s="1163" t="s">
        <v>5893</v>
      </c>
      <c r="E29" s="1157"/>
      <c r="F29" s="1157"/>
      <c r="G29" s="1157"/>
      <c r="H29" s="1203">
        <v>-61</v>
      </c>
      <c r="I29" s="1157"/>
      <c r="J29" s="1157"/>
      <c r="K29" s="1168">
        <v>-25490</v>
      </c>
      <c r="L29" s="1187">
        <f t="shared" si="0"/>
        <v>-25490</v>
      </c>
    </row>
    <row r="30" spans="1:12" ht="12" customHeight="1">
      <c r="A30" s="1353">
        <v>14.006</v>
      </c>
      <c r="B30" s="1204" t="s">
        <v>5897</v>
      </c>
      <c r="C30" s="1157" t="s">
        <v>192</v>
      </c>
      <c r="D30" s="1163" t="s">
        <v>5893</v>
      </c>
      <c r="E30" s="1157"/>
      <c r="F30" s="1157"/>
      <c r="G30" s="1157"/>
      <c r="H30" s="1203">
        <v>433890</v>
      </c>
      <c r="I30" s="1157"/>
      <c r="J30" s="1168">
        <v>33834589</v>
      </c>
      <c r="K30" s="1157"/>
      <c r="L30" s="1187">
        <f t="shared" si="0"/>
        <v>33834589</v>
      </c>
    </row>
    <row r="31" spans="1:12" ht="12" customHeight="1">
      <c r="A31" s="1353">
        <v>14.007</v>
      </c>
      <c r="B31" s="1204" t="s">
        <v>5897</v>
      </c>
      <c r="C31" s="1157" t="s">
        <v>192</v>
      </c>
      <c r="D31" s="1163" t="s">
        <v>5894</v>
      </c>
      <c r="E31" s="1157"/>
      <c r="F31" s="1157"/>
      <c r="G31" s="1157"/>
      <c r="H31" s="1203">
        <v>76</v>
      </c>
      <c r="I31" s="1157"/>
      <c r="J31" s="1168">
        <v>4016</v>
      </c>
      <c r="K31" s="1157"/>
      <c r="L31" s="1187">
        <f t="shared" si="0"/>
        <v>4016</v>
      </c>
    </row>
    <row r="32" spans="1:12" ht="12" customHeight="1">
      <c r="A32" s="1353">
        <v>14.007999999999999</v>
      </c>
      <c r="B32" s="1204" t="s">
        <v>5898</v>
      </c>
      <c r="C32" s="1157" t="s">
        <v>195</v>
      </c>
      <c r="D32" s="1163" t="s">
        <v>5893</v>
      </c>
      <c r="E32" s="1157"/>
      <c r="F32" s="1157"/>
      <c r="G32" s="1157"/>
      <c r="H32" s="1203">
        <v>16</v>
      </c>
      <c r="I32" s="1157"/>
      <c r="J32" s="1157"/>
      <c r="K32" s="1168">
        <v>2116</v>
      </c>
      <c r="L32" s="1187">
        <f t="shared" si="0"/>
        <v>2116</v>
      </c>
    </row>
    <row r="33" spans="1:14" ht="12" customHeight="1">
      <c r="A33" s="1353">
        <v>14.009</v>
      </c>
      <c r="B33" s="1204" t="s">
        <v>5898</v>
      </c>
      <c r="C33" s="1157" t="s">
        <v>192</v>
      </c>
      <c r="D33" s="1163" t="s">
        <v>5893</v>
      </c>
      <c r="E33" s="1157"/>
      <c r="F33" s="1157"/>
      <c r="G33" s="1157"/>
      <c r="H33" s="1203">
        <v>302331</v>
      </c>
      <c r="I33" s="1157"/>
      <c r="J33" s="1168">
        <v>34923808</v>
      </c>
      <c r="K33" s="1157"/>
      <c r="L33" s="1187">
        <f t="shared" si="0"/>
        <v>34923808</v>
      </c>
    </row>
    <row r="34" spans="1:14" ht="12" customHeight="1">
      <c r="A34" s="1353">
        <v>14.01</v>
      </c>
      <c r="B34" s="1204" t="s">
        <v>5899</v>
      </c>
      <c r="C34" s="1157" t="s">
        <v>192</v>
      </c>
      <c r="D34" s="1163" t="s">
        <v>5893</v>
      </c>
      <c r="E34" s="1157"/>
      <c r="F34" s="1157"/>
      <c r="G34" s="1157"/>
      <c r="H34" s="1203">
        <v>14335</v>
      </c>
      <c r="I34" s="1157"/>
      <c r="J34" s="1168">
        <v>1190254</v>
      </c>
      <c r="K34" s="1157"/>
      <c r="L34" s="1187">
        <f t="shared" si="0"/>
        <v>1190254</v>
      </c>
    </row>
    <row r="35" spans="1:14" ht="12" customHeight="1">
      <c r="A35" s="1353">
        <v>14.010999999999999</v>
      </c>
      <c r="B35" s="1204" t="s">
        <v>5900</v>
      </c>
      <c r="C35" s="1157" t="s">
        <v>192</v>
      </c>
      <c r="D35" s="1163" t="s">
        <v>5893</v>
      </c>
      <c r="E35" s="1157"/>
      <c r="F35" s="1157"/>
      <c r="G35" s="1157"/>
      <c r="H35" s="1203">
        <v>704157</v>
      </c>
      <c r="I35" s="1157"/>
      <c r="J35" s="1168">
        <v>52231747</v>
      </c>
      <c r="K35" s="1157"/>
      <c r="L35" s="1187">
        <f t="shared" si="0"/>
        <v>52231747</v>
      </c>
    </row>
    <row r="36" spans="1:14" ht="12" customHeight="1">
      <c r="A36" s="1353">
        <v>14.012</v>
      </c>
      <c r="B36" s="1204" t="s">
        <v>5901</v>
      </c>
      <c r="C36" s="1157" t="s">
        <v>192</v>
      </c>
      <c r="D36" s="1163" t="s">
        <v>5893</v>
      </c>
      <c r="E36" s="1157"/>
      <c r="F36" s="1157"/>
      <c r="G36" s="1157"/>
      <c r="H36" s="1203">
        <v>810</v>
      </c>
      <c r="I36" s="1157"/>
      <c r="J36" s="1168">
        <v>54010</v>
      </c>
      <c r="K36" s="1157"/>
      <c r="L36" s="1187">
        <f t="shared" si="0"/>
        <v>54010</v>
      </c>
      <c r="N36" s="1354"/>
    </row>
    <row r="37" spans="1:14" ht="12" customHeight="1">
      <c r="A37" s="1353">
        <v>14.013999999999999</v>
      </c>
      <c r="B37" s="1204" t="s">
        <v>5901</v>
      </c>
      <c r="C37" s="1204" t="s">
        <v>192</v>
      </c>
      <c r="D37" s="1163" t="s">
        <v>5894</v>
      </c>
      <c r="E37" s="1157"/>
      <c r="F37" s="1157"/>
      <c r="G37" s="1157"/>
      <c r="H37" s="1203">
        <v>10</v>
      </c>
      <c r="I37" s="1157"/>
      <c r="J37" s="1168">
        <v>493</v>
      </c>
      <c r="K37" s="1157"/>
      <c r="L37" s="1187">
        <f t="shared" si="0"/>
        <v>493</v>
      </c>
    </row>
    <row r="38" spans="1:14" ht="12" customHeight="1">
      <c r="A38" s="1353">
        <v>14.015000000000001</v>
      </c>
      <c r="B38" s="1204" t="s">
        <v>5902</v>
      </c>
      <c r="C38" s="1157" t="s">
        <v>195</v>
      </c>
      <c r="D38" s="1163" t="s">
        <v>5893</v>
      </c>
      <c r="E38" s="1157"/>
      <c r="F38" s="1157"/>
      <c r="G38" s="1157"/>
      <c r="H38" s="1189"/>
      <c r="I38" s="1157"/>
      <c r="J38" s="1157"/>
      <c r="K38" s="1168">
        <v>1</v>
      </c>
      <c r="L38" s="1187">
        <f t="shared" si="0"/>
        <v>1</v>
      </c>
      <c r="N38" s="1354"/>
    </row>
    <row r="39" spans="1:14" ht="12" customHeight="1">
      <c r="A39" s="1353">
        <v>14.016</v>
      </c>
      <c r="B39" s="1204" t="s">
        <v>5902</v>
      </c>
      <c r="C39" s="1157" t="s">
        <v>192</v>
      </c>
      <c r="D39" s="1163" t="s">
        <v>5893</v>
      </c>
      <c r="E39" s="1157"/>
      <c r="F39" s="1157"/>
      <c r="G39" s="1157"/>
      <c r="H39" s="1203">
        <v>242101</v>
      </c>
      <c r="I39" s="1157"/>
      <c r="J39" s="1168">
        <v>32558984</v>
      </c>
      <c r="K39" s="1157"/>
      <c r="L39" s="1187">
        <f t="shared" si="0"/>
        <v>32558984</v>
      </c>
    </row>
    <row r="40" spans="1:14" ht="12" customHeight="1">
      <c r="A40" s="1353">
        <v>14.016999999999999</v>
      </c>
      <c r="B40" s="1204" t="s">
        <v>5903</v>
      </c>
      <c r="C40" s="1157" t="s">
        <v>192</v>
      </c>
      <c r="D40" s="1163" t="s">
        <v>5893</v>
      </c>
      <c r="E40" s="1157"/>
      <c r="F40" s="1157"/>
      <c r="G40" s="1157"/>
      <c r="H40" s="1203">
        <v>11834</v>
      </c>
      <c r="I40" s="1157"/>
      <c r="J40" s="1168">
        <v>447921</v>
      </c>
      <c r="K40" s="1157"/>
      <c r="L40" s="1187">
        <f t="shared" si="0"/>
        <v>447921</v>
      </c>
    </row>
    <row r="41" spans="1:14" ht="12" customHeight="1">
      <c r="A41" s="1353">
        <v>14.018000000000001</v>
      </c>
      <c r="B41" s="1204" t="s">
        <v>5904</v>
      </c>
      <c r="C41" s="1157" t="s">
        <v>195</v>
      </c>
      <c r="D41" s="1163" t="s">
        <v>5893</v>
      </c>
      <c r="E41" s="1157"/>
      <c r="F41" s="1157"/>
      <c r="G41" s="1157"/>
      <c r="H41" s="1203">
        <v>14</v>
      </c>
      <c r="I41" s="1157"/>
      <c r="J41" s="1157"/>
      <c r="K41" s="1168">
        <v>2275</v>
      </c>
      <c r="L41" s="1187">
        <f t="shared" si="0"/>
        <v>2275</v>
      </c>
    </row>
    <row r="42" spans="1:14" ht="12" customHeight="1">
      <c r="A42" s="1353">
        <v>14.019</v>
      </c>
      <c r="B42" s="1204" t="s">
        <v>5904</v>
      </c>
      <c r="C42" s="1157" t="s">
        <v>192</v>
      </c>
      <c r="D42" s="1163" t="s">
        <v>5893</v>
      </c>
      <c r="E42" s="1157"/>
      <c r="F42" s="1157"/>
      <c r="G42" s="1157"/>
      <c r="H42" s="1203">
        <v>7555</v>
      </c>
      <c r="I42" s="1157"/>
      <c r="J42" s="1168">
        <v>479714</v>
      </c>
      <c r="K42" s="1157"/>
      <c r="L42" s="1187">
        <f t="shared" si="0"/>
        <v>479714</v>
      </c>
    </row>
    <row r="43" spans="1:14" ht="12" customHeight="1">
      <c r="A43" s="1353">
        <v>14.021000000000001</v>
      </c>
      <c r="B43" s="1204" t="s">
        <v>5905</v>
      </c>
      <c r="C43" s="1157" t="s">
        <v>195</v>
      </c>
      <c r="D43" s="1163" t="s">
        <v>5893</v>
      </c>
      <c r="E43" s="1157"/>
      <c r="F43" s="1157"/>
      <c r="G43" s="1157"/>
      <c r="H43" s="1203">
        <v>-163</v>
      </c>
      <c r="I43" s="1157"/>
      <c r="J43" s="1157"/>
      <c r="K43" s="1168">
        <v>-13392</v>
      </c>
      <c r="L43" s="1187">
        <f t="shared" si="0"/>
        <v>-13392</v>
      </c>
    </row>
    <row r="44" spans="1:14" ht="12" customHeight="1">
      <c r="A44" s="1353">
        <v>14.022</v>
      </c>
      <c r="B44" s="1204" t="s">
        <v>5905</v>
      </c>
      <c r="C44" s="1157" t="s">
        <v>192</v>
      </c>
      <c r="D44" s="1163" t="s">
        <v>5893</v>
      </c>
      <c r="E44" s="1157"/>
      <c r="F44" s="1157"/>
      <c r="G44" s="1157"/>
      <c r="H44" s="1203">
        <v>647105</v>
      </c>
      <c r="I44" s="1157"/>
      <c r="J44" s="1168">
        <v>48870055</v>
      </c>
      <c r="K44" s="1157"/>
      <c r="L44" s="1187">
        <f t="shared" ref="L44:L94" si="1">SUM(I44:K44)</f>
        <v>48870055</v>
      </c>
    </row>
    <row r="45" spans="1:14" ht="12" customHeight="1">
      <c r="A45" s="1353">
        <v>14.023</v>
      </c>
      <c r="B45" s="1204" t="s">
        <v>5906</v>
      </c>
      <c r="C45" s="1157" t="s">
        <v>195</v>
      </c>
      <c r="D45" s="1163" t="s">
        <v>5893</v>
      </c>
      <c r="E45" s="1157"/>
      <c r="F45" s="1157"/>
      <c r="G45" s="1157"/>
      <c r="H45" s="1203">
        <v>-23</v>
      </c>
      <c r="I45" s="1157"/>
      <c r="J45" s="1157"/>
      <c r="K45" s="1168">
        <v>-46922</v>
      </c>
      <c r="L45" s="1187">
        <f t="shared" si="1"/>
        <v>-46922</v>
      </c>
    </row>
    <row r="46" spans="1:14" ht="12" customHeight="1">
      <c r="A46" s="1353">
        <v>14.023999999999999</v>
      </c>
      <c r="B46" s="1204" t="s">
        <v>5906</v>
      </c>
      <c r="C46" s="1157" t="s">
        <v>192</v>
      </c>
      <c r="D46" s="1163" t="s">
        <v>5893</v>
      </c>
      <c r="E46" s="1157"/>
      <c r="F46" s="1157"/>
      <c r="G46" s="1157"/>
      <c r="H46" s="1203">
        <v>22814</v>
      </c>
      <c r="I46" s="1157"/>
      <c r="J46" s="1168">
        <v>1553906</v>
      </c>
      <c r="K46" s="1157"/>
      <c r="L46" s="1187">
        <f t="shared" si="1"/>
        <v>1553906</v>
      </c>
    </row>
    <row r="47" spans="1:14" ht="12" customHeight="1">
      <c r="A47" s="1353">
        <v>14.025</v>
      </c>
      <c r="B47" s="1204" t="s">
        <v>5907</v>
      </c>
      <c r="C47" s="1157" t="s">
        <v>192</v>
      </c>
      <c r="D47" s="1163" t="s">
        <v>5893</v>
      </c>
      <c r="E47" s="1157"/>
      <c r="F47" s="1157"/>
      <c r="G47" s="1157"/>
      <c r="H47" s="1203">
        <v>7516</v>
      </c>
      <c r="I47" s="1157"/>
      <c r="J47" s="1168">
        <v>1173422</v>
      </c>
      <c r="K47" s="1157"/>
      <c r="L47" s="1187">
        <f t="shared" si="1"/>
        <v>1173422</v>
      </c>
    </row>
    <row r="48" spans="1:14" ht="12" customHeight="1">
      <c r="A48" s="1353">
        <v>14.026</v>
      </c>
      <c r="B48" s="1204" t="s">
        <v>5908</v>
      </c>
      <c r="C48" s="1157" t="s">
        <v>192</v>
      </c>
      <c r="D48" s="1163" t="s">
        <v>5893</v>
      </c>
      <c r="E48" s="1157"/>
      <c r="F48" s="1157"/>
      <c r="G48" s="1157"/>
      <c r="H48" s="1203">
        <v>22223</v>
      </c>
      <c r="I48" s="1157"/>
      <c r="J48" s="1168">
        <v>4777947</v>
      </c>
      <c r="K48" s="1157"/>
      <c r="L48" s="1187">
        <f t="shared" si="1"/>
        <v>4777947</v>
      </c>
    </row>
    <row r="49" spans="1:12" ht="12" customHeight="1">
      <c r="A49" s="1353">
        <v>14.026999999999999</v>
      </c>
      <c r="B49" s="1204" t="s">
        <v>5909</v>
      </c>
      <c r="C49" s="1204" t="s">
        <v>195</v>
      </c>
      <c r="D49" s="1163" t="s">
        <v>5893</v>
      </c>
      <c r="E49" s="1157"/>
      <c r="F49" s="1157"/>
      <c r="G49" s="1157"/>
      <c r="H49" s="1203">
        <v>12</v>
      </c>
      <c r="I49" s="1157"/>
      <c r="J49" s="1157"/>
      <c r="K49" s="1168">
        <v>1800</v>
      </c>
      <c r="L49" s="1187">
        <f t="shared" si="1"/>
        <v>1800</v>
      </c>
    </row>
    <row r="50" spans="1:12" ht="12" customHeight="1">
      <c r="A50" s="1353">
        <v>14.028</v>
      </c>
      <c r="B50" s="1204" t="s">
        <v>5909</v>
      </c>
      <c r="C50" s="1157" t="s">
        <v>192</v>
      </c>
      <c r="D50" s="1163" t="s">
        <v>5893</v>
      </c>
      <c r="E50" s="1157"/>
      <c r="F50" s="1157"/>
      <c r="G50" s="1157"/>
      <c r="H50" s="1203">
        <v>4160</v>
      </c>
      <c r="I50" s="1157"/>
      <c r="J50" s="1168">
        <v>321492</v>
      </c>
      <c r="K50" s="1157"/>
      <c r="L50" s="1187">
        <f t="shared" si="1"/>
        <v>321492</v>
      </c>
    </row>
    <row r="51" spans="1:12" ht="12" customHeight="1">
      <c r="A51" s="1353">
        <v>14.029</v>
      </c>
      <c r="B51" s="1204" t="s">
        <v>5910</v>
      </c>
      <c r="C51" s="1157" t="s">
        <v>195</v>
      </c>
      <c r="D51" s="1163" t="s">
        <v>5893</v>
      </c>
      <c r="E51" s="1157"/>
      <c r="F51" s="1157"/>
      <c r="G51" s="1157"/>
      <c r="H51" s="1203">
        <v>46</v>
      </c>
      <c r="I51" s="1157"/>
      <c r="J51" s="1157"/>
      <c r="K51" s="1168">
        <v>6275</v>
      </c>
      <c r="L51" s="1187">
        <f t="shared" si="1"/>
        <v>6275</v>
      </c>
    </row>
    <row r="52" spans="1:12" ht="12" customHeight="1">
      <c r="A52" s="1353">
        <v>14.03</v>
      </c>
      <c r="B52" s="1204" t="s">
        <v>5910</v>
      </c>
      <c r="C52" s="1157" t="s">
        <v>192</v>
      </c>
      <c r="D52" s="1163" t="s">
        <v>5893</v>
      </c>
      <c r="E52" s="1157"/>
      <c r="F52" s="1157"/>
      <c r="G52" s="1157"/>
      <c r="H52" s="1203">
        <v>33532</v>
      </c>
      <c r="I52" s="1157"/>
      <c r="J52" s="1168">
        <v>2544689</v>
      </c>
      <c r="K52" s="1157"/>
      <c r="L52" s="1187">
        <f t="shared" si="1"/>
        <v>2544689</v>
      </c>
    </row>
    <row r="53" spans="1:12" ht="12" customHeight="1">
      <c r="A53" s="1353">
        <v>14.031000000000001</v>
      </c>
      <c r="B53" s="1204" t="s">
        <v>5911</v>
      </c>
      <c r="C53" s="1157" t="s">
        <v>192</v>
      </c>
      <c r="D53" s="1163" t="s">
        <v>5894</v>
      </c>
      <c r="E53" s="1157"/>
      <c r="F53" s="1157"/>
      <c r="G53" s="1157"/>
      <c r="H53" s="1203">
        <v>4</v>
      </c>
      <c r="I53" s="1157"/>
      <c r="J53" s="1168">
        <v>307</v>
      </c>
      <c r="K53" s="1157"/>
      <c r="L53" s="1187">
        <f t="shared" si="1"/>
        <v>307</v>
      </c>
    </row>
    <row r="54" spans="1:12" ht="12" customHeight="1">
      <c r="A54" s="1353">
        <v>14.032</v>
      </c>
      <c r="B54" s="1204" t="s">
        <v>5912</v>
      </c>
      <c r="C54" s="1157" t="s">
        <v>195</v>
      </c>
      <c r="D54" s="1163" t="s">
        <v>5893</v>
      </c>
      <c r="E54" s="1157"/>
      <c r="F54" s="1157"/>
      <c r="G54" s="1157"/>
      <c r="H54" s="1189"/>
      <c r="I54" s="1157"/>
      <c r="J54" s="1157"/>
      <c r="K54" s="1168">
        <v>1944</v>
      </c>
      <c r="L54" s="1187">
        <f t="shared" si="1"/>
        <v>1944</v>
      </c>
    </row>
    <row r="55" spans="1:12" ht="12" customHeight="1">
      <c r="A55" s="1353">
        <v>14.032999999999999</v>
      </c>
      <c r="B55" s="1204" t="s">
        <v>5912</v>
      </c>
      <c r="C55" s="1157" t="s">
        <v>192</v>
      </c>
      <c r="D55" s="1163" t="s">
        <v>5894</v>
      </c>
      <c r="E55" s="1157"/>
      <c r="F55" s="1157"/>
      <c r="G55" s="1157"/>
      <c r="H55" s="1203">
        <v>626</v>
      </c>
      <c r="I55" s="1157"/>
      <c r="J55" s="1168">
        <v>39271</v>
      </c>
      <c r="K55" s="1157"/>
      <c r="L55" s="1187">
        <f t="shared" si="1"/>
        <v>39271</v>
      </c>
    </row>
    <row r="56" spans="1:12" ht="12" customHeight="1">
      <c r="A56" s="1353">
        <v>14.034000000000001</v>
      </c>
      <c r="B56" s="1204" t="s">
        <v>5913</v>
      </c>
      <c r="C56" s="1157" t="s">
        <v>195</v>
      </c>
      <c r="D56" s="1163" t="s">
        <v>5893</v>
      </c>
      <c r="E56" s="1157"/>
      <c r="F56" s="1157"/>
      <c r="G56" s="1157"/>
      <c r="H56" s="1203">
        <v>576</v>
      </c>
      <c r="I56" s="1157"/>
      <c r="J56" s="1157"/>
      <c r="K56" s="1168">
        <v>339855</v>
      </c>
      <c r="L56" s="1187">
        <f t="shared" si="1"/>
        <v>339855</v>
      </c>
    </row>
    <row r="57" spans="1:12" ht="12" customHeight="1">
      <c r="A57" s="1353">
        <v>14.035</v>
      </c>
      <c r="B57" s="1204" t="s">
        <v>5913</v>
      </c>
      <c r="C57" s="1157" t="s">
        <v>192</v>
      </c>
      <c r="D57" s="1163" t="s">
        <v>5893</v>
      </c>
      <c r="E57" s="1157"/>
      <c r="F57" s="1157"/>
      <c r="G57" s="1157"/>
      <c r="H57" s="1203">
        <v>77189</v>
      </c>
      <c r="I57" s="1157"/>
      <c r="J57" s="1168">
        <v>10817642</v>
      </c>
      <c r="K57" s="1157"/>
      <c r="L57" s="1187">
        <f t="shared" si="1"/>
        <v>10817642</v>
      </c>
    </row>
    <row r="58" spans="1:12" ht="12" customHeight="1">
      <c r="A58" s="1353">
        <v>14.036</v>
      </c>
      <c r="B58" s="1204" t="s">
        <v>5913</v>
      </c>
      <c r="C58" s="1157" t="s">
        <v>192</v>
      </c>
      <c r="D58" s="1163" t="s">
        <v>5894</v>
      </c>
      <c r="E58" s="1157"/>
      <c r="F58" s="1157"/>
      <c r="G58" s="1157"/>
      <c r="H58" s="1203">
        <v>75</v>
      </c>
      <c r="I58" s="1157"/>
      <c r="J58" s="1168">
        <v>9924</v>
      </c>
      <c r="K58" s="1157"/>
      <c r="L58" s="1187">
        <f t="shared" si="1"/>
        <v>9924</v>
      </c>
    </row>
    <row r="59" spans="1:12" ht="12" customHeight="1">
      <c r="A59" s="1353">
        <v>14.037000000000001</v>
      </c>
      <c r="B59" s="1204" t="s">
        <v>5914</v>
      </c>
      <c r="C59" s="1157" t="s">
        <v>195</v>
      </c>
      <c r="D59" s="1163" t="s">
        <v>5893</v>
      </c>
      <c r="E59" s="1157"/>
      <c r="F59" s="1157"/>
      <c r="G59" s="1157"/>
      <c r="H59" s="1203">
        <v>45</v>
      </c>
      <c r="I59" s="1157"/>
      <c r="J59" s="1157"/>
      <c r="K59" s="1168">
        <v>1068</v>
      </c>
      <c r="L59" s="1187">
        <f t="shared" si="1"/>
        <v>1068</v>
      </c>
    </row>
    <row r="60" spans="1:12" ht="12" customHeight="1">
      <c r="A60" s="1353">
        <v>14.038</v>
      </c>
      <c r="B60" s="1204" t="s">
        <v>5914</v>
      </c>
      <c r="C60" s="1157" t="s">
        <v>192</v>
      </c>
      <c r="D60" s="1163" t="s">
        <v>5893</v>
      </c>
      <c r="E60" s="1157"/>
      <c r="F60" s="1157"/>
      <c r="G60" s="1157"/>
      <c r="H60" s="1203">
        <v>346632</v>
      </c>
      <c r="I60" s="1157"/>
      <c r="J60" s="1168">
        <v>38179304</v>
      </c>
      <c r="K60" s="1157"/>
      <c r="L60" s="1187">
        <f t="shared" si="1"/>
        <v>38179304</v>
      </c>
    </row>
    <row r="61" spans="1:12" ht="12" customHeight="1">
      <c r="A61" s="1353">
        <v>14.039</v>
      </c>
      <c r="B61" s="1204" t="s">
        <v>5915</v>
      </c>
      <c r="C61" s="1157" t="s">
        <v>195</v>
      </c>
      <c r="D61" s="1163" t="s">
        <v>5893</v>
      </c>
      <c r="E61" s="1157"/>
      <c r="F61" s="1157"/>
      <c r="G61" s="1157"/>
      <c r="H61" s="1203">
        <v>34</v>
      </c>
      <c r="I61" s="1157"/>
      <c r="J61" s="1157"/>
      <c r="K61" s="1168">
        <v>6104</v>
      </c>
      <c r="L61" s="1187">
        <f t="shared" si="1"/>
        <v>6104</v>
      </c>
    </row>
    <row r="62" spans="1:12" ht="12" customHeight="1">
      <c r="A62" s="1353">
        <v>14.04</v>
      </c>
      <c r="B62" s="1204" t="s">
        <v>5915</v>
      </c>
      <c r="C62" s="1157" t="s">
        <v>192</v>
      </c>
      <c r="D62" s="1163" t="s">
        <v>5893</v>
      </c>
      <c r="E62" s="1157"/>
      <c r="F62" s="1157"/>
      <c r="G62" s="1157"/>
      <c r="H62" s="1203">
        <v>283970</v>
      </c>
      <c r="I62" s="1157"/>
      <c r="J62" s="1168">
        <v>38488973</v>
      </c>
      <c r="K62" s="1157"/>
      <c r="L62" s="1187">
        <f t="shared" si="1"/>
        <v>38488973</v>
      </c>
    </row>
    <row r="63" spans="1:12" ht="12" customHeight="1">
      <c r="A63" s="1353">
        <v>14.041</v>
      </c>
      <c r="B63" s="1204" t="s">
        <v>5916</v>
      </c>
      <c r="C63" s="1204" t="s">
        <v>195</v>
      </c>
      <c r="D63" s="1163" t="s">
        <v>5893</v>
      </c>
      <c r="E63" s="1157"/>
      <c r="F63" s="1157"/>
      <c r="G63" s="1157"/>
      <c r="H63" s="1189"/>
      <c r="I63" s="1157"/>
      <c r="J63" s="1157"/>
      <c r="K63" s="1168">
        <v>481</v>
      </c>
      <c r="L63" s="1187">
        <f t="shared" si="1"/>
        <v>481</v>
      </c>
    </row>
    <row r="64" spans="1:12" ht="12" customHeight="1">
      <c r="A64" s="1353">
        <v>14.042</v>
      </c>
      <c r="B64" s="1204" t="s">
        <v>5916</v>
      </c>
      <c r="C64" s="1157" t="s">
        <v>192</v>
      </c>
      <c r="D64" s="1163" t="s">
        <v>5894</v>
      </c>
      <c r="E64" s="1157"/>
      <c r="F64" s="1157"/>
      <c r="G64" s="1157"/>
      <c r="H64" s="1203">
        <v>52</v>
      </c>
      <c r="I64" s="1157"/>
      <c r="J64" s="1168">
        <v>1659</v>
      </c>
      <c r="K64" s="1157"/>
      <c r="L64" s="1187">
        <f t="shared" si="1"/>
        <v>1659</v>
      </c>
    </row>
    <row r="65" spans="1:12" ht="12" customHeight="1">
      <c r="A65" s="1353">
        <v>14.042999999999999</v>
      </c>
      <c r="B65" s="1204" t="s">
        <v>5917</v>
      </c>
      <c r="C65" s="1157" t="s">
        <v>192</v>
      </c>
      <c r="D65" s="1163" t="s">
        <v>5893</v>
      </c>
      <c r="E65" s="1157"/>
      <c r="F65" s="1157"/>
      <c r="G65" s="1157"/>
      <c r="H65" s="1203">
        <v>597</v>
      </c>
      <c r="I65" s="1157"/>
      <c r="J65" s="1168">
        <v>12537</v>
      </c>
      <c r="K65" s="1157"/>
      <c r="L65" s="1187">
        <f t="shared" si="1"/>
        <v>12537</v>
      </c>
    </row>
    <row r="66" spans="1:12" ht="12" customHeight="1">
      <c r="A66" s="1353">
        <v>14.044</v>
      </c>
      <c r="B66" s="1204" t="s">
        <v>5918</v>
      </c>
      <c r="C66" s="1157" t="s">
        <v>192</v>
      </c>
      <c r="D66" s="1163" t="s">
        <v>5893</v>
      </c>
      <c r="E66" s="1157"/>
      <c r="F66" s="1157"/>
      <c r="G66" s="1157"/>
      <c r="H66" s="1203">
        <v>29915</v>
      </c>
      <c r="I66" s="1157"/>
      <c r="J66" s="1168">
        <v>2077194</v>
      </c>
      <c r="K66" s="1157"/>
      <c r="L66" s="1187">
        <f t="shared" si="1"/>
        <v>2077194</v>
      </c>
    </row>
    <row r="67" spans="1:12" ht="12" customHeight="1">
      <c r="A67" s="1353">
        <v>14.045</v>
      </c>
      <c r="B67" s="1204" t="s">
        <v>5918</v>
      </c>
      <c r="C67" s="1157" t="s">
        <v>192</v>
      </c>
      <c r="D67" s="1163" t="s">
        <v>5894</v>
      </c>
      <c r="E67" s="1157"/>
      <c r="F67" s="1157"/>
      <c r="G67" s="1157"/>
      <c r="H67" s="1203">
        <v>41</v>
      </c>
      <c r="I67" s="1157"/>
      <c r="J67" s="1168">
        <v>3657</v>
      </c>
      <c r="K67" s="1157"/>
      <c r="L67" s="1187">
        <f t="shared" si="1"/>
        <v>3657</v>
      </c>
    </row>
    <row r="68" spans="1:12" ht="12" customHeight="1">
      <c r="A68" s="1353">
        <v>14.045999999999999</v>
      </c>
      <c r="B68" s="1204" t="s">
        <v>5919</v>
      </c>
      <c r="C68" s="1157" t="s">
        <v>195</v>
      </c>
      <c r="D68" s="1163" t="s">
        <v>5893</v>
      </c>
      <c r="E68" s="1157"/>
      <c r="F68" s="1157"/>
      <c r="G68" s="1157"/>
      <c r="H68" s="1189"/>
      <c r="I68" s="1157"/>
      <c r="J68" s="1157"/>
      <c r="K68" s="1168">
        <v>105</v>
      </c>
      <c r="L68" s="1187">
        <f t="shared" si="1"/>
        <v>105</v>
      </c>
    </row>
    <row r="69" spans="1:12" ht="12" customHeight="1">
      <c r="A69" s="1353">
        <v>14.048</v>
      </c>
      <c r="B69" s="1204" t="s">
        <v>5919</v>
      </c>
      <c r="C69" s="1157" t="s">
        <v>192</v>
      </c>
      <c r="D69" s="1163" t="s">
        <v>5893</v>
      </c>
      <c r="E69" s="1157"/>
      <c r="F69" s="1157"/>
      <c r="G69" s="1157"/>
      <c r="H69" s="1203">
        <v>150188</v>
      </c>
      <c r="I69" s="1157"/>
      <c r="J69" s="1168">
        <v>14792797</v>
      </c>
      <c r="K69" s="1157"/>
      <c r="L69" s="1187">
        <f t="shared" si="1"/>
        <v>14792797</v>
      </c>
    </row>
    <row r="70" spans="1:12" ht="12" customHeight="1">
      <c r="A70" s="1353">
        <v>14.048999999999999</v>
      </c>
      <c r="B70" s="1204" t="s">
        <v>5919</v>
      </c>
      <c r="C70" s="1157" t="s">
        <v>192</v>
      </c>
      <c r="D70" s="1163" t="s">
        <v>5894</v>
      </c>
      <c r="E70" s="1157"/>
      <c r="F70" s="1157"/>
      <c r="G70" s="1157"/>
      <c r="H70" s="1203">
        <v>92</v>
      </c>
      <c r="I70" s="1157"/>
      <c r="J70" s="1168">
        <v>6656</v>
      </c>
      <c r="K70" s="1157"/>
      <c r="L70" s="1187">
        <f t="shared" si="1"/>
        <v>6656</v>
      </c>
    </row>
    <row r="71" spans="1:12" ht="12" customHeight="1">
      <c r="A71" s="1353">
        <v>14.05</v>
      </c>
      <c r="B71" s="1204" t="s">
        <v>5920</v>
      </c>
      <c r="C71" s="1157" t="s">
        <v>195</v>
      </c>
      <c r="D71" s="1163" t="s">
        <v>5893</v>
      </c>
      <c r="E71" s="1157"/>
      <c r="F71" s="1157"/>
      <c r="G71" s="1157"/>
      <c r="H71" s="1189"/>
      <c r="I71" s="1157"/>
      <c r="J71" s="1157"/>
      <c r="K71" s="1168">
        <v>-200</v>
      </c>
      <c r="L71" s="1187">
        <f t="shared" si="1"/>
        <v>-200</v>
      </c>
    </row>
    <row r="72" spans="1:12" ht="12" customHeight="1">
      <c r="A72" s="1353">
        <v>14.051</v>
      </c>
      <c r="B72" s="1204" t="s">
        <v>5920</v>
      </c>
      <c r="C72" s="1157" t="s">
        <v>192</v>
      </c>
      <c r="D72" s="1163" t="s">
        <v>5893</v>
      </c>
      <c r="E72" s="1157"/>
      <c r="F72" s="1157"/>
      <c r="G72" s="1157"/>
      <c r="H72" s="1203">
        <v>334503</v>
      </c>
      <c r="I72" s="1157"/>
      <c r="J72" s="1168">
        <v>26400729</v>
      </c>
      <c r="K72" s="1157"/>
      <c r="L72" s="1187">
        <f t="shared" si="1"/>
        <v>26400729</v>
      </c>
    </row>
    <row r="73" spans="1:12" ht="12" customHeight="1">
      <c r="A73" s="1353">
        <v>14.052</v>
      </c>
      <c r="B73" s="1204" t="s">
        <v>5920</v>
      </c>
      <c r="C73" s="1157" t="s">
        <v>192</v>
      </c>
      <c r="D73" s="1163" t="s">
        <v>5894</v>
      </c>
      <c r="E73" s="1157"/>
      <c r="F73" s="1157"/>
      <c r="G73" s="1157"/>
      <c r="H73" s="1203">
        <v>39</v>
      </c>
      <c r="I73" s="1157"/>
      <c r="J73" s="1168">
        <v>2013</v>
      </c>
      <c r="K73" s="1157"/>
      <c r="L73" s="1187">
        <f t="shared" si="1"/>
        <v>2013</v>
      </c>
    </row>
    <row r="74" spans="1:12" ht="12" customHeight="1">
      <c r="A74" s="1353">
        <v>14.053000000000001</v>
      </c>
      <c r="B74" s="1204" t="s">
        <v>5921</v>
      </c>
      <c r="C74" s="1157" t="s">
        <v>192</v>
      </c>
      <c r="D74" s="1163" t="s">
        <v>5893</v>
      </c>
      <c r="E74" s="1157"/>
      <c r="F74" s="1157"/>
      <c r="G74" s="1157"/>
      <c r="H74" s="1203">
        <v>199218</v>
      </c>
      <c r="I74" s="1157"/>
      <c r="J74" s="1168">
        <v>9720557</v>
      </c>
      <c r="K74" s="1157"/>
      <c r="L74" s="1187">
        <f t="shared" si="1"/>
        <v>9720557</v>
      </c>
    </row>
    <row r="75" spans="1:12" ht="12" customHeight="1">
      <c r="A75" s="1353">
        <v>14.054</v>
      </c>
      <c r="B75" s="1204" t="s">
        <v>5922</v>
      </c>
      <c r="C75" s="1157" t="s">
        <v>192</v>
      </c>
      <c r="D75" s="1163" t="s">
        <v>5893</v>
      </c>
      <c r="E75" s="1157"/>
      <c r="F75" s="1157"/>
      <c r="G75" s="1157"/>
      <c r="H75" s="1203">
        <v>200</v>
      </c>
      <c r="I75" s="1157"/>
      <c r="J75" s="1168">
        <v>4400</v>
      </c>
      <c r="K75" s="1157"/>
      <c r="L75" s="1187">
        <f t="shared" si="1"/>
        <v>4400</v>
      </c>
    </row>
    <row r="76" spans="1:12" ht="12" customHeight="1">
      <c r="A76" s="1353">
        <v>14.055</v>
      </c>
      <c r="B76" s="1204" t="s">
        <v>5923</v>
      </c>
      <c r="C76" s="1204" t="s">
        <v>192</v>
      </c>
      <c r="D76" s="1163" t="s">
        <v>5893</v>
      </c>
      <c r="E76" s="1157"/>
      <c r="F76" s="1157"/>
      <c r="G76" s="1157"/>
      <c r="H76" s="1203">
        <v>8315</v>
      </c>
      <c r="I76" s="1157"/>
      <c r="J76" s="1168">
        <v>313404</v>
      </c>
      <c r="K76" s="1157"/>
      <c r="L76" s="1187">
        <f t="shared" si="1"/>
        <v>313404</v>
      </c>
    </row>
    <row r="77" spans="1:12" ht="12" customHeight="1">
      <c r="A77" s="1353">
        <v>14.055999999999999</v>
      </c>
      <c r="B77" s="1204" t="s">
        <v>5924</v>
      </c>
      <c r="C77" s="1157" t="s">
        <v>195</v>
      </c>
      <c r="D77" s="1163" t="s">
        <v>5893</v>
      </c>
      <c r="E77" s="1157"/>
      <c r="F77" s="1157"/>
      <c r="G77" s="1157"/>
      <c r="H77" s="1189"/>
      <c r="I77" s="1157"/>
      <c r="J77" s="1157"/>
      <c r="K77" s="1168">
        <v>100</v>
      </c>
      <c r="L77" s="1187">
        <f t="shared" si="1"/>
        <v>100</v>
      </c>
    </row>
    <row r="78" spans="1:12" ht="12" customHeight="1">
      <c r="A78" s="1353">
        <v>14.057</v>
      </c>
      <c r="B78" s="1204" t="s">
        <v>5924</v>
      </c>
      <c r="C78" s="1157" t="s">
        <v>192</v>
      </c>
      <c r="D78" s="1163" t="s">
        <v>5893</v>
      </c>
      <c r="E78" s="1157"/>
      <c r="F78" s="1157"/>
      <c r="G78" s="1157"/>
      <c r="H78" s="1203">
        <v>29524</v>
      </c>
      <c r="I78" s="1157"/>
      <c r="J78" s="1168">
        <v>852518</v>
      </c>
      <c r="K78" s="1157"/>
      <c r="L78" s="1187">
        <f t="shared" si="1"/>
        <v>852518</v>
      </c>
    </row>
    <row r="79" spans="1:12" ht="12" customHeight="1">
      <c r="A79" s="1353">
        <v>14.058</v>
      </c>
      <c r="B79" s="1204" t="s">
        <v>5924</v>
      </c>
      <c r="C79" s="1157" t="s">
        <v>192</v>
      </c>
      <c r="D79" s="1163" t="s">
        <v>5894</v>
      </c>
      <c r="E79" s="1157"/>
      <c r="F79" s="1157"/>
      <c r="G79" s="1157"/>
      <c r="H79" s="1203">
        <v>23</v>
      </c>
      <c r="I79" s="1157"/>
      <c r="J79" s="1168">
        <v>1252</v>
      </c>
      <c r="K79" s="1157"/>
      <c r="L79" s="1187">
        <f t="shared" si="1"/>
        <v>1252</v>
      </c>
    </row>
    <row r="80" spans="1:12" ht="12" customHeight="1">
      <c r="A80" s="1353">
        <v>14.058999999999999</v>
      </c>
      <c r="B80" s="1204" t="s">
        <v>5925</v>
      </c>
      <c r="C80" s="1157" t="s">
        <v>195</v>
      </c>
      <c r="D80" s="1163" t="s">
        <v>5893</v>
      </c>
      <c r="E80" s="1157"/>
      <c r="F80" s="1157"/>
      <c r="G80" s="1157"/>
      <c r="H80" s="1189"/>
      <c r="I80" s="1157"/>
      <c r="J80" s="1157"/>
      <c r="K80" s="1168">
        <v>148</v>
      </c>
      <c r="L80" s="1187">
        <f t="shared" si="1"/>
        <v>148</v>
      </c>
    </row>
    <row r="81" spans="1:14" ht="12" customHeight="1">
      <c r="A81" s="1353">
        <v>14.06</v>
      </c>
      <c r="B81" s="1204" t="s">
        <v>5925</v>
      </c>
      <c r="C81" s="1157" t="s">
        <v>192</v>
      </c>
      <c r="D81" s="1163" t="s">
        <v>5893</v>
      </c>
      <c r="E81" s="1157"/>
      <c r="F81" s="1157"/>
      <c r="G81" s="1157"/>
      <c r="H81" s="1203">
        <v>86365</v>
      </c>
      <c r="I81" s="1157"/>
      <c r="J81" s="1168">
        <v>10560206</v>
      </c>
      <c r="K81" s="1157"/>
      <c r="L81" s="1187">
        <f t="shared" si="1"/>
        <v>10560206</v>
      </c>
    </row>
    <row r="82" spans="1:14" ht="12" customHeight="1">
      <c r="A82" s="1353">
        <v>14.061</v>
      </c>
      <c r="B82" s="1204" t="s">
        <v>5926</v>
      </c>
      <c r="C82" s="1157" t="s">
        <v>192</v>
      </c>
      <c r="D82" s="1163" t="s">
        <v>5893</v>
      </c>
      <c r="E82" s="1157"/>
      <c r="F82" s="1157"/>
      <c r="G82" s="1157"/>
      <c r="H82" s="1203">
        <v>263034</v>
      </c>
      <c r="I82" s="1157"/>
      <c r="J82" s="1168">
        <v>22675558</v>
      </c>
      <c r="K82" s="1157"/>
      <c r="L82" s="1187">
        <f t="shared" si="1"/>
        <v>22675558</v>
      </c>
    </row>
    <row r="83" spans="1:14" ht="12" customHeight="1">
      <c r="A83" s="1353">
        <v>14.061999999999999</v>
      </c>
      <c r="B83" s="1204" t="s">
        <v>5927</v>
      </c>
      <c r="C83" s="1157" t="s">
        <v>195</v>
      </c>
      <c r="D83" s="1163" t="s">
        <v>5893</v>
      </c>
      <c r="E83" s="1157"/>
      <c r="F83" s="1157"/>
      <c r="G83" s="1157"/>
      <c r="H83" s="1203">
        <v>12</v>
      </c>
      <c r="I83" s="1157"/>
      <c r="J83" s="1157"/>
      <c r="K83" s="1168">
        <v>2280</v>
      </c>
      <c r="L83" s="1187">
        <f t="shared" si="1"/>
        <v>2280</v>
      </c>
    </row>
    <row r="84" spans="1:14" ht="12" customHeight="1">
      <c r="A84" s="1353">
        <v>14.063000000000001</v>
      </c>
      <c r="B84" s="1204" t="s">
        <v>5927</v>
      </c>
      <c r="C84" s="1157" t="s">
        <v>192</v>
      </c>
      <c r="D84" s="1163" t="s">
        <v>5893</v>
      </c>
      <c r="E84" s="1157"/>
      <c r="F84" s="1157"/>
      <c r="G84" s="1157"/>
      <c r="H84" s="1203">
        <v>33043</v>
      </c>
      <c r="I84" s="1157"/>
      <c r="J84" s="1168">
        <v>3426565</v>
      </c>
      <c r="K84" s="1157"/>
      <c r="L84" s="1187">
        <f t="shared" si="1"/>
        <v>3426565</v>
      </c>
    </row>
    <row r="85" spans="1:14" ht="12" customHeight="1">
      <c r="A85" s="1353">
        <v>14.064</v>
      </c>
      <c r="B85" s="1204" t="s">
        <v>5928</v>
      </c>
      <c r="C85" s="1157" t="s">
        <v>192</v>
      </c>
      <c r="D85" s="1163" t="s">
        <v>5893</v>
      </c>
      <c r="E85" s="1157"/>
      <c r="F85" s="1157"/>
      <c r="G85" s="1157"/>
      <c r="H85" s="1203">
        <v>22227</v>
      </c>
      <c r="I85" s="1157"/>
      <c r="J85" s="1168">
        <v>1619779</v>
      </c>
      <c r="K85" s="1157"/>
      <c r="L85" s="1187">
        <f t="shared" si="1"/>
        <v>1619779</v>
      </c>
    </row>
    <row r="86" spans="1:14" ht="12" customHeight="1">
      <c r="A86" s="1353">
        <v>14.065</v>
      </c>
      <c r="B86" s="1204" t="s">
        <v>5929</v>
      </c>
      <c r="C86" s="1157" t="s">
        <v>195</v>
      </c>
      <c r="D86" s="1163" t="s">
        <v>5893</v>
      </c>
      <c r="E86" s="1157"/>
      <c r="F86" s="1157"/>
      <c r="G86" s="1157"/>
      <c r="H86" s="1203">
        <v>-18</v>
      </c>
      <c r="I86" s="1157"/>
      <c r="J86" s="1157"/>
      <c r="K86" s="1168">
        <v>-2286</v>
      </c>
      <c r="L86" s="1187">
        <f t="shared" si="1"/>
        <v>-2286</v>
      </c>
    </row>
    <row r="87" spans="1:14" ht="12" customHeight="1">
      <c r="A87" s="1353">
        <v>14.066000000000001</v>
      </c>
      <c r="B87" s="1204" t="s">
        <v>5929</v>
      </c>
      <c r="C87" s="1157" t="s">
        <v>192</v>
      </c>
      <c r="D87" s="1163" t="s">
        <v>5893</v>
      </c>
      <c r="E87" s="1157"/>
      <c r="F87" s="1157"/>
      <c r="G87" s="1157"/>
      <c r="H87" s="1203">
        <v>149976</v>
      </c>
      <c r="I87" s="1157"/>
      <c r="J87" s="1168">
        <v>12924763</v>
      </c>
      <c r="K87" s="1157"/>
      <c r="L87" s="1187">
        <f t="shared" si="1"/>
        <v>12924763</v>
      </c>
    </row>
    <row r="88" spans="1:14" ht="12" customHeight="1">
      <c r="A88" s="1353">
        <v>14.067</v>
      </c>
      <c r="B88" s="1204" t="s">
        <v>5930</v>
      </c>
      <c r="C88" s="1157" t="s">
        <v>195</v>
      </c>
      <c r="D88" s="1163" t="s">
        <v>5893</v>
      </c>
      <c r="E88" s="1157"/>
      <c r="F88" s="1157"/>
      <c r="G88" s="1157"/>
      <c r="H88" s="1203">
        <v>-1</v>
      </c>
      <c r="I88" s="1157"/>
      <c r="J88" s="1157"/>
      <c r="K88" s="1168">
        <v>-21973</v>
      </c>
      <c r="L88" s="1187">
        <f t="shared" si="1"/>
        <v>-21973</v>
      </c>
    </row>
    <row r="89" spans="1:14" ht="12" customHeight="1">
      <c r="A89" s="1353">
        <v>14.068</v>
      </c>
      <c r="B89" s="1204" t="s">
        <v>5930</v>
      </c>
      <c r="C89" s="1157" t="s">
        <v>192</v>
      </c>
      <c r="D89" s="1163" t="s">
        <v>5893</v>
      </c>
      <c r="E89" s="1157"/>
      <c r="F89" s="1157"/>
      <c r="G89" s="1157"/>
      <c r="H89" s="1203">
        <v>827101</v>
      </c>
      <c r="I89" s="1157"/>
      <c r="J89" s="1168">
        <v>74637853</v>
      </c>
      <c r="K89" s="1157"/>
      <c r="L89" s="1187">
        <f t="shared" si="1"/>
        <v>74637853</v>
      </c>
    </row>
    <row r="90" spans="1:14" ht="12" customHeight="1">
      <c r="A90" s="1353">
        <v>14.069000000000001</v>
      </c>
      <c r="B90" s="1204" t="s">
        <v>5931</v>
      </c>
      <c r="C90" s="1157" t="s">
        <v>192</v>
      </c>
      <c r="D90" s="1163" t="s">
        <v>5893</v>
      </c>
      <c r="E90" s="1157"/>
      <c r="F90" s="1157"/>
      <c r="G90" s="1157"/>
      <c r="H90" s="1203">
        <v>55475</v>
      </c>
      <c r="I90" s="1157"/>
      <c r="J90" s="1168">
        <v>3186566</v>
      </c>
      <c r="K90" s="1157"/>
      <c r="L90" s="1187">
        <f t="shared" si="1"/>
        <v>3186566</v>
      </c>
    </row>
    <row r="91" spans="1:14" ht="12" customHeight="1">
      <c r="A91" s="1353">
        <v>14.07</v>
      </c>
      <c r="B91" s="1204" t="s">
        <v>5932</v>
      </c>
      <c r="C91" s="1157" t="s">
        <v>195</v>
      </c>
      <c r="D91" s="1163" t="s">
        <v>5893</v>
      </c>
      <c r="E91" s="1157"/>
      <c r="F91" s="1157"/>
      <c r="G91" s="1157"/>
      <c r="H91" s="1189"/>
      <c r="I91" s="1157"/>
      <c r="J91" s="1157"/>
      <c r="K91" s="1168">
        <v>338</v>
      </c>
      <c r="L91" s="1187">
        <f t="shared" si="1"/>
        <v>338</v>
      </c>
    </row>
    <row r="92" spans="1:14" ht="12" customHeight="1">
      <c r="A92" s="1353">
        <v>14.071</v>
      </c>
      <c r="B92" s="1204" t="s">
        <v>5932</v>
      </c>
      <c r="C92" s="1157" t="s">
        <v>192</v>
      </c>
      <c r="D92" s="1163" t="s">
        <v>5893</v>
      </c>
      <c r="E92" s="1157"/>
      <c r="F92" s="1157"/>
      <c r="G92" s="1157"/>
      <c r="H92" s="1203">
        <v>585</v>
      </c>
      <c r="I92" s="1157"/>
      <c r="J92" s="1168">
        <v>26645</v>
      </c>
      <c r="K92" s="1157"/>
      <c r="L92" s="1187">
        <f t="shared" si="1"/>
        <v>26645</v>
      </c>
    </row>
    <row r="93" spans="1:14" ht="12" customHeight="1">
      <c r="A93" s="1353">
        <v>14.071999999999999</v>
      </c>
      <c r="B93" s="1204" t="s">
        <v>5933</v>
      </c>
      <c r="C93" s="1157" t="s">
        <v>192</v>
      </c>
      <c r="D93" s="1163" t="s">
        <v>5893</v>
      </c>
      <c r="E93" s="1157"/>
      <c r="F93" s="1157"/>
      <c r="G93" s="1157"/>
      <c r="H93" s="1203">
        <v>12449</v>
      </c>
      <c r="I93" s="1157"/>
      <c r="J93" s="1168">
        <v>859167</v>
      </c>
      <c r="K93" s="1157"/>
      <c r="L93" s="1187">
        <f t="shared" si="1"/>
        <v>859167</v>
      </c>
    </row>
    <row r="94" spans="1:14" ht="12" customHeight="1">
      <c r="A94" s="1353">
        <v>14.073</v>
      </c>
      <c r="B94" s="1204" t="s">
        <v>5934</v>
      </c>
      <c r="C94" s="1157" t="s">
        <v>192</v>
      </c>
      <c r="D94" s="1163" t="s">
        <v>5893</v>
      </c>
      <c r="E94" s="1157"/>
      <c r="F94" s="1157"/>
      <c r="G94" s="1157"/>
      <c r="H94" s="1203">
        <v>8000</v>
      </c>
      <c r="I94" s="1157"/>
      <c r="J94" s="1168">
        <v>254700</v>
      </c>
      <c r="K94" s="1157"/>
      <c r="L94" s="1187">
        <f t="shared" si="1"/>
        <v>254700</v>
      </c>
      <c r="N94" s="1354"/>
    </row>
    <row r="95" spans="1:14" ht="12" customHeight="1">
      <c r="A95" s="1353">
        <v>14.074</v>
      </c>
      <c r="B95" s="1204"/>
      <c r="C95" s="1157"/>
      <c r="D95" s="1163"/>
      <c r="E95" s="1157"/>
      <c r="F95" s="1157"/>
      <c r="G95" s="1157"/>
      <c r="H95" s="1189"/>
      <c r="I95" s="1157"/>
      <c r="J95" s="1157"/>
      <c r="K95" s="1157"/>
      <c r="L95" s="1165"/>
    </row>
    <row r="96" spans="1:14" ht="12" customHeight="1">
      <c r="A96" s="1353">
        <v>14.074999999999999</v>
      </c>
      <c r="B96" s="1204"/>
      <c r="C96" s="1157"/>
      <c r="D96" s="1163"/>
      <c r="E96" s="1157"/>
      <c r="F96" s="1157"/>
      <c r="G96" s="1157"/>
      <c r="H96" s="1189"/>
      <c r="I96" s="1157"/>
      <c r="J96" s="1157"/>
      <c r="K96" s="1157"/>
      <c r="L96" s="1165"/>
    </row>
    <row r="97" spans="1:12" ht="12" customHeight="1">
      <c r="A97" s="1353">
        <v>14.076000000000001</v>
      </c>
      <c r="B97" s="1204"/>
      <c r="C97" s="1157"/>
      <c r="D97" s="1163"/>
      <c r="E97" s="1157"/>
      <c r="F97" s="1157"/>
      <c r="G97" s="1157"/>
      <c r="H97" s="1189"/>
      <c r="I97" s="1157"/>
      <c r="J97" s="1157"/>
      <c r="K97" s="1157"/>
      <c r="L97" s="1165"/>
    </row>
    <row r="98" spans="1:12" ht="12" customHeight="1">
      <c r="A98" s="1353">
        <v>14.077</v>
      </c>
      <c r="B98" s="1204"/>
      <c r="C98" s="1204"/>
      <c r="D98" s="1163"/>
      <c r="E98" s="1157"/>
      <c r="F98" s="1157"/>
      <c r="G98" s="1157"/>
      <c r="H98" s="1189"/>
      <c r="I98" s="1157"/>
      <c r="J98" s="1189"/>
      <c r="K98" s="1189"/>
      <c r="L98" s="1217"/>
    </row>
    <row r="99" spans="1:12" ht="12" customHeight="1">
      <c r="A99" s="1353">
        <v>14.077999999999999</v>
      </c>
      <c r="B99" s="1204"/>
      <c r="C99" s="1204"/>
      <c r="D99" s="1163"/>
      <c r="E99" s="1157"/>
      <c r="F99" s="1157"/>
      <c r="G99" s="1157"/>
      <c r="H99" s="1189"/>
      <c r="I99" s="1157"/>
      <c r="J99" s="1189"/>
      <c r="K99" s="1189"/>
      <c r="L99" s="1217"/>
    </row>
    <row r="100" spans="1:12" ht="12" customHeight="1">
      <c r="A100" s="1353">
        <v>14.079000000000001</v>
      </c>
      <c r="B100" s="1204"/>
      <c r="C100" s="1204"/>
      <c r="D100" s="1163"/>
      <c r="E100" s="1157"/>
      <c r="F100" s="1157"/>
      <c r="G100" s="1157"/>
      <c r="H100" s="1189"/>
      <c r="I100" s="1157"/>
      <c r="J100" s="1189"/>
      <c r="K100" s="1189"/>
      <c r="L100" s="1217"/>
    </row>
    <row r="101" spans="1:12" ht="12" customHeight="1">
      <c r="A101" s="1353">
        <v>14.08</v>
      </c>
      <c r="B101" s="1204"/>
      <c r="C101" s="1204"/>
      <c r="D101" s="1163"/>
      <c r="E101" s="1157"/>
      <c r="F101" s="1157"/>
      <c r="G101" s="1157"/>
      <c r="H101" s="1189"/>
      <c r="I101" s="1157"/>
      <c r="J101" s="1189"/>
      <c r="K101" s="1189"/>
      <c r="L101" s="1217"/>
    </row>
    <row r="102" spans="1:12" ht="12" customHeight="1">
      <c r="A102" s="1353">
        <v>14.081</v>
      </c>
      <c r="B102" s="1204"/>
      <c r="C102" s="1204"/>
      <c r="D102" s="1163"/>
      <c r="E102" s="1157"/>
      <c r="F102" s="1157"/>
      <c r="G102" s="1157"/>
      <c r="H102" s="1157"/>
      <c r="I102" s="1157"/>
      <c r="J102" s="1157"/>
      <c r="K102" s="1157"/>
      <c r="L102" s="1217"/>
    </row>
    <row r="103" spans="1:12" ht="12" customHeight="1">
      <c r="A103" s="1317">
        <v>15</v>
      </c>
      <c r="B103" s="1204" t="s">
        <v>5935</v>
      </c>
      <c r="C103" s="1157"/>
      <c r="D103" s="1157"/>
      <c r="E103" s="1355">
        <v>0</v>
      </c>
      <c r="F103" s="1355">
        <v>0</v>
      </c>
      <c r="G103" s="1355">
        <v>0</v>
      </c>
      <c r="H103" s="1187">
        <f>SUMIF($C$12:$C$102,"RQ",H12:H102)</f>
        <v>7136</v>
      </c>
      <c r="I103" s="1187">
        <f>SUMIF($C$12:$C$102,"RQ",I12:I102)</f>
        <v>74085</v>
      </c>
      <c r="J103" s="1187">
        <f>SUMIF($C$12:$C$102,"RQ",J12:J102)</f>
        <v>250763</v>
      </c>
      <c r="K103" s="1187">
        <f>SUMIF($C$12:$C$102,"RQ",K12:K102)</f>
        <v>18829</v>
      </c>
      <c r="L103" s="1187">
        <f>SUMIF($C$12:$C$102,"RQ",L12:L102)</f>
        <v>343677</v>
      </c>
    </row>
    <row r="104" spans="1:12" ht="12" customHeight="1">
      <c r="A104" s="1317">
        <v>16</v>
      </c>
      <c r="B104" s="1204" t="s">
        <v>5936</v>
      </c>
      <c r="C104" s="1157"/>
      <c r="D104" s="1157"/>
      <c r="E104" s="1355">
        <v>0</v>
      </c>
      <c r="F104" s="1355">
        <v>0</v>
      </c>
      <c r="G104" s="1355">
        <v>0</v>
      </c>
      <c r="H104" s="1187">
        <f>SUMIF($C$12:$C$102,"&lt;&gt;RQ",H12:H102)</f>
        <v>6037297</v>
      </c>
      <c r="I104" s="1187">
        <f>SUMIF($C$12:$C$102,"&lt;&gt;RQ",I12:I102)</f>
        <v>0</v>
      </c>
      <c r="J104" s="1187">
        <f>SUMIF($C$12:$C$102,"&lt;&gt;RQ",J12:J102)</f>
        <v>546361826</v>
      </c>
      <c r="K104" s="1187">
        <f>SUMIF($C$12:$C$102,"&lt;&gt;RQ",K12:K102)</f>
        <v>255176</v>
      </c>
      <c r="L104" s="1187">
        <f>SUMIF($C$12:$C$102,"&lt;&gt;RQ",L12:L102)</f>
        <v>546617002</v>
      </c>
    </row>
    <row r="105" spans="1:12" ht="12" customHeight="1">
      <c r="A105" s="1317">
        <v>17</v>
      </c>
      <c r="B105" s="1356" t="s">
        <v>104</v>
      </c>
      <c r="C105" s="1157"/>
      <c r="D105" s="1157"/>
      <c r="E105" s="1355">
        <f>E103+E104</f>
        <v>0</v>
      </c>
      <c r="F105" s="1355">
        <f>F103+F104</f>
        <v>0</v>
      </c>
      <c r="G105" s="1355">
        <f>G103+G104</f>
        <v>0</v>
      </c>
      <c r="H105" s="1187">
        <f>SUM(H103:H104)</f>
        <v>6044433</v>
      </c>
      <c r="I105" s="1187">
        <f>SUM(I103:I104)</f>
        <v>74085</v>
      </c>
      <c r="J105" s="1187">
        <f>SUM(J103:J104)</f>
        <v>546612589</v>
      </c>
      <c r="K105" s="1187">
        <f>SUM(K103:K104)</f>
        <v>274005</v>
      </c>
      <c r="L105" s="1187">
        <f>SUM(L103:L104)</f>
        <v>546960679</v>
      </c>
    </row>
    <row r="106" spans="1:12">
      <c r="A106" s="1331"/>
      <c r="B106" s="1331"/>
      <c r="C106" s="1331"/>
      <c r="D106" s="1331"/>
      <c r="E106" s="1331"/>
      <c r="F106" s="1331"/>
      <c r="G106" s="1331"/>
      <c r="H106" s="1331"/>
      <c r="I106" s="1331"/>
      <c r="J106" s="1331"/>
      <c r="K106" s="1331"/>
      <c r="L106" s="1331"/>
    </row>
    <row r="107" spans="1:12">
      <c r="H107" s="1357"/>
      <c r="I107" s="1357"/>
      <c r="J107" s="1357"/>
      <c r="K107" s="1357"/>
      <c r="L107" s="1357"/>
    </row>
    <row r="108" spans="1:12">
      <c r="H108" s="1357"/>
      <c r="I108" s="1357"/>
      <c r="J108" s="1357"/>
      <c r="K108" s="1357"/>
      <c r="L108" s="1357"/>
    </row>
  </sheetData>
  <mergeCells count="13">
    <mergeCell ref="H9:H10"/>
    <mergeCell ref="I9:K9"/>
    <mergeCell ref="L9:L10"/>
    <mergeCell ref="A7:G7"/>
    <mergeCell ref="H7:L7"/>
    <mergeCell ref="A8:G8"/>
    <mergeCell ref="H8:L8"/>
    <mergeCell ref="A9:A11"/>
    <mergeCell ref="B9:B10"/>
    <mergeCell ref="C9:C10"/>
    <mergeCell ref="D9:D10"/>
    <mergeCell ref="E9:E10"/>
    <mergeCell ref="F9:G9"/>
  </mergeCells>
  <pageMargins left="0.75" right="0.75" top="1" bottom="1" header="0.5" footer="0.5"/>
  <pageSetup orientation="portrait" horizontalDpi="360" verticalDpi="360" r:id="rId2"/>
  <customProperties>
    <customPr name="_pios_id" r:id="rId3"/>
  </customPropertie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rgb="FF92D050"/>
  </sheetPr>
  <dimension ref="A1:P105"/>
  <sheetViews>
    <sheetView workbookViewId="0">
      <pane ySplit="8" topLeftCell="A9" activePane="bottomLeft" state="frozen"/>
      <selection sqref="A1:XFD1048576"/>
      <selection pane="bottomLeft" sqref="A1:XFD1048576"/>
    </sheetView>
  </sheetViews>
  <sheetFormatPr defaultColWidth="11.625" defaultRowHeight="11.25"/>
  <cols>
    <col min="1" max="1" width="5.75" style="1358" customWidth="1"/>
    <col min="2" max="2" width="30.25" style="1358" bestFit="1" customWidth="1"/>
    <col min="3" max="3" width="6.625" style="1358" bestFit="1" customWidth="1"/>
    <col min="4" max="4" width="9.125" style="1358" bestFit="1" customWidth="1"/>
    <col min="5" max="5" width="9.375" style="1358" bestFit="1" customWidth="1"/>
    <col min="6" max="6" width="13.75" style="1358" bestFit="1" customWidth="1"/>
    <col min="7" max="7" width="12.75" style="1358" bestFit="1" customWidth="1"/>
    <col min="8" max="9" width="11.25" style="1358" bestFit="1" customWidth="1"/>
    <col min="10" max="10" width="10.625" style="1358" bestFit="1" customWidth="1"/>
    <col min="11" max="11" width="9.75" style="1358" bestFit="1" customWidth="1"/>
    <col min="12" max="12" width="8.375" style="1358" bestFit="1" customWidth="1"/>
    <col min="13" max="13" width="1.75" style="1358" customWidth="1"/>
    <col min="14" max="14" width="12.75" style="1358" customWidth="1"/>
    <col min="15" max="15" width="18.875" style="1358" bestFit="1" customWidth="1"/>
    <col min="16" max="16" width="13.5" style="1358" bestFit="1" customWidth="1"/>
    <col min="17" max="26" width="17.625" style="1358" customWidth="1"/>
    <col min="27" max="16384" width="11.625" style="1358"/>
  </cols>
  <sheetData>
    <row r="1" spans="1:16">
      <c r="A1" s="507" t="s">
        <v>4977</v>
      </c>
      <c r="B1" s="507"/>
      <c r="N1" s="1327"/>
      <c r="O1" s="1344" t="s">
        <v>5860</v>
      </c>
      <c r="P1" s="1344" t="s">
        <v>5861</v>
      </c>
    </row>
    <row r="2" spans="1:16">
      <c r="A2" s="507" t="s">
        <v>5937</v>
      </c>
      <c r="B2" s="507"/>
      <c r="N2" s="493" t="s">
        <v>5938</v>
      </c>
      <c r="O2" s="493" t="s">
        <v>5862</v>
      </c>
      <c r="P2" s="493" t="s">
        <v>5863</v>
      </c>
    </row>
    <row r="3" spans="1:16">
      <c r="N3" s="525" t="s">
        <v>195</v>
      </c>
      <c r="O3" s="568">
        <v>60369</v>
      </c>
      <c r="P3" s="568">
        <v>1309</v>
      </c>
    </row>
    <row r="4" spans="1:16">
      <c r="A4" s="4077" t="s">
        <v>5864</v>
      </c>
      <c r="B4" s="4080"/>
      <c r="C4" s="4080"/>
      <c r="D4" s="4080"/>
      <c r="E4" s="4080"/>
      <c r="F4" s="4080"/>
      <c r="G4" s="4081"/>
      <c r="H4" s="4077" t="s">
        <v>5865</v>
      </c>
      <c r="I4" s="4078"/>
      <c r="J4" s="4078"/>
      <c r="K4" s="4078"/>
      <c r="L4" s="4079"/>
      <c r="M4" s="1359"/>
      <c r="N4" s="525" t="s">
        <v>192</v>
      </c>
      <c r="O4" s="568">
        <v>292596957</v>
      </c>
      <c r="P4" s="568">
        <v>6641435</v>
      </c>
    </row>
    <row r="5" spans="1:16">
      <c r="A5" s="4082" t="s">
        <v>5866</v>
      </c>
      <c r="B5" s="4083"/>
      <c r="C5" s="4083"/>
      <c r="D5" s="4083"/>
      <c r="E5" s="4083"/>
      <c r="F5" s="4083"/>
      <c r="G5" s="4084"/>
      <c r="H5" s="4082" t="s">
        <v>5867</v>
      </c>
      <c r="I5" s="4085"/>
      <c r="J5" s="4085"/>
      <c r="K5" s="4085"/>
      <c r="L5" s="4086"/>
      <c r="M5" s="1360"/>
      <c r="N5" s="525" t="s">
        <v>186</v>
      </c>
      <c r="O5" s="568">
        <v>349832</v>
      </c>
      <c r="P5" s="568">
        <v>7204</v>
      </c>
    </row>
    <row r="6" spans="1:16">
      <c r="A6" s="4087" t="s">
        <v>5177</v>
      </c>
      <c r="B6" s="4075" t="s">
        <v>5868</v>
      </c>
      <c r="C6" s="4075" t="s">
        <v>5869</v>
      </c>
      <c r="D6" s="4075" t="s">
        <v>5870</v>
      </c>
      <c r="E6" s="4075" t="s">
        <v>5871</v>
      </c>
      <c r="F6" s="4090" t="s">
        <v>5872</v>
      </c>
      <c r="G6" s="4081"/>
      <c r="H6" s="4075" t="s">
        <v>5873</v>
      </c>
      <c r="I6" s="4077" t="s">
        <v>5874</v>
      </c>
      <c r="J6" s="4078"/>
      <c r="K6" s="4079"/>
      <c r="L6" s="4075" t="s">
        <v>5875</v>
      </c>
      <c r="M6" s="1361"/>
      <c r="N6" s="525" t="s">
        <v>2301</v>
      </c>
      <c r="O6" s="568">
        <v>293007158</v>
      </c>
      <c r="P6" s="568">
        <v>6649948</v>
      </c>
    </row>
    <row r="7" spans="1:16" ht="22.5">
      <c r="A7" s="4088"/>
      <c r="B7" s="4089"/>
      <c r="C7" s="4089"/>
      <c r="D7" s="4089"/>
      <c r="E7" s="4089"/>
      <c r="F7" s="1362" t="s">
        <v>5876</v>
      </c>
      <c r="G7" s="1362" t="s">
        <v>5877</v>
      </c>
      <c r="H7" s="4076"/>
      <c r="I7" s="1363" t="s">
        <v>5878</v>
      </c>
      <c r="J7" s="1363" t="s">
        <v>5879</v>
      </c>
      <c r="K7" s="1363" t="s">
        <v>5880</v>
      </c>
      <c r="L7" s="4076"/>
      <c r="M7" s="1361"/>
      <c r="N7" s="1346" t="s">
        <v>929</v>
      </c>
      <c r="O7" s="1347">
        <f>O6-L102</f>
        <v>0</v>
      </c>
      <c r="P7" s="1348">
        <f>P6-H102</f>
        <v>0</v>
      </c>
    </row>
    <row r="8" spans="1:16">
      <c r="A8" s="4088"/>
      <c r="B8" s="1364" t="s">
        <v>4989</v>
      </c>
      <c r="C8" s="1364" t="s">
        <v>4990</v>
      </c>
      <c r="D8" s="1364" t="s">
        <v>4991</v>
      </c>
      <c r="E8" s="1364" t="s">
        <v>4992</v>
      </c>
      <c r="F8" s="1364" t="s">
        <v>5181</v>
      </c>
      <c r="G8" s="1364" t="s">
        <v>5182</v>
      </c>
      <c r="H8" s="1364" t="s">
        <v>5183</v>
      </c>
      <c r="I8" s="1364" t="s">
        <v>5184</v>
      </c>
      <c r="J8" s="1364" t="s">
        <v>5185</v>
      </c>
      <c r="K8" s="1364" t="s">
        <v>5186</v>
      </c>
      <c r="L8" s="1364" t="s">
        <v>5187</v>
      </c>
      <c r="M8" s="1359"/>
      <c r="N8" s="493"/>
      <c r="O8" s="493"/>
      <c r="P8" s="493"/>
    </row>
    <row r="9" spans="1:16">
      <c r="A9" s="1365">
        <v>1</v>
      </c>
      <c r="B9" s="1366" t="s">
        <v>5881</v>
      </c>
      <c r="C9" s="1366" t="s">
        <v>186</v>
      </c>
      <c r="D9" s="1367" t="s">
        <v>5882</v>
      </c>
      <c r="E9" s="1368">
        <v>0.13500000000000001</v>
      </c>
      <c r="F9" s="1368">
        <v>0.13500000000000001</v>
      </c>
      <c r="G9" s="1368">
        <v>0.13500000000000001</v>
      </c>
      <c r="H9" s="1365">
        <v>794</v>
      </c>
      <c r="I9" s="1369">
        <v>8535</v>
      </c>
      <c r="J9" s="1369">
        <v>27915</v>
      </c>
      <c r="K9" s="1369">
        <v>2745</v>
      </c>
      <c r="L9" s="1370">
        <v>39195</v>
      </c>
      <c r="M9" s="1371"/>
      <c r="N9" s="493"/>
      <c r="O9" s="493"/>
      <c r="P9" s="493"/>
    </row>
    <row r="10" spans="1:16">
      <c r="A10" s="1365">
        <v>2</v>
      </c>
      <c r="B10" s="1366" t="s">
        <v>5883</v>
      </c>
      <c r="C10" s="1372" t="s">
        <v>186</v>
      </c>
      <c r="D10" s="1367" t="s">
        <v>5882</v>
      </c>
      <c r="E10" s="1368">
        <v>0.17199999999999999</v>
      </c>
      <c r="F10" s="1368">
        <v>0.17199999999999999</v>
      </c>
      <c r="G10" s="1368">
        <v>0.17199999999999999</v>
      </c>
      <c r="H10" s="1365">
        <v>1484</v>
      </c>
      <c r="I10" s="1369">
        <v>14150</v>
      </c>
      <c r="J10" s="1369">
        <v>52162</v>
      </c>
      <c r="K10" s="1369">
        <v>2791</v>
      </c>
      <c r="L10" s="1370">
        <v>69103</v>
      </c>
      <c r="M10" s="1371"/>
      <c r="N10" s="493"/>
      <c r="O10" s="493"/>
      <c r="P10" s="493"/>
    </row>
    <row r="11" spans="1:16">
      <c r="A11" s="1365">
        <v>3</v>
      </c>
      <c r="B11" s="1366" t="s">
        <v>5884</v>
      </c>
      <c r="C11" s="1372" t="s">
        <v>186</v>
      </c>
      <c r="D11" s="1367" t="s">
        <v>5882</v>
      </c>
      <c r="E11" s="1373">
        <v>0.24299999999999999</v>
      </c>
      <c r="F11" s="1373">
        <v>0.24299999999999999</v>
      </c>
      <c r="G11" s="1373">
        <v>0.24299999999999999</v>
      </c>
      <c r="H11" s="1365">
        <v>1340</v>
      </c>
      <c r="I11" s="1369">
        <v>15317</v>
      </c>
      <c r="J11" s="1369">
        <v>47091</v>
      </c>
      <c r="K11" s="1369">
        <v>2621</v>
      </c>
      <c r="L11" s="1370">
        <v>65029</v>
      </c>
      <c r="M11" s="1371"/>
      <c r="N11" s="493"/>
      <c r="O11" s="493"/>
      <c r="P11" s="493"/>
    </row>
    <row r="12" spans="1:16">
      <c r="A12" s="1365">
        <v>4</v>
      </c>
      <c r="B12" s="1366" t="s">
        <v>5885</v>
      </c>
      <c r="C12" s="1372" t="s">
        <v>186</v>
      </c>
      <c r="D12" s="1367" t="s">
        <v>5882</v>
      </c>
      <c r="E12" s="1373">
        <v>0.125</v>
      </c>
      <c r="F12" s="1373">
        <v>0.125</v>
      </c>
      <c r="G12" s="1373">
        <v>0.125</v>
      </c>
      <c r="H12" s="1365">
        <v>698</v>
      </c>
      <c r="I12" s="1369">
        <v>7849</v>
      </c>
      <c r="J12" s="1369">
        <v>24516</v>
      </c>
      <c r="K12" s="1369">
        <v>1317</v>
      </c>
      <c r="L12" s="1370">
        <v>33682</v>
      </c>
      <c r="M12" s="1371"/>
      <c r="N12" s="493"/>
      <c r="O12" s="493"/>
      <c r="P12" s="493"/>
    </row>
    <row r="13" spans="1:16">
      <c r="A13" s="1365">
        <v>5</v>
      </c>
      <c r="B13" s="1366" t="s">
        <v>5886</v>
      </c>
      <c r="C13" s="1372" t="s">
        <v>186</v>
      </c>
      <c r="D13" s="1367" t="s">
        <v>5882</v>
      </c>
      <c r="E13" s="1373">
        <v>0.03</v>
      </c>
      <c r="F13" s="1373">
        <v>0.03</v>
      </c>
      <c r="G13" s="1373">
        <v>0.03</v>
      </c>
      <c r="H13" s="1365">
        <v>195</v>
      </c>
      <c r="I13" s="1369">
        <v>2835</v>
      </c>
      <c r="J13" s="1369">
        <v>6840</v>
      </c>
      <c r="K13" s="1369">
        <v>0</v>
      </c>
      <c r="L13" s="1370">
        <v>9675</v>
      </c>
      <c r="M13" s="1371"/>
      <c r="N13" s="493"/>
      <c r="O13" s="493"/>
      <c r="P13" s="493"/>
    </row>
    <row r="14" spans="1:16">
      <c r="A14" s="1365">
        <v>6</v>
      </c>
      <c r="B14" s="1366" t="s">
        <v>5887</v>
      </c>
      <c r="C14" s="1372" t="s">
        <v>186</v>
      </c>
      <c r="D14" s="1367" t="s">
        <v>5882</v>
      </c>
      <c r="E14" s="1373">
        <v>0.12</v>
      </c>
      <c r="F14" s="1373">
        <v>0.12</v>
      </c>
      <c r="G14" s="1373">
        <v>0.12</v>
      </c>
      <c r="H14" s="1365">
        <v>657</v>
      </c>
      <c r="I14" s="1369">
        <v>7541</v>
      </c>
      <c r="J14" s="1369">
        <v>23087</v>
      </c>
      <c r="K14" s="1369">
        <v>2509</v>
      </c>
      <c r="L14" s="1370">
        <v>33137</v>
      </c>
      <c r="M14" s="1371"/>
      <c r="N14" s="493"/>
      <c r="O14" s="493"/>
      <c r="P14" s="493"/>
    </row>
    <row r="15" spans="1:16">
      <c r="A15" s="1365">
        <v>7</v>
      </c>
      <c r="B15" s="1366" t="s">
        <v>5888</v>
      </c>
      <c r="C15" s="1372" t="s">
        <v>186</v>
      </c>
      <c r="D15" s="1367" t="s">
        <v>5882</v>
      </c>
      <c r="E15" s="1373">
        <v>9.4E-2</v>
      </c>
      <c r="F15" s="1373">
        <v>9.4E-2</v>
      </c>
      <c r="G15" s="1373">
        <v>9.4E-2</v>
      </c>
      <c r="H15" s="1365">
        <v>558</v>
      </c>
      <c r="I15" s="1369">
        <v>5936</v>
      </c>
      <c r="J15" s="1369">
        <v>19622</v>
      </c>
      <c r="K15" s="1369">
        <v>1537</v>
      </c>
      <c r="L15" s="1370">
        <v>27095</v>
      </c>
      <c r="M15" s="1371"/>
      <c r="N15" s="493"/>
      <c r="O15" s="493"/>
      <c r="P15" s="493"/>
    </row>
    <row r="16" spans="1:16">
      <c r="A16" s="1365">
        <v>8</v>
      </c>
      <c r="B16" s="1366" t="s">
        <v>5889</v>
      </c>
      <c r="C16" s="1372" t="s">
        <v>186</v>
      </c>
      <c r="D16" s="1367" t="s">
        <v>5882</v>
      </c>
      <c r="E16" s="1373">
        <v>8.5999999999999993E-2</v>
      </c>
      <c r="F16" s="1373">
        <v>8.5999999999999993E-2</v>
      </c>
      <c r="G16" s="1373">
        <v>8.5999999999999993E-2</v>
      </c>
      <c r="H16" s="1365">
        <v>529</v>
      </c>
      <c r="I16" s="1369">
        <v>5386</v>
      </c>
      <c r="J16" s="1369">
        <v>18586</v>
      </c>
      <c r="K16" s="1369">
        <v>991</v>
      </c>
      <c r="L16" s="1370">
        <v>24963</v>
      </c>
      <c r="M16" s="1371"/>
      <c r="N16" s="493"/>
      <c r="O16" s="493"/>
      <c r="P16" s="493"/>
    </row>
    <row r="17" spans="1:16">
      <c r="A17" s="1365">
        <v>9</v>
      </c>
      <c r="B17" s="1366" t="s">
        <v>5890</v>
      </c>
      <c r="C17" s="1372" t="s">
        <v>186</v>
      </c>
      <c r="D17" s="1367" t="s">
        <v>5882</v>
      </c>
      <c r="E17" s="1373">
        <v>0.14299999999999999</v>
      </c>
      <c r="F17" s="1373">
        <v>0.14299999999999999</v>
      </c>
      <c r="G17" s="1373">
        <v>0.14299999999999999</v>
      </c>
      <c r="H17" s="1365">
        <v>935</v>
      </c>
      <c r="I17" s="1369">
        <v>9022</v>
      </c>
      <c r="J17" s="1369">
        <v>32838</v>
      </c>
      <c r="K17" s="1369">
        <v>4512</v>
      </c>
      <c r="L17" s="1370">
        <v>46372</v>
      </c>
      <c r="M17" s="1371"/>
      <c r="N17" s="493"/>
      <c r="O17" s="493"/>
      <c r="P17" s="493"/>
    </row>
    <row r="18" spans="1:16">
      <c r="A18" s="1365">
        <v>10</v>
      </c>
      <c r="B18" s="1366" t="s">
        <v>5891</v>
      </c>
      <c r="C18" s="1372" t="s">
        <v>186</v>
      </c>
      <c r="D18" s="1367" t="s">
        <v>5882</v>
      </c>
      <c r="E18" s="1372"/>
      <c r="F18" s="1372"/>
      <c r="G18" s="1372"/>
      <c r="H18" s="1365">
        <v>14</v>
      </c>
      <c r="I18" s="1369">
        <v>1088</v>
      </c>
      <c r="J18" s="1369">
        <v>493</v>
      </c>
      <c r="K18" s="1369">
        <v>0</v>
      </c>
      <c r="L18" s="1370">
        <v>1581</v>
      </c>
      <c r="M18" s="1371"/>
      <c r="N18" s="493"/>
      <c r="O18" s="493"/>
      <c r="P18" s="493"/>
    </row>
    <row r="19" spans="1:16">
      <c r="A19" s="1365">
        <v>11</v>
      </c>
      <c r="B19" s="1366" t="s">
        <v>5892</v>
      </c>
      <c r="C19" s="1372" t="s">
        <v>195</v>
      </c>
      <c r="D19" s="1367" t="s">
        <v>5893</v>
      </c>
      <c r="E19" s="1372"/>
      <c r="F19" s="1372"/>
      <c r="G19" s="1372"/>
      <c r="H19" s="1365">
        <v>400</v>
      </c>
      <c r="I19" s="1372"/>
      <c r="J19" s="1369">
        <v>0</v>
      </c>
      <c r="K19" s="1369">
        <v>13176</v>
      </c>
      <c r="L19" s="1370">
        <v>13176</v>
      </c>
      <c r="M19" s="1371"/>
      <c r="N19" s="493"/>
      <c r="O19" s="493"/>
      <c r="P19" s="493"/>
    </row>
    <row r="20" spans="1:16">
      <c r="A20" s="1365">
        <v>12</v>
      </c>
      <c r="B20" s="1366" t="s">
        <v>5892</v>
      </c>
      <c r="C20" s="1372" t="s">
        <v>192</v>
      </c>
      <c r="D20" s="1367" t="s">
        <v>5893</v>
      </c>
      <c r="E20" s="1372"/>
      <c r="F20" s="1372"/>
      <c r="G20" s="1372"/>
      <c r="H20" s="1365">
        <v>506335</v>
      </c>
      <c r="I20" s="1372"/>
      <c r="J20" s="1369">
        <v>26276542</v>
      </c>
      <c r="K20" s="1369">
        <v>0</v>
      </c>
      <c r="L20" s="1370">
        <v>26276542</v>
      </c>
      <c r="M20" s="1374"/>
      <c r="N20" s="1375"/>
    </row>
    <row r="21" spans="1:16">
      <c r="A21" s="1365">
        <v>13</v>
      </c>
      <c r="B21" s="1366" t="s">
        <v>5892</v>
      </c>
      <c r="C21" s="1372" t="s">
        <v>192</v>
      </c>
      <c r="D21" s="1367" t="s">
        <v>5894</v>
      </c>
      <c r="E21" s="1372"/>
      <c r="F21" s="1372"/>
      <c r="G21" s="1372"/>
      <c r="H21" s="1365">
        <v>63</v>
      </c>
      <c r="I21" s="1372"/>
      <c r="J21" s="1369">
        <v>1563</v>
      </c>
      <c r="K21" s="1369">
        <v>0</v>
      </c>
      <c r="L21" s="1370">
        <v>1563</v>
      </c>
      <c r="M21" s="1374"/>
      <c r="N21" s="1375"/>
    </row>
    <row r="22" spans="1:16">
      <c r="A22" s="1365">
        <v>14</v>
      </c>
      <c r="B22" s="1366" t="s">
        <v>5895</v>
      </c>
      <c r="C22" s="1372" t="s">
        <v>192</v>
      </c>
      <c r="D22" s="1367" t="s">
        <v>5893</v>
      </c>
      <c r="E22" s="1372"/>
      <c r="F22" s="1372"/>
      <c r="G22" s="1372"/>
      <c r="H22" s="1365">
        <v>55893</v>
      </c>
      <c r="I22" s="1372"/>
      <c r="J22" s="1369">
        <v>2883497</v>
      </c>
      <c r="K22" s="1369">
        <v>0</v>
      </c>
      <c r="L22" s="1370">
        <v>2883497</v>
      </c>
      <c r="M22" s="1374"/>
      <c r="N22" s="1375"/>
    </row>
    <row r="23" spans="1:16">
      <c r="A23" s="1376">
        <v>14.000999999999999</v>
      </c>
      <c r="B23" s="1366" t="s">
        <v>5895</v>
      </c>
      <c r="C23" s="1366" t="s">
        <v>192</v>
      </c>
      <c r="D23" s="1367" t="s">
        <v>5894</v>
      </c>
      <c r="E23" s="1372"/>
      <c r="F23" s="1372"/>
      <c r="G23" s="1372"/>
      <c r="H23" s="1365">
        <v>67</v>
      </c>
      <c r="I23" s="1372"/>
      <c r="J23" s="1369">
        <v>3006</v>
      </c>
      <c r="K23" s="1369">
        <v>0</v>
      </c>
      <c r="L23" s="1370">
        <v>3006</v>
      </c>
      <c r="M23" s="1374"/>
      <c r="N23" s="1375"/>
    </row>
    <row r="24" spans="1:16">
      <c r="A24" s="1376">
        <v>14.002000000000001</v>
      </c>
      <c r="B24" s="1366" t="s">
        <v>5896</v>
      </c>
      <c r="C24" s="1372" t="s">
        <v>192</v>
      </c>
      <c r="D24" s="1367" t="s">
        <v>5894</v>
      </c>
      <c r="E24" s="1372"/>
      <c r="F24" s="1372"/>
      <c r="G24" s="1372"/>
      <c r="H24" s="1365">
        <v>287</v>
      </c>
      <c r="I24" s="1372"/>
      <c r="J24" s="1369">
        <v>22373</v>
      </c>
      <c r="K24" s="1369">
        <v>0</v>
      </c>
      <c r="L24" s="1370">
        <v>22373</v>
      </c>
      <c r="M24" s="1374"/>
      <c r="N24" s="1375"/>
    </row>
    <row r="25" spans="1:16">
      <c r="A25" s="1376">
        <v>14.003</v>
      </c>
      <c r="B25" s="1366" t="s">
        <v>5939</v>
      </c>
      <c r="C25" s="1372" t="s">
        <v>192</v>
      </c>
      <c r="D25" s="1367" t="s">
        <v>5893</v>
      </c>
      <c r="E25" s="1372"/>
      <c r="F25" s="1372"/>
      <c r="G25" s="1372"/>
      <c r="H25" s="1365">
        <v>1620</v>
      </c>
      <c r="I25" s="1372"/>
      <c r="J25" s="1369">
        <v>107320</v>
      </c>
      <c r="K25" s="1369">
        <v>0</v>
      </c>
      <c r="L25" s="1370">
        <v>107320</v>
      </c>
      <c r="M25" s="1374"/>
      <c r="N25" s="1375"/>
    </row>
    <row r="26" spans="1:16">
      <c r="A26" s="1376">
        <v>14.004</v>
      </c>
      <c r="B26" s="1366" t="s">
        <v>5897</v>
      </c>
      <c r="C26" s="1372" t="s">
        <v>195</v>
      </c>
      <c r="D26" s="1367" t="s">
        <v>5893</v>
      </c>
      <c r="E26" s="1372"/>
      <c r="F26" s="1372"/>
      <c r="G26" s="1372"/>
      <c r="H26" s="1365">
        <v>-5</v>
      </c>
      <c r="I26" s="1372"/>
      <c r="J26" s="1369">
        <v>0</v>
      </c>
      <c r="K26" s="1369">
        <v>31</v>
      </c>
      <c r="L26" s="1370">
        <v>31</v>
      </c>
      <c r="M26" s="1374"/>
      <c r="N26" s="1375"/>
    </row>
    <row r="27" spans="1:16">
      <c r="A27" s="1376">
        <v>14.006</v>
      </c>
      <c r="B27" s="1366" t="s">
        <v>5897</v>
      </c>
      <c r="C27" s="1372" t="s">
        <v>192</v>
      </c>
      <c r="D27" s="1367" t="s">
        <v>5893</v>
      </c>
      <c r="E27" s="1372"/>
      <c r="F27" s="1372"/>
      <c r="G27" s="1372"/>
      <c r="H27" s="1365">
        <v>965255</v>
      </c>
      <c r="I27" s="1372"/>
      <c r="J27" s="1369">
        <v>39253329</v>
      </c>
      <c r="K27" s="1369">
        <v>0</v>
      </c>
      <c r="L27" s="1370">
        <v>39253329</v>
      </c>
      <c r="M27" s="1374"/>
      <c r="N27" s="1375"/>
    </row>
    <row r="28" spans="1:16">
      <c r="A28" s="1376">
        <v>14.007</v>
      </c>
      <c r="B28" s="1366" t="s">
        <v>5897</v>
      </c>
      <c r="C28" s="1372" t="s">
        <v>192</v>
      </c>
      <c r="D28" s="1367" t="s">
        <v>5894</v>
      </c>
      <c r="E28" s="1372"/>
      <c r="F28" s="1372"/>
      <c r="G28" s="1372"/>
      <c r="H28" s="1365">
        <v>116</v>
      </c>
      <c r="I28" s="1372"/>
      <c r="J28" s="1369">
        <v>3292</v>
      </c>
      <c r="K28" s="1369">
        <v>0</v>
      </c>
      <c r="L28" s="1370">
        <v>3292</v>
      </c>
      <c r="M28" s="1374"/>
      <c r="N28" s="1375"/>
    </row>
    <row r="29" spans="1:16">
      <c r="A29" s="1376">
        <v>14.007999999999999</v>
      </c>
      <c r="B29" s="1366" t="s">
        <v>5898</v>
      </c>
      <c r="C29" s="1372" t="s">
        <v>195</v>
      </c>
      <c r="D29" s="1367" t="s">
        <v>5893</v>
      </c>
      <c r="E29" s="1372"/>
      <c r="F29" s="1372"/>
      <c r="G29" s="1372"/>
      <c r="H29" s="1365">
        <v>-8</v>
      </c>
      <c r="I29" s="1372"/>
      <c r="J29" s="1369">
        <v>0</v>
      </c>
      <c r="K29" s="1369">
        <v>-2475</v>
      </c>
      <c r="L29" s="1370">
        <v>-2475</v>
      </c>
      <c r="M29" s="1374"/>
      <c r="N29" s="1375"/>
    </row>
    <row r="30" spans="1:16">
      <c r="A30" s="1376">
        <v>14.009</v>
      </c>
      <c r="B30" s="1366" t="s">
        <v>5898</v>
      </c>
      <c r="C30" s="1372" t="s">
        <v>192</v>
      </c>
      <c r="D30" s="1367" t="s">
        <v>5893</v>
      </c>
      <c r="E30" s="1372"/>
      <c r="F30" s="1372"/>
      <c r="G30" s="1372"/>
      <c r="H30" s="1365">
        <v>348987</v>
      </c>
      <c r="I30" s="1372"/>
      <c r="J30" s="1369">
        <v>18067060</v>
      </c>
      <c r="K30" s="1369">
        <v>0</v>
      </c>
      <c r="L30" s="1370">
        <v>18067060</v>
      </c>
      <c r="M30" s="1374"/>
      <c r="N30" s="1375"/>
    </row>
    <row r="31" spans="1:16">
      <c r="A31" s="1376">
        <v>14.01</v>
      </c>
      <c r="B31" s="1366" t="s">
        <v>5899</v>
      </c>
      <c r="C31" s="1372" t="s">
        <v>192</v>
      </c>
      <c r="D31" s="1367" t="s">
        <v>5893</v>
      </c>
      <c r="E31" s="1372"/>
      <c r="F31" s="1372"/>
      <c r="G31" s="1372"/>
      <c r="H31" s="1365">
        <v>9678</v>
      </c>
      <c r="I31" s="1372"/>
      <c r="J31" s="1369">
        <v>426672</v>
      </c>
      <c r="K31" s="1369">
        <v>0</v>
      </c>
      <c r="L31" s="1370">
        <v>426672</v>
      </c>
      <c r="M31" s="1374"/>
      <c r="N31" s="1375"/>
    </row>
    <row r="32" spans="1:16">
      <c r="A32" s="1376">
        <v>14.010999999999999</v>
      </c>
      <c r="B32" s="1366" t="s">
        <v>5900</v>
      </c>
      <c r="C32" s="1372" t="s">
        <v>192</v>
      </c>
      <c r="D32" s="1367" t="s">
        <v>5893</v>
      </c>
      <c r="E32" s="1372"/>
      <c r="F32" s="1372"/>
      <c r="G32" s="1372"/>
      <c r="H32" s="1365">
        <v>868617</v>
      </c>
      <c r="I32" s="1372"/>
      <c r="J32" s="1369">
        <v>31738855</v>
      </c>
      <c r="K32" s="1369">
        <v>0</v>
      </c>
      <c r="L32" s="1370">
        <v>31738855</v>
      </c>
      <c r="M32" s="1374"/>
      <c r="N32" s="1375"/>
    </row>
    <row r="33" spans="1:14">
      <c r="A33" s="1376">
        <v>14.012</v>
      </c>
      <c r="B33" s="1366" t="s">
        <v>5901</v>
      </c>
      <c r="C33" s="1372" t="s">
        <v>192</v>
      </c>
      <c r="D33" s="1367" t="s">
        <v>5894</v>
      </c>
      <c r="E33" s="1372"/>
      <c r="F33" s="1372"/>
      <c r="G33" s="1372"/>
      <c r="H33" s="1365">
        <v>10</v>
      </c>
      <c r="I33" s="1372"/>
      <c r="J33" s="1369">
        <v>255</v>
      </c>
      <c r="K33" s="1369">
        <v>0</v>
      </c>
      <c r="L33" s="1370">
        <v>255</v>
      </c>
      <c r="M33" s="1374"/>
      <c r="N33" s="1375"/>
    </row>
    <row r="34" spans="1:14">
      <c r="A34" s="1376">
        <v>14.013999999999999</v>
      </c>
      <c r="B34" s="1366" t="s">
        <v>5902</v>
      </c>
      <c r="C34" s="1372" t="s">
        <v>192</v>
      </c>
      <c r="D34" s="1367" t="s">
        <v>5893</v>
      </c>
      <c r="E34" s="1372"/>
      <c r="F34" s="1372"/>
      <c r="G34" s="1372"/>
      <c r="H34" s="1365">
        <v>153915</v>
      </c>
      <c r="I34" s="1372"/>
      <c r="J34" s="1369">
        <v>7998137</v>
      </c>
      <c r="K34" s="1369">
        <v>0</v>
      </c>
      <c r="L34" s="1370">
        <v>7998137</v>
      </c>
      <c r="M34" s="1374"/>
      <c r="N34" s="1375"/>
    </row>
    <row r="35" spans="1:14">
      <c r="A35" s="1376">
        <v>14.015000000000001</v>
      </c>
      <c r="B35" s="1366" t="s">
        <v>5903</v>
      </c>
      <c r="C35" s="1366" t="s">
        <v>192</v>
      </c>
      <c r="D35" s="1367" t="s">
        <v>5893</v>
      </c>
      <c r="E35" s="1372"/>
      <c r="F35" s="1372"/>
      <c r="G35" s="1372"/>
      <c r="H35" s="1365">
        <v>800</v>
      </c>
      <c r="I35" s="1372"/>
      <c r="J35" s="1369">
        <v>25600</v>
      </c>
      <c r="K35" s="1369">
        <v>0</v>
      </c>
      <c r="L35" s="1370">
        <v>25600</v>
      </c>
      <c r="M35" s="1374"/>
      <c r="N35" s="1375"/>
    </row>
    <row r="36" spans="1:14">
      <c r="A36" s="1376">
        <v>14.016</v>
      </c>
      <c r="B36" s="1366" t="s">
        <v>5904</v>
      </c>
      <c r="C36" s="1372" t="s">
        <v>195</v>
      </c>
      <c r="D36" s="1367" t="s">
        <v>5893</v>
      </c>
      <c r="E36" s="1372"/>
      <c r="F36" s="1372"/>
      <c r="G36" s="1372"/>
      <c r="H36" s="1365">
        <v>-5</v>
      </c>
      <c r="I36" s="1372"/>
      <c r="J36" s="1369">
        <v>0</v>
      </c>
      <c r="K36" s="1369">
        <v>-250</v>
      </c>
      <c r="L36" s="1370">
        <v>-250</v>
      </c>
      <c r="M36" s="1374"/>
      <c r="N36" s="1375"/>
    </row>
    <row r="37" spans="1:14">
      <c r="A37" s="1376">
        <v>14.016999999999999</v>
      </c>
      <c r="B37" s="1366" t="s">
        <v>5904</v>
      </c>
      <c r="C37" s="1372" t="s">
        <v>192</v>
      </c>
      <c r="D37" s="1367" t="s">
        <v>5893</v>
      </c>
      <c r="E37" s="1372"/>
      <c r="F37" s="1372"/>
      <c r="G37" s="1372"/>
      <c r="H37" s="1365">
        <v>22755</v>
      </c>
      <c r="I37" s="1372"/>
      <c r="J37" s="1369">
        <v>880282</v>
      </c>
      <c r="K37" s="1369">
        <v>0</v>
      </c>
      <c r="L37" s="1370">
        <v>880282</v>
      </c>
      <c r="M37" s="1374"/>
      <c r="N37" s="1375"/>
    </row>
    <row r="38" spans="1:14">
      <c r="A38" s="1376">
        <v>14.018000000000001</v>
      </c>
      <c r="B38" s="1366" t="s">
        <v>5905</v>
      </c>
      <c r="C38" s="1372" t="s">
        <v>195</v>
      </c>
      <c r="D38" s="1367" t="s">
        <v>5893</v>
      </c>
      <c r="E38" s="1372"/>
      <c r="F38" s="1372"/>
      <c r="G38" s="1372"/>
      <c r="H38" s="1365">
        <v>50</v>
      </c>
      <c r="I38" s="1372"/>
      <c r="J38" s="1369">
        <v>0</v>
      </c>
      <c r="K38" s="1369">
        <v>-273</v>
      </c>
      <c r="L38" s="1370">
        <v>-273</v>
      </c>
      <c r="M38" s="1374"/>
      <c r="N38" s="1375"/>
    </row>
    <row r="39" spans="1:14">
      <c r="A39" s="1376">
        <v>14.019</v>
      </c>
      <c r="B39" s="1366" t="s">
        <v>5905</v>
      </c>
      <c r="C39" s="1372" t="s">
        <v>192</v>
      </c>
      <c r="D39" s="1367" t="s">
        <v>5893</v>
      </c>
      <c r="E39" s="1372"/>
      <c r="F39" s="1372"/>
      <c r="G39" s="1372"/>
      <c r="H39" s="1365">
        <v>462909</v>
      </c>
      <c r="I39" s="1372"/>
      <c r="J39" s="1369">
        <v>18884111</v>
      </c>
      <c r="K39" s="1369">
        <v>0</v>
      </c>
      <c r="L39" s="1370">
        <v>18884111</v>
      </c>
      <c r="M39" s="1374"/>
      <c r="N39" s="1375"/>
    </row>
    <row r="40" spans="1:14">
      <c r="A40" s="1376">
        <v>14.021000000000001</v>
      </c>
      <c r="B40" s="1366" t="s">
        <v>5940</v>
      </c>
      <c r="C40" s="1372" t="s">
        <v>192</v>
      </c>
      <c r="D40" s="1367" t="s">
        <v>5893</v>
      </c>
      <c r="E40" s="1372"/>
      <c r="F40" s="1372"/>
      <c r="G40" s="1372"/>
      <c r="H40" s="1365">
        <v>126248</v>
      </c>
      <c r="I40" s="1372"/>
      <c r="J40" s="1369">
        <v>5641395</v>
      </c>
      <c r="K40" s="1369">
        <v>0</v>
      </c>
      <c r="L40" s="1370">
        <v>5641395</v>
      </c>
      <c r="M40" s="1374"/>
      <c r="N40" s="1375"/>
    </row>
    <row r="41" spans="1:14">
      <c r="A41" s="1376">
        <v>14.022</v>
      </c>
      <c r="B41" s="1366" t="s">
        <v>5941</v>
      </c>
      <c r="C41" s="1372" t="s">
        <v>192</v>
      </c>
      <c r="D41" s="1367" t="s">
        <v>5893</v>
      </c>
      <c r="E41" s="1372"/>
      <c r="F41" s="1372"/>
      <c r="G41" s="1372"/>
      <c r="H41" s="1365">
        <v>265</v>
      </c>
      <c r="I41" s="1372"/>
      <c r="J41" s="1369">
        <v>10441</v>
      </c>
      <c r="K41" s="1369">
        <v>0</v>
      </c>
      <c r="L41" s="1370">
        <v>10441</v>
      </c>
      <c r="M41" s="1374"/>
      <c r="N41" s="1375"/>
    </row>
    <row r="42" spans="1:14">
      <c r="A42" s="1376">
        <v>14.023</v>
      </c>
      <c r="B42" s="1366" t="s">
        <v>5942</v>
      </c>
      <c r="C42" s="1372" t="s">
        <v>192</v>
      </c>
      <c r="D42" s="1367" t="s">
        <v>5893</v>
      </c>
      <c r="E42" s="1372"/>
      <c r="F42" s="1372"/>
      <c r="G42" s="1372"/>
      <c r="H42" s="1365">
        <v>97400</v>
      </c>
      <c r="I42" s="1372"/>
      <c r="J42" s="1369">
        <v>3909046</v>
      </c>
      <c r="K42" s="1369">
        <v>0</v>
      </c>
      <c r="L42" s="1370">
        <v>3909046</v>
      </c>
      <c r="M42" s="1374"/>
      <c r="N42" s="1375"/>
    </row>
    <row r="43" spans="1:14">
      <c r="A43" s="1376">
        <v>14.023999999999999</v>
      </c>
      <c r="B43" s="1366" t="s">
        <v>5908</v>
      </c>
      <c r="C43" s="1372" t="s">
        <v>192</v>
      </c>
      <c r="D43" s="1367" t="s">
        <v>5893</v>
      </c>
      <c r="E43" s="1372"/>
      <c r="F43" s="1372"/>
      <c r="G43" s="1372"/>
      <c r="H43" s="1365">
        <v>41646</v>
      </c>
      <c r="I43" s="1372"/>
      <c r="J43" s="1369">
        <v>2217115</v>
      </c>
      <c r="K43" s="1369">
        <v>0</v>
      </c>
      <c r="L43" s="1370">
        <v>2217115</v>
      </c>
      <c r="M43" s="1374"/>
      <c r="N43" s="1375"/>
    </row>
    <row r="44" spans="1:14">
      <c r="A44" s="1376">
        <v>14.025</v>
      </c>
      <c r="B44" s="1366" t="s">
        <v>5909</v>
      </c>
      <c r="C44" s="1372" t="s">
        <v>195</v>
      </c>
      <c r="D44" s="1367" t="s">
        <v>5893</v>
      </c>
      <c r="E44" s="1372"/>
      <c r="F44" s="1372"/>
      <c r="G44" s="1372"/>
      <c r="H44" s="1365">
        <v>395</v>
      </c>
      <c r="I44" s="1372"/>
      <c r="J44" s="1369">
        <v>0</v>
      </c>
      <c r="K44" s="1369">
        <v>24021</v>
      </c>
      <c r="L44" s="1370">
        <v>24021</v>
      </c>
      <c r="M44" s="1374"/>
      <c r="N44" s="1375"/>
    </row>
    <row r="45" spans="1:14">
      <c r="A45" s="1376">
        <v>14.026</v>
      </c>
      <c r="B45" s="1366" t="s">
        <v>5909</v>
      </c>
      <c r="C45" s="1372" t="s">
        <v>192</v>
      </c>
      <c r="D45" s="1367" t="s">
        <v>5893</v>
      </c>
      <c r="E45" s="1372"/>
      <c r="F45" s="1372"/>
      <c r="G45" s="1372"/>
      <c r="H45" s="1365">
        <v>48814</v>
      </c>
      <c r="I45" s="1372"/>
      <c r="J45" s="1369">
        <v>2357424</v>
      </c>
      <c r="K45" s="1369">
        <v>0</v>
      </c>
      <c r="L45" s="1370">
        <v>2357424</v>
      </c>
      <c r="M45" s="1374"/>
      <c r="N45" s="1375"/>
    </row>
    <row r="46" spans="1:14">
      <c r="A46" s="1376">
        <v>14.026999999999999</v>
      </c>
      <c r="B46" s="1366" t="s">
        <v>5910</v>
      </c>
      <c r="C46" s="1372" t="s">
        <v>195</v>
      </c>
      <c r="D46" s="1367" t="s">
        <v>5893</v>
      </c>
      <c r="E46" s="1372"/>
      <c r="F46" s="1372"/>
      <c r="G46" s="1372"/>
      <c r="H46" s="1365">
        <v>5</v>
      </c>
      <c r="I46" s="1372"/>
      <c r="J46" s="1369">
        <v>0</v>
      </c>
      <c r="K46" s="1369">
        <v>270</v>
      </c>
      <c r="L46" s="1370">
        <v>270</v>
      </c>
      <c r="M46" s="1374"/>
      <c r="N46" s="1375"/>
    </row>
    <row r="47" spans="1:14">
      <c r="A47" s="1376">
        <v>14.028</v>
      </c>
      <c r="B47" s="1366" t="s">
        <v>5910</v>
      </c>
      <c r="C47" s="1372" t="s">
        <v>192</v>
      </c>
      <c r="D47" s="1367" t="s">
        <v>5893</v>
      </c>
      <c r="E47" s="1372"/>
      <c r="F47" s="1372"/>
      <c r="G47" s="1372"/>
      <c r="H47" s="1365">
        <v>54237</v>
      </c>
      <c r="I47" s="1372"/>
      <c r="J47" s="1369">
        <v>2095425</v>
      </c>
      <c r="K47" s="1369">
        <v>0</v>
      </c>
      <c r="L47" s="1370">
        <v>2095425</v>
      </c>
      <c r="M47" s="1374"/>
      <c r="N47" s="1375"/>
    </row>
    <row r="48" spans="1:14">
      <c r="A48" s="1376">
        <v>14.029</v>
      </c>
      <c r="B48" s="1366" t="s">
        <v>5911</v>
      </c>
      <c r="C48" s="1366" t="s">
        <v>192</v>
      </c>
      <c r="D48" s="1367" t="s">
        <v>5893</v>
      </c>
      <c r="E48" s="1372"/>
      <c r="F48" s="1372"/>
      <c r="G48" s="1372"/>
      <c r="H48" s="1365">
        <v>7600</v>
      </c>
      <c r="I48" s="1372"/>
      <c r="J48" s="1369">
        <v>123500</v>
      </c>
      <c r="K48" s="1369">
        <v>0</v>
      </c>
      <c r="L48" s="1370">
        <v>123500</v>
      </c>
      <c r="M48" s="1374"/>
      <c r="N48" s="1375"/>
    </row>
    <row r="49" spans="1:14">
      <c r="A49" s="1376">
        <v>14.03</v>
      </c>
      <c r="B49" s="1366" t="s">
        <v>5911</v>
      </c>
      <c r="C49" s="1372" t="s">
        <v>192</v>
      </c>
      <c r="D49" s="1367" t="s">
        <v>5894</v>
      </c>
      <c r="E49" s="1372"/>
      <c r="F49" s="1372"/>
      <c r="G49" s="1372"/>
      <c r="H49" s="1365">
        <v>3</v>
      </c>
      <c r="I49" s="1372"/>
      <c r="J49" s="1369">
        <v>69</v>
      </c>
      <c r="K49" s="1369">
        <v>0</v>
      </c>
      <c r="L49" s="1370">
        <v>69</v>
      </c>
      <c r="M49" s="1374"/>
      <c r="N49" s="1375"/>
    </row>
    <row r="50" spans="1:14">
      <c r="A50" s="1376">
        <v>14.031000000000001</v>
      </c>
      <c r="B50" s="1366" t="s">
        <v>5912</v>
      </c>
      <c r="C50" s="1372" t="s">
        <v>195</v>
      </c>
      <c r="D50" s="1367" t="s">
        <v>5893</v>
      </c>
      <c r="E50" s="1372"/>
      <c r="F50" s="1372"/>
      <c r="G50" s="1372"/>
      <c r="H50" s="1365">
        <v>0</v>
      </c>
      <c r="I50" s="1372"/>
      <c r="J50" s="1369">
        <v>0</v>
      </c>
      <c r="K50" s="1369">
        <v>-1944</v>
      </c>
      <c r="L50" s="1370">
        <v>-1944</v>
      </c>
      <c r="M50" s="1374"/>
      <c r="N50" s="1375"/>
    </row>
    <row r="51" spans="1:14">
      <c r="A51" s="1376">
        <v>14.032</v>
      </c>
      <c r="B51" s="1366" t="s">
        <v>5912</v>
      </c>
      <c r="C51" s="1372" t="s">
        <v>192</v>
      </c>
      <c r="D51" s="1367" t="s">
        <v>5894</v>
      </c>
      <c r="E51" s="1372"/>
      <c r="F51" s="1372"/>
      <c r="G51" s="1372"/>
      <c r="H51" s="1365">
        <v>379</v>
      </c>
      <c r="I51" s="1372"/>
      <c r="J51" s="1369">
        <v>15537</v>
      </c>
      <c r="K51" s="1369">
        <v>0</v>
      </c>
      <c r="L51" s="1370">
        <v>15537</v>
      </c>
      <c r="M51" s="1374"/>
      <c r="N51" s="1375"/>
    </row>
    <row r="52" spans="1:14">
      <c r="A52" s="1376">
        <v>14.032999999999999</v>
      </c>
      <c r="B52" s="1366" t="s">
        <v>5913</v>
      </c>
      <c r="C52" s="1372" t="s">
        <v>195</v>
      </c>
      <c r="D52" s="1367" t="s">
        <v>5893</v>
      </c>
      <c r="E52" s="1372"/>
      <c r="F52" s="1372"/>
      <c r="G52" s="1372"/>
      <c r="H52" s="1365">
        <v>638</v>
      </c>
      <c r="I52" s="1372"/>
      <c r="J52" s="1369">
        <v>0</v>
      </c>
      <c r="K52" s="1369">
        <v>22744</v>
      </c>
      <c r="L52" s="1370">
        <v>22744</v>
      </c>
      <c r="M52" s="1374"/>
      <c r="N52" s="1375"/>
    </row>
    <row r="53" spans="1:14">
      <c r="A53" s="1376">
        <v>14.034000000000001</v>
      </c>
      <c r="B53" s="1366" t="s">
        <v>5913</v>
      </c>
      <c r="C53" s="1372" t="s">
        <v>192</v>
      </c>
      <c r="D53" s="1367" t="s">
        <v>5893</v>
      </c>
      <c r="E53" s="1372"/>
      <c r="F53" s="1372"/>
      <c r="G53" s="1372"/>
      <c r="H53" s="1365">
        <v>42131</v>
      </c>
      <c r="I53" s="1372"/>
      <c r="J53" s="1369">
        <v>1782706</v>
      </c>
      <c r="K53" s="1369">
        <v>0</v>
      </c>
      <c r="L53" s="1370">
        <v>1782706</v>
      </c>
      <c r="M53" s="1374"/>
      <c r="N53" s="1375"/>
    </row>
    <row r="54" spans="1:14">
      <c r="A54" s="1376">
        <v>14.035</v>
      </c>
      <c r="B54" s="1366" t="s">
        <v>5913</v>
      </c>
      <c r="C54" s="1372" t="s">
        <v>192</v>
      </c>
      <c r="D54" s="1367" t="s">
        <v>5894</v>
      </c>
      <c r="E54" s="1372"/>
      <c r="F54" s="1372"/>
      <c r="G54" s="1372"/>
      <c r="H54" s="1365">
        <v>27</v>
      </c>
      <c r="I54" s="1372"/>
      <c r="J54" s="1369">
        <v>1529</v>
      </c>
      <c r="K54" s="1369">
        <v>0</v>
      </c>
      <c r="L54" s="1370">
        <v>1529</v>
      </c>
      <c r="M54" s="1374"/>
      <c r="N54" s="1375"/>
    </row>
    <row r="55" spans="1:14">
      <c r="A55" s="1376">
        <v>14.036</v>
      </c>
      <c r="B55" s="1366" t="s">
        <v>5915</v>
      </c>
      <c r="C55" s="1372" t="s">
        <v>192</v>
      </c>
      <c r="D55" s="1367" t="s">
        <v>5893</v>
      </c>
      <c r="E55" s="1372"/>
      <c r="F55" s="1372"/>
      <c r="G55" s="1372"/>
      <c r="H55" s="1365">
        <v>289686</v>
      </c>
      <c r="I55" s="1372"/>
      <c r="J55" s="1369">
        <v>11219849</v>
      </c>
      <c r="K55" s="1369">
        <v>0</v>
      </c>
      <c r="L55" s="1370">
        <v>11219849</v>
      </c>
      <c r="M55" s="1374"/>
      <c r="N55" s="1375"/>
    </row>
    <row r="56" spans="1:14">
      <c r="A56" s="1376">
        <v>14.037000000000001</v>
      </c>
      <c r="B56" s="1366" t="s">
        <v>5916</v>
      </c>
      <c r="C56" s="1372" t="s">
        <v>195</v>
      </c>
      <c r="D56" s="1367" t="s">
        <v>5893</v>
      </c>
      <c r="E56" s="1372"/>
      <c r="F56" s="1372"/>
      <c r="G56" s="1372"/>
      <c r="H56" s="1365">
        <v>0</v>
      </c>
      <c r="I56" s="1372"/>
      <c r="J56" s="1369">
        <v>0</v>
      </c>
      <c r="K56" s="1369">
        <v>-481</v>
      </c>
      <c r="L56" s="1370">
        <v>-481</v>
      </c>
      <c r="M56" s="1374"/>
      <c r="N56" s="1375"/>
    </row>
    <row r="57" spans="1:14">
      <c r="A57" s="1376">
        <v>14.038</v>
      </c>
      <c r="B57" s="1366" t="s">
        <v>5916</v>
      </c>
      <c r="C57" s="1372" t="s">
        <v>192</v>
      </c>
      <c r="D57" s="1367" t="s">
        <v>5894</v>
      </c>
      <c r="E57" s="1372"/>
      <c r="F57" s="1372"/>
      <c r="G57" s="1372"/>
      <c r="H57" s="1365">
        <v>206</v>
      </c>
      <c r="I57" s="1372"/>
      <c r="J57" s="1369">
        <v>5164</v>
      </c>
      <c r="K57" s="1369">
        <v>0</v>
      </c>
      <c r="L57" s="1370">
        <v>5164</v>
      </c>
      <c r="M57" s="1374"/>
      <c r="N57" s="1375"/>
    </row>
    <row r="58" spans="1:14">
      <c r="A58" s="1376">
        <v>14.039</v>
      </c>
      <c r="B58" s="1366" t="s">
        <v>5918</v>
      </c>
      <c r="C58" s="1372" t="s">
        <v>192</v>
      </c>
      <c r="D58" s="1367" t="s">
        <v>5893</v>
      </c>
      <c r="E58" s="1372"/>
      <c r="F58" s="1372"/>
      <c r="G58" s="1372"/>
      <c r="H58" s="1365">
        <v>35387</v>
      </c>
      <c r="I58" s="1372"/>
      <c r="J58" s="1369">
        <v>1718950</v>
      </c>
      <c r="K58" s="1369">
        <v>0</v>
      </c>
      <c r="L58" s="1370">
        <v>1718950</v>
      </c>
      <c r="M58" s="1374"/>
      <c r="N58" s="1375"/>
    </row>
    <row r="59" spans="1:14">
      <c r="A59" s="1376">
        <v>14.04</v>
      </c>
      <c r="B59" s="1366" t="s">
        <v>5918</v>
      </c>
      <c r="C59" s="1372" t="s">
        <v>192</v>
      </c>
      <c r="D59" s="1367" t="s">
        <v>5894</v>
      </c>
      <c r="E59" s="1372"/>
      <c r="F59" s="1372"/>
      <c r="G59" s="1372"/>
      <c r="H59" s="1365">
        <v>129</v>
      </c>
      <c r="I59" s="1372"/>
      <c r="J59" s="1369">
        <v>3494</v>
      </c>
      <c r="K59" s="1369">
        <v>0</v>
      </c>
      <c r="L59" s="1370">
        <v>3494</v>
      </c>
      <c r="M59" s="1374"/>
      <c r="N59" s="1375"/>
    </row>
    <row r="60" spans="1:14">
      <c r="A60" s="1376">
        <v>14.041</v>
      </c>
      <c r="B60" s="1366" t="s">
        <v>5919</v>
      </c>
      <c r="C60" s="1372" t="s">
        <v>195</v>
      </c>
      <c r="D60" s="1367" t="s">
        <v>5893</v>
      </c>
      <c r="E60" s="1372"/>
      <c r="F60" s="1372"/>
      <c r="G60" s="1372"/>
      <c r="H60" s="1365">
        <v>0</v>
      </c>
      <c r="I60" s="1372"/>
      <c r="J60" s="1369">
        <v>0</v>
      </c>
      <c r="K60" s="1369">
        <v>1496</v>
      </c>
      <c r="L60" s="1370">
        <v>1496</v>
      </c>
      <c r="M60" s="1374"/>
      <c r="N60" s="1375"/>
    </row>
    <row r="61" spans="1:14">
      <c r="A61" s="1376">
        <v>14.042</v>
      </c>
      <c r="B61" s="1366" t="s">
        <v>5919</v>
      </c>
      <c r="C61" s="1372" t="s">
        <v>192</v>
      </c>
      <c r="D61" s="1367" t="s">
        <v>5893</v>
      </c>
      <c r="E61" s="1372"/>
      <c r="F61" s="1372"/>
      <c r="G61" s="1372"/>
      <c r="H61" s="1365">
        <v>262595</v>
      </c>
      <c r="I61" s="1372"/>
      <c r="J61" s="1369">
        <v>14641372</v>
      </c>
      <c r="K61" s="1369">
        <v>0</v>
      </c>
      <c r="L61" s="1370">
        <v>14641372</v>
      </c>
      <c r="M61" s="1374"/>
      <c r="N61" s="1375"/>
    </row>
    <row r="62" spans="1:14">
      <c r="A62" s="1376">
        <v>14.042999999999999</v>
      </c>
      <c r="B62" s="1366" t="s">
        <v>5919</v>
      </c>
      <c r="C62" s="1366" t="s">
        <v>192</v>
      </c>
      <c r="D62" s="1367" t="s">
        <v>5894</v>
      </c>
      <c r="E62" s="1372"/>
      <c r="F62" s="1372"/>
      <c r="G62" s="1372"/>
      <c r="H62" s="1365">
        <v>104</v>
      </c>
      <c r="I62" s="1372"/>
      <c r="J62" s="1369">
        <v>4851</v>
      </c>
      <c r="K62" s="1369">
        <v>0</v>
      </c>
      <c r="L62" s="1370">
        <v>4851</v>
      </c>
      <c r="M62" s="1374"/>
      <c r="N62" s="1375"/>
    </row>
    <row r="63" spans="1:14">
      <c r="A63" s="1376">
        <v>14.044</v>
      </c>
      <c r="B63" s="1366" t="s">
        <v>5920</v>
      </c>
      <c r="C63" s="1372" t="s">
        <v>195</v>
      </c>
      <c r="D63" s="1367" t="s">
        <v>5893</v>
      </c>
      <c r="E63" s="1372"/>
      <c r="F63" s="1372"/>
      <c r="G63" s="1372"/>
      <c r="H63" s="1365">
        <v>0</v>
      </c>
      <c r="I63" s="1372"/>
      <c r="J63" s="1369">
        <v>0</v>
      </c>
      <c r="K63" s="1369">
        <v>200</v>
      </c>
      <c r="L63" s="1370">
        <v>200</v>
      </c>
      <c r="M63" s="1374"/>
      <c r="N63" s="1375"/>
    </row>
    <row r="64" spans="1:14">
      <c r="A64" s="1376">
        <v>14.045</v>
      </c>
      <c r="B64" s="1366" t="s">
        <v>5920</v>
      </c>
      <c r="C64" s="1372" t="s">
        <v>192</v>
      </c>
      <c r="D64" s="1367" t="s">
        <v>5893</v>
      </c>
      <c r="E64" s="1372"/>
      <c r="F64" s="1372"/>
      <c r="G64" s="1372"/>
      <c r="H64" s="1365">
        <v>279564</v>
      </c>
      <c r="I64" s="1372"/>
      <c r="J64" s="1369">
        <v>13691734</v>
      </c>
      <c r="K64" s="1369">
        <v>0</v>
      </c>
      <c r="L64" s="1370">
        <v>13691734</v>
      </c>
      <c r="M64" s="1374"/>
      <c r="N64" s="1375"/>
    </row>
    <row r="65" spans="1:14">
      <c r="A65" s="1376">
        <v>14.045999999999999</v>
      </c>
      <c r="B65" s="1366" t="s">
        <v>5920</v>
      </c>
      <c r="C65" s="1372" t="s">
        <v>192</v>
      </c>
      <c r="D65" s="1367" t="s">
        <v>5894</v>
      </c>
      <c r="E65" s="1372"/>
      <c r="F65" s="1372"/>
      <c r="G65" s="1372"/>
      <c r="H65" s="1365">
        <v>98</v>
      </c>
      <c r="I65" s="1372"/>
      <c r="J65" s="1369">
        <v>4105</v>
      </c>
      <c r="K65" s="1369">
        <v>0</v>
      </c>
      <c r="L65" s="1370">
        <v>4105</v>
      </c>
      <c r="M65" s="1374"/>
      <c r="N65" s="1375"/>
    </row>
    <row r="66" spans="1:14">
      <c r="A66" s="1376">
        <v>14.048</v>
      </c>
      <c r="B66" s="1366" t="s">
        <v>5921</v>
      </c>
      <c r="C66" s="1372" t="s">
        <v>192</v>
      </c>
      <c r="D66" s="1367" t="s">
        <v>5893</v>
      </c>
      <c r="E66" s="1372"/>
      <c r="F66" s="1372"/>
      <c r="G66" s="1372"/>
      <c r="H66" s="1365">
        <v>170213</v>
      </c>
      <c r="I66" s="1372"/>
      <c r="J66" s="1369">
        <v>5582664</v>
      </c>
      <c r="K66" s="1369">
        <v>0</v>
      </c>
      <c r="L66" s="1370">
        <v>5582664</v>
      </c>
      <c r="M66" s="1374"/>
      <c r="N66" s="1375"/>
    </row>
    <row r="67" spans="1:14">
      <c r="A67" s="1376">
        <v>14.048999999999999</v>
      </c>
      <c r="B67" s="1366" t="s">
        <v>5923</v>
      </c>
      <c r="C67" s="1372" t="s">
        <v>192</v>
      </c>
      <c r="D67" s="1367" t="s">
        <v>5893</v>
      </c>
      <c r="E67" s="1372"/>
      <c r="F67" s="1372"/>
      <c r="G67" s="1372"/>
      <c r="H67" s="1365">
        <v>13483</v>
      </c>
      <c r="I67" s="1372"/>
      <c r="J67" s="1369">
        <v>1015431</v>
      </c>
      <c r="K67" s="1369">
        <v>0</v>
      </c>
      <c r="L67" s="1370">
        <v>1015431</v>
      </c>
      <c r="M67" s="1374"/>
      <c r="N67" s="1375"/>
    </row>
    <row r="68" spans="1:14">
      <c r="A68" s="1376">
        <v>14.05</v>
      </c>
      <c r="B68" s="1366" t="s">
        <v>5924</v>
      </c>
      <c r="C68" s="1372" t="s">
        <v>195</v>
      </c>
      <c r="D68" s="1367" t="s">
        <v>5893</v>
      </c>
      <c r="E68" s="1372"/>
      <c r="F68" s="1372"/>
      <c r="G68" s="1372"/>
      <c r="H68" s="1365">
        <v>0</v>
      </c>
      <c r="I68" s="1372"/>
      <c r="J68" s="1369">
        <v>0</v>
      </c>
      <c r="K68" s="1369">
        <v>-100</v>
      </c>
      <c r="L68" s="1370">
        <v>-100</v>
      </c>
      <c r="M68" s="1374"/>
      <c r="N68" s="1375"/>
    </row>
    <row r="69" spans="1:14">
      <c r="A69" s="1376">
        <v>14.051</v>
      </c>
      <c r="B69" s="1366" t="s">
        <v>5924</v>
      </c>
      <c r="C69" s="1372" t="s">
        <v>192</v>
      </c>
      <c r="D69" s="1367" t="s">
        <v>5894</v>
      </c>
      <c r="E69" s="1372"/>
      <c r="F69" s="1372"/>
      <c r="G69" s="1372"/>
      <c r="H69" s="1365">
        <v>15</v>
      </c>
      <c r="I69" s="1372"/>
      <c r="J69" s="1369">
        <v>483</v>
      </c>
      <c r="K69" s="1369">
        <v>0</v>
      </c>
      <c r="L69" s="1370">
        <v>483</v>
      </c>
      <c r="M69" s="1374"/>
      <c r="N69" s="1375"/>
    </row>
    <row r="70" spans="1:14">
      <c r="A70" s="1376">
        <v>14.052</v>
      </c>
      <c r="B70" s="1366" t="s">
        <v>5925</v>
      </c>
      <c r="C70" s="1372" t="s">
        <v>195</v>
      </c>
      <c r="D70" s="1367" t="s">
        <v>5893</v>
      </c>
      <c r="E70" s="1372"/>
      <c r="F70" s="1372"/>
      <c r="G70" s="1372"/>
      <c r="H70" s="1365">
        <v>0</v>
      </c>
      <c r="I70" s="1372"/>
      <c r="J70" s="1369">
        <v>0</v>
      </c>
      <c r="K70" s="1369">
        <v>-148</v>
      </c>
      <c r="L70" s="1370">
        <v>-148</v>
      </c>
      <c r="M70" s="1374"/>
      <c r="N70" s="1375"/>
    </row>
    <row r="71" spans="1:14">
      <c r="A71" s="1376">
        <v>14.053000000000001</v>
      </c>
      <c r="B71" s="1366" t="s">
        <v>5925</v>
      </c>
      <c r="C71" s="1372" t="s">
        <v>192</v>
      </c>
      <c r="D71" s="1367" t="s">
        <v>5893</v>
      </c>
      <c r="E71" s="1372"/>
      <c r="F71" s="1372"/>
      <c r="G71" s="1372"/>
      <c r="H71" s="1365">
        <v>167801</v>
      </c>
      <c r="I71" s="1372"/>
      <c r="J71" s="1369">
        <v>6635358</v>
      </c>
      <c r="K71" s="1369">
        <v>0</v>
      </c>
      <c r="L71" s="1370">
        <v>6635358</v>
      </c>
      <c r="M71" s="1374"/>
      <c r="N71" s="1375"/>
    </row>
    <row r="72" spans="1:14">
      <c r="A72" s="1376">
        <v>14.054</v>
      </c>
      <c r="B72" s="1366" t="s">
        <v>5925</v>
      </c>
      <c r="C72" s="1372" t="s">
        <v>192</v>
      </c>
      <c r="D72" s="1367" t="s">
        <v>5894</v>
      </c>
      <c r="E72" s="1372"/>
      <c r="F72" s="1372"/>
      <c r="G72" s="1372"/>
      <c r="H72" s="1365">
        <v>128</v>
      </c>
      <c r="I72" s="1372"/>
      <c r="J72" s="1369">
        <v>13682</v>
      </c>
      <c r="K72" s="1369">
        <v>0</v>
      </c>
      <c r="L72" s="1370">
        <v>13682</v>
      </c>
      <c r="M72" s="1374"/>
      <c r="N72" s="1375"/>
    </row>
    <row r="73" spans="1:14">
      <c r="A73" s="1376">
        <v>14.055</v>
      </c>
      <c r="B73" s="1366" t="s">
        <v>5926</v>
      </c>
      <c r="C73" s="1372" t="s">
        <v>192</v>
      </c>
      <c r="D73" s="1367" t="s">
        <v>5893</v>
      </c>
      <c r="E73" s="1372"/>
      <c r="F73" s="1372"/>
      <c r="G73" s="1372"/>
      <c r="H73" s="1365">
        <v>359432</v>
      </c>
      <c r="I73" s="1372"/>
      <c r="J73" s="1369">
        <v>20025205</v>
      </c>
      <c r="K73" s="1369">
        <v>0</v>
      </c>
      <c r="L73" s="1370">
        <v>20025205</v>
      </c>
      <c r="M73" s="1374"/>
      <c r="N73" s="1375"/>
    </row>
    <row r="74" spans="1:14">
      <c r="A74" s="1376">
        <v>14.055999999999999</v>
      </c>
      <c r="B74" s="1366" t="s">
        <v>5927</v>
      </c>
      <c r="C74" s="1372" t="s">
        <v>192</v>
      </c>
      <c r="D74" s="1367" t="s">
        <v>5893</v>
      </c>
      <c r="E74" s="1372"/>
      <c r="F74" s="1372"/>
      <c r="G74" s="1372"/>
      <c r="H74" s="1365">
        <v>68320</v>
      </c>
      <c r="I74" s="1372"/>
      <c r="J74" s="1369">
        <v>2460117</v>
      </c>
      <c r="K74" s="1369">
        <v>0</v>
      </c>
      <c r="L74" s="1370">
        <v>2460117</v>
      </c>
      <c r="M74" s="1374"/>
      <c r="N74" s="1375"/>
    </row>
    <row r="75" spans="1:14">
      <c r="A75" s="1376">
        <v>14.057</v>
      </c>
      <c r="B75" s="1366" t="s">
        <v>5928</v>
      </c>
      <c r="C75" s="1366" t="s">
        <v>192</v>
      </c>
      <c r="D75" s="1367" t="s">
        <v>5893</v>
      </c>
      <c r="E75" s="1372"/>
      <c r="F75" s="1372"/>
      <c r="G75" s="1372"/>
      <c r="H75" s="1365">
        <v>19995</v>
      </c>
      <c r="I75" s="1372"/>
      <c r="J75" s="1369">
        <v>735546</v>
      </c>
      <c r="K75" s="1369">
        <v>0</v>
      </c>
      <c r="L75" s="1370">
        <v>735546</v>
      </c>
      <c r="M75" s="1374"/>
      <c r="N75" s="1375"/>
    </row>
    <row r="76" spans="1:14">
      <c r="A76" s="1376">
        <v>14.058</v>
      </c>
      <c r="B76" s="1366" t="s">
        <v>5943</v>
      </c>
      <c r="C76" s="1372" t="s">
        <v>192</v>
      </c>
      <c r="D76" s="1367" t="s">
        <v>5893</v>
      </c>
      <c r="E76" s="1372"/>
      <c r="F76" s="1372"/>
      <c r="G76" s="1372"/>
      <c r="H76" s="1365">
        <v>400</v>
      </c>
      <c r="I76" s="1372"/>
      <c r="J76" s="1369">
        <v>18000</v>
      </c>
      <c r="K76" s="1369">
        <v>0</v>
      </c>
      <c r="L76" s="1370">
        <v>18000</v>
      </c>
      <c r="M76" s="1374"/>
      <c r="N76" s="1375"/>
    </row>
    <row r="77" spans="1:14">
      <c r="A77" s="1376">
        <v>14.058999999999999</v>
      </c>
      <c r="B77" s="1366" t="s">
        <v>5929</v>
      </c>
      <c r="C77" s="1372" t="s">
        <v>195</v>
      </c>
      <c r="D77" s="1367" t="s">
        <v>5893</v>
      </c>
      <c r="E77" s="1372"/>
      <c r="F77" s="1372"/>
      <c r="G77" s="1372"/>
      <c r="H77" s="1365">
        <v>18</v>
      </c>
      <c r="I77" s="1372"/>
      <c r="J77" s="1369">
        <v>0</v>
      </c>
      <c r="K77" s="1369">
        <v>2286</v>
      </c>
      <c r="L77" s="1370">
        <v>2286</v>
      </c>
      <c r="M77" s="1374"/>
      <c r="N77" s="1375"/>
    </row>
    <row r="78" spans="1:14">
      <c r="A78" s="1376">
        <v>14.06</v>
      </c>
      <c r="B78" s="1366" t="s">
        <v>5929</v>
      </c>
      <c r="C78" s="1372" t="s">
        <v>192</v>
      </c>
      <c r="D78" s="1367" t="s">
        <v>5893</v>
      </c>
      <c r="E78" s="1372"/>
      <c r="F78" s="1372"/>
      <c r="G78" s="1372"/>
      <c r="H78" s="1365">
        <v>115623</v>
      </c>
      <c r="I78" s="1372"/>
      <c r="J78" s="1369">
        <v>5625069</v>
      </c>
      <c r="K78" s="1369">
        <v>0</v>
      </c>
      <c r="L78" s="1370">
        <v>5625069</v>
      </c>
      <c r="M78" s="1374"/>
      <c r="N78" s="1375"/>
    </row>
    <row r="79" spans="1:14">
      <c r="A79" s="1376">
        <v>14.061</v>
      </c>
      <c r="B79" s="1366" t="s">
        <v>5930</v>
      </c>
      <c r="C79" s="1372" t="s">
        <v>195</v>
      </c>
      <c r="D79" s="1367" t="s">
        <v>5893</v>
      </c>
      <c r="E79" s="1372"/>
      <c r="F79" s="1372"/>
      <c r="G79" s="1372"/>
      <c r="H79" s="1365">
        <v>-179</v>
      </c>
      <c r="I79" s="1372"/>
      <c r="J79" s="1369">
        <v>0</v>
      </c>
      <c r="K79" s="1369">
        <v>2154</v>
      </c>
      <c r="L79" s="1370">
        <v>2154</v>
      </c>
      <c r="M79" s="1374"/>
      <c r="N79" s="1375"/>
    </row>
    <row r="80" spans="1:14">
      <c r="A80" s="1376">
        <v>14.061999999999999</v>
      </c>
      <c r="B80" s="1366" t="s">
        <v>5930</v>
      </c>
      <c r="C80" s="1372" t="s">
        <v>192</v>
      </c>
      <c r="D80" s="1367" t="s">
        <v>5893</v>
      </c>
      <c r="E80" s="1372"/>
      <c r="F80" s="1372"/>
      <c r="G80" s="1372"/>
      <c r="H80" s="1365">
        <v>1002052</v>
      </c>
      <c r="I80" s="1372"/>
      <c r="J80" s="1369">
        <v>42800360</v>
      </c>
      <c r="K80" s="1369">
        <v>0</v>
      </c>
      <c r="L80" s="1370">
        <v>42800360</v>
      </c>
      <c r="M80" s="1374"/>
      <c r="N80" s="1375"/>
    </row>
    <row r="81" spans="1:14">
      <c r="A81" s="1376">
        <v>14.063000000000001</v>
      </c>
      <c r="B81" s="1366" t="s">
        <v>5931</v>
      </c>
      <c r="C81" s="1372" t="s">
        <v>192</v>
      </c>
      <c r="D81" s="1367" t="s">
        <v>5893</v>
      </c>
      <c r="E81" s="1372"/>
      <c r="F81" s="1372"/>
      <c r="G81" s="1372"/>
      <c r="H81" s="1365">
        <v>38742</v>
      </c>
      <c r="I81" s="1372"/>
      <c r="J81" s="1369">
        <v>1624873</v>
      </c>
      <c r="K81" s="1369">
        <v>0</v>
      </c>
      <c r="L81" s="1370">
        <v>1624873</v>
      </c>
      <c r="M81" s="1374"/>
      <c r="N81" s="1375"/>
    </row>
    <row r="82" spans="1:14">
      <c r="A82" s="1376">
        <v>14.064</v>
      </c>
      <c r="B82" s="1366" t="s">
        <v>5932</v>
      </c>
      <c r="C82" s="1372" t="s">
        <v>195</v>
      </c>
      <c r="D82" s="1367" t="s">
        <v>5893</v>
      </c>
      <c r="E82" s="1372"/>
      <c r="F82" s="1372"/>
      <c r="G82" s="1372"/>
      <c r="H82" s="1365">
        <v>0</v>
      </c>
      <c r="I82" s="1372"/>
      <c r="J82" s="1369">
        <v>0</v>
      </c>
      <c r="K82" s="1369">
        <v>-338</v>
      </c>
      <c r="L82" s="1370">
        <v>-338</v>
      </c>
      <c r="M82" s="1374"/>
      <c r="N82" s="1375"/>
    </row>
    <row r="83" spans="1:14">
      <c r="A83" s="1376">
        <v>14.065</v>
      </c>
      <c r="B83" s="1366" t="s">
        <v>5932</v>
      </c>
      <c r="C83" s="1372" t="s">
        <v>192</v>
      </c>
      <c r="D83" s="1367" t="s">
        <v>5894</v>
      </c>
      <c r="E83" s="1372"/>
      <c r="F83" s="1372"/>
      <c r="G83" s="1372"/>
      <c r="H83" s="1365">
        <v>5</v>
      </c>
      <c r="I83" s="1372"/>
      <c r="J83" s="1369">
        <v>339</v>
      </c>
      <c r="K83" s="1369">
        <v>0</v>
      </c>
      <c r="L83" s="1370">
        <v>339</v>
      </c>
      <c r="M83" s="1374"/>
      <c r="N83" s="1375"/>
    </row>
    <row r="84" spans="1:14">
      <c r="A84" s="1376">
        <v>14.066000000000001</v>
      </c>
      <c r="B84" s="1366" t="s">
        <v>5933</v>
      </c>
      <c r="C84" s="1372" t="s">
        <v>192</v>
      </c>
      <c r="D84" s="1367" t="s">
        <v>5893</v>
      </c>
      <c r="E84" s="1372"/>
      <c r="F84" s="1372"/>
      <c r="G84" s="1372"/>
      <c r="H84" s="1365">
        <v>1400</v>
      </c>
      <c r="I84" s="1372"/>
      <c r="J84" s="1369">
        <v>44230</v>
      </c>
      <c r="K84" s="1369">
        <v>0</v>
      </c>
      <c r="L84" s="1370">
        <v>44230</v>
      </c>
      <c r="M84" s="1374"/>
      <c r="N84" s="1375"/>
    </row>
    <row r="85" spans="1:14">
      <c r="A85" s="1376">
        <v>14.067</v>
      </c>
      <c r="B85" s="1366"/>
      <c r="C85" s="1366"/>
      <c r="D85" s="1367"/>
      <c r="E85" s="1372"/>
      <c r="F85" s="1372"/>
      <c r="G85" s="1372"/>
      <c r="H85" s="1377"/>
      <c r="I85" s="1372"/>
      <c r="J85" s="1377"/>
      <c r="K85" s="1377"/>
      <c r="L85" s="1378"/>
      <c r="M85" s="1379"/>
      <c r="N85" s="1375"/>
    </row>
    <row r="86" spans="1:14">
      <c r="A86" s="1376">
        <v>14.068</v>
      </c>
      <c r="B86" s="1366"/>
      <c r="C86" s="1366"/>
      <c r="D86" s="1367"/>
      <c r="E86" s="1372"/>
      <c r="F86" s="1372"/>
      <c r="G86" s="1372"/>
      <c r="H86" s="1377"/>
      <c r="I86" s="1372"/>
      <c r="J86" s="1377"/>
      <c r="K86" s="1377"/>
      <c r="L86" s="1378"/>
      <c r="M86" s="1379"/>
      <c r="N86" s="1375"/>
    </row>
    <row r="87" spans="1:14">
      <c r="A87" s="1376">
        <v>14.069000000000001</v>
      </c>
      <c r="B87" s="1366"/>
      <c r="C87" s="1366"/>
      <c r="D87" s="1367"/>
      <c r="E87" s="1372"/>
      <c r="F87" s="1372"/>
      <c r="G87" s="1372"/>
      <c r="H87" s="1377"/>
      <c r="I87" s="1372"/>
      <c r="J87" s="1377"/>
      <c r="K87" s="1377"/>
      <c r="L87" s="1378"/>
      <c r="M87" s="1379"/>
      <c r="N87" s="1375"/>
    </row>
    <row r="88" spans="1:14">
      <c r="A88" s="1376">
        <v>14.07</v>
      </c>
      <c r="B88" s="1366"/>
      <c r="C88" s="1366"/>
      <c r="D88" s="1367"/>
      <c r="E88" s="1372"/>
      <c r="F88" s="1372"/>
      <c r="G88" s="1372"/>
      <c r="H88" s="1377"/>
      <c r="I88" s="1372"/>
      <c r="J88" s="1377"/>
      <c r="K88" s="1377"/>
      <c r="L88" s="1378"/>
      <c r="M88" s="1379"/>
      <c r="N88" s="1375"/>
    </row>
    <row r="89" spans="1:14">
      <c r="A89" s="1376">
        <v>14.071</v>
      </c>
      <c r="B89" s="1366"/>
      <c r="C89" s="1366"/>
      <c r="D89" s="1367"/>
      <c r="E89" s="1372"/>
      <c r="F89" s="1372"/>
      <c r="G89" s="1372"/>
      <c r="H89" s="1377"/>
      <c r="I89" s="1372"/>
      <c r="J89" s="1377"/>
      <c r="K89" s="1377"/>
      <c r="L89" s="1378"/>
      <c r="M89" s="1379"/>
      <c r="N89" s="1375"/>
    </row>
    <row r="90" spans="1:14">
      <c r="A90" s="1376">
        <v>14.071999999999999</v>
      </c>
      <c r="B90" s="1366"/>
      <c r="C90" s="1366"/>
      <c r="D90" s="1367"/>
      <c r="E90" s="1372"/>
      <c r="F90" s="1372"/>
      <c r="G90" s="1372"/>
      <c r="H90" s="1377"/>
      <c r="I90" s="1372"/>
      <c r="J90" s="1377"/>
      <c r="K90" s="1377"/>
      <c r="L90" s="1378"/>
      <c r="M90" s="1379"/>
      <c r="N90" s="1375"/>
    </row>
    <row r="91" spans="1:14">
      <c r="A91" s="1376">
        <v>14.073</v>
      </c>
      <c r="B91" s="1366"/>
      <c r="C91" s="1366"/>
      <c r="D91" s="1367"/>
      <c r="E91" s="1372"/>
      <c r="F91" s="1372"/>
      <c r="G91" s="1372"/>
      <c r="H91" s="1377"/>
      <c r="I91" s="1372"/>
      <c r="J91" s="1377"/>
      <c r="K91" s="1377"/>
      <c r="L91" s="1378"/>
      <c r="M91" s="1379"/>
      <c r="N91" s="1375"/>
    </row>
    <row r="92" spans="1:14">
      <c r="A92" s="1376">
        <v>14.074</v>
      </c>
      <c r="B92" s="1366"/>
      <c r="C92" s="1366"/>
      <c r="D92" s="1367"/>
      <c r="E92" s="1372"/>
      <c r="F92" s="1372"/>
      <c r="G92" s="1372"/>
      <c r="H92" s="1377"/>
      <c r="I92" s="1372"/>
      <c r="J92" s="1377"/>
      <c r="K92" s="1377"/>
      <c r="L92" s="1378"/>
      <c r="M92" s="1379"/>
      <c r="N92" s="1375"/>
    </row>
    <row r="93" spans="1:14">
      <c r="A93" s="1376">
        <v>14.074999999999999</v>
      </c>
      <c r="B93" s="1366"/>
      <c r="C93" s="1366"/>
      <c r="D93" s="1367"/>
      <c r="E93" s="1372"/>
      <c r="F93" s="1372"/>
      <c r="G93" s="1372"/>
      <c r="H93" s="1377"/>
      <c r="I93" s="1372"/>
      <c r="J93" s="1377"/>
      <c r="K93" s="1377"/>
      <c r="L93" s="1378"/>
      <c r="M93" s="1379"/>
      <c r="N93" s="1375"/>
    </row>
    <row r="94" spans="1:14">
      <c r="A94" s="1376">
        <v>14.076000000000001</v>
      </c>
      <c r="B94" s="1366"/>
      <c r="C94" s="1366"/>
      <c r="D94" s="1367"/>
      <c r="E94" s="1372"/>
      <c r="F94" s="1372"/>
      <c r="G94" s="1372"/>
      <c r="H94" s="1377"/>
      <c r="I94" s="1372"/>
      <c r="J94" s="1377"/>
      <c r="K94" s="1377"/>
      <c r="L94" s="1378"/>
      <c r="M94" s="1379"/>
      <c r="N94" s="1375"/>
    </row>
    <row r="95" spans="1:14">
      <c r="A95" s="1376">
        <v>14.077</v>
      </c>
      <c r="B95" s="1366"/>
      <c r="C95" s="1366"/>
      <c r="D95" s="1367"/>
      <c r="E95" s="1372"/>
      <c r="F95" s="1372"/>
      <c r="G95" s="1372"/>
      <c r="H95" s="1377"/>
      <c r="I95" s="1372"/>
      <c r="J95" s="1377"/>
      <c r="K95" s="1377"/>
      <c r="L95" s="1378"/>
      <c r="M95" s="1379"/>
      <c r="N95" s="1375"/>
    </row>
    <row r="96" spans="1:14">
      <c r="A96" s="1376">
        <v>14.077999999999999</v>
      </c>
      <c r="B96" s="1366"/>
      <c r="C96" s="1366"/>
      <c r="D96" s="1367"/>
      <c r="E96" s="1372"/>
      <c r="F96" s="1372"/>
      <c r="G96" s="1372"/>
      <c r="H96" s="1377"/>
      <c r="I96" s="1372"/>
      <c r="J96" s="1377"/>
      <c r="K96" s="1377"/>
      <c r="L96" s="1378"/>
      <c r="M96" s="1379"/>
      <c r="N96" s="1375"/>
    </row>
    <row r="97" spans="1:13">
      <c r="A97" s="1376">
        <v>14.079000000000001</v>
      </c>
      <c r="B97" s="1366"/>
      <c r="C97" s="1366"/>
      <c r="D97" s="1367"/>
      <c r="E97" s="1372"/>
      <c r="F97" s="1372"/>
      <c r="G97" s="1372"/>
      <c r="H97" s="1377"/>
      <c r="I97" s="1372"/>
      <c r="J97" s="1377"/>
      <c r="K97" s="1377"/>
      <c r="L97" s="1378"/>
      <c r="M97" s="1380"/>
    </row>
    <row r="98" spans="1:13">
      <c r="A98" s="1376">
        <v>14.08</v>
      </c>
      <c r="B98" s="1366"/>
      <c r="C98" s="1366"/>
      <c r="D98" s="1367"/>
      <c r="E98" s="1372"/>
      <c r="F98" s="1372"/>
      <c r="G98" s="1372"/>
      <c r="H98" s="1377"/>
      <c r="I98" s="1372"/>
      <c r="J98" s="1377"/>
      <c r="K98" s="1377"/>
      <c r="L98" s="1378"/>
      <c r="M98" s="1380"/>
    </row>
    <row r="99" spans="1:13">
      <c r="A99" s="1376">
        <v>14.081</v>
      </c>
      <c r="B99" s="1381"/>
      <c r="C99" s="1381"/>
      <c r="D99" s="1363"/>
      <c r="E99" s="1372"/>
      <c r="F99" s="1372"/>
      <c r="G99" s="1372"/>
      <c r="H99" s="1372"/>
      <c r="I99" s="1372"/>
      <c r="J99" s="1372"/>
      <c r="K99" s="1372"/>
      <c r="L99" s="1378"/>
      <c r="M99" s="1380"/>
    </row>
    <row r="100" spans="1:13">
      <c r="A100" s="1382">
        <v>15</v>
      </c>
      <c r="B100" s="1383" t="s">
        <v>5935</v>
      </c>
      <c r="C100" s="1384"/>
      <c r="D100" s="1384"/>
      <c r="E100" s="1385">
        <v>0</v>
      </c>
      <c r="F100" s="1385">
        <v>0</v>
      </c>
      <c r="G100" s="1385">
        <v>0</v>
      </c>
      <c r="H100" s="1370">
        <v>7204</v>
      </c>
      <c r="I100" s="1370">
        <v>77659</v>
      </c>
      <c r="J100" s="1370">
        <v>253150</v>
      </c>
      <c r="K100" s="1370">
        <v>19023</v>
      </c>
      <c r="L100" s="1370">
        <v>349832</v>
      </c>
      <c r="M100" s="1371"/>
    </row>
    <row r="101" spans="1:13">
      <c r="A101" s="1382">
        <v>16</v>
      </c>
      <c r="B101" s="1381" t="s">
        <v>5936</v>
      </c>
      <c r="C101" s="1386"/>
      <c r="D101" s="1386"/>
      <c r="E101" s="1387">
        <v>0</v>
      </c>
      <c r="F101" s="1387">
        <v>0</v>
      </c>
      <c r="G101" s="1387">
        <v>0</v>
      </c>
      <c r="H101" s="1388">
        <v>6642744</v>
      </c>
      <c r="I101" s="1388">
        <v>0</v>
      </c>
      <c r="J101" s="1388">
        <v>292596957</v>
      </c>
      <c r="K101" s="1388">
        <v>60369</v>
      </c>
      <c r="L101" s="1388">
        <v>292657326</v>
      </c>
      <c r="M101" s="1371"/>
    </row>
    <row r="102" spans="1:13" ht="12" thickBot="1">
      <c r="A102" s="1382">
        <v>17</v>
      </c>
      <c r="B102" s="1389" t="s">
        <v>104</v>
      </c>
      <c r="C102" s="1390"/>
      <c r="D102" s="1390"/>
      <c r="E102" s="1391">
        <v>0</v>
      </c>
      <c r="F102" s="1391">
        <v>0</v>
      </c>
      <c r="G102" s="1391">
        <v>0</v>
      </c>
      <c r="H102" s="1392">
        <v>6649948</v>
      </c>
      <c r="I102" s="1392">
        <v>77659</v>
      </c>
      <c r="J102" s="1392">
        <v>292850107</v>
      </c>
      <c r="K102" s="1392">
        <v>79392</v>
      </c>
      <c r="L102" s="1392">
        <v>293007158</v>
      </c>
      <c r="M102" s="1371"/>
    </row>
    <row r="103" spans="1:13" ht="12" thickTop="1">
      <c r="A103" s="1393"/>
      <c r="B103" s="1375"/>
      <c r="C103" s="1375"/>
      <c r="D103" s="1375"/>
      <c r="E103" s="1375"/>
      <c r="F103" s="1375"/>
      <c r="G103" s="1375"/>
      <c r="H103" s="1375"/>
      <c r="I103" s="1375"/>
      <c r="J103" s="1375"/>
      <c r="K103" s="1375"/>
      <c r="L103" s="1375"/>
      <c r="M103" s="1375"/>
    </row>
    <row r="104" spans="1:13">
      <c r="H104" s="1394"/>
      <c r="I104" s="1394"/>
      <c r="J104" s="1394"/>
      <c r="K104" s="1394"/>
      <c r="L104" s="1394"/>
      <c r="M104" s="1394"/>
    </row>
    <row r="105" spans="1:13">
      <c r="H105" s="1394"/>
      <c r="I105" s="1394"/>
      <c r="J105" s="1394"/>
      <c r="K105" s="1394"/>
      <c r="L105" s="1394"/>
      <c r="M105" s="1394"/>
    </row>
  </sheetData>
  <mergeCells count="13">
    <mergeCell ref="H6:H7"/>
    <mergeCell ref="I6:K6"/>
    <mergeCell ref="L6:L7"/>
    <mergeCell ref="A4:G4"/>
    <mergeCell ref="H4:L4"/>
    <mergeCell ref="A5:G5"/>
    <mergeCell ref="H5:L5"/>
    <mergeCell ref="A6:A8"/>
    <mergeCell ref="B6:B7"/>
    <mergeCell ref="C6:C7"/>
    <mergeCell ref="D6:D7"/>
    <mergeCell ref="E6:E7"/>
    <mergeCell ref="F6:G6"/>
  </mergeCells>
  <pageMargins left="0.75" right="0.75" top="1" bottom="1" header="0.5" footer="0.5"/>
  <pageSetup orientation="portrait" horizontalDpi="90" verticalDpi="90" r:id="rId2"/>
  <customProperties>
    <customPr name="_pios_id" r:id="rId3"/>
  </customPropertie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rgb="FF92D050"/>
  </sheetPr>
  <dimension ref="A1:E239"/>
  <sheetViews>
    <sheetView workbookViewId="0">
      <pane ySplit="11" topLeftCell="A12" activePane="bottomLeft" state="frozen"/>
      <selection sqref="A1:XFD1048576"/>
      <selection pane="bottomLeft" sqref="A1:XFD1048576"/>
    </sheetView>
  </sheetViews>
  <sheetFormatPr defaultColWidth="13.25" defaultRowHeight="11.25"/>
  <cols>
    <col min="1" max="1" width="5.25" style="1149" bestFit="1" customWidth="1"/>
    <col min="2" max="2" width="68.75" style="1149" customWidth="1"/>
    <col min="3" max="4" width="13.25" style="1149"/>
    <col min="5" max="5" width="8.5" style="1149" bestFit="1" customWidth="1"/>
    <col min="6" max="16384" width="13.25" style="1149"/>
  </cols>
  <sheetData>
    <row r="1" spans="1:4">
      <c r="A1" s="507" t="s">
        <v>4977</v>
      </c>
      <c r="B1" s="507"/>
    </row>
    <row r="2" spans="1:4">
      <c r="A2" s="507" t="s">
        <v>6778</v>
      </c>
      <c r="B2" s="507"/>
    </row>
    <row r="3" spans="1:4">
      <c r="A3" s="1197"/>
    </row>
    <row r="4" spans="1:4">
      <c r="A4" s="1197"/>
    </row>
    <row r="6" spans="1:4" ht="11.25" customHeight="1">
      <c r="A6" s="3950" t="s">
        <v>5952</v>
      </c>
      <c r="B6" s="3950"/>
      <c r="C6" s="3950"/>
      <c r="D6" s="3950"/>
    </row>
    <row r="7" spans="1:4" ht="11.25" customHeight="1">
      <c r="A7" s="3953" t="s">
        <v>5953</v>
      </c>
      <c r="B7" s="3938"/>
      <c r="C7" s="3938"/>
      <c r="D7" s="3939"/>
    </row>
    <row r="8" spans="1:4" ht="11.25" customHeight="1">
      <c r="A8" s="3944" t="s">
        <v>5954</v>
      </c>
      <c r="B8" s="3938"/>
      <c r="C8" s="3938"/>
      <c r="D8" s="3939"/>
    </row>
    <row r="9" spans="1:4" ht="22.5">
      <c r="A9" s="4054" t="s">
        <v>5282</v>
      </c>
      <c r="B9" s="1153" t="s">
        <v>96</v>
      </c>
      <c r="C9" s="1153" t="s">
        <v>5955</v>
      </c>
      <c r="D9" s="1153" t="s">
        <v>5956</v>
      </c>
    </row>
    <row r="10" spans="1:4">
      <c r="A10" s="4026"/>
      <c r="B10" s="1340" t="s">
        <v>4989</v>
      </c>
      <c r="C10" s="1340" t="s">
        <v>4990</v>
      </c>
      <c r="D10" s="1340" t="s">
        <v>4991</v>
      </c>
    </row>
    <row r="11" spans="1:4">
      <c r="A11" s="1184"/>
      <c r="B11" s="1202"/>
      <c r="C11" s="1156" t="s">
        <v>6777</v>
      </c>
      <c r="D11" s="1156" t="s">
        <v>4988</v>
      </c>
    </row>
    <row r="12" spans="1:4">
      <c r="A12" s="1236">
        <v>1</v>
      </c>
      <c r="B12" s="1204" t="s">
        <v>5957</v>
      </c>
      <c r="C12" s="3977"/>
      <c r="D12" s="4091"/>
    </row>
    <row r="13" spans="1:4">
      <c r="A13" s="1236">
        <v>2</v>
      </c>
      <c r="B13" s="1204" t="s">
        <v>5958</v>
      </c>
      <c r="C13" s="3977"/>
      <c r="D13" s="4091"/>
    </row>
    <row r="14" spans="1:4">
      <c r="A14" s="1236">
        <v>3</v>
      </c>
      <c r="B14" s="1204" t="s">
        <v>436</v>
      </c>
      <c r="C14" s="3977"/>
      <c r="D14" s="4091"/>
    </row>
    <row r="15" spans="1:4">
      <c r="A15" s="1236">
        <v>4</v>
      </c>
      <c r="B15" s="1204" t="s">
        <v>5959</v>
      </c>
      <c r="C15" s="1168">
        <v>1343070</v>
      </c>
      <c r="D15" s="1168">
        <v>1386767</v>
      </c>
    </row>
    <row r="16" spans="1:4">
      <c r="A16" s="1236">
        <v>5</v>
      </c>
      <c r="B16" s="1257" t="s">
        <v>5960</v>
      </c>
      <c r="C16" s="1171">
        <v>60636604</v>
      </c>
      <c r="D16" s="1171">
        <v>57889027</v>
      </c>
    </row>
    <row r="17" spans="1:4">
      <c r="A17" s="1236">
        <v>6</v>
      </c>
      <c r="B17" s="1204" t="s">
        <v>5961</v>
      </c>
      <c r="C17" s="1168">
        <v>7228080</v>
      </c>
      <c r="D17" s="1168">
        <v>6461530</v>
      </c>
    </row>
    <row r="18" spans="1:4">
      <c r="A18" s="1236">
        <v>7</v>
      </c>
      <c r="B18" s="1204" t="s">
        <v>5962</v>
      </c>
      <c r="C18" s="1157"/>
      <c r="D18" s="1168">
        <v>0</v>
      </c>
    </row>
    <row r="19" spans="1:4">
      <c r="A19" s="1236">
        <v>8</v>
      </c>
      <c r="B19" s="1204" t="s">
        <v>5963</v>
      </c>
      <c r="C19" s="1157"/>
      <c r="D19" s="1168">
        <v>0</v>
      </c>
    </row>
    <row r="20" spans="1:4">
      <c r="A20" s="1236">
        <v>9</v>
      </c>
      <c r="B20" s="1204" t="s">
        <v>5964</v>
      </c>
      <c r="C20" s="1168">
        <v>2189193</v>
      </c>
      <c r="D20" s="1168">
        <v>1850235</v>
      </c>
    </row>
    <row r="21" spans="1:4">
      <c r="A21" s="1236">
        <v>10</v>
      </c>
      <c r="B21" s="1204" t="s">
        <v>5965</v>
      </c>
      <c r="C21" s="1168">
        <v>9363394</v>
      </c>
      <c r="D21" s="1168">
        <v>9838218</v>
      </c>
    </row>
    <row r="22" spans="1:4">
      <c r="A22" s="1236">
        <v>11</v>
      </c>
      <c r="B22" s="1204" t="s">
        <v>5966</v>
      </c>
      <c r="C22" s="1157"/>
      <c r="D22" s="1168">
        <v>0</v>
      </c>
    </row>
    <row r="23" spans="1:4">
      <c r="A23" s="1236">
        <v>12</v>
      </c>
      <c r="B23" s="1204" t="s">
        <v>5967</v>
      </c>
      <c r="C23" s="1157"/>
      <c r="D23" s="1168">
        <v>0</v>
      </c>
    </row>
    <row r="24" spans="1:4">
      <c r="A24" s="1236">
        <v>13</v>
      </c>
      <c r="B24" s="1257" t="s">
        <v>5968</v>
      </c>
      <c r="C24" s="1171">
        <f>SUM(C15:C18,C20:C23)-C19</f>
        <v>80760341</v>
      </c>
      <c r="D24" s="1171">
        <f>SUM(D15:D18,D20:D23)-D19</f>
        <v>77425777</v>
      </c>
    </row>
    <row r="25" spans="1:4">
      <c r="A25" s="1236">
        <v>14</v>
      </c>
      <c r="B25" s="1204" t="s">
        <v>437</v>
      </c>
      <c r="C25" s="3977"/>
      <c r="D25" s="3979"/>
    </row>
    <row r="26" spans="1:4">
      <c r="A26" s="1236">
        <v>15</v>
      </c>
      <c r="B26" s="1204" t="s">
        <v>5969</v>
      </c>
      <c r="C26" s="1168">
        <v>648211</v>
      </c>
      <c r="D26" s="1168">
        <v>1027119</v>
      </c>
    </row>
    <row r="27" spans="1:4">
      <c r="A27" s="1236">
        <v>16</v>
      </c>
      <c r="B27" s="1204" t="s">
        <v>5970</v>
      </c>
      <c r="C27" s="1168">
        <v>1492111</v>
      </c>
      <c r="D27" s="1168">
        <v>1572491</v>
      </c>
    </row>
    <row r="28" spans="1:4">
      <c r="A28" s="1236">
        <v>17</v>
      </c>
      <c r="B28" s="1204" t="s">
        <v>5971</v>
      </c>
      <c r="C28" s="1168">
        <v>12693388</v>
      </c>
      <c r="D28" s="1168">
        <v>10200516</v>
      </c>
    </row>
    <row r="29" spans="1:4">
      <c r="A29" s="1236">
        <v>18</v>
      </c>
      <c r="B29" s="1204" t="s">
        <v>5972</v>
      </c>
      <c r="C29" s="1168">
        <v>6870087</v>
      </c>
      <c r="D29" s="1168">
        <v>3777527</v>
      </c>
    </row>
    <row r="30" spans="1:4">
      <c r="A30" s="1236">
        <v>19</v>
      </c>
      <c r="B30" s="1204" t="s">
        <v>5973</v>
      </c>
      <c r="C30" s="1168">
        <v>1515653</v>
      </c>
      <c r="D30" s="1168">
        <v>1652630</v>
      </c>
    </row>
    <row r="31" spans="1:4">
      <c r="A31" s="1236">
        <v>20</v>
      </c>
      <c r="B31" s="1257" t="s">
        <v>5974</v>
      </c>
      <c r="C31" s="1171">
        <f>SUM(C26:C30)</f>
        <v>23219450</v>
      </c>
      <c r="D31" s="1171">
        <f>SUM(D26:D30)</f>
        <v>18230283</v>
      </c>
    </row>
    <row r="32" spans="1:4">
      <c r="A32" s="1236">
        <v>21</v>
      </c>
      <c r="B32" s="1204" t="s">
        <v>5975</v>
      </c>
      <c r="C32" s="1187">
        <f>SUM(C24,C31)</f>
        <v>103979791</v>
      </c>
      <c r="D32" s="1187">
        <f>SUM(D24,D31)</f>
        <v>95656060</v>
      </c>
    </row>
    <row r="33" spans="1:4">
      <c r="A33" s="1236">
        <v>22</v>
      </c>
      <c r="B33" s="1204" t="s">
        <v>5976</v>
      </c>
      <c r="C33" s="4094"/>
      <c r="D33" s="4094"/>
    </row>
    <row r="34" spans="1:4">
      <c r="A34" s="1236">
        <v>23</v>
      </c>
      <c r="B34" s="1204" t="s">
        <v>436</v>
      </c>
      <c r="C34" s="4094"/>
      <c r="D34" s="4094"/>
    </row>
    <row r="35" spans="1:4">
      <c r="A35" s="1236">
        <v>24</v>
      </c>
      <c r="B35" s="1204" t="s">
        <v>5977</v>
      </c>
      <c r="C35" s="1189"/>
      <c r="D35" s="1168">
        <f t="shared" ref="D35:D43" si="0">SUMIFS($J35:$XFD35,$J$11:$XFD$11,$G$11)</f>
        <v>0</v>
      </c>
    </row>
    <row r="36" spans="1:4">
      <c r="A36" s="1236">
        <v>25</v>
      </c>
      <c r="B36" s="1257" t="s">
        <v>5978</v>
      </c>
      <c r="C36" s="1258"/>
      <c r="D36" s="1171">
        <f t="shared" si="0"/>
        <v>0</v>
      </c>
    </row>
    <row r="37" spans="1:4">
      <c r="A37" s="1236">
        <v>26</v>
      </c>
      <c r="B37" s="1204" t="s">
        <v>5979</v>
      </c>
      <c r="C37" s="1189"/>
      <c r="D37" s="1168">
        <f t="shared" si="0"/>
        <v>0</v>
      </c>
    </row>
    <row r="38" spans="1:4">
      <c r="A38" s="1236">
        <v>27</v>
      </c>
      <c r="B38" s="1204" t="s">
        <v>5980</v>
      </c>
      <c r="C38" s="1189"/>
      <c r="D38" s="1168">
        <f t="shared" si="0"/>
        <v>0</v>
      </c>
    </row>
    <row r="39" spans="1:4">
      <c r="A39" s="1236">
        <v>28</v>
      </c>
      <c r="B39" s="1204" t="s">
        <v>5981</v>
      </c>
      <c r="C39" s="1189"/>
      <c r="D39" s="1168">
        <f t="shared" si="0"/>
        <v>0</v>
      </c>
    </row>
    <row r="40" spans="1:4">
      <c r="A40" s="1236">
        <v>29</v>
      </c>
      <c r="B40" s="1204" t="s">
        <v>5982</v>
      </c>
      <c r="C40" s="1189"/>
      <c r="D40" s="1168">
        <f t="shared" si="0"/>
        <v>0</v>
      </c>
    </row>
    <row r="41" spans="1:4">
      <c r="A41" s="1236">
        <v>30</v>
      </c>
      <c r="B41" s="1204" t="s">
        <v>5983</v>
      </c>
      <c r="C41" s="1189"/>
      <c r="D41" s="1168">
        <f t="shared" si="0"/>
        <v>0</v>
      </c>
    </row>
    <row r="42" spans="1:4">
      <c r="A42" s="1236">
        <v>31</v>
      </c>
      <c r="B42" s="1204" t="s">
        <v>5984</v>
      </c>
      <c r="C42" s="1189"/>
      <c r="D42" s="1168">
        <f t="shared" si="0"/>
        <v>0</v>
      </c>
    </row>
    <row r="43" spans="1:4">
      <c r="A43" s="1236">
        <v>32</v>
      </c>
      <c r="B43" s="1204" t="s">
        <v>5985</v>
      </c>
      <c r="C43" s="1189"/>
      <c r="D43" s="1168">
        <f t="shared" si="0"/>
        <v>0</v>
      </c>
    </row>
    <row r="44" spans="1:4">
      <c r="A44" s="1336">
        <v>33</v>
      </c>
      <c r="B44" s="1877" t="s">
        <v>5986</v>
      </c>
      <c r="C44" s="1171">
        <f>SUM(C35:C39,C41:C43)-C40</f>
        <v>0</v>
      </c>
      <c r="D44" s="1171">
        <f>SUM(D35:D39,D41:D43)-D40</f>
        <v>0</v>
      </c>
    </row>
    <row r="45" spans="1:4">
      <c r="A45" s="1236">
        <v>34</v>
      </c>
      <c r="B45" s="1204" t="s">
        <v>437</v>
      </c>
      <c r="C45" s="3977"/>
      <c r="D45" s="3979"/>
    </row>
    <row r="46" spans="1:4">
      <c r="A46" s="1236">
        <v>35</v>
      </c>
      <c r="B46" s="1204" t="s">
        <v>5987</v>
      </c>
      <c r="C46" s="1189"/>
      <c r="D46" s="1168">
        <f>SUMIFS($J46:$XFD46,$J$11:$XFD$11,$G$11)</f>
        <v>0</v>
      </c>
    </row>
    <row r="47" spans="1:4">
      <c r="A47" s="1236">
        <v>36</v>
      </c>
      <c r="B47" s="1204" t="s">
        <v>5988</v>
      </c>
      <c r="C47" s="1189"/>
      <c r="D47" s="1168">
        <f>SUMIFS($J47:$XFD47,$J$11:$XFD$11,$G$11)</f>
        <v>0</v>
      </c>
    </row>
    <row r="48" spans="1:4">
      <c r="A48" s="1236">
        <v>37</v>
      </c>
      <c r="B48" s="1204" t="s">
        <v>5989</v>
      </c>
      <c r="C48" s="1189"/>
      <c r="D48" s="1168">
        <f>SUMIFS($J48:$XFD48,$J$11:$XFD$11,$G$11)</f>
        <v>0</v>
      </c>
    </row>
    <row r="49" spans="1:4">
      <c r="A49" s="1236">
        <v>38</v>
      </c>
      <c r="B49" s="1204" t="s">
        <v>5990</v>
      </c>
      <c r="C49" s="1189"/>
      <c r="D49" s="1168">
        <f>SUMIFS($J49:$XFD49,$J$11:$XFD$11,$G$11)</f>
        <v>0</v>
      </c>
    </row>
    <row r="50" spans="1:4">
      <c r="A50" s="1236">
        <v>39</v>
      </c>
      <c r="B50" s="1204" t="s">
        <v>5991</v>
      </c>
      <c r="C50" s="1189"/>
      <c r="D50" s="1168">
        <f>SUMIFS($J50:$XFD50,$J$11:$XFD$11,$G$11)</f>
        <v>0</v>
      </c>
    </row>
    <row r="51" spans="1:4">
      <c r="A51" s="1236">
        <v>40</v>
      </c>
      <c r="B51" s="1257" t="s">
        <v>5992</v>
      </c>
      <c r="C51" s="1171">
        <f>SUM(C46:C50)</f>
        <v>0</v>
      </c>
      <c r="D51" s="1171">
        <f>SUM(D46:D50)</f>
        <v>0</v>
      </c>
    </row>
    <row r="52" spans="1:4">
      <c r="A52" s="1236">
        <v>41</v>
      </c>
      <c r="B52" s="1204" t="s">
        <v>5993</v>
      </c>
      <c r="C52" s="1187">
        <f>C44+C51</f>
        <v>0</v>
      </c>
      <c r="D52" s="1187">
        <f>D44+D51</f>
        <v>0</v>
      </c>
    </row>
    <row r="53" spans="1:4">
      <c r="A53" s="1236">
        <v>42</v>
      </c>
      <c r="B53" s="1204" t="s">
        <v>5994</v>
      </c>
      <c r="C53" s="3977"/>
      <c r="D53" s="3979"/>
    </row>
    <row r="54" spans="1:4">
      <c r="A54" s="1236">
        <v>43</v>
      </c>
      <c r="B54" s="1204" t="s">
        <v>436</v>
      </c>
      <c r="C54" s="3977"/>
      <c r="D54" s="3979"/>
    </row>
    <row r="55" spans="1:4">
      <c r="A55" s="1236">
        <v>44</v>
      </c>
      <c r="B55" s="1204" t="s">
        <v>5995</v>
      </c>
      <c r="C55" s="1168">
        <v>1704639</v>
      </c>
      <c r="D55" s="1168">
        <v>1838698</v>
      </c>
    </row>
    <row r="56" spans="1:4">
      <c r="A56" s="1236">
        <v>45</v>
      </c>
      <c r="B56" s="1204" t="s">
        <v>5996</v>
      </c>
      <c r="C56" s="1189"/>
      <c r="D56" s="1168">
        <v>0</v>
      </c>
    </row>
    <row r="57" spans="1:4">
      <c r="A57" s="1236">
        <v>46</v>
      </c>
      <c r="B57" s="1204" t="s">
        <v>5997</v>
      </c>
      <c r="C57" s="1168">
        <v>4179622</v>
      </c>
      <c r="D57" s="1168">
        <v>3493327</v>
      </c>
    </row>
    <row r="58" spans="1:4">
      <c r="A58" s="1236">
        <v>47</v>
      </c>
      <c r="B58" s="1204" t="s">
        <v>5998</v>
      </c>
      <c r="C58" s="1168">
        <v>341918</v>
      </c>
      <c r="D58" s="1168">
        <v>278163</v>
      </c>
    </row>
    <row r="59" spans="1:4">
      <c r="A59" s="1236">
        <v>48</v>
      </c>
      <c r="B59" s="1204" t="s">
        <v>5999</v>
      </c>
      <c r="C59" s="1168">
        <v>794658</v>
      </c>
      <c r="D59" s="1168">
        <v>1916301</v>
      </c>
    </row>
    <row r="60" spans="1:4">
      <c r="A60" s="1236">
        <v>49</v>
      </c>
      <c r="B60" s="1204" t="s">
        <v>6000</v>
      </c>
      <c r="C60" s="1189"/>
      <c r="D60" s="1168">
        <v>0</v>
      </c>
    </row>
    <row r="61" spans="1:4">
      <c r="A61" s="1236">
        <v>50</v>
      </c>
      <c r="B61" s="1257" t="s">
        <v>6001</v>
      </c>
      <c r="C61" s="1171">
        <f>SUM(C55:C60)</f>
        <v>7020837</v>
      </c>
      <c r="D61" s="1171">
        <f>SUM(D55:D60)</f>
        <v>7526489</v>
      </c>
    </row>
    <row r="62" spans="1:4">
      <c r="A62" s="1236">
        <v>51</v>
      </c>
      <c r="B62" s="1204" t="s">
        <v>6002</v>
      </c>
      <c r="C62" s="3977"/>
      <c r="D62" s="3979"/>
    </row>
    <row r="63" spans="1:4">
      <c r="A63" s="1236">
        <v>52</v>
      </c>
      <c r="B63" s="1204" t="s">
        <v>437</v>
      </c>
      <c r="C63" s="3977"/>
      <c r="D63" s="3979"/>
    </row>
    <row r="64" spans="1:4">
      <c r="A64" s="1236">
        <v>53</v>
      </c>
      <c r="B64" s="1204" t="s">
        <v>6003</v>
      </c>
      <c r="C64" s="1168">
        <v>82141</v>
      </c>
      <c r="D64" s="1168">
        <v>61778</v>
      </c>
    </row>
    <row r="65" spans="1:4">
      <c r="A65" s="1236">
        <v>54</v>
      </c>
      <c r="B65" s="1204" t="s">
        <v>6004</v>
      </c>
      <c r="C65" s="1168">
        <v>599604</v>
      </c>
      <c r="D65" s="1168">
        <v>316883</v>
      </c>
    </row>
    <row r="66" spans="1:4">
      <c r="A66" s="1236">
        <v>55</v>
      </c>
      <c r="B66" s="1204" t="s">
        <v>6005</v>
      </c>
      <c r="C66" s="1168">
        <v>745059</v>
      </c>
      <c r="D66" s="1168">
        <v>515032</v>
      </c>
    </row>
    <row r="67" spans="1:4">
      <c r="A67" s="1236">
        <v>56</v>
      </c>
      <c r="B67" s="1204" t="s">
        <v>6006</v>
      </c>
      <c r="C67" s="1168">
        <v>1166218</v>
      </c>
      <c r="D67" s="1168">
        <v>1198621</v>
      </c>
    </row>
    <row r="68" spans="1:4">
      <c r="A68" s="1236">
        <v>57</v>
      </c>
      <c r="B68" s="1204" t="s">
        <v>6007</v>
      </c>
      <c r="C68" s="1168">
        <v>4358766</v>
      </c>
      <c r="D68" s="1168">
        <v>3392652</v>
      </c>
    </row>
    <row r="69" spans="1:4">
      <c r="A69" s="1236">
        <v>58</v>
      </c>
      <c r="B69" s="1257" t="s">
        <v>6008</v>
      </c>
      <c r="C69" s="1171">
        <f>SUM(C64:C68)</f>
        <v>6951788</v>
      </c>
      <c r="D69" s="1171">
        <f>SUM(D64:D68)</f>
        <v>5484966</v>
      </c>
    </row>
    <row r="70" spans="1:4">
      <c r="A70" s="1236">
        <v>59</v>
      </c>
      <c r="B70" s="1204" t="s">
        <v>6009</v>
      </c>
      <c r="C70" s="1187">
        <f>C61+C69</f>
        <v>13972625</v>
      </c>
      <c r="D70" s="1187">
        <f>D61+D69</f>
        <v>13011455</v>
      </c>
    </row>
    <row r="71" spans="1:4">
      <c r="A71" s="1292"/>
      <c r="B71" s="1292"/>
      <c r="C71" s="1292"/>
      <c r="D71" s="1292"/>
    </row>
    <row r="72" spans="1:4">
      <c r="A72" s="1395"/>
      <c r="B72" s="1395"/>
      <c r="C72" s="1395"/>
      <c r="D72" s="1395"/>
    </row>
    <row r="73" spans="1:4" ht="10.15" customHeight="1">
      <c r="A73" s="3943" t="s">
        <v>6010</v>
      </c>
      <c r="B73" s="3943"/>
      <c r="C73" s="3943"/>
      <c r="D73" s="3943"/>
    </row>
    <row r="74" spans="1:4" ht="10.15" customHeight="1">
      <c r="A74" s="3970" t="s">
        <v>6011</v>
      </c>
      <c r="B74" s="3971"/>
      <c r="C74" s="3971"/>
      <c r="D74" s="3972"/>
    </row>
    <row r="75" spans="1:4" ht="10.15" customHeight="1">
      <c r="A75" s="3945" t="s">
        <v>5954</v>
      </c>
      <c r="B75" s="4092"/>
      <c r="C75" s="4092"/>
      <c r="D75" s="4093"/>
    </row>
    <row r="76" spans="1:4" ht="22.5">
      <c r="A76" s="4095" t="s">
        <v>5282</v>
      </c>
      <c r="B76" s="1227" t="s">
        <v>96</v>
      </c>
      <c r="C76" s="1227" t="s">
        <v>6012</v>
      </c>
      <c r="D76" s="1227" t="s">
        <v>5956</v>
      </c>
    </row>
    <row r="77" spans="1:4">
      <c r="A77" s="4096"/>
      <c r="B77" s="1231" t="s">
        <v>4989</v>
      </c>
      <c r="C77" s="1231" t="s">
        <v>4990</v>
      </c>
      <c r="D77" s="1231" t="s">
        <v>4991</v>
      </c>
    </row>
    <row r="78" spans="1:4">
      <c r="A78" s="1236">
        <v>60</v>
      </c>
      <c r="B78" s="1204" t="s">
        <v>6013</v>
      </c>
      <c r="C78" s="4097"/>
      <c r="D78" s="4098"/>
    </row>
    <row r="79" spans="1:4">
      <c r="A79" s="1236">
        <v>61</v>
      </c>
      <c r="B79" s="1204" t="s">
        <v>436</v>
      </c>
      <c r="C79" s="4097"/>
      <c r="D79" s="4098"/>
    </row>
    <row r="80" spans="1:4">
      <c r="A80" s="1236">
        <v>62</v>
      </c>
      <c r="B80" s="1204" t="s">
        <v>6014</v>
      </c>
      <c r="C80" s="1168">
        <v>5015312</v>
      </c>
      <c r="D80" s="1168">
        <v>5767407</v>
      </c>
    </row>
    <row r="81" spans="1:5">
      <c r="A81" s="1236">
        <v>63</v>
      </c>
      <c r="B81" s="1257" t="s">
        <v>6015</v>
      </c>
      <c r="C81" s="1171">
        <v>396650165</v>
      </c>
      <c r="D81" s="1171">
        <v>290270276</v>
      </c>
    </row>
    <row r="82" spans="1:5">
      <c r="A82" s="1310" t="s">
        <v>5475</v>
      </c>
      <c r="B82" s="1204" t="s">
        <v>6016</v>
      </c>
      <c r="C82" s="1215">
        <v>17137575</v>
      </c>
      <c r="D82" s="1168">
        <v>14012624</v>
      </c>
    </row>
    <row r="83" spans="1:5">
      <c r="A83" s="1310" t="s">
        <v>6017</v>
      </c>
      <c r="B83" s="1204" t="s">
        <v>6018</v>
      </c>
      <c r="C83" s="1396"/>
      <c r="D83" s="1189"/>
    </row>
    <row r="84" spans="1:5">
      <c r="A84" s="1310" t="s">
        <v>5477</v>
      </c>
      <c r="B84" s="1204" t="s">
        <v>6019</v>
      </c>
      <c r="C84" s="1168">
        <v>4482527</v>
      </c>
      <c r="D84" s="1168">
        <v>4076263</v>
      </c>
    </row>
    <row r="85" spans="1:5">
      <c r="A85" s="1310" t="s">
        <v>5479</v>
      </c>
      <c r="B85" s="1204" t="s">
        <v>6020</v>
      </c>
      <c r="C85" s="1168">
        <v>6808104</v>
      </c>
      <c r="D85" s="1168">
        <v>6982021</v>
      </c>
    </row>
    <row r="86" spans="1:5">
      <c r="A86" s="1310" t="s">
        <v>5481</v>
      </c>
      <c r="B86" s="1257" t="s">
        <v>6021</v>
      </c>
      <c r="C86" s="1171">
        <f>SUM(C80:C85)</f>
        <v>430093683</v>
      </c>
      <c r="D86" s="1171">
        <f>SUM(D80:D85)</f>
        <v>321108591</v>
      </c>
    </row>
    <row r="87" spans="1:5">
      <c r="A87" s="1310" t="s">
        <v>5483</v>
      </c>
      <c r="B87" s="1204" t="s">
        <v>437</v>
      </c>
      <c r="C87" s="3977"/>
      <c r="D87" s="3979"/>
    </row>
    <row r="88" spans="1:5">
      <c r="A88" s="1310" t="s">
        <v>5485</v>
      </c>
      <c r="B88" s="1204" t="s">
        <v>6022</v>
      </c>
      <c r="C88" s="1168">
        <v>482613</v>
      </c>
      <c r="D88" s="1168">
        <v>395881</v>
      </c>
    </row>
    <row r="89" spans="1:5">
      <c r="A89" s="1310" t="s">
        <v>5487</v>
      </c>
      <c r="B89" s="1204" t="s">
        <v>6023</v>
      </c>
      <c r="C89" s="1168">
        <v>640722</v>
      </c>
      <c r="D89" s="1168">
        <v>744224</v>
      </c>
    </row>
    <row r="90" spans="1:5">
      <c r="A90" s="1310" t="s">
        <v>5489</v>
      </c>
      <c r="B90" s="1204" t="s">
        <v>6024</v>
      </c>
      <c r="C90" s="1215">
        <v>25160551</v>
      </c>
      <c r="D90" s="1168">
        <v>32559417</v>
      </c>
    </row>
    <row r="91" spans="1:5">
      <c r="A91" s="1310" t="s">
        <v>6025</v>
      </c>
      <c r="B91" s="1204" t="s">
        <v>6026</v>
      </c>
      <c r="C91" s="1396"/>
      <c r="D91" s="1189"/>
    </row>
    <row r="92" spans="1:5">
      <c r="A92" s="1310" t="s">
        <v>5491</v>
      </c>
      <c r="B92" s="1204" t="s">
        <v>6027</v>
      </c>
      <c r="C92" s="1168">
        <v>1372704</v>
      </c>
      <c r="D92" s="1168">
        <v>1249908</v>
      </c>
    </row>
    <row r="93" spans="1:5">
      <c r="A93" s="1310" t="s">
        <v>5493</v>
      </c>
      <c r="B93" s="1257" t="s">
        <v>6028</v>
      </c>
      <c r="C93" s="1171">
        <f>SUM(C88:C92)</f>
        <v>27656590</v>
      </c>
      <c r="D93" s="1171">
        <f>SUM(D88:D92)</f>
        <v>34949430</v>
      </c>
    </row>
    <row r="94" spans="1:5">
      <c r="A94" s="1310" t="s">
        <v>5495</v>
      </c>
      <c r="B94" s="1204" t="s">
        <v>6029</v>
      </c>
      <c r="C94" s="1187">
        <f>SUM(C86,C93)</f>
        <v>457750273</v>
      </c>
      <c r="D94" s="1187">
        <f>SUM(D86,D93)</f>
        <v>356058021</v>
      </c>
    </row>
    <row r="95" spans="1:5">
      <c r="A95" s="1310" t="s">
        <v>5497</v>
      </c>
      <c r="B95" s="1204" t="s">
        <v>6030</v>
      </c>
      <c r="C95" s="3977"/>
      <c r="D95" s="3979"/>
      <c r="E95" s="1397" t="s">
        <v>927</v>
      </c>
    </row>
    <row r="96" spans="1:5">
      <c r="A96" s="1310" t="s">
        <v>5499</v>
      </c>
      <c r="B96" s="1204" t="s">
        <v>6031</v>
      </c>
      <c r="C96" s="1168">
        <v>1008414381</v>
      </c>
      <c r="D96" s="1168">
        <v>1043007858</v>
      </c>
      <c r="E96" s="1398">
        <f>C96-'Sch 3 - Expenses'!G31-'FERC p326-327 Purchased Pwr 23'!N99</f>
        <v>-1</v>
      </c>
    </row>
    <row r="97" spans="1:4">
      <c r="A97" s="1310" t="s">
        <v>6032</v>
      </c>
      <c r="B97" s="1204" t="s">
        <v>6033</v>
      </c>
      <c r="C97" s="1189"/>
      <c r="D97" s="1189"/>
    </row>
    <row r="98" spans="1:4">
      <c r="A98" s="1310" t="s">
        <v>5501</v>
      </c>
      <c r="B98" s="1257" t="s">
        <v>6034</v>
      </c>
      <c r="C98" s="1171">
        <v>28612</v>
      </c>
      <c r="D98" s="1171">
        <v>28612</v>
      </c>
    </row>
    <row r="99" spans="1:4">
      <c r="A99" s="1310" t="s">
        <v>5503</v>
      </c>
      <c r="B99" s="1257" t="s">
        <v>6035</v>
      </c>
      <c r="C99" s="1171">
        <v>94142017</v>
      </c>
      <c r="D99" s="2655">
        <v>-11850062</v>
      </c>
    </row>
    <row r="100" spans="1:4">
      <c r="A100" s="1310" t="s">
        <v>5505</v>
      </c>
      <c r="B100" s="1204" t="s">
        <v>6036</v>
      </c>
      <c r="C100" s="1187">
        <f>SUM(C96:C99)</f>
        <v>1102585010</v>
      </c>
      <c r="D100" s="1216">
        <f>SUM(D96:D99)</f>
        <v>1031186408</v>
      </c>
    </row>
    <row r="101" spans="1:4">
      <c r="A101" s="1310" t="s">
        <v>5507</v>
      </c>
      <c r="B101" s="1204" t="s">
        <v>6037</v>
      </c>
      <c r="C101" s="1187">
        <f>C32+C52+C70+C94+C100</f>
        <v>1678287699</v>
      </c>
      <c r="D101" s="1187">
        <f>D32+D52+D70+D94+D100</f>
        <v>1495911944</v>
      </c>
    </row>
    <row r="102" spans="1:4">
      <c r="A102" s="1310" t="s">
        <v>5509</v>
      </c>
      <c r="B102" s="1204" t="s">
        <v>6038</v>
      </c>
      <c r="C102" s="4097"/>
      <c r="D102" s="4098"/>
    </row>
    <row r="103" spans="1:4">
      <c r="A103" s="1310" t="s">
        <v>5511</v>
      </c>
      <c r="B103" s="1204" t="s">
        <v>436</v>
      </c>
      <c r="C103" s="4097"/>
      <c r="D103" s="4098"/>
    </row>
    <row r="104" spans="1:4">
      <c r="A104" s="1310" t="s">
        <v>5513</v>
      </c>
      <c r="B104" s="1204" t="s">
        <v>6039</v>
      </c>
      <c r="C104" s="1168">
        <v>2765563</v>
      </c>
      <c r="D104" s="1168">
        <v>3459252</v>
      </c>
    </row>
    <row r="105" spans="1:4">
      <c r="A105" s="1310" t="s">
        <v>5515</v>
      </c>
      <c r="B105" s="1157"/>
      <c r="C105" s="3977"/>
      <c r="D105" s="3979"/>
    </row>
    <row r="106" spans="1:4">
      <c r="A106" s="1310" t="s">
        <v>5517</v>
      </c>
      <c r="B106" s="1204" t="s">
        <v>6040</v>
      </c>
      <c r="C106" s="1168">
        <v>44962</v>
      </c>
      <c r="D106" s="1168">
        <v>43541</v>
      </c>
    </row>
    <row r="107" spans="1:4">
      <c r="A107" s="1310" t="s">
        <v>5519</v>
      </c>
      <c r="B107" s="1204" t="s">
        <v>6041</v>
      </c>
      <c r="C107" s="1168">
        <v>2909347</v>
      </c>
      <c r="D107" s="1168">
        <v>2084722</v>
      </c>
    </row>
    <row r="108" spans="1:4">
      <c r="A108" s="1310" t="s">
        <v>5521</v>
      </c>
      <c r="B108" s="1204" t="s">
        <v>6042</v>
      </c>
      <c r="C108" s="1168">
        <v>1334024</v>
      </c>
      <c r="D108" s="1168">
        <v>941407</v>
      </c>
    </row>
    <row r="109" spans="1:4">
      <c r="A109" s="1310" t="s">
        <v>5523</v>
      </c>
      <c r="B109" s="1204" t="s">
        <v>6043</v>
      </c>
      <c r="C109" s="1189"/>
      <c r="D109" s="1168">
        <v>0</v>
      </c>
    </row>
    <row r="110" spans="1:4">
      <c r="A110" s="1310" t="s">
        <v>5525</v>
      </c>
      <c r="B110" s="1204" t="s">
        <v>6044</v>
      </c>
      <c r="C110" s="1168">
        <v>1901460</v>
      </c>
      <c r="D110" s="1168">
        <v>1835915</v>
      </c>
    </row>
    <row r="111" spans="1:4">
      <c r="A111" s="1310" t="s">
        <v>5527</v>
      </c>
      <c r="B111" s="1204" t="s">
        <v>6045</v>
      </c>
      <c r="C111" s="1157"/>
      <c r="D111" s="1168">
        <v>0</v>
      </c>
    </row>
    <row r="112" spans="1:4">
      <c r="A112" s="1310" t="s">
        <v>5529</v>
      </c>
      <c r="B112" s="1204" t="s">
        <v>6046</v>
      </c>
      <c r="C112" s="1168">
        <v>2675677</v>
      </c>
      <c r="D112" s="1168">
        <v>2476217</v>
      </c>
    </row>
    <row r="113" spans="1:4">
      <c r="A113" s="1329" t="s">
        <v>5531</v>
      </c>
      <c r="B113" s="1204" t="s">
        <v>6047</v>
      </c>
      <c r="C113" s="1168">
        <v>-1578768</v>
      </c>
      <c r="D113" s="1168">
        <v>66314</v>
      </c>
    </row>
    <row r="114" spans="1:4">
      <c r="A114" s="1310" t="s">
        <v>5533</v>
      </c>
      <c r="B114" s="1204" t="s">
        <v>6048</v>
      </c>
      <c r="C114" s="1168">
        <v>1383406</v>
      </c>
      <c r="D114" s="1168">
        <v>1288208</v>
      </c>
    </row>
    <row r="115" spans="1:4">
      <c r="A115" s="1310" t="s">
        <v>6049</v>
      </c>
      <c r="B115" s="1204" t="s">
        <v>6050</v>
      </c>
      <c r="C115" s="1189"/>
      <c r="D115" s="1189"/>
    </row>
    <row r="116" spans="1:4">
      <c r="A116" s="1310" t="s">
        <v>5535</v>
      </c>
      <c r="B116" s="1204" t="s">
        <v>6051</v>
      </c>
      <c r="C116" s="1168">
        <v>-1132150</v>
      </c>
      <c r="D116" s="1168">
        <v>390690</v>
      </c>
    </row>
    <row r="117" spans="1:4">
      <c r="A117" s="1310" t="s">
        <v>5537</v>
      </c>
      <c r="B117" s="1204" t="s">
        <v>6052</v>
      </c>
      <c r="C117" s="1157"/>
      <c r="D117" s="1168">
        <v>0</v>
      </c>
    </row>
    <row r="118" spans="1:4">
      <c r="A118" s="1310" t="s">
        <v>5539</v>
      </c>
      <c r="B118" s="1257" t="s">
        <v>6053</v>
      </c>
      <c r="C118" s="1171">
        <v>162583424</v>
      </c>
      <c r="D118" s="1171">
        <v>144916422</v>
      </c>
    </row>
    <row r="119" spans="1:4">
      <c r="A119" s="1310" t="s">
        <v>5541</v>
      </c>
      <c r="B119" s="1204" t="s">
        <v>6054</v>
      </c>
      <c r="C119" s="1168">
        <v>3668423</v>
      </c>
      <c r="D119" s="1168">
        <v>3305489</v>
      </c>
    </row>
    <row r="120" spans="1:4">
      <c r="A120" s="1310" t="s">
        <v>5543</v>
      </c>
      <c r="B120" s="1204" t="s">
        <v>6055</v>
      </c>
      <c r="C120" s="1168">
        <v>338210</v>
      </c>
      <c r="D120" s="1168">
        <v>398644</v>
      </c>
    </row>
    <row r="121" spans="1:4">
      <c r="A121" s="1310" t="s">
        <v>5545</v>
      </c>
      <c r="B121" s="1257" t="s">
        <v>6056</v>
      </c>
      <c r="C121" s="1171">
        <f>SUM(C104,C106:C120)</f>
        <v>176893578</v>
      </c>
      <c r="D121" s="1171">
        <f>SUM(D104,D106:D120)</f>
        <v>161206821</v>
      </c>
    </row>
    <row r="122" spans="1:4">
      <c r="A122" s="1310" t="s">
        <v>5547</v>
      </c>
      <c r="B122" s="1204" t="s">
        <v>437</v>
      </c>
      <c r="C122" s="3977"/>
      <c r="D122" s="3979"/>
    </row>
    <row r="123" spans="1:4">
      <c r="A123" s="1310" t="s">
        <v>5549</v>
      </c>
      <c r="B123" s="1204" t="s">
        <v>6057</v>
      </c>
      <c r="C123" s="1168">
        <v>107618</v>
      </c>
      <c r="D123" s="1168">
        <v>21613</v>
      </c>
    </row>
    <row r="124" spans="1:4">
      <c r="A124" s="1310" t="s">
        <v>5551</v>
      </c>
      <c r="B124" s="1204" t="s">
        <v>6058</v>
      </c>
      <c r="C124" s="1168">
        <v>5539</v>
      </c>
      <c r="D124" s="1168">
        <v>1205</v>
      </c>
    </row>
    <row r="125" spans="1:4">
      <c r="A125" s="1310" t="s">
        <v>5553</v>
      </c>
      <c r="B125" s="1204" t="s">
        <v>6059</v>
      </c>
      <c r="C125" s="1168">
        <v>0</v>
      </c>
      <c r="D125" s="1168">
        <v>41</v>
      </c>
    </row>
    <row r="126" spans="1:4">
      <c r="A126" s="1310" t="s">
        <v>5555</v>
      </c>
      <c r="B126" s="1204" t="s">
        <v>6060</v>
      </c>
      <c r="C126" s="1168">
        <v>70925</v>
      </c>
      <c r="D126" s="1168">
        <v>4470</v>
      </c>
    </row>
    <row r="127" spans="1:4">
      <c r="A127" s="1310" t="s">
        <v>6061</v>
      </c>
      <c r="B127" s="1204" t="s">
        <v>6062</v>
      </c>
      <c r="C127" s="1157"/>
      <c r="D127" s="1168">
        <v>0</v>
      </c>
    </row>
    <row r="128" spans="1:4">
      <c r="A128" s="1310" t="s">
        <v>6063</v>
      </c>
      <c r="B128" s="1204" t="s">
        <v>6064</v>
      </c>
      <c r="C128" s="1157"/>
      <c r="D128" s="1168">
        <v>0</v>
      </c>
    </row>
    <row r="129" spans="1:4">
      <c r="A129" s="1310" t="s">
        <v>6065</v>
      </c>
      <c r="B129" s="1204" t="s">
        <v>6066</v>
      </c>
      <c r="C129" s="1168">
        <v>2840823</v>
      </c>
      <c r="D129" s="1168">
        <v>2371329</v>
      </c>
    </row>
    <row r="130" spans="1:4">
      <c r="A130" s="1310" t="s">
        <v>6067</v>
      </c>
      <c r="B130" s="1204" t="s">
        <v>6068</v>
      </c>
      <c r="C130" s="1189"/>
      <c r="D130" s="1189"/>
    </row>
    <row r="131" spans="1:4">
      <c r="A131" s="1236">
        <v>108</v>
      </c>
      <c r="B131" s="1204" t="s">
        <v>6069</v>
      </c>
      <c r="C131" s="1168">
        <v>8808122</v>
      </c>
      <c r="D131" s="1168">
        <v>7339307</v>
      </c>
    </row>
    <row r="132" spans="1:4">
      <c r="A132" s="1236">
        <v>109</v>
      </c>
      <c r="B132" s="1204" t="s">
        <v>6070</v>
      </c>
      <c r="C132" s="1157"/>
      <c r="D132" s="1168">
        <v>0</v>
      </c>
    </row>
    <row r="133" spans="1:4">
      <c r="A133" s="1236">
        <v>110</v>
      </c>
      <c r="B133" s="1204" t="s">
        <v>6071</v>
      </c>
      <c r="C133" s="1168">
        <v>76874</v>
      </c>
      <c r="D133" s="1168">
        <v>100742</v>
      </c>
    </row>
    <row r="134" spans="1:4">
      <c r="A134" s="1236">
        <v>111</v>
      </c>
      <c r="B134" s="1257" t="s">
        <v>6072</v>
      </c>
      <c r="C134" s="1171">
        <f>SUM(C123:C133)</f>
        <v>11909901</v>
      </c>
      <c r="D134" s="1171">
        <f>SUM(D123:D133)</f>
        <v>9838707</v>
      </c>
    </row>
    <row r="135" spans="1:4">
      <c r="A135" s="1236">
        <v>112</v>
      </c>
      <c r="B135" s="1257" t="s">
        <v>6073</v>
      </c>
      <c r="C135" s="1171">
        <f>SUM(C121,C134)</f>
        <v>188803479</v>
      </c>
      <c r="D135" s="1171">
        <f>SUM(D121,D134)</f>
        <v>171045528</v>
      </c>
    </row>
    <row r="136" spans="1:4">
      <c r="A136" s="1157"/>
      <c r="B136" s="1157"/>
      <c r="C136" s="1157"/>
      <c r="D136" s="1157"/>
    </row>
    <row r="137" spans="1:4">
      <c r="A137" s="1214"/>
      <c r="B137" s="1214"/>
      <c r="C137" s="1214"/>
      <c r="D137" s="1214"/>
    </row>
    <row r="138" spans="1:4" ht="10.15" customHeight="1">
      <c r="A138" s="3957" t="s">
        <v>6074</v>
      </c>
      <c r="B138" s="3958"/>
      <c r="C138" s="3958"/>
      <c r="D138" s="3959"/>
    </row>
    <row r="139" spans="1:4" ht="10.15" customHeight="1">
      <c r="A139" s="3970" t="s">
        <v>6011</v>
      </c>
      <c r="B139" s="3971"/>
      <c r="C139" s="3971"/>
      <c r="D139" s="3972"/>
    </row>
    <row r="140" spans="1:4" ht="10.15" customHeight="1">
      <c r="A140" s="3945" t="s">
        <v>5954</v>
      </c>
      <c r="B140" s="4092"/>
      <c r="C140" s="4092"/>
      <c r="D140" s="4093"/>
    </row>
    <row r="141" spans="1:4" ht="22.5">
      <c r="A141" s="4095" t="s">
        <v>5282</v>
      </c>
      <c r="B141" s="1227" t="s">
        <v>547</v>
      </c>
      <c r="C141" s="1227" t="s">
        <v>6012</v>
      </c>
      <c r="D141" s="1227" t="s">
        <v>5956</v>
      </c>
    </row>
    <row r="142" spans="1:4">
      <c r="A142" s="4096"/>
      <c r="B142" s="1231" t="s">
        <v>4989</v>
      </c>
      <c r="C142" s="1231" t="s">
        <v>4990</v>
      </c>
      <c r="D142" s="1231" t="s">
        <v>4991</v>
      </c>
    </row>
    <row r="143" spans="1:4">
      <c r="A143" s="1236">
        <v>113</v>
      </c>
      <c r="B143" s="1204" t="s">
        <v>6075</v>
      </c>
      <c r="C143" s="3977"/>
      <c r="D143" s="3979"/>
    </row>
    <row r="144" spans="1:4">
      <c r="A144" s="1236">
        <v>114</v>
      </c>
      <c r="B144" s="1204" t="s">
        <v>436</v>
      </c>
      <c r="C144" s="3977"/>
      <c r="D144" s="3979"/>
    </row>
    <row r="145" spans="1:4">
      <c r="A145" s="1236">
        <v>115</v>
      </c>
      <c r="B145" s="1204" t="s">
        <v>6076</v>
      </c>
      <c r="C145" s="1189"/>
      <c r="D145" s="1168">
        <f t="shared" ref="D145:D152" si="1">SUMIFS($J145:$XFD145,$J$11:$XFD$11,$G$11)</f>
        <v>0</v>
      </c>
    </row>
    <row r="146" spans="1:4">
      <c r="A146" s="1236">
        <v>116</v>
      </c>
      <c r="B146" s="1204" t="s">
        <v>6077</v>
      </c>
      <c r="C146" s="1189"/>
      <c r="D146" s="1168">
        <f t="shared" si="1"/>
        <v>0</v>
      </c>
    </row>
    <row r="147" spans="1:4">
      <c r="A147" s="1236">
        <v>117</v>
      </c>
      <c r="B147" s="1204" t="s">
        <v>6078</v>
      </c>
      <c r="C147" s="1189"/>
      <c r="D147" s="1168">
        <f t="shared" si="1"/>
        <v>0</v>
      </c>
    </row>
    <row r="148" spans="1:4">
      <c r="A148" s="1236">
        <v>118</v>
      </c>
      <c r="B148" s="1204" t="s">
        <v>6079</v>
      </c>
      <c r="C148" s="1189"/>
      <c r="D148" s="1168">
        <f t="shared" si="1"/>
        <v>0</v>
      </c>
    </row>
    <row r="149" spans="1:4">
      <c r="A149" s="1236">
        <v>119</v>
      </c>
      <c r="B149" s="1204" t="s">
        <v>6080</v>
      </c>
      <c r="C149" s="1189"/>
      <c r="D149" s="1168">
        <f t="shared" si="1"/>
        <v>0</v>
      </c>
    </row>
    <row r="150" spans="1:4">
      <c r="A150" s="1236">
        <v>120</v>
      </c>
      <c r="B150" s="1204" t="s">
        <v>6081</v>
      </c>
      <c r="C150" s="1189"/>
      <c r="D150" s="1168">
        <f t="shared" si="1"/>
        <v>0</v>
      </c>
    </row>
    <row r="151" spans="1:4">
      <c r="A151" s="1236">
        <v>121</v>
      </c>
      <c r="B151" s="1204" t="s">
        <v>6082</v>
      </c>
      <c r="C151" s="1189"/>
      <c r="D151" s="1168">
        <f t="shared" si="1"/>
        <v>0</v>
      </c>
    </row>
    <row r="152" spans="1:4">
      <c r="A152" s="1236">
        <v>122</v>
      </c>
      <c r="B152" s="1204" t="s">
        <v>6083</v>
      </c>
      <c r="C152" s="1189"/>
      <c r="D152" s="1168">
        <f t="shared" si="1"/>
        <v>0</v>
      </c>
    </row>
    <row r="153" spans="1:4">
      <c r="A153" s="1236">
        <v>123</v>
      </c>
      <c r="B153" s="1204" t="s">
        <v>6084</v>
      </c>
      <c r="C153" s="1187">
        <f>SUM(C145:C152)</f>
        <v>0</v>
      </c>
      <c r="D153" s="1187">
        <f>SUM(D145:D152)</f>
        <v>0</v>
      </c>
    </row>
    <row r="154" spans="1:4">
      <c r="A154" s="1236">
        <v>124</v>
      </c>
      <c r="B154" s="1204" t="s">
        <v>437</v>
      </c>
      <c r="C154" s="3977"/>
      <c r="D154" s="3979"/>
    </row>
    <row r="155" spans="1:4">
      <c r="A155" s="1236">
        <v>125</v>
      </c>
      <c r="B155" s="1204" t="s">
        <v>6085</v>
      </c>
      <c r="C155" s="1189"/>
      <c r="D155" s="1168">
        <f>SUMIFS($J155:$XFD155,$J$11:$XFD$11,$G$11)</f>
        <v>0</v>
      </c>
    </row>
    <row r="156" spans="1:4">
      <c r="A156" s="1236">
        <v>126</v>
      </c>
      <c r="B156" s="1204" t="s">
        <v>6086</v>
      </c>
      <c r="C156" s="1189"/>
      <c r="D156" s="1168">
        <f>SUMIFS($J156:$XFD156,$J$11:$XFD$11,$G$11)</f>
        <v>0</v>
      </c>
    </row>
    <row r="157" spans="1:4">
      <c r="A157" s="1236">
        <v>127</v>
      </c>
      <c r="B157" s="1204" t="s">
        <v>6087</v>
      </c>
      <c r="C157" s="1189"/>
      <c r="D157" s="1168">
        <f>SUMIFS($J157:$XFD157,$J$11:$XFD$11,$G$11)</f>
        <v>0</v>
      </c>
    </row>
    <row r="158" spans="1:4">
      <c r="A158" s="1236">
        <v>128</v>
      </c>
      <c r="B158" s="1204" t="s">
        <v>6088</v>
      </c>
      <c r="C158" s="1189"/>
      <c r="D158" s="1168">
        <f>SUMIFS($J158:$XFD158,$J$11:$XFD$11,$G$11)</f>
        <v>0</v>
      </c>
    </row>
    <row r="159" spans="1:4">
      <c r="A159" s="1236">
        <v>129</v>
      </c>
      <c r="B159" s="1204" t="s">
        <v>6089</v>
      </c>
      <c r="C159" s="1189"/>
      <c r="D159" s="1168">
        <f>SUMIFS($J159:$XFD159,$J$11:$XFD$11,$G$11)</f>
        <v>0</v>
      </c>
    </row>
    <row r="160" spans="1:4">
      <c r="A160" s="1236">
        <v>130</v>
      </c>
      <c r="B160" s="1204" t="s">
        <v>6090</v>
      </c>
      <c r="C160" s="1187">
        <f>SUM(C155:C159)</f>
        <v>0</v>
      </c>
      <c r="D160" s="1187">
        <f>SUM(D155:D159)</f>
        <v>0</v>
      </c>
    </row>
    <row r="161" spans="1:4">
      <c r="A161" s="1236">
        <v>131</v>
      </c>
      <c r="B161" s="1204" t="s">
        <v>6091</v>
      </c>
      <c r="C161" s="1187">
        <f>C153+C160</f>
        <v>0</v>
      </c>
      <c r="D161" s="1187">
        <f>D153+D160</f>
        <v>0</v>
      </c>
    </row>
    <row r="162" spans="1:4">
      <c r="A162" s="1236">
        <v>132</v>
      </c>
      <c r="B162" s="1204" t="s">
        <v>6092</v>
      </c>
      <c r="C162" s="3977"/>
      <c r="D162" s="3979"/>
    </row>
    <row r="163" spans="1:4">
      <c r="A163" s="1236">
        <v>133</v>
      </c>
      <c r="B163" s="1204" t="s">
        <v>436</v>
      </c>
      <c r="C163" s="3977"/>
      <c r="D163" s="3979"/>
    </row>
    <row r="164" spans="1:4">
      <c r="A164" s="1236">
        <v>134</v>
      </c>
      <c r="B164" s="1204" t="s">
        <v>6093</v>
      </c>
      <c r="C164" s="1168">
        <v>2634172</v>
      </c>
      <c r="D164" s="1168">
        <v>3845379</v>
      </c>
    </row>
    <row r="165" spans="1:4">
      <c r="A165" s="1236">
        <v>135</v>
      </c>
      <c r="B165" s="1204" t="s">
        <v>6094</v>
      </c>
      <c r="C165" s="1168">
        <v>1544259</v>
      </c>
      <c r="D165" s="1168">
        <v>1233905</v>
      </c>
    </row>
    <row r="166" spans="1:4">
      <c r="A166" s="1236">
        <v>136</v>
      </c>
      <c r="B166" s="1204" t="s">
        <v>6095</v>
      </c>
      <c r="C166" s="1168">
        <v>2448778</v>
      </c>
      <c r="D166" s="1168">
        <v>2046281</v>
      </c>
    </row>
    <row r="167" spans="1:4">
      <c r="A167" s="1236">
        <v>137</v>
      </c>
      <c r="B167" s="1204" t="s">
        <v>6096</v>
      </c>
      <c r="C167" s="1168">
        <v>6167558</v>
      </c>
      <c r="D167" s="1168">
        <v>4788508</v>
      </c>
    </row>
    <row r="168" spans="1:4">
      <c r="A168" s="1310" t="s">
        <v>6097</v>
      </c>
      <c r="B168" s="1204" t="s">
        <v>6098</v>
      </c>
      <c r="C168" s="1168">
        <v>6079282</v>
      </c>
      <c r="D168" s="1168">
        <v>5860854</v>
      </c>
    </row>
    <row r="169" spans="1:4">
      <c r="A169" s="1310" t="s">
        <v>6099</v>
      </c>
      <c r="B169" s="1204" t="s">
        <v>6100</v>
      </c>
      <c r="C169" s="1189"/>
      <c r="D169" s="1189"/>
    </row>
    <row r="170" spans="1:4">
      <c r="A170" s="1310" t="s">
        <v>6101</v>
      </c>
      <c r="B170" s="1204" t="s">
        <v>6102</v>
      </c>
      <c r="C170" s="1157"/>
      <c r="D170" s="1168">
        <v>0</v>
      </c>
    </row>
    <row r="171" spans="1:4">
      <c r="A171" s="1310" t="s">
        <v>6103</v>
      </c>
      <c r="B171" s="1204" t="s">
        <v>6104</v>
      </c>
      <c r="C171" s="1168">
        <v>4258764</v>
      </c>
      <c r="D171" s="1168">
        <v>3538416</v>
      </c>
    </row>
    <row r="172" spans="1:4">
      <c r="A172" s="1310" t="s">
        <v>6105</v>
      </c>
      <c r="B172" s="1204" t="s">
        <v>6106</v>
      </c>
      <c r="C172" s="1168">
        <v>6343306</v>
      </c>
      <c r="D172" s="1168">
        <v>5698726</v>
      </c>
    </row>
    <row r="173" spans="1:4">
      <c r="A173" s="1310" t="s">
        <v>6107</v>
      </c>
      <c r="B173" s="1204" t="s">
        <v>6108</v>
      </c>
      <c r="C173" s="1168">
        <v>13730791</v>
      </c>
      <c r="D173" s="1168">
        <v>10714945</v>
      </c>
    </row>
    <row r="174" spans="1:4">
      <c r="A174" s="1310" t="s">
        <v>6109</v>
      </c>
      <c r="B174" s="1204" t="s">
        <v>6110</v>
      </c>
      <c r="C174" s="1168">
        <v>1382349</v>
      </c>
      <c r="D174" s="1168">
        <v>1450313</v>
      </c>
    </row>
    <row r="175" spans="1:4">
      <c r="A175" s="1310" t="s">
        <v>6111</v>
      </c>
      <c r="B175" s="1257" t="s">
        <v>6112</v>
      </c>
      <c r="C175" s="1171">
        <f>SUM(C164:C174)</f>
        <v>44589259</v>
      </c>
      <c r="D175" s="1171">
        <f>SUM(D164:D174)</f>
        <v>39177327</v>
      </c>
    </row>
    <row r="176" spans="1:4">
      <c r="A176" s="1310" t="s">
        <v>6113</v>
      </c>
      <c r="B176" s="1204" t="s">
        <v>437</v>
      </c>
      <c r="C176" s="3977"/>
      <c r="D176" s="3979"/>
    </row>
    <row r="177" spans="1:4">
      <c r="A177" s="1329" t="s">
        <v>6114</v>
      </c>
      <c r="B177" s="1204" t="s">
        <v>6115</v>
      </c>
      <c r="C177" s="1168">
        <v>167637</v>
      </c>
      <c r="D177" s="1168">
        <v>136537</v>
      </c>
    </row>
    <row r="178" spans="1:4">
      <c r="A178" s="1310" t="s">
        <v>6116</v>
      </c>
      <c r="B178" s="1204" t="s">
        <v>6117</v>
      </c>
      <c r="C178" s="1157"/>
      <c r="D178" s="1168">
        <v>0</v>
      </c>
    </row>
    <row r="179" spans="1:4">
      <c r="A179" s="1310" t="s">
        <v>6118</v>
      </c>
      <c r="B179" s="1204" t="s">
        <v>6119</v>
      </c>
      <c r="C179" s="1168">
        <v>1750921</v>
      </c>
      <c r="D179" s="1168">
        <v>2071574</v>
      </c>
    </row>
    <row r="180" spans="1:4">
      <c r="A180" s="1310" t="s">
        <v>6120</v>
      </c>
      <c r="B180" s="1204" t="s">
        <v>6121</v>
      </c>
      <c r="C180" s="1189"/>
      <c r="D180" s="1189"/>
    </row>
    <row r="181" spans="1:4">
      <c r="A181" s="1236">
        <v>149</v>
      </c>
      <c r="B181" s="1204" t="s">
        <v>6122</v>
      </c>
      <c r="C181" s="1168">
        <v>40799400</v>
      </c>
      <c r="D181" s="1168">
        <v>40470707</v>
      </c>
    </row>
    <row r="182" spans="1:4">
      <c r="A182" s="1236">
        <v>150</v>
      </c>
      <c r="B182" s="1204" t="s">
        <v>6123</v>
      </c>
      <c r="C182" s="1168">
        <v>16272732</v>
      </c>
      <c r="D182" s="1168">
        <v>13977521</v>
      </c>
    </row>
    <row r="183" spans="1:4">
      <c r="A183" s="1236">
        <v>151</v>
      </c>
      <c r="B183" s="1204" t="s">
        <v>6124</v>
      </c>
      <c r="C183" s="1168">
        <v>177127</v>
      </c>
      <c r="D183" s="1168">
        <v>724550</v>
      </c>
    </row>
    <row r="184" spans="1:4">
      <c r="A184" s="1236">
        <v>152</v>
      </c>
      <c r="B184" s="1204" t="s">
        <v>6125</v>
      </c>
      <c r="C184" s="1168">
        <v>4000597</v>
      </c>
      <c r="D184" s="1168">
        <v>2984435</v>
      </c>
    </row>
    <row r="185" spans="1:4">
      <c r="A185" s="1236">
        <v>153</v>
      </c>
      <c r="B185" s="1204" t="s">
        <v>6126</v>
      </c>
      <c r="C185" s="1168">
        <v>889059</v>
      </c>
      <c r="D185" s="1168">
        <v>720967</v>
      </c>
    </row>
    <row r="186" spans="1:4">
      <c r="A186" s="1236">
        <v>154</v>
      </c>
      <c r="B186" s="1204" t="s">
        <v>6127</v>
      </c>
      <c r="C186" s="1189"/>
      <c r="D186" s="1168">
        <v>0</v>
      </c>
    </row>
    <row r="187" spans="1:4">
      <c r="A187" s="1236">
        <v>155</v>
      </c>
      <c r="B187" s="1257" t="s">
        <v>6128</v>
      </c>
      <c r="C187" s="1171">
        <f>SUM(C177:C186)</f>
        <v>64057473</v>
      </c>
      <c r="D187" s="1171">
        <f>SUM(D177:D186)</f>
        <v>61086291</v>
      </c>
    </row>
    <row r="188" spans="1:4">
      <c r="A188" s="1236">
        <v>156</v>
      </c>
      <c r="B188" s="1257" t="s">
        <v>6129</v>
      </c>
      <c r="C188" s="1171">
        <f>SUM(C175,C187)</f>
        <v>108646732</v>
      </c>
      <c r="D188" s="1171">
        <f>SUM(D175,D187)</f>
        <v>100263618</v>
      </c>
    </row>
    <row r="189" spans="1:4">
      <c r="A189" s="1236">
        <v>157</v>
      </c>
      <c r="B189" s="1204" t="s">
        <v>6130</v>
      </c>
      <c r="C189" s="3977"/>
      <c r="D189" s="3979"/>
    </row>
    <row r="190" spans="1:4">
      <c r="A190" s="1236">
        <v>158</v>
      </c>
      <c r="B190" s="1204" t="s">
        <v>436</v>
      </c>
      <c r="C190" s="3977"/>
      <c r="D190" s="3979"/>
    </row>
    <row r="191" spans="1:4">
      <c r="A191" s="1236">
        <v>159</v>
      </c>
      <c r="B191" s="1204" t="s">
        <v>6131</v>
      </c>
      <c r="C191" s="1168">
        <v>179971</v>
      </c>
      <c r="D191" s="1168">
        <v>123215</v>
      </c>
    </row>
    <row r="192" spans="1:4">
      <c r="A192" s="1236">
        <v>160</v>
      </c>
      <c r="B192" s="1204" t="s">
        <v>6132</v>
      </c>
      <c r="C192" s="1168">
        <v>12674729</v>
      </c>
      <c r="D192" s="1168">
        <v>12142113</v>
      </c>
    </row>
    <row r="193" spans="1:4">
      <c r="A193" s="1236">
        <v>161</v>
      </c>
      <c r="B193" s="1204" t="s">
        <v>6133</v>
      </c>
      <c r="C193" s="1168">
        <v>28438912</v>
      </c>
      <c r="D193" s="1168">
        <v>24224347</v>
      </c>
    </row>
    <row r="194" spans="1:4">
      <c r="A194" s="1236">
        <v>162</v>
      </c>
      <c r="B194" s="1204" t="s">
        <v>6134</v>
      </c>
      <c r="C194" s="1168">
        <v>18488205</v>
      </c>
      <c r="D194" s="1168">
        <v>18549268</v>
      </c>
    </row>
    <row r="195" spans="1:4">
      <c r="A195" s="1236">
        <v>163</v>
      </c>
      <c r="B195" s="1204" t="s">
        <v>6135</v>
      </c>
      <c r="C195" s="1189">
        <v>188225</v>
      </c>
      <c r="D195" s="1168">
        <v>0</v>
      </c>
    </row>
    <row r="196" spans="1:4">
      <c r="A196" s="1236">
        <v>164</v>
      </c>
      <c r="B196" s="1257" t="s">
        <v>6136</v>
      </c>
      <c r="C196" s="1171">
        <f>SUM(C191:C195)</f>
        <v>59970042</v>
      </c>
      <c r="D196" s="1171">
        <f>SUM(D191:D195)</f>
        <v>55038943</v>
      </c>
    </row>
    <row r="197" spans="1:4">
      <c r="A197" s="1157"/>
      <c r="B197" s="1157"/>
      <c r="C197" s="1157"/>
      <c r="D197" s="1157"/>
    </row>
    <row r="198" spans="1:4">
      <c r="A198" s="1214"/>
      <c r="B198" s="1214"/>
      <c r="C198" s="1214"/>
      <c r="D198" s="1214"/>
    </row>
    <row r="199" spans="1:4" ht="10.15" customHeight="1">
      <c r="A199" s="3957" t="s">
        <v>6137</v>
      </c>
      <c r="B199" s="3958"/>
      <c r="C199" s="3958"/>
      <c r="D199" s="3959"/>
    </row>
    <row r="200" spans="1:4" ht="10.15" customHeight="1">
      <c r="A200" s="3970" t="s">
        <v>6011</v>
      </c>
      <c r="B200" s="3971"/>
      <c r="C200" s="3971"/>
      <c r="D200" s="3972"/>
    </row>
    <row r="201" spans="1:4" ht="10.15" customHeight="1">
      <c r="A201" s="3945" t="s">
        <v>5954</v>
      </c>
      <c r="B201" s="4092"/>
      <c r="C201" s="4092"/>
      <c r="D201" s="4093"/>
    </row>
    <row r="202" spans="1:4" ht="22.5">
      <c r="A202" s="4095" t="s">
        <v>5282</v>
      </c>
      <c r="B202" s="1227" t="s">
        <v>547</v>
      </c>
      <c r="C202" s="1227" t="s">
        <v>6012</v>
      </c>
      <c r="D202" s="1227" t="s">
        <v>5956</v>
      </c>
    </row>
    <row r="203" spans="1:4">
      <c r="A203" s="4096"/>
      <c r="B203" s="1231" t="s">
        <v>4989</v>
      </c>
      <c r="C203" s="1231" t="s">
        <v>4990</v>
      </c>
      <c r="D203" s="1231" t="s">
        <v>4991</v>
      </c>
    </row>
    <row r="204" spans="1:4">
      <c r="A204" s="1399">
        <v>165</v>
      </c>
      <c r="B204" s="1204" t="s">
        <v>6138</v>
      </c>
      <c r="C204" s="4099"/>
      <c r="D204" s="4100"/>
    </row>
    <row r="205" spans="1:4">
      <c r="A205" s="1399">
        <v>166</v>
      </c>
      <c r="B205" s="1204" t="s">
        <v>436</v>
      </c>
      <c r="C205" s="4099"/>
      <c r="D205" s="4100"/>
    </row>
    <row r="206" spans="1:4">
      <c r="A206" s="1399">
        <v>167</v>
      </c>
      <c r="B206" s="1257" t="s">
        <v>6139</v>
      </c>
      <c r="C206" s="1258"/>
      <c r="D206" s="1171">
        <v>0</v>
      </c>
    </row>
    <row r="207" spans="1:4">
      <c r="A207" s="1399">
        <v>168</v>
      </c>
      <c r="B207" s="1257" t="s">
        <v>6140</v>
      </c>
      <c r="C207" s="1171">
        <v>144569269</v>
      </c>
      <c r="D207" s="1171">
        <v>132966770</v>
      </c>
    </row>
    <row r="208" spans="1:4">
      <c r="A208" s="1399">
        <v>169</v>
      </c>
      <c r="B208" s="1257" t="s">
        <v>6141</v>
      </c>
      <c r="C208" s="1171">
        <v>2499407</v>
      </c>
      <c r="D208" s="1171">
        <v>1882235</v>
      </c>
    </row>
    <row r="209" spans="1:4">
      <c r="A209" s="1399">
        <v>170</v>
      </c>
      <c r="B209" s="1257" t="s">
        <v>6142</v>
      </c>
      <c r="C209" s="1169">
        <v>219</v>
      </c>
      <c r="D209" s="1171">
        <v>0</v>
      </c>
    </row>
    <row r="210" spans="1:4">
      <c r="A210" s="1399">
        <v>171</v>
      </c>
      <c r="B210" s="1257" t="s">
        <v>6143</v>
      </c>
      <c r="C210" s="2655">
        <f>SUM(C206:C209)</f>
        <v>147068895</v>
      </c>
      <c r="D210" s="1171">
        <f>SUM(D206:D209)</f>
        <v>134849005</v>
      </c>
    </row>
    <row r="211" spans="1:4">
      <c r="A211" s="1399">
        <v>172</v>
      </c>
      <c r="B211" s="1204" t="s">
        <v>6144</v>
      </c>
      <c r="C211" s="4103"/>
      <c r="D211" s="4100"/>
    </row>
    <row r="212" spans="1:4">
      <c r="A212" s="1399">
        <v>173</v>
      </c>
      <c r="B212" s="1204" t="s">
        <v>436</v>
      </c>
      <c r="C212" s="4099"/>
      <c r="D212" s="4100"/>
    </row>
    <row r="213" spans="1:4">
      <c r="A213" s="1399">
        <v>174</v>
      </c>
      <c r="B213" s="1204" t="s">
        <v>6145</v>
      </c>
      <c r="C213" s="1189"/>
      <c r="D213" s="1168">
        <v>0</v>
      </c>
    </row>
    <row r="214" spans="1:4">
      <c r="A214" s="1399">
        <v>175</v>
      </c>
      <c r="B214" s="1204" t="s">
        <v>6146</v>
      </c>
      <c r="C214" s="1168">
        <v>1231798</v>
      </c>
      <c r="D214" s="1168">
        <v>969613</v>
      </c>
    </row>
    <row r="215" spans="1:4">
      <c r="A215" s="1399">
        <v>176</v>
      </c>
      <c r="B215" s="1204" t="s">
        <v>6147</v>
      </c>
      <c r="C215" s="1189"/>
      <c r="D215" s="1168">
        <v>0</v>
      </c>
    </row>
    <row r="216" spans="1:4">
      <c r="A216" s="1399">
        <v>177</v>
      </c>
      <c r="B216" s="1204" t="s">
        <v>6148</v>
      </c>
      <c r="C216" s="1189"/>
      <c r="D216" s="1168">
        <v>0</v>
      </c>
    </row>
    <row r="217" spans="1:4">
      <c r="A217" s="1399">
        <v>178</v>
      </c>
      <c r="B217" s="1257" t="s">
        <v>6149</v>
      </c>
      <c r="C217" s="1171">
        <f>SUM(C213:C216)</f>
        <v>1231798</v>
      </c>
      <c r="D217" s="1171">
        <f>SUM(D213:D216)</f>
        <v>969613</v>
      </c>
    </row>
    <row r="218" spans="1:4">
      <c r="A218" s="1399">
        <v>179</v>
      </c>
      <c r="B218" s="1204" t="s">
        <v>6150</v>
      </c>
      <c r="C218" s="4099"/>
      <c r="D218" s="4100"/>
    </row>
    <row r="219" spans="1:4">
      <c r="A219" s="1399">
        <v>180</v>
      </c>
      <c r="B219" s="1204" t="s">
        <v>436</v>
      </c>
      <c r="C219" s="4099"/>
      <c r="D219" s="4100"/>
    </row>
    <row r="220" spans="1:4">
      <c r="A220" s="1399">
        <v>181</v>
      </c>
      <c r="B220" s="1257" t="s">
        <v>6151</v>
      </c>
      <c r="C220" s="1171">
        <v>78570677</v>
      </c>
      <c r="D220" s="1171">
        <v>69794998</v>
      </c>
    </row>
    <row r="221" spans="1:4">
      <c r="A221" s="1399">
        <v>182</v>
      </c>
      <c r="B221" s="1257" t="s">
        <v>6152</v>
      </c>
      <c r="C221" s="1171">
        <v>7463412</v>
      </c>
      <c r="D221" s="1171">
        <v>5878079</v>
      </c>
    </row>
    <row r="222" spans="1:4">
      <c r="A222" s="1399">
        <v>183</v>
      </c>
      <c r="B222" s="1257" t="s">
        <v>6153</v>
      </c>
      <c r="C222" s="1171">
        <v>32365661</v>
      </c>
      <c r="D222" s="1171">
        <v>27808615</v>
      </c>
    </row>
    <row r="223" spans="1:4">
      <c r="A223" s="1399">
        <v>184</v>
      </c>
      <c r="B223" s="1257" t="s">
        <v>6154</v>
      </c>
      <c r="C223" s="1171">
        <v>20765085</v>
      </c>
      <c r="D223" s="1171">
        <v>16764046</v>
      </c>
    </row>
    <row r="224" spans="1:4">
      <c r="A224" s="1399">
        <v>185</v>
      </c>
      <c r="B224" s="1257" t="s">
        <v>6155</v>
      </c>
      <c r="C224" s="1171">
        <v>6318020</v>
      </c>
      <c r="D224" s="1171">
        <v>6082479</v>
      </c>
    </row>
    <row r="225" spans="1:4">
      <c r="A225" s="1399">
        <v>186</v>
      </c>
      <c r="B225" s="1257" t="s">
        <v>6156</v>
      </c>
      <c r="C225" s="1171">
        <v>8919311</v>
      </c>
      <c r="D225" s="1171">
        <v>5217662</v>
      </c>
    </row>
    <row r="226" spans="1:4">
      <c r="A226" s="1399">
        <v>187</v>
      </c>
      <c r="B226" s="1257" t="s">
        <v>6157</v>
      </c>
      <c r="C226" s="1171">
        <v>28392494</v>
      </c>
      <c r="D226" s="1171">
        <v>30682128</v>
      </c>
    </row>
    <row r="227" spans="1:4">
      <c r="A227" s="1399">
        <v>188</v>
      </c>
      <c r="B227" s="1257" t="s">
        <v>6158</v>
      </c>
      <c r="C227" s="1258"/>
      <c r="D227" s="1171">
        <v>0</v>
      </c>
    </row>
    <row r="228" spans="1:4">
      <c r="A228" s="1399">
        <v>189</v>
      </c>
      <c r="B228" s="1257" t="s">
        <v>6159</v>
      </c>
      <c r="C228" s="1171">
        <v>16043545</v>
      </c>
      <c r="D228" s="1171">
        <v>18424521</v>
      </c>
    </row>
    <row r="229" spans="1:4">
      <c r="A229" s="1399">
        <v>190</v>
      </c>
      <c r="B229" s="1257" t="s">
        <v>6160</v>
      </c>
      <c r="C229" s="1258"/>
      <c r="D229" s="1171">
        <v>0</v>
      </c>
    </row>
    <row r="230" spans="1:4">
      <c r="A230" s="1399">
        <v>191</v>
      </c>
      <c r="B230" s="1257" t="s">
        <v>6161</v>
      </c>
      <c r="C230" s="1171">
        <v>56129</v>
      </c>
      <c r="D230" s="1171">
        <v>55714</v>
      </c>
    </row>
    <row r="231" spans="1:4">
      <c r="A231" s="1399">
        <v>192</v>
      </c>
      <c r="B231" s="1257" t="s">
        <v>6162</v>
      </c>
      <c r="C231" s="1171">
        <v>9187393</v>
      </c>
      <c r="D231" s="1171">
        <v>7615337</v>
      </c>
    </row>
    <row r="232" spans="1:4">
      <c r="A232" s="1399">
        <v>193</v>
      </c>
      <c r="B232" s="1257" t="s">
        <v>6163</v>
      </c>
      <c r="C232" s="1171">
        <v>10338554</v>
      </c>
      <c r="D232" s="1171">
        <v>9673159</v>
      </c>
    </row>
    <row r="233" spans="1:4">
      <c r="A233" s="1399">
        <v>194</v>
      </c>
      <c r="B233" s="1257" t="s">
        <v>6164</v>
      </c>
      <c r="C233" s="1171">
        <f>SUM(C220+C221-C222+C223+C224+C225+C226+C227+C228-C229+C230+C231+C232)</f>
        <v>153688959</v>
      </c>
      <c r="D233" s="1171">
        <f>SUM(D220+D221-D222+D223+D224+D225+D226+D227+D228-D229+D230+D231+D232)</f>
        <v>142379508</v>
      </c>
    </row>
    <row r="234" spans="1:4">
      <c r="A234" s="1399">
        <v>195</v>
      </c>
      <c r="B234" s="1204" t="s">
        <v>437</v>
      </c>
      <c r="C234" s="4101"/>
      <c r="D234" s="4102"/>
    </row>
    <row r="235" spans="1:4">
      <c r="A235" s="1399">
        <v>196</v>
      </c>
      <c r="B235" s="1204" t="s">
        <v>6165</v>
      </c>
      <c r="C235" s="1168">
        <v>18392095</v>
      </c>
      <c r="D235" s="1168">
        <v>17767627</v>
      </c>
    </row>
    <row r="236" spans="1:4">
      <c r="A236" s="1399">
        <v>197</v>
      </c>
      <c r="B236" s="1257" t="s">
        <v>6166</v>
      </c>
      <c r="C236" s="1171">
        <f>C233+C235</f>
        <v>172081054</v>
      </c>
      <c r="D236" s="1171">
        <f>D233+D235</f>
        <v>160147135</v>
      </c>
    </row>
    <row r="237" spans="1:4">
      <c r="A237" s="1399">
        <v>198</v>
      </c>
      <c r="B237" s="1257" t="s">
        <v>6167</v>
      </c>
      <c r="C237" s="1171">
        <f>C101+C135+C161+C188+C196+C210+C217+C236</f>
        <v>2356089699</v>
      </c>
      <c r="D237" s="1171">
        <f>D101+D135+D161+D188+D196+D210+D217+D236</f>
        <v>2118225786</v>
      </c>
    </row>
    <row r="238" spans="1:4">
      <c r="A238" s="1157"/>
      <c r="B238" s="1157"/>
      <c r="C238" s="1189"/>
      <c r="D238" s="1189"/>
    </row>
    <row r="239" spans="1:4">
      <c r="A239" s="1194"/>
      <c r="B239" s="1194"/>
      <c r="C239" s="1194"/>
      <c r="D239" s="1194"/>
    </row>
  </sheetData>
  <mergeCells count="50">
    <mergeCell ref="C219:D219"/>
    <mergeCell ref="C234:D234"/>
    <mergeCell ref="A202:A203"/>
    <mergeCell ref="C204:D204"/>
    <mergeCell ref="C205:D205"/>
    <mergeCell ref="C211:D211"/>
    <mergeCell ref="C212:D212"/>
    <mergeCell ref="C218:D218"/>
    <mergeCell ref="A201:D201"/>
    <mergeCell ref="A141:A142"/>
    <mergeCell ref="C143:D143"/>
    <mergeCell ref="C144:D144"/>
    <mergeCell ref="C154:D154"/>
    <mergeCell ref="C162:D162"/>
    <mergeCell ref="C163:D163"/>
    <mergeCell ref="C176:D176"/>
    <mergeCell ref="C189:D189"/>
    <mergeCell ref="C190:D190"/>
    <mergeCell ref="A199:D199"/>
    <mergeCell ref="A200:D200"/>
    <mergeCell ref="A140:D140"/>
    <mergeCell ref="A76:A77"/>
    <mergeCell ref="C78:D78"/>
    <mergeCell ref="C79:D79"/>
    <mergeCell ref="C87:D87"/>
    <mergeCell ref="C95:D95"/>
    <mergeCell ref="C102:D102"/>
    <mergeCell ref="C103:D103"/>
    <mergeCell ref="C105:D105"/>
    <mergeCell ref="C122:D122"/>
    <mergeCell ref="A138:D138"/>
    <mergeCell ref="A139:D139"/>
    <mergeCell ref="A75:D75"/>
    <mergeCell ref="C14:D14"/>
    <mergeCell ref="C25:D25"/>
    <mergeCell ref="C33:D33"/>
    <mergeCell ref="C34:D34"/>
    <mergeCell ref="C45:D45"/>
    <mergeCell ref="C53:D53"/>
    <mergeCell ref="C54:D54"/>
    <mergeCell ref="C62:D62"/>
    <mergeCell ref="C63:D63"/>
    <mergeCell ref="A73:D73"/>
    <mergeCell ref="A74:D74"/>
    <mergeCell ref="C13:D13"/>
    <mergeCell ref="A6:D6"/>
    <mergeCell ref="A7:D7"/>
    <mergeCell ref="A8:D8"/>
    <mergeCell ref="A9:A10"/>
    <mergeCell ref="C12:D12"/>
  </mergeCells>
  <pageMargins left="0.75" right="0.75" top="1" bottom="1" header="0.5" footer="0.5"/>
  <customProperties>
    <customPr name="_pios_id" r:id="rId1"/>
  </customProperties>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rgb="FF92D050"/>
  </sheetPr>
  <dimension ref="A1:U135"/>
  <sheetViews>
    <sheetView topLeftCell="F1" workbookViewId="0">
      <pane ySplit="11" topLeftCell="A12" activePane="bottomLeft" state="frozen"/>
      <selection sqref="A1:XFD1048576"/>
      <selection pane="bottomLeft" sqref="A1:XFD1048576"/>
    </sheetView>
  </sheetViews>
  <sheetFormatPr defaultColWidth="11.625" defaultRowHeight="11.25"/>
  <cols>
    <col min="1" max="1" width="5.75" style="1327" bestFit="1" customWidth="1"/>
    <col min="2" max="2" width="30.375" style="1327" bestFit="1" customWidth="1"/>
    <col min="3" max="3" width="6.625" style="1327" bestFit="1" customWidth="1"/>
    <col min="4" max="4" width="9.125" style="1327" bestFit="1" customWidth="1"/>
    <col min="5" max="5" width="9.5" style="1327" bestFit="1" customWidth="1"/>
    <col min="6" max="6" width="13.875" style="1327" bestFit="1" customWidth="1"/>
    <col min="7" max="7" width="12.875" style="1327" bestFit="1" customWidth="1"/>
    <col min="8" max="8" width="11.875" style="1327" customWidth="1"/>
    <col min="9" max="9" width="12.625" style="1327" customWidth="1"/>
    <col min="10" max="11" width="11" style="1327" bestFit="1" customWidth="1"/>
    <col min="12" max="12" width="11.375" style="1327" bestFit="1" customWidth="1"/>
    <col min="13" max="13" width="13.75" style="1327" bestFit="1" customWidth="1"/>
    <col min="14" max="14" width="9.875" style="1327" bestFit="1" customWidth="1"/>
    <col min="15" max="15" width="11.75" style="1327" bestFit="1" customWidth="1"/>
    <col min="16" max="18" width="1.25" style="1327" customWidth="1"/>
    <col min="19" max="19" width="8.25" style="1327" customWidth="1"/>
    <col min="20" max="20" width="9.75" style="1327" customWidth="1"/>
    <col min="21" max="21" width="7.875" style="1327" customWidth="1"/>
    <col min="22" max="16384" width="11.625" style="1327"/>
  </cols>
  <sheetData>
    <row r="1" spans="1:21">
      <c r="A1" s="507" t="s">
        <v>4977</v>
      </c>
      <c r="B1" s="507"/>
      <c r="T1" s="1400" t="s">
        <v>6221</v>
      </c>
      <c r="U1" s="1400" t="s">
        <v>6222</v>
      </c>
    </row>
    <row r="2" spans="1:21">
      <c r="A2" s="507" t="s">
        <v>6778</v>
      </c>
      <c r="B2" s="507"/>
      <c r="S2" s="3695" t="s">
        <v>4990</v>
      </c>
      <c r="T2" s="3696" t="s">
        <v>6223</v>
      </c>
      <c r="U2" s="3696" t="s">
        <v>5863</v>
      </c>
    </row>
    <row r="3" spans="1:21">
      <c r="A3" s="1345"/>
      <c r="S3" s="3699" t="s">
        <v>187</v>
      </c>
      <c r="T3" s="3700">
        <v>20964343</v>
      </c>
      <c r="U3" s="3700">
        <v>243042</v>
      </c>
    </row>
    <row r="4" spans="1:21">
      <c r="A4" s="1345"/>
      <c r="S4" s="3699" t="s">
        <v>188</v>
      </c>
      <c r="T4" s="3700">
        <v>195413332</v>
      </c>
      <c r="U4" s="3700">
        <v>1716317</v>
      </c>
    </row>
    <row r="5" spans="1:21">
      <c r="S5" s="3699" t="s">
        <v>190</v>
      </c>
      <c r="T5" s="3700">
        <v>503086094</v>
      </c>
      <c r="U5" s="3700">
        <v>9891590</v>
      </c>
    </row>
    <row r="6" spans="1:21">
      <c r="A6" s="3950" t="s">
        <v>6224</v>
      </c>
      <c r="B6" s="3950"/>
      <c r="C6" s="3950"/>
      <c r="D6" s="3950"/>
      <c r="E6" s="3950"/>
      <c r="F6" s="3950"/>
      <c r="G6" s="3950"/>
      <c r="H6" s="3943" t="s">
        <v>6225</v>
      </c>
      <c r="I6" s="3943"/>
      <c r="J6" s="3943"/>
      <c r="K6" s="3943"/>
      <c r="L6" s="3943"/>
      <c r="M6" s="3943"/>
      <c r="N6" s="3943"/>
      <c r="O6" s="3943"/>
      <c r="S6" s="3699" t="s">
        <v>191</v>
      </c>
      <c r="T6" s="3700">
        <v>36868643</v>
      </c>
      <c r="U6" s="3700">
        <v>498674</v>
      </c>
    </row>
    <row r="7" spans="1:21">
      <c r="A7" s="3953" t="s">
        <v>6226</v>
      </c>
      <c r="B7" s="3938"/>
      <c r="C7" s="3938"/>
      <c r="D7" s="3938"/>
      <c r="E7" s="3938"/>
      <c r="F7" s="3938"/>
      <c r="G7" s="3939"/>
      <c r="H7" s="3970" t="s">
        <v>6227</v>
      </c>
      <c r="I7" s="3971"/>
      <c r="J7" s="3971"/>
      <c r="K7" s="3971"/>
      <c r="L7" s="3971"/>
      <c r="M7" s="3971"/>
      <c r="N7" s="3971"/>
      <c r="O7" s="3972"/>
      <c r="S7" s="3699" t="s">
        <v>192</v>
      </c>
      <c r="T7" s="3700">
        <v>227867672</v>
      </c>
      <c r="U7" s="3700">
        <v>4250173</v>
      </c>
    </row>
    <row r="8" spans="1:21">
      <c r="A8" s="3944" t="s">
        <v>6254</v>
      </c>
      <c r="B8" s="4105"/>
      <c r="C8" s="4105"/>
      <c r="D8" s="4105"/>
      <c r="E8" s="4105"/>
      <c r="F8" s="4105"/>
      <c r="G8" s="4106"/>
      <c r="H8" s="3945" t="s">
        <v>6255</v>
      </c>
      <c r="I8" s="4092"/>
      <c r="J8" s="4092"/>
      <c r="K8" s="4092"/>
      <c r="L8" s="4092"/>
      <c r="M8" s="4092"/>
      <c r="N8" s="4092"/>
      <c r="O8" s="4093"/>
      <c r="S8" s="3699" t="s">
        <v>193</v>
      </c>
      <c r="T8" s="3700">
        <v>1141967</v>
      </c>
      <c r="U8" s="3700"/>
    </row>
    <row r="9" spans="1:21">
      <c r="A9" s="3960" t="s">
        <v>5177</v>
      </c>
      <c r="B9" s="3963" t="s">
        <v>5868</v>
      </c>
      <c r="C9" s="3963" t="s">
        <v>6228</v>
      </c>
      <c r="D9" s="3963" t="s">
        <v>6229</v>
      </c>
      <c r="E9" s="3963" t="s">
        <v>6230</v>
      </c>
      <c r="F9" s="3953" t="s">
        <v>5872</v>
      </c>
      <c r="G9" s="3939"/>
      <c r="H9" s="4054" t="s">
        <v>6231</v>
      </c>
      <c r="I9" s="3963" t="s">
        <v>6232</v>
      </c>
      <c r="J9" s="3953" t="s">
        <v>6233</v>
      </c>
      <c r="K9" s="4036"/>
      <c r="L9" s="3953" t="s">
        <v>6234</v>
      </c>
      <c r="M9" s="4035"/>
      <c r="N9" s="4035"/>
      <c r="O9" s="4036"/>
      <c r="S9" s="3699" t="s">
        <v>195</v>
      </c>
      <c r="T9" s="3700">
        <v>100295473</v>
      </c>
      <c r="U9" s="3700">
        <v>3958</v>
      </c>
    </row>
    <row r="10" spans="1:21" ht="22.5">
      <c r="A10" s="4026"/>
      <c r="B10" s="4026"/>
      <c r="C10" s="4026"/>
      <c r="D10" s="4026"/>
      <c r="E10" s="4026"/>
      <c r="F10" s="1153" t="s">
        <v>5876</v>
      </c>
      <c r="G10" s="1153" t="s">
        <v>5877</v>
      </c>
      <c r="H10" s="4104"/>
      <c r="I10" s="4045"/>
      <c r="J10" s="1153" t="s">
        <v>6235</v>
      </c>
      <c r="K10" s="1153" t="s">
        <v>6236</v>
      </c>
      <c r="L10" s="1153" t="s">
        <v>5878</v>
      </c>
      <c r="M10" s="1153" t="s">
        <v>5879</v>
      </c>
      <c r="N10" s="1153" t="s">
        <v>5880</v>
      </c>
      <c r="O10" s="1153" t="s">
        <v>6237</v>
      </c>
      <c r="S10" s="3699" t="s">
        <v>2301</v>
      </c>
      <c r="T10" s="3700">
        <v>1085637524</v>
      </c>
      <c r="U10" s="3700">
        <v>16603754</v>
      </c>
    </row>
    <row r="11" spans="1:21">
      <c r="A11" s="4016"/>
      <c r="B11" s="1202" t="s">
        <v>4989</v>
      </c>
      <c r="C11" s="1202" t="s">
        <v>4990</v>
      </c>
      <c r="D11" s="1202" t="s">
        <v>4991</v>
      </c>
      <c r="E11" s="1202" t="s">
        <v>4992</v>
      </c>
      <c r="F11" s="1202" t="s">
        <v>5181</v>
      </c>
      <c r="G11" s="1202" t="s">
        <v>5182</v>
      </c>
      <c r="H11" s="1202" t="s">
        <v>5183</v>
      </c>
      <c r="I11" s="1202" t="s">
        <v>5184</v>
      </c>
      <c r="J11" s="1202" t="s">
        <v>5185</v>
      </c>
      <c r="K11" s="1202" t="s">
        <v>5186</v>
      </c>
      <c r="L11" s="1202" t="s">
        <v>5187</v>
      </c>
      <c r="M11" s="1202" t="s">
        <v>5188</v>
      </c>
      <c r="N11" s="1202" t="s">
        <v>5655</v>
      </c>
      <c r="O11" s="1202" t="s">
        <v>5682</v>
      </c>
      <c r="S11" s="1346" t="s">
        <v>929</v>
      </c>
      <c r="T11" s="1410">
        <f>T10-O133</f>
        <v>0</v>
      </c>
      <c r="U11" s="1410">
        <f>U10-H133</f>
        <v>0</v>
      </c>
    </row>
    <row r="12" spans="1:21">
      <c r="A12" s="1399">
        <v>1</v>
      </c>
      <c r="B12" s="1204" t="s">
        <v>6168</v>
      </c>
      <c r="C12" s="1204" t="s">
        <v>190</v>
      </c>
      <c r="D12" s="1204"/>
      <c r="E12" s="1204"/>
      <c r="F12" s="1157"/>
      <c r="G12" s="1157"/>
      <c r="H12" s="1203">
        <v>31</v>
      </c>
      <c r="I12" s="1157"/>
      <c r="J12" s="1157" t="s">
        <v>902</v>
      </c>
      <c r="K12" s="1157" t="s">
        <v>902</v>
      </c>
      <c r="L12" s="1157"/>
      <c r="M12" s="1168">
        <v>929</v>
      </c>
      <c r="N12" s="1157" t="s">
        <v>902</v>
      </c>
      <c r="O12" s="1187">
        <f t="shared" ref="O12:O43" si="0">SUM(L12:N12)</f>
        <v>929</v>
      </c>
    </row>
    <row r="13" spans="1:21">
      <c r="A13" s="1399">
        <v>2</v>
      </c>
      <c r="B13" s="1204" t="s">
        <v>6256</v>
      </c>
      <c r="C13" s="1430" t="s">
        <v>195</v>
      </c>
      <c r="D13" s="1204"/>
      <c r="E13" s="1157"/>
      <c r="F13" s="1157"/>
      <c r="G13" s="1157"/>
      <c r="H13" s="1203"/>
      <c r="I13" s="1157"/>
      <c r="J13" s="1157" t="s">
        <v>902</v>
      </c>
      <c r="K13" s="1157" t="s">
        <v>902</v>
      </c>
      <c r="L13" s="1157"/>
      <c r="M13" s="1168"/>
      <c r="N13" s="1157">
        <v>2001303</v>
      </c>
      <c r="O13" s="1187">
        <f t="shared" si="0"/>
        <v>2001303</v>
      </c>
    </row>
    <row r="14" spans="1:21">
      <c r="A14" s="1431">
        <v>3</v>
      </c>
      <c r="B14" s="1204" t="s">
        <v>6256</v>
      </c>
      <c r="C14" s="1430" t="s">
        <v>190</v>
      </c>
      <c r="D14" s="1157"/>
      <c r="E14" s="1157"/>
      <c r="F14" s="1157"/>
      <c r="G14" s="1157"/>
      <c r="H14" s="1203">
        <v>652698</v>
      </c>
      <c r="I14" s="1157"/>
      <c r="J14" s="1157" t="s">
        <v>902</v>
      </c>
      <c r="K14" s="1157" t="s">
        <v>902</v>
      </c>
      <c r="L14" s="1157"/>
      <c r="M14" s="1168">
        <v>31605562</v>
      </c>
      <c r="N14" s="1157" t="s">
        <v>902</v>
      </c>
      <c r="O14" s="1187">
        <f t="shared" si="0"/>
        <v>31605562</v>
      </c>
    </row>
    <row r="15" spans="1:21">
      <c r="A15" s="1431">
        <v>4</v>
      </c>
      <c r="B15" s="1204" t="s">
        <v>5895</v>
      </c>
      <c r="C15" s="1430" t="s">
        <v>193</v>
      </c>
      <c r="D15" s="1157"/>
      <c r="E15" s="1157"/>
      <c r="F15" s="1157"/>
      <c r="G15" s="1157"/>
      <c r="H15" s="1189"/>
      <c r="I15" s="1157"/>
      <c r="J15" s="1432"/>
      <c r="K15" s="1432">
        <v>130</v>
      </c>
      <c r="L15" s="1157"/>
      <c r="M15" s="1168">
        <v>-8560</v>
      </c>
      <c r="N15" s="1157" t="s">
        <v>902</v>
      </c>
      <c r="O15" s="1187">
        <f t="shared" si="0"/>
        <v>-8560</v>
      </c>
    </row>
    <row r="16" spans="1:21">
      <c r="A16" s="1431">
        <v>5</v>
      </c>
      <c r="B16" s="1204" t="s">
        <v>5895</v>
      </c>
      <c r="C16" s="1430" t="s">
        <v>192</v>
      </c>
      <c r="D16" s="1157"/>
      <c r="E16" s="1157"/>
      <c r="F16" s="1157"/>
      <c r="G16" s="1157"/>
      <c r="H16" s="1203">
        <v>55908</v>
      </c>
      <c r="I16" s="1157"/>
      <c r="J16" s="1157" t="s">
        <v>902</v>
      </c>
      <c r="K16" s="1157" t="s">
        <v>902</v>
      </c>
      <c r="L16" s="1157"/>
      <c r="M16" s="1168">
        <v>4476098</v>
      </c>
      <c r="N16" s="1157" t="s">
        <v>902</v>
      </c>
      <c r="O16" s="1187">
        <f t="shared" si="0"/>
        <v>4476098</v>
      </c>
    </row>
    <row r="17" spans="1:15">
      <c r="A17" s="1431">
        <v>6</v>
      </c>
      <c r="B17" s="1430" t="s">
        <v>6169</v>
      </c>
      <c r="C17" s="1430" t="s">
        <v>193</v>
      </c>
      <c r="D17" s="1157"/>
      <c r="E17" s="1157"/>
      <c r="F17" s="1157"/>
      <c r="G17" s="1157"/>
      <c r="H17" s="1203"/>
      <c r="I17" s="1157"/>
      <c r="J17" s="1157">
        <v>15024</v>
      </c>
      <c r="K17" s="1157"/>
      <c r="L17" s="1157"/>
      <c r="M17" s="1168">
        <v>1151527</v>
      </c>
      <c r="N17" s="1157" t="s">
        <v>902</v>
      </c>
      <c r="O17" s="1187">
        <f t="shared" si="0"/>
        <v>1151527</v>
      </c>
    </row>
    <row r="18" spans="1:15">
      <c r="A18" s="1431">
        <v>7</v>
      </c>
      <c r="B18" s="1430" t="s">
        <v>6170</v>
      </c>
      <c r="C18" s="1430" t="s">
        <v>195</v>
      </c>
      <c r="D18" s="1157"/>
      <c r="E18" s="1157"/>
      <c r="F18" s="1157"/>
      <c r="G18" s="1157"/>
      <c r="H18" s="1203"/>
      <c r="I18" s="1157"/>
      <c r="J18" s="1157" t="s">
        <v>902</v>
      </c>
      <c r="K18" s="1157" t="s">
        <v>902</v>
      </c>
      <c r="L18" s="1157"/>
      <c r="M18" s="1168"/>
      <c r="N18" s="1157">
        <v>19583</v>
      </c>
      <c r="O18" s="1187">
        <f t="shared" si="0"/>
        <v>19583</v>
      </c>
    </row>
    <row r="19" spans="1:15">
      <c r="A19" s="1431">
        <v>8</v>
      </c>
      <c r="B19" s="1430" t="s">
        <v>6170</v>
      </c>
      <c r="C19" s="1430" t="s">
        <v>188</v>
      </c>
      <c r="D19" s="1157"/>
      <c r="E19" s="1157"/>
      <c r="F19" s="1157"/>
      <c r="G19" s="1157"/>
      <c r="H19" s="1203">
        <v>20317</v>
      </c>
      <c r="I19" s="1157"/>
      <c r="J19" s="1157" t="s">
        <v>902</v>
      </c>
      <c r="K19" s="1157" t="s">
        <v>902</v>
      </c>
      <c r="L19" s="1157"/>
      <c r="M19" s="1168">
        <v>1860532</v>
      </c>
      <c r="N19" s="1157" t="s">
        <v>902</v>
      </c>
      <c r="O19" s="1187">
        <f t="shared" si="0"/>
        <v>1860532</v>
      </c>
    </row>
    <row r="20" spans="1:15">
      <c r="A20" s="1431">
        <v>9</v>
      </c>
      <c r="B20" s="1430" t="s">
        <v>6171</v>
      </c>
      <c r="C20" s="1430" t="s">
        <v>190</v>
      </c>
      <c r="D20" s="1157"/>
      <c r="E20" s="1157"/>
      <c r="F20" s="1157"/>
      <c r="G20" s="1157"/>
      <c r="H20" s="1203">
        <v>435</v>
      </c>
      <c r="I20" s="1157"/>
      <c r="J20" s="1157" t="s">
        <v>902</v>
      </c>
      <c r="K20" s="1157" t="s">
        <v>902</v>
      </c>
      <c r="L20" s="1157"/>
      <c r="M20" s="1157">
        <v>14837</v>
      </c>
      <c r="N20" s="1168" t="s">
        <v>902</v>
      </c>
      <c r="O20" s="1187">
        <f t="shared" si="0"/>
        <v>14837</v>
      </c>
    </row>
    <row r="21" spans="1:15">
      <c r="A21" s="1431">
        <v>10</v>
      </c>
      <c r="B21" s="1204" t="s">
        <v>6172</v>
      </c>
      <c r="C21" s="1430" t="s">
        <v>190</v>
      </c>
      <c r="D21" s="1157"/>
      <c r="E21" s="1157"/>
      <c r="F21" s="1157"/>
      <c r="G21" s="1157"/>
      <c r="H21" s="1432">
        <v>8646</v>
      </c>
      <c r="I21" s="1157"/>
      <c r="J21" s="1157" t="s">
        <v>902</v>
      </c>
      <c r="K21" s="1157" t="s">
        <v>902</v>
      </c>
      <c r="L21" s="1157"/>
      <c r="M21" s="1168">
        <v>446563</v>
      </c>
      <c r="N21" s="1157" t="s">
        <v>902</v>
      </c>
      <c r="O21" s="1187">
        <f t="shared" si="0"/>
        <v>446563</v>
      </c>
    </row>
    <row r="22" spans="1:15">
      <c r="A22" s="1431">
        <v>11</v>
      </c>
      <c r="B22" s="1204" t="s">
        <v>6173</v>
      </c>
      <c r="C22" s="1430" t="s">
        <v>190</v>
      </c>
      <c r="D22" s="1157"/>
      <c r="E22" s="1157"/>
      <c r="F22" s="1157"/>
      <c r="G22" s="1157"/>
      <c r="H22" s="1189">
        <v>35</v>
      </c>
      <c r="I22" s="1157"/>
      <c r="J22" s="1157" t="s">
        <v>902</v>
      </c>
      <c r="K22" s="1157" t="s">
        <v>902</v>
      </c>
      <c r="L22" s="1157"/>
      <c r="M22" s="1168">
        <v>2513</v>
      </c>
      <c r="N22" s="1157" t="s">
        <v>902</v>
      </c>
      <c r="O22" s="1187">
        <f t="shared" si="0"/>
        <v>2513</v>
      </c>
    </row>
    <row r="23" spans="1:15">
      <c r="A23" s="1431">
        <v>12</v>
      </c>
      <c r="B23" s="1204" t="s">
        <v>6174</v>
      </c>
      <c r="C23" s="1430" t="s">
        <v>195</v>
      </c>
      <c r="D23" s="1157"/>
      <c r="E23" s="1157"/>
      <c r="F23" s="1157"/>
      <c r="G23" s="1157"/>
      <c r="H23" s="1203">
        <v>196</v>
      </c>
      <c r="I23" s="1157"/>
      <c r="J23" s="1157" t="s">
        <v>902</v>
      </c>
      <c r="K23" s="1157" t="s">
        <v>902</v>
      </c>
      <c r="L23" s="1157"/>
      <c r="M23" s="1168"/>
      <c r="N23" s="1157">
        <v>39527</v>
      </c>
      <c r="O23" s="1187">
        <f t="shared" si="0"/>
        <v>39527</v>
      </c>
    </row>
    <row r="24" spans="1:15">
      <c r="A24" s="1431">
        <v>13</v>
      </c>
      <c r="B24" s="1204" t="s">
        <v>6174</v>
      </c>
      <c r="C24" s="1430" t="s">
        <v>192</v>
      </c>
      <c r="D24" s="1157"/>
      <c r="E24" s="1157"/>
      <c r="F24" s="1157"/>
      <c r="G24" s="1157"/>
      <c r="H24" s="1203">
        <v>60084</v>
      </c>
      <c r="I24" s="1157"/>
      <c r="J24" s="1157" t="s">
        <v>902</v>
      </c>
      <c r="K24" s="1157" t="s">
        <v>902</v>
      </c>
      <c r="L24" s="1157"/>
      <c r="M24" s="1168">
        <v>3455065</v>
      </c>
      <c r="N24" s="1157" t="s">
        <v>902</v>
      </c>
      <c r="O24" s="1187">
        <f t="shared" si="0"/>
        <v>3455065</v>
      </c>
    </row>
    <row r="25" spans="1:15">
      <c r="A25" s="1431">
        <v>14</v>
      </c>
      <c r="B25" s="1204" t="s">
        <v>6175</v>
      </c>
      <c r="C25" s="1430" t="s">
        <v>192</v>
      </c>
      <c r="D25" s="1157"/>
      <c r="E25" s="1157"/>
      <c r="F25" s="1157"/>
      <c r="G25" s="1157"/>
      <c r="H25" s="1189">
        <v>590286</v>
      </c>
      <c r="I25" s="1157"/>
      <c r="J25" s="1157" t="s">
        <v>902</v>
      </c>
      <c r="K25" s="1157" t="s">
        <v>902</v>
      </c>
      <c r="L25" s="1157"/>
      <c r="M25" s="1157">
        <v>46854402</v>
      </c>
      <c r="N25" s="1168" t="s">
        <v>902</v>
      </c>
      <c r="O25" s="1187">
        <f t="shared" si="0"/>
        <v>46854402</v>
      </c>
    </row>
    <row r="26" spans="1:15">
      <c r="A26" s="1353">
        <v>14.000999999999999</v>
      </c>
      <c r="B26" s="1204" t="s">
        <v>6175</v>
      </c>
      <c r="C26" s="1204" t="s">
        <v>187</v>
      </c>
      <c r="D26" s="1204"/>
      <c r="E26" s="1204"/>
      <c r="F26" s="1157"/>
      <c r="G26" s="1157"/>
      <c r="H26" s="1189"/>
      <c r="I26" s="1157"/>
      <c r="J26" s="1157" t="s">
        <v>902</v>
      </c>
      <c r="K26" s="1157" t="s">
        <v>902</v>
      </c>
      <c r="L26" s="1157"/>
      <c r="M26" s="1157">
        <v>9432000</v>
      </c>
      <c r="N26" s="1168" t="s">
        <v>902</v>
      </c>
      <c r="O26" s="1187">
        <f t="shared" si="0"/>
        <v>9432000</v>
      </c>
    </row>
    <row r="27" spans="1:15">
      <c r="A27" s="1353">
        <v>14.002000000000001</v>
      </c>
      <c r="B27" s="1204" t="s">
        <v>6176</v>
      </c>
      <c r="C27" s="1430" t="s">
        <v>195</v>
      </c>
      <c r="D27" s="1204"/>
      <c r="E27" s="1157"/>
      <c r="F27" s="1157"/>
      <c r="G27" s="1157"/>
      <c r="H27" s="1203">
        <v>-69</v>
      </c>
      <c r="I27" s="1157"/>
      <c r="J27" s="1157" t="s">
        <v>902</v>
      </c>
      <c r="K27" s="1157" t="s">
        <v>902</v>
      </c>
      <c r="L27" s="1157"/>
      <c r="M27" s="1168"/>
      <c r="N27" s="1157">
        <v>-19166</v>
      </c>
      <c r="O27" s="1187">
        <f t="shared" si="0"/>
        <v>-19166</v>
      </c>
    </row>
    <row r="28" spans="1:15">
      <c r="A28" s="1353">
        <v>14.003</v>
      </c>
      <c r="B28" s="1204" t="s">
        <v>6176</v>
      </c>
      <c r="C28" s="1430" t="s">
        <v>192</v>
      </c>
      <c r="D28" s="1204"/>
      <c r="E28" s="1157"/>
      <c r="F28" s="1157"/>
      <c r="G28" s="1157"/>
      <c r="H28" s="1203">
        <v>1713</v>
      </c>
      <c r="I28" s="1157"/>
      <c r="J28" s="1157" t="s">
        <v>902</v>
      </c>
      <c r="K28" s="1157" t="s">
        <v>902</v>
      </c>
      <c r="L28" s="1157"/>
      <c r="M28" s="1168">
        <v>205138</v>
      </c>
      <c r="N28" s="1157" t="s">
        <v>902</v>
      </c>
      <c r="O28" s="1187">
        <f t="shared" si="0"/>
        <v>205138</v>
      </c>
    </row>
    <row r="29" spans="1:15">
      <c r="A29" s="1353">
        <v>14.004</v>
      </c>
      <c r="B29" s="1157" t="s">
        <v>6238</v>
      </c>
      <c r="C29" s="1157" t="s">
        <v>195</v>
      </c>
      <c r="D29" s="1157"/>
      <c r="E29" s="1157"/>
      <c r="F29" s="1157"/>
      <c r="G29" s="1157"/>
      <c r="H29" s="1432"/>
      <c r="I29" s="1157"/>
      <c r="J29" s="1157" t="s">
        <v>902</v>
      </c>
      <c r="K29" s="1157" t="s">
        <v>902</v>
      </c>
      <c r="L29" s="1157"/>
      <c r="M29" s="1203"/>
      <c r="N29" s="1157">
        <v>527163</v>
      </c>
      <c r="O29" s="1187">
        <f t="shared" si="0"/>
        <v>527163</v>
      </c>
    </row>
    <row r="30" spans="1:15">
      <c r="A30" s="1353">
        <v>14.005000000000001</v>
      </c>
      <c r="B30" s="1204" t="s">
        <v>6177</v>
      </c>
      <c r="C30" s="1430" t="s">
        <v>192</v>
      </c>
      <c r="D30" s="1157"/>
      <c r="E30" s="1157"/>
      <c r="F30" s="1157"/>
      <c r="G30" s="1157"/>
      <c r="H30" s="1203">
        <v>1367292</v>
      </c>
      <c r="I30" s="1157"/>
      <c r="J30" s="1157" t="s">
        <v>902</v>
      </c>
      <c r="K30" s="1157" t="s">
        <v>902</v>
      </c>
      <c r="L30" s="1157"/>
      <c r="M30" s="1168">
        <v>53201292</v>
      </c>
      <c r="N30" s="1157" t="s">
        <v>902</v>
      </c>
      <c r="O30" s="1187">
        <f t="shared" si="0"/>
        <v>53201292</v>
      </c>
    </row>
    <row r="31" spans="1:15">
      <c r="A31" s="1353">
        <v>14.006</v>
      </c>
      <c r="B31" s="1204" t="s">
        <v>5900</v>
      </c>
      <c r="C31" s="1430" t="s">
        <v>192</v>
      </c>
      <c r="D31" s="1157"/>
      <c r="E31" s="1157"/>
      <c r="F31" s="1157"/>
      <c r="G31" s="1157"/>
      <c r="H31" s="1189">
        <v>120649</v>
      </c>
      <c r="I31" s="1157"/>
      <c r="J31" s="1157" t="s">
        <v>902</v>
      </c>
      <c r="K31" s="1157" t="s">
        <v>902</v>
      </c>
      <c r="L31" s="1157"/>
      <c r="M31" s="1157">
        <v>8359562</v>
      </c>
      <c r="N31" s="1168" t="s">
        <v>902</v>
      </c>
      <c r="O31" s="1187">
        <f t="shared" si="0"/>
        <v>8359562</v>
      </c>
    </row>
    <row r="32" spans="1:15">
      <c r="A32" s="1353">
        <v>14.007</v>
      </c>
      <c r="B32" s="1430" t="s">
        <v>6257</v>
      </c>
      <c r="C32" s="1430" t="s">
        <v>190</v>
      </c>
      <c r="D32" s="1157"/>
      <c r="E32" s="1157"/>
      <c r="F32" s="1157"/>
      <c r="G32" s="1157"/>
      <c r="H32" s="1203">
        <v>10429</v>
      </c>
      <c r="I32" s="1157"/>
      <c r="J32" s="1157" t="s">
        <v>902</v>
      </c>
      <c r="K32" s="1157" t="s">
        <v>902</v>
      </c>
      <c r="L32" s="1157"/>
      <c r="M32" s="1168">
        <v>758477</v>
      </c>
      <c r="N32" s="1157" t="s">
        <v>902</v>
      </c>
      <c r="O32" s="1187">
        <f t="shared" si="0"/>
        <v>758477</v>
      </c>
    </row>
    <row r="33" spans="1:15">
      <c r="A33" s="1353">
        <v>14.007999999999999</v>
      </c>
      <c r="B33" s="1430" t="s">
        <v>6178</v>
      </c>
      <c r="C33" s="1430" t="s">
        <v>191</v>
      </c>
      <c r="D33" s="1157"/>
      <c r="E33" s="1157"/>
      <c r="F33" s="1157"/>
      <c r="G33" s="1157"/>
      <c r="H33" s="1203">
        <v>30</v>
      </c>
      <c r="I33" s="1157"/>
      <c r="J33" s="1157" t="s">
        <v>902</v>
      </c>
      <c r="K33" s="1157" t="s">
        <v>902</v>
      </c>
      <c r="L33" s="1157"/>
      <c r="M33" s="1168">
        <v>1173</v>
      </c>
      <c r="N33" s="1168" t="s">
        <v>902</v>
      </c>
      <c r="O33" s="1187">
        <f t="shared" si="0"/>
        <v>1173</v>
      </c>
    </row>
    <row r="34" spans="1:15">
      <c r="A34" s="1353">
        <v>14.009</v>
      </c>
      <c r="B34" s="1430" t="s">
        <v>6179</v>
      </c>
      <c r="C34" s="1430" t="s">
        <v>192</v>
      </c>
      <c r="D34" s="1157"/>
      <c r="E34" s="1157"/>
      <c r="F34" s="1157"/>
      <c r="G34" s="1157"/>
      <c r="H34" s="1189">
        <v>47914</v>
      </c>
      <c r="I34" s="1157"/>
      <c r="J34" s="1157" t="s">
        <v>902</v>
      </c>
      <c r="K34" s="1157" t="s">
        <v>902</v>
      </c>
      <c r="L34" s="1157"/>
      <c r="M34" s="1168">
        <v>2176489</v>
      </c>
      <c r="N34" s="1157" t="s">
        <v>902</v>
      </c>
      <c r="O34" s="1187">
        <f t="shared" si="0"/>
        <v>2176489</v>
      </c>
    </row>
    <row r="35" spans="1:15">
      <c r="A35" s="1353">
        <v>14.01</v>
      </c>
      <c r="B35" s="1430" t="s">
        <v>6239</v>
      </c>
      <c r="C35" s="1430" t="s">
        <v>190</v>
      </c>
      <c r="D35" s="1157"/>
      <c r="E35" s="1157"/>
      <c r="F35" s="1157"/>
      <c r="G35" s="1157"/>
      <c r="H35" s="1203">
        <v>1640658</v>
      </c>
      <c r="I35" s="1157"/>
      <c r="J35" s="1157" t="s">
        <v>902</v>
      </c>
      <c r="K35" s="1157" t="s">
        <v>902</v>
      </c>
      <c r="L35" s="1157"/>
      <c r="M35" s="1168">
        <v>35279808</v>
      </c>
      <c r="N35" s="1157">
        <v>43171190</v>
      </c>
      <c r="O35" s="1187">
        <f t="shared" si="0"/>
        <v>78450998</v>
      </c>
    </row>
    <row r="36" spans="1:15">
      <c r="A36" s="1353">
        <v>14.010999999999999</v>
      </c>
      <c r="B36" s="1204" t="s">
        <v>6798</v>
      </c>
      <c r="C36" s="1430" t="s">
        <v>190</v>
      </c>
      <c r="D36" s="1157"/>
      <c r="E36" s="1157"/>
      <c r="F36" s="1157"/>
      <c r="G36" s="1157"/>
      <c r="H36" s="1432">
        <v>323977</v>
      </c>
      <c r="I36" s="1157"/>
      <c r="J36" s="1157" t="s">
        <v>902</v>
      </c>
      <c r="K36" s="1157" t="s">
        <v>902</v>
      </c>
      <c r="L36" s="1157"/>
      <c r="M36" s="1168">
        <v>17319245</v>
      </c>
      <c r="N36" s="1157">
        <v>11487</v>
      </c>
      <c r="O36" s="1187">
        <f t="shared" si="0"/>
        <v>17330732</v>
      </c>
    </row>
    <row r="37" spans="1:15">
      <c r="A37" s="1353">
        <v>14.012</v>
      </c>
      <c r="B37" s="1204" t="s">
        <v>6180</v>
      </c>
      <c r="C37" s="1430" t="s">
        <v>192</v>
      </c>
      <c r="D37" s="1157"/>
      <c r="E37" s="1157"/>
      <c r="F37" s="1157"/>
      <c r="G37" s="1157"/>
      <c r="H37" s="1203"/>
      <c r="I37" s="1157"/>
      <c r="J37" s="1157" t="s">
        <v>902</v>
      </c>
      <c r="K37" s="1157" t="s">
        <v>902</v>
      </c>
      <c r="L37" s="1157"/>
      <c r="M37" s="1157">
        <v>-2361405</v>
      </c>
      <c r="N37" s="1168" t="s">
        <v>902</v>
      </c>
      <c r="O37" s="1187">
        <f t="shared" si="0"/>
        <v>-2361405</v>
      </c>
    </row>
    <row r="38" spans="1:15">
      <c r="A38" s="1353">
        <v>14.013</v>
      </c>
      <c r="B38" s="1204" t="s">
        <v>6181</v>
      </c>
      <c r="C38" s="1430" t="s">
        <v>195</v>
      </c>
      <c r="D38" s="1157"/>
      <c r="E38" s="1157"/>
      <c r="F38" s="1157"/>
      <c r="G38" s="1157"/>
      <c r="H38" s="1203">
        <v>112</v>
      </c>
      <c r="I38" s="1157"/>
      <c r="J38" s="1157" t="s">
        <v>902</v>
      </c>
      <c r="K38" s="1157" t="s">
        <v>902</v>
      </c>
      <c r="L38" s="1157"/>
      <c r="M38" s="1168"/>
      <c r="N38" s="1157">
        <v>23483</v>
      </c>
      <c r="O38" s="1187">
        <f t="shared" si="0"/>
        <v>23483</v>
      </c>
    </row>
    <row r="39" spans="1:15">
      <c r="A39" s="1353">
        <v>14.013999999999999</v>
      </c>
      <c r="B39" s="1204" t="s">
        <v>6181</v>
      </c>
      <c r="C39" s="1430" t="s">
        <v>192</v>
      </c>
      <c r="D39" s="1157"/>
      <c r="E39" s="1157"/>
      <c r="F39" s="1157"/>
      <c r="G39" s="1157"/>
      <c r="H39" s="1203">
        <v>376306</v>
      </c>
      <c r="I39" s="1157"/>
      <c r="J39" s="1157" t="s">
        <v>902</v>
      </c>
      <c r="K39" s="1157" t="s">
        <v>902</v>
      </c>
      <c r="L39" s="1157"/>
      <c r="M39" s="1168">
        <v>30183381</v>
      </c>
      <c r="N39" s="1157" t="s">
        <v>902</v>
      </c>
      <c r="O39" s="1187">
        <f t="shared" si="0"/>
        <v>30183381</v>
      </c>
    </row>
    <row r="40" spans="1:15">
      <c r="A40" s="1353">
        <v>14.015000000000001</v>
      </c>
      <c r="B40" s="1204" t="s">
        <v>6182</v>
      </c>
      <c r="C40" s="1204" t="s">
        <v>195</v>
      </c>
      <c r="D40" s="1204"/>
      <c r="E40" s="1204"/>
      <c r="F40" s="1157"/>
      <c r="G40" s="1157"/>
      <c r="H40" s="1203">
        <v>75</v>
      </c>
      <c r="I40" s="1157"/>
      <c r="J40" s="1157" t="s">
        <v>902</v>
      </c>
      <c r="K40" s="1157" t="s">
        <v>902</v>
      </c>
      <c r="L40" s="1157"/>
      <c r="M40" s="1157"/>
      <c r="N40" s="1168">
        <v>15750</v>
      </c>
      <c r="O40" s="1187">
        <f t="shared" si="0"/>
        <v>15750</v>
      </c>
    </row>
    <row r="41" spans="1:15">
      <c r="A41" s="1353">
        <v>14.016</v>
      </c>
      <c r="B41" s="1204" t="s">
        <v>6182</v>
      </c>
      <c r="C41" s="1430" t="s">
        <v>192</v>
      </c>
      <c r="D41" s="1204"/>
      <c r="E41" s="1157"/>
      <c r="F41" s="1157"/>
      <c r="G41" s="1157"/>
      <c r="H41" s="1203">
        <v>1829</v>
      </c>
      <c r="I41" s="1157"/>
      <c r="J41" s="1157" t="s">
        <v>902</v>
      </c>
      <c r="K41" s="1157" t="s">
        <v>902</v>
      </c>
      <c r="L41" s="1157"/>
      <c r="M41" s="1168">
        <v>111625</v>
      </c>
      <c r="N41" s="1157" t="s">
        <v>902</v>
      </c>
      <c r="O41" s="1187">
        <f t="shared" si="0"/>
        <v>111625</v>
      </c>
    </row>
    <row r="42" spans="1:15">
      <c r="A42" s="1353">
        <v>14.016999999999999</v>
      </c>
      <c r="B42" s="1204" t="s">
        <v>6258</v>
      </c>
      <c r="C42" s="1430" t="s">
        <v>195</v>
      </c>
      <c r="D42" s="1157"/>
      <c r="E42" s="1157"/>
      <c r="F42" s="1157"/>
      <c r="G42" s="1157"/>
      <c r="H42" s="1203">
        <v>121</v>
      </c>
      <c r="I42" s="1157"/>
      <c r="J42" s="1157" t="s">
        <v>902</v>
      </c>
      <c r="K42" s="1157" t="s">
        <v>902</v>
      </c>
      <c r="L42" s="1157"/>
      <c r="M42" s="1157"/>
      <c r="N42" s="1168">
        <v>-308668</v>
      </c>
      <c r="O42" s="1187">
        <f t="shared" si="0"/>
        <v>-308668</v>
      </c>
    </row>
    <row r="43" spans="1:15">
      <c r="A43" s="1353">
        <v>14.018000000000001</v>
      </c>
      <c r="B43" s="1204" t="s">
        <v>6258</v>
      </c>
      <c r="C43" s="1430" t="s">
        <v>190</v>
      </c>
      <c r="D43" s="1157"/>
      <c r="E43" s="1157"/>
      <c r="F43" s="1157"/>
      <c r="G43" s="1157"/>
      <c r="H43" s="1203">
        <v>1311795</v>
      </c>
      <c r="I43" s="1157"/>
      <c r="J43" s="1157" t="s">
        <v>902</v>
      </c>
      <c r="K43" s="1157" t="s">
        <v>902</v>
      </c>
      <c r="L43" s="1157"/>
      <c r="M43" s="1168">
        <v>33121305</v>
      </c>
      <c r="N43" s="1157" t="s">
        <v>902</v>
      </c>
      <c r="O43" s="1187">
        <f t="shared" si="0"/>
        <v>33121305</v>
      </c>
    </row>
    <row r="44" spans="1:15">
      <c r="A44" s="1353">
        <v>14.019</v>
      </c>
      <c r="B44" s="1204" t="s">
        <v>6183</v>
      </c>
      <c r="C44" s="1430" t="s">
        <v>195</v>
      </c>
      <c r="D44" s="1157"/>
      <c r="E44" s="1157"/>
      <c r="F44" s="1157"/>
      <c r="G44" s="1157"/>
      <c r="H44" s="1203">
        <v>-76</v>
      </c>
      <c r="I44" s="1157"/>
      <c r="J44" s="1157" t="s">
        <v>902</v>
      </c>
      <c r="K44" s="1157" t="s">
        <v>902</v>
      </c>
      <c r="L44" s="1157"/>
      <c r="M44" s="1168"/>
      <c r="N44" s="1157">
        <v>-26316</v>
      </c>
      <c r="O44" s="1187">
        <f t="shared" ref="O44:O98" si="1">SUM(L44:N44)</f>
        <v>-26316</v>
      </c>
    </row>
    <row r="45" spans="1:15">
      <c r="A45" s="1353">
        <v>14.02</v>
      </c>
      <c r="B45" s="1430" t="s">
        <v>6183</v>
      </c>
      <c r="C45" s="1430" t="s">
        <v>192</v>
      </c>
      <c r="D45" s="1157"/>
      <c r="E45" s="1157"/>
      <c r="F45" s="1157"/>
      <c r="G45" s="1157"/>
      <c r="H45" s="1189">
        <v>276574</v>
      </c>
      <c r="I45" s="1157"/>
      <c r="J45" s="1432" t="s">
        <v>902</v>
      </c>
      <c r="K45" s="1432" t="s">
        <v>902</v>
      </c>
      <c r="L45" s="1157"/>
      <c r="M45" s="1157">
        <v>26596743</v>
      </c>
      <c r="N45" s="1157" t="s">
        <v>902</v>
      </c>
      <c r="O45" s="1187">
        <f t="shared" si="1"/>
        <v>26596743</v>
      </c>
    </row>
    <row r="46" spans="1:15">
      <c r="A46" s="1353">
        <v>14.021000000000001</v>
      </c>
      <c r="B46" s="1430" t="s">
        <v>6240</v>
      </c>
      <c r="C46" s="1430" t="s">
        <v>195</v>
      </c>
      <c r="D46" s="1157"/>
      <c r="E46" s="1157"/>
      <c r="F46" s="1157"/>
      <c r="G46" s="1157"/>
      <c r="H46" s="1189">
        <v>-287</v>
      </c>
      <c r="I46" s="1157"/>
      <c r="J46" s="1157" t="s">
        <v>902</v>
      </c>
      <c r="K46" s="1157" t="s">
        <v>902</v>
      </c>
      <c r="L46" s="1157"/>
      <c r="M46" s="1157"/>
      <c r="N46" s="1168">
        <v>-101027</v>
      </c>
      <c r="O46" s="1187">
        <f t="shared" si="1"/>
        <v>-101027</v>
      </c>
    </row>
    <row r="47" spans="1:15">
      <c r="A47" s="1353">
        <v>14.022</v>
      </c>
      <c r="B47" s="1430" t="s">
        <v>6240</v>
      </c>
      <c r="C47" s="1430" t="s">
        <v>192</v>
      </c>
      <c r="D47" s="1157"/>
      <c r="E47" s="1157"/>
      <c r="F47" s="1157"/>
      <c r="G47" s="1157"/>
      <c r="H47" s="1189">
        <v>8260</v>
      </c>
      <c r="I47" s="1157"/>
      <c r="J47" s="1157" t="s">
        <v>902</v>
      </c>
      <c r="K47" s="1157" t="s">
        <v>902</v>
      </c>
      <c r="L47" s="1157"/>
      <c r="M47" s="1168">
        <v>424582</v>
      </c>
      <c r="N47" s="1157" t="s">
        <v>902</v>
      </c>
      <c r="O47" s="1187">
        <f t="shared" si="1"/>
        <v>424582</v>
      </c>
    </row>
    <row r="48" spans="1:15">
      <c r="A48" s="1353">
        <v>14.023</v>
      </c>
      <c r="B48" s="1430" t="s">
        <v>6184</v>
      </c>
      <c r="C48" s="1430" t="s">
        <v>192</v>
      </c>
      <c r="D48" s="1157"/>
      <c r="E48" s="1157"/>
      <c r="F48" s="1157"/>
      <c r="G48" s="1157"/>
      <c r="H48" s="1203">
        <v>3688</v>
      </c>
      <c r="I48" s="1157"/>
      <c r="J48" s="1157" t="s">
        <v>902</v>
      </c>
      <c r="K48" s="1157" t="s">
        <v>902</v>
      </c>
      <c r="L48" s="1157"/>
      <c r="M48" s="1168">
        <v>315900</v>
      </c>
      <c r="N48" s="1157" t="s">
        <v>902</v>
      </c>
      <c r="O48" s="1187">
        <f t="shared" si="1"/>
        <v>315900</v>
      </c>
    </row>
    <row r="49" spans="1:15">
      <c r="A49" s="1353">
        <v>14.023999999999999</v>
      </c>
      <c r="B49" s="1204" t="s">
        <v>6185</v>
      </c>
      <c r="C49" s="1430" t="s">
        <v>193</v>
      </c>
      <c r="D49" s="1157"/>
      <c r="E49" s="1157"/>
      <c r="F49" s="1157"/>
      <c r="G49" s="1157"/>
      <c r="H49" s="1157"/>
      <c r="I49" s="1157"/>
      <c r="J49" s="1157">
        <v>11042</v>
      </c>
      <c r="K49" s="1157">
        <v>210763</v>
      </c>
      <c r="L49" s="1157"/>
      <c r="M49" s="1157"/>
      <c r="N49" s="1168" t="s">
        <v>902</v>
      </c>
      <c r="O49" s="1187">
        <f t="shared" si="1"/>
        <v>0</v>
      </c>
    </row>
    <row r="50" spans="1:15">
      <c r="A50" s="1353">
        <v>14.025</v>
      </c>
      <c r="B50" s="1204" t="s">
        <v>6186</v>
      </c>
      <c r="C50" s="1430" t="s">
        <v>195</v>
      </c>
      <c r="D50" s="1157"/>
      <c r="E50" s="1157"/>
      <c r="F50" s="1157"/>
      <c r="G50" s="1157"/>
      <c r="H50" s="1203">
        <v>4576</v>
      </c>
      <c r="I50" s="1157"/>
      <c r="J50" s="1157" t="s">
        <v>902</v>
      </c>
      <c r="K50" s="1157" t="s">
        <v>902</v>
      </c>
      <c r="L50" s="1157"/>
      <c r="M50" s="1168"/>
      <c r="N50" s="1157">
        <v>1309429</v>
      </c>
      <c r="O50" s="1187">
        <f t="shared" si="1"/>
        <v>1309429</v>
      </c>
    </row>
    <row r="51" spans="1:15">
      <c r="A51" s="1353">
        <v>14.026</v>
      </c>
      <c r="B51" s="1204" t="s">
        <v>6187</v>
      </c>
      <c r="C51" s="1430" t="s">
        <v>191</v>
      </c>
      <c r="D51" s="1157"/>
      <c r="E51" s="1157"/>
      <c r="F51" s="1157"/>
      <c r="G51" s="1157"/>
      <c r="H51" s="1203">
        <v>166570</v>
      </c>
      <c r="I51" s="1157"/>
      <c r="J51" s="1157" t="s">
        <v>902</v>
      </c>
      <c r="K51" s="1157" t="s">
        <v>902</v>
      </c>
      <c r="L51" s="1157"/>
      <c r="M51" s="1168">
        <v>8340000</v>
      </c>
      <c r="N51" s="1157" t="s">
        <v>902</v>
      </c>
      <c r="O51" s="1187">
        <f t="shared" si="1"/>
        <v>8340000</v>
      </c>
    </row>
    <row r="52" spans="1:15">
      <c r="A52" s="1353">
        <v>14.026999999999999</v>
      </c>
      <c r="B52" s="1204" t="s">
        <v>6187</v>
      </c>
      <c r="C52" s="1430" t="s">
        <v>195</v>
      </c>
      <c r="D52" s="1157"/>
      <c r="E52" s="1157"/>
      <c r="F52" s="1157"/>
      <c r="G52" s="1157"/>
      <c r="H52" s="1203"/>
      <c r="I52" s="1157"/>
      <c r="J52" s="1157" t="s">
        <v>902</v>
      </c>
      <c r="K52" s="1157" t="s">
        <v>902</v>
      </c>
      <c r="L52" s="1157"/>
      <c r="M52" s="1168"/>
      <c r="N52" s="1157">
        <v>-68747</v>
      </c>
      <c r="O52" s="1187">
        <f t="shared" si="1"/>
        <v>-68747</v>
      </c>
    </row>
    <row r="53" spans="1:15">
      <c r="A53" s="1353">
        <v>14.028</v>
      </c>
      <c r="B53" s="1204" t="s">
        <v>6187</v>
      </c>
      <c r="C53" s="1204" t="s">
        <v>190</v>
      </c>
      <c r="D53" s="1204"/>
      <c r="E53" s="1204"/>
      <c r="F53" s="1157"/>
      <c r="G53" s="1157"/>
      <c r="H53" s="1203">
        <v>831001</v>
      </c>
      <c r="I53" s="1157"/>
      <c r="J53" s="1157" t="s">
        <v>902</v>
      </c>
      <c r="K53" s="1157" t="s">
        <v>902</v>
      </c>
      <c r="L53" s="1157"/>
      <c r="M53" s="1168">
        <v>32703829</v>
      </c>
      <c r="N53" s="1157" t="s">
        <v>902</v>
      </c>
      <c r="O53" s="1187">
        <f t="shared" si="1"/>
        <v>32703829</v>
      </c>
    </row>
    <row r="54" spans="1:15">
      <c r="A54" s="1353">
        <v>14.029</v>
      </c>
      <c r="B54" s="1204" t="s">
        <v>6259</v>
      </c>
      <c r="C54" s="1430" t="s">
        <v>192</v>
      </c>
      <c r="D54" s="1204"/>
      <c r="E54" s="1157"/>
      <c r="F54" s="1157"/>
      <c r="G54" s="1157"/>
      <c r="H54" s="1203">
        <v>1905</v>
      </c>
      <c r="I54" s="1157"/>
      <c r="J54" s="1157" t="s">
        <v>902</v>
      </c>
      <c r="K54" s="1157" t="s">
        <v>902</v>
      </c>
      <c r="L54" s="1157"/>
      <c r="M54" s="1168">
        <v>203290</v>
      </c>
      <c r="N54" s="1157" t="s">
        <v>902</v>
      </c>
      <c r="O54" s="1187">
        <f t="shared" si="1"/>
        <v>203290</v>
      </c>
    </row>
    <row r="55" spans="1:15">
      <c r="A55" s="1353">
        <v>14.03</v>
      </c>
      <c r="B55" s="1204" t="s">
        <v>6188</v>
      </c>
      <c r="C55" s="1430" t="s">
        <v>192</v>
      </c>
      <c r="D55" s="1157"/>
      <c r="E55" s="1157"/>
      <c r="F55" s="1157"/>
      <c r="G55" s="1157"/>
      <c r="H55" s="1203">
        <v>3753</v>
      </c>
      <c r="I55" s="1157"/>
      <c r="J55" s="1157" t="s">
        <v>902</v>
      </c>
      <c r="K55" s="1157" t="s">
        <v>902</v>
      </c>
      <c r="L55" s="1157"/>
      <c r="M55" s="1157">
        <v>179714</v>
      </c>
      <c r="N55" s="1168" t="s">
        <v>902</v>
      </c>
      <c r="O55" s="1187">
        <f t="shared" si="1"/>
        <v>179714</v>
      </c>
    </row>
    <row r="56" spans="1:15">
      <c r="A56" s="1353">
        <v>14.031000000000001</v>
      </c>
      <c r="B56" s="1204" t="s">
        <v>6189</v>
      </c>
      <c r="C56" s="1430" t="s">
        <v>192</v>
      </c>
      <c r="D56" s="1157"/>
      <c r="E56" s="1157"/>
      <c r="F56" s="1157"/>
      <c r="G56" s="1157"/>
      <c r="H56" s="1203">
        <v>2237</v>
      </c>
      <c r="I56" s="1157"/>
      <c r="J56" s="1157" t="s">
        <v>902</v>
      </c>
      <c r="K56" s="1157" t="s">
        <v>902</v>
      </c>
      <c r="L56" s="1157"/>
      <c r="M56" s="1168">
        <v>131470</v>
      </c>
      <c r="N56" s="1157" t="s">
        <v>902</v>
      </c>
      <c r="O56" s="1187">
        <f t="shared" si="1"/>
        <v>131470</v>
      </c>
    </row>
    <row r="57" spans="1:15">
      <c r="A57" s="1353">
        <v>14.032</v>
      </c>
      <c r="B57" s="1204" t="s">
        <v>6190</v>
      </c>
      <c r="C57" s="1430" t="s">
        <v>190</v>
      </c>
      <c r="D57" s="1157"/>
      <c r="E57" s="1157"/>
      <c r="F57" s="1157"/>
      <c r="G57" s="1157"/>
      <c r="H57" s="1203">
        <v>33975</v>
      </c>
      <c r="I57" s="1157"/>
      <c r="J57" s="1157" t="s">
        <v>902</v>
      </c>
      <c r="K57" s="1157" t="s">
        <v>902</v>
      </c>
      <c r="L57" s="1157"/>
      <c r="M57" s="1157">
        <v>2501553</v>
      </c>
      <c r="N57" s="1168" t="s">
        <v>902</v>
      </c>
      <c r="O57" s="1187">
        <f t="shared" si="1"/>
        <v>2501553</v>
      </c>
    </row>
    <row r="58" spans="1:15">
      <c r="A58" s="1353">
        <v>14.032999999999999</v>
      </c>
      <c r="B58" s="1430" t="s">
        <v>6191</v>
      </c>
      <c r="C58" s="1430" t="s">
        <v>192</v>
      </c>
      <c r="D58" s="1157"/>
      <c r="E58" s="1157"/>
      <c r="F58" s="1157"/>
      <c r="G58" s="1157"/>
      <c r="H58" s="1203">
        <v>800</v>
      </c>
      <c r="I58" s="1157"/>
      <c r="J58" s="1157" t="s">
        <v>902</v>
      </c>
      <c r="K58" s="1157" t="s">
        <v>902</v>
      </c>
      <c r="L58" s="1157"/>
      <c r="M58" s="1168">
        <v>93480</v>
      </c>
      <c r="N58" s="1157" t="s">
        <v>902</v>
      </c>
      <c r="O58" s="1187">
        <f t="shared" si="1"/>
        <v>93480</v>
      </c>
    </row>
    <row r="59" spans="1:15">
      <c r="A59" s="1353">
        <v>14.034000000000001</v>
      </c>
      <c r="B59" s="1430" t="s">
        <v>6192</v>
      </c>
      <c r="C59" s="1430" t="s">
        <v>195</v>
      </c>
      <c r="D59" s="1157"/>
      <c r="E59" s="1157"/>
      <c r="F59" s="1157"/>
      <c r="G59" s="1157"/>
      <c r="H59" s="1189">
        <v>-75</v>
      </c>
      <c r="I59" s="1157"/>
      <c r="J59" s="1157" t="s">
        <v>902</v>
      </c>
      <c r="K59" s="1157" t="s">
        <v>902</v>
      </c>
      <c r="L59" s="1157"/>
      <c r="M59" s="1157"/>
      <c r="N59" s="1168">
        <v>-15750</v>
      </c>
      <c r="O59" s="1187">
        <f t="shared" si="1"/>
        <v>-15750</v>
      </c>
    </row>
    <row r="60" spans="1:15">
      <c r="A60" s="1353">
        <v>14.035</v>
      </c>
      <c r="B60" s="1430" t="s">
        <v>6192</v>
      </c>
      <c r="C60" s="1430" t="s">
        <v>192</v>
      </c>
      <c r="D60" s="1157"/>
      <c r="E60" s="1157"/>
      <c r="F60" s="1157"/>
      <c r="G60" s="1157"/>
      <c r="H60" s="1203">
        <v>6614</v>
      </c>
      <c r="I60" s="1157"/>
      <c r="J60" s="1157" t="s">
        <v>902</v>
      </c>
      <c r="K60" s="1157" t="s">
        <v>902</v>
      </c>
      <c r="L60" s="1157"/>
      <c r="M60" s="1168">
        <v>386015</v>
      </c>
      <c r="N60" s="1157" t="s">
        <v>902</v>
      </c>
      <c r="O60" s="1187">
        <f t="shared" si="1"/>
        <v>386015</v>
      </c>
    </row>
    <row r="61" spans="1:15">
      <c r="A61" s="1353">
        <v>14.036</v>
      </c>
      <c r="B61" s="1430" t="s">
        <v>6193</v>
      </c>
      <c r="C61" s="1430" t="s">
        <v>190</v>
      </c>
      <c r="D61" s="1157"/>
      <c r="E61" s="1157"/>
      <c r="F61" s="1157"/>
      <c r="G61" s="1157"/>
      <c r="H61" s="1203">
        <v>3718</v>
      </c>
      <c r="I61" s="1157"/>
      <c r="J61" s="1157" t="s">
        <v>902</v>
      </c>
      <c r="K61" s="1157" t="s">
        <v>902</v>
      </c>
      <c r="L61" s="1157"/>
      <c r="M61" s="1168">
        <v>174180</v>
      </c>
      <c r="N61" s="1157" t="s">
        <v>902</v>
      </c>
      <c r="O61" s="1187">
        <f t="shared" si="1"/>
        <v>174180</v>
      </c>
    </row>
    <row r="62" spans="1:15">
      <c r="A62" s="1353">
        <v>14.037000000000001</v>
      </c>
      <c r="B62" s="1204" t="s">
        <v>6194</v>
      </c>
      <c r="C62" s="1430" t="s">
        <v>195</v>
      </c>
      <c r="D62" s="1157"/>
      <c r="E62" s="1157"/>
      <c r="F62" s="1157"/>
      <c r="G62" s="1157"/>
      <c r="H62" s="1157"/>
      <c r="I62" s="1157"/>
      <c r="J62" s="1157" t="s">
        <v>902</v>
      </c>
      <c r="K62" s="1157" t="s">
        <v>902</v>
      </c>
      <c r="L62" s="1157"/>
      <c r="M62" s="1157"/>
      <c r="N62" s="1168">
        <v>330417</v>
      </c>
      <c r="O62" s="1187">
        <f t="shared" si="1"/>
        <v>330417</v>
      </c>
    </row>
    <row r="63" spans="1:15">
      <c r="A63" s="1353">
        <v>14.038</v>
      </c>
      <c r="B63" s="1204" t="s">
        <v>6194</v>
      </c>
      <c r="C63" s="1430" t="s">
        <v>192</v>
      </c>
      <c r="D63" s="1157"/>
      <c r="E63" s="1157"/>
      <c r="F63" s="1157"/>
      <c r="G63" s="1157"/>
      <c r="H63" s="1203">
        <v>19</v>
      </c>
      <c r="I63" s="1157"/>
      <c r="J63" s="1157" t="s">
        <v>902</v>
      </c>
      <c r="K63" s="1157" t="s">
        <v>902</v>
      </c>
      <c r="L63" s="1157"/>
      <c r="M63" s="1168">
        <v>1703</v>
      </c>
      <c r="N63" s="1157" t="s">
        <v>902</v>
      </c>
      <c r="O63" s="1187">
        <f t="shared" si="1"/>
        <v>1703</v>
      </c>
    </row>
    <row r="64" spans="1:15">
      <c r="A64" s="1353">
        <v>14.039</v>
      </c>
      <c r="B64" s="1204" t="s">
        <v>6195</v>
      </c>
      <c r="C64" s="1430" t="s">
        <v>195</v>
      </c>
      <c r="D64" s="1157"/>
      <c r="E64" s="1157"/>
      <c r="F64" s="1157"/>
      <c r="G64" s="1157"/>
      <c r="H64" s="1189"/>
      <c r="I64" s="1157"/>
      <c r="J64" s="1157" t="s">
        <v>902</v>
      </c>
      <c r="K64" s="1157" t="s">
        <v>902</v>
      </c>
      <c r="L64" s="1157"/>
      <c r="M64" s="1157"/>
      <c r="N64" s="1168">
        <v>200319</v>
      </c>
      <c r="O64" s="1187">
        <f t="shared" si="1"/>
        <v>200319</v>
      </c>
    </row>
    <row r="65" spans="1:15">
      <c r="A65" s="1353">
        <v>14.04</v>
      </c>
      <c r="B65" s="1204" t="s">
        <v>6195</v>
      </c>
      <c r="C65" s="1430" t="s">
        <v>190</v>
      </c>
      <c r="D65" s="1157"/>
      <c r="E65" s="1157"/>
      <c r="F65" s="1157"/>
      <c r="G65" s="1157"/>
      <c r="H65" s="1203">
        <v>333842</v>
      </c>
      <c r="I65" s="1157"/>
      <c r="J65" s="1157" t="s">
        <v>902</v>
      </c>
      <c r="K65" s="1157" t="s">
        <v>902</v>
      </c>
      <c r="L65" s="1157"/>
      <c r="M65" s="1168">
        <v>44443985</v>
      </c>
      <c r="N65" s="1157" t="s">
        <v>902</v>
      </c>
      <c r="O65" s="1187">
        <f t="shared" si="1"/>
        <v>44443985</v>
      </c>
    </row>
    <row r="66" spans="1:15">
      <c r="A66" s="1353">
        <v>14.041</v>
      </c>
      <c r="B66" s="1204" t="s">
        <v>6243</v>
      </c>
      <c r="C66" s="1204" t="s">
        <v>195</v>
      </c>
      <c r="D66" s="1204"/>
      <c r="E66" s="1204"/>
      <c r="F66" s="1157"/>
      <c r="G66" s="1157"/>
      <c r="H66" s="1203"/>
      <c r="I66" s="1157"/>
      <c r="J66" s="1157" t="s">
        <v>902</v>
      </c>
      <c r="K66" s="1157" t="s">
        <v>902</v>
      </c>
      <c r="L66" s="1157"/>
      <c r="M66" s="1168"/>
      <c r="N66" s="1157">
        <v>309492</v>
      </c>
      <c r="O66" s="1187">
        <f t="shared" si="1"/>
        <v>309492</v>
      </c>
    </row>
    <row r="67" spans="1:15">
      <c r="A67" s="1353">
        <v>14.042</v>
      </c>
      <c r="B67" s="1204" t="s">
        <v>5912</v>
      </c>
      <c r="C67" s="1430" t="s">
        <v>192</v>
      </c>
      <c r="D67" s="1204"/>
      <c r="E67" s="1157"/>
      <c r="F67" s="1157"/>
      <c r="G67" s="1157"/>
      <c r="H67" s="1203">
        <v>15</v>
      </c>
      <c r="I67" s="1157"/>
      <c r="J67" s="1157" t="s">
        <v>902</v>
      </c>
      <c r="K67" s="1157" t="s">
        <v>902</v>
      </c>
      <c r="L67" s="1157"/>
      <c r="M67" s="1157">
        <v>1106</v>
      </c>
      <c r="N67" s="1168" t="s">
        <v>902</v>
      </c>
      <c r="O67" s="1187">
        <f t="shared" si="1"/>
        <v>1106</v>
      </c>
    </row>
    <row r="68" spans="1:15">
      <c r="A68" s="1353">
        <v>14.042999999999999</v>
      </c>
      <c r="B68" s="1204" t="s">
        <v>6799</v>
      </c>
      <c r="C68" s="1430" t="s">
        <v>191</v>
      </c>
      <c r="D68" s="1157"/>
      <c r="E68" s="1157"/>
      <c r="F68" s="1157"/>
      <c r="G68" s="1157"/>
      <c r="H68" s="1203">
        <v>327676</v>
      </c>
      <c r="I68" s="1157"/>
      <c r="J68" s="1157" t="s">
        <v>902</v>
      </c>
      <c r="K68" s="1157" t="s">
        <v>902</v>
      </c>
      <c r="L68" s="1157"/>
      <c r="M68" s="1168">
        <v>28377506</v>
      </c>
      <c r="N68" s="1157" t="s">
        <v>902</v>
      </c>
      <c r="O68" s="1187">
        <f t="shared" si="1"/>
        <v>28377506</v>
      </c>
    </row>
    <row r="69" spans="1:15">
      <c r="A69" s="1353">
        <v>14.044</v>
      </c>
      <c r="B69" s="1204" t="s">
        <v>6260</v>
      </c>
      <c r="C69" s="1430" t="s">
        <v>195</v>
      </c>
      <c r="D69" s="1157"/>
      <c r="E69" s="1157"/>
      <c r="F69" s="1157"/>
      <c r="G69" s="1157"/>
      <c r="H69" s="1203">
        <v>-17</v>
      </c>
      <c r="I69" s="1157"/>
      <c r="J69" s="1157" t="s">
        <v>902</v>
      </c>
      <c r="K69" s="1157" t="s">
        <v>902</v>
      </c>
      <c r="L69" s="1157"/>
      <c r="M69" s="1168"/>
      <c r="N69" s="1157">
        <v>-3297</v>
      </c>
      <c r="O69" s="1187">
        <f t="shared" si="1"/>
        <v>-3297</v>
      </c>
    </row>
    <row r="70" spans="1:15">
      <c r="A70" s="1353">
        <v>14.045</v>
      </c>
      <c r="B70" s="1204" t="s">
        <v>6260</v>
      </c>
      <c r="C70" s="1430" t="s">
        <v>192</v>
      </c>
      <c r="D70" s="1157"/>
      <c r="E70" s="1157"/>
      <c r="F70" s="1157"/>
      <c r="G70" s="1157"/>
      <c r="H70" s="1203">
        <v>200610</v>
      </c>
      <c r="I70" s="1157"/>
      <c r="J70" s="1157" t="s">
        <v>902</v>
      </c>
      <c r="K70" s="1157" t="s">
        <v>902</v>
      </c>
      <c r="L70" s="1157"/>
      <c r="M70" s="1168">
        <v>20063202</v>
      </c>
      <c r="N70" s="1157" t="s">
        <v>902</v>
      </c>
      <c r="O70" s="1187">
        <f t="shared" si="1"/>
        <v>20063202</v>
      </c>
    </row>
    <row r="71" spans="1:15">
      <c r="A71" s="1353">
        <v>14.045999999999999</v>
      </c>
      <c r="B71" s="1430" t="s">
        <v>5913</v>
      </c>
      <c r="C71" s="1430" t="s">
        <v>192</v>
      </c>
      <c r="D71" s="1157"/>
      <c r="E71" s="1157"/>
      <c r="F71" s="1157"/>
      <c r="G71" s="1157"/>
      <c r="H71" s="1189">
        <v>3382</v>
      </c>
      <c r="I71" s="1157"/>
      <c r="J71" s="1157" t="s">
        <v>902</v>
      </c>
      <c r="K71" s="1157" t="s">
        <v>902</v>
      </c>
      <c r="L71" s="1157"/>
      <c r="M71" s="1157">
        <v>186933</v>
      </c>
      <c r="N71" s="1168" t="s">
        <v>902</v>
      </c>
      <c r="O71" s="1187">
        <f t="shared" si="1"/>
        <v>186933</v>
      </c>
    </row>
    <row r="72" spans="1:15">
      <c r="A72" s="1353">
        <v>14.047000000000001</v>
      </c>
      <c r="B72" s="1430" t="s">
        <v>6197</v>
      </c>
      <c r="C72" s="1430" t="s">
        <v>190</v>
      </c>
      <c r="D72" s="1157"/>
      <c r="E72" s="1157"/>
      <c r="F72" s="1157"/>
      <c r="G72" s="1157"/>
      <c r="H72" s="1203">
        <v>35</v>
      </c>
      <c r="I72" s="1157"/>
      <c r="J72" s="1157" t="s">
        <v>902</v>
      </c>
      <c r="K72" s="1157" t="s">
        <v>902</v>
      </c>
      <c r="L72" s="1157"/>
      <c r="M72" s="1168">
        <v>2560</v>
      </c>
      <c r="N72" s="1157" t="s">
        <v>902</v>
      </c>
      <c r="O72" s="1187">
        <f t="shared" si="1"/>
        <v>2560</v>
      </c>
    </row>
    <row r="73" spans="1:15">
      <c r="A73" s="1353">
        <v>14.048</v>
      </c>
      <c r="B73" s="1430" t="s">
        <v>6244</v>
      </c>
      <c r="C73" s="1430" t="s">
        <v>190</v>
      </c>
      <c r="D73" s="1157"/>
      <c r="E73" s="1157"/>
      <c r="F73" s="1157"/>
      <c r="G73" s="1157"/>
      <c r="H73" s="1203">
        <v>350361</v>
      </c>
      <c r="I73" s="1157"/>
      <c r="J73" s="1157" t="s">
        <v>902</v>
      </c>
      <c r="K73" s="1157" t="s">
        <v>902</v>
      </c>
      <c r="L73" s="1157"/>
      <c r="M73" s="1168">
        <v>16641768</v>
      </c>
      <c r="N73" s="1157" t="s">
        <v>902</v>
      </c>
      <c r="O73" s="1187">
        <f t="shared" si="1"/>
        <v>16641768</v>
      </c>
    </row>
    <row r="74" spans="1:15">
      <c r="A74" s="1353">
        <v>14.048999999999999</v>
      </c>
      <c r="B74" s="1430" t="s">
        <v>6261</v>
      </c>
      <c r="C74" s="1430" t="s">
        <v>195</v>
      </c>
      <c r="D74" s="1157"/>
      <c r="E74" s="1157"/>
      <c r="F74" s="1157"/>
      <c r="G74" s="1157"/>
      <c r="H74" s="1189"/>
      <c r="I74" s="1157"/>
      <c r="J74" s="1157" t="s">
        <v>902</v>
      </c>
      <c r="K74" s="1157" t="s">
        <v>902</v>
      </c>
      <c r="L74" s="1157"/>
      <c r="M74" s="1157"/>
      <c r="N74" s="1168">
        <v>-7836</v>
      </c>
      <c r="O74" s="1187">
        <f t="shared" si="1"/>
        <v>-7836</v>
      </c>
    </row>
    <row r="75" spans="1:15">
      <c r="A75" s="1353">
        <v>14.05</v>
      </c>
      <c r="B75" s="1204" t="s">
        <v>6261</v>
      </c>
      <c r="C75" s="1430" t="s">
        <v>190</v>
      </c>
      <c r="D75" s="1157"/>
      <c r="E75" s="1157"/>
      <c r="F75" s="1157"/>
      <c r="G75" s="1157"/>
      <c r="H75" s="1432">
        <v>115990</v>
      </c>
      <c r="I75" s="1157"/>
      <c r="J75" s="1157" t="s">
        <v>902</v>
      </c>
      <c r="K75" s="1157" t="s">
        <v>902</v>
      </c>
      <c r="L75" s="1157"/>
      <c r="M75" s="1168">
        <v>8585918</v>
      </c>
      <c r="N75" s="1157" t="s">
        <v>902</v>
      </c>
      <c r="O75" s="1187">
        <f t="shared" si="1"/>
        <v>8585918</v>
      </c>
    </row>
    <row r="76" spans="1:15">
      <c r="A76" s="1353">
        <v>14.051</v>
      </c>
      <c r="B76" s="1204" t="s">
        <v>6198</v>
      </c>
      <c r="C76" s="1430" t="s">
        <v>190</v>
      </c>
      <c r="D76" s="1157"/>
      <c r="E76" s="1157"/>
      <c r="F76" s="1157"/>
      <c r="G76" s="1157"/>
      <c r="H76" s="1203">
        <v>5</v>
      </c>
      <c r="I76" s="1157"/>
      <c r="J76" s="1157" t="s">
        <v>902</v>
      </c>
      <c r="K76" s="1157" t="s">
        <v>902</v>
      </c>
      <c r="L76" s="1157"/>
      <c r="M76" s="1168">
        <v>136</v>
      </c>
      <c r="N76" s="1157" t="s">
        <v>902</v>
      </c>
      <c r="O76" s="1187">
        <f t="shared" si="1"/>
        <v>136</v>
      </c>
    </row>
    <row r="77" spans="1:15">
      <c r="A77" s="1353">
        <v>14.052</v>
      </c>
      <c r="B77" s="1204" t="s">
        <v>6199</v>
      </c>
      <c r="C77" s="1430" t="s">
        <v>190</v>
      </c>
      <c r="D77" s="1157"/>
      <c r="E77" s="1157"/>
      <c r="F77" s="1157"/>
      <c r="G77" s="1157"/>
      <c r="H77" s="1189">
        <v>26187</v>
      </c>
      <c r="I77" s="1157"/>
      <c r="J77" s="1157" t="s">
        <v>902</v>
      </c>
      <c r="K77" s="1157" t="s">
        <v>902</v>
      </c>
      <c r="L77" s="1157"/>
      <c r="M77" s="1157">
        <v>2201758</v>
      </c>
      <c r="N77" s="1168" t="s">
        <v>902</v>
      </c>
      <c r="O77" s="1187">
        <f t="shared" si="1"/>
        <v>2201758</v>
      </c>
    </row>
    <row r="78" spans="1:15">
      <c r="A78" s="1353">
        <v>14.053000000000001</v>
      </c>
      <c r="B78" s="1204" t="s">
        <v>6246</v>
      </c>
      <c r="C78" s="1430" t="s">
        <v>190</v>
      </c>
      <c r="D78" s="1157"/>
      <c r="E78" s="1157"/>
      <c r="F78" s="1157"/>
      <c r="G78" s="1157"/>
      <c r="H78" s="1203">
        <v>206</v>
      </c>
      <c r="I78" s="1157"/>
      <c r="J78" s="1157" t="s">
        <v>902</v>
      </c>
      <c r="K78" s="1157" t="s">
        <v>902</v>
      </c>
      <c r="L78" s="1157"/>
      <c r="M78" s="1168">
        <v>8003</v>
      </c>
      <c r="N78" s="1157" t="s">
        <v>902</v>
      </c>
      <c r="O78" s="1187">
        <f t="shared" si="1"/>
        <v>8003</v>
      </c>
    </row>
    <row r="79" spans="1:15">
      <c r="A79" s="1353">
        <v>14.054</v>
      </c>
      <c r="B79" s="1204" t="s">
        <v>6247</v>
      </c>
      <c r="C79" s="1430" t="s">
        <v>195</v>
      </c>
      <c r="D79" s="1157"/>
      <c r="E79" s="1157"/>
      <c r="F79" s="1157"/>
      <c r="G79" s="1157"/>
      <c r="H79" s="1203"/>
      <c r="I79" s="1157"/>
      <c r="J79" s="1157" t="s">
        <v>902</v>
      </c>
      <c r="K79" s="1157" t="s">
        <v>902</v>
      </c>
      <c r="L79" s="1157"/>
      <c r="M79" s="1168"/>
      <c r="N79" s="1157">
        <v>-244786</v>
      </c>
      <c r="O79" s="1187">
        <f t="shared" si="1"/>
        <v>-244786</v>
      </c>
    </row>
    <row r="80" spans="1:15">
      <c r="A80" s="1353">
        <v>14.055</v>
      </c>
      <c r="B80" s="1204" t="s">
        <v>6247</v>
      </c>
      <c r="C80" s="1204" t="s">
        <v>190</v>
      </c>
      <c r="D80" s="1204"/>
      <c r="E80" s="1204"/>
      <c r="F80" s="1157"/>
      <c r="G80" s="1157"/>
      <c r="H80" s="1189">
        <v>291130</v>
      </c>
      <c r="I80" s="1157"/>
      <c r="J80" s="1157" t="s">
        <v>902</v>
      </c>
      <c r="K80" s="1157" t="s">
        <v>902</v>
      </c>
      <c r="L80" s="1157"/>
      <c r="M80" s="1168">
        <v>10776222</v>
      </c>
      <c r="N80" s="1157" t="s">
        <v>902</v>
      </c>
      <c r="O80" s="1187">
        <f t="shared" si="1"/>
        <v>10776222</v>
      </c>
    </row>
    <row r="81" spans="1:15">
      <c r="A81" s="1353">
        <v>14.055999999999999</v>
      </c>
      <c r="B81" s="1204" t="s">
        <v>6262</v>
      </c>
      <c r="C81" s="1430" t="s">
        <v>195</v>
      </c>
      <c r="D81" s="1204"/>
      <c r="E81" s="1157"/>
      <c r="F81" s="1157"/>
      <c r="G81" s="1157"/>
      <c r="H81" s="1203">
        <v>-141</v>
      </c>
      <c r="I81" s="1157"/>
      <c r="J81" s="1157" t="s">
        <v>902</v>
      </c>
      <c r="K81" s="1157" t="s">
        <v>902</v>
      </c>
      <c r="L81" s="1157"/>
      <c r="M81" s="1157"/>
      <c r="N81" s="1168">
        <v>-23391</v>
      </c>
      <c r="O81" s="1187">
        <f t="shared" si="1"/>
        <v>-23391</v>
      </c>
    </row>
    <row r="82" spans="1:15">
      <c r="A82" s="1353">
        <v>14.057</v>
      </c>
      <c r="B82" s="1204" t="s">
        <v>6200</v>
      </c>
      <c r="C82" s="1430" t="s">
        <v>195</v>
      </c>
      <c r="D82" s="1157"/>
      <c r="E82" s="1157"/>
      <c r="F82" s="1157"/>
      <c r="G82" s="1157"/>
      <c r="H82" s="1203">
        <v>-206</v>
      </c>
      <c r="I82" s="1157"/>
      <c r="J82" s="1157" t="s">
        <v>902</v>
      </c>
      <c r="K82" s="1157" t="s">
        <v>902</v>
      </c>
      <c r="L82" s="1157"/>
      <c r="M82" s="1168"/>
      <c r="N82" s="1157">
        <v>-9775</v>
      </c>
      <c r="O82" s="1187">
        <f t="shared" si="1"/>
        <v>-9775</v>
      </c>
    </row>
    <row r="83" spans="1:15">
      <c r="A83" s="1353">
        <v>14.058</v>
      </c>
      <c r="B83" s="1204" t="s">
        <v>6200</v>
      </c>
      <c r="C83" s="1430" t="s">
        <v>187</v>
      </c>
      <c r="D83" s="1157"/>
      <c r="E83" s="1157"/>
      <c r="F83" s="1157"/>
      <c r="G83" s="1157"/>
      <c r="H83" s="1203">
        <v>243042</v>
      </c>
      <c r="I83" s="1157"/>
      <c r="J83" s="1157" t="s">
        <v>902</v>
      </c>
      <c r="K83" s="1157" t="s">
        <v>902</v>
      </c>
      <c r="L83" s="1157"/>
      <c r="M83" s="1168">
        <v>11532343</v>
      </c>
      <c r="N83" s="1157" t="s">
        <v>902</v>
      </c>
      <c r="O83" s="1187">
        <f t="shared" si="1"/>
        <v>11532343</v>
      </c>
    </row>
    <row r="84" spans="1:15">
      <c r="A84" s="1353">
        <v>14.058999999999999</v>
      </c>
      <c r="B84" s="1204" t="s">
        <v>6200</v>
      </c>
      <c r="C84" s="1430" t="s">
        <v>192</v>
      </c>
      <c r="D84" s="1157"/>
      <c r="E84" s="1157"/>
      <c r="F84" s="1157"/>
      <c r="G84" s="1157"/>
      <c r="H84" s="1189">
        <v>38181</v>
      </c>
      <c r="I84" s="1157"/>
      <c r="J84" s="1157" t="s">
        <v>902</v>
      </c>
      <c r="K84" s="1157" t="s">
        <v>902</v>
      </c>
      <c r="L84" s="1157"/>
      <c r="M84" s="1168">
        <v>2379426</v>
      </c>
      <c r="N84" s="1157" t="s">
        <v>902</v>
      </c>
      <c r="O84" s="1187">
        <f t="shared" si="1"/>
        <v>2379426</v>
      </c>
    </row>
    <row r="85" spans="1:15">
      <c r="A85" s="1353">
        <v>14.06</v>
      </c>
      <c r="B85" s="1430" t="s">
        <v>6203</v>
      </c>
      <c r="C85" s="1430" t="s">
        <v>192</v>
      </c>
      <c r="D85" s="1157"/>
      <c r="E85" s="1157"/>
      <c r="F85" s="1157"/>
      <c r="G85" s="1157"/>
      <c r="H85" s="1203">
        <v>15008</v>
      </c>
      <c r="I85" s="1157"/>
      <c r="J85" s="1157" t="s">
        <v>902</v>
      </c>
      <c r="K85" s="1157" t="s">
        <v>902</v>
      </c>
      <c r="L85" s="1157"/>
      <c r="M85" s="1168">
        <v>718592</v>
      </c>
      <c r="N85" s="1157" t="s">
        <v>902</v>
      </c>
      <c r="O85" s="1187">
        <f t="shared" si="1"/>
        <v>718592</v>
      </c>
    </row>
    <row r="86" spans="1:15">
      <c r="A86" s="1353">
        <v>14.061</v>
      </c>
      <c r="B86" s="1430" t="s">
        <v>6204</v>
      </c>
      <c r="C86" s="1430" t="s">
        <v>192</v>
      </c>
      <c r="D86" s="1157"/>
      <c r="E86" s="1157"/>
      <c r="F86" s="1157"/>
      <c r="G86" s="1157"/>
      <c r="H86" s="1203">
        <v>20278</v>
      </c>
      <c r="I86" s="1157"/>
      <c r="J86" s="1157" t="s">
        <v>902</v>
      </c>
      <c r="K86" s="1157" t="s">
        <v>902</v>
      </c>
      <c r="L86" s="1157"/>
      <c r="M86" s="1168">
        <v>1302139</v>
      </c>
      <c r="N86" s="1157" t="s">
        <v>902</v>
      </c>
      <c r="O86" s="1187">
        <f t="shared" si="1"/>
        <v>1302139</v>
      </c>
    </row>
    <row r="87" spans="1:15">
      <c r="A87" s="1353">
        <v>14.061999999999999</v>
      </c>
      <c r="B87" s="1430" t="s">
        <v>6205</v>
      </c>
      <c r="C87" s="1430" t="s">
        <v>193</v>
      </c>
      <c r="D87" s="1157"/>
      <c r="E87" s="1157"/>
      <c r="F87" s="1157"/>
      <c r="G87" s="1157"/>
      <c r="H87" s="1203"/>
      <c r="I87" s="1157"/>
      <c r="J87" s="1157">
        <v>413000</v>
      </c>
      <c r="K87" s="1157">
        <v>413000</v>
      </c>
      <c r="L87" s="1157"/>
      <c r="M87" s="1168"/>
      <c r="N87" s="1157" t="s">
        <v>902</v>
      </c>
      <c r="O87" s="1187">
        <f t="shared" si="1"/>
        <v>0</v>
      </c>
    </row>
    <row r="88" spans="1:15">
      <c r="A88" s="1353">
        <v>14.063000000000001</v>
      </c>
      <c r="B88" s="1430" t="s">
        <v>6206</v>
      </c>
      <c r="C88" s="1430" t="s">
        <v>192</v>
      </c>
      <c r="D88" s="1157"/>
      <c r="E88" s="1157"/>
      <c r="F88" s="1157"/>
      <c r="G88" s="1157"/>
      <c r="H88" s="1203">
        <v>11081</v>
      </c>
      <c r="I88" s="1157"/>
      <c r="J88" s="1157" t="s">
        <v>902</v>
      </c>
      <c r="K88" s="1157" t="s">
        <v>902</v>
      </c>
      <c r="L88" s="1157"/>
      <c r="M88" s="1168">
        <v>683394</v>
      </c>
      <c r="N88" s="1157" t="s">
        <v>902</v>
      </c>
      <c r="O88" s="1187">
        <f t="shared" si="1"/>
        <v>683394</v>
      </c>
    </row>
    <row r="89" spans="1:15">
      <c r="A89" s="1353">
        <v>14.064</v>
      </c>
      <c r="B89" s="1204" t="s">
        <v>6248</v>
      </c>
      <c r="C89" s="1430" t="s">
        <v>190</v>
      </c>
      <c r="D89" s="1157"/>
      <c r="E89" s="1157"/>
      <c r="F89" s="1157"/>
      <c r="G89" s="1157"/>
      <c r="H89" s="1157">
        <v>10492</v>
      </c>
      <c r="I89" s="1157"/>
      <c r="J89" s="1432" t="s">
        <v>902</v>
      </c>
      <c r="K89" s="1432" t="s">
        <v>902</v>
      </c>
      <c r="L89" s="1157"/>
      <c r="M89" s="1157">
        <v>763117</v>
      </c>
      <c r="N89" s="1157" t="s">
        <v>902</v>
      </c>
      <c r="O89" s="1187">
        <f t="shared" si="1"/>
        <v>763117</v>
      </c>
    </row>
    <row r="90" spans="1:15">
      <c r="A90" s="1353">
        <v>14.065</v>
      </c>
      <c r="B90" s="1204" t="s">
        <v>6207</v>
      </c>
      <c r="C90" s="1430" t="s">
        <v>192</v>
      </c>
      <c r="D90" s="1157"/>
      <c r="E90" s="1157"/>
      <c r="F90" s="1157"/>
      <c r="G90" s="1157"/>
      <c r="H90" s="1203">
        <v>57</v>
      </c>
      <c r="I90" s="1157"/>
      <c r="J90" s="1157" t="s">
        <v>902</v>
      </c>
      <c r="K90" s="1157" t="s">
        <v>902</v>
      </c>
      <c r="L90" s="1157"/>
      <c r="M90" s="1168">
        <v>2198</v>
      </c>
      <c r="N90" s="1157" t="s">
        <v>902</v>
      </c>
      <c r="O90" s="1187">
        <f t="shared" si="1"/>
        <v>2198</v>
      </c>
    </row>
    <row r="91" spans="1:15">
      <c r="A91" s="1353">
        <v>14.066000000000001</v>
      </c>
      <c r="B91" s="1204" t="s">
        <v>6208</v>
      </c>
      <c r="C91" s="1430" t="s">
        <v>192</v>
      </c>
      <c r="D91" s="1157"/>
      <c r="E91" s="1157"/>
      <c r="F91" s="1157"/>
      <c r="G91" s="1157"/>
      <c r="H91" s="1203">
        <v>20152</v>
      </c>
      <c r="I91" s="1157"/>
      <c r="J91" s="1157" t="s">
        <v>902</v>
      </c>
      <c r="K91" s="1157" t="s">
        <v>902</v>
      </c>
      <c r="L91" s="1157"/>
      <c r="M91" s="1168">
        <v>1893342</v>
      </c>
      <c r="N91" s="1157" t="s">
        <v>902</v>
      </c>
      <c r="O91" s="1187">
        <f t="shared" si="1"/>
        <v>1893342</v>
      </c>
    </row>
    <row r="92" spans="1:15">
      <c r="A92" s="1353">
        <v>14.067</v>
      </c>
      <c r="B92" s="1204" t="s">
        <v>5921</v>
      </c>
      <c r="C92" s="1430" t="s">
        <v>195</v>
      </c>
      <c r="D92" s="1157"/>
      <c r="E92" s="1157"/>
      <c r="F92" s="1157"/>
      <c r="G92" s="1157"/>
      <c r="H92" s="1203">
        <v>-18</v>
      </c>
      <c r="I92" s="1157"/>
      <c r="J92" s="1157" t="s">
        <v>902</v>
      </c>
      <c r="K92" s="1157" t="s">
        <v>902</v>
      </c>
      <c r="L92" s="1157"/>
      <c r="M92" s="1168"/>
      <c r="N92" s="1157">
        <v>-2099</v>
      </c>
      <c r="O92" s="1187">
        <f t="shared" si="1"/>
        <v>-2099</v>
      </c>
    </row>
    <row r="93" spans="1:15">
      <c r="A93" s="1353">
        <v>14.068</v>
      </c>
      <c r="B93" s="1204" t="s">
        <v>5921</v>
      </c>
      <c r="C93" s="1430" t="s">
        <v>193</v>
      </c>
      <c r="D93" s="1157"/>
      <c r="E93" s="1157"/>
      <c r="F93" s="1157"/>
      <c r="G93" s="1157"/>
      <c r="H93" s="1203"/>
      <c r="I93" s="1157"/>
      <c r="J93" s="1157">
        <v>60</v>
      </c>
      <c r="K93" s="1157">
        <v>70</v>
      </c>
      <c r="L93" s="1157"/>
      <c r="M93" s="1168">
        <v>-1000</v>
      </c>
      <c r="N93" s="1157" t="s">
        <v>902</v>
      </c>
      <c r="O93" s="1187">
        <f t="shared" si="1"/>
        <v>-1000</v>
      </c>
    </row>
    <row r="94" spans="1:15">
      <c r="A94" s="1353">
        <v>14.069000000000001</v>
      </c>
      <c r="B94" s="1204" t="s">
        <v>5921</v>
      </c>
      <c r="C94" s="1204" t="s">
        <v>192</v>
      </c>
      <c r="D94" s="1204"/>
      <c r="E94" s="1204"/>
      <c r="F94" s="1157"/>
      <c r="G94" s="1157"/>
      <c r="H94" s="1203">
        <v>32090</v>
      </c>
      <c r="I94" s="1157"/>
      <c r="J94" s="1157" t="s">
        <v>902</v>
      </c>
      <c r="K94" s="1157" t="s">
        <v>902</v>
      </c>
      <c r="L94" s="1157"/>
      <c r="M94" s="1168">
        <v>7572261</v>
      </c>
      <c r="N94" s="1157" t="s">
        <v>902</v>
      </c>
      <c r="O94" s="1187">
        <f t="shared" si="1"/>
        <v>7572261</v>
      </c>
    </row>
    <row r="95" spans="1:15">
      <c r="A95" s="1353">
        <v>14.07</v>
      </c>
      <c r="B95" s="1204" t="s">
        <v>6265</v>
      </c>
      <c r="C95" s="1430" t="s">
        <v>188</v>
      </c>
      <c r="D95" s="1204"/>
      <c r="E95" s="1157"/>
      <c r="F95" s="1157"/>
      <c r="G95" s="1157"/>
      <c r="H95" s="1203">
        <v>488000</v>
      </c>
      <c r="I95" s="1157"/>
      <c r="J95" s="1157" t="s">
        <v>902</v>
      </c>
      <c r="K95" s="1157" t="s">
        <v>902</v>
      </c>
      <c r="L95" s="1157"/>
      <c r="M95" s="1168">
        <v>51069200</v>
      </c>
      <c r="N95" s="1157" t="s">
        <v>902</v>
      </c>
      <c r="O95" s="1187">
        <f t="shared" si="1"/>
        <v>51069200</v>
      </c>
    </row>
    <row r="96" spans="1:15">
      <c r="A96" s="1353">
        <v>14.071</v>
      </c>
      <c r="B96" s="1204" t="s">
        <v>6266</v>
      </c>
      <c r="C96" s="1430" t="s">
        <v>188</v>
      </c>
      <c r="D96" s="1157"/>
      <c r="E96" s="1157"/>
      <c r="F96" s="1157"/>
      <c r="G96" s="1157"/>
      <c r="H96" s="1203">
        <v>1208000</v>
      </c>
      <c r="I96" s="1157"/>
      <c r="J96" s="1157" t="s">
        <v>902</v>
      </c>
      <c r="K96" s="1157" t="s">
        <v>902</v>
      </c>
      <c r="L96" s="1157"/>
      <c r="M96" s="1168">
        <v>142483600</v>
      </c>
      <c r="N96" s="1157" t="s">
        <v>902</v>
      </c>
      <c r="O96" s="1187">
        <f t="shared" si="1"/>
        <v>142483600</v>
      </c>
    </row>
    <row r="97" spans="1:15">
      <c r="A97" s="1353">
        <v>14.071999999999999</v>
      </c>
      <c r="B97" s="1204" t="s">
        <v>5923</v>
      </c>
      <c r="C97" s="1430" t="s">
        <v>192</v>
      </c>
      <c r="D97" s="1157"/>
      <c r="E97" s="1157"/>
      <c r="F97" s="1157"/>
      <c r="G97" s="1157"/>
      <c r="H97" s="1203">
        <v>2105</v>
      </c>
      <c r="I97" s="1157"/>
      <c r="J97" s="1157" t="s">
        <v>902</v>
      </c>
      <c r="K97" s="1157" t="s">
        <v>902</v>
      </c>
      <c r="L97" s="1157"/>
      <c r="M97" s="1168">
        <v>222798</v>
      </c>
      <c r="N97" s="1157" t="s">
        <v>902</v>
      </c>
      <c r="O97" s="1187">
        <f t="shared" si="1"/>
        <v>222798</v>
      </c>
    </row>
    <row r="98" spans="1:15">
      <c r="A98" s="1353">
        <v>14.073</v>
      </c>
      <c r="B98" s="1204" t="s">
        <v>6209</v>
      </c>
      <c r="C98" s="1430" t="s">
        <v>190</v>
      </c>
      <c r="D98" s="1157"/>
      <c r="E98" s="1157"/>
      <c r="F98" s="1157"/>
      <c r="G98" s="1157"/>
      <c r="H98" s="1203">
        <v>4038</v>
      </c>
      <c r="I98" s="1157"/>
      <c r="J98" s="1157" t="s">
        <v>902</v>
      </c>
      <c r="K98" s="1157" t="s">
        <v>902</v>
      </c>
      <c r="L98" s="1157"/>
      <c r="M98" s="1168">
        <v>189188</v>
      </c>
      <c r="N98" s="1157" t="s">
        <v>902</v>
      </c>
      <c r="O98" s="1187">
        <f t="shared" si="1"/>
        <v>189188</v>
      </c>
    </row>
    <row r="99" spans="1:15">
      <c r="A99" s="1433">
        <v>14.074</v>
      </c>
      <c r="B99" s="1257" t="s">
        <v>5628</v>
      </c>
      <c r="C99" s="1257" t="s">
        <v>195</v>
      </c>
      <c r="D99" s="1169"/>
      <c r="E99" s="1169"/>
      <c r="F99" s="1169"/>
      <c r="G99" s="1169"/>
      <c r="H99" s="1258"/>
      <c r="I99" s="1169"/>
      <c r="J99" s="1169" t="s">
        <v>902</v>
      </c>
      <c r="K99" s="1169" t="s">
        <v>902</v>
      </c>
      <c r="L99" s="1169"/>
      <c r="M99" s="1169"/>
      <c r="N99" s="1171">
        <v>-77223142</v>
      </c>
      <c r="O99" s="1420">
        <v>0</v>
      </c>
    </row>
    <row r="100" spans="1:15">
      <c r="A100" s="1353">
        <v>14.074999999999999</v>
      </c>
      <c r="B100" s="1204" t="s">
        <v>6267</v>
      </c>
      <c r="C100" s="1430" t="s">
        <v>192</v>
      </c>
      <c r="D100" s="1157"/>
      <c r="E100" s="1157"/>
      <c r="F100" s="1157"/>
      <c r="G100" s="1157"/>
      <c r="H100" s="1203">
        <v>160</v>
      </c>
      <c r="I100" s="1157"/>
      <c r="J100" s="1157" t="s">
        <v>902</v>
      </c>
      <c r="K100" s="1157" t="s">
        <v>902</v>
      </c>
      <c r="L100" s="1157"/>
      <c r="M100" s="1168">
        <v>11025</v>
      </c>
      <c r="N100" s="1157" t="s">
        <v>902</v>
      </c>
      <c r="O100" s="1187">
        <f t="shared" ref="O100:O131" si="2">SUM(L100:N100)</f>
        <v>11025</v>
      </c>
    </row>
    <row r="101" spans="1:15">
      <c r="A101" s="1353">
        <v>14.076000000000001</v>
      </c>
      <c r="B101" s="1204" t="s">
        <v>5925</v>
      </c>
      <c r="C101" s="1430" t="s">
        <v>195</v>
      </c>
      <c r="D101" s="1157"/>
      <c r="E101" s="1157"/>
      <c r="F101" s="1157"/>
      <c r="G101" s="1157"/>
      <c r="H101" s="1203"/>
      <c r="I101" s="1157"/>
      <c r="J101" s="1157" t="s">
        <v>902</v>
      </c>
      <c r="K101" s="1157" t="s">
        <v>902</v>
      </c>
      <c r="L101" s="1157"/>
      <c r="M101" s="1157"/>
      <c r="N101" s="1168">
        <v>187000</v>
      </c>
      <c r="O101" s="1187">
        <f t="shared" si="2"/>
        <v>187000</v>
      </c>
    </row>
    <row r="102" spans="1:15">
      <c r="A102" s="1353">
        <v>14.077</v>
      </c>
      <c r="B102" s="1204" t="s">
        <v>5925</v>
      </c>
      <c r="C102" s="1430" t="s">
        <v>192</v>
      </c>
      <c r="D102" s="1157"/>
      <c r="E102" s="1157"/>
      <c r="F102" s="1157"/>
      <c r="G102" s="1157"/>
      <c r="H102" s="1203">
        <v>41692</v>
      </c>
      <c r="I102" s="1157"/>
      <c r="J102" s="1157" t="s">
        <v>902</v>
      </c>
      <c r="K102" s="1157" t="s">
        <v>902</v>
      </c>
      <c r="L102" s="1157"/>
      <c r="M102" s="1168">
        <v>2722888</v>
      </c>
      <c r="N102" s="1157" t="s">
        <v>902</v>
      </c>
      <c r="O102" s="1187">
        <f t="shared" si="2"/>
        <v>2722888</v>
      </c>
    </row>
    <row r="103" spans="1:15">
      <c r="A103" s="1353">
        <v>14.077999999999999</v>
      </c>
      <c r="B103" s="1204" t="s">
        <v>6210</v>
      </c>
      <c r="C103" s="1430" t="s">
        <v>192</v>
      </c>
      <c r="D103" s="1157"/>
      <c r="E103" s="1157"/>
      <c r="F103" s="1157"/>
      <c r="G103" s="1157"/>
      <c r="H103" s="1203">
        <v>474143</v>
      </c>
      <c r="I103" s="1157"/>
      <c r="J103" s="1157" t="s">
        <v>902</v>
      </c>
      <c r="K103" s="1157" t="s">
        <v>902</v>
      </c>
      <c r="L103" s="1157"/>
      <c r="M103" s="1157">
        <v>43537127</v>
      </c>
      <c r="N103" s="1168" t="s">
        <v>902</v>
      </c>
      <c r="O103" s="1187">
        <f t="shared" si="2"/>
        <v>43537127</v>
      </c>
    </row>
    <row r="104" spans="1:15">
      <c r="A104" s="1353">
        <v>14.079000000000001</v>
      </c>
      <c r="B104" s="1204" t="s">
        <v>6250</v>
      </c>
      <c r="C104" s="1430" t="s">
        <v>195</v>
      </c>
      <c r="D104" s="1157"/>
      <c r="E104" s="1157"/>
      <c r="F104" s="1157"/>
      <c r="G104" s="1157"/>
      <c r="H104" s="1203"/>
      <c r="I104" s="1157"/>
      <c r="J104" s="1157" t="s">
        <v>902</v>
      </c>
      <c r="K104" s="1157" t="s">
        <v>902</v>
      </c>
      <c r="L104" s="1157"/>
      <c r="M104" s="1168"/>
      <c r="N104" s="1157">
        <v>-10147</v>
      </c>
      <c r="O104" s="1187">
        <f t="shared" si="2"/>
        <v>-10147</v>
      </c>
    </row>
    <row r="105" spans="1:15">
      <c r="A105" s="1353">
        <v>14.08</v>
      </c>
      <c r="B105" s="1204" t="s">
        <v>6250</v>
      </c>
      <c r="C105" s="1430" t="s">
        <v>190</v>
      </c>
      <c r="D105" s="1157"/>
      <c r="E105" s="1157"/>
      <c r="F105" s="1157"/>
      <c r="G105" s="1157"/>
      <c r="H105" s="1189">
        <v>135153</v>
      </c>
      <c r="I105" s="1157"/>
      <c r="J105" s="1157" t="s">
        <v>902</v>
      </c>
      <c r="K105" s="1157" t="s">
        <v>902</v>
      </c>
      <c r="L105" s="1157"/>
      <c r="M105" s="1157">
        <v>5959942</v>
      </c>
      <c r="N105" s="1168" t="s">
        <v>902</v>
      </c>
      <c r="O105" s="1187">
        <f t="shared" si="2"/>
        <v>5959942</v>
      </c>
    </row>
    <row r="106" spans="1:15">
      <c r="A106" s="1353">
        <v>14.081</v>
      </c>
      <c r="B106" s="1204" t="s">
        <v>6211</v>
      </c>
      <c r="C106" s="1430" t="s">
        <v>190</v>
      </c>
      <c r="D106" s="1157"/>
      <c r="E106" s="1157"/>
      <c r="F106" s="1157"/>
      <c r="G106" s="1157"/>
      <c r="H106" s="1203">
        <v>3050</v>
      </c>
      <c r="I106" s="1157"/>
      <c r="J106" s="1157" t="s">
        <v>902</v>
      </c>
      <c r="K106" s="1157" t="s">
        <v>902</v>
      </c>
      <c r="L106" s="1157"/>
      <c r="M106" s="1168">
        <v>103122</v>
      </c>
      <c r="N106" s="1157" t="s">
        <v>902</v>
      </c>
      <c r="O106" s="1187">
        <f t="shared" si="2"/>
        <v>103122</v>
      </c>
    </row>
    <row r="107" spans="1:15">
      <c r="A107" s="1353">
        <v>14.082000000000001</v>
      </c>
      <c r="B107" s="1204" t="s">
        <v>6212</v>
      </c>
      <c r="C107" s="1430" t="s">
        <v>190</v>
      </c>
      <c r="D107" s="1157"/>
      <c r="E107" s="1157"/>
      <c r="F107" s="1157"/>
      <c r="G107" s="1157"/>
      <c r="H107" s="1203">
        <v>415029</v>
      </c>
      <c r="I107" s="1157"/>
      <c r="J107" s="1157" t="s">
        <v>902</v>
      </c>
      <c r="K107" s="1157" t="s">
        <v>902</v>
      </c>
      <c r="L107" s="1157"/>
      <c r="M107" s="1168">
        <v>19618210</v>
      </c>
      <c r="N107" s="1157" t="s">
        <v>902</v>
      </c>
      <c r="O107" s="1187">
        <f t="shared" si="2"/>
        <v>19618210</v>
      </c>
    </row>
    <row r="108" spans="1:15">
      <c r="A108" s="1353">
        <v>14.083</v>
      </c>
      <c r="B108" s="1204" t="s">
        <v>6213</v>
      </c>
      <c r="C108" s="1430" t="s">
        <v>192</v>
      </c>
      <c r="D108" s="1157"/>
      <c r="E108" s="1157"/>
      <c r="F108" s="1157"/>
      <c r="G108" s="1157"/>
      <c r="H108" s="1203">
        <v>13665</v>
      </c>
      <c r="I108" s="1157"/>
      <c r="J108" s="1157" t="s">
        <v>902</v>
      </c>
      <c r="K108" s="1157" t="s">
        <v>902</v>
      </c>
      <c r="L108" s="1157"/>
      <c r="M108" s="1168">
        <v>371994</v>
      </c>
      <c r="N108" s="1157" t="s">
        <v>902</v>
      </c>
      <c r="O108" s="1187">
        <f t="shared" si="2"/>
        <v>371994</v>
      </c>
    </row>
    <row r="109" spans="1:15">
      <c r="A109" s="1353">
        <v>14.084</v>
      </c>
      <c r="B109" s="1204" t="s">
        <v>6214</v>
      </c>
      <c r="C109" s="1430" t="s">
        <v>192</v>
      </c>
      <c r="D109" s="1157"/>
      <c r="E109" s="1157"/>
      <c r="F109" s="1157"/>
      <c r="G109" s="1157"/>
      <c r="H109" s="1203">
        <v>5966</v>
      </c>
      <c r="I109" s="1157"/>
      <c r="J109" s="1157" t="s">
        <v>902</v>
      </c>
      <c r="K109" s="1157" t="s">
        <v>902</v>
      </c>
      <c r="L109" s="1157"/>
      <c r="M109" s="1168">
        <v>252232</v>
      </c>
      <c r="N109" s="1157" t="s">
        <v>902</v>
      </c>
      <c r="O109" s="1187">
        <f t="shared" si="2"/>
        <v>252232</v>
      </c>
    </row>
    <row r="110" spans="1:15">
      <c r="A110" s="1353">
        <v>14.085000000000001</v>
      </c>
      <c r="B110" s="1204" t="s">
        <v>6268</v>
      </c>
      <c r="C110" s="1430" t="s">
        <v>190</v>
      </c>
      <c r="D110" s="1157"/>
      <c r="E110" s="1157"/>
      <c r="F110" s="1157"/>
      <c r="G110" s="1157"/>
      <c r="H110" s="1189">
        <v>781</v>
      </c>
      <c r="I110" s="1157"/>
      <c r="J110" s="1157" t="s">
        <v>902</v>
      </c>
      <c r="K110" s="1157" t="s">
        <v>902</v>
      </c>
      <c r="L110" s="1157"/>
      <c r="M110" s="1157">
        <v>56799</v>
      </c>
      <c r="N110" s="1168" t="s">
        <v>902</v>
      </c>
      <c r="O110" s="1187">
        <f t="shared" si="2"/>
        <v>56799</v>
      </c>
    </row>
    <row r="111" spans="1:15">
      <c r="A111" s="1353">
        <v>14.086</v>
      </c>
      <c r="B111" s="1204" t="s">
        <v>6269</v>
      </c>
      <c r="C111" s="1430" t="s">
        <v>192</v>
      </c>
      <c r="D111" s="1157"/>
      <c r="E111" s="1157"/>
      <c r="F111" s="1157"/>
      <c r="G111" s="1157"/>
      <c r="H111" s="1203">
        <v>185</v>
      </c>
      <c r="I111" s="1157"/>
      <c r="J111" s="1157" t="s">
        <v>902</v>
      </c>
      <c r="K111" s="1157" t="s">
        <v>902</v>
      </c>
      <c r="L111" s="1157"/>
      <c r="M111" s="1168">
        <v>6725</v>
      </c>
      <c r="N111" s="1157" t="s">
        <v>902</v>
      </c>
      <c r="O111" s="1187">
        <f t="shared" si="2"/>
        <v>6725</v>
      </c>
    </row>
    <row r="112" spans="1:15">
      <c r="A112" s="1353">
        <v>14.087</v>
      </c>
      <c r="B112" s="1204" t="s">
        <v>5928</v>
      </c>
      <c r="C112" s="1430" t="s">
        <v>192</v>
      </c>
      <c r="D112" s="1157"/>
      <c r="E112" s="1157"/>
      <c r="F112" s="1157"/>
      <c r="G112" s="1157"/>
      <c r="H112" s="1203">
        <v>27844</v>
      </c>
      <c r="I112" s="1157"/>
      <c r="J112" s="1157" t="s">
        <v>902</v>
      </c>
      <c r="K112" s="1157" t="s">
        <v>902</v>
      </c>
      <c r="L112" s="1157"/>
      <c r="M112" s="1168">
        <v>2851486</v>
      </c>
      <c r="N112" s="1157" t="s">
        <v>902</v>
      </c>
      <c r="O112" s="1187">
        <f t="shared" si="2"/>
        <v>2851486</v>
      </c>
    </row>
    <row r="113" spans="1:15">
      <c r="A113" s="1353">
        <v>14.087999999999999</v>
      </c>
      <c r="B113" s="1204" t="s">
        <v>5929</v>
      </c>
      <c r="C113" s="1430" t="s">
        <v>195</v>
      </c>
      <c r="D113" s="1157"/>
      <c r="E113" s="1157"/>
      <c r="F113" s="1157"/>
      <c r="G113" s="1157"/>
      <c r="H113" s="1203"/>
      <c r="I113" s="1157"/>
      <c r="J113" s="1157" t="s">
        <v>902</v>
      </c>
      <c r="K113" s="1157" t="s">
        <v>902</v>
      </c>
      <c r="L113" s="1157"/>
      <c r="M113" s="1168"/>
      <c r="N113" s="1157">
        <v>-500</v>
      </c>
      <c r="O113" s="1187">
        <f t="shared" si="2"/>
        <v>-500</v>
      </c>
    </row>
    <row r="114" spans="1:15">
      <c r="A114" s="1353">
        <v>14.089</v>
      </c>
      <c r="B114" s="1204" t="s">
        <v>5929</v>
      </c>
      <c r="C114" s="1430" t="s">
        <v>192</v>
      </c>
      <c r="D114" s="1157"/>
      <c r="E114" s="1157"/>
      <c r="F114" s="1157"/>
      <c r="G114" s="1157"/>
      <c r="H114" s="1203">
        <v>51143</v>
      </c>
      <c r="I114" s="1157"/>
      <c r="J114" s="1157" t="s">
        <v>902</v>
      </c>
      <c r="K114" s="1157" t="s">
        <v>902</v>
      </c>
      <c r="L114" s="1157"/>
      <c r="M114" s="1168">
        <v>2617691</v>
      </c>
      <c r="N114" s="1157" t="s">
        <v>902</v>
      </c>
      <c r="O114" s="1187">
        <f t="shared" si="2"/>
        <v>2617691</v>
      </c>
    </row>
    <row r="115" spans="1:15">
      <c r="A115" s="1353">
        <v>14.09</v>
      </c>
      <c r="B115" s="1204" t="s">
        <v>6215</v>
      </c>
      <c r="C115" s="1430" t="s">
        <v>195</v>
      </c>
      <c r="D115" s="1157"/>
      <c r="E115" s="1157"/>
      <c r="F115" s="1157"/>
      <c r="G115" s="1157"/>
      <c r="H115" s="1203">
        <v>171</v>
      </c>
      <c r="I115" s="1157"/>
      <c r="J115" s="1157" t="s">
        <v>902</v>
      </c>
      <c r="K115" s="1157" t="s">
        <v>902</v>
      </c>
      <c r="L115" s="1157"/>
      <c r="M115" s="1168"/>
      <c r="N115" s="1157">
        <v>408175</v>
      </c>
      <c r="O115" s="1187">
        <f t="shared" si="2"/>
        <v>408175</v>
      </c>
    </row>
    <row r="116" spans="1:15">
      <c r="A116" s="1353">
        <v>14.090999999999999</v>
      </c>
      <c r="B116" s="1204" t="s">
        <v>6215</v>
      </c>
      <c r="C116" s="1430" t="s">
        <v>190</v>
      </c>
      <c r="D116" s="1157"/>
      <c r="E116" s="1157"/>
      <c r="F116" s="1157"/>
      <c r="G116" s="1157"/>
      <c r="H116" s="1203">
        <v>3326405</v>
      </c>
      <c r="I116" s="1157"/>
      <c r="J116" s="1157" t="s">
        <v>902</v>
      </c>
      <c r="K116" s="1157" t="s">
        <v>902</v>
      </c>
      <c r="L116" s="1157"/>
      <c r="M116" s="1168">
        <v>192038428</v>
      </c>
      <c r="N116" s="1157" t="s">
        <v>902</v>
      </c>
      <c r="O116" s="1187">
        <f t="shared" si="2"/>
        <v>192038428</v>
      </c>
    </row>
    <row r="117" spans="1:15">
      <c r="A117" s="1353">
        <v>14.092000000000001</v>
      </c>
      <c r="B117" s="1204" t="s">
        <v>6216</v>
      </c>
      <c r="C117" s="1430" t="s">
        <v>195</v>
      </c>
      <c r="D117" s="1157"/>
      <c r="E117" s="1157"/>
      <c r="F117" s="1157"/>
      <c r="G117" s="1157"/>
      <c r="H117" s="1203">
        <v>-404</v>
      </c>
      <c r="I117" s="1157"/>
      <c r="J117" s="1157" t="s">
        <v>902</v>
      </c>
      <c r="K117" s="1157" t="s">
        <v>902</v>
      </c>
      <c r="L117" s="1157"/>
      <c r="M117" s="1168"/>
      <c r="N117" s="1157">
        <v>-176663</v>
      </c>
      <c r="O117" s="1187">
        <f t="shared" si="2"/>
        <v>-176663</v>
      </c>
    </row>
    <row r="118" spans="1:15">
      <c r="A118" s="1353">
        <v>14.093</v>
      </c>
      <c r="B118" s="1204" t="s">
        <v>6216</v>
      </c>
      <c r="C118" s="1430" t="s">
        <v>192</v>
      </c>
      <c r="D118" s="1157"/>
      <c r="E118" s="1157"/>
      <c r="F118" s="1157"/>
      <c r="G118" s="1157"/>
      <c r="H118" s="1203">
        <v>352987</v>
      </c>
      <c r="I118" s="1157"/>
      <c r="J118" s="1157" t="s">
        <v>902</v>
      </c>
      <c r="K118" s="1157" t="s">
        <v>902</v>
      </c>
      <c r="L118" s="1157"/>
      <c r="M118" s="1157">
        <v>30304798</v>
      </c>
      <c r="N118" s="1168" t="s">
        <v>902</v>
      </c>
      <c r="O118" s="1187">
        <f t="shared" si="2"/>
        <v>30304798</v>
      </c>
    </row>
    <row r="119" spans="1:15">
      <c r="A119" s="1353">
        <v>14.093999999999999</v>
      </c>
      <c r="B119" s="1204" t="s">
        <v>6217</v>
      </c>
      <c r="C119" s="1430" t="s">
        <v>192</v>
      </c>
      <c r="D119" s="1157"/>
      <c r="E119" s="1157"/>
      <c r="F119" s="1157"/>
      <c r="G119" s="1157"/>
      <c r="H119" s="1203">
        <v>14</v>
      </c>
      <c r="I119" s="1157"/>
      <c r="J119" s="1157" t="s">
        <v>902</v>
      </c>
      <c r="K119" s="1157" t="s">
        <v>902</v>
      </c>
      <c r="L119" s="1157"/>
      <c r="M119" s="1168">
        <v>495</v>
      </c>
      <c r="N119" s="1157" t="s">
        <v>902</v>
      </c>
      <c r="O119" s="1187">
        <f t="shared" si="2"/>
        <v>495</v>
      </c>
    </row>
    <row r="120" spans="1:15">
      <c r="A120" s="1353">
        <v>14.095000000000001</v>
      </c>
      <c r="B120" s="1204" t="s">
        <v>5932</v>
      </c>
      <c r="C120" s="1430" t="s">
        <v>192</v>
      </c>
      <c r="D120" s="1157"/>
      <c r="E120" s="1157"/>
      <c r="F120" s="1157"/>
      <c r="G120" s="1157"/>
      <c r="H120" s="1203">
        <v>2032</v>
      </c>
      <c r="I120" s="1157"/>
      <c r="J120" s="1157" t="s">
        <v>902</v>
      </c>
      <c r="K120" s="1157" t="s">
        <v>902</v>
      </c>
      <c r="L120" s="1157"/>
      <c r="M120" s="1168">
        <v>42090</v>
      </c>
      <c r="N120" s="1157" t="s">
        <v>902</v>
      </c>
      <c r="O120" s="1187">
        <f t="shared" si="2"/>
        <v>42090</v>
      </c>
    </row>
    <row r="121" spans="1:15">
      <c r="A121" s="1353">
        <v>14.096</v>
      </c>
      <c r="B121" s="1204" t="s">
        <v>6218</v>
      </c>
      <c r="C121" s="1430" t="s">
        <v>190</v>
      </c>
      <c r="D121" s="1157"/>
      <c r="E121" s="1157"/>
      <c r="F121" s="1157"/>
      <c r="G121" s="1157"/>
      <c r="H121" s="1203">
        <v>49979</v>
      </c>
      <c r="I121" s="1157"/>
      <c r="J121" s="1157" t="s">
        <v>902</v>
      </c>
      <c r="K121" s="1157" t="s">
        <v>902</v>
      </c>
      <c r="L121" s="1157"/>
      <c r="M121" s="1168">
        <v>3748395</v>
      </c>
      <c r="N121" s="1157" t="s">
        <v>902</v>
      </c>
      <c r="O121" s="1187">
        <f t="shared" si="2"/>
        <v>3748395</v>
      </c>
    </row>
    <row r="122" spans="1:15">
      <c r="A122" s="1353">
        <v>14.097</v>
      </c>
      <c r="B122" s="1204" t="s">
        <v>6270</v>
      </c>
      <c r="C122" s="1430" t="s">
        <v>190</v>
      </c>
      <c r="D122" s="1157"/>
      <c r="E122" s="1157"/>
      <c r="F122" s="1157"/>
      <c r="G122" s="1157"/>
      <c r="H122" s="1203">
        <v>11509</v>
      </c>
      <c r="I122" s="1157"/>
      <c r="J122" s="1157" t="s">
        <v>902</v>
      </c>
      <c r="K122" s="1157" t="s">
        <v>902</v>
      </c>
      <c r="L122" s="1157"/>
      <c r="M122" s="1168">
        <v>837065</v>
      </c>
      <c r="N122" s="1157" t="s">
        <v>902</v>
      </c>
      <c r="O122" s="1187">
        <f t="shared" si="2"/>
        <v>837065</v>
      </c>
    </row>
    <row r="123" spans="1:15">
      <c r="A123" s="1353">
        <v>14.098000000000001</v>
      </c>
      <c r="B123" s="1204" t="s">
        <v>6219</v>
      </c>
      <c r="C123" s="1430" t="s">
        <v>191</v>
      </c>
      <c r="D123" s="1157"/>
      <c r="E123" s="1157"/>
      <c r="F123" s="1157"/>
      <c r="G123" s="1157"/>
      <c r="H123" s="1203">
        <v>4398</v>
      </c>
      <c r="I123" s="1157"/>
      <c r="J123" s="1157" t="s">
        <v>902</v>
      </c>
      <c r="K123" s="1157" t="s">
        <v>902</v>
      </c>
      <c r="L123" s="1157"/>
      <c r="M123" s="1168">
        <v>149964</v>
      </c>
      <c r="N123" s="1157" t="s">
        <v>902</v>
      </c>
      <c r="O123" s="1187">
        <f t="shared" si="2"/>
        <v>149964</v>
      </c>
    </row>
    <row r="124" spans="1:15">
      <c r="A124" s="1353">
        <v>14.099</v>
      </c>
      <c r="B124" s="1204" t="s">
        <v>5933</v>
      </c>
      <c r="C124" s="1430" t="s">
        <v>192</v>
      </c>
      <c r="D124" s="1157"/>
      <c r="E124" s="1157"/>
      <c r="F124" s="1157"/>
      <c r="G124" s="1157"/>
      <c r="H124" s="1203">
        <v>2853</v>
      </c>
      <c r="I124" s="1157"/>
      <c r="J124" s="1157" t="s">
        <v>902</v>
      </c>
      <c r="K124" s="1157" t="s">
        <v>902</v>
      </c>
      <c r="L124" s="1157"/>
      <c r="M124" s="1168">
        <v>225850</v>
      </c>
      <c r="N124" s="1157" t="s">
        <v>902</v>
      </c>
      <c r="O124" s="1187">
        <f t="shared" si="2"/>
        <v>225850</v>
      </c>
    </row>
    <row r="125" spans="1:15">
      <c r="A125" s="1353">
        <v>14.1</v>
      </c>
      <c r="B125" s="1204" t="s">
        <v>6800</v>
      </c>
      <c r="C125" s="1430" t="s">
        <v>195</v>
      </c>
      <c r="D125" s="1157"/>
      <c r="E125" s="1157"/>
      <c r="F125" s="1157"/>
      <c r="G125" s="1157"/>
      <c r="H125" s="1203"/>
      <c r="I125" s="1157"/>
      <c r="J125" s="1157" t="s">
        <v>902</v>
      </c>
      <c r="K125" s="1157" t="s">
        <v>902</v>
      </c>
      <c r="L125" s="1157"/>
      <c r="M125" s="1168"/>
      <c r="N125" s="1157">
        <v>95942000</v>
      </c>
      <c r="O125" s="1187">
        <f t="shared" si="2"/>
        <v>95942000</v>
      </c>
    </row>
    <row r="126" spans="1:15">
      <c r="A126" s="1353">
        <v>14.101000000000001</v>
      </c>
      <c r="B126" s="1204" t="s">
        <v>6220</v>
      </c>
      <c r="C126" s="1430" t="s">
        <v>192</v>
      </c>
      <c r="D126" s="1157"/>
      <c r="E126" s="1157"/>
      <c r="F126" s="1157"/>
      <c r="G126" s="1157"/>
      <c r="H126" s="1203">
        <v>8699</v>
      </c>
      <c r="I126" s="1157"/>
      <c r="J126" s="1157" t="s">
        <v>902</v>
      </c>
      <c r="K126" s="1157" t="s">
        <v>902</v>
      </c>
      <c r="L126" s="1157"/>
      <c r="M126" s="1168">
        <v>416516</v>
      </c>
      <c r="N126" s="1157" t="s">
        <v>902</v>
      </c>
      <c r="O126" s="1187">
        <f t="shared" si="2"/>
        <v>416516</v>
      </c>
    </row>
    <row r="127" spans="1:15">
      <c r="A127" s="1353">
        <v>14.102</v>
      </c>
      <c r="B127" s="1204" t="s">
        <v>6251</v>
      </c>
      <c r="C127" s="1430" t="s">
        <v>192</v>
      </c>
      <c r="D127" s="1157"/>
      <c r="E127" s="1157"/>
      <c r="F127" s="1157"/>
      <c r="G127" s="1157"/>
      <c r="H127" s="1189"/>
      <c r="I127" s="1157"/>
      <c r="J127" s="1157" t="s">
        <v>902</v>
      </c>
      <c r="K127" s="1157" t="s">
        <v>902</v>
      </c>
      <c r="L127" s="1157"/>
      <c r="M127" s="1168">
        <v>-65513180</v>
      </c>
      <c r="N127" s="1157" t="s">
        <v>902</v>
      </c>
      <c r="O127" s="1187">
        <f t="shared" si="2"/>
        <v>-65513180</v>
      </c>
    </row>
    <row r="128" spans="1:15">
      <c r="A128" s="1353">
        <v>14.103</v>
      </c>
      <c r="B128" s="1204"/>
      <c r="C128" s="1430"/>
      <c r="D128" s="1157"/>
      <c r="E128" s="1157"/>
      <c r="F128" s="1157"/>
      <c r="G128" s="1157"/>
      <c r="H128" s="1189"/>
      <c r="I128" s="1157"/>
      <c r="J128" s="1157"/>
      <c r="K128" s="1157"/>
      <c r="L128" s="1157"/>
      <c r="M128" s="1157"/>
      <c r="N128" s="1157"/>
      <c r="O128" s="1187">
        <f t="shared" si="2"/>
        <v>0</v>
      </c>
    </row>
    <row r="129" spans="1:15">
      <c r="A129" s="1353">
        <v>14.103999999999999</v>
      </c>
      <c r="B129" s="1204"/>
      <c r="C129" s="1430"/>
      <c r="D129" s="1157"/>
      <c r="E129" s="1157"/>
      <c r="F129" s="1157"/>
      <c r="G129" s="1157"/>
      <c r="H129" s="1189"/>
      <c r="I129" s="1157"/>
      <c r="J129" s="1157"/>
      <c r="K129" s="1157"/>
      <c r="L129" s="1157"/>
      <c r="M129" s="1157"/>
      <c r="N129" s="1157"/>
      <c r="O129" s="1187">
        <f t="shared" si="2"/>
        <v>0</v>
      </c>
    </row>
    <row r="130" spans="1:15">
      <c r="A130" s="1353">
        <v>14.105</v>
      </c>
      <c r="B130" s="1204"/>
      <c r="C130" s="1430"/>
      <c r="D130" s="1157"/>
      <c r="E130" s="1157"/>
      <c r="F130" s="1157"/>
      <c r="G130" s="1157"/>
      <c r="H130" s="1189"/>
      <c r="I130" s="1157"/>
      <c r="J130" s="1157"/>
      <c r="K130" s="1157"/>
      <c r="L130" s="1157"/>
      <c r="M130" s="1157"/>
      <c r="N130" s="1157"/>
      <c r="O130" s="1187">
        <f t="shared" si="2"/>
        <v>0</v>
      </c>
    </row>
    <row r="131" spans="1:15">
      <c r="A131" s="1353">
        <v>14.106</v>
      </c>
      <c r="B131" s="1204"/>
      <c r="C131" s="1430"/>
      <c r="D131" s="1157"/>
      <c r="E131" s="1157"/>
      <c r="F131" s="1157"/>
      <c r="G131" s="1157"/>
      <c r="H131" s="1189"/>
      <c r="I131" s="1157"/>
      <c r="J131" s="1157"/>
      <c r="K131" s="1157"/>
      <c r="L131" s="1157"/>
      <c r="M131" s="1157"/>
      <c r="N131" s="1157"/>
      <c r="O131" s="1187">
        <f t="shared" si="2"/>
        <v>0</v>
      </c>
    </row>
    <row r="132" spans="1:15">
      <c r="A132" s="1317">
        <v>14.106999999999999</v>
      </c>
      <c r="B132" s="1204"/>
      <c r="C132" s="1157"/>
      <c r="D132" s="1157"/>
      <c r="E132" s="1187"/>
      <c r="F132" s="1187"/>
      <c r="G132" s="1187"/>
      <c r="H132" s="1187"/>
      <c r="I132" s="1187"/>
      <c r="J132" s="1187"/>
      <c r="K132" s="1187"/>
      <c r="L132" s="1187"/>
      <c r="M132" s="1187"/>
      <c r="N132" s="1187"/>
      <c r="O132" s="1187">
        <v>1008414382</v>
      </c>
    </row>
    <row r="133" spans="1:15" ht="12" thickBot="1">
      <c r="A133" s="1434"/>
      <c r="B133" s="1425" t="s">
        <v>6252</v>
      </c>
      <c r="C133" s="1426"/>
      <c r="D133" s="1427">
        <f t="shared" ref="D133:N133" si="3">SUM(D12:D131)</f>
        <v>0</v>
      </c>
      <c r="E133" s="1427">
        <f t="shared" si="3"/>
        <v>0</v>
      </c>
      <c r="F133" s="1427">
        <f t="shared" si="3"/>
        <v>0</v>
      </c>
      <c r="G133" s="1427">
        <f t="shared" si="3"/>
        <v>0</v>
      </c>
      <c r="H133" s="1427">
        <f>SUM(H12:H131)</f>
        <v>16603754</v>
      </c>
      <c r="I133" s="1427">
        <f t="shared" si="3"/>
        <v>0</v>
      </c>
      <c r="J133" s="1427">
        <f t="shared" si="3"/>
        <v>439126</v>
      </c>
      <c r="K133" s="1427">
        <f t="shared" si="3"/>
        <v>623963</v>
      </c>
      <c r="L133" s="1427">
        <f t="shared" si="3"/>
        <v>0</v>
      </c>
      <c r="M133" s="1427">
        <f t="shared" si="3"/>
        <v>942159374</v>
      </c>
      <c r="N133" s="1427">
        <f t="shared" si="3"/>
        <v>66255008</v>
      </c>
      <c r="O133" s="1427">
        <f>SUM(O12:O131)</f>
        <v>1085637524</v>
      </c>
    </row>
    <row r="134" spans="1:15" ht="12" thickTop="1">
      <c r="M134" s="1435">
        <f>'FERC p320-323 Elec. O&amp;M'!C96-(M133+N133)</f>
        <v>-1</v>
      </c>
      <c r="O134" s="1428">
        <f>O133+N99-O132</f>
        <v>0</v>
      </c>
    </row>
    <row r="135" spans="1:15">
      <c r="M135" s="1346" t="s">
        <v>6253</v>
      </c>
      <c r="N135" s="1429"/>
      <c r="O135" s="1346" t="s">
        <v>927</v>
      </c>
    </row>
  </sheetData>
  <mergeCells count="16">
    <mergeCell ref="A6:G6"/>
    <mergeCell ref="H6:O6"/>
    <mergeCell ref="A7:G7"/>
    <mergeCell ref="H7:O7"/>
    <mergeCell ref="A8:G8"/>
    <mergeCell ref="H8:O8"/>
    <mergeCell ref="H9:H10"/>
    <mergeCell ref="I9:I10"/>
    <mergeCell ref="J9:K9"/>
    <mergeCell ref="L9:O9"/>
    <mergeCell ref="A9:A11"/>
    <mergeCell ref="B9:B10"/>
    <mergeCell ref="C9:C10"/>
    <mergeCell ref="D9:D10"/>
    <mergeCell ref="E9:E10"/>
    <mergeCell ref="F9:G9"/>
  </mergeCells>
  <pageMargins left="0.75" right="0.75" top="1" bottom="1" header="0.5" footer="0.5"/>
  <pageSetup orientation="portrait" horizontalDpi="360" verticalDpi="360" r:id="rId2"/>
  <customProperties>
    <customPr name="_pios_id" r:id="rId3"/>
  </customProperties>
  <legacyDrawing r:id="rId4"/>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rgb="FF92D050"/>
  </sheetPr>
  <dimension ref="A1:U136"/>
  <sheetViews>
    <sheetView topLeftCell="F1" workbookViewId="0">
      <pane ySplit="11" topLeftCell="A12" activePane="bottomLeft" state="frozen"/>
      <selection sqref="A1:XFD1048576"/>
      <selection pane="bottomLeft" sqref="A1:XFD1048576"/>
    </sheetView>
  </sheetViews>
  <sheetFormatPr defaultColWidth="11.625" defaultRowHeight="11.25"/>
  <cols>
    <col min="1" max="1" width="5.75" style="1327" bestFit="1" customWidth="1"/>
    <col min="2" max="2" width="30.375" style="1327" bestFit="1" customWidth="1"/>
    <col min="3" max="3" width="6.625" style="1327" bestFit="1" customWidth="1"/>
    <col min="4" max="4" width="9.125" style="1327" bestFit="1" customWidth="1"/>
    <col min="5" max="5" width="9.5" style="1327" bestFit="1" customWidth="1"/>
    <col min="6" max="6" width="13.875" style="1327" bestFit="1" customWidth="1"/>
    <col min="7" max="7" width="12.875" style="1327" bestFit="1" customWidth="1"/>
    <col min="8" max="8" width="11.875" style="1327" customWidth="1"/>
    <col min="9" max="9" width="12.625" style="1327" customWidth="1"/>
    <col min="10" max="11" width="11" style="1327" bestFit="1" customWidth="1"/>
    <col min="12" max="12" width="11.375" style="1327" bestFit="1" customWidth="1"/>
    <col min="13" max="13" width="13.75" style="1327" bestFit="1" customWidth="1"/>
    <col min="14" max="14" width="9.875" style="1327" bestFit="1" customWidth="1"/>
    <col min="15" max="15" width="11.75" style="1327" bestFit="1" customWidth="1"/>
    <col min="16" max="18" width="1.25" style="1327" customWidth="1"/>
    <col min="19" max="19" width="8.75" style="1327" bestFit="1" customWidth="1"/>
    <col min="20" max="20" width="17.625" style="1327" bestFit="1" customWidth="1"/>
    <col min="21" max="21" width="19" style="1327" bestFit="1" customWidth="1"/>
    <col min="22" max="16384" width="11.625" style="1327"/>
  </cols>
  <sheetData>
    <row r="1" spans="1:21">
      <c r="A1" s="507" t="s">
        <v>4977</v>
      </c>
      <c r="B1" s="507"/>
      <c r="T1" s="1400" t="s">
        <v>6221</v>
      </c>
      <c r="U1" s="1400" t="s">
        <v>6222</v>
      </c>
    </row>
    <row r="2" spans="1:21">
      <c r="A2" s="507" t="s">
        <v>4978</v>
      </c>
      <c r="B2" s="507"/>
      <c r="S2" s="493" t="s">
        <v>4990</v>
      </c>
      <c r="T2" s="493" t="s">
        <v>6223</v>
      </c>
      <c r="U2" s="493" t="s">
        <v>5863</v>
      </c>
    </row>
    <row r="3" spans="1:21">
      <c r="A3" s="1345"/>
      <c r="S3" s="525" t="s">
        <v>195</v>
      </c>
      <c r="T3" s="676">
        <v>1860982</v>
      </c>
      <c r="U3" s="676">
        <v>-879</v>
      </c>
    </row>
    <row r="4" spans="1:21">
      <c r="A4" s="1345"/>
      <c r="S4" s="525" t="s">
        <v>193</v>
      </c>
      <c r="T4" s="676">
        <v>1154053</v>
      </c>
      <c r="U4" s="676"/>
    </row>
    <row r="5" spans="1:21">
      <c r="S5" s="525" t="s">
        <v>188</v>
      </c>
      <c r="T5" s="676">
        <v>109977591</v>
      </c>
      <c r="U5" s="676">
        <v>996550</v>
      </c>
    </row>
    <row r="6" spans="1:21" ht="11.25" customHeight="1">
      <c r="A6" s="3950" t="s">
        <v>6224</v>
      </c>
      <c r="B6" s="3950"/>
      <c r="C6" s="3950"/>
      <c r="D6" s="3950"/>
      <c r="E6" s="3950"/>
      <c r="F6" s="3950"/>
      <c r="G6" s="3950"/>
      <c r="H6" s="3943" t="s">
        <v>6225</v>
      </c>
      <c r="I6" s="3943"/>
      <c r="J6" s="3943"/>
      <c r="K6" s="3943"/>
      <c r="L6" s="3943"/>
      <c r="M6" s="3943"/>
      <c r="N6" s="3943"/>
      <c r="O6" s="3943"/>
      <c r="S6" s="525" t="s">
        <v>191</v>
      </c>
      <c r="T6" s="676">
        <v>8423625</v>
      </c>
      <c r="U6" s="676">
        <v>234450</v>
      </c>
    </row>
    <row r="7" spans="1:21" ht="11.25" customHeight="1">
      <c r="A7" s="3953" t="s">
        <v>6226</v>
      </c>
      <c r="B7" s="3938"/>
      <c r="C7" s="3938"/>
      <c r="D7" s="3938"/>
      <c r="E7" s="3938"/>
      <c r="F7" s="3938"/>
      <c r="G7" s="3939"/>
      <c r="H7" s="3970" t="s">
        <v>6227</v>
      </c>
      <c r="I7" s="3971"/>
      <c r="J7" s="3971"/>
      <c r="K7" s="3971"/>
      <c r="L7" s="3971"/>
      <c r="M7" s="3971"/>
      <c r="N7" s="3971"/>
      <c r="O7" s="3972"/>
      <c r="S7" s="525" t="s">
        <v>187</v>
      </c>
      <c r="T7" s="676">
        <v>21047048</v>
      </c>
      <c r="U7" s="676">
        <v>244785</v>
      </c>
    </row>
    <row r="8" spans="1:21" ht="11.25" customHeight="1">
      <c r="A8" s="3944" t="s">
        <v>6254</v>
      </c>
      <c r="B8" s="4105"/>
      <c r="C8" s="4105"/>
      <c r="D8" s="4105"/>
      <c r="E8" s="4105"/>
      <c r="F8" s="4105"/>
      <c r="G8" s="4106"/>
      <c r="H8" s="3945" t="s">
        <v>6255</v>
      </c>
      <c r="I8" s="4092"/>
      <c r="J8" s="4092"/>
      <c r="K8" s="4092"/>
      <c r="L8" s="4092"/>
      <c r="M8" s="4092"/>
      <c r="N8" s="4092"/>
      <c r="O8" s="4093"/>
      <c r="S8" s="525" t="s">
        <v>190</v>
      </c>
      <c r="T8" s="676">
        <v>427708427</v>
      </c>
      <c r="U8" s="676">
        <v>9438020</v>
      </c>
    </row>
    <row r="9" spans="1:21" ht="11.25" customHeight="1">
      <c r="A9" s="3960" t="s">
        <v>5177</v>
      </c>
      <c r="B9" s="3963" t="s">
        <v>5868</v>
      </c>
      <c r="C9" s="3963" t="s">
        <v>6228</v>
      </c>
      <c r="D9" s="3963" t="s">
        <v>6229</v>
      </c>
      <c r="E9" s="3963" t="s">
        <v>6230</v>
      </c>
      <c r="F9" s="3953" t="s">
        <v>5872</v>
      </c>
      <c r="G9" s="3939"/>
      <c r="H9" s="4054" t="s">
        <v>6231</v>
      </c>
      <c r="I9" s="3963" t="s">
        <v>6232</v>
      </c>
      <c r="J9" s="3953" t="s">
        <v>6233</v>
      </c>
      <c r="K9" s="4036"/>
      <c r="L9" s="3953" t="s">
        <v>6234</v>
      </c>
      <c r="M9" s="4035"/>
      <c r="N9" s="4035"/>
      <c r="O9" s="4036"/>
      <c r="S9" s="525" t="s">
        <v>192</v>
      </c>
      <c r="T9" s="676">
        <v>550550865</v>
      </c>
      <c r="U9" s="676">
        <v>7019328</v>
      </c>
    </row>
    <row r="10" spans="1:21" ht="22.5">
      <c r="A10" s="4026"/>
      <c r="B10" s="4026"/>
      <c r="C10" s="4026"/>
      <c r="D10" s="4026"/>
      <c r="E10" s="4026"/>
      <c r="F10" s="1153" t="s">
        <v>5876</v>
      </c>
      <c r="G10" s="1153" t="s">
        <v>5877</v>
      </c>
      <c r="H10" s="4104"/>
      <c r="I10" s="4045"/>
      <c r="J10" s="1153" t="s">
        <v>6235</v>
      </c>
      <c r="K10" s="1153" t="s">
        <v>6236</v>
      </c>
      <c r="L10" s="1153" t="s">
        <v>5878</v>
      </c>
      <c r="M10" s="1153" t="s">
        <v>5879</v>
      </c>
      <c r="N10" s="1153" t="s">
        <v>5880</v>
      </c>
      <c r="O10" s="1153" t="s">
        <v>6237</v>
      </c>
      <c r="S10" s="525" t="s">
        <v>2301</v>
      </c>
      <c r="T10" s="676">
        <v>1120722591</v>
      </c>
      <c r="U10" s="676">
        <v>17932254</v>
      </c>
    </row>
    <row r="11" spans="1:21" ht="12" customHeight="1">
      <c r="A11" s="4016"/>
      <c r="B11" s="1202" t="s">
        <v>4989</v>
      </c>
      <c r="C11" s="1202" t="s">
        <v>4990</v>
      </c>
      <c r="D11" s="1202" t="s">
        <v>4991</v>
      </c>
      <c r="E11" s="1202" t="s">
        <v>4992</v>
      </c>
      <c r="F11" s="1202" t="s">
        <v>5181</v>
      </c>
      <c r="G11" s="1202" t="s">
        <v>5182</v>
      </c>
      <c r="H11" s="1202" t="s">
        <v>5183</v>
      </c>
      <c r="I11" s="1202" t="s">
        <v>5184</v>
      </c>
      <c r="J11" s="1202" t="s">
        <v>5185</v>
      </c>
      <c r="K11" s="1202" t="s">
        <v>5186</v>
      </c>
      <c r="L11" s="1202" t="s">
        <v>5187</v>
      </c>
      <c r="M11" s="1202" t="s">
        <v>5188</v>
      </c>
      <c r="N11" s="1202" t="s">
        <v>5655</v>
      </c>
      <c r="O11" s="1202" t="s">
        <v>5682</v>
      </c>
      <c r="S11" s="1346" t="s">
        <v>929</v>
      </c>
      <c r="T11" s="1410">
        <f>T10-O134</f>
        <v>0</v>
      </c>
      <c r="U11" s="1410">
        <f>U10-H133</f>
        <v>0</v>
      </c>
    </row>
    <row r="12" spans="1:21">
      <c r="A12" s="1399">
        <v>1</v>
      </c>
      <c r="B12" s="1204" t="s">
        <v>6168</v>
      </c>
      <c r="C12" s="1204" t="s">
        <v>190</v>
      </c>
      <c r="D12" s="1204"/>
      <c r="E12" s="1204"/>
      <c r="F12" s="1157"/>
      <c r="G12" s="1157"/>
      <c r="H12" s="1203">
        <v>72</v>
      </c>
      <c r="I12" s="1157"/>
      <c r="J12" s="1157" t="s">
        <v>902</v>
      </c>
      <c r="K12" s="1157" t="s">
        <v>902</v>
      </c>
      <c r="L12" s="1157"/>
      <c r="M12" s="1168">
        <v>2095</v>
      </c>
      <c r="N12" s="1157" t="s">
        <v>902</v>
      </c>
      <c r="O12" s="1187">
        <f t="shared" ref="O12:O43" si="0">SUM(L12:N12)</f>
        <v>2095</v>
      </c>
    </row>
    <row r="13" spans="1:21">
      <c r="A13" s="1399">
        <v>2</v>
      </c>
      <c r="B13" s="1204" t="s">
        <v>6256</v>
      </c>
      <c r="C13" s="1430" t="s">
        <v>190</v>
      </c>
      <c r="D13" s="1204"/>
      <c r="E13" s="1157"/>
      <c r="F13" s="1157"/>
      <c r="G13" s="1157"/>
      <c r="H13" s="1203">
        <v>408537</v>
      </c>
      <c r="I13" s="1157"/>
      <c r="J13" s="1157" t="s">
        <v>902</v>
      </c>
      <c r="K13" s="1157" t="s">
        <v>902</v>
      </c>
      <c r="L13" s="1157"/>
      <c r="M13" s="1168">
        <v>18267591</v>
      </c>
      <c r="N13" s="1157" t="s">
        <v>902</v>
      </c>
      <c r="O13" s="1187">
        <f t="shared" si="0"/>
        <v>18267591</v>
      </c>
    </row>
    <row r="14" spans="1:21">
      <c r="A14" s="1431">
        <v>3</v>
      </c>
      <c r="B14" s="1204" t="s">
        <v>5895</v>
      </c>
      <c r="C14" s="1430" t="s">
        <v>192</v>
      </c>
      <c r="D14" s="1157"/>
      <c r="E14" s="1157"/>
      <c r="F14" s="1157"/>
      <c r="G14" s="1157"/>
      <c r="H14" s="1203">
        <v>50554</v>
      </c>
      <c r="I14" s="1157"/>
      <c r="J14" s="1157" t="s">
        <v>902</v>
      </c>
      <c r="K14" s="1157" t="s">
        <v>902</v>
      </c>
      <c r="L14" s="1157"/>
      <c r="M14" s="1168">
        <v>2840868</v>
      </c>
      <c r="N14" s="1157" t="s">
        <v>902</v>
      </c>
      <c r="O14" s="1187">
        <f t="shared" si="0"/>
        <v>2840868</v>
      </c>
    </row>
    <row r="15" spans="1:21">
      <c r="A15" s="1431">
        <v>4</v>
      </c>
      <c r="B15" s="1204" t="s">
        <v>6169</v>
      </c>
      <c r="C15" s="1430" t="s">
        <v>193</v>
      </c>
      <c r="D15" s="1157"/>
      <c r="E15" s="1157"/>
      <c r="F15" s="1157"/>
      <c r="G15" s="1157"/>
      <c r="H15" s="1189"/>
      <c r="I15" s="1157"/>
      <c r="J15" s="1432">
        <v>21151</v>
      </c>
      <c r="K15" s="1432">
        <v>0</v>
      </c>
      <c r="L15" s="1157"/>
      <c r="M15" s="1168">
        <v>1154053</v>
      </c>
      <c r="N15" s="1157" t="s">
        <v>902</v>
      </c>
      <c r="O15" s="1187">
        <f t="shared" si="0"/>
        <v>1154053</v>
      </c>
    </row>
    <row r="16" spans="1:21">
      <c r="A16" s="1431">
        <v>5</v>
      </c>
      <c r="B16" s="1204" t="s">
        <v>6170</v>
      </c>
      <c r="C16" s="1430" t="s">
        <v>188</v>
      </c>
      <c r="D16" s="1157"/>
      <c r="E16" s="1157"/>
      <c r="F16" s="1157"/>
      <c r="G16" s="1157"/>
      <c r="H16" s="1203">
        <v>20550</v>
      </c>
      <c r="I16" s="1157"/>
      <c r="J16" s="1157" t="s">
        <v>902</v>
      </c>
      <c r="K16" s="1157" t="s">
        <v>902</v>
      </c>
      <c r="L16" s="1157"/>
      <c r="M16" s="1168">
        <v>1348791</v>
      </c>
      <c r="N16" s="1157" t="s">
        <v>902</v>
      </c>
      <c r="O16" s="1187">
        <f t="shared" si="0"/>
        <v>1348791</v>
      </c>
    </row>
    <row r="17" spans="1:15">
      <c r="A17" s="1431">
        <v>6</v>
      </c>
      <c r="B17" s="1430" t="s">
        <v>6171</v>
      </c>
      <c r="C17" s="1430" t="s">
        <v>190</v>
      </c>
      <c r="D17" s="1157"/>
      <c r="E17" s="1157"/>
      <c r="F17" s="1157"/>
      <c r="G17" s="1157"/>
      <c r="H17" s="1203">
        <v>4</v>
      </c>
      <c r="I17" s="1157"/>
      <c r="J17" s="1157" t="s">
        <v>902</v>
      </c>
      <c r="K17" s="1157" t="s">
        <v>902</v>
      </c>
      <c r="L17" s="1157"/>
      <c r="M17" s="1168">
        <v>148</v>
      </c>
      <c r="N17" s="1157" t="s">
        <v>902</v>
      </c>
      <c r="O17" s="1187">
        <f t="shared" si="0"/>
        <v>148</v>
      </c>
    </row>
    <row r="18" spans="1:15">
      <c r="A18" s="1431">
        <v>7</v>
      </c>
      <c r="B18" s="1430" t="s">
        <v>6172</v>
      </c>
      <c r="C18" s="1430" t="s">
        <v>190</v>
      </c>
      <c r="D18" s="1157"/>
      <c r="E18" s="1157"/>
      <c r="F18" s="1157"/>
      <c r="G18" s="1157"/>
      <c r="H18" s="1203">
        <v>5960</v>
      </c>
      <c r="I18" s="1157"/>
      <c r="J18" s="1157" t="s">
        <v>902</v>
      </c>
      <c r="K18" s="1157" t="s">
        <v>902</v>
      </c>
      <c r="L18" s="1157"/>
      <c r="M18" s="1168">
        <v>300329</v>
      </c>
      <c r="N18" s="1157" t="s">
        <v>902</v>
      </c>
      <c r="O18" s="1187">
        <f t="shared" si="0"/>
        <v>300329</v>
      </c>
    </row>
    <row r="19" spans="1:15">
      <c r="A19" s="1431">
        <v>8</v>
      </c>
      <c r="B19" s="1430" t="s">
        <v>6173</v>
      </c>
      <c r="C19" s="1430" t="s">
        <v>190</v>
      </c>
      <c r="D19" s="1157"/>
      <c r="E19" s="1157"/>
      <c r="F19" s="1157"/>
      <c r="G19" s="1157"/>
      <c r="H19" s="1203">
        <v>107</v>
      </c>
      <c r="I19" s="1157"/>
      <c r="J19" s="1157" t="s">
        <v>902</v>
      </c>
      <c r="K19" s="1157" t="s">
        <v>902</v>
      </c>
      <c r="L19" s="1157"/>
      <c r="M19" s="1168">
        <v>7560</v>
      </c>
      <c r="N19" s="1157" t="s">
        <v>902</v>
      </c>
      <c r="O19" s="1187">
        <f t="shared" si="0"/>
        <v>7560</v>
      </c>
    </row>
    <row r="20" spans="1:15">
      <c r="A20" s="1431">
        <v>9</v>
      </c>
      <c r="B20" s="1430" t="s">
        <v>6174</v>
      </c>
      <c r="C20" s="1430" t="s">
        <v>195</v>
      </c>
      <c r="D20" s="1157"/>
      <c r="E20" s="1157"/>
      <c r="F20" s="1157"/>
      <c r="G20" s="1157"/>
      <c r="H20" s="1203">
        <v>16</v>
      </c>
      <c r="I20" s="1157"/>
      <c r="J20" s="1157" t="s">
        <v>902</v>
      </c>
      <c r="K20" s="1157" t="s">
        <v>902</v>
      </c>
      <c r="L20" s="1157"/>
      <c r="M20" s="1157"/>
      <c r="N20" s="1168">
        <v>1844</v>
      </c>
      <c r="O20" s="1187">
        <f t="shared" si="0"/>
        <v>1844</v>
      </c>
    </row>
    <row r="21" spans="1:15">
      <c r="A21" s="1431">
        <v>10</v>
      </c>
      <c r="B21" s="1204" t="s">
        <v>6174</v>
      </c>
      <c r="C21" s="1430" t="s">
        <v>192</v>
      </c>
      <c r="D21" s="1157"/>
      <c r="E21" s="1157"/>
      <c r="F21" s="1157"/>
      <c r="G21" s="1157"/>
      <c r="H21" s="1432">
        <v>60636</v>
      </c>
      <c r="I21" s="1157"/>
      <c r="J21" s="1157" t="s">
        <v>902</v>
      </c>
      <c r="K21" s="1157" t="s">
        <v>902</v>
      </c>
      <c r="L21" s="1157"/>
      <c r="M21" s="1168">
        <v>2245618</v>
      </c>
      <c r="N21" s="1157" t="s">
        <v>902</v>
      </c>
      <c r="O21" s="1187">
        <f t="shared" si="0"/>
        <v>2245618</v>
      </c>
    </row>
    <row r="22" spans="1:15">
      <c r="A22" s="1431">
        <v>11</v>
      </c>
      <c r="B22" s="1204" t="s">
        <v>6175</v>
      </c>
      <c r="C22" s="1430" t="s">
        <v>187</v>
      </c>
      <c r="D22" s="1157"/>
      <c r="E22" s="1157"/>
      <c r="F22" s="1157"/>
      <c r="G22" s="1157"/>
      <c r="H22" s="1189"/>
      <c r="I22" s="1157"/>
      <c r="J22" s="1157" t="s">
        <v>902</v>
      </c>
      <c r="K22" s="1157" t="s">
        <v>902</v>
      </c>
      <c r="L22" s="1157"/>
      <c r="M22" s="1168">
        <v>9432000</v>
      </c>
      <c r="N22" s="1157" t="s">
        <v>902</v>
      </c>
      <c r="O22" s="1187">
        <f t="shared" si="0"/>
        <v>9432000</v>
      </c>
    </row>
    <row r="23" spans="1:15">
      <c r="A23" s="1431">
        <v>12</v>
      </c>
      <c r="B23" s="1204" t="s">
        <v>6175</v>
      </c>
      <c r="C23" s="1430" t="s">
        <v>192</v>
      </c>
      <c r="D23" s="1157"/>
      <c r="E23" s="1157"/>
      <c r="F23" s="1157"/>
      <c r="G23" s="1157"/>
      <c r="H23" s="1203">
        <v>829294</v>
      </c>
      <c r="I23" s="1157"/>
      <c r="J23" s="1157" t="s">
        <v>902</v>
      </c>
      <c r="K23" s="1157" t="s">
        <v>902</v>
      </c>
      <c r="L23" s="1157"/>
      <c r="M23" s="1168">
        <v>52996305</v>
      </c>
      <c r="N23" s="1157" t="s">
        <v>902</v>
      </c>
      <c r="O23" s="1187">
        <f t="shared" si="0"/>
        <v>52996305</v>
      </c>
    </row>
    <row r="24" spans="1:15">
      <c r="A24" s="1431">
        <v>13</v>
      </c>
      <c r="B24" s="1204" t="s">
        <v>6176</v>
      </c>
      <c r="C24" s="1430" t="s">
        <v>192</v>
      </c>
      <c r="D24" s="1157"/>
      <c r="E24" s="1157"/>
      <c r="F24" s="1157"/>
      <c r="G24" s="1157"/>
      <c r="H24" s="1203">
        <v>35320</v>
      </c>
      <c r="I24" s="1157"/>
      <c r="J24" s="1157" t="s">
        <v>902</v>
      </c>
      <c r="K24" s="1157" t="s">
        <v>902</v>
      </c>
      <c r="L24" s="1157"/>
      <c r="M24" s="1168">
        <v>5386012</v>
      </c>
      <c r="N24" s="1157" t="s">
        <v>902</v>
      </c>
      <c r="O24" s="1187">
        <f t="shared" si="0"/>
        <v>5386012</v>
      </c>
    </row>
    <row r="25" spans="1:15">
      <c r="A25" s="1431">
        <v>14</v>
      </c>
      <c r="B25" s="1204" t="s">
        <v>6238</v>
      </c>
      <c r="C25" s="1430" t="s">
        <v>195</v>
      </c>
      <c r="D25" s="1157"/>
      <c r="E25" s="1157"/>
      <c r="F25" s="1157"/>
      <c r="G25" s="1157"/>
      <c r="H25" s="1189"/>
      <c r="I25" s="1157"/>
      <c r="J25" s="1157" t="s">
        <v>902</v>
      </c>
      <c r="K25" s="1157" t="s">
        <v>902</v>
      </c>
      <c r="L25" s="1157"/>
      <c r="M25" s="1157"/>
      <c r="N25" s="1168">
        <v>717674</v>
      </c>
      <c r="O25" s="1187">
        <f t="shared" si="0"/>
        <v>717674</v>
      </c>
    </row>
    <row r="26" spans="1:15">
      <c r="A26" s="1353">
        <v>14.000999999999999</v>
      </c>
      <c r="B26" s="1204" t="s">
        <v>6177</v>
      </c>
      <c r="C26" s="1204" t="s">
        <v>195</v>
      </c>
      <c r="D26" s="1204"/>
      <c r="E26" s="1204"/>
      <c r="F26" s="1157"/>
      <c r="G26" s="1157"/>
      <c r="H26" s="1189"/>
      <c r="I26" s="1157"/>
      <c r="J26" s="1157" t="s">
        <v>902</v>
      </c>
      <c r="K26" s="1157" t="s">
        <v>902</v>
      </c>
      <c r="L26" s="1157"/>
      <c r="M26" s="1157"/>
      <c r="N26" s="1168">
        <v>-96856</v>
      </c>
      <c r="O26" s="1187">
        <f t="shared" si="0"/>
        <v>-96856</v>
      </c>
    </row>
    <row r="27" spans="1:15">
      <c r="A27" s="1353">
        <v>14.002000000000001</v>
      </c>
      <c r="B27" s="1204" t="s">
        <v>6177</v>
      </c>
      <c r="C27" s="1430" t="s">
        <v>192</v>
      </c>
      <c r="D27" s="1204"/>
      <c r="E27" s="1157"/>
      <c r="F27" s="1157"/>
      <c r="G27" s="1157"/>
      <c r="H27" s="1203">
        <v>838627</v>
      </c>
      <c r="I27" s="1157"/>
      <c r="J27" s="1157" t="s">
        <v>902</v>
      </c>
      <c r="K27" s="1157" t="s">
        <v>902</v>
      </c>
      <c r="L27" s="1157"/>
      <c r="M27" s="1168">
        <v>48432590</v>
      </c>
      <c r="N27" s="1157" t="s">
        <v>902</v>
      </c>
      <c r="O27" s="1187">
        <f t="shared" si="0"/>
        <v>48432590</v>
      </c>
    </row>
    <row r="28" spans="1:15">
      <c r="A28" s="1353">
        <v>14.003</v>
      </c>
      <c r="B28" s="1204" t="s">
        <v>5900</v>
      </c>
      <c r="C28" s="1430" t="s">
        <v>192</v>
      </c>
      <c r="D28" s="1204"/>
      <c r="E28" s="1157"/>
      <c r="F28" s="1157"/>
      <c r="G28" s="1157"/>
      <c r="H28" s="1203">
        <v>16535</v>
      </c>
      <c r="I28" s="1157"/>
      <c r="J28" s="1157" t="s">
        <v>902</v>
      </c>
      <c r="K28" s="1157" t="s">
        <v>902</v>
      </c>
      <c r="L28" s="1157"/>
      <c r="M28" s="1168">
        <v>1705372</v>
      </c>
      <c r="N28" s="1157" t="s">
        <v>902</v>
      </c>
      <c r="O28" s="1187">
        <f t="shared" si="0"/>
        <v>1705372</v>
      </c>
    </row>
    <row r="29" spans="1:15">
      <c r="A29" s="1353">
        <v>14.004</v>
      </c>
      <c r="B29" s="1157" t="s">
        <v>6257</v>
      </c>
      <c r="C29" s="1157" t="s">
        <v>190</v>
      </c>
      <c r="D29" s="1157"/>
      <c r="E29" s="1157"/>
      <c r="F29" s="1157"/>
      <c r="G29" s="1157"/>
      <c r="H29" s="1432">
        <v>4649</v>
      </c>
      <c r="I29" s="1157"/>
      <c r="J29" s="1157" t="s">
        <v>902</v>
      </c>
      <c r="K29" s="1157" t="s">
        <v>902</v>
      </c>
      <c r="L29" s="1157"/>
      <c r="M29" s="1203">
        <v>329887</v>
      </c>
      <c r="N29" s="1157" t="s">
        <v>902</v>
      </c>
      <c r="O29" s="1187">
        <f t="shared" si="0"/>
        <v>329887</v>
      </c>
    </row>
    <row r="30" spans="1:15">
      <c r="A30" s="1353">
        <v>14.005000000000001</v>
      </c>
      <c r="B30" s="1204" t="s">
        <v>6178</v>
      </c>
      <c r="C30" s="1430" t="s">
        <v>192</v>
      </c>
      <c r="D30" s="1157"/>
      <c r="E30" s="1157"/>
      <c r="F30" s="1157"/>
      <c r="G30" s="1157"/>
      <c r="H30" s="1203">
        <v>29</v>
      </c>
      <c r="I30" s="1157"/>
      <c r="J30" s="1157" t="s">
        <v>902</v>
      </c>
      <c r="K30" s="1157" t="s">
        <v>902</v>
      </c>
      <c r="L30" s="1157"/>
      <c r="M30" s="1168">
        <v>722</v>
      </c>
      <c r="N30" s="1157" t="s">
        <v>902</v>
      </c>
      <c r="O30" s="1187">
        <f t="shared" si="0"/>
        <v>722</v>
      </c>
    </row>
    <row r="31" spans="1:15">
      <c r="A31" s="1353">
        <v>14.006</v>
      </c>
      <c r="B31" s="1204" t="s">
        <v>6179</v>
      </c>
      <c r="C31" s="1430" t="s">
        <v>195</v>
      </c>
      <c r="D31" s="1157"/>
      <c r="E31" s="1157"/>
      <c r="F31" s="1157"/>
      <c r="G31" s="1157"/>
      <c r="H31" s="1189"/>
      <c r="I31" s="1157"/>
      <c r="J31" s="1157" t="s">
        <v>902</v>
      </c>
      <c r="K31" s="1157" t="s">
        <v>902</v>
      </c>
      <c r="L31" s="1157"/>
      <c r="M31" s="1157"/>
      <c r="N31" s="1168">
        <v>400</v>
      </c>
      <c r="O31" s="1187">
        <f t="shared" si="0"/>
        <v>400</v>
      </c>
    </row>
    <row r="32" spans="1:15">
      <c r="A32" s="1353">
        <v>14.007</v>
      </c>
      <c r="B32" s="1430" t="s">
        <v>6179</v>
      </c>
      <c r="C32" s="1430" t="s">
        <v>192</v>
      </c>
      <c r="D32" s="1157"/>
      <c r="E32" s="1157"/>
      <c r="F32" s="1157"/>
      <c r="G32" s="1157"/>
      <c r="H32" s="1203">
        <v>74041</v>
      </c>
      <c r="I32" s="1157"/>
      <c r="J32" s="1157" t="s">
        <v>902</v>
      </c>
      <c r="K32" s="1157" t="s">
        <v>902</v>
      </c>
      <c r="L32" s="1157"/>
      <c r="M32" s="1168">
        <v>3681063</v>
      </c>
      <c r="N32" s="1157" t="s">
        <v>902</v>
      </c>
      <c r="O32" s="1187">
        <f t="shared" si="0"/>
        <v>3681063</v>
      </c>
    </row>
    <row r="33" spans="1:15">
      <c r="A33" s="1353">
        <v>14.007999999999999</v>
      </c>
      <c r="B33" s="1430" t="s">
        <v>6239</v>
      </c>
      <c r="C33" s="1430" t="s">
        <v>190</v>
      </c>
      <c r="D33" s="1157"/>
      <c r="E33" s="1157"/>
      <c r="F33" s="1157"/>
      <c r="G33" s="1157"/>
      <c r="H33" s="1203">
        <v>2572112</v>
      </c>
      <c r="I33" s="1157"/>
      <c r="J33" s="1157" t="s">
        <v>902</v>
      </c>
      <c r="K33" s="1157" t="s">
        <v>902</v>
      </c>
      <c r="L33" s="1157"/>
      <c r="M33" s="1168">
        <v>49567487</v>
      </c>
      <c r="N33" s="1168">
        <v>42181451</v>
      </c>
      <c r="O33" s="1187">
        <f t="shared" si="0"/>
        <v>91748938</v>
      </c>
    </row>
    <row r="34" spans="1:15">
      <c r="A34" s="1353">
        <v>14.009</v>
      </c>
      <c r="B34" s="1430" t="s">
        <v>6180</v>
      </c>
      <c r="C34" s="1430" t="s">
        <v>192</v>
      </c>
      <c r="D34" s="1157"/>
      <c r="E34" s="1157"/>
      <c r="F34" s="1157"/>
      <c r="G34" s="1157"/>
      <c r="H34" s="1189"/>
      <c r="I34" s="1157"/>
      <c r="J34" s="1157" t="s">
        <v>902</v>
      </c>
      <c r="K34" s="1157" t="s">
        <v>902</v>
      </c>
      <c r="L34" s="1157"/>
      <c r="M34" s="1168">
        <v>-1513069</v>
      </c>
      <c r="N34" s="1157" t="s">
        <v>902</v>
      </c>
      <c r="O34" s="1187">
        <f t="shared" si="0"/>
        <v>-1513069</v>
      </c>
    </row>
    <row r="35" spans="1:15">
      <c r="A35" s="1353">
        <v>14.01</v>
      </c>
      <c r="B35" s="1430" t="s">
        <v>6181</v>
      </c>
      <c r="C35" s="1430" t="s">
        <v>192</v>
      </c>
      <c r="D35" s="1157"/>
      <c r="E35" s="1157"/>
      <c r="F35" s="1157"/>
      <c r="G35" s="1157"/>
      <c r="H35" s="1203">
        <v>344618</v>
      </c>
      <c r="I35" s="1157"/>
      <c r="J35" s="1157" t="s">
        <v>902</v>
      </c>
      <c r="K35" s="1157" t="s">
        <v>902</v>
      </c>
      <c r="L35" s="1157"/>
      <c r="M35" s="1168">
        <v>18142787</v>
      </c>
      <c r="N35" s="1157" t="s">
        <v>902</v>
      </c>
      <c r="O35" s="1187">
        <f t="shared" si="0"/>
        <v>18142787</v>
      </c>
    </row>
    <row r="36" spans="1:15">
      <c r="A36" s="1353">
        <v>14.010999999999999</v>
      </c>
      <c r="B36" s="1204" t="s">
        <v>5903</v>
      </c>
      <c r="C36" s="1430" t="s">
        <v>192</v>
      </c>
      <c r="D36" s="1157"/>
      <c r="E36" s="1157"/>
      <c r="F36" s="1157"/>
      <c r="G36" s="1157"/>
      <c r="H36" s="1432">
        <v>1900</v>
      </c>
      <c r="I36" s="1157"/>
      <c r="J36" s="1157" t="s">
        <v>902</v>
      </c>
      <c r="K36" s="1157" t="s">
        <v>902</v>
      </c>
      <c r="L36" s="1157"/>
      <c r="M36" s="1168">
        <v>54344</v>
      </c>
      <c r="N36" s="1157" t="s">
        <v>902</v>
      </c>
      <c r="O36" s="1187">
        <f t="shared" si="0"/>
        <v>54344</v>
      </c>
    </row>
    <row r="37" spans="1:15">
      <c r="A37" s="1353">
        <v>14.012</v>
      </c>
      <c r="B37" s="1204" t="s">
        <v>6182</v>
      </c>
      <c r="C37" s="1430" t="s">
        <v>195</v>
      </c>
      <c r="D37" s="1157"/>
      <c r="E37" s="1157"/>
      <c r="F37" s="1157"/>
      <c r="G37" s="1157"/>
      <c r="H37" s="1203">
        <v>35</v>
      </c>
      <c r="I37" s="1157"/>
      <c r="J37" s="1157" t="s">
        <v>902</v>
      </c>
      <c r="K37" s="1157" t="s">
        <v>902</v>
      </c>
      <c r="L37" s="1157"/>
      <c r="M37" s="1157"/>
      <c r="N37" s="1168">
        <v>875</v>
      </c>
      <c r="O37" s="1187">
        <f t="shared" si="0"/>
        <v>875</v>
      </c>
    </row>
    <row r="38" spans="1:15">
      <c r="A38" s="1353">
        <v>14.013</v>
      </c>
      <c r="B38" s="1204" t="s">
        <v>6182</v>
      </c>
      <c r="C38" s="1430" t="s">
        <v>192</v>
      </c>
      <c r="D38" s="1157"/>
      <c r="E38" s="1157"/>
      <c r="F38" s="1157"/>
      <c r="G38" s="1157"/>
      <c r="H38" s="1203">
        <v>3086</v>
      </c>
      <c r="I38" s="1157"/>
      <c r="J38" s="1157" t="s">
        <v>902</v>
      </c>
      <c r="K38" s="1157" t="s">
        <v>902</v>
      </c>
      <c r="L38" s="1157"/>
      <c r="M38" s="1168">
        <v>256120</v>
      </c>
      <c r="N38" s="1157" t="s">
        <v>902</v>
      </c>
      <c r="O38" s="1187">
        <f t="shared" si="0"/>
        <v>256120</v>
      </c>
    </row>
    <row r="39" spans="1:15">
      <c r="A39" s="1353">
        <v>14.013999999999999</v>
      </c>
      <c r="B39" s="1204" t="s">
        <v>6258</v>
      </c>
      <c r="C39" s="1430" t="s">
        <v>190</v>
      </c>
      <c r="D39" s="1157"/>
      <c r="E39" s="1157"/>
      <c r="F39" s="1157"/>
      <c r="G39" s="1157"/>
      <c r="H39" s="1203">
        <v>212049</v>
      </c>
      <c r="I39" s="1157"/>
      <c r="J39" s="1157" t="s">
        <v>902</v>
      </c>
      <c r="K39" s="1157" t="s">
        <v>902</v>
      </c>
      <c r="L39" s="1157"/>
      <c r="M39" s="1168">
        <v>5665949</v>
      </c>
      <c r="N39" s="1157" t="s">
        <v>902</v>
      </c>
      <c r="O39" s="1187">
        <f t="shared" si="0"/>
        <v>5665949</v>
      </c>
    </row>
    <row r="40" spans="1:15">
      <c r="A40" s="1353">
        <v>14.015000000000001</v>
      </c>
      <c r="B40" s="1204" t="s">
        <v>6183</v>
      </c>
      <c r="C40" s="1204" t="s">
        <v>195</v>
      </c>
      <c r="D40" s="1204"/>
      <c r="E40" s="1204"/>
      <c r="F40" s="1157"/>
      <c r="G40" s="1157"/>
      <c r="H40" s="1203">
        <v>44</v>
      </c>
      <c r="I40" s="1157"/>
      <c r="J40" s="1157" t="s">
        <v>902</v>
      </c>
      <c r="K40" s="1157" t="s">
        <v>902</v>
      </c>
      <c r="L40" s="1157"/>
      <c r="M40" s="1157"/>
      <c r="N40" s="1168">
        <v>2635</v>
      </c>
      <c r="O40" s="1187">
        <f t="shared" si="0"/>
        <v>2635</v>
      </c>
    </row>
    <row r="41" spans="1:15">
      <c r="A41" s="1353">
        <v>14.016</v>
      </c>
      <c r="B41" s="1204" t="s">
        <v>6183</v>
      </c>
      <c r="C41" s="1430" t="s">
        <v>192</v>
      </c>
      <c r="D41" s="1204"/>
      <c r="E41" s="1157"/>
      <c r="F41" s="1157"/>
      <c r="G41" s="1157"/>
      <c r="H41" s="1203">
        <v>1399746</v>
      </c>
      <c r="I41" s="1157"/>
      <c r="J41" s="1157" t="s">
        <v>902</v>
      </c>
      <c r="K41" s="1157" t="s">
        <v>902</v>
      </c>
      <c r="L41" s="1157"/>
      <c r="M41" s="1168">
        <v>126274637</v>
      </c>
      <c r="N41" s="1157" t="s">
        <v>902</v>
      </c>
      <c r="O41" s="1187">
        <f t="shared" si="0"/>
        <v>126274637</v>
      </c>
    </row>
    <row r="42" spans="1:15">
      <c r="A42" s="1353">
        <v>14.016999999999999</v>
      </c>
      <c r="B42" s="1204" t="s">
        <v>6240</v>
      </c>
      <c r="C42" s="1430" t="s">
        <v>195</v>
      </c>
      <c r="D42" s="1157"/>
      <c r="E42" s="1157"/>
      <c r="F42" s="1157"/>
      <c r="G42" s="1157"/>
      <c r="H42" s="1203">
        <v>121</v>
      </c>
      <c r="I42" s="1157"/>
      <c r="J42" s="1157" t="s">
        <v>902</v>
      </c>
      <c r="K42" s="1157" t="s">
        <v>902</v>
      </c>
      <c r="L42" s="1157"/>
      <c r="M42" s="1157"/>
      <c r="N42" s="1168">
        <v>30367</v>
      </c>
      <c r="O42" s="1187">
        <f t="shared" si="0"/>
        <v>30367</v>
      </c>
    </row>
    <row r="43" spans="1:15">
      <c r="A43" s="1353">
        <v>14.018000000000001</v>
      </c>
      <c r="B43" s="1204" t="s">
        <v>6240</v>
      </c>
      <c r="C43" s="1430" t="s">
        <v>192</v>
      </c>
      <c r="D43" s="1157"/>
      <c r="E43" s="1157"/>
      <c r="F43" s="1157"/>
      <c r="G43" s="1157"/>
      <c r="H43" s="1203">
        <v>883427</v>
      </c>
      <c r="I43" s="1157"/>
      <c r="J43" s="1157" t="s">
        <v>902</v>
      </c>
      <c r="K43" s="1157" t="s">
        <v>902</v>
      </c>
      <c r="L43" s="1157"/>
      <c r="M43" s="1168">
        <v>73978444</v>
      </c>
      <c r="N43" s="1157" t="s">
        <v>902</v>
      </c>
      <c r="O43" s="1187">
        <f t="shared" si="0"/>
        <v>73978444</v>
      </c>
    </row>
    <row r="44" spans="1:15">
      <c r="A44" s="1353">
        <v>14.019</v>
      </c>
      <c r="B44" s="1204" t="s">
        <v>6184</v>
      </c>
      <c r="C44" s="1430" t="s">
        <v>192</v>
      </c>
      <c r="D44" s="1157"/>
      <c r="E44" s="1157"/>
      <c r="F44" s="1157"/>
      <c r="G44" s="1157"/>
      <c r="H44" s="1203">
        <v>7343</v>
      </c>
      <c r="I44" s="1157"/>
      <c r="J44" s="1157" t="s">
        <v>902</v>
      </c>
      <c r="K44" s="1157" t="s">
        <v>902</v>
      </c>
      <c r="L44" s="1157"/>
      <c r="M44" s="1168">
        <v>1072720</v>
      </c>
      <c r="N44" s="1157" t="s">
        <v>902</v>
      </c>
      <c r="O44" s="1187">
        <f t="shared" ref="O44:O99" si="1">SUM(L44:N44)</f>
        <v>1072720</v>
      </c>
    </row>
    <row r="45" spans="1:15">
      <c r="A45" s="1353">
        <v>14.02</v>
      </c>
      <c r="B45" s="1430" t="s">
        <v>6185</v>
      </c>
      <c r="C45" s="1430" t="s">
        <v>193</v>
      </c>
      <c r="D45" s="1157"/>
      <c r="E45" s="1157"/>
      <c r="F45" s="1157"/>
      <c r="G45" s="1157"/>
      <c r="H45" s="1189"/>
      <c r="I45" s="1157"/>
      <c r="J45" s="1432">
        <v>50800</v>
      </c>
      <c r="K45" s="1432">
        <v>178631</v>
      </c>
      <c r="L45" s="1157"/>
      <c r="M45" s="1157"/>
      <c r="N45" s="1157" t="s">
        <v>902</v>
      </c>
      <c r="O45" s="1187">
        <f t="shared" si="1"/>
        <v>0</v>
      </c>
    </row>
    <row r="46" spans="1:15">
      <c r="A46" s="1353">
        <v>14.021000000000001</v>
      </c>
      <c r="B46" s="1430" t="s">
        <v>6186</v>
      </c>
      <c r="C46" s="1430" t="s">
        <v>195</v>
      </c>
      <c r="D46" s="1157"/>
      <c r="E46" s="1157"/>
      <c r="F46" s="1157"/>
      <c r="G46" s="1157"/>
      <c r="H46" s="1189"/>
      <c r="I46" s="1157"/>
      <c r="J46" s="1157" t="s">
        <v>902</v>
      </c>
      <c r="K46" s="1157" t="s">
        <v>902</v>
      </c>
      <c r="L46" s="1157"/>
      <c r="M46" s="1157"/>
      <c r="N46" s="1168">
        <v>89090</v>
      </c>
      <c r="O46" s="1187">
        <f t="shared" si="1"/>
        <v>89090</v>
      </c>
    </row>
    <row r="47" spans="1:15">
      <c r="A47" s="1353">
        <v>14.022</v>
      </c>
      <c r="B47" s="1430" t="s">
        <v>6186</v>
      </c>
      <c r="C47" s="1430" t="s">
        <v>192</v>
      </c>
      <c r="D47" s="1157"/>
      <c r="E47" s="1157"/>
      <c r="F47" s="1157"/>
      <c r="G47" s="1157"/>
      <c r="H47" s="1189"/>
      <c r="I47" s="1157"/>
      <c r="J47" s="1157" t="s">
        <v>902</v>
      </c>
      <c r="K47" s="1157" t="s">
        <v>902</v>
      </c>
      <c r="L47" s="1157"/>
      <c r="M47" s="1168">
        <v>4750694</v>
      </c>
      <c r="N47" s="1157" t="s">
        <v>902</v>
      </c>
      <c r="O47" s="1187">
        <f t="shared" si="1"/>
        <v>4750694</v>
      </c>
    </row>
    <row r="48" spans="1:15">
      <c r="A48" s="1353">
        <v>14.023</v>
      </c>
      <c r="B48" s="1430" t="s">
        <v>6187</v>
      </c>
      <c r="C48" s="1430" t="s">
        <v>191</v>
      </c>
      <c r="D48" s="1157"/>
      <c r="E48" s="1157"/>
      <c r="F48" s="1157"/>
      <c r="G48" s="1157"/>
      <c r="H48" s="1203">
        <v>231936</v>
      </c>
      <c r="I48" s="1157"/>
      <c r="J48" s="1157" t="s">
        <v>902</v>
      </c>
      <c r="K48" s="1157" t="s">
        <v>902</v>
      </c>
      <c r="L48" s="1157"/>
      <c r="M48" s="1168">
        <v>8340000</v>
      </c>
      <c r="N48" s="1157" t="s">
        <v>902</v>
      </c>
      <c r="O48" s="1187">
        <f t="shared" si="1"/>
        <v>8340000</v>
      </c>
    </row>
    <row r="49" spans="1:15">
      <c r="A49" s="1353">
        <v>14.023999999999999</v>
      </c>
      <c r="B49" s="1204" t="s">
        <v>6187</v>
      </c>
      <c r="C49" s="1430" t="s">
        <v>195</v>
      </c>
      <c r="D49" s="1157"/>
      <c r="E49" s="1157"/>
      <c r="F49" s="1157"/>
      <c r="G49" s="1157"/>
      <c r="H49" s="1157"/>
      <c r="I49" s="1157"/>
      <c r="J49" s="1157" t="s">
        <v>902</v>
      </c>
      <c r="K49" s="1157" t="s">
        <v>902</v>
      </c>
      <c r="L49" s="1157"/>
      <c r="M49" s="1157"/>
      <c r="N49" s="1168">
        <v>-59623</v>
      </c>
      <c r="O49" s="1187">
        <f t="shared" si="1"/>
        <v>-59623</v>
      </c>
    </row>
    <row r="50" spans="1:15">
      <c r="A50" s="1353">
        <v>14.025</v>
      </c>
      <c r="B50" s="1204" t="s">
        <v>6187</v>
      </c>
      <c r="C50" s="1430" t="s">
        <v>190</v>
      </c>
      <c r="D50" s="1157"/>
      <c r="E50" s="1157"/>
      <c r="F50" s="1157"/>
      <c r="G50" s="1157"/>
      <c r="H50" s="1203">
        <v>1083200</v>
      </c>
      <c r="I50" s="1157"/>
      <c r="J50" s="1157" t="s">
        <v>902</v>
      </c>
      <c r="K50" s="1157" t="s">
        <v>902</v>
      </c>
      <c r="L50" s="1157"/>
      <c r="M50" s="1168">
        <v>34368022</v>
      </c>
      <c r="N50" s="1157" t="s">
        <v>902</v>
      </c>
      <c r="O50" s="1187">
        <f t="shared" si="1"/>
        <v>34368022</v>
      </c>
    </row>
    <row r="51" spans="1:15">
      <c r="A51" s="1353">
        <v>14.026</v>
      </c>
      <c r="B51" s="1204" t="s">
        <v>6259</v>
      </c>
      <c r="C51" s="1430" t="s">
        <v>192</v>
      </c>
      <c r="D51" s="1157"/>
      <c r="E51" s="1157"/>
      <c r="F51" s="1157"/>
      <c r="G51" s="1157"/>
      <c r="H51" s="1203">
        <v>6500</v>
      </c>
      <c r="I51" s="1157"/>
      <c r="J51" s="1157" t="s">
        <v>902</v>
      </c>
      <c r="K51" s="1157" t="s">
        <v>902</v>
      </c>
      <c r="L51" s="1157"/>
      <c r="M51" s="1168">
        <v>1053215</v>
      </c>
      <c r="N51" s="1157" t="s">
        <v>902</v>
      </c>
      <c r="O51" s="1187">
        <f t="shared" si="1"/>
        <v>1053215</v>
      </c>
    </row>
    <row r="52" spans="1:15">
      <c r="A52" s="1353">
        <v>14.026999999999999</v>
      </c>
      <c r="B52" s="1204" t="s">
        <v>6188</v>
      </c>
      <c r="C52" s="1430" t="s">
        <v>192</v>
      </c>
      <c r="D52" s="1157"/>
      <c r="E52" s="1157"/>
      <c r="F52" s="1157"/>
      <c r="G52" s="1157"/>
      <c r="H52" s="1203">
        <v>3677</v>
      </c>
      <c r="I52" s="1157"/>
      <c r="J52" s="1157" t="s">
        <v>902</v>
      </c>
      <c r="K52" s="1157" t="s">
        <v>902</v>
      </c>
      <c r="L52" s="1157"/>
      <c r="M52" s="1168">
        <v>122296</v>
      </c>
      <c r="N52" s="1157" t="s">
        <v>902</v>
      </c>
      <c r="O52" s="1187">
        <f t="shared" si="1"/>
        <v>122296</v>
      </c>
    </row>
    <row r="53" spans="1:15">
      <c r="A53" s="1353">
        <v>14.028</v>
      </c>
      <c r="B53" s="1204" t="s">
        <v>6189</v>
      </c>
      <c r="C53" s="1204" t="s">
        <v>192</v>
      </c>
      <c r="D53" s="1204"/>
      <c r="E53" s="1204"/>
      <c r="F53" s="1157"/>
      <c r="G53" s="1157"/>
      <c r="H53" s="1203">
        <v>3474</v>
      </c>
      <c r="I53" s="1157"/>
      <c r="J53" s="1157" t="s">
        <v>902</v>
      </c>
      <c r="K53" s="1157" t="s">
        <v>902</v>
      </c>
      <c r="L53" s="1157"/>
      <c r="M53" s="1168">
        <v>150788</v>
      </c>
      <c r="N53" s="1157" t="s">
        <v>902</v>
      </c>
      <c r="O53" s="1187">
        <f t="shared" si="1"/>
        <v>150788</v>
      </c>
    </row>
    <row r="54" spans="1:15">
      <c r="A54" s="1353">
        <v>14.029</v>
      </c>
      <c r="B54" s="1204" t="s">
        <v>6190</v>
      </c>
      <c r="C54" s="1430" t="s">
        <v>190</v>
      </c>
      <c r="D54" s="1204"/>
      <c r="E54" s="1157"/>
      <c r="F54" s="1157"/>
      <c r="G54" s="1157"/>
      <c r="H54" s="1203">
        <v>31788</v>
      </c>
      <c r="I54" s="1157"/>
      <c r="J54" s="1157" t="s">
        <v>902</v>
      </c>
      <c r="K54" s="1157" t="s">
        <v>902</v>
      </c>
      <c r="L54" s="1157"/>
      <c r="M54" s="1168">
        <v>2283353</v>
      </c>
      <c r="N54" s="1157" t="s">
        <v>902</v>
      </c>
      <c r="O54" s="1187">
        <f t="shared" si="1"/>
        <v>2283353</v>
      </c>
    </row>
    <row r="55" spans="1:15">
      <c r="A55" s="1353">
        <v>14.03</v>
      </c>
      <c r="B55" s="1204" t="s">
        <v>6191</v>
      </c>
      <c r="C55" s="1430" t="s">
        <v>195</v>
      </c>
      <c r="D55" s="1157"/>
      <c r="E55" s="1157"/>
      <c r="F55" s="1157"/>
      <c r="G55" s="1157"/>
      <c r="H55" s="1203">
        <v>12</v>
      </c>
      <c r="I55" s="1157"/>
      <c r="J55" s="1157" t="s">
        <v>902</v>
      </c>
      <c r="K55" s="1157" t="s">
        <v>902</v>
      </c>
      <c r="L55" s="1157"/>
      <c r="M55" s="1157"/>
      <c r="N55" s="1168">
        <v>205</v>
      </c>
      <c r="O55" s="1187">
        <f t="shared" si="1"/>
        <v>205</v>
      </c>
    </row>
    <row r="56" spans="1:15">
      <c r="A56" s="1353">
        <v>14.031000000000001</v>
      </c>
      <c r="B56" s="1204" t="s">
        <v>6191</v>
      </c>
      <c r="C56" s="1430" t="s">
        <v>192</v>
      </c>
      <c r="D56" s="1157"/>
      <c r="E56" s="1157"/>
      <c r="F56" s="1157"/>
      <c r="G56" s="1157"/>
      <c r="H56" s="1203">
        <v>1008</v>
      </c>
      <c r="I56" s="1157"/>
      <c r="J56" s="1157" t="s">
        <v>902</v>
      </c>
      <c r="K56" s="1157" t="s">
        <v>902</v>
      </c>
      <c r="L56" s="1157"/>
      <c r="M56" s="1168">
        <v>57543</v>
      </c>
      <c r="N56" s="1157" t="s">
        <v>902</v>
      </c>
      <c r="O56" s="1187">
        <f t="shared" si="1"/>
        <v>57543</v>
      </c>
    </row>
    <row r="57" spans="1:15">
      <c r="A57" s="1353">
        <v>14.032</v>
      </c>
      <c r="B57" s="1204" t="s">
        <v>6192</v>
      </c>
      <c r="C57" s="1430" t="s">
        <v>195</v>
      </c>
      <c r="D57" s="1157"/>
      <c r="E57" s="1157"/>
      <c r="F57" s="1157"/>
      <c r="G57" s="1157"/>
      <c r="H57" s="1203">
        <v>-35</v>
      </c>
      <c r="I57" s="1157"/>
      <c r="J57" s="1157" t="s">
        <v>902</v>
      </c>
      <c r="K57" s="1157" t="s">
        <v>902</v>
      </c>
      <c r="L57" s="1157"/>
      <c r="M57" s="1157"/>
      <c r="N57" s="1168">
        <v>-875</v>
      </c>
      <c r="O57" s="1187">
        <f t="shared" si="1"/>
        <v>-875</v>
      </c>
    </row>
    <row r="58" spans="1:15">
      <c r="A58" s="1353">
        <v>14.032999999999999</v>
      </c>
      <c r="B58" s="1430" t="s">
        <v>6192</v>
      </c>
      <c r="C58" s="1430" t="s">
        <v>192</v>
      </c>
      <c r="D58" s="1157"/>
      <c r="E58" s="1157"/>
      <c r="F58" s="1157"/>
      <c r="G58" s="1157"/>
      <c r="H58" s="1203">
        <v>7498</v>
      </c>
      <c r="I58" s="1157"/>
      <c r="J58" s="1157" t="s">
        <v>902</v>
      </c>
      <c r="K58" s="1157" t="s">
        <v>902</v>
      </c>
      <c r="L58" s="1157"/>
      <c r="M58" s="1168">
        <v>452561</v>
      </c>
      <c r="N58" s="1157" t="s">
        <v>902</v>
      </c>
      <c r="O58" s="1187">
        <f t="shared" si="1"/>
        <v>452561</v>
      </c>
    </row>
    <row r="59" spans="1:15">
      <c r="A59" s="1353">
        <v>14.034000000000001</v>
      </c>
      <c r="B59" s="1430" t="s">
        <v>6242</v>
      </c>
      <c r="C59" s="1430" t="s">
        <v>195</v>
      </c>
      <c r="D59" s="1157"/>
      <c r="E59" s="1157"/>
      <c r="F59" s="1157"/>
      <c r="G59" s="1157"/>
      <c r="H59" s="1189"/>
      <c r="I59" s="1157"/>
      <c r="J59" s="1157" t="s">
        <v>902</v>
      </c>
      <c r="K59" s="1157" t="s">
        <v>902</v>
      </c>
      <c r="L59" s="1157"/>
      <c r="M59" s="1157"/>
      <c r="N59" s="1168">
        <v>-1676</v>
      </c>
      <c r="O59" s="1187">
        <f t="shared" si="1"/>
        <v>-1676</v>
      </c>
    </row>
    <row r="60" spans="1:15">
      <c r="A60" s="1353">
        <v>14.035</v>
      </c>
      <c r="B60" s="1430" t="s">
        <v>6193</v>
      </c>
      <c r="C60" s="1430" t="s">
        <v>192</v>
      </c>
      <c r="D60" s="1157"/>
      <c r="E60" s="1157"/>
      <c r="F60" s="1157"/>
      <c r="G60" s="1157"/>
      <c r="H60" s="1203">
        <v>3792</v>
      </c>
      <c r="I60" s="1157"/>
      <c r="J60" s="1157" t="s">
        <v>902</v>
      </c>
      <c r="K60" s="1157" t="s">
        <v>902</v>
      </c>
      <c r="L60" s="1157"/>
      <c r="M60" s="1168">
        <v>126138</v>
      </c>
      <c r="N60" s="1157" t="s">
        <v>902</v>
      </c>
      <c r="O60" s="1187">
        <f t="shared" si="1"/>
        <v>126138</v>
      </c>
    </row>
    <row r="61" spans="1:15">
      <c r="A61" s="1353">
        <v>14.036</v>
      </c>
      <c r="B61" s="1430" t="s">
        <v>6194</v>
      </c>
      <c r="C61" s="1430" t="s">
        <v>192</v>
      </c>
      <c r="D61" s="1157"/>
      <c r="E61" s="1157"/>
      <c r="F61" s="1157"/>
      <c r="G61" s="1157"/>
      <c r="H61" s="1203">
        <v>8607</v>
      </c>
      <c r="I61" s="1157"/>
      <c r="J61" s="1157" t="s">
        <v>902</v>
      </c>
      <c r="K61" s="1157" t="s">
        <v>902</v>
      </c>
      <c r="L61" s="1157"/>
      <c r="M61" s="1168">
        <v>300271</v>
      </c>
      <c r="N61" s="1157" t="s">
        <v>902</v>
      </c>
      <c r="O61" s="1187">
        <f t="shared" si="1"/>
        <v>300271</v>
      </c>
    </row>
    <row r="62" spans="1:15">
      <c r="A62" s="1353">
        <v>14.037000000000001</v>
      </c>
      <c r="B62" s="1204" t="s">
        <v>6195</v>
      </c>
      <c r="C62" s="1430" t="s">
        <v>195</v>
      </c>
      <c r="D62" s="1157"/>
      <c r="E62" s="1157"/>
      <c r="F62" s="1157"/>
      <c r="G62" s="1157"/>
      <c r="H62" s="1157"/>
      <c r="I62" s="1157"/>
      <c r="J62" s="1157" t="s">
        <v>902</v>
      </c>
      <c r="K62" s="1157" t="s">
        <v>902</v>
      </c>
      <c r="L62" s="1157"/>
      <c r="M62" s="1157"/>
      <c r="N62" s="1168">
        <v>64825</v>
      </c>
      <c r="O62" s="1187">
        <f t="shared" si="1"/>
        <v>64825</v>
      </c>
    </row>
    <row r="63" spans="1:15">
      <c r="A63" s="1353">
        <v>14.038</v>
      </c>
      <c r="B63" s="1204" t="s">
        <v>6195</v>
      </c>
      <c r="C63" s="1430" t="s">
        <v>190</v>
      </c>
      <c r="D63" s="1157"/>
      <c r="E63" s="1157"/>
      <c r="F63" s="1157"/>
      <c r="G63" s="1157"/>
      <c r="H63" s="1203">
        <v>464646</v>
      </c>
      <c r="I63" s="1157"/>
      <c r="J63" s="1157" t="s">
        <v>902</v>
      </c>
      <c r="K63" s="1157" t="s">
        <v>902</v>
      </c>
      <c r="L63" s="1157"/>
      <c r="M63" s="1168">
        <v>22496259</v>
      </c>
      <c r="N63" s="1157" t="s">
        <v>902</v>
      </c>
      <c r="O63" s="1187">
        <f t="shared" si="1"/>
        <v>22496259</v>
      </c>
    </row>
    <row r="64" spans="1:15">
      <c r="A64" s="1353">
        <v>14.039</v>
      </c>
      <c r="B64" s="1204" t="s">
        <v>6243</v>
      </c>
      <c r="C64" s="1430" t="s">
        <v>195</v>
      </c>
      <c r="D64" s="1157"/>
      <c r="E64" s="1157"/>
      <c r="F64" s="1157"/>
      <c r="G64" s="1157"/>
      <c r="H64" s="1189"/>
      <c r="I64" s="1157"/>
      <c r="J64" s="1157" t="s">
        <v>902</v>
      </c>
      <c r="K64" s="1157" t="s">
        <v>902</v>
      </c>
      <c r="L64" s="1157"/>
      <c r="M64" s="1157"/>
      <c r="N64" s="1168">
        <v>1105493</v>
      </c>
      <c r="O64" s="1187">
        <f t="shared" si="1"/>
        <v>1105493</v>
      </c>
    </row>
    <row r="65" spans="1:15">
      <c r="A65" s="1353">
        <v>14.04</v>
      </c>
      <c r="B65" s="1204" t="s">
        <v>5912</v>
      </c>
      <c r="C65" s="1430" t="s">
        <v>192</v>
      </c>
      <c r="D65" s="1157"/>
      <c r="E65" s="1157"/>
      <c r="F65" s="1157"/>
      <c r="G65" s="1157"/>
      <c r="H65" s="1203">
        <v>7</v>
      </c>
      <c r="I65" s="1157"/>
      <c r="J65" s="1157" t="s">
        <v>902</v>
      </c>
      <c r="K65" s="1157" t="s">
        <v>902</v>
      </c>
      <c r="L65" s="1157"/>
      <c r="M65" s="1168">
        <v>942</v>
      </c>
      <c r="N65" s="1157" t="s">
        <v>902</v>
      </c>
      <c r="O65" s="1187">
        <f t="shared" si="1"/>
        <v>942</v>
      </c>
    </row>
    <row r="66" spans="1:15">
      <c r="A66" s="1353">
        <v>14.041</v>
      </c>
      <c r="B66" s="1204" t="s">
        <v>6260</v>
      </c>
      <c r="C66" s="1204" t="s">
        <v>192</v>
      </c>
      <c r="D66" s="1204"/>
      <c r="E66" s="1204"/>
      <c r="F66" s="1157"/>
      <c r="G66" s="1157"/>
      <c r="H66" s="1203">
        <v>777607</v>
      </c>
      <c r="I66" s="1157"/>
      <c r="J66" s="1157" t="s">
        <v>902</v>
      </c>
      <c r="K66" s="1157" t="s">
        <v>902</v>
      </c>
      <c r="L66" s="1157"/>
      <c r="M66" s="1168">
        <v>59154147</v>
      </c>
      <c r="N66" s="1157" t="s">
        <v>902</v>
      </c>
      <c r="O66" s="1187">
        <f t="shared" si="1"/>
        <v>59154147</v>
      </c>
    </row>
    <row r="67" spans="1:15">
      <c r="A67" s="1353">
        <v>14.042</v>
      </c>
      <c r="B67" s="1204" t="s">
        <v>5913</v>
      </c>
      <c r="C67" s="1430" t="s">
        <v>195</v>
      </c>
      <c r="D67" s="1204"/>
      <c r="E67" s="1157"/>
      <c r="F67" s="1157"/>
      <c r="G67" s="1157"/>
      <c r="H67" s="1203">
        <v>124</v>
      </c>
      <c r="I67" s="1157"/>
      <c r="J67" s="1157" t="s">
        <v>902</v>
      </c>
      <c r="K67" s="1157" t="s">
        <v>902</v>
      </c>
      <c r="L67" s="1157"/>
      <c r="M67" s="1157"/>
      <c r="N67" s="1168">
        <v>21615</v>
      </c>
      <c r="O67" s="1187">
        <f t="shared" si="1"/>
        <v>21615</v>
      </c>
    </row>
    <row r="68" spans="1:15">
      <c r="A68" s="1353">
        <v>14.042999999999999</v>
      </c>
      <c r="B68" s="1204" t="s">
        <v>5913</v>
      </c>
      <c r="C68" s="1430" t="s">
        <v>192</v>
      </c>
      <c r="D68" s="1157"/>
      <c r="E68" s="1157"/>
      <c r="F68" s="1157"/>
      <c r="G68" s="1157"/>
      <c r="H68" s="1203">
        <v>5537</v>
      </c>
      <c r="I68" s="1157"/>
      <c r="J68" s="1157" t="s">
        <v>902</v>
      </c>
      <c r="K68" s="1157" t="s">
        <v>902</v>
      </c>
      <c r="L68" s="1157"/>
      <c r="M68" s="1168">
        <v>327899</v>
      </c>
      <c r="N68" s="1157" t="s">
        <v>902</v>
      </c>
      <c r="O68" s="1187">
        <f t="shared" si="1"/>
        <v>327899</v>
      </c>
    </row>
    <row r="69" spans="1:15">
      <c r="A69" s="1353">
        <v>14.044</v>
      </c>
      <c r="B69" s="1204" t="s">
        <v>6197</v>
      </c>
      <c r="C69" s="1430" t="s">
        <v>190</v>
      </c>
      <c r="D69" s="1157"/>
      <c r="E69" s="1157"/>
      <c r="F69" s="1157"/>
      <c r="G69" s="1157"/>
      <c r="H69" s="1203">
        <v>31</v>
      </c>
      <c r="I69" s="1157"/>
      <c r="J69" s="1157" t="s">
        <v>902</v>
      </c>
      <c r="K69" s="1157" t="s">
        <v>902</v>
      </c>
      <c r="L69" s="1157"/>
      <c r="M69" s="1168">
        <v>2227</v>
      </c>
      <c r="N69" s="1157" t="s">
        <v>902</v>
      </c>
      <c r="O69" s="1187">
        <f t="shared" si="1"/>
        <v>2227</v>
      </c>
    </row>
    <row r="70" spans="1:15">
      <c r="A70" s="1353">
        <v>14.045</v>
      </c>
      <c r="B70" s="1204" t="s">
        <v>6244</v>
      </c>
      <c r="C70" s="1430" t="s">
        <v>190</v>
      </c>
      <c r="D70" s="1157"/>
      <c r="E70" s="1157"/>
      <c r="F70" s="1157"/>
      <c r="G70" s="1157"/>
      <c r="H70" s="1203">
        <v>350341</v>
      </c>
      <c r="I70" s="1157"/>
      <c r="J70" s="1157" t="s">
        <v>902</v>
      </c>
      <c r="K70" s="1157" t="s">
        <v>902</v>
      </c>
      <c r="L70" s="1157"/>
      <c r="M70" s="1168">
        <v>16641198</v>
      </c>
      <c r="N70" s="1157" t="s">
        <v>902</v>
      </c>
      <c r="O70" s="1187">
        <f t="shared" si="1"/>
        <v>16641198</v>
      </c>
    </row>
    <row r="71" spans="1:15">
      <c r="A71" s="1353">
        <v>14.045999999999999</v>
      </c>
      <c r="B71" s="1430" t="s">
        <v>6261</v>
      </c>
      <c r="C71" s="1430" t="s">
        <v>195</v>
      </c>
      <c r="D71" s="1157"/>
      <c r="E71" s="1157"/>
      <c r="F71" s="1157"/>
      <c r="G71" s="1157"/>
      <c r="H71" s="1189"/>
      <c r="I71" s="1157"/>
      <c r="J71" s="1157" t="s">
        <v>902</v>
      </c>
      <c r="K71" s="1157" t="s">
        <v>902</v>
      </c>
      <c r="L71" s="1157"/>
      <c r="M71" s="1157"/>
      <c r="N71" s="1168">
        <v>60549</v>
      </c>
      <c r="O71" s="1187">
        <f t="shared" si="1"/>
        <v>60549</v>
      </c>
    </row>
    <row r="72" spans="1:15">
      <c r="A72" s="1353">
        <v>14.047000000000001</v>
      </c>
      <c r="B72" s="1430" t="s">
        <v>6261</v>
      </c>
      <c r="C72" s="1430" t="s">
        <v>190</v>
      </c>
      <c r="D72" s="1157"/>
      <c r="E72" s="1157"/>
      <c r="F72" s="1157"/>
      <c r="G72" s="1157"/>
      <c r="H72" s="1203">
        <v>118007</v>
      </c>
      <c r="I72" s="1157"/>
      <c r="J72" s="1157" t="s">
        <v>902</v>
      </c>
      <c r="K72" s="1157" t="s">
        <v>902</v>
      </c>
      <c r="L72" s="1157"/>
      <c r="M72" s="1168">
        <v>8455361</v>
      </c>
      <c r="N72" s="1157" t="s">
        <v>902</v>
      </c>
      <c r="O72" s="1187">
        <f t="shared" si="1"/>
        <v>8455361</v>
      </c>
    </row>
    <row r="73" spans="1:15">
      <c r="A73" s="1353">
        <v>14.048</v>
      </c>
      <c r="B73" s="1430" t="s">
        <v>6198</v>
      </c>
      <c r="C73" s="1430" t="s">
        <v>190</v>
      </c>
      <c r="D73" s="1157"/>
      <c r="E73" s="1157"/>
      <c r="F73" s="1157"/>
      <c r="G73" s="1157"/>
      <c r="H73" s="1203">
        <v>78</v>
      </c>
      <c r="I73" s="1157"/>
      <c r="J73" s="1157" t="s">
        <v>902</v>
      </c>
      <c r="K73" s="1157" t="s">
        <v>902</v>
      </c>
      <c r="L73" s="1157"/>
      <c r="M73" s="1168">
        <v>2259</v>
      </c>
      <c r="N73" s="1157" t="s">
        <v>902</v>
      </c>
      <c r="O73" s="1187">
        <f t="shared" si="1"/>
        <v>2259</v>
      </c>
    </row>
    <row r="74" spans="1:15">
      <c r="A74" s="1353">
        <v>14.048999999999999</v>
      </c>
      <c r="B74" s="1430" t="s">
        <v>6199</v>
      </c>
      <c r="C74" s="1430" t="s">
        <v>195</v>
      </c>
      <c r="D74" s="1157"/>
      <c r="E74" s="1157"/>
      <c r="F74" s="1157"/>
      <c r="G74" s="1157"/>
      <c r="H74" s="1189"/>
      <c r="I74" s="1157"/>
      <c r="J74" s="1157" t="s">
        <v>902</v>
      </c>
      <c r="K74" s="1157" t="s">
        <v>902</v>
      </c>
      <c r="L74" s="1157"/>
      <c r="M74" s="1157"/>
      <c r="N74" s="1168">
        <v>-1</v>
      </c>
      <c r="O74" s="1187">
        <f t="shared" si="1"/>
        <v>-1</v>
      </c>
    </row>
    <row r="75" spans="1:15">
      <c r="A75" s="1353">
        <v>14.05</v>
      </c>
      <c r="B75" s="1204" t="s">
        <v>6199</v>
      </c>
      <c r="C75" s="1430" t="s">
        <v>190</v>
      </c>
      <c r="D75" s="1157"/>
      <c r="E75" s="1157"/>
      <c r="F75" s="1157"/>
      <c r="G75" s="1157"/>
      <c r="H75" s="1432">
        <v>30247</v>
      </c>
      <c r="I75" s="1157"/>
      <c r="J75" s="1157" t="s">
        <v>902</v>
      </c>
      <c r="K75" s="1157" t="s">
        <v>902</v>
      </c>
      <c r="L75" s="1157"/>
      <c r="M75" s="1168">
        <v>2535781</v>
      </c>
      <c r="N75" s="1157" t="s">
        <v>902</v>
      </c>
      <c r="O75" s="1187">
        <f t="shared" si="1"/>
        <v>2535781</v>
      </c>
    </row>
    <row r="76" spans="1:15">
      <c r="A76" s="1353">
        <v>14.051</v>
      </c>
      <c r="B76" s="1204" t="s">
        <v>6246</v>
      </c>
      <c r="C76" s="1430" t="s">
        <v>192</v>
      </c>
      <c r="D76" s="1157"/>
      <c r="E76" s="1157"/>
      <c r="F76" s="1157"/>
      <c r="G76" s="1157"/>
      <c r="H76" s="1203">
        <v>219</v>
      </c>
      <c r="I76" s="1157"/>
      <c r="J76" s="1157" t="s">
        <v>902</v>
      </c>
      <c r="K76" s="1157" t="s">
        <v>902</v>
      </c>
      <c r="L76" s="1157"/>
      <c r="M76" s="1168">
        <v>5450</v>
      </c>
      <c r="N76" s="1157" t="s">
        <v>902</v>
      </c>
      <c r="O76" s="1187">
        <f t="shared" si="1"/>
        <v>5450</v>
      </c>
    </row>
    <row r="77" spans="1:15">
      <c r="A77" s="1353">
        <v>14.052</v>
      </c>
      <c r="B77" s="1204" t="s">
        <v>6247</v>
      </c>
      <c r="C77" s="1430" t="s">
        <v>195</v>
      </c>
      <c r="D77" s="1157"/>
      <c r="E77" s="1157"/>
      <c r="F77" s="1157"/>
      <c r="G77" s="1157"/>
      <c r="H77" s="1189"/>
      <c r="I77" s="1157"/>
      <c r="J77" s="1157" t="s">
        <v>902</v>
      </c>
      <c r="K77" s="1157" t="s">
        <v>902</v>
      </c>
      <c r="L77" s="1157"/>
      <c r="M77" s="1157"/>
      <c r="N77" s="1168">
        <v>1804</v>
      </c>
      <c r="O77" s="1187">
        <f t="shared" si="1"/>
        <v>1804</v>
      </c>
    </row>
    <row r="78" spans="1:15">
      <c r="A78" s="1353">
        <v>14.053000000000001</v>
      </c>
      <c r="B78" s="1204" t="s">
        <v>6247</v>
      </c>
      <c r="C78" s="1430" t="s">
        <v>190</v>
      </c>
      <c r="D78" s="1157"/>
      <c r="E78" s="1157"/>
      <c r="F78" s="1157"/>
      <c r="G78" s="1157"/>
      <c r="H78" s="1203">
        <v>345989</v>
      </c>
      <c r="I78" s="1157"/>
      <c r="J78" s="1157" t="s">
        <v>902</v>
      </c>
      <c r="K78" s="1157" t="s">
        <v>902</v>
      </c>
      <c r="L78" s="1157"/>
      <c r="M78" s="1168">
        <v>13183659</v>
      </c>
      <c r="N78" s="1157" t="s">
        <v>902</v>
      </c>
      <c r="O78" s="1187">
        <f t="shared" si="1"/>
        <v>13183659</v>
      </c>
    </row>
    <row r="79" spans="1:15">
      <c r="A79" s="1353">
        <v>14.054</v>
      </c>
      <c r="B79" s="1204" t="s">
        <v>6262</v>
      </c>
      <c r="C79" s="1430" t="s">
        <v>192</v>
      </c>
      <c r="D79" s="1157"/>
      <c r="E79" s="1157"/>
      <c r="F79" s="1157"/>
      <c r="G79" s="1157"/>
      <c r="H79" s="1203">
        <v>3407</v>
      </c>
      <c r="I79" s="1157"/>
      <c r="J79" s="1157" t="s">
        <v>902</v>
      </c>
      <c r="K79" s="1157" t="s">
        <v>902</v>
      </c>
      <c r="L79" s="1157"/>
      <c r="M79" s="1168">
        <v>991449</v>
      </c>
      <c r="N79" s="1157" t="s">
        <v>902</v>
      </c>
      <c r="O79" s="1187">
        <f t="shared" si="1"/>
        <v>991449</v>
      </c>
    </row>
    <row r="80" spans="1:15">
      <c r="A80" s="1353">
        <v>14.055</v>
      </c>
      <c r="B80" s="1204" t="s">
        <v>6263</v>
      </c>
      <c r="C80" s="1204" t="s">
        <v>192</v>
      </c>
      <c r="D80" s="1204"/>
      <c r="E80" s="1204"/>
      <c r="F80" s="1157"/>
      <c r="G80" s="1157"/>
      <c r="H80" s="1189"/>
      <c r="I80" s="1157"/>
      <c r="J80" s="1157" t="s">
        <v>902</v>
      </c>
      <c r="K80" s="1157" t="s">
        <v>902</v>
      </c>
      <c r="L80" s="1157"/>
      <c r="M80" s="1168">
        <v>-6571</v>
      </c>
      <c r="N80" s="1157" t="s">
        <v>902</v>
      </c>
      <c r="O80" s="1187">
        <f t="shared" si="1"/>
        <v>-6571</v>
      </c>
    </row>
    <row r="81" spans="1:15">
      <c r="A81" s="1353">
        <v>14.055999999999999</v>
      </c>
      <c r="B81" s="1204" t="s">
        <v>6200</v>
      </c>
      <c r="C81" s="1430" t="s">
        <v>195</v>
      </c>
      <c r="D81" s="1204"/>
      <c r="E81" s="1157"/>
      <c r="F81" s="1157"/>
      <c r="G81" s="1157"/>
      <c r="H81" s="1203">
        <v>-131</v>
      </c>
      <c r="I81" s="1157"/>
      <c r="J81" s="1157" t="s">
        <v>902</v>
      </c>
      <c r="K81" s="1157" t="s">
        <v>902</v>
      </c>
      <c r="L81" s="1157"/>
      <c r="M81" s="1157"/>
      <c r="N81" s="1168">
        <v>-17110</v>
      </c>
      <c r="O81" s="1187">
        <f t="shared" si="1"/>
        <v>-17110</v>
      </c>
    </row>
    <row r="82" spans="1:15">
      <c r="A82" s="1353">
        <v>14.057</v>
      </c>
      <c r="B82" s="1204" t="s">
        <v>6200</v>
      </c>
      <c r="C82" s="1430" t="s">
        <v>187</v>
      </c>
      <c r="D82" s="1157"/>
      <c r="E82" s="1157"/>
      <c r="F82" s="1157"/>
      <c r="G82" s="1157"/>
      <c r="H82" s="1203">
        <v>244785</v>
      </c>
      <c r="I82" s="1157"/>
      <c r="J82" s="1157" t="s">
        <v>902</v>
      </c>
      <c r="K82" s="1157" t="s">
        <v>902</v>
      </c>
      <c r="L82" s="1157"/>
      <c r="M82" s="1168">
        <v>11615048</v>
      </c>
      <c r="N82" s="1157" t="s">
        <v>902</v>
      </c>
      <c r="O82" s="1187">
        <f t="shared" si="1"/>
        <v>11615048</v>
      </c>
    </row>
    <row r="83" spans="1:15">
      <c r="A83" s="1353">
        <v>14.058</v>
      </c>
      <c r="B83" s="1204" t="s">
        <v>6200</v>
      </c>
      <c r="C83" s="1430" t="s">
        <v>192</v>
      </c>
      <c r="D83" s="1157"/>
      <c r="E83" s="1157"/>
      <c r="F83" s="1157"/>
      <c r="G83" s="1157"/>
      <c r="H83" s="1203">
        <v>35832</v>
      </c>
      <c r="I83" s="1157"/>
      <c r="J83" s="1157" t="s">
        <v>902</v>
      </c>
      <c r="K83" s="1157" t="s">
        <v>902</v>
      </c>
      <c r="L83" s="1157"/>
      <c r="M83" s="1168">
        <v>2479071</v>
      </c>
      <c r="N83" s="1157" t="s">
        <v>902</v>
      </c>
      <c r="O83" s="1187">
        <f t="shared" si="1"/>
        <v>2479071</v>
      </c>
    </row>
    <row r="84" spans="1:15">
      <c r="A84" s="1353">
        <v>14.058999999999999</v>
      </c>
      <c r="B84" s="1204" t="s">
        <v>6201</v>
      </c>
      <c r="C84" s="1430" t="s">
        <v>192</v>
      </c>
      <c r="D84" s="1157"/>
      <c r="E84" s="1157"/>
      <c r="F84" s="1157"/>
      <c r="G84" s="1157"/>
      <c r="H84" s="1189"/>
      <c r="I84" s="1157"/>
      <c r="J84" s="1157" t="s">
        <v>902</v>
      </c>
      <c r="K84" s="1157" t="s">
        <v>902</v>
      </c>
      <c r="L84" s="1157"/>
      <c r="M84" s="1168">
        <v>-3401980</v>
      </c>
      <c r="N84" s="1157" t="s">
        <v>902</v>
      </c>
      <c r="O84" s="1187">
        <f t="shared" si="1"/>
        <v>-3401980</v>
      </c>
    </row>
    <row r="85" spans="1:15">
      <c r="A85" s="1353">
        <v>14.06</v>
      </c>
      <c r="B85" s="1430" t="s">
        <v>6264</v>
      </c>
      <c r="C85" s="1430" t="s">
        <v>192</v>
      </c>
      <c r="D85" s="1157"/>
      <c r="E85" s="1157"/>
      <c r="F85" s="1157"/>
      <c r="G85" s="1157"/>
      <c r="H85" s="1203">
        <v>200</v>
      </c>
      <c r="I85" s="1157"/>
      <c r="J85" s="1157" t="s">
        <v>902</v>
      </c>
      <c r="K85" s="1157" t="s">
        <v>902</v>
      </c>
      <c r="L85" s="1157"/>
      <c r="M85" s="1168">
        <v>22800</v>
      </c>
      <c r="N85" s="1157" t="s">
        <v>902</v>
      </c>
      <c r="O85" s="1187">
        <f t="shared" si="1"/>
        <v>22800</v>
      </c>
    </row>
    <row r="86" spans="1:15">
      <c r="A86" s="1353">
        <v>14.061</v>
      </c>
      <c r="B86" s="1430" t="s">
        <v>6202</v>
      </c>
      <c r="C86" s="1430" t="s">
        <v>192</v>
      </c>
      <c r="D86" s="1157"/>
      <c r="E86" s="1157"/>
      <c r="F86" s="1157"/>
      <c r="G86" s="1157"/>
      <c r="H86" s="1203">
        <v>4320</v>
      </c>
      <c r="I86" s="1157"/>
      <c r="J86" s="1157" t="s">
        <v>902</v>
      </c>
      <c r="K86" s="1157" t="s">
        <v>902</v>
      </c>
      <c r="L86" s="1157"/>
      <c r="M86" s="1168">
        <v>180437</v>
      </c>
      <c r="N86" s="1157" t="s">
        <v>902</v>
      </c>
      <c r="O86" s="1187">
        <f t="shared" si="1"/>
        <v>180437</v>
      </c>
    </row>
    <row r="87" spans="1:15">
      <c r="A87" s="1353">
        <v>14.061999999999999</v>
      </c>
      <c r="B87" s="1430" t="s">
        <v>6203</v>
      </c>
      <c r="C87" s="1430" t="s">
        <v>192</v>
      </c>
      <c r="D87" s="1157"/>
      <c r="E87" s="1157"/>
      <c r="F87" s="1157"/>
      <c r="G87" s="1157"/>
      <c r="H87" s="1203">
        <v>15282</v>
      </c>
      <c r="I87" s="1157"/>
      <c r="J87" s="1157" t="s">
        <v>902</v>
      </c>
      <c r="K87" s="1157" t="s">
        <v>902</v>
      </c>
      <c r="L87" s="1157"/>
      <c r="M87" s="1168">
        <v>508276</v>
      </c>
      <c r="N87" s="1157" t="s">
        <v>902</v>
      </c>
      <c r="O87" s="1187">
        <f t="shared" si="1"/>
        <v>508276</v>
      </c>
    </row>
    <row r="88" spans="1:15">
      <c r="A88" s="1353">
        <v>14.063000000000001</v>
      </c>
      <c r="B88" s="1430" t="s">
        <v>6204</v>
      </c>
      <c r="C88" s="1430" t="s">
        <v>192</v>
      </c>
      <c r="D88" s="1157"/>
      <c r="E88" s="1157"/>
      <c r="F88" s="1157"/>
      <c r="G88" s="1157"/>
      <c r="H88" s="1203">
        <v>26859</v>
      </c>
      <c r="I88" s="1157"/>
      <c r="J88" s="1157" t="s">
        <v>902</v>
      </c>
      <c r="K88" s="1157" t="s">
        <v>902</v>
      </c>
      <c r="L88" s="1157"/>
      <c r="M88" s="1168">
        <v>1499467</v>
      </c>
      <c r="N88" s="1157" t="s">
        <v>902</v>
      </c>
      <c r="O88" s="1187">
        <f t="shared" si="1"/>
        <v>1499467</v>
      </c>
    </row>
    <row r="89" spans="1:15">
      <c r="A89" s="1353">
        <v>14.064</v>
      </c>
      <c r="B89" s="1204" t="s">
        <v>6205</v>
      </c>
      <c r="C89" s="1430" t="s">
        <v>193</v>
      </c>
      <c r="D89" s="1157"/>
      <c r="E89" s="1157"/>
      <c r="F89" s="1157"/>
      <c r="G89" s="1157"/>
      <c r="H89" s="1157"/>
      <c r="I89" s="1157"/>
      <c r="J89" s="1432">
        <v>413000</v>
      </c>
      <c r="K89" s="1432">
        <v>413000</v>
      </c>
      <c r="L89" s="1157"/>
      <c r="M89" s="1157"/>
      <c r="N89" s="1157" t="s">
        <v>902</v>
      </c>
      <c r="O89" s="1187">
        <f t="shared" si="1"/>
        <v>0</v>
      </c>
    </row>
    <row r="90" spans="1:15">
      <c r="A90" s="1353">
        <v>14.065</v>
      </c>
      <c r="B90" s="1204" t="s">
        <v>6206</v>
      </c>
      <c r="C90" s="1430" t="s">
        <v>192</v>
      </c>
      <c r="D90" s="1157"/>
      <c r="E90" s="1157"/>
      <c r="F90" s="1157"/>
      <c r="G90" s="1157"/>
      <c r="H90" s="1203">
        <v>12967</v>
      </c>
      <c r="I90" s="1157"/>
      <c r="J90" s="1157" t="s">
        <v>902</v>
      </c>
      <c r="K90" s="1157" t="s">
        <v>902</v>
      </c>
      <c r="L90" s="1157"/>
      <c r="M90" s="1168">
        <v>986790</v>
      </c>
      <c r="N90" s="1157" t="s">
        <v>902</v>
      </c>
      <c r="O90" s="1187">
        <f t="shared" si="1"/>
        <v>986790</v>
      </c>
    </row>
    <row r="91" spans="1:15">
      <c r="A91" s="1353">
        <v>14.066000000000001</v>
      </c>
      <c r="B91" s="1204" t="s">
        <v>6248</v>
      </c>
      <c r="C91" s="1430" t="s">
        <v>190</v>
      </c>
      <c r="D91" s="1157"/>
      <c r="E91" s="1157"/>
      <c r="F91" s="1157"/>
      <c r="G91" s="1157"/>
      <c r="H91" s="1203">
        <v>10069</v>
      </c>
      <c r="I91" s="1157"/>
      <c r="J91" s="1157" t="s">
        <v>902</v>
      </c>
      <c r="K91" s="1157" t="s">
        <v>902</v>
      </c>
      <c r="L91" s="1157"/>
      <c r="M91" s="1168">
        <v>714488</v>
      </c>
      <c r="N91" s="1157" t="s">
        <v>902</v>
      </c>
      <c r="O91" s="1187">
        <f t="shared" si="1"/>
        <v>714488</v>
      </c>
    </row>
    <row r="92" spans="1:15">
      <c r="A92" s="1353">
        <v>14.067</v>
      </c>
      <c r="B92" s="1204" t="s">
        <v>6207</v>
      </c>
      <c r="C92" s="1430" t="s">
        <v>192</v>
      </c>
      <c r="D92" s="1157"/>
      <c r="E92" s="1157"/>
      <c r="F92" s="1157"/>
      <c r="G92" s="1157"/>
      <c r="H92" s="1203">
        <v>58</v>
      </c>
      <c r="I92" s="1157"/>
      <c r="J92" s="1157" t="s">
        <v>902</v>
      </c>
      <c r="K92" s="1157" t="s">
        <v>902</v>
      </c>
      <c r="L92" s="1157"/>
      <c r="M92" s="1168">
        <v>1455</v>
      </c>
      <c r="N92" s="1157" t="s">
        <v>902</v>
      </c>
      <c r="O92" s="1187">
        <f t="shared" si="1"/>
        <v>1455</v>
      </c>
    </row>
    <row r="93" spans="1:15">
      <c r="A93" s="1353">
        <v>14.068</v>
      </c>
      <c r="B93" s="1204" t="s">
        <v>6208</v>
      </c>
      <c r="C93" s="1430" t="s">
        <v>192</v>
      </c>
      <c r="D93" s="1157"/>
      <c r="E93" s="1157"/>
      <c r="F93" s="1157"/>
      <c r="G93" s="1157"/>
      <c r="H93" s="1203">
        <v>42077</v>
      </c>
      <c r="I93" s="1157"/>
      <c r="J93" s="1157" t="s">
        <v>902</v>
      </c>
      <c r="K93" s="1157" t="s">
        <v>902</v>
      </c>
      <c r="L93" s="1157"/>
      <c r="M93" s="1168">
        <v>3147256</v>
      </c>
      <c r="N93" s="1157" t="s">
        <v>902</v>
      </c>
      <c r="O93" s="1187">
        <f t="shared" si="1"/>
        <v>3147256</v>
      </c>
    </row>
    <row r="94" spans="1:15">
      <c r="A94" s="1353">
        <v>14.069000000000001</v>
      </c>
      <c r="B94" s="1204" t="s">
        <v>5921</v>
      </c>
      <c r="C94" s="1204" t="s">
        <v>192</v>
      </c>
      <c r="D94" s="1204"/>
      <c r="E94" s="1204"/>
      <c r="F94" s="1157"/>
      <c r="G94" s="1157"/>
      <c r="H94" s="1203">
        <v>108213</v>
      </c>
      <c r="I94" s="1157"/>
      <c r="J94" s="1157" t="s">
        <v>902</v>
      </c>
      <c r="K94" s="1157" t="s">
        <v>902</v>
      </c>
      <c r="L94" s="1157"/>
      <c r="M94" s="1168">
        <v>8192812</v>
      </c>
      <c r="N94" s="1157" t="s">
        <v>902</v>
      </c>
      <c r="O94" s="1187">
        <f t="shared" si="1"/>
        <v>8192812</v>
      </c>
    </row>
    <row r="95" spans="1:15">
      <c r="A95" s="1353">
        <v>14.07</v>
      </c>
      <c r="B95" s="1204" t="s">
        <v>6265</v>
      </c>
      <c r="C95" s="1430" t="s">
        <v>188</v>
      </c>
      <c r="D95" s="1204"/>
      <c r="E95" s="1157"/>
      <c r="F95" s="1157"/>
      <c r="G95" s="1157"/>
      <c r="H95" s="1203">
        <v>488000</v>
      </c>
      <c r="I95" s="1157"/>
      <c r="J95" s="1157" t="s">
        <v>902</v>
      </c>
      <c r="K95" s="1157" t="s">
        <v>902</v>
      </c>
      <c r="L95" s="1157"/>
      <c r="M95" s="1168">
        <v>51069200</v>
      </c>
      <c r="N95" s="1157" t="s">
        <v>902</v>
      </c>
      <c r="O95" s="1187">
        <f t="shared" si="1"/>
        <v>51069200</v>
      </c>
    </row>
    <row r="96" spans="1:15">
      <c r="A96" s="1353">
        <v>14.071</v>
      </c>
      <c r="B96" s="1204" t="s">
        <v>6266</v>
      </c>
      <c r="C96" s="1430" t="s">
        <v>188</v>
      </c>
      <c r="D96" s="1157"/>
      <c r="E96" s="1157"/>
      <c r="F96" s="1157"/>
      <c r="G96" s="1157"/>
      <c r="H96" s="1203">
        <v>488000</v>
      </c>
      <c r="I96" s="1157"/>
      <c r="J96" s="1157" t="s">
        <v>902</v>
      </c>
      <c r="K96" s="1157" t="s">
        <v>902</v>
      </c>
      <c r="L96" s="1157"/>
      <c r="M96" s="1168">
        <v>57559600</v>
      </c>
      <c r="N96" s="1157" t="s">
        <v>902</v>
      </c>
      <c r="O96" s="1187">
        <f t="shared" si="1"/>
        <v>57559600</v>
      </c>
    </row>
    <row r="97" spans="1:15">
      <c r="A97" s="1353">
        <v>14.071999999999999</v>
      </c>
      <c r="B97" s="1204" t="s">
        <v>6249</v>
      </c>
      <c r="C97" s="1430" t="s">
        <v>192</v>
      </c>
      <c r="D97" s="1157"/>
      <c r="E97" s="1157"/>
      <c r="F97" s="1157"/>
      <c r="G97" s="1157"/>
      <c r="H97" s="1203">
        <v>3</v>
      </c>
      <c r="I97" s="1157"/>
      <c r="J97" s="1157" t="s">
        <v>902</v>
      </c>
      <c r="K97" s="1157" t="s">
        <v>902</v>
      </c>
      <c r="L97" s="1157"/>
      <c r="M97" s="1168">
        <v>66</v>
      </c>
      <c r="N97" s="1157" t="s">
        <v>902</v>
      </c>
      <c r="O97" s="1187">
        <f t="shared" si="1"/>
        <v>66</v>
      </c>
    </row>
    <row r="98" spans="1:15">
      <c r="A98" s="1353">
        <v>14.073</v>
      </c>
      <c r="B98" s="1204" t="s">
        <v>5923</v>
      </c>
      <c r="C98" s="1430" t="s">
        <v>192</v>
      </c>
      <c r="D98" s="1157"/>
      <c r="E98" s="1157"/>
      <c r="F98" s="1157"/>
      <c r="G98" s="1157"/>
      <c r="H98" s="1203">
        <v>5396</v>
      </c>
      <c r="I98" s="1157"/>
      <c r="J98" s="1157" t="s">
        <v>902</v>
      </c>
      <c r="K98" s="1157" t="s">
        <v>902</v>
      </c>
      <c r="L98" s="1157"/>
      <c r="M98" s="1168">
        <v>411275</v>
      </c>
      <c r="N98" s="1157" t="s">
        <v>902</v>
      </c>
      <c r="O98" s="1187">
        <f t="shared" si="1"/>
        <v>411275</v>
      </c>
    </row>
    <row r="99" spans="1:15">
      <c r="A99" s="1353">
        <v>14.074</v>
      </c>
      <c r="B99" s="1430" t="s">
        <v>6209</v>
      </c>
      <c r="C99" s="1430" t="s">
        <v>192</v>
      </c>
      <c r="D99" s="1157"/>
      <c r="E99" s="1157"/>
      <c r="F99" s="1157"/>
      <c r="G99" s="1157"/>
      <c r="H99" s="1203">
        <v>3154</v>
      </c>
      <c r="I99" s="1157"/>
      <c r="J99" s="1157" t="s">
        <v>902</v>
      </c>
      <c r="K99" s="1157" t="s">
        <v>902</v>
      </c>
      <c r="L99" s="1157"/>
      <c r="M99" s="1168">
        <v>104906</v>
      </c>
      <c r="N99" s="1157" t="s">
        <v>902</v>
      </c>
      <c r="O99" s="1187">
        <f t="shared" si="1"/>
        <v>104906</v>
      </c>
    </row>
    <row r="100" spans="1:15">
      <c r="A100" s="1433">
        <v>14.074999999999999</v>
      </c>
      <c r="B100" s="1257" t="s">
        <v>5628</v>
      </c>
      <c r="C100" s="1257" t="s">
        <v>195</v>
      </c>
      <c r="D100" s="1169"/>
      <c r="E100" s="1169"/>
      <c r="F100" s="1169"/>
      <c r="G100" s="1169"/>
      <c r="H100" s="1258"/>
      <c r="I100" s="1169"/>
      <c r="J100" s="1169" t="s">
        <v>902</v>
      </c>
      <c r="K100" s="1169" t="s">
        <v>902</v>
      </c>
      <c r="L100" s="1169"/>
      <c r="M100" s="1169"/>
      <c r="N100" s="1171">
        <v>-77714734</v>
      </c>
      <c r="O100" s="1420">
        <v>0</v>
      </c>
    </row>
    <row r="101" spans="1:15">
      <c r="A101" s="1353">
        <v>14.076000000000001</v>
      </c>
      <c r="B101" s="1204" t="s">
        <v>6267</v>
      </c>
      <c r="C101" s="1430" t="s">
        <v>192</v>
      </c>
      <c r="D101" s="1157"/>
      <c r="E101" s="1157"/>
      <c r="F101" s="1157"/>
      <c r="G101" s="1157"/>
      <c r="H101" s="1203">
        <v>200</v>
      </c>
      <c r="I101" s="1157"/>
      <c r="J101" s="1157" t="s">
        <v>902</v>
      </c>
      <c r="K101" s="1157" t="s">
        <v>902</v>
      </c>
      <c r="L101" s="1157"/>
      <c r="M101" s="1168">
        <v>13600</v>
      </c>
      <c r="N101" s="1157" t="s">
        <v>902</v>
      </c>
      <c r="O101" s="1187">
        <f t="shared" ref="O101:O132" si="2">SUM(L101:N101)</f>
        <v>13600</v>
      </c>
    </row>
    <row r="102" spans="1:15">
      <c r="A102" s="1353">
        <v>14.077</v>
      </c>
      <c r="B102" s="1204" t="s">
        <v>5925</v>
      </c>
      <c r="C102" s="1430" t="s">
        <v>195</v>
      </c>
      <c r="D102" s="1157"/>
      <c r="E102" s="1157"/>
      <c r="F102" s="1157"/>
      <c r="G102" s="1157"/>
      <c r="H102" s="1203">
        <v>-18</v>
      </c>
      <c r="I102" s="1157"/>
      <c r="J102" s="1157" t="s">
        <v>902</v>
      </c>
      <c r="K102" s="1157" t="s">
        <v>902</v>
      </c>
      <c r="L102" s="1157"/>
      <c r="M102" s="1157"/>
      <c r="N102" s="1168">
        <v>-635</v>
      </c>
      <c r="O102" s="1187">
        <f t="shared" si="2"/>
        <v>-635</v>
      </c>
    </row>
    <row r="103" spans="1:15">
      <c r="A103" s="1353">
        <v>14.077999999999999</v>
      </c>
      <c r="B103" s="1204" t="s">
        <v>5925</v>
      </c>
      <c r="C103" s="1430" t="s">
        <v>192</v>
      </c>
      <c r="D103" s="1157"/>
      <c r="E103" s="1157"/>
      <c r="F103" s="1157"/>
      <c r="G103" s="1157"/>
      <c r="H103" s="1203">
        <v>37232</v>
      </c>
      <c r="I103" s="1157"/>
      <c r="J103" s="1157" t="s">
        <v>902</v>
      </c>
      <c r="K103" s="1157" t="s">
        <v>902</v>
      </c>
      <c r="L103" s="1157"/>
      <c r="M103" s="1168">
        <v>3048555</v>
      </c>
      <c r="N103" s="1157" t="s">
        <v>902</v>
      </c>
      <c r="O103" s="1187">
        <f t="shared" si="2"/>
        <v>3048555</v>
      </c>
    </row>
    <row r="104" spans="1:15">
      <c r="A104" s="1353">
        <v>14.079000000000001</v>
      </c>
      <c r="B104" s="1204" t="s">
        <v>6210</v>
      </c>
      <c r="C104" s="1430" t="s">
        <v>195</v>
      </c>
      <c r="D104" s="1157"/>
      <c r="E104" s="1157"/>
      <c r="F104" s="1157"/>
      <c r="G104" s="1157"/>
      <c r="H104" s="1203">
        <v>-638</v>
      </c>
      <c r="I104" s="1157"/>
      <c r="J104" s="1157" t="s">
        <v>902</v>
      </c>
      <c r="K104" s="1157" t="s">
        <v>902</v>
      </c>
      <c r="L104" s="1157"/>
      <c r="M104" s="1157"/>
      <c r="N104" s="1168">
        <v>-23672</v>
      </c>
      <c r="O104" s="1187">
        <f t="shared" si="2"/>
        <v>-23672</v>
      </c>
    </row>
    <row r="105" spans="1:15">
      <c r="A105" s="1353">
        <v>14.08</v>
      </c>
      <c r="B105" s="1204" t="s">
        <v>6210</v>
      </c>
      <c r="C105" s="1430" t="s">
        <v>192</v>
      </c>
      <c r="D105" s="1157"/>
      <c r="E105" s="1157"/>
      <c r="F105" s="1157"/>
      <c r="G105" s="1157"/>
      <c r="H105" s="1203">
        <v>260623</v>
      </c>
      <c r="I105" s="1157"/>
      <c r="J105" s="1157" t="s">
        <v>902</v>
      </c>
      <c r="K105" s="1157" t="s">
        <v>902</v>
      </c>
      <c r="L105" s="1157"/>
      <c r="M105" s="1168">
        <v>11438401</v>
      </c>
      <c r="N105" s="1157" t="s">
        <v>902</v>
      </c>
      <c r="O105" s="1187">
        <f t="shared" si="2"/>
        <v>11438401</v>
      </c>
    </row>
    <row r="106" spans="1:15">
      <c r="A106" s="1353">
        <v>14.081</v>
      </c>
      <c r="B106" s="1204" t="s">
        <v>6250</v>
      </c>
      <c r="C106" s="1430" t="s">
        <v>195</v>
      </c>
      <c r="D106" s="1157"/>
      <c r="E106" s="1157"/>
      <c r="F106" s="1157"/>
      <c r="G106" s="1157"/>
      <c r="H106" s="1189"/>
      <c r="I106" s="1157"/>
      <c r="J106" s="1157" t="s">
        <v>902</v>
      </c>
      <c r="K106" s="1157" t="s">
        <v>902</v>
      </c>
      <c r="L106" s="1157"/>
      <c r="M106" s="1157"/>
      <c r="N106" s="1168">
        <v>-22197</v>
      </c>
      <c r="O106" s="1187">
        <f t="shared" si="2"/>
        <v>-22197</v>
      </c>
    </row>
    <row r="107" spans="1:15">
      <c r="A107" s="1353">
        <v>14.082000000000001</v>
      </c>
      <c r="B107" s="1204" t="s">
        <v>6250</v>
      </c>
      <c r="C107" s="1430" t="s">
        <v>190</v>
      </c>
      <c r="D107" s="1157"/>
      <c r="E107" s="1157"/>
      <c r="F107" s="1157"/>
      <c r="G107" s="1157"/>
      <c r="H107" s="1203">
        <v>83814</v>
      </c>
      <c r="I107" s="1157"/>
      <c r="J107" s="1157" t="s">
        <v>902</v>
      </c>
      <c r="K107" s="1157" t="s">
        <v>902</v>
      </c>
      <c r="L107" s="1157"/>
      <c r="M107" s="1168">
        <v>3616154</v>
      </c>
      <c r="N107" s="1157" t="s">
        <v>902</v>
      </c>
      <c r="O107" s="1187">
        <f t="shared" si="2"/>
        <v>3616154</v>
      </c>
    </row>
    <row r="108" spans="1:15">
      <c r="A108" s="1353">
        <v>14.083</v>
      </c>
      <c r="B108" s="1204" t="s">
        <v>6211</v>
      </c>
      <c r="C108" s="1430" t="s">
        <v>190</v>
      </c>
      <c r="D108" s="1157"/>
      <c r="E108" s="1157"/>
      <c r="F108" s="1157"/>
      <c r="G108" s="1157"/>
      <c r="H108" s="1203">
        <v>4809</v>
      </c>
      <c r="I108" s="1157"/>
      <c r="J108" s="1157" t="s">
        <v>902</v>
      </c>
      <c r="K108" s="1157" t="s">
        <v>902</v>
      </c>
      <c r="L108" s="1157"/>
      <c r="M108" s="1168">
        <v>197332</v>
      </c>
      <c r="N108" s="1157" t="s">
        <v>902</v>
      </c>
      <c r="O108" s="1187">
        <f t="shared" si="2"/>
        <v>197332</v>
      </c>
    </row>
    <row r="109" spans="1:15">
      <c r="A109" s="1353">
        <v>14.084</v>
      </c>
      <c r="B109" s="1204" t="s">
        <v>6212</v>
      </c>
      <c r="C109" s="1430" t="s">
        <v>190</v>
      </c>
      <c r="D109" s="1157"/>
      <c r="E109" s="1157"/>
      <c r="F109" s="1157"/>
      <c r="G109" s="1157"/>
      <c r="H109" s="1203">
        <v>312450</v>
      </c>
      <c r="I109" s="1157"/>
      <c r="J109" s="1157" t="s">
        <v>902</v>
      </c>
      <c r="K109" s="1157" t="s">
        <v>902</v>
      </c>
      <c r="L109" s="1157"/>
      <c r="M109" s="1168">
        <v>14530360</v>
      </c>
      <c r="N109" s="1157" t="s">
        <v>902</v>
      </c>
      <c r="O109" s="1187">
        <f t="shared" si="2"/>
        <v>14530360</v>
      </c>
    </row>
    <row r="110" spans="1:15">
      <c r="A110" s="1353">
        <v>14.085000000000001</v>
      </c>
      <c r="B110" s="1204" t="s">
        <v>6213</v>
      </c>
      <c r="C110" s="1430" t="s">
        <v>192</v>
      </c>
      <c r="D110" s="1157"/>
      <c r="E110" s="1157"/>
      <c r="F110" s="1157"/>
      <c r="G110" s="1157"/>
      <c r="H110" s="1203">
        <v>13730</v>
      </c>
      <c r="I110" s="1157"/>
      <c r="J110" s="1157" t="s">
        <v>902</v>
      </c>
      <c r="K110" s="1157" t="s">
        <v>902</v>
      </c>
      <c r="L110" s="1157"/>
      <c r="M110" s="1168">
        <v>374082</v>
      </c>
      <c r="N110" s="1157" t="s">
        <v>902</v>
      </c>
      <c r="O110" s="1187">
        <f t="shared" si="2"/>
        <v>374082</v>
      </c>
    </row>
    <row r="111" spans="1:15">
      <c r="A111" s="1353">
        <v>14.086</v>
      </c>
      <c r="B111" s="1204" t="s">
        <v>6214</v>
      </c>
      <c r="C111" s="1430" t="s">
        <v>195</v>
      </c>
      <c r="D111" s="1157"/>
      <c r="E111" s="1157"/>
      <c r="F111" s="1157"/>
      <c r="G111" s="1157"/>
      <c r="H111" s="1189"/>
      <c r="I111" s="1157"/>
      <c r="J111" s="1157" t="s">
        <v>902</v>
      </c>
      <c r="K111" s="1157" t="s">
        <v>902</v>
      </c>
      <c r="L111" s="1157"/>
      <c r="M111" s="1157"/>
      <c r="N111" s="1168">
        <v>596</v>
      </c>
      <c r="O111" s="1187">
        <f t="shared" si="2"/>
        <v>596</v>
      </c>
    </row>
    <row r="112" spans="1:15">
      <c r="A112" s="1353">
        <v>14.087</v>
      </c>
      <c r="B112" s="1204" t="s">
        <v>6214</v>
      </c>
      <c r="C112" s="1430" t="s">
        <v>192</v>
      </c>
      <c r="D112" s="1157"/>
      <c r="E112" s="1157"/>
      <c r="F112" s="1157"/>
      <c r="G112" s="1157"/>
      <c r="H112" s="1203">
        <v>7940</v>
      </c>
      <c r="I112" s="1157"/>
      <c r="J112" s="1157" t="s">
        <v>902</v>
      </c>
      <c r="K112" s="1157" t="s">
        <v>902</v>
      </c>
      <c r="L112" s="1157"/>
      <c r="M112" s="1168">
        <v>230406</v>
      </c>
      <c r="N112" s="1157" t="s">
        <v>902</v>
      </c>
      <c r="O112" s="1187">
        <f t="shared" si="2"/>
        <v>230406</v>
      </c>
    </row>
    <row r="113" spans="1:15">
      <c r="A113" s="1353">
        <v>14.087999999999999</v>
      </c>
      <c r="B113" s="1204" t="s">
        <v>6268</v>
      </c>
      <c r="C113" s="1430" t="s">
        <v>190</v>
      </c>
      <c r="D113" s="1157"/>
      <c r="E113" s="1157"/>
      <c r="F113" s="1157"/>
      <c r="G113" s="1157"/>
      <c r="H113" s="1203">
        <v>563</v>
      </c>
      <c r="I113" s="1157"/>
      <c r="J113" s="1157" t="s">
        <v>902</v>
      </c>
      <c r="K113" s="1157" t="s">
        <v>902</v>
      </c>
      <c r="L113" s="1157"/>
      <c r="M113" s="1168">
        <v>39949</v>
      </c>
      <c r="N113" s="1157" t="s">
        <v>902</v>
      </c>
      <c r="O113" s="1187">
        <f t="shared" si="2"/>
        <v>39949</v>
      </c>
    </row>
    <row r="114" spans="1:15">
      <c r="A114" s="1353">
        <v>14.089</v>
      </c>
      <c r="B114" s="1204" t="s">
        <v>6269</v>
      </c>
      <c r="C114" s="1430" t="s">
        <v>192</v>
      </c>
      <c r="D114" s="1157"/>
      <c r="E114" s="1157"/>
      <c r="F114" s="1157"/>
      <c r="G114" s="1157"/>
      <c r="H114" s="1203">
        <v>115</v>
      </c>
      <c r="I114" s="1157"/>
      <c r="J114" s="1157" t="s">
        <v>902</v>
      </c>
      <c r="K114" s="1157" t="s">
        <v>902</v>
      </c>
      <c r="L114" s="1157"/>
      <c r="M114" s="1168">
        <v>2680</v>
      </c>
      <c r="N114" s="1157" t="s">
        <v>902</v>
      </c>
      <c r="O114" s="1187">
        <f t="shared" si="2"/>
        <v>2680</v>
      </c>
    </row>
    <row r="115" spans="1:15">
      <c r="A115" s="1353">
        <v>14.09</v>
      </c>
      <c r="B115" s="1204" t="s">
        <v>5928</v>
      </c>
      <c r="C115" s="1430" t="s">
        <v>192</v>
      </c>
      <c r="D115" s="1157"/>
      <c r="E115" s="1157"/>
      <c r="F115" s="1157"/>
      <c r="G115" s="1157"/>
      <c r="H115" s="1203">
        <v>20369</v>
      </c>
      <c r="I115" s="1157"/>
      <c r="J115" s="1157" t="s">
        <v>902</v>
      </c>
      <c r="K115" s="1157" t="s">
        <v>902</v>
      </c>
      <c r="L115" s="1157"/>
      <c r="M115" s="1168">
        <v>1449944</v>
      </c>
      <c r="N115" s="1157" t="s">
        <v>902</v>
      </c>
      <c r="O115" s="1187">
        <f t="shared" si="2"/>
        <v>1449944</v>
      </c>
    </row>
    <row r="116" spans="1:15">
      <c r="A116" s="1353">
        <v>14.090999999999999</v>
      </c>
      <c r="B116" s="1204" t="s">
        <v>5943</v>
      </c>
      <c r="C116" s="1430" t="s">
        <v>192</v>
      </c>
      <c r="D116" s="1157"/>
      <c r="E116" s="1157"/>
      <c r="F116" s="1157"/>
      <c r="G116" s="1157"/>
      <c r="H116" s="1203">
        <v>32</v>
      </c>
      <c r="I116" s="1157"/>
      <c r="J116" s="1157" t="s">
        <v>902</v>
      </c>
      <c r="K116" s="1157" t="s">
        <v>902</v>
      </c>
      <c r="L116" s="1157"/>
      <c r="M116" s="1168">
        <v>320</v>
      </c>
      <c r="N116" s="1157" t="s">
        <v>902</v>
      </c>
      <c r="O116" s="1187">
        <f t="shared" si="2"/>
        <v>320</v>
      </c>
    </row>
    <row r="117" spans="1:15">
      <c r="A117" s="1353">
        <v>14.092000000000001</v>
      </c>
      <c r="B117" s="1204" t="s">
        <v>5929</v>
      </c>
      <c r="C117" s="1430" t="s">
        <v>192</v>
      </c>
      <c r="D117" s="1157"/>
      <c r="E117" s="1157"/>
      <c r="F117" s="1157"/>
      <c r="G117" s="1157"/>
      <c r="H117" s="1203">
        <v>44098</v>
      </c>
      <c r="I117" s="1157"/>
      <c r="J117" s="1157" t="s">
        <v>902</v>
      </c>
      <c r="K117" s="1157" t="s">
        <v>902</v>
      </c>
      <c r="L117" s="1157"/>
      <c r="M117" s="1168">
        <v>2863327</v>
      </c>
      <c r="N117" s="1157" t="s">
        <v>902</v>
      </c>
      <c r="O117" s="1187">
        <f t="shared" si="2"/>
        <v>2863327</v>
      </c>
    </row>
    <row r="118" spans="1:15">
      <c r="A118" s="1353">
        <v>14.093</v>
      </c>
      <c r="B118" s="1204" t="s">
        <v>6215</v>
      </c>
      <c r="C118" s="1430" t="s">
        <v>190</v>
      </c>
      <c r="D118" s="1157"/>
      <c r="E118" s="1157"/>
      <c r="F118" s="1157"/>
      <c r="G118" s="1157"/>
      <c r="H118" s="1203">
        <v>3328032</v>
      </c>
      <c r="I118" s="1157"/>
      <c r="J118" s="1157" t="s">
        <v>902</v>
      </c>
      <c r="K118" s="1157" t="s">
        <v>902</v>
      </c>
      <c r="L118" s="1157"/>
      <c r="M118" s="1168">
        <v>187035399</v>
      </c>
      <c r="N118" s="1157" t="s">
        <v>902</v>
      </c>
      <c r="O118" s="1187">
        <f t="shared" si="2"/>
        <v>187035399</v>
      </c>
    </row>
    <row r="119" spans="1:15">
      <c r="A119" s="1353">
        <v>14.093999999999999</v>
      </c>
      <c r="B119" s="1204" t="s">
        <v>6216</v>
      </c>
      <c r="C119" s="1430" t="s">
        <v>195</v>
      </c>
      <c r="D119" s="1157"/>
      <c r="E119" s="1157"/>
      <c r="F119" s="1157"/>
      <c r="G119" s="1157"/>
      <c r="H119" s="1203">
        <v>-409</v>
      </c>
      <c r="I119" s="1157"/>
      <c r="J119" s="1157" t="s">
        <v>902</v>
      </c>
      <c r="K119" s="1157" t="s">
        <v>902</v>
      </c>
      <c r="L119" s="1157"/>
      <c r="M119" s="1157"/>
      <c r="N119" s="1168">
        <v>-14345</v>
      </c>
      <c r="O119" s="1187">
        <f t="shared" si="2"/>
        <v>-14345</v>
      </c>
    </row>
    <row r="120" spans="1:15">
      <c r="A120" s="1353">
        <v>14.095000000000001</v>
      </c>
      <c r="B120" s="1204" t="s">
        <v>6216</v>
      </c>
      <c r="C120" s="1430" t="s">
        <v>192</v>
      </c>
      <c r="D120" s="1157"/>
      <c r="E120" s="1157"/>
      <c r="F120" s="1157"/>
      <c r="G120" s="1157"/>
      <c r="H120" s="1203">
        <v>992660</v>
      </c>
      <c r="I120" s="1157"/>
      <c r="J120" s="1157" t="s">
        <v>902</v>
      </c>
      <c r="K120" s="1157" t="s">
        <v>902</v>
      </c>
      <c r="L120" s="1157"/>
      <c r="M120" s="1168">
        <v>96544889</v>
      </c>
      <c r="N120" s="1157" t="s">
        <v>902</v>
      </c>
      <c r="O120" s="1187">
        <f t="shared" si="2"/>
        <v>96544889</v>
      </c>
    </row>
    <row r="121" spans="1:15">
      <c r="A121" s="1353">
        <v>14.096</v>
      </c>
      <c r="B121" s="1204" t="s">
        <v>6217</v>
      </c>
      <c r="C121" s="1430" t="s">
        <v>192</v>
      </c>
      <c r="D121" s="1157"/>
      <c r="E121" s="1157"/>
      <c r="F121" s="1157"/>
      <c r="G121" s="1157"/>
      <c r="H121" s="1203">
        <v>150</v>
      </c>
      <c r="I121" s="1157"/>
      <c r="J121" s="1157" t="s">
        <v>902</v>
      </c>
      <c r="K121" s="1157" t="s">
        <v>902</v>
      </c>
      <c r="L121" s="1157"/>
      <c r="M121" s="1168">
        <v>9750</v>
      </c>
      <c r="N121" s="1157" t="s">
        <v>902</v>
      </c>
      <c r="O121" s="1187">
        <f t="shared" si="2"/>
        <v>9750</v>
      </c>
    </row>
    <row r="122" spans="1:15">
      <c r="A122" s="1353">
        <v>14.097</v>
      </c>
      <c r="B122" s="1204" t="s">
        <v>5932</v>
      </c>
      <c r="C122" s="1430" t="s">
        <v>192</v>
      </c>
      <c r="D122" s="1157"/>
      <c r="E122" s="1157"/>
      <c r="F122" s="1157"/>
      <c r="G122" s="1157"/>
      <c r="H122" s="1203">
        <v>3412</v>
      </c>
      <c r="I122" s="1157"/>
      <c r="J122" s="1157" t="s">
        <v>902</v>
      </c>
      <c r="K122" s="1157" t="s">
        <v>902</v>
      </c>
      <c r="L122" s="1157"/>
      <c r="M122" s="1168">
        <v>219788</v>
      </c>
      <c r="N122" s="1157" t="s">
        <v>902</v>
      </c>
      <c r="O122" s="1187">
        <f t="shared" si="2"/>
        <v>219788</v>
      </c>
    </row>
    <row r="123" spans="1:15">
      <c r="A123" s="1353">
        <v>14.098000000000001</v>
      </c>
      <c r="B123" s="1204" t="s">
        <v>6218</v>
      </c>
      <c r="C123" s="1430" t="s">
        <v>190</v>
      </c>
      <c r="D123" s="1157"/>
      <c r="E123" s="1157"/>
      <c r="F123" s="1157"/>
      <c r="G123" s="1157"/>
      <c r="H123" s="1203">
        <v>70262</v>
      </c>
      <c r="I123" s="1157"/>
      <c r="J123" s="1157" t="s">
        <v>902</v>
      </c>
      <c r="K123" s="1157" t="s">
        <v>902</v>
      </c>
      <c r="L123" s="1157"/>
      <c r="M123" s="1168">
        <v>5269633</v>
      </c>
      <c r="N123" s="1157" t="s">
        <v>902</v>
      </c>
      <c r="O123" s="1187">
        <f t="shared" si="2"/>
        <v>5269633</v>
      </c>
    </row>
    <row r="124" spans="1:15">
      <c r="A124" s="1353">
        <v>14.099</v>
      </c>
      <c r="B124" s="1204" t="s">
        <v>6270</v>
      </c>
      <c r="C124" s="1430" t="s">
        <v>190</v>
      </c>
      <c r="D124" s="1157"/>
      <c r="E124" s="1157"/>
      <c r="F124" s="1157"/>
      <c r="G124" s="1157"/>
      <c r="H124" s="1203">
        <v>204</v>
      </c>
      <c r="I124" s="1157"/>
      <c r="J124" s="1157" t="s">
        <v>902</v>
      </c>
      <c r="K124" s="1157" t="s">
        <v>902</v>
      </c>
      <c r="L124" s="1157"/>
      <c r="M124" s="1168">
        <v>14496</v>
      </c>
      <c r="N124" s="1157" t="s">
        <v>902</v>
      </c>
      <c r="O124" s="1187">
        <f t="shared" si="2"/>
        <v>14496</v>
      </c>
    </row>
    <row r="125" spans="1:15">
      <c r="A125" s="1353">
        <v>14.1</v>
      </c>
      <c r="B125" s="1204" t="s">
        <v>6219</v>
      </c>
      <c r="C125" s="1430" t="s">
        <v>191</v>
      </c>
      <c r="D125" s="1157"/>
      <c r="E125" s="1157"/>
      <c r="F125" s="1157"/>
      <c r="G125" s="1157"/>
      <c r="H125" s="1203">
        <v>2514</v>
      </c>
      <c r="I125" s="1157"/>
      <c r="J125" s="1157" t="s">
        <v>902</v>
      </c>
      <c r="K125" s="1157" t="s">
        <v>902</v>
      </c>
      <c r="L125" s="1157"/>
      <c r="M125" s="1168">
        <v>83625</v>
      </c>
      <c r="N125" s="1157" t="s">
        <v>902</v>
      </c>
      <c r="O125" s="1187">
        <f t="shared" si="2"/>
        <v>83625</v>
      </c>
    </row>
    <row r="126" spans="1:15">
      <c r="A126" s="1353">
        <v>14.101000000000001</v>
      </c>
      <c r="B126" s="1204" t="s">
        <v>5933</v>
      </c>
      <c r="C126" s="1430" t="s">
        <v>192</v>
      </c>
      <c r="D126" s="1157"/>
      <c r="E126" s="1157"/>
      <c r="F126" s="1157"/>
      <c r="G126" s="1157"/>
      <c r="H126" s="1203">
        <v>5470</v>
      </c>
      <c r="I126" s="1157"/>
      <c r="J126" s="1157" t="s">
        <v>902</v>
      </c>
      <c r="K126" s="1157" t="s">
        <v>902</v>
      </c>
      <c r="L126" s="1157"/>
      <c r="M126" s="1168">
        <v>633646</v>
      </c>
      <c r="N126" s="1157" t="s">
        <v>902</v>
      </c>
      <c r="O126" s="1187">
        <f t="shared" si="2"/>
        <v>633646</v>
      </c>
    </row>
    <row r="127" spans="1:15">
      <c r="A127" s="1353">
        <v>14.102</v>
      </c>
      <c r="B127" s="1204" t="s">
        <v>6220</v>
      </c>
      <c r="C127" s="1430" t="s">
        <v>192</v>
      </c>
      <c r="D127" s="1157"/>
      <c r="E127" s="1157"/>
      <c r="F127" s="1157"/>
      <c r="G127" s="1157"/>
      <c r="H127" s="1203">
        <v>12447</v>
      </c>
      <c r="I127" s="1157"/>
      <c r="J127" s="1157" t="s">
        <v>902</v>
      </c>
      <c r="K127" s="1157" t="s">
        <v>902</v>
      </c>
      <c r="L127" s="1157"/>
      <c r="M127" s="1168">
        <v>919629</v>
      </c>
      <c r="N127" s="1157" t="s">
        <v>902</v>
      </c>
      <c r="O127" s="1187">
        <f t="shared" si="2"/>
        <v>919629</v>
      </c>
    </row>
    <row r="128" spans="1:15">
      <c r="A128" s="1353">
        <v>14.103</v>
      </c>
      <c r="B128" s="1204" t="s">
        <v>6251</v>
      </c>
      <c r="C128" s="1430" t="s">
        <v>192</v>
      </c>
      <c r="D128" s="1157"/>
      <c r="E128" s="1157"/>
      <c r="F128" s="1157"/>
      <c r="G128" s="1157"/>
      <c r="H128" s="1189"/>
      <c r="I128" s="1157"/>
      <c r="J128" s="1157" t="s">
        <v>902</v>
      </c>
      <c r="K128" s="1157" t="s">
        <v>902</v>
      </c>
      <c r="L128" s="1157"/>
      <c r="M128" s="1168">
        <v>15627862</v>
      </c>
      <c r="N128" s="1157" t="s">
        <v>902</v>
      </c>
      <c r="O128" s="1187">
        <f t="shared" si="2"/>
        <v>15627862</v>
      </c>
    </row>
    <row r="129" spans="1:15">
      <c r="A129" s="1353">
        <v>14.103999999999999</v>
      </c>
      <c r="B129" s="1204"/>
      <c r="C129" s="1430"/>
      <c r="D129" s="1157"/>
      <c r="E129" s="1157"/>
      <c r="F129" s="1157"/>
      <c r="G129" s="1157"/>
      <c r="H129" s="1189"/>
      <c r="I129" s="1157"/>
      <c r="J129" s="1157"/>
      <c r="K129" s="1157"/>
      <c r="L129" s="1157"/>
      <c r="M129" s="1157"/>
      <c r="N129" s="1157"/>
      <c r="O129" s="1187">
        <f t="shared" si="2"/>
        <v>0</v>
      </c>
    </row>
    <row r="130" spans="1:15">
      <c r="A130" s="1353">
        <v>14.105</v>
      </c>
      <c r="B130" s="1204"/>
      <c r="C130" s="1430"/>
      <c r="D130" s="1157"/>
      <c r="E130" s="1157"/>
      <c r="F130" s="1157"/>
      <c r="G130" s="1157"/>
      <c r="H130" s="1189"/>
      <c r="I130" s="1157"/>
      <c r="J130" s="1157"/>
      <c r="K130" s="1157"/>
      <c r="L130" s="1157"/>
      <c r="M130" s="1157"/>
      <c r="N130" s="1157"/>
      <c r="O130" s="1187">
        <f t="shared" si="2"/>
        <v>0</v>
      </c>
    </row>
    <row r="131" spans="1:15">
      <c r="A131" s="1353">
        <v>14.106</v>
      </c>
      <c r="B131" s="1204"/>
      <c r="C131" s="1430"/>
      <c r="D131" s="1157"/>
      <c r="E131" s="1157"/>
      <c r="F131" s="1157"/>
      <c r="G131" s="1157"/>
      <c r="H131" s="1189"/>
      <c r="I131" s="1157"/>
      <c r="J131" s="1157"/>
      <c r="K131" s="1157"/>
      <c r="L131" s="1157"/>
      <c r="M131" s="1157"/>
      <c r="N131" s="1157"/>
      <c r="O131" s="1187">
        <f t="shared" si="2"/>
        <v>0</v>
      </c>
    </row>
    <row r="132" spans="1:15">
      <c r="A132" s="1353">
        <v>14.106999999999999</v>
      </c>
      <c r="B132" s="1204"/>
      <c r="C132" s="1430"/>
      <c r="D132" s="1157"/>
      <c r="E132" s="1157"/>
      <c r="F132" s="1157"/>
      <c r="G132" s="1157"/>
      <c r="H132" s="1189"/>
      <c r="I132" s="1157"/>
      <c r="J132" s="1157"/>
      <c r="K132" s="1157"/>
      <c r="L132" s="1157"/>
      <c r="M132" s="1157"/>
      <c r="N132" s="1157"/>
      <c r="O132" s="1187">
        <f t="shared" si="2"/>
        <v>0</v>
      </c>
    </row>
    <row r="133" spans="1:15">
      <c r="A133" s="1317">
        <v>15</v>
      </c>
      <c r="B133" s="1204" t="s">
        <v>104</v>
      </c>
      <c r="C133" s="1157"/>
      <c r="D133" s="1157"/>
      <c r="E133" s="1187">
        <v>0</v>
      </c>
      <c r="F133" s="1187">
        <v>0</v>
      </c>
      <c r="G133" s="1187">
        <v>0</v>
      </c>
      <c r="H133" s="1187">
        <v>17932254</v>
      </c>
      <c r="I133" s="1187">
        <v>0</v>
      </c>
      <c r="J133" s="1187">
        <v>484951</v>
      </c>
      <c r="K133" s="1187">
        <v>591631</v>
      </c>
      <c r="L133" s="1187">
        <v>0</v>
      </c>
      <c r="M133" s="1187">
        <v>1076680158</v>
      </c>
      <c r="N133" s="1187">
        <v>-33672301</v>
      </c>
      <c r="O133" s="1187">
        <v>1043007857</v>
      </c>
    </row>
    <row r="134" spans="1:15" ht="12" thickBot="1">
      <c r="A134" s="1434"/>
      <c r="B134" s="1425" t="s">
        <v>6252</v>
      </c>
      <c r="C134" s="1426"/>
      <c r="D134" s="1427">
        <f t="shared" ref="D134:O134" si="3">SUM(D12:D132)</f>
        <v>0</v>
      </c>
      <c r="E134" s="1427">
        <f t="shared" si="3"/>
        <v>0</v>
      </c>
      <c r="F134" s="1427">
        <f t="shared" si="3"/>
        <v>0</v>
      </c>
      <c r="G134" s="1427">
        <f t="shared" si="3"/>
        <v>0</v>
      </c>
      <c r="H134" s="1427">
        <f t="shared" si="3"/>
        <v>17932254</v>
      </c>
      <c r="I134" s="1427">
        <f t="shared" si="3"/>
        <v>0</v>
      </c>
      <c r="J134" s="1427">
        <f t="shared" si="3"/>
        <v>484951</v>
      </c>
      <c r="K134" s="1427">
        <f t="shared" si="3"/>
        <v>591631</v>
      </c>
      <c r="L134" s="1427">
        <f t="shared" si="3"/>
        <v>0</v>
      </c>
      <c r="M134" s="1427">
        <f t="shared" si="3"/>
        <v>1076680158</v>
      </c>
      <c r="N134" s="1427">
        <f t="shared" si="3"/>
        <v>-33672301</v>
      </c>
      <c r="O134" s="1427">
        <f t="shared" si="3"/>
        <v>1120722591</v>
      </c>
    </row>
    <row r="135" spans="1:15" ht="12" thickTop="1">
      <c r="M135" s="1435">
        <f>'FERC p320-323 Elec. O&amp;M'!D96-(M134+N134)</f>
        <v>1</v>
      </c>
      <c r="O135" s="1428">
        <f>O134+N100-O133</f>
        <v>0</v>
      </c>
    </row>
    <row r="136" spans="1:15">
      <c r="M136" s="1346" t="s">
        <v>6253</v>
      </c>
      <c r="N136" s="1429"/>
      <c r="O136" s="1346" t="s">
        <v>927</v>
      </c>
    </row>
  </sheetData>
  <mergeCells count="16">
    <mergeCell ref="H9:H10"/>
    <mergeCell ref="I9:I10"/>
    <mergeCell ref="J9:K9"/>
    <mergeCell ref="L9:O9"/>
    <mergeCell ref="A9:A11"/>
    <mergeCell ref="B9:B10"/>
    <mergeCell ref="C9:C10"/>
    <mergeCell ref="D9:D10"/>
    <mergeCell ref="E9:E10"/>
    <mergeCell ref="F9:G9"/>
    <mergeCell ref="A6:G6"/>
    <mergeCell ref="H6:O6"/>
    <mergeCell ref="A7:G7"/>
    <mergeCell ref="H7:O7"/>
    <mergeCell ref="A8:G8"/>
    <mergeCell ref="H8:O8"/>
  </mergeCells>
  <pageMargins left="0.75" right="0.75" top="1" bottom="1" header="0.5" footer="0.5"/>
  <pageSetup orientation="portrait" horizontalDpi="360" verticalDpi="360" r:id="rId2"/>
  <customProperties>
    <customPr name="_pios_id" r:id="rId3"/>
  </customProperties>
  <legacyDrawing r:id="rId4"/>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rgb="FF92D050"/>
  </sheetPr>
  <dimension ref="A1:U112"/>
  <sheetViews>
    <sheetView workbookViewId="0">
      <pane ySplit="10" topLeftCell="A11" activePane="bottomLeft" state="frozen"/>
      <selection sqref="A1:XFD1048576"/>
      <selection pane="bottomLeft" sqref="A1:XFD1048576"/>
    </sheetView>
  </sheetViews>
  <sheetFormatPr defaultColWidth="11.625" defaultRowHeight="11.25"/>
  <cols>
    <col min="1" max="1" width="5" style="761" bestFit="1" customWidth="1"/>
    <col min="2" max="2" width="30.375" style="761" bestFit="1" customWidth="1"/>
    <col min="3" max="3" width="6.625" style="761" bestFit="1" customWidth="1"/>
    <col min="4" max="4" width="9.125" style="761" bestFit="1" customWidth="1"/>
    <col min="5" max="5" width="9.375" style="761" bestFit="1" customWidth="1"/>
    <col min="6" max="6" width="13.75" style="761" bestFit="1" customWidth="1"/>
    <col min="7" max="7" width="12.75" style="761" bestFit="1" customWidth="1"/>
    <col min="8" max="8" width="11.25" style="761" customWidth="1"/>
    <col min="9" max="9" width="14.875" style="761" customWidth="1"/>
    <col min="10" max="11" width="10.875" style="761" bestFit="1" customWidth="1"/>
    <col min="12" max="12" width="11.25" style="761" bestFit="1" customWidth="1"/>
    <col min="13" max="13" width="12.5" style="761" bestFit="1" customWidth="1"/>
    <col min="14" max="14" width="9.75" style="761" bestFit="1" customWidth="1"/>
    <col min="15" max="15" width="10.875" style="761" bestFit="1" customWidth="1"/>
    <col min="16" max="18" width="1" style="761" customWidth="1"/>
    <col min="19" max="19" width="10.125" style="761" customWidth="1"/>
    <col min="20" max="20" width="10.375" style="761" customWidth="1"/>
    <col min="21" max="21" width="9.75" style="761" customWidth="1"/>
    <col min="22" max="22" width="17.625" style="761" customWidth="1"/>
    <col min="23" max="16384" width="11.625" style="761"/>
  </cols>
  <sheetData>
    <row r="1" spans="1:21">
      <c r="A1" s="507" t="s">
        <v>4977</v>
      </c>
      <c r="B1" s="507"/>
      <c r="T1" s="1400" t="s">
        <v>6221</v>
      </c>
      <c r="U1" s="1400" t="s">
        <v>6222</v>
      </c>
    </row>
    <row r="2" spans="1:21">
      <c r="A2" s="507" t="s">
        <v>5937</v>
      </c>
      <c r="B2" s="507"/>
      <c r="S2" s="3695" t="s">
        <v>5938</v>
      </c>
      <c r="T2" s="3696" t="s">
        <v>6223</v>
      </c>
      <c r="U2" s="3696" t="s">
        <v>5863</v>
      </c>
    </row>
    <row r="3" spans="1:21">
      <c r="A3" s="1401"/>
      <c r="S3" s="3699" t="s">
        <v>195</v>
      </c>
      <c r="T3" s="3701">
        <v>-3435473</v>
      </c>
      <c r="U3" s="3701">
        <v>-1058</v>
      </c>
    </row>
    <row r="4" spans="1:21">
      <c r="A4" s="1401"/>
      <c r="S4" s="3699" t="s">
        <v>193</v>
      </c>
      <c r="T4" s="3701">
        <v>948565</v>
      </c>
      <c r="U4" s="3701"/>
    </row>
    <row r="5" spans="1:21">
      <c r="S5" s="3699" t="s">
        <v>188</v>
      </c>
      <c r="T5" s="3701">
        <v>967549</v>
      </c>
      <c r="U5" s="3701">
        <v>18119</v>
      </c>
    </row>
    <row r="6" spans="1:21">
      <c r="A6" s="4111" t="s">
        <v>6224</v>
      </c>
      <c r="B6" s="4111"/>
      <c r="C6" s="4111"/>
      <c r="D6" s="4111"/>
      <c r="E6" s="4111"/>
      <c r="F6" s="4111"/>
      <c r="G6" s="4111"/>
      <c r="H6" s="4112" t="s">
        <v>6225</v>
      </c>
      <c r="I6" s="4112"/>
      <c r="J6" s="4112"/>
      <c r="K6" s="4112"/>
      <c r="L6" s="4112"/>
      <c r="M6" s="4112"/>
      <c r="N6" s="4112"/>
      <c r="O6" s="4112"/>
      <c r="P6" s="1402"/>
      <c r="Q6" s="1403"/>
      <c r="R6" s="1403"/>
      <c r="S6" s="3699" t="s">
        <v>191</v>
      </c>
      <c r="T6" s="3701">
        <v>123482</v>
      </c>
      <c r="U6" s="3701">
        <v>3144</v>
      </c>
    </row>
    <row r="7" spans="1:21">
      <c r="A7" s="4063" t="s">
        <v>6226</v>
      </c>
      <c r="B7" s="4113"/>
      <c r="C7" s="4113"/>
      <c r="D7" s="4113"/>
      <c r="E7" s="4113"/>
      <c r="F7" s="4113"/>
      <c r="G7" s="4114"/>
      <c r="H7" s="4115" t="s">
        <v>6227</v>
      </c>
      <c r="I7" s="4116"/>
      <c r="J7" s="4116"/>
      <c r="K7" s="4116"/>
      <c r="L7" s="4116"/>
      <c r="M7" s="4116"/>
      <c r="N7" s="4116"/>
      <c r="O7" s="4117"/>
      <c r="P7" s="1402"/>
      <c r="Q7" s="1403"/>
      <c r="R7" s="1403"/>
      <c r="S7" s="3699" t="s">
        <v>187</v>
      </c>
      <c r="T7" s="3701">
        <v>117812219</v>
      </c>
      <c r="U7" s="3701">
        <v>3458996</v>
      </c>
    </row>
    <row r="8" spans="1:21">
      <c r="A8" s="4118" t="s">
        <v>5177</v>
      </c>
      <c r="B8" s="4109" t="s">
        <v>5868</v>
      </c>
      <c r="C8" s="4109" t="s">
        <v>6228</v>
      </c>
      <c r="D8" s="4109" t="s">
        <v>6229</v>
      </c>
      <c r="E8" s="4109" t="s">
        <v>6230</v>
      </c>
      <c r="F8" s="4063" t="s">
        <v>5872</v>
      </c>
      <c r="G8" s="4114"/>
      <c r="H8" s="4107" t="s">
        <v>6231</v>
      </c>
      <c r="I8" s="4109" t="s">
        <v>6232</v>
      </c>
      <c r="J8" s="4063" t="s">
        <v>6233</v>
      </c>
      <c r="K8" s="4065"/>
      <c r="L8" s="4063" t="s">
        <v>6234</v>
      </c>
      <c r="M8" s="4064"/>
      <c r="N8" s="4064"/>
      <c r="O8" s="4065"/>
      <c r="P8" s="1402"/>
      <c r="Q8" s="1403"/>
      <c r="R8" s="1403"/>
      <c r="S8" s="3699" t="s">
        <v>190</v>
      </c>
      <c r="T8" s="3701">
        <v>263063266</v>
      </c>
      <c r="U8" s="3701">
        <v>4962210</v>
      </c>
    </row>
    <row r="9" spans="1:21" ht="22.5">
      <c r="A9" s="4119"/>
      <c r="B9" s="4119"/>
      <c r="C9" s="4119"/>
      <c r="D9" s="4119"/>
      <c r="E9" s="4119"/>
      <c r="F9" s="1350" t="s">
        <v>5876</v>
      </c>
      <c r="G9" s="1350" t="s">
        <v>5877</v>
      </c>
      <c r="H9" s="4108"/>
      <c r="I9" s="4110"/>
      <c r="J9" s="1350" t="s">
        <v>6235</v>
      </c>
      <c r="K9" s="1350" t="s">
        <v>6236</v>
      </c>
      <c r="L9" s="1350" t="s">
        <v>5878</v>
      </c>
      <c r="M9" s="1350" t="s">
        <v>5879</v>
      </c>
      <c r="N9" s="1350" t="s">
        <v>5880</v>
      </c>
      <c r="O9" s="1350" t="s">
        <v>6237</v>
      </c>
      <c r="P9" s="1402"/>
      <c r="Q9" s="1403"/>
      <c r="R9" s="1403"/>
      <c r="S9" s="3699" t="s">
        <v>192</v>
      </c>
      <c r="T9" s="3701">
        <v>393915086</v>
      </c>
      <c r="U9" s="3701">
        <v>7991092</v>
      </c>
    </row>
    <row r="10" spans="1:21">
      <c r="A10" s="4120"/>
      <c r="B10" s="1351" t="s">
        <v>4989</v>
      </c>
      <c r="C10" s="1351" t="s">
        <v>4990</v>
      </c>
      <c r="D10" s="1351" t="s">
        <v>4991</v>
      </c>
      <c r="E10" s="1351" t="s">
        <v>4992</v>
      </c>
      <c r="F10" s="1351" t="s">
        <v>5181</v>
      </c>
      <c r="G10" s="1351" t="s">
        <v>5182</v>
      </c>
      <c r="H10" s="1351" t="s">
        <v>5183</v>
      </c>
      <c r="I10" s="1351" t="s">
        <v>5184</v>
      </c>
      <c r="J10" s="1351" t="s">
        <v>5185</v>
      </c>
      <c r="K10" s="1351" t="s">
        <v>5186</v>
      </c>
      <c r="L10" s="1351" t="s">
        <v>5187</v>
      </c>
      <c r="M10" s="1351" t="s">
        <v>5188</v>
      </c>
      <c r="N10" s="1351" t="s">
        <v>5655</v>
      </c>
      <c r="O10" s="1351" t="s">
        <v>5682</v>
      </c>
      <c r="P10" s="1402"/>
      <c r="Q10" s="1403"/>
      <c r="R10" s="1403"/>
      <c r="S10" s="3699" t="s">
        <v>2301</v>
      </c>
      <c r="T10" s="3701">
        <v>773394694</v>
      </c>
      <c r="U10" s="3701">
        <v>16432503</v>
      </c>
    </row>
    <row r="11" spans="1:21">
      <c r="A11" s="1404">
        <v>1</v>
      </c>
      <c r="B11" s="1405" t="s">
        <v>6168</v>
      </c>
      <c r="C11" s="1405" t="s">
        <v>190</v>
      </c>
      <c r="D11" s="1405"/>
      <c r="E11" s="1405"/>
      <c r="F11" s="1406"/>
      <c r="G11" s="1406"/>
      <c r="H11" s="1407">
        <v>153</v>
      </c>
      <c r="I11" s="1406"/>
      <c r="J11" s="1406"/>
      <c r="K11" s="1406"/>
      <c r="L11" s="1406"/>
      <c r="M11" s="1408">
        <v>4335</v>
      </c>
      <c r="N11" s="1406"/>
      <c r="O11" s="1409">
        <v>4335</v>
      </c>
      <c r="P11" s="1402"/>
      <c r="Q11" s="1403"/>
      <c r="R11" s="1403"/>
      <c r="S11" s="1346" t="s">
        <v>929</v>
      </c>
      <c r="T11" s="1410">
        <f>T10-O108</f>
        <v>0</v>
      </c>
      <c r="U11" s="1410">
        <f>U10-H107</f>
        <v>0</v>
      </c>
    </row>
    <row r="12" spans="1:21">
      <c r="A12" s="1404">
        <v>2</v>
      </c>
      <c r="B12" s="1405" t="s">
        <v>5895</v>
      </c>
      <c r="C12" s="1411" t="s">
        <v>195</v>
      </c>
      <c r="D12" s="1405"/>
      <c r="E12" s="1406"/>
      <c r="F12" s="1406"/>
      <c r="G12" s="1406"/>
      <c r="H12" s="1412"/>
      <c r="I12" s="1406"/>
      <c r="J12" s="1406"/>
      <c r="K12" s="1406"/>
      <c r="L12" s="1406"/>
      <c r="M12" s="1406"/>
      <c r="N12" s="1408">
        <v>-4</v>
      </c>
      <c r="O12" s="1409">
        <v>-4</v>
      </c>
      <c r="P12" s="1402"/>
      <c r="Q12" s="1403"/>
      <c r="R12" s="1403"/>
      <c r="S12" s="493"/>
      <c r="T12" s="493"/>
      <c r="U12" s="493"/>
    </row>
    <row r="13" spans="1:21">
      <c r="A13" s="1413">
        <v>3</v>
      </c>
      <c r="B13" s="1405" t="s">
        <v>5895</v>
      </c>
      <c r="C13" s="1411" t="s">
        <v>192</v>
      </c>
      <c r="D13" s="1406"/>
      <c r="E13" s="1406"/>
      <c r="F13" s="1406"/>
      <c r="G13" s="1406"/>
      <c r="H13" s="1407">
        <v>37139</v>
      </c>
      <c r="I13" s="1406"/>
      <c r="J13" s="1406"/>
      <c r="K13" s="1406"/>
      <c r="L13" s="1406"/>
      <c r="M13" s="1408">
        <v>1687399</v>
      </c>
      <c r="N13" s="1406"/>
      <c r="O13" s="1409">
        <v>1687399</v>
      </c>
      <c r="P13" s="1402"/>
      <c r="Q13" s="1403"/>
      <c r="R13" s="1403"/>
      <c r="S13" s="493"/>
      <c r="T13" s="1732"/>
      <c r="U13" s="493"/>
    </row>
    <row r="14" spans="1:21">
      <c r="A14" s="1413">
        <v>4</v>
      </c>
      <c r="B14" s="1405" t="s">
        <v>6169</v>
      </c>
      <c r="C14" s="1411" t="s">
        <v>193</v>
      </c>
      <c r="D14" s="1406"/>
      <c r="E14" s="1406"/>
      <c r="F14" s="1406"/>
      <c r="G14" s="1406"/>
      <c r="H14" s="1412"/>
      <c r="I14" s="1406"/>
      <c r="J14" s="1414">
        <v>18032</v>
      </c>
      <c r="K14" s="1406"/>
      <c r="L14" s="1406"/>
      <c r="M14" s="1408">
        <v>948565</v>
      </c>
      <c r="N14" s="1406"/>
      <c r="O14" s="1409">
        <v>948565</v>
      </c>
      <c r="P14" s="1402"/>
      <c r="Q14" s="1403"/>
      <c r="R14" s="1403"/>
      <c r="S14" s="493"/>
      <c r="T14" s="493"/>
      <c r="U14" s="493"/>
    </row>
    <row r="15" spans="1:21">
      <c r="A15" s="1413">
        <v>5</v>
      </c>
      <c r="B15" s="1405" t="s">
        <v>6170</v>
      </c>
      <c r="C15" s="1411" t="s">
        <v>188</v>
      </c>
      <c r="D15" s="1406"/>
      <c r="E15" s="1406"/>
      <c r="F15" s="1406"/>
      <c r="G15" s="1406"/>
      <c r="H15" s="1407">
        <v>18119</v>
      </c>
      <c r="I15" s="1406"/>
      <c r="J15" s="1406"/>
      <c r="K15" s="1406"/>
      <c r="L15" s="1406"/>
      <c r="M15" s="1408">
        <v>967549</v>
      </c>
      <c r="N15" s="1406"/>
      <c r="O15" s="1409">
        <v>967549</v>
      </c>
      <c r="P15" s="1402"/>
      <c r="Q15" s="1403"/>
      <c r="R15" s="1403"/>
      <c r="S15" s="493"/>
      <c r="T15" s="493"/>
      <c r="U15" s="493"/>
    </row>
    <row r="16" spans="1:21">
      <c r="A16" s="1413">
        <v>6</v>
      </c>
      <c r="B16" s="1411" t="s">
        <v>6171</v>
      </c>
      <c r="C16" s="1411" t="s">
        <v>190</v>
      </c>
      <c r="D16" s="1406"/>
      <c r="E16" s="1406"/>
      <c r="F16" s="1406"/>
      <c r="G16" s="1406"/>
      <c r="H16" s="1407">
        <v>3</v>
      </c>
      <c r="I16" s="1406"/>
      <c r="J16" s="1406"/>
      <c r="K16" s="1406"/>
      <c r="L16" s="1406"/>
      <c r="M16" s="1408">
        <v>337</v>
      </c>
      <c r="N16" s="1406"/>
      <c r="O16" s="1409">
        <v>337</v>
      </c>
      <c r="P16" s="1402"/>
      <c r="Q16" s="1403"/>
      <c r="R16" s="1403"/>
      <c r="S16" s="493"/>
      <c r="T16" s="493"/>
      <c r="U16" s="493"/>
    </row>
    <row r="17" spans="1:21">
      <c r="A17" s="1413">
        <v>7</v>
      </c>
      <c r="B17" s="1411" t="s">
        <v>6172</v>
      </c>
      <c r="C17" s="1411" t="s">
        <v>190</v>
      </c>
      <c r="D17" s="1406"/>
      <c r="E17" s="1406"/>
      <c r="F17" s="1406"/>
      <c r="G17" s="1406"/>
      <c r="H17" s="1407">
        <v>11168</v>
      </c>
      <c r="I17" s="1406"/>
      <c r="J17" s="1406"/>
      <c r="K17" s="1406"/>
      <c r="L17" s="1406"/>
      <c r="M17" s="1408">
        <v>661031</v>
      </c>
      <c r="N17" s="1406"/>
      <c r="O17" s="1409">
        <v>661031</v>
      </c>
      <c r="P17" s="1402"/>
      <c r="Q17" s="1403"/>
      <c r="R17" s="1403"/>
      <c r="S17" s="493"/>
      <c r="T17" s="493"/>
      <c r="U17" s="493"/>
    </row>
    <row r="18" spans="1:21">
      <c r="A18" s="1413">
        <v>8</v>
      </c>
      <c r="B18" s="1411" t="s">
        <v>6173</v>
      </c>
      <c r="C18" s="1411" t="s">
        <v>190</v>
      </c>
      <c r="D18" s="1406"/>
      <c r="E18" s="1406"/>
      <c r="F18" s="1406"/>
      <c r="G18" s="1406"/>
      <c r="H18" s="1407">
        <v>19232</v>
      </c>
      <c r="I18" s="1406"/>
      <c r="J18" s="1406"/>
      <c r="K18" s="1406"/>
      <c r="L18" s="1406"/>
      <c r="M18" s="1408">
        <v>10208</v>
      </c>
      <c r="N18" s="1406"/>
      <c r="O18" s="1409">
        <v>10208</v>
      </c>
      <c r="P18" s="1402"/>
      <c r="Q18" s="1403"/>
      <c r="R18" s="1403"/>
      <c r="S18" s="493"/>
      <c r="T18" s="493"/>
      <c r="U18" s="493"/>
    </row>
    <row r="19" spans="1:21">
      <c r="A19" s="1413">
        <v>9</v>
      </c>
      <c r="B19" s="1411" t="s">
        <v>6174</v>
      </c>
      <c r="C19" s="1411" t="s">
        <v>195</v>
      </c>
      <c r="D19" s="1406"/>
      <c r="E19" s="1406"/>
      <c r="F19" s="1406"/>
      <c r="G19" s="1406"/>
      <c r="H19" s="1407">
        <v>-268</v>
      </c>
      <c r="I19" s="1406"/>
      <c r="J19" s="1406"/>
      <c r="K19" s="1406"/>
      <c r="L19" s="1406"/>
      <c r="M19" s="1406"/>
      <c r="N19" s="1408">
        <v>-5072</v>
      </c>
      <c r="O19" s="1409">
        <v>-5072</v>
      </c>
      <c r="P19" s="1402"/>
      <c r="Q19" s="1403"/>
      <c r="R19" s="1403"/>
      <c r="S19" s="493"/>
      <c r="T19" s="493"/>
      <c r="U19" s="493"/>
    </row>
    <row r="20" spans="1:21">
      <c r="A20" s="1413">
        <v>10</v>
      </c>
      <c r="B20" s="1405" t="s">
        <v>6174</v>
      </c>
      <c r="C20" s="1411" t="s">
        <v>192</v>
      </c>
      <c r="D20" s="1406"/>
      <c r="E20" s="1406"/>
      <c r="F20" s="1406"/>
      <c r="G20" s="1406"/>
      <c r="H20" s="1414">
        <v>295369</v>
      </c>
      <c r="I20" s="1406"/>
      <c r="J20" s="1406"/>
      <c r="K20" s="1406"/>
      <c r="L20" s="1406"/>
      <c r="M20" s="1408">
        <v>17870174</v>
      </c>
      <c r="N20" s="1406"/>
      <c r="O20" s="1409">
        <v>17870174</v>
      </c>
      <c r="P20" s="1402"/>
      <c r="Q20" s="1403"/>
      <c r="R20" s="1403"/>
      <c r="S20" s="493"/>
      <c r="T20" s="493"/>
    </row>
    <row r="21" spans="1:21">
      <c r="A21" s="1413">
        <v>11</v>
      </c>
      <c r="B21" s="1405" t="s">
        <v>6175</v>
      </c>
      <c r="C21" s="1411" t="s">
        <v>195</v>
      </c>
      <c r="D21" s="1406"/>
      <c r="E21" s="1406"/>
      <c r="F21" s="1406"/>
      <c r="G21" s="1406"/>
      <c r="H21" s="1412"/>
      <c r="I21" s="1406"/>
      <c r="J21" s="1406"/>
      <c r="K21" s="1406"/>
      <c r="L21" s="1406"/>
      <c r="M21" s="1406"/>
      <c r="N21" s="1408">
        <v>2</v>
      </c>
      <c r="O21" s="1409">
        <v>2</v>
      </c>
      <c r="P21" s="1402"/>
      <c r="Q21" s="1403"/>
      <c r="R21" s="1403"/>
      <c r="S21" s="493"/>
      <c r="T21" s="493"/>
    </row>
    <row r="22" spans="1:21">
      <c r="A22" s="1413">
        <v>12</v>
      </c>
      <c r="B22" s="1405" t="s">
        <v>6175</v>
      </c>
      <c r="C22" s="1411" t="s">
        <v>192</v>
      </c>
      <c r="D22" s="1406"/>
      <c r="E22" s="1406"/>
      <c r="F22" s="1406"/>
      <c r="G22" s="1406"/>
      <c r="H22" s="1407">
        <v>1028733</v>
      </c>
      <c r="I22" s="1406"/>
      <c r="J22" s="1406"/>
      <c r="K22" s="1406"/>
      <c r="L22" s="1406"/>
      <c r="M22" s="1408">
        <v>39895363</v>
      </c>
      <c r="N22" s="1406"/>
      <c r="O22" s="1409">
        <v>39895363</v>
      </c>
      <c r="P22" s="1402"/>
      <c r="Q22" s="1403"/>
      <c r="R22" s="1403"/>
      <c r="S22" s="493"/>
      <c r="T22" s="493"/>
    </row>
    <row r="23" spans="1:21">
      <c r="A23" s="1413">
        <v>13</v>
      </c>
      <c r="B23" s="1405" t="s">
        <v>6176</v>
      </c>
      <c r="C23" s="1411" t="s">
        <v>192</v>
      </c>
      <c r="D23" s="1406"/>
      <c r="E23" s="1406"/>
      <c r="F23" s="1406"/>
      <c r="G23" s="1406"/>
      <c r="H23" s="1407">
        <v>14402</v>
      </c>
      <c r="I23" s="1406"/>
      <c r="J23" s="1406"/>
      <c r="K23" s="1406"/>
      <c r="L23" s="1406"/>
      <c r="M23" s="1408">
        <v>1719948</v>
      </c>
      <c r="N23" s="1406"/>
      <c r="O23" s="1409">
        <v>1719948</v>
      </c>
      <c r="P23" s="1402"/>
      <c r="Q23" s="1403"/>
      <c r="R23" s="1403"/>
      <c r="S23" s="493"/>
      <c r="T23" s="493"/>
    </row>
    <row r="24" spans="1:21">
      <c r="A24" s="1413">
        <v>14</v>
      </c>
      <c r="B24" s="1405" t="s">
        <v>6238</v>
      </c>
      <c r="C24" s="1411" t="s">
        <v>195</v>
      </c>
      <c r="D24" s="1406"/>
      <c r="E24" s="1406"/>
      <c r="F24" s="1406"/>
      <c r="G24" s="1406"/>
      <c r="H24" s="1412"/>
      <c r="I24" s="1406"/>
      <c r="J24" s="1406"/>
      <c r="K24" s="1406"/>
      <c r="L24" s="1406"/>
      <c r="M24" s="1406"/>
      <c r="N24" s="1408">
        <v>418942</v>
      </c>
      <c r="O24" s="1409">
        <v>418942</v>
      </c>
      <c r="P24" s="1402"/>
      <c r="Q24" s="1403"/>
      <c r="R24" s="1403"/>
      <c r="S24" s="493"/>
      <c r="T24" s="493"/>
    </row>
    <row r="25" spans="1:21">
      <c r="A25" s="1415">
        <v>14.000999999999999</v>
      </c>
      <c r="B25" s="1405" t="s">
        <v>6177</v>
      </c>
      <c r="C25" s="1405" t="s">
        <v>192</v>
      </c>
      <c r="D25" s="1405"/>
      <c r="E25" s="1405"/>
      <c r="F25" s="1406"/>
      <c r="G25" s="1406"/>
      <c r="H25" s="1407">
        <v>924957</v>
      </c>
      <c r="I25" s="1406"/>
      <c r="J25" s="1406"/>
      <c r="K25" s="1406"/>
      <c r="L25" s="1406"/>
      <c r="M25" s="1408">
        <v>19364088</v>
      </c>
      <c r="N25" s="1406"/>
      <c r="O25" s="1409">
        <v>19364088</v>
      </c>
      <c r="P25" s="1402"/>
      <c r="Q25" s="1403"/>
      <c r="R25" s="1403"/>
      <c r="S25" s="493"/>
      <c r="T25" s="493"/>
    </row>
    <row r="26" spans="1:21">
      <c r="A26" s="1415">
        <v>14.002000000000001</v>
      </c>
      <c r="B26" s="1405" t="s">
        <v>5900</v>
      </c>
      <c r="C26" s="1411" t="s">
        <v>192</v>
      </c>
      <c r="D26" s="1405"/>
      <c r="E26" s="1406"/>
      <c r="F26" s="1406"/>
      <c r="G26" s="1406"/>
      <c r="H26" s="1407">
        <v>14629</v>
      </c>
      <c r="I26" s="1406"/>
      <c r="J26" s="1406"/>
      <c r="K26" s="1406"/>
      <c r="L26" s="1406"/>
      <c r="M26" s="1408">
        <v>286890</v>
      </c>
      <c r="N26" s="1406"/>
      <c r="O26" s="1409">
        <v>286890</v>
      </c>
      <c r="P26" s="1402"/>
      <c r="Q26" s="1403"/>
      <c r="R26" s="1403"/>
      <c r="S26" s="493"/>
      <c r="T26" s="493"/>
    </row>
    <row r="27" spans="1:21">
      <c r="A27" s="1415">
        <v>14.003</v>
      </c>
      <c r="B27" s="1405" t="s">
        <v>6178</v>
      </c>
      <c r="C27" s="1411" t="s">
        <v>192</v>
      </c>
      <c r="D27" s="1405"/>
      <c r="E27" s="1406"/>
      <c r="F27" s="1406"/>
      <c r="G27" s="1406"/>
      <c r="H27" s="1407">
        <v>29</v>
      </c>
      <c r="I27" s="1406"/>
      <c r="J27" s="1406"/>
      <c r="K27" s="1406"/>
      <c r="L27" s="1406"/>
      <c r="M27" s="1408">
        <v>680</v>
      </c>
      <c r="N27" s="1406"/>
      <c r="O27" s="1409">
        <v>680</v>
      </c>
      <c r="P27" s="1402"/>
      <c r="Q27" s="1403"/>
      <c r="R27" s="1403"/>
      <c r="S27" s="493"/>
      <c r="T27" s="493"/>
    </row>
    <row r="28" spans="1:21">
      <c r="A28" s="1415">
        <v>14.004</v>
      </c>
      <c r="B28" s="1406" t="s">
        <v>6179</v>
      </c>
      <c r="C28" s="1406" t="s">
        <v>192</v>
      </c>
      <c r="D28" s="1406"/>
      <c r="E28" s="1406"/>
      <c r="F28" s="1406"/>
      <c r="G28" s="1406"/>
      <c r="H28" s="1414">
        <v>59162</v>
      </c>
      <c r="I28" s="1406"/>
      <c r="J28" s="1406"/>
      <c r="K28" s="1406"/>
      <c r="L28" s="1406"/>
      <c r="M28" s="1407">
        <v>6374019</v>
      </c>
      <c r="N28" s="1406"/>
      <c r="O28" s="1409">
        <v>6374019</v>
      </c>
      <c r="P28" s="1402"/>
      <c r="Q28" s="1403"/>
      <c r="R28" s="1403"/>
      <c r="S28" s="493"/>
      <c r="T28" s="493"/>
    </row>
    <row r="29" spans="1:21">
      <c r="A29" s="1415">
        <v>14.005000000000001</v>
      </c>
      <c r="B29" s="1405" t="s">
        <v>6239</v>
      </c>
      <c r="C29" s="1411" t="s">
        <v>187</v>
      </c>
      <c r="D29" s="1406"/>
      <c r="E29" s="1406"/>
      <c r="F29" s="1406"/>
      <c r="G29" s="1406"/>
      <c r="H29" s="1407">
        <v>1908054</v>
      </c>
      <c r="I29" s="1406"/>
      <c r="J29" s="1406"/>
      <c r="K29" s="1406"/>
      <c r="L29" s="1406"/>
      <c r="M29" s="1408">
        <v>31753358</v>
      </c>
      <c r="N29" s="1408">
        <v>33605571</v>
      </c>
      <c r="O29" s="1409">
        <v>65358929</v>
      </c>
      <c r="P29" s="1402"/>
      <c r="Q29" s="1403"/>
      <c r="R29" s="1403"/>
      <c r="S29" s="493"/>
      <c r="T29" s="493"/>
    </row>
    <row r="30" spans="1:21">
      <c r="A30" s="1415">
        <v>14.006</v>
      </c>
      <c r="B30" s="1405" t="s">
        <v>6180</v>
      </c>
      <c r="C30" s="1411" t="s">
        <v>192</v>
      </c>
      <c r="D30" s="1406"/>
      <c r="E30" s="1406"/>
      <c r="F30" s="1406"/>
      <c r="G30" s="1406"/>
      <c r="H30" s="1412"/>
      <c r="I30" s="1406"/>
      <c r="J30" s="1406"/>
      <c r="K30" s="1406"/>
      <c r="L30" s="1406"/>
      <c r="M30" s="1408">
        <v>-239303</v>
      </c>
      <c r="N30" s="1406"/>
      <c r="O30" s="1409">
        <v>-239303</v>
      </c>
      <c r="P30" s="1402"/>
      <c r="Q30" s="1403"/>
      <c r="R30" s="1403"/>
      <c r="S30" s="493"/>
      <c r="T30" s="493"/>
    </row>
    <row r="31" spans="1:21">
      <c r="A31" s="1415">
        <v>14.007</v>
      </c>
      <c r="B31" s="1411" t="s">
        <v>6181</v>
      </c>
      <c r="C31" s="1411" t="s">
        <v>192</v>
      </c>
      <c r="D31" s="1406"/>
      <c r="E31" s="1406"/>
      <c r="F31" s="1406"/>
      <c r="G31" s="1406"/>
      <c r="H31" s="1407">
        <v>543200</v>
      </c>
      <c r="I31" s="1406"/>
      <c r="J31" s="1406"/>
      <c r="K31" s="1406"/>
      <c r="L31" s="1406"/>
      <c r="M31" s="1408">
        <v>18390882</v>
      </c>
      <c r="N31" s="1406"/>
      <c r="O31" s="1409">
        <v>18390882</v>
      </c>
      <c r="P31" s="1402"/>
      <c r="Q31" s="1403"/>
      <c r="R31" s="1403"/>
      <c r="S31" s="493"/>
      <c r="T31" s="493"/>
    </row>
    <row r="32" spans="1:21">
      <c r="A32" s="1415">
        <v>14.007999999999999</v>
      </c>
      <c r="B32" s="1411" t="s">
        <v>6182</v>
      </c>
      <c r="C32" s="1411" t="s">
        <v>192</v>
      </c>
      <c r="D32" s="1406"/>
      <c r="E32" s="1406"/>
      <c r="F32" s="1406"/>
      <c r="G32" s="1406"/>
      <c r="H32" s="1407">
        <v>1810</v>
      </c>
      <c r="I32" s="1406"/>
      <c r="J32" s="1406"/>
      <c r="K32" s="1406"/>
      <c r="L32" s="1406"/>
      <c r="M32" s="1408">
        <v>65407</v>
      </c>
      <c r="N32" s="1406"/>
      <c r="O32" s="1409">
        <v>65407</v>
      </c>
      <c r="P32" s="1402"/>
      <c r="Q32" s="1403"/>
      <c r="R32" s="1403"/>
      <c r="S32" s="493"/>
      <c r="T32" s="493"/>
    </row>
    <row r="33" spans="1:20">
      <c r="A33" s="1415">
        <v>14.009</v>
      </c>
      <c r="B33" s="1411" t="s">
        <v>6183</v>
      </c>
      <c r="C33" s="1411" t="s">
        <v>192</v>
      </c>
      <c r="D33" s="1406"/>
      <c r="E33" s="1406"/>
      <c r="F33" s="1406"/>
      <c r="G33" s="1406"/>
      <c r="H33" s="1407">
        <v>1121603</v>
      </c>
      <c r="I33" s="1406"/>
      <c r="J33" s="1406"/>
      <c r="K33" s="1406"/>
      <c r="L33" s="1406"/>
      <c r="M33" s="1408">
        <v>58211646</v>
      </c>
      <c r="N33" s="1406"/>
      <c r="O33" s="1409">
        <v>58211646</v>
      </c>
      <c r="P33" s="1402"/>
      <c r="Q33" s="1403"/>
      <c r="R33" s="1403"/>
      <c r="S33" s="493"/>
      <c r="T33" s="493"/>
    </row>
    <row r="34" spans="1:20">
      <c r="A34" s="1415">
        <v>14.01</v>
      </c>
      <c r="B34" s="1411" t="s">
        <v>6240</v>
      </c>
      <c r="C34" s="1411" t="s">
        <v>192</v>
      </c>
      <c r="D34" s="1406"/>
      <c r="E34" s="1406"/>
      <c r="F34" s="1406"/>
      <c r="G34" s="1406"/>
      <c r="H34" s="1407">
        <v>130712</v>
      </c>
      <c r="I34" s="1406"/>
      <c r="J34" s="1406"/>
      <c r="K34" s="1406"/>
      <c r="L34" s="1406"/>
      <c r="M34" s="1408">
        <v>8236453</v>
      </c>
      <c r="N34" s="1406"/>
      <c r="O34" s="1409">
        <v>8236453</v>
      </c>
      <c r="P34" s="1402"/>
      <c r="Q34" s="1403"/>
      <c r="R34" s="1403"/>
      <c r="S34" s="493"/>
      <c r="T34" s="493"/>
    </row>
    <row r="35" spans="1:20">
      <c r="A35" s="1415">
        <v>14.010999999999999</v>
      </c>
      <c r="B35" s="1405" t="s">
        <v>6184</v>
      </c>
      <c r="C35" s="1411" t="s">
        <v>192</v>
      </c>
      <c r="D35" s="1406"/>
      <c r="E35" s="1406"/>
      <c r="F35" s="1406"/>
      <c r="G35" s="1406"/>
      <c r="H35" s="1414">
        <v>600</v>
      </c>
      <c r="I35" s="1406"/>
      <c r="J35" s="1406"/>
      <c r="K35" s="1406"/>
      <c r="L35" s="1406"/>
      <c r="M35" s="1408">
        <v>140500</v>
      </c>
      <c r="N35" s="1406"/>
      <c r="O35" s="1409">
        <v>140500</v>
      </c>
      <c r="P35" s="1402"/>
      <c r="Q35" s="1403"/>
      <c r="R35" s="1403"/>
      <c r="S35" s="493"/>
      <c r="T35" s="493"/>
    </row>
    <row r="36" spans="1:20">
      <c r="A36" s="1415">
        <v>14.012</v>
      </c>
      <c r="B36" s="1405" t="s">
        <v>6185</v>
      </c>
      <c r="C36" s="1411" t="s">
        <v>193</v>
      </c>
      <c r="D36" s="1406"/>
      <c r="E36" s="1406"/>
      <c r="F36" s="1406"/>
      <c r="G36" s="1406"/>
      <c r="H36" s="1412"/>
      <c r="I36" s="1406"/>
      <c r="J36" s="1406"/>
      <c r="K36" s="1414">
        <v>232291</v>
      </c>
      <c r="L36" s="1406"/>
      <c r="M36" s="1406"/>
      <c r="N36" s="1406"/>
      <c r="O36" s="1409">
        <v>0</v>
      </c>
      <c r="P36" s="1402"/>
      <c r="Q36" s="1403"/>
      <c r="R36" s="1403"/>
      <c r="S36" s="493"/>
      <c r="T36" s="493"/>
    </row>
    <row r="37" spans="1:20">
      <c r="A37" s="1415">
        <v>14.013</v>
      </c>
      <c r="B37" s="1405" t="s">
        <v>6186</v>
      </c>
      <c r="C37" s="1411" t="s">
        <v>195</v>
      </c>
      <c r="D37" s="1406"/>
      <c r="E37" s="1406"/>
      <c r="F37" s="1406"/>
      <c r="G37" s="1406"/>
      <c r="H37" s="1412"/>
      <c r="I37" s="1406"/>
      <c r="J37" s="1406"/>
      <c r="K37" s="1406"/>
      <c r="L37" s="1406"/>
      <c r="M37" s="1406"/>
      <c r="N37" s="1408">
        <v>-25727</v>
      </c>
      <c r="O37" s="1409">
        <v>-25727</v>
      </c>
      <c r="P37" s="1402"/>
      <c r="Q37" s="1403"/>
      <c r="R37" s="1403"/>
      <c r="S37" s="493"/>
      <c r="T37" s="493"/>
    </row>
    <row r="38" spans="1:20">
      <c r="A38" s="1415">
        <v>14.013999999999999</v>
      </c>
      <c r="B38" s="1405" t="s">
        <v>6186</v>
      </c>
      <c r="C38" s="1411" t="s">
        <v>192</v>
      </c>
      <c r="D38" s="1406"/>
      <c r="E38" s="1406"/>
      <c r="F38" s="1406"/>
      <c r="G38" s="1406"/>
      <c r="H38" s="1412"/>
      <c r="I38" s="1406"/>
      <c r="J38" s="1406"/>
      <c r="K38" s="1406"/>
      <c r="L38" s="1406"/>
      <c r="M38" s="1408">
        <v>3513719</v>
      </c>
      <c r="N38" s="1406"/>
      <c r="O38" s="1409">
        <v>3513719</v>
      </c>
      <c r="P38" s="1402"/>
      <c r="Q38" s="1403"/>
      <c r="R38" s="1403"/>
      <c r="S38" s="493"/>
      <c r="T38" s="493"/>
    </row>
    <row r="39" spans="1:20">
      <c r="A39" s="1415">
        <v>14.015000000000001</v>
      </c>
      <c r="B39" s="1405" t="s">
        <v>6187</v>
      </c>
      <c r="C39" s="1405" t="s">
        <v>187</v>
      </c>
      <c r="D39" s="1405"/>
      <c r="E39" s="1405"/>
      <c r="F39" s="1406"/>
      <c r="G39" s="1406"/>
      <c r="H39" s="1407">
        <v>1119214</v>
      </c>
      <c r="I39" s="1406"/>
      <c r="J39" s="1406"/>
      <c r="K39" s="1406"/>
      <c r="L39" s="1406"/>
      <c r="M39" s="1408">
        <v>37663811</v>
      </c>
      <c r="N39" s="1406"/>
      <c r="O39" s="1409">
        <v>37663811</v>
      </c>
      <c r="P39" s="1402"/>
      <c r="Q39" s="1403"/>
      <c r="R39" s="1403"/>
      <c r="S39" s="493"/>
      <c r="T39" s="493"/>
    </row>
    <row r="40" spans="1:20">
      <c r="A40" s="1415">
        <v>14.016</v>
      </c>
      <c r="B40" s="1405" t="s">
        <v>5942</v>
      </c>
      <c r="C40" s="1411" t="s">
        <v>192</v>
      </c>
      <c r="D40" s="1405"/>
      <c r="E40" s="1406"/>
      <c r="F40" s="1406"/>
      <c r="G40" s="1406"/>
      <c r="H40" s="1407">
        <v>400</v>
      </c>
      <c r="I40" s="1406"/>
      <c r="J40" s="1406"/>
      <c r="K40" s="1406"/>
      <c r="L40" s="1406"/>
      <c r="M40" s="1408">
        <v>9800</v>
      </c>
      <c r="N40" s="1406"/>
      <c r="O40" s="1409">
        <v>9800</v>
      </c>
      <c r="P40" s="1402"/>
      <c r="Q40" s="1403"/>
      <c r="R40" s="1403"/>
      <c r="S40" s="493"/>
      <c r="T40" s="493"/>
    </row>
    <row r="41" spans="1:20">
      <c r="A41" s="1415">
        <v>14.016999999999999</v>
      </c>
      <c r="B41" s="1405" t="s">
        <v>6188</v>
      </c>
      <c r="C41" s="1411" t="s">
        <v>190</v>
      </c>
      <c r="D41" s="1406"/>
      <c r="E41" s="1406"/>
      <c r="F41" s="1406"/>
      <c r="G41" s="1406"/>
      <c r="H41" s="1407">
        <v>3815</v>
      </c>
      <c r="I41" s="1406"/>
      <c r="J41" s="1406"/>
      <c r="K41" s="1406"/>
      <c r="L41" s="1406"/>
      <c r="M41" s="1408">
        <v>371270</v>
      </c>
      <c r="N41" s="1406"/>
      <c r="O41" s="1409">
        <v>371270</v>
      </c>
      <c r="P41" s="1402"/>
      <c r="Q41" s="1403"/>
      <c r="R41" s="1403"/>
      <c r="S41" s="493"/>
      <c r="T41" s="493"/>
    </row>
    <row r="42" spans="1:20">
      <c r="A42" s="1415">
        <v>14.018000000000001</v>
      </c>
      <c r="B42" s="1405" t="s">
        <v>6241</v>
      </c>
      <c r="C42" s="1411" t="s">
        <v>192</v>
      </c>
      <c r="D42" s="1406"/>
      <c r="E42" s="1406"/>
      <c r="F42" s="1406"/>
      <c r="G42" s="1406"/>
      <c r="H42" s="1412"/>
      <c r="I42" s="1406"/>
      <c r="J42" s="1406"/>
      <c r="K42" s="1406"/>
      <c r="L42" s="1406"/>
      <c r="M42" s="1408">
        <v>-1882184</v>
      </c>
      <c r="N42" s="1406"/>
      <c r="O42" s="1409">
        <v>-1882184</v>
      </c>
      <c r="P42" s="1402"/>
      <c r="Q42" s="1403"/>
      <c r="R42" s="1403"/>
      <c r="S42" s="493"/>
      <c r="T42" s="493"/>
    </row>
    <row r="43" spans="1:20">
      <c r="A43" s="1415">
        <v>14.019</v>
      </c>
      <c r="B43" s="1405" t="s">
        <v>6189</v>
      </c>
      <c r="C43" s="1411" t="s">
        <v>195</v>
      </c>
      <c r="D43" s="1406"/>
      <c r="E43" s="1406"/>
      <c r="F43" s="1406"/>
      <c r="G43" s="1406"/>
      <c r="H43" s="1412"/>
      <c r="I43" s="1406"/>
      <c r="J43" s="1406"/>
      <c r="K43" s="1406"/>
      <c r="L43" s="1406"/>
      <c r="M43" s="1406"/>
      <c r="N43" s="1408">
        <v>-120</v>
      </c>
      <c r="O43" s="1409">
        <v>-120</v>
      </c>
      <c r="P43" s="1402"/>
      <c r="Q43" s="1403"/>
      <c r="R43" s="1403"/>
      <c r="S43" s="493"/>
      <c r="T43" s="493"/>
    </row>
    <row r="44" spans="1:20">
      <c r="A44" s="1415">
        <v>14.02</v>
      </c>
      <c r="B44" s="1411" t="s">
        <v>6189</v>
      </c>
      <c r="C44" s="1411" t="s">
        <v>192</v>
      </c>
      <c r="D44" s="1406"/>
      <c r="E44" s="1406"/>
      <c r="F44" s="1406"/>
      <c r="G44" s="1406"/>
      <c r="H44" s="1407">
        <v>821</v>
      </c>
      <c r="I44" s="1406"/>
      <c r="J44" s="1406"/>
      <c r="K44" s="1406"/>
      <c r="L44" s="1406"/>
      <c r="M44" s="1408">
        <v>37486</v>
      </c>
      <c r="N44" s="1406"/>
      <c r="O44" s="1409">
        <v>37486</v>
      </c>
      <c r="P44" s="1402"/>
      <c r="Q44" s="1403"/>
      <c r="R44" s="1403"/>
      <c r="S44" s="493"/>
      <c r="T44" s="493"/>
    </row>
    <row r="45" spans="1:20">
      <c r="A45" s="1415">
        <v>14.021000000000001</v>
      </c>
      <c r="B45" s="1411" t="s">
        <v>6190</v>
      </c>
      <c r="C45" s="1411" t="s">
        <v>190</v>
      </c>
      <c r="D45" s="1406"/>
      <c r="E45" s="1406"/>
      <c r="F45" s="1406"/>
      <c r="G45" s="1406"/>
      <c r="H45" s="1407">
        <v>27196</v>
      </c>
      <c r="I45" s="1406"/>
      <c r="J45" s="1406"/>
      <c r="K45" s="1406"/>
      <c r="L45" s="1406"/>
      <c r="M45" s="1408">
        <v>2647020</v>
      </c>
      <c r="N45" s="1406"/>
      <c r="O45" s="1409">
        <v>2647020</v>
      </c>
      <c r="P45" s="1402"/>
      <c r="Q45" s="1403"/>
      <c r="R45" s="1403"/>
      <c r="S45" s="493"/>
      <c r="T45" s="493"/>
    </row>
    <row r="46" spans="1:20">
      <c r="A46" s="1415">
        <v>14.022</v>
      </c>
      <c r="B46" s="1411" t="s">
        <v>6191</v>
      </c>
      <c r="C46" s="1411" t="s">
        <v>192</v>
      </c>
      <c r="D46" s="1406"/>
      <c r="E46" s="1406"/>
      <c r="F46" s="1406"/>
      <c r="G46" s="1406"/>
      <c r="H46" s="1407">
        <v>1216</v>
      </c>
      <c r="I46" s="1406"/>
      <c r="J46" s="1406"/>
      <c r="K46" s="1406"/>
      <c r="L46" s="1406"/>
      <c r="M46" s="1408">
        <v>92004</v>
      </c>
      <c r="N46" s="1406"/>
      <c r="O46" s="1409">
        <v>92004</v>
      </c>
      <c r="P46" s="1402"/>
      <c r="Q46" s="1403"/>
      <c r="R46" s="1403"/>
      <c r="S46" s="493"/>
      <c r="T46" s="493"/>
    </row>
    <row r="47" spans="1:20">
      <c r="A47" s="1415">
        <v>14.023</v>
      </c>
      <c r="B47" s="1411" t="s">
        <v>6192</v>
      </c>
      <c r="C47" s="1411" t="s">
        <v>192</v>
      </c>
      <c r="D47" s="1406"/>
      <c r="E47" s="1406"/>
      <c r="F47" s="1406"/>
      <c r="G47" s="1406"/>
      <c r="H47" s="1407">
        <v>5790</v>
      </c>
      <c r="I47" s="1406"/>
      <c r="J47" s="1406"/>
      <c r="K47" s="1406"/>
      <c r="L47" s="1406"/>
      <c r="M47" s="1408">
        <v>206522</v>
      </c>
      <c r="N47" s="1406"/>
      <c r="O47" s="1409">
        <v>206522</v>
      </c>
      <c r="P47" s="1402"/>
      <c r="Q47" s="1403"/>
      <c r="R47" s="1403"/>
      <c r="S47" s="493"/>
      <c r="T47" s="493"/>
    </row>
    <row r="48" spans="1:20">
      <c r="A48" s="1415">
        <v>14.023999999999999</v>
      </c>
      <c r="B48" s="1405" t="s">
        <v>6242</v>
      </c>
      <c r="C48" s="1411" t="s">
        <v>195</v>
      </c>
      <c r="D48" s="1406"/>
      <c r="E48" s="1406"/>
      <c r="F48" s="1406"/>
      <c r="G48" s="1406"/>
      <c r="H48" s="1406"/>
      <c r="I48" s="1406"/>
      <c r="J48" s="1406"/>
      <c r="K48" s="1406"/>
      <c r="L48" s="1406"/>
      <c r="M48" s="1406"/>
      <c r="N48" s="1408">
        <v>-693</v>
      </c>
      <c r="O48" s="1409">
        <v>-693</v>
      </c>
      <c r="P48" s="1402"/>
      <c r="Q48" s="1403"/>
      <c r="R48" s="1403"/>
      <c r="S48" s="493"/>
      <c r="T48" s="493"/>
    </row>
    <row r="49" spans="1:20">
      <c r="A49" s="1415">
        <v>14.025</v>
      </c>
      <c r="B49" s="1405" t="s">
        <v>6193</v>
      </c>
      <c r="C49" s="1411" t="s">
        <v>191</v>
      </c>
      <c r="D49" s="1406"/>
      <c r="E49" s="1406"/>
      <c r="F49" s="1406"/>
      <c r="G49" s="1406"/>
      <c r="H49" s="1407">
        <v>3144</v>
      </c>
      <c r="I49" s="1406"/>
      <c r="J49" s="1406"/>
      <c r="K49" s="1406"/>
      <c r="L49" s="1406"/>
      <c r="M49" s="1408">
        <v>123482</v>
      </c>
      <c r="N49" s="1406"/>
      <c r="O49" s="1409">
        <v>123482</v>
      </c>
      <c r="P49" s="1402"/>
      <c r="Q49" s="1403"/>
      <c r="R49" s="1403"/>
      <c r="S49" s="493"/>
      <c r="T49" s="493"/>
    </row>
    <row r="50" spans="1:20">
      <c r="A50" s="1415">
        <v>14.026</v>
      </c>
      <c r="B50" s="1405" t="s">
        <v>6194</v>
      </c>
      <c r="C50" s="1411" t="s">
        <v>192</v>
      </c>
      <c r="D50" s="1406"/>
      <c r="E50" s="1406"/>
      <c r="F50" s="1406"/>
      <c r="G50" s="1406"/>
      <c r="H50" s="1407">
        <v>10001</v>
      </c>
      <c r="I50" s="1406"/>
      <c r="J50" s="1406"/>
      <c r="K50" s="1406"/>
      <c r="L50" s="1406"/>
      <c r="M50" s="1408">
        <v>157527</v>
      </c>
      <c r="N50" s="1406"/>
      <c r="O50" s="1409">
        <v>157527</v>
      </c>
      <c r="P50" s="1402"/>
      <c r="Q50" s="1403"/>
      <c r="R50" s="1403"/>
      <c r="S50" s="493"/>
      <c r="T50" s="493"/>
    </row>
    <row r="51" spans="1:20">
      <c r="A51" s="1415">
        <v>14.026999999999999</v>
      </c>
      <c r="B51" s="1405" t="s">
        <v>6195</v>
      </c>
      <c r="C51" s="1411" t="s">
        <v>187</v>
      </c>
      <c r="D51" s="1406"/>
      <c r="E51" s="1406"/>
      <c r="F51" s="1406"/>
      <c r="G51" s="1406"/>
      <c r="H51" s="1407">
        <v>431728</v>
      </c>
      <c r="I51" s="1406"/>
      <c r="J51" s="1406"/>
      <c r="K51" s="1406"/>
      <c r="L51" s="1406"/>
      <c r="M51" s="1408">
        <v>14789479</v>
      </c>
      <c r="N51" s="1406"/>
      <c r="O51" s="1409">
        <v>14789479</v>
      </c>
      <c r="P51" s="1402"/>
      <c r="Q51" s="1403"/>
      <c r="R51" s="1403"/>
      <c r="S51" s="493"/>
      <c r="T51" s="493"/>
    </row>
    <row r="52" spans="1:20">
      <c r="A52" s="1415">
        <v>14.028</v>
      </c>
      <c r="B52" s="1405" t="s">
        <v>6243</v>
      </c>
      <c r="C52" s="1405" t="s">
        <v>195</v>
      </c>
      <c r="D52" s="1405"/>
      <c r="E52" s="1405"/>
      <c r="F52" s="1406"/>
      <c r="G52" s="1406"/>
      <c r="H52" s="1412"/>
      <c r="I52" s="1406"/>
      <c r="J52" s="1406"/>
      <c r="K52" s="1406"/>
      <c r="L52" s="1406"/>
      <c r="M52" s="1406"/>
      <c r="N52" s="1408">
        <v>-3709346</v>
      </c>
      <c r="O52" s="1409">
        <v>-3709346</v>
      </c>
      <c r="P52" s="1402"/>
      <c r="Q52" s="1403"/>
      <c r="R52" s="1403"/>
      <c r="S52" s="493"/>
      <c r="T52" s="493"/>
    </row>
    <row r="53" spans="1:20">
      <c r="A53" s="1415">
        <v>14.029</v>
      </c>
      <c r="B53" s="1405" t="s">
        <v>5912</v>
      </c>
      <c r="C53" s="1411" t="s">
        <v>192</v>
      </c>
      <c r="D53" s="1405"/>
      <c r="E53" s="1406"/>
      <c r="F53" s="1406"/>
      <c r="G53" s="1406"/>
      <c r="H53" s="1407">
        <v>1</v>
      </c>
      <c r="I53" s="1406"/>
      <c r="J53" s="1406"/>
      <c r="K53" s="1406"/>
      <c r="L53" s="1406"/>
      <c r="M53" s="1408">
        <v>98</v>
      </c>
      <c r="N53" s="1406"/>
      <c r="O53" s="1409">
        <v>98</v>
      </c>
      <c r="P53" s="1402"/>
      <c r="Q53" s="1403"/>
      <c r="R53" s="1403"/>
      <c r="S53" s="493"/>
      <c r="T53" s="493"/>
    </row>
    <row r="54" spans="1:20">
      <c r="A54" s="1415">
        <v>14.03</v>
      </c>
      <c r="B54" s="1405" t="s">
        <v>6196</v>
      </c>
      <c r="C54" s="1411" t="s">
        <v>192</v>
      </c>
      <c r="D54" s="1406"/>
      <c r="E54" s="1406"/>
      <c r="F54" s="1406"/>
      <c r="G54" s="1406"/>
      <c r="H54" s="1407">
        <v>1178322</v>
      </c>
      <c r="I54" s="1406"/>
      <c r="J54" s="1406"/>
      <c r="K54" s="1406"/>
      <c r="L54" s="1406"/>
      <c r="M54" s="1408">
        <v>63962458</v>
      </c>
      <c r="N54" s="1406"/>
      <c r="O54" s="1409">
        <v>63962458</v>
      </c>
      <c r="P54" s="1402"/>
      <c r="Q54" s="1403"/>
      <c r="R54" s="1403"/>
      <c r="S54" s="493"/>
      <c r="T54" s="493"/>
    </row>
    <row r="55" spans="1:20">
      <c r="A55" s="1415">
        <v>14.031000000000001</v>
      </c>
      <c r="B55" s="1405" t="s">
        <v>5913</v>
      </c>
      <c r="C55" s="1411" t="s">
        <v>192</v>
      </c>
      <c r="D55" s="1406"/>
      <c r="E55" s="1406"/>
      <c r="F55" s="1406"/>
      <c r="G55" s="1406"/>
      <c r="H55" s="1407">
        <v>3081</v>
      </c>
      <c r="I55" s="1406"/>
      <c r="J55" s="1406"/>
      <c r="K55" s="1406"/>
      <c r="L55" s="1406"/>
      <c r="M55" s="1408">
        <v>119846</v>
      </c>
      <c r="N55" s="1406"/>
      <c r="O55" s="1409">
        <v>119846</v>
      </c>
      <c r="P55" s="1402"/>
      <c r="Q55" s="1403"/>
      <c r="R55" s="1403"/>
      <c r="S55" s="493"/>
      <c r="T55" s="493"/>
    </row>
    <row r="56" spans="1:20">
      <c r="A56" s="1415">
        <v>14.032</v>
      </c>
      <c r="B56" s="1405" t="s">
        <v>6197</v>
      </c>
      <c r="C56" s="1411" t="s">
        <v>190</v>
      </c>
      <c r="D56" s="1406"/>
      <c r="E56" s="1406"/>
      <c r="F56" s="1406"/>
      <c r="G56" s="1406"/>
      <c r="H56" s="1407">
        <v>61</v>
      </c>
      <c r="I56" s="1406"/>
      <c r="J56" s="1406"/>
      <c r="K56" s="1406"/>
      <c r="L56" s="1406"/>
      <c r="M56" s="1408">
        <v>4194</v>
      </c>
      <c r="N56" s="1406"/>
      <c r="O56" s="1409">
        <v>4194</v>
      </c>
      <c r="P56" s="1402"/>
      <c r="Q56" s="1403"/>
      <c r="R56" s="1403"/>
      <c r="S56" s="493"/>
      <c r="T56" s="493"/>
    </row>
    <row r="57" spans="1:20">
      <c r="A57" s="1415">
        <v>14.032999999999999</v>
      </c>
      <c r="B57" s="1411" t="s">
        <v>6244</v>
      </c>
      <c r="C57" s="1411" t="s">
        <v>190</v>
      </c>
      <c r="D57" s="1406"/>
      <c r="E57" s="1406"/>
      <c r="F57" s="1406"/>
      <c r="G57" s="1406"/>
      <c r="H57" s="1407">
        <v>350624</v>
      </c>
      <c r="I57" s="1406"/>
      <c r="J57" s="1406"/>
      <c r="K57" s="1406"/>
      <c r="L57" s="1406"/>
      <c r="M57" s="1408">
        <v>16659376</v>
      </c>
      <c r="N57" s="1406"/>
      <c r="O57" s="1409">
        <v>16659376</v>
      </c>
      <c r="P57" s="1402"/>
      <c r="Q57" s="1403"/>
      <c r="R57" s="1403"/>
      <c r="S57" s="493"/>
      <c r="T57" s="493"/>
    </row>
    <row r="58" spans="1:20">
      <c r="A58" s="1415">
        <v>14.034000000000001</v>
      </c>
      <c r="B58" s="1411" t="s">
        <v>6245</v>
      </c>
      <c r="C58" s="1411" t="s">
        <v>190</v>
      </c>
      <c r="D58" s="1406"/>
      <c r="E58" s="1406"/>
      <c r="F58" s="1406"/>
      <c r="G58" s="1406"/>
      <c r="H58" s="1407">
        <v>141582</v>
      </c>
      <c r="I58" s="1406"/>
      <c r="J58" s="1406"/>
      <c r="K58" s="1406"/>
      <c r="L58" s="1406"/>
      <c r="M58" s="1408">
        <v>9838692</v>
      </c>
      <c r="N58" s="1406"/>
      <c r="O58" s="1409">
        <v>9838692</v>
      </c>
      <c r="P58" s="1402"/>
      <c r="Q58" s="1403"/>
      <c r="R58" s="1403"/>
      <c r="S58" s="493"/>
      <c r="T58" s="493"/>
    </row>
    <row r="59" spans="1:20">
      <c r="A59" s="1415">
        <v>14.035</v>
      </c>
      <c r="B59" s="1411" t="s">
        <v>6198</v>
      </c>
      <c r="C59" s="1411" t="s">
        <v>190</v>
      </c>
      <c r="D59" s="1406"/>
      <c r="E59" s="1406"/>
      <c r="F59" s="1406"/>
      <c r="G59" s="1406"/>
      <c r="H59" s="1407">
        <v>139</v>
      </c>
      <c r="I59" s="1406"/>
      <c r="J59" s="1406"/>
      <c r="K59" s="1406"/>
      <c r="L59" s="1406"/>
      <c r="M59" s="1408">
        <v>3935</v>
      </c>
      <c r="N59" s="1406"/>
      <c r="O59" s="1409">
        <v>3935</v>
      </c>
      <c r="P59" s="1402"/>
      <c r="Q59" s="1403"/>
      <c r="R59" s="1403"/>
      <c r="S59" s="493"/>
      <c r="T59" s="493"/>
    </row>
    <row r="60" spans="1:20">
      <c r="A60" s="1415">
        <v>14.036</v>
      </c>
      <c r="B60" s="1411" t="s">
        <v>6199</v>
      </c>
      <c r="C60" s="1411" t="s">
        <v>190</v>
      </c>
      <c r="D60" s="1406"/>
      <c r="E60" s="1406"/>
      <c r="F60" s="1406"/>
      <c r="G60" s="1406"/>
      <c r="H60" s="1407">
        <v>40459</v>
      </c>
      <c r="I60" s="1406"/>
      <c r="J60" s="1406"/>
      <c r="K60" s="1406"/>
      <c r="L60" s="1406"/>
      <c r="M60" s="1408">
        <v>3393084</v>
      </c>
      <c r="N60" s="1406"/>
      <c r="O60" s="1409">
        <v>3393084</v>
      </c>
      <c r="P60" s="1402"/>
      <c r="Q60" s="1403"/>
      <c r="R60" s="1403"/>
      <c r="S60" s="493"/>
      <c r="T60" s="493"/>
    </row>
    <row r="61" spans="1:20">
      <c r="A61" s="1415">
        <v>14.037000000000001</v>
      </c>
      <c r="B61" s="1405" t="s">
        <v>6246</v>
      </c>
      <c r="C61" s="1411" t="s">
        <v>190</v>
      </c>
      <c r="D61" s="1406"/>
      <c r="E61" s="1406"/>
      <c r="F61" s="1406"/>
      <c r="G61" s="1406"/>
      <c r="H61" s="1414">
        <v>98</v>
      </c>
      <c r="I61" s="1406"/>
      <c r="J61" s="1406"/>
      <c r="K61" s="1406"/>
      <c r="L61" s="1406"/>
      <c r="M61" s="1408">
        <v>9490</v>
      </c>
      <c r="N61" s="1406"/>
      <c r="O61" s="1409">
        <v>9490</v>
      </c>
      <c r="P61" s="1402"/>
      <c r="Q61" s="1403"/>
      <c r="R61" s="1403"/>
      <c r="S61" s="493"/>
      <c r="T61" s="493"/>
    </row>
    <row r="62" spans="1:20">
      <c r="A62" s="1415">
        <v>14.038</v>
      </c>
      <c r="B62" s="1405" t="s">
        <v>6247</v>
      </c>
      <c r="C62" s="1411" t="s">
        <v>190</v>
      </c>
      <c r="D62" s="1406"/>
      <c r="E62" s="1406"/>
      <c r="F62" s="1406"/>
      <c r="G62" s="1406"/>
      <c r="H62" s="1407">
        <v>366671</v>
      </c>
      <c r="I62" s="1406"/>
      <c r="J62" s="1406"/>
      <c r="K62" s="1406"/>
      <c r="L62" s="1406"/>
      <c r="M62" s="1408">
        <v>13349013</v>
      </c>
      <c r="N62" s="1406"/>
      <c r="O62" s="1409">
        <v>13349013</v>
      </c>
      <c r="P62" s="1402"/>
      <c r="Q62" s="1403"/>
      <c r="R62" s="1403"/>
      <c r="S62" s="493"/>
      <c r="T62" s="493"/>
    </row>
    <row r="63" spans="1:20">
      <c r="A63" s="1415">
        <v>14.039</v>
      </c>
      <c r="B63" s="1405" t="s">
        <v>6200</v>
      </c>
      <c r="C63" s="1411" t="s">
        <v>195</v>
      </c>
      <c r="D63" s="1406"/>
      <c r="E63" s="1406"/>
      <c r="F63" s="1406"/>
      <c r="G63" s="1406"/>
      <c r="H63" s="1412"/>
      <c r="I63" s="1406"/>
      <c r="J63" s="1406"/>
      <c r="K63" s="1406"/>
      <c r="L63" s="1406"/>
      <c r="M63" s="1406"/>
      <c r="N63" s="1408">
        <v>9270</v>
      </c>
      <c r="O63" s="1409">
        <v>9270</v>
      </c>
      <c r="P63" s="1402"/>
      <c r="Q63" s="1403"/>
      <c r="R63" s="1403"/>
      <c r="S63" s="493"/>
      <c r="T63" s="493"/>
    </row>
    <row r="64" spans="1:20">
      <c r="A64" s="1415">
        <v>14.04</v>
      </c>
      <c r="B64" s="1405" t="s">
        <v>6200</v>
      </c>
      <c r="C64" s="1411" t="s">
        <v>192</v>
      </c>
      <c r="D64" s="1406"/>
      <c r="E64" s="1406"/>
      <c r="F64" s="1406"/>
      <c r="G64" s="1406"/>
      <c r="H64" s="1407">
        <v>336652</v>
      </c>
      <c r="I64" s="1406"/>
      <c r="J64" s="1406"/>
      <c r="K64" s="1406"/>
      <c r="L64" s="1406"/>
      <c r="M64" s="1408">
        <v>16891583</v>
      </c>
      <c r="N64" s="1406"/>
      <c r="O64" s="1409">
        <v>16891583</v>
      </c>
      <c r="P64" s="1402"/>
      <c r="Q64" s="1403"/>
      <c r="R64" s="1403"/>
      <c r="S64" s="493"/>
      <c r="T64" s="493"/>
    </row>
    <row r="65" spans="1:20">
      <c r="A65" s="1415">
        <v>14.041</v>
      </c>
      <c r="B65" s="1405" t="s">
        <v>6201</v>
      </c>
      <c r="C65" s="1405" t="s">
        <v>192</v>
      </c>
      <c r="D65" s="1405"/>
      <c r="E65" s="1405"/>
      <c r="F65" s="1406"/>
      <c r="G65" s="1406"/>
      <c r="H65" s="1412"/>
      <c r="I65" s="1406"/>
      <c r="J65" s="1406"/>
      <c r="K65" s="1406"/>
      <c r="L65" s="1406"/>
      <c r="M65" s="1408">
        <v>-1034253</v>
      </c>
      <c r="N65" s="1406"/>
      <c r="O65" s="1409">
        <v>-1034253</v>
      </c>
      <c r="P65" s="1402"/>
      <c r="Q65" s="1403"/>
      <c r="R65" s="1403"/>
      <c r="S65" s="493"/>
      <c r="T65" s="493"/>
    </row>
    <row r="66" spans="1:20">
      <c r="A66" s="1415">
        <v>14.042</v>
      </c>
      <c r="B66" s="1405" t="s">
        <v>6202</v>
      </c>
      <c r="C66" s="1411" t="s">
        <v>192</v>
      </c>
      <c r="D66" s="1405"/>
      <c r="E66" s="1406"/>
      <c r="F66" s="1406"/>
      <c r="G66" s="1406"/>
      <c r="H66" s="1407">
        <v>31440</v>
      </c>
      <c r="I66" s="1406"/>
      <c r="J66" s="1406"/>
      <c r="K66" s="1406"/>
      <c r="L66" s="1406"/>
      <c r="M66" s="1408">
        <v>2930646</v>
      </c>
      <c r="N66" s="1406"/>
      <c r="O66" s="1409">
        <v>2930646</v>
      </c>
      <c r="P66" s="1402"/>
      <c r="Q66" s="1403"/>
      <c r="R66" s="1403"/>
      <c r="S66" s="493"/>
      <c r="T66" s="493"/>
    </row>
    <row r="67" spans="1:20">
      <c r="A67" s="1415">
        <v>14.042999999999999</v>
      </c>
      <c r="B67" s="1405" t="s">
        <v>6203</v>
      </c>
      <c r="C67" s="1411" t="s">
        <v>190</v>
      </c>
      <c r="D67" s="1406"/>
      <c r="E67" s="1406"/>
      <c r="F67" s="1406"/>
      <c r="G67" s="1406"/>
      <c r="H67" s="1407">
        <v>22657</v>
      </c>
      <c r="I67" s="1406"/>
      <c r="J67" s="1406"/>
      <c r="K67" s="1406"/>
      <c r="L67" s="1406"/>
      <c r="M67" s="1408">
        <v>2205183</v>
      </c>
      <c r="N67" s="1406"/>
      <c r="O67" s="1409">
        <v>2205183</v>
      </c>
      <c r="P67" s="1402"/>
      <c r="Q67" s="1403"/>
      <c r="R67" s="1403"/>
      <c r="S67" s="493"/>
      <c r="T67" s="493"/>
    </row>
    <row r="68" spans="1:20">
      <c r="A68" s="1415">
        <v>14.044</v>
      </c>
      <c r="B68" s="1405" t="s">
        <v>6204</v>
      </c>
      <c r="C68" s="1411" t="s">
        <v>192</v>
      </c>
      <c r="D68" s="1406"/>
      <c r="E68" s="1406"/>
      <c r="F68" s="1406"/>
      <c r="G68" s="1406"/>
      <c r="H68" s="1407">
        <v>12611</v>
      </c>
      <c r="I68" s="1406"/>
      <c r="J68" s="1406"/>
      <c r="K68" s="1406"/>
      <c r="L68" s="1406"/>
      <c r="M68" s="1408">
        <v>412358</v>
      </c>
      <c r="N68" s="1406"/>
      <c r="O68" s="1409">
        <v>412358</v>
      </c>
      <c r="P68" s="1402"/>
      <c r="Q68" s="1403"/>
      <c r="R68" s="1403"/>
      <c r="S68" s="493"/>
      <c r="T68" s="493"/>
    </row>
    <row r="69" spans="1:20">
      <c r="A69" s="1415">
        <v>14.045</v>
      </c>
      <c r="B69" s="1405" t="s">
        <v>6205</v>
      </c>
      <c r="C69" s="1411" t="s">
        <v>193</v>
      </c>
      <c r="D69" s="1406"/>
      <c r="E69" s="1406"/>
      <c r="F69" s="1406"/>
      <c r="G69" s="1406"/>
      <c r="H69" s="1412"/>
      <c r="I69" s="1406"/>
      <c r="J69" s="1414">
        <v>413000</v>
      </c>
      <c r="K69" s="1414">
        <v>413000</v>
      </c>
      <c r="L69" s="1406"/>
      <c r="M69" s="1406"/>
      <c r="N69" s="1406"/>
      <c r="O69" s="1409">
        <v>0</v>
      </c>
      <c r="P69" s="1402"/>
      <c r="Q69" s="1403"/>
      <c r="R69" s="1403"/>
      <c r="S69" s="493"/>
      <c r="T69" s="493"/>
    </row>
    <row r="70" spans="1:20">
      <c r="A70" s="1415">
        <v>14.045999999999999</v>
      </c>
      <c r="B70" s="1411" t="s">
        <v>6206</v>
      </c>
      <c r="C70" s="1411" t="s">
        <v>195</v>
      </c>
      <c r="D70" s="1406"/>
      <c r="E70" s="1406"/>
      <c r="F70" s="1406"/>
      <c r="G70" s="1406"/>
      <c r="H70" s="1412"/>
      <c r="I70" s="1406"/>
      <c r="J70" s="1406"/>
      <c r="K70" s="1406"/>
      <c r="L70" s="1406"/>
      <c r="M70" s="1406"/>
      <c r="N70" s="1408">
        <v>30</v>
      </c>
      <c r="O70" s="1409">
        <v>30</v>
      </c>
      <c r="P70" s="1402"/>
      <c r="Q70" s="1403"/>
      <c r="R70" s="1403"/>
      <c r="S70" s="493"/>
      <c r="T70" s="493"/>
    </row>
    <row r="71" spans="1:20">
      <c r="A71" s="1415">
        <v>14.047000000000001</v>
      </c>
      <c r="B71" s="1411" t="s">
        <v>6206</v>
      </c>
      <c r="C71" s="1411" t="s">
        <v>192</v>
      </c>
      <c r="D71" s="1406"/>
      <c r="E71" s="1406"/>
      <c r="F71" s="1406"/>
      <c r="G71" s="1406"/>
      <c r="H71" s="1407">
        <v>26729</v>
      </c>
      <c r="I71" s="1406"/>
      <c r="J71" s="1406"/>
      <c r="K71" s="1406"/>
      <c r="L71" s="1406"/>
      <c r="M71" s="1408">
        <v>976998</v>
      </c>
      <c r="N71" s="1406"/>
      <c r="O71" s="1409">
        <v>976998</v>
      </c>
      <c r="P71" s="1402"/>
      <c r="Q71" s="1403"/>
      <c r="R71" s="1403"/>
      <c r="S71" s="493"/>
      <c r="T71" s="493"/>
    </row>
    <row r="72" spans="1:20">
      <c r="A72" s="1415">
        <v>14.048</v>
      </c>
      <c r="B72" s="1411" t="s">
        <v>6248</v>
      </c>
      <c r="C72" s="1411" t="s">
        <v>190</v>
      </c>
      <c r="D72" s="1406"/>
      <c r="E72" s="1406"/>
      <c r="F72" s="1406"/>
      <c r="G72" s="1406"/>
      <c r="H72" s="1407">
        <v>2</v>
      </c>
      <c r="I72" s="1406"/>
      <c r="J72" s="1406"/>
      <c r="K72" s="1406"/>
      <c r="L72" s="1406"/>
      <c r="M72" s="1408">
        <v>107</v>
      </c>
      <c r="N72" s="1406"/>
      <c r="O72" s="1409">
        <v>107</v>
      </c>
      <c r="P72" s="1402"/>
      <c r="Q72" s="1403"/>
      <c r="R72" s="1403"/>
      <c r="S72" s="493"/>
      <c r="T72" s="493"/>
    </row>
    <row r="73" spans="1:20">
      <c r="A73" s="1415">
        <v>14.048999999999999</v>
      </c>
      <c r="B73" s="1411" t="s">
        <v>6207</v>
      </c>
      <c r="C73" s="1411" t="s">
        <v>192</v>
      </c>
      <c r="D73" s="1406"/>
      <c r="E73" s="1406"/>
      <c r="F73" s="1406"/>
      <c r="G73" s="1406"/>
      <c r="H73" s="1407">
        <v>114</v>
      </c>
      <c r="I73" s="1406"/>
      <c r="J73" s="1406"/>
      <c r="K73" s="1406"/>
      <c r="L73" s="1406"/>
      <c r="M73" s="1408">
        <v>2817</v>
      </c>
      <c r="N73" s="1406"/>
      <c r="O73" s="1409">
        <v>2817</v>
      </c>
      <c r="P73" s="1402"/>
      <c r="Q73" s="1403"/>
      <c r="R73" s="1403"/>
      <c r="S73" s="493"/>
      <c r="T73" s="493"/>
    </row>
    <row r="74" spans="1:20">
      <c r="A74" s="1415">
        <v>14.05</v>
      </c>
      <c r="B74" s="1405" t="s">
        <v>6208</v>
      </c>
      <c r="C74" s="1411" t="s">
        <v>195</v>
      </c>
      <c r="D74" s="1406"/>
      <c r="E74" s="1406"/>
      <c r="F74" s="1406"/>
      <c r="G74" s="1406"/>
      <c r="H74" s="1406"/>
      <c r="I74" s="1406"/>
      <c r="J74" s="1406"/>
      <c r="K74" s="1406"/>
      <c r="L74" s="1406"/>
      <c r="M74" s="1406"/>
      <c r="N74" s="1408">
        <v>30</v>
      </c>
      <c r="O74" s="1409">
        <v>30</v>
      </c>
      <c r="P74" s="1402"/>
      <c r="Q74" s="1403"/>
      <c r="R74" s="1403"/>
      <c r="S74" s="493"/>
      <c r="T74" s="493"/>
    </row>
    <row r="75" spans="1:20">
      <c r="A75" s="1415">
        <v>14.051</v>
      </c>
      <c r="B75" s="1405" t="s">
        <v>6208</v>
      </c>
      <c r="C75" s="1411" t="s">
        <v>192</v>
      </c>
      <c r="D75" s="1406"/>
      <c r="E75" s="1406"/>
      <c r="F75" s="1406"/>
      <c r="G75" s="1406"/>
      <c r="H75" s="1407">
        <v>64144</v>
      </c>
      <c r="I75" s="1406"/>
      <c r="J75" s="1406"/>
      <c r="K75" s="1406"/>
      <c r="L75" s="1406"/>
      <c r="M75" s="1408">
        <v>2592307</v>
      </c>
      <c r="N75" s="1406"/>
      <c r="O75" s="1409">
        <v>2592307</v>
      </c>
      <c r="P75" s="1402"/>
      <c r="Q75" s="1403"/>
      <c r="R75" s="1403"/>
      <c r="S75" s="493"/>
      <c r="T75" s="493"/>
    </row>
    <row r="76" spans="1:20">
      <c r="A76" s="1415">
        <v>14.052</v>
      </c>
      <c r="B76" s="1405" t="s">
        <v>5921</v>
      </c>
      <c r="C76" s="1411" t="s">
        <v>192</v>
      </c>
      <c r="D76" s="1406"/>
      <c r="E76" s="1406"/>
      <c r="F76" s="1406"/>
      <c r="G76" s="1406"/>
      <c r="H76" s="1407">
        <v>59575</v>
      </c>
      <c r="I76" s="1406"/>
      <c r="J76" s="1406"/>
      <c r="K76" s="1406"/>
      <c r="L76" s="1406"/>
      <c r="M76" s="1408">
        <v>4035260</v>
      </c>
      <c r="N76" s="1406"/>
      <c r="O76" s="1409">
        <v>4035260</v>
      </c>
      <c r="P76" s="1402"/>
      <c r="Q76" s="1403"/>
      <c r="R76" s="1403"/>
      <c r="S76" s="493"/>
      <c r="T76" s="493"/>
    </row>
    <row r="77" spans="1:20">
      <c r="A77" s="1415">
        <v>14.053000000000001</v>
      </c>
      <c r="B77" s="1405" t="s">
        <v>6249</v>
      </c>
      <c r="C77" s="1411" t="s">
        <v>192</v>
      </c>
      <c r="D77" s="1406"/>
      <c r="E77" s="1406"/>
      <c r="F77" s="1406"/>
      <c r="G77" s="1406"/>
      <c r="H77" s="1407">
        <v>30800</v>
      </c>
      <c r="I77" s="1406"/>
      <c r="J77" s="1406"/>
      <c r="K77" s="1406"/>
      <c r="L77" s="1406"/>
      <c r="M77" s="1408">
        <v>1047200</v>
      </c>
      <c r="N77" s="1406"/>
      <c r="O77" s="1409">
        <v>1047200</v>
      </c>
      <c r="P77" s="1402"/>
      <c r="Q77" s="1403"/>
      <c r="R77" s="1403"/>
      <c r="S77" s="493"/>
      <c r="T77" s="493"/>
    </row>
    <row r="78" spans="1:20">
      <c r="A78" s="1415">
        <v>14.054</v>
      </c>
      <c r="B78" s="1405" t="s">
        <v>5923</v>
      </c>
      <c r="C78" s="1411" t="s">
        <v>192</v>
      </c>
      <c r="D78" s="1406"/>
      <c r="E78" s="1406"/>
      <c r="F78" s="1406"/>
      <c r="G78" s="1406"/>
      <c r="H78" s="1407">
        <v>1750</v>
      </c>
      <c r="I78" s="1406"/>
      <c r="J78" s="1406"/>
      <c r="K78" s="1406"/>
      <c r="L78" s="1406"/>
      <c r="M78" s="1408">
        <v>122400</v>
      </c>
      <c r="N78" s="1406"/>
      <c r="O78" s="1409">
        <v>122400</v>
      </c>
      <c r="P78" s="1402"/>
      <c r="Q78" s="1403"/>
      <c r="R78" s="1403"/>
      <c r="S78" s="493"/>
      <c r="T78" s="493"/>
    </row>
    <row r="79" spans="1:20">
      <c r="A79" s="1415">
        <v>14.055</v>
      </c>
      <c r="B79" s="1405" t="s">
        <v>6209</v>
      </c>
      <c r="C79" s="1405" t="s">
        <v>192</v>
      </c>
      <c r="D79" s="1405"/>
      <c r="E79" s="1405"/>
      <c r="F79" s="1406"/>
      <c r="G79" s="1406"/>
      <c r="H79" s="1407">
        <v>2918</v>
      </c>
      <c r="I79" s="1406"/>
      <c r="J79" s="1406"/>
      <c r="K79" s="1406"/>
      <c r="L79" s="1406"/>
      <c r="M79" s="1408">
        <v>96308</v>
      </c>
      <c r="N79" s="1406"/>
      <c r="O79" s="1409">
        <v>96308</v>
      </c>
      <c r="P79" s="1402"/>
      <c r="Q79" s="1403"/>
      <c r="R79" s="1403"/>
      <c r="S79" s="493"/>
      <c r="T79" s="493"/>
    </row>
    <row r="80" spans="1:20">
      <c r="A80" s="1416">
        <v>14.055999999999999</v>
      </c>
      <c r="B80" s="1417" t="s">
        <v>5628</v>
      </c>
      <c r="C80" s="1417" t="s">
        <v>195</v>
      </c>
      <c r="D80" s="1417"/>
      <c r="E80" s="1418"/>
      <c r="F80" s="1418"/>
      <c r="G80" s="1418"/>
      <c r="H80" s="1419"/>
      <c r="I80" s="1418"/>
      <c r="J80" s="1418"/>
      <c r="K80" s="1418"/>
      <c r="L80" s="1418"/>
      <c r="M80" s="1418"/>
      <c r="N80" s="1420">
        <v>-82225303</v>
      </c>
      <c r="O80" s="1420">
        <v>0</v>
      </c>
      <c r="P80" s="1402"/>
      <c r="Q80" s="1403"/>
      <c r="R80" s="1403"/>
      <c r="S80" s="493"/>
      <c r="T80" s="493"/>
    </row>
    <row r="81" spans="1:20">
      <c r="A81" s="1415">
        <v>14.057</v>
      </c>
      <c r="B81" s="1405" t="s">
        <v>5925</v>
      </c>
      <c r="C81" s="1411" t="s">
        <v>192</v>
      </c>
      <c r="D81" s="1406"/>
      <c r="E81" s="1406"/>
      <c r="F81" s="1406"/>
      <c r="G81" s="1406"/>
      <c r="H81" s="1407">
        <v>156046</v>
      </c>
      <c r="I81" s="1406"/>
      <c r="J81" s="1406"/>
      <c r="K81" s="1406"/>
      <c r="L81" s="1406"/>
      <c r="M81" s="1408">
        <v>4130334</v>
      </c>
      <c r="N81" s="1406"/>
      <c r="O81" s="1409">
        <v>4130334</v>
      </c>
      <c r="P81" s="1402"/>
      <c r="Q81" s="1403"/>
      <c r="R81" s="1403"/>
      <c r="S81" s="493"/>
      <c r="T81" s="493"/>
    </row>
    <row r="82" spans="1:20">
      <c r="A82" s="1415">
        <v>14.058</v>
      </c>
      <c r="B82" s="1405" t="s">
        <v>6210</v>
      </c>
      <c r="C82" s="1411" t="s">
        <v>192</v>
      </c>
      <c r="D82" s="1406"/>
      <c r="E82" s="1406"/>
      <c r="F82" s="1406"/>
      <c r="G82" s="1406"/>
      <c r="H82" s="1407">
        <v>788923</v>
      </c>
      <c r="I82" s="1406"/>
      <c r="J82" s="1406"/>
      <c r="K82" s="1406"/>
      <c r="L82" s="1406"/>
      <c r="M82" s="1408">
        <v>48587455</v>
      </c>
      <c r="N82" s="1406"/>
      <c r="O82" s="1409">
        <v>48587455</v>
      </c>
      <c r="P82" s="1402"/>
      <c r="Q82" s="1403"/>
      <c r="R82" s="1403"/>
      <c r="S82" s="493"/>
      <c r="T82" s="493"/>
    </row>
    <row r="83" spans="1:20">
      <c r="A83" s="1415">
        <v>14.058999999999999</v>
      </c>
      <c r="B83" s="1405" t="s">
        <v>6250</v>
      </c>
      <c r="C83" s="1411" t="s">
        <v>190</v>
      </c>
      <c r="D83" s="1406"/>
      <c r="E83" s="1406"/>
      <c r="F83" s="1406"/>
      <c r="G83" s="1406"/>
      <c r="H83" s="1407">
        <v>126931</v>
      </c>
      <c r="I83" s="1406"/>
      <c r="J83" s="1406"/>
      <c r="K83" s="1406"/>
      <c r="L83" s="1406"/>
      <c r="M83" s="1408">
        <v>3819495</v>
      </c>
      <c r="N83" s="1406"/>
      <c r="O83" s="1409">
        <v>3819495</v>
      </c>
      <c r="P83" s="1402"/>
      <c r="Q83" s="1403"/>
      <c r="R83" s="1403"/>
    </row>
    <row r="84" spans="1:20">
      <c r="A84" s="1415">
        <v>14.06</v>
      </c>
      <c r="B84" s="1411" t="s">
        <v>6211</v>
      </c>
      <c r="C84" s="1411" t="s">
        <v>190</v>
      </c>
      <c r="D84" s="1406"/>
      <c r="E84" s="1406"/>
      <c r="F84" s="1406"/>
      <c r="G84" s="1406"/>
      <c r="H84" s="1407">
        <v>4313</v>
      </c>
      <c r="I84" s="1406"/>
      <c r="J84" s="1406"/>
      <c r="K84" s="1406"/>
      <c r="L84" s="1406"/>
      <c r="M84" s="1408">
        <v>138798</v>
      </c>
      <c r="N84" s="1406"/>
      <c r="O84" s="1409">
        <v>138798</v>
      </c>
      <c r="P84" s="1402"/>
      <c r="Q84" s="1403"/>
      <c r="R84" s="1403"/>
    </row>
    <row r="85" spans="1:20">
      <c r="A85" s="1415">
        <v>14.061</v>
      </c>
      <c r="B85" s="1411" t="s">
        <v>6212</v>
      </c>
      <c r="C85" s="1411" t="s">
        <v>195</v>
      </c>
      <c r="D85" s="1406"/>
      <c r="E85" s="1406"/>
      <c r="F85" s="1406"/>
      <c r="G85" s="1406"/>
      <c r="H85" s="1412"/>
      <c r="I85" s="1406"/>
      <c r="J85" s="1406"/>
      <c r="K85" s="1406"/>
      <c r="L85" s="1406"/>
      <c r="M85" s="1406"/>
      <c r="N85" s="1408">
        <v>-65713</v>
      </c>
      <c r="O85" s="1409">
        <v>-65713</v>
      </c>
      <c r="P85" s="1402"/>
      <c r="Q85" s="1403"/>
      <c r="R85" s="1403"/>
    </row>
    <row r="86" spans="1:20">
      <c r="A86" s="1415">
        <v>14.061999999999999</v>
      </c>
      <c r="B86" s="1411" t="s">
        <v>6212</v>
      </c>
      <c r="C86" s="1411" t="s">
        <v>190</v>
      </c>
      <c r="D86" s="1406"/>
      <c r="E86" s="1406"/>
      <c r="F86" s="1406"/>
      <c r="G86" s="1406"/>
      <c r="H86" s="1407">
        <v>414301</v>
      </c>
      <c r="I86" s="1406"/>
      <c r="J86" s="1406"/>
      <c r="K86" s="1406"/>
      <c r="L86" s="1406"/>
      <c r="M86" s="1408">
        <v>19016454</v>
      </c>
      <c r="N86" s="1406"/>
      <c r="O86" s="1409">
        <v>19016454</v>
      </c>
      <c r="P86" s="1402"/>
      <c r="Q86" s="1403"/>
      <c r="R86" s="1403"/>
    </row>
    <row r="87" spans="1:20">
      <c r="A87" s="1415">
        <v>14.063000000000001</v>
      </c>
      <c r="B87" s="1411" t="s">
        <v>6213</v>
      </c>
      <c r="C87" s="1411" t="s">
        <v>192</v>
      </c>
      <c r="D87" s="1406"/>
      <c r="E87" s="1406"/>
      <c r="F87" s="1406"/>
      <c r="G87" s="1406"/>
      <c r="H87" s="1407">
        <v>7565</v>
      </c>
      <c r="I87" s="1406"/>
      <c r="J87" s="1406"/>
      <c r="K87" s="1406"/>
      <c r="L87" s="1406"/>
      <c r="M87" s="1408">
        <v>352120</v>
      </c>
      <c r="N87" s="1406"/>
      <c r="O87" s="1409">
        <v>352120</v>
      </c>
      <c r="P87" s="1402"/>
      <c r="Q87" s="1403"/>
      <c r="R87" s="1403"/>
    </row>
    <row r="88" spans="1:20">
      <c r="A88" s="1415">
        <v>14.064</v>
      </c>
      <c r="B88" s="1405" t="s">
        <v>6214</v>
      </c>
      <c r="C88" s="1411" t="s">
        <v>190</v>
      </c>
      <c r="D88" s="1406"/>
      <c r="E88" s="1406"/>
      <c r="F88" s="1406"/>
      <c r="G88" s="1406"/>
      <c r="H88" s="1414">
        <v>11786</v>
      </c>
      <c r="I88" s="1406"/>
      <c r="J88" s="1406"/>
      <c r="K88" s="1406"/>
      <c r="L88" s="1406"/>
      <c r="M88" s="1408">
        <v>1147086</v>
      </c>
      <c r="N88" s="1406"/>
      <c r="O88" s="1409">
        <v>1147086</v>
      </c>
      <c r="P88" s="1402"/>
      <c r="Q88" s="1403"/>
      <c r="R88" s="1403"/>
    </row>
    <row r="89" spans="1:20">
      <c r="A89" s="1415">
        <v>14.065</v>
      </c>
      <c r="B89" s="1405" t="s">
        <v>5928</v>
      </c>
      <c r="C89" s="1411" t="s">
        <v>192</v>
      </c>
      <c r="D89" s="1406"/>
      <c r="E89" s="1406"/>
      <c r="F89" s="1406"/>
      <c r="G89" s="1406"/>
      <c r="H89" s="1407">
        <v>52695</v>
      </c>
      <c r="I89" s="1406"/>
      <c r="J89" s="1406"/>
      <c r="K89" s="1406"/>
      <c r="L89" s="1406"/>
      <c r="M89" s="1408">
        <v>2646684</v>
      </c>
      <c r="N89" s="1406"/>
      <c r="O89" s="1409">
        <v>2646684</v>
      </c>
      <c r="P89" s="1402"/>
      <c r="Q89" s="1403"/>
      <c r="R89" s="1403"/>
    </row>
    <row r="90" spans="1:20">
      <c r="A90" s="1415">
        <v>14.066000000000001</v>
      </c>
      <c r="B90" s="1405" t="s">
        <v>5929</v>
      </c>
      <c r="C90" s="1411" t="s">
        <v>192</v>
      </c>
      <c r="D90" s="1406"/>
      <c r="E90" s="1406"/>
      <c r="F90" s="1406"/>
      <c r="G90" s="1406"/>
      <c r="H90" s="1407">
        <v>46817</v>
      </c>
      <c r="I90" s="1406"/>
      <c r="J90" s="1406"/>
      <c r="K90" s="1406"/>
      <c r="L90" s="1406"/>
      <c r="M90" s="1408">
        <v>3101994</v>
      </c>
      <c r="N90" s="1406"/>
      <c r="O90" s="1409">
        <v>3101994</v>
      </c>
      <c r="P90" s="1402"/>
      <c r="Q90" s="1403"/>
      <c r="R90" s="1403"/>
    </row>
    <row r="91" spans="1:20">
      <c r="A91" s="1415">
        <v>14.067</v>
      </c>
      <c r="B91" s="1405" t="s">
        <v>6215</v>
      </c>
      <c r="C91" s="1411" t="s">
        <v>195</v>
      </c>
      <c r="D91" s="1406"/>
      <c r="E91" s="1406"/>
      <c r="F91" s="1406"/>
      <c r="G91" s="1406"/>
      <c r="H91" s="1412"/>
      <c r="I91" s="1406"/>
      <c r="J91" s="1406"/>
      <c r="K91" s="1406"/>
      <c r="L91" s="1406"/>
      <c r="M91" s="1406"/>
      <c r="N91" s="1408">
        <v>-2194</v>
      </c>
      <c r="O91" s="1409">
        <v>-2194</v>
      </c>
      <c r="P91" s="1402"/>
      <c r="Q91" s="1403"/>
      <c r="R91" s="1403"/>
    </row>
    <row r="92" spans="1:20">
      <c r="A92" s="1415">
        <v>14.068</v>
      </c>
      <c r="B92" s="1405" t="s">
        <v>6215</v>
      </c>
      <c r="C92" s="1411" t="s">
        <v>190</v>
      </c>
      <c r="D92" s="1406"/>
      <c r="E92" s="1406"/>
      <c r="F92" s="1406"/>
      <c r="G92" s="1406"/>
      <c r="H92" s="1407">
        <v>3328001</v>
      </c>
      <c r="I92" s="1406"/>
      <c r="J92" s="1406"/>
      <c r="K92" s="1406"/>
      <c r="L92" s="1406"/>
      <c r="M92" s="1408">
        <v>182807805</v>
      </c>
      <c r="N92" s="1406"/>
      <c r="O92" s="1409">
        <v>182807805</v>
      </c>
      <c r="P92" s="1402"/>
      <c r="Q92" s="1403"/>
      <c r="R92" s="1403"/>
    </row>
    <row r="93" spans="1:20">
      <c r="A93" s="1415">
        <v>14.069000000000001</v>
      </c>
      <c r="B93" s="1405" t="s">
        <v>6216</v>
      </c>
      <c r="C93" s="1405" t="s">
        <v>195</v>
      </c>
      <c r="D93" s="1405"/>
      <c r="E93" s="1405"/>
      <c r="F93" s="1406"/>
      <c r="G93" s="1406"/>
      <c r="H93" s="1407">
        <v>-790</v>
      </c>
      <c r="I93" s="1406"/>
      <c r="J93" s="1406"/>
      <c r="K93" s="1406"/>
      <c r="L93" s="1406"/>
      <c r="M93" s="1406"/>
      <c r="N93" s="1408">
        <v>-54878</v>
      </c>
      <c r="O93" s="1409">
        <v>-54878</v>
      </c>
      <c r="P93" s="1402"/>
      <c r="Q93" s="1403"/>
      <c r="R93" s="1403"/>
    </row>
    <row r="94" spans="1:20">
      <c r="A94" s="1415">
        <v>14.07</v>
      </c>
      <c r="B94" s="1405" t="s">
        <v>6216</v>
      </c>
      <c r="C94" s="1411" t="s">
        <v>192</v>
      </c>
      <c r="D94" s="1405"/>
      <c r="E94" s="1406"/>
      <c r="F94" s="1406"/>
      <c r="G94" s="1406"/>
      <c r="H94" s="1407">
        <v>997307</v>
      </c>
      <c r="I94" s="1406"/>
      <c r="J94" s="1406"/>
      <c r="K94" s="1406"/>
      <c r="L94" s="1406"/>
      <c r="M94" s="1408">
        <v>69226169</v>
      </c>
      <c r="N94" s="1406"/>
      <c r="O94" s="1409">
        <v>69226169</v>
      </c>
      <c r="P94" s="1402"/>
      <c r="Q94" s="1403"/>
      <c r="R94" s="1403"/>
    </row>
    <row r="95" spans="1:20">
      <c r="A95" s="1415">
        <v>14.071</v>
      </c>
      <c r="B95" s="1405" t="s">
        <v>6217</v>
      </c>
      <c r="C95" s="1411" t="s">
        <v>192</v>
      </c>
      <c r="D95" s="1406"/>
      <c r="E95" s="1406"/>
      <c r="F95" s="1406"/>
      <c r="G95" s="1406"/>
      <c r="H95" s="1407">
        <v>88</v>
      </c>
      <c r="I95" s="1406"/>
      <c r="J95" s="1406"/>
      <c r="K95" s="1406"/>
      <c r="L95" s="1406"/>
      <c r="M95" s="1408">
        <v>1395</v>
      </c>
      <c r="N95" s="1406"/>
      <c r="O95" s="1409">
        <v>1395</v>
      </c>
      <c r="P95" s="1402"/>
      <c r="Q95" s="1403"/>
      <c r="R95" s="1403"/>
    </row>
    <row r="96" spans="1:20">
      <c r="A96" s="1415">
        <v>14.071999999999999</v>
      </c>
      <c r="B96" s="1405" t="s">
        <v>5932</v>
      </c>
      <c r="C96" s="1411" t="s">
        <v>192</v>
      </c>
      <c r="D96" s="1406"/>
      <c r="E96" s="1406"/>
      <c r="F96" s="1406"/>
      <c r="G96" s="1406"/>
      <c r="H96" s="1407">
        <v>941</v>
      </c>
      <c r="I96" s="1406"/>
      <c r="J96" s="1406"/>
      <c r="K96" s="1406"/>
      <c r="L96" s="1406"/>
      <c r="M96" s="1408">
        <v>7835</v>
      </c>
      <c r="N96" s="1406"/>
      <c r="O96" s="1409">
        <v>7835</v>
      </c>
      <c r="P96" s="1402"/>
      <c r="Q96" s="1403"/>
      <c r="R96" s="1403"/>
    </row>
    <row r="97" spans="1:18">
      <c r="A97" s="1415">
        <v>14.073</v>
      </c>
      <c r="B97" s="1405" t="s">
        <v>6218</v>
      </c>
      <c r="C97" s="1411" t="s">
        <v>190</v>
      </c>
      <c r="D97" s="1406"/>
      <c r="E97" s="1406"/>
      <c r="F97" s="1406"/>
      <c r="G97" s="1406"/>
      <c r="H97" s="1407">
        <v>78613</v>
      </c>
      <c r="I97" s="1406"/>
      <c r="J97" s="1406"/>
      <c r="K97" s="1406"/>
      <c r="L97" s="1406"/>
      <c r="M97" s="1408">
        <v>5895945</v>
      </c>
      <c r="N97" s="1406"/>
      <c r="O97" s="1409">
        <v>5895945</v>
      </c>
      <c r="P97" s="1402"/>
      <c r="Q97" s="1403"/>
      <c r="R97" s="1403"/>
    </row>
    <row r="98" spans="1:18">
      <c r="A98" s="1415">
        <v>14.074</v>
      </c>
      <c r="B98" s="1411" t="s">
        <v>5933</v>
      </c>
      <c r="C98" s="1411" t="s">
        <v>192</v>
      </c>
      <c r="D98" s="1406"/>
      <c r="E98" s="1406"/>
      <c r="F98" s="1406"/>
      <c r="G98" s="1406"/>
      <c r="H98" s="1407">
        <v>2000</v>
      </c>
      <c r="I98" s="1406"/>
      <c r="J98" s="1406"/>
      <c r="K98" s="1406"/>
      <c r="L98" s="1406"/>
      <c r="M98" s="1408">
        <v>50220</v>
      </c>
      <c r="N98" s="1406"/>
      <c r="O98" s="1409">
        <v>50220</v>
      </c>
      <c r="P98" s="1402"/>
      <c r="Q98" s="1403"/>
      <c r="R98" s="1403"/>
    </row>
    <row r="99" spans="1:18">
      <c r="A99" s="1415">
        <v>14.074999999999999</v>
      </c>
      <c r="B99" s="1411" t="s">
        <v>6220</v>
      </c>
      <c r="C99" s="1411" t="s">
        <v>190</v>
      </c>
      <c r="D99" s="1406"/>
      <c r="E99" s="1406"/>
      <c r="F99" s="1406"/>
      <c r="G99" s="1406"/>
      <c r="H99" s="1407">
        <v>14405</v>
      </c>
      <c r="I99" s="1406"/>
      <c r="J99" s="1406"/>
      <c r="K99" s="1406"/>
      <c r="L99" s="1406"/>
      <c r="M99" s="1408">
        <v>1080408</v>
      </c>
      <c r="N99" s="1406"/>
      <c r="O99" s="1409">
        <v>1080408</v>
      </c>
      <c r="P99" s="1402"/>
      <c r="Q99" s="1403"/>
      <c r="R99" s="1403"/>
    </row>
    <row r="100" spans="1:18">
      <c r="A100" s="1415">
        <v>14.076000000000001</v>
      </c>
      <c r="B100" s="1405" t="s">
        <v>6251</v>
      </c>
      <c r="C100" s="1411" t="s">
        <v>192</v>
      </c>
      <c r="D100" s="1406"/>
      <c r="E100" s="1406"/>
      <c r="F100" s="1406"/>
      <c r="G100" s="1406"/>
      <c r="H100" s="1412"/>
      <c r="I100" s="1406"/>
      <c r="J100" s="1406"/>
      <c r="K100" s="1406"/>
      <c r="L100" s="1406"/>
      <c r="M100" s="1408">
        <v>-484166</v>
      </c>
      <c r="N100" s="1406"/>
      <c r="O100" s="1409">
        <v>-484166</v>
      </c>
      <c r="P100" s="1402"/>
      <c r="Q100" s="1403"/>
      <c r="R100" s="1403"/>
    </row>
    <row r="101" spans="1:18">
      <c r="A101" s="1415">
        <v>14.077</v>
      </c>
      <c r="B101" s="1405"/>
      <c r="C101" s="1411"/>
      <c r="D101" s="1406"/>
      <c r="E101" s="1406"/>
      <c r="F101" s="1406"/>
      <c r="G101" s="1406"/>
      <c r="H101" s="1412"/>
      <c r="I101" s="1406"/>
      <c r="J101" s="1406"/>
      <c r="K101" s="1406"/>
      <c r="L101" s="1406"/>
      <c r="M101" s="1406"/>
      <c r="N101" s="1406"/>
      <c r="O101" s="1421"/>
      <c r="P101" s="1402"/>
      <c r="Q101" s="1403"/>
      <c r="R101" s="1403"/>
    </row>
    <row r="102" spans="1:18">
      <c r="A102" s="1415">
        <v>14.077999999999999</v>
      </c>
      <c r="B102" s="1405"/>
      <c r="C102" s="1411"/>
      <c r="D102" s="1406"/>
      <c r="E102" s="1406"/>
      <c r="F102" s="1406"/>
      <c r="G102" s="1406"/>
      <c r="H102" s="1412"/>
      <c r="I102" s="1406"/>
      <c r="J102" s="1406"/>
      <c r="K102" s="1406"/>
      <c r="L102" s="1406"/>
      <c r="M102" s="1406"/>
      <c r="N102" s="1406"/>
      <c r="O102" s="1421"/>
      <c r="P102" s="1402"/>
      <c r="Q102" s="1403"/>
      <c r="R102" s="1403"/>
    </row>
    <row r="103" spans="1:18">
      <c r="A103" s="1415">
        <v>14.079000000000001</v>
      </c>
      <c r="B103" s="1405"/>
      <c r="C103" s="1411"/>
      <c r="D103" s="1406"/>
      <c r="E103" s="1406"/>
      <c r="F103" s="1406"/>
      <c r="G103" s="1406"/>
      <c r="H103" s="1412"/>
      <c r="I103" s="1406"/>
      <c r="J103" s="1406"/>
      <c r="K103" s="1406"/>
      <c r="L103" s="1406"/>
      <c r="M103" s="1406"/>
      <c r="N103" s="1406"/>
      <c r="O103" s="1421"/>
      <c r="P103" s="1402"/>
      <c r="Q103" s="1403"/>
      <c r="R103" s="1403"/>
    </row>
    <row r="104" spans="1:18">
      <c r="A104" s="1415">
        <v>14.08</v>
      </c>
      <c r="B104" s="1405"/>
      <c r="C104" s="1411"/>
      <c r="D104" s="1406"/>
      <c r="E104" s="1406"/>
      <c r="F104" s="1406"/>
      <c r="G104" s="1406"/>
      <c r="H104" s="1412"/>
      <c r="I104" s="1406"/>
      <c r="J104" s="1406"/>
      <c r="K104" s="1406"/>
      <c r="L104" s="1406"/>
      <c r="M104" s="1406"/>
      <c r="N104" s="1406"/>
      <c r="O104" s="1421"/>
      <c r="P104" s="1402"/>
      <c r="Q104" s="1403"/>
      <c r="R104" s="1403"/>
    </row>
    <row r="105" spans="1:18">
      <c r="A105" s="1415">
        <v>14.081</v>
      </c>
      <c r="B105" s="1405"/>
      <c r="C105" s="1411"/>
      <c r="D105" s="1406"/>
      <c r="E105" s="1406"/>
      <c r="F105" s="1406"/>
      <c r="G105" s="1406"/>
      <c r="H105" s="1412"/>
      <c r="I105" s="1406"/>
      <c r="J105" s="1406"/>
      <c r="K105" s="1406"/>
      <c r="L105" s="1406"/>
      <c r="M105" s="1406"/>
      <c r="N105" s="1406"/>
      <c r="O105" s="1421"/>
      <c r="P105" s="1402"/>
      <c r="Q105" s="1403"/>
      <c r="R105" s="1403"/>
    </row>
    <row r="106" spans="1:18">
      <c r="A106" s="1422">
        <v>14.082000000000001</v>
      </c>
      <c r="B106" s="1405"/>
      <c r="C106" s="1411"/>
      <c r="D106" s="1406"/>
      <c r="E106" s="1406"/>
      <c r="F106" s="1406"/>
      <c r="G106" s="1406"/>
      <c r="H106" s="1412"/>
      <c r="I106" s="1406"/>
      <c r="J106" s="1406"/>
      <c r="K106" s="1406"/>
      <c r="L106" s="1406"/>
      <c r="M106" s="1406"/>
      <c r="N106" s="1406"/>
      <c r="O106" s="1421"/>
      <c r="P106" s="1402"/>
      <c r="Q106" s="1403"/>
      <c r="R106" s="1403"/>
    </row>
    <row r="107" spans="1:18">
      <c r="A107" s="1423">
        <v>15</v>
      </c>
      <c r="B107" s="1405" t="s">
        <v>104</v>
      </c>
      <c r="C107" s="1406"/>
      <c r="D107" s="1406"/>
      <c r="E107" s="1409">
        <v>0</v>
      </c>
      <c r="F107" s="1409">
        <v>0</v>
      </c>
      <c r="G107" s="1409">
        <v>0</v>
      </c>
      <c r="H107" s="1409">
        <v>16432503</v>
      </c>
      <c r="I107" s="1409">
        <v>0</v>
      </c>
      <c r="J107" s="1409">
        <v>431032</v>
      </c>
      <c r="K107" s="1409">
        <v>645291</v>
      </c>
      <c r="L107" s="1409">
        <v>0</v>
      </c>
      <c r="M107" s="1409">
        <v>743224596</v>
      </c>
      <c r="N107" s="1409">
        <v>-52055205</v>
      </c>
      <c r="O107" s="1409">
        <v>691169391</v>
      </c>
      <c r="P107" s="1402"/>
      <c r="Q107" s="1403"/>
      <c r="R107" s="1403"/>
    </row>
    <row r="108" spans="1:18" ht="12" thickBot="1">
      <c r="A108" s="1424"/>
      <c r="B108" s="1425" t="s">
        <v>6252</v>
      </c>
      <c r="C108" s="1426"/>
      <c r="D108" s="1427"/>
      <c r="E108" s="1427">
        <f t="shared" ref="E108:N108" si="0">SUM(E11:E106)</f>
        <v>0</v>
      </c>
      <c r="F108" s="1427">
        <f t="shared" si="0"/>
        <v>0</v>
      </c>
      <c r="G108" s="1427">
        <f t="shared" si="0"/>
        <v>0</v>
      </c>
      <c r="H108" s="1427">
        <f t="shared" si="0"/>
        <v>16432503</v>
      </c>
      <c r="I108" s="1427">
        <f t="shared" si="0"/>
        <v>0</v>
      </c>
      <c r="J108" s="1427">
        <f t="shared" si="0"/>
        <v>431032</v>
      </c>
      <c r="K108" s="1427">
        <f t="shared" si="0"/>
        <v>645291</v>
      </c>
      <c r="L108" s="1427">
        <f t="shared" si="0"/>
        <v>0</v>
      </c>
      <c r="M108" s="1427">
        <f t="shared" si="0"/>
        <v>743224596</v>
      </c>
      <c r="N108" s="1427">
        <f t="shared" si="0"/>
        <v>-52055205</v>
      </c>
      <c r="O108" s="1427">
        <f>SUM(O11:O106)</f>
        <v>773394694</v>
      </c>
    </row>
    <row r="109" spans="1:18" ht="12" thickTop="1">
      <c r="B109" s="1327"/>
      <c r="C109" s="1327"/>
      <c r="D109" s="1327"/>
      <c r="E109" s="1327"/>
      <c r="F109" s="1327"/>
      <c r="G109" s="1327"/>
      <c r="H109" s="1327"/>
      <c r="I109" s="1327"/>
      <c r="J109" s="1327"/>
      <c r="K109" s="1327"/>
      <c r="L109" s="1327"/>
      <c r="M109" s="1428">
        <f>691169391-(M108+N108)</f>
        <v>0</v>
      </c>
      <c r="N109" s="1327"/>
      <c r="O109" s="1428">
        <f>O108+N80-O107</f>
        <v>0</v>
      </c>
    </row>
    <row r="110" spans="1:18">
      <c r="B110" s="1327"/>
      <c r="C110" s="1327"/>
      <c r="D110" s="1327"/>
      <c r="E110" s="1327"/>
      <c r="F110" s="1327"/>
      <c r="G110" s="1327"/>
      <c r="H110" s="1327"/>
      <c r="I110" s="1327"/>
      <c r="J110" s="1327"/>
      <c r="K110" s="1327"/>
      <c r="L110" s="1327"/>
      <c r="M110" s="1346" t="s">
        <v>6253</v>
      </c>
      <c r="N110" s="1429"/>
      <c r="O110" s="1346" t="s">
        <v>927</v>
      </c>
    </row>
    <row r="112" spans="1:18">
      <c r="H112" s="1220"/>
    </row>
  </sheetData>
  <mergeCells count="14">
    <mergeCell ref="H8:H9"/>
    <mergeCell ref="I8:I9"/>
    <mergeCell ref="J8:K8"/>
    <mergeCell ref="L8:O8"/>
    <mergeCell ref="A6:G6"/>
    <mergeCell ref="H6:O6"/>
    <mergeCell ref="A7:G7"/>
    <mergeCell ref="H7:O7"/>
    <mergeCell ref="A8:A10"/>
    <mergeCell ref="B8:B9"/>
    <mergeCell ref="C8:C9"/>
    <mergeCell ref="D8:D9"/>
    <mergeCell ref="E8:E9"/>
    <mergeCell ref="F8:G8"/>
  </mergeCells>
  <pageMargins left="0.75" right="0.75" top="1" bottom="1" header="0.5" footer="0.5"/>
  <pageSetup orientation="portrait" horizontalDpi="360" verticalDpi="360" r:id="rId2"/>
  <customProperties>
    <customPr name="_pios_id" r:id="rId3"/>
  </customProperties>
  <legacyDrawing r:id="rId4"/>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rgb="FF92D050"/>
  </sheetPr>
  <dimension ref="A1:O113"/>
  <sheetViews>
    <sheetView workbookViewId="0">
      <pane ySplit="11" topLeftCell="A12" activePane="bottomLeft" state="frozen"/>
      <selection sqref="A1:XFD1048576"/>
      <selection pane="bottomLeft" sqref="A1:XFD1048576"/>
    </sheetView>
  </sheetViews>
  <sheetFormatPr defaultColWidth="39.125" defaultRowHeight="11.25"/>
  <cols>
    <col min="1" max="1" width="6.125" style="1149" bestFit="1" customWidth="1"/>
    <col min="2" max="2" width="24.75" style="1149" bestFit="1" customWidth="1"/>
    <col min="3" max="3" width="19.125" style="1149" bestFit="1" customWidth="1"/>
    <col min="4" max="4" width="22" style="1149" bestFit="1" customWidth="1"/>
    <col min="5" max="5" width="7.375" style="1149" bestFit="1" customWidth="1"/>
    <col min="6" max="6" width="9.125" style="1149" bestFit="1" customWidth="1"/>
    <col min="7" max="7" width="23.25" style="1149" bestFit="1" customWidth="1"/>
    <col min="8" max="8" width="19.625" style="1149" bestFit="1" customWidth="1"/>
    <col min="9" max="9" width="5.75" style="1149" bestFit="1" customWidth="1"/>
    <col min="10" max="10" width="10.875" style="1149" bestFit="1" customWidth="1"/>
    <col min="11" max="11" width="17.125" style="1149" bestFit="1" customWidth="1"/>
    <col min="12" max="12" width="11.25" style="1149" bestFit="1" customWidth="1"/>
    <col min="13" max="13" width="10.625" style="1149" bestFit="1" customWidth="1"/>
    <col min="14" max="14" width="10.75" style="1149" bestFit="1" customWidth="1"/>
    <col min="15" max="15" width="12.375" style="1149" bestFit="1" customWidth="1"/>
    <col min="16" max="16384" width="39.125" style="1149"/>
  </cols>
  <sheetData>
    <row r="1" spans="1:15">
      <c r="A1" s="507" t="s">
        <v>4977</v>
      </c>
      <c r="B1" s="507"/>
    </row>
    <row r="2" spans="1:15">
      <c r="A2" s="507" t="s">
        <v>6778</v>
      </c>
      <c r="B2" s="507"/>
    </row>
    <row r="3" spans="1:15">
      <c r="A3" s="1197"/>
    </row>
    <row r="4" spans="1:15">
      <c r="A4" s="1197"/>
    </row>
    <row r="6" spans="1:15" ht="11.25" customHeight="1">
      <c r="A6" s="3950" t="s">
        <v>6271</v>
      </c>
      <c r="B6" s="3950"/>
      <c r="C6" s="3950"/>
      <c r="D6" s="3950"/>
      <c r="E6" s="3950"/>
      <c r="F6" s="3943" t="s">
        <v>6272</v>
      </c>
      <c r="G6" s="3943"/>
      <c r="H6" s="3943"/>
      <c r="I6" s="3943"/>
      <c r="J6" s="3943"/>
      <c r="K6" s="3943"/>
      <c r="L6" s="3950" t="s">
        <v>6273</v>
      </c>
      <c r="M6" s="3950"/>
      <c r="N6" s="3950"/>
      <c r="O6" s="3950"/>
    </row>
    <row r="7" spans="1:15" ht="11.25" customHeight="1">
      <c r="A7" s="3968" t="s">
        <v>6274</v>
      </c>
      <c r="B7" s="3969"/>
      <c r="C7" s="3969"/>
      <c r="D7" s="3969"/>
      <c r="E7" s="3969"/>
      <c r="F7" s="3966" t="s">
        <v>6275</v>
      </c>
      <c r="G7" s="3966"/>
      <c r="H7" s="3966"/>
      <c r="I7" s="3966"/>
      <c r="J7" s="3966"/>
      <c r="K7" s="3966"/>
      <c r="L7" s="3953" t="s">
        <v>6276</v>
      </c>
      <c r="M7" s="4035"/>
      <c r="N7" s="4035"/>
      <c r="O7" s="4036"/>
    </row>
    <row r="8" spans="1:15" ht="11.25" customHeight="1">
      <c r="A8" s="4123" t="s">
        <v>6277</v>
      </c>
      <c r="B8" s="4123"/>
      <c r="C8" s="4123"/>
      <c r="D8" s="4123"/>
      <c r="E8" s="4123"/>
      <c r="F8" s="4124" t="s">
        <v>6278</v>
      </c>
      <c r="G8" s="4124"/>
      <c r="H8" s="4124"/>
      <c r="I8" s="4124"/>
      <c r="J8" s="4124"/>
      <c r="K8" s="4124"/>
      <c r="L8" s="4125" t="s">
        <v>6279</v>
      </c>
      <c r="M8" s="4105"/>
      <c r="N8" s="4105"/>
      <c r="O8" s="4106"/>
    </row>
    <row r="9" spans="1:15" ht="10.15" customHeight="1">
      <c r="A9" s="4011" t="s">
        <v>5089</v>
      </c>
      <c r="B9" s="3963" t="s">
        <v>6280</v>
      </c>
      <c r="C9" s="3963" t="s">
        <v>6281</v>
      </c>
      <c r="D9" s="3963" t="s">
        <v>6282</v>
      </c>
      <c r="E9" s="3963" t="s">
        <v>6283</v>
      </c>
      <c r="F9" s="4121" t="s">
        <v>6284</v>
      </c>
      <c r="G9" s="4121" t="s">
        <v>6285</v>
      </c>
      <c r="H9" s="4121" t="s">
        <v>6286</v>
      </c>
      <c r="I9" s="4121" t="s">
        <v>6287</v>
      </c>
      <c r="J9" s="3970" t="s">
        <v>6288</v>
      </c>
      <c r="K9" s="3972"/>
      <c r="L9" s="3953" t="s">
        <v>6289</v>
      </c>
      <c r="M9" s="4035"/>
      <c r="N9" s="4035"/>
      <c r="O9" s="4036"/>
    </row>
    <row r="10" spans="1:15" ht="22.5">
      <c r="A10" s="4060"/>
      <c r="B10" s="4045"/>
      <c r="C10" s="4045"/>
      <c r="D10" s="4045"/>
      <c r="E10" s="4045"/>
      <c r="F10" s="4122"/>
      <c r="G10" s="4122"/>
      <c r="H10" s="4122"/>
      <c r="I10" s="4122"/>
      <c r="J10" s="1227" t="s">
        <v>6235</v>
      </c>
      <c r="K10" s="1227" t="s">
        <v>6290</v>
      </c>
      <c r="L10" s="1153" t="s">
        <v>5878</v>
      </c>
      <c r="M10" s="1153" t="s">
        <v>5879</v>
      </c>
      <c r="N10" s="1153" t="s">
        <v>6291</v>
      </c>
      <c r="O10" s="1153" t="s">
        <v>6292</v>
      </c>
    </row>
    <row r="11" spans="1:15">
      <c r="A11" s="1184"/>
      <c r="B11" s="1202" t="s">
        <v>4989</v>
      </c>
      <c r="C11" s="1202" t="s">
        <v>4990</v>
      </c>
      <c r="D11" s="1202" t="s">
        <v>4991</v>
      </c>
      <c r="E11" s="1202" t="s">
        <v>4992</v>
      </c>
      <c r="F11" s="1231" t="s">
        <v>5181</v>
      </c>
      <c r="G11" s="1231" t="s">
        <v>5182</v>
      </c>
      <c r="H11" s="1231" t="s">
        <v>5183</v>
      </c>
      <c r="I11" s="1231" t="s">
        <v>5184</v>
      </c>
      <c r="J11" s="1231" t="s">
        <v>5185</v>
      </c>
      <c r="K11" s="1231" t="s">
        <v>5186</v>
      </c>
      <c r="L11" s="1202" t="s">
        <v>5187</v>
      </c>
      <c r="M11" s="1202" t="s">
        <v>5188</v>
      </c>
      <c r="N11" s="1202" t="s">
        <v>5655</v>
      </c>
      <c r="O11" s="1202" t="s">
        <v>5682</v>
      </c>
    </row>
    <row r="12" spans="1:15">
      <c r="A12" s="1203">
        <v>1</v>
      </c>
      <c r="B12" s="1157" t="s">
        <v>5927</v>
      </c>
      <c r="C12" s="1157" t="s">
        <v>5927</v>
      </c>
      <c r="D12" s="1157" t="s">
        <v>5927</v>
      </c>
      <c r="E12" s="1157" t="s">
        <v>192</v>
      </c>
      <c r="F12" s="1157" t="s">
        <v>6293</v>
      </c>
      <c r="G12" s="1157" t="s">
        <v>6294</v>
      </c>
      <c r="H12" s="1157" t="s">
        <v>6295</v>
      </c>
      <c r="I12" s="1432">
        <v>0</v>
      </c>
      <c r="J12" s="1157"/>
      <c r="K12" s="1157"/>
      <c r="L12" s="1168"/>
      <c r="M12" s="1157"/>
      <c r="N12" s="1168">
        <v>600</v>
      </c>
      <c r="O12" s="1187">
        <f t="shared" ref="O12:O75" si="0">SUM(L12:N12)</f>
        <v>600</v>
      </c>
    </row>
    <row r="13" spans="1:15">
      <c r="A13" s="1203">
        <v>2</v>
      </c>
      <c r="B13" s="1157" t="s">
        <v>5927</v>
      </c>
      <c r="C13" s="1157" t="s">
        <v>5927</v>
      </c>
      <c r="D13" s="1157" t="s">
        <v>5927</v>
      </c>
      <c r="E13" s="1157" t="s">
        <v>6296</v>
      </c>
      <c r="F13" s="1157" t="s">
        <v>6297</v>
      </c>
      <c r="G13" s="1157" t="s">
        <v>6294</v>
      </c>
      <c r="H13" s="1157" t="s">
        <v>6298</v>
      </c>
      <c r="I13" s="1432">
        <v>0</v>
      </c>
      <c r="J13" s="1168">
        <v>80681</v>
      </c>
      <c r="K13" s="1168">
        <v>80681</v>
      </c>
      <c r="L13" s="1168">
        <v>9615</v>
      </c>
      <c r="M13" s="1157"/>
      <c r="N13" s="1168">
        <v>600</v>
      </c>
      <c r="O13" s="1187">
        <f t="shared" si="0"/>
        <v>10215</v>
      </c>
    </row>
    <row r="14" spans="1:15">
      <c r="A14" s="1203">
        <v>3</v>
      </c>
      <c r="B14" s="1157" t="s">
        <v>5927</v>
      </c>
      <c r="C14" s="1157" t="s">
        <v>5927</v>
      </c>
      <c r="D14" s="1157" t="s">
        <v>5927</v>
      </c>
      <c r="E14" s="1157" t="s">
        <v>6296</v>
      </c>
      <c r="F14" s="1157" t="s">
        <v>6297</v>
      </c>
      <c r="G14" s="1157" t="s">
        <v>6294</v>
      </c>
      <c r="H14" s="1157" t="s">
        <v>6299</v>
      </c>
      <c r="I14" s="1432">
        <v>0</v>
      </c>
      <c r="J14" s="1168">
        <v>10241</v>
      </c>
      <c r="K14" s="1168">
        <v>10241</v>
      </c>
      <c r="L14" s="1168">
        <v>1554</v>
      </c>
      <c r="M14" s="1157"/>
      <c r="N14" s="1168">
        <v>600</v>
      </c>
      <c r="O14" s="1187">
        <f t="shared" si="0"/>
        <v>2154</v>
      </c>
    </row>
    <row r="15" spans="1:15">
      <c r="A15" s="1203">
        <v>4</v>
      </c>
      <c r="B15" s="1157" t="s">
        <v>6300</v>
      </c>
      <c r="C15" s="1157" t="s">
        <v>6300</v>
      </c>
      <c r="D15" s="1157" t="s">
        <v>6300</v>
      </c>
      <c r="E15" s="1157" t="s">
        <v>192</v>
      </c>
      <c r="F15" s="1157" t="s">
        <v>6301</v>
      </c>
      <c r="G15" s="1157" t="s">
        <v>6302</v>
      </c>
      <c r="H15" s="1157" t="s">
        <v>6303</v>
      </c>
      <c r="I15" s="1432">
        <v>0</v>
      </c>
      <c r="J15" s="1157">
        <v>0</v>
      </c>
      <c r="K15" s="1157">
        <v>0</v>
      </c>
      <c r="L15" s="1157">
        <v>0</v>
      </c>
      <c r="M15" s="1157"/>
      <c r="N15" s="1168">
        <v>4195</v>
      </c>
      <c r="O15" s="1187">
        <f t="shared" si="0"/>
        <v>4195</v>
      </c>
    </row>
    <row r="16" spans="1:15">
      <c r="A16" s="1203">
        <v>5</v>
      </c>
      <c r="B16" s="1157" t="s">
        <v>5897</v>
      </c>
      <c r="C16" s="1157" t="s">
        <v>6304</v>
      </c>
      <c r="D16" s="1157" t="s">
        <v>6305</v>
      </c>
      <c r="E16" s="1157" t="s">
        <v>6306</v>
      </c>
      <c r="F16" s="1157" t="s">
        <v>6307</v>
      </c>
      <c r="G16" s="1157" t="s">
        <v>6308</v>
      </c>
      <c r="H16" s="1157" t="s">
        <v>6309</v>
      </c>
      <c r="I16" s="1432">
        <v>0</v>
      </c>
      <c r="J16" s="1168">
        <v>84296</v>
      </c>
      <c r="K16" s="1168">
        <v>84296</v>
      </c>
      <c r="L16" s="1168">
        <v>302524</v>
      </c>
      <c r="M16" s="1157"/>
      <c r="N16" s="1168">
        <v>389691</v>
      </c>
      <c r="O16" s="1187">
        <f t="shared" si="0"/>
        <v>692215</v>
      </c>
    </row>
    <row r="17" spans="1:15">
      <c r="A17" s="1203">
        <v>6</v>
      </c>
      <c r="B17" s="1157" t="s">
        <v>5897</v>
      </c>
      <c r="C17" s="1157" t="s">
        <v>6304</v>
      </c>
      <c r="D17" s="1157" t="s">
        <v>6310</v>
      </c>
      <c r="E17" s="1157" t="s">
        <v>6306</v>
      </c>
      <c r="F17" s="1157" t="s">
        <v>6307</v>
      </c>
      <c r="G17" s="1157" t="s">
        <v>6311</v>
      </c>
      <c r="H17" s="1157" t="s">
        <v>6312</v>
      </c>
      <c r="I17" s="1432">
        <v>0</v>
      </c>
      <c r="J17" s="1168">
        <v>33591</v>
      </c>
      <c r="K17" s="1168">
        <v>33591</v>
      </c>
      <c r="L17" s="1168">
        <v>109036</v>
      </c>
      <c r="M17" s="1157"/>
      <c r="N17" s="1168">
        <v>313294</v>
      </c>
      <c r="O17" s="1187">
        <f t="shared" si="0"/>
        <v>422330</v>
      </c>
    </row>
    <row r="18" spans="1:15">
      <c r="A18" s="1203">
        <v>7</v>
      </c>
      <c r="B18" s="1157" t="s">
        <v>5897</v>
      </c>
      <c r="C18" s="1157" t="s">
        <v>6304</v>
      </c>
      <c r="D18" s="1157" t="s">
        <v>6313</v>
      </c>
      <c r="E18" s="1157" t="s">
        <v>6306</v>
      </c>
      <c r="F18" s="1157" t="s">
        <v>6307</v>
      </c>
      <c r="G18" s="1157" t="s">
        <v>6314</v>
      </c>
      <c r="H18" s="1157" t="s">
        <v>6315</v>
      </c>
      <c r="I18" s="1432">
        <v>0</v>
      </c>
      <c r="J18" s="1168">
        <v>24180</v>
      </c>
      <c r="K18" s="1168">
        <v>24180</v>
      </c>
      <c r="L18" s="1168">
        <v>104980</v>
      </c>
      <c r="M18" s="1157"/>
      <c r="N18" s="1168">
        <v>123703</v>
      </c>
      <c r="O18" s="1187">
        <f t="shared" si="0"/>
        <v>228683</v>
      </c>
    </row>
    <row r="19" spans="1:15">
      <c r="A19" s="1203">
        <v>8</v>
      </c>
      <c r="B19" s="1157" t="s">
        <v>5897</v>
      </c>
      <c r="C19" s="1157" t="s">
        <v>6304</v>
      </c>
      <c r="D19" s="1157" t="s">
        <v>6316</v>
      </c>
      <c r="E19" s="1157" t="s">
        <v>6306</v>
      </c>
      <c r="F19" s="1157" t="s">
        <v>6307</v>
      </c>
      <c r="G19" s="1157" t="s">
        <v>6317</v>
      </c>
      <c r="H19" s="1157" t="s">
        <v>6318</v>
      </c>
      <c r="I19" s="1432">
        <v>0</v>
      </c>
      <c r="J19" s="1168">
        <v>234761</v>
      </c>
      <c r="K19" s="1168">
        <v>234761</v>
      </c>
      <c r="L19" s="1168">
        <v>815295</v>
      </c>
      <c r="M19" s="1157"/>
      <c r="N19" s="1168">
        <v>671194</v>
      </c>
      <c r="O19" s="1187">
        <f t="shared" si="0"/>
        <v>1486489</v>
      </c>
    </row>
    <row r="20" spans="1:15">
      <c r="A20" s="1203">
        <v>9</v>
      </c>
      <c r="B20" s="1157" t="s">
        <v>5897</v>
      </c>
      <c r="C20" s="1157" t="s">
        <v>6304</v>
      </c>
      <c r="D20" s="1157" t="s">
        <v>6319</v>
      </c>
      <c r="E20" s="1157" t="s">
        <v>6306</v>
      </c>
      <c r="F20" s="1157" t="s">
        <v>6307</v>
      </c>
      <c r="G20" s="1157" t="s">
        <v>6320</v>
      </c>
      <c r="H20" s="1157" t="s">
        <v>6321</v>
      </c>
      <c r="I20" s="1432">
        <v>0</v>
      </c>
      <c r="J20" s="1168">
        <v>22813</v>
      </c>
      <c r="K20" s="1168">
        <v>22813</v>
      </c>
      <c r="L20" s="1168">
        <v>93389</v>
      </c>
      <c r="M20" s="1157"/>
      <c r="N20" s="1168">
        <v>84105</v>
      </c>
      <c r="O20" s="1187">
        <f t="shared" si="0"/>
        <v>177494</v>
      </c>
    </row>
    <row r="21" spans="1:15">
      <c r="A21" s="1203">
        <v>10</v>
      </c>
      <c r="B21" s="1157" t="s">
        <v>5897</v>
      </c>
      <c r="C21" s="1157" t="s">
        <v>6304</v>
      </c>
      <c r="D21" s="1157" t="s">
        <v>6319</v>
      </c>
      <c r="E21" s="1157" t="s">
        <v>6306</v>
      </c>
      <c r="F21" s="1157" t="s">
        <v>6307</v>
      </c>
      <c r="G21" s="1157" t="s">
        <v>6322</v>
      </c>
      <c r="H21" s="1157" t="s">
        <v>6323</v>
      </c>
      <c r="I21" s="1432">
        <v>0</v>
      </c>
      <c r="J21" s="1168">
        <v>16018</v>
      </c>
      <c r="K21" s="1168">
        <v>16018</v>
      </c>
      <c r="L21" s="1168">
        <v>68492</v>
      </c>
      <c r="M21" s="1157"/>
      <c r="N21" s="1168">
        <v>92298</v>
      </c>
      <c r="O21" s="1187">
        <f t="shared" si="0"/>
        <v>160790</v>
      </c>
    </row>
    <row r="22" spans="1:15">
      <c r="A22" s="1203">
        <v>11</v>
      </c>
      <c r="B22" s="1157" t="s">
        <v>5897</v>
      </c>
      <c r="C22" s="1157" t="s">
        <v>6304</v>
      </c>
      <c r="D22" s="1157" t="s">
        <v>6319</v>
      </c>
      <c r="E22" s="1157" t="s">
        <v>6306</v>
      </c>
      <c r="F22" s="1157" t="s">
        <v>6307</v>
      </c>
      <c r="G22" s="1157" t="s">
        <v>6320</v>
      </c>
      <c r="H22" s="1157" t="s">
        <v>6324</v>
      </c>
      <c r="I22" s="1432">
        <v>0</v>
      </c>
      <c r="J22" s="1168">
        <v>0</v>
      </c>
      <c r="K22" s="1157">
        <v>0</v>
      </c>
      <c r="L22" s="1168">
        <v>373912</v>
      </c>
      <c r="M22" s="1157"/>
      <c r="N22" s="1168">
        <v>240569</v>
      </c>
      <c r="O22" s="1187">
        <f t="shared" si="0"/>
        <v>614481</v>
      </c>
    </row>
    <row r="23" spans="1:15">
      <c r="A23" s="1203">
        <v>12</v>
      </c>
      <c r="B23" s="1157" t="s">
        <v>5897</v>
      </c>
      <c r="C23" s="1157" t="s">
        <v>6304</v>
      </c>
      <c r="D23" s="1157" t="s">
        <v>6325</v>
      </c>
      <c r="E23" s="1157" t="s">
        <v>6306</v>
      </c>
      <c r="F23" s="1157" t="s">
        <v>6307</v>
      </c>
      <c r="G23" s="1157" t="s">
        <v>5631</v>
      </c>
      <c r="H23" s="1157" t="s">
        <v>6326</v>
      </c>
      <c r="I23" s="1432">
        <v>0</v>
      </c>
      <c r="J23" s="1168">
        <v>144895</v>
      </c>
      <c r="K23" s="1168">
        <v>144895</v>
      </c>
      <c r="L23" s="1168">
        <v>410555</v>
      </c>
      <c r="M23" s="1157"/>
      <c r="N23" s="1168">
        <v>539460</v>
      </c>
      <c r="O23" s="1187">
        <f t="shared" si="0"/>
        <v>950015</v>
      </c>
    </row>
    <row r="24" spans="1:15">
      <c r="A24" s="1203">
        <v>13</v>
      </c>
      <c r="B24" s="1157" t="s">
        <v>5897</v>
      </c>
      <c r="C24" s="1157" t="s">
        <v>6304</v>
      </c>
      <c r="D24" s="1157" t="s">
        <v>6327</v>
      </c>
      <c r="E24" s="1157" t="s">
        <v>6306</v>
      </c>
      <c r="F24" s="1157" t="s">
        <v>6307</v>
      </c>
      <c r="G24" s="1157" t="s">
        <v>6328</v>
      </c>
      <c r="H24" s="1157" t="s">
        <v>6329</v>
      </c>
      <c r="I24" s="1432">
        <v>0</v>
      </c>
      <c r="J24" s="1168">
        <v>1268</v>
      </c>
      <c r="K24" s="1168">
        <v>1268</v>
      </c>
      <c r="L24" s="1168">
        <v>6716</v>
      </c>
      <c r="M24" s="1157"/>
      <c r="N24" s="1168">
        <v>8627</v>
      </c>
      <c r="O24" s="1187">
        <f t="shared" si="0"/>
        <v>15343</v>
      </c>
    </row>
    <row r="25" spans="1:15">
      <c r="A25" s="1203">
        <v>14</v>
      </c>
      <c r="B25" s="1157" t="s">
        <v>6801</v>
      </c>
      <c r="C25" s="1157" t="s">
        <v>5631</v>
      </c>
      <c r="D25" s="1157" t="s">
        <v>5631</v>
      </c>
      <c r="E25" s="1157" t="s">
        <v>6331</v>
      </c>
      <c r="F25" s="1157" t="s">
        <v>6307</v>
      </c>
      <c r="G25" s="1157" t="s">
        <v>6332</v>
      </c>
      <c r="H25" s="1157" t="s">
        <v>6332</v>
      </c>
      <c r="I25" s="1168">
        <v>100</v>
      </c>
      <c r="J25" s="1168">
        <v>876000</v>
      </c>
      <c r="K25" s="1168">
        <v>876000</v>
      </c>
      <c r="L25" s="1168">
        <v>889400</v>
      </c>
      <c r="M25" s="1157"/>
      <c r="N25" s="1168">
        <v>932144</v>
      </c>
      <c r="O25" s="1187">
        <f t="shared" si="0"/>
        <v>1821544</v>
      </c>
    </row>
    <row r="26" spans="1:15">
      <c r="A26" s="1203">
        <v>15</v>
      </c>
      <c r="B26" s="1157" t="s">
        <v>6333</v>
      </c>
      <c r="C26" s="1157" t="s">
        <v>5631</v>
      </c>
      <c r="D26" s="1157" t="s">
        <v>5631</v>
      </c>
      <c r="E26" s="1157" t="s">
        <v>6331</v>
      </c>
      <c r="F26" s="1157" t="s">
        <v>6307</v>
      </c>
      <c r="G26" s="1157" t="s">
        <v>6334</v>
      </c>
      <c r="H26" s="1157" t="s">
        <v>6334</v>
      </c>
      <c r="I26" s="1168">
        <v>90</v>
      </c>
      <c r="J26" s="1168">
        <v>788400</v>
      </c>
      <c r="K26" s="1168">
        <v>788400</v>
      </c>
      <c r="L26" s="1168">
        <v>2054459</v>
      </c>
      <c r="M26" s="1157"/>
      <c r="N26" s="1168">
        <v>2613274</v>
      </c>
      <c r="O26" s="1187">
        <f t="shared" si="0"/>
        <v>4667733</v>
      </c>
    </row>
    <row r="27" spans="1:15">
      <c r="A27" s="1203">
        <v>16</v>
      </c>
      <c r="B27" s="1157" t="s">
        <v>6335</v>
      </c>
      <c r="C27" s="1157" t="s">
        <v>5631</v>
      </c>
      <c r="D27" s="1157" t="s">
        <v>5631</v>
      </c>
      <c r="E27" s="1157" t="s">
        <v>6331</v>
      </c>
      <c r="F27" s="1157" t="s">
        <v>6307</v>
      </c>
      <c r="G27" s="1157" t="s">
        <v>6332</v>
      </c>
      <c r="H27" s="1157" t="s">
        <v>6332</v>
      </c>
      <c r="I27" s="1168">
        <v>225</v>
      </c>
      <c r="J27" s="1168">
        <v>1912764</v>
      </c>
      <c r="K27" s="1168">
        <v>1912764</v>
      </c>
      <c r="L27" s="1168">
        <v>1941315</v>
      </c>
      <c r="M27" s="1157"/>
      <c r="N27" s="1168">
        <v>1037391</v>
      </c>
      <c r="O27" s="1187">
        <f t="shared" si="0"/>
        <v>2978706</v>
      </c>
    </row>
    <row r="28" spans="1:15">
      <c r="A28" s="1203">
        <v>17</v>
      </c>
      <c r="B28" s="1157" t="s">
        <v>6336</v>
      </c>
      <c r="C28" s="1157" t="s">
        <v>5631</v>
      </c>
      <c r="D28" s="1157" t="s">
        <v>5631</v>
      </c>
      <c r="E28" s="1157" t="s">
        <v>6331</v>
      </c>
      <c r="F28" s="1157" t="s">
        <v>6307</v>
      </c>
      <c r="G28" s="1157" t="s">
        <v>6334</v>
      </c>
      <c r="H28" s="1157" t="s">
        <v>6334</v>
      </c>
      <c r="I28" s="1157"/>
      <c r="J28" s="1157"/>
      <c r="K28" s="1157"/>
      <c r="L28" s="1168">
        <v>0</v>
      </c>
      <c r="M28" s="1157"/>
      <c r="N28" s="1168">
        <v>89025</v>
      </c>
      <c r="O28" s="1187">
        <f t="shared" si="0"/>
        <v>89025</v>
      </c>
    </row>
    <row r="29" spans="1:15">
      <c r="A29" s="1203">
        <v>18</v>
      </c>
      <c r="B29" s="1157" t="s">
        <v>6337</v>
      </c>
      <c r="C29" s="1157" t="s">
        <v>5631</v>
      </c>
      <c r="D29" s="1157" t="s">
        <v>5631</v>
      </c>
      <c r="E29" s="1157" t="s">
        <v>6331</v>
      </c>
      <c r="F29" s="1157" t="s">
        <v>6307</v>
      </c>
      <c r="G29" s="1157" t="s">
        <v>6334</v>
      </c>
      <c r="H29" s="1157" t="s">
        <v>6334</v>
      </c>
      <c r="I29" s="1168">
        <v>88</v>
      </c>
      <c r="J29" s="1168">
        <v>770880</v>
      </c>
      <c r="K29" s="1168">
        <v>770880</v>
      </c>
      <c r="L29" s="1168">
        <v>2010985</v>
      </c>
      <c r="M29" s="1157"/>
      <c r="N29" s="1168">
        <v>1278389</v>
      </c>
      <c r="O29" s="1187">
        <f t="shared" si="0"/>
        <v>3289374</v>
      </c>
    </row>
    <row r="30" spans="1:15">
      <c r="A30" s="1203">
        <v>19</v>
      </c>
      <c r="B30" s="1157" t="s">
        <v>6338</v>
      </c>
      <c r="C30" s="1157" t="s">
        <v>5631</v>
      </c>
      <c r="D30" s="1157" t="s">
        <v>5631</v>
      </c>
      <c r="E30" s="1157" t="s">
        <v>6331</v>
      </c>
      <c r="F30" s="1157" t="s">
        <v>6307</v>
      </c>
      <c r="G30" s="1157" t="s">
        <v>6334</v>
      </c>
      <c r="H30" s="1157" t="s">
        <v>6334</v>
      </c>
      <c r="I30" s="1168">
        <v>16</v>
      </c>
      <c r="J30" s="1168">
        <v>140160</v>
      </c>
      <c r="K30" s="1168">
        <v>140160</v>
      </c>
      <c r="L30" s="1168">
        <v>365634</v>
      </c>
      <c r="M30" s="1157"/>
      <c r="N30" s="1168">
        <v>34427</v>
      </c>
      <c r="O30" s="1187">
        <f t="shared" si="0"/>
        <v>400061</v>
      </c>
    </row>
    <row r="31" spans="1:15">
      <c r="A31" s="1203">
        <v>20</v>
      </c>
      <c r="B31" s="1157" t="s">
        <v>6339</v>
      </c>
      <c r="C31" s="1157" t="s">
        <v>5631</v>
      </c>
      <c r="D31" s="1157" t="s">
        <v>5631</v>
      </c>
      <c r="E31" s="1157" t="s">
        <v>6331</v>
      </c>
      <c r="F31" s="1157" t="s">
        <v>6307</v>
      </c>
      <c r="G31" s="1157" t="s">
        <v>6332</v>
      </c>
      <c r="H31" s="1157" t="s">
        <v>6332</v>
      </c>
      <c r="I31" s="1168">
        <v>75</v>
      </c>
      <c r="J31" s="1168">
        <v>642600</v>
      </c>
      <c r="K31" s="1168">
        <v>642600</v>
      </c>
      <c r="L31" s="1168">
        <v>652292</v>
      </c>
      <c r="M31" s="1157"/>
      <c r="N31" s="1168">
        <v>243300</v>
      </c>
      <c r="O31" s="1187">
        <f t="shared" si="0"/>
        <v>895592</v>
      </c>
    </row>
    <row r="32" spans="1:15">
      <c r="A32" s="1203">
        <v>21</v>
      </c>
      <c r="B32" s="1157" t="s">
        <v>6802</v>
      </c>
      <c r="C32" s="1157" t="s">
        <v>5631</v>
      </c>
      <c r="D32" s="1157" t="s">
        <v>5631</v>
      </c>
      <c r="E32" s="1157" t="s">
        <v>6331</v>
      </c>
      <c r="F32" s="1157" t="s">
        <v>6307</v>
      </c>
      <c r="G32" s="1157" t="s">
        <v>6334</v>
      </c>
      <c r="H32" s="1157" t="s">
        <v>6334</v>
      </c>
      <c r="I32" s="1157"/>
      <c r="J32" s="1157">
        <v>0</v>
      </c>
      <c r="K32" s="1157">
        <v>0</v>
      </c>
      <c r="L32" s="1168">
        <v>0</v>
      </c>
      <c r="M32" s="1157"/>
      <c r="N32" s="1168">
        <v>4012</v>
      </c>
      <c r="O32" s="1187">
        <f t="shared" si="0"/>
        <v>4012</v>
      </c>
    </row>
    <row r="33" spans="1:15">
      <c r="A33" s="1203">
        <v>22</v>
      </c>
      <c r="B33" s="1157" t="s">
        <v>6340</v>
      </c>
      <c r="C33" s="1157" t="s">
        <v>5631</v>
      </c>
      <c r="D33" s="1157" t="s">
        <v>5631</v>
      </c>
      <c r="E33" s="1157" t="s">
        <v>6331</v>
      </c>
      <c r="F33" s="1157" t="s">
        <v>6307</v>
      </c>
      <c r="G33" s="1157" t="s">
        <v>6334</v>
      </c>
      <c r="H33" s="1157" t="s">
        <v>6334</v>
      </c>
      <c r="I33" s="1168"/>
      <c r="J33" s="1168">
        <v>0</v>
      </c>
      <c r="K33" s="1168">
        <v>0</v>
      </c>
      <c r="L33" s="1168">
        <v>2230</v>
      </c>
      <c r="M33" s="1157"/>
      <c r="N33" s="1168">
        <v>90</v>
      </c>
      <c r="O33" s="1187">
        <f t="shared" si="0"/>
        <v>2320</v>
      </c>
    </row>
    <row r="34" spans="1:15">
      <c r="A34" s="1203">
        <v>23</v>
      </c>
      <c r="B34" s="1157" t="s">
        <v>6341</v>
      </c>
      <c r="C34" s="1157" t="s">
        <v>6341</v>
      </c>
      <c r="D34" s="1157" t="s">
        <v>6341</v>
      </c>
      <c r="E34" s="1157" t="s">
        <v>6331</v>
      </c>
      <c r="F34" s="1157" t="s">
        <v>6307</v>
      </c>
      <c r="G34" s="1157" t="s">
        <v>6308</v>
      </c>
      <c r="H34" s="1157" t="s">
        <v>6342</v>
      </c>
      <c r="I34" s="1168">
        <v>2</v>
      </c>
      <c r="J34" s="1168">
        <v>17520</v>
      </c>
      <c r="K34" s="1168">
        <v>17520</v>
      </c>
      <c r="L34" s="1168">
        <v>45704</v>
      </c>
      <c r="M34" s="1157"/>
      <c r="N34" s="1168">
        <v>29501</v>
      </c>
      <c r="O34" s="1187">
        <f t="shared" si="0"/>
        <v>75205</v>
      </c>
    </row>
    <row r="35" spans="1:15">
      <c r="A35" s="1203">
        <v>24</v>
      </c>
      <c r="B35" s="1157" t="s">
        <v>6803</v>
      </c>
      <c r="C35" s="1157" t="s">
        <v>5631</v>
      </c>
      <c r="D35" s="1157" t="s">
        <v>5631</v>
      </c>
      <c r="E35" s="1157" t="s">
        <v>6331</v>
      </c>
      <c r="F35" s="1157" t="s">
        <v>6307</v>
      </c>
      <c r="G35" s="1157" t="s">
        <v>6334</v>
      </c>
      <c r="H35" s="1157" t="s">
        <v>6334</v>
      </c>
      <c r="I35" s="1168"/>
      <c r="J35" s="1168">
        <v>0</v>
      </c>
      <c r="K35" s="1168">
        <v>0</v>
      </c>
      <c r="L35" s="1168">
        <v>0</v>
      </c>
      <c r="M35" s="1157"/>
      <c r="N35" s="1168">
        <v>7</v>
      </c>
      <c r="O35" s="1187">
        <f t="shared" si="0"/>
        <v>7</v>
      </c>
    </row>
    <row r="36" spans="1:15">
      <c r="A36" s="1203">
        <v>25</v>
      </c>
      <c r="B36" s="1157" t="s">
        <v>6345</v>
      </c>
      <c r="C36" s="1157" t="s">
        <v>5631</v>
      </c>
      <c r="D36" s="1157" t="s">
        <v>5631</v>
      </c>
      <c r="E36" s="1157" t="s">
        <v>6344</v>
      </c>
      <c r="F36" s="1157" t="s">
        <v>6307</v>
      </c>
      <c r="G36" s="1157" t="s">
        <v>6334</v>
      </c>
      <c r="H36" s="1157" t="s">
        <v>6334</v>
      </c>
      <c r="I36" s="1168">
        <v>584</v>
      </c>
      <c r="J36" s="1168">
        <v>140175</v>
      </c>
      <c r="K36" s="1168">
        <v>140175</v>
      </c>
      <c r="L36" s="1168">
        <v>430642</v>
      </c>
      <c r="M36" s="1157"/>
      <c r="N36" s="1168">
        <v>484913</v>
      </c>
      <c r="O36" s="1187">
        <f t="shared" si="0"/>
        <v>915555</v>
      </c>
    </row>
    <row r="37" spans="1:15">
      <c r="A37" s="1203">
        <v>26</v>
      </c>
      <c r="B37" s="1157" t="s">
        <v>6347</v>
      </c>
      <c r="C37" s="1157" t="s">
        <v>5631</v>
      </c>
      <c r="D37" s="1157" t="s">
        <v>5631</v>
      </c>
      <c r="E37" s="1157" t="s">
        <v>6344</v>
      </c>
      <c r="F37" s="1157" t="s">
        <v>6307</v>
      </c>
      <c r="G37" s="1157" t="s">
        <v>6332</v>
      </c>
      <c r="H37" s="1157" t="s">
        <v>6332</v>
      </c>
      <c r="I37" s="1168">
        <v>6</v>
      </c>
      <c r="J37" s="1168">
        <v>4464</v>
      </c>
      <c r="K37" s="1168">
        <v>4464</v>
      </c>
      <c r="L37" s="1168">
        <v>4268</v>
      </c>
      <c r="M37" s="1157"/>
      <c r="N37" s="1168">
        <v>606</v>
      </c>
      <c r="O37" s="1187">
        <f t="shared" si="0"/>
        <v>4874</v>
      </c>
    </row>
    <row r="38" spans="1:15">
      <c r="A38" s="1203">
        <v>27</v>
      </c>
      <c r="B38" s="1157" t="s">
        <v>6348</v>
      </c>
      <c r="C38" s="1157" t="s">
        <v>5631</v>
      </c>
      <c r="D38" s="1157" t="s">
        <v>5631</v>
      </c>
      <c r="E38" s="1157" t="s">
        <v>6344</v>
      </c>
      <c r="F38" s="1157" t="s">
        <v>6307</v>
      </c>
      <c r="G38" s="1157" t="s">
        <v>6332</v>
      </c>
      <c r="H38" s="1157" t="s">
        <v>6332</v>
      </c>
      <c r="I38" s="1168">
        <v>60</v>
      </c>
      <c r="J38" s="1168">
        <v>43776</v>
      </c>
      <c r="K38" s="1168">
        <v>43776</v>
      </c>
      <c r="L38" s="1168">
        <v>44828</v>
      </c>
      <c r="M38" s="1157"/>
      <c r="N38" s="1168">
        <v>11857</v>
      </c>
      <c r="O38" s="1187">
        <f t="shared" si="0"/>
        <v>56685</v>
      </c>
    </row>
    <row r="39" spans="1:15">
      <c r="A39" s="1203">
        <v>28</v>
      </c>
      <c r="B39" s="1157" t="s">
        <v>6335</v>
      </c>
      <c r="C39" s="1157" t="s">
        <v>5631</v>
      </c>
      <c r="D39" s="1157" t="s">
        <v>5631</v>
      </c>
      <c r="E39" s="1157" t="s">
        <v>6344</v>
      </c>
      <c r="F39" s="1157" t="s">
        <v>6307</v>
      </c>
      <c r="G39" s="1157" t="s">
        <v>6332</v>
      </c>
      <c r="H39" s="1157" t="s">
        <v>6332</v>
      </c>
      <c r="I39" s="1168">
        <v>18</v>
      </c>
      <c r="J39" s="1168">
        <v>3456</v>
      </c>
      <c r="K39" s="1168">
        <v>3456</v>
      </c>
      <c r="L39" s="1168">
        <v>3425</v>
      </c>
      <c r="M39" s="1157"/>
      <c r="N39" s="1168">
        <v>486</v>
      </c>
      <c r="O39" s="1187">
        <f t="shared" si="0"/>
        <v>3911</v>
      </c>
    </row>
    <row r="40" spans="1:15">
      <c r="A40" s="1203">
        <v>29</v>
      </c>
      <c r="B40" s="1157" t="s">
        <v>6336</v>
      </c>
      <c r="C40" s="1157" t="s">
        <v>5631</v>
      </c>
      <c r="D40" s="1157" t="s">
        <v>5631</v>
      </c>
      <c r="E40" s="1157" t="s">
        <v>6344</v>
      </c>
      <c r="F40" s="1157" t="s">
        <v>6307</v>
      </c>
      <c r="G40" s="1157" t="s">
        <v>6334</v>
      </c>
      <c r="H40" s="1157" t="s">
        <v>6334</v>
      </c>
      <c r="I40" s="1168">
        <v>2620</v>
      </c>
      <c r="J40" s="1168">
        <v>119580</v>
      </c>
      <c r="K40" s="1168">
        <v>119580</v>
      </c>
      <c r="L40" s="1168">
        <v>350206</v>
      </c>
      <c r="M40" s="1157"/>
      <c r="N40" s="1168">
        <v>62326</v>
      </c>
      <c r="O40" s="1187">
        <f t="shared" si="0"/>
        <v>412532</v>
      </c>
    </row>
    <row r="41" spans="1:15">
      <c r="A41" s="1203">
        <v>30</v>
      </c>
      <c r="B41" s="1157" t="s">
        <v>5927</v>
      </c>
      <c r="C41" s="1157" t="s">
        <v>5631</v>
      </c>
      <c r="D41" s="1157" t="s">
        <v>5631</v>
      </c>
      <c r="E41" s="1157" t="s">
        <v>6344</v>
      </c>
      <c r="F41" s="1157" t="s">
        <v>6307</v>
      </c>
      <c r="G41" s="1157" t="s">
        <v>6334</v>
      </c>
      <c r="H41" s="1157" t="s">
        <v>6334</v>
      </c>
      <c r="I41" s="1168">
        <v>1337</v>
      </c>
      <c r="J41" s="1168">
        <v>38075</v>
      </c>
      <c r="K41" s="1168">
        <v>38075</v>
      </c>
      <c r="L41" s="1168">
        <v>120298</v>
      </c>
      <c r="M41" s="1157"/>
      <c r="N41" s="1168">
        <v>60497</v>
      </c>
      <c r="O41" s="1187">
        <f t="shared" si="0"/>
        <v>180795</v>
      </c>
    </row>
    <row r="42" spans="1:15">
      <c r="A42" s="1203">
        <v>31</v>
      </c>
      <c r="B42" s="1157" t="s">
        <v>6339</v>
      </c>
      <c r="C42" s="1157" t="s">
        <v>5631</v>
      </c>
      <c r="D42" s="1157" t="s">
        <v>5631</v>
      </c>
      <c r="E42" s="1157" t="s">
        <v>6344</v>
      </c>
      <c r="F42" s="1157" t="s">
        <v>6307</v>
      </c>
      <c r="G42" s="1157" t="s">
        <v>6334</v>
      </c>
      <c r="H42" s="1157" t="s">
        <v>6334</v>
      </c>
      <c r="I42" s="1157">
        <v>525</v>
      </c>
      <c r="J42" s="1157">
        <v>14400</v>
      </c>
      <c r="K42" s="1157">
        <v>14400</v>
      </c>
      <c r="L42" s="1157">
        <v>36690</v>
      </c>
      <c r="M42" s="1157"/>
      <c r="N42" s="1168">
        <v>2224</v>
      </c>
      <c r="O42" s="1187">
        <f t="shared" si="0"/>
        <v>38914</v>
      </c>
    </row>
    <row r="43" spans="1:15">
      <c r="A43" s="1203">
        <v>32</v>
      </c>
      <c r="B43" s="1157" t="s">
        <v>6355</v>
      </c>
      <c r="C43" s="1157" t="s">
        <v>5631</v>
      </c>
      <c r="D43" s="1157" t="s">
        <v>5631</v>
      </c>
      <c r="E43" s="1157" t="s">
        <v>6344</v>
      </c>
      <c r="F43" s="1157" t="s">
        <v>6307</v>
      </c>
      <c r="G43" s="1157" t="s">
        <v>6334</v>
      </c>
      <c r="H43" s="1157" t="s">
        <v>6334</v>
      </c>
      <c r="I43" s="1157">
        <v>150</v>
      </c>
      <c r="J43" s="1168">
        <v>73200</v>
      </c>
      <c r="K43" s="1168">
        <v>73200</v>
      </c>
      <c r="L43" s="1157">
        <v>171260</v>
      </c>
      <c r="M43" s="1168"/>
      <c r="N43" s="1168">
        <v>19816</v>
      </c>
      <c r="O43" s="1187">
        <f t="shared" si="0"/>
        <v>191076</v>
      </c>
    </row>
    <row r="44" spans="1:15">
      <c r="A44" s="1203">
        <v>33</v>
      </c>
      <c r="B44" s="1157" t="s">
        <v>6349</v>
      </c>
      <c r="C44" s="1157" t="s">
        <v>5631</v>
      </c>
      <c r="D44" s="1157" t="s">
        <v>5631</v>
      </c>
      <c r="E44" s="1157" t="s">
        <v>6350</v>
      </c>
      <c r="F44" s="1157" t="s">
        <v>6307</v>
      </c>
      <c r="G44" s="1157" t="s">
        <v>6332</v>
      </c>
      <c r="H44" s="1157" t="s">
        <v>6332</v>
      </c>
      <c r="I44" s="1157"/>
      <c r="J44" s="1168">
        <v>4504</v>
      </c>
      <c r="K44" s="1168">
        <v>4504</v>
      </c>
      <c r="L44" s="1157"/>
      <c r="M44" s="1168">
        <v>6657</v>
      </c>
      <c r="N44" s="1168">
        <v>6165</v>
      </c>
      <c r="O44" s="1187">
        <f t="shared" si="0"/>
        <v>12822</v>
      </c>
    </row>
    <row r="45" spans="1:15">
      <c r="A45" s="1436">
        <v>34.01</v>
      </c>
      <c r="B45" s="1157" t="s">
        <v>6804</v>
      </c>
      <c r="C45" s="1157" t="s">
        <v>5631</v>
      </c>
      <c r="D45" s="1157" t="s">
        <v>5631</v>
      </c>
      <c r="E45" s="1157" t="s">
        <v>6350</v>
      </c>
      <c r="F45" s="1157" t="s">
        <v>6307</v>
      </c>
      <c r="G45" s="1157" t="s">
        <v>6334</v>
      </c>
      <c r="H45" s="1157" t="s">
        <v>6334</v>
      </c>
      <c r="I45" s="1157"/>
      <c r="J45" s="1168">
        <v>6153</v>
      </c>
      <c r="K45" s="1168">
        <v>6153</v>
      </c>
      <c r="L45" s="1157"/>
      <c r="M45" s="1168">
        <v>16973</v>
      </c>
      <c r="N45" s="1168">
        <v>27399</v>
      </c>
      <c r="O45" s="1187">
        <f t="shared" si="0"/>
        <v>44372</v>
      </c>
    </row>
    <row r="46" spans="1:15">
      <c r="A46" s="1436">
        <v>34.020000000000003</v>
      </c>
      <c r="B46" s="1157" t="s">
        <v>6343</v>
      </c>
      <c r="C46" s="1157" t="s">
        <v>5631</v>
      </c>
      <c r="D46" s="1157" t="s">
        <v>5631</v>
      </c>
      <c r="E46" s="1157" t="s">
        <v>6350</v>
      </c>
      <c r="F46" s="1157" t="s">
        <v>6307</v>
      </c>
      <c r="G46" s="1157" t="s">
        <v>6332</v>
      </c>
      <c r="H46" s="1157" t="s">
        <v>6332</v>
      </c>
      <c r="I46" s="1157"/>
      <c r="J46" s="1168">
        <v>4665</v>
      </c>
      <c r="K46" s="1168">
        <v>4665</v>
      </c>
      <c r="L46" s="1157"/>
      <c r="M46" s="1168">
        <v>5547</v>
      </c>
      <c r="N46" s="1168">
        <v>6285</v>
      </c>
      <c r="O46" s="1187">
        <f t="shared" si="0"/>
        <v>11832</v>
      </c>
    </row>
    <row r="47" spans="1:15">
      <c r="A47" s="1436">
        <v>34.03</v>
      </c>
      <c r="B47" s="1157" t="s">
        <v>6345</v>
      </c>
      <c r="C47" s="1157" t="s">
        <v>5631</v>
      </c>
      <c r="D47" s="1157" t="s">
        <v>5631</v>
      </c>
      <c r="E47" s="1157" t="s">
        <v>6350</v>
      </c>
      <c r="F47" s="1157" t="s">
        <v>6307</v>
      </c>
      <c r="G47" s="1157" t="s">
        <v>6332</v>
      </c>
      <c r="H47" s="1157" t="s">
        <v>6332</v>
      </c>
      <c r="I47" s="1157"/>
      <c r="J47" s="1168">
        <v>14822</v>
      </c>
      <c r="K47" s="1168">
        <v>14822</v>
      </c>
      <c r="L47" s="1157"/>
      <c r="M47" s="1168">
        <v>19879</v>
      </c>
      <c r="N47" s="1168">
        <v>12919</v>
      </c>
      <c r="O47" s="1187">
        <f t="shared" si="0"/>
        <v>32798</v>
      </c>
    </row>
    <row r="48" spans="1:15">
      <c r="A48" s="1436">
        <v>34.04</v>
      </c>
      <c r="B48" s="1157" t="s">
        <v>6805</v>
      </c>
      <c r="C48" s="1157" t="s">
        <v>5631</v>
      </c>
      <c r="D48" s="1157" t="s">
        <v>5631</v>
      </c>
      <c r="E48" s="1157" t="s">
        <v>6350</v>
      </c>
      <c r="F48" s="1157" t="s">
        <v>6307</v>
      </c>
      <c r="G48" s="1157" t="s">
        <v>6334</v>
      </c>
      <c r="H48" s="1157" t="s">
        <v>6334</v>
      </c>
      <c r="I48" s="1157"/>
      <c r="J48" s="1168">
        <v>5575</v>
      </c>
      <c r="K48" s="1168">
        <v>5575</v>
      </c>
      <c r="L48" s="1157"/>
      <c r="M48" s="1168">
        <v>25104</v>
      </c>
      <c r="N48" s="1168">
        <v>32626</v>
      </c>
      <c r="O48" s="1187">
        <f t="shared" si="0"/>
        <v>57730</v>
      </c>
    </row>
    <row r="49" spans="1:15">
      <c r="A49" s="1436">
        <v>34.049999999999997</v>
      </c>
      <c r="B49" s="1157" t="s">
        <v>6351</v>
      </c>
      <c r="C49" s="1157" t="s">
        <v>5631</v>
      </c>
      <c r="D49" s="1157" t="s">
        <v>5631</v>
      </c>
      <c r="E49" s="1157" t="s">
        <v>6350</v>
      </c>
      <c r="F49" s="1157" t="s">
        <v>6307</v>
      </c>
      <c r="G49" s="1157" t="s">
        <v>6332</v>
      </c>
      <c r="H49" s="1157" t="s">
        <v>6332</v>
      </c>
      <c r="I49" s="1157"/>
      <c r="J49" s="1168">
        <v>158079</v>
      </c>
      <c r="K49" s="1168">
        <v>158079</v>
      </c>
      <c r="L49" s="1157"/>
      <c r="M49" s="1168">
        <v>191872</v>
      </c>
      <c r="N49" s="1168">
        <v>68242</v>
      </c>
      <c r="O49" s="1187">
        <f t="shared" si="0"/>
        <v>260114</v>
      </c>
    </row>
    <row r="50" spans="1:15">
      <c r="A50" s="1436">
        <v>34.06</v>
      </c>
      <c r="B50" s="1157" t="s">
        <v>5907</v>
      </c>
      <c r="C50" s="1157" t="s">
        <v>5631</v>
      </c>
      <c r="D50" s="1157" t="s">
        <v>5631</v>
      </c>
      <c r="E50" s="1157" t="s">
        <v>6350</v>
      </c>
      <c r="F50" s="1157" t="s">
        <v>6307</v>
      </c>
      <c r="G50" s="1157" t="s">
        <v>6334</v>
      </c>
      <c r="H50" s="1157" t="s">
        <v>6334</v>
      </c>
      <c r="I50" s="1157"/>
      <c r="J50" s="1168">
        <v>550</v>
      </c>
      <c r="K50" s="1168">
        <v>550</v>
      </c>
      <c r="L50" s="1157"/>
      <c r="M50" s="1168">
        <v>1945</v>
      </c>
      <c r="N50" s="1168">
        <v>959</v>
      </c>
      <c r="O50" s="1187">
        <f t="shared" si="0"/>
        <v>2904</v>
      </c>
    </row>
    <row r="51" spans="1:15">
      <c r="A51" s="1436">
        <v>34.07</v>
      </c>
      <c r="B51" s="1157" t="s">
        <v>6352</v>
      </c>
      <c r="C51" s="1157" t="s">
        <v>5631</v>
      </c>
      <c r="D51" s="1157" t="s">
        <v>5631</v>
      </c>
      <c r="E51" s="1157" t="s">
        <v>6350</v>
      </c>
      <c r="F51" s="1157" t="s">
        <v>6307</v>
      </c>
      <c r="G51" s="1157" t="s">
        <v>6332</v>
      </c>
      <c r="H51" s="1157" t="s">
        <v>6332</v>
      </c>
      <c r="I51" s="1157"/>
      <c r="J51" s="1168">
        <v>3317</v>
      </c>
      <c r="K51" s="1168">
        <v>3317</v>
      </c>
      <c r="L51" s="1157"/>
      <c r="M51" s="1168">
        <v>3797</v>
      </c>
      <c r="N51" s="1317">
        <v>3629</v>
      </c>
      <c r="O51" s="1187">
        <f t="shared" si="0"/>
        <v>7426</v>
      </c>
    </row>
    <row r="52" spans="1:15">
      <c r="A52" s="1436">
        <v>34.08</v>
      </c>
      <c r="B52" s="1157" t="s">
        <v>6346</v>
      </c>
      <c r="C52" s="1157" t="s">
        <v>5631</v>
      </c>
      <c r="D52" s="1157" t="s">
        <v>5631</v>
      </c>
      <c r="E52" s="1157" t="s">
        <v>6350</v>
      </c>
      <c r="F52" s="1157" t="s">
        <v>6307</v>
      </c>
      <c r="G52" s="1157" t="s">
        <v>6332</v>
      </c>
      <c r="H52" s="1157" t="s">
        <v>6332</v>
      </c>
      <c r="I52" s="1157"/>
      <c r="J52" s="1168">
        <v>17855</v>
      </c>
      <c r="K52" s="1168">
        <v>17855</v>
      </c>
      <c r="L52" s="1157"/>
      <c r="M52" s="1168">
        <v>21105</v>
      </c>
      <c r="N52" s="1168">
        <v>12225</v>
      </c>
      <c r="O52" s="1187">
        <f t="shared" si="0"/>
        <v>33330</v>
      </c>
    </row>
    <row r="53" spans="1:15">
      <c r="A53" s="1436">
        <v>34.090000000000003</v>
      </c>
      <c r="B53" s="1157" t="s">
        <v>6347</v>
      </c>
      <c r="C53" s="1157" t="s">
        <v>5631</v>
      </c>
      <c r="D53" s="1157" t="s">
        <v>5631</v>
      </c>
      <c r="E53" s="1157" t="s">
        <v>6350</v>
      </c>
      <c r="F53" s="1157" t="s">
        <v>6307</v>
      </c>
      <c r="G53" s="1157" t="s">
        <v>6332</v>
      </c>
      <c r="H53" s="1157" t="s">
        <v>6332</v>
      </c>
      <c r="I53" s="1157"/>
      <c r="J53" s="1168">
        <v>145071</v>
      </c>
      <c r="K53" s="1168">
        <v>145071</v>
      </c>
      <c r="L53" s="1157"/>
      <c r="M53" s="1168">
        <v>170692</v>
      </c>
      <c r="N53" s="1168">
        <v>95404</v>
      </c>
      <c r="O53" s="1187">
        <f t="shared" si="0"/>
        <v>266096</v>
      </c>
    </row>
    <row r="54" spans="1:15">
      <c r="A54" s="1436">
        <v>34.1</v>
      </c>
      <c r="B54" s="1157" t="s">
        <v>6353</v>
      </c>
      <c r="C54" s="1157" t="s">
        <v>5631</v>
      </c>
      <c r="D54" s="1157" t="s">
        <v>5631</v>
      </c>
      <c r="E54" s="1157" t="s">
        <v>6350</v>
      </c>
      <c r="F54" s="1157" t="s">
        <v>6307</v>
      </c>
      <c r="G54" s="1157" t="s">
        <v>6332</v>
      </c>
      <c r="H54" s="1157" t="s">
        <v>6332</v>
      </c>
      <c r="I54" s="1157"/>
      <c r="J54" s="1168">
        <v>24861</v>
      </c>
      <c r="K54" s="1168">
        <v>24861</v>
      </c>
      <c r="L54" s="1157"/>
      <c r="M54" s="1168">
        <v>28016</v>
      </c>
      <c r="N54" s="1168">
        <v>54236</v>
      </c>
      <c r="O54" s="1187">
        <f t="shared" si="0"/>
        <v>82252</v>
      </c>
    </row>
    <row r="55" spans="1:15">
      <c r="A55" s="1436">
        <v>34.11</v>
      </c>
      <c r="B55" s="1157" t="s">
        <v>6354</v>
      </c>
      <c r="C55" s="1157" t="s">
        <v>5631</v>
      </c>
      <c r="D55" s="1157" t="s">
        <v>5631</v>
      </c>
      <c r="E55" s="1157" t="s">
        <v>6350</v>
      </c>
      <c r="F55" s="1157" t="s">
        <v>6307</v>
      </c>
      <c r="G55" s="1157" t="s">
        <v>6332</v>
      </c>
      <c r="H55" s="1157" t="s">
        <v>6332</v>
      </c>
      <c r="I55" s="1157"/>
      <c r="J55" s="1168">
        <v>16306</v>
      </c>
      <c r="K55" s="1168">
        <v>16306</v>
      </c>
      <c r="L55" s="1157"/>
      <c r="M55" s="1168">
        <v>21587</v>
      </c>
      <c r="N55" s="1168">
        <v>25666</v>
      </c>
      <c r="O55" s="1187">
        <f t="shared" si="0"/>
        <v>47253</v>
      </c>
    </row>
    <row r="56" spans="1:15">
      <c r="A56" s="1436">
        <v>34.119999999999997</v>
      </c>
      <c r="B56" s="1157" t="s">
        <v>6806</v>
      </c>
      <c r="C56" s="1157" t="s">
        <v>5631</v>
      </c>
      <c r="D56" s="1157" t="s">
        <v>5631</v>
      </c>
      <c r="E56" s="1157" t="s">
        <v>6350</v>
      </c>
      <c r="F56" s="1157" t="s">
        <v>6307</v>
      </c>
      <c r="G56" s="1157" t="s">
        <v>6334</v>
      </c>
      <c r="H56" s="1157" t="s">
        <v>6334</v>
      </c>
      <c r="I56" s="1157"/>
      <c r="J56" s="1168">
        <v>30</v>
      </c>
      <c r="K56" s="1168">
        <v>30</v>
      </c>
      <c r="L56" s="1157"/>
      <c r="M56" s="1168">
        <v>121</v>
      </c>
      <c r="N56" s="1168">
        <v>43</v>
      </c>
      <c r="O56" s="1187">
        <f t="shared" si="0"/>
        <v>164</v>
      </c>
    </row>
    <row r="57" spans="1:15">
      <c r="A57" s="1436">
        <v>34.130000000000003</v>
      </c>
      <c r="B57" s="1157" t="s">
        <v>6801</v>
      </c>
      <c r="C57" s="1157" t="s">
        <v>5631</v>
      </c>
      <c r="D57" s="1157" t="s">
        <v>5631</v>
      </c>
      <c r="E57" s="1157" t="s">
        <v>6350</v>
      </c>
      <c r="F57" s="1157" t="s">
        <v>6307</v>
      </c>
      <c r="G57" s="1157" t="s">
        <v>6332</v>
      </c>
      <c r="H57" s="1157" t="s">
        <v>6332</v>
      </c>
      <c r="I57" s="1157"/>
      <c r="J57" s="1168">
        <v>14838</v>
      </c>
      <c r="K57" s="1168">
        <v>14838</v>
      </c>
      <c r="L57" s="1157"/>
      <c r="M57" s="1168">
        <v>17451</v>
      </c>
      <c r="N57" s="1168">
        <v>4085</v>
      </c>
      <c r="O57" s="1187">
        <f t="shared" si="0"/>
        <v>21536</v>
      </c>
    </row>
    <row r="58" spans="1:15">
      <c r="A58" s="1436">
        <v>34.14</v>
      </c>
      <c r="B58" s="1157" t="s">
        <v>6208</v>
      </c>
      <c r="C58" s="1157" t="s">
        <v>5631</v>
      </c>
      <c r="D58" s="1157" t="s">
        <v>5631</v>
      </c>
      <c r="E58" s="1157" t="s">
        <v>6350</v>
      </c>
      <c r="F58" s="1157" t="s">
        <v>6307</v>
      </c>
      <c r="G58" s="1157" t="s">
        <v>6332</v>
      </c>
      <c r="H58" s="1157" t="s">
        <v>6332</v>
      </c>
      <c r="I58" s="1157"/>
      <c r="J58" s="1168">
        <v>58023</v>
      </c>
      <c r="K58" s="1168">
        <v>58023</v>
      </c>
      <c r="L58" s="1157"/>
      <c r="M58" s="1168">
        <v>79886</v>
      </c>
      <c r="N58" s="1168">
        <v>43055</v>
      </c>
      <c r="O58" s="1187">
        <f t="shared" si="0"/>
        <v>122941</v>
      </c>
    </row>
    <row r="59" spans="1:15">
      <c r="A59" s="1436">
        <v>34.15</v>
      </c>
      <c r="B59" s="1157" t="s">
        <v>6807</v>
      </c>
      <c r="C59" s="1157" t="s">
        <v>5631</v>
      </c>
      <c r="D59" s="1157" t="s">
        <v>5631</v>
      </c>
      <c r="E59" s="1157" t="s">
        <v>6350</v>
      </c>
      <c r="F59" s="1157" t="s">
        <v>6307</v>
      </c>
      <c r="G59" s="1157" t="s">
        <v>6332</v>
      </c>
      <c r="H59" s="1157" t="s">
        <v>6332</v>
      </c>
      <c r="I59" s="1157"/>
      <c r="J59" s="1168">
        <v>376</v>
      </c>
      <c r="K59" s="1168">
        <v>376</v>
      </c>
      <c r="L59" s="1157"/>
      <c r="M59" s="1168">
        <v>689</v>
      </c>
      <c r="N59" s="1168">
        <v>158</v>
      </c>
      <c r="O59" s="1187">
        <f t="shared" si="0"/>
        <v>847</v>
      </c>
    </row>
    <row r="60" spans="1:15">
      <c r="A60" s="1436">
        <v>34.159999999999997</v>
      </c>
      <c r="B60" s="1157" t="s">
        <v>6335</v>
      </c>
      <c r="C60" s="1157" t="s">
        <v>5631</v>
      </c>
      <c r="D60" s="1157" t="s">
        <v>5631</v>
      </c>
      <c r="E60" s="1157" t="s">
        <v>6350</v>
      </c>
      <c r="F60" s="1157" t="s">
        <v>6307</v>
      </c>
      <c r="G60" s="1157" t="s">
        <v>6332</v>
      </c>
      <c r="H60" s="1157" t="s">
        <v>6332</v>
      </c>
      <c r="I60" s="1157"/>
      <c r="J60" s="1168">
        <v>119189</v>
      </c>
      <c r="K60" s="1168">
        <v>119189</v>
      </c>
      <c r="L60" s="1157"/>
      <c r="M60" s="1168">
        <v>177508</v>
      </c>
      <c r="N60" s="1168">
        <v>76422</v>
      </c>
      <c r="O60" s="1187">
        <f t="shared" si="0"/>
        <v>253930</v>
      </c>
    </row>
    <row r="61" spans="1:15">
      <c r="A61" s="1436">
        <v>34.17</v>
      </c>
      <c r="B61" s="1157" t="s">
        <v>6336</v>
      </c>
      <c r="C61" s="1157" t="s">
        <v>5631</v>
      </c>
      <c r="D61" s="1157" t="s">
        <v>5631</v>
      </c>
      <c r="E61" s="1157" t="s">
        <v>6350</v>
      </c>
      <c r="F61" s="1157" t="s">
        <v>6307</v>
      </c>
      <c r="G61" s="1157" t="s">
        <v>6334</v>
      </c>
      <c r="H61" s="1157" t="s">
        <v>6334</v>
      </c>
      <c r="I61" s="1157"/>
      <c r="J61" s="1168">
        <v>86019</v>
      </c>
      <c r="K61" s="1168">
        <v>86019</v>
      </c>
      <c r="L61" s="1157"/>
      <c r="M61" s="1168">
        <v>321911</v>
      </c>
      <c r="N61" s="1168">
        <v>224155</v>
      </c>
      <c r="O61" s="1187">
        <f t="shared" si="0"/>
        <v>546066</v>
      </c>
    </row>
    <row r="62" spans="1:15">
      <c r="A62" s="1436">
        <v>34.18</v>
      </c>
      <c r="B62" s="1157" t="s">
        <v>5923</v>
      </c>
      <c r="C62" s="1157" t="s">
        <v>5631</v>
      </c>
      <c r="D62" s="1157" t="s">
        <v>5631</v>
      </c>
      <c r="E62" s="1157" t="s">
        <v>6350</v>
      </c>
      <c r="F62" s="1157" t="s">
        <v>6307</v>
      </c>
      <c r="G62" s="1157" t="s">
        <v>6332</v>
      </c>
      <c r="H62" s="1157" t="s">
        <v>6332</v>
      </c>
      <c r="I62" s="1157"/>
      <c r="J62" s="1168">
        <v>50854</v>
      </c>
      <c r="K62" s="1168">
        <v>50854</v>
      </c>
      <c r="L62" s="1157"/>
      <c r="M62" s="1168">
        <v>61872</v>
      </c>
      <c r="N62" s="1168">
        <v>45366</v>
      </c>
      <c r="O62" s="1187">
        <f t="shared" si="0"/>
        <v>107238</v>
      </c>
    </row>
    <row r="63" spans="1:15">
      <c r="A63" s="1436">
        <v>34.19</v>
      </c>
      <c r="B63" s="1157" t="s">
        <v>6338</v>
      </c>
      <c r="C63" s="1157" t="s">
        <v>5631</v>
      </c>
      <c r="D63" s="1157" t="s">
        <v>5631</v>
      </c>
      <c r="E63" s="1157" t="s">
        <v>6350</v>
      </c>
      <c r="F63" s="1157" t="s">
        <v>6307</v>
      </c>
      <c r="G63" s="1157" t="s">
        <v>6332</v>
      </c>
      <c r="H63" s="1157" t="s">
        <v>6332</v>
      </c>
      <c r="I63" s="1157"/>
      <c r="J63" s="1168">
        <v>285</v>
      </c>
      <c r="K63" s="1168">
        <v>285</v>
      </c>
      <c r="L63" s="1157"/>
      <c r="M63" s="1168">
        <v>493</v>
      </c>
      <c r="N63" s="1168">
        <v>312</v>
      </c>
      <c r="O63" s="1187">
        <f t="shared" si="0"/>
        <v>805</v>
      </c>
    </row>
    <row r="64" spans="1:15">
      <c r="A64" s="1436">
        <v>34.200000000000003</v>
      </c>
      <c r="B64" s="1157" t="s">
        <v>5924</v>
      </c>
      <c r="C64" s="1157" t="s">
        <v>5631</v>
      </c>
      <c r="D64" s="1157" t="s">
        <v>5631</v>
      </c>
      <c r="E64" s="1157" t="s">
        <v>6350</v>
      </c>
      <c r="F64" s="1157" t="s">
        <v>6307</v>
      </c>
      <c r="G64" s="1157" t="s">
        <v>6332</v>
      </c>
      <c r="H64" s="1157" t="s">
        <v>6332</v>
      </c>
      <c r="I64" s="1157"/>
      <c r="J64" s="1168">
        <v>145</v>
      </c>
      <c r="K64" s="1168">
        <v>145</v>
      </c>
      <c r="L64" s="1157"/>
      <c r="M64" s="1168">
        <v>248</v>
      </c>
      <c r="N64" s="1168">
        <v>65</v>
      </c>
      <c r="O64" s="1187">
        <f t="shared" si="0"/>
        <v>313</v>
      </c>
    </row>
    <row r="65" spans="1:15">
      <c r="A65" s="1436">
        <v>34.21</v>
      </c>
      <c r="B65" s="1157" t="s">
        <v>5927</v>
      </c>
      <c r="C65" s="1157" t="s">
        <v>5631</v>
      </c>
      <c r="D65" s="1157" t="s">
        <v>5631</v>
      </c>
      <c r="E65" s="1157" t="s">
        <v>6350</v>
      </c>
      <c r="F65" s="1157" t="s">
        <v>6307</v>
      </c>
      <c r="G65" s="1157" t="s">
        <v>6334</v>
      </c>
      <c r="H65" s="1157" t="s">
        <v>6334</v>
      </c>
      <c r="I65" s="1157"/>
      <c r="J65" s="1168">
        <v>7330</v>
      </c>
      <c r="K65" s="1168">
        <v>7330</v>
      </c>
      <c r="L65" s="1157"/>
      <c r="M65" s="1168">
        <v>29098</v>
      </c>
      <c r="N65" s="1168">
        <v>15171</v>
      </c>
      <c r="O65" s="1187">
        <f t="shared" si="0"/>
        <v>44269</v>
      </c>
    </row>
    <row r="66" spans="1:15">
      <c r="A66" s="1436">
        <v>34.22</v>
      </c>
      <c r="B66" s="1157" t="s">
        <v>5929</v>
      </c>
      <c r="C66" s="1157" t="s">
        <v>5631</v>
      </c>
      <c r="D66" s="1157" t="s">
        <v>5631</v>
      </c>
      <c r="E66" s="1157" t="s">
        <v>6350</v>
      </c>
      <c r="F66" s="1157" t="s">
        <v>6307</v>
      </c>
      <c r="G66" s="1157" t="s">
        <v>6332</v>
      </c>
      <c r="H66" s="1157" t="s">
        <v>6332</v>
      </c>
      <c r="I66" s="1157"/>
      <c r="J66" s="1168">
        <v>122278</v>
      </c>
      <c r="K66" s="1168">
        <v>122278</v>
      </c>
      <c r="L66" s="1157"/>
      <c r="M66" s="1168">
        <v>169974</v>
      </c>
      <c r="N66" s="1168">
        <v>304947</v>
      </c>
      <c r="O66" s="1187">
        <f t="shared" si="0"/>
        <v>474921</v>
      </c>
    </row>
    <row r="67" spans="1:15">
      <c r="A67" s="1436">
        <v>34.229999999999997</v>
      </c>
      <c r="B67" s="1157" t="s">
        <v>6339</v>
      </c>
      <c r="C67" s="1157" t="s">
        <v>5631</v>
      </c>
      <c r="D67" s="1157" t="s">
        <v>5631</v>
      </c>
      <c r="E67" s="1157" t="s">
        <v>6350</v>
      </c>
      <c r="F67" s="1157" t="s">
        <v>6307</v>
      </c>
      <c r="G67" s="1157" t="s">
        <v>6332</v>
      </c>
      <c r="H67" s="1157" t="s">
        <v>6332</v>
      </c>
      <c r="I67" s="1157"/>
      <c r="J67" s="1168">
        <v>5479</v>
      </c>
      <c r="K67" s="1168">
        <v>5479</v>
      </c>
      <c r="L67" s="1157"/>
      <c r="M67" s="1168">
        <v>7119</v>
      </c>
      <c r="N67" s="1168">
        <v>4686</v>
      </c>
      <c r="O67" s="1187">
        <f t="shared" si="0"/>
        <v>11805</v>
      </c>
    </row>
    <row r="68" spans="1:15">
      <c r="A68" s="1436">
        <v>34.24</v>
      </c>
      <c r="B68" s="1157" t="s">
        <v>6802</v>
      </c>
      <c r="C68" s="1157" t="s">
        <v>5631</v>
      </c>
      <c r="D68" s="1157" t="s">
        <v>5631</v>
      </c>
      <c r="E68" s="1157" t="s">
        <v>6350</v>
      </c>
      <c r="F68" s="1157" t="s">
        <v>6307</v>
      </c>
      <c r="G68" s="1157" t="s">
        <v>6334</v>
      </c>
      <c r="H68" s="1157" t="s">
        <v>6334</v>
      </c>
      <c r="I68" s="1157"/>
      <c r="J68" s="1168">
        <v>455</v>
      </c>
      <c r="K68" s="1168">
        <v>455</v>
      </c>
      <c r="L68" s="1157"/>
      <c r="M68" s="1168">
        <v>2420</v>
      </c>
      <c r="N68" s="1168">
        <v>771</v>
      </c>
      <c r="O68" s="1187">
        <f t="shared" si="0"/>
        <v>3191</v>
      </c>
    </row>
    <row r="69" spans="1:15">
      <c r="A69" s="1436">
        <v>34.25</v>
      </c>
      <c r="B69" s="1157" t="s">
        <v>6808</v>
      </c>
      <c r="C69" s="1157" t="s">
        <v>5631</v>
      </c>
      <c r="D69" s="1157" t="s">
        <v>5631</v>
      </c>
      <c r="E69" s="1157" t="s">
        <v>6350</v>
      </c>
      <c r="F69" s="1157" t="s">
        <v>6307</v>
      </c>
      <c r="G69" s="1157" t="s">
        <v>6332</v>
      </c>
      <c r="H69" s="1157" t="s">
        <v>6332</v>
      </c>
      <c r="I69" s="1157"/>
      <c r="J69" s="1168">
        <v>2</v>
      </c>
      <c r="K69" s="1168">
        <v>2</v>
      </c>
      <c r="L69" s="1157"/>
      <c r="M69" s="1168">
        <v>3</v>
      </c>
      <c r="N69" s="1168">
        <v>0</v>
      </c>
      <c r="O69" s="1187">
        <f t="shared" si="0"/>
        <v>3</v>
      </c>
    </row>
    <row r="70" spans="1:15">
      <c r="A70" s="1436">
        <v>34.26</v>
      </c>
      <c r="B70" s="1157" t="s">
        <v>5928</v>
      </c>
      <c r="C70" s="1157" t="s">
        <v>5631</v>
      </c>
      <c r="D70" s="1157" t="s">
        <v>5631</v>
      </c>
      <c r="E70" s="1157" t="s">
        <v>6350</v>
      </c>
      <c r="F70" s="1157" t="s">
        <v>6307</v>
      </c>
      <c r="G70" s="1157" t="s">
        <v>6332</v>
      </c>
      <c r="H70" s="1157" t="s">
        <v>6332</v>
      </c>
      <c r="I70" s="1157"/>
      <c r="J70" s="1168">
        <v>40</v>
      </c>
      <c r="K70" s="1168">
        <v>40</v>
      </c>
      <c r="L70" s="1168"/>
      <c r="M70" s="1157">
        <v>73</v>
      </c>
      <c r="N70" s="1168">
        <v>9</v>
      </c>
      <c r="O70" s="1187">
        <f t="shared" si="0"/>
        <v>82</v>
      </c>
    </row>
    <row r="71" spans="1:15">
      <c r="A71" s="1436">
        <v>34.270000000000003</v>
      </c>
      <c r="B71" s="1157" t="s">
        <v>6809</v>
      </c>
      <c r="C71" s="1157" t="s">
        <v>5631</v>
      </c>
      <c r="D71" s="1157" t="s">
        <v>5631</v>
      </c>
      <c r="E71" s="1157" t="s">
        <v>6350</v>
      </c>
      <c r="F71" s="1157" t="s">
        <v>6307</v>
      </c>
      <c r="G71" s="1157" t="s">
        <v>6334</v>
      </c>
      <c r="H71" s="1157" t="s">
        <v>6334</v>
      </c>
      <c r="I71" s="1157"/>
      <c r="J71" s="1168">
        <v>2821</v>
      </c>
      <c r="K71" s="1168">
        <v>2821</v>
      </c>
      <c r="L71" s="1168"/>
      <c r="M71" s="1157">
        <v>10096</v>
      </c>
      <c r="N71" s="1168">
        <v>1012</v>
      </c>
      <c r="O71" s="1187">
        <f t="shared" si="0"/>
        <v>11108</v>
      </c>
    </row>
    <row r="72" spans="1:15">
      <c r="A72" s="1436">
        <v>34.28</v>
      </c>
      <c r="B72" s="1157" t="s">
        <v>6355</v>
      </c>
      <c r="C72" s="1157" t="s">
        <v>5631</v>
      </c>
      <c r="D72" s="1157" t="s">
        <v>5631</v>
      </c>
      <c r="E72" s="1157" t="s">
        <v>6350</v>
      </c>
      <c r="F72" s="1157" t="s">
        <v>6307</v>
      </c>
      <c r="G72" s="1157" t="s">
        <v>6332</v>
      </c>
      <c r="H72" s="1157" t="s">
        <v>6332</v>
      </c>
      <c r="I72" s="1157"/>
      <c r="J72" s="1168">
        <v>14743</v>
      </c>
      <c r="K72" s="1168">
        <v>14743</v>
      </c>
      <c r="L72" s="1168"/>
      <c r="M72" s="1157">
        <v>17492</v>
      </c>
      <c r="N72" s="1168">
        <v>39505</v>
      </c>
      <c r="O72" s="1187">
        <f t="shared" si="0"/>
        <v>56997</v>
      </c>
    </row>
    <row r="73" spans="1:15">
      <c r="A73" s="1436">
        <v>34.29</v>
      </c>
      <c r="B73" s="1157" t="s">
        <v>6356</v>
      </c>
      <c r="C73" s="1157" t="s">
        <v>5631</v>
      </c>
      <c r="D73" s="1157" t="s">
        <v>6356</v>
      </c>
      <c r="E73" s="1157" t="s">
        <v>6306</v>
      </c>
      <c r="F73" s="1157" t="s">
        <v>6307</v>
      </c>
      <c r="G73" s="1157" t="s">
        <v>6357</v>
      </c>
      <c r="H73" s="1157" t="s">
        <v>6356</v>
      </c>
      <c r="I73" s="1157"/>
      <c r="J73" s="1168">
        <v>69809</v>
      </c>
      <c r="K73" s="1168">
        <v>69809</v>
      </c>
      <c r="L73" s="1168">
        <v>179749</v>
      </c>
      <c r="M73" s="1157"/>
      <c r="N73" s="1168">
        <v>197599</v>
      </c>
      <c r="O73" s="1187">
        <f t="shared" si="0"/>
        <v>377348</v>
      </c>
    </row>
    <row r="74" spans="1:15">
      <c r="A74" s="1436">
        <v>34.299999999999997</v>
      </c>
      <c r="B74" s="1157" t="s">
        <v>6358</v>
      </c>
      <c r="C74" s="1157" t="s">
        <v>5631</v>
      </c>
      <c r="D74" s="1157" t="s">
        <v>6358</v>
      </c>
      <c r="E74" s="1157" t="s">
        <v>6306</v>
      </c>
      <c r="F74" s="1157" t="s">
        <v>6307</v>
      </c>
      <c r="G74" s="1157" t="s">
        <v>6357</v>
      </c>
      <c r="H74" s="1157" t="s">
        <v>6358</v>
      </c>
      <c r="I74" s="1157"/>
      <c r="J74" s="1168">
        <v>52051</v>
      </c>
      <c r="K74" s="1168">
        <v>52051</v>
      </c>
      <c r="L74" s="1168">
        <v>114094</v>
      </c>
      <c r="M74" s="1157"/>
      <c r="N74" s="1168">
        <v>126319</v>
      </c>
      <c r="O74" s="1187">
        <f t="shared" si="0"/>
        <v>240413</v>
      </c>
    </row>
    <row r="75" spans="1:15">
      <c r="A75" s="1436">
        <v>34.31</v>
      </c>
      <c r="B75" s="1157" t="s">
        <v>6360</v>
      </c>
      <c r="C75" s="1157" t="s">
        <v>5631</v>
      </c>
      <c r="D75" s="1157" t="s">
        <v>6359</v>
      </c>
      <c r="E75" s="1157" t="s">
        <v>6306</v>
      </c>
      <c r="F75" s="1157" t="s">
        <v>6307</v>
      </c>
      <c r="G75" s="1157" t="s">
        <v>6357</v>
      </c>
      <c r="H75" s="1157" t="s">
        <v>6360</v>
      </c>
      <c r="I75" s="1157"/>
      <c r="J75" s="1168">
        <v>44954</v>
      </c>
      <c r="K75" s="1168">
        <v>44954</v>
      </c>
      <c r="L75" s="1168">
        <v>115946</v>
      </c>
      <c r="M75" s="1157"/>
      <c r="N75" s="1168">
        <v>182922</v>
      </c>
      <c r="O75" s="1187">
        <f t="shared" si="0"/>
        <v>298868</v>
      </c>
    </row>
    <row r="76" spans="1:15">
      <c r="A76" s="1436">
        <v>34.32</v>
      </c>
      <c r="B76" s="1157" t="s">
        <v>6361</v>
      </c>
      <c r="C76" s="1157" t="s">
        <v>5631</v>
      </c>
      <c r="D76" s="1157" t="s">
        <v>6361</v>
      </c>
      <c r="E76" s="1157" t="s">
        <v>6306</v>
      </c>
      <c r="F76" s="1157" t="s">
        <v>6307</v>
      </c>
      <c r="G76" s="1157" t="s">
        <v>6357</v>
      </c>
      <c r="H76" s="1157" t="s">
        <v>6362</v>
      </c>
      <c r="I76" s="1157"/>
      <c r="J76" s="1168">
        <v>18604</v>
      </c>
      <c r="K76" s="1168">
        <v>18604</v>
      </c>
      <c r="L76" s="1168">
        <v>52418</v>
      </c>
      <c r="M76" s="1157"/>
      <c r="N76" s="1168">
        <v>56046</v>
      </c>
      <c r="O76" s="1187">
        <f t="shared" ref="O76:O109" si="1">SUM(L76:N76)</f>
        <v>108464</v>
      </c>
    </row>
    <row r="77" spans="1:15">
      <c r="A77" s="1436">
        <v>34.33</v>
      </c>
      <c r="B77" s="1157" t="s">
        <v>6363</v>
      </c>
      <c r="C77" s="1157" t="s">
        <v>5631</v>
      </c>
      <c r="D77" s="1157" t="s">
        <v>6364</v>
      </c>
      <c r="E77" s="1157" t="s">
        <v>6306</v>
      </c>
      <c r="F77" s="1157" t="s">
        <v>6307</v>
      </c>
      <c r="G77" s="1157" t="s">
        <v>6357</v>
      </c>
      <c r="H77" s="1157" t="s">
        <v>6365</v>
      </c>
      <c r="I77" s="1157"/>
      <c r="J77" s="1168">
        <v>17875</v>
      </c>
      <c r="K77" s="1168">
        <v>17875</v>
      </c>
      <c r="L77" s="1168">
        <v>48452</v>
      </c>
      <c r="M77" s="1157"/>
      <c r="N77" s="1168">
        <v>53208</v>
      </c>
      <c r="O77" s="1187">
        <f t="shared" si="1"/>
        <v>101660</v>
      </c>
    </row>
    <row r="78" spans="1:15">
      <c r="A78" s="1436">
        <v>34.340000000000003</v>
      </c>
      <c r="B78" s="1157" t="s">
        <v>6366</v>
      </c>
      <c r="C78" s="1157" t="s">
        <v>5631</v>
      </c>
      <c r="D78" s="1157" t="s">
        <v>6366</v>
      </c>
      <c r="E78" s="1157" t="s">
        <v>6306</v>
      </c>
      <c r="F78" s="1157" t="s">
        <v>6307</v>
      </c>
      <c r="G78" s="1157" t="s">
        <v>6357</v>
      </c>
      <c r="H78" s="1157" t="s">
        <v>6366</v>
      </c>
      <c r="I78" s="1157"/>
      <c r="J78" s="1168">
        <v>364341</v>
      </c>
      <c r="K78" s="1168">
        <v>364341</v>
      </c>
      <c r="L78" s="1168">
        <v>1113259</v>
      </c>
      <c r="M78" s="1157"/>
      <c r="N78" s="1168">
        <v>1054525</v>
      </c>
      <c r="O78" s="1187">
        <f t="shared" si="1"/>
        <v>2167784</v>
      </c>
    </row>
    <row r="79" spans="1:15">
      <c r="A79" s="1436">
        <v>34.35</v>
      </c>
      <c r="B79" s="1157" t="s">
        <v>6367</v>
      </c>
      <c r="C79" s="1157" t="s">
        <v>5631</v>
      </c>
      <c r="D79" s="1157" t="s">
        <v>6368</v>
      </c>
      <c r="E79" s="1157" t="s">
        <v>6306</v>
      </c>
      <c r="F79" s="1157" t="s">
        <v>6307</v>
      </c>
      <c r="G79" s="1157" t="s">
        <v>6357</v>
      </c>
      <c r="H79" s="1157" t="s">
        <v>6367</v>
      </c>
      <c r="I79" s="1157"/>
      <c r="J79" s="1168">
        <v>787178</v>
      </c>
      <c r="K79" s="1168">
        <v>787178</v>
      </c>
      <c r="L79" s="1168">
        <v>2120090</v>
      </c>
      <c r="M79" s="1157"/>
      <c r="N79" s="1168">
        <v>2199017</v>
      </c>
      <c r="O79" s="1187">
        <f t="shared" si="1"/>
        <v>4319107</v>
      </c>
    </row>
    <row r="80" spans="1:15">
      <c r="A80" s="1436">
        <v>34.36</v>
      </c>
      <c r="B80" s="1157" t="s">
        <v>6369</v>
      </c>
      <c r="C80" s="1157" t="s">
        <v>5631</v>
      </c>
      <c r="D80" s="1157" t="s">
        <v>6370</v>
      </c>
      <c r="E80" s="1157" t="s">
        <v>6306</v>
      </c>
      <c r="F80" s="1157" t="s">
        <v>6307</v>
      </c>
      <c r="G80" s="1157" t="s">
        <v>6357</v>
      </c>
      <c r="H80" s="1157" t="s">
        <v>6370</v>
      </c>
      <c r="I80" s="1157"/>
      <c r="J80" s="1157">
        <v>4209</v>
      </c>
      <c r="K80" s="1157">
        <v>4209</v>
      </c>
      <c r="L80" s="1157">
        <v>12954</v>
      </c>
      <c r="M80" s="1157"/>
      <c r="N80" s="1168">
        <v>19919</v>
      </c>
      <c r="O80" s="1187">
        <f t="shared" si="1"/>
        <v>32873</v>
      </c>
    </row>
    <row r="81" spans="1:15">
      <c r="A81" s="1436">
        <v>34.369999999999997</v>
      </c>
      <c r="B81" s="1157" t="s">
        <v>6371</v>
      </c>
      <c r="C81" s="1157" t="s">
        <v>5631</v>
      </c>
      <c r="D81" s="1157" t="s">
        <v>6372</v>
      </c>
      <c r="E81" s="1157" t="s">
        <v>6306</v>
      </c>
      <c r="F81" s="1157" t="s">
        <v>6307</v>
      </c>
      <c r="G81" s="1157" t="s">
        <v>6357</v>
      </c>
      <c r="H81" s="1157" t="s">
        <v>6372</v>
      </c>
      <c r="I81" s="1157"/>
      <c r="J81" s="1157">
        <v>334922</v>
      </c>
      <c r="K81" s="1157">
        <v>334922</v>
      </c>
      <c r="L81" s="1157">
        <v>863939</v>
      </c>
      <c r="M81" s="1157"/>
      <c r="N81" s="1168">
        <v>1079825</v>
      </c>
      <c r="O81" s="1187">
        <f t="shared" si="1"/>
        <v>1943764</v>
      </c>
    </row>
    <row r="82" spans="1:15">
      <c r="A82" s="1436">
        <v>34.380000000000003</v>
      </c>
      <c r="B82" s="1157" t="s">
        <v>6373</v>
      </c>
      <c r="C82" s="1157" t="s">
        <v>5631</v>
      </c>
      <c r="D82" s="1157" t="s">
        <v>6374</v>
      </c>
      <c r="E82" s="1157" t="s">
        <v>6306</v>
      </c>
      <c r="F82" s="1157" t="s">
        <v>6307</v>
      </c>
      <c r="G82" s="1157" t="s">
        <v>6357</v>
      </c>
      <c r="H82" s="1157" t="s">
        <v>6374</v>
      </c>
      <c r="I82" s="1157"/>
      <c r="J82" s="1157">
        <v>250988</v>
      </c>
      <c r="K82" s="1157">
        <v>250988</v>
      </c>
      <c r="L82" s="1157">
        <v>672291</v>
      </c>
      <c r="M82" s="1157"/>
      <c r="N82" s="1168">
        <v>804278</v>
      </c>
      <c r="O82" s="1187">
        <f t="shared" si="1"/>
        <v>1476569</v>
      </c>
    </row>
    <row r="83" spans="1:15">
      <c r="A83" s="1436">
        <v>34.39</v>
      </c>
      <c r="B83" s="1157" t="s">
        <v>6356</v>
      </c>
      <c r="C83" s="1157" t="s">
        <v>5631</v>
      </c>
      <c r="D83" s="1157" t="s">
        <v>6356</v>
      </c>
      <c r="E83" s="1157" t="s">
        <v>195</v>
      </c>
      <c r="F83" s="1157" t="s">
        <v>6307</v>
      </c>
      <c r="G83" s="1157" t="s">
        <v>6357</v>
      </c>
      <c r="H83" s="1157" t="s">
        <v>6356</v>
      </c>
      <c r="I83" s="1157"/>
      <c r="J83" s="1157"/>
      <c r="K83" s="1157"/>
      <c r="L83" s="1157"/>
      <c r="M83" s="1157"/>
      <c r="N83" s="1168">
        <v>-29</v>
      </c>
      <c r="O83" s="1187">
        <f t="shared" si="1"/>
        <v>-29</v>
      </c>
    </row>
    <row r="84" spans="1:15">
      <c r="A84" s="1436">
        <v>34.4</v>
      </c>
      <c r="B84" s="1157" t="s">
        <v>6358</v>
      </c>
      <c r="C84" s="1157" t="s">
        <v>5631</v>
      </c>
      <c r="D84" s="1157" t="s">
        <v>6358</v>
      </c>
      <c r="E84" s="1157" t="s">
        <v>195</v>
      </c>
      <c r="F84" s="1157" t="s">
        <v>6307</v>
      </c>
      <c r="G84" s="1157" t="s">
        <v>6357</v>
      </c>
      <c r="H84" s="1157" t="s">
        <v>6358</v>
      </c>
      <c r="I84" s="1157"/>
      <c r="J84" s="1157"/>
      <c r="K84" s="1157"/>
      <c r="L84" s="1157"/>
      <c r="M84" s="1157"/>
      <c r="N84" s="1168">
        <v>-13</v>
      </c>
      <c r="O84" s="1187">
        <f t="shared" si="1"/>
        <v>-13</v>
      </c>
    </row>
    <row r="85" spans="1:15">
      <c r="A85" s="1436">
        <v>34.409999999999997</v>
      </c>
      <c r="B85" s="1157" t="s">
        <v>6367</v>
      </c>
      <c r="C85" s="1157" t="s">
        <v>5631</v>
      </c>
      <c r="D85" s="1157" t="s">
        <v>6368</v>
      </c>
      <c r="E85" s="1157" t="s">
        <v>195</v>
      </c>
      <c r="F85" s="1157" t="s">
        <v>6307</v>
      </c>
      <c r="G85" s="1157" t="s">
        <v>6357</v>
      </c>
      <c r="H85" s="1157" t="s">
        <v>6368</v>
      </c>
      <c r="I85" s="1157"/>
      <c r="J85" s="1157"/>
      <c r="K85" s="1157"/>
      <c r="L85" s="1157"/>
      <c r="M85" s="1157"/>
      <c r="N85" s="1168">
        <v>-328</v>
      </c>
      <c r="O85" s="1187">
        <f t="shared" si="1"/>
        <v>-328</v>
      </c>
    </row>
    <row r="86" spans="1:15">
      <c r="A86" s="1436">
        <v>34.42</v>
      </c>
      <c r="B86" s="1157" t="s">
        <v>6363</v>
      </c>
      <c r="C86" s="1157" t="s">
        <v>5631</v>
      </c>
      <c r="D86" s="1157" t="s">
        <v>6363</v>
      </c>
      <c r="E86" s="1157" t="s">
        <v>195</v>
      </c>
      <c r="F86" s="1157" t="s">
        <v>6307</v>
      </c>
      <c r="G86" s="1157" t="s">
        <v>6357</v>
      </c>
      <c r="H86" s="1157" t="s">
        <v>6365</v>
      </c>
      <c r="I86" s="1157"/>
      <c r="J86" s="1157"/>
      <c r="K86" s="1157"/>
      <c r="L86" s="1157"/>
      <c r="M86" s="1157"/>
      <c r="N86" s="1168">
        <v>-18</v>
      </c>
      <c r="O86" s="1187">
        <f t="shared" si="1"/>
        <v>-18</v>
      </c>
    </row>
    <row r="87" spans="1:15">
      <c r="A87" s="1436">
        <v>34.43</v>
      </c>
      <c r="B87" s="1157" t="s">
        <v>6369</v>
      </c>
      <c r="C87" s="1157" t="s">
        <v>5631</v>
      </c>
      <c r="D87" s="1157" t="s">
        <v>6370</v>
      </c>
      <c r="E87" s="1157" t="s">
        <v>195</v>
      </c>
      <c r="F87" s="1157" t="s">
        <v>6307</v>
      </c>
      <c r="G87" s="1157" t="s">
        <v>6357</v>
      </c>
      <c r="H87" s="1157" t="s">
        <v>6370</v>
      </c>
      <c r="I87" s="1157"/>
      <c r="J87" s="1157"/>
      <c r="K87" s="1157"/>
      <c r="L87" s="1157"/>
      <c r="M87" s="1157"/>
      <c r="N87" s="1168">
        <v>-2</v>
      </c>
      <c r="O87" s="1187">
        <f t="shared" si="1"/>
        <v>-2</v>
      </c>
    </row>
    <row r="88" spans="1:15">
      <c r="A88" s="1436">
        <v>34.44</v>
      </c>
      <c r="B88" s="1157" t="s">
        <v>6359</v>
      </c>
      <c r="C88" s="1157" t="s">
        <v>5631</v>
      </c>
      <c r="D88" s="1157" t="s">
        <v>6359</v>
      </c>
      <c r="E88" s="1157" t="s">
        <v>195</v>
      </c>
      <c r="F88" s="1157" t="s">
        <v>6307</v>
      </c>
      <c r="G88" s="1157" t="s">
        <v>6334</v>
      </c>
      <c r="H88" s="1157" t="s">
        <v>6334</v>
      </c>
      <c r="I88" s="1157"/>
      <c r="J88" s="1157"/>
      <c r="K88" s="1157"/>
      <c r="L88" s="1157"/>
      <c r="M88" s="1157"/>
      <c r="N88" s="1168">
        <v>-16</v>
      </c>
      <c r="O88" s="1187">
        <f t="shared" si="1"/>
        <v>-16</v>
      </c>
    </row>
    <row r="89" spans="1:15">
      <c r="A89" s="1436">
        <v>34.450000000000003</v>
      </c>
      <c r="B89" s="1157" t="s">
        <v>6366</v>
      </c>
      <c r="C89" s="1157" t="s">
        <v>5631</v>
      </c>
      <c r="D89" s="1157" t="s">
        <v>6366</v>
      </c>
      <c r="E89" s="1157" t="s">
        <v>195</v>
      </c>
      <c r="F89" s="1157" t="s">
        <v>6307</v>
      </c>
      <c r="G89" s="1157" t="s">
        <v>6334</v>
      </c>
      <c r="H89" s="1157" t="s">
        <v>6334</v>
      </c>
      <c r="I89" s="1157"/>
      <c r="J89" s="1157"/>
      <c r="K89" s="1157"/>
      <c r="L89" s="1157"/>
      <c r="M89" s="1157"/>
      <c r="N89" s="1168">
        <v>-152</v>
      </c>
      <c r="O89" s="1187">
        <f t="shared" si="1"/>
        <v>-152</v>
      </c>
    </row>
    <row r="90" spans="1:15">
      <c r="A90" s="1436">
        <v>34.46</v>
      </c>
      <c r="B90" s="1157" t="s">
        <v>5897</v>
      </c>
      <c r="C90" s="1157" t="s">
        <v>5631</v>
      </c>
      <c r="D90" s="1157" t="s">
        <v>5631</v>
      </c>
      <c r="E90" s="1157" t="s">
        <v>195</v>
      </c>
      <c r="F90" s="1157" t="s">
        <v>6307</v>
      </c>
      <c r="G90" s="1157" t="s">
        <v>6334</v>
      </c>
      <c r="H90" s="1157" t="s">
        <v>6334</v>
      </c>
      <c r="I90" s="1157"/>
      <c r="J90" s="1157"/>
      <c r="K90" s="1157"/>
      <c r="L90" s="1157"/>
      <c r="M90" s="1157"/>
      <c r="N90" s="1168">
        <v>-286</v>
      </c>
      <c r="O90" s="1187">
        <f t="shared" si="1"/>
        <v>-286</v>
      </c>
    </row>
    <row r="91" spans="1:15">
      <c r="A91" s="1436">
        <v>34.47</v>
      </c>
      <c r="B91" s="1157" t="s">
        <v>6343</v>
      </c>
      <c r="C91" s="1157" t="s">
        <v>5631</v>
      </c>
      <c r="D91" s="1157" t="s">
        <v>5631</v>
      </c>
      <c r="E91" s="1157" t="s">
        <v>195</v>
      </c>
      <c r="F91" s="1157" t="s">
        <v>6307</v>
      </c>
      <c r="G91" s="1157" t="s">
        <v>6334</v>
      </c>
      <c r="H91" s="1157" t="s">
        <v>6334</v>
      </c>
      <c r="I91" s="1157"/>
      <c r="J91" s="1157"/>
      <c r="K91" s="1157"/>
      <c r="L91" s="1157"/>
      <c r="M91" s="1157"/>
      <c r="N91" s="1168">
        <v>-26</v>
      </c>
      <c r="O91" s="1187">
        <f t="shared" si="1"/>
        <v>-26</v>
      </c>
    </row>
    <row r="92" spans="1:15">
      <c r="A92" s="1436">
        <v>34.479999999999997</v>
      </c>
      <c r="B92" s="1157" t="s">
        <v>6351</v>
      </c>
      <c r="C92" s="1157" t="s">
        <v>5631</v>
      </c>
      <c r="D92" s="1157" t="s">
        <v>5631</v>
      </c>
      <c r="E92" s="1157" t="s">
        <v>195</v>
      </c>
      <c r="F92" s="1157" t="s">
        <v>6307</v>
      </c>
      <c r="G92" s="1157" t="s">
        <v>6334</v>
      </c>
      <c r="H92" s="1157" t="s">
        <v>6334</v>
      </c>
      <c r="I92" s="1157"/>
      <c r="J92" s="1157"/>
      <c r="K92" s="1157"/>
      <c r="L92" s="1157"/>
      <c r="M92" s="1157"/>
      <c r="N92" s="1168">
        <v>-17</v>
      </c>
      <c r="O92" s="1187">
        <f t="shared" si="1"/>
        <v>-17</v>
      </c>
    </row>
    <row r="93" spans="1:15">
      <c r="A93" s="1436">
        <v>34.49</v>
      </c>
      <c r="B93" s="1157" t="s">
        <v>6347</v>
      </c>
      <c r="C93" s="1157" t="s">
        <v>5631</v>
      </c>
      <c r="D93" s="1157" t="s">
        <v>5631</v>
      </c>
      <c r="E93" s="1157" t="s">
        <v>195</v>
      </c>
      <c r="F93" s="1157" t="s">
        <v>6307</v>
      </c>
      <c r="G93" s="1157" t="s">
        <v>6334</v>
      </c>
      <c r="H93" s="1157" t="s">
        <v>6334</v>
      </c>
      <c r="I93" s="1157"/>
      <c r="J93" s="1157"/>
      <c r="K93" s="1157"/>
      <c r="L93" s="1157"/>
      <c r="M93" s="1157"/>
      <c r="N93" s="1168">
        <v>-100</v>
      </c>
      <c r="O93" s="1312">
        <f t="shared" si="1"/>
        <v>-100</v>
      </c>
    </row>
    <row r="94" spans="1:15">
      <c r="A94" s="1436">
        <v>34.5</v>
      </c>
      <c r="B94" s="1157" t="s">
        <v>6810</v>
      </c>
      <c r="C94" s="1157" t="s">
        <v>5631</v>
      </c>
      <c r="D94" s="1157" t="s">
        <v>5631</v>
      </c>
      <c r="E94" s="1157" t="s">
        <v>195</v>
      </c>
      <c r="F94" s="1157" t="s">
        <v>6307</v>
      </c>
      <c r="G94" s="1157" t="s">
        <v>6334</v>
      </c>
      <c r="H94" s="1157" t="s">
        <v>6334</v>
      </c>
      <c r="I94" s="1157"/>
      <c r="J94" s="1157"/>
      <c r="K94" s="1157"/>
      <c r="L94" s="1157"/>
      <c r="M94" s="1157"/>
      <c r="N94" s="1168">
        <v>-137</v>
      </c>
      <c r="O94" s="1312">
        <f t="shared" si="1"/>
        <v>-137</v>
      </c>
    </row>
    <row r="95" spans="1:15">
      <c r="A95" s="1436">
        <v>34.51</v>
      </c>
      <c r="B95" s="1157" t="s">
        <v>6353</v>
      </c>
      <c r="C95" s="1157" t="s">
        <v>5631</v>
      </c>
      <c r="D95" s="1157" t="s">
        <v>5631</v>
      </c>
      <c r="E95" s="1157" t="s">
        <v>195</v>
      </c>
      <c r="F95" s="1157" t="s">
        <v>6307</v>
      </c>
      <c r="G95" s="1157" t="s">
        <v>6334</v>
      </c>
      <c r="H95" s="1157" t="s">
        <v>6334</v>
      </c>
      <c r="I95" s="1157"/>
      <c r="J95" s="1157"/>
      <c r="K95" s="1157"/>
      <c r="L95" s="1157"/>
      <c r="M95" s="1157"/>
      <c r="N95" s="1168">
        <v>-1</v>
      </c>
      <c r="O95" s="1312">
        <f t="shared" si="1"/>
        <v>-1</v>
      </c>
    </row>
    <row r="96" spans="1:15">
      <c r="A96" s="1436">
        <v>34.520000000000003</v>
      </c>
      <c r="B96" s="1157" t="s">
        <v>6354</v>
      </c>
      <c r="C96" s="1157" t="s">
        <v>5631</v>
      </c>
      <c r="D96" s="1157" t="s">
        <v>5631</v>
      </c>
      <c r="E96" s="1157" t="s">
        <v>195</v>
      </c>
      <c r="F96" s="1157" t="s">
        <v>6307</v>
      </c>
      <c r="G96" s="1157" t="s">
        <v>6334</v>
      </c>
      <c r="H96" s="1157" t="s">
        <v>6334</v>
      </c>
      <c r="I96" s="1157"/>
      <c r="J96" s="1157"/>
      <c r="K96" s="1157"/>
      <c r="L96" s="1157"/>
      <c r="M96" s="1157"/>
      <c r="N96" s="1168">
        <v>-74</v>
      </c>
      <c r="O96" s="1312">
        <f t="shared" si="1"/>
        <v>-74</v>
      </c>
    </row>
    <row r="97" spans="1:15">
      <c r="A97" s="1436">
        <v>34.53</v>
      </c>
      <c r="B97" s="1157" t="s">
        <v>6330</v>
      </c>
      <c r="C97" s="1157" t="s">
        <v>5631</v>
      </c>
      <c r="D97" s="1157" t="s">
        <v>5631</v>
      </c>
      <c r="E97" s="1157" t="s">
        <v>195</v>
      </c>
      <c r="F97" s="1157" t="s">
        <v>6307</v>
      </c>
      <c r="G97" s="1157" t="s">
        <v>6334</v>
      </c>
      <c r="H97" s="1157" t="s">
        <v>6334</v>
      </c>
      <c r="I97" s="1157"/>
      <c r="J97" s="1157"/>
      <c r="K97" s="1157"/>
      <c r="L97" s="1157"/>
      <c r="M97" s="1157"/>
      <c r="N97" s="1168">
        <v>-605</v>
      </c>
      <c r="O97" s="1312">
        <f t="shared" si="1"/>
        <v>-605</v>
      </c>
    </row>
    <row r="98" spans="1:15">
      <c r="A98" s="1436">
        <v>34.54</v>
      </c>
      <c r="B98" s="1157" t="s">
        <v>5920</v>
      </c>
      <c r="C98" s="1157" t="s">
        <v>5631</v>
      </c>
      <c r="D98" s="1157" t="s">
        <v>5631</v>
      </c>
      <c r="E98" s="1157" t="s">
        <v>195</v>
      </c>
      <c r="F98" s="1157" t="s">
        <v>6307</v>
      </c>
      <c r="G98" s="1157" t="s">
        <v>6334</v>
      </c>
      <c r="H98" s="1157" t="s">
        <v>6334</v>
      </c>
      <c r="I98" s="1157"/>
      <c r="J98" s="1157"/>
      <c r="K98" s="1157"/>
      <c r="L98" s="1157"/>
      <c r="M98" s="1157"/>
      <c r="N98" s="1168">
        <v>-32</v>
      </c>
      <c r="O98" s="1312">
        <f t="shared" si="1"/>
        <v>-32</v>
      </c>
    </row>
    <row r="99" spans="1:15">
      <c r="A99" s="1436">
        <v>34.549999999999997</v>
      </c>
      <c r="B99" s="1157" t="s">
        <v>6348</v>
      </c>
      <c r="C99" s="1157" t="s">
        <v>5631</v>
      </c>
      <c r="D99" s="1157" t="s">
        <v>5631</v>
      </c>
      <c r="E99" s="1157" t="s">
        <v>195</v>
      </c>
      <c r="F99" s="1157" t="s">
        <v>6307</v>
      </c>
      <c r="G99" s="1157" t="s">
        <v>6334</v>
      </c>
      <c r="H99" s="1157" t="s">
        <v>6334</v>
      </c>
      <c r="I99" s="1157"/>
      <c r="J99" s="1157"/>
      <c r="K99" s="1157"/>
      <c r="L99" s="1157"/>
      <c r="M99" s="1157"/>
      <c r="N99" s="1168">
        <v>-5</v>
      </c>
      <c r="O99" s="1312">
        <f t="shared" si="1"/>
        <v>-5</v>
      </c>
    </row>
    <row r="100" spans="1:15">
      <c r="A100" s="1436">
        <v>34.56</v>
      </c>
      <c r="B100" s="1157" t="s">
        <v>6335</v>
      </c>
      <c r="C100" s="1157" t="s">
        <v>5631</v>
      </c>
      <c r="D100" s="1157" t="s">
        <v>5631</v>
      </c>
      <c r="E100" s="1157" t="s">
        <v>195</v>
      </c>
      <c r="F100" s="1157" t="s">
        <v>6307</v>
      </c>
      <c r="G100" s="1157" t="s">
        <v>6334</v>
      </c>
      <c r="H100" s="1157" t="s">
        <v>6334</v>
      </c>
      <c r="I100" s="1157"/>
      <c r="J100" s="1157"/>
      <c r="K100" s="1157"/>
      <c r="L100" s="1157"/>
      <c r="M100" s="1157"/>
      <c r="N100" s="1168">
        <v>-1084</v>
      </c>
      <c r="O100" s="1312">
        <f t="shared" si="1"/>
        <v>-1084</v>
      </c>
    </row>
    <row r="101" spans="1:15">
      <c r="A101" s="1436">
        <v>34.57</v>
      </c>
      <c r="B101" s="1157" t="s">
        <v>6811</v>
      </c>
      <c r="C101" s="1157" t="s">
        <v>5631</v>
      </c>
      <c r="D101" s="1157" t="s">
        <v>5631</v>
      </c>
      <c r="E101" s="1157" t="s">
        <v>195</v>
      </c>
      <c r="F101" s="1157" t="s">
        <v>6307</v>
      </c>
      <c r="G101" s="1157" t="s">
        <v>6334</v>
      </c>
      <c r="H101" s="1157" t="s">
        <v>6334</v>
      </c>
      <c r="I101" s="1157"/>
      <c r="J101" s="1157"/>
      <c r="K101" s="1157"/>
      <c r="L101" s="1157"/>
      <c r="M101" s="1157"/>
      <c r="N101" s="1168">
        <v>-40</v>
      </c>
      <c r="O101" s="1312">
        <f t="shared" si="1"/>
        <v>-40</v>
      </c>
    </row>
    <row r="102" spans="1:15">
      <c r="A102" s="1436">
        <v>34.58</v>
      </c>
      <c r="B102" s="1157" t="s">
        <v>6338</v>
      </c>
      <c r="C102" s="1157" t="s">
        <v>5631</v>
      </c>
      <c r="D102" s="1157" t="s">
        <v>5631</v>
      </c>
      <c r="E102" s="1157" t="s">
        <v>195</v>
      </c>
      <c r="F102" s="1157" t="s">
        <v>6307</v>
      </c>
      <c r="G102" s="1157" t="s">
        <v>6334</v>
      </c>
      <c r="H102" s="1157" t="s">
        <v>6334</v>
      </c>
      <c r="I102" s="1157"/>
      <c r="J102" s="1157"/>
      <c r="K102" s="1157"/>
      <c r="L102" s="1157"/>
      <c r="M102" s="1157"/>
      <c r="N102" s="1168">
        <v>-55</v>
      </c>
      <c r="O102" s="1312">
        <f t="shared" si="1"/>
        <v>-55</v>
      </c>
    </row>
    <row r="103" spans="1:15">
      <c r="A103" s="1436">
        <v>34.590000000000003</v>
      </c>
      <c r="B103" s="1157" t="s">
        <v>6812</v>
      </c>
      <c r="C103" s="1157" t="s">
        <v>5631</v>
      </c>
      <c r="D103" s="1157" t="s">
        <v>5631</v>
      </c>
      <c r="E103" s="1157" t="s">
        <v>195</v>
      </c>
      <c r="F103" s="1157" t="s">
        <v>6307</v>
      </c>
      <c r="G103" s="1157" t="s">
        <v>6334</v>
      </c>
      <c r="H103" s="1157" t="s">
        <v>6334</v>
      </c>
      <c r="I103" s="1157"/>
      <c r="J103" s="1157"/>
      <c r="K103" s="1157"/>
      <c r="L103" s="1157"/>
      <c r="M103" s="1157"/>
      <c r="N103" s="1168">
        <v>-1</v>
      </c>
      <c r="O103" s="1312">
        <f t="shared" si="1"/>
        <v>-1</v>
      </c>
    </row>
    <row r="104" spans="1:15">
      <c r="A104" s="1436">
        <v>34.6</v>
      </c>
      <c r="B104" s="1157" t="s">
        <v>5929</v>
      </c>
      <c r="C104" s="1157" t="s">
        <v>5631</v>
      </c>
      <c r="D104" s="1157" t="s">
        <v>5631</v>
      </c>
      <c r="E104" s="1157" t="s">
        <v>195</v>
      </c>
      <c r="F104" s="1157" t="s">
        <v>6307</v>
      </c>
      <c r="G104" s="1157" t="s">
        <v>6334</v>
      </c>
      <c r="H104" s="1157" t="s">
        <v>6334</v>
      </c>
      <c r="I104" s="1157"/>
      <c r="J104" s="1157"/>
      <c r="K104" s="1157"/>
      <c r="L104" s="1157"/>
      <c r="M104" s="1157"/>
      <c r="N104" s="1168">
        <v>-95</v>
      </c>
      <c r="O104" s="1312">
        <f t="shared" si="1"/>
        <v>-95</v>
      </c>
    </row>
    <row r="105" spans="1:15">
      <c r="A105" s="1436">
        <v>34.61</v>
      </c>
      <c r="B105" s="1157" t="s">
        <v>6339</v>
      </c>
      <c r="C105" s="1157" t="s">
        <v>5631</v>
      </c>
      <c r="D105" s="1157" t="s">
        <v>5631</v>
      </c>
      <c r="E105" s="1157" t="s">
        <v>195</v>
      </c>
      <c r="F105" s="1157" t="s">
        <v>6307</v>
      </c>
      <c r="G105" s="1157" t="s">
        <v>6334</v>
      </c>
      <c r="H105" s="1157" t="s">
        <v>6334</v>
      </c>
      <c r="I105" s="1157"/>
      <c r="J105" s="1157"/>
      <c r="K105" s="1157"/>
      <c r="L105" s="1157"/>
      <c r="M105" s="1157"/>
      <c r="N105" s="1168">
        <v>-261</v>
      </c>
      <c r="O105" s="1312">
        <f t="shared" si="1"/>
        <v>-261</v>
      </c>
    </row>
    <row r="106" spans="1:15">
      <c r="A106" s="1436">
        <v>34.619999999999997</v>
      </c>
      <c r="B106" s="1157" t="s">
        <v>6374</v>
      </c>
      <c r="C106" s="1157" t="s">
        <v>5631</v>
      </c>
      <c r="D106" s="1157" t="s">
        <v>5631</v>
      </c>
      <c r="E106" s="1157" t="s">
        <v>195</v>
      </c>
      <c r="F106" s="1157" t="s">
        <v>6307</v>
      </c>
      <c r="G106" s="1157" t="s">
        <v>6334</v>
      </c>
      <c r="H106" s="1157" t="s">
        <v>6334</v>
      </c>
      <c r="I106" s="1157"/>
      <c r="J106" s="1157"/>
      <c r="K106" s="1157"/>
      <c r="L106" s="1157"/>
      <c r="M106" s="1157"/>
      <c r="N106" s="1168">
        <v>-109</v>
      </c>
      <c r="O106" s="1312">
        <f t="shared" si="1"/>
        <v>-109</v>
      </c>
    </row>
    <row r="107" spans="1:15">
      <c r="A107" s="1436">
        <v>34.630000000000003</v>
      </c>
      <c r="B107" s="1157" t="s">
        <v>6355</v>
      </c>
      <c r="C107" s="1157" t="s">
        <v>5631</v>
      </c>
      <c r="D107" s="1157" t="s">
        <v>5631</v>
      </c>
      <c r="E107" s="1157" t="s">
        <v>195</v>
      </c>
      <c r="F107" s="1157" t="s">
        <v>6307</v>
      </c>
      <c r="G107" s="1157" t="s">
        <v>6334</v>
      </c>
      <c r="H107" s="1157" t="s">
        <v>6334</v>
      </c>
      <c r="I107" s="1157"/>
      <c r="J107" s="1157"/>
      <c r="K107" s="1157"/>
      <c r="L107" s="1157"/>
      <c r="M107" s="1157"/>
      <c r="N107" s="1168">
        <v>-13</v>
      </c>
      <c r="O107" s="1312">
        <f t="shared" si="1"/>
        <v>-13</v>
      </c>
    </row>
    <row r="108" spans="1:15">
      <c r="A108" s="1436">
        <v>34.64</v>
      </c>
      <c r="B108" s="1157" t="s">
        <v>6341</v>
      </c>
      <c r="C108" s="1157" t="s">
        <v>6341</v>
      </c>
      <c r="D108" s="1157" t="s">
        <v>6341</v>
      </c>
      <c r="E108" s="1157" t="s">
        <v>195</v>
      </c>
      <c r="F108" s="1157" t="s">
        <v>6307</v>
      </c>
      <c r="G108" s="1157" t="s">
        <v>6308</v>
      </c>
      <c r="H108" s="1157" t="s">
        <v>6342</v>
      </c>
      <c r="I108" s="1157"/>
      <c r="J108" s="1157"/>
      <c r="K108" s="1157"/>
      <c r="L108" s="1157"/>
      <c r="M108" s="1157"/>
      <c r="N108" s="1168">
        <v>-7</v>
      </c>
      <c r="O108" s="1312">
        <f t="shared" si="1"/>
        <v>-7</v>
      </c>
    </row>
    <row r="109" spans="1:15">
      <c r="A109" s="1189"/>
      <c r="B109" s="1157"/>
      <c r="C109" s="1157"/>
      <c r="D109" s="1157"/>
      <c r="E109" s="1157"/>
      <c r="F109" s="1157"/>
      <c r="G109" s="1157"/>
      <c r="H109" s="1157"/>
      <c r="I109" s="1157"/>
      <c r="J109" s="1157"/>
      <c r="K109" s="1157"/>
      <c r="L109" s="1157"/>
      <c r="M109" s="1157"/>
      <c r="N109" s="1157"/>
      <c r="O109" s="1312">
        <f t="shared" si="1"/>
        <v>0</v>
      </c>
    </row>
    <row r="110" spans="1:15">
      <c r="A110" s="1432">
        <v>35</v>
      </c>
      <c r="B110" s="1204" t="s">
        <v>196</v>
      </c>
      <c r="C110" s="1157"/>
      <c r="D110" s="1157"/>
      <c r="E110" s="1157"/>
      <c r="F110" s="1157"/>
      <c r="G110" s="1157"/>
      <c r="H110" s="1157"/>
      <c r="I110" s="1187">
        <f t="shared" ref="I110:O110" si="2">SUM(I12:I109)</f>
        <v>5896</v>
      </c>
      <c r="J110" s="1187">
        <f t="shared" si="2"/>
        <v>9067790</v>
      </c>
      <c r="K110" s="1187">
        <f t="shared" si="2"/>
        <v>9067790</v>
      </c>
      <c r="L110" s="1187">
        <f t="shared" si="2"/>
        <v>16712896</v>
      </c>
      <c r="M110" s="1187">
        <f t="shared" si="2"/>
        <v>1409628</v>
      </c>
      <c r="N110" s="1187">
        <f t="shared" si="2"/>
        <v>16248890</v>
      </c>
      <c r="O110" s="1187">
        <f t="shared" si="2"/>
        <v>34371414</v>
      </c>
    </row>
    <row r="111" spans="1:15">
      <c r="A111" s="1437"/>
      <c r="B111" s="1292"/>
      <c r="C111" s="1292"/>
      <c r="D111" s="1292"/>
      <c r="E111" s="1292"/>
      <c r="F111" s="1292"/>
      <c r="G111" s="1292"/>
      <c r="H111" s="1292"/>
      <c r="I111" s="1292"/>
      <c r="J111" s="1292"/>
      <c r="K111" s="1292"/>
      <c r="L111" s="1292"/>
      <c r="M111" s="1292"/>
      <c r="N111" s="1292"/>
      <c r="O111" s="1438"/>
    </row>
    <row r="112" spans="1:15">
      <c r="A112" s="1439">
        <v>35</v>
      </c>
      <c r="B112" s="1292" t="s">
        <v>196</v>
      </c>
      <c r="C112" s="1292"/>
      <c r="D112" s="1292"/>
      <c r="E112" s="1292"/>
      <c r="F112" s="1292"/>
      <c r="G112" s="1292"/>
      <c r="H112" s="1292"/>
      <c r="I112" s="1440">
        <v>5896</v>
      </c>
      <c r="J112" s="1440">
        <v>9067790</v>
      </c>
      <c r="K112" s="1440">
        <v>9067790</v>
      </c>
      <c r="L112" s="1440">
        <v>16712896</v>
      </c>
      <c r="M112" s="1440">
        <v>1409628</v>
      </c>
      <c r="N112" s="1440">
        <v>16248890</v>
      </c>
      <c r="O112" s="1440">
        <v>34371414</v>
      </c>
    </row>
    <row r="113" spans="1:15">
      <c r="A113" s="1194"/>
      <c r="B113" s="1194"/>
      <c r="C113" s="1194"/>
      <c r="D113" s="1194"/>
      <c r="E113" s="1194"/>
      <c r="F113" s="1194"/>
      <c r="G113" s="1194"/>
      <c r="H113" s="1194"/>
      <c r="I113" s="1194"/>
      <c r="J113" s="1194"/>
      <c r="K113" s="1194"/>
      <c r="L113" s="1194"/>
      <c r="M113" s="1194"/>
      <c r="N113" s="1194"/>
      <c r="O113" s="1194"/>
    </row>
  </sheetData>
  <mergeCells count="20">
    <mergeCell ref="H9:H10"/>
    <mergeCell ref="I9:I10"/>
    <mergeCell ref="J9:K9"/>
    <mergeCell ref="L9:O9"/>
    <mergeCell ref="A8:E8"/>
    <mergeCell ref="F8:K8"/>
    <mergeCell ref="L8:O8"/>
    <mergeCell ref="A9:A10"/>
    <mergeCell ref="B9:B10"/>
    <mergeCell ref="C9:C10"/>
    <mergeCell ref="D9:D10"/>
    <mergeCell ref="E9:E10"/>
    <mergeCell ref="F9:F10"/>
    <mergeCell ref="G9:G10"/>
    <mergeCell ref="A6:E6"/>
    <mergeCell ref="F6:K6"/>
    <mergeCell ref="L6:O6"/>
    <mergeCell ref="A7:E7"/>
    <mergeCell ref="F7:K7"/>
    <mergeCell ref="L7:O7"/>
  </mergeCells>
  <pageMargins left="0.75" right="0.75" top="1" bottom="1" header="0.5" footer="0.5"/>
  <customProperties>
    <customPr name="_pios_id" r:id="rId1"/>
  </customPropertie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rgb="FF92D050"/>
  </sheetPr>
  <dimension ref="A1:I68"/>
  <sheetViews>
    <sheetView workbookViewId="0">
      <pane ySplit="10" topLeftCell="A11" activePane="bottomLeft" state="frozen"/>
      <selection sqref="A1:XFD1048576"/>
      <selection pane="bottomLeft" sqref="A1:XFD1048576"/>
    </sheetView>
  </sheetViews>
  <sheetFormatPr defaultColWidth="11.625" defaultRowHeight="11.25"/>
  <cols>
    <col min="1" max="1" width="7.25" style="1149" bestFit="1" customWidth="1"/>
    <col min="2" max="2" width="31.75" style="1149" customWidth="1"/>
    <col min="3" max="3" width="15.5" style="1149" bestFit="1" customWidth="1"/>
    <col min="4" max="5" width="17.875" style="1149" bestFit="1" customWidth="1"/>
    <col min="6" max="6" width="13.875" style="1149" bestFit="1" customWidth="1"/>
    <col min="7" max="7" width="12.75" style="1149" bestFit="1" customWidth="1"/>
    <col min="8" max="8" width="11.875" style="1149" bestFit="1" customWidth="1"/>
    <col min="9" max="9" width="19.625" style="1149" bestFit="1" customWidth="1"/>
    <col min="10" max="16384" width="11.625" style="1149"/>
  </cols>
  <sheetData>
    <row r="1" spans="1:9">
      <c r="A1" s="507" t="s">
        <v>4977</v>
      </c>
      <c r="B1" s="507"/>
    </row>
    <row r="2" spans="1:9">
      <c r="A2" s="507" t="s">
        <v>6778</v>
      </c>
      <c r="B2" s="507"/>
    </row>
    <row r="3" spans="1:9">
      <c r="A3" s="1197"/>
    </row>
    <row r="4" spans="1:9">
      <c r="A4" s="1197"/>
    </row>
    <row r="6" spans="1:9">
      <c r="A6" s="3953" t="s">
        <v>6375</v>
      </c>
      <c r="B6" s="3938"/>
      <c r="C6" s="3938"/>
      <c r="D6" s="3938"/>
      <c r="E6" s="3938"/>
      <c r="F6" s="3938"/>
      <c r="G6" s="3938"/>
      <c r="H6" s="3938"/>
      <c r="I6" s="3939"/>
    </row>
    <row r="7" spans="1:9">
      <c r="A7" s="4126" t="s">
        <v>6376</v>
      </c>
      <c r="B7" s="4127"/>
      <c r="C7" s="4127"/>
      <c r="D7" s="4127"/>
      <c r="E7" s="4127"/>
      <c r="F7" s="4127"/>
      <c r="G7" s="4127"/>
      <c r="H7" s="4127"/>
      <c r="I7" s="4128"/>
    </row>
    <row r="8" spans="1:9">
      <c r="A8" s="3963" t="s">
        <v>6377</v>
      </c>
      <c r="B8" s="3963" t="s">
        <v>6378</v>
      </c>
      <c r="C8" s="3963" t="s">
        <v>6379</v>
      </c>
      <c r="D8" s="3953" t="s">
        <v>6288</v>
      </c>
      <c r="E8" s="3939"/>
      <c r="F8" s="3953" t="s">
        <v>6380</v>
      </c>
      <c r="G8" s="3938"/>
      <c r="H8" s="3938"/>
      <c r="I8" s="3939"/>
    </row>
    <row r="9" spans="1:9">
      <c r="A9" s="4026"/>
      <c r="B9" s="4026"/>
      <c r="C9" s="4026"/>
      <c r="D9" s="1163" t="s">
        <v>6381</v>
      </c>
      <c r="E9" s="1163" t="s">
        <v>6382</v>
      </c>
      <c r="F9" s="1163" t="s">
        <v>6383</v>
      </c>
      <c r="G9" s="1163" t="s">
        <v>6384</v>
      </c>
      <c r="H9" s="1163" t="s">
        <v>6385</v>
      </c>
      <c r="I9" s="1163" t="s">
        <v>6386</v>
      </c>
    </row>
    <row r="10" spans="1:9" ht="15.75" customHeight="1">
      <c r="A10" s="1202"/>
      <c r="B10" s="1202" t="s">
        <v>4989</v>
      </c>
      <c r="C10" s="1202" t="s">
        <v>4990</v>
      </c>
      <c r="D10" s="1163" t="s">
        <v>4991</v>
      </c>
      <c r="E10" s="1163" t="s">
        <v>4992</v>
      </c>
      <c r="F10" s="1163" t="s">
        <v>5181</v>
      </c>
      <c r="G10" s="1163" t="s">
        <v>5182</v>
      </c>
      <c r="H10" s="1163" t="s">
        <v>5183</v>
      </c>
      <c r="I10" s="1163" t="s">
        <v>5184</v>
      </c>
    </row>
    <row r="11" spans="1:9">
      <c r="A11" s="1203">
        <v>1</v>
      </c>
      <c r="B11" s="1157" t="s">
        <v>6304</v>
      </c>
      <c r="C11" s="1163" t="s">
        <v>6331</v>
      </c>
      <c r="D11" s="1432"/>
      <c r="E11" s="1157"/>
      <c r="F11" s="1168">
        <v>39667680</v>
      </c>
      <c r="G11" s="1157"/>
      <c r="H11" s="1168">
        <v>7598916</v>
      </c>
      <c r="I11" s="1168">
        <f t="shared" ref="I11:I61" si="0">SUM(F11:H11)</f>
        <v>47266596</v>
      </c>
    </row>
    <row r="12" spans="1:9">
      <c r="A12" s="1203">
        <v>2</v>
      </c>
      <c r="B12" s="1157" t="s">
        <v>6304</v>
      </c>
      <c r="C12" s="1163" t="s">
        <v>6331</v>
      </c>
      <c r="D12" s="1432">
        <v>20689940</v>
      </c>
      <c r="E12" s="1432">
        <v>20689940</v>
      </c>
      <c r="F12" s="1168">
        <v>55456365</v>
      </c>
      <c r="G12" s="1157"/>
      <c r="H12" s="1168">
        <v>36909956</v>
      </c>
      <c r="I12" s="1168">
        <f t="shared" si="0"/>
        <v>92366321</v>
      </c>
    </row>
    <row r="13" spans="1:9">
      <c r="A13" s="1203">
        <v>3</v>
      </c>
      <c r="B13" s="1157" t="s">
        <v>6304</v>
      </c>
      <c r="C13" s="1163" t="s">
        <v>6344</v>
      </c>
      <c r="D13" s="1157"/>
      <c r="E13" s="1157"/>
      <c r="F13" s="1168">
        <v>70500</v>
      </c>
      <c r="G13" s="1157"/>
      <c r="H13" s="1157">
        <v>20830</v>
      </c>
      <c r="I13" s="1168">
        <f t="shared" si="0"/>
        <v>91330</v>
      </c>
    </row>
    <row r="14" spans="1:9">
      <c r="A14" s="1203">
        <v>4</v>
      </c>
      <c r="B14" s="1323" t="s">
        <v>6304</v>
      </c>
      <c r="C14" s="1441" t="s">
        <v>6350</v>
      </c>
      <c r="D14" s="1442">
        <v>47241</v>
      </c>
      <c r="E14" s="1442">
        <v>47241</v>
      </c>
      <c r="F14" s="1309">
        <v>0</v>
      </c>
      <c r="G14" s="1309">
        <v>266242</v>
      </c>
      <c r="H14" s="1309">
        <v>46833</v>
      </c>
      <c r="I14" s="1168">
        <f t="shared" si="0"/>
        <v>313075</v>
      </c>
    </row>
    <row r="15" spans="1:9">
      <c r="A15" s="1203">
        <v>5</v>
      </c>
      <c r="B15" s="1323" t="s">
        <v>6304</v>
      </c>
      <c r="C15" s="1441" t="s">
        <v>192</v>
      </c>
      <c r="D15" s="1323"/>
      <c r="E15" s="1323"/>
      <c r="F15" s="1323"/>
      <c r="G15" s="1323"/>
      <c r="H15" s="1309">
        <v>12505</v>
      </c>
      <c r="I15" s="1168">
        <f t="shared" si="0"/>
        <v>12505</v>
      </c>
    </row>
    <row r="16" spans="1:9">
      <c r="A16" s="1203">
        <v>6</v>
      </c>
      <c r="B16" s="1323" t="s">
        <v>6304</v>
      </c>
      <c r="C16" s="1441" t="s">
        <v>192</v>
      </c>
      <c r="D16" s="1323"/>
      <c r="E16" s="1323"/>
      <c r="F16" s="1323"/>
      <c r="G16" s="1323"/>
      <c r="H16" s="1309">
        <v>7296</v>
      </c>
      <c r="I16" s="1168">
        <f t="shared" si="0"/>
        <v>7296</v>
      </c>
    </row>
    <row r="17" spans="1:9">
      <c r="A17" s="1203">
        <v>7</v>
      </c>
      <c r="B17" s="1323" t="s">
        <v>6304</v>
      </c>
      <c r="C17" s="1441" t="s">
        <v>192</v>
      </c>
      <c r="D17" s="1323"/>
      <c r="E17" s="1323"/>
      <c r="F17" s="1323"/>
      <c r="G17" s="1323"/>
      <c r="H17" s="1309">
        <v>6121386</v>
      </c>
      <c r="I17" s="1168">
        <f t="shared" si="0"/>
        <v>6121386</v>
      </c>
    </row>
    <row r="18" spans="1:9">
      <c r="A18" s="1203">
        <v>8</v>
      </c>
      <c r="B18" s="1323" t="s">
        <v>6304</v>
      </c>
      <c r="C18" s="1441" t="s">
        <v>192</v>
      </c>
      <c r="D18" s="1323"/>
      <c r="E18" s="1323"/>
      <c r="F18" s="1323"/>
      <c r="G18" s="1323"/>
      <c r="H18" s="1309">
        <v>30000</v>
      </c>
      <c r="I18" s="1168">
        <f t="shared" si="0"/>
        <v>30000</v>
      </c>
    </row>
    <row r="19" spans="1:9">
      <c r="A19" s="1203">
        <v>9</v>
      </c>
      <c r="B19" s="1323" t="s">
        <v>6304</v>
      </c>
      <c r="C19" s="1441" t="s">
        <v>192</v>
      </c>
      <c r="D19" s="1323"/>
      <c r="E19" s="1323"/>
      <c r="F19" s="1323"/>
      <c r="G19" s="1323"/>
      <c r="H19" s="1309">
        <v>4485550</v>
      </c>
      <c r="I19" s="1168">
        <f t="shared" si="0"/>
        <v>4485550</v>
      </c>
    </row>
    <row r="20" spans="1:9">
      <c r="A20" s="1203">
        <v>10</v>
      </c>
      <c r="B20" s="1323" t="s">
        <v>6304</v>
      </c>
      <c r="C20" s="1441" t="s">
        <v>195</v>
      </c>
      <c r="D20" s="1323"/>
      <c r="E20" s="1323"/>
      <c r="F20" s="1323"/>
      <c r="G20" s="1323"/>
      <c r="H20" s="1309">
        <v>-144780</v>
      </c>
      <c r="I20" s="1168">
        <f t="shared" si="0"/>
        <v>-144780</v>
      </c>
    </row>
    <row r="21" spans="1:9">
      <c r="A21" s="1203">
        <v>11</v>
      </c>
      <c r="B21" s="1323" t="s">
        <v>6813</v>
      </c>
      <c r="C21" s="1441" t="s">
        <v>192</v>
      </c>
      <c r="D21" s="1323"/>
      <c r="E21" s="1323"/>
      <c r="F21" s="1323"/>
      <c r="G21" s="1323"/>
      <c r="H21" s="1309">
        <v>197555</v>
      </c>
      <c r="I21" s="1168">
        <f t="shared" si="0"/>
        <v>197555</v>
      </c>
    </row>
    <row r="22" spans="1:9">
      <c r="A22" s="1203">
        <v>12</v>
      </c>
      <c r="B22" s="1323" t="s">
        <v>6813</v>
      </c>
      <c r="C22" s="1441" t="s">
        <v>6344</v>
      </c>
      <c r="D22" s="1442"/>
      <c r="E22" s="1442"/>
      <c r="F22" s="1323"/>
      <c r="G22" s="1323"/>
      <c r="H22" s="1309">
        <v>0</v>
      </c>
      <c r="I22" s="1168">
        <f t="shared" si="0"/>
        <v>0</v>
      </c>
    </row>
    <row r="23" spans="1:9">
      <c r="A23" s="1203">
        <v>13</v>
      </c>
      <c r="B23" s="1323" t="s">
        <v>6813</v>
      </c>
      <c r="C23" s="1441" t="s">
        <v>6350</v>
      </c>
      <c r="D23" s="1323">
        <v>134286</v>
      </c>
      <c r="E23" s="1323">
        <v>134286</v>
      </c>
      <c r="F23" s="1323"/>
      <c r="G23" s="1323">
        <v>743730.86</v>
      </c>
      <c r="H23" s="1309">
        <v>0</v>
      </c>
      <c r="I23" s="1168">
        <f t="shared" si="0"/>
        <v>743730.86</v>
      </c>
    </row>
    <row r="24" spans="1:9">
      <c r="A24" s="1203">
        <v>14</v>
      </c>
      <c r="B24" s="1323" t="s">
        <v>6813</v>
      </c>
      <c r="C24" s="1441" t="s">
        <v>195</v>
      </c>
      <c r="D24" s="1323"/>
      <c r="E24" s="1323"/>
      <c r="F24" s="1323">
        <v>0</v>
      </c>
      <c r="G24" s="1323"/>
      <c r="H24" s="1309">
        <v>0</v>
      </c>
      <c r="I24" s="1168">
        <f t="shared" si="0"/>
        <v>0</v>
      </c>
    </row>
    <row r="25" spans="1:9" hidden="1">
      <c r="A25" s="1203">
        <v>15</v>
      </c>
      <c r="B25" s="1323"/>
      <c r="C25" s="1441"/>
      <c r="D25" s="1323"/>
      <c r="E25" s="1323"/>
      <c r="F25" s="1323"/>
      <c r="G25" s="1323"/>
      <c r="H25" s="1309"/>
      <c r="I25" s="1168">
        <f t="shared" si="0"/>
        <v>0</v>
      </c>
    </row>
    <row r="26" spans="1:9">
      <c r="A26" s="1353">
        <v>16</v>
      </c>
      <c r="B26" s="1323" t="s">
        <v>6814</v>
      </c>
      <c r="C26" s="1441" t="s">
        <v>192</v>
      </c>
      <c r="D26" s="1442"/>
      <c r="E26" s="1442"/>
      <c r="F26" s="1323">
        <v>0</v>
      </c>
      <c r="G26" s="1309"/>
      <c r="H26" s="1323">
        <v>-68936</v>
      </c>
      <c r="I26" s="1168">
        <f t="shared" si="0"/>
        <v>-68936</v>
      </c>
    </row>
    <row r="27" spans="1:9">
      <c r="A27" s="1353">
        <v>16.001000000000001</v>
      </c>
      <c r="B27" s="1323" t="s">
        <v>6815</v>
      </c>
      <c r="C27" s="1441" t="s">
        <v>6296</v>
      </c>
      <c r="D27" s="1323">
        <v>2260916.9360000002</v>
      </c>
      <c r="E27" s="1323">
        <v>2260916.9360000002</v>
      </c>
      <c r="F27" s="1323"/>
      <c r="G27" s="1323"/>
      <c r="H27" s="1309">
        <v>5713230</v>
      </c>
      <c r="I27" s="1168">
        <f t="shared" si="0"/>
        <v>5713230</v>
      </c>
    </row>
    <row r="28" spans="1:9">
      <c r="A28" s="1353">
        <v>16.001999999999999</v>
      </c>
      <c r="B28" s="1157"/>
      <c r="C28" s="1163"/>
      <c r="D28" s="1157"/>
      <c r="E28" s="1157"/>
      <c r="F28" s="1157"/>
      <c r="G28" s="1157"/>
      <c r="H28" s="1168"/>
      <c r="I28" s="1168">
        <f t="shared" si="0"/>
        <v>0</v>
      </c>
    </row>
    <row r="29" spans="1:9">
      <c r="A29" s="1353">
        <v>16.003</v>
      </c>
      <c r="B29" s="1157" t="s">
        <v>6194</v>
      </c>
      <c r="C29" s="1163" t="s">
        <v>192</v>
      </c>
      <c r="D29" s="1157"/>
      <c r="E29" s="1157"/>
      <c r="F29" s="1157"/>
      <c r="G29" s="1157"/>
      <c r="H29" s="1168">
        <v>157184</v>
      </c>
      <c r="I29" s="1168">
        <f t="shared" si="0"/>
        <v>157184</v>
      </c>
    </row>
    <row r="30" spans="1:9">
      <c r="A30" s="1353">
        <v>16.004000000000001</v>
      </c>
      <c r="B30" s="1157" t="s">
        <v>6387</v>
      </c>
      <c r="C30" s="1163" t="s">
        <v>192</v>
      </c>
      <c r="D30" s="1432"/>
      <c r="E30" s="1432"/>
      <c r="F30" s="1157"/>
      <c r="G30" s="1157"/>
      <c r="H30" s="1168">
        <v>-35184</v>
      </c>
      <c r="I30" s="1168">
        <f t="shared" si="0"/>
        <v>-35184</v>
      </c>
    </row>
    <row r="31" spans="1:9">
      <c r="A31" s="1353">
        <v>16.004999999999999</v>
      </c>
      <c r="B31" s="1323" t="s">
        <v>5913</v>
      </c>
      <c r="C31" s="1441" t="s">
        <v>6350</v>
      </c>
      <c r="D31" s="1323">
        <v>1419</v>
      </c>
      <c r="E31" s="1323">
        <v>1419</v>
      </c>
      <c r="F31" s="1323"/>
      <c r="G31" s="1323">
        <v>5774.68</v>
      </c>
      <c r="H31" s="1309">
        <v>0</v>
      </c>
      <c r="I31" s="1168">
        <f t="shared" si="0"/>
        <v>5774.68</v>
      </c>
    </row>
    <row r="32" spans="1:9">
      <c r="A32" s="1353">
        <v>16.006</v>
      </c>
      <c r="B32" s="1323" t="s">
        <v>5913</v>
      </c>
      <c r="C32" s="1441" t="s">
        <v>195</v>
      </c>
      <c r="D32" s="1323"/>
      <c r="E32" s="1323"/>
      <c r="F32" s="1323"/>
      <c r="G32" s="1323"/>
      <c r="H32" s="1309">
        <v>0</v>
      </c>
      <c r="I32" s="1168">
        <f t="shared" si="0"/>
        <v>0</v>
      </c>
    </row>
    <row r="33" spans="1:9">
      <c r="A33" s="1353">
        <v>16.007000000000001</v>
      </c>
      <c r="B33" s="1323" t="s">
        <v>6388</v>
      </c>
      <c r="C33" s="1441" t="s">
        <v>192</v>
      </c>
      <c r="D33" s="1323">
        <v>2212693</v>
      </c>
      <c r="E33" s="1323">
        <v>2212693</v>
      </c>
      <c r="F33" s="1323"/>
      <c r="G33" s="1323"/>
      <c r="H33" s="1442">
        <v>1401840</v>
      </c>
      <c r="I33" s="1168">
        <f t="shared" si="0"/>
        <v>1401840</v>
      </c>
    </row>
    <row r="34" spans="1:9">
      <c r="A34" s="1353">
        <v>16.007999999999999</v>
      </c>
      <c r="B34" s="1157" t="s">
        <v>6816</v>
      </c>
      <c r="C34" s="1441" t="s">
        <v>192</v>
      </c>
      <c r="D34" s="1442"/>
      <c r="E34" s="1442"/>
      <c r="F34" s="1323"/>
      <c r="G34" s="1309"/>
      <c r="H34" s="1323">
        <v>376800</v>
      </c>
      <c r="I34" s="1168">
        <f t="shared" si="0"/>
        <v>376800</v>
      </c>
    </row>
    <row r="35" spans="1:9">
      <c r="A35" s="1353">
        <v>16.009</v>
      </c>
      <c r="B35" s="1323" t="s">
        <v>6816</v>
      </c>
      <c r="C35" s="1441" t="s">
        <v>195</v>
      </c>
      <c r="D35" s="1442"/>
      <c r="E35" s="1442"/>
      <c r="F35" s="1309">
        <v>0</v>
      </c>
      <c r="G35" s="1323"/>
      <c r="H35" s="1309">
        <v>-321</v>
      </c>
      <c r="I35" s="1168">
        <f t="shared" si="0"/>
        <v>-321</v>
      </c>
    </row>
    <row r="36" spans="1:9">
      <c r="A36" s="1353">
        <v>16.010000000000002</v>
      </c>
      <c r="B36" s="1323" t="s">
        <v>6200</v>
      </c>
      <c r="C36" s="1441" t="s">
        <v>192</v>
      </c>
      <c r="D36" s="1442"/>
      <c r="E36" s="1442"/>
      <c r="F36" s="1323"/>
      <c r="G36" s="1309">
        <v>0</v>
      </c>
      <c r="H36" s="1309">
        <v>-287582</v>
      </c>
      <c r="I36" s="1168">
        <f t="shared" si="0"/>
        <v>-287582</v>
      </c>
    </row>
    <row r="37" spans="1:9">
      <c r="A37" s="1353">
        <v>16.010999999999999</v>
      </c>
      <c r="B37" s="1323" t="s">
        <v>6204</v>
      </c>
      <c r="C37" s="1441" t="s">
        <v>6344</v>
      </c>
      <c r="D37" s="1323">
        <v>231288</v>
      </c>
      <c r="E37" s="1323">
        <v>231288</v>
      </c>
      <c r="F37" s="1323">
        <v>1140799</v>
      </c>
      <c r="G37" s="1323"/>
      <c r="H37" s="1309">
        <v>28266</v>
      </c>
      <c r="I37" s="1168">
        <f t="shared" si="0"/>
        <v>1169065</v>
      </c>
    </row>
    <row r="38" spans="1:9">
      <c r="A38" s="1353">
        <v>16.012</v>
      </c>
      <c r="B38" s="1323" t="s">
        <v>6204</v>
      </c>
      <c r="C38" s="1441" t="s">
        <v>6350</v>
      </c>
      <c r="D38" s="1323">
        <v>74656</v>
      </c>
      <c r="E38" s="1323">
        <v>74656</v>
      </c>
      <c r="F38" s="1323"/>
      <c r="G38" s="1323">
        <v>386970</v>
      </c>
      <c r="H38" s="1309">
        <v>22955</v>
      </c>
      <c r="I38" s="1168">
        <f t="shared" si="0"/>
        <v>409925</v>
      </c>
    </row>
    <row r="39" spans="1:9">
      <c r="A39" s="1353">
        <v>16.013000000000002</v>
      </c>
      <c r="B39" s="1323" t="s">
        <v>6204</v>
      </c>
      <c r="C39" s="1441" t="s">
        <v>192</v>
      </c>
      <c r="D39" s="1323"/>
      <c r="E39" s="1323"/>
      <c r="F39" s="1323"/>
      <c r="G39" s="1323">
        <v>0</v>
      </c>
      <c r="H39" s="1309">
        <v>824531</v>
      </c>
      <c r="I39" s="1168">
        <f t="shared" si="0"/>
        <v>824531</v>
      </c>
    </row>
    <row r="40" spans="1:9">
      <c r="A40" s="1353">
        <v>16.013999999999999</v>
      </c>
      <c r="B40" s="1323" t="s">
        <v>6204</v>
      </c>
      <c r="C40" s="1441" t="s">
        <v>192</v>
      </c>
      <c r="D40" s="1323"/>
      <c r="E40" s="1323"/>
      <c r="F40" s="1323"/>
      <c r="G40" s="1323"/>
      <c r="H40" s="1443">
        <v>401043</v>
      </c>
      <c r="I40" s="1168">
        <f t="shared" si="0"/>
        <v>401043</v>
      </c>
    </row>
    <row r="41" spans="1:9">
      <c r="A41" s="1353">
        <v>16.015000000000001</v>
      </c>
      <c r="B41" s="1323" t="s">
        <v>6204</v>
      </c>
      <c r="C41" s="1441" t="s">
        <v>195</v>
      </c>
      <c r="D41" s="1442"/>
      <c r="E41" s="1442"/>
      <c r="F41" s="1323"/>
      <c r="G41" s="1309">
        <v>0</v>
      </c>
      <c r="H41" s="1323">
        <v>4378</v>
      </c>
      <c r="I41" s="1168">
        <f t="shared" si="0"/>
        <v>4378</v>
      </c>
    </row>
    <row r="42" spans="1:9" hidden="1">
      <c r="A42" s="1353">
        <v>16.015999999999998</v>
      </c>
      <c r="B42" s="1323"/>
      <c r="C42" s="1441"/>
      <c r="D42" s="1323"/>
      <c r="E42" s="1323"/>
      <c r="F42" s="1323"/>
      <c r="G42" s="1323"/>
      <c r="H42" s="1323"/>
      <c r="I42" s="1168">
        <f t="shared" si="0"/>
        <v>0</v>
      </c>
    </row>
    <row r="43" spans="1:9">
      <c r="A43" s="1353">
        <v>16.016999999999999</v>
      </c>
      <c r="B43" s="1323" t="s">
        <v>6208</v>
      </c>
      <c r="C43" s="1441" t="s">
        <v>6350</v>
      </c>
      <c r="D43" s="1323">
        <v>63</v>
      </c>
      <c r="E43" s="1323">
        <v>63</v>
      </c>
      <c r="F43" s="1323"/>
      <c r="G43" s="1323">
        <v>1860</v>
      </c>
      <c r="H43" s="1309">
        <v>0</v>
      </c>
      <c r="I43" s="1168">
        <f t="shared" si="0"/>
        <v>1860</v>
      </c>
    </row>
    <row r="44" spans="1:9">
      <c r="A44" s="1353">
        <v>16.018000000000001</v>
      </c>
      <c r="B44" s="1323" t="s">
        <v>5925</v>
      </c>
      <c r="C44" s="1441" t="s">
        <v>192</v>
      </c>
      <c r="D44" s="1323"/>
      <c r="E44" s="1323"/>
      <c r="F44" s="1323"/>
      <c r="G44" s="1323"/>
      <c r="H44" s="1309">
        <v>105366</v>
      </c>
      <c r="I44" s="1168">
        <f t="shared" si="0"/>
        <v>105366</v>
      </c>
    </row>
    <row r="45" spans="1:9">
      <c r="A45" s="1353">
        <v>16.018999999999998</v>
      </c>
      <c r="B45" s="1323" t="s">
        <v>6389</v>
      </c>
      <c r="C45" s="1163" t="s">
        <v>192</v>
      </c>
      <c r="D45" s="1157"/>
      <c r="E45" s="1157"/>
      <c r="F45" s="1157"/>
      <c r="G45" s="1157"/>
      <c r="H45" s="1168">
        <v>-1663</v>
      </c>
      <c r="I45" s="1168">
        <f t="shared" si="0"/>
        <v>-1663</v>
      </c>
    </row>
    <row r="46" spans="1:9">
      <c r="A46" s="1353">
        <v>16.02</v>
      </c>
      <c r="B46" s="1323" t="s">
        <v>6390</v>
      </c>
      <c r="C46" s="1163" t="s">
        <v>192</v>
      </c>
      <c r="D46" s="1157"/>
      <c r="E46" s="1157"/>
      <c r="F46" s="1157"/>
      <c r="G46" s="1157"/>
      <c r="H46" s="1157">
        <v>727282</v>
      </c>
      <c r="I46" s="1168">
        <f t="shared" si="0"/>
        <v>727282</v>
      </c>
    </row>
    <row r="47" spans="1:9">
      <c r="A47" s="1353">
        <v>16.021000000000001</v>
      </c>
      <c r="B47" s="1157" t="s">
        <v>5929</v>
      </c>
      <c r="C47" s="1163" t="s">
        <v>192</v>
      </c>
      <c r="D47" s="1157"/>
      <c r="E47" s="1157"/>
      <c r="F47" s="1157"/>
      <c r="G47" s="1157"/>
      <c r="H47" s="1168">
        <v>-38924</v>
      </c>
      <c r="I47" s="1168">
        <f t="shared" si="0"/>
        <v>-38924</v>
      </c>
    </row>
    <row r="48" spans="1:9">
      <c r="A48" s="1353">
        <v>16.021999999999998</v>
      </c>
      <c r="B48" s="1157" t="s">
        <v>6216</v>
      </c>
      <c r="C48" s="1163" t="s">
        <v>192</v>
      </c>
      <c r="D48" s="1157"/>
      <c r="E48" s="1157"/>
      <c r="F48" s="1157"/>
      <c r="G48" s="1157"/>
      <c r="H48" s="1168">
        <v>761268</v>
      </c>
      <c r="I48" s="1168">
        <f t="shared" si="0"/>
        <v>761268</v>
      </c>
    </row>
    <row r="49" spans="1:9">
      <c r="A49" s="1353">
        <v>16.023</v>
      </c>
      <c r="B49" s="1157" t="s">
        <v>6216</v>
      </c>
      <c r="C49" s="1163" t="s">
        <v>192</v>
      </c>
      <c r="D49" s="1157"/>
      <c r="E49" s="1157"/>
      <c r="F49" s="1157"/>
      <c r="G49" s="1168">
        <v>0</v>
      </c>
      <c r="H49" s="1157">
        <v>-405341</v>
      </c>
      <c r="I49" s="1168">
        <f t="shared" si="0"/>
        <v>-405341</v>
      </c>
    </row>
    <row r="50" spans="1:9">
      <c r="A50" s="1353">
        <v>16.024000000000001</v>
      </c>
      <c r="B50" s="1157" t="s">
        <v>6817</v>
      </c>
      <c r="C50" s="1163" t="s">
        <v>192</v>
      </c>
      <c r="D50" s="1157"/>
      <c r="E50" s="1157"/>
      <c r="F50" s="1157"/>
      <c r="G50" s="1157"/>
      <c r="H50" s="1168">
        <v>28645</v>
      </c>
      <c r="I50" s="1168">
        <f t="shared" si="0"/>
        <v>28645</v>
      </c>
    </row>
    <row r="51" spans="1:9">
      <c r="A51" s="1353">
        <v>16.024999999999999</v>
      </c>
      <c r="B51" s="1157" t="s">
        <v>6817</v>
      </c>
      <c r="C51" s="1163" t="s">
        <v>195</v>
      </c>
      <c r="D51" s="1157"/>
      <c r="E51" s="1157"/>
      <c r="F51" s="1157"/>
      <c r="G51" s="1157"/>
      <c r="H51" s="1168">
        <v>48217</v>
      </c>
      <c r="I51" s="1168">
        <f t="shared" si="0"/>
        <v>48217</v>
      </c>
    </row>
    <row r="52" spans="1:9">
      <c r="A52" s="1353">
        <v>16.026</v>
      </c>
      <c r="B52" s="1157" t="s">
        <v>5913</v>
      </c>
      <c r="C52" s="1163" t="s">
        <v>192</v>
      </c>
      <c r="D52" s="1157"/>
      <c r="E52" s="1157"/>
      <c r="F52" s="1157"/>
      <c r="G52" s="1157"/>
      <c r="H52" s="1157">
        <v>3499</v>
      </c>
      <c r="I52" s="1168">
        <f t="shared" si="0"/>
        <v>3499</v>
      </c>
    </row>
    <row r="53" spans="1:9">
      <c r="A53" s="1353">
        <v>16.027000000000001</v>
      </c>
      <c r="B53" s="1157" t="s">
        <v>6818</v>
      </c>
      <c r="C53" s="1163" t="s">
        <v>192</v>
      </c>
      <c r="D53" s="1157"/>
      <c r="E53" s="1157"/>
      <c r="F53" s="1157"/>
      <c r="G53" s="1157"/>
      <c r="H53" s="1168">
        <v>-241795</v>
      </c>
      <c r="I53" s="1168">
        <f t="shared" si="0"/>
        <v>-241795</v>
      </c>
    </row>
    <row r="54" spans="1:9">
      <c r="A54" s="1353">
        <v>16.027999999999999</v>
      </c>
      <c r="B54" s="1157" t="s">
        <v>6189</v>
      </c>
      <c r="C54" s="1163" t="s">
        <v>192</v>
      </c>
      <c r="D54" s="1157"/>
      <c r="E54" s="1157"/>
      <c r="F54" s="1157"/>
      <c r="G54" s="1157"/>
      <c r="H54" s="1168">
        <v>-3040</v>
      </c>
      <c r="I54" s="1168">
        <f t="shared" si="0"/>
        <v>-3040</v>
      </c>
    </row>
    <row r="55" spans="1:9">
      <c r="A55" s="1353">
        <v>16.029</v>
      </c>
      <c r="B55" s="1157" t="s">
        <v>107</v>
      </c>
      <c r="C55" s="1163" t="s">
        <v>192</v>
      </c>
      <c r="D55" s="1157"/>
      <c r="E55" s="1157"/>
      <c r="F55" s="1157"/>
      <c r="G55" s="1157"/>
      <c r="H55" s="1157">
        <v>1500</v>
      </c>
      <c r="I55" s="1168">
        <f t="shared" si="0"/>
        <v>1500</v>
      </c>
    </row>
    <row r="56" spans="1:9">
      <c r="A56" s="1353">
        <v>16.03</v>
      </c>
      <c r="B56" s="1157" t="s">
        <v>5919</v>
      </c>
      <c r="C56" s="1163" t="s">
        <v>6350</v>
      </c>
      <c r="D56" s="1157">
        <v>1034</v>
      </c>
      <c r="E56" s="1157">
        <v>1034</v>
      </c>
      <c r="F56" s="1157"/>
      <c r="G56" s="1157">
        <v>6805</v>
      </c>
      <c r="H56" s="1157">
        <v>0</v>
      </c>
      <c r="I56" s="1168">
        <f t="shared" si="0"/>
        <v>6805</v>
      </c>
    </row>
    <row r="57" spans="1:9">
      <c r="A57" s="1353">
        <v>16.030999999999999</v>
      </c>
      <c r="B57" s="1323" t="s">
        <v>6819</v>
      </c>
      <c r="C57" s="1441" t="s">
        <v>195</v>
      </c>
      <c r="D57" s="1323"/>
      <c r="E57" s="1323"/>
      <c r="F57" s="1323"/>
      <c r="G57" s="1323"/>
      <c r="H57" s="1309">
        <v>-1403</v>
      </c>
      <c r="I57" s="1168">
        <f t="shared" si="0"/>
        <v>-1403</v>
      </c>
    </row>
    <row r="58" spans="1:9">
      <c r="A58" s="1353">
        <v>16.032</v>
      </c>
      <c r="B58" s="1323" t="s">
        <v>5927</v>
      </c>
      <c r="C58" s="1441" t="s">
        <v>192</v>
      </c>
      <c r="D58" s="1323"/>
      <c r="E58" s="1323"/>
      <c r="F58" s="1323"/>
      <c r="G58" s="1323"/>
      <c r="H58" s="1443">
        <v>55586</v>
      </c>
      <c r="I58" s="1168">
        <f t="shared" si="0"/>
        <v>55586</v>
      </c>
    </row>
    <row r="59" spans="1:9">
      <c r="A59" s="1353">
        <v>16.033000000000001</v>
      </c>
      <c r="B59" s="1323" t="s">
        <v>6820</v>
      </c>
      <c r="C59" s="1441" t="s">
        <v>192</v>
      </c>
      <c r="D59" s="1323"/>
      <c r="E59" s="1323"/>
      <c r="F59" s="1323"/>
      <c r="G59" s="1323"/>
      <c r="H59" s="1309">
        <v>-4800</v>
      </c>
      <c r="I59" s="1168">
        <f t="shared" si="0"/>
        <v>-4800</v>
      </c>
    </row>
    <row r="60" spans="1:9">
      <c r="A60" s="1353">
        <v>16.033999999999999</v>
      </c>
      <c r="B60" s="1323" t="s">
        <v>6821</v>
      </c>
      <c r="C60" s="1441" t="s">
        <v>192</v>
      </c>
      <c r="D60" s="1323"/>
      <c r="E60" s="1323"/>
      <c r="F60" s="1323"/>
      <c r="G60" s="1323"/>
      <c r="H60" s="1309">
        <v>-30050</v>
      </c>
      <c r="I60" s="1168">
        <f t="shared" si="0"/>
        <v>-30050</v>
      </c>
    </row>
    <row r="61" spans="1:9">
      <c r="A61" s="1189">
        <v>16.035</v>
      </c>
      <c r="B61" s="1323" t="s">
        <v>5925</v>
      </c>
      <c r="C61" s="1441" t="s">
        <v>192</v>
      </c>
      <c r="D61" s="1323"/>
      <c r="E61" s="1323"/>
      <c r="F61" s="1323"/>
      <c r="G61" s="1323"/>
      <c r="H61" s="1323">
        <v>8100</v>
      </c>
      <c r="I61" s="1168">
        <f t="shared" si="0"/>
        <v>8100</v>
      </c>
    </row>
    <row r="62" spans="1:9">
      <c r="A62" s="1189"/>
      <c r="B62" s="1323"/>
      <c r="C62" s="1441"/>
      <c r="D62" s="1323"/>
      <c r="E62" s="1323"/>
      <c r="F62" s="1323"/>
      <c r="G62" s="1323"/>
      <c r="H62" s="1323"/>
      <c r="I62" s="1157"/>
    </row>
    <row r="63" spans="1:9">
      <c r="A63" s="1189"/>
      <c r="B63" s="1323"/>
      <c r="C63" s="1441"/>
      <c r="D63" s="1323"/>
      <c r="E63" s="1323"/>
      <c r="F63" s="1323"/>
      <c r="G63" s="1323"/>
      <c r="H63" s="1323"/>
      <c r="I63" s="1157"/>
    </row>
    <row r="64" spans="1:9">
      <c r="A64" s="1189"/>
      <c r="B64" s="1323"/>
      <c r="C64" s="1441"/>
      <c r="D64" s="1323"/>
      <c r="E64" s="1323"/>
      <c r="F64" s="1323"/>
      <c r="G64" s="1323"/>
      <c r="H64" s="1323"/>
      <c r="I64" s="1157"/>
    </row>
    <row r="65" spans="1:9">
      <c r="A65" s="1189"/>
      <c r="B65" s="1323"/>
      <c r="C65" s="1441"/>
      <c r="D65" s="1323"/>
      <c r="E65" s="1323"/>
      <c r="F65" s="1323"/>
      <c r="G65" s="1323"/>
      <c r="H65" s="1323"/>
      <c r="I65" s="1157"/>
    </row>
    <row r="66" spans="1:9">
      <c r="A66" s="1189"/>
      <c r="B66" s="1323"/>
      <c r="C66" s="1441"/>
      <c r="D66" s="1323"/>
      <c r="E66" s="1323"/>
      <c r="F66" s="1323"/>
      <c r="G66" s="1323"/>
      <c r="H66" s="1323"/>
      <c r="I66" s="1157"/>
    </row>
    <row r="67" spans="1:9">
      <c r="A67" s="1203">
        <v>17</v>
      </c>
      <c r="B67" s="1157" t="s">
        <v>196</v>
      </c>
      <c r="C67" s="1163"/>
      <c r="D67" s="1444">
        <f t="shared" ref="D67:I67" si="1">SUM(D11:D66)</f>
        <v>25653536.936000001</v>
      </c>
      <c r="E67" s="1444">
        <f t="shared" si="1"/>
        <v>25653536.936000001</v>
      </c>
      <c r="F67" s="1444">
        <f t="shared" si="1"/>
        <v>96335344</v>
      </c>
      <c r="G67" s="1444">
        <f t="shared" si="1"/>
        <v>1411382.54</v>
      </c>
      <c r="H67" s="1444">
        <f t="shared" si="1"/>
        <v>64836698</v>
      </c>
      <c r="I67" s="1444">
        <f t="shared" si="1"/>
        <v>162583424.54000002</v>
      </c>
    </row>
    <row r="68" spans="1:9">
      <c r="A68" s="1194"/>
      <c r="B68" s="1194"/>
      <c r="C68" s="1194"/>
      <c r="D68" s="1194"/>
      <c r="E68" s="1194"/>
      <c r="F68" s="1194"/>
      <c r="G68" s="1194"/>
      <c r="H68" s="1194"/>
      <c r="I68" s="1194"/>
    </row>
  </sheetData>
  <mergeCells count="7">
    <mergeCell ref="A6:I6"/>
    <mergeCell ref="A7:I7"/>
    <mergeCell ref="A8:A9"/>
    <mergeCell ref="B8:B9"/>
    <mergeCell ref="C8:C9"/>
    <mergeCell ref="D8:E8"/>
    <mergeCell ref="F8:I8"/>
  </mergeCells>
  <pageMargins left="0.75" right="0.75" top="1" bottom="1" header="0.5" footer="0.5"/>
  <customProperties>
    <customPr name="_pios_id" r:id="rId1"/>
  </customProperties>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92D050"/>
  </sheetPr>
  <dimension ref="A1:G25"/>
  <sheetViews>
    <sheetView workbookViewId="0">
      <pane ySplit="10" topLeftCell="A11" activePane="bottomLeft" state="frozen"/>
      <selection sqref="A1:XFD1048576"/>
      <selection pane="bottomLeft" sqref="A1:XFD1048576"/>
    </sheetView>
  </sheetViews>
  <sheetFormatPr defaultColWidth="11.625" defaultRowHeight="11.25"/>
  <cols>
    <col min="1" max="1" width="5.75" style="1149" customWidth="1"/>
    <col min="2" max="2" width="31.125" style="1149" customWidth="1"/>
    <col min="3" max="7" width="16" style="1149" customWidth="1"/>
    <col min="8" max="16384" width="11.625" style="1149"/>
  </cols>
  <sheetData>
    <row r="1" spans="1:7">
      <c r="A1" s="507" t="s">
        <v>4977</v>
      </c>
      <c r="B1" s="507"/>
    </row>
    <row r="2" spans="1:7">
      <c r="A2" s="507" t="s">
        <v>6778</v>
      </c>
      <c r="B2" s="507"/>
    </row>
    <row r="3" spans="1:7">
      <c r="A3" s="1333"/>
    </row>
    <row r="4" spans="1:7">
      <c r="A4" s="1333"/>
    </row>
    <row r="6" spans="1:7" ht="11.25" customHeight="1">
      <c r="A6" s="4131" t="s">
        <v>6391</v>
      </c>
      <c r="B6" s="4132"/>
      <c r="C6" s="4132"/>
      <c r="D6" s="4132"/>
      <c r="E6" s="4132"/>
      <c r="F6" s="4132"/>
      <c r="G6" s="4133"/>
    </row>
    <row r="7" spans="1:7" ht="11.25" customHeight="1">
      <c r="A7" s="4134" t="s">
        <v>6392</v>
      </c>
      <c r="B7" s="4040"/>
      <c r="C7" s="4040"/>
      <c r="D7" s="4040"/>
      <c r="E7" s="4040"/>
      <c r="F7" s="4040"/>
      <c r="G7" s="4135"/>
    </row>
    <row r="8" spans="1:7" ht="11.25" customHeight="1">
      <c r="A8" s="4136" t="s">
        <v>6393</v>
      </c>
      <c r="B8" s="4035"/>
      <c r="C8" s="4035"/>
      <c r="D8" s="4035"/>
      <c r="E8" s="4035"/>
      <c r="F8" s="4035"/>
      <c r="G8" s="4137"/>
    </row>
    <row r="9" spans="1:7" ht="45">
      <c r="A9" s="4138" t="s">
        <v>5177</v>
      </c>
      <c r="B9" s="1153" t="s">
        <v>6394</v>
      </c>
      <c r="C9" s="1153" t="s">
        <v>6395</v>
      </c>
      <c r="D9" s="1153" t="s">
        <v>6396</v>
      </c>
      <c r="E9" s="1153" t="s">
        <v>6397</v>
      </c>
      <c r="F9" s="1153" t="s">
        <v>6398</v>
      </c>
      <c r="G9" s="1445" t="s">
        <v>104</v>
      </c>
    </row>
    <row r="10" spans="1:7">
      <c r="A10" s="4139"/>
      <c r="B10" s="1202" t="s">
        <v>4989</v>
      </c>
      <c r="C10" s="1202" t="s">
        <v>4990</v>
      </c>
      <c r="D10" s="1202" t="s">
        <v>4991</v>
      </c>
      <c r="E10" s="1202" t="s">
        <v>4992</v>
      </c>
      <c r="F10" s="1202" t="s">
        <v>5181</v>
      </c>
      <c r="G10" s="1446" t="s">
        <v>5182</v>
      </c>
    </row>
    <row r="11" spans="1:7">
      <c r="A11" s="1447">
        <v>1</v>
      </c>
      <c r="B11" s="1877" t="s">
        <v>6399</v>
      </c>
      <c r="C11" s="1169"/>
      <c r="D11" s="1157"/>
      <c r="E11" s="1171">
        <v>11541190</v>
      </c>
      <c r="F11" s="1157"/>
      <c r="G11" s="1448">
        <f>SUM(C11:F11)</f>
        <v>11541190</v>
      </c>
    </row>
    <row r="12" spans="1:7">
      <c r="A12" s="1447">
        <v>2</v>
      </c>
      <c r="B12" s="1877" t="s">
        <v>88</v>
      </c>
      <c r="C12" s="1880">
        <v>39706645</v>
      </c>
      <c r="D12" s="1171">
        <v>147663</v>
      </c>
      <c r="E12" s="1723"/>
      <c r="F12" s="1281"/>
      <c r="G12" s="1448">
        <f>SUM(C12:F12)</f>
        <v>39854308</v>
      </c>
    </row>
    <row r="13" spans="1:7">
      <c r="A13" s="1447">
        <v>3</v>
      </c>
      <c r="B13" s="1877" t="s">
        <v>89</v>
      </c>
      <c r="C13" s="1169"/>
      <c r="D13" s="1157"/>
      <c r="E13" s="1157"/>
      <c r="F13" s="1157"/>
      <c r="G13" s="1449"/>
    </row>
    <row r="14" spans="1:7">
      <c r="A14" s="1447">
        <v>4</v>
      </c>
      <c r="B14" s="1877" t="s">
        <v>6400</v>
      </c>
      <c r="C14" s="1171">
        <v>20380239</v>
      </c>
      <c r="D14" s="1157"/>
      <c r="E14" s="1171">
        <v>1237952</v>
      </c>
      <c r="F14" s="1157"/>
      <c r="G14" s="1448">
        <f>SUM(C14:F14)</f>
        <v>21618191</v>
      </c>
    </row>
    <row r="15" spans="1:7">
      <c r="A15" s="1447">
        <v>5</v>
      </c>
      <c r="B15" s="1877" t="s">
        <v>6401</v>
      </c>
      <c r="C15" s="1169"/>
      <c r="D15" s="1157"/>
      <c r="E15" s="1157"/>
      <c r="F15" s="1157"/>
      <c r="G15" s="1449"/>
    </row>
    <row r="16" spans="1:7">
      <c r="A16" s="1447">
        <v>6</v>
      </c>
      <c r="B16" s="1877" t="s">
        <v>137</v>
      </c>
      <c r="C16" s="1880">
        <v>91335455</v>
      </c>
      <c r="D16" s="1171">
        <v>3217133</v>
      </c>
      <c r="E16" s="1157"/>
      <c r="F16" s="1157"/>
      <c r="G16" s="1448">
        <f>SUM(C16:F16)</f>
        <v>94552588</v>
      </c>
    </row>
    <row r="17" spans="1:7">
      <c r="A17" s="1447">
        <v>7</v>
      </c>
      <c r="B17" s="1877" t="s">
        <v>525</v>
      </c>
      <c r="C17" s="1880">
        <v>37267959</v>
      </c>
      <c r="D17" s="1171">
        <v>67565</v>
      </c>
      <c r="E17" s="1157"/>
      <c r="F17" s="1157"/>
      <c r="G17" s="1448">
        <f>SUM(C17:F17)</f>
        <v>37335524</v>
      </c>
    </row>
    <row r="18" spans="1:7">
      <c r="A18" s="1447">
        <v>8</v>
      </c>
      <c r="B18" s="1877" t="s">
        <v>469</v>
      </c>
      <c r="C18" s="1880">
        <v>171427092</v>
      </c>
      <c r="D18" s="1171">
        <v>226883</v>
      </c>
      <c r="E18" s="1157"/>
      <c r="F18" s="1157"/>
      <c r="G18" s="1448">
        <f>SUM(C18:F18)</f>
        <v>171653975</v>
      </c>
    </row>
    <row r="19" spans="1:7">
      <c r="A19" s="1447">
        <v>9</v>
      </c>
      <c r="B19" s="1341" t="s">
        <v>5586</v>
      </c>
      <c r="C19" s="1157"/>
      <c r="D19" s="1157"/>
      <c r="E19" s="1157"/>
      <c r="F19" s="1157"/>
      <c r="G19" s="1449"/>
    </row>
    <row r="20" spans="1:7">
      <c r="A20" s="1447">
        <v>10</v>
      </c>
      <c r="B20" s="1877" t="s">
        <v>92</v>
      </c>
      <c r="C20" s="1880">
        <v>15618734</v>
      </c>
      <c r="D20" s="1157"/>
      <c r="E20" s="1157"/>
      <c r="F20" s="1157"/>
      <c r="G20" s="1448">
        <f>SUM(C20:F20)</f>
        <v>15618734</v>
      </c>
    </row>
    <row r="21" spans="1:7">
      <c r="A21" s="1447">
        <v>11</v>
      </c>
      <c r="B21" s="1877" t="s">
        <v>431</v>
      </c>
      <c r="C21" s="1171">
        <v>18014285</v>
      </c>
      <c r="D21" s="1171">
        <v>105177</v>
      </c>
      <c r="E21" s="1171">
        <v>44095861</v>
      </c>
      <c r="F21" s="1157"/>
      <c r="G21" s="1448">
        <f>SUM(C21:F21)</f>
        <v>62215323</v>
      </c>
    </row>
    <row r="22" spans="1:7">
      <c r="A22" s="1447">
        <v>12</v>
      </c>
      <c r="B22" s="1877" t="s">
        <v>104</v>
      </c>
      <c r="C22" s="1880">
        <f>SUM(C11:C21)</f>
        <v>393750409</v>
      </c>
      <c r="D22" s="1880">
        <f>SUM(D11:D21)</f>
        <v>3764421</v>
      </c>
      <c r="E22" s="1880">
        <f>SUM(E11:E21)</f>
        <v>56875003</v>
      </c>
      <c r="F22" s="1880">
        <f>SUM(F11:F21)</f>
        <v>0</v>
      </c>
      <c r="G22" s="2662">
        <f>SUM(G11:G21)</f>
        <v>454389833</v>
      </c>
    </row>
    <row r="23" spans="1:7" ht="11.25" customHeight="1">
      <c r="A23" s="4140" t="s">
        <v>6402</v>
      </c>
      <c r="B23" s="3938"/>
      <c r="C23" s="3938"/>
      <c r="D23" s="3938"/>
      <c r="E23" s="3938"/>
      <c r="F23" s="3938"/>
      <c r="G23" s="4141"/>
    </row>
    <row r="24" spans="1:7">
      <c r="A24" s="1450" t="s">
        <v>5366</v>
      </c>
      <c r="B24" s="4129"/>
      <c r="C24" s="4129"/>
      <c r="D24" s="4129"/>
      <c r="E24" s="4129"/>
      <c r="F24" s="4129"/>
      <c r="G24" s="4130"/>
    </row>
    <row r="25" spans="1:7">
      <c r="A25" s="1196"/>
      <c r="B25" s="1196"/>
      <c r="C25" s="1196"/>
      <c r="D25" s="1196"/>
      <c r="E25" s="1196"/>
      <c r="F25" s="1196"/>
      <c r="G25" s="1196"/>
    </row>
  </sheetData>
  <mergeCells count="6">
    <mergeCell ref="B24:G24"/>
    <mergeCell ref="A6:G6"/>
    <mergeCell ref="A7:G7"/>
    <mergeCell ref="A8:G8"/>
    <mergeCell ref="A9:A10"/>
    <mergeCell ref="A23:G23"/>
  </mergeCells>
  <pageMargins left="0.75" right="0.75" top="1" bottom="1" header="0.5" footer="0.5"/>
  <customProperties>
    <customPr name="_pios_id" r:id="rId1"/>
  </customProperties>
  <legacy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rgb="FF92D050"/>
  </sheetPr>
  <dimension ref="A1:E112"/>
  <sheetViews>
    <sheetView workbookViewId="0">
      <pane ySplit="9" topLeftCell="A10" activePane="bottomLeft" state="frozen"/>
      <selection sqref="A1:XFD1048576"/>
      <selection pane="bottomLeft" sqref="A1:XFD1048576"/>
    </sheetView>
  </sheetViews>
  <sheetFormatPr defaultColWidth="11.625" defaultRowHeight="11.25"/>
  <cols>
    <col min="1" max="1" width="6.375" style="1149" customWidth="1"/>
    <col min="2" max="2" width="45.25" style="1149" bestFit="1" customWidth="1"/>
    <col min="3" max="3" width="8.75" style="1149" bestFit="1" customWidth="1"/>
    <col min="4" max="4" width="18.375" style="1149" bestFit="1" customWidth="1"/>
    <col min="5" max="5" width="8.375" style="1149" bestFit="1" customWidth="1"/>
    <col min="6" max="22" width="17.625" style="1149" customWidth="1"/>
    <col min="23" max="16384" width="11.625" style="1149"/>
  </cols>
  <sheetData>
    <row r="1" spans="1:5">
      <c r="A1" s="507" t="s">
        <v>4977</v>
      </c>
      <c r="B1" s="507"/>
    </row>
    <row r="2" spans="1:5">
      <c r="A2" s="507" t="s">
        <v>6778</v>
      </c>
      <c r="B2" s="507"/>
    </row>
    <row r="3" spans="1:5">
      <c r="A3" s="1197"/>
    </row>
    <row r="4" spans="1:5">
      <c r="A4" s="1197"/>
    </row>
    <row r="5" spans="1:5" ht="10.5" customHeight="1"/>
    <row r="6" spans="1:5" ht="11.25" customHeight="1">
      <c r="A6" s="3953" t="s">
        <v>6403</v>
      </c>
      <c r="B6" s="3938"/>
      <c r="C6" s="3938"/>
      <c r="D6" s="3938"/>
      <c r="E6" s="3939"/>
    </row>
    <row r="7" spans="1:5">
      <c r="A7" s="4126" t="s">
        <v>6404</v>
      </c>
      <c r="B7" s="3938"/>
      <c r="C7" s="3938"/>
      <c r="D7" s="3938"/>
      <c r="E7" s="3939"/>
    </row>
    <row r="8" spans="1:5" ht="22.5">
      <c r="A8" s="1153" t="s">
        <v>5177</v>
      </c>
      <c r="B8" s="1153" t="s">
        <v>547</v>
      </c>
      <c r="C8" s="1153" t="s">
        <v>6405</v>
      </c>
      <c r="D8" s="1153" t="s">
        <v>6406</v>
      </c>
      <c r="E8" s="1153" t="s">
        <v>104</v>
      </c>
    </row>
    <row r="9" spans="1:5">
      <c r="A9" s="1184"/>
      <c r="B9" s="1202" t="s">
        <v>4989</v>
      </c>
      <c r="C9" s="1202" t="s">
        <v>4990</v>
      </c>
      <c r="D9" s="1202" t="s">
        <v>4991</v>
      </c>
      <c r="E9" s="1202" t="s">
        <v>4992</v>
      </c>
    </row>
    <row r="10" spans="1:5">
      <c r="A10" s="1203">
        <v>1</v>
      </c>
      <c r="B10" s="1204" t="s">
        <v>510</v>
      </c>
      <c r="C10" s="4142"/>
      <c r="D10" s="4144"/>
      <c r="E10" s="4143"/>
    </row>
    <row r="11" spans="1:5">
      <c r="A11" s="1203">
        <v>2</v>
      </c>
      <c r="B11" s="1204" t="s">
        <v>436</v>
      </c>
      <c r="C11" s="4142"/>
      <c r="D11" s="4144"/>
      <c r="E11" s="4143"/>
    </row>
    <row r="12" spans="1:5">
      <c r="A12" s="1203">
        <v>3</v>
      </c>
      <c r="B12" s="1257" t="s">
        <v>105</v>
      </c>
      <c r="C12" s="1171">
        <v>27351096</v>
      </c>
      <c r="D12" s="4142"/>
      <c r="E12" s="4143"/>
    </row>
    <row r="13" spans="1:5">
      <c r="A13" s="1203">
        <v>4</v>
      </c>
      <c r="B13" s="1257" t="s">
        <v>106</v>
      </c>
      <c r="C13" s="1171">
        <v>8264727</v>
      </c>
      <c r="D13" s="4142"/>
      <c r="E13" s="4143"/>
    </row>
    <row r="14" spans="1:5">
      <c r="A14" s="1203">
        <v>5</v>
      </c>
      <c r="B14" s="1204" t="s">
        <v>6407</v>
      </c>
      <c r="C14" s="1168">
        <v>0</v>
      </c>
      <c r="D14" s="4142"/>
      <c r="E14" s="4143"/>
    </row>
    <row r="15" spans="1:5">
      <c r="A15" s="1203">
        <v>6</v>
      </c>
      <c r="B15" s="1257" t="s">
        <v>511</v>
      </c>
      <c r="C15" s="1171">
        <v>30436062</v>
      </c>
      <c r="D15" s="4142"/>
      <c r="E15" s="4143"/>
    </row>
    <row r="16" spans="1:5">
      <c r="A16" s="1203">
        <v>7</v>
      </c>
      <c r="B16" s="1257" t="s">
        <v>512</v>
      </c>
      <c r="C16" s="1171">
        <v>10042836</v>
      </c>
      <c r="D16" s="4142"/>
      <c r="E16" s="4143"/>
    </row>
    <row r="17" spans="1:5">
      <c r="A17" s="1203">
        <v>8</v>
      </c>
      <c r="B17" s="1257" t="s">
        <v>513</v>
      </c>
      <c r="C17" s="1171">
        <v>2377648</v>
      </c>
      <c r="D17" s="4142"/>
      <c r="E17" s="4143"/>
    </row>
    <row r="18" spans="1:5">
      <c r="A18" s="1203">
        <v>9</v>
      </c>
      <c r="B18" s="1257" t="s">
        <v>514</v>
      </c>
      <c r="C18" s="1171">
        <v>834733</v>
      </c>
      <c r="D18" s="4142"/>
      <c r="E18" s="4143"/>
    </row>
    <row r="19" spans="1:5">
      <c r="A19" s="1203">
        <v>10</v>
      </c>
      <c r="B19" s="1257" t="s">
        <v>515</v>
      </c>
      <c r="C19" s="1171">
        <v>42501370</v>
      </c>
      <c r="D19" s="4142"/>
      <c r="E19" s="4143"/>
    </row>
    <row r="20" spans="1:5">
      <c r="A20" s="1203">
        <v>11</v>
      </c>
      <c r="B20" s="1257" t="s">
        <v>6408</v>
      </c>
      <c r="C20" s="1171">
        <f>SUM(C12:C19)</f>
        <v>121808472</v>
      </c>
      <c r="D20" s="4142"/>
      <c r="E20" s="4143"/>
    </row>
    <row r="21" spans="1:5">
      <c r="A21" s="1203">
        <v>12</v>
      </c>
      <c r="B21" s="1204" t="s">
        <v>437</v>
      </c>
      <c r="C21" s="4142"/>
      <c r="D21" s="4144"/>
      <c r="E21" s="4143"/>
    </row>
    <row r="22" spans="1:5">
      <c r="A22" s="1203">
        <v>13</v>
      </c>
      <c r="B22" s="1257" t="s">
        <v>105</v>
      </c>
      <c r="C22" s="1171">
        <v>5284488</v>
      </c>
      <c r="D22" s="4142"/>
      <c r="E22" s="4143"/>
    </row>
    <row r="23" spans="1:5">
      <c r="A23" s="1203">
        <v>14</v>
      </c>
      <c r="B23" s="1257" t="s">
        <v>106</v>
      </c>
      <c r="C23" s="1171">
        <v>2233833</v>
      </c>
      <c r="D23" s="4142"/>
      <c r="E23" s="4143"/>
    </row>
    <row r="24" spans="1:5">
      <c r="A24" s="1203">
        <v>15</v>
      </c>
      <c r="B24" s="1257" t="s">
        <v>6407</v>
      </c>
      <c r="C24" s="1171">
        <v>0</v>
      </c>
      <c r="D24" s="4142"/>
      <c r="E24" s="4143"/>
    </row>
    <row r="25" spans="1:5">
      <c r="A25" s="1203">
        <v>16</v>
      </c>
      <c r="B25" s="1257" t="s">
        <v>511</v>
      </c>
      <c r="C25" s="1171">
        <v>10369106</v>
      </c>
      <c r="D25" s="4142"/>
      <c r="E25" s="4143"/>
    </row>
    <row r="26" spans="1:5">
      <c r="A26" s="1203">
        <v>17</v>
      </c>
      <c r="B26" s="1257" t="s">
        <v>515</v>
      </c>
      <c r="C26" s="1171">
        <v>46045</v>
      </c>
      <c r="D26" s="4142"/>
      <c r="E26" s="4143"/>
    </row>
    <row r="27" spans="1:5">
      <c r="A27" s="1203">
        <v>18</v>
      </c>
      <c r="B27" s="1257" t="s">
        <v>6409</v>
      </c>
      <c r="C27" s="1171">
        <f>SUM(C22:C26)</f>
        <v>17933472</v>
      </c>
      <c r="D27" s="4142"/>
      <c r="E27" s="4143"/>
    </row>
    <row r="28" spans="1:5">
      <c r="A28" s="1203">
        <v>19</v>
      </c>
      <c r="B28" s="1204" t="s">
        <v>6410</v>
      </c>
      <c r="C28" s="4142"/>
      <c r="D28" s="4144"/>
      <c r="E28" s="4143"/>
    </row>
    <row r="29" spans="1:5">
      <c r="A29" s="1203">
        <v>20</v>
      </c>
      <c r="B29" s="1257" t="s">
        <v>6411</v>
      </c>
      <c r="C29" s="1171">
        <f>C12+C22</f>
        <v>32635584</v>
      </c>
      <c r="D29" s="4142"/>
      <c r="E29" s="4143"/>
    </row>
    <row r="30" spans="1:5">
      <c r="A30" s="1203">
        <v>21</v>
      </c>
      <c r="B30" s="1257" t="s">
        <v>6412</v>
      </c>
      <c r="C30" s="1171">
        <f>C13+C23</f>
        <v>10498560</v>
      </c>
      <c r="D30" s="4142"/>
      <c r="E30" s="4143"/>
    </row>
    <row r="31" spans="1:5">
      <c r="A31" s="1203">
        <v>22</v>
      </c>
      <c r="B31" s="1257" t="s">
        <v>6413</v>
      </c>
      <c r="C31" s="1171">
        <f>C14+C24</f>
        <v>0</v>
      </c>
      <c r="D31" s="4142"/>
      <c r="E31" s="4143"/>
    </row>
    <row r="32" spans="1:5">
      <c r="A32" s="1203">
        <v>23</v>
      </c>
      <c r="B32" s="1257" t="s">
        <v>6414</v>
      </c>
      <c r="C32" s="1171">
        <f>C15+C25</f>
        <v>40805168</v>
      </c>
      <c r="D32" s="4142"/>
      <c r="E32" s="4143"/>
    </row>
    <row r="33" spans="1:5">
      <c r="A33" s="1203">
        <v>24</v>
      </c>
      <c r="B33" s="1257" t="s">
        <v>6415</v>
      </c>
      <c r="C33" s="1171">
        <f>C16</f>
        <v>10042836</v>
      </c>
      <c r="D33" s="4142"/>
      <c r="E33" s="4143"/>
    </row>
    <row r="34" spans="1:5">
      <c r="A34" s="1203">
        <v>25</v>
      </c>
      <c r="B34" s="1257" t="s">
        <v>6416</v>
      </c>
      <c r="C34" s="1171">
        <f>C17</f>
        <v>2377648</v>
      </c>
      <c r="D34" s="4142"/>
      <c r="E34" s="4143"/>
    </row>
    <row r="35" spans="1:5">
      <c r="A35" s="1203">
        <v>26</v>
      </c>
      <c r="B35" s="1257" t="s">
        <v>6417</v>
      </c>
      <c r="C35" s="1171">
        <f>C18</f>
        <v>834733</v>
      </c>
      <c r="D35" s="4142"/>
      <c r="E35" s="4143"/>
    </row>
    <row r="36" spans="1:5">
      <c r="A36" s="1203">
        <v>27</v>
      </c>
      <c r="B36" s="1257" t="s">
        <v>6418</v>
      </c>
      <c r="C36" s="1171">
        <f>C19+C26</f>
        <v>42547415</v>
      </c>
      <c r="D36" s="4142"/>
      <c r="E36" s="4143"/>
    </row>
    <row r="37" spans="1:5">
      <c r="A37" s="1203">
        <v>28</v>
      </c>
      <c r="B37" s="1257" t="s">
        <v>6419</v>
      </c>
      <c r="C37" s="1171">
        <f>SUM(C29:C36)</f>
        <v>139741944</v>
      </c>
      <c r="D37" s="1168">
        <v>1183428</v>
      </c>
      <c r="E37" s="1168">
        <v>140925372</v>
      </c>
    </row>
    <row r="38" spans="1:5">
      <c r="A38" s="1203">
        <v>29</v>
      </c>
      <c r="B38" s="1204" t="s">
        <v>894</v>
      </c>
      <c r="C38" s="4142"/>
      <c r="D38" s="4144"/>
      <c r="E38" s="4143"/>
    </row>
    <row r="39" spans="1:5">
      <c r="A39" s="1203">
        <v>30</v>
      </c>
      <c r="B39" s="1204" t="s">
        <v>436</v>
      </c>
      <c r="C39" s="4142"/>
      <c r="D39" s="4144"/>
      <c r="E39" s="4143"/>
    </row>
    <row r="40" spans="1:5">
      <c r="A40" s="1203">
        <v>31</v>
      </c>
      <c r="B40" s="1204" t="s">
        <v>6420</v>
      </c>
      <c r="C40" s="1168">
        <v>136885</v>
      </c>
      <c r="D40" s="4142"/>
      <c r="E40" s="4143"/>
    </row>
    <row r="41" spans="1:5">
      <c r="A41" s="1203">
        <v>32</v>
      </c>
      <c r="B41" s="1204" t="s">
        <v>6421</v>
      </c>
      <c r="C41" s="1168">
        <v>0</v>
      </c>
      <c r="D41" s="4142"/>
      <c r="E41" s="4143"/>
    </row>
    <row r="42" spans="1:5">
      <c r="A42" s="1203">
        <v>33</v>
      </c>
      <c r="B42" s="1204" t="s">
        <v>6422</v>
      </c>
      <c r="C42" s="1168">
        <v>3296815</v>
      </c>
      <c r="D42" s="4142"/>
      <c r="E42" s="4143"/>
    </row>
    <row r="43" spans="1:5">
      <c r="A43" s="1203">
        <v>34</v>
      </c>
      <c r="B43" s="1204" t="s">
        <v>6423</v>
      </c>
      <c r="C43" s="1168">
        <v>1171360</v>
      </c>
      <c r="D43" s="4142"/>
      <c r="E43" s="4143"/>
    </row>
    <row r="44" spans="1:5">
      <c r="A44" s="1203">
        <v>35</v>
      </c>
      <c r="B44" s="1204" t="s">
        <v>106</v>
      </c>
      <c r="C44" s="1168">
        <v>0</v>
      </c>
      <c r="D44" s="4142"/>
      <c r="E44" s="4143"/>
    </row>
    <row r="45" spans="1:5">
      <c r="A45" s="1203">
        <v>36</v>
      </c>
      <c r="B45" s="1204" t="s">
        <v>511</v>
      </c>
      <c r="C45" s="1168">
        <v>22638924</v>
      </c>
      <c r="D45" s="4142"/>
      <c r="E45" s="4143"/>
    </row>
    <row r="46" spans="1:5">
      <c r="A46" s="1203">
        <v>37</v>
      </c>
      <c r="B46" s="1204" t="s">
        <v>512</v>
      </c>
      <c r="C46" s="1168">
        <v>7250478</v>
      </c>
      <c r="D46" s="4142"/>
      <c r="E46" s="4143"/>
    </row>
    <row r="47" spans="1:5">
      <c r="A47" s="1203">
        <v>38</v>
      </c>
      <c r="B47" s="1204" t="s">
        <v>513</v>
      </c>
      <c r="C47" s="1168">
        <v>1274982</v>
      </c>
      <c r="D47" s="4142"/>
      <c r="E47" s="4143"/>
    </row>
    <row r="48" spans="1:5">
      <c r="A48" s="1203">
        <v>39</v>
      </c>
      <c r="B48" s="1204" t="s">
        <v>514</v>
      </c>
      <c r="C48" s="1168">
        <v>-68839</v>
      </c>
      <c r="D48" s="4142"/>
      <c r="E48" s="4143"/>
    </row>
    <row r="49" spans="1:5">
      <c r="A49" s="1203">
        <v>40</v>
      </c>
      <c r="B49" s="1204" t="s">
        <v>515</v>
      </c>
      <c r="C49" s="1168">
        <v>18017462</v>
      </c>
      <c r="D49" s="4142"/>
      <c r="E49" s="4143"/>
    </row>
    <row r="50" spans="1:5">
      <c r="A50" s="1203">
        <v>41</v>
      </c>
      <c r="B50" s="1204" t="s">
        <v>6424</v>
      </c>
      <c r="C50" s="1187">
        <f>SUM(C40:C49)</f>
        <v>53718067</v>
      </c>
      <c r="D50" s="4142"/>
      <c r="E50" s="4143"/>
    </row>
    <row r="51" spans="1:5">
      <c r="A51" s="1203">
        <v>42</v>
      </c>
      <c r="B51" s="1204" t="s">
        <v>437</v>
      </c>
      <c r="C51" s="4142"/>
      <c r="D51" s="4144"/>
      <c r="E51" s="4143"/>
    </row>
    <row r="52" spans="1:5">
      <c r="A52" s="1203">
        <v>43</v>
      </c>
      <c r="B52" s="1204" t="s">
        <v>6420</v>
      </c>
      <c r="C52" s="1168">
        <v>0</v>
      </c>
      <c r="D52" s="4142"/>
      <c r="E52" s="4143"/>
    </row>
    <row r="53" spans="1:5">
      <c r="A53" s="1203">
        <v>44</v>
      </c>
      <c r="B53" s="1204" t="s">
        <v>6425</v>
      </c>
      <c r="C53" s="1168">
        <v>0</v>
      </c>
      <c r="D53" s="4142"/>
      <c r="E53" s="4143"/>
    </row>
    <row r="54" spans="1:5">
      <c r="A54" s="1203">
        <v>45</v>
      </c>
      <c r="B54" s="1204" t="s">
        <v>6422</v>
      </c>
      <c r="C54" s="1168">
        <v>0</v>
      </c>
      <c r="D54" s="4142"/>
      <c r="E54" s="4143"/>
    </row>
    <row r="55" spans="1:5">
      <c r="A55" s="1203">
        <v>46</v>
      </c>
      <c r="B55" s="1204" t="s">
        <v>6423</v>
      </c>
      <c r="C55" s="1168">
        <v>408617</v>
      </c>
      <c r="D55" s="4142"/>
      <c r="E55" s="4143"/>
    </row>
    <row r="56" spans="1:5">
      <c r="A56" s="1203">
        <v>47</v>
      </c>
      <c r="B56" s="1204" t="s">
        <v>106</v>
      </c>
      <c r="C56" s="1168">
        <v>0</v>
      </c>
      <c r="D56" s="4142"/>
      <c r="E56" s="4143"/>
    </row>
    <row r="57" spans="1:5">
      <c r="A57" s="1214"/>
      <c r="B57" s="1214"/>
      <c r="C57" s="1214"/>
      <c r="D57" s="1214"/>
      <c r="E57" s="1214"/>
    </row>
    <row r="58" spans="1:5" ht="11.25" customHeight="1">
      <c r="A58" s="3943" t="s">
        <v>6426</v>
      </c>
      <c r="B58" s="3943"/>
      <c r="C58" s="3943"/>
      <c r="D58" s="3943"/>
      <c r="E58" s="3943"/>
    </row>
    <row r="59" spans="1:5" ht="11.25" customHeight="1">
      <c r="A59" s="3970" t="s">
        <v>6427</v>
      </c>
      <c r="B59" s="3971"/>
      <c r="C59" s="3971"/>
      <c r="D59" s="3971"/>
      <c r="E59" s="3972"/>
    </row>
    <row r="60" spans="1:5" ht="22.5">
      <c r="A60" s="4121" t="s">
        <v>5177</v>
      </c>
      <c r="B60" s="1227" t="s">
        <v>547</v>
      </c>
      <c r="C60" s="1227" t="s">
        <v>6405</v>
      </c>
      <c r="D60" s="1227" t="s">
        <v>6406</v>
      </c>
      <c r="E60" s="1227" t="s">
        <v>104</v>
      </c>
    </row>
    <row r="61" spans="1:5">
      <c r="A61" s="4145"/>
      <c r="B61" s="1231" t="s">
        <v>4989</v>
      </c>
      <c r="C61" s="1231" t="s">
        <v>4990</v>
      </c>
      <c r="D61" s="1231" t="s">
        <v>4991</v>
      </c>
      <c r="E61" s="1231" t="s">
        <v>4992</v>
      </c>
    </row>
    <row r="62" spans="1:5">
      <c r="A62" s="1431">
        <v>48</v>
      </c>
      <c r="B62" s="1204" t="s">
        <v>511</v>
      </c>
      <c r="C62" s="1168">
        <v>6883345</v>
      </c>
      <c r="D62" s="4142"/>
      <c r="E62" s="4143"/>
    </row>
    <row r="63" spans="1:5">
      <c r="A63" s="1431">
        <v>49</v>
      </c>
      <c r="B63" s="1204" t="s">
        <v>515</v>
      </c>
      <c r="C63" s="1168">
        <v>64127</v>
      </c>
      <c r="D63" s="4142"/>
      <c r="E63" s="4143"/>
    </row>
    <row r="64" spans="1:5">
      <c r="A64" s="1431">
        <v>50</v>
      </c>
      <c r="B64" s="1204" t="s">
        <v>6428</v>
      </c>
      <c r="C64" s="1187">
        <f>SUM(C62:C63,C52:C56)</f>
        <v>7356089</v>
      </c>
      <c r="D64" s="4142"/>
      <c r="E64" s="4143"/>
    </row>
    <row r="65" spans="1:5">
      <c r="A65" s="1431">
        <v>51</v>
      </c>
      <c r="B65" s="1204" t="s">
        <v>6410</v>
      </c>
      <c r="C65" s="4142"/>
      <c r="D65" s="4144"/>
      <c r="E65" s="4143"/>
    </row>
    <row r="66" spans="1:5">
      <c r="A66" s="1431">
        <v>52</v>
      </c>
      <c r="B66" s="1204" t="s">
        <v>6429</v>
      </c>
      <c r="C66" s="1187">
        <f>C40+C52</f>
        <v>136885</v>
      </c>
      <c r="D66" s="4142"/>
      <c r="E66" s="4143"/>
    </row>
    <row r="67" spans="1:5">
      <c r="A67" s="1431">
        <v>53</v>
      </c>
      <c r="B67" s="1204" t="s">
        <v>6430</v>
      </c>
      <c r="C67" s="1187">
        <f>C41+C53</f>
        <v>0</v>
      </c>
      <c r="D67" s="4142"/>
      <c r="E67" s="4143"/>
    </row>
    <row r="68" spans="1:5">
      <c r="A68" s="1431">
        <v>54</v>
      </c>
      <c r="B68" s="1204" t="s">
        <v>6431</v>
      </c>
      <c r="C68" s="1187">
        <f>C54+C42</f>
        <v>3296815</v>
      </c>
      <c r="D68" s="4142"/>
      <c r="E68" s="4143"/>
    </row>
    <row r="69" spans="1:5">
      <c r="A69" s="1431">
        <v>55</v>
      </c>
      <c r="B69" s="1204" t="s">
        <v>6432</v>
      </c>
      <c r="C69" s="1187">
        <f>SUM(C43,C55)</f>
        <v>1579977</v>
      </c>
      <c r="D69" s="4142"/>
      <c r="E69" s="4143"/>
    </row>
    <row r="70" spans="1:5">
      <c r="A70" s="1431">
        <v>56</v>
      </c>
      <c r="B70" s="1204" t="s">
        <v>6433</v>
      </c>
      <c r="C70" s="1187">
        <f>C44+C56</f>
        <v>0</v>
      </c>
      <c r="D70" s="4142"/>
      <c r="E70" s="4143"/>
    </row>
    <row r="71" spans="1:5">
      <c r="A71" s="1431">
        <v>57</v>
      </c>
      <c r="B71" s="1204" t="s">
        <v>6434</v>
      </c>
      <c r="C71" s="1187">
        <f>C45+C62</f>
        <v>29522269</v>
      </c>
      <c r="D71" s="4142"/>
      <c r="E71" s="4143"/>
    </row>
    <row r="72" spans="1:5">
      <c r="A72" s="1431">
        <v>58</v>
      </c>
      <c r="B72" s="1204" t="s">
        <v>6435</v>
      </c>
      <c r="C72" s="1187">
        <f>C46</f>
        <v>7250478</v>
      </c>
      <c r="D72" s="4142"/>
      <c r="E72" s="4143"/>
    </row>
    <row r="73" spans="1:5">
      <c r="A73" s="1431">
        <v>59</v>
      </c>
      <c r="B73" s="1204" t="s">
        <v>6436</v>
      </c>
      <c r="C73" s="1187">
        <f>C47</f>
        <v>1274982</v>
      </c>
      <c r="D73" s="4142"/>
      <c r="E73" s="4143"/>
    </row>
    <row r="74" spans="1:5">
      <c r="A74" s="1431">
        <v>60</v>
      </c>
      <c r="B74" s="1204" t="s">
        <v>6437</v>
      </c>
      <c r="C74" s="1187">
        <f>C48</f>
        <v>-68839</v>
      </c>
      <c r="D74" s="4142"/>
      <c r="E74" s="4143"/>
    </row>
    <row r="75" spans="1:5">
      <c r="A75" s="1431">
        <v>61</v>
      </c>
      <c r="B75" s="1204" t="s">
        <v>6438</v>
      </c>
      <c r="C75" s="1187">
        <f>C49+C63</f>
        <v>18081589</v>
      </c>
      <c r="D75" s="4142"/>
      <c r="E75" s="4143"/>
    </row>
    <row r="76" spans="1:5">
      <c r="A76" s="1431">
        <v>62</v>
      </c>
      <c r="B76" s="1204" t="s">
        <v>6439</v>
      </c>
      <c r="C76" s="1187">
        <f>SUM(C66:C75)</f>
        <v>61074156</v>
      </c>
      <c r="D76" s="1168">
        <v>517217</v>
      </c>
      <c r="E76" s="1168">
        <v>61591373</v>
      </c>
    </row>
    <row r="77" spans="1:5">
      <c r="A77" s="1431">
        <v>63</v>
      </c>
      <c r="B77" s="1204" t="s">
        <v>6440</v>
      </c>
      <c r="C77" s="1157"/>
      <c r="D77" s="1157"/>
      <c r="E77" s="1157"/>
    </row>
    <row r="78" spans="1:5">
      <c r="A78" s="1431">
        <v>64</v>
      </c>
      <c r="B78" s="1204" t="s">
        <v>277</v>
      </c>
      <c r="C78" s="1157"/>
      <c r="D78" s="1157"/>
      <c r="E78" s="1157"/>
    </row>
    <row r="79" spans="1:5">
      <c r="A79" s="1431">
        <v>65</v>
      </c>
      <c r="B79" s="1204" t="s">
        <v>6441</v>
      </c>
      <c r="C79" s="1187">
        <f>C76+C78+C37</f>
        <v>200816100</v>
      </c>
      <c r="D79" s="1187">
        <f>D76+D78+D37</f>
        <v>1700645</v>
      </c>
      <c r="E79" s="1187">
        <f>SUM(C79:D79)</f>
        <v>202516745</v>
      </c>
    </row>
    <row r="80" spans="1:5">
      <c r="A80" s="1431">
        <v>66</v>
      </c>
      <c r="B80" s="1204" t="s">
        <v>272</v>
      </c>
      <c r="C80" s="4146"/>
      <c r="D80" s="4147"/>
      <c r="E80" s="4148"/>
    </row>
    <row r="81" spans="1:5">
      <c r="A81" s="1431">
        <v>67</v>
      </c>
      <c r="B81" s="1204" t="s">
        <v>6442</v>
      </c>
      <c r="C81" s="4142"/>
      <c r="D81" s="4144"/>
      <c r="E81" s="4143"/>
    </row>
    <row r="82" spans="1:5">
      <c r="A82" s="1431">
        <v>68</v>
      </c>
      <c r="B82" s="1204" t="s">
        <v>6443</v>
      </c>
      <c r="C82" s="1168">
        <v>98923472</v>
      </c>
      <c r="D82" s="1168">
        <v>837749</v>
      </c>
      <c r="E82" s="1168">
        <v>99761221</v>
      </c>
    </row>
    <row r="83" spans="1:5">
      <c r="A83" s="1431">
        <v>69</v>
      </c>
      <c r="B83" s="1204" t="s">
        <v>6444</v>
      </c>
      <c r="C83" s="1168">
        <v>34648077</v>
      </c>
      <c r="D83" s="1168">
        <v>293423</v>
      </c>
      <c r="E83" s="1168">
        <v>34941500</v>
      </c>
    </row>
    <row r="84" spans="1:5">
      <c r="A84" s="1431">
        <v>70</v>
      </c>
      <c r="B84" s="1204" t="s">
        <v>6445</v>
      </c>
      <c r="C84" s="1168">
        <v>62974205</v>
      </c>
      <c r="D84" s="1168">
        <v>533307</v>
      </c>
      <c r="E84" s="1168">
        <v>63507512</v>
      </c>
    </row>
    <row r="85" spans="1:5">
      <c r="A85" s="1431">
        <v>71</v>
      </c>
      <c r="B85" s="1204" t="s">
        <v>6446</v>
      </c>
      <c r="C85" s="1187">
        <f>SUM(C82:C84)</f>
        <v>196545754</v>
      </c>
      <c r="D85" s="1187">
        <f>SUM(D82:D84)</f>
        <v>1664479</v>
      </c>
      <c r="E85" s="1187">
        <f>SUM(C85:D85)</f>
        <v>198210233</v>
      </c>
    </row>
    <row r="86" spans="1:5">
      <c r="A86" s="1431">
        <v>72</v>
      </c>
      <c r="B86" s="1204" t="s">
        <v>6447</v>
      </c>
      <c r="C86" s="4142"/>
      <c r="D86" s="4144"/>
      <c r="E86" s="4143"/>
    </row>
    <row r="87" spans="1:5">
      <c r="A87" s="1431">
        <v>73</v>
      </c>
      <c r="B87" s="1204" t="s">
        <v>6443</v>
      </c>
      <c r="C87" s="1168">
        <v>2792636</v>
      </c>
      <c r="D87" s="1168">
        <v>23650</v>
      </c>
      <c r="E87" s="1168">
        <v>2816286</v>
      </c>
    </row>
    <row r="88" spans="1:5">
      <c r="A88" s="1431">
        <v>74</v>
      </c>
      <c r="B88" s="1204" t="s">
        <v>6444</v>
      </c>
      <c r="C88" s="1168">
        <v>2698739</v>
      </c>
      <c r="D88" s="1168">
        <v>22855</v>
      </c>
      <c r="E88" s="1168">
        <v>2721594</v>
      </c>
    </row>
    <row r="89" spans="1:5">
      <c r="A89" s="1431">
        <v>75</v>
      </c>
      <c r="B89" s="1204" t="s">
        <v>6445</v>
      </c>
      <c r="C89" s="1168">
        <v>368944</v>
      </c>
      <c r="D89" s="1168">
        <v>3124</v>
      </c>
      <c r="E89" s="1168">
        <v>372068</v>
      </c>
    </row>
    <row r="90" spans="1:5">
      <c r="A90" s="1431">
        <v>76</v>
      </c>
      <c r="B90" s="1204" t="s">
        <v>6448</v>
      </c>
      <c r="C90" s="1187">
        <f>SUM(C87:C89)</f>
        <v>5860319</v>
      </c>
      <c r="D90" s="1187">
        <f>SUM(D87:D89)</f>
        <v>49629</v>
      </c>
      <c r="E90" s="1187">
        <f>SUM(C90:D90)</f>
        <v>5909948</v>
      </c>
    </row>
    <row r="91" spans="1:5">
      <c r="A91" s="1431">
        <v>77</v>
      </c>
      <c r="B91" s="1204" t="s">
        <v>6449</v>
      </c>
      <c r="C91" s="1168">
        <v>29561888</v>
      </c>
      <c r="D91" s="1168">
        <v>250350</v>
      </c>
      <c r="E91" s="1168">
        <v>29812238</v>
      </c>
    </row>
    <row r="92" spans="1:5">
      <c r="A92" s="1431">
        <v>78</v>
      </c>
      <c r="B92" s="1204"/>
      <c r="C92" s="1189"/>
      <c r="D92" s="1157"/>
      <c r="E92" s="1189"/>
    </row>
    <row r="93" spans="1:5">
      <c r="A93" s="1431">
        <v>79</v>
      </c>
      <c r="B93" s="1204"/>
      <c r="C93" s="1189"/>
      <c r="D93" s="1189"/>
      <c r="E93" s="1157"/>
    </row>
    <row r="94" spans="1:5">
      <c r="A94" s="1431">
        <v>80</v>
      </c>
      <c r="B94" s="1204"/>
      <c r="C94" s="1189"/>
      <c r="D94" s="1157"/>
      <c r="E94" s="1189"/>
    </row>
    <row r="95" spans="1:5">
      <c r="A95" s="1431">
        <v>81</v>
      </c>
      <c r="B95" s="1204"/>
      <c r="C95" s="1189"/>
      <c r="D95" s="1189"/>
      <c r="E95" s="1157"/>
    </row>
    <row r="96" spans="1:5">
      <c r="A96" s="1431">
        <v>82</v>
      </c>
      <c r="B96" s="1204"/>
      <c r="C96" s="1189"/>
      <c r="D96" s="1157"/>
      <c r="E96" s="1189"/>
    </row>
    <row r="97" spans="1:5">
      <c r="A97" s="1431">
        <v>83</v>
      </c>
      <c r="B97" s="1204"/>
      <c r="C97" s="1189"/>
      <c r="D97" s="1189"/>
      <c r="E97" s="1157"/>
    </row>
    <row r="98" spans="1:5">
      <c r="A98" s="1431">
        <v>84</v>
      </c>
      <c r="B98" s="1157"/>
      <c r="C98" s="1157"/>
      <c r="D98" s="1157"/>
      <c r="E98" s="1157"/>
    </row>
    <row r="99" spans="1:5">
      <c r="A99" s="1431">
        <v>85</v>
      </c>
      <c r="B99" s="1157"/>
      <c r="C99" s="1157"/>
      <c r="D99" s="1157"/>
      <c r="E99" s="1157"/>
    </row>
    <row r="100" spans="1:5">
      <c r="A100" s="1431">
        <v>86</v>
      </c>
      <c r="B100" s="1157"/>
      <c r="C100" s="1157"/>
      <c r="D100" s="1157"/>
      <c r="E100" s="1157"/>
    </row>
    <row r="101" spans="1:5">
      <c r="A101" s="1431">
        <v>87</v>
      </c>
      <c r="B101" s="1157"/>
      <c r="C101" s="1157"/>
      <c r="D101" s="1157"/>
      <c r="E101" s="1157"/>
    </row>
    <row r="102" spans="1:5">
      <c r="A102" s="1431">
        <v>88</v>
      </c>
      <c r="B102" s="1157"/>
      <c r="C102" s="1157"/>
      <c r="D102" s="1157"/>
      <c r="E102" s="1157"/>
    </row>
    <row r="103" spans="1:5">
      <c r="A103" s="1431">
        <v>89</v>
      </c>
      <c r="B103" s="1157"/>
      <c r="C103" s="1157"/>
      <c r="D103" s="1157"/>
      <c r="E103" s="1157"/>
    </row>
    <row r="104" spans="1:5">
      <c r="A104" s="1431">
        <v>90</v>
      </c>
      <c r="B104" s="1157"/>
      <c r="C104" s="1168">
        <v>0</v>
      </c>
      <c r="D104" s="1168">
        <v>0</v>
      </c>
      <c r="E104" s="1168">
        <v>0</v>
      </c>
    </row>
    <row r="105" spans="1:5">
      <c r="A105" s="1431">
        <v>91</v>
      </c>
      <c r="B105" s="1157"/>
      <c r="C105" s="1157"/>
      <c r="D105" s="1157"/>
      <c r="E105" s="1157"/>
    </row>
    <row r="106" spans="1:5">
      <c r="A106" s="1431">
        <v>92</v>
      </c>
      <c r="B106" s="1157"/>
      <c r="C106" s="1157"/>
      <c r="D106" s="1157"/>
      <c r="E106" s="1157"/>
    </row>
    <row r="107" spans="1:5">
      <c r="A107" s="1431">
        <v>93</v>
      </c>
      <c r="B107" s="1157"/>
      <c r="C107" s="1157"/>
      <c r="D107" s="1157"/>
      <c r="E107" s="1157"/>
    </row>
    <row r="108" spans="1:5">
      <c r="A108" s="1431">
        <v>94</v>
      </c>
      <c r="B108" s="1157"/>
      <c r="C108" s="1157"/>
      <c r="D108" s="1157"/>
      <c r="E108" s="1157"/>
    </row>
    <row r="109" spans="1:5">
      <c r="A109" s="1431">
        <v>95</v>
      </c>
      <c r="B109" s="1204" t="s">
        <v>6450</v>
      </c>
      <c r="C109" s="1187">
        <f>SUM(C91:C108)</f>
        <v>29561888</v>
      </c>
      <c r="D109" s="1187">
        <f>SUM(D91:D108)</f>
        <v>250350</v>
      </c>
      <c r="E109" s="1187">
        <f>SUM(E91:E108)</f>
        <v>29812238</v>
      </c>
    </row>
    <row r="110" spans="1:5">
      <c r="A110" s="1431">
        <v>96</v>
      </c>
      <c r="B110" s="1204" t="s">
        <v>6451</v>
      </c>
      <c r="C110" s="1187">
        <f>C109+C90+C85+C79</f>
        <v>432784061</v>
      </c>
      <c r="D110" s="1187">
        <f>D109+D90+D85+D79</f>
        <v>3665103</v>
      </c>
      <c r="E110" s="1187">
        <f>E109+E90+E85+E79</f>
        <v>436449164</v>
      </c>
    </row>
    <row r="111" spans="1:5">
      <c r="A111" s="1292"/>
      <c r="B111" s="1292"/>
      <c r="C111" s="1292"/>
      <c r="D111" s="1292"/>
      <c r="E111" s="1292"/>
    </row>
    <row r="112" spans="1:5">
      <c r="A112" s="1194"/>
      <c r="B112" s="1194"/>
      <c r="C112" s="1194"/>
      <c r="D112" s="1194"/>
      <c r="E112" s="1194"/>
    </row>
  </sheetData>
  <mergeCells count="68">
    <mergeCell ref="C81:E81"/>
    <mergeCell ref="C86:E86"/>
    <mergeCell ref="D71:E71"/>
    <mergeCell ref="D72:E72"/>
    <mergeCell ref="D73:E73"/>
    <mergeCell ref="D74:E74"/>
    <mergeCell ref="D75:E75"/>
    <mergeCell ref="C80:E80"/>
    <mergeCell ref="D70:E70"/>
    <mergeCell ref="A58:E58"/>
    <mergeCell ref="A59:E59"/>
    <mergeCell ref="A60:A61"/>
    <mergeCell ref="D62:E62"/>
    <mergeCell ref="D63:E63"/>
    <mergeCell ref="D64:E64"/>
    <mergeCell ref="C65:E65"/>
    <mergeCell ref="D66:E66"/>
    <mergeCell ref="D67:E67"/>
    <mergeCell ref="D68:E68"/>
    <mergeCell ref="D69:E69"/>
    <mergeCell ref="D56:E56"/>
    <mergeCell ref="D45:E45"/>
    <mergeCell ref="D46:E46"/>
    <mergeCell ref="D47:E47"/>
    <mergeCell ref="D48:E48"/>
    <mergeCell ref="D49:E49"/>
    <mergeCell ref="D50:E50"/>
    <mergeCell ref="C51:E51"/>
    <mergeCell ref="D52:E52"/>
    <mergeCell ref="D53:E53"/>
    <mergeCell ref="D54:E54"/>
    <mergeCell ref="D55:E55"/>
    <mergeCell ref="D44:E44"/>
    <mergeCell ref="D32:E32"/>
    <mergeCell ref="D33:E33"/>
    <mergeCell ref="D34:E34"/>
    <mergeCell ref="D35:E35"/>
    <mergeCell ref="D36:E36"/>
    <mergeCell ref="C38:E38"/>
    <mergeCell ref="C39:E39"/>
    <mergeCell ref="D40:E40"/>
    <mergeCell ref="D41:E41"/>
    <mergeCell ref="D42:E42"/>
    <mergeCell ref="D43:E43"/>
    <mergeCell ref="D31:E31"/>
    <mergeCell ref="D20:E20"/>
    <mergeCell ref="C21:E21"/>
    <mergeCell ref="D22:E22"/>
    <mergeCell ref="D23:E23"/>
    <mergeCell ref="D24:E24"/>
    <mergeCell ref="D25:E25"/>
    <mergeCell ref="D26:E26"/>
    <mergeCell ref="D27:E27"/>
    <mergeCell ref="C28:E28"/>
    <mergeCell ref="D29:E29"/>
    <mergeCell ref="D30:E30"/>
    <mergeCell ref="D19:E19"/>
    <mergeCell ref="A6:E6"/>
    <mergeCell ref="A7:E7"/>
    <mergeCell ref="C10:E10"/>
    <mergeCell ref="C11:E11"/>
    <mergeCell ref="D12:E12"/>
    <mergeCell ref="D13:E13"/>
    <mergeCell ref="D14:E14"/>
    <mergeCell ref="D15:E15"/>
    <mergeCell ref="D16:E16"/>
    <mergeCell ref="D17:E17"/>
    <mergeCell ref="D18:E18"/>
  </mergeCells>
  <pageMargins left="0.75" right="0.75" top="1" bottom="1" header="0.5" footer="0.5"/>
  <customProperties>
    <customPr name="_pios_id" r:id="rId1"/>
  </customPropertie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92D050"/>
  </sheetPr>
  <dimension ref="A1:R88"/>
  <sheetViews>
    <sheetView topLeftCell="A2" zoomScaleNormal="100" workbookViewId="0">
      <pane ySplit="6" topLeftCell="A8" activePane="bottomLeft" state="frozen"/>
      <selection sqref="A1:XFD1048576"/>
      <selection pane="bottomLeft" sqref="A1:XFD1048576"/>
    </sheetView>
  </sheetViews>
  <sheetFormatPr defaultColWidth="9" defaultRowHeight="12" customHeight="1"/>
  <cols>
    <col min="1" max="1" width="6" style="1451" customWidth="1"/>
    <col min="2" max="2" width="36.875" style="1451" customWidth="1"/>
    <col min="3" max="3" width="15.875" style="1451" bestFit="1" customWidth="1"/>
    <col min="4" max="4" width="21.25" style="1451" bestFit="1" customWidth="1"/>
    <col min="5" max="5" width="15.25" style="1451" bestFit="1" customWidth="1"/>
    <col min="6" max="6" width="5.25" style="1451" customWidth="1"/>
    <col min="7" max="7" width="9" style="1451"/>
    <col min="8" max="8" width="9.375" style="1451" bestFit="1" customWidth="1"/>
    <col min="9" max="9" width="11.125" style="1451" bestFit="1" customWidth="1"/>
    <col min="10" max="11" width="9" style="1451"/>
    <col min="12" max="12" width="12.625" style="1451" customWidth="1"/>
    <col min="13" max="13" width="15" style="1451" bestFit="1" customWidth="1"/>
    <col min="14" max="14" width="10.25" style="1451" bestFit="1" customWidth="1"/>
    <col min="15" max="15" width="11" style="1451" bestFit="1" customWidth="1"/>
    <col min="16" max="16" width="10" style="1451" bestFit="1" customWidth="1"/>
    <col min="17" max="17" width="13.25" style="1451" bestFit="1" customWidth="1"/>
    <col min="18" max="18" width="10.25" style="1451" bestFit="1" customWidth="1"/>
    <col min="19" max="19" width="9.125" style="1451" bestFit="1" customWidth="1"/>
    <col min="20" max="20" width="9.75" style="1451" bestFit="1" customWidth="1"/>
    <col min="21" max="21" width="10.75" style="1451" bestFit="1" customWidth="1"/>
    <col min="22" max="22" width="9.75" style="1451" bestFit="1" customWidth="1"/>
    <col min="23" max="23" width="7.875" style="1451" bestFit="1" customWidth="1"/>
    <col min="24" max="24" width="7.75" style="1451" bestFit="1" customWidth="1"/>
    <col min="25" max="25" width="3.625" style="1451" bestFit="1" customWidth="1"/>
    <col min="26" max="26" width="6.25" style="1451" bestFit="1" customWidth="1"/>
    <col min="27" max="27" width="2.375" style="1451" bestFit="1" customWidth="1"/>
    <col min="28" max="28" width="3.5" style="1451" bestFit="1" customWidth="1"/>
    <col min="29" max="29" width="10.25" style="1451" bestFit="1" customWidth="1"/>
    <col min="30" max="16384" width="9" style="1451"/>
  </cols>
  <sheetData>
    <row r="1" spans="1:18" ht="12" customHeight="1">
      <c r="A1" s="507" t="s">
        <v>4977</v>
      </c>
    </row>
    <row r="2" spans="1:18" ht="12" customHeight="1">
      <c r="A2" s="507" t="s">
        <v>6778</v>
      </c>
    </row>
    <row r="3" spans="1:18" ht="12" customHeight="1" thickBot="1">
      <c r="A3" s="493"/>
      <c r="B3" s="493"/>
      <c r="C3" s="493"/>
      <c r="D3" s="493"/>
      <c r="E3" s="493"/>
      <c r="F3" s="493"/>
      <c r="G3" s="493"/>
      <c r="H3" s="493"/>
      <c r="I3" s="1452"/>
      <c r="J3" s="1452"/>
    </row>
    <row r="4" spans="1:18" ht="12" customHeight="1">
      <c r="A4" s="1453" t="s">
        <v>6452</v>
      </c>
      <c r="B4" s="1454" t="s">
        <v>6453</v>
      </c>
      <c r="C4" s="1455" t="s">
        <v>968</v>
      </c>
      <c r="D4" s="1456"/>
      <c r="E4" s="493"/>
      <c r="F4" s="493"/>
      <c r="G4" s="493"/>
      <c r="H4" s="1452"/>
      <c r="I4" s="1452"/>
      <c r="J4" s="1452"/>
    </row>
    <row r="5" spans="1:18" ht="12" customHeight="1">
      <c r="A5" s="587" t="s">
        <v>968</v>
      </c>
      <c r="B5" s="493"/>
      <c r="C5" s="1457"/>
      <c r="D5" s="1458" t="s">
        <v>968</v>
      </c>
      <c r="E5" s="493"/>
      <c r="F5" s="493"/>
      <c r="G5" s="493"/>
      <c r="H5" s="493"/>
      <c r="I5" s="1452"/>
      <c r="J5" s="1452"/>
      <c r="P5" s="1718"/>
    </row>
    <row r="6" spans="1:18" ht="12" customHeight="1">
      <c r="A6" s="1459" t="s">
        <v>96</v>
      </c>
      <c r="B6" s="1460" t="s">
        <v>229</v>
      </c>
      <c r="C6" s="1457" t="s">
        <v>6454</v>
      </c>
      <c r="D6" s="1461" t="s">
        <v>6455</v>
      </c>
      <c r="E6" s="493"/>
      <c r="F6" s="493"/>
      <c r="G6" s="493"/>
      <c r="H6" s="493"/>
      <c r="I6" s="1452"/>
      <c r="J6" s="1452"/>
      <c r="O6" s="1719"/>
      <c r="P6" s="1719"/>
    </row>
    <row r="7" spans="1:18" ht="12" customHeight="1">
      <c r="A7" s="1462" t="s">
        <v>968</v>
      </c>
      <c r="B7" s="1463"/>
      <c r="C7" s="1464">
        <v>45291</v>
      </c>
      <c r="D7" s="1465" t="s">
        <v>6456</v>
      </c>
      <c r="E7" s="493"/>
      <c r="F7" s="493"/>
      <c r="G7" s="493"/>
      <c r="H7" s="493"/>
      <c r="I7" s="1452"/>
      <c r="J7" s="1452"/>
      <c r="O7" s="1719"/>
      <c r="P7" s="1719"/>
    </row>
    <row r="8" spans="1:18" ht="12" customHeight="1">
      <c r="A8" s="587" t="s">
        <v>4022</v>
      </c>
      <c r="B8" s="493" t="s">
        <v>6457</v>
      </c>
      <c r="C8" s="1466">
        <v>485094</v>
      </c>
      <c r="D8" s="1467">
        <v>240796</v>
      </c>
      <c r="E8" s="493"/>
      <c r="F8" s="493"/>
      <c r="G8" s="493"/>
      <c r="H8" s="493"/>
      <c r="I8" s="1452"/>
      <c r="J8" s="1452"/>
      <c r="Q8" s="1719"/>
      <c r="R8" s="1719"/>
    </row>
    <row r="9" spans="1:18" ht="12" customHeight="1">
      <c r="A9" s="587" t="s">
        <v>4024</v>
      </c>
      <c r="B9" s="493" t="s">
        <v>6458</v>
      </c>
      <c r="C9" s="1466">
        <v>454286567</v>
      </c>
      <c r="D9" s="1467">
        <v>231086873</v>
      </c>
      <c r="E9" s="493"/>
      <c r="F9" s="572"/>
      <c r="G9" s="493"/>
      <c r="H9" s="493"/>
      <c r="I9" s="1452"/>
      <c r="J9" s="1452"/>
      <c r="P9" s="1719"/>
      <c r="Q9" s="1719"/>
    </row>
    <row r="10" spans="1:18" ht="12" customHeight="1">
      <c r="A10" s="587" t="s">
        <v>2290</v>
      </c>
      <c r="B10" s="493" t="s">
        <v>125</v>
      </c>
      <c r="C10" s="1466">
        <v>53483328</v>
      </c>
      <c r="D10" s="1467">
        <v>3370490</v>
      </c>
      <c r="E10" s="493"/>
      <c r="F10" s="493"/>
      <c r="G10" s="493"/>
      <c r="H10" s="493"/>
      <c r="I10" s="1452"/>
      <c r="J10" s="1452"/>
      <c r="Q10" s="1719"/>
      <c r="R10" s="1719"/>
    </row>
    <row r="11" spans="1:18" ht="12" customHeight="1">
      <c r="A11" s="587" t="s">
        <v>2291</v>
      </c>
      <c r="B11" s="493" t="s">
        <v>126</v>
      </c>
      <c r="C11" s="1466">
        <v>217440489</v>
      </c>
      <c r="D11" s="1467">
        <v>97746987</v>
      </c>
      <c r="E11" s="493"/>
      <c r="F11" s="493"/>
      <c r="G11" s="493"/>
      <c r="H11" s="493"/>
      <c r="I11" s="1452"/>
      <c r="J11" s="1452"/>
      <c r="O11" s="1719"/>
      <c r="P11" s="1719"/>
    </row>
    <row r="12" spans="1:18" ht="12" customHeight="1">
      <c r="A12" s="587" t="s">
        <v>2293</v>
      </c>
      <c r="B12" s="493" t="s">
        <v>6459</v>
      </c>
      <c r="C12" s="1466">
        <v>97643186</v>
      </c>
      <c r="D12" s="1467">
        <v>18323231</v>
      </c>
      <c r="E12" s="493"/>
      <c r="F12" s="493"/>
      <c r="G12" s="493"/>
      <c r="H12" s="493"/>
      <c r="I12" s="1452"/>
      <c r="J12" s="1452"/>
      <c r="O12" s="1719"/>
      <c r="P12" s="1719"/>
    </row>
    <row r="13" spans="1:18" ht="12" customHeight="1">
      <c r="A13" s="587" t="s">
        <v>2294</v>
      </c>
      <c r="B13" s="493" t="s">
        <v>128</v>
      </c>
      <c r="C13" s="1466">
        <v>1469778</v>
      </c>
      <c r="D13" s="1467">
        <v>2028380</v>
      </c>
      <c r="E13" s="493"/>
      <c r="F13" s="493"/>
      <c r="G13" s="493"/>
      <c r="H13" s="493"/>
      <c r="I13" s="1452"/>
      <c r="J13" s="1452"/>
      <c r="O13" s="1719"/>
      <c r="P13" s="1719"/>
    </row>
    <row r="14" spans="1:18" ht="12" customHeight="1">
      <c r="A14" s="587" t="s">
        <v>2295</v>
      </c>
      <c r="B14" s="493" t="s">
        <v>129</v>
      </c>
      <c r="C14" s="1466">
        <v>92576</v>
      </c>
      <c r="D14" s="1467">
        <v>49624</v>
      </c>
      <c r="E14" s="493"/>
      <c r="F14" s="493"/>
      <c r="G14" s="493"/>
      <c r="H14" s="493"/>
      <c r="I14" s="1452"/>
      <c r="J14" s="1452"/>
      <c r="P14" s="1719"/>
      <c r="Q14" s="1719"/>
    </row>
    <row r="15" spans="1:18" ht="12" customHeight="1">
      <c r="A15" s="587" t="s">
        <v>2296</v>
      </c>
      <c r="B15" s="493" t="s">
        <v>6460</v>
      </c>
      <c r="C15" s="1466">
        <v>1511886</v>
      </c>
      <c r="D15" s="1467">
        <v>1236614</v>
      </c>
      <c r="E15" s="493"/>
      <c r="F15" s="493"/>
      <c r="G15" s="493"/>
      <c r="H15" s="493"/>
      <c r="I15" s="1452"/>
      <c r="J15" s="1452"/>
      <c r="O15" s="1719"/>
      <c r="P15" s="1719"/>
    </row>
    <row r="16" spans="1:18" ht="12" customHeight="1">
      <c r="A16" s="587" t="s">
        <v>2297</v>
      </c>
      <c r="B16" s="493" t="s">
        <v>132</v>
      </c>
      <c r="C16" s="1466">
        <v>578046</v>
      </c>
      <c r="D16" s="1467">
        <v>311350</v>
      </c>
      <c r="E16" s="493"/>
      <c r="F16" s="493"/>
      <c r="G16" s="493"/>
      <c r="H16" s="493"/>
      <c r="I16" s="1452"/>
      <c r="J16" s="1452"/>
      <c r="O16" s="1719"/>
      <c r="P16" s="1719"/>
    </row>
    <row r="17" spans="1:18" ht="12" customHeight="1">
      <c r="A17" s="587" t="s">
        <v>2298</v>
      </c>
      <c r="B17" s="493" t="s">
        <v>133</v>
      </c>
      <c r="C17" s="1466">
        <v>143853237</v>
      </c>
      <c r="D17" s="1467">
        <v>48309347</v>
      </c>
      <c r="E17" s="493"/>
      <c r="F17" s="493"/>
      <c r="G17" s="493"/>
      <c r="H17" s="493"/>
      <c r="I17" s="1452"/>
      <c r="J17" s="1452"/>
      <c r="P17" s="1719"/>
      <c r="Q17" s="1719"/>
    </row>
    <row r="18" spans="1:18" ht="12" customHeight="1">
      <c r="A18" s="587" t="s">
        <v>2299</v>
      </c>
      <c r="B18" s="493" t="s">
        <v>134</v>
      </c>
      <c r="C18" s="1466">
        <v>632323</v>
      </c>
      <c r="D18" s="1467">
        <v>2818930</v>
      </c>
      <c r="E18" s="493"/>
      <c r="F18" s="493"/>
      <c r="G18" s="493"/>
      <c r="H18" s="493"/>
      <c r="I18" s="1452"/>
      <c r="J18" s="1452"/>
      <c r="Q18" s="1719"/>
      <c r="R18" s="1719"/>
    </row>
    <row r="19" spans="1:18" ht="12" customHeight="1">
      <c r="A19" s="587" t="s">
        <v>2300</v>
      </c>
      <c r="B19" s="493" t="s">
        <v>6461</v>
      </c>
      <c r="C19" s="1466">
        <v>1258506</v>
      </c>
      <c r="D19" s="1467">
        <v>484283</v>
      </c>
      <c r="E19" s="493"/>
      <c r="F19" s="493"/>
      <c r="G19" s="493"/>
      <c r="H19" s="493"/>
      <c r="I19" s="1452"/>
      <c r="J19" s="1452"/>
    </row>
    <row r="20" spans="1:18" ht="12" customHeight="1" thickBot="1">
      <c r="A20" s="1468"/>
      <c r="B20" s="1469" t="s">
        <v>6462</v>
      </c>
      <c r="C20" s="1470">
        <f>SUM(C8:C19)</f>
        <v>972735016</v>
      </c>
      <c r="D20" s="1471">
        <f>SUM(D8:D19)</f>
        <v>406006905</v>
      </c>
      <c r="E20" s="493"/>
      <c r="F20" s="493"/>
      <c r="G20" s="493"/>
      <c r="H20" s="1452"/>
      <c r="I20" s="1452"/>
      <c r="J20" s="1452"/>
    </row>
    <row r="21" spans="1:18" ht="12" customHeight="1">
      <c r="A21" s="493"/>
      <c r="B21" s="493"/>
      <c r="C21" s="1472">
        <v>972735016</v>
      </c>
      <c r="D21" s="1472">
        <v>406006905</v>
      </c>
      <c r="E21" s="1472" t="s">
        <v>6463</v>
      </c>
      <c r="F21" s="493"/>
      <c r="G21" s="493"/>
      <c r="H21" s="493"/>
      <c r="I21" s="1452"/>
      <c r="J21" s="1452"/>
    </row>
    <row r="22" spans="1:18" ht="12" customHeight="1">
      <c r="A22" s="493" t="s">
        <v>6464</v>
      </c>
      <c r="B22" s="573"/>
      <c r="C22" s="1777">
        <f>C20-C21</f>
        <v>0</v>
      </c>
      <c r="D22" s="1777">
        <f>D20-D21</f>
        <v>0</v>
      </c>
      <c r="E22" s="1696" t="s">
        <v>927</v>
      </c>
      <c r="F22" s="493"/>
      <c r="G22" s="493"/>
      <c r="H22" s="1452"/>
      <c r="I22" s="1452"/>
      <c r="J22" s="1452"/>
    </row>
    <row r="23" spans="1:18" ht="12" customHeight="1" thickBot="1">
      <c r="A23" s="493"/>
      <c r="B23" s="493"/>
      <c r="C23" s="573"/>
      <c r="D23" s="573"/>
      <c r="E23" s="493"/>
      <c r="F23" s="493"/>
      <c r="G23" s="493"/>
      <c r="H23" s="493"/>
      <c r="I23" s="1452"/>
      <c r="J23" s="1452"/>
    </row>
    <row r="24" spans="1:18" ht="12" customHeight="1">
      <c r="A24" s="1473" t="s">
        <v>6465</v>
      </c>
      <c r="B24" s="1455"/>
      <c r="C24" s="1455" t="s">
        <v>968</v>
      </c>
      <c r="D24" s="1455" t="s">
        <v>968</v>
      </c>
      <c r="E24" s="1455" t="s">
        <v>968</v>
      </c>
      <c r="F24" s="1456"/>
      <c r="G24" s="493"/>
      <c r="H24" s="1452"/>
      <c r="I24" s="1452"/>
      <c r="J24" s="1452"/>
    </row>
    <row r="25" spans="1:18" ht="12" customHeight="1">
      <c r="A25" s="587" t="s">
        <v>968</v>
      </c>
      <c r="B25" s="493"/>
      <c r="C25" s="493"/>
      <c r="D25" s="493"/>
      <c r="E25" s="493"/>
      <c r="F25" s="1458" t="s">
        <v>968</v>
      </c>
      <c r="G25" s="493"/>
      <c r="H25" s="493"/>
      <c r="I25" s="1452"/>
      <c r="J25" s="1452"/>
    </row>
    <row r="26" spans="1:18" ht="12" customHeight="1">
      <c r="A26" s="1459" t="s">
        <v>96</v>
      </c>
      <c r="B26" s="1460" t="s">
        <v>6466</v>
      </c>
      <c r="C26" s="1460" t="s">
        <v>6467</v>
      </c>
      <c r="D26" s="1460" t="s">
        <v>6468</v>
      </c>
      <c r="E26" s="1460" t="s">
        <v>6469</v>
      </c>
      <c r="F26" s="1461" t="s">
        <v>968</v>
      </c>
      <c r="G26" s="493"/>
      <c r="H26" s="493"/>
      <c r="I26" s="1452"/>
      <c r="J26" s="1452"/>
    </row>
    <row r="27" spans="1:18" ht="12" customHeight="1">
      <c r="A27" s="1462" t="s">
        <v>968</v>
      </c>
      <c r="B27" s="1463"/>
      <c r="C27" s="1463"/>
      <c r="D27" s="1463" t="s">
        <v>6470</v>
      </c>
      <c r="E27" s="1463" t="s">
        <v>6471</v>
      </c>
      <c r="F27" s="1465" t="s">
        <v>6472</v>
      </c>
      <c r="G27" s="493"/>
      <c r="H27" s="493"/>
      <c r="I27" s="1452"/>
      <c r="J27" s="1452"/>
    </row>
    <row r="28" spans="1:18" ht="12" customHeight="1">
      <c r="A28" s="587">
        <v>403</v>
      </c>
      <c r="B28" s="582" t="s">
        <v>6473</v>
      </c>
      <c r="C28" s="1745">
        <v>27435706</v>
      </c>
      <c r="D28" s="1745">
        <v>18014284</v>
      </c>
      <c r="E28" s="1466">
        <v>9421421</v>
      </c>
      <c r="F28" s="1458" t="s">
        <v>6474</v>
      </c>
      <c r="G28" s="493"/>
      <c r="H28" s="493"/>
      <c r="I28" s="1452"/>
      <c r="J28" s="1452"/>
      <c r="N28" s="1719"/>
      <c r="O28" s="1719"/>
      <c r="P28" s="1719"/>
    </row>
    <row r="29" spans="1:18" ht="12" customHeight="1">
      <c r="A29" s="587">
        <v>404</v>
      </c>
      <c r="B29" s="493" t="s">
        <v>6475</v>
      </c>
      <c r="C29" s="1466">
        <v>72002924</v>
      </c>
      <c r="D29" s="1466">
        <v>47277120</v>
      </c>
      <c r="E29" s="1466">
        <v>24725804</v>
      </c>
      <c r="F29" s="1458" t="s">
        <v>6474</v>
      </c>
      <c r="G29" s="493"/>
      <c r="H29" s="493"/>
      <c r="I29" s="1452"/>
      <c r="J29" s="1452"/>
      <c r="N29" s="1719"/>
      <c r="O29" s="1719"/>
      <c r="P29" s="1719"/>
    </row>
    <row r="30" spans="1:18" ht="12" customHeight="1">
      <c r="A30" s="587">
        <v>901</v>
      </c>
      <c r="B30" s="493" t="s">
        <v>6476</v>
      </c>
      <c r="C30" s="1466">
        <v>309281</v>
      </c>
      <c r="D30" s="1466">
        <v>179971</v>
      </c>
      <c r="E30" s="1466">
        <v>129310</v>
      </c>
      <c r="F30" s="1458" t="s">
        <v>6477</v>
      </c>
      <c r="G30" s="493"/>
      <c r="H30" s="493"/>
      <c r="I30" s="1452"/>
      <c r="J30" s="1452"/>
      <c r="N30" s="1719"/>
      <c r="O30" s="1719"/>
      <c r="P30" s="1719"/>
    </row>
    <row r="31" spans="1:18" ht="12" customHeight="1">
      <c r="A31" s="587">
        <v>902</v>
      </c>
      <c r="B31" s="493" t="s">
        <v>6478</v>
      </c>
      <c r="C31" s="1466">
        <v>2392519</v>
      </c>
      <c r="D31" s="1466">
        <v>1500109</v>
      </c>
      <c r="E31" s="1466">
        <v>892410</v>
      </c>
      <c r="F31" s="1458" t="s">
        <v>6479</v>
      </c>
      <c r="G31" s="493"/>
      <c r="H31" s="493"/>
      <c r="I31" s="1452"/>
      <c r="J31" s="1452"/>
      <c r="N31" s="1719"/>
      <c r="O31" s="1719"/>
      <c r="P31" s="1719"/>
    </row>
    <row r="32" spans="1:18" ht="12" customHeight="1">
      <c r="A32" s="587">
        <v>903</v>
      </c>
      <c r="B32" s="493" t="s">
        <v>6480</v>
      </c>
      <c r="C32" s="1466">
        <v>29156913</v>
      </c>
      <c r="D32" s="1466">
        <v>16966408</v>
      </c>
      <c r="E32" s="1466">
        <v>12190505</v>
      </c>
      <c r="F32" s="1458" t="s">
        <v>6477</v>
      </c>
      <c r="G32" s="493"/>
      <c r="H32" s="493"/>
      <c r="I32" s="1452"/>
      <c r="J32" s="1452"/>
      <c r="N32" s="1719"/>
      <c r="O32" s="1719"/>
      <c r="P32" s="1719"/>
    </row>
    <row r="33" spans="1:16" ht="12" customHeight="1">
      <c r="A33" s="587">
        <v>904</v>
      </c>
      <c r="B33" s="493" t="s">
        <v>6481</v>
      </c>
      <c r="C33" s="1466">
        <v>-159506</v>
      </c>
      <c r="D33" s="1466">
        <v>-104731</v>
      </c>
      <c r="E33" s="1466">
        <v>-54774</v>
      </c>
      <c r="F33" s="1458" t="s">
        <v>6474</v>
      </c>
      <c r="G33" s="493"/>
      <c r="H33" s="493"/>
      <c r="I33" s="1452"/>
      <c r="J33" s="1452"/>
      <c r="N33" s="1719"/>
      <c r="O33" s="1719"/>
      <c r="P33" s="1719"/>
    </row>
    <row r="34" spans="1:16" ht="12" customHeight="1">
      <c r="A34" s="1744">
        <v>908</v>
      </c>
      <c r="B34" s="582" t="s">
        <v>6482</v>
      </c>
      <c r="C34" s="1745">
        <v>733683</v>
      </c>
      <c r="D34" s="1745">
        <v>426930</v>
      </c>
      <c r="E34" s="1466">
        <v>306753</v>
      </c>
      <c r="F34" s="1458" t="s">
        <v>6477</v>
      </c>
      <c r="G34" s="493"/>
      <c r="H34" s="493"/>
      <c r="I34" s="493"/>
      <c r="J34" s="1452"/>
      <c r="N34" s="1719"/>
      <c r="O34" s="1719"/>
      <c r="P34" s="1719"/>
    </row>
    <row r="35" spans="1:16" ht="12" customHeight="1">
      <c r="A35" s="587">
        <v>909</v>
      </c>
      <c r="B35" s="493" t="s">
        <v>6483</v>
      </c>
      <c r="C35" s="1466">
        <v>1573468</v>
      </c>
      <c r="D35" s="1466">
        <v>915601</v>
      </c>
      <c r="E35" s="1466">
        <v>657867</v>
      </c>
      <c r="F35" s="1458" t="s">
        <v>6477</v>
      </c>
      <c r="G35" s="493"/>
      <c r="H35" s="493"/>
      <c r="I35" s="1452"/>
      <c r="J35" s="1452"/>
      <c r="N35" s="1719"/>
      <c r="O35" s="1719"/>
      <c r="P35" s="1719"/>
    </row>
    <row r="36" spans="1:16" ht="12" customHeight="1">
      <c r="A36" s="587">
        <v>910</v>
      </c>
      <c r="B36" s="493" t="s">
        <v>6484</v>
      </c>
      <c r="C36" s="1466">
        <v>376</v>
      </c>
      <c r="D36" s="1466">
        <v>219</v>
      </c>
      <c r="E36" s="1466">
        <v>157</v>
      </c>
      <c r="F36" s="1458" t="s">
        <v>6477</v>
      </c>
      <c r="G36" s="493"/>
      <c r="H36" s="493"/>
      <c r="I36" s="1452"/>
      <c r="J36" s="1452"/>
    </row>
    <row r="37" spans="1:16" ht="12" customHeight="1">
      <c r="A37" s="587">
        <v>912</v>
      </c>
      <c r="B37" s="493" t="s">
        <v>6485</v>
      </c>
      <c r="C37" s="1466">
        <v>-303450</v>
      </c>
      <c r="D37" s="1466">
        <v>-176578</v>
      </c>
      <c r="E37" s="1466">
        <v>-126872</v>
      </c>
      <c r="F37" s="1458" t="s">
        <v>6477</v>
      </c>
      <c r="G37" s="493"/>
      <c r="H37" s="493"/>
      <c r="I37" s="1452"/>
      <c r="J37" s="1452"/>
      <c r="N37" s="1719"/>
      <c r="O37" s="1719"/>
      <c r="P37" s="1719"/>
    </row>
    <row r="38" spans="1:16" ht="12" customHeight="1">
      <c r="A38" s="587">
        <v>920</v>
      </c>
      <c r="B38" s="493" t="s">
        <v>6486</v>
      </c>
      <c r="C38" s="1466">
        <v>109700235</v>
      </c>
      <c r="D38" s="1466">
        <v>72029174</v>
      </c>
      <c r="E38" s="1466">
        <v>37671061</v>
      </c>
      <c r="F38" s="1458" t="s">
        <v>6474</v>
      </c>
      <c r="G38" s="493"/>
      <c r="H38" s="493"/>
      <c r="I38" s="1452"/>
      <c r="J38" s="1452"/>
      <c r="N38" s="1719"/>
      <c r="O38" s="1719"/>
      <c r="P38" s="1719"/>
    </row>
    <row r="39" spans="1:16" ht="12" customHeight="1">
      <c r="A39" s="587">
        <v>921</v>
      </c>
      <c r="B39" s="493" t="s">
        <v>6487</v>
      </c>
      <c r="C39" s="1466">
        <v>2927643</v>
      </c>
      <c r="D39" s="1466">
        <v>1922290</v>
      </c>
      <c r="E39" s="1466">
        <v>1005352</v>
      </c>
      <c r="F39" s="1458" t="s">
        <v>6474</v>
      </c>
      <c r="G39" s="493"/>
      <c r="H39" s="493"/>
      <c r="I39" s="1452"/>
      <c r="J39" s="1452"/>
      <c r="N39" s="1719"/>
      <c r="O39" s="1719"/>
      <c r="P39" s="1719"/>
    </row>
    <row r="40" spans="1:16" ht="12" customHeight="1">
      <c r="A40" s="587">
        <v>922</v>
      </c>
      <c r="B40" s="493" t="s">
        <v>6488</v>
      </c>
      <c r="C40" s="1466">
        <v>-49292814</v>
      </c>
      <c r="D40" s="1466">
        <v>-32365661</v>
      </c>
      <c r="E40" s="1466">
        <v>-16927152</v>
      </c>
      <c r="F40" s="1458" t="s">
        <v>6474</v>
      </c>
      <c r="G40" s="493"/>
      <c r="H40" s="493"/>
      <c r="I40" s="1452"/>
      <c r="J40" s="1452"/>
      <c r="N40" s="1719"/>
      <c r="O40" s="1719"/>
      <c r="P40" s="1719"/>
    </row>
    <row r="41" spans="1:16" ht="12" customHeight="1">
      <c r="A41" s="587">
        <v>923</v>
      </c>
      <c r="B41" s="493" t="s">
        <v>6489</v>
      </c>
      <c r="C41" s="1466">
        <v>24774842</v>
      </c>
      <c r="D41" s="1466">
        <v>16267161</v>
      </c>
      <c r="E41" s="1466">
        <v>8507681</v>
      </c>
      <c r="F41" s="1458" t="s">
        <v>6474</v>
      </c>
      <c r="G41" s="493"/>
      <c r="H41" s="493"/>
      <c r="I41" s="1452"/>
      <c r="J41" s="1452"/>
      <c r="N41" s="1719"/>
      <c r="O41" s="1719"/>
      <c r="P41" s="1719"/>
    </row>
    <row r="42" spans="1:16" ht="12" customHeight="1">
      <c r="A42" s="587">
        <v>924</v>
      </c>
      <c r="B42" s="493" t="s">
        <v>6490</v>
      </c>
      <c r="C42" s="1466">
        <v>-281053</v>
      </c>
      <c r="D42" s="1466">
        <v>-166074</v>
      </c>
      <c r="E42" s="1466">
        <v>-114979</v>
      </c>
      <c r="F42" s="1458" t="s">
        <v>6491</v>
      </c>
      <c r="G42" s="493"/>
      <c r="H42" s="493"/>
      <c r="I42" s="1452"/>
      <c r="J42" s="1452"/>
      <c r="N42" s="1719"/>
      <c r="O42" s="1719"/>
      <c r="P42" s="1719"/>
    </row>
    <row r="43" spans="1:16" ht="12" customHeight="1">
      <c r="A43" s="587">
        <v>925</v>
      </c>
      <c r="B43" s="493" t="s">
        <v>6492</v>
      </c>
      <c r="C43" s="1466">
        <v>9865585</v>
      </c>
      <c r="D43" s="1466">
        <v>5740784</v>
      </c>
      <c r="E43" s="1466">
        <v>4124801</v>
      </c>
      <c r="F43" s="1458" t="s">
        <v>6477</v>
      </c>
      <c r="G43" s="493"/>
      <c r="H43" s="493"/>
      <c r="I43" s="1452"/>
      <c r="J43" s="1452"/>
      <c r="L43" s="1820"/>
      <c r="M43" s="1820"/>
      <c r="N43" s="1719"/>
      <c r="O43" s="1719"/>
      <c r="P43" s="1719"/>
    </row>
    <row r="44" spans="1:16" ht="12" customHeight="1">
      <c r="A44" s="587">
        <v>928</v>
      </c>
      <c r="B44" s="493" t="s">
        <v>6493</v>
      </c>
      <c r="C44" s="1466">
        <v>985716</v>
      </c>
      <c r="D44" s="1466">
        <v>647221</v>
      </c>
      <c r="E44" s="1466">
        <v>338495</v>
      </c>
      <c r="F44" s="1458" t="s">
        <v>6474</v>
      </c>
      <c r="G44" s="493"/>
      <c r="H44" s="746"/>
      <c r="I44" s="1819"/>
      <c r="J44" s="1819"/>
      <c r="N44" s="1719"/>
      <c r="O44" s="1719"/>
      <c r="P44" s="1719"/>
    </row>
    <row r="45" spans="1:16" ht="12" customHeight="1">
      <c r="A45" s="587">
        <v>930.1</v>
      </c>
      <c r="B45" s="493" t="s">
        <v>6494</v>
      </c>
      <c r="C45" s="1466">
        <v>1085</v>
      </c>
      <c r="D45" s="1466">
        <v>712</v>
      </c>
      <c r="E45" s="1466">
        <v>372</v>
      </c>
      <c r="F45" s="1458" t="s">
        <v>6474</v>
      </c>
      <c r="G45" s="493"/>
      <c r="H45" s="493"/>
      <c r="I45" s="1452"/>
      <c r="J45" s="1452"/>
      <c r="N45" s="1719"/>
    </row>
    <row r="46" spans="1:16" ht="12" customHeight="1">
      <c r="A46" s="587">
        <v>930.2</v>
      </c>
      <c r="B46" s="493" t="s">
        <v>6495</v>
      </c>
      <c r="C46" s="1466">
        <v>12386772</v>
      </c>
      <c r="D46" s="1466">
        <v>8133155</v>
      </c>
      <c r="E46" s="1466">
        <v>4253618</v>
      </c>
      <c r="F46" s="1458" t="s">
        <v>6474</v>
      </c>
      <c r="G46" s="493"/>
      <c r="H46" s="493"/>
      <c r="I46" s="1452"/>
      <c r="J46" s="1819"/>
      <c r="N46" s="1719"/>
      <c r="O46" s="1719"/>
      <c r="P46" s="1719"/>
    </row>
    <row r="47" spans="1:16" ht="12" customHeight="1">
      <c r="A47" s="587">
        <v>931</v>
      </c>
      <c r="B47" s="493" t="s">
        <v>6496</v>
      </c>
      <c r="C47" s="1466">
        <v>7435115</v>
      </c>
      <c r="D47" s="1466">
        <v>4881897</v>
      </c>
      <c r="E47" s="1466">
        <v>2553219</v>
      </c>
      <c r="F47" s="1458" t="s">
        <v>6474</v>
      </c>
      <c r="G47" s="493"/>
      <c r="H47" s="493"/>
      <c r="I47" s="1452"/>
      <c r="J47" s="1819"/>
      <c r="N47" s="1719"/>
      <c r="O47" s="1719"/>
      <c r="P47" s="1719"/>
    </row>
    <row r="48" spans="1:16" ht="12" customHeight="1">
      <c r="A48" s="587">
        <v>935</v>
      </c>
      <c r="B48" s="493" t="s">
        <v>6497</v>
      </c>
      <c r="C48" s="1466">
        <v>26031471</v>
      </c>
      <c r="D48" s="1466">
        <v>17092264</v>
      </c>
      <c r="E48" s="1466">
        <v>8939207</v>
      </c>
      <c r="F48" s="1458" t="s">
        <v>6474</v>
      </c>
      <c r="G48" s="493"/>
      <c r="H48" s="493"/>
      <c r="I48" s="1452"/>
      <c r="J48" s="1452"/>
      <c r="N48" s="1719"/>
      <c r="O48" s="1719"/>
      <c r="P48" s="1719"/>
    </row>
    <row r="49" spans="1:16" ht="12" customHeight="1" thickBot="1">
      <c r="A49" s="586"/>
      <c r="B49" s="1474" t="s">
        <v>5646</v>
      </c>
      <c r="C49" s="1475">
        <f>SUM(C28:C48)</f>
        <v>277676511</v>
      </c>
      <c r="D49" s="1475">
        <f>SUM(D28:D48)</f>
        <v>179182256</v>
      </c>
      <c r="E49" s="1475">
        <f t="shared" ref="E49" si="0">SUM(E28:E48)</f>
        <v>98494256</v>
      </c>
      <c r="F49" s="1458" t="s">
        <v>968</v>
      </c>
      <c r="G49" s="493"/>
      <c r="H49" s="493"/>
      <c r="I49" s="1452"/>
      <c r="J49" s="1452"/>
      <c r="N49" s="1719"/>
      <c r="O49" s="1719"/>
      <c r="P49" s="1719"/>
    </row>
    <row r="50" spans="1:16" ht="12" customHeight="1" thickTop="1">
      <c r="A50" s="587" t="s">
        <v>968</v>
      </c>
      <c r="B50" s="493"/>
      <c r="C50" s="573"/>
      <c r="D50" s="573"/>
      <c r="E50" s="573"/>
      <c r="F50" s="1458" t="s">
        <v>968</v>
      </c>
      <c r="G50" s="493"/>
      <c r="H50" s="493"/>
      <c r="I50" s="1452"/>
      <c r="J50" s="1452"/>
      <c r="N50" s="1719"/>
      <c r="O50" s="1719"/>
      <c r="P50" s="1719"/>
    </row>
    <row r="51" spans="1:16" ht="12" customHeight="1">
      <c r="A51" s="587" t="s">
        <v>6477</v>
      </c>
      <c r="B51" s="1476" t="s">
        <v>895</v>
      </c>
      <c r="C51" s="573"/>
      <c r="D51" s="573"/>
      <c r="E51" s="573"/>
      <c r="F51" s="1458" t="s">
        <v>968</v>
      </c>
      <c r="G51" s="493"/>
      <c r="H51" s="493"/>
      <c r="I51" s="1452"/>
      <c r="J51" s="1452"/>
      <c r="N51" s="1719"/>
      <c r="O51" s="1719"/>
      <c r="P51" s="1719"/>
    </row>
    <row r="52" spans="1:16" ht="12" customHeight="1">
      <c r="A52" s="587" t="s">
        <v>6479</v>
      </c>
      <c r="B52" s="1476" t="s">
        <v>896</v>
      </c>
      <c r="C52" s="493"/>
      <c r="D52" s="493"/>
      <c r="E52" s="493"/>
      <c r="F52" s="1458" t="s">
        <v>968</v>
      </c>
      <c r="G52" s="493"/>
      <c r="H52" s="493"/>
      <c r="I52" s="1452"/>
      <c r="J52" s="1452"/>
    </row>
    <row r="53" spans="1:16" ht="12" customHeight="1">
      <c r="A53" s="587" t="s">
        <v>6491</v>
      </c>
      <c r="B53" s="1476" t="s">
        <v>897</v>
      </c>
      <c r="C53" s="493"/>
      <c r="D53" s="493"/>
      <c r="E53" s="573"/>
      <c r="F53" s="1458" t="s">
        <v>968</v>
      </c>
      <c r="G53" s="493"/>
      <c r="H53" s="493"/>
      <c r="I53" s="1452"/>
      <c r="J53" s="1452"/>
    </row>
    <row r="54" spans="1:16" ht="26.25" customHeight="1">
      <c r="A54" s="587" t="s">
        <v>6474</v>
      </c>
      <c r="B54" s="4149" t="s">
        <v>7174</v>
      </c>
      <c r="C54" s="4150"/>
      <c r="D54" s="4150"/>
      <c r="E54" s="4150"/>
      <c r="F54" s="1477"/>
      <c r="G54" s="1452"/>
      <c r="H54" s="1452"/>
      <c r="I54" s="1452"/>
      <c r="J54" s="1452"/>
    </row>
    <row r="55" spans="1:16" ht="12" customHeight="1">
      <c r="A55" s="587" t="s">
        <v>968</v>
      </c>
      <c r="B55" s="1476"/>
      <c r="C55" s="493"/>
      <c r="D55" s="493"/>
      <c r="E55" s="493"/>
      <c r="F55" s="1458" t="s">
        <v>968</v>
      </c>
      <c r="G55" s="493"/>
      <c r="H55" s="493"/>
      <c r="I55" s="1452"/>
      <c r="J55" s="1452"/>
    </row>
    <row r="56" spans="1:16" ht="12" customHeight="1">
      <c r="A56" s="587" t="s">
        <v>968</v>
      </c>
      <c r="B56" s="493"/>
      <c r="C56" s="493"/>
      <c r="D56" s="493"/>
      <c r="E56" s="493"/>
      <c r="F56" s="1458" t="s">
        <v>968</v>
      </c>
      <c r="G56" s="493"/>
      <c r="H56" s="493"/>
      <c r="I56" s="1452"/>
      <c r="J56" s="1452"/>
    </row>
    <row r="57" spans="1:16" ht="12" customHeight="1">
      <c r="A57" s="1478" t="s">
        <v>6498</v>
      </c>
      <c r="B57" s="1476"/>
      <c r="C57" s="493"/>
      <c r="D57" s="493"/>
      <c r="E57" s="493"/>
      <c r="F57" s="1458"/>
      <c r="G57" s="1452"/>
      <c r="H57" s="1452"/>
      <c r="I57" s="1452"/>
      <c r="J57" s="1452"/>
    </row>
    <row r="58" spans="1:16" ht="12" customHeight="1" thickBot="1">
      <c r="A58" s="1479" t="s">
        <v>968</v>
      </c>
      <c r="B58" s="1480" t="s">
        <v>968</v>
      </c>
      <c r="C58" s="1480" t="s">
        <v>968</v>
      </c>
      <c r="D58" s="1480" t="s">
        <v>968</v>
      </c>
      <c r="E58" s="1480" t="s">
        <v>968</v>
      </c>
      <c r="F58" s="1481" t="s">
        <v>968</v>
      </c>
      <c r="G58" s="493"/>
      <c r="H58" s="493"/>
      <c r="I58" s="1452"/>
      <c r="J58" s="1452"/>
    </row>
    <row r="59" spans="1:16" ht="12" customHeight="1">
      <c r="A59" s="493"/>
      <c r="B59" s="493"/>
      <c r="C59" s="1472">
        <v>277676511</v>
      </c>
      <c r="D59" s="1472">
        <v>179182255</v>
      </c>
      <c r="E59" s="1472">
        <v>98494256</v>
      </c>
      <c r="F59" s="1472" t="s">
        <v>6463</v>
      </c>
      <c r="G59" s="493"/>
      <c r="H59" s="493"/>
      <c r="I59" s="1452"/>
      <c r="J59" s="1452"/>
    </row>
    <row r="60" spans="1:16" ht="12" customHeight="1">
      <c r="A60" s="493"/>
      <c r="B60" s="493"/>
      <c r="C60" s="1777">
        <f>C49-C59</f>
        <v>0</v>
      </c>
      <c r="D60" s="1777">
        <f>D49-D59</f>
        <v>1</v>
      </c>
      <c r="E60" s="1777">
        <f>E49-E59</f>
        <v>0</v>
      </c>
      <c r="F60" s="1696" t="s">
        <v>927</v>
      </c>
      <c r="G60" s="493"/>
      <c r="H60" s="493"/>
      <c r="I60" s="1452"/>
      <c r="J60" s="1452"/>
    </row>
    <row r="61" spans="1:16" ht="12" customHeight="1">
      <c r="A61" s="493"/>
      <c r="B61" s="493"/>
      <c r="C61" s="493"/>
      <c r="D61" s="493"/>
      <c r="E61" s="493"/>
      <c r="F61" s="493"/>
      <c r="G61" s="493"/>
      <c r="H61" s="493"/>
      <c r="I61" s="1452"/>
      <c r="J61" s="1452"/>
    </row>
    <row r="62" spans="1:16" ht="12" customHeight="1">
      <c r="A62" s="493"/>
      <c r="B62" s="493"/>
      <c r="C62" s="493"/>
      <c r="D62" s="493"/>
      <c r="E62" s="493"/>
      <c r="F62" s="493"/>
      <c r="G62" s="493"/>
      <c r="H62" s="493"/>
      <c r="I62" s="1452"/>
      <c r="J62" s="1452"/>
    </row>
    <row r="63" spans="1:16" ht="12" customHeight="1">
      <c r="A63" s="493"/>
      <c r="B63" s="493"/>
      <c r="C63" s="493"/>
      <c r="D63" s="493"/>
      <c r="E63" s="493"/>
      <c r="F63" s="493"/>
      <c r="G63" s="493"/>
      <c r="H63" s="493"/>
      <c r="I63" s="1452"/>
      <c r="J63" s="1452"/>
    </row>
    <row r="64" spans="1:16" ht="12" customHeight="1">
      <c r="A64" s="493"/>
      <c r="B64" s="493"/>
      <c r="C64" s="493"/>
      <c r="D64" s="493"/>
      <c r="E64" s="493"/>
      <c r="F64" s="493"/>
      <c r="G64" s="493"/>
      <c r="H64" s="493"/>
      <c r="I64" s="1452"/>
      <c r="J64" s="1452"/>
    </row>
    <row r="65" spans="1:10" ht="12" customHeight="1">
      <c r="A65" s="493"/>
      <c r="B65" s="493"/>
      <c r="C65" s="493"/>
      <c r="D65" s="493"/>
      <c r="E65" s="493"/>
      <c r="F65" s="493"/>
      <c r="G65" s="493"/>
      <c r="H65" s="493"/>
      <c r="I65" s="1452"/>
      <c r="J65" s="1452"/>
    </row>
    <row r="66" spans="1:10" ht="12" customHeight="1">
      <c r="A66" s="493"/>
      <c r="B66" s="493"/>
      <c r="C66" s="493"/>
      <c r="D66" s="493"/>
      <c r="E66" s="493"/>
      <c r="F66" s="493"/>
      <c r="G66" s="493"/>
      <c r="H66" s="493"/>
      <c r="I66" s="1452"/>
      <c r="J66" s="1452"/>
    </row>
    <row r="67" spans="1:10" ht="12" customHeight="1">
      <c r="A67" s="493"/>
      <c r="B67" s="493"/>
      <c r="C67" s="493"/>
      <c r="D67" s="493"/>
      <c r="E67" s="493"/>
      <c r="F67" s="493"/>
      <c r="G67" s="493"/>
      <c r="H67" s="493"/>
      <c r="I67" s="1452"/>
      <c r="J67" s="1452"/>
    </row>
    <row r="68" spans="1:10" ht="12" customHeight="1">
      <c r="A68" s="493"/>
      <c r="B68" s="493"/>
      <c r="C68" s="493"/>
      <c r="D68" s="493"/>
      <c r="E68" s="493"/>
      <c r="F68" s="493"/>
      <c r="G68" s="493"/>
      <c r="H68" s="493"/>
      <c r="I68" s="1452"/>
      <c r="J68" s="1452"/>
    </row>
    <row r="69" spans="1:10" ht="12" customHeight="1">
      <c r="A69" s="493"/>
      <c r="B69" s="493"/>
      <c r="C69" s="493"/>
      <c r="D69" s="493"/>
      <c r="E69" s="493"/>
      <c r="F69" s="493"/>
      <c r="G69" s="493"/>
      <c r="H69" s="493"/>
      <c r="I69" s="1452"/>
      <c r="J69" s="1452"/>
    </row>
    <row r="70" spans="1:10" ht="12" customHeight="1">
      <c r="A70" s="493"/>
      <c r="B70" s="493"/>
      <c r="C70" s="493"/>
      <c r="D70" s="493"/>
      <c r="E70" s="493"/>
      <c r="F70" s="493"/>
      <c r="G70" s="493"/>
      <c r="H70" s="493"/>
      <c r="I70" s="1452"/>
      <c r="J70" s="1452"/>
    </row>
    <row r="71" spans="1:10" ht="12" customHeight="1">
      <c r="A71" s="493"/>
      <c r="B71" s="493"/>
      <c r="C71" s="493"/>
      <c r="D71" s="493"/>
      <c r="E71" s="493"/>
      <c r="F71" s="493"/>
      <c r="G71" s="493"/>
      <c r="H71" s="493"/>
      <c r="I71" s="1452"/>
      <c r="J71" s="1452"/>
    </row>
    <row r="72" spans="1:10" ht="12" customHeight="1">
      <c r="A72" s="493"/>
      <c r="B72" s="493"/>
      <c r="C72" s="493"/>
      <c r="D72" s="493"/>
      <c r="E72" s="493"/>
      <c r="F72" s="493"/>
      <c r="G72" s="493"/>
      <c r="H72" s="493"/>
      <c r="I72" s="1452"/>
      <c r="J72" s="1452"/>
    </row>
    <row r="73" spans="1:10" ht="12" customHeight="1">
      <c r="A73" s="493"/>
      <c r="B73" s="493"/>
      <c r="C73" s="493"/>
      <c r="D73" s="493"/>
      <c r="E73" s="493"/>
      <c r="F73" s="493"/>
      <c r="G73" s="493"/>
      <c r="H73" s="493"/>
      <c r="I73" s="1452"/>
      <c r="J73" s="1452"/>
    </row>
    <row r="74" spans="1:10" ht="12" customHeight="1">
      <c r="A74" s="493"/>
      <c r="B74" s="493"/>
      <c r="C74" s="493"/>
      <c r="D74" s="493"/>
      <c r="E74" s="493"/>
      <c r="F74" s="493"/>
      <c r="G74" s="493"/>
      <c r="H74" s="493"/>
      <c r="I74" s="1452"/>
      <c r="J74" s="1452"/>
    </row>
    <row r="75" spans="1:10" ht="12" customHeight="1">
      <c r="A75" s="493"/>
      <c r="B75" s="493"/>
      <c r="C75" s="493"/>
      <c r="D75" s="493"/>
      <c r="E75" s="493"/>
      <c r="F75" s="493"/>
      <c r="G75" s="493"/>
      <c r="H75" s="493"/>
      <c r="I75" s="1452"/>
      <c r="J75" s="1452"/>
    </row>
    <row r="76" spans="1:10" ht="12" customHeight="1">
      <c r="A76" s="493"/>
      <c r="B76" s="493"/>
      <c r="C76" s="493"/>
      <c r="D76" s="493"/>
      <c r="E76" s="493"/>
      <c r="F76" s="493"/>
      <c r="G76" s="493"/>
      <c r="H76" s="493"/>
      <c r="I76" s="1452"/>
      <c r="J76" s="1452"/>
    </row>
    <row r="77" spans="1:10" ht="12" customHeight="1">
      <c r="A77" s="493"/>
      <c r="B77" s="493"/>
      <c r="C77" s="493"/>
      <c r="D77" s="493"/>
      <c r="E77" s="493"/>
      <c r="F77" s="493"/>
      <c r="G77" s="493"/>
      <c r="H77" s="493"/>
      <c r="I77" s="1452"/>
      <c r="J77" s="1452"/>
    </row>
    <row r="78" spans="1:10" ht="12" customHeight="1">
      <c r="A78" s="493"/>
      <c r="B78" s="493"/>
      <c r="C78" s="493"/>
      <c r="D78" s="493"/>
      <c r="E78" s="493"/>
      <c r="F78" s="493"/>
      <c r="G78" s="493"/>
      <c r="H78" s="493"/>
      <c r="I78" s="1452"/>
      <c r="J78" s="1452"/>
    </row>
    <row r="79" spans="1:10" ht="12" customHeight="1">
      <c r="A79" s="493"/>
      <c r="B79" s="493"/>
      <c r="C79" s="493"/>
      <c r="D79" s="493"/>
      <c r="E79" s="493"/>
      <c r="F79" s="493"/>
      <c r="G79" s="493"/>
      <c r="H79" s="493"/>
      <c r="I79" s="1452"/>
      <c r="J79" s="1452"/>
    </row>
    <row r="80" spans="1:10" ht="12" customHeight="1">
      <c r="A80" s="493"/>
      <c r="B80" s="493"/>
      <c r="C80" s="493"/>
      <c r="D80" s="493"/>
      <c r="E80" s="493"/>
      <c r="F80" s="493"/>
      <c r="G80" s="493"/>
      <c r="H80" s="493"/>
      <c r="I80" s="1452"/>
      <c r="J80" s="1452"/>
    </row>
    <row r="81" spans="1:10" ht="12" customHeight="1">
      <c r="A81" s="493"/>
      <c r="B81" s="493"/>
      <c r="C81" s="493"/>
      <c r="D81" s="493"/>
      <c r="E81" s="493"/>
      <c r="F81" s="493"/>
      <c r="G81" s="493"/>
      <c r="H81" s="493"/>
      <c r="I81" s="1452"/>
      <c r="J81" s="1452"/>
    </row>
    <row r="82" spans="1:10" ht="12" customHeight="1">
      <c r="A82" s="493"/>
      <c r="B82" s="493"/>
      <c r="C82" s="493"/>
      <c r="D82" s="493"/>
      <c r="E82" s="493"/>
      <c r="F82" s="493"/>
      <c r="G82" s="493"/>
      <c r="H82" s="493"/>
      <c r="I82" s="1452"/>
      <c r="J82" s="1452"/>
    </row>
    <row r="83" spans="1:10" ht="12" customHeight="1">
      <c r="A83" s="493"/>
      <c r="B83" s="493"/>
      <c r="C83" s="493"/>
      <c r="D83" s="493"/>
      <c r="E83" s="493"/>
      <c r="F83" s="493"/>
      <c r="G83" s="493"/>
      <c r="H83" s="493"/>
      <c r="I83" s="1452"/>
      <c r="J83" s="1452"/>
    </row>
    <row r="84" spans="1:10" ht="12" customHeight="1">
      <c r="A84" s="493"/>
      <c r="B84" s="493"/>
      <c r="C84" s="493"/>
      <c r="D84" s="493"/>
      <c r="E84" s="493"/>
      <c r="F84" s="493"/>
      <c r="G84" s="493"/>
      <c r="H84" s="493"/>
      <c r="I84" s="1452"/>
      <c r="J84" s="1452"/>
    </row>
    <row r="85" spans="1:10" ht="12" customHeight="1">
      <c r="A85" s="493"/>
      <c r="B85" s="493"/>
      <c r="C85" s="493"/>
      <c r="D85" s="493"/>
      <c r="E85" s="493"/>
      <c r="F85" s="493"/>
      <c r="G85" s="493"/>
      <c r="H85" s="493"/>
      <c r="I85" s="1452"/>
      <c r="J85" s="1452"/>
    </row>
    <row r="86" spans="1:10" ht="12" customHeight="1">
      <c r="A86" s="493"/>
      <c r="B86" s="493"/>
      <c r="C86" s="493"/>
      <c r="D86" s="493"/>
      <c r="E86" s="493"/>
      <c r="F86" s="493"/>
      <c r="G86" s="493"/>
      <c r="H86" s="493"/>
      <c r="I86" s="1452"/>
      <c r="J86" s="1452"/>
    </row>
    <row r="87" spans="1:10" ht="12" customHeight="1">
      <c r="A87" s="493"/>
      <c r="B87" s="493"/>
      <c r="C87" s="493"/>
      <c r="D87" s="493"/>
      <c r="E87" s="493"/>
      <c r="F87" s="493"/>
      <c r="G87" s="493"/>
      <c r="H87" s="493"/>
      <c r="I87" s="1452"/>
      <c r="J87" s="1452"/>
    </row>
    <row r="88" spans="1:10" ht="12" customHeight="1">
      <c r="A88" s="493"/>
      <c r="B88" s="493"/>
      <c r="C88" s="493"/>
      <c r="D88" s="493"/>
      <c r="E88" s="493"/>
      <c r="F88" s="493"/>
      <c r="G88" s="493"/>
      <c r="H88" s="493"/>
      <c r="I88" s="1452"/>
      <c r="J88" s="1452"/>
    </row>
  </sheetData>
  <mergeCells count="1">
    <mergeCell ref="B54:E54"/>
  </mergeCells>
  <pageMargins left="0.7" right="0.7" top="0.75" bottom="0.75" header="0.3" footer="0.3"/>
  <customProperties>
    <customPr name="_pios_id" r:id="rId1"/>
  </customPropertie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rgb="FF92D050"/>
  </sheetPr>
  <dimension ref="A1:C39"/>
  <sheetViews>
    <sheetView workbookViewId="0">
      <pane ySplit="8" topLeftCell="A9" activePane="bottomLeft" state="frozen"/>
      <selection sqref="A1:XFD1048576"/>
      <selection pane="bottomLeft" sqref="A1:XFD1048576"/>
    </sheetView>
  </sheetViews>
  <sheetFormatPr defaultColWidth="11.625" defaultRowHeight="11.25"/>
  <cols>
    <col min="1" max="1" width="3.875" style="1149" customWidth="1"/>
    <col min="2" max="2" width="41.625" style="1149" customWidth="1"/>
    <col min="3" max="3" width="11.5" style="1149" bestFit="1" customWidth="1"/>
    <col min="4" max="17" width="17.625" style="1149" customWidth="1"/>
    <col min="18" max="16384" width="11.625" style="1149"/>
  </cols>
  <sheetData>
    <row r="1" spans="1:3">
      <c r="A1" s="507" t="s">
        <v>4977</v>
      </c>
      <c r="B1" s="507"/>
    </row>
    <row r="2" spans="1:3">
      <c r="A2" s="507" t="s">
        <v>6778</v>
      </c>
      <c r="B2" s="507"/>
    </row>
    <row r="3" spans="1:3">
      <c r="A3" s="1482"/>
    </row>
    <row r="4" spans="1:3">
      <c r="A4" s="1482"/>
    </row>
    <row r="6" spans="1:3" ht="24.75" customHeight="1">
      <c r="A6" s="3990" t="s">
        <v>6499</v>
      </c>
      <c r="B6" s="4004"/>
      <c r="C6" s="4005"/>
    </row>
    <row r="7" spans="1:3" ht="22.5">
      <c r="A7" s="1266" t="s">
        <v>5177</v>
      </c>
      <c r="B7" s="1267" t="s">
        <v>5560</v>
      </c>
      <c r="C7" s="1267" t="s">
        <v>6500</v>
      </c>
    </row>
    <row r="8" spans="1:3">
      <c r="A8" s="1483"/>
      <c r="B8" s="1483" t="s">
        <v>4989</v>
      </c>
      <c r="C8" s="1483" t="s">
        <v>4990</v>
      </c>
    </row>
    <row r="9" spans="1:3">
      <c r="A9" s="1484">
        <v>1</v>
      </c>
      <c r="B9" s="1289" t="s">
        <v>6501</v>
      </c>
      <c r="C9" s="1485"/>
    </row>
    <row r="10" spans="1:3">
      <c r="A10" s="1484">
        <v>2</v>
      </c>
      <c r="B10" s="1289" t="s">
        <v>6502</v>
      </c>
      <c r="C10" s="1485"/>
    </row>
    <row r="11" spans="1:3">
      <c r="A11" s="1484">
        <v>3</v>
      </c>
      <c r="B11" s="1289" t="s">
        <v>659</v>
      </c>
      <c r="C11" s="1486">
        <v>5223967.0269999998</v>
      </c>
    </row>
    <row r="12" spans="1:3">
      <c r="A12" s="1484">
        <v>4</v>
      </c>
      <c r="B12" s="1289" t="s">
        <v>668</v>
      </c>
      <c r="C12" s="1487">
        <v>0</v>
      </c>
    </row>
    <row r="13" spans="1:3">
      <c r="A13" s="1484">
        <v>5</v>
      </c>
      <c r="B13" s="1289" t="s">
        <v>6503</v>
      </c>
      <c r="C13" s="1487">
        <v>0</v>
      </c>
    </row>
    <row r="14" spans="1:3">
      <c r="A14" s="1484">
        <v>6</v>
      </c>
      <c r="B14" s="1289" t="s">
        <v>6504</v>
      </c>
      <c r="C14" s="1487">
        <v>699907.1</v>
      </c>
    </row>
    <row r="15" spans="1:3">
      <c r="A15" s="1484">
        <v>7</v>
      </c>
      <c r="B15" s="1289" t="s">
        <v>107</v>
      </c>
      <c r="C15" s="1486">
        <v>8970507.0969999991</v>
      </c>
    </row>
    <row r="16" spans="1:3">
      <c r="A16" s="1484">
        <v>8</v>
      </c>
      <c r="B16" s="1289" t="s">
        <v>6505</v>
      </c>
      <c r="C16" s="1487">
        <v>0</v>
      </c>
    </row>
    <row r="17" spans="1:3" ht="22.5">
      <c r="A17" s="1484">
        <v>9</v>
      </c>
      <c r="B17" s="1289" t="s">
        <v>6506</v>
      </c>
      <c r="C17" s="1488">
        <v>14894381.223999999</v>
      </c>
    </row>
    <row r="18" spans="1:3">
      <c r="A18" s="1484">
        <v>10</v>
      </c>
      <c r="B18" s="1289" t="s">
        <v>6507</v>
      </c>
      <c r="C18" s="1486">
        <v>16603754</v>
      </c>
    </row>
    <row r="19" spans="1:3">
      <c r="A19" s="1489">
        <v>10.1</v>
      </c>
      <c r="B19" s="1289" t="s">
        <v>6508</v>
      </c>
      <c r="C19" s="1486">
        <v>0</v>
      </c>
    </row>
    <row r="20" spans="1:3">
      <c r="A20" s="1484">
        <v>11</v>
      </c>
      <c r="B20" s="1289" t="s">
        <v>6509</v>
      </c>
      <c r="C20" s="1485"/>
    </row>
    <row r="21" spans="1:3">
      <c r="A21" s="1484">
        <v>12</v>
      </c>
      <c r="B21" s="1289" t="s">
        <v>6510</v>
      </c>
      <c r="C21" s="1486">
        <v>439126</v>
      </c>
    </row>
    <row r="22" spans="1:3">
      <c r="A22" s="1484">
        <v>13</v>
      </c>
      <c r="B22" s="1289" t="s">
        <v>6511</v>
      </c>
      <c r="C22" s="1486">
        <v>623963</v>
      </c>
    </row>
    <row r="23" spans="1:3">
      <c r="A23" s="1484">
        <v>14</v>
      </c>
      <c r="B23" s="1289" t="s">
        <v>6512</v>
      </c>
      <c r="C23" s="1488">
        <v>-184837</v>
      </c>
    </row>
    <row r="24" spans="1:3">
      <c r="A24" s="1484">
        <v>15</v>
      </c>
      <c r="B24" s="1289" t="s">
        <v>6513</v>
      </c>
      <c r="C24" s="1485"/>
    </row>
    <row r="25" spans="1:3">
      <c r="A25" s="1484">
        <v>16</v>
      </c>
      <c r="B25" s="1289" t="s">
        <v>6510</v>
      </c>
      <c r="C25" s="1486">
        <v>9067790</v>
      </c>
    </row>
    <row r="26" spans="1:3">
      <c r="A26" s="1484">
        <v>17</v>
      </c>
      <c r="B26" s="1289" t="s">
        <v>6511</v>
      </c>
      <c r="C26" s="1486">
        <v>9067790</v>
      </c>
    </row>
    <row r="27" spans="1:3">
      <c r="A27" s="1484">
        <v>18</v>
      </c>
      <c r="B27" s="1289" t="s">
        <v>6514</v>
      </c>
      <c r="C27" s="1488">
        <v>0</v>
      </c>
    </row>
    <row r="28" spans="1:3">
      <c r="A28" s="1484">
        <v>19</v>
      </c>
      <c r="B28" s="1289" t="s">
        <v>6515</v>
      </c>
      <c r="C28" s="1487">
        <v>0</v>
      </c>
    </row>
    <row r="29" spans="1:3">
      <c r="A29" s="1484">
        <v>20</v>
      </c>
      <c r="B29" s="1289" t="s">
        <v>6516</v>
      </c>
      <c r="C29" s="1488">
        <v>31313298.223999999</v>
      </c>
    </row>
    <row r="30" spans="1:3">
      <c r="A30" s="1484">
        <v>21</v>
      </c>
      <c r="B30" s="1289" t="s">
        <v>6517</v>
      </c>
      <c r="C30" s="1485"/>
    </row>
    <row r="31" spans="1:3" ht="22.5">
      <c r="A31" s="1484">
        <v>22</v>
      </c>
      <c r="B31" s="2773" t="s">
        <v>6518</v>
      </c>
      <c r="C31" s="2774">
        <v>21165762</v>
      </c>
    </row>
    <row r="32" spans="1:3">
      <c r="A32" s="1484">
        <v>23</v>
      </c>
      <c r="B32" s="1289" t="s">
        <v>6519</v>
      </c>
      <c r="C32" s="1487">
        <v>6700</v>
      </c>
    </row>
    <row r="33" spans="1:3">
      <c r="A33" s="1484">
        <v>24</v>
      </c>
      <c r="B33" s="1289" t="s">
        <v>6520</v>
      </c>
      <c r="C33" s="1487">
        <v>9026924</v>
      </c>
    </row>
    <row r="34" spans="1:3">
      <c r="A34" s="1484">
        <v>25</v>
      </c>
      <c r="B34" s="1289" t="s">
        <v>6521</v>
      </c>
      <c r="C34" s="1282"/>
    </row>
    <row r="35" spans="1:3" ht="22.5">
      <c r="A35" s="1484">
        <v>26</v>
      </c>
      <c r="B35" s="1289" t="s">
        <v>6522</v>
      </c>
      <c r="C35" s="1486">
        <v>23211.17</v>
      </c>
    </row>
    <row r="36" spans="1:3">
      <c r="A36" s="1484">
        <v>27</v>
      </c>
      <c r="B36" s="2773" t="s">
        <v>6523</v>
      </c>
      <c r="C36" s="2774">
        <v>1090701</v>
      </c>
    </row>
    <row r="37" spans="1:3">
      <c r="A37" s="1490" t="s">
        <v>5735</v>
      </c>
      <c r="B37" s="1292" t="s">
        <v>6524</v>
      </c>
      <c r="C37" s="1491"/>
    </row>
    <row r="38" spans="1:3" ht="22.5">
      <c r="A38" s="1484">
        <v>28</v>
      </c>
      <c r="B38" s="1289" t="s">
        <v>6525</v>
      </c>
      <c r="C38" s="1492">
        <v>31313298.170000002</v>
      </c>
    </row>
    <row r="39" spans="1:3">
      <c r="A39" s="1194"/>
      <c r="B39" s="1194"/>
      <c r="C39" s="1194"/>
    </row>
  </sheetData>
  <mergeCells count="1">
    <mergeCell ref="A6:C6"/>
  </mergeCells>
  <pageMargins left="0.75" right="0.75" top="1" bottom="1" header="0.5" footer="0.5"/>
  <customProperties>
    <customPr name="_pios_id" r:id="rId1"/>
  </customPropertie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tabColor rgb="FF92D050"/>
  </sheetPr>
  <dimension ref="A1:C39"/>
  <sheetViews>
    <sheetView workbookViewId="0">
      <pane ySplit="8" topLeftCell="A9" activePane="bottomLeft" state="frozen"/>
      <selection sqref="A1:XFD1048576"/>
      <selection pane="bottomLeft" sqref="A1:XFD1048576"/>
    </sheetView>
  </sheetViews>
  <sheetFormatPr defaultColWidth="11.625" defaultRowHeight="11.25"/>
  <cols>
    <col min="1" max="1" width="3.875" style="1149" customWidth="1"/>
    <col min="2" max="2" width="41.625" style="1149" customWidth="1"/>
    <col min="3" max="3" width="11.5" style="1149" bestFit="1" customWidth="1"/>
    <col min="4" max="17" width="17.625" style="1149" customWidth="1"/>
    <col min="18" max="16384" width="11.625" style="1149"/>
  </cols>
  <sheetData>
    <row r="1" spans="1:3">
      <c r="A1" s="507" t="s">
        <v>4977</v>
      </c>
      <c r="B1" s="507"/>
    </row>
    <row r="2" spans="1:3">
      <c r="A2" s="507" t="s">
        <v>4978</v>
      </c>
      <c r="B2" s="507"/>
    </row>
    <row r="3" spans="1:3">
      <c r="A3" s="1482"/>
    </row>
    <row r="4" spans="1:3">
      <c r="A4" s="1482"/>
    </row>
    <row r="6" spans="1:3" ht="24.75" customHeight="1">
      <c r="A6" s="3990" t="s">
        <v>6499</v>
      </c>
      <c r="B6" s="4004"/>
      <c r="C6" s="4005"/>
    </row>
    <row r="7" spans="1:3" ht="22.5">
      <c r="A7" s="1266" t="s">
        <v>5177</v>
      </c>
      <c r="B7" s="1267" t="s">
        <v>5560</v>
      </c>
      <c r="C7" s="1267" t="s">
        <v>6500</v>
      </c>
    </row>
    <row r="8" spans="1:3">
      <c r="A8" s="1483"/>
      <c r="B8" s="1483" t="s">
        <v>4989</v>
      </c>
      <c r="C8" s="1483" t="s">
        <v>4990</v>
      </c>
    </row>
    <row r="9" spans="1:3">
      <c r="A9" s="1484">
        <v>1</v>
      </c>
      <c r="B9" s="1289" t="s">
        <v>6501</v>
      </c>
      <c r="C9" s="1485"/>
    </row>
    <row r="10" spans="1:3">
      <c r="A10" s="1484">
        <v>2</v>
      </c>
      <c r="B10" s="1289" t="s">
        <v>6502</v>
      </c>
      <c r="C10" s="1485"/>
    </row>
    <row r="11" spans="1:3">
      <c r="A11" s="1484">
        <v>3</v>
      </c>
      <c r="B11" s="1289" t="s">
        <v>659</v>
      </c>
      <c r="C11" s="1486">
        <v>4464058.665</v>
      </c>
    </row>
    <row r="12" spans="1:3">
      <c r="A12" s="1484">
        <v>4</v>
      </c>
      <c r="B12" s="1289" t="s">
        <v>668</v>
      </c>
      <c r="C12" s="1487">
        <v>0</v>
      </c>
    </row>
    <row r="13" spans="1:3">
      <c r="A13" s="1484">
        <v>5</v>
      </c>
      <c r="B13" s="1289" t="s">
        <v>6503</v>
      </c>
      <c r="C13" s="1487">
        <v>758615.34</v>
      </c>
    </row>
    <row r="14" spans="1:3">
      <c r="A14" s="1484">
        <v>6</v>
      </c>
      <c r="B14" s="1289" t="s">
        <v>6504</v>
      </c>
      <c r="C14" s="1487">
        <v>0</v>
      </c>
    </row>
    <row r="15" spans="1:3">
      <c r="A15" s="1484">
        <v>7</v>
      </c>
      <c r="B15" s="1289" t="s">
        <v>107</v>
      </c>
      <c r="C15" s="1486">
        <v>5976262.2520000003</v>
      </c>
    </row>
    <row r="16" spans="1:3">
      <c r="A16" s="1484">
        <v>8</v>
      </c>
      <c r="B16" s="1289" t="s">
        <v>6505</v>
      </c>
      <c r="C16" s="1487">
        <v>0</v>
      </c>
    </row>
    <row r="17" spans="1:3" ht="22.5">
      <c r="A17" s="1484">
        <v>9</v>
      </c>
      <c r="B17" s="1289" t="s">
        <v>6506</v>
      </c>
      <c r="C17" s="1488">
        <v>11198936.256999999</v>
      </c>
    </row>
    <row r="18" spans="1:3">
      <c r="A18" s="1484">
        <v>10</v>
      </c>
      <c r="B18" s="1289" t="s">
        <v>6507</v>
      </c>
      <c r="C18" s="1486">
        <v>17932254</v>
      </c>
    </row>
    <row r="19" spans="1:3">
      <c r="A19" s="1489">
        <v>10.1</v>
      </c>
      <c r="B19" s="1289" t="s">
        <v>6508</v>
      </c>
      <c r="C19" s="1486">
        <v>0</v>
      </c>
    </row>
    <row r="20" spans="1:3">
      <c r="A20" s="1484">
        <v>11</v>
      </c>
      <c r="B20" s="1289" t="s">
        <v>6509</v>
      </c>
      <c r="C20" s="1485"/>
    </row>
    <row r="21" spans="1:3">
      <c r="A21" s="1484">
        <v>12</v>
      </c>
      <c r="B21" s="1289" t="s">
        <v>6510</v>
      </c>
      <c r="C21" s="1486">
        <v>484951</v>
      </c>
    </row>
    <row r="22" spans="1:3">
      <c r="A22" s="1484">
        <v>13</v>
      </c>
      <c r="B22" s="1289" t="s">
        <v>6511</v>
      </c>
      <c r="C22" s="1486">
        <v>591631</v>
      </c>
    </row>
    <row r="23" spans="1:3">
      <c r="A23" s="1484">
        <v>14</v>
      </c>
      <c r="B23" s="1289" t="s">
        <v>6512</v>
      </c>
      <c r="C23" s="1488">
        <v>-106680</v>
      </c>
    </row>
    <row r="24" spans="1:3">
      <c r="A24" s="1484">
        <v>15</v>
      </c>
      <c r="B24" s="1289" t="s">
        <v>6513</v>
      </c>
      <c r="C24" s="1485"/>
    </row>
    <row r="25" spans="1:3">
      <c r="A25" s="1484">
        <v>16</v>
      </c>
      <c r="B25" s="1289" t="s">
        <v>6510</v>
      </c>
      <c r="C25" s="1486">
        <v>8890062</v>
      </c>
    </row>
    <row r="26" spans="1:3">
      <c r="A26" s="1484">
        <v>17</v>
      </c>
      <c r="B26" s="1289" t="s">
        <v>6511</v>
      </c>
      <c r="C26" s="1486">
        <v>8890062</v>
      </c>
    </row>
    <row r="27" spans="1:3">
      <c r="A27" s="1484">
        <v>18</v>
      </c>
      <c r="B27" s="1289" t="s">
        <v>6514</v>
      </c>
      <c r="C27" s="1488">
        <v>0</v>
      </c>
    </row>
    <row r="28" spans="1:3">
      <c r="A28" s="1484">
        <v>19</v>
      </c>
      <c r="B28" s="1289" t="s">
        <v>6515</v>
      </c>
      <c r="C28" s="1487">
        <v>0</v>
      </c>
    </row>
    <row r="29" spans="1:3">
      <c r="A29" s="1484">
        <v>20</v>
      </c>
      <c r="B29" s="1289" t="s">
        <v>6516</v>
      </c>
      <c r="C29" s="1488">
        <v>29024510.256999999</v>
      </c>
    </row>
    <row r="30" spans="1:3">
      <c r="A30" s="1484">
        <v>21</v>
      </c>
      <c r="B30" s="1289" t="s">
        <v>6517</v>
      </c>
      <c r="C30" s="1485"/>
    </row>
    <row r="31" spans="1:3" ht="22.5">
      <c r="A31" s="1484">
        <v>22</v>
      </c>
      <c r="B31" s="2773" t="s">
        <v>6518</v>
      </c>
      <c r="C31" s="2774">
        <v>21613415.155999999</v>
      </c>
    </row>
    <row r="32" spans="1:3">
      <c r="A32" s="1484">
        <v>23</v>
      </c>
      <c r="B32" s="1289" t="s">
        <v>6519</v>
      </c>
      <c r="C32" s="1487">
        <v>7136</v>
      </c>
    </row>
    <row r="33" spans="1:3">
      <c r="A33" s="1484">
        <v>24</v>
      </c>
      <c r="B33" s="1289" t="s">
        <v>6520</v>
      </c>
      <c r="C33" s="1487">
        <v>6037297</v>
      </c>
    </row>
    <row r="34" spans="1:3">
      <c r="A34" s="1484">
        <v>25</v>
      </c>
      <c r="B34" s="1289" t="s">
        <v>6521</v>
      </c>
      <c r="C34" s="1282"/>
    </row>
    <row r="35" spans="1:3" ht="22.5">
      <c r="A35" s="1484">
        <v>26</v>
      </c>
      <c r="B35" s="1289" t="s">
        <v>6522</v>
      </c>
      <c r="C35" s="1486">
        <v>22721.200000000001</v>
      </c>
    </row>
    <row r="36" spans="1:3">
      <c r="A36" s="1484">
        <v>27</v>
      </c>
      <c r="B36" s="2773" t="s">
        <v>6523</v>
      </c>
      <c r="C36" s="2774">
        <v>1343941</v>
      </c>
    </row>
    <row r="37" spans="1:3">
      <c r="A37" s="1490" t="s">
        <v>5735</v>
      </c>
      <c r="B37" s="1292" t="s">
        <v>6524</v>
      </c>
      <c r="C37" s="1491"/>
    </row>
    <row r="38" spans="1:3" ht="22.5">
      <c r="A38" s="1484">
        <v>28</v>
      </c>
      <c r="B38" s="1289" t="s">
        <v>6525</v>
      </c>
      <c r="C38" s="1492">
        <v>29024510.355999999</v>
      </c>
    </row>
    <row r="39" spans="1:3">
      <c r="A39" s="1194"/>
      <c r="B39" s="1194"/>
      <c r="C39" s="1194"/>
    </row>
  </sheetData>
  <mergeCells count="1">
    <mergeCell ref="A6:C6"/>
  </mergeCells>
  <pageMargins left="0.75" right="0.75" top="1" bottom="1" header="0.5" footer="0.5"/>
  <customProperties>
    <customPr name="_pios_id" r:id="rId1"/>
  </customPropertie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rgb="FF92D050"/>
  </sheetPr>
  <dimension ref="A1:E39"/>
  <sheetViews>
    <sheetView workbookViewId="0">
      <pane ySplit="8" topLeftCell="A9" activePane="bottomLeft" state="frozen"/>
      <selection sqref="A1:XFD1048576"/>
      <selection pane="bottomLeft" sqref="A1:XFD1048576"/>
    </sheetView>
  </sheetViews>
  <sheetFormatPr defaultColWidth="14.75" defaultRowHeight="11.25"/>
  <cols>
    <col min="1" max="1" width="3.875" style="799" bestFit="1" customWidth="1"/>
    <col min="2" max="2" width="41.5" style="799" bestFit="1" customWidth="1"/>
    <col min="3" max="3" width="10.875" style="799" bestFit="1" customWidth="1"/>
    <col min="4" max="16384" width="14.75" style="799"/>
  </cols>
  <sheetData>
    <row r="1" spans="1:4">
      <c r="A1" s="507" t="s">
        <v>4977</v>
      </c>
      <c r="B1" s="507"/>
    </row>
    <row r="2" spans="1:4">
      <c r="A2" s="507" t="s">
        <v>5937</v>
      </c>
      <c r="B2" s="507"/>
    </row>
    <row r="3" spans="1:4">
      <c r="A3" s="1493"/>
    </row>
    <row r="4" spans="1:4">
      <c r="A4" s="1493"/>
    </row>
    <row r="6" spans="1:4">
      <c r="A6" s="4151" t="s">
        <v>6499</v>
      </c>
      <c r="B6" s="4152"/>
      <c r="C6" s="4153"/>
      <c r="D6" s="1494"/>
    </row>
    <row r="7" spans="1:4" ht="22.5">
      <c r="A7" s="1495" t="s">
        <v>5177</v>
      </c>
      <c r="B7" s="1496" t="s">
        <v>5560</v>
      </c>
      <c r="C7" s="1496" t="s">
        <v>6500</v>
      </c>
      <c r="D7" s="1494"/>
    </row>
    <row r="8" spans="1:4">
      <c r="A8" s="1497"/>
      <c r="B8" s="1497" t="s">
        <v>4989</v>
      </c>
      <c r="C8" s="1497" t="s">
        <v>4990</v>
      </c>
      <c r="D8" s="1494"/>
    </row>
    <row r="9" spans="1:4">
      <c r="A9" s="1498">
        <v>1</v>
      </c>
      <c r="B9" s="1499" t="s">
        <v>6501</v>
      </c>
      <c r="C9" s="1500"/>
      <c r="D9" s="1494"/>
    </row>
    <row r="10" spans="1:4">
      <c r="A10" s="1498">
        <v>2</v>
      </c>
      <c r="B10" s="1499" t="s">
        <v>6502</v>
      </c>
      <c r="C10" s="1500"/>
      <c r="D10" s="1494"/>
    </row>
    <row r="11" spans="1:4">
      <c r="A11" s="1498">
        <v>3</v>
      </c>
      <c r="B11" s="1499" t="s">
        <v>659</v>
      </c>
      <c r="C11" s="1501">
        <v>4717604</v>
      </c>
      <c r="D11" s="1494"/>
    </row>
    <row r="12" spans="1:4">
      <c r="A12" s="1498">
        <v>4</v>
      </c>
      <c r="B12" s="1499" t="s">
        <v>668</v>
      </c>
      <c r="C12" s="1502">
        <v>0</v>
      </c>
      <c r="D12" s="1494"/>
    </row>
    <row r="13" spans="1:4">
      <c r="A13" s="1498">
        <v>5</v>
      </c>
      <c r="B13" s="1499" t="s">
        <v>6503</v>
      </c>
      <c r="C13" s="1502">
        <v>957818</v>
      </c>
      <c r="D13" s="1494"/>
    </row>
    <row r="14" spans="1:4">
      <c r="A14" s="1498">
        <v>6</v>
      </c>
      <c r="B14" s="1499" t="s">
        <v>6504</v>
      </c>
      <c r="C14" s="1502">
        <v>0</v>
      </c>
      <c r="D14" s="1494"/>
    </row>
    <row r="15" spans="1:4">
      <c r="A15" s="1498">
        <v>7</v>
      </c>
      <c r="B15" s="1499" t="s">
        <v>107</v>
      </c>
      <c r="C15" s="1501">
        <v>7273961</v>
      </c>
      <c r="D15" s="1494"/>
    </row>
    <row r="16" spans="1:4">
      <c r="A16" s="1498">
        <v>8</v>
      </c>
      <c r="B16" s="1499" t="s">
        <v>6505</v>
      </c>
      <c r="C16" s="1502">
        <v>0</v>
      </c>
      <c r="D16" s="1494"/>
    </row>
    <row r="17" spans="1:5" ht="22.5">
      <c r="A17" s="1498">
        <v>9</v>
      </c>
      <c r="B17" s="1499" t="s">
        <v>6506</v>
      </c>
      <c r="C17" s="1503">
        <v>12949383</v>
      </c>
      <c r="D17" s="1494"/>
    </row>
    <row r="18" spans="1:5">
      <c r="A18" s="1498">
        <v>10</v>
      </c>
      <c r="B18" s="1499" t="s">
        <v>6507</v>
      </c>
      <c r="C18" s="1501">
        <v>16432503</v>
      </c>
      <c r="D18" s="1494"/>
    </row>
    <row r="19" spans="1:5">
      <c r="A19" s="1504">
        <v>10.1</v>
      </c>
      <c r="B19" s="1499" t="s">
        <v>6508</v>
      </c>
      <c r="C19" s="1501">
        <v>0</v>
      </c>
      <c r="D19" s="1494"/>
    </row>
    <row r="20" spans="1:5">
      <c r="A20" s="1498">
        <v>11</v>
      </c>
      <c r="B20" s="1499" t="s">
        <v>6509</v>
      </c>
      <c r="C20" s="1500"/>
      <c r="D20" s="1494"/>
    </row>
    <row r="21" spans="1:5">
      <c r="A21" s="1498">
        <v>12</v>
      </c>
      <c r="B21" s="1499" t="s">
        <v>6510</v>
      </c>
      <c r="C21" s="1501">
        <v>431032</v>
      </c>
      <c r="D21" s="1494"/>
      <c r="E21" s="1505"/>
    </row>
    <row r="22" spans="1:5">
      <c r="A22" s="1498">
        <v>13</v>
      </c>
      <c r="B22" s="1499" t="s">
        <v>6511</v>
      </c>
      <c r="C22" s="1501">
        <v>645291</v>
      </c>
      <c r="D22" s="1494"/>
      <c r="E22" s="1505"/>
    </row>
    <row r="23" spans="1:5">
      <c r="A23" s="1498">
        <v>14</v>
      </c>
      <c r="B23" s="1499" t="s">
        <v>6512</v>
      </c>
      <c r="C23" s="1503">
        <v>-214259</v>
      </c>
      <c r="D23" s="1494"/>
      <c r="E23" s="1505"/>
    </row>
    <row r="24" spans="1:5">
      <c r="A24" s="1498">
        <v>15</v>
      </c>
      <c r="B24" s="1499" t="s">
        <v>6513</v>
      </c>
      <c r="C24" s="1500"/>
      <c r="D24" s="1494"/>
    </row>
    <row r="25" spans="1:5">
      <c r="A25" s="1498">
        <v>16</v>
      </c>
      <c r="B25" s="1499" t="s">
        <v>6510</v>
      </c>
      <c r="C25" s="1501">
        <v>9260967</v>
      </c>
      <c r="D25" s="1494"/>
    </row>
    <row r="26" spans="1:5">
      <c r="A26" s="1498">
        <v>17</v>
      </c>
      <c r="B26" s="1499" t="s">
        <v>6511</v>
      </c>
      <c r="C26" s="1501">
        <v>9260967</v>
      </c>
      <c r="D26" s="1494"/>
    </row>
    <row r="27" spans="1:5">
      <c r="A27" s="1498">
        <v>18</v>
      </c>
      <c r="B27" s="1499" t="s">
        <v>6514</v>
      </c>
      <c r="C27" s="1503">
        <v>0</v>
      </c>
      <c r="D27" s="1494"/>
    </row>
    <row r="28" spans="1:5">
      <c r="A28" s="1498">
        <v>19</v>
      </c>
      <c r="B28" s="1499" t="s">
        <v>6515</v>
      </c>
      <c r="C28" s="1502">
        <v>0</v>
      </c>
      <c r="D28" s="1494"/>
    </row>
    <row r="29" spans="1:5">
      <c r="A29" s="1498">
        <v>20</v>
      </c>
      <c r="B29" s="1499" t="s">
        <v>6516</v>
      </c>
      <c r="C29" s="1503">
        <v>29167627</v>
      </c>
      <c r="D29" s="1494"/>
    </row>
    <row r="30" spans="1:5">
      <c r="A30" s="1498">
        <v>21</v>
      </c>
      <c r="B30" s="1499" t="s">
        <v>6517</v>
      </c>
      <c r="C30" s="1500"/>
      <c r="D30" s="1494"/>
    </row>
    <row r="31" spans="1:5" ht="22.5">
      <c r="A31" s="1498">
        <v>22</v>
      </c>
      <c r="B31" s="2819" t="s">
        <v>6518</v>
      </c>
      <c r="C31" s="2820">
        <v>21036614</v>
      </c>
      <c r="D31" s="1494"/>
    </row>
    <row r="32" spans="1:5">
      <c r="A32" s="1498">
        <v>23</v>
      </c>
      <c r="B32" s="1499" t="s">
        <v>6519</v>
      </c>
      <c r="C32" s="1502">
        <v>7204</v>
      </c>
      <c r="D32" s="1494"/>
    </row>
    <row r="33" spans="1:4">
      <c r="A33" s="1498">
        <v>24</v>
      </c>
      <c r="B33" s="1499" t="s">
        <v>6520</v>
      </c>
      <c r="C33" s="1502">
        <v>6642744</v>
      </c>
      <c r="D33" s="1494"/>
    </row>
    <row r="34" spans="1:4">
      <c r="A34" s="1498">
        <v>25</v>
      </c>
      <c r="B34" s="1499" t="s">
        <v>6521</v>
      </c>
      <c r="C34" s="1506"/>
      <c r="D34" s="1494"/>
    </row>
    <row r="35" spans="1:4" ht="22.5">
      <c r="A35" s="1498">
        <v>26</v>
      </c>
      <c r="B35" s="1499" t="s">
        <v>6522</v>
      </c>
      <c r="C35" s="1501">
        <v>21216</v>
      </c>
      <c r="D35" s="1494"/>
    </row>
    <row r="36" spans="1:4">
      <c r="A36" s="1498">
        <v>27</v>
      </c>
      <c r="B36" s="2819" t="s">
        <v>6523</v>
      </c>
      <c r="C36" s="2820">
        <v>1459849</v>
      </c>
      <c r="D36" s="1494"/>
    </row>
    <row r="37" spans="1:4">
      <c r="A37" s="1507" t="s">
        <v>5735</v>
      </c>
      <c r="B37" s="1508" t="s">
        <v>6524</v>
      </c>
      <c r="C37" s="1509"/>
      <c r="D37" s="1494"/>
    </row>
    <row r="38" spans="1:4" ht="22.5">
      <c r="A38" s="1498">
        <v>28</v>
      </c>
      <c r="B38" s="1499" t="s">
        <v>6525</v>
      </c>
      <c r="C38" s="1510">
        <v>29167627</v>
      </c>
      <c r="D38" s="1494"/>
    </row>
    <row r="39" spans="1:4">
      <c r="A39" s="1511"/>
      <c r="B39" s="1511"/>
      <c r="C39" s="1511"/>
    </row>
  </sheetData>
  <mergeCells count="1">
    <mergeCell ref="A6:C6"/>
  </mergeCells>
  <pageMargins left="0.75" right="0.75" top="1" bottom="1" header="0.5" footer="0.5"/>
  <pageSetup orientation="portrait" horizontalDpi="360" verticalDpi="360" r:id="rId1"/>
  <customProperties>
    <customPr name="_pios_id" r:id="rId2"/>
  </customPropertie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rgb="FF92D050"/>
  </sheetPr>
  <dimension ref="A1:K29"/>
  <sheetViews>
    <sheetView workbookViewId="0">
      <pane ySplit="1" topLeftCell="A2" activePane="bottomLeft" state="frozen"/>
      <selection sqref="A1:XFD1048576"/>
      <selection pane="bottomLeft" sqref="A1:XFD1048576"/>
    </sheetView>
  </sheetViews>
  <sheetFormatPr defaultColWidth="9" defaultRowHeight="11.25"/>
  <cols>
    <col min="1" max="1" width="9.25" style="493" bestFit="1" customWidth="1"/>
    <col min="2" max="2" width="6.625" style="493" bestFit="1" customWidth="1"/>
    <col min="3" max="3" width="10.125" style="493" bestFit="1" customWidth="1"/>
    <col min="4" max="4" width="47.375" style="493" bestFit="1" customWidth="1"/>
    <col min="5" max="5" width="7.625" style="493" bestFit="1" customWidth="1"/>
    <col min="6" max="7" width="10.75" style="493" bestFit="1" customWidth="1"/>
    <col min="8" max="8" width="11.5" style="493" bestFit="1" customWidth="1"/>
    <col min="9" max="9" width="17" style="493" bestFit="1" customWidth="1"/>
    <col min="10" max="10" width="6.75" style="493" bestFit="1" customWidth="1"/>
    <col min="11" max="11" width="7.625" style="493" bestFit="1" customWidth="1"/>
    <col min="12" max="16384" width="9" style="493"/>
  </cols>
  <sheetData>
    <row r="1" spans="1:11">
      <c r="A1" s="507" t="s">
        <v>5944</v>
      </c>
      <c r="B1" s="507" t="s">
        <v>5945</v>
      </c>
      <c r="C1" s="507" t="s">
        <v>5946</v>
      </c>
      <c r="D1" s="507" t="s">
        <v>5947</v>
      </c>
      <c r="E1" s="507" t="s">
        <v>5948</v>
      </c>
      <c r="F1" s="507" t="s">
        <v>6526</v>
      </c>
      <c r="G1" s="507" t="s">
        <v>6527</v>
      </c>
      <c r="H1" s="507" t="s">
        <v>6528</v>
      </c>
      <c r="I1" s="507" t="s">
        <v>5949</v>
      </c>
      <c r="J1" s="507" t="s">
        <v>5950</v>
      </c>
      <c r="K1" s="507" t="s">
        <v>5951</v>
      </c>
    </row>
    <row r="2" spans="1:11">
      <c r="A2" s="493">
        <v>1</v>
      </c>
      <c r="B2" s="493">
        <v>1</v>
      </c>
      <c r="C2" s="493">
        <v>0</v>
      </c>
      <c r="D2" s="493" t="s">
        <v>6501</v>
      </c>
      <c r="F2" s="493" t="s">
        <v>6529</v>
      </c>
      <c r="G2" s="493" t="s">
        <v>6529</v>
      </c>
      <c r="H2" s="493" t="s">
        <v>6529</v>
      </c>
      <c r="I2" s="493" t="s">
        <v>4977</v>
      </c>
      <c r="J2" s="493">
        <v>2020</v>
      </c>
      <c r="K2" s="493">
        <v>12</v>
      </c>
    </row>
    <row r="3" spans="1:11">
      <c r="A3" s="493">
        <v>2</v>
      </c>
      <c r="B3" s="493">
        <v>2</v>
      </c>
      <c r="C3" s="493">
        <v>0</v>
      </c>
      <c r="D3" s="493" t="s">
        <v>6502</v>
      </c>
      <c r="F3" s="493" t="s">
        <v>6529</v>
      </c>
      <c r="G3" s="493" t="s">
        <v>6529</v>
      </c>
      <c r="H3" s="493" t="s">
        <v>6529</v>
      </c>
      <c r="I3" s="493" t="s">
        <v>4977</v>
      </c>
      <c r="J3" s="493">
        <v>2020</v>
      </c>
      <c r="K3" s="493">
        <v>12</v>
      </c>
    </row>
    <row r="4" spans="1:11">
      <c r="A4" s="493">
        <v>3</v>
      </c>
      <c r="B4" s="493">
        <v>3</v>
      </c>
      <c r="C4" s="493">
        <v>0</v>
      </c>
      <c r="D4" s="493" t="s">
        <v>659</v>
      </c>
      <c r="F4" s="756">
        <v>4006318</v>
      </c>
      <c r="G4" s="756">
        <v>4006318</v>
      </c>
      <c r="H4" s="493" t="s">
        <v>6529</v>
      </c>
      <c r="I4" s="493" t="s">
        <v>4977</v>
      </c>
      <c r="J4" s="493">
        <v>2020</v>
      </c>
      <c r="K4" s="493">
        <v>12</v>
      </c>
    </row>
    <row r="5" spans="1:11">
      <c r="A5" s="493">
        <v>4</v>
      </c>
      <c r="B5" s="493">
        <v>4</v>
      </c>
      <c r="C5" s="493">
        <v>0</v>
      </c>
      <c r="D5" s="493" t="s">
        <v>668</v>
      </c>
      <c r="F5" s="493" t="s">
        <v>6529</v>
      </c>
      <c r="G5" s="493" t="s">
        <v>6529</v>
      </c>
      <c r="H5" s="493" t="s">
        <v>6529</v>
      </c>
      <c r="I5" s="493" t="s">
        <v>4977</v>
      </c>
      <c r="J5" s="493">
        <v>2020</v>
      </c>
      <c r="K5" s="493">
        <v>12</v>
      </c>
    </row>
    <row r="6" spans="1:11">
      <c r="A6" s="493">
        <v>5</v>
      </c>
      <c r="B6" s="493">
        <v>5</v>
      </c>
      <c r="C6" s="493">
        <v>0</v>
      </c>
      <c r="D6" s="493" t="s">
        <v>6503</v>
      </c>
      <c r="F6" s="756">
        <v>980194</v>
      </c>
      <c r="G6" s="756">
        <v>980194</v>
      </c>
      <c r="H6" s="493" t="s">
        <v>6529</v>
      </c>
      <c r="I6" s="493" t="s">
        <v>4977</v>
      </c>
      <c r="J6" s="493">
        <v>2020</v>
      </c>
      <c r="K6" s="493">
        <v>12</v>
      </c>
    </row>
    <row r="7" spans="1:11">
      <c r="A7" s="493">
        <v>6</v>
      </c>
      <c r="B7" s="493">
        <v>6</v>
      </c>
      <c r="C7" s="493">
        <v>0</v>
      </c>
      <c r="D7" s="493" t="s">
        <v>6504</v>
      </c>
      <c r="F7" s="493" t="s">
        <v>6529</v>
      </c>
      <c r="G7" s="493" t="s">
        <v>6529</v>
      </c>
      <c r="H7" s="493" t="s">
        <v>6529</v>
      </c>
      <c r="I7" s="493" t="s">
        <v>4977</v>
      </c>
      <c r="J7" s="493">
        <v>2020</v>
      </c>
      <c r="K7" s="493">
        <v>12</v>
      </c>
    </row>
    <row r="8" spans="1:11">
      <c r="A8" s="493">
        <v>7</v>
      </c>
      <c r="B8" s="493">
        <v>7</v>
      </c>
      <c r="C8" s="493">
        <v>0</v>
      </c>
      <c r="D8" s="493" t="s">
        <v>107</v>
      </c>
      <c r="F8" s="756">
        <v>6714406</v>
      </c>
      <c r="G8" s="756">
        <v>6714406</v>
      </c>
      <c r="H8" s="493" t="s">
        <v>6529</v>
      </c>
      <c r="I8" s="493" t="s">
        <v>4977</v>
      </c>
      <c r="J8" s="493">
        <v>2020</v>
      </c>
      <c r="K8" s="493">
        <v>12</v>
      </c>
    </row>
    <row r="9" spans="1:11">
      <c r="A9" s="493">
        <v>8</v>
      </c>
      <c r="B9" s="493">
        <v>8</v>
      </c>
      <c r="C9" s="493">
        <v>0</v>
      </c>
      <c r="D9" s="493" t="s">
        <v>6505</v>
      </c>
      <c r="F9" s="493" t="s">
        <v>6529</v>
      </c>
      <c r="G9" s="493" t="s">
        <v>6529</v>
      </c>
      <c r="H9" s="493" t="s">
        <v>6529</v>
      </c>
      <c r="I9" s="493" t="s">
        <v>4977</v>
      </c>
      <c r="J9" s="493">
        <v>2020</v>
      </c>
      <c r="K9" s="493">
        <v>12</v>
      </c>
    </row>
    <row r="10" spans="1:11">
      <c r="A10" s="493">
        <v>9</v>
      </c>
      <c r="B10" s="493">
        <v>9</v>
      </c>
      <c r="C10" s="493">
        <v>0</v>
      </c>
      <c r="D10" s="493" t="s">
        <v>6530</v>
      </c>
      <c r="F10" s="756">
        <v>11700918</v>
      </c>
      <c r="G10" s="756">
        <v>11700918</v>
      </c>
      <c r="H10" s="493" t="s">
        <v>6529</v>
      </c>
      <c r="I10" s="493" t="s">
        <v>4977</v>
      </c>
      <c r="J10" s="493">
        <v>2020</v>
      </c>
      <c r="K10" s="493">
        <v>12</v>
      </c>
    </row>
    <row r="11" spans="1:11">
      <c r="A11" s="493">
        <v>10</v>
      </c>
      <c r="B11" s="493">
        <v>10</v>
      </c>
      <c r="C11" s="493">
        <v>0</v>
      </c>
      <c r="D11" s="493" t="s">
        <v>6531</v>
      </c>
      <c r="F11" s="756">
        <v>16957849</v>
      </c>
      <c r="G11" s="756">
        <v>16957849</v>
      </c>
      <c r="H11" s="493" t="s">
        <v>6529</v>
      </c>
      <c r="I11" s="493" t="s">
        <v>4977</v>
      </c>
      <c r="J11" s="493">
        <v>2020</v>
      </c>
      <c r="K11" s="493">
        <v>12</v>
      </c>
    </row>
    <row r="12" spans="1:11">
      <c r="A12" s="493">
        <v>11</v>
      </c>
      <c r="B12" s="493">
        <v>11</v>
      </c>
      <c r="C12" s="493">
        <v>0</v>
      </c>
      <c r="D12" s="493" t="s">
        <v>6509</v>
      </c>
      <c r="F12" s="493" t="s">
        <v>6529</v>
      </c>
      <c r="G12" s="493" t="s">
        <v>6529</v>
      </c>
      <c r="H12" s="493" t="s">
        <v>6529</v>
      </c>
      <c r="I12" s="493" t="s">
        <v>4977</v>
      </c>
      <c r="J12" s="493">
        <v>2020</v>
      </c>
      <c r="K12" s="493">
        <v>12</v>
      </c>
    </row>
    <row r="13" spans="1:11">
      <c r="A13" s="493">
        <v>12</v>
      </c>
      <c r="B13" s="493">
        <v>12</v>
      </c>
      <c r="C13" s="493">
        <v>0</v>
      </c>
      <c r="D13" s="493" t="s">
        <v>6510</v>
      </c>
      <c r="F13" s="756">
        <v>431587</v>
      </c>
      <c r="G13" s="756">
        <v>431587</v>
      </c>
      <c r="H13" s="493" t="s">
        <v>6529</v>
      </c>
      <c r="I13" s="493" t="s">
        <v>4977</v>
      </c>
      <c r="J13" s="493">
        <v>2020</v>
      </c>
      <c r="K13" s="493">
        <v>12</v>
      </c>
    </row>
    <row r="14" spans="1:11">
      <c r="A14" s="493">
        <v>13</v>
      </c>
      <c r="B14" s="493">
        <v>13</v>
      </c>
      <c r="C14" s="493">
        <v>0</v>
      </c>
      <c r="D14" s="493" t="s">
        <v>6511</v>
      </c>
      <c r="F14" s="756">
        <v>515467</v>
      </c>
      <c r="G14" s="756">
        <v>515467</v>
      </c>
      <c r="H14" s="493" t="s">
        <v>6529</v>
      </c>
      <c r="I14" s="493" t="s">
        <v>4977</v>
      </c>
      <c r="J14" s="493">
        <v>2020</v>
      </c>
      <c r="K14" s="493">
        <v>12</v>
      </c>
    </row>
    <row r="15" spans="1:11">
      <c r="A15" s="493">
        <v>14</v>
      </c>
      <c r="B15" s="493">
        <v>14</v>
      </c>
      <c r="C15" s="493">
        <v>0</v>
      </c>
      <c r="D15" s="493" t="s">
        <v>6512</v>
      </c>
      <c r="F15" s="756">
        <v>-83880</v>
      </c>
      <c r="G15" s="756">
        <v>-83880</v>
      </c>
      <c r="H15" s="493" t="s">
        <v>6529</v>
      </c>
      <c r="I15" s="493" t="s">
        <v>4977</v>
      </c>
      <c r="J15" s="493">
        <v>2020</v>
      </c>
      <c r="K15" s="493">
        <v>12</v>
      </c>
    </row>
    <row r="16" spans="1:11">
      <c r="A16" s="493">
        <v>15</v>
      </c>
      <c r="B16" s="493">
        <v>15</v>
      </c>
      <c r="C16" s="493">
        <v>0</v>
      </c>
      <c r="D16" s="493" t="s">
        <v>6513</v>
      </c>
      <c r="F16" s="493" t="s">
        <v>6529</v>
      </c>
      <c r="G16" s="493" t="s">
        <v>6529</v>
      </c>
      <c r="H16" s="493" t="s">
        <v>6529</v>
      </c>
      <c r="I16" s="493" t="s">
        <v>4977</v>
      </c>
      <c r="J16" s="493">
        <v>2020</v>
      </c>
      <c r="K16" s="493">
        <v>12</v>
      </c>
    </row>
    <row r="17" spans="1:11">
      <c r="A17" s="493">
        <v>16</v>
      </c>
      <c r="B17" s="493">
        <v>16</v>
      </c>
      <c r="C17" s="493">
        <v>0</v>
      </c>
      <c r="D17" s="493" t="s">
        <v>6510</v>
      </c>
      <c r="F17" s="756">
        <v>8438687</v>
      </c>
      <c r="G17" s="756">
        <v>8438687</v>
      </c>
      <c r="H17" s="493" t="s">
        <v>6529</v>
      </c>
      <c r="I17" s="493" t="s">
        <v>4977</v>
      </c>
      <c r="J17" s="493">
        <v>2020</v>
      </c>
      <c r="K17" s="493">
        <v>12</v>
      </c>
    </row>
    <row r="18" spans="1:11">
      <c r="A18" s="493">
        <v>17</v>
      </c>
      <c r="B18" s="493">
        <v>17</v>
      </c>
      <c r="C18" s="493">
        <v>0</v>
      </c>
      <c r="D18" s="493" t="s">
        <v>6511</v>
      </c>
      <c r="F18" s="756">
        <v>8438687</v>
      </c>
      <c r="G18" s="756">
        <v>8438687</v>
      </c>
      <c r="H18" s="493" t="s">
        <v>6529</v>
      </c>
      <c r="I18" s="493" t="s">
        <v>4977</v>
      </c>
      <c r="J18" s="493">
        <v>2020</v>
      </c>
      <c r="K18" s="493">
        <v>12</v>
      </c>
    </row>
    <row r="19" spans="1:11">
      <c r="A19" s="493">
        <v>18</v>
      </c>
      <c r="B19" s="493">
        <v>18</v>
      </c>
      <c r="C19" s="493">
        <v>0</v>
      </c>
      <c r="D19" s="493" t="s">
        <v>6514</v>
      </c>
      <c r="F19" s="493" t="s">
        <v>6529</v>
      </c>
      <c r="G19" s="493" t="s">
        <v>6529</v>
      </c>
      <c r="H19" s="493" t="s">
        <v>6529</v>
      </c>
      <c r="I19" s="493" t="s">
        <v>4977</v>
      </c>
      <c r="J19" s="493">
        <v>2020</v>
      </c>
      <c r="K19" s="493">
        <v>12</v>
      </c>
    </row>
    <row r="20" spans="1:11">
      <c r="A20" s="493">
        <v>19</v>
      </c>
      <c r="B20" s="493">
        <v>19</v>
      </c>
      <c r="C20" s="493">
        <v>0</v>
      </c>
      <c r="D20" s="493" t="s">
        <v>6515</v>
      </c>
      <c r="F20" s="493" t="s">
        <v>6529</v>
      </c>
      <c r="G20" s="493" t="s">
        <v>6529</v>
      </c>
      <c r="H20" s="493" t="s">
        <v>6529</v>
      </c>
      <c r="I20" s="493" t="s">
        <v>4977</v>
      </c>
      <c r="J20" s="493">
        <v>2020</v>
      </c>
      <c r="K20" s="493">
        <v>12</v>
      </c>
    </row>
    <row r="21" spans="1:11">
      <c r="A21" s="493">
        <v>20</v>
      </c>
      <c r="B21" s="493">
        <v>20</v>
      </c>
      <c r="C21" s="493">
        <v>0</v>
      </c>
      <c r="D21" s="493" t="s">
        <v>6516</v>
      </c>
      <c r="F21" s="756">
        <v>28574887</v>
      </c>
      <c r="G21" s="756">
        <v>28574887</v>
      </c>
      <c r="H21" s="493" t="s">
        <v>6529</v>
      </c>
      <c r="I21" s="493" t="s">
        <v>4977</v>
      </c>
      <c r="J21" s="493">
        <v>2020</v>
      </c>
      <c r="K21" s="493">
        <v>12</v>
      </c>
    </row>
    <row r="22" spans="1:11">
      <c r="A22" s="493">
        <v>21</v>
      </c>
      <c r="B22" s="493">
        <v>21</v>
      </c>
      <c r="C22" s="493">
        <v>0</v>
      </c>
      <c r="D22" s="493" t="s">
        <v>6517</v>
      </c>
      <c r="F22" s="493" t="s">
        <v>6529</v>
      </c>
      <c r="G22" s="493" t="s">
        <v>6529</v>
      </c>
      <c r="H22" s="493" t="s">
        <v>6529</v>
      </c>
      <c r="I22" s="493" t="s">
        <v>4977</v>
      </c>
      <c r="J22" s="493">
        <v>2020</v>
      </c>
      <c r="K22" s="493">
        <v>12</v>
      </c>
    </row>
    <row r="23" spans="1:11">
      <c r="A23" s="493">
        <v>22</v>
      </c>
      <c r="B23" s="493">
        <v>22</v>
      </c>
      <c r="C23" s="493">
        <v>0</v>
      </c>
      <c r="D23" s="582" t="s">
        <v>6532</v>
      </c>
      <c r="E23" s="582"/>
      <c r="F23" s="2821">
        <v>20088222</v>
      </c>
      <c r="G23" s="493" t="s">
        <v>6529</v>
      </c>
      <c r="H23" s="756">
        <v>20088222</v>
      </c>
      <c r="I23" s="493" t="s">
        <v>4977</v>
      </c>
      <c r="J23" s="493">
        <v>2020</v>
      </c>
      <c r="K23" s="493">
        <v>12</v>
      </c>
    </row>
    <row r="24" spans="1:11">
      <c r="A24" s="493">
        <v>23</v>
      </c>
      <c r="B24" s="493">
        <v>23</v>
      </c>
      <c r="C24" s="493">
        <v>0</v>
      </c>
      <c r="D24" s="493" t="s">
        <v>6519</v>
      </c>
      <c r="F24" s="756">
        <v>7314</v>
      </c>
      <c r="G24" s="493" t="s">
        <v>6529</v>
      </c>
      <c r="H24" s="756">
        <v>7314</v>
      </c>
      <c r="I24" s="493" t="s">
        <v>4977</v>
      </c>
      <c r="J24" s="493">
        <v>2020</v>
      </c>
      <c r="K24" s="493">
        <v>12</v>
      </c>
    </row>
    <row r="25" spans="1:11">
      <c r="A25" s="493">
        <v>24</v>
      </c>
      <c r="B25" s="493">
        <v>24</v>
      </c>
      <c r="C25" s="493">
        <v>0</v>
      </c>
      <c r="D25" s="493" t="s">
        <v>6520</v>
      </c>
      <c r="F25" s="756">
        <v>6868224</v>
      </c>
      <c r="G25" s="493" t="s">
        <v>6529</v>
      </c>
      <c r="H25" s="756">
        <v>6868224</v>
      </c>
      <c r="I25" s="493" t="s">
        <v>4977</v>
      </c>
      <c r="J25" s="493">
        <v>2020</v>
      </c>
      <c r="K25" s="493">
        <v>12</v>
      </c>
    </row>
    <row r="26" spans="1:11">
      <c r="A26" s="493">
        <v>25</v>
      </c>
      <c r="B26" s="493">
        <v>25</v>
      </c>
      <c r="C26" s="493">
        <v>0</v>
      </c>
      <c r="D26" s="493" t="s">
        <v>6521</v>
      </c>
      <c r="F26" s="493" t="s">
        <v>6529</v>
      </c>
      <c r="G26" s="493" t="s">
        <v>6529</v>
      </c>
      <c r="H26" s="493" t="s">
        <v>6529</v>
      </c>
      <c r="I26" s="493" t="s">
        <v>4977</v>
      </c>
      <c r="J26" s="493">
        <v>2020</v>
      </c>
      <c r="K26" s="493">
        <v>12</v>
      </c>
    </row>
    <row r="27" spans="1:11">
      <c r="A27" s="493">
        <v>26</v>
      </c>
      <c r="B27" s="493">
        <v>26</v>
      </c>
      <c r="C27" s="493">
        <v>0</v>
      </c>
      <c r="D27" s="493" t="s">
        <v>6533</v>
      </c>
      <c r="F27" s="756">
        <v>22176</v>
      </c>
      <c r="G27" s="493" t="s">
        <v>6529</v>
      </c>
      <c r="H27" s="756">
        <v>22176</v>
      </c>
      <c r="I27" s="493" t="s">
        <v>4977</v>
      </c>
      <c r="J27" s="493">
        <v>2020</v>
      </c>
      <c r="K27" s="493">
        <v>12</v>
      </c>
    </row>
    <row r="28" spans="1:11">
      <c r="A28" s="493">
        <v>27</v>
      </c>
      <c r="B28" s="493">
        <v>27</v>
      </c>
      <c r="C28" s="493">
        <v>0</v>
      </c>
      <c r="D28" s="582" t="s">
        <v>6523</v>
      </c>
      <c r="E28" s="582"/>
      <c r="F28" s="2821">
        <v>1588951</v>
      </c>
      <c r="G28" s="493" t="s">
        <v>6529</v>
      </c>
      <c r="H28" s="756">
        <v>1588951</v>
      </c>
      <c r="I28" s="493" t="s">
        <v>4977</v>
      </c>
      <c r="J28" s="493">
        <v>2020</v>
      </c>
      <c r="K28" s="493">
        <v>12</v>
      </c>
    </row>
    <row r="29" spans="1:11">
      <c r="A29" s="493">
        <v>28</v>
      </c>
      <c r="B29" s="493">
        <v>28</v>
      </c>
      <c r="C29" s="493">
        <v>0</v>
      </c>
      <c r="D29" s="493" t="s">
        <v>6534</v>
      </c>
      <c r="F29" s="756">
        <v>28574887</v>
      </c>
      <c r="G29" s="493" t="s">
        <v>6529</v>
      </c>
      <c r="H29" s="756">
        <v>28574887</v>
      </c>
      <c r="I29" s="493" t="s">
        <v>4977</v>
      </c>
      <c r="J29" s="493">
        <v>2020</v>
      </c>
      <c r="K29" s="493">
        <v>12</v>
      </c>
    </row>
  </sheetData>
  <pageMargins left="0.7" right="0.7" top="0.75" bottom="0.75" header="0.3" footer="0.3"/>
  <customProperties>
    <customPr name="_pios_id" r:id="rId1"/>
  </customPropertie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rgb="FF92D050"/>
  </sheetPr>
  <dimension ref="A1:K29"/>
  <sheetViews>
    <sheetView workbookViewId="0">
      <pane ySplit="1" topLeftCell="A2" activePane="bottomLeft" state="frozen"/>
      <selection sqref="A1:XFD1048576"/>
      <selection pane="bottomLeft" sqref="A1:XFD1048576"/>
    </sheetView>
  </sheetViews>
  <sheetFormatPr defaultColWidth="9" defaultRowHeight="11.25"/>
  <cols>
    <col min="1" max="1" width="9.25" style="493" bestFit="1" customWidth="1"/>
    <col min="2" max="2" width="6.625" style="493" bestFit="1" customWidth="1"/>
    <col min="3" max="3" width="10.125" style="493" bestFit="1" customWidth="1"/>
    <col min="4" max="4" width="47.375" style="493" bestFit="1" customWidth="1"/>
    <col min="5" max="5" width="7.625" style="493" bestFit="1" customWidth="1"/>
    <col min="6" max="8" width="10.75" style="493" bestFit="1" customWidth="1"/>
    <col min="9" max="9" width="17" style="493" bestFit="1" customWidth="1"/>
    <col min="10" max="10" width="6.75" style="493" bestFit="1" customWidth="1"/>
    <col min="11" max="11" width="7.625" style="493" bestFit="1" customWidth="1"/>
    <col min="12" max="16384" width="9" style="493"/>
  </cols>
  <sheetData>
    <row r="1" spans="1:11">
      <c r="A1" s="507" t="s">
        <v>5944</v>
      </c>
      <c r="B1" s="507" t="s">
        <v>5945</v>
      </c>
      <c r="C1" s="507" t="s">
        <v>5946</v>
      </c>
      <c r="D1" s="507" t="s">
        <v>5947</v>
      </c>
      <c r="E1" s="507" t="s">
        <v>5948</v>
      </c>
      <c r="F1" s="507" t="s">
        <v>6535</v>
      </c>
      <c r="G1" s="507" t="s">
        <v>6536</v>
      </c>
      <c r="H1" s="507" t="s">
        <v>6537</v>
      </c>
      <c r="I1" s="507" t="s">
        <v>5949</v>
      </c>
      <c r="J1" s="507" t="s">
        <v>5950</v>
      </c>
      <c r="K1" s="507" t="s">
        <v>5951</v>
      </c>
    </row>
    <row r="2" spans="1:11">
      <c r="A2" s="493">
        <v>1</v>
      </c>
      <c r="B2" s="493">
        <v>1</v>
      </c>
      <c r="C2" s="493">
        <v>0</v>
      </c>
      <c r="D2" s="493" t="s">
        <v>6501</v>
      </c>
      <c r="F2" s="493" t="s">
        <v>6529</v>
      </c>
      <c r="G2" s="493" t="s">
        <v>6529</v>
      </c>
      <c r="H2" s="493" t="s">
        <v>6529</v>
      </c>
      <c r="I2" s="493" t="s">
        <v>4977</v>
      </c>
      <c r="J2" s="493">
        <v>2019</v>
      </c>
      <c r="K2" s="493">
        <v>12</v>
      </c>
    </row>
    <row r="3" spans="1:11">
      <c r="A3" s="493">
        <v>2</v>
      </c>
      <c r="B3" s="493">
        <v>2</v>
      </c>
      <c r="C3" s="493">
        <v>0</v>
      </c>
      <c r="D3" s="493" t="s">
        <v>6502</v>
      </c>
      <c r="F3" s="493" t="s">
        <v>6529</v>
      </c>
      <c r="G3" s="493" t="s">
        <v>6529</v>
      </c>
      <c r="H3" s="493" t="s">
        <v>6529</v>
      </c>
      <c r="I3" s="493" t="s">
        <v>4977</v>
      </c>
      <c r="J3" s="493">
        <v>2019</v>
      </c>
      <c r="K3" s="493">
        <v>12</v>
      </c>
    </row>
    <row r="4" spans="1:11">
      <c r="A4" s="493">
        <v>3</v>
      </c>
      <c r="B4" s="493">
        <v>3</v>
      </c>
      <c r="C4" s="493">
        <v>0</v>
      </c>
      <c r="D4" s="493" t="s">
        <v>659</v>
      </c>
      <c r="F4" s="756">
        <v>6320605</v>
      </c>
      <c r="G4" s="756">
        <v>6320605</v>
      </c>
      <c r="H4" s="493" t="s">
        <v>6529</v>
      </c>
      <c r="I4" s="493" t="s">
        <v>4977</v>
      </c>
      <c r="J4" s="493">
        <v>2019</v>
      </c>
      <c r="K4" s="493">
        <v>12</v>
      </c>
    </row>
    <row r="5" spans="1:11">
      <c r="A5" s="493">
        <v>4</v>
      </c>
      <c r="B5" s="493">
        <v>4</v>
      </c>
      <c r="C5" s="493">
        <v>0</v>
      </c>
      <c r="D5" s="493" t="s">
        <v>668</v>
      </c>
      <c r="F5" s="493" t="s">
        <v>6529</v>
      </c>
      <c r="G5" s="493" t="s">
        <v>6529</v>
      </c>
      <c r="H5" s="493" t="s">
        <v>6529</v>
      </c>
      <c r="I5" s="493" t="s">
        <v>4977</v>
      </c>
      <c r="J5" s="493">
        <v>2019</v>
      </c>
      <c r="K5" s="493">
        <v>12</v>
      </c>
    </row>
    <row r="6" spans="1:11">
      <c r="A6" s="493">
        <v>5</v>
      </c>
      <c r="B6" s="493">
        <v>5</v>
      </c>
      <c r="C6" s="493">
        <v>0</v>
      </c>
      <c r="D6" s="493" t="s">
        <v>6503</v>
      </c>
      <c r="F6" s="756">
        <v>712727</v>
      </c>
      <c r="G6" s="756">
        <v>712727</v>
      </c>
      <c r="H6" s="493" t="s">
        <v>6529</v>
      </c>
      <c r="I6" s="493" t="s">
        <v>4977</v>
      </c>
      <c r="J6" s="493">
        <v>2019</v>
      </c>
      <c r="K6" s="493">
        <v>12</v>
      </c>
    </row>
    <row r="7" spans="1:11">
      <c r="A7" s="493">
        <v>6</v>
      </c>
      <c r="B7" s="493">
        <v>6</v>
      </c>
      <c r="C7" s="493">
        <v>0</v>
      </c>
      <c r="D7" s="493" t="s">
        <v>6504</v>
      </c>
      <c r="F7" s="493" t="s">
        <v>6529</v>
      </c>
      <c r="G7" s="493" t="s">
        <v>6529</v>
      </c>
      <c r="H7" s="493" t="s">
        <v>6529</v>
      </c>
      <c r="I7" s="493" t="s">
        <v>4977</v>
      </c>
      <c r="J7" s="493">
        <v>2019</v>
      </c>
      <c r="K7" s="493">
        <v>12</v>
      </c>
    </row>
    <row r="8" spans="1:11">
      <c r="A8" s="493">
        <v>7</v>
      </c>
      <c r="B8" s="493">
        <v>7</v>
      </c>
      <c r="C8" s="493">
        <v>0</v>
      </c>
      <c r="D8" s="493" t="s">
        <v>107</v>
      </c>
      <c r="F8" s="756">
        <v>6386710</v>
      </c>
      <c r="G8" s="756">
        <v>6386710</v>
      </c>
      <c r="H8" s="493" t="s">
        <v>6529</v>
      </c>
      <c r="I8" s="493" t="s">
        <v>4977</v>
      </c>
      <c r="J8" s="493">
        <v>2019</v>
      </c>
      <c r="K8" s="493">
        <v>12</v>
      </c>
    </row>
    <row r="9" spans="1:11">
      <c r="A9" s="493">
        <v>8</v>
      </c>
      <c r="B9" s="493">
        <v>8</v>
      </c>
      <c r="C9" s="493">
        <v>0</v>
      </c>
      <c r="D9" s="493" t="s">
        <v>6505</v>
      </c>
      <c r="F9" s="493" t="s">
        <v>6529</v>
      </c>
      <c r="G9" s="493" t="s">
        <v>6529</v>
      </c>
      <c r="H9" s="493" t="s">
        <v>6529</v>
      </c>
      <c r="I9" s="493" t="s">
        <v>4977</v>
      </c>
      <c r="J9" s="493">
        <v>2019</v>
      </c>
      <c r="K9" s="493">
        <v>12</v>
      </c>
    </row>
    <row r="10" spans="1:11">
      <c r="A10" s="493">
        <v>9</v>
      </c>
      <c r="B10" s="493">
        <v>9</v>
      </c>
      <c r="C10" s="493">
        <v>0</v>
      </c>
      <c r="D10" s="493" t="s">
        <v>6530</v>
      </c>
      <c r="F10" s="756">
        <v>13420042</v>
      </c>
      <c r="G10" s="756">
        <v>13420042</v>
      </c>
      <c r="H10" s="493" t="s">
        <v>6529</v>
      </c>
      <c r="I10" s="493" t="s">
        <v>4977</v>
      </c>
      <c r="J10" s="493">
        <v>2019</v>
      </c>
      <c r="K10" s="493">
        <v>12</v>
      </c>
    </row>
    <row r="11" spans="1:11">
      <c r="A11" s="493">
        <v>10</v>
      </c>
      <c r="B11" s="493">
        <v>10</v>
      </c>
      <c r="C11" s="493">
        <v>0</v>
      </c>
      <c r="D11" s="493" t="s">
        <v>6531</v>
      </c>
      <c r="F11" s="756">
        <v>15771178</v>
      </c>
      <c r="G11" s="756">
        <v>15771178</v>
      </c>
      <c r="H11" s="493" t="s">
        <v>6529</v>
      </c>
      <c r="I11" s="493" t="s">
        <v>4977</v>
      </c>
      <c r="J11" s="493">
        <v>2019</v>
      </c>
      <c r="K11" s="493">
        <v>12</v>
      </c>
    </row>
    <row r="12" spans="1:11">
      <c r="A12" s="493">
        <v>11</v>
      </c>
      <c r="B12" s="493">
        <v>11</v>
      </c>
      <c r="C12" s="493">
        <v>0</v>
      </c>
      <c r="D12" s="493" t="s">
        <v>6509</v>
      </c>
      <c r="F12" s="493" t="s">
        <v>6529</v>
      </c>
      <c r="G12" s="493" t="s">
        <v>6529</v>
      </c>
      <c r="H12" s="493" t="s">
        <v>6529</v>
      </c>
      <c r="I12" s="493" t="s">
        <v>4977</v>
      </c>
      <c r="J12" s="493">
        <v>2019</v>
      </c>
      <c r="K12" s="493">
        <v>12</v>
      </c>
    </row>
    <row r="13" spans="1:11">
      <c r="A13" s="493">
        <v>12</v>
      </c>
      <c r="B13" s="493">
        <v>12</v>
      </c>
      <c r="C13" s="493">
        <v>0</v>
      </c>
      <c r="D13" s="493" t="s">
        <v>6510</v>
      </c>
      <c r="F13" s="756">
        <v>443837</v>
      </c>
      <c r="G13" s="756">
        <v>443837</v>
      </c>
      <c r="H13" s="493" t="s">
        <v>6529</v>
      </c>
      <c r="I13" s="493" t="s">
        <v>4977</v>
      </c>
      <c r="J13" s="493">
        <v>2019</v>
      </c>
      <c r="K13" s="493">
        <v>12</v>
      </c>
    </row>
    <row r="14" spans="1:11">
      <c r="A14" s="493">
        <v>13</v>
      </c>
      <c r="B14" s="493">
        <v>13</v>
      </c>
      <c r="C14" s="493">
        <v>0</v>
      </c>
      <c r="D14" s="493" t="s">
        <v>6511</v>
      </c>
      <c r="F14" s="756">
        <v>850531</v>
      </c>
      <c r="G14" s="756">
        <v>850531</v>
      </c>
      <c r="H14" s="493" t="s">
        <v>6529</v>
      </c>
      <c r="I14" s="493" t="s">
        <v>4977</v>
      </c>
      <c r="J14" s="493">
        <v>2019</v>
      </c>
      <c r="K14" s="493">
        <v>12</v>
      </c>
    </row>
    <row r="15" spans="1:11">
      <c r="A15" s="493">
        <v>14</v>
      </c>
      <c r="B15" s="493">
        <v>14</v>
      </c>
      <c r="C15" s="493">
        <v>0</v>
      </c>
      <c r="D15" s="493" t="s">
        <v>6512</v>
      </c>
      <c r="F15" s="756">
        <v>-406694</v>
      </c>
      <c r="G15" s="756">
        <v>-406694</v>
      </c>
      <c r="H15" s="493" t="s">
        <v>6529</v>
      </c>
      <c r="I15" s="493" t="s">
        <v>4977</v>
      </c>
      <c r="J15" s="493">
        <v>2019</v>
      </c>
      <c r="K15" s="493">
        <v>12</v>
      </c>
    </row>
    <row r="16" spans="1:11">
      <c r="A16" s="493">
        <v>15</v>
      </c>
      <c r="B16" s="493">
        <v>15</v>
      </c>
      <c r="C16" s="493">
        <v>0</v>
      </c>
      <c r="D16" s="493" t="s">
        <v>6513</v>
      </c>
      <c r="F16" s="493" t="s">
        <v>6529</v>
      </c>
      <c r="G16" s="493" t="s">
        <v>6529</v>
      </c>
      <c r="H16" s="493" t="s">
        <v>6529</v>
      </c>
      <c r="I16" s="493" t="s">
        <v>4977</v>
      </c>
      <c r="J16" s="493">
        <v>2019</v>
      </c>
      <c r="K16" s="493">
        <v>12</v>
      </c>
    </row>
    <row r="17" spans="1:11">
      <c r="A17" s="493">
        <v>16</v>
      </c>
      <c r="B17" s="493">
        <v>16</v>
      </c>
      <c r="C17" s="493">
        <v>0</v>
      </c>
      <c r="D17" s="493" t="s">
        <v>6510</v>
      </c>
      <c r="F17" s="756">
        <v>8180917</v>
      </c>
      <c r="G17" s="756">
        <v>8180917</v>
      </c>
      <c r="H17" s="493" t="s">
        <v>6529</v>
      </c>
      <c r="I17" s="493" t="s">
        <v>4977</v>
      </c>
      <c r="J17" s="493">
        <v>2019</v>
      </c>
      <c r="K17" s="493">
        <v>12</v>
      </c>
    </row>
    <row r="18" spans="1:11">
      <c r="A18" s="493">
        <v>17</v>
      </c>
      <c r="B18" s="493">
        <v>17</v>
      </c>
      <c r="C18" s="493">
        <v>0</v>
      </c>
      <c r="D18" s="493" t="s">
        <v>6511</v>
      </c>
      <c r="F18" s="756">
        <v>8180917</v>
      </c>
      <c r="G18" s="756">
        <v>8180917</v>
      </c>
      <c r="H18" s="493" t="s">
        <v>6529</v>
      </c>
      <c r="I18" s="493" t="s">
        <v>4977</v>
      </c>
      <c r="J18" s="493">
        <v>2019</v>
      </c>
      <c r="K18" s="493">
        <v>12</v>
      </c>
    </row>
    <row r="19" spans="1:11">
      <c r="A19" s="493">
        <v>18</v>
      </c>
      <c r="B19" s="493">
        <v>18</v>
      </c>
      <c r="C19" s="493">
        <v>0</v>
      </c>
      <c r="D19" s="493" t="s">
        <v>6514</v>
      </c>
      <c r="F19" s="493" t="s">
        <v>6529</v>
      </c>
      <c r="G19" s="493" t="s">
        <v>6529</v>
      </c>
      <c r="H19" s="493" t="s">
        <v>6529</v>
      </c>
      <c r="I19" s="493" t="s">
        <v>4977</v>
      </c>
      <c r="J19" s="493">
        <v>2019</v>
      </c>
      <c r="K19" s="493">
        <v>12</v>
      </c>
    </row>
    <row r="20" spans="1:11">
      <c r="A20" s="493">
        <v>19</v>
      </c>
      <c r="B20" s="493">
        <v>19</v>
      </c>
      <c r="C20" s="493">
        <v>0</v>
      </c>
      <c r="D20" s="493" t="s">
        <v>6515</v>
      </c>
      <c r="F20" s="493" t="s">
        <v>6529</v>
      </c>
      <c r="G20" s="493" t="s">
        <v>6529</v>
      </c>
      <c r="H20" s="493" t="s">
        <v>6529</v>
      </c>
      <c r="I20" s="493" t="s">
        <v>4977</v>
      </c>
      <c r="J20" s="493">
        <v>2019</v>
      </c>
      <c r="K20" s="493">
        <v>12</v>
      </c>
    </row>
    <row r="21" spans="1:11">
      <c r="A21" s="493">
        <v>20</v>
      </c>
      <c r="B21" s="493">
        <v>20</v>
      </c>
      <c r="C21" s="493">
        <v>0</v>
      </c>
      <c r="D21" s="493" t="s">
        <v>6516</v>
      </c>
      <c r="F21" s="756">
        <v>28784526</v>
      </c>
      <c r="G21" s="756">
        <v>28784526</v>
      </c>
      <c r="H21" s="493" t="s">
        <v>6529</v>
      </c>
      <c r="I21" s="493" t="s">
        <v>4977</v>
      </c>
      <c r="J21" s="493">
        <v>2019</v>
      </c>
      <c r="K21" s="493">
        <v>12</v>
      </c>
    </row>
    <row r="22" spans="1:11">
      <c r="A22" s="493">
        <v>21</v>
      </c>
      <c r="B22" s="493">
        <v>21</v>
      </c>
      <c r="C22" s="493">
        <v>0</v>
      </c>
      <c r="D22" s="493" t="s">
        <v>6517</v>
      </c>
      <c r="F22" s="493" t="s">
        <v>6529</v>
      </c>
      <c r="G22" s="493" t="s">
        <v>6529</v>
      </c>
      <c r="H22" s="493" t="s">
        <v>6529</v>
      </c>
      <c r="I22" s="493" t="s">
        <v>4977</v>
      </c>
      <c r="J22" s="493">
        <v>2019</v>
      </c>
      <c r="K22" s="493">
        <v>12</v>
      </c>
    </row>
    <row r="23" spans="1:11">
      <c r="A23" s="493">
        <v>22</v>
      </c>
      <c r="B23" s="493">
        <v>22</v>
      </c>
      <c r="C23" s="493">
        <v>0</v>
      </c>
      <c r="D23" s="582" t="s">
        <v>6532</v>
      </c>
      <c r="E23" s="582"/>
      <c r="F23" s="2821">
        <v>20833230</v>
      </c>
      <c r="G23" s="493" t="s">
        <v>6529</v>
      </c>
      <c r="H23" s="756">
        <v>20833230</v>
      </c>
      <c r="I23" s="493" t="s">
        <v>4977</v>
      </c>
      <c r="J23" s="493">
        <v>2019</v>
      </c>
      <c r="K23" s="493">
        <v>12</v>
      </c>
    </row>
    <row r="24" spans="1:11">
      <c r="A24" s="493">
        <v>23</v>
      </c>
      <c r="B24" s="493">
        <v>23</v>
      </c>
      <c r="C24" s="493">
        <v>0</v>
      </c>
      <c r="D24" s="493" t="s">
        <v>6519</v>
      </c>
      <c r="F24" s="756">
        <v>7306</v>
      </c>
      <c r="G24" s="493" t="s">
        <v>6529</v>
      </c>
      <c r="H24" s="756">
        <v>7306</v>
      </c>
      <c r="I24" s="493" t="s">
        <v>4977</v>
      </c>
      <c r="J24" s="493">
        <v>2019</v>
      </c>
      <c r="K24" s="493">
        <v>12</v>
      </c>
    </row>
    <row r="25" spans="1:11">
      <c r="A25" s="493">
        <v>24</v>
      </c>
      <c r="B25" s="493">
        <v>24</v>
      </c>
      <c r="C25" s="493">
        <v>0</v>
      </c>
      <c r="D25" s="493" t="s">
        <v>6520</v>
      </c>
      <c r="F25" s="756">
        <v>6645768</v>
      </c>
      <c r="G25" s="493" t="s">
        <v>6529</v>
      </c>
      <c r="H25" s="756">
        <v>6645768</v>
      </c>
      <c r="I25" s="493" t="s">
        <v>4977</v>
      </c>
      <c r="J25" s="493">
        <v>2019</v>
      </c>
      <c r="K25" s="493">
        <v>12</v>
      </c>
    </row>
    <row r="26" spans="1:11">
      <c r="A26" s="493">
        <v>25</v>
      </c>
      <c r="B26" s="493">
        <v>25</v>
      </c>
      <c r="C26" s="493">
        <v>0</v>
      </c>
      <c r="D26" s="493" t="s">
        <v>6521</v>
      </c>
      <c r="F26" s="493" t="s">
        <v>6529</v>
      </c>
      <c r="G26" s="493" t="s">
        <v>6529</v>
      </c>
      <c r="H26" s="493" t="s">
        <v>6529</v>
      </c>
      <c r="I26" s="493" t="s">
        <v>4977</v>
      </c>
      <c r="J26" s="493">
        <v>2019</v>
      </c>
      <c r="K26" s="493">
        <v>12</v>
      </c>
    </row>
    <row r="27" spans="1:11">
      <c r="A27" s="493">
        <v>26</v>
      </c>
      <c r="B27" s="493">
        <v>26</v>
      </c>
      <c r="C27" s="493">
        <v>0</v>
      </c>
      <c r="D27" s="493" t="s">
        <v>6533</v>
      </c>
      <c r="F27" s="756">
        <v>22324</v>
      </c>
      <c r="G27" s="493" t="s">
        <v>6529</v>
      </c>
      <c r="H27" s="756">
        <v>22324</v>
      </c>
      <c r="I27" s="493" t="s">
        <v>4977</v>
      </c>
      <c r="J27" s="493">
        <v>2019</v>
      </c>
      <c r="K27" s="493">
        <v>12</v>
      </c>
    </row>
    <row r="28" spans="1:11">
      <c r="A28" s="493">
        <v>27</v>
      </c>
      <c r="B28" s="493">
        <v>27</v>
      </c>
      <c r="C28" s="493">
        <v>0</v>
      </c>
      <c r="D28" s="582" t="s">
        <v>6523</v>
      </c>
      <c r="E28" s="582"/>
      <c r="F28" s="2821">
        <v>1275898</v>
      </c>
      <c r="G28" s="493" t="s">
        <v>6529</v>
      </c>
      <c r="H28" s="756">
        <v>1275898</v>
      </c>
      <c r="I28" s="493" t="s">
        <v>4977</v>
      </c>
      <c r="J28" s="493">
        <v>2019</v>
      </c>
      <c r="K28" s="493">
        <v>12</v>
      </c>
    </row>
    <row r="29" spans="1:11">
      <c r="A29" s="493">
        <v>28</v>
      </c>
      <c r="B29" s="493">
        <v>28</v>
      </c>
      <c r="C29" s="493">
        <v>0</v>
      </c>
      <c r="D29" s="493" t="s">
        <v>6534</v>
      </c>
      <c r="F29" s="756">
        <v>28784526</v>
      </c>
      <c r="G29" s="493" t="s">
        <v>6529</v>
      </c>
      <c r="H29" s="756">
        <v>28784526</v>
      </c>
      <c r="I29" s="493" t="s">
        <v>4977</v>
      </c>
      <c r="J29" s="493">
        <v>2019</v>
      </c>
      <c r="K29" s="493">
        <v>12</v>
      </c>
    </row>
  </sheetData>
  <pageMargins left="0.7" right="0.7" top="0.75" bottom="0.75" header="0.3" footer="0.3"/>
  <customProperties>
    <customPr name="_pios_id" r:id="rId1"/>
  </customPropertie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rgb="FF92D050"/>
  </sheetPr>
  <dimension ref="A1:H55"/>
  <sheetViews>
    <sheetView topLeftCell="A4" workbookViewId="0">
      <pane ySplit="7" topLeftCell="A11" activePane="bottomLeft" state="frozen"/>
      <selection sqref="A1:XFD1048576"/>
      <selection pane="bottomLeft" sqref="A1:XFD1048576"/>
    </sheetView>
  </sheetViews>
  <sheetFormatPr defaultColWidth="11.625" defaultRowHeight="11.25"/>
  <cols>
    <col min="1" max="1" width="4.25" style="1327" bestFit="1" customWidth="1"/>
    <col min="2" max="2" width="47.375" style="1327" bestFit="1" customWidth="1"/>
    <col min="3" max="3" width="13.75" style="1327" customWidth="1"/>
    <col min="4" max="4" width="13.75" style="1327" bestFit="1" customWidth="1"/>
    <col min="5" max="5" width="8.125" style="1327" bestFit="1" customWidth="1"/>
    <col min="6" max="6" width="10.875" style="1327" customWidth="1"/>
    <col min="7" max="7" width="13.75" style="1327" bestFit="1" customWidth="1"/>
    <col min="8" max="8" width="13.375" style="1327" customWidth="1"/>
    <col min="9" max="9" width="8.125" style="1327" bestFit="1" customWidth="1"/>
    <col min="10" max="10" width="5.25" style="1327" customWidth="1"/>
    <col min="11" max="11" width="11.625" style="1327"/>
    <col min="12" max="12" width="8.75" style="1327" bestFit="1" customWidth="1"/>
    <col min="13" max="13" width="6.375" style="1327" customWidth="1"/>
    <col min="14" max="14" width="2.875" style="1327" customWidth="1"/>
    <col min="15" max="15" width="8.75" style="1327" bestFit="1" customWidth="1"/>
    <col min="16" max="16" width="3.75" style="1327" customWidth="1"/>
    <col min="17" max="17" width="4.875" style="1327" customWidth="1"/>
    <col min="18" max="16384" width="11.625" style="1327"/>
  </cols>
  <sheetData>
    <row r="1" spans="1:8">
      <c r="A1" s="1512" t="s">
        <v>4977</v>
      </c>
      <c r="B1" s="1512"/>
    </row>
    <row r="2" spans="1:8">
      <c r="A2" s="1512" t="s">
        <v>6778</v>
      </c>
      <c r="B2" s="1512"/>
    </row>
    <row r="7" spans="1:8" ht="12.75" customHeight="1">
      <c r="A7" s="1513" t="s">
        <v>6538</v>
      </c>
      <c r="B7" s="1514"/>
      <c r="C7" s="1514"/>
      <c r="D7" s="1514"/>
      <c r="E7" s="1514"/>
      <c r="F7" s="1515" t="s">
        <v>6539</v>
      </c>
      <c r="G7" s="1515"/>
      <c r="H7" s="1516"/>
    </row>
    <row r="8" spans="1:8" ht="12.75" customHeight="1">
      <c r="A8" s="1517" t="s">
        <v>6540</v>
      </c>
      <c r="B8" s="1518"/>
      <c r="C8" s="1518"/>
      <c r="D8" s="1518"/>
      <c r="E8" s="1518"/>
      <c r="F8" s="1519" t="s">
        <v>6541</v>
      </c>
      <c r="G8" s="1519"/>
      <c r="H8" s="1520"/>
    </row>
    <row r="9" spans="1:8" ht="25.5" customHeight="1">
      <c r="A9" s="1521" t="s">
        <v>5177</v>
      </c>
      <c r="B9" s="1522" t="s">
        <v>5560</v>
      </c>
      <c r="C9" s="1523" t="s">
        <v>6542</v>
      </c>
      <c r="D9" s="1523" t="s">
        <v>6542</v>
      </c>
      <c r="E9" s="1524" t="s">
        <v>6543</v>
      </c>
      <c r="F9" s="1525" t="s">
        <v>6542</v>
      </c>
      <c r="G9" s="1525" t="s">
        <v>6542</v>
      </c>
      <c r="H9" s="1526" t="s">
        <v>6542</v>
      </c>
    </row>
    <row r="10" spans="1:8">
      <c r="A10" s="1527"/>
      <c r="B10" s="1528" t="s">
        <v>4989</v>
      </c>
      <c r="C10" s="1529" t="s">
        <v>4990</v>
      </c>
      <c r="D10" s="1529" t="s">
        <v>4991</v>
      </c>
      <c r="E10" s="546"/>
      <c r="F10" s="1530" t="s">
        <v>4992</v>
      </c>
      <c r="G10" s="1530" t="s">
        <v>5181</v>
      </c>
      <c r="H10" s="1531" t="s">
        <v>5182</v>
      </c>
    </row>
    <row r="11" spans="1:8" ht="12.75" customHeight="1">
      <c r="A11" s="1532" t="s">
        <v>6544</v>
      </c>
      <c r="B11" s="1533" t="s">
        <v>755</v>
      </c>
      <c r="C11" s="3015" t="s">
        <v>6545</v>
      </c>
      <c r="D11" s="3015" t="s">
        <v>6543</v>
      </c>
      <c r="E11" s="1534"/>
      <c r="F11" s="3015" t="s">
        <v>6546</v>
      </c>
      <c r="G11" s="3015" t="s">
        <v>6547</v>
      </c>
      <c r="H11" s="3016" t="s">
        <v>6548</v>
      </c>
    </row>
    <row r="12" spans="1:8" ht="12.75" customHeight="1">
      <c r="A12" s="1535">
        <v>1</v>
      </c>
      <c r="B12" s="1536" t="s">
        <v>6549</v>
      </c>
      <c r="C12" s="1537" t="s">
        <v>659</v>
      </c>
      <c r="D12" s="1537" t="s">
        <v>6550</v>
      </c>
      <c r="E12" s="1538"/>
      <c r="F12" s="1537" t="s">
        <v>6550</v>
      </c>
      <c r="G12" s="1537" t="s">
        <v>6550</v>
      </c>
      <c r="H12" s="1539" t="s">
        <v>6550</v>
      </c>
    </row>
    <row r="13" spans="1:8" ht="12.75" customHeight="1">
      <c r="A13" s="1535">
        <v>2</v>
      </c>
      <c r="B13" s="1536" t="s">
        <v>6551</v>
      </c>
      <c r="C13" s="1537" t="s">
        <v>6552</v>
      </c>
      <c r="D13" s="1537" t="s">
        <v>6553</v>
      </c>
      <c r="E13" s="1538"/>
      <c r="F13" s="1537" t="s">
        <v>6553</v>
      </c>
      <c r="G13" s="1537" t="s">
        <v>6553</v>
      </c>
      <c r="H13" s="1539" t="s">
        <v>6553</v>
      </c>
    </row>
    <row r="14" spans="1:8">
      <c r="A14" s="1535">
        <v>3</v>
      </c>
      <c r="B14" s="1536" t="s">
        <v>759</v>
      </c>
      <c r="C14" s="3017" t="s">
        <v>6554</v>
      </c>
      <c r="D14" s="3017" t="s">
        <v>6555</v>
      </c>
      <c r="E14" s="1538"/>
      <c r="F14" s="3017" t="s">
        <v>6556</v>
      </c>
      <c r="G14" s="3017" t="s">
        <v>6557</v>
      </c>
      <c r="H14" s="3019" t="s">
        <v>6558</v>
      </c>
    </row>
    <row r="15" spans="1:8">
      <c r="A15" s="1542">
        <v>4</v>
      </c>
      <c r="B15" s="1536" t="s">
        <v>760</v>
      </c>
      <c r="C15" s="1540" t="s">
        <v>6559</v>
      </c>
      <c r="D15" s="1540" t="s">
        <v>6555</v>
      </c>
      <c r="E15" s="1538"/>
      <c r="F15" s="1540" t="s">
        <v>6556</v>
      </c>
      <c r="G15" s="1540" t="s">
        <v>6557</v>
      </c>
      <c r="H15" s="1541" t="s">
        <v>6558</v>
      </c>
    </row>
    <row r="16" spans="1:8">
      <c r="A16" s="1542">
        <v>5</v>
      </c>
      <c r="B16" s="1536" t="s">
        <v>6560</v>
      </c>
      <c r="C16" s="1543">
        <v>370</v>
      </c>
      <c r="D16" s="1543">
        <v>165</v>
      </c>
      <c r="E16" s="1538"/>
      <c r="F16" s="1543">
        <v>136</v>
      </c>
      <c r="G16" s="1543">
        <v>315</v>
      </c>
      <c r="H16" s="1544">
        <v>320</v>
      </c>
    </row>
    <row r="17" spans="1:8">
      <c r="A17" s="1542">
        <v>6</v>
      </c>
      <c r="B17" s="1536" t="s">
        <v>6561</v>
      </c>
      <c r="C17" s="1543">
        <v>374.4</v>
      </c>
      <c r="D17" s="1543">
        <v>166.2</v>
      </c>
      <c r="E17" s="1538"/>
      <c r="F17" s="1543">
        <v>133.6</v>
      </c>
      <c r="G17" s="1543">
        <v>313.39999999999998</v>
      </c>
      <c r="H17" s="1544">
        <v>329.8</v>
      </c>
    </row>
    <row r="18" spans="1:8">
      <c r="A18" s="1542">
        <v>7</v>
      </c>
      <c r="B18" s="1536" t="s">
        <v>6562</v>
      </c>
      <c r="C18" s="1545">
        <v>8758</v>
      </c>
      <c r="D18" s="1545">
        <v>6295</v>
      </c>
      <c r="E18" s="1538"/>
      <c r="F18" s="1545">
        <v>7379</v>
      </c>
      <c r="G18" s="1545">
        <v>7773</v>
      </c>
      <c r="H18" s="1546">
        <v>7039</v>
      </c>
    </row>
    <row r="19" spans="1:8">
      <c r="A19" s="1542">
        <v>8</v>
      </c>
      <c r="B19" s="1536" t="s">
        <v>6563</v>
      </c>
      <c r="C19" s="1545"/>
      <c r="D19" s="1545"/>
      <c r="E19" s="1538"/>
      <c r="F19" s="1545"/>
      <c r="G19" s="1545"/>
      <c r="H19" s="1546"/>
    </row>
    <row r="20" spans="1:8">
      <c r="A20" s="1542">
        <v>9</v>
      </c>
      <c r="B20" s="1536" t="s">
        <v>6564</v>
      </c>
      <c r="C20" s="1545">
        <v>370</v>
      </c>
      <c r="D20" s="1545">
        <v>165</v>
      </c>
      <c r="E20" s="1538"/>
      <c r="F20" s="1545">
        <v>136</v>
      </c>
      <c r="G20" s="1545">
        <v>315</v>
      </c>
      <c r="H20" s="1546">
        <v>320</v>
      </c>
    </row>
    <row r="21" spans="1:8">
      <c r="A21" s="1542">
        <v>10</v>
      </c>
      <c r="B21" s="1536" t="s">
        <v>6565</v>
      </c>
      <c r="C21" s="1545">
        <v>0</v>
      </c>
      <c r="D21" s="1545">
        <v>0</v>
      </c>
      <c r="E21" s="1538"/>
      <c r="F21" s="1545">
        <v>0</v>
      </c>
      <c r="G21" s="1545">
        <v>0</v>
      </c>
      <c r="H21" s="1546">
        <v>0</v>
      </c>
    </row>
    <row r="22" spans="1:8">
      <c r="A22" s="1542">
        <v>11</v>
      </c>
      <c r="B22" s="1536" t="s">
        <v>765</v>
      </c>
      <c r="C22" s="1545">
        <v>0</v>
      </c>
      <c r="D22" s="1545">
        <v>14</v>
      </c>
      <c r="E22" s="1538"/>
      <c r="F22" s="1545">
        <v>0</v>
      </c>
      <c r="G22" s="1545">
        <v>17</v>
      </c>
      <c r="H22" s="1546">
        <v>17</v>
      </c>
    </row>
    <row r="23" spans="1:8">
      <c r="A23" s="1542">
        <v>12</v>
      </c>
      <c r="B23" s="1536" t="s">
        <v>6566</v>
      </c>
      <c r="C23" s="3018">
        <v>2673671000</v>
      </c>
      <c r="D23" s="3018">
        <v>903027000</v>
      </c>
      <c r="E23" s="1538"/>
      <c r="F23" s="3018">
        <v>909289677</v>
      </c>
      <c r="G23" s="3018">
        <v>2212693000</v>
      </c>
      <c r="H23" s="3020">
        <v>1989583200</v>
      </c>
    </row>
    <row r="24" spans="1:8">
      <c r="A24" s="1542">
        <v>13</v>
      </c>
      <c r="B24" s="1536" t="s">
        <v>767</v>
      </c>
      <c r="C24" s="1547">
        <v>2788745</v>
      </c>
      <c r="D24" s="1547">
        <v>1051000</v>
      </c>
      <c r="E24" s="1538"/>
      <c r="F24" s="1547">
        <v>699814</v>
      </c>
      <c r="G24" s="1547">
        <v>1288140</v>
      </c>
      <c r="H24" s="1548">
        <v>1194000</v>
      </c>
    </row>
    <row r="25" spans="1:8">
      <c r="A25" s="1542">
        <v>14</v>
      </c>
      <c r="B25" s="1536" t="s">
        <v>126</v>
      </c>
      <c r="C25" s="1547">
        <v>129794061</v>
      </c>
      <c r="D25" s="1547">
        <v>9241352</v>
      </c>
      <c r="E25" s="1538"/>
      <c r="F25" s="1547">
        <v>6213352</v>
      </c>
      <c r="G25" s="1547">
        <v>37212381</v>
      </c>
      <c r="H25" s="1548">
        <v>12858413</v>
      </c>
    </row>
    <row r="26" spans="1:8">
      <c r="A26" s="1542">
        <v>15</v>
      </c>
      <c r="B26" s="1536" t="s">
        <v>768</v>
      </c>
      <c r="C26" s="1547">
        <v>402970202</v>
      </c>
      <c r="D26" s="1547">
        <v>155767042</v>
      </c>
      <c r="E26" s="1538"/>
      <c r="F26" s="1547">
        <v>66300807</v>
      </c>
      <c r="G26" s="1547">
        <v>301824834</v>
      </c>
      <c r="H26" s="1548">
        <v>114012319</v>
      </c>
    </row>
    <row r="27" spans="1:8">
      <c r="A27" s="1542">
        <v>16</v>
      </c>
      <c r="B27" s="1536" t="s">
        <v>769</v>
      </c>
      <c r="C27" s="1547"/>
      <c r="D27" s="1547"/>
      <c r="E27" s="1538"/>
      <c r="F27" s="1547">
        <v>443797</v>
      </c>
      <c r="G27" s="1547"/>
      <c r="H27" s="1548"/>
    </row>
    <row r="28" spans="1:8">
      <c r="A28" s="1542">
        <v>17</v>
      </c>
      <c r="B28" s="1536" t="s">
        <v>51</v>
      </c>
      <c r="C28" s="1547">
        <v>535553008</v>
      </c>
      <c r="D28" s="1547">
        <v>166059394</v>
      </c>
      <c r="E28" s="1538"/>
      <c r="F28" s="1547">
        <v>73657770</v>
      </c>
      <c r="G28" s="1547">
        <v>340325355</v>
      </c>
      <c r="H28" s="1548">
        <v>128064732</v>
      </c>
    </row>
    <row r="29" spans="1:8">
      <c r="A29" s="1542">
        <v>18</v>
      </c>
      <c r="B29" s="1536" t="s">
        <v>6567</v>
      </c>
      <c r="C29" s="1547">
        <v>1447.4405621621622</v>
      </c>
      <c r="D29" s="1549">
        <v>1006.4205696969697</v>
      </c>
      <c r="E29" s="1533"/>
      <c r="F29" s="1547">
        <v>541.60125000000005</v>
      </c>
      <c r="G29" s="1547">
        <v>1080.3979523809523</v>
      </c>
      <c r="H29" s="1548">
        <v>400.20228749999995</v>
      </c>
    </row>
    <row r="30" spans="1:8">
      <c r="A30" s="1542">
        <v>19</v>
      </c>
      <c r="B30" s="1536" t="s">
        <v>772</v>
      </c>
      <c r="C30" s="3018">
        <v>86064</v>
      </c>
      <c r="D30" s="3018">
        <v>314188</v>
      </c>
      <c r="E30" s="1538"/>
      <c r="F30" s="3018">
        <v>2013338</v>
      </c>
      <c r="G30" s="3018">
        <v>385394</v>
      </c>
      <c r="H30" s="3020">
        <v>425813</v>
      </c>
    </row>
    <row r="31" spans="1:8">
      <c r="A31" s="1542">
        <v>20</v>
      </c>
      <c r="B31" s="1536" t="s">
        <v>558</v>
      </c>
      <c r="C31" s="3018">
        <v>60636604</v>
      </c>
      <c r="D31" s="3018">
        <v>37136519</v>
      </c>
      <c r="E31" s="1538"/>
      <c r="F31" s="3018">
        <v>31328456</v>
      </c>
      <c r="G31" s="3018">
        <v>72447643</v>
      </c>
      <c r="H31" s="3020">
        <v>74324406</v>
      </c>
    </row>
    <row r="32" spans="1:8">
      <c r="A32" s="1542">
        <v>21</v>
      </c>
      <c r="B32" s="1536" t="s">
        <v>6568</v>
      </c>
      <c r="C32" s="3018"/>
      <c r="D32" s="3018"/>
      <c r="E32" s="1538"/>
      <c r="F32" s="3018"/>
      <c r="G32" s="3018"/>
      <c r="H32" s="3020"/>
    </row>
    <row r="33" spans="1:8">
      <c r="A33" s="1542">
        <v>22</v>
      </c>
      <c r="B33" s="1536" t="s">
        <v>6569</v>
      </c>
      <c r="C33" s="3018">
        <v>2892900.37</v>
      </c>
      <c r="D33" s="3018">
        <v>178829.77</v>
      </c>
      <c r="E33" s="1538"/>
      <c r="F33" s="3018">
        <v>41786.36</v>
      </c>
      <c r="G33" s="3018">
        <v>1888391.32</v>
      </c>
      <c r="H33" s="3020">
        <v>279579.53000000003</v>
      </c>
    </row>
    <row r="34" spans="1:8">
      <c r="A34" s="1542">
        <v>23</v>
      </c>
      <c r="B34" s="1536" t="s">
        <v>6570</v>
      </c>
      <c r="C34" s="3018"/>
      <c r="D34" s="3018"/>
      <c r="E34" s="1538"/>
      <c r="F34" s="3018"/>
      <c r="G34" s="3018"/>
      <c r="H34" s="3020"/>
    </row>
    <row r="35" spans="1:8">
      <c r="A35" s="1542">
        <v>24</v>
      </c>
      <c r="B35" s="1536" t="s">
        <v>6571</v>
      </c>
      <c r="C35" s="3018"/>
      <c r="D35" s="3018"/>
      <c r="E35" s="1538"/>
      <c r="F35" s="3018"/>
      <c r="G35" s="3018"/>
      <c r="H35" s="3020"/>
    </row>
    <row r="36" spans="1:8">
      <c r="A36" s="1542">
        <v>25</v>
      </c>
      <c r="B36" s="1536" t="s">
        <v>773</v>
      </c>
      <c r="C36" s="3018">
        <v>-328666</v>
      </c>
      <c r="D36" s="3018">
        <v>3854135</v>
      </c>
      <c r="E36" s="1538"/>
      <c r="F36" s="3018">
        <v>1281592</v>
      </c>
      <c r="G36" s="3018">
        <v>3384260</v>
      </c>
      <c r="H36" s="3020">
        <v>2924569</v>
      </c>
    </row>
    <row r="37" spans="1:8">
      <c r="A37" s="1542">
        <v>26</v>
      </c>
      <c r="B37" s="1536" t="s">
        <v>6572</v>
      </c>
      <c r="C37" s="3018">
        <v>7337425</v>
      </c>
      <c r="D37" s="3018"/>
      <c r="E37" s="1538"/>
      <c r="F37" s="3018">
        <v>32628</v>
      </c>
      <c r="G37" s="3018"/>
      <c r="H37" s="3020"/>
    </row>
    <row r="38" spans="1:8">
      <c r="A38" s="1542">
        <v>27</v>
      </c>
      <c r="B38" s="1536" t="s">
        <v>491</v>
      </c>
      <c r="C38" s="3018"/>
      <c r="D38" s="3018"/>
      <c r="E38" s="1538"/>
      <c r="F38" s="3018"/>
      <c r="G38" s="3018"/>
      <c r="H38" s="3020"/>
    </row>
    <row r="39" spans="1:8">
      <c r="A39" s="1542">
        <v>28</v>
      </c>
      <c r="B39" s="1536" t="s">
        <v>775</v>
      </c>
      <c r="C39" s="3018"/>
      <c r="D39" s="3018"/>
      <c r="E39" s="1538"/>
      <c r="F39" s="3018"/>
      <c r="G39" s="3018"/>
      <c r="H39" s="3020"/>
    </row>
    <row r="40" spans="1:8">
      <c r="A40" s="1542">
        <v>29</v>
      </c>
      <c r="B40" s="1536" t="s">
        <v>776</v>
      </c>
      <c r="C40" s="3018">
        <v>516505</v>
      </c>
      <c r="D40" s="3018">
        <v>6171</v>
      </c>
      <c r="E40" s="1538"/>
      <c r="F40" s="3018">
        <v>187091</v>
      </c>
      <c r="G40" s="3018">
        <v>6171</v>
      </c>
      <c r="H40" s="3020">
        <v>6557</v>
      </c>
    </row>
    <row r="41" spans="1:8">
      <c r="A41" s="1542">
        <v>30</v>
      </c>
      <c r="B41" s="1536" t="s">
        <v>777</v>
      </c>
      <c r="C41" s="3018">
        <v>1317272</v>
      </c>
      <c r="D41" s="3018">
        <v>20410</v>
      </c>
      <c r="E41" s="1538"/>
      <c r="F41" s="3018">
        <v>24293</v>
      </c>
      <c r="G41" s="3018">
        <v>140335</v>
      </c>
      <c r="H41" s="3020">
        <v>54335</v>
      </c>
    </row>
    <row r="42" spans="1:8">
      <c r="A42" s="1542">
        <v>31</v>
      </c>
      <c r="B42" s="1536" t="s">
        <v>6573</v>
      </c>
      <c r="C42" s="3018">
        <v>8655753.3200000003</v>
      </c>
      <c r="D42" s="3018">
        <v>563979.53</v>
      </c>
      <c r="E42" s="1538"/>
      <c r="F42" s="3018">
        <v>380297.34</v>
      </c>
      <c r="G42" s="3018">
        <v>605633.37</v>
      </c>
      <c r="H42" s="3020">
        <v>788899.27</v>
      </c>
    </row>
    <row r="43" spans="1:8">
      <c r="A43" s="1542">
        <v>32</v>
      </c>
      <c r="B43" s="1536" t="s">
        <v>6574</v>
      </c>
      <c r="C43" s="3018">
        <v>2895667</v>
      </c>
      <c r="D43" s="3018">
        <v>2150828</v>
      </c>
      <c r="E43" s="1538"/>
      <c r="F43" s="3018">
        <v>838757</v>
      </c>
      <c r="G43" s="3018">
        <v>3291893</v>
      </c>
      <c r="H43" s="3020">
        <v>3155837</v>
      </c>
    </row>
    <row r="44" spans="1:8">
      <c r="A44" s="1542">
        <v>33</v>
      </c>
      <c r="B44" s="1536" t="s">
        <v>6575</v>
      </c>
      <c r="C44" s="3018">
        <v>819159.59</v>
      </c>
      <c r="D44" s="3018">
        <v>55257.7</v>
      </c>
      <c r="E44" s="1538"/>
      <c r="F44" s="3018">
        <v>67958.41</v>
      </c>
      <c r="G44" s="3018">
        <v>91590.53</v>
      </c>
      <c r="H44" s="3020">
        <v>95347.37</v>
      </c>
    </row>
    <row r="45" spans="1:8">
      <c r="A45" s="1542">
        <v>34</v>
      </c>
      <c r="B45" s="1536" t="s">
        <v>6576</v>
      </c>
      <c r="C45" s="1550">
        <v>84828684.280000001</v>
      </c>
      <c r="D45" s="1550">
        <v>44280318.000000007</v>
      </c>
      <c r="E45" s="1551"/>
      <c r="F45" s="1550">
        <v>36196197.109999999</v>
      </c>
      <c r="G45" s="1550">
        <v>82241311.219999999</v>
      </c>
      <c r="H45" s="1552">
        <v>82055343.170000002</v>
      </c>
    </row>
    <row r="46" spans="1:8">
      <c r="A46" s="1542">
        <v>35</v>
      </c>
      <c r="B46" s="1536" t="s">
        <v>6577</v>
      </c>
      <c r="C46" s="1553">
        <v>3.1727420568948089E-2</v>
      </c>
      <c r="D46" s="1553">
        <v>4.9035430834294E-2</v>
      </c>
      <c r="E46" s="1538"/>
      <c r="F46" s="1553">
        <v>3.9807113206675057E-2</v>
      </c>
      <c r="G46" s="1553">
        <v>3.7167971887650024E-2</v>
      </c>
      <c r="H46" s="1554">
        <v>4.1242478912166126E-2</v>
      </c>
    </row>
    <row r="47" spans="1:8">
      <c r="A47" s="1542">
        <v>36</v>
      </c>
      <c r="B47" s="1536" t="s">
        <v>6578</v>
      </c>
      <c r="C47" s="1533" t="s">
        <v>6579</v>
      </c>
      <c r="D47" s="1533" t="s">
        <v>894</v>
      </c>
      <c r="E47" s="1533" t="s">
        <v>6580</v>
      </c>
      <c r="F47" s="1533" t="s">
        <v>894</v>
      </c>
      <c r="G47" s="1533" t="s">
        <v>894</v>
      </c>
      <c r="H47" s="1533" t="s">
        <v>894</v>
      </c>
    </row>
    <row r="48" spans="1:8">
      <c r="A48" s="1542">
        <v>37</v>
      </c>
      <c r="B48" s="1536" t="s">
        <v>6581</v>
      </c>
      <c r="C48" s="1533" t="s">
        <v>6582</v>
      </c>
      <c r="D48" s="1533" t="s">
        <v>6583</v>
      </c>
      <c r="E48" s="1533" t="s">
        <v>6584</v>
      </c>
      <c r="F48" s="1533" t="s">
        <v>6583</v>
      </c>
      <c r="G48" s="1533" t="s">
        <v>6583</v>
      </c>
      <c r="H48" s="1533" t="s">
        <v>6583</v>
      </c>
    </row>
    <row r="49" spans="1:8">
      <c r="A49" s="1542">
        <v>38</v>
      </c>
      <c r="B49" s="1536" t="s">
        <v>6585</v>
      </c>
      <c r="C49" s="1535">
        <v>1663977</v>
      </c>
      <c r="D49" s="1535">
        <v>7257585</v>
      </c>
      <c r="E49" s="1535"/>
      <c r="F49" s="1535">
        <v>5927486</v>
      </c>
      <c r="G49" s="1535">
        <v>13748018</v>
      </c>
      <c r="H49" s="1535">
        <v>13249591</v>
      </c>
    </row>
    <row r="50" spans="1:8">
      <c r="A50" s="1542">
        <v>39</v>
      </c>
      <c r="B50" s="1536" t="s">
        <v>6586</v>
      </c>
      <c r="C50" s="1535">
        <v>8614</v>
      </c>
      <c r="D50" s="1535">
        <v>1100497</v>
      </c>
      <c r="E50" s="1535"/>
      <c r="F50" s="1535">
        <v>1100497</v>
      </c>
      <c r="G50" s="1535">
        <v>1100497</v>
      </c>
      <c r="H50" s="1535">
        <v>1100497</v>
      </c>
    </row>
    <row r="51" spans="1:8">
      <c r="A51" s="1542">
        <v>40</v>
      </c>
      <c r="B51" s="1536" t="s">
        <v>6587</v>
      </c>
      <c r="C51" s="1555">
        <v>33.545000000000002</v>
      </c>
      <c r="D51" s="1555">
        <v>5.117</v>
      </c>
      <c r="E51" s="1555"/>
      <c r="F51" s="1555">
        <v>5.2850000000000001</v>
      </c>
      <c r="G51" s="1555">
        <v>5.27</v>
      </c>
      <c r="H51" s="1556">
        <v>5.61</v>
      </c>
    </row>
    <row r="52" spans="1:8">
      <c r="A52" s="1542">
        <v>41</v>
      </c>
      <c r="B52" s="1536" t="s">
        <v>6588</v>
      </c>
      <c r="C52" s="1555">
        <v>36.441000000000003</v>
      </c>
      <c r="D52" s="1555">
        <v>5.117</v>
      </c>
      <c r="E52" s="1555"/>
      <c r="F52" s="1555">
        <v>5.2850000000000001</v>
      </c>
      <c r="G52" s="1555">
        <v>5.27</v>
      </c>
      <c r="H52" s="1556">
        <v>5.61</v>
      </c>
    </row>
    <row r="53" spans="1:8">
      <c r="A53" s="1542">
        <v>42</v>
      </c>
      <c r="B53" s="1536" t="s">
        <v>6589</v>
      </c>
      <c r="C53" s="1555">
        <v>2.1150000000000002</v>
      </c>
      <c r="D53" s="1555">
        <v>4.6500000000000004</v>
      </c>
      <c r="E53" s="1555"/>
      <c r="F53" s="1555">
        <v>4.8029999999999999</v>
      </c>
      <c r="G53" s="1555">
        <v>4.7880000000000003</v>
      </c>
      <c r="H53" s="1556">
        <v>5.0970000000000004</v>
      </c>
    </row>
    <row r="54" spans="1:8">
      <c r="A54" s="1542">
        <v>43</v>
      </c>
      <c r="B54" s="1536" t="s">
        <v>6590</v>
      </c>
      <c r="C54" s="1555">
        <v>2.3E-2</v>
      </c>
      <c r="D54" s="1555">
        <v>4.1000000000000002E-2</v>
      </c>
      <c r="E54" s="1555"/>
      <c r="F54" s="1555">
        <v>3.4000000000000002E-2</v>
      </c>
      <c r="G54" s="1555">
        <v>3.3000000000000002E-2</v>
      </c>
      <c r="H54" s="1556">
        <v>3.6999999999999998E-2</v>
      </c>
    </row>
    <row r="55" spans="1:8">
      <c r="A55" s="1542">
        <v>44</v>
      </c>
      <c r="B55" s="1536" t="s">
        <v>6591</v>
      </c>
      <c r="C55" s="1555">
        <v>10721.96</v>
      </c>
      <c r="D55" s="1555">
        <v>8844.6460000000006</v>
      </c>
      <c r="E55" s="1555"/>
      <c r="F55" s="1555">
        <v>7173.933</v>
      </c>
      <c r="G55" s="1555">
        <v>6837.6670000000004</v>
      </c>
      <c r="H55" s="1555">
        <v>7328.741</v>
      </c>
    </row>
  </sheetData>
  <pageMargins left="0.75" right="0.75" top="1" bottom="1" header="0.5" footer="0.5"/>
  <customProperties>
    <customPr name="_pios_id" r:id="rId1"/>
  </customPropertie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rgb="FF92D050"/>
  </sheetPr>
  <dimension ref="A1:K54"/>
  <sheetViews>
    <sheetView workbookViewId="0">
      <pane ySplit="8" topLeftCell="A9" activePane="bottomLeft" state="frozen"/>
      <selection sqref="A1:XFD1048576"/>
      <selection pane="bottomLeft" sqref="A1:XFD1048576"/>
    </sheetView>
  </sheetViews>
  <sheetFormatPr defaultColWidth="11.625" defaultRowHeight="11.25"/>
  <cols>
    <col min="1" max="1" width="4.25" style="761" bestFit="1" customWidth="1"/>
    <col min="2" max="2" width="48.125" style="761" bestFit="1" customWidth="1"/>
    <col min="3" max="3" width="10.5" style="761" customWidth="1"/>
    <col min="4" max="4" width="10.375" style="761" customWidth="1"/>
    <col min="5" max="5" width="8.5" style="761" customWidth="1"/>
    <col min="6" max="6" width="10.5" style="761" customWidth="1"/>
    <col min="7" max="7" width="9" style="761" bestFit="1" customWidth="1"/>
    <col min="8" max="8" width="10.5" style="761" customWidth="1"/>
    <col min="9" max="9" width="9" style="761" bestFit="1" customWidth="1"/>
    <col min="10" max="10" width="11.375" style="761" customWidth="1"/>
    <col min="11" max="11" width="11.125" style="761" bestFit="1" customWidth="1"/>
    <col min="12" max="13" width="17.625" style="761" customWidth="1"/>
    <col min="14" max="16384" width="11.625" style="761"/>
  </cols>
  <sheetData>
    <row r="1" spans="1:11">
      <c r="A1" s="1512" t="s">
        <v>4977</v>
      </c>
      <c r="B1" s="1512"/>
    </row>
    <row r="2" spans="1:11">
      <c r="A2" s="1512" t="s">
        <v>6778</v>
      </c>
      <c r="B2" s="1512"/>
    </row>
    <row r="3" spans="1:11">
      <c r="A3" s="1557"/>
    </row>
    <row r="5" spans="1:11" ht="12.75" customHeight="1">
      <c r="A5" s="1558" t="s">
        <v>6538</v>
      </c>
      <c r="B5" s="1559"/>
      <c r="C5" s="1559"/>
      <c r="D5" s="1559"/>
      <c r="E5" s="1559"/>
      <c r="F5" s="1560" t="s">
        <v>6539</v>
      </c>
      <c r="G5" s="1561"/>
      <c r="H5" s="1561"/>
      <c r="I5" s="1561"/>
      <c r="J5" s="1561"/>
      <c r="K5" s="1562"/>
    </row>
    <row r="6" spans="1:11" ht="12.75" customHeight="1">
      <c r="A6" s="1563" t="s">
        <v>6540</v>
      </c>
      <c r="B6" s="1564"/>
      <c r="C6" s="1564"/>
      <c r="D6" s="1564"/>
      <c r="E6" s="1564"/>
      <c r="F6" s="1565" t="s">
        <v>6541</v>
      </c>
      <c r="G6" s="1566"/>
      <c r="H6" s="1566"/>
      <c r="I6" s="1566"/>
      <c r="J6" s="1566"/>
      <c r="K6" s="1567"/>
    </row>
    <row r="7" spans="1:11" ht="22.5">
      <c r="A7" s="1568" t="s">
        <v>5177</v>
      </c>
      <c r="B7" s="1349" t="s">
        <v>5560</v>
      </c>
      <c r="C7" s="1569" t="s">
        <v>6542</v>
      </c>
      <c r="D7" s="1569" t="s">
        <v>6542</v>
      </c>
      <c r="E7" s="1424" t="s">
        <v>6592</v>
      </c>
      <c r="F7" s="1570" t="s">
        <v>6542</v>
      </c>
      <c r="G7" s="1571" t="s">
        <v>6593</v>
      </c>
      <c r="H7" s="1570" t="s">
        <v>6542</v>
      </c>
      <c r="I7" s="1571" t="s">
        <v>6594</v>
      </c>
      <c r="J7" s="1570" t="s">
        <v>6542</v>
      </c>
      <c r="K7" s="1572" t="s">
        <v>6595</v>
      </c>
    </row>
    <row r="8" spans="1:11">
      <c r="A8" s="1573"/>
      <c r="B8" s="1351" t="s">
        <v>4989</v>
      </c>
      <c r="C8" s="1574" t="s">
        <v>4990</v>
      </c>
      <c r="D8" s="1574" t="s">
        <v>4991</v>
      </c>
      <c r="F8" s="1575" t="s">
        <v>4992</v>
      </c>
      <c r="G8" s="1576"/>
      <c r="H8" s="1575" t="s">
        <v>5181</v>
      </c>
      <c r="I8" s="1576"/>
      <c r="J8" s="1575" t="s">
        <v>5182</v>
      </c>
      <c r="K8" s="1577"/>
    </row>
    <row r="9" spans="1:11" ht="12.75" customHeight="1">
      <c r="A9" s="1578" t="s">
        <v>6544</v>
      </c>
      <c r="B9" s="1406" t="s">
        <v>755</v>
      </c>
      <c r="C9" s="2990" t="s">
        <v>6596</v>
      </c>
      <c r="D9" s="2990" t="s">
        <v>6592</v>
      </c>
      <c r="E9" s="1579"/>
      <c r="F9" s="2990" t="s">
        <v>6593</v>
      </c>
      <c r="G9" s="2989"/>
      <c r="H9" s="2990" t="s">
        <v>6594</v>
      </c>
      <c r="I9" s="2989"/>
      <c r="J9" s="2990" t="s">
        <v>6595</v>
      </c>
      <c r="K9" s="1580"/>
    </row>
    <row r="10" spans="1:11" ht="12.75" customHeight="1">
      <c r="A10" s="1581">
        <v>1</v>
      </c>
      <c r="B10" s="1405" t="s">
        <v>6549</v>
      </c>
      <c r="C10" s="1582" t="s">
        <v>6550</v>
      </c>
      <c r="D10" s="1582" t="s">
        <v>6550</v>
      </c>
      <c r="E10" s="1583"/>
      <c r="F10" s="1582" t="s">
        <v>6597</v>
      </c>
      <c r="G10" s="1583"/>
      <c r="H10" s="1582" t="s">
        <v>6597</v>
      </c>
      <c r="I10" s="1583"/>
      <c r="J10" s="1582" t="s">
        <v>6597</v>
      </c>
      <c r="K10" s="1584"/>
    </row>
    <row r="11" spans="1:11">
      <c r="A11" s="1581">
        <v>2</v>
      </c>
      <c r="B11" s="1405" t="s">
        <v>6551</v>
      </c>
      <c r="C11" s="1582" t="s">
        <v>6553</v>
      </c>
      <c r="D11" s="1582" t="s">
        <v>6553</v>
      </c>
      <c r="E11" s="1583"/>
      <c r="F11" s="1582" t="s">
        <v>6553</v>
      </c>
      <c r="G11" s="1583"/>
      <c r="H11" s="1582" t="s">
        <v>6553</v>
      </c>
      <c r="I11" s="1583"/>
      <c r="J11" s="1582" t="s">
        <v>6553</v>
      </c>
      <c r="K11" s="1584"/>
    </row>
    <row r="12" spans="1:11">
      <c r="A12" s="1581">
        <v>3</v>
      </c>
      <c r="B12" s="1405" t="s">
        <v>759</v>
      </c>
      <c r="C12" s="2992" t="s">
        <v>6555</v>
      </c>
      <c r="D12" s="2992" t="s">
        <v>6598</v>
      </c>
      <c r="E12" s="1583"/>
      <c r="F12" s="2992" t="s">
        <v>6599</v>
      </c>
      <c r="G12" s="1583"/>
      <c r="H12" s="2992" t="s">
        <v>6599</v>
      </c>
      <c r="I12" s="1583"/>
      <c r="J12" s="2992" t="s">
        <v>6554</v>
      </c>
      <c r="K12" s="1584"/>
    </row>
    <row r="13" spans="1:11">
      <c r="A13" s="1407">
        <v>4</v>
      </c>
      <c r="B13" s="1405" t="s">
        <v>760</v>
      </c>
      <c r="C13" s="1585" t="s">
        <v>6555</v>
      </c>
      <c r="D13" s="1585" t="s">
        <v>6598</v>
      </c>
      <c r="E13" s="1583"/>
      <c r="F13" s="1585" t="s">
        <v>6599</v>
      </c>
      <c r="G13" s="1583"/>
      <c r="H13" s="1585" t="s">
        <v>6599</v>
      </c>
      <c r="I13" s="1583"/>
      <c r="J13" s="1585" t="s">
        <v>6554</v>
      </c>
      <c r="K13" s="1584"/>
    </row>
    <row r="14" spans="1:11">
      <c r="A14" s="1407">
        <v>5</v>
      </c>
      <c r="B14" s="1405" t="s">
        <v>6560</v>
      </c>
      <c r="C14" s="1586">
        <v>127</v>
      </c>
      <c r="D14" s="1586">
        <v>253</v>
      </c>
      <c r="E14" s="1583"/>
      <c r="F14" s="1586">
        <v>149</v>
      </c>
      <c r="G14" s="1583"/>
      <c r="H14" s="1586">
        <v>149</v>
      </c>
      <c r="I14" s="1583"/>
      <c r="J14" s="1586">
        <v>207</v>
      </c>
      <c r="K14" s="1584"/>
    </row>
    <row r="15" spans="1:11">
      <c r="A15" s="1407">
        <v>6</v>
      </c>
      <c r="B15" s="1405" t="s">
        <v>6561</v>
      </c>
      <c r="C15" s="1586">
        <v>131.80000000000001</v>
      </c>
      <c r="D15" s="1586">
        <v>274.39999999999998</v>
      </c>
      <c r="E15" s="1583"/>
      <c r="F15" s="1586">
        <v>146.19999999999999</v>
      </c>
      <c r="G15" s="1583"/>
      <c r="H15" s="1586">
        <v>153.1</v>
      </c>
      <c r="I15" s="1583"/>
      <c r="J15" s="1586">
        <v>212</v>
      </c>
      <c r="K15" s="1584"/>
    </row>
    <row r="16" spans="1:11">
      <c r="A16" s="1407">
        <v>7</v>
      </c>
      <c r="B16" s="1405" t="s">
        <v>6562</v>
      </c>
      <c r="C16" s="1587">
        <v>7029</v>
      </c>
      <c r="D16" s="1587">
        <v>6523</v>
      </c>
      <c r="E16" s="1583"/>
      <c r="F16" s="1587">
        <v>4983</v>
      </c>
      <c r="G16" s="1583"/>
      <c r="H16" s="1587">
        <v>2386</v>
      </c>
      <c r="I16" s="1583"/>
      <c r="J16" s="1587">
        <v>5231</v>
      </c>
      <c r="K16" s="1584"/>
    </row>
    <row r="17" spans="1:11">
      <c r="A17" s="1407">
        <v>8</v>
      </c>
      <c r="B17" s="1405" t="s">
        <v>6563</v>
      </c>
      <c r="C17" s="1587"/>
      <c r="D17" s="1587"/>
      <c r="E17" s="1583"/>
      <c r="F17" s="1587"/>
      <c r="G17" s="1583"/>
      <c r="H17" s="1587"/>
      <c r="I17" s="1583"/>
      <c r="J17" s="1587"/>
      <c r="K17" s="1584"/>
    </row>
    <row r="18" spans="1:11">
      <c r="A18" s="1407">
        <v>9</v>
      </c>
      <c r="B18" s="1405" t="s">
        <v>6564</v>
      </c>
      <c r="C18" s="1587">
        <v>127</v>
      </c>
      <c r="D18" s="1587">
        <v>253</v>
      </c>
      <c r="E18" s="1583"/>
      <c r="F18" s="1587">
        <v>149</v>
      </c>
      <c r="G18" s="1583"/>
      <c r="H18" s="1587">
        <v>149</v>
      </c>
      <c r="I18" s="1583"/>
      <c r="J18" s="1587">
        <v>207</v>
      </c>
      <c r="K18" s="1584"/>
    </row>
    <row r="19" spans="1:11">
      <c r="A19" s="1407">
        <v>10</v>
      </c>
      <c r="B19" s="1405" t="s">
        <v>6565</v>
      </c>
      <c r="C19" s="1587">
        <v>0</v>
      </c>
      <c r="D19" s="1587">
        <v>0</v>
      </c>
      <c r="E19" s="1583"/>
      <c r="F19" s="1587">
        <v>0</v>
      </c>
      <c r="G19" s="1583"/>
      <c r="H19" s="1587">
        <v>0</v>
      </c>
      <c r="I19" s="1583"/>
      <c r="J19" s="1587">
        <v>0</v>
      </c>
      <c r="K19" s="1584"/>
    </row>
    <row r="20" spans="1:11">
      <c r="A20" s="1407">
        <v>11</v>
      </c>
      <c r="B20" s="1405" t="s">
        <v>765</v>
      </c>
      <c r="C20" s="1587">
        <v>13</v>
      </c>
      <c r="D20" s="1587">
        <v>0</v>
      </c>
      <c r="E20" s="1583"/>
      <c r="F20" s="1587">
        <v>5</v>
      </c>
      <c r="G20" s="1583"/>
      <c r="H20" s="1587">
        <v>6</v>
      </c>
      <c r="I20" s="1583"/>
      <c r="J20" s="1587">
        <v>5</v>
      </c>
      <c r="K20" s="1584"/>
    </row>
    <row r="21" spans="1:11">
      <c r="A21" s="1407">
        <v>12</v>
      </c>
      <c r="B21" s="1405" t="s">
        <v>6566</v>
      </c>
      <c r="C21" s="3000">
        <v>834872700</v>
      </c>
      <c r="D21" s="3000">
        <v>1529332001</v>
      </c>
      <c r="E21" s="1583"/>
      <c r="F21" s="3000">
        <v>448958000</v>
      </c>
      <c r="G21" s="1583"/>
      <c r="H21" s="3000">
        <v>159586760</v>
      </c>
      <c r="I21" s="1583"/>
      <c r="J21" s="3000">
        <v>679146600</v>
      </c>
      <c r="K21" s="1584"/>
    </row>
    <row r="22" spans="1:11">
      <c r="A22" s="1407">
        <v>13</v>
      </c>
      <c r="B22" s="1405" t="s">
        <v>767</v>
      </c>
      <c r="C22" s="1588">
        <v>795165</v>
      </c>
      <c r="D22" s="1588"/>
      <c r="E22" s="1583"/>
      <c r="F22" s="1588">
        <v>364590</v>
      </c>
      <c r="G22" s="1583"/>
      <c r="H22" s="1588">
        <v>785528</v>
      </c>
      <c r="I22" s="1583"/>
      <c r="J22" s="1588">
        <v>1502988</v>
      </c>
      <c r="K22" s="1584"/>
    </row>
    <row r="23" spans="1:11">
      <c r="A23" s="1407">
        <v>14</v>
      </c>
      <c r="B23" s="1405" t="s">
        <v>126</v>
      </c>
      <c r="C23" s="1588">
        <v>5697005</v>
      </c>
      <c r="D23" s="1588">
        <v>6594636</v>
      </c>
      <c r="E23" s="1583"/>
      <c r="F23" s="1588">
        <v>2675813</v>
      </c>
      <c r="G23" s="1583"/>
      <c r="H23" s="1588">
        <v>3569470</v>
      </c>
      <c r="I23" s="1583"/>
      <c r="J23" s="1588">
        <v>4018224</v>
      </c>
      <c r="K23" s="1584"/>
    </row>
    <row r="24" spans="1:11">
      <c r="A24" s="1407">
        <v>15</v>
      </c>
      <c r="B24" s="1405" t="s">
        <v>768</v>
      </c>
      <c r="C24" s="1588">
        <v>78088433</v>
      </c>
      <c r="D24" s="1588">
        <v>145747947</v>
      </c>
      <c r="E24" s="1583"/>
      <c r="F24" s="1588">
        <v>37153461</v>
      </c>
      <c r="G24" s="1583"/>
      <c r="H24" s="1588">
        <v>38706418</v>
      </c>
      <c r="I24" s="1583"/>
      <c r="J24" s="1588">
        <v>85275033</v>
      </c>
      <c r="K24" s="1584"/>
    </row>
    <row r="25" spans="1:11">
      <c r="A25" s="1407">
        <v>16</v>
      </c>
      <c r="B25" s="1405" t="s">
        <v>769</v>
      </c>
      <c r="C25" s="1588"/>
      <c r="D25" s="1588">
        <v>1030922</v>
      </c>
      <c r="E25" s="1583"/>
      <c r="F25" s="1588"/>
      <c r="G25" s="1583"/>
      <c r="H25" s="1588"/>
      <c r="I25" s="1583"/>
      <c r="J25" s="1588"/>
      <c r="K25" s="1584"/>
    </row>
    <row r="26" spans="1:11">
      <c r="A26" s="1407">
        <v>17</v>
      </c>
      <c r="B26" s="1405" t="s">
        <v>51</v>
      </c>
      <c r="C26" s="1588">
        <v>84580603</v>
      </c>
      <c r="D26" s="1588">
        <v>153373505</v>
      </c>
      <c r="E26" s="1583"/>
      <c r="F26" s="1588">
        <v>40193864</v>
      </c>
      <c r="G26" s="1583"/>
      <c r="H26" s="1588">
        <v>43061416</v>
      </c>
      <c r="I26" s="1583"/>
      <c r="J26" s="1588">
        <v>90796245</v>
      </c>
      <c r="K26" s="1584"/>
    </row>
    <row r="27" spans="1:11">
      <c r="A27" s="1407">
        <v>18</v>
      </c>
      <c r="B27" s="1405" t="s">
        <v>6567</v>
      </c>
      <c r="C27" s="1588">
        <v>665.98900000000003</v>
      </c>
      <c r="D27" s="1588">
        <v>606.21938735177866</v>
      </c>
      <c r="E27" s="1583"/>
      <c r="F27" s="1588">
        <v>269.75747651006714</v>
      </c>
      <c r="G27" s="1583"/>
      <c r="H27" s="1588">
        <v>289.00279194630872</v>
      </c>
      <c r="I27" s="1583"/>
      <c r="J27" s="1588">
        <v>438.62920289855072</v>
      </c>
      <c r="K27" s="1584"/>
    </row>
    <row r="28" spans="1:11">
      <c r="A28" s="1407">
        <v>19</v>
      </c>
      <c r="B28" s="1405" t="s">
        <v>772</v>
      </c>
      <c r="C28" s="3000">
        <v>314433</v>
      </c>
      <c r="D28" s="3000">
        <v>651671</v>
      </c>
      <c r="E28" s="1583"/>
      <c r="F28" s="3000">
        <v>65516</v>
      </c>
      <c r="G28" s="1583"/>
      <c r="H28" s="3000">
        <v>89929</v>
      </c>
      <c r="I28" s="1583"/>
      <c r="J28" s="3000">
        <v>299176</v>
      </c>
      <c r="K28" s="1584"/>
    </row>
    <row r="29" spans="1:11">
      <c r="A29" s="1407">
        <v>20</v>
      </c>
      <c r="B29" s="1405" t="s">
        <v>558</v>
      </c>
      <c r="C29" s="3000">
        <v>32381524</v>
      </c>
      <c r="D29" s="3000">
        <v>66871435</v>
      </c>
      <c r="E29" s="1583"/>
      <c r="F29" s="3000">
        <v>24386270</v>
      </c>
      <c r="G29" s="1583"/>
      <c r="H29" s="3000">
        <v>9824471</v>
      </c>
      <c r="I29" s="1583"/>
      <c r="J29" s="3000">
        <v>35116280</v>
      </c>
      <c r="K29" s="1584"/>
    </row>
    <row r="30" spans="1:11">
      <c r="A30" s="1407">
        <v>21</v>
      </c>
      <c r="B30" s="1405" t="s">
        <v>6568</v>
      </c>
      <c r="C30" s="3000"/>
      <c r="D30" s="3000"/>
      <c r="E30" s="1583"/>
      <c r="F30" s="3000"/>
      <c r="G30" s="1583"/>
      <c r="H30" s="3000"/>
      <c r="I30" s="1583"/>
      <c r="J30" s="3000"/>
      <c r="K30" s="1584"/>
    </row>
    <row r="31" spans="1:11">
      <c r="A31" s="1407">
        <v>22</v>
      </c>
      <c r="B31" s="1405" t="s">
        <v>6569</v>
      </c>
      <c r="C31" s="3000">
        <v>398473.91</v>
      </c>
      <c r="D31" s="3000">
        <v>1249577.8</v>
      </c>
      <c r="E31" s="1583"/>
      <c r="F31" s="3000"/>
      <c r="G31" s="1583"/>
      <c r="H31" s="3000"/>
      <c r="I31" s="1583"/>
      <c r="J31" s="3000"/>
      <c r="K31" s="1584"/>
    </row>
    <row r="32" spans="1:11">
      <c r="A32" s="1407">
        <v>23</v>
      </c>
      <c r="B32" s="1405" t="s">
        <v>6570</v>
      </c>
      <c r="C32" s="3000"/>
      <c r="D32" s="3000"/>
      <c r="E32" s="1583"/>
      <c r="F32" s="3000"/>
      <c r="G32" s="1583"/>
      <c r="H32" s="3000"/>
      <c r="I32" s="1583"/>
      <c r="J32" s="3000"/>
      <c r="K32" s="1584"/>
    </row>
    <row r="33" spans="1:11">
      <c r="A33" s="1407">
        <v>24</v>
      </c>
      <c r="B33" s="1405" t="s">
        <v>6571</v>
      </c>
      <c r="C33" s="3000"/>
      <c r="D33" s="3000"/>
      <c r="E33" s="1583"/>
      <c r="F33" s="3000"/>
      <c r="G33" s="1583"/>
      <c r="H33" s="3000"/>
      <c r="I33" s="1583"/>
      <c r="J33" s="3000"/>
      <c r="K33" s="1584"/>
    </row>
    <row r="34" spans="1:11">
      <c r="A34" s="1407">
        <v>25</v>
      </c>
      <c r="B34" s="1405" t="s">
        <v>773</v>
      </c>
      <c r="C34" s="3000">
        <v>3011849</v>
      </c>
      <c r="D34" s="3000">
        <v>3229200</v>
      </c>
      <c r="E34" s="1583"/>
      <c r="F34" s="3000">
        <v>839746</v>
      </c>
      <c r="G34" s="1583"/>
      <c r="H34" s="3000">
        <v>964560</v>
      </c>
      <c r="I34" s="1583"/>
      <c r="J34" s="3000">
        <v>2392468</v>
      </c>
      <c r="K34" s="1584"/>
    </row>
    <row r="35" spans="1:11">
      <c r="A35" s="1407">
        <v>26</v>
      </c>
      <c r="B35" s="1405" t="s">
        <v>6572</v>
      </c>
      <c r="C35" s="3000"/>
      <c r="D35" s="3000"/>
      <c r="E35" s="1583"/>
      <c r="F35" s="3000"/>
      <c r="G35" s="1583"/>
      <c r="H35" s="3000"/>
      <c r="I35" s="1583"/>
      <c r="J35" s="3000"/>
      <c r="K35" s="1584"/>
    </row>
    <row r="36" spans="1:11">
      <c r="A36" s="1407">
        <v>27</v>
      </c>
      <c r="B36" s="1405" t="s">
        <v>491</v>
      </c>
      <c r="C36" s="3000"/>
      <c r="D36" s="3000"/>
      <c r="E36" s="1583"/>
      <c r="F36" s="3000"/>
      <c r="G36" s="1583"/>
      <c r="H36" s="3000"/>
      <c r="I36" s="1583"/>
      <c r="J36" s="3000"/>
      <c r="K36" s="1584"/>
    </row>
    <row r="37" spans="1:11">
      <c r="A37" s="1407">
        <v>28</v>
      </c>
      <c r="B37" s="1405" t="s">
        <v>775</v>
      </c>
      <c r="C37" s="3000"/>
      <c r="D37" s="3000"/>
      <c r="E37" s="1583"/>
      <c r="F37" s="3000"/>
      <c r="G37" s="1583"/>
      <c r="H37" s="3000"/>
      <c r="I37" s="1583"/>
      <c r="J37" s="3000"/>
      <c r="K37" s="1584"/>
    </row>
    <row r="38" spans="1:11">
      <c r="A38" s="1407">
        <v>29</v>
      </c>
      <c r="B38" s="1405" t="s">
        <v>776</v>
      </c>
      <c r="C38" s="3000">
        <v>61610</v>
      </c>
      <c r="D38" s="3000"/>
      <c r="E38" s="1583"/>
      <c r="F38" s="3000">
        <v>6171</v>
      </c>
      <c r="G38" s="1583"/>
      <c r="H38" s="3000">
        <v>6171</v>
      </c>
      <c r="I38" s="1583"/>
      <c r="J38" s="3000">
        <v>6171</v>
      </c>
      <c r="K38" s="1584"/>
    </row>
    <row r="39" spans="1:11">
      <c r="A39" s="1407">
        <v>30</v>
      </c>
      <c r="B39" s="1405" t="s">
        <v>777</v>
      </c>
      <c r="C39" s="3000">
        <v>10094</v>
      </c>
      <c r="D39" s="3000">
        <v>14398</v>
      </c>
      <c r="E39" s="1583"/>
      <c r="F39" s="3000">
        <v>82527</v>
      </c>
      <c r="G39" s="1583"/>
      <c r="H39" s="3000">
        <v>155744</v>
      </c>
      <c r="I39" s="1583"/>
      <c r="J39" s="3000">
        <v>77900</v>
      </c>
      <c r="K39" s="1584"/>
    </row>
    <row r="40" spans="1:11">
      <c r="A40" s="1407">
        <v>31</v>
      </c>
      <c r="B40" s="1405" t="s">
        <v>6573</v>
      </c>
      <c r="C40" s="3000">
        <v>623885.36</v>
      </c>
      <c r="D40" s="3000">
        <v>994701.45</v>
      </c>
      <c r="E40" s="1583"/>
      <c r="F40" s="3000"/>
      <c r="G40" s="1583"/>
      <c r="H40" s="3000"/>
      <c r="I40" s="1583"/>
      <c r="J40" s="3000"/>
      <c r="K40" s="1584"/>
    </row>
    <row r="41" spans="1:11">
      <c r="A41" s="1407">
        <v>32</v>
      </c>
      <c r="B41" s="1405" t="s">
        <v>6574</v>
      </c>
      <c r="C41" s="3000">
        <v>1001815</v>
      </c>
      <c r="D41" s="3000">
        <v>3062567</v>
      </c>
      <c r="E41" s="1583"/>
      <c r="F41" s="3000">
        <v>481040</v>
      </c>
      <c r="G41" s="1583"/>
      <c r="H41" s="3000">
        <v>626620</v>
      </c>
      <c r="I41" s="1583"/>
      <c r="J41" s="3000">
        <v>2601076</v>
      </c>
      <c r="K41" s="1584"/>
    </row>
    <row r="42" spans="1:11">
      <c r="A42" s="1407">
        <v>33</v>
      </c>
      <c r="B42" s="1405" t="s">
        <v>6575</v>
      </c>
      <c r="C42" s="3000">
        <v>2153.0100000000002</v>
      </c>
      <c r="D42" s="3000">
        <v>327701.02</v>
      </c>
      <c r="E42" s="1583"/>
      <c r="F42" s="3000"/>
      <c r="G42" s="1583"/>
      <c r="H42" s="3000"/>
      <c r="I42" s="1583"/>
      <c r="J42" s="3000"/>
      <c r="K42" s="1584"/>
    </row>
    <row r="43" spans="1:11">
      <c r="A43" s="1407">
        <v>34</v>
      </c>
      <c r="B43" s="1405" t="s">
        <v>6576</v>
      </c>
      <c r="C43" s="1589">
        <v>37805837.280000001</v>
      </c>
      <c r="D43" s="1589">
        <v>76401251.269999996</v>
      </c>
      <c r="E43" s="1590"/>
      <c r="F43" s="1591">
        <v>25861270</v>
      </c>
      <c r="G43" s="1590"/>
      <c r="H43" s="1591">
        <v>11667495</v>
      </c>
      <c r="I43" s="1590"/>
      <c r="J43" s="1591">
        <v>40493071</v>
      </c>
      <c r="K43" s="1592"/>
    </row>
    <row r="44" spans="1:11">
      <c r="A44" s="1407">
        <v>35</v>
      </c>
      <c r="B44" s="1405" t="s">
        <v>6577</v>
      </c>
      <c r="C44" s="1593">
        <v>4.5283355510367024E-2</v>
      </c>
      <c r="D44" s="1593">
        <v>4.9957269723018109E-2</v>
      </c>
      <c r="E44" s="1583"/>
      <c r="F44" s="1593">
        <v>5.7602871538094874E-2</v>
      </c>
      <c r="G44" s="1583"/>
      <c r="H44" s="1593">
        <v>7.3110670333804639E-2</v>
      </c>
      <c r="I44" s="1583"/>
      <c r="J44" s="1593">
        <v>5.9623461267420026E-2</v>
      </c>
      <c r="K44" s="1584"/>
    </row>
    <row r="45" spans="1:11">
      <c r="A45" s="1407">
        <v>36</v>
      </c>
      <c r="B45" s="1405" t="s">
        <v>6578</v>
      </c>
      <c r="C45" s="1406" t="s">
        <v>894</v>
      </c>
      <c r="D45" s="1406" t="s">
        <v>894</v>
      </c>
      <c r="E45" s="1406" t="s">
        <v>6580</v>
      </c>
      <c r="F45" s="1406" t="s">
        <v>894</v>
      </c>
      <c r="G45" s="1406" t="s">
        <v>6580</v>
      </c>
      <c r="H45" s="1406" t="s">
        <v>894</v>
      </c>
      <c r="I45" s="1406" t="s">
        <v>6580</v>
      </c>
      <c r="J45" s="1406" t="s">
        <v>894</v>
      </c>
      <c r="K45" s="1406" t="s">
        <v>6580</v>
      </c>
    </row>
    <row r="46" spans="1:11">
      <c r="A46" s="1407">
        <v>37</v>
      </c>
      <c r="B46" s="1405" t="s">
        <v>6581</v>
      </c>
      <c r="C46" s="1406" t="s">
        <v>6583</v>
      </c>
      <c r="D46" s="1406" t="s">
        <v>6583</v>
      </c>
      <c r="E46" s="1406" t="s">
        <v>6584</v>
      </c>
      <c r="F46" s="1406" t="s">
        <v>6583</v>
      </c>
      <c r="G46" s="1406" t="s">
        <v>6584</v>
      </c>
      <c r="H46" s="1406" t="s">
        <v>6583</v>
      </c>
      <c r="I46" s="1406" t="s">
        <v>6584</v>
      </c>
      <c r="J46" s="1406" t="s">
        <v>6583</v>
      </c>
      <c r="K46" s="1406" t="s">
        <v>6584</v>
      </c>
    </row>
    <row r="47" spans="1:11">
      <c r="A47" s="1407">
        <v>38</v>
      </c>
      <c r="B47" s="1405" t="s">
        <v>6585</v>
      </c>
      <c r="C47" s="1581">
        <v>6193462</v>
      </c>
      <c r="D47" s="1581">
        <v>11535707</v>
      </c>
      <c r="E47" s="1581">
        <v>6863</v>
      </c>
      <c r="F47" s="1581">
        <v>5349887</v>
      </c>
      <c r="G47" s="1581">
        <v>265</v>
      </c>
      <c r="H47" s="1581">
        <v>2069948</v>
      </c>
      <c r="I47" s="1581">
        <v>2024</v>
      </c>
      <c r="J47" s="1581">
        <v>7626171</v>
      </c>
      <c r="K47" s="1581">
        <v>5</v>
      </c>
    </row>
    <row r="48" spans="1:11">
      <c r="A48" s="1407">
        <v>39</v>
      </c>
      <c r="B48" s="1405" t="s">
        <v>6586</v>
      </c>
      <c r="C48" s="1581">
        <v>1100497</v>
      </c>
      <c r="D48" s="1581">
        <v>1100497</v>
      </c>
      <c r="E48" s="1578">
        <v>138683</v>
      </c>
      <c r="F48" s="1581">
        <v>1100497</v>
      </c>
      <c r="G48" s="1581">
        <v>136837</v>
      </c>
      <c r="H48" s="1581">
        <v>1100497</v>
      </c>
      <c r="I48" s="1581">
        <v>138892</v>
      </c>
      <c r="J48" s="1581">
        <v>1100497</v>
      </c>
      <c r="K48" s="1581">
        <v>137025</v>
      </c>
    </row>
    <row r="49" spans="1:11">
      <c r="A49" s="1407">
        <v>40</v>
      </c>
      <c r="B49" s="1405" t="s">
        <v>6587</v>
      </c>
      <c r="C49" s="1594">
        <v>5.2279999999999998</v>
      </c>
      <c r="D49" s="1594">
        <v>5.71</v>
      </c>
      <c r="E49" s="1594">
        <v>159.00299999999999</v>
      </c>
      <c r="F49" s="1594">
        <v>4.5519999999999996</v>
      </c>
      <c r="G49" s="1594">
        <v>164.929</v>
      </c>
      <c r="H49" s="1594">
        <v>4.6289999999999996</v>
      </c>
      <c r="I49" s="1594">
        <v>293.15499999999997</v>
      </c>
      <c r="J49" s="1594">
        <v>4.6050000000000004</v>
      </c>
      <c r="K49" s="1594">
        <v>155.33799999999999</v>
      </c>
    </row>
    <row r="50" spans="1:11">
      <c r="A50" s="1407">
        <v>41</v>
      </c>
      <c r="B50" s="1405" t="s">
        <v>6588</v>
      </c>
      <c r="C50" s="1594">
        <v>5.2279999999999998</v>
      </c>
      <c r="D50" s="1594">
        <v>5.71</v>
      </c>
      <c r="E50" s="1594">
        <v>145.45599999999999</v>
      </c>
      <c r="F50" s="1594">
        <v>4.5519999999999996</v>
      </c>
      <c r="G50" s="1594">
        <v>132.59899999999999</v>
      </c>
      <c r="H50" s="1594">
        <v>4.6289999999999996</v>
      </c>
      <c r="I50" s="1594">
        <v>120.13800000000001</v>
      </c>
      <c r="J50" s="1594">
        <v>4.6050000000000004</v>
      </c>
      <c r="K50" s="1594">
        <v>124.52500000000001</v>
      </c>
    </row>
    <row r="51" spans="1:11">
      <c r="A51" s="1407">
        <v>42</v>
      </c>
      <c r="B51" s="1405" t="s">
        <v>6589</v>
      </c>
      <c r="C51" s="1594">
        <v>4.7510000000000003</v>
      </c>
      <c r="D51" s="1594">
        <v>5.1890000000000001</v>
      </c>
      <c r="E51" s="1594">
        <v>24.972000000000001</v>
      </c>
      <c r="F51" s="1594">
        <v>4.1360000000000001</v>
      </c>
      <c r="G51" s="1594">
        <v>23.071999999999999</v>
      </c>
      <c r="H51" s="1594">
        <v>4.2060000000000004</v>
      </c>
      <c r="I51" s="1594">
        <v>20.594999999999999</v>
      </c>
      <c r="J51" s="1594">
        <v>4.1840000000000002</v>
      </c>
      <c r="K51" s="1594">
        <v>21.638000000000002</v>
      </c>
    </row>
    <row r="52" spans="1:11">
      <c r="A52" s="1407">
        <v>43</v>
      </c>
      <c r="B52" s="1405" t="s">
        <v>6590</v>
      </c>
      <c r="C52" s="1594">
        <v>3.9E-2</v>
      </c>
      <c r="D52" s="1594">
        <v>4.2999999999999997E-2</v>
      </c>
      <c r="E52" s="1594">
        <v>1.9800000000000002E-2</v>
      </c>
      <c r="F52" s="1594">
        <v>5.3999999999999999E-2</v>
      </c>
      <c r="G52" s="1594">
        <v>0.316</v>
      </c>
      <c r="H52" s="1594">
        <v>0.06</v>
      </c>
      <c r="I52" s="1594">
        <v>0.371</v>
      </c>
      <c r="J52" s="1594">
        <v>5.1999999999999998E-2</v>
      </c>
      <c r="K52" s="1594">
        <v>0.153</v>
      </c>
    </row>
    <row r="53" spans="1:11">
      <c r="A53" s="1407">
        <v>44</v>
      </c>
      <c r="B53" s="1405" t="s">
        <v>6591</v>
      </c>
      <c r="C53" s="1595">
        <v>8163.9849999999997</v>
      </c>
      <c r="D53" s="1595">
        <v>8328.5079999999998</v>
      </c>
      <c r="E53" s="1595">
        <v>7919.7060000000001</v>
      </c>
      <c r="F53" s="1595">
        <v>13117.035</v>
      </c>
      <c r="G53" s="1595">
        <v>13685.736999999999</v>
      </c>
      <c r="H53" s="1595">
        <v>14332.992</v>
      </c>
      <c r="I53" s="1595">
        <v>18035.595000000001</v>
      </c>
      <c r="J53" s="1595">
        <v>12357.619000000001</v>
      </c>
      <c r="K53" s="1595">
        <v>7063.8850000000002</v>
      </c>
    </row>
    <row r="54" spans="1:11">
      <c r="A54" s="1424"/>
      <c r="B54" s="1424"/>
      <c r="C54" s="1424"/>
      <c r="D54" s="1424"/>
      <c r="E54" s="1424"/>
      <c r="F54" s="1424"/>
      <c r="G54" s="1424"/>
      <c r="H54" s="1424"/>
      <c r="I54" s="1424"/>
      <c r="J54" s="1424"/>
      <c r="K54" s="1424"/>
    </row>
  </sheetData>
  <pageMargins left="0.75" right="0.75" top="1" bottom="1" header="0.5" footer="0.5"/>
  <customProperties>
    <customPr name="_pios_id" r:id="rId1"/>
  </customPropertie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rgb="FF92D050"/>
  </sheetPr>
  <dimension ref="A1:I54"/>
  <sheetViews>
    <sheetView workbookViewId="0">
      <pane ySplit="8" topLeftCell="A9" activePane="bottomLeft" state="frozen"/>
      <selection sqref="A1:XFD1048576"/>
      <selection pane="bottomLeft" sqref="A1:XFD1048576"/>
    </sheetView>
  </sheetViews>
  <sheetFormatPr defaultColWidth="11.625" defaultRowHeight="11.25"/>
  <cols>
    <col min="1" max="1" width="4.25" style="761" bestFit="1" customWidth="1"/>
    <col min="2" max="2" width="38.125" style="761" bestFit="1" customWidth="1"/>
    <col min="3" max="4" width="8.875" style="761" bestFit="1" customWidth="1"/>
    <col min="5" max="5" width="13" style="761" customWidth="1"/>
    <col min="6" max="6" width="13.625" style="761" bestFit="1" customWidth="1"/>
    <col min="7" max="7" width="16.75" style="761" bestFit="1" customWidth="1"/>
    <col min="8" max="8" width="4.625" style="761" bestFit="1" customWidth="1"/>
    <col min="9" max="9" width="17.625" style="761" customWidth="1"/>
    <col min="10" max="16384" width="11.625" style="761"/>
  </cols>
  <sheetData>
    <row r="1" spans="1:8">
      <c r="A1" s="1512" t="s">
        <v>4977</v>
      </c>
      <c r="B1" s="1512"/>
    </row>
    <row r="2" spans="1:8">
      <c r="A2" s="1512" t="s">
        <v>6778</v>
      </c>
      <c r="B2" s="1512"/>
    </row>
    <row r="3" spans="1:8">
      <c r="A3" s="1557"/>
    </row>
    <row r="5" spans="1:8" ht="12.75" customHeight="1">
      <c r="A5" s="1558" t="s">
        <v>6538</v>
      </c>
      <c r="B5" s="1559"/>
      <c r="C5" s="1559"/>
      <c r="D5" s="1559"/>
      <c r="E5" s="1729" t="s">
        <v>6539</v>
      </c>
      <c r="F5" s="1730"/>
      <c r="G5" s="1731"/>
    </row>
    <row r="6" spans="1:8" ht="23.25" customHeight="1">
      <c r="A6" s="1563" t="s">
        <v>6540</v>
      </c>
      <c r="B6" s="1564"/>
      <c r="C6" s="1596"/>
      <c r="D6" s="1596"/>
      <c r="E6" s="4154" t="s">
        <v>6541</v>
      </c>
      <c r="F6" s="4155"/>
      <c r="G6" s="4156"/>
    </row>
    <row r="7" spans="1:8" ht="25.5" customHeight="1">
      <c r="A7" s="1568" t="s">
        <v>5177</v>
      </c>
      <c r="B7" s="1597" t="s">
        <v>5560</v>
      </c>
      <c r="C7" s="1598" t="s">
        <v>6542</v>
      </c>
      <c r="D7" s="1599" t="s">
        <v>6600</v>
      </c>
      <c r="E7" s="1728" t="s">
        <v>6601</v>
      </c>
      <c r="F7" s="1632" t="s">
        <v>6602</v>
      </c>
      <c r="G7" s="1632" t="s">
        <v>6603</v>
      </c>
      <c r="H7" s="1600" t="s">
        <v>6542</v>
      </c>
    </row>
    <row r="8" spans="1:8">
      <c r="A8" s="1573"/>
      <c r="B8" s="1601" t="s">
        <v>4989</v>
      </c>
      <c r="C8" s="1598" t="s">
        <v>4990</v>
      </c>
      <c r="D8" s="1599"/>
      <c r="E8" s="1602" t="s">
        <v>4991</v>
      </c>
      <c r="F8" s="1575" t="s">
        <v>4992</v>
      </c>
      <c r="G8" s="1575" t="s">
        <v>5181</v>
      </c>
      <c r="H8" s="1603" t="s">
        <v>5182</v>
      </c>
    </row>
    <row r="9" spans="1:8" ht="12.75" customHeight="1">
      <c r="A9" s="1578" t="s">
        <v>6544</v>
      </c>
      <c r="B9" s="1582" t="s">
        <v>755</v>
      </c>
      <c r="C9" s="3021" t="s">
        <v>6600</v>
      </c>
      <c r="D9" s="1599"/>
      <c r="E9" s="2989" t="s">
        <v>6604</v>
      </c>
      <c r="F9" s="2990" t="s">
        <v>6605</v>
      </c>
      <c r="G9" s="2990" t="s">
        <v>6606</v>
      </c>
      <c r="H9" s="1604"/>
    </row>
    <row r="10" spans="1:8" ht="12.75" customHeight="1">
      <c r="A10" s="1581">
        <v>1</v>
      </c>
      <c r="B10" s="1605" t="s">
        <v>6549</v>
      </c>
      <c r="C10" s="1606" t="s">
        <v>6597</v>
      </c>
      <c r="D10" s="1607"/>
      <c r="E10" s="1583" t="s">
        <v>6607</v>
      </c>
      <c r="F10" s="1582" t="s">
        <v>6607</v>
      </c>
      <c r="G10" s="1582" t="s">
        <v>6607</v>
      </c>
      <c r="H10" s="1608"/>
    </row>
    <row r="11" spans="1:8" ht="12.75" customHeight="1">
      <c r="A11" s="1581">
        <v>2</v>
      </c>
      <c r="B11" s="1605" t="s">
        <v>6551</v>
      </c>
      <c r="C11" s="1606" t="s">
        <v>6553</v>
      </c>
      <c r="D11" s="1607"/>
      <c r="E11" s="1583" t="s">
        <v>6553</v>
      </c>
      <c r="F11" s="1582" t="s">
        <v>6553</v>
      </c>
      <c r="G11" s="1582" t="s">
        <v>6553</v>
      </c>
      <c r="H11" s="1608"/>
    </row>
    <row r="12" spans="1:8">
      <c r="A12" s="1581">
        <v>3</v>
      </c>
      <c r="B12" s="1605" t="s">
        <v>759</v>
      </c>
      <c r="C12" s="3022" t="s">
        <v>6608</v>
      </c>
      <c r="D12" s="1610"/>
      <c r="E12" s="2991" t="s">
        <v>6609</v>
      </c>
      <c r="F12" s="2992" t="s">
        <v>6610</v>
      </c>
      <c r="G12" s="2992" t="s">
        <v>6611</v>
      </c>
      <c r="H12" s="1608"/>
    </row>
    <row r="13" spans="1:8">
      <c r="A13" s="1407">
        <v>4</v>
      </c>
      <c r="B13" s="1605" t="s">
        <v>760</v>
      </c>
      <c r="C13" s="1609" t="s">
        <v>6608</v>
      </c>
      <c r="D13" s="1610"/>
      <c r="E13" s="2991" t="s">
        <v>6612</v>
      </c>
      <c r="F13" s="2992" t="s">
        <v>6613</v>
      </c>
      <c r="G13" s="2992" t="s">
        <v>6611</v>
      </c>
      <c r="H13" s="1608"/>
    </row>
    <row r="14" spans="1:8">
      <c r="A14" s="1407">
        <v>5</v>
      </c>
      <c r="B14" s="1605" t="s">
        <v>6560</v>
      </c>
      <c r="C14" s="1611">
        <v>107</v>
      </c>
      <c r="D14" s="1612"/>
      <c r="E14" s="2993">
        <v>273</v>
      </c>
      <c r="F14" s="2994">
        <v>157</v>
      </c>
      <c r="G14" s="2994">
        <v>343</v>
      </c>
      <c r="H14" s="1608"/>
    </row>
    <row r="15" spans="1:8">
      <c r="A15" s="1407">
        <v>6</v>
      </c>
      <c r="B15" s="1605" t="s">
        <v>6561</v>
      </c>
      <c r="C15" s="1611">
        <v>117.8</v>
      </c>
      <c r="D15" s="1612"/>
      <c r="E15" s="2993">
        <v>261.39999999999998</v>
      </c>
      <c r="F15" s="2994">
        <v>152.19999999999999</v>
      </c>
      <c r="G15" s="2994">
        <v>338.6</v>
      </c>
      <c r="H15" s="1608"/>
    </row>
    <row r="16" spans="1:8">
      <c r="A16" s="1407">
        <v>7</v>
      </c>
      <c r="B16" s="1605" t="s">
        <v>6562</v>
      </c>
      <c r="C16" s="1613">
        <v>3277</v>
      </c>
      <c r="D16" s="1614"/>
      <c r="E16" s="2995">
        <v>8435</v>
      </c>
      <c r="F16" s="2996">
        <v>8658</v>
      </c>
      <c r="G16" s="2996">
        <v>7913</v>
      </c>
      <c r="H16" s="1608"/>
    </row>
    <row r="17" spans="1:8">
      <c r="A17" s="1407">
        <v>8</v>
      </c>
      <c r="B17" s="1605" t="s">
        <v>6563</v>
      </c>
      <c r="C17" s="1613"/>
      <c r="D17" s="1614"/>
      <c r="E17" s="1615"/>
      <c r="F17" s="1587"/>
      <c r="G17" s="1587"/>
      <c r="H17" s="1608"/>
    </row>
    <row r="18" spans="1:8">
      <c r="A18" s="1407">
        <v>9</v>
      </c>
      <c r="B18" s="1605" t="s">
        <v>6564</v>
      </c>
      <c r="C18" s="1613">
        <v>107</v>
      </c>
      <c r="D18" s="1614"/>
      <c r="E18" s="1615"/>
      <c r="F18" s="1587"/>
      <c r="G18" s="1587"/>
      <c r="H18" s="1608"/>
    </row>
    <row r="19" spans="1:8">
      <c r="A19" s="1407">
        <v>10</v>
      </c>
      <c r="B19" s="1605" t="s">
        <v>6565</v>
      </c>
      <c r="C19" s="1613">
        <v>0</v>
      </c>
      <c r="D19" s="1614"/>
      <c r="E19" s="1615"/>
      <c r="F19" s="1587"/>
      <c r="G19" s="1587"/>
      <c r="H19" s="1608"/>
    </row>
    <row r="20" spans="1:8">
      <c r="A20" s="1407">
        <v>11</v>
      </c>
      <c r="B20" s="1605" t="s">
        <v>765</v>
      </c>
      <c r="C20" s="1613">
        <v>4</v>
      </c>
      <c r="D20" s="1614"/>
      <c r="E20" s="2997">
        <v>11</v>
      </c>
      <c r="F20" s="2996">
        <v>6</v>
      </c>
      <c r="G20" s="2996">
        <v>5</v>
      </c>
      <c r="H20" s="1608"/>
    </row>
    <row r="21" spans="1:8">
      <c r="A21" s="1407">
        <v>12</v>
      </c>
      <c r="B21" s="1605" t="s">
        <v>6566</v>
      </c>
      <c r="C21" s="3023">
        <v>287933100</v>
      </c>
      <c r="D21" s="1617"/>
      <c r="E21" s="2998">
        <v>525311808</v>
      </c>
      <c r="F21" s="2999">
        <v>328736818</v>
      </c>
      <c r="G21" s="3000">
        <v>711413417</v>
      </c>
      <c r="H21" s="1608"/>
    </row>
    <row r="22" spans="1:8">
      <c r="A22" s="1407">
        <v>13</v>
      </c>
      <c r="B22" s="1605" t="s">
        <v>767</v>
      </c>
      <c r="C22" s="1616"/>
      <c r="D22" s="1617"/>
      <c r="E22" s="3001">
        <v>8131854</v>
      </c>
      <c r="F22" s="3000"/>
      <c r="G22" s="3000">
        <v>203682</v>
      </c>
      <c r="H22" s="1608"/>
    </row>
    <row r="23" spans="1:8">
      <c r="A23" s="1407">
        <v>14</v>
      </c>
      <c r="B23" s="1605" t="s">
        <v>126</v>
      </c>
      <c r="C23" s="1616">
        <v>1610745</v>
      </c>
      <c r="D23" s="1617"/>
      <c r="E23" s="2999">
        <v>14993617</v>
      </c>
      <c r="F23" s="3000">
        <v>3351299</v>
      </c>
      <c r="G23" s="3000">
        <v>31393624</v>
      </c>
      <c r="H23" s="1608"/>
    </row>
    <row r="24" spans="1:8">
      <c r="A24" s="1407">
        <v>15</v>
      </c>
      <c r="B24" s="1605" t="s">
        <v>768</v>
      </c>
      <c r="C24" s="1616">
        <v>64409492</v>
      </c>
      <c r="D24" s="1617"/>
      <c r="E24" s="3002">
        <v>409038243</v>
      </c>
      <c r="F24" s="3000">
        <v>170993459</v>
      </c>
      <c r="G24" s="3000">
        <v>648549937</v>
      </c>
      <c r="H24" s="1608"/>
    </row>
    <row r="25" spans="1:8">
      <c r="A25" s="1407">
        <v>16</v>
      </c>
      <c r="B25" s="1605" t="s">
        <v>769</v>
      </c>
      <c r="C25" s="1616"/>
      <c r="D25" s="1617"/>
      <c r="E25" s="3001">
        <v>22037384</v>
      </c>
      <c r="F25" s="3000">
        <v>12455466</v>
      </c>
      <c r="G25" s="3000">
        <v>17350201</v>
      </c>
      <c r="H25" s="1608"/>
    </row>
    <row r="26" spans="1:8">
      <c r="A26" s="1407">
        <v>17</v>
      </c>
      <c r="B26" s="1605" t="s">
        <v>51</v>
      </c>
      <c r="C26" s="1616">
        <v>66020237</v>
      </c>
      <c r="D26" s="1617"/>
      <c r="E26" s="2999">
        <v>454201098</v>
      </c>
      <c r="F26" s="3000">
        <v>186800224</v>
      </c>
      <c r="G26" s="3000">
        <v>697497444</v>
      </c>
      <c r="H26" s="1608"/>
    </row>
    <row r="27" spans="1:8">
      <c r="A27" s="1407">
        <v>18</v>
      </c>
      <c r="B27" s="1605" t="s">
        <v>6567</v>
      </c>
      <c r="C27" s="1616">
        <v>617.01156074766357</v>
      </c>
      <c r="D27" s="1617"/>
      <c r="E27" s="2999">
        <v>1663.7402857142856</v>
      </c>
      <c r="F27" s="3000">
        <v>1189.8103439490446</v>
      </c>
      <c r="G27" s="3000">
        <v>2033.5202448979594</v>
      </c>
      <c r="H27" s="1608"/>
    </row>
    <row r="28" spans="1:8">
      <c r="A28" s="1407">
        <v>19</v>
      </c>
      <c r="B28" s="1605" t="s">
        <v>772</v>
      </c>
      <c r="C28" s="3023">
        <v>43945</v>
      </c>
      <c r="D28" s="1617"/>
      <c r="E28" s="2999">
        <v>431371</v>
      </c>
      <c r="F28" s="3000">
        <v>360716</v>
      </c>
      <c r="G28" s="3000">
        <v>422569</v>
      </c>
      <c r="H28" s="1608"/>
    </row>
    <row r="29" spans="1:8">
      <c r="A29" s="1407">
        <v>20</v>
      </c>
      <c r="B29" s="1605" t="s">
        <v>558</v>
      </c>
      <c r="C29" s="3023">
        <v>12824299</v>
      </c>
      <c r="D29" s="1617"/>
      <c r="E29" s="1618"/>
      <c r="F29" s="1588"/>
      <c r="G29" s="1588"/>
      <c r="H29" s="1608"/>
    </row>
    <row r="30" spans="1:8">
      <c r="A30" s="1407">
        <v>21</v>
      </c>
      <c r="B30" s="1605" t="s">
        <v>6568</v>
      </c>
      <c r="C30" s="3023"/>
      <c r="D30" s="1617"/>
      <c r="E30" s="1618"/>
      <c r="F30" s="1588"/>
      <c r="G30" s="1588"/>
      <c r="H30" s="1608"/>
    </row>
    <row r="31" spans="1:8">
      <c r="A31" s="1407">
        <v>22</v>
      </c>
      <c r="B31" s="1605" t="s">
        <v>6569</v>
      </c>
      <c r="C31" s="3023"/>
      <c r="D31" s="1617"/>
      <c r="E31" s="1618"/>
      <c r="F31" s="1588"/>
      <c r="G31" s="1588"/>
      <c r="H31" s="1608"/>
    </row>
    <row r="32" spans="1:8">
      <c r="A32" s="1407">
        <v>23</v>
      </c>
      <c r="B32" s="1605" t="s">
        <v>6570</v>
      </c>
      <c r="C32" s="3023"/>
      <c r="D32" s="1617"/>
      <c r="E32" s="1618"/>
      <c r="F32" s="1588"/>
      <c r="G32" s="1588"/>
      <c r="H32" s="1608"/>
    </row>
    <row r="33" spans="1:9">
      <c r="A33" s="1407">
        <v>24</v>
      </c>
      <c r="B33" s="1605" t="s">
        <v>6571</v>
      </c>
      <c r="C33" s="3023"/>
      <c r="D33" s="1617"/>
      <c r="E33" s="1618"/>
      <c r="F33" s="1588"/>
      <c r="G33" s="1588"/>
      <c r="H33" s="1608"/>
    </row>
    <row r="34" spans="1:9">
      <c r="A34" s="1407">
        <v>25</v>
      </c>
      <c r="B34" s="1605" t="s">
        <v>773</v>
      </c>
      <c r="C34" s="3023">
        <v>8073</v>
      </c>
      <c r="D34" s="1617"/>
      <c r="E34" s="2999">
        <v>666250</v>
      </c>
      <c r="F34" s="3000">
        <v>635832</v>
      </c>
      <c r="G34" s="3000">
        <v>883200</v>
      </c>
      <c r="H34" s="1608"/>
    </row>
    <row r="35" spans="1:9">
      <c r="A35" s="1407">
        <v>26</v>
      </c>
      <c r="B35" s="1605" t="s">
        <v>6572</v>
      </c>
      <c r="C35" s="3023"/>
      <c r="D35" s="1617"/>
      <c r="E35" s="1618"/>
      <c r="F35" s="1588"/>
      <c r="G35" s="1588"/>
      <c r="H35" s="1608"/>
    </row>
    <row r="36" spans="1:9">
      <c r="A36" s="1407">
        <v>27</v>
      </c>
      <c r="B36" s="1605" t="s">
        <v>491</v>
      </c>
      <c r="C36" s="3023"/>
      <c r="D36" s="1617"/>
      <c r="E36" s="2999">
        <v>2386603.62</v>
      </c>
      <c r="F36" s="3000">
        <v>832160.29</v>
      </c>
      <c r="G36" s="3000">
        <v>3589340.25</v>
      </c>
      <c r="H36" s="1608"/>
    </row>
    <row r="37" spans="1:9">
      <c r="A37" s="1407">
        <v>28</v>
      </c>
      <c r="B37" s="1605" t="s">
        <v>775</v>
      </c>
      <c r="C37" s="3023"/>
      <c r="D37" s="1617"/>
      <c r="E37" s="2999"/>
      <c r="F37" s="3000"/>
      <c r="G37" s="3000"/>
      <c r="H37" s="1608"/>
    </row>
    <row r="38" spans="1:9">
      <c r="A38" s="1407">
        <v>29</v>
      </c>
      <c r="B38" s="1605" t="s">
        <v>776</v>
      </c>
      <c r="C38" s="3023">
        <v>6171</v>
      </c>
      <c r="D38" s="1617"/>
      <c r="E38" s="2999">
        <v>129525</v>
      </c>
      <c r="F38" s="3000">
        <v>108691</v>
      </c>
      <c r="G38" s="3000">
        <v>79306</v>
      </c>
      <c r="H38" s="1608"/>
    </row>
    <row r="39" spans="1:9">
      <c r="A39" s="1407">
        <v>30</v>
      </c>
      <c r="B39" s="1605" t="s">
        <v>777</v>
      </c>
      <c r="C39" s="3023"/>
      <c r="D39" s="1617"/>
      <c r="E39" s="2999">
        <v>23153</v>
      </c>
      <c r="F39" s="3000">
        <v>46924</v>
      </c>
      <c r="G39" s="3000">
        <v>86090</v>
      </c>
      <c r="H39" s="1608"/>
    </row>
    <row r="40" spans="1:9">
      <c r="A40" s="1407">
        <v>31</v>
      </c>
      <c r="B40" s="1605" t="s">
        <v>6573</v>
      </c>
      <c r="C40" s="3023"/>
      <c r="D40" s="1617"/>
      <c r="E40" s="1618"/>
      <c r="F40" s="1588"/>
      <c r="G40" s="1588"/>
      <c r="H40" s="1608"/>
    </row>
    <row r="41" spans="1:9">
      <c r="A41" s="1407">
        <v>32</v>
      </c>
      <c r="B41" s="1605" t="s">
        <v>6574</v>
      </c>
      <c r="C41" s="3023">
        <v>191451</v>
      </c>
      <c r="D41" s="1617"/>
      <c r="E41" s="2999">
        <v>7441286</v>
      </c>
      <c r="F41" s="3000">
        <v>4389103</v>
      </c>
      <c r="G41" s="3000">
        <v>1044706</v>
      </c>
      <c r="H41" s="1608"/>
    </row>
    <row r="42" spans="1:9">
      <c r="A42" s="1407">
        <v>33</v>
      </c>
      <c r="B42" s="1605" t="s">
        <v>6575</v>
      </c>
      <c r="C42" s="3023"/>
      <c r="D42" s="1617"/>
      <c r="E42" s="1618"/>
      <c r="F42" s="1588"/>
      <c r="G42" s="1588"/>
      <c r="H42" s="1608"/>
    </row>
    <row r="43" spans="1:9">
      <c r="A43" s="1407">
        <v>34</v>
      </c>
      <c r="B43" s="1605" t="s">
        <v>6576</v>
      </c>
      <c r="C43" s="1619">
        <v>13073939</v>
      </c>
      <c r="D43" s="1620"/>
      <c r="E43" s="3003">
        <v>11078188.620000001</v>
      </c>
      <c r="F43" s="3004">
        <v>6373426.29</v>
      </c>
      <c r="G43" s="3004">
        <v>6105211.25</v>
      </c>
      <c r="H43" s="1621">
        <f>SUM(H28:H42)</f>
        <v>0</v>
      </c>
    </row>
    <row r="44" spans="1:9">
      <c r="A44" s="1407">
        <v>35</v>
      </c>
      <c r="B44" s="1605" t="s">
        <v>6577</v>
      </c>
      <c r="C44" s="1622">
        <v>4.5406169002452305E-2</v>
      </c>
      <c r="D44" s="1623"/>
      <c r="E44" s="3005">
        <v>2.1088786605002414E-2</v>
      </c>
      <c r="F44" s="3006">
        <v>1.9387625422595652E-2</v>
      </c>
      <c r="G44" s="3006">
        <v>8.5818050434660273E-3</v>
      </c>
      <c r="H44" s="1608"/>
    </row>
    <row r="45" spans="1:9">
      <c r="A45" s="1407">
        <v>36</v>
      </c>
      <c r="B45" s="1405" t="s">
        <v>6578</v>
      </c>
      <c r="C45" s="1624" t="s">
        <v>894</v>
      </c>
      <c r="D45" s="1624" t="s">
        <v>6580</v>
      </c>
      <c r="E45" s="1405"/>
      <c r="F45" s="1405"/>
      <c r="G45" s="1406"/>
      <c r="H45" s="1625"/>
      <c r="I45" s="1403"/>
    </row>
    <row r="46" spans="1:9">
      <c r="A46" s="1407">
        <v>37</v>
      </c>
      <c r="B46" s="1405" t="s">
        <v>6581</v>
      </c>
      <c r="C46" s="1406" t="s">
        <v>6583</v>
      </c>
      <c r="D46" s="1406" t="s">
        <v>6584</v>
      </c>
      <c r="E46" s="1405"/>
      <c r="F46" s="1405"/>
      <c r="G46" s="1406"/>
      <c r="H46" s="1624"/>
      <c r="I46" s="1402"/>
    </row>
    <row r="47" spans="1:9">
      <c r="A47" s="1407">
        <v>38</v>
      </c>
      <c r="B47" s="1405" t="s">
        <v>6585</v>
      </c>
      <c r="C47" s="1581">
        <v>2578902</v>
      </c>
      <c r="D47" s="1581">
        <v>2923</v>
      </c>
      <c r="E47" s="1412"/>
      <c r="F47" s="1412"/>
      <c r="G47" s="1412"/>
      <c r="H47" s="1412"/>
    </row>
    <row r="48" spans="1:9">
      <c r="A48" s="1407">
        <v>39</v>
      </c>
      <c r="B48" s="1405" t="s">
        <v>6586</v>
      </c>
      <c r="C48" s="1581">
        <v>1100497</v>
      </c>
      <c r="D48" s="1581">
        <v>137025</v>
      </c>
      <c r="E48" s="1412"/>
      <c r="F48" s="1412"/>
      <c r="G48" s="1412"/>
      <c r="H48" s="1412"/>
    </row>
    <row r="49" spans="1:8">
      <c r="A49" s="1407">
        <v>40</v>
      </c>
      <c r="B49" s="1405" t="s">
        <v>6587</v>
      </c>
      <c r="C49" s="1594">
        <v>4.8319999999999999</v>
      </c>
      <c r="D49" s="1594">
        <v>155.33799999999999</v>
      </c>
      <c r="E49" s="1412"/>
      <c r="F49" s="1412"/>
      <c r="G49" s="1412"/>
      <c r="H49" s="1412"/>
    </row>
    <row r="50" spans="1:8">
      <c r="A50" s="1407">
        <v>41</v>
      </c>
      <c r="B50" s="1405" t="s">
        <v>6588</v>
      </c>
      <c r="C50" s="1594">
        <v>4.8319999999999999</v>
      </c>
      <c r="D50" s="1594">
        <v>124.51300000000001</v>
      </c>
      <c r="E50" s="1412"/>
      <c r="F50" s="1412"/>
      <c r="G50" s="1412"/>
      <c r="H50" s="1412"/>
    </row>
    <row r="51" spans="1:8">
      <c r="A51" s="1407">
        <v>42</v>
      </c>
      <c r="B51" s="1405" t="s">
        <v>6589</v>
      </c>
      <c r="C51" s="1594">
        <v>4.3899999999999997</v>
      </c>
      <c r="D51" s="1594">
        <v>21.635000000000002</v>
      </c>
      <c r="E51" s="1412"/>
      <c r="F51" s="1412"/>
      <c r="G51" s="1412"/>
      <c r="H51" s="1412"/>
    </row>
    <row r="52" spans="1:8">
      <c r="A52" s="1407">
        <v>43</v>
      </c>
      <c r="B52" s="1405" t="s">
        <v>6590</v>
      </c>
      <c r="C52" s="1594">
        <v>4.3999999999999997E-2</v>
      </c>
      <c r="D52" s="1594">
        <v>0.19600000000000001</v>
      </c>
      <c r="E52" s="1412"/>
      <c r="F52" s="1412"/>
      <c r="G52" s="1412"/>
      <c r="H52" s="1412"/>
    </row>
    <row r="53" spans="1:8">
      <c r="A53" s="1407">
        <v>44</v>
      </c>
      <c r="B53" s="1405" t="s">
        <v>6591</v>
      </c>
      <c r="C53" s="1595">
        <v>9920.8089999999993</v>
      </c>
      <c r="D53" s="1595">
        <v>9041.7139999999999</v>
      </c>
      <c r="E53" s="1412"/>
      <c r="F53" s="1412"/>
      <c r="G53" s="1412"/>
      <c r="H53" s="1412"/>
    </row>
    <row r="54" spans="1:8">
      <c r="A54" s="1424"/>
      <c r="B54" s="1424"/>
      <c r="C54" s="1424"/>
      <c r="D54" s="1424"/>
      <c r="E54" s="1424"/>
      <c r="F54" s="1424"/>
      <c r="G54" s="1424"/>
    </row>
  </sheetData>
  <mergeCells count="1">
    <mergeCell ref="E6:G6"/>
  </mergeCells>
  <pageMargins left="0.75" right="0.75" top="1" bottom="1" header="0.5" footer="0.5"/>
  <pageSetup orientation="portrait" horizontalDpi="360" verticalDpi="360" r:id="rId1"/>
  <customProperties>
    <customPr name="_pios_id" r:id="rId2"/>
  </customPropertie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rgb="FF92D050"/>
  </sheetPr>
  <dimension ref="A1:H46"/>
  <sheetViews>
    <sheetView workbookViewId="0">
      <pane ySplit="7" topLeftCell="A8" activePane="bottomLeft" state="frozen"/>
      <selection sqref="A1:XFD1048576"/>
      <selection pane="bottomLeft" sqref="A1:XFD1048576"/>
    </sheetView>
  </sheetViews>
  <sheetFormatPr defaultColWidth="11.625" defaultRowHeight="11.25"/>
  <cols>
    <col min="1" max="1" width="4.25" style="761" bestFit="1" customWidth="1"/>
    <col min="2" max="2" width="32.375" style="761" bestFit="1" customWidth="1"/>
    <col min="3" max="4" width="17.125" style="761" bestFit="1" customWidth="1"/>
    <col min="5" max="5" width="18.875" style="761" customWidth="1"/>
    <col min="6" max="7" width="17.125" style="761" bestFit="1" customWidth="1"/>
    <col min="8" max="23" width="17.625" style="761" customWidth="1"/>
    <col min="24" max="16384" width="11.625" style="761"/>
  </cols>
  <sheetData>
    <row r="1" spans="1:8">
      <c r="A1" s="507" t="s">
        <v>4977</v>
      </c>
      <c r="B1" s="507"/>
    </row>
    <row r="2" spans="1:8">
      <c r="A2" s="507" t="s">
        <v>6778</v>
      </c>
      <c r="B2" s="507"/>
    </row>
    <row r="4" spans="1:8" ht="12.75" customHeight="1">
      <c r="A4" s="1626" t="s">
        <v>6614</v>
      </c>
      <c r="B4" s="1627"/>
      <c r="C4" s="1627"/>
      <c r="D4" s="1627"/>
      <c r="E4" s="4157" t="s">
        <v>6615</v>
      </c>
      <c r="F4" s="4158"/>
      <c r="G4" s="4159"/>
      <c r="H4" s="1402"/>
    </row>
    <row r="5" spans="1:8" ht="12.75" customHeight="1">
      <c r="A5" s="1628" t="s">
        <v>5177</v>
      </c>
      <c r="B5" s="1350" t="s">
        <v>5560</v>
      </c>
      <c r="C5" s="1569" t="s">
        <v>6616</v>
      </c>
      <c r="D5" s="1569" t="s">
        <v>6616</v>
      </c>
      <c r="E5" s="1570" t="s">
        <v>6616</v>
      </c>
      <c r="F5" s="1570" t="s">
        <v>6616</v>
      </c>
      <c r="G5" s="1570" t="s">
        <v>6616</v>
      </c>
      <c r="H5" s="1402"/>
    </row>
    <row r="6" spans="1:8">
      <c r="A6" s="1629"/>
      <c r="B6" s="1630"/>
      <c r="C6" s="1631" t="s">
        <v>6617</v>
      </c>
      <c r="D6" s="1631" t="s">
        <v>6617</v>
      </c>
      <c r="E6" s="1632" t="s">
        <v>6617</v>
      </c>
      <c r="F6" s="1632" t="s">
        <v>6617</v>
      </c>
      <c r="G6" s="1632" t="s">
        <v>6617</v>
      </c>
      <c r="H6" s="1402"/>
    </row>
    <row r="7" spans="1:8">
      <c r="A7" s="1633"/>
      <c r="B7" s="1351" t="s">
        <v>4989</v>
      </c>
      <c r="C7" s="1574" t="s">
        <v>4990</v>
      </c>
      <c r="D7" s="1574" t="s">
        <v>4991</v>
      </c>
      <c r="E7" s="1575" t="s">
        <v>4992</v>
      </c>
      <c r="F7" s="1575" t="s">
        <v>5181</v>
      </c>
      <c r="G7" s="1575" t="s">
        <v>5182</v>
      </c>
      <c r="H7" s="1402"/>
    </row>
    <row r="8" spans="1:8">
      <c r="A8" s="1413" t="s">
        <v>6544</v>
      </c>
      <c r="B8" s="1406" t="s">
        <v>6616</v>
      </c>
      <c r="C8" s="1582"/>
      <c r="D8" s="1582"/>
      <c r="E8" s="1582"/>
      <c r="F8" s="1582"/>
      <c r="G8" s="1582"/>
      <c r="H8" s="1402"/>
    </row>
    <row r="9" spans="1:8">
      <c r="A9" s="1413" t="s">
        <v>6618</v>
      </c>
      <c r="B9" s="1406" t="s">
        <v>755</v>
      </c>
      <c r="C9" s="1582" t="s">
        <v>6619</v>
      </c>
      <c r="D9" s="1582" t="s">
        <v>6620</v>
      </c>
      <c r="E9" s="1582" t="s">
        <v>6621</v>
      </c>
      <c r="F9" s="1582"/>
      <c r="G9" s="1582"/>
      <c r="H9" s="1402"/>
    </row>
    <row r="10" spans="1:8">
      <c r="A10" s="1413" t="s">
        <v>6622</v>
      </c>
      <c r="B10" s="1406" t="s">
        <v>6623</v>
      </c>
      <c r="C10" s="1582" t="s">
        <v>6624</v>
      </c>
      <c r="D10" s="1582" t="s">
        <v>6620</v>
      </c>
      <c r="E10" s="1582" t="s">
        <v>6625</v>
      </c>
      <c r="F10" s="1582"/>
      <c r="G10" s="1582"/>
      <c r="H10" s="1402"/>
    </row>
    <row r="11" spans="1:8">
      <c r="A11" s="1413">
        <v>1</v>
      </c>
      <c r="B11" s="1405" t="s">
        <v>6626</v>
      </c>
      <c r="C11" s="1406" t="s">
        <v>6627</v>
      </c>
      <c r="D11" s="1406" t="s">
        <v>6627</v>
      </c>
      <c r="E11" s="1406" t="s">
        <v>6628</v>
      </c>
      <c r="F11" s="1406"/>
      <c r="G11" s="1406"/>
      <c r="H11" s="1402"/>
    </row>
    <row r="12" spans="1:8">
      <c r="A12" s="1413">
        <v>2</v>
      </c>
      <c r="B12" s="1405" t="s">
        <v>6629</v>
      </c>
      <c r="C12" s="1406" t="s">
        <v>6630</v>
      </c>
      <c r="D12" s="1406" t="s">
        <v>6630</v>
      </c>
      <c r="E12" s="1406" t="s">
        <v>6630</v>
      </c>
      <c r="F12" s="1406"/>
      <c r="G12" s="1406"/>
      <c r="H12" s="1402"/>
    </row>
    <row r="13" spans="1:8">
      <c r="A13" s="1413">
        <v>3</v>
      </c>
      <c r="B13" s="1405" t="s">
        <v>759</v>
      </c>
      <c r="C13" s="1423">
        <v>1925</v>
      </c>
      <c r="D13" s="1423">
        <v>1959</v>
      </c>
      <c r="E13" s="1423">
        <v>1898</v>
      </c>
      <c r="F13" s="1406"/>
      <c r="G13" s="1406"/>
      <c r="H13" s="1402"/>
    </row>
    <row r="14" spans="1:8">
      <c r="A14" s="1413">
        <v>4</v>
      </c>
      <c r="B14" s="1405" t="s">
        <v>760</v>
      </c>
      <c r="C14" s="1423">
        <v>2013</v>
      </c>
      <c r="D14" s="1423">
        <v>1959</v>
      </c>
      <c r="E14" s="1423">
        <v>2013</v>
      </c>
      <c r="F14" s="1406"/>
      <c r="G14" s="1406"/>
      <c r="H14" s="1402"/>
    </row>
    <row r="15" spans="1:8">
      <c r="A15" s="1413">
        <v>5</v>
      </c>
      <c r="B15" s="1405" t="s">
        <v>6631</v>
      </c>
      <c r="C15" s="1634">
        <v>105</v>
      </c>
      <c r="D15" s="1634">
        <v>104</v>
      </c>
      <c r="E15" s="1634">
        <v>54</v>
      </c>
      <c r="F15" s="1406"/>
      <c r="G15" s="1406"/>
      <c r="H15" s="1402"/>
    </row>
    <row r="16" spans="1:8">
      <c r="A16" s="1413">
        <v>6</v>
      </c>
      <c r="B16" s="1405" t="s">
        <v>6632</v>
      </c>
      <c r="C16" s="1635">
        <v>101.7</v>
      </c>
      <c r="D16" s="1635">
        <v>109.9</v>
      </c>
      <c r="E16" s="1635">
        <v>47.2</v>
      </c>
      <c r="F16" s="1406"/>
      <c r="G16" s="1406"/>
      <c r="H16" s="1402"/>
    </row>
    <row r="17" spans="1:8">
      <c r="A17" s="1413">
        <v>7</v>
      </c>
      <c r="B17" s="1405" t="s">
        <v>6633</v>
      </c>
      <c r="C17" s="1635">
        <v>8731</v>
      </c>
      <c r="D17" s="1635">
        <v>4248</v>
      </c>
      <c r="E17" s="1635">
        <v>8729</v>
      </c>
      <c r="F17" s="1406"/>
      <c r="G17" s="1406"/>
      <c r="H17" s="1402"/>
    </row>
    <row r="18" spans="1:8">
      <c r="A18" s="1413">
        <v>8</v>
      </c>
      <c r="B18" s="1405" t="s">
        <v>6634</v>
      </c>
      <c r="C18" s="1636"/>
      <c r="D18" s="1637"/>
      <c r="E18" s="1636"/>
      <c r="F18" s="1637"/>
      <c r="G18" s="1637"/>
      <c r="H18" s="1402"/>
    </row>
    <row r="19" spans="1:8">
      <c r="A19" s="1413">
        <v>9</v>
      </c>
      <c r="B19" s="1405" t="s">
        <v>6635</v>
      </c>
      <c r="C19" s="1635">
        <v>118</v>
      </c>
      <c r="D19" s="1635">
        <v>110</v>
      </c>
      <c r="E19" s="1635">
        <v>50</v>
      </c>
      <c r="F19" s="1582"/>
      <c r="G19" s="1406"/>
      <c r="H19" s="1402"/>
    </row>
    <row r="20" spans="1:8">
      <c r="A20" s="1413">
        <v>10</v>
      </c>
      <c r="B20" s="1405" t="s">
        <v>6636</v>
      </c>
      <c r="C20" s="1635">
        <v>83</v>
      </c>
      <c r="D20" s="1635">
        <v>90</v>
      </c>
      <c r="E20" s="1635">
        <v>50</v>
      </c>
      <c r="F20" s="1406"/>
      <c r="G20" s="1406"/>
      <c r="H20" s="1402"/>
    </row>
    <row r="21" spans="1:8">
      <c r="A21" s="1413">
        <v>11</v>
      </c>
      <c r="B21" s="1405" t="s">
        <v>765</v>
      </c>
      <c r="C21" s="1635">
        <v>18</v>
      </c>
      <c r="D21" s="1635">
        <v>18</v>
      </c>
      <c r="E21" s="1635">
        <v>16</v>
      </c>
      <c r="F21" s="1406"/>
      <c r="G21" s="1406"/>
      <c r="H21" s="1402"/>
    </row>
    <row r="22" spans="1:8">
      <c r="A22" s="1413">
        <v>12</v>
      </c>
      <c r="B22" s="1405" t="s">
        <v>6637</v>
      </c>
      <c r="C22" s="1635">
        <v>262829900</v>
      </c>
      <c r="D22" s="1635">
        <v>270839200</v>
      </c>
      <c r="E22" s="1635">
        <v>166238000</v>
      </c>
      <c r="F22" s="1406"/>
      <c r="G22" s="1406"/>
      <c r="H22" s="1402"/>
    </row>
    <row r="23" spans="1:8">
      <c r="A23" s="1413">
        <v>13</v>
      </c>
      <c r="B23" s="1405" t="s">
        <v>6638</v>
      </c>
      <c r="C23" s="1636"/>
      <c r="D23" s="1637"/>
      <c r="E23" s="1636"/>
      <c r="F23" s="1637"/>
      <c r="G23" s="1637"/>
      <c r="H23" s="1402"/>
    </row>
    <row r="24" spans="1:8">
      <c r="A24" s="1413">
        <v>14</v>
      </c>
      <c r="B24" s="1405" t="s">
        <v>125</v>
      </c>
      <c r="C24" s="1635">
        <v>8732638</v>
      </c>
      <c r="D24" s="1635">
        <v>2001428</v>
      </c>
      <c r="E24" s="1635">
        <v>554102</v>
      </c>
      <c r="F24" s="1406"/>
      <c r="G24" s="1406"/>
      <c r="H24" s="1402"/>
    </row>
    <row r="25" spans="1:8">
      <c r="A25" s="1413">
        <v>15</v>
      </c>
      <c r="B25" s="1405" t="s">
        <v>126</v>
      </c>
      <c r="C25" s="1635">
        <v>46451999</v>
      </c>
      <c r="D25" s="1635">
        <v>16754414</v>
      </c>
      <c r="E25" s="1635">
        <v>116213959</v>
      </c>
      <c r="F25" s="1406"/>
      <c r="G25" s="1406"/>
      <c r="H25" s="1402"/>
    </row>
    <row r="26" spans="1:8">
      <c r="A26" s="1413">
        <v>16</v>
      </c>
      <c r="B26" s="1405" t="s">
        <v>6639</v>
      </c>
      <c r="C26" s="1635">
        <v>124251051</v>
      </c>
      <c r="D26" s="1635">
        <v>141336153</v>
      </c>
      <c r="E26" s="1635">
        <v>115733203</v>
      </c>
      <c r="F26" s="1406"/>
      <c r="G26" s="1406"/>
      <c r="H26" s="1402"/>
    </row>
    <row r="27" spans="1:8">
      <c r="A27" s="1413">
        <v>17</v>
      </c>
      <c r="B27" s="1405" t="s">
        <v>768</v>
      </c>
      <c r="C27" s="1635">
        <v>67599951</v>
      </c>
      <c r="D27" s="1635">
        <v>36528280</v>
      </c>
      <c r="E27" s="1635">
        <v>107720699</v>
      </c>
      <c r="F27" s="1406"/>
      <c r="G27" s="1406"/>
      <c r="H27" s="1402"/>
    </row>
    <row r="28" spans="1:8">
      <c r="A28" s="1413">
        <v>18</v>
      </c>
      <c r="B28" s="1405" t="s">
        <v>6640</v>
      </c>
      <c r="C28" s="1635">
        <v>1588316</v>
      </c>
      <c r="D28" s="1635">
        <v>2648182</v>
      </c>
      <c r="E28" s="1635">
        <v>808565</v>
      </c>
      <c r="F28" s="1406"/>
      <c r="G28" s="1406"/>
      <c r="H28" s="1402"/>
    </row>
    <row r="29" spans="1:8">
      <c r="A29" s="1413">
        <v>19</v>
      </c>
      <c r="B29" s="1405" t="s">
        <v>769</v>
      </c>
      <c r="C29" s="1406"/>
      <c r="D29" s="1406"/>
      <c r="E29" s="1406"/>
      <c r="F29" s="1406"/>
      <c r="G29" s="1406"/>
      <c r="H29" s="1402"/>
    </row>
    <row r="30" spans="1:8">
      <c r="A30" s="1413">
        <v>20</v>
      </c>
      <c r="B30" s="1405" t="s">
        <v>6641</v>
      </c>
      <c r="C30" s="1638">
        <v>248623955</v>
      </c>
      <c r="D30" s="1638">
        <v>199268457</v>
      </c>
      <c r="E30" s="1638">
        <v>341030528</v>
      </c>
      <c r="F30" s="1639">
        <f>SUM(F24:F29)</f>
        <v>0</v>
      </c>
      <c r="G30" s="1639">
        <f>SUM(G24:G29)</f>
        <v>0</v>
      </c>
      <c r="H30" s="1402"/>
    </row>
    <row r="31" spans="1:8">
      <c r="A31" s="1413">
        <v>21</v>
      </c>
      <c r="B31" s="1405" t="s">
        <v>6642</v>
      </c>
      <c r="C31" s="1640">
        <v>2367.8471904761905</v>
      </c>
      <c r="D31" s="1640">
        <v>1916.0428557692308</v>
      </c>
      <c r="E31" s="1640">
        <v>6315.3801481481487</v>
      </c>
      <c r="F31" s="1641" t="str">
        <f>IFERROR(F30/F15/1000,"")</f>
        <v/>
      </c>
      <c r="G31" s="1641" t="str">
        <f>IFERROR(G30/G15/1000,"")</f>
        <v/>
      </c>
      <c r="H31" s="1402"/>
    </row>
    <row r="32" spans="1:8">
      <c r="A32" s="1413">
        <v>22</v>
      </c>
      <c r="B32" s="1405" t="s">
        <v>6643</v>
      </c>
      <c r="C32" s="1636"/>
      <c r="D32" s="1637"/>
      <c r="E32" s="1636"/>
      <c r="F32" s="1637"/>
      <c r="G32" s="1637"/>
      <c r="H32" s="1402"/>
    </row>
    <row r="33" spans="1:8">
      <c r="A33" s="1413">
        <v>23</v>
      </c>
      <c r="B33" s="1405" t="s">
        <v>6644</v>
      </c>
      <c r="C33" s="1635">
        <v>665869.75</v>
      </c>
      <c r="D33" s="1635">
        <v>697900.05</v>
      </c>
      <c r="E33" s="1588">
        <v>340868.86</v>
      </c>
      <c r="F33" s="1406"/>
      <c r="G33" s="1406"/>
      <c r="H33" s="1402"/>
    </row>
    <row r="34" spans="1:8">
      <c r="A34" s="1413">
        <v>24</v>
      </c>
      <c r="B34" s="1405" t="s">
        <v>6645</v>
      </c>
      <c r="C34" s="1406"/>
      <c r="D34" s="1406"/>
      <c r="E34" s="1582"/>
      <c r="F34" s="1406"/>
      <c r="G34" s="1406"/>
      <c r="H34" s="1402"/>
    </row>
    <row r="35" spans="1:8">
      <c r="A35" s="1413">
        <v>25</v>
      </c>
      <c r="B35" s="1405" t="s">
        <v>6646</v>
      </c>
      <c r="C35" s="1635">
        <v>1680071.06</v>
      </c>
      <c r="D35" s="1635">
        <v>2007147.04</v>
      </c>
      <c r="E35" s="1588">
        <v>492403.64</v>
      </c>
      <c r="F35" s="1406"/>
      <c r="G35" s="1406"/>
      <c r="H35" s="1402"/>
    </row>
    <row r="36" spans="1:8">
      <c r="A36" s="1413">
        <v>26</v>
      </c>
      <c r="B36" s="1405" t="s">
        <v>773</v>
      </c>
      <c r="C36" s="1406"/>
      <c r="D36" s="1406"/>
      <c r="E36" s="1588">
        <v>341918.17</v>
      </c>
      <c r="F36" s="1406"/>
      <c r="G36" s="1406"/>
      <c r="H36" s="1402"/>
    </row>
    <row r="37" spans="1:8">
      <c r="A37" s="1413">
        <v>27</v>
      </c>
      <c r="B37" s="1405" t="s">
        <v>6647</v>
      </c>
      <c r="C37" s="1635">
        <v>-1101527.81</v>
      </c>
      <c r="D37" s="1635">
        <v>542761.01</v>
      </c>
      <c r="E37" s="1588">
        <v>995726.99</v>
      </c>
      <c r="F37" s="1406"/>
      <c r="G37" s="1406"/>
      <c r="H37" s="1402"/>
    </row>
    <row r="38" spans="1:8">
      <c r="A38" s="1413">
        <v>28</v>
      </c>
      <c r="B38" s="1405" t="s">
        <v>491</v>
      </c>
      <c r="C38" s="1406"/>
      <c r="D38" s="1406"/>
      <c r="E38" s="1582"/>
      <c r="F38" s="1406"/>
      <c r="G38" s="1406"/>
      <c r="H38" s="1402"/>
    </row>
    <row r="39" spans="1:8">
      <c r="A39" s="1413">
        <v>29</v>
      </c>
      <c r="B39" s="1405" t="s">
        <v>776</v>
      </c>
      <c r="C39" s="1635">
        <v>23017.91</v>
      </c>
      <c r="D39" s="1635">
        <v>23017.91</v>
      </c>
      <c r="E39" s="1588">
        <v>36104.839999999997</v>
      </c>
      <c r="F39" s="1406"/>
      <c r="G39" s="1406"/>
      <c r="H39" s="1402"/>
    </row>
    <row r="40" spans="1:8">
      <c r="A40" s="1413">
        <v>30</v>
      </c>
      <c r="B40" s="1405" t="s">
        <v>777</v>
      </c>
      <c r="C40" s="1635">
        <v>94686.47</v>
      </c>
      <c r="D40" s="1635">
        <v>234101.26</v>
      </c>
      <c r="E40" s="1588">
        <v>270816.21999999997</v>
      </c>
      <c r="F40" s="1406"/>
      <c r="G40" s="1406"/>
      <c r="H40" s="1402"/>
    </row>
    <row r="41" spans="1:8">
      <c r="A41" s="1413">
        <v>31</v>
      </c>
      <c r="B41" s="1405" t="s">
        <v>6648</v>
      </c>
      <c r="C41" s="1635">
        <v>55523.02</v>
      </c>
      <c r="D41" s="1635">
        <v>431337.82</v>
      </c>
      <c r="E41" s="1588">
        <v>258198.56</v>
      </c>
      <c r="F41" s="1406"/>
      <c r="G41" s="1406"/>
      <c r="H41" s="1402"/>
    </row>
    <row r="42" spans="1:8">
      <c r="A42" s="1413">
        <v>32</v>
      </c>
      <c r="B42" s="1405" t="s">
        <v>6574</v>
      </c>
      <c r="C42" s="1588">
        <v>161023.34</v>
      </c>
      <c r="D42" s="1588">
        <v>132869.26999999999</v>
      </c>
      <c r="E42" s="1588">
        <v>872324.9</v>
      </c>
      <c r="F42" s="1406"/>
      <c r="G42" s="1406"/>
      <c r="H42" s="1402"/>
    </row>
    <row r="43" spans="1:8">
      <c r="A43" s="1413">
        <v>33</v>
      </c>
      <c r="B43" s="1405" t="s">
        <v>6649</v>
      </c>
      <c r="C43" s="1635">
        <v>2632821.61</v>
      </c>
      <c r="D43" s="1635">
        <v>1245860.29</v>
      </c>
      <c r="E43" s="1588">
        <v>480084.27</v>
      </c>
      <c r="F43" s="1406"/>
      <c r="G43" s="1406"/>
      <c r="H43" s="1402"/>
    </row>
    <row r="44" spans="1:8">
      <c r="A44" s="1413">
        <v>34</v>
      </c>
      <c r="B44" s="1405" t="s">
        <v>6650</v>
      </c>
      <c r="C44" s="1638">
        <v>4211485.3499999996</v>
      </c>
      <c r="D44" s="1638">
        <v>5314994.6499999994</v>
      </c>
      <c r="E44" s="1638">
        <v>4088446.4499999997</v>
      </c>
      <c r="F44" s="1639">
        <f>SUM(F33:F43)</f>
        <v>0</v>
      </c>
      <c r="G44" s="1639">
        <f>SUM(G33:G43)</f>
        <v>0</v>
      </c>
      <c r="H44" s="1402"/>
    </row>
    <row r="45" spans="1:8">
      <c r="A45" s="1413">
        <v>35</v>
      </c>
      <c r="B45" s="1405" t="s">
        <v>6651</v>
      </c>
      <c r="C45" s="1642">
        <v>1.6023615844316039E-2</v>
      </c>
      <c r="D45" s="1643">
        <v>1.9624170541044279E-2</v>
      </c>
      <c r="E45" s="1643">
        <v>2.4593934299017069E-2</v>
      </c>
      <c r="F45" s="1406"/>
      <c r="G45" s="1406"/>
      <c r="H45" s="1402"/>
    </row>
    <row r="46" spans="1:8">
      <c r="A46" s="1424"/>
      <c r="B46" s="1424"/>
      <c r="C46" s="1424"/>
      <c r="D46" s="1424"/>
      <c r="E46" s="1424"/>
      <c r="F46" s="1424"/>
      <c r="G46" s="1424"/>
    </row>
  </sheetData>
  <mergeCells count="1">
    <mergeCell ref="E4:G4"/>
  </mergeCells>
  <pageMargins left="0.75" right="0.75" top="1" bottom="1" header="0.5" footer="0.5"/>
  <customProperties>
    <customPr name="_pios_id" r:id="rId1"/>
  </customPropertie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92D050"/>
  </sheetPr>
  <dimension ref="A1:N58"/>
  <sheetViews>
    <sheetView workbookViewId="0">
      <pane ySplit="11" topLeftCell="A12" activePane="bottomLeft" state="frozen"/>
      <selection sqref="A1:XFD1048576"/>
      <selection pane="bottomLeft" sqref="A1:XFD1048576"/>
    </sheetView>
  </sheetViews>
  <sheetFormatPr defaultColWidth="11.625" defaultRowHeight="11.25"/>
  <cols>
    <col min="1" max="1" width="3.375" style="1149" bestFit="1" customWidth="1"/>
    <col min="2" max="2" width="15.875" style="1149" bestFit="1" customWidth="1"/>
    <col min="3" max="3" width="4.75" style="1149" bestFit="1" customWidth="1"/>
    <col min="4" max="4" width="11.625" style="1149" bestFit="1" customWidth="1"/>
    <col min="5" max="5" width="6.125" style="1149" bestFit="1" customWidth="1"/>
    <col min="6" max="6" width="9.875" style="1149" bestFit="1" customWidth="1"/>
    <col min="7" max="7" width="8.5" style="1149" bestFit="1" customWidth="1"/>
    <col min="8" max="8" width="14.25" style="1149" bestFit="1" customWidth="1"/>
    <col min="9" max="9" width="6.875" style="1149" bestFit="1" customWidth="1"/>
    <col min="10" max="10" width="4.25" style="1149" bestFit="1" customWidth="1"/>
    <col min="11" max="11" width="8.5" style="1149" bestFit="1" customWidth="1"/>
    <col min="12" max="12" width="8" style="1149" bestFit="1" customWidth="1"/>
    <col min="13" max="13" width="13" style="1149" bestFit="1" customWidth="1"/>
    <col min="14" max="14" width="10.875" style="1149" bestFit="1" customWidth="1"/>
    <col min="15" max="16384" width="11.625" style="1149"/>
  </cols>
  <sheetData>
    <row r="1" spans="1:14">
      <c r="A1" s="507" t="s">
        <v>4977</v>
      </c>
      <c r="B1" s="507"/>
    </row>
    <row r="2" spans="1:14">
      <c r="A2" s="507" t="s">
        <v>6778</v>
      </c>
      <c r="B2" s="507"/>
    </row>
    <row r="3" spans="1:14">
      <c r="A3" s="1197"/>
    </row>
    <row r="4" spans="1:14">
      <c r="A4" s="1197"/>
    </row>
    <row r="6" spans="1:14">
      <c r="A6" s="3982" t="s">
        <v>6652</v>
      </c>
      <c r="B6" s="3982"/>
      <c r="C6" s="3982"/>
      <c r="D6" s="3982"/>
      <c r="E6" s="3982"/>
      <c r="F6" s="3982"/>
      <c r="G6" s="3982"/>
      <c r="H6" s="3983" t="s">
        <v>6653</v>
      </c>
      <c r="I6" s="3983"/>
      <c r="J6" s="3983"/>
      <c r="K6" s="3983"/>
      <c r="L6" s="3983"/>
      <c r="M6" s="3983"/>
      <c r="N6" s="3983"/>
    </row>
    <row r="7" spans="1:14">
      <c r="A7" s="3984" t="s">
        <v>6654</v>
      </c>
      <c r="B7" s="3985"/>
      <c r="C7" s="3985"/>
      <c r="D7" s="3985"/>
      <c r="E7" s="3985"/>
      <c r="F7" s="3985"/>
      <c r="G7" s="3986"/>
      <c r="H7" s="3987" t="s">
        <v>6655</v>
      </c>
      <c r="I7" s="3988"/>
      <c r="J7" s="3988"/>
      <c r="K7" s="3988"/>
      <c r="L7" s="3988"/>
      <c r="M7" s="3988"/>
      <c r="N7" s="3989"/>
    </row>
    <row r="8" spans="1:14">
      <c r="A8" s="3990" t="s">
        <v>6656</v>
      </c>
      <c r="B8" s="4004"/>
      <c r="C8" s="4004"/>
      <c r="D8" s="4004"/>
      <c r="E8" s="4004"/>
      <c r="F8" s="4004"/>
      <c r="G8" s="4005"/>
      <c r="H8" s="4160" t="s">
        <v>6657</v>
      </c>
      <c r="I8" s="4161"/>
      <c r="J8" s="4161"/>
      <c r="K8" s="4161"/>
      <c r="L8" s="4161"/>
      <c r="M8" s="4161"/>
      <c r="N8" s="4162"/>
    </row>
    <row r="9" spans="1:14">
      <c r="A9" s="4011" t="s">
        <v>5177</v>
      </c>
      <c r="B9" s="3963" t="s">
        <v>6658</v>
      </c>
      <c r="C9" s="3963" t="s">
        <v>6659</v>
      </c>
      <c r="D9" s="3963" t="s">
        <v>6660</v>
      </c>
      <c r="E9" s="3963" t="s">
        <v>6661</v>
      </c>
      <c r="F9" s="3963" t="s">
        <v>6662</v>
      </c>
      <c r="G9" s="3963" t="s">
        <v>6638</v>
      </c>
      <c r="H9" s="4121" t="s">
        <v>6663</v>
      </c>
      <c r="I9" s="4121" t="s">
        <v>6664</v>
      </c>
      <c r="J9" s="3970" t="s">
        <v>6643</v>
      </c>
      <c r="K9" s="3972"/>
      <c r="L9" s="4121" t="s">
        <v>6665</v>
      </c>
      <c r="M9" s="4121" t="s">
        <v>6666</v>
      </c>
      <c r="N9" s="4121" t="s">
        <v>6667</v>
      </c>
    </row>
    <row r="10" spans="1:14">
      <c r="A10" s="4060"/>
      <c r="B10" s="4045"/>
      <c r="C10" s="4045"/>
      <c r="D10" s="4045"/>
      <c r="E10" s="4045"/>
      <c r="F10" s="4045"/>
      <c r="G10" s="4045"/>
      <c r="H10" s="4122"/>
      <c r="I10" s="4122"/>
      <c r="J10" s="1227" t="s">
        <v>558</v>
      </c>
      <c r="K10" s="1227" t="s">
        <v>437</v>
      </c>
      <c r="L10" s="4122"/>
      <c r="M10" s="4122"/>
      <c r="N10" s="4122"/>
    </row>
    <row r="11" spans="1:14">
      <c r="A11" s="4012"/>
      <c r="B11" s="1202" t="s">
        <v>4989</v>
      </c>
      <c r="C11" s="1202" t="s">
        <v>4990</v>
      </c>
      <c r="D11" s="1202" t="s">
        <v>4991</v>
      </c>
      <c r="E11" s="1202" t="s">
        <v>4992</v>
      </c>
      <c r="F11" s="1202" t="s">
        <v>5181</v>
      </c>
      <c r="G11" s="1202" t="s">
        <v>5182</v>
      </c>
      <c r="H11" s="1231" t="s">
        <v>5183</v>
      </c>
      <c r="I11" s="1231" t="s">
        <v>5184</v>
      </c>
      <c r="J11" s="1231" t="s">
        <v>5185</v>
      </c>
      <c r="K11" s="1231" t="s">
        <v>5186</v>
      </c>
      <c r="L11" s="1231" t="s">
        <v>5187</v>
      </c>
      <c r="M11" s="1231" t="s">
        <v>5188</v>
      </c>
      <c r="N11" s="1231" t="s">
        <v>5655</v>
      </c>
    </row>
    <row r="12" spans="1:14">
      <c r="A12" s="1644">
        <v>1</v>
      </c>
      <c r="B12" s="1157" t="s">
        <v>6668</v>
      </c>
      <c r="C12" s="1645"/>
      <c r="D12" s="1157"/>
      <c r="E12" s="1157"/>
      <c r="F12" s="1157"/>
      <c r="G12" s="1157"/>
      <c r="H12" s="1157"/>
      <c r="I12" s="1157"/>
      <c r="J12" s="1157"/>
      <c r="K12" s="1157"/>
      <c r="L12" s="1157"/>
      <c r="M12" s="1157"/>
      <c r="N12" s="1204"/>
    </row>
    <row r="13" spans="1:14" ht="22.5">
      <c r="A13" s="1644">
        <v>2</v>
      </c>
      <c r="B13" s="1157" t="s">
        <v>6669</v>
      </c>
      <c r="C13" s="1646" t="s">
        <v>6670</v>
      </c>
      <c r="D13" s="1647">
        <v>2.75</v>
      </c>
      <c r="E13" s="1648">
        <v>2.7</v>
      </c>
      <c r="F13" s="1168">
        <v>34180</v>
      </c>
      <c r="G13" s="1168">
        <v>2899911</v>
      </c>
      <c r="H13" s="1168">
        <v>1054513</v>
      </c>
      <c r="I13" s="1168">
        <v>62414</v>
      </c>
      <c r="J13" s="1168">
        <v>8861</v>
      </c>
      <c r="K13" s="1168">
        <v>185883</v>
      </c>
      <c r="L13" s="1157" t="s">
        <v>6671</v>
      </c>
      <c r="M13" s="1168">
        <v>3009</v>
      </c>
      <c r="N13" s="1204" t="s">
        <v>6672</v>
      </c>
    </row>
    <row r="14" spans="1:14">
      <c r="A14" s="1644">
        <v>3</v>
      </c>
      <c r="B14" s="1292"/>
      <c r="C14" s="1437"/>
      <c r="D14" s="1292"/>
      <c r="E14" s="1292"/>
      <c r="F14" s="1292"/>
      <c r="G14" s="1292"/>
      <c r="H14" s="1292"/>
      <c r="I14" s="1292"/>
      <c r="J14" s="1292"/>
      <c r="K14" s="1292"/>
      <c r="L14" s="1292"/>
      <c r="M14" s="1292"/>
      <c r="N14" s="1649"/>
    </row>
    <row r="15" spans="1:14">
      <c r="A15" s="1644">
        <v>4</v>
      </c>
      <c r="B15" s="1292"/>
      <c r="C15" s="1437"/>
      <c r="D15" s="1292"/>
      <c r="E15" s="1292"/>
      <c r="F15" s="1292"/>
      <c r="G15" s="1292"/>
      <c r="H15" s="1292"/>
      <c r="I15" s="1292"/>
      <c r="J15" s="1292"/>
      <c r="K15" s="1292"/>
      <c r="L15" s="1292"/>
      <c r="M15" s="1292"/>
      <c r="N15" s="1649"/>
    </row>
    <row r="16" spans="1:14">
      <c r="A16" s="1644">
        <v>5</v>
      </c>
      <c r="B16" s="1292"/>
      <c r="C16" s="1437"/>
      <c r="D16" s="1292"/>
      <c r="E16" s="1292"/>
      <c r="F16" s="1292"/>
      <c r="G16" s="1292"/>
      <c r="H16" s="1292"/>
      <c r="I16" s="1292"/>
      <c r="J16" s="1292"/>
      <c r="K16" s="1292"/>
      <c r="L16" s="1292"/>
      <c r="M16" s="1292"/>
      <c r="N16" s="1649"/>
    </row>
    <row r="17" spans="1:14">
      <c r="A17" s="1644">
        <v>6</v>
      </c>
      <c r="B17" s="1292"/>
      <c r="C17" s="1437"/>
      <c r="D17" s="1292"/>
      <c r="E17" s="1292"/>
      <c r="F17" s="1292"/>
      <c r="G17" s="1292"/>
      <c r="H17" s="1292"/>
      <c r="I17" s="1292"/>
      <c r="J17" s="1292"/>
      <c r="K17" s="1292"/>
      <c r="L17" s="1292"/>
      <c r="M17" s="1292"/>
      <c r="N17" s="1649"/>
    </row>
    <row r="18" spans="1:14">
      <c r="A18" s="1644">
        <v>7</v>
      </c>
      <c r="B18" s="1649"/>
      <c r="C18" s="1437"/>
      <c r="D18" s="1649"/>
      <c r="E18" s="1649"/>
      <c r="F18" s="1649"/>
      <c r="G18" s="1649"/>
      <c r="H18" s="1292"/>
      <c r="I18" s="1292"/>
      <c r="J18" s="1292"/>
      <c r="K18" s="1292"/>
      <c r="L18" s="1292"/>
      <c r="M18" s="1292"/>
      <c r="N18" s="1649"/>
    </row>
    <row r="19" spans="1:14">
      <c r="A19" s="1644">
        <v>8</v>
      </c>
      <c r="B19" s="1649"/>
      <c r="C19" s="1437"/>
      <c r="D19" s="1649"/>
      <c r="E19" s="1649"/>
      <c r="F19" s="1649"/>
      <c r="G19" s="1649"/>
      <c r="H19" s="1292"/>
      <c r="I19" s="1292"/>
      <c r="J19" s="1292"/>
      <c r="K19" s="1292"/>
      <c r="L19" s="1292"/>
      <c r="M19" s="1292"/>
      <c r="N19" s="1649"/>
    </row>
    <row r="20" spans="1:14">
      <c r="A20" s="1644">
        <v>9</v>
      </c>
      <c r="B20" s="1649"/>
      <c r="C20" s="1437"/>
      <c r="D20" s="1649"/>
      <c r="E20" s="1649"/>
      <c r="F20" s="1649"/>
      <c r="G20" s="1649"/>
      <c r="H20" s="1292"/>
      <c r="I20" s="1292"/>
      <c r="J20" s="1292"/>
      <c r="K20" s="1292"/>
      <c r="L20" s="1292"/>
      <c r="M20" s="1292"/>
      <c r="N20" s="1649"/>
    </row>
    <row r="21" spans="1:14">
      <c r="A21" s="1644">
        <v>10</v>
      </c>
      <c r="B21" s="1649"/>
      <c r="C21" s="1437"/>
      <c r="D21" s="1649"/>
      <c r="E21" s="1649"/>
      <c r="F21" s="1649"/>
      <c r="G21" s="1649"/>
      <c r="H21" s="1292"/>
      <c r="I21" s="1292"/>
      <c r="J21" s="1292"/>
      <c r="K21" s="1292"/>
      <c r="L21" s="1292"/>
      <c r="M21" s="1292"/>
      <c r="N21" s="1649"/>
    </row>
    <row r="22" spans="1:14">
      <c r="A22" s="1644">
        <v>11</v>
      </c>
      <c r="B22" s="1649"/>
      <c r="C22" s="1437"/>
      <c r="D22" s="1649"/>
      <c r="E22" s="1649"/>
      <c r="F22" s="1649"/>
      <c r="G22" s="1649"/>
      <c r="H22" s="1292"/>
      <c r="I22" s="1292"/>
      <c r="J22" s="1292"/>
      <c r="K22" s="1292"/>
      <c r="L22" s="1292"/>
      <c r="M22" s="1292"/>
      <c r="N22" s="1649"/>
    </row>
    <row r="23" spans="1:14">
      <c r="A23" s="1644">
        <v>12</v>
      </c>
      <c r="B23" s="1649"/>
      <c r="C23" s="1437"/>
      <c r="D23" s="1649"/>
      <c r="E23" s="1649"/>
      <c r="F23" s="1649"/>
      <c r="G23" s="1649"/>
      <c r="H23" s="1292"/>
      <c r="I23" s="1292"/>
      <c r="J23" s="1292"/>
      <c r="K23" s="1292"/>
      <c r="L23" s="1292"/>
      <c r="M23" s="1292"/>
      <c r="N23" s="1649"/>
    </row>
    <row r="24" spans="1:14">
      <c r="A24" s="1644">
        <v>13</v>
      </c>
      <c r="B24" s="1649"/>
      <c r="C24" s="1437"/>
      <c r="D24" s="1649"/>
      <c r="E24" s="1649"/>
      <c r="F24" s="1649"/>
      <c r="G24" s="1649"/>
      <c r="H24" s="1292"/>
      <c r="I24" s="1292"/>
      <c r="J24" s="1292"/>
      <c r="K24" s="1292"/>
      <c r="L24" s="1292"/>
      <c r="M24" s="1292"/>
      <c r="N24" s="1649"/>
    </row>
    <row r="25" spans="1:14">
      <c r="A25" s="1644">
        <v>14</v>
      </c>
      <c r="B25" s="1649"/>
      <c r="C25" s="1437"/>
      <c r="D25" s="1649"/>
      <c r="E25" s="1649"/>
      <c r="F25" s="1649"/>
      <c r="G25" s="1649"/>
      <c r="H25" s="1292"/>
      <c r="I25" s="1292"/>
      <c r="J25" s="1292"/>
      <c r="K25" s="1292"/>
      <c r="L25" s="1292"/>
      <c r="M25" s="1292"/>
      <c r="N25" s="1649"/>
    </row>
    <row r="26" spans="1:14">
      <c r="A26" s="1644">
        <v>15</v>
      </c>
      <c r="B26" s="1649"/>
      <c r="C26" s="1437"/>
      <c r="D26" s="1649"/>
      <c r="E26" s="1649"/>
      <c r="F26" s="1649"/>
      <c r="G26" s="1649"/>
      <c r="H26" s="1292"/>
      <c r="I26" s="1292"/>
      <c r="J26" s="1292"/>
      <c r="K26" s="1292"/>
      <c r="L26" s="1292"/>
      <c r="M26" s="1292"/>
      <c r="N26" s="1649"/>
    </row>
    <row r="27" spans="1:14">
      <c r="A27" s="1644">
        <v>16</v>
      </c>
      <c r="B27" s="1649"/>
      <c r="C27" s="1437"/>
      <c r="D27" s="1649"/>
      <c r="E27" s="1649"/>
      <c r="F27" s="1649"/>
      <c r="G27" s="1649"/>
      <c r="H27" s="1292"/>
      <c r="I27" s="1292"/>
      <c r="J27" s="1292"/>
      <c r="K27" s="1292"/>
      <c r="L27" s="1292"/>
      <c r="M27" s="1292"/>
      <c r="N27" s="1649"/>
    </row>
    <row r="28" spans="1:14">
      <c r="A28" s="1644">
        <v>17</v>
      </c>
      <c r="B28" s="1649"/>
      <c r="C28" s="1437"/>
      <c r="D28" s="1649"/>
      <c r="E28" s="1649"/>
      <c r="F28" s="1649"/>
      <c r="G28" s="1649"/>
      <c r="H28" s="1292"/>
      <c r="I28" s="1292"/>
      <c r="J28" s="1292"/>
      <c r="K28" s="1292"/>
      <c r="L28" s="1292"/>
      <c r="M28" s="1292"/>
      <c r="N28" s="1649"/>
    </row>
    <row r="29" spans="1:14">
      <c r="A29" s="1644">
        <v>18</v>
      </c>
      <c r="B29" s="1649"/>
      <c r="C29" s="1437"/>
      <c r="D29" s="1649"/>
      <c r="E29" s="1649"/>
      <c r="F29" s="1649"/>
      <c r="G29" s="1649"/>
      <c r="H29" s="1292"/>
      <c r="I29" s="1292"/>
      <c r="J29" s="1292"/>
      <c r="K29" s="1292"/>
      <c r="L29" s="1292"/>
      <c r="M29" s="1292"/>
      <c r="N29" s="1649"/>
    </row>
    <row r="30" spans="1:14">
      <c r="A30" s="1644">
        <v>19</v>
      </c>
      <c r="B30" s="1649"/>
      <c r="C30" s="1437"/>
      <c r="D30" s="1649"/>
      <c r="E30" s="1649"/>
      <c r="F30" s="1649"/>
      <c r="G30" s="1649"/>
      <c r="H30" s="1292"/>
      <c r="I30" s="1292"/>
      <c r="J30" s="1292"/>
      <c r="K30" s="1292"/>
      <c r="L30" s="1292"/>
      <c r="M30" s="1292"/>
      <c r="N30" s="1649"/>
    </row>
    <row r="31" spans="1:14">
      <c r="A31" s="1644">
        <v>20</v>
      </c>
      <c r="B31" s="1649"/>
      <c r="C31" s="1437"/>
      <c r="D31" s="1649"/>
      <c r="E31" s="1649"/>
      <c r="F31" s="1649"/>
      <c r="G31" s="1649"/>
      <c r="H31" s="1292"/>
      <c r="I31" s="1292"/>
      <c r="J31" s="1292"/>
      <c r="K31" s="1292"/>
      <c r="L31" s="1292"/>
      <c r="M31" s="1292"/>
      <c r="N31" s="1649"/>
    </row>
    <row r="32" spans="1:14">
      <c r="A32" s="1644">
        <v>21</v>
      </c>
      <c r="B32" s="1649"/>
      <c r="C32" s="1437"/>
      <c r="D32" s="1649"/>
      <c r="E32" s="1649"/>
      <c r="F32" s="1649"/>
      <c r="G32" s="1649"/>
      <c r="H32" s="1292"/>
      <c r="I32" s="1292"/>
      <c r="J32" s="1292"/>
      <c r="K32" s="1292"/>
      <c r="L32" s="1292"/>
      <c r="M32" s="1292"/>
      <c r="N32" s="1649"/>
    </row>
    <row r="33" spans="1:14">
      <c r="A33" s="1644">
        <v>22</v>
      </c>
      <c r="B33" s="1649"/>
      <c r="C33" s="1437"/>
      <c r="D33" s="1649"/>
      <c r="E33" s="1649"/>
      <c r="F33" s="1649"/>
      <c r="G33" s="1649"/>
      <c r="H33" s="1292"/>
      <c r="I33" s="1292"/>
      <c r="J33" s="1292"/>
      <c r="K33" s="1292"/>
      <c r="L33" s="1292"/>
      <c r="M33" s="1292"/>
      <c r="N33" s="1649"/>
    </row>
    <row r="34" spans="1:14">
      <c r="A34" s="1644">
        <v>23</v>
      </c>
      <c r="B34" s="1649"/>
      <c r="C34" s="1437"/>
      <c r="D34" s="1649"/>
      <c r="E34" s="1649"/>
      <c r="F34" s="1649"/>
      <c r="G34" s="1649"/>
      <c r="H34" s="1292"/>
      <c r="I34" s="1292"/>
      <c r="J34" s="1292"/>
      <c r="K34" s="1292"/>
      <c r="L34" s="1292"/>
      <c r="M34" s="1292"/>
      <c r="N34" s="1649"/>
    </row>
    <row r="35" spans="1:14">
      <c r="A35" s="1644">
        <v>24</v>
      </c>
      <c r="B35" s="1649"/>
      <c r="C35" s="1437"/>
      <c r="D35" s="1649"/>
      <c r="E35" s="1649"/>
      <c r="F35" s="1649"/>
      <c r="G35" s="1649"/>
      <c r="H35" s="1292"/>
      <c r="I35" s="1292"/>
      <c r="J35" s="1292"/>
      <c r="K35" s="1292"/>
      <c r="L35" s="1292"/>
      <c r="M35" s="1292"/>
      <c r="N35" s="1649"/>
    </row>
    <row r="36" spans="1:14">
      <c r="A36" s="1644">
        <v>25</v>
      </c>
      <c r="B36" s="1649"/>
      <c r="C36" s="1437"/>
      <c r="D36" s="1649"/>
      <c r="E36" s="1649"/>
      <c r="F36" s="1649"/>
      <c r="G36" s="1649"/>
      <c r="H36" s="1292"/>
      <c r="I36" s="1292"/>
      <c r="J36" s="1292"/>
      <c r="K36" s="1292"/>
      <c r="L36" s="1292"/>
      <c r="M36" s="1292"/>
      <c r="N36" s="1649"/>
    </row>
    <row r="37" spans="1:14">
      <c r="A37" s="1644">
        <v>26</v>
      </c>
      <c r="B37" s="1649"/>
      <c r="C37" s="1437"/>
      <c r="D37" s="1649"/>
      <c r="E37" s="1649"/>
      <c r="F37" s="1649"/>
      <c r="G37" s="1649"/>
      <c r="H37" s="1292"/>
      <c r="I37" s="1292"/>
      <c r="J37" s="1292"/>
      <c r="K37" s="1292"/>
      <c r="L37" s="1292"/>
      <c r="M37" s="1292"/>
      <c r="N37" s="1649"/>
    </row>
    <row r="38" spans="1:14">
      <c r="A38" s="1644">
        <v>27</v>
      </c>
      <c r="B38" s="1649"/>
      <c r="C38" s="1437"/>
      <c r="D38" s="1649"/>
      <c r="E38" s="1649"/>
      <c r="F38" s="1649"/>
      <c r="G38" s="1649"/>
      <c r="H38" s="1292"/>
      <c r="I38" s="1292"/>
      <c r="J38" s="1292"/>
      <c r="K38" s="1292"/>
      <c r="L38" s="1292"/>
      <c r="M38" s="1292"/>
      <c r="N38" s="1649"/>
    </row>
    <row r="39" spans="1:14">
      <c r="A39" s="1644">
        <v>28</v>
      </c>
      <c r="B39" s="1649"/>
      <c r="C39" s="1437"/>
      <c r="D39" s="1649"/>
      <c r="E39" s="1649"/>
      <c r="F39" s="1649"/>
      <c r="G39" s="1649"/>
      <c r="H39" s="1292"/>
      <c r="I39" s="1292"/>
      <c r="J39" s="1292"/>
      <c r="K39" s="1292"/>
      <c r="L39" s="1292"/>
      <c r="M39" s="1292"/>
      <c r="N39" s="1649"/>
    </row>
    <row r="40" spans="1:14">
      <c r="A40" s="1644">
        <v>29</v>
      </c>
      <c r="B40" s="1649"/>
      <c r="C40" s="1437"/>
      <c r="D40" s="1649"/>
      <c r="E40" s="1649"/>
      <c r="F40" s="1649"/>
      <c r="G40" s="1649"/>
      <c r="H40" s="1292"/>
      <c r="I40" s="1292"/>
      <c r="J40" s="1292"/>
      <c r="K40" s="1292"/>
      <c r="L40" s="1292"/>
      <c r="M40" s="1292"/>
      <c r="N40" s="1649"/>
    </row>
    <row r="41" spans="1:14">
      <c r="A41" s="1644">
        <v>30</v>
      </c>
      <c r="B41" s="1649"/>
      <c r="C41" s="1437"/>
      <c r="D41" s="1649"/>
      <c r="E41" s="1649"/>
      <c r="F41" s="1649"/>
      <c r="G41" s="1649"/>
      <c r="H41" s="1292"/>
      <c r="I41" s="1292"/>
      <c r="J41" s="1292"/>
      <c r="K41" s="1292"/>
      <c r="L41" s="1292"/>
      <c r="M41" s="1292"/>
      <c r="N41" s="1649"/>
    </row>
    <row r="42" spans="1:14">
      <c r="A42" s="1644">
        <v>31</v>
      </c>
      <c r="B42" s="1649"/>
      <c r="C42" s="1437"/>
      <c r="D42" s="1649"/>
      <c r="E42" s="1649"/>
      <c r="F42" s="1649"/>
      <c r="G42" s="1649"/>
      <c r="H42" s="1292"/>
      <c r="I42" s="1292"/>
      <c r="J42" s="1292"/>
      <c r="K42" s="1292"/>
      <c r="L42" s="1292"/>
      <c r="M42" s="1292"/>
      <c r="N42" s="1649"/>
    </row>
    <row r="43" spans="1:14">
      <c r="A43" s="1644">
        <v>32</v>
      </c>
      <c r="B43" s="1649"/>
      <c r="C43" s="1437"/>
      <c r="D43" s="1649"/>
      <c r="E43" s="1649"/>
      <c r="F43" s="1649"/>
      <c r="G43" s="1649"/>
      <c r="H43" s="1292"/>
      <c r="I43" s="1292"/>
      <c r="J43" s="1292"/>
      <c r="K43" s="1292"/>
      <c r="L43" s="1292"/>
      <c r="M43" s="1292"/>
      <c r="N43" s="1649"/>
    </row>
    <row r="44" spans="1:14">
      <c r="A44" s="1644">
        <v>33</v>
      </c>
      <c r="B44" s="1649"/>
      <c r="C44" s="1437"/>
      <c r="D44" s="1649"/>
      <c r="E44" s="1649"/>
      <c r="F44" s="1649"/>
      <c r="G44" s="1649"/>
      <c r="H44" s="1292"/>
      <c r="I44" s="1292"/>
      <c r="J44" s="1292"/>
      <c r="K44" s="1292"/>
      <c r="L44" s="1292"/>
      <c r="M44" s="1292"/>
      <c r="N44" s="1649"/>
    </row>
    <row r="45" spans="1:14">
      <c r="A45" s="1644">
        <v>34</v>
      </c>
      <c r="B45" s="1649"/>
      <c r="C45" s="1437"/>
      <c r="D45" s="1649"/>
      <c r="E45" s="1649"/>
      <c r="F45" s="1649"/>
      <c r="G45" s="1649"/>
      <c r="H45" s="1292"/>
      <c r="I45" s="1292"/>
      <c r="J45" s="1292"/>
      <c r="K45" s="1292"/>
      <c r="L45" s="1292"/>
      <c r="M45" s="1292"/>
      <c r="N45" s="1649"/>
    </row>
    <row r="46" spans="1:14">
      <c r="A46" s="1644">
        <v>35</v>
      </c>
      <c r="B46" s="1649"/>
      <c r="C46" s="1437"/>
      <c r="D46" s="1649"/>
      <c r="E46" s="1649"/>
      <c r="F46" s="1649"/>
      <c r="G46" s="1649"/>
      <c r="H46" s="1292"/>
      <c r="I46" s="1292"/>
      <c r="J46" s="1292"/>
      <c r="K46" s="1292"/>
      <c r="L46" s="1292"/>
      <c r="M46" s="1292"/>
      <c r="N46" s="1649"/>
    </row>
    <row r="47" spans="1:14">
      <c r="A47" s="1644">
        <v>36</v>
      </c>
      <c r="B47" s="1649"/>
      <c r="C47" s="1437"/>
      <c r="D47" s="1649"/>
      <c r="E47" s="1649"/>
      <c r="F47" s="1649"/>
      <c r="G47" s="1649"/>
      <c r="H47" s="1292"/>
      <c r="I47" s="1292"/>
      <c r="J47" s="1292"/>
      <c r="K47" s="1292"/>
      <c r="L47" s="1292"/>
      <c r="M47" s="1292"/>
      <c r="N47" s="1649"/>
    </row>
    <row r="48" spans="1:14">
      <c r="A48" s="1644">
        <v>37</v>
      </c>
      <c r="B48" s="1649"/>
      <c r="C48" s="1437"/>
      <c r="D48" s="1649"/>
      <c r="E48" s="1649"/>
      <c r="F48" s="1649"/>
      <c r="G48" s="1649"/>
      <c r="H48" s="1292"/>
      <c r="I48" s="1292"/>
      <c r="J48" s="1292"/>
      <c r="K48" s="1292"/>
      <c r="L48" s="1292"/>
      <c r="M48" s="1292"/>
      <c r="N48" s="1649"/>
    </row>
    <row r="49" spans="1:14">
      <c r="A49" s="1644">
        <v>38</v>
      </c>
      <c r="B49" s="1649"/>
      <c r="C49" s="1437"/>
      <c r="D49" s="1649"/>
      <c r="E49" s="1649"/>
      <c r="F49" s="1649"/>
      <c r="G49" s="1649"/>
      <c r="H49" s="1292"/>
      <c r="I49" s="1292"/>
      <c r="J49" s="1292"/>
      <c r="K49" s="1292"/>
      <c r="L49" s="1292"/>
      <c r="M49" s="1292"/>
      <c r="N49" s="1649"/>
    </row>
    <row r="50" spans="1:14">
      <c r="A50" s="1644">
        <v>39</v>
      </c>
      <c r="B50" s="1649"/>
      <c r="C50" s="1437"/>
      <c r="D50" s="1649"/>
      <c r="E50" s="1649"/>
      <c r="F50" s="1649"/>
      <c r="G50" s="1649"/>
      <c r="H50" s="1292"/>
      <c r="I50" s="1292"/>
      <c r="J50" s="1292"/>
      <c r="K50" s="1292"/>
      <c r="L50" s="1292"/>
      <c r="M50" s="1292"/>
      <c r="N50" s="1649"/>
    </row>
    <row r="51" spans="1:14">
      <c r="A51" s="1644">
        <v>40</v>
      </c>
      <c r="B51" s="1649"/>
      <c r="C51" s="1437"/>
      <c r="D51" s="1649"/>
      <c r="E51" s="1649"/>
      <c r="F51" s="1649"/>
      <c r="G51" s="1649"/>
      <c r="H51" s="1292"/>
      <c r="I51" s="1292"/>
      <c r="J51" s="1292"/>
      <c r="K51" s="1292"/>
      <c r="L51" s="1292"/>
      <c r="M51" s="1292"/>
      <c r="N51" s="1649"/>
    </row>
    <row r="52" spans="1:14">
      <c r="A52" s="1644">
        <v>41</v>
      </c>
      <c r="B52" s="1649"/>
      <c r="C52" s="1437"/>
      <c r="D52" s="1649"/>
      <c r="E52" s="1649"/>
      <c r="F52" s="1649"/>
      <c r="G52" s="1649"/>
      <c r="H52" s="1292"/>
      <c r="I52" s="1292"/>
      <c r="J52" s="1292"/>
      <c r="K52" s="1292"/>
      <c r="L52" s="1292"/>
      <c r="M52" s="1292"/>
      <c r="N52" s="1649"/>
    </row>
    <row r="53" spans="1:14">
      <c r="A53" s="1644">
        <v>42</v>
      </c>
      <c r="B53" s="1649"/>
      <c r="C53" s="1437"/>
      <c r="D53" s="1649"/>
      <c r="E53" s="1649"/>
      <c r="F53" s="1649"/>
      <c r="G53" s="1649"/>
      <c r="H53" s="1292"/>
      <c r="I53" s="1292"/>
      <c r="J53" s="1292"/>
      <c r="K53" s="1292"/>
      <c r="L53" s="1292"/>
      <c r="M53" s="1292"/>
      <c r="N53" s="1649"/>
    </row>
    <row r="54" spans="1:14">
      <c r="A54" s="1644">
        <v>43</v>
      </c>
      <c r="B54" s="1649"/>
      <c r="C54" s="1437"/>
      <c r="D54" s="1649"/>
      <c r="E54" s="1649"/>
      <c r="F54" s="1649"/>
      <c r="G54" s="1649"/>
      <c r="H54" s="1292"/>
      <c r="I54" s="1292"/>
      <c r="J54" s="1292"/>
      <c r="K54" s="1292"/>
      <c r="L54" s="1292"/>
      <c r="M54" s="1292"/>
      <c r="N54" s="1649"/>
    </row>
    <row r="55" spans="1:14">
      <c r="A55" s="1644">
        <v>44</v>
      </c>
      <c r="B55" s="1649"/>
      <c r="C55" s="1437"/>
      <c r="D55" s="1649"/>
      <c r="E55" s="1649"/>
      <c r="F55" s="1649"/>
      <c r="G55" s="1649"/>
      <c r="H55" s="1292"/>
      <c r="I55" s="1292"/>
      <c r="J55" s="1292"/>
      <c r="K55" s="1292"/>
      <c r="L55" s="1292"/>
      <c r="M55" s="1292"/>
      <c r="N55" s="1649"/>
    </row>
    <row r="56" spans="1:14">
      <c r="A56" s="1644">
        <v>45</v>
      </c>
      <c r="B56" s="1649"/>
      <c r="C56" s="1437"/>
      <c r="D56" s="1649"/>
      <c r="E56" s="1649"/>
      <c r="F56" s="1649"/>
      <c r="G56" s="1649"/>
      <c r="H56" s="1292"/>
      <c r="I56" s="1292"/>
      <c r="J56" s="1292"/>
      <c r="K56" s="1292"/>
      <c r="L56" s="1292"/>
      <c r="M56" s="1292"/>
      <c r="N56" s="1649"/>
    </row>
    <row r="57" spans="1:14">
      <c r="A57" s="1644">
        <v>46</v>
      </c>
      <c r="B57" s="1649"/>
      <c r="C57" s="1437"/>
      <c r="D57" s="1649"/>
      <c r="E57" s="1649"/>
      <c r="F57" s="1649"/>
      <c r="G57" s="1649"/>
      <c r="H57" s="1292"/>
      <c r="I57" s="1292"/>
      <c r="J57" s="1292"/>
      <c r="K57" s="1292"/>
      <c r="L57" s="1292"/>
      <c r="M57" s="1292"/>
      <c r="N57" s="1649"/>
    </row>
    <row r="58" spans="1:14">
      <c r="A58" s="1194"/>
      <c r="B58" s="1194"/>
      <c r="C58" s="1194"/>
      <c r="D58" s="1194"/>
      <c r="E58" s="1194"/>
      <c r="F58" s="1194"/>
      <c r="G58" s="1194"/>
      <c r="H58" s="1194"/>
      <c r="I58" s="1194"/>
      <c r="J58" s="1194"/>
      <c r="K58" s="1194"/>
      <c r="L58" s="1194"/>
      <c r="M58" s="1194"/>
      <c r="N58" s="1194"/>
    </row>
  </sheetData>
  <mergeCells count="19">
    <mergeCell ref="N9:N10"/>
    <mergeCell ref="G9:G10"/>
    <mergeCell ref="H9:H10"/>
    <mergeCell ref="A9:A11"/>
    <mergeCell ref="B9:B10"/>
    <mergeCell ref="C9:C10"/>
    <mergeCell ref="D9:D10"/>
    <mergeCell ref="E9:E10"/>
    <mergeCell ref="I9:I10"/>
    <mergeCell ref="J9:K9"/>
    <mergeCell ref="L9:L10"/>
    <mergeCell ref="M9:M10"/>
    <mergeCell ref="F9:F10"/>
    <mergeCell ref="A6:G6"/>
    <mergeCell ref="H6:N6"/>
    <mergeCell ref="A7:G7"/>
    <mergeCell ref="H7:N7"/>
    <mergeCell ref="A8:G8"/>
    <mergeCell ref="H8:N8"/>
  </mergeCells>
  <dataValidations count="1">
    <dataValidation type="list" allowBlank="1" sqref="N12:N13" xr:uid="{00000000-0002-0000-5100-000000000000}">
      <formula1>"Hydro,Nuclear,Steam,Internal Combustion,Gas Turbine,Solar,Wind,Other"</formula1>
    </dataValidation>
  </dataValidations>
  <pageMargins left="0.75" right="0.75" top="1" bottom="1" header="0.5" footer="0.5"/>
  <customProperties>
    <customPr name="_pios_id" r:id="rId1"/>
  </customPropertie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rgb="FF92D050"/>
  </sheetPr>
  <dimension ref="A1:AY358"/>
  <sheetViews>
    <sheetView workbookViewId="0">
      <pane ySplit="6" topLeftCell="A7" activePane="bottomLeft" state="frozen"/>
      <selection sqref="A1:XFD1048576"/>
      <selection pane="bottomLeft" sqref="A1:XFD1048576"/>
    </sheetView>
  </sheetViews>
  <sheetFormatPr defaultColWidth="7" defaultRowHeight="11.25"/>
  <cols>
    <col min="1" max="1" width="4.125" style="493" customWidth="1"/>
    <col min="2" max="2" width="4.625" style="493" bestFit="1" customWidth="1"/>
    <col min="3" max="3" width="6.875" style="493" bestFit="1" customWidth="1"/>
    <col min="4" max="4" width="1.375" style="493" customWidth="1"/>
    <col min="5" max="5" width="8.5" style="493" bestFit="1" customWidth="1"/>
    <col min="6" max="6" width="9.25" style="493" bestFit="1" customWidth="1"/>
    <col min="7" max="7" width="7.375" style="493" customWidth="1"/>
    <col min="8" max="8" width="8.125" style="493" bestFit="1" customWidth="1"/>
    <col min="9" max="9" width="5.5" style="493" bestFit="1" customWidth="1"/>
    <col min="10" max="10" width="11.125" style="493" bestFit="1" customWidth="1"/>
    <col min="11" max="11" width="6.875" style="493" bestFit="1" customWidth="1"/>
    <col min="12" max="12" width="8" style="493" bestFit="1" customWidth="1"/>
    <col min="13" max="13" width="11.125" style="493" bestFit="1" customWidth="1"/>
    <col min="14" max="14" width="16.875" style="493" bestFit="1" customWidth="1"/>
    <col min="15" max="15" width="7.625" style="493" bestFit="1" customWidth="1"/>
    <col min="16" max="16384" width="7" style="493"/>
  </cols>
  <sheetData>
    <row r="1" spans="1:51" s="507" customFormat="1">
      <c r="A1" s="1650" t="s">
        <v>8388</v>
      </c>
      <c r="B1" s="1650"/>
      <c r="C1" s="1650"/>
      <c r="D1" s="1650"/>
      <c r="E1" s="1650"/>
      <c r="F1" s="1650"/>
      <c r="G1" s="1651"/>
      <c r="H1" s="1651"/>
      <c r="I1" s="1651"/>
      <c r="J1" s="1651"/>
      <c r="K1" s="1651"/>
      <c r="L1" s="1651"/>
      <c r="M1" s="1651"/>
      <c r="N1" s="1651"/>
      <c r="O1" s="1651"/>
      <c r="P1" s="1651"/>
      <c r="Q1" s="1651"/>
      <c r="R1" s="1651"/>
      <c r="S1" s="1651"/>
      <c r="T1" s="1651"/>
      <c r="U1" s="1651"/>
      <c r="V1" s="1651"/>
      <c r="W1" s="1651"/>
      <c r="X1" s="1651"/>
      <c r="Y1" s="1651"/>
      <c r="Z1" s="1651"/>
      <c r="AA1" s="1651"/>
      <c r="AB1" s="1651"/>
    </row>
    <row r="2" spans="1:51" s="507" customFormat="1">
      <c r="A2" s="1650" t="s">
        <v>6673</v>
      </c>
      <c r="B2" s="1650"/>
      <c r="C2" s="1650"/>
      <c r="D2" s="1650"/>
      <c r="E2" s="1650"/>
      <c r="F2" s="1650"/>
      <c r="G2" s="1651"/>
      <c r="H2" s="1651"/>
      <c r="I2" s="1651"/>
      <c r="J2" s="1651"/>
      <c r="K2" s="1651"/>
      <c r="L2" s="1651"/>
      <c r="M2" s="1651"/>
      <c r="N2" s="1651"/>
      <c r="O2" s="1651"/>
      <c r="P2" s="1651"/>
      <c r="Q2" s="1651"/>
      <c r="R2" s="1651"/>
      <c r="S2" s="1651"/>
      <c r="T2" s="1651"/>
      <c r="U2" s="1651"/>
      <c r="V2" s="1651"/>
      <c r="W2" s="1651"/>
      <c r="X2" s="1651"/>
      <c r="Y2" s="1651"/>
      <c r="Z2" s="1651"/>
      <c r="AA2" s="1651"/>
      <c r="AB2" s="1651"/>
      <c r="AC2" s="1651"/>
      <c r="AD2" s="1651"/>
      <c r="AE2" s="1651"/>
      <c r="AF2" s="1651"/>
      <c r="AG2" s="1651"/>
      <c r="AH2" s="1651"/>
      <c r="AI2" s="1651"/>
      <c r="AJ2" s="1651"/>
      <c r="AK2" s="1651"/>
      <c r="AL2" s="1651"/>
      <c r="AM2" s="1651"/>
      <c r="AN2" s="1651"/>
      <c r="AO2" s="1651"/>
      <c r="AP2" s="1651"/>
      <c r="AQ2" s="1651"/>
      <c r="AR2" s="1651"/>
      <c r="AS2" s="1651"/>
      <c r="AT2" s="1651"/>
      <c r="AU2" s="1651"/>
      <c r="AV2" s="1651"/>
      <c r="AW2" s="1651"/>
      <c r="AX2" s="1651"/>
      <c r="AY2" s="1651"/>
    </row>
    <row r="3" spans="1:51" s="507" customFormat="1" ht="12" thickBot="1">
      <c r="A3" s="1652" t="s">
        <v>8389</v>
      </c>
      <c r="B3" s="1650"/>
      <c r="C3" s="1650"/>
      <c r="D3" s="1650"/>
      <c r="E3" s="1650"/>
      <c r="F3" s="1650"/>
      <c r="G3" s="1651"/>
      <c r="H3" s="1651"/>
      <c r="I3" s="1651"/>
      <c r="J3" s="1651"/>
      <c r="K3" s="1651"/>
      <c r="L3" s="1651"/>
      <c r="M3" s="1651"/>
      <c r="N3" s="1651"/>
      <c r="O3" s="1651"/>
      <c r="P3" s="1651"/>
      <c r="Q3" s="1651"/>
      <c r="R3" s="1651"/>
      <c r="S3" s="1651"/>
      <c r="T3" s="1651"/>
      <c r="U3" s="1651"/>
      <c r="V3" s="1651"/>
      <c r="W3" s="1651"/>
      <c r="X3" s="1651"/>
      <c r="Y3" s="1651"/>
      <c r="Z3" s="1651"/>
      <c r="AA3" s="1651"/>
      <c r="AB3" s="1651"/>
    </row>
    <row r="4" spans="1:51">
      <c r="A4" s="1653"/>
      <c r="B4" s="1653"/>
      <c r="C4" s="1653"/>
      <c r="D4" s="1653"/>
      <c r="E4" s="4163" t="s">
        <v>6674</v>
      </c>
      <c r="F4" s="4164"/>
      <c r="G4" s="4164"/>
      <c r="H4" s="4164"/>
      <c r="I4" s="4164"/>
      <c r="J4" s="4164"/>
      <c r="K4" s="4164"/>
      <c r="L4" s="4164"/>
      <c r="M4" s="4164"/>
      <c r="N4" s="4164"/>
      <c r="O4" s="4165"/>
      <c r="P4" s="1651"/>
      <c r="Q4" s="1653"/>
      <c r="R4" s="1653"/>
      <c r="S4" s="1653"/>
      <c r="T4" s="1653"/>
      <c r="U4" s="1653"/>
      <c r="V4" s="1653"/>
      <c r="W4" s="1653"/>
      <c r="X4" s="1653"/>
      <c r="Y4" s="1653"/>
      <c r="Z4" s="1653"/>
      <c r="AA4" s="1653"/>
    </row>
    <row r="5" spans="1:51">
      <c r="A5" s="1653" t="s">
        <v>377</v>
      </c>
      <c r="B5" s="1653" t="s">
        <v>6675</v>
      </c>
      <c r="C5" s="1653"/>
      <c r="D5" s="1653"/>
      <c r="E5" s="1654" t="s">
        <v>6676</v>
      </c>
      <c r="F5" s="1655" t="s">
        <v>6677</v>
      </c>
      <c r="G5" s="1655" t="s">
        <v>6678</v>
      </c>
      <c r="H5" s="1655" t="s">
        <v>6679</v>
      </c>
      <c r="I5" s="1655" t="s">
        <v>636</v>
      </c>
      <c r="J5" s="1655" t="s">
        <v>6680</v>
      </c>
      <c r="K5" s="1655" t="s">
        <v>6681</v>
      </c>
      <c r="L5" s="1655" t="s">
        <v>6682</v>
      </c>
      <c r="M5" s="1655" t="s">
        <v>6683</v>
      </c>
      <c r="N5" s="1655" t="s">
        <v>6684</v>
      </c>
      <c r="O5" s="1656" t="s">
        <v>6685</v>
      </c>
      <c r="P5" s="1653"/>
      <c r="Q5" s="1653"/>
      <c r="R5" s="1653"/>
      <c r="S5" s="1653"/>
      <c r="T5" s="1653"/>
      <c r="U5" s="1653"/>
      <c r="V5" s="1653"/>
      <c r="W5" s="1653"/>
      <c r="X5" s="1653"/>
      <c r="Y5" s="1653"/>
      <c r="Z5" s="1653"/>
      <c r="AA5" s="1653"/>
    </row>
    <row r="6" spans="1:51" ht="1.1499999999999999" customHeight="1">
      <c r="A6" s="1653"/>
      <c r="B6" s="1653"/>
      <c r="C6" s="1653"/>
      <c r="D6" s="1653"/>
      <c r="E6" s="1657" t="s">
        <v>968</v>
      </c>
      <c r="F6" s="1653"/>
      <c r="G6" s="1653"/>
      <c r="H6" s="1653"/>
      <c r="I6" s="1653"/>
      <c r="J6" s="1653"/>
      <c r="K6" s="1653"/>
      <c r="L6" s="1653"/>
      <c r="M6" s="1653"/>
      <c r="N6" s="1653"/>
      <c r="O6" s="1658" t="s">
        <v>968</v>
      </c>
      <c r="P6" s="1653"/>
      <c r="Q6" s="1653"/>
      <c r="R6" s="1653"/>
      <c r="S6" s="1653"/>
      <c r="T6" s="1653"/>
      <c r="U6" s="1653"/>
      <c r="V6" s="1653"/>
      <c r="W6" s="1653"/>
      <c r="X6" s="1653"/>
      <c r="Y6" s="1653"/>
      <c r="Z6" s="1653"/>
      <c r="AA6" s="1653"/>
    </row>
    <row r="7" spans="1:51">
      <c r="A7" s="1653">
        <v>2024</v>
      </c>
      <c r="B7" s="1653"/>
      <c r="C7" s="1653"/>
      <c r="D7" s="1653"/>
      <c r="E7" s="1659">
        <v>11286453</v>
      </c>
      <c r="F7" s="1660">
        <v>8720420</v>
      </c>
      <c r="G7" s="1660">
        <v>1050930</v>
      </c>
      <c r="H7" s="1660">
        <v>68598</v>
      </c>
      <c r="I7" s="1660">
        <v>7472</v>
      </c>
      <c r="J7" s="1660">
        <v>21133873</v>
      </c>
      <c r="K7" s="1660">
        <v>1664263</v>
      </c>
      <c r="L7" s="1660">
        <v>22798136</v>
      </c>
      <c r="M7" s="1660">
        <v>23700</v>
      </c>
      <c r="N7" s="1660">
        <v>1865</v>
      </c>
      <c r="O7" s="1661">
        <v>22823701</v>
      </c>
      <c r="P7" s="1653"/>
      <c r="Q7" s="1653"/>
      <c r="R7" s="1653"/>
      <c r="S7" s="1653"/>
      <c r="T7" s="1653"/>
      <c r="U7" s="1653"/>
      <c r="V7" s="1653"/>
      <c r="W7" s="1653"/>
      <c r="X7" s="1653"/>
      <c r="Y7" s="1653"/>
      <c r="Z7" s="1653"/>
      <c r="AA7" s="1653"/>
    </row>
    <row r="8" spans="1:51">
      <c r="A8" s="1653">
        <v>2025</v>
      </c>
      <c r="B8" s="1653"/>
      <c r="C8" s="1653"/>
      <c r="D8" s="1653"/>
      <c r="E8" s="1659">
        <v>11321257</v>
      </c>
      <c r="F8" s="1660">
        <v>8796966</v>
      </c>
      <c r="G8" s="1660">
        <v>1033614</v>
      </c>
      <c r="H8" s="1660">
        <v>67178</v>
      </c>
      <c r="I8" s="1660">
        <v>7579</v>
      </c>
      <c r="J8" s="1660">
        <v>21226594</v>
      </c>
      <c r="K8" s="1660">
        <v>1671567</v>
      </c>
      <c r="L8" s="1660">
        <v>22898161</v>
      </c>
      <c r="M8" s="1660">
        <v>23700</v>
      </c>
      <c r="N8" s="1660">
        <v>1865</v>
      </c>
      <c r="O8" s="1661">
        <v>22923726</v>
      </c>
      <c r="P8" s="1653"/>
      <c r="Q8" s="1653"/>
      <c r="R8" s="1653"/>
      <c r="S8" s="1653"/>
      <c r="T8" s="1653"/>
      <c r="U8" s="1653"/>
      <c r="V8" s="1653"/>
      <c r="W8" s="1653"/>
      <c r="X8" s="1653"/>
      <c r="Y8" s="1653"/>
      <c r="Z8" s="1653"/>
      <c r="AA8" s="1653"/>
    </row>
    <row r="9" spans="1:51">
      <c r="A9" s="1653">
        <v>2026</v>
      </c>
      <c r="B9" s="1653"/>
      <c r="C9" s="1653"/>
      <c r="D9" s="1653"/>
      <c r="E9" s="1659">
        <v>11439340</v>
      </c>
      <c r="F9" s="1660">
        <v>8871029</v>
      </c>
      <c r="G9" s="1660">
        <v>1016670</v>
      </c>
      <c r="H9" s="1660">
        <v>65778</v>
      </c>
      <c r="I9" s="1660">
        <v>7575</v>
      </c>
      <c r="J9" s="1660">
        <v>21400392</v>
      </c>
      <c r="K9" s="1660">
        <v>1685253</v>
      </c>
      <c r="L9" s="1660">
        <v>23085645</v>
      </c>
      <c r="M9" s="1660">
        <v>23784</v>
      </c>
      <c r="N9" s="1660">
        <v>1872</v>
      </c>
      <c r="O9" s="1661">
        <v>23111301</v>
      </c>
      <c r="P9" s="1653"/>
      <c r="Q9" s="1653"/>
      <c r="R9" s="1653"/>
      <c r="S9" s="1653"/>
      <c r="T9" s="1653"/>
      <c r="U9" s="1653"/>
      <c r="V9" s="1653"/>
      <c r="W9" s="1653"/>
      <c r="X9" s="1653"/>
      <c r="Y9" s="1653"/>
      <c r="Z9" s="1653"/>
      <c r="AA9" s="1653"/>
    </row>
    <row r="10" spans="1:51">
      <c r="A10" s="1653">
        <v>2027</v>
      </c>
      <c r="B10" s="1653"/>
      <c r="C10" s="1653"/>
      <c r="D10" s="1653"/>
      <c r="E10" s="1659">
        <v>11561674</v>
      </c>
      <c r="F10" s="1660">
        <v>8928739</v>
      </c>
      <c r="G10" s="1660">
        <v>995781</v>
      </c>
      <c r="H10" s="1660">
        <v>64468</v>
      </c>
      <c r="I10" s="1660">
        <v>7552</v>
      </c>
      <c r="J10" s="1660">
        <v>21558214</v>
      </c>
      <c r="K10" s="1660">
        <v>1697678</v>
      </c>
      <c r="L10" s="1660">
        <v>23255892</v>
      </c>
      <c r="M10" s="1660">
        <v>23700</v>
      </c>
      <c r="N10" s="1660">
        <v>1865</v>
      </c>
      <c r="O10" s="1661">
        <v>23281457</v>
      </c>
      <c r="P10" s="1653"/>
      <c r="Q10" s="1653"/>
      <c r="R10" s="1653"/>
      <c r="S10" s="1653"/>
      <c r="T10" s="1653"/>
      <c r="U10" s="1653"/>
      <c r="V10" s="1653"/>
      <c r="W10" s="1653"/>
      <c r="X10" s="1653"/>
      <c r="Y10" s="1653"/>
      <c r="Z10" s="1653"/>
      <c r="AA10" s="1653"/>
    </row>
    <row r="11" spans="1:51">
      <c r="A11" s="1653">
        <v>2028</v>
      </c>
      <c r="B11" s="1653"/>
      <c r="C11" s="1653"/>
      <c r="D11" s="1653"/>
      <c r="E11" s="1659">
        <v>11767124</v>
      </c>
      <c r="F11" s="1660">
        <v>9038190</v>
      </c>
      <c r="G11" s="1660">
        <v>977900</v>
      </c>
      <c r="H11" s="1660">
        <v>63294</v>
      </c>
      <c r="I11" s="1660">
        <v>7572</v>
      </c>
      <c r="J11" s="1660">
        <v>21854080</v>
      </c>
      <c r="K11" s="1660">
        <v>1720981</v>
      </c>
      <c r="L11" s="1660">
        <v>23575061</v>
      </c>
      <c r="M11" s="1660">
        <v>23700</v>
      </c>
      <c r="N11" s="1660">
        <v>1865</v>
      </c>
      <c r="O11" s="1661">
        <v>23600626</v>
      </c>
      <c r="P11" s="1653"/>
      <c r="Q11" s="1653"/>
      <c r="R11" s="1653"/>
      <c r="S11" s="1653"/>
      <c r="T11" s="1653"/>
      <c r="U11" s="1653"/>
      <c r="V11" s="1653"/>
      <c r="W11" s="1653"/>
      <c r="X11" s="1653"/>
      <c r="Y11" s="1653"/>
      <c r="Z11" s="1653"/>
      <c r="AA11" s="1653"/>
    </row>
    <row r="12" spans="1:51">
      <c r="A12" s="1653">
        <v>2029</v>
      </c>
      <c r="B12" s="1653"/>
      <c r="C12" s="1653"/>
      <c r="D12" s="1653"/>
      <c r="E12" s="1659">
        <v>11877551</v>
      </c>
      <c r="F12" s="1660">
        <v>9049425</v>
      </c>
      <c r="G12" s="1660">
        <v>954532</v>
      </c>
      <c r="H12" s="1660">
        <v>62162</v>
      </c>
      <c r="I12" s="1660">
        <v>7536</v>
      </c>
      <c r="J12" s="1660">
        <v>21951206</v>
      </c>
      <c r="K12" s="1660">
        <v>1728626</v>
      </c>
      <c r="L12" s="1660">
        <v>23679832</v>
      </c>
      <c r="M12" s="1660">
        <v>23700</v>
      </c>
      <c r="N12" s="1660">
        <v>1865</v>
      </c>
      <c r="O12" s="1661">
        <v>23705397</v>
      </c>
      <c r="P12" s="1653"/>
      <c r="Q12" s="1653"/>
      <c r="R12" s="1653"/>
      <c r="S12" s="1653"/>
      <c r="T12" s="1653"/>
      <c r="U12" s="1653"/>
      <c r="V12" s="1653"/>
      <c r="W12" s="1653"/>
      <c r="X12" s="1653"/>
      <c r="Y12" s="1653"/>
      <c r="Z12" s="1653"/>
      <c r="AA12" s="1653"/>
    </row>
    <row r="13" spans="1:51">
      <c r="A13" s="1653">
        <v>2030</v>
      </c>
      <c r="B13" s="1653"/>
      <c r="C13" s="1653"/>
      <c r="D13" s="1653"/>
      <c r="E13" s="1659">
        <v>12020927</v>
      </c>
      <c r="F13" s="1660">
        <v>9139233</v>
      </c>
      <c r="G13" s="1660">
        <v>933791</v>
      </c>
      <c r="H13" s="1660">
        <v>61023</v>
      </c>
      <c r="I13" s="1660">
        <v>7531</v>
      </c>
      <c r="J13" s="1660">
        <v>22162505</v>
      </c>
      <c r="K13" s="1660">
        <v>1745266</v>
      </c>
      <c r="L13" s="1660">
        <v>23907771</v>
      </c>
      <c r="M13" s="1660">
        <v>23784</v>
      </c>
      <c r="N13" s="1660">
        <v>1872</v>
      </c>
      <c r="O13" s="1661">
        <v>23933427</v>
      </c>
      <c r="P13" s="1653"/>
      <c r="Q13" s="1653"/>
      <c r="R13" s="1653"/>
      <c r="S13" s="1653"/>
      <c r="T13" s="1653"/>
      <c r="U13" s="1653"/>
      <c r="V13" s="1653"/>
      <c r="W13" s="1653"/>
      <c r="X13" s="1653"/>
      <c r="Y13" s="1653"/>
      <c r="Z13" s="1653"/>
      <c r="AA13" s="1653"/>
    </row>
    <row r="14" spans="1:51">
      <c r="A14" s="1653">
        <v>2031</v>
      </c>
      <c r="B14" s="1653"/>
      <c r="C14" s="1653"/>
      <c r="D14" s="1653"/>
      <c r="E14" s="1659">
        <v>12224642</v>
      </c>
      <c r="F14" s="1660">
        <v>9266032</v>
      </c>
      <c r="G14" s="1660">
        <v>912480</v>
      </c>
      <c r="H14" s="1660">
        <v>59889</v>
      </c>
      <c r="I14" s="1660">
        <v>7531</v>
      </c>
      <c r="J14" s="1660">
        <v>22470574</v>
      </c>
      <c r="K14" s="1660">
        <v>1769526</v>
      </c>
      <c r="L14" s="1660">
        <v>24240100</v>
      </c>
      <c r="M14" s="1660">
        <v>24561</v>
      </c>
      <c r="N14" s="1660">
        <v>1934</v>
      </c>
      <c r="O14" s="1661">
        <v>24266595</v>
      </c>
      <c r="P14" s="1653"/>
      <c r="Q14" s="1653"/>
      <c r="R14" s="1653"/>
      <c r="S14" s="1653"/>
      <c r="T14" s="1653"/>
      <c r="U14" s="1653"/>
      <c r="V14" s="1653"/>
      <c r="W14" s="1653"/>
      <c r="X14" s="1653"/>
      <c r="Y14" s="1653"/>
      <c r="Z14" s="1653"/>
      <c r="AA14" s="1653"/>
    </row>
    <row r="15" spans="1:51">
      <c r="A15" s="1653">
        <v>2032</v>
      </c>
      <c r="B15" s="1653"/>
      <c r="C15" s="1653"/>
      <c r="D15" s="1653"/>
      <c r="E15" s="1659">
        <v>12414867</v>
      </c>
      <c r="F15" s="1660">
        <v>9398629</v>
      </c>
      <c r="G15" s="1660">
        <v>894450</v>
      </c>
      <c r="H15" s="1660">
        <v>58729</v>
      </c>
      <c r="I15" s="1660">
        <v>7556</v>
      </c>
      <c r="J15" s="1660">
        <v>22774231</v>
      </c>
      <c r="K15" s="1660">
        <v>1793438</v>
      </c>
      <c r="L15" s="1660">
        <v>24567669</v>
      </c>
      <c r="M15" s="1660">
        <v>24561</v>
      </c>
      <c r="N15" s="1660">
        <v>1934</v>
      </c>
      <c r="O15" s="1661">
        <v>24594164</v>
      </c>
      <c r="P15" s="1653"/>
      <c r="Q15" s="1653"/>
      <c r="R15" s="1653"/>
      <c r="S15" s="1653"/>
      <c r="T15" s="1653"/>
      <c r="U15" s="1653"/>
      <c r="V15" s="1653"/>
      <c r="W15" s="1653"/>
      <c r="X15" s="1653"/>
      <c r="Y15" s="1653"/>
      <c r="Z15" s="1653"/>
      <c r="AA15" s="1653"/>
    </row>
    <row r="16" spans="1:51">
      <c r="A16" s="1653">
        <v>2033</v>
      </c>
      <c r="B16" s="1653"/>
      <c r="C16" s="1653"/>
      <c r="D16" s="1653"/>
      <c r="E16" s="1659">
        <v>12493998</v>
      </c>
      <c r="F16" s="1660">
        <v>9494402</v>
      </c>
      <c r="G16" s="1660">
        <v>871480</v>
      </c>
      <c r="H16" s="1660">
        <v>57569</v>
      </c>
      <c r="I16" s="1660">
        <v>7504</v>
      </c>
      <c r="J16" s="1660">
        <v>22924953</v>
      </c>
      <c r="K16" s="1660">
        <v>1805309</v>
      </c>
      <c r="L16" s="1660">
        <v>24730262</v>
      </c>
      <c r="M16" s="1660">
        <v>24561</v>
      </c>
      <c r="N16" s="1660">
        <v>1934</v>
      </c>
      <c r="O16" s="1661">
        <v>24756757</v>
      </c>
      <c r="P16" s="1653"/>
      <c r="Q16" s="1653"/>
      <c r="R16" s="1653"/>
      <c r="S16" s="1653"/>
      <c r="T16" s="1653"/>
      <c r="U16" s="1653"/>
      <c r="V16" s="1653"/>
      <c r="W16" s="1653"/>
      <c r="X16" s="1653"/>
      <c r="Y16" s="1653"/>
      <c r="Z16" s="1653"/>
      <c r="AA16" s="1653"/>
    </row>
    <row r="17" spans="1:27">
      <c r="A17" s="1653">
        <v>2034</v>
      </c>
      <c r="B17" s="1653"/>
      <c r="C17" s="1653"/>
      <c r="D17" s="1653"/>
      <c r="E17" s="1659">
        <v>12711335</v>
      </c>
      <c r="F17" s="1660">
        <v>9708506</v>
      </c>
      <c r="G17" s="1660">
        <v>856906</v>
      </c>
      <c r="H17" s="1660">
        <v>57608</v>
      </c>
      <c r="I17" s="1660">
        <v>7502</v>
      </c>
      <c r="J17" s="1660">
        <v>23341857</v>
      </c>
      <c r="K17" s="1660">
        <v>1838140</v>
      </c>
      <c r="L17" s="1660">
        <v>25179997</v>
      </c>
      <c r="M17" s="1660">
        <v>24648</v>
      </c>
      <c r="N17" s="1660">
        <v>1940</v>
      </c>
      <c r="O17" s="1661">
        <v>25206585</v>
      </c>
      <c r="P17" s="1653"/>
      <c r="Q17" s="1653"/>
      <c r="R17" s="1653"/>
      <c r="S17" s="1653"/>
      <c r="T17" s="1653"/>
      <c r="U17" s="1653"/>
      <c r="V17" s="1653"/>
      <c r="W17" s="1653"/>
      <c r="X17" s="1653"/>
      <c r="Y17" s="1653"/>
      <c r="Z17" s="1653"/>
      <c r="AA17" s="1653"/>
    </row>
    <row r="18" spans="1:27">
      <c r="A18" s="1653">
        <v>2035</v>
      </c>
      <c r="B18" s="1653"/>
      <c r="C18" s="1653"/>
      <c r="D18" s="1653"/>
      <c r="E18" s="1659">
        <v>12925321</v>
      </c>
      <c r="F18" s="1660">
        <v>9994312</v>
      </c>
      <c r="G18" s="1660">
        <v>849669</v>
      </c>
      <c r="H18" s="1660">
        <v>58659</v>
      </c>
      <c r="I18" s="1660">
        <v>7492</v>
      </c>
      <c r="J18" s="1660">
        <v>23835453</v>
      </c>
      <c r="K18" s="1660">
        <v>1877010</v>
      </c>
      <c r="L18" s="1660">
        <v>25712463</v>
      </c>
      <c r="M18" s="1660">
        <v>24561</v>
      </c>
      <c r="N18" s="1660">
        <v>1934</v>
      </c>
      <c r="O18" s="1661">
        <v>25738958</v>
      </c>
      <c r="P18" s="1653"/>
      <c r="Q18" s="1653"/>
      <c r="R18" s="1653"/>
      <c r="S18" s="1653"/>
      <c r="T18" s="1653"/>
      <c r="U18" s="1653"/>
      <c r="V18" s="1653"/>
      <c r="W18" s="1653"/>
      <c r="X18" s="1653"/>
      <c r="Y18" s="1653"/>
      <c r="Z18" s="1653"/>
      <c r="AA18" s="1653"/>
    </row>
    <row r="19" spans="1:27">
      <c r="A19" s="1653">
        <v>2036</v>
      </c>
      <c r="B19" s="1653"/>
      <c r="C19" s="1653"/>
      <c r="D19" s="1653"/>
      <c r="E19" s="1659">
        <v>13168417</v>
      </c>
      <c r="F19" s="1660">
        <v>10325985</v>
      </c>
      <c r="G19" s="1660">
        <v>845029</v>
      </c>
      <c r="H19" s="1660">
        <v>59703</v>
      </c>
      <c r="I19" s="1660">
        <v>7519</v>
      </c>
      <c r="J19" s="1660">
        <v>24406653</v>
      </c>
      <c r="K19" s="1660">
        <v>1921992</v>
      </c>
      <c r="L19" s="1660">
        <v>26328645</v>
      </c>
      <c r="M19" s="1660">
        <v>24561</v>
      </c>
      <c r="N19" s="1660">
        <v>1934</v>
      </c>
      <c r="O19" s="1661">
        <v>26355140</v>
      </c>
      <c r="P19" s="1653"/>
      <c r="Q19" s="1653"/>
      <c r="R19" s="1653"/>
      <c r="S19" s="1653"/>
      <c r="T19" s="1653"/>
      <c r="U19" s="1653"/>
      <c r="V19" s="1653"/>
      <c r="W19" s="1653"/>
      <c r="X19" s="1653"/>
      <c r="Y19" s="1653"/>
      <c r="Z19" s="1653"/>
      <c r="AA19" s="1653"/>
    </row>
    <row r="20" spans="1:27">
      <c r="A20" s="1653">
        <v>2037</v>
      </c>
      <c r="B20" s="1653"/>
      <c r="C20" s="1653"/>
      <c r="D20" s="1653"/>
      <c r="E20" s="1659">
        <v>13285367</v>
      </c>
      <c r="F20" s="1660">
        <v>10606882</v>
      </c>
      <c r="G20" s="1660">
        <v>835683</v>
      </c>
      <c r="H20" s="1660">
        <v>60739</v>
      </c>
      <c r="I20" s="1660">
        <v>7474</v>
      </c>
      <c r="J20" s="1660">
        <v>24796145</v>
      </c>
      <c r="K20" s="1660">
        <v>1952663</v>
      </c>
      <c r="L20" s="1660">
        <v>26748808</v>
      </c>
      <c r="M20" s="1660">
        <v>24561</v>
      </c>
      <c r="N20" s="1660">
        <v>1934</v>
      </c>
      <c r="O20" s="1661">
        <v>26775303</v>
      </c>
      <c r="P20" s="1653"/>
      <c r="Q20" s="1653"/>
      <c r="R20" s="1653"/>
      <c r="S20" s="1653"/>
      <c r="T20" s="1653"/>
      <c r="U20" s="1653"/>
      <c r="V20" s="1653"/>
      <c r="W20" s="1653"/>
      <c r="X20" s="1653"/>
      <c r="Y20" s="1653"/>
      <c r="Z20" s="1653"/>
      <c r="AA20" s="1653"/>
    </row>
    <row r="21" spans="1:27">
      <c r="A21" s="1653">
        <v>2038</v>
      </c>
      <c r="B21" s="1653"/>
      <c r="C21" s="1653"/>
      <c r="D21" s="1653"/>
      <c r="E21" s="1659">
        <v>13399628</v>
      </c>
      <c r="F21" s="1660">
        <v>10919179</v>
      </c>
      <c r="G21" s="1660">
        <v>828377</v>
      </c>
      <c r="H21" s="1660">
        <v>61775</v>
      </c>
      <c r="I21" s="1660">
        <v>7452</v>
      </c>
      <c r="J21" s="1660">
        <v>25216411</v>
      </c>
      <c r="K21" s="1660">
        <v>1985759</v>
      </c>
      <c r="L21" s="1660">
        <v>27202170</v>
      </c>
      <c r="M21" s="1660">
        <v>24561</v>
      </c>
      <c r="N21" s="1660">
        <v>1934</v>
      </c>
      <c r="O21" s="1661">
        <v>27228665</v>
      </c>
      <c r="P21" s="1653"/>
      <c r="Q21" s="1653"/>
      <c r="R21" s="1653"/>
      <c r="S21" s="1653"/>
      <c r="T21" s="1653"/>
      <c r="U21" s="1653"/>
      <c r="V21" s="1653"/>
      <c r="W21" s="1653"/>
      <c r="X21" s="1653"/>
      <c r="Y21" s="1653"/>
      <c r="Z21" s="1653"/>
      <c r="AA21" s="1653"/>
    </row>
    <row r="22" spans="1:27">
      <c r="A22" s="1653">
        <v>2039</v>
      </c>
      <c r="B22" s="1653"/>
      <c r="C22" s="1653"/>
      <c r="D22" s="1653"/>
      <c r="E22" s="1659">
        <v>13513175</v>
      </c>
      <c r="F22" s="1660">
        <v>11252314</v>
      </c>
      <c r="G22" s="1660">
        <v>821692</v>
      </c>
      <c r="H22" s="1660">
        <v>62806</v>
      </c>
      <c r="I22" s="1660">
        <v>7440</v>
      </c>
      <c r="J22" s="1660">
        <v>25657427</v>
      </c>
      <c r="K22" s="1660">
        <v>2020489</v>
      </c>
      <c r="L22" s="1660">
        <v>27677916</v>
      </c>
      <c r="M22" s="1660">
        <v>24561</v>
      </c>
      <c r="N22" s="1660">
        <v>1934</v>
      </c>
      <c r="O22" s="1661">
        <v>27704411</v>
      </c>
      <c r="P22" s="1653"/>
      <c r="Q22" s="1653"/>
      <c r="R22" s="1653"/>
      <c r="S22" s="1653"/>
      <c r="T22" s="1653"/>
      <c r="U22" s="1653"/>
      <c r="V22" s="1653"/>
      <c r="W22" s="1653"/>
      <c r="X22" s="1653"/>
      <c r="Y22" s="1653"/>
      <c r="Z22" s="1653"/>
      <c r="AA22" s="1653"/>
    </row>
    <row r="23" spans="1:27">
      <c r="A23" s="1653">
        <v>2040</v>
      </c>
      <c r="B23" s="1653"/>
      <c r="C23" s="1653"/>
      <c r="D23" s="1653"/>
      <c r="E23" s="1659">
        <v>13648659</v>
      </c>
      <c r="F23" s="1660">
        <v>11626787</v>
      </c>
      <c r="G23" s="1660">
        <v>816798</v>
      </c>
      <c r="H23" s="1660">
        <v>63830</v>
      </c>
      <c r="I23" s="1660">
        <v>7463</v>
      </c>
      <c r="J23" s="1660">
        <v>26163537</v>
      </c>
      <c r="K23" s="1660">
        <v>2060343</v>
      </c>
      <c r="L23" s="1660">
        <v>28223880</v>
      </c>
      <c r="M23" s="1660">
        <v>24561</v>
      </c>
      <c r="N23" s="1660">
        <v>1934</v>
      </c>
      <c r="O23" s="1661">
        <v>28250375</v>
      </c>
      <c r="P23" s="1653"/>
      <c r="Q23" s="1653"/>
      <c r="R23" s="1653"/>
      <c r="S23" s="1653"/>
      <c r="T23" s="1653"/>
      <c r="U23" s="1653"/>
      <c r="V23" s="1653"/>
      <c r="W23" s="1653"/>
      <c r="X23" s="1653"/>
      <c r="Y23" s="1653"/>
      <c r="Z23" s="1653"/>
      <c r="AA23" s="1653"/>
    </row>
    <row r="24" spans="1:27">
      <c r="A24" s="1653">
        <v>2041</v>
      </c>
      <c r="B24" s="1653"/>
      <c r="C24" s="1653"/>
      <c r="D24" s="1653"/>
      <c r="E24" s="1659">
        <v>13689107</v>
      </c>
      <c r="F24" s="1660">
        <v>11947861</v>
      </c>
      <c r="G24" s="1660">
        <v>807523</v>
      </c>
      <c r="H24" s="1660">
        <v>64859</v>
      </c>
      <c r="I24" s="1660">
        <v>7428</v>
      </c>
      <c r="J24" s="1660">
        <v>26516778</v>
      </c>
      <c r="K24" s="1660">
        <v>2088160</v>
      </c>
      <c r="L24" s="1660">
        <v>28604938</v>
      </c>
      <c r="M24" s="1660">
        <v>24561</v>
      </c>
      <c r="N24" s="1660">
        <v>1934</v>
      </c>
      <c r="O24" s="1661">
        <v>28631433</v>
      </c>
      <c r="P24" s="1653"/>
      <c r="Q24" s="1653"/>
      <c r="R24" s="1653"/>
      <c r="S24" s="1653"/>
      <c r="T24" s="1653"/>
      <c r="U24" s="1653"/>
      <c r="V24" s="1653"/>
      <c r="W24" s="1653"/>
      <c r="X24" s="1653"/>
      <c r="Y24" s="1653"/>
      <c r="Z24" s="1653"/>
      <c r="AA24" s="1653"/>
    </row>
    <row r="25" spans="1:27">
      <c r="A25" s="1653">
        <v>2042</v>
      </c>
      <c r="B25" s="1653"/>
      <c r="C25" s="1653"/>
      <c r="D25" s="1653"/>
      <c r="E25" s="1659">
        <v>13792776</v>
      </c>
      <c r="F25" s="1660">
        <v>12284791</v>
      </c>
      <c r="G25" s="1660">
        <v>800987</v>
      </c>
      <c r="H25" s="1660">
        <v>65884</v>
      </c>
      <c r="I25" s="1660">
        <v>7429</v>
      </c>
      <c r="J25" s="1660">
        <v>26951867</v>
      </c>
      <c r="K25" s="1660">
        <v>2122422</v>
      </c>
      <c r="L25" s="1660">
        <v>29074289</v>
      </c>
      <c r="M25" s="1660">
        <v>24561</v>
      </c>
      <c r="N25" s="1660">
        <v>1934</v>
      </c>
      <c r="O25" s="1661">
        <v>29100784</v>
      </c>
      <c r="P25" s="1653"/>
      <c r="Q25" s="1653"/>
      <c r="R25" s="1653"/>
      <c r="S25" s="1653"/>
      <c r="T25" s="1653"/>
      <c r="U25" s="1653"/>
      <c r="V25" s="1653"/>
      <c r="W25" s="1653"/>
      <c r="X25" s="1653"/>
      <c r="Y25" s="1653"/>
      <c r="Z25" s="1653"/>
      <c r="AA25" s="1653"/>
    </row>
    <row r="26" spans="1:27">
      <c r="A26" s="1653">
        <v>2043</v>
      </c>
      <c r="B26" s="1653"/>
      <c r="C26" s="1653"/>
      <c r="D26" s="1653"/>
      <c r="E26" s="1659">
        <v>13829538</v>
      </c>
      <c r="F26" s="1660">
        <v>12610749</v>
      </c>
      <c r="G26" s="1660">
        <v>794373</v>
      </c>
      <c r="H26" s="1660">
        <v>66908</v>
      </c>
      <c r="I26" s="1660">
        <v>7413</v>
      </c>
      <c r="J26" s="1660">
        <v>27308981</v>
      </c>
      <c r="K26" s="1660">
        <v>2150546</v>
      </c>
      <c r="L26" s="1660">
        <v>29459527</v>
      </c>
      <c r="M26" s="1660">
        <v>24561</v>
      </c>
      <c r="N26" s="1660">
        <v>1934</v>
      </c>
      <c r="O26" s="1661">
        <v>29486022</v>
      </c>
      <c r="P26" s="1653"/>
      <c r="Q26" s="1653"/>
      <c r="R26" s="1653"/>
      <c r="S26" s="1653"/>
      <c r="T26" s="1653"/>
      <c r="U26" s="1653"/>
      <c r="V26" s="1653"/>
      <c r="W26" s="1653"/>
      <c r="X26" s="1653"/>
      <c r="Y26" s="1653"/>
      <c r="Z26" s="1653"/>
      <c r="AA26" s="1653"/>
    </row>
    <row r="27" spans="1:27">
      <c r="A27" s="1653">
        <v>2044</v>
      </c>
      <c r="B27" s="1653"/>
      <c r="C27" s="1653"/>
      <c r="D27" s="1653"/>
      <c r="E27" s="1659">
        <v>13889025</v>
      </c>
      <c r="F27" s="1660">
        <v>12968757</v>
      </c>
      <c r="G27" s="1660">
        <v>789812</v>
      </c>
      <c r="H27" s="1660">
        <v>67938</v>
      </c>
      <c r="I27" s="1660">
        <v>7426</v>
      </c>
      <c r="J27" s="1660">
        <v>27722958</v>
      </c>
      <c r="K27" s="1660">
        <v>2183147</v>
      </c>
      <c r="L27" s="1660">
        <v>29906105</v>
      </c>
      <c r="M27" s="1660">
        <v>24561</v>
      </c>
      <c r="N27" s="1660">
        <v>1934</v>
      </c>
      <c r="O27" s="1661">
        <v>29932600</v>
      </c>
      <c r="P27" s="1653"/>
      <c r="Q27" s="1653"/>
      <c r="R27" s="1653"/>
      <c r="S27" s="1653"/>
      <c r="T27" s="1653"/>
      <c r="U27" s="1653"/>
      <c r="V27" s="1653"/>
      <c r="W27" s="1653"/>
      <c r="X27" s="1653"/>
      <c r="Y27" s="1653"/>
      <c r="Z27" s="1653"/>
      <c r="AA27" s="1653"/>
    </row>
    <row r="28" spans="1:27">
      <c r="A28" s="1653">
        <v>2045</v>
      </c>
      <c r="B28" s="1653"/>
      <c r="C28" s="1653"/>
      <c r="D28" s="1653"/>
      <c r="E28" s="1659">
        <v>13899872</v>
      </c>
      <c r="F28" s="1660">
        <v>13253887</v>
      </c>
      <c r="G28" s="1660">
        <v>781619</v>
      </c>
      <c r="H28" s="1660">
        <v>68982</v>
      </c>
      <c r="I28" s="1660">
        <v>7389</v>
      </c>
      <c r="J28" s="1660">
        <v>28011749</v>
      </c>
      <c r="K28" s="1660">
        <v>2205886</v>
      </c>
      <c r="L28" s="1660">
        <v>30217635</v>
      </c>
      <c r="M28" s="1660">
        <v>24561</v>
      </c>
      <c r="N28" s="1660">
        <v>1934</v>
      </c>
      <c r="O28" s="1661">
        <v>30244130</v>
      </c>
      <c r="P28" s="1653"/>
      <c r="Q28" s="1653"/>
      <c r="R28" s="1653"/>
      <c r="S28" s="1653"/>
      <c r="T28" s="1653"/>
      <c r="U28" s="1653"/>
      <c r="V28" s="1653"/>
      <c r="W28" s="1653"/>
      <c r="X28" s="1653"/>
      <c r="Y28" s="1653"/>
      <c r="Z28" s="1653"/>
      <c r="AA28" s="1653"/>
    </row>
    <row r="29" spans="1:27">
      <c r="A29" s="1653">
        <v>2046</v>
      </c>
      <c r="B29" s="1653"/>
      <c r="C29" s="1653"/>
      <c r="D29" s="1653"/>
      <c r="E29" s="1659">
        <v>13981315</v>
      </c>
      <c r="F29" s="1660">
        <v>13542565</v>
      </c>
      <c r="G29" s="1660">
        <v>774786</v>
      </c>
      <c r="H29" s="1660">
        <v>70027</v>
      </c>
      <c r="I29" s="1660">
        <v>7385</v>
      </c>
      <c r="J29" s="1660">
        <v>28376078</v>
      </c>
      <c r="K29" s="1660">
        <v>2234578</v>
      </c>
      <c r="L29" s="1660">
        <v>30610656</v>
      </c>
      <c r="M29" s="1660">
        <v>24561</v>
      </c>
      <c r="N29" s="1660">
        <v>1934</v>
      </c>
      <c r="O29" s="1661">
        <v>30637151</v>
      </c>
      <c r="P29" s="1653"/>
      <c r="Q29" s="1653"/>
      <c r="R29" s="1653"/>
      <c r="S29" s="1653"/>
      <c r="T29" s="1653"/>
      <c r="U29" s="1653"/>
      <c r="V29" s="1653"/>
      <c r="W29" s="1653"/>
      <c r="X29" s="1653"/>
      <c r="Y29" s="1653"/>
      <c r="Z29" s="1653"/>
      <c r="AA29" s="1653"/>
    </row>
    <row r="30" spans="1:27">
      <c r="A30" s="1653">
        <v>2047</v>
      </c>
      <c r="B30" s="1653"/>
      <c r="C30" s="1653"/>
      <c r="D30" s="1653"/>
      <c r="E30" s="1659">
        <v>14046913</v>
      </c>
      <c r="F30" s="1660">
        <v>13812817</v>
      </c>
      <c r="G30" s="1660">
        <v>770195</v>
      </c>
      <c r="H30" s="1660">
        <v>71077</v>
      </c>
      <c r="I30" s="1660">
        <v>7379</v>
      </c>
      <c r="J30" s="1660">
        <v>28708381</v>
      </c>
      <c r="K30" s="1660">
        <v>2260745</v>
      </c>
      <c r="L30" s="1660">
        <v>30969126</v>
      </c>
      <c r="M30" s="1660">
        <v>24561</v>
      </c>
      <c r="N30" s="1660">
        <v>1934</v>
      </c>
      <c r="O30" s="1661">
        <v>30995621</v>
      </c>
      <c r="P30" s="1653"/>
      <c r="Q30" s="1653"/>
      <c r="R30" s="1653"/>
      <c r="S30" s="1653"/>
      <c r="T30" s="1653"/>
      <c r="U30" s="1653"/>
      <c r="V30" s="1653"/>
      <c r="W30" s="1653"/>
      <c r="X30" s="1653"/>
      <c r="Y30" s="1653"/>
      <c r="Z30" s="1653"/>
      <c r="AA30" s="1653"/>
    </row>
    <row r="31" spans="1:27">
      <c r="A31" s="1653">
        <v>2048</v>
      </c>
      <c r="B31" s="1653"/>
      <c r="C31" s="1653"/>
      <c r="D31" s="1653"/>
      <c r="E31" s="1659">
        <v>14124809</v>
      </c>
      <c r="F31" s="1660">
        <v>14106576</v>
      </c>
      <c r="G31" s="1660">
        <v>765878</v>
      </c>
      <c r="H31" s="1660">
        <v>72144</v>
      </c>
      <c r="I31" s="1660">
        <v>7393</v>
      </c>
      <c r="J31" s="1660">
        <v>29076800</v>
      </c>
      <c r="K31" s="1660">
        <v>2289761</v>
      </c>
      <c r="L31" s="1660">
        <v>31366561</v>
      </c>
      <c r="M31" s="1660">
        <v>24561</v>
      </c>
      <c r="N31" s="1660">
        <v>1934</v>
      </c>
      <c r="O31" s="1661">
        <v>31393056</v>
      </c>
      <c r="P31" s="1653"/>
      <c r="Q31" s="1653"/>
      <c r="R31" s="1653"/>
      <c r="S31" s="1653"/>
      <c r="T31" s="1653"/>
      <c r="U31" s="1653"/>
      <c r="V31" s="1653"/>
      <c r="W31" s="1653"/>
      <c r="X31" s="1653"/>
      <c r="Y31" s="1653"/>
      <c r="Z31" s="1653"/>
      <c r="AA31" s="1653"/>
    </row>
    <row r="32" spans="1:27">
      <c r="A32" s="1653">
        <v>2049</v>
      </c>
      <c r="B32" s="1653"/>
      <c r="C32" s="1653"/>
      <c r="D32" s="1653"/>
      <c r="E32" s="1659">
        <v>14141464</v>
      </c>
      <c r="F32" s="1660">
        <v>14321225</v>
      </c>
      <c r="G32" s="1660">
        <v>757327</v>
      </c>
      <c r="H32" s="1660">
        <v>73103</v>
      </c>
      <c r="I32" s="1660">
        <v>7358</v>
      </c>
      <c r="J32" s="1660">
        <v>29300477</v>
      </c>
      <c r="K32" s="1660">
        <v>2307373</v>
      </c>
      <c r="L32" s="1660">
        <v>31607850</v>
      </c>
      <c r="M32" s="1660">
        <v>24561</v>
      </c>
      <c r="N32" s="1660">
        <v>1934</v>
      </c>
      <c r="O32" s="1661">
        <v>31634345</v>
      </c>
      <c r="P32" s="1653"/>
      <c r="Q32" s="1653"/>
      <c r="R32" s="1653"/>
      <c r="S32" s="1653"/>
      <c r="T32" s="1653"/>
      <c r="U32" s="1653"/>
      <c r="V32" s="1653"/>
      <c r="W32" s="1653"/>
      <c r="X32" s="1653"/>
      <c r="Y32" s="1653"/>
      <c r="Z32" s="1653"/>
      <c r="AA32" s="1653"/>
    </row>
    <row r="33" spans="1:27" ht="12" thickBot="1">
      <c r="A33" s="1653">
        <v>2050</v>
      </c>
      <c r="B33" s="1653"/>
      <c r="C33" s="1653"/>
      <c r="D33" s="1653"/>
      <c r="E33" s="1662">
        <v>14195651</v>
      </c>
      <c r="F33" s="1663">
        <v>14581008</v>
      </c>
      <c r="G33" s="1663">
        <v>750171</v>
      </c>
      <c r="H33" s="1663">
        <v>72079</v>
      </c>
      <c r="I33" s="1663">
        <v>7358</v>
      </c>
      <c r="J33" s="1663">
        <v>29606267</v>
      </c>
      <c r="K33" s="1663">
        <v>2331453</v>
      </c>
      <c r="L33" s="1663">
        <v>31937720</v>
      </c>
      <c r="M33" s="1663">
        <v>24561</v>
      </c>
      <c r="N33" s="1663">
        <v>1934</v>
      </c>
      <c r="O33" s="1664">
        <v>31964215</v>
      </c>
      <c r="P33" s="1653"/>
      <c r="Q33" s="1653"/>
      <c r="R33" s="1653"/>
      <c r="S33" s="1653"/>
      <c r="T33" s="1653"/>
      <c r="U33" s="1653"/>
      <c r="V33" s="1653"/>
      <c r="W33" s="1653"/>
      <c r="X33" s="1653"/>
      <c r="Y33" s="1653"/>
      <c r="Z33" s="1653"/>
      <c r="AA33" s="1653"/>
    </row>
    <row r="34" spans="1:27" ht="3" customHeight="1" thickBot="1">
      <c r="A34" s="1653"/>
      <c r="B34" s="1653"/>
      <c r="C34" s="1653"/>
      <c r="D34" s="1653"/>
      <c r="E34" s="1653"/>
      <c r="F34" s="1653"/>
      <c r="G34" s="1653"/>
      <c r="H34" s="1653"/>
      <c r="I34" s="1653"/>
      <c r="J34" s="1653"/>
      <c r="K34" s="1653"/>
      <c r="L34" s="1653"/>
      <c r="M34" s="1653"/>
      <c r="N34" s="1653"/>
      <c r="O34" s="1653"/>
      <c r="P34" s="1653"/>
      <c r="Q34" s="1653"/>
      <c r="R34" s="1653"/>
      <c r="S34" s="1653"/>
      <c r="T34" s="1653"/>
      <c r="U34" s="1653"/>
      <c r="V34" s="1653"/>
      <c r="W34" s="1653"/>
      <c r="X34" s="1653"/>
      <c r="Y34" s="1653"/>
      <c r="Z34" s="1653"/>
      <c r="AA34" s="1653"/>
    </row>
    <row r="35" spans="1:27">
      <c r="A35" s="1653">
        <v>2024</v>
      </c>
      <c r="B35" s="1653">
        <v>1</v>
      </c>
      <c r="C35" s="1722">
        <v>45292</v>
      </c>
      <c r="D35" s="1653"/>
      <c r="E35" s="1665">
        <v>1283961</v>
      </c>
      <c r="F35" s="1666">
        <v>851129</v>
      </c>
      <c r="G35" s="1666">
        <v>94557</v>
      </c>
      <c r="H35" s="1666">
        <v>6113</v>
      </c>
      <c r="I35" s="1666">
        <v>975</v>
      </c>
      <c r="J35" s="1666">
        <v>2236735</v>
      </c>
      <c r="K35" s="1666">
        <v>176140</v>
      </c>
      <c r="L35" s="1666">
        <v>2412875</v>
      </c>
      <c r="M35" s="1666">
        <v>2243</v>
      </c>
      <c r="N35" s="1666">
        <v>177</v>
      </c>
      <c r="O35" s="1667">
        <v>2415295</v>
      </c>
      <c r="P35" s="1653"/>
      <c r="Q35" s="1653"/>
      <c r="R35" s="1653"/>
      <c r="S35" s="1653"/>
      <c r="T35" s="1653"/>
      <c r="U35" s="1653"/>
      <c r="V35" s="1653"/>
      <c r="W35" s="1653"/>
      <c r="X35" s="1653"/>
      <c r="Y35" s="1653"/>
      <c r="Z35" s="1653"/>
      <c r="AA35" s="1653"/>
    </row>
    <row r="36" spans="1:27">
      <c r="A36" s="1653">
        <v>2024</v>
      </c>
      <c r="B36" s="1653">
        <v>2</v>
      </c>
      <c r="C36" s="1722">
        <v>45323</v>
      </c>
      <c r="D36" s="1653"/>
      <c r="E36" s="1659">
        <v>1096256</v>
      </c>
      <c r="F36" s="1660">
        <v>683575</v>
      </c>
      <c r="G36" s="1660">
        <v>89108</v>
      </c>
      <c r="H36" s="1660">
        <v>5458</v>
      </c>
      <c r="I36" s="1660">
        <v>857</v>
      </c>
      <c r="J36" s="1660">
        <v>1875254</v>
      </c>
      <c r="K36" s="1660">
        <v>147674</v>
      </c>
      <c r="L36" s="1660">
        <v>2022928</v>
      </c>
      <c r="M36" s="1660">
        <v>2355</v>
      </c>
      <c r="N36" s="1660">
        <v>185</v>
      </c>
      <c r="O36" s="1661">
        <v>2025468</v>
      </c>
      <c r="P36" s="1653"/>
      <c r="Q36" s="1653"/>
      <c r="R36" s="1653"/>
      <c r="S36" s="1653"/>
      <c r="T36" s="1653"/>
      <c r="U36" s="1653"/>
      <c r="V36" s="1653"/>
      <c r="W36" s="1653"/>
      <c r="X36" s="1653"/>
      <c r="Y36" s="1653"/>
      <c r="Z36" s="1653"/>
      <c r="AA36" s="1653"/>
    </row>
    <row r="37" spans="1:27">
      <c r="A37" s="1653">
        <v>2024</v>
      </c>
      <c r="B37" s="1653">
        <v>3</v>
      </c>
      <c r="C37" s="1722">
        <v>45352</v>
      </c>
      <c r="D37" s="1653"/>
      <c r="E37" s="1659">
        <v>1082913</v>
      </c>
      <c r="F37" s="1660">
        <v>718757</v>
      </c>
      <c r="G37" s="1660">
        <v>81749</v>
      </c>
      <c r="H37" s="1660">
        <v>6659</v>
      </c>
      <c r="I37" s="1660">
        <v>863</v>
      </c>
      <c r="J37" s="1660">
        <v>1890941</v>
      </c>
      <c r="K37" s="1660">
        <v>148909</v>
      </c>
      <c r="L37" s="1660">
        <v>2039850</v>
      </c>
      <c r="M37" s="1660">
        <v>2263</v>
      </c>
      <c r="N37" s="1660">
        <v>178</v>
      </c>
      <c r="O37" s="1661">
        <v>2042291</v>
      </c>
      <c r="P37" s="1653"/>
      <c r="Q37" s="1653"/>
      <c r="R37" s="1653"/>
      <c r="S37" s="1653"/>
      <c r="T37" s="1653"/>
      <c r="U37" s="1653"/>
      <c r="V37" s="1653"/>
      <c r="W37" s="1653"/>
      <c r="X37" s="1653"/>
      <c r="Y37" s="1653"/>
      <c r="Z37" s="1653"/>
      <c r="AA37" s="1653"/>
    </row>
    <row r="38" spans="1:27">
      <c r="A38" s="1653">
        <v>2024</v>
      </c>
      <c r="B38" s="1653">
        <v>4</v>
      </c>
      <c r="C38" s="1722">
        <v>45383</v>
      </c>
      <c r="D38" s="1653"/>
      <c r="E38" s="1659">
        <v>874694</v>
      </c>
      <c r="F38" s="1660">
        <v>686999</v>
      </c>
      <c r="G38" s="1660">
        <v>85598</v>
      </c>
      <c r="H38" s="1660">
        <v>5486</v>
      </c>
      <c r="I38" s="1660">
        <v>733</v>
      </c>
      <c r="J38" s="1660">
        <v>1653510</v>
      </c>
      <c r="K38" s="1660">
        <v>130212</v>
      </c>
      <c r="L38" s="1660">
        <v>1783722</v>
      </c>
      <c r="M38" s="1660">
        <v>2101</v>
      </c>
      <c r="N38" s="1660">
        <v>165</v>
      </c>
      <c r="O38" s="1661">
        <v>1785988</v>
      </c>
      <c r="P38" s="1653"/>
      <c r="Q38" s="1653"/>
      <c r="R38" s="1653"/>
      <c r="S38" s="1653"/>
      <c r="T38" s="1653"/>
      <c r="U38" s="1653"/>
      <c r="V38" s="1653"/>
      <c r="W38" s="1653"/>
      <c r="X38" s="1653"/>
      <c r="Y38" s="1653"/>
      <c r="Z38" s="1653"/>
      <c r="AA38" s="1653"/>
    </row>
    <row r="39" spans="1:27">
      <c r="A39" s="1653">
        <v>2024</v>
      </c>
      <c r="B39" s="1653">
        <v>5</v>
      </c>
      <c r="C39" s="1722">
        <v>45413</v>
      </c>
      <c r="D39" s="1653"/>
      <c r="E39" s="1659">
        <v>759558</v>
      </c>
      <c r="F39" s="1660">
        <v>688231</v>
      </c>
      <c r="G39" s="1660">
        <v>82196</v>
      </c>
      <c r="H39" s="1660">
        <v>5361</v>
      </c>
      <c r="I39" s="1660">
        <v>566</v>
      </c>
      <c r="J39" s="1660">
        <v>1535912</v>
      </c>
      <c r="K39" s="1660">
        <v>120951</v>
      </c>
      <c r="L39" s="1660">
        <v>1656863</v>
      </c>
      <c r="M39" s="1660">
        <v>2097</v>
      </c>
      <c r="N39" s="1660">
        <v>165</v>
      </c>
      <c r="O39" s="1661">
        <v>1659125</v>
      </c>
      <c r="P39" s="1653"/>
      <c r="Q39" s="1653"/>
      <c r="R39" s="1653"/>
      <c r="S39" s="1653"/>
      <c r="T39" s="1653"/>
      <c r="U39" s="1653"/>
      <c r="V39" s="1653"/>
      <c r="W39" s="1653"/>
      <c r="X39" s="1653"/>
      <c r="Y39" s="1653"/>
      <c r="Z39" s="1653"/>
      <c r="AA39" s="1653"/>
    </row>
    <row r="40" spans="1:27">
      <c r="A40" s="1653">
        <v>2024</v>
      </c>
      <c r="B40" s="1653">
        <v>6</v>
      </c>
      <c r="C40" s="1722">
        <v>45444</v>
      </c>
      <c r="D40" s="1653"/>
      <c r="E40" s="1659">
        <v>692704</v>
      </c>
      <c r="F40" s="1660">
        <v>677853</v>
      </c>
      <c r="G40" s="1660">
        <v>89667</v>
      </c>
      <c r="H40" s="1660">
        <v>4807</v>
      </c>
      <c r="I40" s="1660">
        <v>431</v>
      </c>
      <c r="J40" s="1660">
        <v>1465462</v>
      </c>
      <c r="K40" s="1660">
        <v>115403</v>
      </c>
      <c r="L40" s="1660">
        <v>1580865</v>
      </c>
      <c r="M40" s="1660">
        <v>1727</v>
      </c>
      <c r="N40" s="1660">
        <v>136</v>
      </c>
      <c r="O40" s="1661">
        <v>1582728</v>
      </c>
      <c r="P40" s="1653"/>
      <c r="Q40" s="1653"/>
      <c r="R40" s="1653"/>
      <c r="S40" s="1653"/>
      <c r="T40" s="1653"/>
      <c r="U40" s="1653"/>
      <c r="V40" s="1653"/>
      <c r="W40" s="1653"/>
      <c r="X40" s="1653"/>
      <c r="Y40" s="1653"/>
      <c r="Z40" s="1653"/>
      <c r="AA40" s="1653"/>
    </row>
    <row r="41" spans="1:27">
      <c r="A41" s="1653">
        <v>2024</v>
      </c>
      <c r="B41" s="1653">
        <v>7</v>
      </c>
      <c r="C41" s="1722">
        <v>45474</v>
      </c>
      <c r="D41" s="1653"/>
      <c r="E41" s="1659">
        <v>785730</v>
      </c>
      <c r="F41" s="1660">
        <v>753952</v>
      </c>
      <c r="G41" s="1660">
        <v>92067</v>
      </c>
      <c r="H41" s="1660">
        <v>5717</v>
      </c>
      <c r="I41" s="1660">
        <v>291</v>
      </c>
      <c r="J41" s="1660">
        <v>1637757</v>
      </c>
      <c r="K41" s="1660">
        <v>128971</v>
      </c>
      <c r="L41" s="1660">
        <v>1766728</v>
      </c>
      <c r="M41" s="1660">
        <v>2779</v>
      </c>
      <c r="N41" s="1660">
        <v>219</v>
      </c>
      <c r="O41" s="1661">
        <v>1769726</v>
      </c>
      <c r="P41" s="1653"/>
      <c r="Q41" s="1653"/>
      <c r="R41" s="1653"/>
      <c r="S41" s="1653"/>
      <c r="T41" s="1653"/>
      <c r="U41" s="1653"/>
      <c r="V41" s="1653"/>
      <c r="W41" s="1653"/>
      <c r="X41" s="1653"/>
      <c r="Y41" s="1653"/>
      <c r="Z41" s="1653"/>
      <c r="AA41" s="1653"/>
    </row>
    <row r="42" spans="1:27">
      <c r="A42" s="1653">
        <v>2024</v>
      </c>
      <c r="B42" s="1653">
        <v>8</v>
      </c>
      <c r="C42" s="1722">
        <v>45505</v>
      </c>
      <c r="D42" s="1653"/>
      <c r="E42" s="1659">
        <v>789832</v>
      </c>
      <c r="F42" s="1660">
        <v>757359</v>
      </c>
      <c r="G42" s="1660">
        <v>92700</v>
      </c>
      <c r="H42" s="1660">
        <v>5311</v>
      </c>
      <c r="I42" s="1660">
        <v>290</v>
      </c>
      <c r="J42" s="1660">
        <v>1645492</v>
      </c>
      <c r="K42" s="1660">
        <v>129580</v>
      </c>
      <c r="L42" s="1660">
        <v>1775072</v>
      </c>
      <c r="M42" s="1660">
        <v>1579</v>
      </c>
      <c r="N42" s="1660">
        <v>124</v>
      </c>
      <c r="O42" s="1661">
        <v>1776775</v>
      </c>
      <c r="P42" s="1653"/>
      <c r="Q42" s="1653"/>
      <c r="R42" s="1653"/>
      <c r="S42" s="1653"/>
      <c r="T42" s="1653"/>
      <c r="U42" s="1653"/>
      <c r="V42" s="1653"/>
      <c r="W42" s="1653"/>
      <c r="X42" s="1653"/>
      <c r="Y42" s="1653"/>
      <c r="Z42" s="1653"/>
      <c r="AA42" s="1653"/>
    </row>
    <row r="43" spans="1:27">
      <c r="A43" s="1653">
        <v>2024</v>
      </c>
      <c r="B43" s="1653">
        <v>9</v>
      </c>
      <c r="C43" s="1722">
        <v>45536</v>
      </c>
      <c r="D43" s="1653"/>
      <c r="E43" s="1659">
        <v>721272</v>
      </c>
      <c r="F43" s="1660">
        <v>683005</v>
      </c>
      <c r="G43" s="1660">
        <v>87293</v>
      </c>
      <c r="H43" s="1660">
        <v>5501</v>
      </c>
      <c r="I43" s="1660">
        <v>319</v>
      </c>
      <c r="J43" s="1660">
        <v>1497390</v>
      </c>
      <c r="K43" s="1660">
        <v>117917</v>
      </c>
      <c r="L43" s="1660">
        <v>1615307</v>
      </c>
      <c r="M43" s="1660">
        <v>1377</v>
      </c>
      <c r="N43" s="1660">
        <v>108</v>
      </c>
      <c r="O43" s="1661">
        <v>1616792</v>
      </c>
      <c r="P43" s="1653"/>
      <c r="Q43" s="1653"/>
      <c r="R43" s="1653"/>
      <c r="S43" s="1653"/>
      <c r="T43" s="1653"/>
      <c r="U43" s="1653"/>
      <c r="V43" s="1653"/>
      <c r="W43" s="1653"/>
      <c r="X43" s="1653"/>
      <c r="Y43" s="1653"/>
      <c r="Z43" s="1653"/>
      <c r="AA43" s="1653"/>
    </row>
    <row r="44" spans="1:27">
      <c r="A44" s="1653">
        <v>2024</v>
      </c>
      <c r="B44" s="1653">
        <v>10</v>
      </c>
      <c r="C44" s="1722">
        <v>45566</v>
      </c>
      <c r="D44" s="1653"/>
      <c r="E44" s="1659">
        <v>851944</v>
      </c>
      <c r="F44" s="1660">
        <v>690863</v>
      </c>
      <c r="G44" s="1660">
        <v>87021</v>
      </c>
      <c r="H44" s="1660">
        <v>6390</v>
      </c>
      <c r="I44" s="1660">
        <v>509</v>
      </c>
      <c r="J44" s="1660">
        <v>1636727</v>
      </c>
      <c r="K44" s="1660">
        <v>128890</v>
      </c>
      <c r="L44" s="1660">
        <v>1765617</v>
      </c>
      <c r="M44" s="1660">
        <v>1767</v>
      </c>
      <c r="N44" s="1660">
        <v>139</v>
      </c>
      <c r="O44" s="1661">
        <v>1767523</v>
      </c>
      <c r="P44" s="1653"/>
      <c r="Q44" s="1653"/>
      <c r="R44" s="1653"/>
      <c r="S44" s="1653"/>
      <c r="T44" s="1653"/>
      <c r="U44" s="1653"/>
      <c r="V44" s="1653"/>
      <c r="W44" s="1653"/>
      <c r="X44" s="1653"/>
      <c r="Y44" s="1653"/>
      <c r="Z44" s="1653"/>
      <c r="AA44" s="1653"/>
    </row>
    <row r="45" spans="1:27">
      <c r="A45" s="1653">
        <v>2024</v>
      </c>
      <c r="B45" s="1653">
        <v>11</v>
      </c>
      <c r="C45" s="1722">
        <v>45597</v>
      </c>
      <c r="D45" s="1653"/>
      <c r="E45" s="1659">
        <v>1045776</v>
      </c>
      <c r="F45" s="1660">
        <v>716511</v>
      </c>
      <c r="G45" s="1660">
        <v>83187</v>
      </c>
      <c r="H45" s="1660">
        <v>5558</v>
      </c>
      <c r="I45" s="1660">
        <v>712</v>
      </c>
      <c r="J45" s="1660">
        <v>1851744</v>
      </c>
      <c r="K45" s="1660">
        <v>145822</v>
      </c>
      <c r="L45" s="1660">
        <v>1997566</v>
      </c>
      <c r="M45" s="1660">
        <v>1763</v>
      </c>
      <c r="N45" s="1660">
        <v>139</v>
      </c>
      <c r="O45" s="1661">
        <v>1999468</v>
      </c>
      <c r="P45" s="1653"/>
      <c r="Q45" s="1653"/>
      <c r="R45" s="1653"/>
      <c r="S45" s="1653"/>
      <c r="T45" s="1653"/>
      <c r="U45" s="1653"/>
      <c r="V45" s="1653"/>
      <c r="W45" s="1653"/>
      <c r="X45" s="1653"/>
      <c r="Y45" s="1653"/>
      <c r="Z45" s="1653"/>
      <c r="AA45" s="1653"/>
    </row>
    <row r="46" spans="1:27">
      <c r="A46" s="1653">
        <v>2024</v>
      </c>
      <c r="B46" s="1653">
        <v>12</v>
      </c>
      <c r="C46" s="1722">
        <v>45627</v>
      </c>
      <c r="D46" s="1653"/>
      <c r="E46" s="1659">
        <v>1301813</v>
      </c>
      <c r="F46" s="1660">
        <v>812186</v>
      </c>
      <c r="G46" s="1660">
        <v>85787</v>
      </c>
      <c r="H46" s="1660">
        <v>6237</v>
      </c>
      <c r="I46" s="1660">
        <v>926</v>
      </c>
      <c r="J46" s="1660">
        <v>2206949</v>
      </c>
      <c r="K46" s="1660">
        <v>173794</v>
      </c>
      <c r="L46" s="1660">
        <v>2380743</v>
      </c>
      <c r="M46" s="1660">
        <v>1649</v>
      </c>
      <c r="N46" s="1660">
        <v>130</v>
      </c>
      <c r="O46" s="1661">
        <v>2382522</v>
      </c>
      <c r="P46" s="1653"/>
      <c r="Q46" s="1653"/>
      <c r="R46" s="1653"/>
      <c r="S46" s="1653"/>
      <c r="T46" s="1653"/>
      <c r="U46" s="1653"/>
      <c r="V46" s="1653"/>
      <c r="W46" s="1653"/>
      <c r="X46" s="1653"/>
      <c r="Y46" s="1653"/>
      <c r="Z46" s="1653"/>
      <c r="AA46" s="1653"/>
    </row>
    <row r="47" spans="1:27">
      <c r="A47" s="1653">
        <v>2025</v>
      </c>
      <c r="B47" s="1653">
        <v>1</v>
      </c>
      <c r="C47" s="1722">
        <v>45658</v>
      </c>
      <c r="D47" s="1653"/>
      <c r="E47" s="1659">
        <v>1262518</v>
      </c>
      <c r="F47" s="1660">
        <v>803160</v>
      </c>
      <c r="G47" s="1660">
        <v>89089</v>
      </c>
      <c r="H47" s="1660">
        <v>6168</v>
      </c>
      <c r="I47" s="1660">
        <v>1011</v>
      </c>
      <c r="J47" s="1660">
        <v>2161946</v>
      </c>
      <c r="K47" s="1660">
        <v>170250</v>
      </c>
      <c r="L47" s="1660">
        <v>2332196</v>
      </c>
      <c r="M47" s="1660">
        <v>2243</v>
      </c>
      <c r="N47" s="1660">
        <v>177</v>
      </c>
      <c r="O47" s="1661">
        <v>2334616</v>
      </c>
      <c r="P47" s="1653"/>
      <c r="Q47" s="1653"/>
      <c r="R47" s="1653"/>
      <c r="S47" s="1653"/>
      <c r="T47" s="1653"/>
      <c r="U47" s="1653"/>
      <c r="V47" s="1653"/>
      <c r="W47" s="1653"/>
      <c r="X47" s="1653"/>
      <c r="Y47" s="1653"/>
      <c r="Z47" s="1653"/>
      <c r="AA47" s="1653"/>
    </row>
    <row r="48" spans="1:27">
      <c r="A48" s="1653">
        <v>2025</v>
      </c>
      <c r="B48" s="1653">
        <v>2</v>
      </c>
      <c r="C48" s="1722">
        <v>45689</v>
      </c>
      <c r="D48" s="1653"/>
      <c r="E48" s="1659">
        <v>1098018</v>
      </c>
      <c r="F48" s="1660">
        <v>717133</v>
      </c>
      <c r="G48" s="1660">
        <v>81296</v>
      </c>
      <c r="H48" s="1660">
        <v>5287</v>
      </c>
      <c r="I48" s="1660">
        <v>909</v>
      </c>
      <c r="J48" s="1660">
        <v>1902643</v>
      </c>
      <c r="K48" s="1660">
        <v>149831</v>
      </c>
      <c r="L48" s="1660">
        <v>2052474</v>
      </c>
      <c r="M48" s="1660">
        <v>2355</v>
      </c>
      <c r="N48" s="1660">
        <v>185</v>
      </c>
      <c r="O48" s="1661">
        <v>2055014</v>
      </c>
      <c r="P48" s="1653"/>
      <c r="Q48" s="1653"/>
      <c r="R48" s="1653"/>
      <c r="S48" s="1653"/>
      <c r="T48" s="1653"/>
      <c r="U48" s="1653"/>
      <c r="V48" s="1653"/>
      <c r="W48" s="1653"/>
      <c r="X48" s="1653"/>
      <c r="Y48" s="1653"/>
      <c r="Z48" s="1653"/>
      <c r="AA48" s="1653"/>
    </row>
    <row r="49" spans="1:27">
      <c r="A49" s="1653">
        <v>2025</v>
      </c>
      <c r="B49" s="1653">
        <v>3</v>
      </c>
      <c r="C49" s="1722">
        <v>45717</v>
      </c>
      <c r="D49" s="1653"/>
      <c r="E49" s="1659">
        <v>1091784</v>
      </c>
      <c r="F49" s="1660">
        <v>776307</v>
      </c>
      <c r="G49" s="1660">
        <v>89988</v>
      </c>
      <c r="H49" s="1660">
        <v>6188</v>
      </c>
      <c r="I49" s="1660">
        <v>892</v>
      </c>
      <c r="J49" s="1660">
        <v>1965159</v>
      </c>
      <c r="K49" s="1660">
        <v>154754</v>
      </c>
      <c r="L49" s="1660">
        <v>2119913</v>
      </c>
      <c r="M49" s="1660">
        <v>2263</v>
      </c>
      <c r="N49" s="1660">
        <v>178</v>
      </c>
      <c r="O49" s="1661">
        <v>2122354</v>
      </c>
      <c r="P49" s="1653"/>
      <c r="Q49" s="1653"/>
      <c r="R49" s="1653"/>
      <c r="S49" s="1653"/>
      <c r="T49" s="1653"/>
      <c r="U49" s="1653"/>
      <c r="V49" s="1653"/>
      <c r="W49" s="1653"/>
      <c r="X49" s="1653"/>
      <c r="Y49" s="1653"/>
      <c r="Z49" s="1653"/>
      <c r="AA49" s="1653"/>
    </row>
    <row r="50" spans="1:27">
      <c r="A50" s="1653">
        <v>2025</v>
      </c>
      <c r="B50" s="1653">
        <v>4</v>
      </c>
      <c r="C50" s="1722">
        <v>45748</v>
      </c>
      <c r="D50" s="1653"/>
      <c r="E50" s="1659">
        <v>876898</v>
      </c>
      <c r="F50" s="1660">
        <v>688353</v>
      </c>
      <c r="G50" s="1660">
        <v>84404</v>
      </c>
      <c r="H50" s="1660">
        <v>5464</v>
      </c>
      <c r="I50" s="1660">
        <v>730</v>
      </c>
      <c r="J50" s="1660">
        <v>1655849</v>
      </c>
      <c r="K50" s="1660">
        <v>130396</v>
      </c>
      <c r="L50" s="1660">
        <v>1786245</v>
      </c>
      <c r="M50" s="1660">
        <v>2101</v>
      </c>
      <c r="N50" s="1660">
        <v>165</v>
      </c>
      <c r="O50" s="1661">
        <v>1788511</v>
      </c>
      <c r="P50" s="1653"/>
      <c r="Q50" s="1653"/>
      <c r="R50" s="1653"/>
      <c r="S50" s="1653"/>
      <c r="T50" s="1653"/>
      <c r="U50" s="1653"/>
      <c r="V50" s="1653"/>
      <c r="W50" s="1653"/>
      <c r="X50" s="1653"/>
      <c r="Y50" s="1653"/>
      <c r="Z50" s="1653"/>
      <c r="AA50" s="1653"/>
    </row>
    <row r="51" spans="1:27">
      <c r="A51" s="1653">
        <v>2025</v>
      </c>
      <c r="B51" s="1653">
        <v>5</v>
      </c>
      <c r="C51" s="1722">
        <v>45778</v>
      </c>
      <c r="D51" s="1653"/>
      <c r="E51" s="1659">
        <v>763256</v>
      </c>
      <c r="F51" s="1660">
        <v>692160</v>
      </c>
      <c r="G51" s="1660">
        <v>80950</v>
      </c>
      <c r="H51" s="1660">
        <v>5337</v>
      </c>
      <c r="I51" s="1660">
        <v>566</v>
      </c>
      <c r="J51" s="1660">
        <v>1542269</v>
      </c>
      <c r="K51" s="1660">
        <v>121452</v>
      </c>
      <c r="L51" s="1660">
        <v>1663721</v>
      </c>
      <c r="M51" s="1660">
        <v>2097</v>
      </c>
      <c r="N51" s="1660">
        <v>165</v>
      </c>
      <c r="O51" s="1661">
        <v>1665983</v>
      </c>
      <c r="P51" s="1653"/>
      <c r="Q51" s="1653"/>
      <c r="R51" s="1653"/>
      <c r="S51" s="1653"/>
      <c r="T51" s="1653"/>
      <c r="U51" s="1653"/>
      <c r="V51" s="1653"/>
      <c r="W51" s="1653"/>
      <c r="X51" s="1653"/>
      <c r="Y51" s="1653"/>
      <c r="Z51" s="1653"/>
      <c r="AA51" s="1653"/>
    </row>
    <row r="52" spans="1:27">
      <c r="A52" s="1653">
        <v>2025</v>
      </c>
      <c r="B52" s="1653">
        <v>6</v>
      </c>
      <c r="C52" s="1722">
        <v>45809</v>
      </c>
      <c r="D52" s="1653"/>
      <c r="E52" s="1659">
        <v>700055</v>
      </c>
      <c r="F52" s="1660">
        <v>684246</v>
      </c>
      <c r="G52" s="1660">
        <v>88150</v>
      </c>
      <c r="H52" s="1660">
        <v>4766</v>
      </c>
      <c r="I52" s="1660">
        <v>431</v>
      </c>
      <c r="J52" s="1660">
        <v>1477648</v>
      </c>
      <c r="K52" s="1660">
        <v>116363</v>
      </c>
      <c r="L52" s="1660">
        <v>1594011</v>
      </c>
      <c r="M52" s="1660">
        <v>1727</v>
      </c>
      <c r="N52" s="1660">
        <v>136</v>
      </c>
      <c r="O52" s="1661">
        <v>1595874</v>
      </c>
      <c r="P52" s="1653"/>
      <c r="Q52" s="1653"/>
      <c r="R52" s="1653"/>
      <c r="S52" s="1653"/>
      <c r="T52" s="1653"/>
      <c r="U52" s="1653"/>
      <c r="V52" s="1653"/>
      <c r="W52" s="1653"/>
      <c r="X52" s="1653"/>
      <c r="Y52" s="1653"/>
      <c r="Z52" s="1653"/>
      <c r="AA52" s="1653"/>
    </row>
    <row r="53" spans="1:27">
      <c r="A53" s="1653">
        <v>2025</v>
      </c>
      <c r="B53" s="1653">
        <v>7</v>
      </c>
      <c r="C53" s="1722">
        <v>45839</v>
      </c>
      <c r="D53" s="1653"/>
      <c r="E53" s="1659">
        <v>793443</v>
      </c>
      <c r="F53" s="1660">
        <v>755932</v>
      </c>
      <c r="G53" s="1660">
        <v>90507</v>
      </c>
      <c r="H53" s="1660">
        <v>5640</v>
      </c>
      <c r="I53" s="1660">
        <v>291</v>
      </c>
      <c r="J53" s="1660">
        <v>1645813</v>
      </c>
      <c r="K53" s="1660">
        <v>129606</v>
      </c>
      <c r="L53" s="1660">
        <v>1775419</v>
      </c>
      <c r="M53" s="1660">
        <v>2779</v>
      </c>
      <c r="N53" s="1660">
        <v>219</v>
      </c>
      <c r="O53" s="1661">
        <v>1778417</v>
      </c>
      <c r="P53" s="1653"/>
      <c r="Q53" s="1653"/>
      <c r="R53" s="1653"/>
      <c r="S53" s="1653"/>
      <c r="T53" s="1653"/>
      <c r="U53" s="1653"/>
      <c r="V53" s="1653"/>
      <c r="W53" s="1653"/>
      <c r="X53" s="1653"/>
      <c r="Y53" s="1653"/>
      <c r="Z53" s="1653"/>
      <c r="AA53" s="1653"/>
    </row>
    <row r="54" spans="1:27">
      <c r="A54" s="1653">
        <v>2025</v>
      </c>
      <c r="B54" s="1653">
        <v>8</v>
      </c>
      <c r="C54" s="1722">
        <v>45870</v>
      </c>
      <c r="D54" s="1653"/>
      <c r="E54" s="1659">
        <v>799801</v>
      </c>
      <c r="F54" s="1660">
        <v>759621</v>
      </c>
      <c r="G54" s="1660">
        <v>91131</v>
      </c>
      <c r="H54" s="1660">
        <v>5224</v>
      </c>
      <c r="I54" s="1660">
        <v>290</v>
      </c>
      <c r="J54" s="1660">
        <v>1656067</v>
      </c>
      <c r="K54" s="1660">
        <v>130413</v>
      </c>
      <c r="L54" s="1660">
        <v>1786480</v>
      </c>
      <c r="M54" s="1660">
        <v>1579</v>
      </c>
      <c r="N54" s="1660">
        <v>124</v>
      </c>
      <c r="O54" s="1661">
        <v>1788183</v>
      </c>
      <c r="P54" s="1653"/>
      <c r="Q54" s="1653"/>
      <c r="R54" s="1653"/>
      <c r="S54" s="1653"/>
      <c r="T54" s="1653"/>
      <c r="U54" s="1653"/>
      <c r="V54" s="1653"/>
      <c r="W54" s="1653"/>
      <c r="X54" s="1653"/>
      <c r="Y54" s="1653"/>
      <c r="Z54" s="1653"/>
      <c r="AA54" s="1653"/>
    </row>
    <row r="55" spans="1:27">
      <c r="A55" s="1653">
        <v>2025</v>
      </c>
      <c r="B55" s="1653">
        <v>9</v>
      </c>
      <c r="C55" s="1722">
        <v>45901</v>
      </c>
      <c r="D55" s="1653"/>
      <c r="E55" s="1659">
        <v>728083</v>
      </c>
      <c r="F55" s="1660">
        <v>685295</v>
      </c>
      <c r="G55" s="1660">
        <v>85824</v>
      </c>
      <c r="H55" s="1660">
        <v>5393</v>
      </c>
      <c r="I55" s="1660">
        <v>319</v>
      </c>
      <c r="J55" s="1660">
        <v>1504914</v>
      </c>
      <c r="K55" s="1660">
        <v>118510</v>
      </c>
      <c r="L55" s="1660">
        <v>1623424</v>
      </c>
      <c r="M55" s="1660">
        <v>1377</v>
      </c>
      <c r="N55" s="1660">
        <v>108</v>
      </c>
      <c r="O55" s="1661">
        <v>1624909</v>
      </c>
      <c r="P55" s="1653"/>
      <c r="Q55" s="1653"/>
      <c r="R55" s="1653"/>
      <c r="S55" s="1653"/>
      <c r="T55" s="1653"/>
      <c r="U55" s="1653"/>
      <c r="V55" s="1653"/>
      <c r="W55" s="1653"/>
      <c r="X55" s="1653"/>
      <c r="Y55" s="1653"/>
      <c r="Z55" s="1653"/>
      <c r="AA55" s="1653"/>
    </row>
    <row r="56" spans="1:27">
      <c r="A56" s="1653">
        <v>2025</v>
      </c>
      <c r="B56" s="1653">
        <v>10</v>
      </c>
      <c r="C56" s="1722">
        <v>45931</v>
      </c>
      <c r="D56" s="1653"/>
      <c r="E56" s="1659">
        <v>857008</v>
      </c>
      <c r="F56" s="1660">
        <v>694844</v>
      </c>
      <c r="G56" s="1660">
        <v>85578</v>
      </c>
      <c r="H56" s="1660">
        <v>6234</v>
      </c>
      <c r="I56" s="1660">
        <v>509</v>
      </c>
      <c r="J56" s="1660">
        <v>1644173</v>
      </c>
      <c r="K56" s="1660">
        <v>129476</v>
      </c>
      <c r="L56" s="1660">
        <v>1773649</v>
      </c>
      <c r="M56" s="1660">
        <v>1767</v>
      </c>
      <c r="N56" s="1660">
        <v>139</v>
      </c>
      <c r="O56" s="1661">
        <v>1775555</v>
      </c>
      <c r="P56" s="1653"/>
      <c r="Q56" s="1653"/>
      <c r="R56" s="1653"/>
      <c r="S56" s="1653"/>
      <c r="T56" s="1653"/>
      <c r="U56" s="1653"/>
      <c r="V56" s="1653"/>
      <c r="W56" s="1653"/>
      <c r="X56" s="1653"/>
      <c r="Y56" s="1653"/>
      <c r="Z56" s="1653"/>
      <c r="AA56" s="1653"/>
    </row>
    <row r="57" spans="1:27">
      <c r="A57" s="1653">
        <v>2025</v>
      </c>
      <c r="B57" s="1653">
        <v>11</v>
      </c>
      <c r="C57" s="1722">
        <v>45962</v>
      </c>
      <c r="D57" s="1653"/>
      <c r="E57" s="1659">
        <v>1047620</v>
      </c>
      <c r="F57" s="1660">
        <v>721532</v>
      </c>
      <c r="G57" s="1660">
        <v>82067</v>
      </c>
      <c r="H57" s="1660">
        <v>5405</v>
      </c>
      <c r="I57" s="1660">
        <v>710</v>
      </c>
      <c r="J57" s="1660">
        <v>1857334</v>
      </c>
      <c r="K57" s="1660">
        <v>146263</v>
      </c>
      <c r="L57" s="1660">
        <v>2003597</v>
      </c>
      <c r="M57" s="1660">
        <v>1763</v>
      </c>
      <c r="N57" s="1660">
        <v>139</v>
      </c>
      <c r="O57" s="1661">
        <v>2005499</v>
      </c>
      <c r="P57" s="1653"/>
      <c r="Q57" s="1653"/>
      <c r="R57" s="1653"/>
      <c r="S57" s="1653"/>
      <c r="T57" s="1653"/>
      <c r="U57" s="1653"/>
      <c r="V57" s="1653"/>
      <c r="W57" s="1653"/>
      <c r="X57" s="1653"/>
      <c r="Y57" s="1653"/>
      <c r="Z57" s="1653"/>
      <c r="AA57" s="1653"/>
    </row>
    <row r="58" spans="1:27">
      <c r="A58" s="1653">
        <v>2025</v>
      </c>
      <c r="B58" s="1653">
        <v>12</v>
      </c>
      <c r="C58" s="1722">
        <v>45992</v>
      </c>
      <c r="D58" s="1653"/>
      <c r="E58" s="1659">
        <v>1302773</v>
      </c>
      <c r="F58" s="1660">
        <v>818383</v>
      </c>
      <c r="G58" s="1660">
        <v>84630</v>
      </c>
      <c r="H58" s="1660">
        <v>6072</v>
      </c>
      <c r="I58" s="1660">
        <v>921</v>
      </c>
      <c r="J58" s="1660">
        <v>2212779</v>
      </c>
      <c r="K58" s="1660">
        <v>174253</v>
      </c>
      <c r="L58" s="1660">
        <v>2387032</v>
      </c>
      <c r="M58" s="1660">
        <v>1649</v>
      </c>
      <c r="N58" s="1660">
        <v>130</v>
      </c>
      <c r="O58" s="1661">
        <v>2388811</v>
      </c>
      <c r="P58" s="1653"/>
      <c r="Q58" s="1653"/>
      <c r="R58" s="1653"/>
      <c r="S58" s="1653"/>
      <c r="T58" s="1653"/>
      <c r="U58" s="1653"/>
      <c r="V58" s="1653"/>
      <c r="W58" s="1653"/>
      <c r="X58" s="1653"/>
      <c r="Y58" s="1653"/>
      <c r="Z58" s="1653"/>
      <c r="AA58" s="1653"/>
    </row>
    <row r="59" spans="1:27">
      <c r="A59" s="1653">
        <v>2026</v>
      </c>
      <c r="B59" s="1653">
        <v>1</v>
      </c>
      <c r="C59" s="1722">
        <v>46023</v>
      </c>
      <c r="D59" s="1653"/>
      <c r="E59" s="1659">
        <v>1277994</v>
      </c>
      <c r="F59" s="1660">
        <v>813368</v>
      </c>
      <c r="G59" s="1660">
        <v>87695</v>
      </c>
      <c r="H59" s="1660">
        <v>6041</v>
      </c>
      <c r="I59" s="1660">
        <v>1014</v>
      </c>
      <c r="J59" s="1660">
        <v>2186112</v>
      </c>
      <c r="K59" s="1660">
        <v>172153</v>
      </c>
      <c r="L59" s="1660">
        <v>2358265</v>
      </c>
      <c r="M59" s="1660">
        <v>2243</v>
      </c>
      <c r="N59" s="1660">
        <v>177</v>
      </c>
      <c r="O59" s="1661">
        <v>2360685</v>
      </c>
      <c r="P59" s="1653"/>
      <c r="Q59" s="1653"/>
      <c r="R59" s="1653"/>
      <c r="S59" s="1653"/>
      <c r="T59" s="1653"/>
      <c r="U59" s="1653"/>
      <c r="V59" s="1653"/>
      <c r="W59" s="1653"/>
      <c r="X59" s="1653"/>
      <c r="Y59" s="1653"/>
      <c r="Z59" s="1653"/>
      <c r="AA59" s="1653"/>
    </row>
    <row r="60" spans="1:27">
      <c r="A60" s="1653">
        <v>2026</v>
      </c>
      <c r="B60" s="1653">
        <v>2</v>
      </c>
      <c r="C60" s="1722">
        <v>46054</v>
      </c>
      <c r="D60" s="1653"/>
      <c r="E60" s="1659">
        <v>1107050</v>
      </c>
      <c r="F60" s="1660">
        <v>724524</v>
      </c>
      <c r="G60" s="1660">
        <v>80081</v>
      </c>
      <c r="H60" s="1660">
        <v>5183</v>
      </c>
      <c r="I60" s="1660">
        <v>910</v>
      </c>
      <c r="J60" s="1660">
        <v>1917748</v>
      </c>
      <c r="K60" s="1660">
        <v>151020</v>
      </c>
      <c r="L60" s="1660">
        <v>2068768</v>
      </c>
      <c r="M60" s="1660">
        <v>2439</v>
      </c>
      <c r="N60" s="1660">
        <v>192</v>
      </c>
      <c r="O60" s="1661">
        <v>2071399</v>
      </c>
      <c r="P60" s="1653"/>
      <c r="Q60" s="1653"/>
      <c r="R60" s="1653"/>
      <c r="S60" s="1653"/>
      <c r="T60" s="1653"/>
      <c r="U60" s="1653"/>
      <c r="V60" s="1653"/>
      <c r="W60" s="1653"/>
      <c r="X60" s="1653"/>
      <c r="Y60" s="1653"/>
      <c r="Z60" s="1653"/>
      <c r="AA60" s="1653"/>
    </row>
    <row r="61" spans="1:27">
      <c r="A61" s="1653">
        <v>2026</v>
      </c>
      <c r="B61" s="1653">
        <v>3</v>
      </c>
      <c r="C61" s="1722">
        <v>46082</v>
      </c>
      <c r="D61" s="1653"/>
      <c r="E61" s="1659">
        <v>1101749</v>
      </c>
      <c r="F61" s="1660">
        <v>783754</v>
      </c>
      <c r="G61" s="1660">
        <v>88471</v>
      </c>
      <c r="H61" s="1660">
        <v>6078</v>
      </c>
      <c r="I61" s="1660">
        <v>892</v>
      </c>
      <c r="J61" s="1660">
        <v>1980944</v>
      </c>
      <c r="K61" s="1660">
        <v>155997</v>
      </c>
      <c r="L61" s="1660">
        <v>2136941</v>
      </c>
      <c r="M61" s="1660">
        <v>2263</v>
      </c>
      <c r="N61" s="1660">
        <v>178</v>
      </c>
      <c r="O61" s="1661">
        <v>2139382</v>
      </c>
      <c r="P61" s="1653"/>
      <c r="Q61" s="1653"/>
      <c r="R61" s="1653"/>
      <c r="S61" s="1653"/>
      <c r="T61" s="1653"/>
      <c r="U61" s="1653"/>
      <c r="V61" s="1653"/>
      <c r="W61" s="1653"/>
      <c r="X61" s="1653"/>
      <c r="Y61" s="1653"/>
      <c r="Z61" s="1653"/>
      <c r="AA61" s="1653"/>
    </row>
    <row r="62" spans="1:27">
      <c r="A62" s="1653">
        <v>2026</v>
      </c>
      <c r="B62" s="1653">
        <v>4</v>
      </c>
      <c r="C62" s="1722">
        <v>46113</v>
      </c>
      <c r="D62" s="1653"/>
      <c r="E62" s="1659">
        <v>883393</v>
      </c>
      <c r="F62" s="1660">
        <v>693390</v>
      </c>
      <c r="G62" s="1660">
        <v>82939</v>
      </c>
      <c r="H62" s="1660">
        <v>5380</v>
      </c>
      <c r="I62" s="1660">
        <v>729</v>
      </c>
      <c r="J62" s="1660">
        <v>1665831</v>
      </c>
      <c r="K62" s="1660">
        <v>131182</v>
      </c>
      <c r="L62" s="1660">
        <v>1797013</v>
      </c>
      <c r="M62" s="1660">
        <v>2101</v>
      </c>
      <c r="N62" s="1660">
        <v>165</v>
      </c>
      <c r="O62" s="1661">
        <v>1799279</v>
      </c>
      <c r="P62" s="1653"/>
      <c r="Q62" s="1653"/>
      <c r="R62" s="1653"/>
      <c r="S62" s="1653"/>
      <c r="T62" s="1653"/>
      <c r="U62" s="1653"/>
      <c r="V62" s="1653"/>
      <c r="W62" s="1653"/>
      <c r="X62" s="1653"/>
      <c r="Y62" s="1653"/>
      <c r="Z62" s="1653"/>
      <c r="AA62" s="1653"/>
    </row>
    <row r="63" spans="1:27">
      <c r="A63" s="1653">
        <v>2026</v>
      </c>
      <c r="B63" s="1653">
        <v>5</v>
      </c>
      <c r="C63" s="1722">
        <v>46143</v>
      </c>
      <c r="D63" s="1653"/>
      <c r="E63" s="1659">
        <v>768801</v>
      </c>
      <c r="F63" s="1660">
        <v>695930</v>
      </c>
      <c r="G63" s="1660">
        <v>79543</v>
      </c>
      <c r="H63" s="1660">
        <v>5264</v>
      </c>
      <c r="I63" s="1660">
        <v>564</v>
      </c>
      <c r="J63" s="1660">
        <v>1550102</v>
      </c>
      <c r="K63" s="1660">
        <v>122068</v>
      </c>
      <c r="L63" s="1660">
        <v>1672170</v>
      </c>
      <c r="M63" s="1660">
        <v>2097</v>
      </c>
      <c r="N63" s="1660">
        <v>165</v>
      </c>
      <c r="O63" s="1661">
        <v>1674432</v>
      </c>
      <c r="P63" s="1653"/>
      <c r="Q63" s="1653"/>
      <c r="R63" s="1653"/>
      <c r="S63" s="1653"/>
      <c r="T63" s="1653"/>
      <c r="U63" s="1653"/>
      <c r="V63" s="1653"/>
      <c r="W63" s="1653"/>
      <c r="X63" s="1653"/>
      <c r="Y63" s="1653"/>
      <c r="Z63" s="1653"/>
      <c r="AA63" s="1653"/>
    </row>
    <row r="64" spans="1:27">
      <c r="A64" s="1653">
        <v>2026</v>
      </c>
      <c r="B64" s="1653">
        <v>6</v>
      </c>
      <c r="C64" s="1722">
        <v>46174</v>
      </c>
      <c r="D64" s="1653"/>
      <c r="E64" s="1659">
        <v>708709</v>
      </c>
      <c r="F64" s="1660">
        <v>688099</v>
      </c>
      <c r="G64" s="1660">
        <v>87018</v>
      </c>
      <c r="H64" s="1660">
        <v>4691</v>
      </c>
      <c r="I64" s="1660">
        <v>430</v>
      </c>
      <c r="J64" s="1660">
        <v>1488947</v>
      </c>
      <c r="K64" s="1660">
        <v>117253</v>
      </c>
      <c r="L64" s="1660">
        <v>1606200</v>
      </c>
      <c r="M64" s="1660">
        <v>1727</v>
      </c>
      <c r="N64" s="1660">
        <v>136</v>
      </c>
      <c r="O64" s="1661">
        <v>1608063</v>
      </c>
      <c r="P64" s="1653"/>
      <c r="Q64" s="1653"/>
      <c r="R64" s="1653"/>
      <c r="S64" s="1653"/>
      <c r="T64" s="1653"/>
      <c r="U64" s="1653"/>
      <c r="V64" s="1653"/>
      <c r="W64" s="1653"/>
      <c r="X64" s="1653"/>
      <c r="Y64" s="1653"/>
      <c r="Z64" s="1653"/>
      <c r="AA64" s="1653"/>
    </row>
    <row r="65" spans="1:27">
      <c r="A65" s="1653">
        <v>2026</v>
      </c>
      <c r="B65" s="1653">
        <v>7</v>
      </c>
      <c r="C65" s="1722">
        <v>46204</v>
      </c>
      <c r="D65" s="1653"/>
      <c r="E65" s="1659">
        <v>805215</v>
      </c>
      <c r="F65" s="1660">
        <v>761072</v>
      </c>
      <c r="G65" s="1660">
        <v>89449</v>
      </c>
      <c r="H65" s="1660">
        <v>5533</v>
      </c>
      <c r="I65" s="1660">
        <v>291</v>
      </c>
      <c r="J65" s="1660">
        <v>1661560</v>
      </c>
      <c r="K65" s="1660">
        <v>130846</v>
      </c>
      <c r="L65" s="1660">
        <v>1792406</v>
      </c>
      <c r="M65" s="1660">
        <v>2779</v>
      </c>
      <c r="N65" s="1660">
        <v>219</v>
      </c>
      <c r="O65" s="1661">
        <v>1795404</v>
      </c>
      <c r="P65" s="1653"/>
      <c r="Q65" s="1653"/>
      <c r="R65" s="1653"/>
      <c r="S65" s="1653"/>
      <c r="T65" s="1653"/>
      <c r="U65" s="1653"/>
      <c r="V65" s="1653"/>
      <c r="W65" s="1653"/>
      <c r="X65" s="1653"/>
      <c r="Y65" s="1653"/>
      <c r="Z65" s="1653"/>
      <c r="AA65" s="1653"/>
    </row>
    <row r="66" spans="1:27">
      <c r="A66" s="1653">
        <v>2026</v>
      </c>
      <c r="B66" s="1653">
        <v>8</v>
      </c>
      <c r="C66" s="1722">
        <v>46235</v>
      </c>
      <c r="D66" s="1653"/>
      <c r="E66" s="1659">
        <v>812791</v>
      </c>
      <c r="F66" s="1660">
        <v>764274</v>
      </c>
      <c r="G66" s="1660">
        <v>89690</v>
      </c>
      <c r="H66" s="1660">
        <v>5118</v>
      </c>
      <c r="I66" s="1660">
        <v>290</v>
      </c>
      <c r="J66" s="1660">
        <v>1672163</v>
      </c>
      <c r="K66" s="1660">
        <v>131681</v>
      </c>
      <c r="L66" s="1660">
        <v>1803844</v>
      </c>
      <c r="M66" s="1660">
        <v>1579</v>
      </c>
      <c r="N66" s="1660">
        <v>124</v>
      </c>
      <c r="O66" s="1661">
        <v>1805547</v>
      </c>
      <c r="P66" s="1653"/>
      <c r="Q66" s="1653"/>
      <c r="R66" s="1653"/>
      <c r="S66" s="1653"/>
      <c r="T66" s="1653"/>
      <c r="U66" s="1653"/>
      <c r="V66" s="1653"/>
      <c r="W66" s="1653"/>
      <c r="X66" s="1653"/>
      <c r="Y66" s="1653"/>
      <c r="Z66" s="1653"/>
      <c r="AA66" s="1653"/>
    </row>
    <row r="67" spans="1:27">
      <c r="A67" s="1653">
        <v>2026</v>
      </c>
      <c r="B67" s="1653">
        <v>9</v>
      </c>
      <c r="C67" s="1722">
        <v>46266</v>
      </c>
      <c r="D67" s="1653"/>
      <c r="E67" s="1659">
        <v>739196</v>
      </c>
      <c r="F67" s="1660">
        <v>689650</v>
      </c>
      <c r="G67" s="1660">
        <v>84463</v>
      </c>
      <c r="H67" s="1660">
        <v>5271</v>
      </c>
      <c r="I67" s="1660">
        <v>319</v>
      </c>
      <c r="J67" s="1660">
        <v>1518899</v>
      </c>
      <c r="K67" s="1660">
        <v>119611</v>
      </c>
      <c r="L67" s="1660">
        <v>1638510</v>
      </c>
      <c r="M67" s="1660">
        <v>1377</v>
      </c>
      <c r="N67" s="1660">
        <v>108</v>
      </c>
      <c r="O67" s="1661">
        <v>1639995</v>
      </c>
      <c r="P67" s="1653"/>
      <c r="Q67" s="1653"/>
      <c r="R67" s="1653"/>
      <c r="S67" s="1653"/>
      <c r="T67" s="1653"/>
      <c r="U67" s="1653"/>
      <c r="V67" s="1653"/>
      <c r="W67" s="1653"/>
      <c r="X67" s="1653"/>
      <c r="Y67" s="1653"/>
      <c r="Z67" s="1653"/>
      <c r="AA67" s="1653"/>
    </row>
    <row r="68" spans="1:27">
      <c r="A68" s="1653">
        <v>2026</v>
      </c>
      <c r="B68" s="1653">
        <v>10</v>
      </c>
      <c r="C68" s="1722">
        <v>46296</v>
      </c>
      <c r="D68" s="1653"/>
      <c r="E68" s="1659">
        <v>865581</v>
      </c>
      <c r="F68" s="1660">
        <v>699701</v>
      </c>
      <c r="G68" s="1660">
        <v>83909</v>
      </c>
      <c r="H68" s="1660">
        <v>6068</v>
      </c>
      <c r="I68" s="1660">
        <v>508</v>
      </c>
      <c r="J68" s="1660">
        <v>1655767</v>
      </c>
      <c r="K68" s="1660">
        <v>130389</v>
      </c>
      <c r="L68" s="1660">
        <v>1786156</v>
      </c>
      <c r="M68" s="1660">
        <v>1767</v>
      </c>
      <c r="N68" s="1660">
        <v>139</v>
      </c>
      <c r="O68" s="1661">
        <v>1788062</v>
      </c>
      <c r="P68" s="1653"/>
      <c r="Q68" s="1653"/>
      <c r="R68" s="1653"/>
      <c r="S68" s="1653"/>
      <c r="T68" s="1653"/>
      <c r="U68" s="1653"/>
      <c r="V68" s="1653"/>
      <c r="W68" s="1653"/>
      <c r="X68" s="1653"/>
      <c r="Y68" s="1653"/>
      <c r="Z68" s="1653"/>
      <c r="AA68" s="1653"/>
    </row>
    <row r="69" spans="1:27">
      <c r="A69" s="1653">
        <v>2026</v>
      </c>
      <c r="B69" s="1653">
        <v>11</v>
      </c>
      <c r="C69" s="1722">
        <v>46327</v>
      </c>
      <c r="D69" s="1653"/>
      <c r="E69" s="1659">
        <v>1055172</v>
      </c>
      <c r="F69" s="1660">
        <v>728184</v>
      </c>
      <c r="G69" s="1660">
        <v>80469</v>
      </c>
      <c r="H69" s="1660">
        <v>5246</v>
      </c>
      <c r="I69" s="1660">
        <v>708</v>
      </c>
      <c r="J69" s="1660">
        <v>1869779</v>
      </c>
      <c r="K69" s="1660">
        <v>147243</v>
      </c>
      <c r="L69" s="1660">
        <v>2017022</v>
      </c>
      <c r="M69" s="1660">
        <v>1763</v>
      </c>
      <c r="N69" s="1660">
        <v>139</v>
      </c>
      <c r="O69" s="1661">
        <v>2018924</v>
      </c>
      <c r="P69" s="1653"/>
      <c r="Q69" s="1653"/>
      <c r="R69" s="1653"/>
      <c r="S69" s="1653"/>
      <c r="T69" s="1653"/>
      <c r="U69" s="1653"/>
      <c r="V69" s="1653"/>
      <c r="W69" s="1653"/>
      <c r="X69" s="1653"/>
      <c r="Y69" s="1653"/>
      <c r="Z69" s="1653"/>
      <c r="AA69" s="1653"/>
    </row>
    <row r="70" spans="1:27">
      <c r="A70" s="1653">
        <v>2026</v>
      </c>
      <c r="B70" s="1653">
        <v>12</v>
      </c>
      <c r="C70" s="1722">
        <v>46357</v>
      </c>
      <c r="D70" s="1653"/>
      <c r="E70" s="1659">
        <v>1313689</v>
      </c>
      <c r="F70" s="1660">
        <v>829083</v>
      </c>
      <c r="G70" s="1660">
        <v>82943</v>
      </c>
      <c r="H70" s="1660">
        <v>5905</v>
      </c>
      <c r="I70" s="1660">
        <v>920</v>
      </c>
      <c r="J70" s="1660">
        <v>2232540</v>
      </c>
      <c r="K70" s="1660">
        <v>175810</v>
      </c>
      <c r="L70" s="1660">
        <v>2408350</v>
      </c>
      <c r="M70" s="1660">
        <v>1649</v>
      </c>
      <c r="N70" s="1660">
        <v>130</v>
      </c>
      <c r="O70" s="1661">
        <v>2410129</v>
      </c>
      <c r="P70" s="1653"/>
      <c r="Q70" s="1653"/>
      <c r="R70" s="1653"/>
      <c r="S70" s="1653"/>
      <c r="T70" s="1653"/>
      <c r="U70" s="1653"/>
      <c r="V70" s="1653"/>
      <c r="W70" s="1653"/>
      <c r="X70" s="1653"/>
      <c r="Y70" s="1653"/>
      <c r="Z70" s="1653"/>
      <c r="AA70" s="1653"/>
    </row>
    <row r="71" spans="1:27">
      <c r="A71" s="1653">
        <v>2027</v>
      </c>
      <c r="B71" s="1653">
        <v>1</v>
      </c>
      <c r="C71" s="1722">
        <v>46388</v>
      </c>
      <c r="D71" s="1653"/>
      <c r="E71" s="1659">
        <v>1287531</v>
      </c>
      <c r="F71" s="1660">
        <v>819529</v>
      </c>
      <c r="G71" s="1660">
        <v>86134</v>
      </c>
      <c r="H71" s="1660">
        <v>5915</v>
      </c>
      <c r="I71" s="1660">
        <v>1014</v>
      </c>
      <c r="J71" s="1660">
        <v>2200123</v>
      </c>
      <c r="K71" s="1660">
        <v>173257</v>
      </c>
      <c r="L71" s="1660">
        <v>2373380</v>
      </c>
      <c r="M71" s="1660">
        <v>2243</v>
      </c>
      <c r="N71" s="1660">
        <v>177</v>
      </c>
      <c r="O71" s="1661">
        <v>2375800</v>
      </c>
      <c r="P71" s="1653"/>
      <c r="Q71" s="1653"/>
      <c r="R71" s="1653"/>
      <c r="S71" s="1653"/>
      <c r="T71" s="1653"/>
      <c r="U71" s="1653"/>
      <c r="V71" s="1653"/>
      <c r="W71" s="1653"/>
      <c r="X71" s="1653"/>
      <c r="Y71" s="1653"/>
      <c r="Z71" s="1653"/>
      <c r="AA71" s="1653"/>
    </row>
    <row r="72" spans="1:27">
      <c r="A72" s="1653">
        <v>2027</v>
      </c>
      <c r="B72" s="1653">
        <v>2</v>
      </c>
      <c r="C72" s="1722">
        <v>46419</v>
      </c>
      <c r="D72" s="1653"/>
      <c r="E72" s="1659">
        <v>1108432</v>
      </c>
      <c r="F72" s="1660">
        <v>727654</v>
      </c>
      <c r="G72" s="1660">
        <v>78416</v>
      </c>
      <c r="H72" s="1660">
        <v>5081</v>
      </c>
      <c r="I72" s="1660">
        <v>904</v>
      </c>
      <c r="J72" s="1660">
        <v>1920487</v>
      </c>
      <c r="K72" s="1660">
        <v>151236</v>
      </c>
      <c r="L72" s="1660">
        <v>2071723</v>
      </c>
      <c r="M72" s="1660">
        <v>2355</v>
      </c>
      <c r="N72" s="1660">
        <v>185</v>
      </c>
      <c r="O72" s="1661">
        <v>2074263</v>
      </c>
      <c r="P72" s="1653"/>
      <c r="Q72" s="1653"/>
      <c r="R72" s="1653"/>
      <c r="S72" s="1653"/>
      <c r="T72" s="1653"/>
      <c r="U72" s="1653"/>
      <c r="V72" s="1653"/>
      <c r="W72" s="1653"/>
      <c r="X72" s="1653"/>
      <c r="Y72" s="1653"/>
      <c r="Z72" s="1653"/>
      <c r="AA72" s="1653"/>
    </row>
    <row r="73" spans="1:27">
      <c r="A73" s="1653">
        <v>2027</v>
      </c>
      <c r="B73" s="1653">
        <v>3</v>
      </c>
      <c r="C73" s="1722">
        <v>46447</v>
      </c>
      <c r="D73" s="1653"/>
      <c r="E73" s="1659">
        <v>1109092</v>
      </c>
      <c r="F73" s="1660">
        <v>787882</v>
      </c>
      <c r="G73" s="1660">
        <v>86577</v>
      </c>
      <c r="H73" s="1660">
        <v>5973</v>
      </c>
      <c r="I73" s="1660">
        <v>889</v>
      </c>
      <c r="J73" s="1660">
        <v>1990413</v>
      </c>
      <c r="K73" s="1660">
        <v>156742</v>
      </c>
      <c r="L73" s="1660">
        <v>2147155</v>
      </c>
      <c r="M73" s="1660">
        <v>2263</v>
      </c>
      <c r="N73" s="1660">
        <v>178</v>
      </c>
      <c r="O73" s="1661">
        <v>2149596</v>
      </c>
      <c r="P73" s="1653"/>
      <c r="Q73" s="1653"/>
      <c r="R73" s="1653"/>
      <c r="S73" s="1653"/>
      <c r="T73" s="1653"/>
      <c r="U73" s="1653"/>
      <c r="V73" s="1653"/>
      <c r="W73" s="1653"/>
      <c r="X73" s="1653"/>
      <c r="Y73" s="1653"/>
      <c r="Z73" s="1653"/>
      <c r="AA73" s="1653"/>
    </row>
    <row r="74" spans="1:27">
      <c r="A74" s="1653">
        <v>2027</v>
      </c>
      <c r="B74" s="1653">
        <v>4</v>
      </c>
      <c r="C74" s="1722">
        <v>46478</v>
      </c>
      <c r="D74" s="1653"/>
      <c r="E74" s="1659">
        <v>888537</v>
      </c>
      <c r="F74" s="1660">
        <v>696245</v>
      </c>
      <c r="G74" s="1660">
        <v>81138</v>
      </c>
      <c r="H74" s="1660">
        <v>5299</v>
      </c>
      <c r="I74" s="1660">
        <v>725</v>
      </c>
      <c r="J74" s="1660">
        <v>1671944</v>
      </c>
      <c r="K74" s="1660">
        <v>131663</v>
      </c>
      <c r="L74" s="1660">
        <v>1803607</v>
      </c>
      <c r="M74" s="1660">
        <v>2101</v>
      </c>
      <c r="N74" s="1660">
        <v>165</v>
      </c>
      <c r="O74" s="1661">
        <v>1805873</v>
      </c>
      <c r="P74" s="1653"/>
      <c r="Q74" s="1653"/>
      <c r="R74" s="1653"/>
      <c r="S74" s="1653"/>
      <c r="T74" s="1653"/>
      <c r="U74" s="1653"/>
      <c r="V74" s="1653"/>
      <c r="W74" s="1653"/>
      <c r="X74" s="1653"/>
      <c r="Y74" s="1653"/>
      <c r="Z74" s="1653"/>
      <c r="AA74" s="1653"/>
    </row>
    <row r="75" spans="1:27">
      <c r="A75" s="1653">
        <v>2027</v>
      </c>
      <c r="B75" s="1653">
        <v>5</v>
      </c>
      <c r="C75" s="1722">
        <v>46508</v>
      </c>
      <c r="D75" s="1653"/>
      <c r="E75" s="1659">
        <v>776913</v>
      </c>
      <c r="F75" s="1660">
        <v>699082</v>
      </c>
      <c r="G75" s="1660">
        <v>77769</v>
      </c>
      <c r="H75" s="1660">
        <v>5197</v>
      </c>
      <c r="I75" s="1660">
        <v>562</v>
      </c>
      <c r="J75" s="1660">
        <v>1559523</v>
      </c>
      <c r="K75" s="1660">
        <v>122810</v>
      </c>
      <c r="L75" s="1660">
        <v>1682333</v>
      </c>
      <c r="M75" s="1660">
        <v>2097</v>
      </c>
      <c r="N75" s="1660">
        <v>165</v>
      </c>
      <c r="O75" s="1661">
        <v>1684595</v>
      </c>
      <c r="P75" s="1653"/>
      <c r="Q75" s="1653"/>
      <c r="R75" s="1653"/>
      <c r="S75" s="1653"/>
      <c r="T75" s="1653"/>
      <c r="U75" s="1653"/>
      <c r="V75" s="1653"/>
      <c r="W75" s="1653"/>
      <c r="X75" s="1653"/>
      <c r="Y75" s="1653"/>
      <c r="Z75" s="1653"/>
      <c r="AA75" s="1653"/>
    </row>
    <row r="76" spans="1:27">
      <c r="A76" s="1653">
        <v>2027</v>
      </c>
      <c r="B76" s="1653">
        <v>6</v>
      </c>
      <c r="C76" s="1722">
        <v>46539</v>
      </c>
      <c r="D76" s="1653"/>
      <c r="E76" s="1659">
        <v>720628</v>
      </c>
      <c r="F76" s="1660">
        <v>691401</v>
      </c>
      <c r="G76" s="1660">
        <v>85217</v>
      </c>
      <c r="H76" s="1660">
        <v>4623</v>
      </c>
      <c r="I76" s="1660">
        <v>430</v>
      </c>
      <c r="J76" s="1660">
        <v>1502299</v>
      </c>
      <c r="K76" s="1660">
        <v>118304</v>
      </c>
      <c r="L76" s="1660">
        <v>1620603</v>
      </c>
      <c r="M76" s="1660">
        <v>1727</v>
      </c>
      <c r="N76" s="1660">
        <v>136</v>
      </c>
      <c r="O76" s="1661">
        <v>1622466</v>
      </c>
      <c r="P76" s="1653"/>
      <c r="Q76" s="1653"/>
      <c r="R76" s="1653"/>
      <c r="S76" s="1653"/>
      <c r="T76" s="1653"/>
      <c r="U76" s="1653"/>
      <c r="V76" s="1653"/>
      <c r="W76" s="1653"/>
      <c r="X76" s="1653"/>
      <c r="Y76" s="1653"/>
      <c r="Z76" s="1653"/>
      <c r="AA76" s="1653"/>
    </row>
    <row r="77" spans="1:27">
      <c r="A77" s="1653">
        <v>2027</v>
      </c>
      <c r="B77" s="1653">
        <v>7</v>
      </c>
      <c r="C77" s="1722">
        <v>46569</v>
      </c>
      <c r="D77" s="1653"/>
      <c r="E77" s="1659">
        <v>822168</v>
      </c>
      <c r="F77" s="1660">
        <v>766910</v>
      </c>
      <c r="G77" s="1660">
        <v>87639</v>
      </c>
      <c r="H77" s="1660">
        <v>5435</v>
      </c>
      <c r="I77" s="1660">
        <v>291</v>
      </c>
      <c r="J77" s="1660">
        <v>1682443</v>
      </c>
      <c r="K77" s="1660">
        <v>132490</v>
      </c>
      <c r="L77" s="1660">
        <v>1814933</v>
      </c>
      <c r="M77" s="1660">
        <v>2779</v>
      </c>
      <c r="N77" s="1660">
        <v>219</v>
      </c>
      <c r="O77" s="1661">
        <v>1817931</v>
      </c>
      <c r="P77" s="1653"/>
      <c r="Q77" s="1653"/>
      <c r="R77" s="1653"/>
      <c r="S77" s="1653"/>
      <c r="T77" s="1653"/>
      <c r="U77" s="1653"/>
      <c r="V77" s="1653"/>
      <c r="W77" s="1653"/>
      <c r="X77" s="1653"/>
      <c r="Y77" s="1653"/>
      <c r="Z77" s="1653"/>
      <c r="AA77" s="1653"/>
    </row>
    <row r="78" spans="1:27">
      <c r="A78" s="1653">
        <v>2027</v>
      </c>
      <c r="B78" s="1653">
        <v>8</v>
      </c>
      <c r="C78" s="1722">
        <v>46600</v>
      </c>
      <c r="D78" s="1653"/>
      <c r="E78" s="1659">
        <v>831863</v>
      </c>
      <c r="F78" s="1660">
        <v>769868</v>
      </c>
      <c r="G78" s="1660">
        <v>88129</v>
      </c>
      <c r="H78" s="1660">
        <v>5021</v>
      </c>
      <c r="I78" s="1660">
        <v>290</v>
      </c>
      <c r="J78" s="1660">
        <v>1695171</v>
      </c>
      <c r="K78" s="1660">
        <v>133492</v>
      </c>
      <c r="L78" s="1660">
        <v>1828663</v>
      </c>
      <c r="M78" s="1660">
        <v>1579</v>
      </c>
      <c r="N78" s="1660">
        <v>124</v>
      </c>
      <c r="O78" s="1661">
        <v>1830366</v>
      </c>
      <c r="P78" s="1653"/>
      <c r="Q78" s="1653"/>
      <c r="R78" s="1653"/>
      <c r="S78" s="1653"/>
      <c r="T78" s="1653"/>
      <c r="U78" s="1653"/>
      <c r="V78" s="1653"/>
      <c r="W78" s="1653"/>
      <c r="X78" s="1653"/>
      <c r="Y78" s="1653"/>
      <c r="Z78" s="1653"/>
      <c r="AA78" s="1653"/>
    </row>
    <row r="79" spans="1:27">
      <c r="A79" s="1653">
        <v>2027</v>
      </c>
      <c r="B79" s="1653">
        <v>9</v>
      </c>
      <c r="C79" s="1722">
        <v>46631</v>
      </c>
      <c r="D79" s="1653"/>
      <c r="E79" s="1659">
        <v>751734</v>
      </c>
      <c r="F79" s="1660">
        <v>693053</v>
      </c>
      <c r="G79" s="1660">
        <v>82728</v>
      </c>
      <c r="H79" s="1660">
        <v>5160</v>
      </c>
      <c r="I79" s="1660">
        <v>319</v>
      </c>
      <c r="J79" s="1660">
        <v>1532994</v>
      </c>
      <c r="K79" s="1660">
        <v>120721</v>
      </c>
      <c r="L79" s="1660">
        <v>1653715</v>
      </c>
      <c r="M79" s="1660">
        <v>1377</v>
      </c>
      <c r="N79" s="1660">
        <v>108</v>
      </c>
      <c r="O79" s="1661">
        <v>1655200</v>
      </c>
      <c r="P79" s="1653"/>
      <c r="Q79" s="1653"/>
      <c r="R79" s="1653"/>
      <c r="S79" s="1653"/>
      <c r="T79" s="1653"/>
      <c r="U79" s="1653"/>
      <c r="V79" s="1653"/>
      <c r="W79" s="1653"/>
      <c r="X79" s="1653"/>
      <c r="Y79" s="1653"/>
      <c r="Z79" s="1653"/>
      <c r="AA79" s="1653"/>
    </row>
    <row r="80" spans="1:27">
      <c r="A80" s="1653">
        <v>2027</v>
      </c>
      <c r="B80" s="1653">
        <v>10</v>
      </c>
      <c r="C80" s="1722">
        <v>46661</v>
      </c>
      <c r="D80" s="1653"/>
      <c r="E80" s="1659">
        <v>876254</v>
      </c>
      <c r="F80" s="1660">
        <v>704832</v>
      </c>
      <c r="G80" s="1660">
        <v>82102</v>
      </c>
      <c r="H80" s="1660">
        <v>5913</v>
      </c>
      <c r="I80" s="1660">
        <v>507</v>
      </c>
      <c r="J80" s="1660">
        <v>1669608</v>
      </c>
      <c r="K80" s="1660">
        <v>131479</v>
      </c>
      <c r="L80" s="1660">
        <v>1801087</v>
      </c>
      <c r="M80" s="1660">
        <v>1767</v>
      </c>
      <c r="N80" s="1660">
        <v>139</v>
      </c>
      <c r="O80" s="1661">
        <v>1802993</v>
      </c>
      <c r="P80" s="1653"/>
      <c r="Q80" s="1653"/>
      <c r="R80" s="1653"/>
      <c r="S80" s="1653"/>
      <c r="T80" s="1653"/>
      <c r="U80" s="1653"/>
      <c r="V80" s="1653"/>
      <c r="W80" s="1653"/>
      <c r="X80" s="1653"/>
      <c r="Y80" s="1653"/>
      <c r="Z80" s="1653"/>
      <c r="AA80" s="1653"/>
    </row>
    <row r="81" spans="1:27">
      <c r="A81" s="1653">
        <v>2027</v>
      </c>
      <c r="B81" s="1653">
        <v>11</v>
      </c>
      <c r="C81" s="1722">
        <v>46692</v>
      </c>
      <c r="D81" s="1653"/>
      <c r="E81" s="1659">
        <v>1062264</v>
      </c>
      <c r="F81" s="1660">
        <v>733745</v>
      </c>
      <c r="G81" s="1660">
        <v>78744</v>
      </c>
      <c r="H81" s="1660">
        <v>5099</v>
      </c>
      <c r="I81" s="1660">
        <v>704</v>
      </c>
      <c r="J81" s="1660">
        <v>1880556</v>
      </c>
      <c r="K81" s="1660">
        <v>148091</v>
      </c>
      <c r="L81" s="1660">
        <v>2028647</v>
      </c>
      <c r="M81" s="1660">
        <v>1763</v>
      </c>
      <c r="N81" s="1660">
        <v>139</v>
      </c>
      <c r="O81" s="1661">
        <v>2030549</v>
      </c>
      <c r="P81" s="1653"/>
      <c r="Q81" s="1653"/>
      <c r="R81" s="1653"/>
      <c r="S81" s="1653"/>
      <c r="T81" s="1653"/>
      <c r="U81" s="1653"/>
      <c r="V81" s="1653"/>
      <c r="W81" s="1653"/>
      <c r="X81" s="1653"/>
      <c r="Y81" s="1653"/>
      <c r="Z81" s="1653"/>
      <c r="AA81" s="1653"/>
    </row>
    <row r="82" spans="1:27">
      <c r="A82" s="1653">
        <v>2027</v>
      </c>
      <c r="B82" s="1653">
        <v>12</v>
      </c>
      <c r="C82" s="1722">
        <v>46722</v>
      </c>
      <c r="D82" s="1653"/>
      <c r="E82" s="1659">
        <v>1326258</v>
      </c>
      <c r="F82" s="1660">
        <v>838538</v>
      </c>
      <c r="G82" s="1660">
        <v>81188</v>
      </c>
      <c r="H82" s="1660">
        <v>5752</v>
      </c>
      <c r="I82" s="1660">
        <v>917</v>
      </c>
      <c r="J82" s="1660">
        <v>2252653</v>
      </c>
      <c r="K82" s="1660">
        <v>177393</v>
      </c>
      <c r="L82" s="1660">
        <v>2430046</v>
      </c>
      <c r="M82" s="1660">
        <v>1649</v>
      </c>
      <c r="N82" s="1660">
        <v>130</v>
      </c>
      <c r="O82" s="1661">
        <v>2431825</v>
      </c>
      <c r="P82" s="1653"/>
      <c r="Q82" s="1653"/>
      <c r="R82" s="1653"/>
      <c r="S82" s="1653"/>
      <c r="T82" s="1653"/>
      <c r="U82" s="1653"/>
      <c r="V82" s="1653"/>
      <c r="W82" s="1653"/>
      <c r="X82" s="1653"/>
      <c r="Y82" s="1653"/>
      <c r="Z82" s="1653"/>
      <c r="AA82" s="1653"/>
    </row>
    <row r="83" spans="1:27">
      <c r="A83" s="1653">
        <v>2028</v>
      </c>
      <c r="B83" s="1653">
        <v>1</v>
      </c>
      <c r="C83" s="1722">
        <v>46753</v>
      </c>
      <c r="D83" s="1653"/>
      <c r="E83" s="1659">
        <v>1299457</v>
      </c>
      <c r="F83" s="1660">
        <v>827703</v>
      </c>
      <c r="G83" s="1660">
        <v>84290</v>
      </c>
      <c r="H83" s="1660">
        <v>5802</v>
      </c>
      <c r="I83" s="1660">
        <v>1011</v>
      </c>
      <c r="J83" s="1660">
        <v>2218263</v>
      </c>
      <c r="K83" s="1660">
        <v>174685</v>
      </c>
      <c r="L83" s="1660">
        <v>2392948</v>
      </c>
      <c r="M83" s="1660">
        <v>2243</v>
      </c>
      <c r="N83" s="1660">
        <v>177</v>
      </c>
      <c r="O83" s="1661">
        <v>2395368</v>
      </c>
      <c r="P83" s="1653"/>
      <c r="Q83" s="1653"/>
      <c r="R83" s="1653"/>
      <c r="S83" s="1653"/>
      <c r="T83" s="1653"/>
      <c r="U83" s="1653"/>
      <c r="V83" s="1653"/>
      <c r="W83" s="1653"/>
      <c r="X83" s="1653"/>
      <c r="Y83" s="1653"/>
      <c r="Z83" s="1653"/>
      <c r="AA83" s="1653"/>
    </row>
    <row r="84" spans="1:27">
      <c r="A84" s="1653">
        <v>2028</v>
      </c>
      <c r="B84" s="1653">
        <v>2</v>
      </c>
      <c r="C84" s="1722">
        <v>46784</v>
      </c>
      <c r="D84" s="1653"/>
      <c r="E84" s="1659">
        <v>1156838</v>
      </c>
      <c r="F84" s="1660">
        <v>760005</v>
      </c>
      <c r="G84" s="1660">
        <v>79728</v>
      </c>
      <c r="H84" s="1660">
        <v>4990</v>
      </c>
      <c r="I84" s="1660">
        <v>933</v>
      </c>
      <c r="J84" s="1660">
        <v>2002494</v>
      </c>
      <c r="K84" s="1660">
        <v>157694</v>
      </c>
      <c r="L84" s="1660">
        <v>2160188</v>
      </c>
      <c r="M84" s="1660">
        <v>2355</v>
      </c>
      <c r="N84" s="1660">
        <v>185</v>
      </c>
      <c r="O84" s="1661">
        <v>2162728</v>
      </c>
      <c r="P84" s="1653"/>
      <c r="Q84" s="1653"/>
      <c r="R84" s="1653"/>
      <c r="S84" s="1653"/>
      <c r="T84" s="1653"/>
      <c r="U84" s="1653"/>
      <c r="V84" s="1653"/>
      <c r="W84" s="1653"/>
      <c r="X84" s="1653"/>
      <c r="Y84" s="1653"/>
      <c r="Z84" s="1653"/>
      <c r="AA84" s="1653"/>
    </row>
    <row r="85" spans="1:27">
      <c r="A85" s="1653">
        <v>2028</v>
      </c>
      <c r="B85" s="1653">
        <v>3</v>
      </c>
      <c r="C85" s="1722">
        <v>46813</v>
      </c>
      <c r="D85" s="1653"/>
      <c r="E85" s="1659">
        <v>1119135</v>
      </c>
      <c r="F85" s="1660">
        <v>794589</v>
      </c>
      <c r="G85" s="1660">
        <v>84980</v>
      </c>
      <c r="H85" s="1660">
        <v>5880</v>
      </c>
      <c r="I85" s="1660">
        <v>886</v>
      </c>
      <c r="J85" s="1660">
        <v>2005470</v>
      </c>
      <c r="K85" s="1660">
        <v>157928</v>
      </c>
      <c r="L85" s="1660">
        <v>2163398</v>
      </c>
      <c r="M85" s="1660">
        <v>2263</v>
      </c>
      <c r="N85" s="1660">
        <v>178</v>
      </c>
      <c r="O85" s="1661">
        <v>2165839</v>
      </c>
      <c r="P85" s="1653"/>
      <c r="Q85" s="1653"/>
      <c r="R85" s="1653"/>
      <c r="S85" s="1653"/>
      <c r="T85" s="1653"/>
      <c r="U85" s="1653"/>
      <c r="V85" s="1653"/>
      <c r="W85" s="1653"/>
      <c r="X85" s="1653"/>
      <c r="Y85" s="1653"/>
      <c r="Z85" s="1653"/>
      <c r="AA85" s="1653"/>
    </row>
    <row r="86" spans="1:27">
      <c r="A86" s="1653">
        <v>2028</v>
      </c>
      <c r="B86" s="1653">
        <v>4</v>
      </c>
      <c r="C86" s="1722">
        <v>46844</v>
      </c>
      <c r="D86" s="1653"/>
      <c r="E86" s="1659">
        <v>899772</v>
      </c>
      <c r="F86" s="1660">
        <v>702715</v>
      </c>
      <c r="G86" s="1660">
        <v>79373</v>
      </c>
      <c r="H86" s="1660">
        <v>5230</v>
      </c>
      <c r="I86" s="1660">
        <v>724</v>
      </c>
      <c r="J86" s="1660">
        <v>1687814</v>
      </c>
      <c r="K86" s="1660">
        <v>132913</v>
      </c>
      <c r="L86" s="1660">
        <v>1820727</v>
      </c>
      <c r="M86" s="1660">
        <v>2101</v>
      </c>
      <c r="N86" s="1660">
        <v>165</v>
      </c>
      <c r="O86" s="1661">
        <v>1822993</v>
      </c>
      <c r="P86" s="1653"/>
      <c r="Q86" s="1653"/>
      <c r="R86" s="1653"/>
      <c r="S86" s="1653"/>
      <c r="T86" s="1653"/>
      <c r="U86" s="1653"/>
      <c r="V86" s="1653"/>
      <c r="W86" s="1653"/>
      <c r="X86" s="1653"/>
      <c r="Y86" s="1653"/>
      <c r="Z86" s="1653"/>
      <c r="AA86" s="1653"/>
    </row>
    <row r="87" spans="1:27">
      <c r="A87" s="1653">
        <v>2028</v>
      </c>
      <c r="B87" s="1653">
        <v>5</v>
      </c>
      <c r="C87" s="1722">
        <v>46874</v>
      </c>
      <c r="D87" s="1653"/>
      <c r="E87" s="1659">
        <v>788935</v>
      </c>
      <c r="F87" s="1660">
        <v>703919</v>
      </c>
      <c r="G87" s="1660">
        <v>75999</v>
      </c>
      <c r="H87" s="1660">
        <v>5140</v>
      </c>
      <c r="I87" s="1660">
        <v>562</v>
      </c>
      <c r="J87" s="1660">
        <v>1574555</v>
      </c>
      <c r="K87" s="1660">
        <v>123994</v>
      </c>
      <c r="L87" s="1660">
        <v>1698549</v>
      </c>
      <c r="M87" s="1660">
        <v>2097</v>
      </c>
      <c r="N87" s="1660">
        <v>165</v>
      </c>
      <c r="O87" s="1661">
        <v>1700811</v>
      </c>
      <c r="P87" s="1653"/>
      <c r="Q87" s="1653"/>
      <c r="R87" s="1653"/>
      <c r="S87" s="1653"/>
      <c r="T87" s="1653"/>
      <c r="U87" s="1653"/>
      <c r="V87" s="1653"/>
      <c r="W87" s="1653"/>
      <c r="X87" s="1653"/>
      <c r="Y87" s="1653"/>
      <c r="Z87" s="1653"/>
      <c r="AA87" s="1653"/>
    </row>
    <row r="88" spans="1:27">
      <c r="A88" s="1653">
        <v>2028</v>
      </c>
      <c r="B88" s="1653">
        <v>6</v>
      </c>
      <c r="C88" s="1722">
        <v>46905</v>
      </c>
      <c r="D88" s="1653"/>
      <c r="E88" s="1659">
        <v>734653</v>
      </c>
      <c r="F88" s="1660">
        <v>697326</v>
      </c>
      <c r="G88" s="1660">
        <v>83416</v>
      </c>
      <c r="H88" s="1660">
        <v>4564</v>
      </c>
      <c r="I88" s="1660">
        <v>430</v>
      </c>
      <c r="J88" s="1660">
        <v>1520389</v>
      </c>
      <c r="K88" s="1660">
        <v>119729</v>
      </c>
      <c r="L88" s="1660">
        <v>1640118</v>
      </c>
      <c r="M88" s="1660">
        <v>1727</v>
      </c>
      <c r="N88" s="1660">
        <v>136</v>
      </c>
      <c r="O88" s="1661">
        <v>1641981</v>
      </c>
      <c r="P88" s="1653"/>
      <c r="Q88" s="1653"/>
      <c r="R88" s="1653"/>
      <c r="S88" s="1653"/>
      <c r="T88" s="1653"/>
      <c r="U88" s="1653"/>
      <c r="V88" s="1653"/>
      <c r="W88" s="1653"/>
      <c r="X88" s="1653"/>
      <c r="Y88" s="1653"/>
      <c r="Z88" s="1653"/>
      <c r="AA88" s="1653"/>
    </row>
    <row r="89" spans="1:27">
      <c r="A89" s="1653">
        <v>2028</v>
      </c>
      <c r="B89" s="1653">
        <v>7</v>
      </c>
      <c r="C89" s="1722">
        <v>46935</v>
      </c>
      <c r="D89" s="1653"/>
      <c r="E89" s="1659">
        <v>841353</v>
      </c>
      <c r="F89" s="1660">
        <v>774851</v>
      </c>
      <c r="G89" s="1660">
        <v>85843</v>
      </c>
      <c r="H89" s="1660">
        <v>5349</v>
      </c>
      <c r="I89" s="1660">
        <v>291</v>
      </c>
      <c r="J89" s="1660">
        <v>1707687</v>
      </c>
      <c r="K89" s="1660">
        <v>134478</v>
      </c>
      <c r="L89" s="1660">
        <v>1842165</v>
      </c>
      <c r="M89" s="1660">
        <v>2779</v>
      </c>
      <c r="N89" s="1660">
        <v>219</v>
      </c>
      <c r="O89" s="1661">
        <v>1845163</v>
      </c>
      <c r="P89" s="1653"/>
      <c r="Q89" s="1653"/>
      <c r="R89" s="1653"/>
      <c r="S89" s="1653"/>
      <c r="T89" s="1653"/>
      <c r="U89" s="1653"/>
      <c r="V89" s="1653"/>
      <c r="W89" s="1653"/>
      <c r="X89" s="1653"/>
      <c r="Y89" s="1653"/>
      <c r="Z89" s="1653"/>
      <c r="AA89" s="1653"/>
    </row>
    <row r="90" spans="1:27">
      <c r="A90" s="1653">
        <v>2028</v>
      </c>
      <c r="B90" s="1653">
        <v>8</v>
      </c>
      <c r="C90" s="1722">
        <v>46966</v>
      </c>
      <c r="D90" s="1653"/>
      <c r="E90" s="1659">
        <v>851254</v>
      </c>
      <c r="F90" s="1660">
        <v>774934</v>
      </c>
      <c r="G90" s="1660">
        <v>86256</v>
      </c>
      <c r="H90" s="1660">
        <v>4935</v>
      </c>
      <c r="I90" s="1660">
        <v>290</v>
      </c>
      <c r="J90" s="1660">
        <v>1717669</v>
      </c>
      <c r="K90" s="1660">
        <v>135264</v>
      </c>
      <c r="L90" s="1660">
        <v>1852933</v>
      </c>
      <c r="M90" s="1660">
        <v>1579</v>
      </c>
      <c r="N90" s="1660">
        <v>124</v>
      </c>
      <c r="O90" s="1661">
        <v>1854636</v>
      </c>
      <c r="P90" s="1653"/>
      <c r="Q90" s="1653"/>
      <c r="R90" s="1653"/>
      <c r="S90" s="1653"/>
      <c r="T90" s="1653"/>
      <c r="U90" s="1653"/>
      <c r="V90" s="1653"/>
      <c r="W90" s="1653"/>
      <c r="X90" s="1653"/>
      <c r="Y90" s="1653"/>
      <c r="Z90" s="1653"/>
      <c r="AA90" s="1653"/>
    </row>
    <row r="91" spans="1:27">
      <c r="A91" s="1653">
        <v>2028</v>
      </c>
      <c r="B91" s="1653">
        <v>9</v>
      </c>
      <c r="C91" s="1722">
        <v>46997</v>
      </c>
      <c r="D91" s="1653"/>
      <c r="E91" s="1659">
        <v>767235</v>
      </c>
      <c r="F91" s="1660">
        <v>699324</v>
      </c>
      <c r="G91" s="1660">
        <v>81278</v>
      </c>
      <c r="H91" s="1660">
        <v>5060</v>
      </c>
      <c r="I91" s="1660">
        <v>319</v>
      </c>
      <c r="J91" s="1660">
        <v>1553216</v>
      </c>
      <c r="K91" s="1660">
        <v>122314</v>
      </c>
      <c r="L91" s="1660">
        <v>1675530</v>
      </c>
      <c r="M91" s="1660">
        <v>1377</v>
      </c>
      <c r="N91" s="1660">
        <v>108</v>
      </c>
      <c r="O91" s="1661">
        <v>1677015</v>
      </c>
      <c r="P91" s="1653"/>
      <c r="Q91" s="1653"/>
      <c r="R91" s="1653"/>
      <c r="S91" s="1653"/>
      <c r="T91" s="1653"/>
      <c r="U91" s="1653"/>
      <c r="V91" s="1653"/>
      <c r="W91" s="1653"/>
      <c r="X91" s="1653"/>
      <c r="Y91" s="1653"/>
      <c r="Z91" s="1653"/>
      <c r="AA91" s="1653"/>
    </row>
    <row r="92" spans="1:27">
      <c r="A92" s="1653">
        <v>2028</v>
      </c>
      <c r="B92" s="1653">
        <v>10</v>
      </c>
      <c r="C92" s="1722">
        <v>47027</v>
      </c>
      <c r="D92" s="1653"/>
      <c r="E92" s="1659">
        <v>889645</v>
      </c>
      <c r="F92" s="1660">
        <v>711042</v>
      </c>
      <c r="G92" s="1660">
        <v>80283</v>
      </c>
      <c r="H92" s="1660">
        <v>5772</v>
      </c>
      <c r="I92" s="1660">
        <v>507</v>
      </c>
      <c r="J92" s="1660">
        <v>1687249</v>
      </c>
      <c r="K92" s="1660">
        <v>132869</v>
      </c>
      <c r="L92" s="1660">
        <v>1820118</v>
      </c>
      <c r="M92" s="1660">
        <v>1767</v>
      </c>
      <c r="N92" s="1660">
        <v>139</v>
      </c>
      <c r="O92" s="1661">
        <v>1822024</v>
      </c>
      <c r="P92" s="1653"/>
      <c r="Q92" s="1653"/>
      <c r="R92" s="1653"/>
      <c r="S92" s="1653"/>
      <c r="T92" s="1653"/>
      <c r="U92" s="1653"/>
      <c r="V92" s="1653"/>
      <c r="W92" s="1653"/>
      <c r="X92" s="1653"/>
      <c r="Y92" s="1653"/>
      <c r="Z92" s="1653"/>
      <c r="AA92" s="1653"/>
    </row>
    <row r="93" spans="1:27">
      <c r="A93" s="1653">
        <v>2028</v>
      </c>
      <c r="B93" s="1653">
        <v>11</v>
      </c>
      <c r="C93" s="1722">
        <v>47058</v>
      </c>
      <c r="D93" s="1653"/>
      <c r="E93" s="1659">
        <v>1076716</v>
      </c>
      <c r="F93" s="1660">
        <v>741968</v>
      </c>
      <c r="G93" s="1660">
        <v>77035</v>
      </c>
      <c r="H93" s="1660">
        <v>4963</v>
      </c>
      <c r="I93" s="1660">
        <v>704</v>
      </c>
      <c r="J93" s="1660">
        <v>1901386</v>
      </c>
      <c r="K93" s="1660">
        <v>149732</v>
      </c>
      <c r="L93" s="1660">
        <v>2051118</v>
      </c>
      <c r="M93" s="1660">
        <v>1763</v>
      </c>
      <c r="N93" s="1660">
        <v>139</v>
      </c>
      <c r="O93" s="1661">
        <v>2053020</v>
      </c>
      <c r="P93" s="1653"/>
      <c r="Q93" s="1653"/>
      <c r="R93" s="1653"/>
      <c r="S93" s="1653"/>
      <c r="T93" s="1653"/>
      <c r="U93" s="1653"/>
      <c r="V93" s="1653"/>
      <c r="W93" s="1653"/>
      <c r="X93" s="1653"/>
      <c r="Y93" s="1653"/>
      <c r="Z93" s="1653"/>
      <c r="AA93" s="1653"/>
    </row>
    <row r="94" spans="1:27">
      <c r="A94" s="1653">
        <v>2028</v>
      </c>
      <c r="B94" s="1653">
        <v>12</v>
      </c>
      <c r="C94" s="1722">
        <v>47088</v>
      </c>
      <c r="D94" s="1653"/>
      <c r="E94" s="1659">
        <v>1342131</v>
      </c>
      <c r="F94" s="1660">
        <v>849814</v>
      </c>
      <c r="G94" s="1660">
        <v>79419</v>
      </c>
      <c r="H94" s="1660">
        <v>5609</v>
      </c>
      <c r="I94" s="1660">
        <v>915</v>
      </c>
      <c r="J94" s="1660">
        <v>2277888</v>
      </c>
      <c r="K94" s="1660">
        <v>179381</v>
      </c>
      <c r="L94" s="1660">
        <v>2457269</v>
      </c>
      <c r="M94" s="1660">
        <v>1649</v>
      </c>
      <c r="N94" s="1660">
        <v>130</v>
      </c>
      <c r="O94" s="1661">
        <v>2459048</v>
      </c>
      <c r="P94" s="1653"/>
      <c r="Q94" s="1653"/>
      <c r="R94" s="1653"/>
      <c r="S94" s="1653"/>
      <c r="T94" s="1653"/>
      <c r="U94" s="1653"/>
      <c r="V94" s="1653"/>
      <c r="W94" s="1653"/>
      <c r="X94" s="1653"/>
      <c r="Y94" s="1653"/>
      <c r="Z94" s="1653"/>
      <c r="AA94" s="1653"/>
    </row>
    <row r="95" spans="1:27">
      <c r="A95" s="1653">
        <v>2029</v>
      </c>
      <c r="B95" s="1653">
        <v>1</v>
      </c>
      <c r="C95" s="1722">
        <v>47119</v>
      </c>
      <c r="D95" s="1653"/>
      <c r="E95" s="1659">
        <v>1312303</v>
      </c>
      <c r="F95" s="1660">
        <v>834378</v>
      </c>
      <c r="G95" s="1660">
        <v>82428</v>
      </c>
      <c r="H95" s="1660">
        <v>5699</v>
      </c>
      <c r="I95" s="1660">
        <v>1009</v>
      </c>
      <c r="J95" s="1660">
        <v>2235817</v>
      </c>
      <c r="K95" s="1660">
        <v>176068</v>
      </c>
      <c r="L95" s="1660">
        <v>2411885</v>
      </c>
      <c r="M95" s="1660">
        <v>2243</v>
      </c>
      <c r="N95" s="1660">
        <v>177</v>
      </c>
      <c r="O95" s="1661">
        <v>2414305</v>
      </c>
      <c r="P95" s="1653"/>
      <c r="Q95" s="1653"/>
      <c r="R95" s="1653"/>
      <c r="S95" s="1653"/>
      <c r="T95" s="1653"/>
      <c r="U95" s="1653"/>
      <c r="V95" s="1653"/>
      <c r="W95" s="1653"/>
      <c r="X95" s="1653"/>
      <c r="Y95" s="1653"/>
      <c r="Z95" s="1653"/>
      <c r="AA95" s="1653"/>
    </row>
    <row r="96" spans="1:27">
      <c r="A96" s="1653">
        <v>2029</v>
      </c>
      <c r="B96" s="1653">
        <v>2</v>
      </c>
      <c r="C96" s="1722">
        <v>47150</v>
      </c>
      <c r="D96" s="1653"/>
      <c r="E96" s="1659">
        <v>1134152</v>
      </c>
      <c r="F96" s="1660">
        <v>741041</v>
      </c>
      <c r="G96" s="1660">
        <v>75426</v>
      </c>
      <c r="H96" s="1660">
        <v>4906</v>
      </c>
      <c r="I96" s="1660">
        <v>902</v>
      </c>
      <c r="J96" s="1660">
        <v>1956427</v>
      </c>
      <c r="K96" s="1660">
        <v>154066</v>
      </c>
      <c r="L96" s="1660">
        <v>2110493</v>
      </c>
      <c r="M96" s="1660">
        <v>2355</v>
      </c>
      <c r="N96" s="1660">
        <v>185</v>
      </c>
      <c r="O96" s="1661">
        <v>2113033</v>
      </c>
      <c r="P96" s="1653"/>
      <c r="Q96" s="1653"/>
      <c r="R96" s="1653"/>
      <c r="S96" s="1653"/>
      <c r="T96" s="1653"/>
      <c r="U96" s="1653"/>
      <c r="V96" s="1653"/>
      <c r="W96" s="1653"/>
      <c r="X96" s="1653"/>
      <c r="Y96" s="1653"/>
      <c r="Z96" s="1653"/>
      <c r="AA96" s="1653"/>
    </row>
    <row r="97" spans="1:27">
      <c r="A97" s="1653">
        <v>2029</v>
      </c>
      <c r="B97" s="1653">
        <v>3</v>
      </c>
      <c r="C97" s="1722">
        <v>47178</v>
      </c>
      <c r="D97" s="1653"/>
      <c r="E97" s="1659">
        <v>1136799</v>
      </c>
      <c r="F97" s="1660">
        <v>801708</v>
      </c>
      <c r="G97" s="1660">
        <v>83114</v>
      </c>
      <c r="H97" s="1660">
        <v>5796</v>
      </c>
      <c r="I97" s="1660">
        <v>887</v>
      </c>
      <c r="J97" s="1660">
        <v>2028304</v>
      </c>
      <c r="K97" s="1660">
        <v>159726</v>
      </c>
      <c r="L97" s="1660">
        <v>2188030</v>
      </c>
      <c r="M97" s="1660">
        <v>2263</v>
      </c>
      <c r="N97" s="1660">
        <v>178</v>
      </c>
      <c r="O97" s="1661">
        <v>2190471</v>
      </c>
      <c r="P97" s="1653"/>
      <c r="Q97" s="1653"/>
      <c r="R97" s="1653"/>
      <c r="S97" s="1653"/>
      <c r="T97" s="1653"/>
      <c r="U97" s="1653"/>
      <c r="V97" s="1653"/>
      <c r="W97" s="1653"/>
      <c r="X97" s="1653"/>
      <c r="Y97" s="1653"/>
      <c r="Z97" s="1653"/>
      <c r="AA97" s="1653"/>
    </row>
    <row r="98" spans="1:27">
      <c r="A98" s="1653">
        <v>2029</v>
      </c>
      <c r="B98" s="1653">
        <v>4</v>
      </c>
      <c r="C98" s="1722">
        <v>47209</v>
      </c>
      <c r="D98" s="1653"/>
      <c r="E98" s="1659">
        <v>912484</v>
      </c>
      <c r="F98" s="1660">
        <v>706929</v>
      </c>
      <c r="G98" s="1660">
        <v>77865</v>
      </c>
      <c r="H98" s="1660">
        <v>5167</v>
      </c>
      <c r="I98" s="1660">
        <v>724</v>
      </c>
      <c r="J98" s="1660">
        <v>1703169</v>
      </c>
      <c r="K98" s="1660">
        <v>134122</v>
      </c>
      <c r="L98" s="1660">
        <v>1837291</v>
      </c>
      <c r="M98" s="1660">
        <v>2101</v>
      </c>
      <c r="N98" s="1660">
        <v>165</v>
      </c>
      <c r="O98" s="1661">
        <v>1839557</v>
      </c>
      <c r="P98" s="1653"/>
      <c r="Q98" s="1653"/>
      <c r="R98" s="1653"/>
      <c r="S98" s="1653"/>
      <c r="T98" s="1653"/>
      <c r="U98" s="1653"/>
      <c r="V98" s="1653"/>
      <c r="W98" s="1653"/>
      <c r="X98" s="1653"/>
      <c r="Y98" s="1653"/>
      <c r="Z98" s="1653"/>
      <c r="AA98" s="1653"/>
    </row>
    <row r="99" spans="1:27">
      <c r="A99" s="1653">
        <v>2029</v>
      </c>
      <c r="B99" s="1653">
        <v>5</v>
      </c>
      <c r="C99" s="1722">
        <v>47239</v>
      </c>
      <c r="D99" s="1653"/>
      <c r="E99" s="1659">
        <v>800893</v>
      </c>
      <c r="F99" s="1660">
        <v>706551</v>
      </c>
      <c r="G99" s="1660">
        <v>74225</v>
      </c>
      <c r="H99" s="1660">
        <v>5089</v>
      </c>
      <c r="I99" s="1660">
        <v>562</v>
      </c>
      <c r="J99" s="1660">
        <v>1587320</v>
      </c>
      <c r="K99" s="1660">
        <v>124999</v>
      </c>
      <c r="L99" s="1660">
        <v>1712319</v>
      </c>
      <c r="M99" s="1660">
        <v>2097</v>
      </c>
      <c r="N99" s="1660">
        <v>165</v>
      </c>
      <c r="O99" s="1661">
        <v>1714581</v>
      </c>
      <c r="P99" s="1653"/>
      <c r="Q99" s="1653"/>
      <c r="R99" s="1653"/>
      <c r="S99" s="1653"/>
      <c r="T99" s="1653"/>
      <c r="U99" s="1653"/>
      <c r="V99" s="1653"/>
      <c r="W99" s="1653"/>
      <c r="X99" s="1653"/>
      <c r="Y99" s="1653"/>
      <c r="Z99" s="1653"/>
      <c r="AA99" s="1653"/>
    </row>
    <row r="100" spans="1:27">
      <c r="A100" s="1653">
        <v>2029</v>
      </c>
      <c r="B100" s="1653">
        <v>6</v>
      </c>
      <c r="C100" s="1722">
        <v>47270</v>
      </c>
      <c r="D100" s="1653"/>
      <c r="E100" s="1659">
        <v>747795</v>
      </c>
      <c r="F100" s="1660">
        <v>698197</v>
      </c>
      <c r="G100" s="1660">
        <v>81605</v>
      </c>
      <c r="H100" s="1660">
        <v>4509</v>
      </c>
      <c r="I100" s="1660">
        <v>430</v>
      </c>
      <c r="J100" s="1660">
        <v>1532536</v>
      </c>
      <c r="K100" s="1660">
        <v>120685</v>
      </c>
      <c r="L100" s="1660">
        <v>1653221</v>
      </c>
      <c r="M100" s="1660">
        <v>1727</v>
      </c>
      <c r="N100" s="1660">
        <v>136</v>
      </c>
      <c r="O100" s="1661">
        <v>1655084</v>
      </c>
      <c r="P100" s="1653"/>
      <c r="Q100" s="1653"/>
      <c r="R100" s="1653"/>
      <c r="S100" s="1653"/>
      <c r="T100" s="1653"/>
      <c r="U100" s="1653"/>
      <c r="V100" s="1653"/>
      <c r="W100" s="1653"/>
      <c r="X100" s="1653"/>
      <c r="Y100" s="1653"/>
      <c r="Z100" s="1653"/>
      <c r="AA100" s="1653"/>
    </row>
    <row r="101" spans="1:27">
      <c r="A101" s="1653">
        <v>2029</v>
      </c>
      <c r="B101" s="1653">
        <v>7</v>
      </c>
      <c r="C101" s="1722">
        <v>47300</v>
      </c>
      <c r="D101" s="1653"/>
      <c r="E101" s="1659">
        <v>858229</v>
      </c>
      <c r="F101" s="1660">
        <v>777057</v>
      </c>
      <c r="G101" s="1660">
        <v>84014</v>
      </c>
      <c r="H101" s="1660">
        <v>5265</v>
      </c>
      <c r="I101" s="1660">
        <v>291</v>
      </c>
      <c r="J101" s="1660">
        <v>1724856</v>
      </c>
      <c r="K101" s="1660">
        <v>135830</v>
      </c>
      <c r="L101" s="1660">
        <v>1860686</v>
      </c>
      <c r="M101" s="1660">
        <v>2779</v>
      </c>
      <c r="N101" s="1660">
        <v>219</v>
      </c>
      <c r="O101" s="1661">
        <v>1863684</v>
      </c>
      <c r="P101" s="1653"/>
      <c r="Q101" s="1653"/>
      <c r="R101" s="1653"/>
      <c r="S101" s="1653"/>
      <c r="T101" s="1653"/>
      <c r="U101" s="1653"/>
      <c r="V101" s="1653"/>
      <c r="W101" s="1653"/>
      <c r="X101" s="1653"/>
      <c r="Y101" s="1653"/>
      <c r="Z101" s="1653"/>
      <c r="AA101" s="1653"/>
    </row>
    <row r="102" spans="1:27">
      <c r="A102" s="1653">
        <v>2029</v>
      </c>
      <c r="B102" s="1653">
        <v>8</v>
      </c>
      <c r="C102" s="1722">
        <v>47331</v>
      </c>
      <c r="D102" s="1653"/>
      <c r="E102" s="1659">
        <v>868148</v>
      </c>
      <c r="F102" s="1660">
        <v>775614</v>
      </c>
      <c r="G102" s="1660">
        <v>84377</v>
      </c>
      <c r="H102" s="1660">
        <v>4850</v>
      </c>
      <c r="I102" s="1660">
        <v>290</v>
      </c>
      <c r="J102" s="1660">
        <v>1733279</v>
      </c>
      <c r="K102" s="1660">
        <v>136493</v>
      </c>
      <c r="L102" s="1660">
        <v>1869772</v>
      </c>
      <c r="M102" s="1660">
        <v>1579</v>
      </c>
      <c r="N102" s="1660">
        <v>124</v>
      </c>
      <c r="O102" s="1661">
        <v>1871475</v>
      </c>
      <c r="P102" s="1653"/>
      <c r="Q102" s="1653"/>
      <c r="R102" s="1653"/>
      <c r="S102" s="1653"/>
      <c r="T102" s="1653"/>
      <c r="U102" s="1653"/>
      <c r="V102" s="1653"/>
      <c r="W102" s="1653"/>
      <c r="X102" s="1653"/>
      <c r="Y102" s="1653"/>
      <c r="Z102" s="1653"/>
      <c r="AA102" s="1653"/>
    </row>
    <row r="103" spans="1:27">
      <c r="A103" s="1653">
        <v>2029</v>
      </c>
      <c r="B103" s="1653">
        <v>9</v>
      </c>
      <c r="C103" s="1722">
        <v>47362</v>
      </c>
      <c r="D103" s="1653"/>
      <c r="E103" s="1659">
        <v>777606</v>
      </c>
      <c r="F103" s="1660">
        <v>699384</v>
      </c>
      <c r="G103" s="1660">
        <v>79533</v>
      </c>
      <c r="H103" s="1660">
        <v>4960</v>
      </c>
      <c r="I103" s="1660">
        <v>319</v>
      </c>
      <c r="J103" s="1660">
        <v>1561802</v>
      </c>
      <c r="K103" s="1660">
        <v>122990</v>
      </c>
      <c r="L103" s="1660">
        <v>1684792</v>
      </c>
      <c r="M103" s="1660">
        <v>1377</v>
      </c>
      <c r="N103" s="1660">
        <v>108</v>
      </c>
      <c r="O103" s="1661">
        <v>1686277</v>
      </c>
      <c r="P103" s="1653"/>
      <c r="Q103" s="1653"/>
      <c r="R103" s="1653"/>
      <c r="S103" s="1653"/>
      <c r="T103" s="1653"/>
      <c r="U103" s="1653"/>
      <c r="V103" s="1653"/>
      <c r="W103" s="1653"/>
      <c r="X103" s="1653"/>
      <c r="Y103" s="1653"/>
      <c r="Z103" s="1653"/>
      <c r="AA103" s="1653"/>
    </row>
    <row r="104" spans="1:27">
      <c r="A104" s="1653">
        <v>2029</v>
      </c>
      <c r="B104" s="1653">
        <v>10</v>
      </c>
      <c r="C104" s="1722">
        <v>47392</v>
      </c>
      <c r="D104" s="1653"/>
      <c r="E104" s="1659">
        <v>895460</v>
      </c>
      <c r="F104" s="1660">
        <v>710346</v>
      </c>
      <c r="G104" s="1660">
        <v>78721</v>
      </c>
      <c r="H104" s="1660">
        <v>5631</v>
      </c>
      <c r="I104" s="1660">
        <v>505</v>
      </c>
      <c r="J104" s="1660">
        <v>1690663</v>
      </c>
      <c r="K104" s="1660">
        <v>133137</v>
      </c>
      <c r="L104" s="1660">
        <v>1823800</v>
      </c>
      <c r="M104" s="1660">
        <v>1767</v>
      </c>
      <c r="N104" s="1660">
        <v>139</v>
      </c>
      <c r="O104" s="1661">
        <v>1825706</v>
      </c>
      <c r="P104" s="1653"/>
      <c r="Q104" s="1653"/>
      <c r="R104" s="1653"/>
      <c r="S104" s="1653"/>
      <c r="T104" s="1653"/>
      <c r="U104" s="1653"/>
      <c r="V104" s="1653"/>
      <c r="W104" s="1653"/>
      <c r="X104" s="1653"/>
      <c r="Y104" s="1653"/>
      <c r="Z104" s="1653"/>
      <c r="AA104" s="1653"/>
    </row>
    <row r="105" spans="1:27">
      <c r="A105" s="1653">
        <v>2029</v>
      </c>
      <c r="B105" s="1653">
        <v>11</v>
      </c>
      <c r="C105" s="1722">
        <v>47423</v>
      </c>
      <c r="D105" s="1653"/>
      <c r="E105" s="1659">
        <v>1085902</v>
      </c>
      <c r="F105" s="1660">
        <v>744133</v>
      </c>
      <c r="G105" s="1660">
        <v>75586</v>
      </c>
      <c r="H105" s="1660">
        <v>4825</v>
      </c>
      <c r="I105" s="1660">
        <v>704</v>
      </c>
      <c r="J105" s="1660">
        <v>1911150</v>
      </c>
      <c r="K105" s="1660">
        <v>150500</v>
      </c>
      <c r="L105" s="1660">
        <v>2061650</v>
      </c>
      <c r="M105" s="1660">
        <v>1763</v>
      </c>
      <c r="N105" s="1660">
        <v>139</v>
      </c>
      <c r="O105" s="1661">
        <v>2063552</v>
      </c>
      <c r="P105" s="1653"/>
      <c r="Q105" s="1653"/>
      <c r="R105" s="1653"/>
      <c r="S105" s="1653"/>
      <c r="T105" s="1653"/>
      <c r="U105" s="1653"/>
      <c r="V105" s="1653"/>
      <c r="W105" s="1653"/>
      <c r="X105" s="1653"/>
      <c r="Y105" s="1653"/>
      <c r="Z105" s="1653"/>
      <c r="AA105" s="1653"/>
    </row>
    <row r="106" spans="1:27">
      <c r="A106" s="1653">
        <v>2029</v>
      </c>
      <c r="B106" s="1653">
        <v>12</v>
      </c>
      <c r="C106" s="1722">
        <v>47453</v>
      </c>
      <c r="D106" s="1653"/>
      <c r="E106" s="1659">
        <v>1347780</v>
      </c>
      <c r="F106" s="1660">
        <v>854087</v>
      </c>
      <c r="G106" s="1660">
        <v>77638</v>
      </c>
      <c r="H106" s="1660">
        <v>5465</v>
      </c>
      <c r="I106" s="1660">
        <v>913</v>
      </c>
      <c r="J106" s="1660">
        <v>2285883</v>
      </c>
      <c r="K106" s="1660">
        <v>180010</v>
      </c>
      <c r="L106" s="1660">
        <v>2465893</v>
      </c>
      <c r="M106" s="1660">
        <v>1649</v>
      </c>
      <c r="N106" s="1660">
        <v>130</v>
      </c>
      <c r="O106" s="1661">
        <v>2467672</v>
      </c>
      <c r="P106" s="1653"/>
      <c r="Q106" s="1653"/>
      <c r="R106" s="1653"/>
      <c r="S106" s="1653"/>
      <c r="T106" s="1653"/>
      <c r="U106" s="1653"/>
      <c r="V106" s="1653"/>
      <c r="W106" s="1653"/>
      <c r="X106" s="1653"/>
      <c r="Y106" s="1653"/>
      <c r="Z106" s="1653"/>
      <c r="AA106" s="1653"/>
    </row>
    <row r="107" spans="1:27">
      <c r="A107" s="1653">
        <v>2030</v>
      </c>
      <c r="B107" s="1653">
        <v>1</v>
      </c>
      <c r="C107" s="1722">
        <v>47484</v>
      </c>
      <c r="D107" s="1653"/>
      <c r="E107" s="1659">
        <v>1319872</v>
      </c>
      <c r="F107" s="1660">
        <v>842093</v>
      </c>
      <c r="G107" s="1660">
        <v>80568</v>
      </c>
      <c r="H107" s="1660">
        <v>5594</v>
      </c>
      <c r="I107" s="1660">
        <v>1008</v>
      </c>
      <c r="J107" s="1660">
        <v>2249135</v>
      </c>
      <c r="K107" s="1660">
        <v>177116</v>
      </c>
      <c r="L107" s="1660">
        <v>2426251</v>
      </c>
      <c r="M107" s="1660">
        <v>2243</v>
      </c>
      <c r="N107" s="1660">
        <v>177</v>
      </c>
      <c r="O107" s="1661">
        <v>2428671</v>
      </c>
      <c r="P107" s="1653"/>
      <c r="Q107" s="1653"/>
      <c r="R107" s="1653"/>
      <c r="S107" s="1653"/>
      <c r="T107" s="1653"/>
      <c r="U107" s="1653"/>
      <c r="V107" s="1653"/>
      <c r="W107" s="1653"/>
      <c r="X107" s="1653"/>
      <c r="Y107" s="1653"/>
      <c r="Z107" s="1653"/>
      <c r="AA107" s="1653"/>
    </row>
    <row r="108" spans="1:27">
      <c r="A108" s="1653">
        <v>2030</v>
      </c>
      <c r="B108" s="1653">
        <v>2</v>
      </c>
      <c r="C108" s="1722">
        <v>47515</v>
      </c>
      <c r="D108" s="1653"/>
      <c r="E108" s="1659">
        <v>1137936</v>
      </c>
      <c r="F108" s="1660">
        <v>746423</v>
      </c>
      <c r="G108" s="1660">
        <v>73768</v>
      </c>
      <c r="H108" s="1660">
        <v>4822</v>
      </c>
      <c r="I108" s="1660">
        <v>899</v>
      </c>
      <c r="J108" s="1660">
        <v>1963848</v>
      </c>
      <c r="K108" s="1660">
        <v>154650</v>
      </c>
      <c r="L108" s="1660">
        <v>2118498</v>
      </c>
      <c r="M108" s="1660">
        <v>2439</v>
      </c>
      <c r="N108" s="1660">
        <v>192</v>
      </c>
      <c r="O108" s="1661">
        <v>2121129</v>
      </c>
      <c r="P108" s="1653"/>
      <c r="Q108" s="1653"/>
      <c r="R108" s="1653"/>
      <c r="S108" s="1653"/>
      <c r="T108" s="1653"/>
      <c r="U108" s="1653"/>
      <c r="V108" s="1653"/>
      <c r="W108" s="1653"/>
      <c r="X108" s="1653"/>
      <c r="Y108" s="1653"/>
      <c r="Z108" s="1653"/>
      <c r="AA108" s="1653"/>
    </row>
    <row r="109" spans="1:27">
      <c r="A109" s="1653">
        <v>2030</v>
      </c>
      <c r="B109" s="1653">
        <v>3</v>
      </c>
      <c r="C109" s="1722">
        <v>47543</v>
      </c>
      <c r="D109" s="1653"/>
      <c r="E109" s="1659">
        <v>1148487</v>
      </c>
      <c r="F109" s="1660">
        <v>809815</v>
      </c>
      <c r="G109" s="1660">
        <v>81242</v>
      </c>
      <c r="H109" s="1660">
        <v>5710</v>
      </c>
      <c r="I109" s="1660">
        <v>887</v>
      </c>
      <c r="J109" s="1660">
        <v>2046141</v>
      </c>
      <c r="K109" s="1660">
        <v>161131</v>
      </c>
      <c r="L109" s="1660">
        <v>2207272</v>
      </c>
      <c r="M109" s="1660">
        <v>2263</v>
      </c>
      <c r="N109" s="1660">
        <v>178</v>
      </c>
      <c r="O109" s="1661">
        <v>2209713</v>
      </c>
      <c r="P109" s="1653"/>
      <c r="Q109" s="1653"/>
      <c r="R109" s="1653"/>
      <c r="S109" s="1653"/>
      <c r="T109" s="1653"/>
      <c r="U109" s="1653"/>
      <c r="V109" s="1653"/>
      <c r="W109" s="1653"/>
      <c r="X109" s="1653"/>
      <c r="Y109" s="1653"/>
      <c r="Z109" s="1653"/>
      <c r="AA109" s="1653"/>
    </row>
    <row r="110" spans="1:27">
      <c r="A110" s="1653">
        <v>2030</v>
      </c>
      <c r="B110" s="1653">
        <v>4</v>
      </c>
      <c r="C110" s="1722">
        <v>47574</v>
      </c>
      <c r="D110" s="1653"/>
      <c r="E110" s="1659">
        <v>921481</v>
      </c>
      <c r="F110" s="1660">
        <v>711857</v>
      </c>
      <c r="G110" s="1660">
        <v>76072</v>
      </c>
      <c r="H110" s="1660">
        <v>5103</v>
      </c>
      <c r="I110" s="1660">
        <v>723</v>
      </c>
      <c r="J110" s="1660">
        <v>1715236</v>
      </c>
      <c r="K110" s="1660">
        <v>135073</v>
      </c>
      <c r="L110" s="1660">
        <v>1850309</v>
      </c>
      <c r="M110" s="1660">
        <v>2101</v>
      </c>
      <c r="N110" s="1660">
        <v>165</v>
      </c>
      <c r="O110" s="1661">
        <v>1852575</v>
      </c>
      <c r="P110" s="1653"/>
      <c r="Q110" s="1653"/>
      <c r="R110" s="1653"/>
      <c r="S110" s="1653"/>
      <c r="T110" s="1653"/>
      <c r="U110" s="1653"/>
      <c r="V110" s="1653"/>
      <c r="W110" s="1653"/>
      <c r="X110" s="1653"/>
      <c r="Y110" s="1653"/>
      <c r="Z110" s="1653"/>
      <c r="AA110" s="1653"/>
    </row>
    <row r="111" spans="1:27">
      <c r="A111" s="1653">
        <v>2030</v>
      </c>
      <c r="B111" s="1653">
        <v>5</v>
      </c>
      <c r="C111" s="1722">
        <v>47604</v>
      </c>
      <c r="D111" s="1653"/>
      <c r="E111" s="1659">
        <v>810524</v>
      </c>
      <c r="F111" s="1660">
        <v>710276</v>
      </c>
      <c r="G111" s="1660">
        <v>72707</v>
      </c>
      <c r="H111" s="1660">
        <v>5037</v>
      </c>
      <c r="I111" s="1660">
        <v>562</v>
      </c>
      <c r="J111" s="1660">
        <v>1599106</v>
      </c>
      <c r="K111" s="1660">
        <v>125927</v>
      </c>
      <c r="L111" s="1660">
        <v>1725033</v>
      </c>
      <c r="M111" s="1660">
        <v>2097</v>
      </c>
      <c r="N111" s="1660">
        <v>165</v>
      </c>
      <c r="O111" s="1661">
        <v>1727295</v>
      </c>
      <c r="P111" s="1653"/>
      <c r="Q111" s="1653"/>
      <c r="R111" s="1653"/>
      <c r="S111" s="1653"/>
      <c r="T111" s="1653"/>
      <c r="U111" s="1653"/>
      <c r="V111" s="1653"/>
      <c r="W111" s="1653"/>
      <c r="X111" s="1653"/>
      <c r="Y111" s="1653"/>
      <c r="Z111" s="1653"/>
      <c r="AA111" s="1653"/>
    </row>
    <row r="112" spans="1:27">
      <c r="A112" s="1653">
        <v>2030</v>
      </c>
      <c r="B112" s="1653">
        <v>6</v>
      </c>
      <c r="C112" s="1722">
        <v>47635</v>
      </c>
      <c r="D112" s="1653"/>
      <c r="E112" s="1659">
        <v>759173</v>
      </c>
      <c r="F112" s="1660">
        <v>702516</v>
      </c>
      <c r="G112" s="1660">
        <v>80092</v>
      </c>
      <c r="H112" s="1660">
        <v>4454</v>
      </c>
      <c r="I112" s="1660">
        <v>430</v>
      </c>
      <c r="J112" s="1660">
        <v>1546665</v>
      </c>
      <c r="K112" s="1660">
        <v>121798</v>
      </c>
      <c r="L112" s="1660">
        <v>1668463</v>
      </c>
      <c r="M112" s="1660">
        <v>1727</v>
      </c>
      <c r="N112" s="1660">
        <v>136</v>
      </c>
      <c r="O112" s="1661">
        <v>1670326</v>
      </c>
      <c r="P112" s="1653"/>
      <c r="Q112" s="1653"/>
      <c r="R112" s="1653"/>
      <c r="S112" s="1653"/>
      <c r="T112" s="1653"/>
      <c r="U112" s="1653"/>
      <c r="V112" s="1653"/>
      <c r="W112" s="1653"/>
      <c r="X112" s="1653"/>
      <c r="Y112" s="1653"/>
      <c r="Z112" s="1653"/>
      <c r="AA112" s="1653"/>
    </row>
    <row r="113" spans="1:27">
      <c r="A113" s="1653">
        <v>2030</v>
      </c>
      <c r="B113" s="1653">
        <v>7</v>
      </c>
      <c r="C113" s="1722">
        <v>47665</v>
      </c>
      <c r="D113" s="1653"/>
      <c r="E113" s="1659">
        <v>872975</v>
      </c>
      <c r="F113" s="1660">
        <v>781343</v>
      </c>
      <c r="G113" s="1660">
        <v>82171</v>
      </c>
      <c r="H113" s="1660">
        <v>5181</v>
      </c>
      <c r="I113" s="1660">
        <v>291</v>
      </c>
      <c r="J113" s="1660">
        <v>1741961</v>
      </c>
      <c r="K113" s="1660">
        <v>137177</v>
      </c>
      <c r="L113" s="1660">
        <v>1879138</v>
      </c>
      <c r="M113" s="1660">
        <v>2779</v>
      </c>
      <c r="N113" s="1660">
        <v>219</v>
      </c>
      <c r="O113" s="1661">
        <v>1882136</v>
      </c>
      <c r="P113" s="1653"/>
      <c r="Q113" s="1653"/>
      <c r="R113" s="1653"/>
      <c r="S113" s="1653"/>
      <c r="T113" s="1653"/>
      <c r="U113" s="1653"/>
      <c r="V113" s="1653"/>
      <c r="W113" s="1653"/>
      <c r="X113" s="1653"/>
      <c r="Y113" s="1653"/>
      <c r="Z113" s="1653"/>
      <c r="AA113" s="1653"/>
    </row>
    <row r="114" spans="1:27">
      <c r="A114" s="1653">
        <v>2030</v>
      </c>
      <c r="B114" s="1653">
        <v>8</v>
      </c>
      <c r="C114" s="1722">
        <v>47696</v>
      </c>
      <c r="D114" s="1653"/>
      <c r="E114" s="1659">
        <v>884921</v>
      </c>
      <c r="F114" s="1660">
        <v>781538</v>
      </c>
      <c r="G114" s="1660">
        <v>82490</v>
      </c>
      <c r="H114" s="1660">
        <v>4765</v>
      </c>
      <c r="I114" s="1660">
        <v>290</v>
      </c>
      <c r="J114" s="1660">
        <v>1754004</v>
      </c>
      <c r="K114" s="1660">
        <v>138125</v>
      </c>
      <c r="L114" s="1660">
        <v>1892129</v>
      </c>
      <c r="M114" s="1660">
        <v>1579</v>
      </c>
      <c r="N114" s="1660">
        <v>124</v>
      </c>
      <c r="O114" s="1661">
        <v>1893832</v>
      </c>
      <c r="P114" s="1653"/>
      <c r="Q114" s="1653"/>
      <c r="R114" s="1653"/>
      <c r="S114" s="1653"/>
      <c r="T114" s="1653"/>
      <c r="U114" s="1653"/>
      <c r="V114" s="1653"/>
      <c r="W114" s="1653"/>
      <c r="X114" s="1653"/>
      <c r="Y114" s="1653"/>
      <c r="Z114" s="1653"/>
      <c r="AA114" s="1653"/>
    </row>
    <row r="115" spans="1:27">
      <c r="A115" s="1653">
        <v>2030</v>
      </c>
      <c r="B115" s="1653">
        <v>9</v>
      </c>
      <c r="C115" s="1722">
        <v>47727</v>
      </c>
      <c r="D115" s="1653"/>
      <c r="E115" s="1659">
        <v>790993</v>
      </c>
      <c r="F115" s="1660">
        <v>705875</v>
      </c>
      <c r="G115" s="1660">
        <v>77771</v>
      </c>
      <c r="H115" s="1660">
        <v>4860</v>
      </c>
      <c r="I115" s="1660">
        <v>319</v>
      </c>
      <c r="J115" s="1660">
        <v>1579818</v>
      </c>
      <c r="K115" s="1660">
        <v>124409</v>
      </c>
      <c r="L115" s="1660">
        <v>1704227</v>
      </c>
      <c r="M115" s="1660">
        <v>1377</v>
      </c>
      <c r="N115" s="1660">
        <v>108</v>
      </c>
      <c r="O115" s="1661">
        <v>1705712</v>
      </c>
      <c r="P115" s="1653"/>
      <c r="Q115" s="1653"/>
      <c r="R115" s="1653"/>
      <c r="S115" s="1653"/>
      <c r="T115" s="1653"/>
      <c r="U115" s="1653"/>
      <c r="V115" s="1653"/>
      <c r="W115" s="1653"/>
      <c r="X115" s="1653"/>
      <c r="Y115" s="1653"/>
      <c r="Z115" s="1653"/>
      <c r="AA115" s="1653"/>
    </row>
    <row r="116" spans="1:27">
      <c r="A116" s="1653">
        <v>2030</v>
      </c>
      <c r="B116" s="1653">
        <v>10</v>
      </c>
      <c r="C116" s="1722">
        <v>47757</v>
      </c>
      <c r="D116" s="1653"/>
      <c r="E116" s="1659">
        <v>910122</v>
      </c>
      <c r="F116" s="1660">
        <v>719901</v>
      </c>
      <c r="G116" s="1660">
        <v>76893</v>
      </c>
      <c r="H116" s="1660">
        <v>5489</v>
      </c>
      <c r="I116" s="1660">
        <v>506</v>
      </c>
      <c r="J116" s="1660">
        <v>1712911</v>
      </c>
      <c r="K116" s="1660">
        <v>134889</v>
      </c>
      <c r="L116" s="1660">
        <v>1847800</v>
      </c>
      <c r="M116" s="1660">
        <v>1767</v>
      </c>
      <c r="N116" s="1660">
        <v>139</v>
      </c>
      <c r="O116" s="1661">
        <v>1849706</v>
      </c>
      <c r="P116" s="1653"/>
      <c r="Q116" s="1653"/>
      <c r="R116" s="1653"/>
      <c r="S116" s="1653"/>
      <c r="T116" s="1653"/>
      <c r="U116" s="1653"/>
      <c r="V116" s="1653"/>
      <c r="W116" s="1653"/>
      <c r="X116" s="1653"/>
      <c r="Y116" s="1653"/>
      <c r="Z116" s="1653"/>
      <c r="AA116" s="1653"/>
    </row>
    <row r="117" spans="1:27">
      <c r="A117" s="1653">
        <v>2030</v>
      </c>
      <c r="B117" s="1653">
        <v>11</v>
      </c>
      <c r="C117" s="1722">
        <v>47788</v>
      </c>
      <c r="D117" s="1653"/>
      <c r="E117" s="1659">
        <v>1096322</v>
      </c>
      <c r="F117" s="1660">
        <v>755810</v>
      </c>
      <c r="G117" s="1660">
        <v>73853</v>
      </c>
      <c r="H117" s="1660">
        <v>4687</v>
      </c>
      <c r="I117" s="1660">
        <v>702</v>
      </c>
      <c r="J117" s="1660">
        <v>1931374</v>
      </c>
      <c r="K117" s="1660">
        <v>152093</v>
      </c>
      <c r="L117" s="1660">
        <v>2083467</v>
      </c>
      <c r="M117" s="1660">
        <v>1763</v>
      </c>
      <c r="N117" s="1660">
        <v>139</v>
      </c>
      <c r="O117" s="1661">
        <v>2085369</v>
      </c>
      <c r="P117" s="1653"/>
      <c r="Q117" s="1653"/>
      <c r="R117" s="1653"/>
      <c r="S117" s="1653"/>
      <c r="T117" s="1653"/>
      <c r="U117" s="1653"/>
      <c r="V117" s="1653"/>
      <c r="W117" s="1653"/>
      <c r="X117" s="1653"/>
      <c r="Y117" s="1653"/>
      <c r="Z117" s="1653"/>
      <c r="AA117" s="1653"/>
    </row>
    <row r="118" spans="1:27">
      <c r="A118" s="1653">
        <v>2030</v>
      </c>
      <c r="B118" s="1653">
        <v>12</v>
      </c>
      <c r="C118" s="1722">
        <v>47818</v>
      </c>
      <c r="D118" s="1653"/>
      <c r="E118" s="1659">
        <v>1368121</v>
      </c>
      <c r="F118" s="1660">
        <v>871786</v>
      </c>
      <c r="G118" s="1660">
        <v>76164</v>
      </c>
      <c r="H118" s="1660">
        <v>5321</v>
      </c>
      <c r="I118" s="1660">
        <v>914</v>
      </c>
      <c r="J118" s="1660">
        <v>2322306</v>
      </c>
      <c r="K118" s="1660">
        <v>182878</v>
      </c>
      <c r="L118" s="1660">
        <v>2505184</v>
      </c>
      <c r="M118" s="1660">
        <v>1649</v>
      </c>
      <c r="N118" s="1660">
        <v>130</v>
      </c>
      <c r="O118" s="1661">
        <v>2506963</v>
      </c>
      <c r="P118" s="1653"/>
      <c r="Q118" s="1653"/>
      <c r="R118" s="1653"/>
      <c r="S118" s="1653"/>
      <c r="T118" s="1653"/>
      <c r="U118" s="1653"/>
      <c r="V118" s="1653"/>
      <c r="W118" s="1653"/>
      <c r="X118" s="1653"/>
      <c r="Y118" s="1653"/>
      <c r="Z118" s="1653"/>
      <c r="AA118" s="1653"/>
    </row>
    <row r="119" spans="1:27">
      <c r="A119" s="1653">
        <v>2031</v>
      </c>
      <c r="B119" s="1653">
        <v>1</v>
      </c>
      <c r="C119" s="1722">
        <v>47849</v>
      </c>
      <c r="D119" s="1653"/>
      <c r="E119" s="1659">
        <v>1339100</v>
      </c>
      <c r="F119" s="1660">
        <v>855793</v>
      </c>
      <c r="G119" s="1660">
        <v>78710</v>
      </c>
      <c r="H119" s="1660">
        <v>5489</v>
      </c>
      <c r="I119" s="1660">
        <v>1008</v>
      </c>
      <c r="J119" s="1660">
        <v>2280100</v>
      </c>
      <c r="K119" s="1660">
        <v>179555</v>
      </c>
      <c r="L119" s="1660">
        <v>2459655</v>
      </c>
      <c r="M119" s="1660">
        <v>2325</v>
      </c>
      <c r="N119" s="1660">
        <v>183</v>
      </c>
      <c r="O119" s="1661">
        <v>2462163</v>
      </c>
      <c r="P119" s="1653"/>
      <c r="Q119" s="1653"/>
      <c r="R119" s="1653"/>
      <c r="S119" s="1653"/>
      <c r="T119" s="1653"/>
      <c r="U119" s="1653"/>
      <c r="V119" s="1653"/>
      <c r="W119" s="1653"/>
      <c r="X119" s="1653"/>
      <c r="Y119" s="1653"/>
      <c r="Z119" s="1653"/>
      <c r="AA119" s="1653"/>
    </row>
    <row r="120" spans="1:27">
      <c r="A120" s="1653">
        <v>2031</v>
      </c>
      <c r="B120" s="1653">
        <v>2</v>
      </c>
      <c r="C120" s="1722">
        <v>47880</v>
      </c>
      <c r="D120" s="1653"/>
      <c r="E120" s="1659">
        <v>1158273</v>
      </c>
      <c r="F120" s="1660">
        <v>758635</v>
      </c>
      <c r="G120" s="1660">
        <v>72143</v>
      </c>
      <c r="H120" s="1660">
        <v>4737</v>
      </c>
      <c r="I120" s="1660">
        <v>901</v>
      </c>
      <c r="J120" s="1660">
        <v>1994689</v>
      </c>
      <c r="K120" s="1660">
        <v>157079</v>
      </c>
      <c r="L120" s="1660">
        <v>2151768</v>
      </c>
      <c r="M120" s="1660">
        <v>2433</v>
      </c>
      <c r="N120" s="1660">
        <v>192</v>
      </c>
      <c r="O120" s="1661">
        <v>2154393</v>
      </c>
      <c r="P120" s="1653"/>
      <c r="Q120" s="1653"/>
      <c r="R120" s="1653"/>
      <c r="S120" s="1653"/>
      <c r="T120" s="1653"/>
      <c r="U120" s="1653"/>
      <c r="V120" s="1653"/>
      <c r="W120" s="1653"/>
      <c r="X120" s="1653"/>
      <c r="Y120" s="1653"/>
      <c r="Z120" s="1653"/>
      <c r="AA120" s="1653"/>
    </row>
    <row r="121" spans="1:27">
      <c r="A121" s="1653">
        <v>2031</v>
      </c>
      <c r="B121" s="1653">
        <v>3</v>
      </c>
      <c r="C121" s="1722">
        <v>47908</v>
      </c>
      <c r="D121" s="1653"/>
      <c r="E121" s="1659">
        <v>1168089</v>
      </c>
      <c r="F121" s="1660">
        <v>822525</v>
      </c>
      <c r="G121" s="1660">
        <v>79359</v>
      </c>
      <c r="H121" s="1660">
        <v>5624</v>
      </c>
      <c r="I121" s="1660">
        <v>888</v>
      </c>
      <c r="J121" s="1660">
        <v>2076485</v>
      </c>
      <c r="K121" s="1660">
        <v>163520</v>
      </c>
      <c r="L121" s="1660">
        <v>2240005</v>
      </c>
      <c r="M121" s="1660">
        <v>2339</v>
      </c>
      <c r="N121" s="1660">
        <v>184</v>
      </c>
      <c r="O121" s="1661">
        <v>2242528</v>
      </c>
      <c r="P121" s="1653"/>
      <c r="Q121" s="1653"/>
      <c r="R121" s="1653"/>
      <c r="S121" s="1653"/>
      <c r="T121" s="1653"/>
      <c r="U121" s="1653"/>
      <c r="V121" s="1653"/>
      <c r="W121" s="1653"/>
      <c r="X121" s="1653"/>
      <c r="Y121" s="1653"/>
      <c r="Z121" s="1653"/>
      <c r="AA121" s="1653"/>
    </row>
    <row r="122" spans="1:27">
      <c r="A122" s="1653">
        <v>2031</v>
      </c>
      <c r="B122" s="1653">
        <v>4</v>
      </c>
      <c r="C122" s="1722">
        <v>47939</v>
      </c>
      <c r="D122" s="1653"/>
      <c r="E122" s="1659">
        <v>935425</v>
      </c>
      <c r="F122" s="1660">
        <v>721363</v>
      </c>
      <c r="G122" s="1660">
        <v>74270</v>
      </c>
      <c r="H122" s="1660">
        <v>5039</v>
      </c>
      <c r="I122" s="1660">
        <v>722</v>
      </c>
      <c r="J122" s="1660">
        <v>1736819</v>
      </c>
      <c r="K122" s="1660">
        <v>136772</v>
      </c>
      <c r="L122" s="1660">
        <v>1873591</v>
      </c>
      <c r="M122" s="1660">
        <v>2172</v>
      </c>
      <c r="N122" s="1660">
        <v>171</v>
      </c>
      <c r="O122" s="1661">
        <v>1875934</v>
      </c>
      <c r="P122" s="1653"/>
      <c r="Q122" s="1653"/>
      <c r="R122" s="1653"/>
      <c r="S122" s="1653"/>
      <c r="T122" s="1653"/>
      <c r="U122" s="1653"/>
      <c r="V122" s="1653"/>
      <c r="W122" s="1653"/>
      <c r="X122" s="1653"/>
      <c r="Y122" s="1653"/>
      <c r="Z122" s="1653"/>
      <c r="AA122" s="1653"/>
    </row>
    <row r="123" spans="1:27">
      <c r="A123" s="1653">
        <v>2031</v>
      </c>
      <c r="B123" s="1653">
        <v>5</v>
      </c>
      <c r="C123" s="1722">
        <v>47969</v>
      </c>
      <c r="D123" s="1653"/>
      <c r="E123" s="1659">
        <v>826205</v>
      </c>
      <c r="F123" s="1660">
        <v>719260</v>
      </c>
      <c r="G123" s="1660">
        <v>70932</v>
      </c>
      <c r="H123" s="1660">
        <v>4985</v>
      </c>
      <c r="I123" s="1660">
        <v>562</v>
      </c>
      <c r="J123" s="1660">
        <v>1621944</v>
      </c>
      <c r="K123" s="1660">
        <v>127726</v>
      </c>
      <c r="L123" s="1660">
        <v>1749670</v>
      </c>
      <c r="M123" s="1660">
        <v>2174</v>
      </c>
      <c r="N123" s="1660">
        <v>171</v>
      </c>
      <c r="O123" s="1661">
        <v>1752015</v>
      </c>
      <c r="P123" s="1653"/>
      <c r="Q123" s="1653"/>
      <c r="R123" s="1653"/>
      <c r="S123" s="1653"/>
      <c r="T123" s="1653"/>
      <c r="U123" s="1653"/>
      <c r="V123" s="1653"/>
      <c r="W123" s="1653"/>
      <c r="X123" s="1653"/>
      <c r="Y123" s="1653"/>
      <c r="Z123" s="1653"/>
      <c r="AA123" s="1653"/>
    </row>
    <row r="124" spans="1:27">
      <c r="A124" s="1653">
        <v>2031</v>
      </c>
      <c r="B124" s="1653">
        <v>6</v>
      </c>
      <c r="C124" s="1722">
        <v>48000</v>
      </c>
      <c r="D124" s="1653"/>
      <c r="E124" s="1659">
        <v>773625</v>
      </c>
      <c r="F124" s="1660">
        <v>707782</v>
      </c>
      <c r="G124" s="1660">
        <v>78264</v>
      </c>
      <c r="H124" s="1660">
        <v>4398</v>
      </c>
      <c r="I124" s="1660">
        <v>430</v>
      </c>
      <c r="J124" s="1660">
        <v>1564499</v>
      </c>
      <c r="K124" s="1660">
        <v>123202</v>
      </c>
      <c r="L124" s="1660">
        <v>1687701</v>
      </c>
      <c r="M124" s="1660">
        <v>1787</v>
      </c>
      <c r="N124" s="1660">
        <v>141</v>
      </c>
      <c r="O124" s="1661">
        <v>1689629</v>
      </c>
      <c r="P124" s="1653"/>
      <c r="Q124" s="1653"/>
      <c r="R124" s="1653"/>
      <c r="S124" s="1653"/>
      <c r="T124" s="1653"/>
      <c r="U124" s="1653"/>
      <c r="V124" s="1653"/>
      <c r="W124" s="1653"/>
      <c r="X124" s="1653"/>
      <c r="Y124" s="1653"/>
      <c r="Z124" s="1653"/>
      <c r="AA124" s="1653"/>
    </row>
    <row r="125" spans="1:27">
      <c r="A125" s="1653">
        <v>2031</v>
      </c>
      <c r="B125" s="1653">
        <v>7</v>
      </c>
      <c r="C125" s="1722">
        <v>48030</v>
      </c>
      <c r="D125" s="1653"/>
      <c r="E125" s="1659">
        <v>889734</v>
      </c>
      <c r="F125" s="1660">
        <v>788020</v>
      </c>
      <c r="G125" s="1660">
        <v>80637</v>
      </c>
      <c r="H125" s="1660">
        <v>5098</v>
      </c>
      <c r="I125" s="1660">
        <v>291</v>
      </c>
      <c r="J125" s="1660">
        <v>1763780</v>
      </c>
      <c r="K125" s="1660">
        <v>138895</v>
      </c>
      <c r="L125" s="1660">
        <v>1902675</v>
      </c>
      <c r="M125" s="1660">
        <v>2889</v>
      </c>
      <c r="N125" s="1660">
        <v>228</v>
      </c>
      <c r="O125" s="1661">
        <v>1905792</v>
      </c>
      <c r="P125" s="1653"/>
      <c r="Q125" s="1653"/>
      <c r="R125" s="1653"/>
      <c r="S125" s="1653"/>
      <c r="T125" s="1653"/>
      <c r="U125" s="1653"/>
      <c r="V125" s="1653"/>
      <c r="W125" s="1653"/>
      <c r="X125" s="1653"/>
      <c r="Y125" s="1653"/>
      <c r="Z125" s="1653"/>
      <c r="AA125" s="1653"/>
    </row>
    <row r="126" spans="1:27">
      <c r="A126" s="1653">
        <v>2031</v>
      </c>
      <c r="B126" s="1653">
        <v>8</v>
      </c>
      <c r="C126" s="1722">
        <v>48061</v>
      </c>
      <c r="D126" s="1653"/>
      <c r="E126" s="1659">
        <v>904287</v>
      </c>
      <c r="F126" s="1660">
        <v>790635</v>
      </c>
      <c r="G126" s="1660">
        <v>80610</v>
      </c>
      <c r="H126" s="1660">
        <v>4681</v>
      </c>
      <c r="I126" s="1660">
        <v>290</v>
      </c>
      <c r="J126" s="1660">
        <v>1780503</v>
      </c>
      <c r="K126" s="1660">
        <v>140212</v>
      </c>
      <c r="L126" s="1660">
        <v>1920715</v>
      </c>
      <c r="M126" s="1660">
        <v>1634</v>
      </c>
      <c r="N126" s="1660">
        <v>129</v>
      </c>
      <c r="O126" s="1661">
        <v>1922478</v>
      </c>
      <c r="P126" s="1653"/>
      <c r="Q126" s="1653"/>
      <c r="R126" s="1653"/>
      <c r="S126" s="1653"/>
      <c r="T126" s="1653"/>
      <c r="U126" s="1653"/>
      <c r="V126" s="1653"/>
      <c r="W126" s="1653"/>
      <c r="X126" s="1653"/>
      <c r="Y126" s="1653"/>
      <c r="Z126" s="1653"/>
      <c r="AA126" s="1653"/>
    </row>
    <row r="127" spans="1:27">
      <c r="A127" s="1653">
        <v>2031</v>
      </c>
      <c r="B127" s="1653">
        <v>9</v>
      </c>
      <c r="C127" s="1722">
        <v>48092</v>
      </c>
      <c r="D127" s="1653"/>
      <c r="E127" s="1659">
        <v>806768</v>
      </c>
      <c r="F127" s="1660">
        <v>714476</v>
      </c>
      <c r="G127" s="1660">
        <v>76001</v>
      </c>
      <c r="H127" s="1660">
        <v>4761</v>
      </c>
      <c r="I127" s="1660">
        <v>319</v>
      </c>
      <c r="J127" s="1660">
        <v>1602325</v>
      </c>
      <c r="K127" s="1660">
        <v>126181</v>
      </c>
      <c r="L127" s="1660">
        <v>1728506</v>
      </c>
      <c r="M127" s="1660">
        <v>1428</v>
      </c>
      <c r="N127" s="1660">
        <v>112</v>
      </c>
      <c r="O127" s="1661">
        <v>1730046</v>
      </c>
      <c r="P127" s="1653"/>
      <c r="Q127" s="1653"/>
      <c r="R127" s="1653"/>
      <c r="S127" s="1653"/>
      <c r="T127" s="1653"/>
      <c r="U127" s="1653"/>
      <c r="V127" s="1653"/>
      <c r="W127" s="1653"/>
      <c r="X127" s="1653"/>
      <c r="Y127" s="1653"/>
      <c r="Z127" s="1653"/>
      <c r="AA127" s="1653"/>
    </row>
    <row r="128" spans="1:27">
      <c r="A128" s="1653">
        <v>2031</v>
      </c>
      <c r="B128" s="1653">
        <v>10</v>
      </c>
      <c r="C128" s="1722">
        <v>48122</v>
      </c>
      <c r="D128" s="1653"/>
      <c r="E128" s="1659">
        <v>928646</v>
      </c>
      <c r="F128" s="1660">
        <v>731189</v>
      </c>
      <c r="G128" s="1660">
        <v>75064</v>
      </c>
      <c r="H128" s="1660">
        <v>5348</v>
      </c>
      <c r="I128" s="1660">
        <v>508</v>
      </c>
      <c r="J128" s="1660">
        <v>1740755</v>
      </c>
      <c r="K128" s="1660">
        <v>137082</v>
      </c>
      <c r="L128" s="1660">
        <v>1877837</v>
      </c>
      <c r="M128" s="1660">
        <v>1830</v>
      </c>
      <c r="N128" s="1660">
        <v>144</v>
      </c>
      <c r="O128" s="1661">
        <v>1879811</v>
      </c>
      <c r="P128" s="1653"/>
      <c r="Q128" s="1653"/>
      <c r="R128" s="1653"/>
      <c r="S128" s="1653"/>
      <c r="T128" s="1653"/>
      <c r="U128" s="1653"/>
      <c r="V128" s="1653"/>
      <c r="W128" s="1653"/>
      <c r="X128" s="1653"/>
      <c r="Y128" s="1653"/>
      <c r="Z128" s="1653"/>
      <c r="AA128" s="1653"/>
    </row>
    <row r="129" spans="1:27">
      <c r="A129" s="1653">
        <v>2031</v>
      </c>
      <c r="B129" s="1653">
        <v>11</v>
      </c>
      <c r="C129" s="1722">
        <v>48153</v>
      </c>
      <c r="D129" s="1653"/>
      <c r="E129" s="1659">
        <v>1108283</v>
      </c>
      <c r="F129" s="1660">
        <v>768185</v>
      </c>
      <c r="G129" s="1660">
        <v>72105</v>
      </c>
      <c r="H129" s="1660">
        <v>4551</v>
      </c>
      <c r="I129" s="1660">
        <v>699</v>
      </c>
      <c r="J129" s="1660">
        <v>1953823</v>
      </c>
      <c r="K129" s="1660">
        <v>153861</v>
      </c>
      <c r="L129" s="1660">
        <v>2107684</v>
      </c>
      <c r="M129" s="1660">
        <v>1832</v>
      </c>
      <c r="N129" s="1660">
        <v>144</v>
      </c>
      <c r="O129" s="1661">
        <v>2109660</v>
      </c>
      <c r="P129" s="1653"/>
      <c r="Q129" s="1653"/>
      <c r="R129" s="1653"/>
      <c r="S129" s="1653"/>
      <c r="T129" s="1653"/>
      <c r="U129" s="1653"/>
      <c r="V129" s="1653"/>
      <c r="W129" s="1653"/>
      <c r="X129" s="1653"/>
      <c r="Y129" s="1653"/>
      <c r="Z129" s="1653"/>
      <c r="AA129" s="1653"/>
    </row>
    <row r="130" spans="1:27">
      <c r="A130" s="1653">
        <v>2031</v>
      </c>
      <c r="B130" s="1653">
        <v>12</v>
      </c>
      <c r="C130" s="1722">
        <v>48183</v>
      </c>
      <c r="D130" s="1653"/>
      <c r="E130" s="1659">
        <v>1386207</v>
      </c>
      <c r="F130" s="1660">
        <v>888169</v>
      </c>
      <c r="G130" s="1660">
        <v>74385</v>
      </c>
      <c r="H130" s="1660">
        <v>5178</v>
      </c>
      <c r="I130" s="1660">
        <v>913</v>
      </c>
      <c r="J130" s="1660">
        <v>2354852</v>
      </c>
      <c r="K130" s="1660">
        <v>185441</v>
      </c>
      <c r="L130" s="1660">
        <v>2540293</v>
      </c>
      <c r="M130" s="1660">
        <v>1718</v>
      </c>
      <c r="N130" s="1660">
        <v>135</v>
      </c>
      <c r="O130" s="1661">
        <v>2542146</v>
      </c>
      <c r="P130" s="1653"/>
      <c r="Q130" s="1653"/>
      <c r="R130" s="1653"/>
      <c r="S130" s="1653"/>
      <c r="T130" s="1653"/>
      <c r="U130" s="1653"/>
      <c r="V130" s="1653"/>
      <c r="W130" s="1653"/>
      <c r="X130" s="1653"/>
      <c r="Y130" s="1653"/>
      <c r="Z130" s="1653"/>
      <c r="AA130" s="1653"/>
    </row>
    <row r="131" spans="1:27">
      <c r="A131" s="1653">
        <v>2032</v>
      </c>
      <c r="B131" s="1653">
        <v>1</v>
      </c>
      <c r="C131" s="1722">
        <v>48214</v>
      </c>
      <c r="D131" s="1653"/>
      <c r="E131" s="1659">
        <v>1352971</v>
      </c>
      <c r="F131" s="1660">
        <v>870721</v>
      </c>
      <c r="G131" s="1660">
        <v>77122</v>
      </c>
      <c r="H131" s="1660">
        <v>5385</v>
      </c>
      <c r="I131" s="1660">
        <v>1006</v>
      </c>
      <c r="J131" s="1660">
        <v>2307205</v>
      </c>
      <c r="K131" s="1660">
        <v>181689</v>
      </c>
      <c r="L131" s="1660">
        <v>2488894</v>
      </c>
      <c r="M131" s="1660">
        <v>2325</v>
      </c>
      <c r="N131" s="1660">
        <v>183</v>
      </c>
      <c r="O131" s="1661">
        <v>2491402</v>
      </c>
      <c r="P131" s="1653"/>
      <c r="Q131" s="1653"/>
      <c r="R131" s="1653"/>
      <c r="S131" s="1653"/>
      <c r="T131" s="1653"/>
      <c r="U131" s="1653"/>
      <c r="V131" s="1653"/>
      <c r="W131" s="1653"/>
      <c r="X131" s="1653"/>
      <c r="Y131" s="1653"/>
      <c r="Z131" s="1653"/>
      <c r="AA131" s="1653"/>
    </row>
    <row r="132" spans="1:27">
      <c r="A132" s="1653">
        <v>2032</v>
      </c>
      <c r="B132" s="1653">
        <v>2</v>
      </c>
      <c r="C132" s="1722">
        <v>48245</v>
      </c>
      <c r="D132" s="1653"/>
      <c r="E132" s="1659">
        <v>1211156</v>
      </c>
      <c r="F132" s="1660">
        <v>798473</v>
      </c>
      <c r="G132" s="1660">
        <v>73195</v>
      </c>
      <c r="H132" s="1660">
        <v>4652</v>
      </c>
      <c r="I132" s="1660">
        <v>931</v>
      </c>
      <c r="J132" s="1660">
        <v>2088407</v>
      </c>
      <c r="K132" s="1660">
        <v>164459</v>
      </c>
      <c r="L132" s="1660">
        <v>2252866</v>
      </c>
      <c r="M132" s="1660">
        <v>2433</v>
      </c>
      <c r="N132" s="1660">
        <v>192</v>
      </c>
      <c r="O132" s="1661">
        <v>2255491</v>
      </c>
      <c r="P132" s="1653"/>
      <c r="Q132" s="1653"/>
      <c r="R132" s="1653"/>
      <c r="S132" s="1653"/>
      <c r="T132" s="1653"/>
      <c r="U132" s="1653"/>
      <c r="V132" s="1653"/>
      <c r="W132" s="1653"/>
      <c r="X132" s="1653"/>
      <c r="Y132" s="1653"/>
      <c r="Z132" s="1653"/>
      <c r="AA132" s="1653"/>
    </row>
    <row r="133" spans="1:27">
      <c r="A133" s="1653">
        <v>2032</v>
      </c>
      <c r="B133" s="1653">
        <v>3</v>
      </c>
      <c r="C133" s="1722">
        <v>48274</v>
      </c>
      <c r="D133" s="1653"/>
      <c r="E133" s="1659">
        <v>1183776</v>
      </c>
      <c r="F133" s="1660">
        <v>834814</v>
      </c>
      <c r="G133" s="1660">
        <v>77461</v>
      </c>
      <c r="H133" s="1660">
        <v>5537</v>
      </c>
      <c r="I133" s="1660">
        <v>888</v>
      </c>
      <c r="J133" s="1660">
        <v>2102476</v>
      </c>
      <c r="K133" s="1660">
        <v>165567</v>
      </c>
      <c r="L133" s="1660">
        <v>2268043</v>
      </c>
      <c r="M133" s="1660">
        <v>2339</v>
      </c>
      <c r="N133" s="1660">
        <v>184</v>
      </c>
      <c r="O133" s="1661">
        <v>2270566</v>
      </c>
      <c r="P133" s="1653"/>
      <c r="Q133" s="1653"/>
      <c r="R133" s="1653"/>
      <c r="S133" s="1653"/>
      <c r="T133" s="1653"/>
      <c r="U133" s="1653"/>
      <c r="V133" s="1653"/>
      <c r="W133" s="1653"/>
      <c r="X133" s="1653"/>
      <c r="Y133" s="1653"/>
      <c r="Z133" s="1653"/>
      <c r="AA133" s="1653"/>
    </row>
    <row r="134" spans="1:27">
      <c r="A134" s="1653">
        <v>2032</v>
      </c>
      <c r="B134" s="1653">
        <v>4</v>
      </c>
      <c r="C134" s="1722">
        <v>48305</v>
      </c>
      <c r="D134" s="1653"/>
      <c r="E134" s="1659">
        <v>950303</v>
      </c>
      <c r="F134" s="1660">
        <v>731663</v>
      </c>
      <c r="G134" s="1660">
        <v>72486</v>
      </c>
      <c r="H134" s="1660">
        <v>4975</v>
      </c>
      <c r="I134" s="1660">
        <v>723</v>
      </c>
      <c r="J134" s="1660">
        <v>1760150</v>
      </c>
      <c r="K134" s="1660">
        <v>138609</v>
      </c>
      <c r="L134" s="1660">
        <v>1898759</v>
      </c>
      <c r="M134" s="1660">
        <v>2172</v>
      </c>
      <c r="N134" s="1660">
        <v>171</v>
      </c>
      <c r="O134" s="1661">
        <v>1901102</v>
      </c>
      <c r="P134" s="1653"/>
      <c r="Q134" s="1653"/>
      <c r="R134" s="1653"/>
      <c r="S134" s="1653"/>
      <c r="T134" s="1653"/>
      <c r="U134" s="1653"/>
      <c r="V134" s="1653"/>
      <c r="W134" s="1653"/>
      <c r="X134" s="1653"/>
      <c r="Y134" s="1653"/>
      <c r="Z134" s="1653"/>
      <c r="AA134" s="1653"/>
    </row>
    <row r="135" spans="1:27">
      <c r="A135" s="1653">
        <v>2032</v>
      </c>
      <c r="B135" s="1653">
        <v>5</v>
      </c>
      <c r="C135" s="1722">
        <v>48335</v>
      </c>
      <c r="D135" s="1653"/>
      <c r="E135" s="1659">
        <v>839035</v>
      </c>
      <c r="F135" s="1660">
        <v>728261</v>
      </c>
      <c r="G135" s="1660">
        <v>69168</v>
      </c>
      <c r="H135" s="1660">
        <v>4931</v>
      </c>
      <c r="I135" s="1660">
        <v>562</v>
      </c>
      <c r="J135" s="1660">
        <v>1641957</v>
      </c>
      <c r="K135" s="1660">
        <v>129302</v>
      </c>
      <c r="L135" s="1660">
        <v>1771259</v>
      </c>
      <c r="M135" s="1660">
        <v>2174</v>
      </c>
      <c r="N135" s="1660">
        <v>171</v>
      </c>
      <c r="O135" s="1661">
        <v>1773604</v>
      </c>
      <c r="P135" s="1653"/>
      <c r="Q135" s="1653"/>
      <c r="R135" s="1653"/>
      <c r="S135" s="1653"/>
      <c r="T135" s="1653"/>
      <c r="U135" s="1653"/>
      <c r="V135" s="1653"/>
      <c r="W135" s="1653"/>
      <c r="X135" s="1653"/>
      <c r="Y135" s="1653"/>
      <c r="Z135" s="1653"/>
      <c r="AA135" s="1653"/>
    </row>
    <row r="136" spans="1:27">
      <c r="A136" s="1653">
        <v>2032</v>
      </c>
      <c r="B136" s="1653">
        <v>6</v>
      </c>
      <c r="C136" s="1722">
        <v>48366</v>
      </c>
      <c r="D136" s="1653"/>
      <c r="E136" s="1659">
        <v>788199</v>
      </c>
      <c r="F136" s="1660">
        <v>713723</v>
      </c>
      <c r="G136" s="1660">
        <v>76423</v>
      </c>
      <c r="H136" s="1660">
        <v>4341</v>
      </c>
      <c r="I136" s="1660">
        <v>430</v>
      </c>
      <c r="J136" s="1660">
        <v>1583116</v>
      </c>
      <c r="K136" s="1660">
        <v>124668</v>
      </c>
      <c r="L136" s="1660">
        <v>1707784</v>
      </c>
      <c r="M136" s="1660">
        <v>1787</v>
      </c>
      <c r="N136" s="1660">
        <v>141</v>
      </c>
      <c r="O136" s="1661">
        <v>1709712</v>
      </c>
      <c r="P136" s="1653"/>
      <c r="Q136" s="1653"/>
      <c r="R136" s="1653"/>
      <c r="S136" s="1653"/>
      <c r="T136" s="1653"/>
      <c r="U136" s="1653"/>
      <c r="V136" s="1653"/>
      <c r="W136" s="1653"/>
      <c r="X136" s="1653"/>
      <c r="Y136" s="1653"/>
      <c r="Z136" s="1653"/>
      <c r="AA136" s="1653"/>
    </row>
    <row r="137" spans="1:27">
      <c r="A137" s="1653">
        <v>2032</v>
      </c>
      <c r="B137" s="1653">
        <v>7</v>
      </c>
      <c r="C137" s="1722">
        <v>48396</v>
      </c>
      <c r="D137" s="1653"/>
      <c r="E137" s="1659">
        <v>907444</v>
      </c>
      <c r="F137" s="1660">
        <v>795942</v>
      </c>
      <c r="G137" s="1660">
        <v>78806</v>
      </c>
      <c r="H137" s="1660">
        <v>5012</v>
      </c>
      <c r="I137" s="1660">
        <v>291</v>
      </c>
      <c r="J137" s="1660">
        <v>1787495</v>
      </c>
      <c r="K137" s="1660">
        <v>140763</v>
      </c>
      <c r="L137" s="1660">
        <v>1928258</v>
      </c>
      <c r="M137" s="1660">
        <v>2889</v>
      </c>
      <c r="N137" s="1660">
        <v>228</v>
      </c>
      <c r="O137" s="1661">
        <v>1931375</v>
      </c>
      <c r="P137" s="1653"/>
      <c r="Q137" s="1653"/>
      <c r="R137" s="1653"/>
      <c r="S137" s="1653"/>
      <c r="T137" s="1653"/>
      <c r="U137" s="1653"/>
      <c r="V137" s="1653"/>
      <c r="W137" s="1653"/>
      <c r="X137" s="1653"/>
      <c r="Y137" s="1653"/>
      <c r="Z137" s="1653"/>
      <c r="AA137" s="1653"/>
    </row>
    <row r="138" spans="1:27">
      <c r="A138" s="1653">
        <v>2032</v>
      </c>
      <c r="B138" s="1653">
        <v>8</v>
      </c>
      <c r="C138" s="1722">
        <v>48427</v>
      </c>
      <c r="D138" s="1653"/>
      <c r="E138" s="1659">
        <v>919028</v>
      </c>
      <c r="F138" s="1660">
        <v>794076</v>
      </c>
      <c r="G138" s="1660">
        <v>79018</v>
      </c>
      <c r="H138" s="1660">
        <v>4594</v>
      </c>
      <c r="I138" s="1660">
        <v>290</v>
      </c>
      <c r="J138" s="1660">
        <v>1797006</v>
      </c>
      <c r="K138" s="1660">
        <v>141512</v>
      </c>
      <c r="L138" s="1660">
        <v>1938518</v>
      </c>
      <c r="M138" s="1660">
        <v>1634</v>
      </c>
      <c r="N138" s="1660">
        <v>129</v>
      </c>
      <c r="O138" s="1661">
        <v>1940281</v>
      </c>
      <c r="P138" s="1653"/>
      <c r="Q138" s="1653"/>
      <c r="R138" s="1653"/>
      <c r="S138" s="1653"/>
      <c r="T138" s="1653"/>
      <c r="U138" s="1653"/>
      <c r="V138" s="1653"/>
      <c r="W138" s="1653"/>
      <c r="X138" s="1653"/>
      <c r="Y138" s="1653"/>
      <c r="Z138" s="1653"/>
      <c r="AA138" s="1653"/>
    </row>
    <row r="139" spans="1:27">
      <c r="A139" s="1653">
        <v>2032</v>
      </c>
      <c r="B139" s="1653">
        <v>9</v>
      </c>
      <c r="C139" s="1722">
        <v>48458</v>
      </c>
      <c r="D139" s="1653"/>
      <c r="E139" s="1659">
        <v>820244</v>
      </c>
      <c r="F139" s="1660">
        <v>720546</v>
      </c>
      <c r="G139" s="1660">
        <v>74527</v>
      </c>
      <c r="H139" s="1660">
        <v>4658</v>
      </c>
      <c r="I139" s="1660">
        <v>319</v>
      </c>
      <c r="J139" s="1660">
        <v>1620294</v>
      </c>
      <c r="K139" s="1660">
        <v>127596</v>
      </c>
      <c r="L139" s="1660">
        <v>1747890</v>
      </c>
      <c r="M139" s="1660">
        <v>1428</v>
      </c>
      <c r="N139" s="1660">
        <v>112</v>
      </c>
      <c r="O139" s="1661">
        <v>1749430</v>
      </c>
      <c r="P139" s="1653"/>
      <c r="Q139" s="1653"/>
      <c r="R139" s="1653"/>
      <c r="S139" s="1653"/>
      <c r="T139" s="1653"/>
      <c r="U139" s="1653"/>
      <c r="V139" s="1653"/>
      <c r="W139" s="1653"/>
      <c r="X139" s="1653"/>
      <c r="Y139" s="1653"/>
      <c r="Z139" s="1653"/>
      <c r="AA139" s="1653"/>
    </row>
    <row r="140" spans="1:27">
      <c r="A140" s="1653">
        <v>2032</v>
      </c>
      <c r="B140" s="1653">
        <v>10</v>
      </c>
      <c r="C140" s="1722">
        <v>48488</v>
      </c>
      <c r="D140" s="1653"/>
      <c r="E140" s="1659">
        <v>938832</v>
      </c>
      <c r="F140" s="1660">
        <v>737990</v>
      </c>
      <c r="G140" s="1660">
        <v>73259</v>
      </c>
      <c r="H140" s="1660">
        <v>5203</v>
      </c>
      <c r="I140" s="1660">
        <v>508</v>
      </c>
      <c r="J140" s="1660">
        <v>1755792</v>
      </c>
      <c r="K140" s="1660">
        <v>138266</v>
      </c>
      <c r="L140" s="1660">
        <v>1894058</v>
      </c>
      <c r="M140" s="1660">
        <v>1830</v>
      </c>
      <c r="N140" s="1660">
        <v>144</v>
      </c>
      <c r="O140" s="1661">
        <v>1896032</v>
      </c>
      <c r="P140" s="1653"/>
      <c r="Q140" s="1653"/>
      <c r="R140" s="1653"/>
      <c r="S140" s="1653"/>
      <c r="T140" s="1653"/>
      <c r="U140" s="1653"/>
      <c r="V140" s="1653"/>
      <c r="W140" s="1653"/>
      <c r="X140" s="1653"/>
      <c r="Y140" s="1653"/>
      <c r="Z140" s="1653"/>
      <c r="AA140" s="1653"/>
    </row>
    <row r="141" spans="1:27">
      <c r="A141" s="1653">
        <v>2032</v>
      </c>
      <c r="B141" s="1653">
        <v>11</v>
      </c>
      <c r="C141" s="1722">
        <v>48519</v>
      </c>
      <c r="D141" s="1653"/>
      <c r="E141" s="1659">
        <v>1118844</v>
      </c>
      <c r="F141" s="1660">
        <v>775146</v>
      </c>
      <c r="G141" s="1660">
        <v>70399</v>
      </c>
      <c r="H141" s="1660">
        <v>4410</v>
      </c>
      <c r="I141" s="1660">
        <v>700</v>
      </c>
      <c r="J141" s="1660">
        <v>1969499</v>
      </c>
      <c r="K141" s="1660">
        <v>155095</v>
      </c>
      <c r="L141" s="1660">
        <v>2124594</v>
      </c>
      <c r="M141" s="1660">
        <v>1832</v>
      </c>
      <c r="N141" s="1660">
        <v>144</v>
      </c>
      <c r="O141" s="1661">
        <v>2126570</v>
      </c>
      <c r="P141" s="1653"/>
      <c r="Q141" s="1653"/>
      <c r="R141" s="1653"/>
      <c r="S141" s="1653"/>
      <c r="T141" s="1653"/>
      <c r="U141" s="1653"/>
      <c r="V141" s="1653"/>
      <c r="W141" s="1653"/>
      <c r="X141" s="1653"/>
      <c r="Y141" s="1653"/>
      <c r="Z141" s="1653"/>
      <c r="AA141" s="1653"/>
    </row>
    <row r="142" spans="1:27">
      <c r="A142" s="1653">
        <v>2032</v>
      </c>
      <c r="B142" s="1653">
        <v>12</v>
      </c>
      <c r="C142" s="1722">
        <v>48549</v>
      </c>
      <c r="D142" s="1653"/>
      <c r="E142" s="1659">
        <v>1385035</v>
      </c>
      <c r="F142" s="1660">
        <v>897274</v>
      </c>
      <c r="G142" s="1660">
        <v>72586</v>
      </c>
      <c r="H142" s="1660">
        <v>5031</v>
      </c>
      <c r="I142" s="1660">
        <v>908</v>
      </c>
      <c r="J142" s="1660">
        <v>2360834</v>
      </c>
      <c r="K142" s="1660">
        <v>185912</v>
      </c>
      <c r="L142" s="1660">
        <v>2546746</v>
      </c>
      <c r="M142" s="1660">
        <v>1718</v>
      </c>
      <c r="N142" s="1660">
        <v>135</v>
      </c>
      <c r="O142" s="1661">
        <v>2548599</v>
      </c>
      <c r="P142" s="1653"/>
      <c r="Q142" s="1653"/>
      <c r="R142" s="1653"/>
      <c r="S142" s="1653"/>
      <c r="T142" s="1653"/>
      <c r="U142" s="1653"/>
      <c r="V142" s="1653"/>
      <c r="W142" s="1653"/>
      <c r="X142" s="1653"/>
      <c r="Y142" s="1653"/>
      <c r="Z142" s="1653"/>
      <c r="AA142" s="1653"/>
    </row>
    <row r="143" spans="1:27">
      <c r="A143" s="1653">
        <v>2033</v>
      </c>
      <c r="B143" s="1653">
        <v>1</v>
      </c>
      <c r="C143" s="1722">
        <v>48580</v>
      </c>
      <c r="D143" s="1653"/>
      <c r="E143" s="1659">
        <v>1351664</v>
      </c>
      <c r="F143" s="1660">
        <v>881301</v>
      </c>
      <c r="G143" s="1660">
        <v>75246</v>
      </c>
      <c r="H143" s="1660">
        <v>5277</v>
      </c>
      <c r="I143" s="1660">
        <v>1002</v>
      </c>
      <c r="J143" s="1660">
        <v>2314490</v>
      </c>
      <c r="K143" s="1660">
        <v>182263</v>
      </c>
      <c r="L143" s="1660">
        <v>2496753</v>
      </c>
      <c r="M143" s="1660">
        <v>2325</v>
      </c>
      <c r="N143" s="1660">
        <v>183</v>
      </c>
      <c r="O143" s="1661">
        <v>2499261</v>
      </c>
      <c r="P143" s="1653"/>
      <c r="Q143" s="1653"/>
      <c r="R143" s="1653"/>
      <c r="S143" s="1653"/>
      <c r="T143" s="1653"/>
      <c r="U143" s="1653"/>
      <c r="V143" s="1653"/>
      <c r="W143" s="1653"/>
      <c r="X143" s="1653"/>
      <c r="Y143" s="1653"/>
      <c r="Z143" s="1653"/>
      <c r="AA143" s="1653"/>
    </row>
    <row r="144" spans="1:27">
      <c r="A144" s="1653">
        <v>2033</v>
      </c>
      <c r="B144" s="1653">
        <v>2</v>
      </c>
      <c r="C144" s="1722">
        <v>48611</v>
      </c>
      <c r="D144" s="1653"/>
      <c r="E144" s="1659">
        <v>1173926</v>
      </c>
      <c r="F144" s="1660">
        <v>778773</v>
      </c>
      <c r="G144" s="1660">
        <v>69101</v>
      </c>
      <c r="H144" s="1660">
        <v>4565</v>
      </c>
      <c r="I144" s="1660">
        <v>896</v>
      </c>
      <c r="J144" s="1660">
        <v>2027261</v>
      </c>
      <c r="K144" s="1660">
        <v>159644</v>
      </c>
      <c r="L144" s="1660">
        <v>2186905</v>
      </c>
      <c r="M144" s="1660">
        <v>2433</v>
      </c>
      <c r="N144" s="1660">
        <v>192</v>
      </c>
      <c r="O144" s="1661">
        <v>2189530</v>
      </c>
      <c r="P144" s="1653"/>
      <c r="Q144" s="1653"/>
      <c r="R144" s="1653"/>
      <c r="S144" s="1653"/>
      <c r="T144" s="1653"/>
      <c r="U144" s="1653"/>
      <c r="V144" s="1653"/>
      <c r="W144" s="1653"/>
      <c r="X144" s="1653"/>
      <c r="Y144" s="1653"/>
      <c r="Z144" s="1653"/>
      <c r="AA144" s="1653"/>
    </row>
    <row r="145" spans="1:27">
      <c r="A145" s="1653">
        <v>2033</v>
      </c>
      <c r="B145" s="1653">
        <v>3</v>
      </c>
      <c r="C145" s="1722">
        <v>48639</v>
      </c>
      <c r="D145" s="1653"/>
      <c r="E145" s="1659">
        <v>1189257</v>
      </c>
      <c r="F145" s="1660">
        <v>843041</v>
      </c>
      <c r="G145" s="1660">
        <v>75847</v>
      </c>
      <c r="H145" s="1660">
        <v>5449</v>
      </c>
      <c r="I145" s="1660">
        <v>885</v>
      </c>
      <c r="J145" s="1660">
        <v>2114479</v>
      </c>
      <c r="K145" s="1660">
        <v>166512</v>
      </c>
      <c r="L145" s="1660">
        <v>2280991</v>
      </c>
      <c r="M145" s="1660">
        <v>2339</v>
      </c>
      <c r="N145" s="1660">
        <v>184</v>
      </c>
      <c r="O145" s="1661">
        <v>2283514</v>
      </c>
      <c r="P145" s="1653"/>
      <c r="Q145" s="1653"/>
      <c r="R145" s="1653"/>
      <c r="S145" s="1653"/>
      <c r="T145" s="1653"/>
      <c r="U145" s="1653"/>
      <c r="V145" s="1653"/>
      <c r="W145" s="1653"/>
      <c r="X145" s="1653"/>
      <c r="Y145" s="1653"/>
      <c r="Z145" s="1653"/>
      <c r="AA145" s="1653"/>
    </row>
    <row r="146" spans="1:27">
      <c r="A146" s="1653">
        <v>2033</v>
      </c>
      <c r="B146" s="1653">
        <v>4</v>
      </c>
      <c r="C146" s="1722">
        <v>48670</v>
      </c>
      <c r="D146" s="1653"/>
      <c r="E146" s="1659">
        <v>956818</v>
      </c>
      <c r="F146" s="1660">
        <v>739608</v>
      </c>
      <c r="G146" s="1660">
        <v>70972</v>
      </c>
      <c r="H146" s="1660">
        <v>4908</v>
      </c>
      <c r="I146" s="1660">
        <v>721</v>
      </c>
      <c r="J146" s="1660">
        <v>1773027</v>
      </c>
      <c r="K146" s="1660">
        <v>139623</v>
      </c>
      <c r="L146" s="1660">
        <v>1912650</v>
      </c>
      <c r="M146" s="1660">
        <v>2172</v>
      </c>
      <c r="N146" s="1660">
        <v>171</v>
      </c>
      <c r="O146" s="1661">
        <v>1914993</v>
      </c>
      <c r="P146" s="1653"/>
      <c r="Q146" s="1653"/>
      <c r="R146" s="1653"/>
      <c r="S146" s="1653"/>
      <c r="T146" s="1653"/>
      <c r="U146" s="1653"/>
      <c r="V146" s="1653"/>
      <c r="W146" s="1653"/>
      <c r="X146" s="1653"/>
      <c r="Y146" s="1653"/>
      <c r="Z146" s="1653"/>
      <c r="AA146" s="1653"/>
    </row>
    <row r="147" spans="1:27">
      <c r="A147" s="1653">
        <v>2033</v>
      </c>
      <c r="B147" s="1653">
        <v>5</v>
      </c>
      <c r="C147" s="1722">
        <v>48700</v>
      </c>
      <c r="D147" s="1653"/>
      <c r="E147" s="1659">
        <v>848492</v>
      </c>
      <c r="F147" s="1660">
        <v>734160</v>
      </c>
      <c r="G147" s="1660">
        <v>67374</v>
      </c>
      <c r="H147" s="1660">
        <v>4877</v>
      </c>
      <c r="I147" s="1660">
        <v>561</v>
      </c>
      <c r="J147" s="1660">
        <v>1655464</v>
      </c>
      <c r="K147" s="1660">
        <v>130366</v>
      </c>
      <c r="L147" s="1660">
        <v>1785830</v>
      </c>
      <c r="M147" s="1660">
        <v>2174</v>
      </c>
      <c r="N147" s="1660">
        <v>171</v>
      </c>
      <c r="O147" s="1661">
        <v>1788175</v>
      </c>
      <c r="P147" s="1653"/>
      <c r="Q147" s="1653"/>
      <c r="R147" s="1653"/>
      <c r="S147" s="1653"/>
      <c r="T147" s="1653"/>
      <c r="U147" s="1653"/>
      <c r="V147" s="1653"/>
      <c r="W147" s="1653"/>
      <c r="X147" s="1653"/>
      <c r="Y147" s="1653"/>
      <c r="Z147" s="1653"/>
      <c r="AA147" s="1653"/>
    </row>
    <row r="148" spans="1:27">
      <c r="A148" s="1653">
        <v>2033</v>
      </c>
      <c r="B148" s="1653">
        <v>6</v>
      </c>
      <c r="C148" s="1722">
        <v>48731</v>
      </c>
      <c r="D148" s="1653"/>
      <c r="E148" s="1659">
        <v>800726</v>
      </c>
      <c r="F148" s="1660">
        <v>720175</v>
      </c>
      <c r="G148" s="1660">
        <v>74608</v>
      </c>
      <c r="H148" s="1660">
        <v>4284</v>
      </c>
      <c r="I148" s="1660">
        <v>430</v>
      </c>
      <c r="J148" s="1660">
        <v>1600223</v>
      </c>
      <c r="K148" s="1660">
        <v>126015</v>
      </c>
      <c r="L148" s="1660">
        <v>1726238</v>
      </c>
      <c r="M148" s="1660">
        <v>1787</v>
      </c>
      <c r="N148" s="1660">
        <v>141</v>
      </c>
      <c r="O148" s="1661">
        <v>1728166</v>
      </c>
      <c r="P148" s="1653"/>
      <c r="Q148" s="1653"/>
      <c r="R148" s="1653"/>
      <c r="S148" s="1653"/>
      <c r="T148" s="1653"/>
      <c r="U148" s="1653"/>
      <c r="V148" s="1653"/>
      <c r="W148" s="1653"/>
      <c r="X148" s="1653"/>
      <c r="Y148" s="1653"/>
      <c r="Z148" s="1653"/>
      <c r="AA148" s="1653"/>
    </row>
    <row r="149" spans="1:27">
      <c r="A149" s="1653">
        <v>2033</v>
      </c>
      <c r="B149" s="1653">
        <v>7</v>
      </c>
      <c r="C149" s="1722">
        <v>48761</v>
      </c>
      <c r="D149" s="1653"/>
      <c r="E149" s="1659">
        <v>925138</v>
      </c>
      <c r="F149" s="1660">
        <v>806432</v>
      </c>
      <c r="G149" s="1660">
        <v>76996</v>
      </c>
      <c r="H149" s="1660">
        <v>4926</v>
      </c>
      <c r="I149" s="1660">
        <v>291</v>
      </c>
      <c r="J149" s="1660">
        <v>1813783</v>
      </c>
      <c r="K149" s="1660">
        <v>142833</v>
      </c>
      <c r="L149" s="1660">
        <v>1956616</v>
      </c>
      <c r="M149" s="1660">
        <v>2889</v>
      </c>
      <c r="N149" s="1660">
        <v>228</v>
      </c>
      <c r="O149" s="1661">
        <v>1959733</v>
      </c>
      <c r="P149" s="1653"/>
      <c r="Q149" s="1653"/>
      <c r="R149" s="1653"/>
      <c r="S149" s="1653"/>
      <c r="T149" s="1653"/>
      <c r="U149" s="1653"/>
      <c r="V149" s="1653"/>
      <c r="W149" s="1653"/>
      <c r="X149" s="1653"/>
      <c r="Y149" s="1653"/>
      <c r="Z149" s="1653"/>
      <c r="AA149" s="1653"/>
    </row>
    <row r="150" spans="1:27">
      <c r="A150" s="1653">
        <v>2033</v>
      </c>
      <c r="B150" s="1653">
        <v>8</v>
      </c>
      <c r="C150" s="1722">
        <v>48792</v>
      </c>
      <c r="D150" s="1653"/>
      <c r="E150" s="1659">
        <v>936188</v>
      </c>
      <c r="F150" s="1660">
        <v>801027</v>
      </c>
      <c r="G150" s="1660">
        <v>77125</v>
      </c>
      <c r="H150" s="1660">
        <v>4507</v>
      </c>
      <c r="I150" s="1660">
        <v>290</v>
      </c>
      <c r="J150" s="1660">
        <v>1819137</v>
      </c>
      <c r="K150" s="1660">
        <v>143255</v>
      </c>
      <c r="L150" s="1660">
        <v>1962392</v>
      </c>
      <c r="M150" s="1660">
        <v>1634</v>
      </c>
      <c r="N150" s="1660">
        <v>129</v>
      </c>
      <c r="O150" s="1661">
        <v>1964155</v>
      </c>
      <c r="P150" s="1653"/>
      <c r="Q150" s="1653"/>
      <c r="R150" s="1653"/>
      <c r="S150" s="1653"/>
      <c r="T150" s="1653"/>
      <c r="U150" s="1653"/>
      <c r="V150" s="1653"/>
      <c r="W150" s="1653"/>
      <c r="X150" s="1653"/>
      <c r="Y150" s="1653"/>
      <c r="Z150" s="1653"/>
      <c r="AA150" s="1653"/>
    </row>
    <row r="151" spans="1:27">
      <c r="A151" s="1653">
        <v>2033</v>
      </c>
      <c r="B151" s="1653">
        <v>9</v>
      </c>
      <c r="C151" s="1722">
        <v>48823</v>
      </c>
      <c r="D151" s="1653"/>
      <c r="E151" s="1659">
        <v>833958</v>
      </c>
      <c r="F151" s="1660">
        <v>730226</v>
      </c>
      <c r="G151" s="1660">
        <v>72776</v>
      </c>
      <c r="H151" s="1660">
        <v>4556</v>
      </c>
      <c r="I151" s="1660">
        <v>319</v>
      </c>
      <c r="J151" s="1660">
        <v>1641835</v>
      </c>
      <c r="K151" s="1660">
        <v>129292</v>
      </c>
      <c r="L151" s="1660">
        <v>1771127</v>
      </c>
      <c r="M151" s="1660">
        <v>1428</v>
      </c>
      <c r="N151" s="1660">
        <v>112</v>
      </c>
      <c r="O151" s="1661">
        <v>1772667</v>
      </c>
      <c r="P151" s="1653"/>
      <c r="Q151" s="1653"/>
      <c r="R151" s="1653"/>
      <c r="S151" s="1653"/>
      <c r="T151" s="1653"/>
      <c r="U151" s="1653"/>
      <c r="V151" s="1653"/>
      <c r="W151" s="1653"/>
      <c r="X151" s="1653"/>
      <c r="Y151" s="1653"/>
      <c r="Z151" s="1653"/>
      <c r="AA151" s="1653"/>
    </row>
    <row r="152" spans="1:27">
      <c r="A152" s="1653">
        <v>2033</v>
      </c>
      <c r="B152" s="1653">
        <v>10</v>
      </c>
      <c r="C152" s="1722">
        <v>48853</v>
      </c>
      <c r="D152" s="1653"/>
      <c r="E152" s="1659">
        <v>950719</v>
      </c>
      <c r="F152" s="1660">
        <v>750904</v>
      </c>
      <c r="G152" s="1660">
        <v>71710</v>
      </c>
      <c r="H152" s="1660">
        <v>5059</v>
      </c>
      <c r="I152" s="1660">
        <v>507</v>
      </c>
      <c r="J152" s="1660">
        <v>1778899</v>
      </c>
      <c r="K152" s="1660">
        <v>140086</v>
      </c>
      <c r="L152" s="1660">
        <v>1918985</v>
      </c>
      <c r="M152" s="1660">
        <v>1830</v>
      </c>
      <c r="N152" s="1660">
        <v>144</v>
      </c>
      <c r="O152" s="1661">
        <v>1920959</v>
      </c>
      <c r="P152" s="1653"/>
      <c r="Q152" s="1653"/>
      <c r="R152" s="1653"/>
      <c r="S152" s="1653"/>
      <c r="T152" s="1653"/>
      <c r="U152" s="1653"/>
      <c r="V152" s="1653"/>
      <c r="W152" s="1653"/>
      <c r="X152" s="1653"/>
      <c r="Y152" s="1653"/>
      <c r="Z152" s="1653"/>
      <c r="AA152" s="1653"/>
    </row>
    <row r="153" spans="1:27">
      <c r="A153" s="1653">
        <v>2033</v>
      </c>
      <c r="B153" s="1653">
        <v>11</v>
      </c>
      <c r="C153" s="1722">
        <v>48884</v>
      </c>
      <c r="D153" s="1653"/>
      <c r="E153" s="1659">
        <v>1128841</v>
      </c>
      <c r="F153" s="1660">
        <v>790161</v>
      </c>
      <c r="G153" s="1660">
        <v>68927</v>
      </c>
      <c r="H153" s="1660">
        <v>4270</v>
      </c>
      <c r="I153" s="1660">
        <v>698</v>
      </c>
      <c r="J153" s="1660">
        <v>1992897</v>
      </c>
      <c r="K153" s="1660">
        <v>156938</v>
      </c>
      <c r="L153" s="1660">
        <v>2149835</v>
      </c>
      <c r="M153" s="1660">
        <v>1832</v>
      </c>
      <c r="N153" s="1660">
        <v>144</v>
      </c>
      <c r="O153" s="1661">
        <v>2151811</v>
      </c>
      <c r="P153" s="1653"/>
      <c r="Q153" s="1653"/>
      <c r="R153" s="1653"/>
      <c r="S153" s="1653"/>
      <c r="T153" s="1653"/>
      <c r="U153" s="1653"/>
      <c r="V153" s="1653"/>
      <c r="W153" s="1653"/>
      <c r="X153" s="1653"/>
      <c r="Y153" s="1653"/>
      <c r="Z153" s="1653"/>
      <c r="AA153" s="1653"/>
    </row>
    <row r="154" spans="1:27">
      <c r="A154" s="1653">
        <v>2033</v>
      </c>
      <c r="B154" s="1653">
        <v>12</v>
      </c>
      <c r="C154" s="1722">
        <v>48914</v>
      </c>
      <c r="D154" s="1653"/>
      <c r="E154" s="1659">
        <v>1398271</v>
      </c>
      <c r="F154" s="1660">
        <v>918594</v>
      </c>
      <c r="G154" s="1660">
        <v>70798</v>
      </c>
      <c r="H154" s="1660">
        <v>4891</v>
      </c>
      <c r="I154" s="1660">
        <v>904</v>
      </c>
      <c r="J154" s="1660">
        <v>2393458</v>
      </c>
      <c r="K154" s="1660">
        <v>188482</v>
      </c>
      <c r="L154" s="1660">
        <v>2581940</v>
      </c>
      <c r="M154" s="1660">
        <v>1718</v>
      </c>
      <c r="N154" s="1660">
        <v>135</v>
      </c>
      <c r="O154" s="1661">
        <v>2583793</v>
      </c>
      <c r="P154" s="1653"/>
      <c r="Q154" s="1653"/>
      <c r="R154" s="1653"/>
      <c r="S154" s="1653"/>
      <c r="T154" s="1653"/>
      <c r="U154" s="1653"/>
      <c r="V154" s="1653"/>
      <c r="W154" s="1653"/>
      <c r="X154" s="1653"/>
      <c r="Y154" s="1653"/>
      <c r="Z154" s="1653"/>
      <c r="AA154" s="1653"/>
    </row>
    <row r="155" spans="1:27">
      <c r="A155" s="1653">
        <v>2034</v>
      </c>
      <c r="B155" s="1653">
        <v>1</v>
      </c>
      <c r="C155" s="1722">
        <v>48945</v>
      </c>
      <c r="D155" s="1653"/>
      <c r="E155" s="1659">
        <v>1372353</v>
      </c>
      <c r="F155" s="1660">
        <v>898686</v>
      </c>
      <c r="G155" s="1660">
        <v>73460</v>
      </c>
      <c r="H155" s="1660">
        <v>5185</v>
      </c>
      <c r="I155" s="1660">
        <v>1003</v>
      </c>
      <c r="J155" s="1660">
        <v>2350687</v>
      </c>
      <c r="K155" s="1660">
        <v>185113</v>
      </c>
      <c r="L155" s="1660">
        <v>2535800</v>
      </c>
      <c r="M155" s="1660">
        <v>2325</v>
      </c>
      <c r="N155" s="1660">
        <v>183</v>
      </c>
      <c r="O155" s="1661">
        <v>2538308</v>
      </c>
      <c r="P155" s="1653"/>
      <c r="Q155" s="1653"/>
      <c r="R155" s="1653"/>
      <c r="S155" s="1653"/>
      <c r="T155" s="1653"/>
      <c r="U155" s="1653"/>
      <c r="V155" s="1653"/>
      <c r="W155" s="1653"/>
      <c r="X155" s="1653"/>
      <c r="Y155" s="1653"/>
      <c r="Z155" s="1653"/>
      <c r="AA155" s="1653"/>
    </row>
    <row r="156" spans="1:27">
      <c r="A156" s="1653">
        <v>2034</v>
      </c>
      <c r="B156" s="1653">
        <v>2</v>
      </c>
      <c r="C156" s="1722">
        <v>48976</v>
      </c>
      <c r="D156" s="1653"/>
      <c r="E156" s="1659">
        <v>1187320</v>
      </c>
      <c r="F156" s="1660">
        <v>793708</v>
      </c>
      <c r="G156" s="1660">
        <v>67549</v>
      </c>
      <c r="H156" s="1660">
        <v>4501</v>
      </c>
      <c r="I156" s="1660">
        <v>894</v>
      </c>
      <c r="J156" s="1660">
        <v>2053972</v>
      </c>
      <c r="K156" s="1660">
        <v>161748</v>
      </c>
      <c r="L156" s="1660">
        <v>2215720</v>
      </c>
      <c r="M156" s="1660">
        <v>2520</v>
      </c>
      <c r="N156" s="1660">
        <v>198</v>
      </c>
      <c r="O156" s="1661">
        <v>2218438</v>
      </c>
      <c r="P156" s="1653"/>
      <c r="Q156" s="1653"/>
      <c r="R156" s="1653"/>
      <c r="S156" s="1653"/>
      <c r="T156" s="1653"/>
      <c r="U156" s="1653"/>
      <c r="V156" s="1653"/>
      <c r="W156" s="1653"/>
      <c r="X156" s="1653"/>
      <c r="Y156" s="1653"/>
      <c r="Z156" s="1653"/>
      <c r="AA156" s="1653"/>
    </row>
    <row r="157" spans="1:27">
      <c r="A157" s="1653">
        <v>2034</v>
      </c>
      <c r="B157" s="1653">
        <v>3</v>
      </c>
      <c r="C157" s="1722">
        <v>49004</v>
      </c>
      <c r="D157" s="1653"/>
      <c r="E157" s="1659">
        <v>1204394</v>
      </c>
      <c r="F157" s="1660">
        <v>859525</v>
      </c>
      <c r="G157" s="1660">
        <v>74127</v>
      </c>
      <c r="H157" s="1660">
        <v>5396</v>
      </c>
      <c r="I157" s="1660">
        <v>883</v>
      </c>
      <c r="J157" s="1660">
        <v>2144325</v>
      </c>
      <c r="K157" s="1660">
        <v>168863</v>
      </c>
      <c r="L157" s="1660">
        <v>2313188</v>
      </c>
      <c r="M157" s="1660">
        <v>2339</v>
      </c>
      <c r="N157" s="1660">
        <v>184</v>
      </c>
      <c r="O157" s="1661">
        <v>2315711</v>
      </c>
      <c r="P157" s="1653"/>
      <c r="Q157" s="1653"/>
      <c r="R157" s="1653"/>
      <c r="S157" s="1653"/>
      <c r="T157" s="1653"/>
      <c r="U157" s="1653"/>
      <c r="V157" s="1653"/>
      <c r="W157" s="1653"/>
      <c r="X157" s="1653"/>
      <c r="Y157" s="1653"/>
      <c r="Z157" s="1653"/>
      <c r="AA157" s="1653"/>
    </row>
    <row r="158" spans="1:27">
      <c r="A158" s="1653">
        <v>2034</v>
      </c>
      <c r="B158" s="1653">
        <v>4</v>
      </c>
      <c r="C158" s="1722">
        <v>49035</v>
      </c>
      <c r="D158" s="1653"/>
      <c r="E158" s="1659">
        <v>970245</v>
      </c>
      <c r="F158" s="1660">
        <v>755609</v>
      </c>
      <c r="G158" s="1660">
        <v>69440</v>
      </c>
      <c r="H158" s="1660">
        <v>4882</v>
      </c>
      <c r="I158" s="1660">
        <v>720</v>
      </c>
      <c r="J158" s="1660">
        <v>1800896</v>
      </c>
      <c r="K158" s="1660">
        <v>141818</v>
      </c>
      <c r="L158" s="1660">
        <v>1942714</v>
      </c>
      <c r="M158" s="1660">
        <v>2172</v>
      </c>
      <c r="N158" s="1660">
        <v>171</v>
      </c>
      <c r="O158" s="1661">
        <v>1945057</v>
      </c>
      <c r="P158" s="1653"/>
      <c r="Q158" s="1653"/>
      <c r="R158" s="1653"/>
      <c r="S158" s="1653"/>
      <c r="T158" s="1653"/>
      <c r="U158" s="1653"/>
      <c r="V158" s="1653"/>
      <c r="W158" s="1653"/>
      <c r="X158" s="1653"/>
      <c r="Y158" s="1653"/>
      <c r="Z158" s="1653"/>
      <c r="AA158" s="1653"/>
    </row>
    <row r="159" spans="1:27">
      <c r="A159" s="1653">
        <v>2034</v>
      </c>
      <c r="B159" s="1653">
        <v>5</v>
      </c>
      <c r="C159" s="1722">
        <v>49065</v>
      </c>
      <c r="D159" s="1653"/>
      <c r="E159" s="1659">
        <v>866049</v>
      </c>
      <c r="F159" s="1660">
        <v>748094</v>
      </c>
      <c r="G159" s="1660">
        <v>66184</v>
      </c>
      <c r="H159" s="1660">
        <v>4869</v>
      </c>
      <c r="I159" s="1660">
        <v>562</v>
      </c>
      <c r="J159" s="1660">
        <v>1685758</v>
      </c>
      <c r="K159" s="1660">
        <v>132751</v>
      </c>
      <c r="L159" s="1660">
        <v>1818509</v>
      </c>
      <c r="M159" s="1660">
        <v>2174</v>
      </c>
      <c r="N159" s="1660">
        <v>171</v>
      </c>
      <c r="O159" s="1661">
        <v>1820854</v>
      </c>
      <c r="P159" s="1653"/>
      <c r="Q159" s="1653"/>
      <c r="R159" s="1653"/>
      <c r="S159" s="1653"/>
      <c r="T159" s="1653"/>
      <c r="U159" s="1653"/>
      <c r="V159" s="1653"/>
      <c r="W159" s="1653"/>
      <c r="X159" s="1653"/>
      <c r="Y159" s="1653"/>
      <c r="Z159" s="1653"/>
      <c r="AA159" s="1653"/>
    </row>
    <row r="160" spans="1:27">
      <c r="A160" s="1653">
        <v>2034</v>
      </c>
      <c r="B160" s="1653">
        <v>6</v>
      </c>
      <c r="C160" s="1722">
        <v>49096</v>
      </c>
      <c r="D160" s="1653"/>
      <c r="E160" s="1659">
        <v>818287</v>
      </c>
      <c r="F160" s="1660">
        <v>734619</v>
      </c>
      <c r="G160" s="1660">
        <v>73506</v>
      </c>
      <c r="H160" s="1660">
        <v>4282</v>
      </c>
      <c r="I160" s="1660">
        <v>430</v>
      </c>
      <c r="J160" s="1660">
        <v>1631124</v>
      </c>
      <c r="K160" s="1660">
        <v>128449</v>
      </c>
      <c r="L160" s="1660">
        <v>1759573</v>
      </c>
      <c r="M160" s="1660">
        <v>1787</v>
      </c>
      <c r="N160" s="1660">
        <v>141</v>
      </c>
      <c r="O160" s="1661">
        <v>1761501</v>
      </c>
      <c r="P160" s="1653"/>
      <c r="Q160" s="1653"/>
      <c r="R160" s="1653"/>
      <c r="S160" s="1653"/>
      <c r="T160" s="1653"/>
      <c r="U160" s="1653"/>
      <c r="V160" s="1653"/>
      <c r="W160" s="1653"/>
      <c r="X160" s="1653"/>
      <c r="Y160" s="1653"/>
      <c r="Z160" s="1653"/>
      <c r="AA160" s="1653"/>
    </row>
    <row r="161" spans="1:27">
      <c r="A161" s="1653">
        <v>2034</v>
      </c>
      <c r="B161" s="1653">
        <v>7</v>
      </c>
      <c r="C161" s="1722">
        <v>49126</v>
      </c>
      <c r="D161" s="1653"/>
      <c r="E161" s="1659">
        <v>945205</v>
      </c>
      <c r="F161" s="1660">
        <v>821992</v>
      </c>
      <c r="G161" s="1660">
        <v>75685</v>
      </c>
      <c r="H161" s="1660">
        <v>4929</v>
      </c>
      <c r="I161" s="1660">
        <v>291</v>
      </c>
      <c r="J161" s="1660">
        <v>1848102</v>
      </c>
      <c r="K161" s="1660">
        <v>145536</v>
      </c>
      <c r="L161" s="1660">
        <v>1993638</v>
      </c>
      <c r="M161" s="1660">
        <v>2889</v>
      </c>
      <c r="N161" s="1660">
        <v>228</v>
      </c>
      <c r="O161" s="1661">
        <v>1996755</v>
      </c>
      <c r="P161" s="1653"/>
      <c r="Q161" s="1653"/>
      <c r="R161" s="1653"/>
      <c r="S161" s="1653"/>
      <c r="T161" s="1653"/>
      <c r="U161" s="1653"/>
      <c r="V161" s="1653"/>
      <c r="W161" s="1653"/>
      <c r="X161" s="1653"/>
      <c r="Y161" s="1653"/>
      <c r="Z161" s="1653"/>
      <c r="AA161" s="1653"/>
    </row>
    <row r="162" spans="1:27">
      <c r="A162" s="1653">
        <v>2034</v>
      </c>
      <c r="B162" s="1653">
        <v>8</v>
      </c>
      <c r="C162" s="1722">
        <v>49157</v>
      </c>
      <c r="D162" s="1653"/>
      <c r="E162" s="1659">
        <v>958455</v>
      </c>
      <c r="F162" s="1660">
        <v>816857</v>
      </c>
      <c r="G162" s="1660">
        <v>75884</v>
      </c>
      <c r="H162" s="1660">
        <v>4522</v>
      </c>
      <c r="I162" s="1660">
        <v>290</v>
      </c>
      <c r="J162" s="1660">
        <v>1856008</v>
      </c>
      <c r="K162" s="1660">
        <v>146158</v>
      </c>
      <c r="L162" s="1660">
        <v>2002166</v>
      </c>
      <c r="M162" s="1660">
        <v>1634</v>
      </c>
      <c r="N162" s="1660">
        <v>129</v>
      </c>
      <c r="O162" s="1661">
        <v>2003929</v>
      </c>
      <c r="P162" s="1653"/>
      <c r="Q162" s="1653"/>
      <c r="R162" s="1653"/>
      <c r="S162" s="1653"/>
      <c r="T162" s="1653"/>
      <c r="U162" s="1653"/>
      <c r="V162" s="1653"/>
      <c r="W162" s="1653"/>
      <c r="X162" s="1653"/>
      <c r="Y162" s="1653"/>
      <c r="Z162" s="1653"/>
      <c r="AA162" s="1653"/>
    </row>
    <row r="163" spans="1:27">
      <c r="A163" s="1653">
        <v>2034</v>
      </c>
      <c r="B163" s="1653">
        <v>9</v>
      </c>
      <c r="C163" s="1722">
        <v>49188</v>
      </c>
      <c r="D163" s="1653"/>
      <c r="E163" s="1659">
        <v>852199</v>
      </c>
      <c r="F163" s="1660">
        <v>748064</v>
      </c>
      <c r="G163" s="1660">
        <v>71735</v>
      </c>
      <c r="H163" s="1660">
        <v>4588</v>
      </c>
      <c r="I163" s="1660">
        <v>319</v>
      </c>
      <c r="J163" s="1660">
        <v>1676905</v>
      </c>
      <c r="K163" s="1660">
        <v>132054</v>
      </c>
      <c r="L163" s="1660">
        <v>1808959</v>
      </c>
      <c r="M163" s="1660">
        <v>1428</v>
      </c>
      <c r="N163" s="1660">
        <v>112</v>
      </c>
      <c r="O163" s="1661">
        <v>1810499</v>
      </c>
      <c r="P163" s="1653"/>
      <c r="Q163" s="1653"/>
      <c r="R163" s="1653"/>
      <c r="S163" s="1653"/>
      <c r="T163" s="1653"/>
      <c r="U163" s="1653"/>
      <c r="V163" s="1653"/>
      <c r="W163" s="1653"/>
      <c r="X163" s="1653"/>
      <c r="Y163" s="1653"/>
      <c r="Z163" s="1653"/>
      <c r="AA163" s="1653"/>
    </row>
    <row r="164" spans="1:27">
      <c r="A164" s="1653">
        <v>2034</v>
      </c>
      <c r="B164" s="1653">
        <v>10</v>
      </c>
      <c r="C164" s="1722">
        <v>49218</v>
      </c>
      <c r="D164" s="1653"/>
      <c r="E164" s="1659">
        <v>966263</v>
      </c>
      <c r="F164" s="1660">
        <v>770211</v>
      </c>
      <c r="G164" s="1660">
        <v>70756</v>
      </c>
      <c r="H164" s="1660">
        <v>5118</v>
      </c>
      <c r="I164" s="1660">
        <v>507</v>
      </c>
      <c r="J164" s="1660">
        <v>1812855</v>
      </c>
      <c r="K164" s="1660">
        <v>142760</v>
      </c>
      <c r="L164" s="1660">
        <v>1955615</v>
      </c>
      <c r="M164" s="1660">
        <v>1830</v>
      </c>
      <c r="N164" s="1660">
        <v>144</v>
      </c>
      <c r="O164" s="1661">
        <v>1957589</v>
      </c>
      <c r="P164" s="1653"/>
      <c r="Q164" s="1653"/>
      <c r="R164" s="1653"/>
      <c r="S164" s="1653"/>
      <c r="T164" s="1653"/>
      <c r="U164" s="1653"/>
      <c r="V164" s="1653"/>
      <c r="W164" s="1653"/>
      <c r="X164" s="1653"/>
      <c r="Y164" s="1653"/>
      <c r="Z164" s="1653"/>
      <c r="AA164" s="1653"/>
    </row>
    <row r="165" spans="1:27">
      <c r="A165" s="1653">
        <v>2034</v>
      </c>
      <c r="B165" s="1653">
        <v>11</v>
      </c>
      <c r="C165" s="1722">
        <v>49249</v>
      </c>
      <c r="D165" s="1653"/>
      <c r="E165" s="1659">
        <v>1149733</v>
      </c>
      <c r="F165" s="1660">
        <v>814522</v>
      </c>
      <c r="G165" s="1660">
        <v>68170</v>
      </c>
      <c r="H165" s="1660">
        <v>4348</v>
      </c>
      <c r="I165" s="1660">
        <v>699</v>
      </c>
      <c r="J165" s="1660">
        <v>2037472</v>
      </c>
      <c r="K165" s="1660">
        <v>160448</v>
      </c>
      <c r="L165" s="1660">
        <v>2197920</v>
      </c>
      <c r="M165" s="1660">
        <v>1832</v>
      </c>
      <c r="N165" s="1660">
        <v>144</v>
      </c>
      <c r="O165" s="1661">
        <v>2199896</v>
      </c>
      <c r="P165" s="1653"/>
      <c r="Q165" s="1653"/>
      <c r="R165" s="1653"/>
      <c r="S165" s="1653"/>
      <c r="T165" s="1653"/>
      <c r="U165" s="1653"/>
      <c r="V165" s="1653"/>
      <c r="W165" s="1653"/>
      <c r="X165" s="1653"/>
      <c r="Y165" s="1653"/>
      <c r="Z165" s="1653"/>
      <c r="AA165" s="1653"/>
    </row>
    <row r="166" spans="1:27">
      <c r="A166" s="1653">
        <v>2034</v>
      </c>
      <c r="B166" s="1653">
        <v>12</v>
      </c>
      <c r="C166" s="1722">
        <v>49279</v>
      </c>
      <c r="D166" s="1653"/>
      <c r="E166" s="1659">
        <v>1420832</v>
      </c>
      <c r="F166" s="1660">
        <v>946619</v>
      </c>
      <c r="G166" s="1660">
        <v>70410</v>
      </c>
      <c r="H166" s="1660">
        <v>4988</v>
      </c>
      <c r="I166" s="1660">
        <v>904</v>
      </c>
      <c r="J166" s="1660">
        <v>2443753</v>
      </c>
      <c r="K166" s="1660">
        <v>192442</v>
      </c>
      <c r="L166" s="1660">
        <v>2636195</v>
      </c>
      <c r="M166" s="1660">
        <v>1718</v>
      </c>
      <c r="N166" s="1660">
        <v>135</v>
      </c>
      <c r="O166" s="1661">
        <v>2638048</v>
      </c>
      <c r="P166" s="1653"/>
      <c r="Q166" s="1653"/>
      <c r="R166" s="1653"/>
      <c r="S166" s="1653"/>
      <c r="T166" s="1653"/>
      <c r="U166" s="1653"/>
      <c r="V166" s="1653"/>
      <c r="W166" s="1653"/>
      <c r="X166" s="1653"/>
      <c r="Y166" s="1653"/>
      <c r="Z166" s="1653"/>
      <c r="AA166" s="1653"/>
    </row>
    <row r="167" spans="1:27">
      <c r="A167" s="1653">
        <v>2035</v>
      </c>
      <c r="B167" s="1653">
        <v>1</v>
      </c>
      <c r="C167" s="1722">
        <v>49310</v>
      </c>
      <c r="D167" s="1653"/>
      <c r="E167" s="1659">
        <v>1398847</v>
      </c>
      <c r="F167" s="1660">
        <v>925644</v>
      </c>
      <c r="G167" s="1660">
        <v>73071</v>
      </c>
      <c r="H167" s="1660">
        <v>5281</v>
      </c>
      <c r="I167" s="1660">
        <v>1005</v>
      </c>
      <c r="J167" s="1660">
        <v>2403848</v>
      </c>
      <c r="K167" s="1660">
        <v>189300</v>
      </c>
      <c r="L167" s="1660">
        <v>2593148</v>
      </c>
      <c r="M167" s="1660">
        <v>2325</v>
      </c>
      <c r="N167" s="1660">
        <v>183</v>
      </c>
      <c r="O167" s="1661">
        <v>2595656</v>
      </c>
      <c r="P167" s="1653"/>
      <c r="Q167" s="1653"/>
      <c r="R167" s="1653"/>
      <c r="S167" s="1653"/>
      <c r="T167" s="1653"/>
      <c r="U167" s="1653"/>
      <c r="V167" s="1653"/>
      <c r="W167" s="1653"/>
      <c r="X167" s="1653"/>
      <c r="Y167" s="1653"/>
      <c r="Z167" s="1653"/>
      <c r="AA167" s="1653"/>
    </row>
    <row r="168" spans="1:27">
      <c r="A168" s="1653">
        <v>2035</v>
      </c>
      <c r="B168" s="1653">
        <v>2</v>
      </c>
      <c r="C168" s="1722">
        <v>49341</v>
      </c>
      <c r="D168" s="1653"/>
      <c r="E168" s="1659">
        <v>1196081</v>
      </c>
      <c r="F168" s="1660">
        <v>814665</v>
      </c>
      <c r="G168" s="1660">
        <v>66887</v>
      </c>
      <c r="H168" s="1660">
        <v>4583</v>
      </c>
      <c r="I168" s="1660">
        <v>889</v>
      </c>
      <c r="J168" s="1660">
        <v>2083105</v>
      </c>
      <c r="K168" s="1660">
        <v>164042</v>
      </c>
      <c r="L168" s="1660">
        <v>2247147</v>
      </c>
      <c r="M168" s="1660">
        <v>2433</v>
      </c>
      <c r="N168" s="1660">
        <v>192</v>
      </c>
      <c r="O168" s="1661">
        <v>2249772</v>
      </c>
      <c r="P168" s="1653"/>
      <c r="Q168" s="1653"/>
      <c r="R168" s="1653"/>
      <c r="S168" s="1653"/>
      <c r="T168" s="1653"/>
      <c r="U168" s="1653"/>
      <c r="V168" s="1653"/>
      <c r="W168" s="1653"/>
      <c r="X168" s="1653"/>
      <c r="Y168" s="1653"/>
      <c r="Z168" s="1653"/>
      <c r="AA168" s="1653"/>
    </row>
    <row r="169" spans="1:27">
      <c r="A169" s="1653">
        <v>2035</v>
      </c>
      <c r="B169" s="1653">
        <v>3</v>
      </c>
      <c r="C169" s="1722">
        <v>49369</v>
      </c>
      <c r="D169" s="1653"/>
      <c r="E169" s="1659">
        <v>1221462</v>
      </c>
      <c r="F169" s="1660">
        <v>884847</v>
      </c>
      <c r="G169" s="1660">
        <v>73424</v>
      </c>
      <c r="H169" s="1660">
        <v>5491</v>
      </c>
      <c r="I169" s="1660">
        <v>882</v>
      </c>
      <c r="J169" s="1660">
        <v>2186106</v>
      </c>
      <c r="K169" s="1660">
        <v>172153</v>
      </c>
      <c r="L169" s="1660">
        <v>2358259</v>
      </c>
      <c r="M169" s="1660">
        <v>2339</v>
      </c>
      <c r="N169" s="1660">
        <v>184</v>
      </c>
      <c r="O169" s="1661">
        <v>2360782</v>
      </c>
      <c r="P169" s="1653"/>
      <c r="Q169" s="1653"/>
      <c r="R169" s="1653"/>
      <c r="S169" s="1653"/>
      <c r="T169" s="1653"/>
      <c r="U169" s="1653"/>
      <c r="V169" s="1653"/>
      <c r="W169" s="1653"/>
      <c r="X169" s="1653"/>
      <c r="Y169" s="1653"/>
      <c r="Z169" s="1653"/>
      <c r="AA169" s="1653"/>
    </row>
    <row r="170" spans="1:27">
      <c r="A170" s="1653">
        <v>2035</v>
      </c>
      <c r="B170" s="1653">
        <v>4</v>
      </c>
      <c r="C170" s="1722">
        <v>49400</v>
      </c>
      <c r="D170" s="1653"/>
      <c r="E170" s="1659">
        <v>986989</v>
      </c>
      <c r="F170" s="1660">
        <v>777728</v>
      </c>
      <c r="G170" s="1660">
        <v>68763</v>
      </c>
      <c r="H170" s="1660">
        <v>4967</v>
      </c>
      <c r="I170" s="1660">
        <v>719</v>
      </c>
      <c r="J170" s="1660">
        <v>1839166</v>
      </c>
      <c r="K170" s="1660">
        <v>144832</v>
      </c>
      <c r="L170" s="1660">
        <v>1983998</v>
      </c>
      <c r="M170" s="1660">
        <v>2172</v>
      </c>
      <c r="N170" s="1660">
        <v>171</v>
      </c>
      <c r="O170" s="1661">
        <v>1986341</v>
      </c>
      <c r="P170" s="1653"/>
      <c r="Q170" s="1653"/>
      <c r="R170" s="1653"/>
      <c r="S170" s="1653"/>
      <c r="T170" s="1653"/>
      <c r="U170" s="1653"/>
      <c r="V170" s="1653"/>
      <c r="W170" s="1653"/>
      <c r="X170" s="1653"/>
      <c r="Y170" s="1653"/>
      <c r="Z170" s="1653"/>
      <c r="AA170" s="1653"/>
    </row>
    <row r="171" spans="1:27">
      <c r="A171" s="1653">
        <v>2035</v>
      </c>
      <c r="B171" s="1653">
        <v>5</v>
      </c>
      <c r="C171" s="1722">
        <v>49430</v>
      </c>
      <c r="D171" s="1653"/>
      <c r="E171" s="1659">
        <v>883501</v>
      </c>
      <c r="F171" s="1660">
        <v>769722</v>
      </c>
      <c r="G171" s="1660">
        <v>65560</v>
      </c>
      <c r="H171" s="1660">
        <v>4951</v>
      </c>
      <c r="I171" s="1660">
        <v>562</v>
      </c>
      <c r="J171" s="1660">
        <v>1724296</v>
      </c>
      <c r="K171" s="1660">
        <v>135786</v>
      </c>
      <c r="L171" s="1660">
        <v>1860082</v>
      </c>
      <c r="M171" s="1660">
        <v>2174</v>
      </c>
      <c r="N171" s="1660">
        <v>171</v>
      </c>
      <c r="O171" s="1661">
        <v>1862427</v>
      </c>
      <c r="P171" s="1653"/>
      <c r="Q171" s="1653"/>
      <c r="R171" s="1653"/>
      <c r="S171" s="1653"/>
      <c r="T171" s="1653"/>
      <c r="U171" s="1653"/>
      <c r="V171" s="1653"/>
      <c r="W171" s="1653"/>
      <c r="X171" s="1653"/>
      <c r="Y171" s="1653"/>
      <c r="Z171" s="1653"/>
      <c r="AA171" s="1653"/>
    </row>
    <row r="172" spans="1:27">
      <c r="A172" s="1653">
        <v>2035</v>
      </c>
      <c r="B172" s="1653">
        <v>6</v>
      </c>
      <c r="C172" s="1722">
        <v>49461</v>
      </c>
      <c r="D172" s="1653"/>
      <c r="E172" s="1659">
        <v>835445</v>
      </c>
      <c r="F172" s="1660">
        <v>756577</v>
      </c>
      <c r="G172" s="1660">
        <v>72812</v>
      </c>
      <c r="H172" s="1660">
        <v>4356</v>
      </c>
      <c r="I172" s="1660">
        <v>430</v>
      </c>
      <c r="J172" s="1660">
        <v>1669620</v>
      </c>
      <c r="K172" s="1660">
        <v>131480</v>
      </c>
      <c r="L172" s="1660">
        <v>1801100</v>
      </c>
      <c r="M172" s="1660">
        <v>1787</v>
      </c>
      <c r="N172" s="1660">
        <v>141</v>
      </c>
      <c r="O172" s="1661">
        <v>1803028</v>
      </c>
      <c r="P172" s="1653"/>
      <c r="Q172" s="1653"/>
      <c r="R172" s="1653"/>
      <c r="S172" s="1653"/>
      <c r="T172" s="1653"/>
      <c r="U172" s="1653"/>
      <c r="V172" s="1653"/>
      <c r="W172" s="1653"/>
      <c r="X172" s="1653"/>
      <c r="Y172" s="1653"/>
      <c r="Z172" s="1653"/>
      <c r="AA172" s="1653"/>
    </row>
    <row r="173" spans="1:27">
      <c r="A173" s="1653">
        <v>2035</v>
      </c>
      <c r="B173" s="1653">
        <v>7</v>
      </c>
      <c r="C173" s="1722">
        <v>49491</v>
      </c>
      <c r="D173" s="1653"/>
      <c r="E173" s="1659">
        <v>966390</v>
      </c>
      <c r="F173" s="1660">
        <v>843870</v>
      </c>
      <c r="G173" s="1660">
        <v>75273</v>
      </c>
      <c r="H173" s="1660">
        <v>5017</v>
      </c>
      <c r="I173" s="1660">
        <v>291</v>
      </c>
      <c r="J173" s="1660">
        <v>1890841</v>
      </c>
      <c r="K173" s="1660">
        <v>148901</v>
      </c>
      <c r="L173" s="1660">
        <v>2039742</v>
      </c>
      <c r="M173" s="1660">
        <v>2889</v>
      </c>
      <c r="N173" s="1660">
        <v>228</v>
      </c>
      <c r="O173" s="1661">
        <v>2042859</v>
      </c>
      <c r="P173" s="1653"/>
      <c r="Q173" s="1653"/>
      <c r="R173" s="1653"/>
      <c r="S173" s="1653"/>
      <c r="T173" s="1653"/>
      <c r="U173" s="1653"/>
      <c r="V173" s="1653"/>
      <c r="W173" s="1653"/>
      <c r="X173" s="1653"/>
      <c r="Y173" s="1653"/>
      <c r="Z173" s="1653"/>
      <c r="AA173" s="1653"/>
    </row>
    <row r="174" spans="1:27">
      <c r="A174" s="1653">
        <v>2035</v>
      </c>
      <c r="B174" s="1653">
        <v>8</v>
      </c>
      <c r="C174" s="1722">
        <v>49522</v>
      </c>
      <c r="D174" s="1653"/>
      <c r="E174" s="1659">
        <v>981241</v>
      </c>
      <c r="F174" s="1660">
        <v>839823</v>
      </c>
      <c r="G174" s="1660">
        <v>75474</v>
      </c>
      <c r="H174" s="1660">
        <v>4604</v>
      </c>
      <c r="I174" s="1660">
        <v>290</v>
      </c>
      <c r="J174" s="1660">
        <v>1901432</v>
      </c>
      <c r="K174" s="1660">
        <v>149735</v>
      </c>
      <c r="L174" s="1660">
        <v>2051167</v>
      </c>
      <c r="M174" s="1660">
        <v>1634</v>
      </c>
      <c r="N174" s="1660">
        <v>129</v>
      </c>
      <c r="O174" s="1661">
        <v>2052930</v>
      </c>
      <c r="P174" s="1653"/>
      <c r="Q174" s="1653"/>
      <c r="R174" s="1653"/>
      <c r="S174" s="1653"/>
      <c r="T174" s="1653"/>
      <c r="U174" s="1653"/>
      <c r="V174" s="1653"/>
      <c r="W174" s="1653"/>
      <c r="X174" s="1653"/>
      <c r="Y174" s="1653"/>
      <c r="Z174" s="1653"/>
      <c r="AA174" s="1653"/>
    </row>
    <row r="175" spans="1:27">
      <c r="A175" s="1653">
        <v>2035</v>
      </c>
      <c r="B175" s="1653">
        <v>9</v>
      </c>
      <c r="C175" s="1722">
        <v>49553</v>
      </c>
      <c r="D175" s="1653"/>
      <c r="E175" s="1659">
        <v>868869</v>
      </c>
      <c r="F175" s="1660">
        <v>771220</v>
      </c>
      <c r="G175" s="1660">
        <v>71070</v>
      </c>
      <c r="H175" s="1660">
        <v>4673</v>
      </c>
      <c r="I175" s="1660">
        <v>319</v>
      </c>
      <c r="J175" s="1660">
        <v>1716151</v>
      </c>
      <c r="K175" s="1660">
        <v>135145</v>
      </c>
      <c r="L175" s="1660">
        <v>1851296</v>
      </c>
      <c r="M175" s="1660">
        <v>1428</v>
      </c>
      <c r="N175" s="1660">
        <v>112</v>
      </c>
      <c r="O175" s="1661">
        <v>1852836</v>
      </c>
      <c r="P175" s="1653"/>
      <c r="Q175" s="1653"/>
      <c r="R175" s="1653"/>
      <c r="S175" s="1653"/>
      <c r="T175" s="1653"/>
      <c r="U175" s="1653"/>
      <c r="V175" s="1653"/>
      <c r="W175" s="1653"/>
      <c r="X175" s="1653"/>
      <c r="Y175" s="1653"/>
      <c r="Z175" s="1653"/>
      <c r="AA175" s="1653"/>
    </row>
    <row r="176" spans="1:27">
      <c r="A176" s="1653">
        <v>2035</v>
      </c>
      <c r="B176" s="1653">
        <v>10</v>
      </c>
      <c r="C176" s="1722">
        <v>49583</v>
      </c>
      <c r="D176" s="1653"/>
      <c r="E176" s="1659">
        <v>978104</v>
      </c>
      <c r="F176" s="1660">
        <v>792795</v>
      </c>
      <c r="G176" s="1660">
        <v>70064</v>
      </c>
      <c r="H176" s="1660">
        <v>5217</v>
      </c>
      <c r="I176" s="1660">
        <v>505</v>
      </c>
      <c r="J176" s="1660">
        <v>1846685</v>
      </c>
      <c r="K176" s="1660">
        <v>145424</v>
      </c>
      <c r="L176" s="1660">
        <v>1992109</v>
      </c>
      <c r="M176" s="1660">
        <v>1830</v>
      </c>
      <c r="N176" s="1660">
        <v>144</v>
      </c>
      <c r="O176" s="1661">
        <v>1994083</v>
      </c>
      <c r="P176" s="1653"/>
      <c r="Q176" s="1653"/>
      <c r="R176" s="1653"/>
      <c r="S176" s="1653"/>
      <c r="T176" s="1653"/>
      <c r="U176" s="1653"/>
      <c r="V176" s="1653"/>
      <c r="W176" s="1653"/>
      <c r="X176" s="1653"/>
      <c r="Y176" s="1653"/>
      <c r="Z176" s="1653"/>
      <c r="AA176" s="1653"/>
    </row>
    <row r="177" spans="1:27">
      <c r="A177" s="1653">
        <v>2035</v>
      </c>
      <c r="B177" s="1653">
        <v>11</v>
      </c>
      <c r="C177" s="1722">
        <v>49614</v>
      </c>
      <c r="D177" s="1653"/>
      <c r="E177" s="1659">
        <v>1166004</v>
      </c>
      <c r="F177" s="1660">
        <v>840588</v>
      </c>
      <c r="G177" s="1660">
        <v>67526</v>
      </c>
      <c r="H177" s="1660">
        <v>4434</v>
      </c>
      <c r="I177" s="1660">
        <v>697</v>
      </c>
      <c r="J177" s="1660">
        <v>2079249</v>
      </c>
      <c r="K177" s="1660">
        <v>163738</v>
      </c>
      <c r="L177" s="1660">
        <v>2242987</v>
      </c>
      <c r="M177" s="1660">
        <v>1832</v>
      </c>
      <c r="N177" s="1660">
        <v>144</v>
      </c>
      <c r="O177" s="1661">
        <v>2244963</v>
      </c>
      <c r="P177" s="1653"/>
      <c r="Q177" s="1653"/>
      <c r="R177" s="1653"/>
      <c r="S177" s="1653"/>
      <c r="T177" s="1653"/>
      <c r="U177" s="1653"/>
      <c r="V177" s="1653"/>
      <c r="W177" s="1653"/>
      <c r="X177" s="1653"/>
      <c r="Y177" s="1653"/>
      <c r="Z177" s="1653"/>
      <c r="AA177" s="1653"/>
    </row>
    <row r="178" spans="1:27">
      <c r="A178" s="1653">
        <v>2035</v>
      </c>
      <c r="B178" s="1653">
        <v>12</v>
      </c>
      <c r="C178" s="1722">
        <v>49644</v>
      </c>
      <c r="D178" s="1653"/>
      <c r="E178" s="1659">
        <v>1442388</v>
      </c>
      <c r="F178" s="1660">
        <v>976833</v>
      </c>
      <c r="G178" s="1660">
        <v>69745</v>
      </c>
      <c r="H178" s="1660">
        <v>5085</v>
      </c>
      <c r="I178" s="1660">
        <v>903</v>
      </c>
      <c r="J178" s="1660">
        <v>2494954</v>
      </c>
      <c r="K178" s="1660">
        <v>196474</v>
      </c>
      <c r="L178" s="1660">
        <v>2691428</v>
      </c>
      <c r="M178" s="1660">
        <v>1718</v>
      </c>
      <c r="N178" s="1660">
        <v>135</v>
      </c>
      <c r="O178" s="1661">
        <v>2693281</v>
      </c>
      <c r="P178" s="1653"/>
      <c r="Q178" s="1653"/>
      <c r="R178" s="1653"/>
      <c r="S178" s="1653"/>
      <c r="T178" s="1653"/>
      <c r="U178" s="1653"/>
      <c r="V178" s="1653"/>
      <c r="W178" s="1653"/>
      <c r="X178" s="1653"/>
      <c r="Y178" s="1653"/>
      <c r="Z178" s="1653"/>
      <c r="AA178" s="1653"/>
    </row>
    <row r="179" spans="1:27">
      <c r="A179" s="1653">
        <v>2036</v>
      </c>
      <c r="B179" s="1653">
        <v>1</v>
      </c>
      <c r="C179" s="1722">
        <v>49675</v>
      </c>
      <c r="D179" s="1653"/>
      <c r="E179" s="1659">
        <v>1423438</v>
      </c>
      <c r="F179" s="1660">
        <v>954997</v>
      </c>
      <c r="G179" s="1660">
        <v>72394</v>
      </c>
      <c r="H179" s="1660">
        <v>5377</v>
      </c>
      <c r="I179" s="1660">
        <v>1006</v>
      </c>
      <c r="J179" s="1660">
        <v>2457212</v>
      </c>
      <c r="K179" s="1660">
        <v>193502</v>
      </c>
      <c r="L179" s="1660">
        <v>2650714</v>
      </c>
      <c r="M179" s="1660">
        <v>2325</v>
      </c>
      <c r="N179" s="1660">
        <v>183</v>
      </c>
      <c r="O179" s="1661">
        <v>2653222</v>
      </c>
      <c r="P179" s="1653"/>
      <c r="Q179" s="1653"/>
      <c r="R179" s="1653"/>
      <c r="S179" s="1653"/>
      <c r="T179" s="1653"/>
      <c r="U179" s="1653"/>
      <c r="V179" s="1653"/>
      <c r="W179" s="1653"/>
      <c r="X179" s="1653"/>
      <c r="Y179" s="1653"/>
      <c r="Z179" s="1653"/>
      <c r="AA179" s="1653"/>
    </row>
    <row r="180" spans="1:27">
      <c r="A180" s="1653">
        <v>2036</v>
      </c>
      <c r="B180" s="1653">
        <v>2</v>
      </c>
      <c r="C180" s="1722">
        <v>49706</v>
      </c>
      <c r="D180" s="1653"/>
      <c r="E180" s="1659">
        <v>1253171</v>
      </c>
      <c r="F180" s="1660">
        <v>869307</v>
      </c>
      <c r="G180" s="1660">
        <v>68803</v>
      </c>
      <c r="H180" s="1660">
        <v>4664</v>
      </c>
      <c r="I180" s="1660">
        <v>919</v>
      </c>
      <c r="J180" s="1660">
        <v>2196864</v>
      </c>
      <c r="K180" s="1660">
        <v>173000</v>
      </c>
      <c r="L180" s="1660">
        <v>2369864</v>
      </c>
      <c r="M180" s="1660">
        <v>2433</v>
      </c>
      <c r="N180" s="1660">
        <v>192</v>
      </c>
      <c r="O180" s="1661">
        <v>2372489</v>
      </c>
      <c r="P180" s="1653"/>
      <c r="Q180" s="1653"/>
      <c r="R180" s="1653"/>
      <c r="S180" s="1653"/>
      <c r="T180" s="1653"/>
      <c r="U180" s="1653"/>
      <c r="V180" s="1653"/>
      <c r="W180" s="1653"/>
      <c r="X180" s="1653"/>
      <c r="Y180" s="1653"/>
      <c r="Z180" s="1653"/>
      <c r="AA180" s="1653"/>
    </row>
    <row r="181" spans="1:27">
      <c r="A181" s="1653">
        <v>2036</v>
      </c>
      <c r="B181" s="1653">
        <v>3</v>
      </c>
      <c r="C181" s="1722">
        <v>49735</v>
      </c>
      <c r="D181" s="1653"/>
      <c r="E181" s="1659">
        <v>1233687</v>
      </c>
      <c r="F181" s="1660">
        <v>912552</v>
      </c>
      <c r="G181" s="1660">
        <v>73007</v>
      </c>
      <c r="H181" s="1660">
        <v>5587</v>
      </c>
      <c r="I181" s="1660">
        <v>879</v>
      </c>
      <c r="J181" s="1660">
        <v>2225712</v>
      </c>
      <c r="K181" s="1660">
        <v>175272</v>
      </c>
      <c r="L181" s="1660">
        <v>2400984</v>
      </c>
      <c r="M181" s="1660">
        <v>2339</v>
      </c>
      <c r="N181" s="1660">
        <v>184</v>
      </c>
      <c r="O181" s="1661">
        <v>2403507</v>
      </c>
      <c r="P181" s="1653"/>
      <c r="Q181" s="1653"/>
      <c r="R181" s="1653"/>
      <c r="S181" s="1653"/>
      <c r="T181" s="1653"/>
      <c r="U181" s="1653"/>
      <c r="V181" s="1653"/>
      <c r="W181" s="1653"/>
      <c r="X181" s="1653"/>
      <c r="Y181" s="1653"/>
      <c r="Z181" s="1653"/>
      <c r="AA181" s="1653"/>
    </row>
    <row r="182" spans="1:27">
      <c r="A182" s="1653">
        <v>2036</v>
      </c>
      <c r="B182" s="1653">
        <v>4</v>
      </c>
      <c r="C182" s="1722">
        <v>49766</v>
      </c>
      <c r="D182" s="1653"/>
      <c r="E182" s="1659">
        <v>1000590</v>
      </c>
      <c r="F182" s="1660">
        <v>800710</v>
      </c>
      <c r="G182" s="1660">
        <v>68081</v>
      </c>
      <c r="H182" s="1660">
        <v>5051</v>
      </c>
      <c r="I182" s="1660">
        <v>719</v>
      </c>
      <c r="J182" s="1660">
        <v>1875151</v>
      </c>
      <c r="K182" s="1660">
        <v>147666</v>
      </c>
      <c r="L182" s="1660">
        <v>2022817</v>
      </c>
      <c r="M182" s="1660">
        <v>2172</v>
      </c>
      <c r="N182" s="1660">
        <v>171</v>
      </c>
      <c r="O182" s="1661">
        <v>2025160</v>
      </c>
      <c r="P182" s="1653"/>
      <c r="Q182" s="1653"/>
      <c r="R182" s="1653"/>
      <c r="S182" s="1653"/>
      <c r="T182" s="1653"/>
      <c r="U182" s="1653"/>
      <c r="V182" s="1653"/>
      <c r="W182" s="1653"/>
      <c r="X182" s="1653"/>
      <c r="Y182" s="1653"/>
      <c r="Z182" s="1653"/>
      <c r="AA182" s="1653"/>
    </row>
    <row r="183" spans="1:27">
      <c r="A183" s="1653">
        <v>2036</v>
      </c>
      <c r="B183" s="1653">
        <v>5</v>
      </c>
      <c r="C183" s="1722">
        <v>49796</v>
      </c>
      <c r="D183" s="1653"/>
      <c r="E183" s="1659">
        <v>897183</v>
      </c>
      <c r="F183" s="1660">
        <v>792514</v>
      </c>
      <c r="G183" s="1660">
        <v>64954</v>
      </c>
      <c r="H183" s="1660">
        <v>5033</v>
      </c>
      <c r="I183" s="1660">
        <v>562</v>
      </c>
      <c r="J183" s="1660">
        <v>1760246</v>
      </c>
      <c r="K183" s="1660">
        <v>138617</v>
      </c>
      <c r="L183" s="1660">
        <v>1898863</v>
      </c>
      <c r="M183" s="1660">
        <v>2174</v>
      </c>
      <c r="N183" s="1660">
        <v>171</v>
      </c>
      <c r="O183" s="1661">
        <v>1901208</v>
      </c>
      <c r="P183" s="1653"/>
      <c r="Q183" s="1653"/>
      <c r="R183" s="1653"/>
      <c r="S183" s="1653"/>
      <c r="T183" s="1653"/>
      <c r="U183" s="1653"/>
      <c r="V183" s="1653"/>
      <c r="W183" s="1653"/>
      <c r="X183" s="1653"/>
      <c r="Y183" s="1653"/>
      <c r="Z183" s="1653"/>
      <c r="AA183" s="1653"/>
    </row>
    <row r="184" spans="1:27">
      <c r="A184" s="1653">
        <v>2036</v>
      </c>
      <c r="B184" s="1653">
        <v>6</v>
      </c>
      <c r="C184" s="1722">
        <v>49827</v>
      </c>
      <c r="D184" s="1653"/>
      <c r="E184" s="1659">
        <v>850957</v>
      </c>
      <c r="F184" s="1660">
        <v>779650</v>
      </c>
      <c r="G184" s="1660">
        <v>72114</v>
      </c>
      <c r="H184" s="1660">
        <v>4429</v>
      </c>
      <c r="I184" s="1660">
        <v>430</v>
      </c>
      <c r="J184" s="1660">
        <v>1707580</v>
      </c>
      <c r="K184" s="1660">
        <v>134470</v>
      </c>
      <c r="L184" s="1660">
        <v>1842050</v>
      </c>
      <c r="M184" s="1660">
        <v>1787</v>
      </c>
      <c r="N184" s="1660">
        <v>141</v>
      </c>
      <c r="O184" s="1661">
        <v>1843978</v>
      </c>
      <c r="P184" s="1653"/>
      <c r="Q184" s="1653"/>
      <c r="R184" s="1653"/>
      <c r="S184" s="1653"/>
      <c r="T184" s="1653"/>
      <c r="U184" s="1653"/>
      <c r="V184" s="1653"/>
      <c r="W184" s="1653"/>
      <c r="X184" s="1653"/>
      <c r="Y184" s="1653"/>
      <c r="Z184" s="1653"/>
      <c r="AA184" s="1653"/>
    </row>
    <row r="185" spans="1:27">
      <c r="A185" s="1653">
        <v>2036</v>
      </c>
      <c r="B185" s="1653">
        <v>7</v>
      </c>
      <c r="C185" s="1722">
        <v>49857</v>
      </c>
      <c r="D185" s="1653"/>
      <c r="E185" s="1659">
        <v>986137</v>
      </c>
      <c r="F185" s="1660">
        <v>865831</v>
      </c>
      <c r="G185" s="1660">
        <v>74551</v>
      </c>
      <c r="H185" s="1660">
        <v>5104</v>
      </c>
      <c r="I185" s="1660">
        <v>291</v>
      </c>
      <c r="J185" s="1660">
        <v>1931914</v>
      </c>
      <c r="K185" s="1660">
        <v>152136</v>
      </c>
      <c r="L185" s="1660">
        <v>2084050</v>
      </c>
      <c r="M185" s="1660">
        <v>2889</v>
      </c>
      <c r="N185" s="1660">
        <v>228</v>
      </c>
      <c r="O185" s="1661">
        <v>2087167</v>
      </c>
      <c r="P185" s="1653"/>
      <c r="Q185" s="1653"/>
      <c r="R185" s="1653"/>
      <c r="S185" s="1653"/>
      <c r="T185" s="1653"/>
      <c r="U185" s="1653"/>
      <c r="V185" s="1653"/>
      <c r="W185" s="1653"/>
      <c r="X185" s="1653"/>
      <c r="Y185" s="1653"/>
      <c r="Z185" s="1653"/>
      <c r="AA185" s="1653"/>
    </row>
    <row r="186" spans="1:27">
      <c r="A186" s="1653">
        <v>2036</v>
      </c>
      <c r="B186" s="1653">
        <v>8</v>
      </c>
      <c r="C186" s="1722">
        <v>49888</v>
      </c>
      <c r="D186" s="1653"/>
      <c r="E186" s="1659">
        <v>1002050</v>
      </c>
      <c r="F186" s="1660">
        <v>866217</v>
      </c>
      <c r="G186" s="1660">
        <v>74780</v>
      </c>
      <c r="H186" s="1660">
        <v>4685</v>
      </c>
      <c r="I186" s="1660">
        <v>290</v>
      </c>
      <c r="J186" s="1660">
        <v>1948022</v>
      </c>
      <c r="K186" s="1660">
        <v>153404</v>
      </c>
      <c r="L186" s="1660">
        <v>2101426</v>
      </c>
      <c r="M186" s="1660">
        <v>1634</v>
      </c>
      <c r="N186" s="1660">
        <v>129</v>
      </c>
      <c r="O186" s="1661">
        <v>2103189</v>
      </c>
      <c r="P186" s="1653"/>
      <c r="Q186" s="1653"/>
      <c r="R186" s="1653"/>
      <c r="S186" s="1653"/>
      <c r="T186" s="1653"/>
      <c r="U186" s="1653"/>
      <c r="V186" s="1653"/>
      <c r="W186" s="1653"/>
      <c r="X186" s="1653"/>
      <c r="Y186" s="1653"/>
      <c r="Z186" s="1653"/>
      <c r="AA186" s="1653"/>
    </row>
    <row r="187" spans="1:27">
      <c r="A187" s="1653">
        <v>2036</v>
      </c>
      <c r="B187" s="1653">
        <v>9</v>
      </c>
      <c r="C187" s="1722">
        <v>49919</v>
      </c>
      <c r="D187" s="1653"/>
      <c r="E187" s="1659">
        <v>884838</v>
      </c>
      <c r="F187" s="1660">
        <v>791789</v>
      </c>
      <c r="G187" s="1660">
        <v>70677</v>
      </c>
      <c r="H187" s="1660">
        <v>4757</v>
      </c>
      <c r="I187" s="1660">
        <v>319</v>
      </c>
      <c r="J187" s="1660">
        <v>1752380</v>
      </c>
      <c r="K187" s="1660">
        <v>137998</v>
      </c>
      <c r="L187" s="1660">
        <v>1890378</v>
      </c>
      <c r="M187" s="1660">
        <v>1428</v>
      </c>
      <c r="N187" s="1660">
        <v>112</v>
      </c>
      <c r="O187" s="1661">
        <v>1891918</v>
      </c>
      <c r="P187" s="1653"/>
      <c r="Q187" s="1653"/>
      <c r="R187" s="1653"/>
      <c r="S187" s="1653"/>
      <c r="T187" s="1653"/>
      <c r="U187" s="1653"/>
      <c r="V187" s="1653"/>
      <c r="W187" s="1653"/>
      <c r="X187" s="1653"/>
      <c r="Y187" s="1653"/>
      <c r="Z187" s="1653"/>
      <c r="AA187" s="1653"/>
    </row>
    <row r="188" spans="1:27">
      <c r="A188" s="1653">
        <v>2036</v>
      </c>
      <c r="B188" s="1653">
        <v>10</v>
      </c>
      <c r="C188" s="1722">
        <v>49949</v>
      </c>
      <c r="D188" s="1653"/>
      <c r="E188" s="1659">
        <v>991228</v>
      </c>
      <c r="F188" s="1660">
        <v>817254</v>
      </c>
      <c r="G188" s="1660">
        <v>69677</v>
      </c>
      <c r="H188" s="1660">
        <v>5315</v>
      </c>
      <c r="I188" s="1660">
        <v>504</v>
      </c>
      <c r="J188" s="1660">
        <v>1883978</v>
      </c>
      <c r="K188" s="1660">
        <v>148361</v>
      </c>
      <c r="L188" s="1660">
        <v>2032339</v>
      </c>
      <c r="M188" s="1660">
        <v>1830</v>
      </c>
      <c r="N188" s="1660">
        <v>144</v>
      </c>
      <c r="O188" s="1661">
        <v>2034313</v>
      </c>
      <c r="P188" s="1653"/>
      <c r="Q188" s="1653"/>
      <c r="R188" s="1653"/>
      <c r="S188" s="1653"/>
      <c r="T188" s="1653"/>
      <c r="U188" s="1653"/>
      <c r="V188" s="1653"/>
      <c r="W188" s="1653"/>
      <c r="X188" s="1653"/>
      <c r="Y188" s="1653"/>
      <c r="Z188" s="1653"/>
      <c r="AA188" s="1653"/>
    </row>
    <row r="189" spans="1:27">
      <c r="A189" s="1653">
        <v>2036</v>
      </c>
      <c r="B189" s="1653">
        <v>11</v>
      </c>
      <c r="C189" s="1722">
        <v>49980</v>
      </c>
      <c r="D189" s="1653"/>
      <c r="E189" s="1659">
        <v>1179792</v>
      </c>
      <c r="F189" s="1660">
        <v>867070</v>
      </c>
      <c r="G189" s="1660">
        <v>66883</v>
      </c>
      <c r="H189" s="1660">
        <v>4520</v>
      </c>
      <c r="I189" s="1660">
        <v>696</v>
      </c>
      <c r="J189" s="1660">
        <v>2118961</v>
      </c>
      <c r="K189" s="1660">
        <v>166865</v>
      </c>
      <c r="L189" s="1660">
        <v>2285826</v>
      </c>
      <c r="M189" s="1660">
        <v>1832</v>
      </c>
      <c r="N189" s="1660">
        <v>144</v>
      </c>
      <c r="O189" s="1661">
        <v>2287802</v>
      </c>
      <c r="P189" s="1653"/>
      <c r="Q189" s="1653"/>
      <c r="R189" s="1653"/>
      <c r="S189" s="1653"/>
      <c r="T189" s="1653"/>
      <c r="U189" s="1653"/>
      <c r="V189" s="1653"/>
      <c r="W189" s="1653"/>
      <c r="X189" s="1653"/>
      <c r="Y189" s="1653"/>
      <c r="Z189" s="1653"/>
      <c r="AA189" s="1653"/>
    </row>
    <row r="190" spans="1:27">
      <c r="A190" s="1653">
        <v>2036</v>
      </c>
      <c r="B190" s="1653">
        <v>12</v>
      </c>
      <c r="C190" s="1722">
        <v>50010</v>
      </c>
      <c r="D190" s="1653"/>
      <c r="E190" s="1659">
        <v>1465346</v>
      </c>
      <c r="F190" s="1660">
        <v>1008094</v>
      </c>
      <c r="G190" s="1660">
        <v>69108</v>
      </c>
      <c r="H190" s="1660">
        <v>5181</v>
      </c>
      <c r="I190" s="1660">
        <v>904</v>
      </c>
      <c r="J190" s="1660">
        <v>2548633</v>
      </c>
      <c r="K190" s="1660">
        <v>200701</v>
      </c>
      <c r="L190" s="1660">
        <v>2749334</v>
      </c>
      <c r="M190" s="1660">
        <v>1718</v>
      </c>
      <c r="N190" s="1660">
        <v>135</v>
      </c>
      <c r="O190" s="1661">
        <v>2751187</v>
      </c>
      <c r="P190" s="1653"/>
      <c r="Q190" s="1653"/>
      <c r="R190" s="1653"/>
      <c r="S190" s="1653"/>
      <c r="T190" s="1653"/>
      <c r="U190" s="1653"/>
      <c r="V190" s="1653"/>
      <c r="W190" s="1653"/>
      <c r="X190" s="1653"/>
      <c r="Y190" s="1653"/>
      <c r="Z190" s="1653"/>
      <c r="AA190" s="1653"/>
    </row>
    <row r="191" spans="1:27">
      <c r="A191" s="1653">
        <v>2037</v>
      </c>
      <c r="B191" s="1653">
        <v>1</v>
      </c>
      <c r="C191" s="1722">
        <v>50041</v>
      </c>
      <c r="D191" s="1653"/>
      <c r="E191" s="1659">
        <v>1444745</v>
      </c>
      <c r="F191" s="1660">
        <v>985929</v>
      </c>
      <c r="G191" s="1660">
        <v>71717</v>
      </c>
      <c r="H191" s="1660">
        <v>5471</v>
      </c>
      <c r="I191" s="1660">
        <v>1007</v>
      </c>
      <c r="J191" s="1660">
        <v>2508869</v>
      </c>
      <c r="K191" s="1660">
        <v>197570</v>
      </c>
      <c r="L191" s="1660">
        <v>2706439</v>
      </c>
      <c r="M191" s="1660">
        <v>2325</v>
      </c>
      <c r="N191" s="1660">
        <v>183</v>
      </c>
      <c r="O191" s="1661">
        <v>2708947</v>
      </c>
      <c r="P191" s="1653"/>
      <c r="Q191" s="1653"/>
      <c r="R191" s="1653"/>
      <c r="S191" s="1653"/>
      <c r="T191" s="1653"/>
      <c r="U191" s="1653"/>
      <c r="V191" s="1653"/>
      <c r="W191" s="1653"/>
      <c r="X191" s="1653"/>
      <c r="Y191" s="1653"/>
      <c r="Z191" s="1653"/>
      <c r="AA191" s="1653"/>
    </row>
    <row r="192" spans="1:27">
      <c r="A192" s="1653">
        <v>2037</v>
      </c>
      <c r="B192" s="1653">
        <v>2</v>
      </c>
      <c r="C192" s="1722">
        <v>50072</v>
      </c>
      <c r="D192" s="1653"/>
      <c r="E192" s="1659">
        <v>1223127</v>
      </c>
      <c r="F192" s="1660">
        <v>864088</v>
      </c>
      <c r="G192" s="1660">
        <v>65884</v>
      </c>
      <c r="H192" s="1660">
        <v>4745</v>
      </c>
      <c r="I192" s="1660">
        <v>885</v>
      </c>
      <c r="J192" s="1660">
        <v>2158729</v>
      </c>
      <c r="K192" s="1660">
        <v>169997</v>
      </c>
      <c r="L192" s="1660">
        <v>2328726</v>
      </c>
      <c r="M192" s="1660">
        <v>2433</v>
      </c>
      <c r="N192" s="1660">
        <v>192</v>
      </c>
      <c r="O192" s="1661">
        <v>2331351</v>
      </c>
      <c r="P192" s="1653"/>
      <c r="Q192" s="1653"/>
      <c r="R192" s="1653"/>
      <c r="S192" s="1653"/>
      <c r="T192" s="1653"/>
      <c r="U192" s="1653"/>
      <c r="V192" s="1653"/>
      <c r="W192" s="1653"/>
      <c r="X192" s="1653"/>
      <c r="Y192" s="1653"/>
      <c r="Z192" s="1653"/>
      <c r="AA192" s="1653"/>
    </row>
    <row r="193" spans="1:27">
      <c r="A193" s="1653">
        <v>2037</v>
      </c>
      <c r="B193" s="1653">
        <v>3</v>
      </c>
      <c r="C193" s="1722">
        <v>50100</v>
      </c>
      <c r="D193" s="1653"/>
      <c r="E193" s="1659">
        <v>1245372</v>
      </c>
      <c r="F193" s="1660">
        <v>939705</v>
      </c>
      <c r="G193" s="1660">
        <v>72295</v>
      </c>
      <c r="H193" s="1660">
        <v>5681</v>
      </c>
      <c r="I193" s="1660">
        <v>877</v>
      </c>
      <c r="J193" s="1660">
        <v>2263930</v>
      </c>
      <c r="K193" s="1660">
        <v>178281</v>
      </c>
      <c r="L193" s="1660">
        <v>2442211</v>
      </c>
      <c r="M193" s="1660">
        <v>2339</v>
      </c>
      <c r="N193" s="1660">
        <v>184</v>
      </c>
      <c r="O193" s="1661">
        <v>2444734</v>
      </c>
      <c r="P193" s="1653"/>
      <c r="Q193" s="1653"/>
      <c r="R193" s="1653"/>
      <c r="S193" s="1653"/>
      <c r="T193" s="1653"/>
      <c r="U193" s="1653"/>
      <c r="V193" s="1653"/>
      <c r="W193" s="1653"/>
      <c r="X193" s="1653"/>
      <c r="Y193" s="1653"/>
      <c r="Z193" s="1653"/>
      <c r="AA193" s="1653"/>
    </row>
    <row r="194" spans="1:27">
      <c r="A194" s="1653">
        <v>2037</v>
      </c>
      <c r="B194" s="1653">
        <v>4</v>
      </c>
      <c r="C194" s="1722">
        <v>50131</v>
      </c>
      <c r="D194" s="1653"/>
      <c r="E194" s="1659">
        <v>1011056</v>
      </c>
      <c r="F194" s="1660">
        <v>825332</v>
      </c>
      <c r="G194" s="1660">
        <v>67693</v>
      </c>
      <c r="H194" s="1660">
        <v>5134</v>
      </c>
      <c r="I194" s="1660">
        <v>717</v>
      </c>
      <c r="J194" s="1660">
        <v>1909932</v>
      </c>
      <c r="K194" s="1660">
        <v>150405</v>
      </c>
      <c r="L194" s="1660">
        <v>2060337</v>
      </c>
      <c r="M194" s="1660">
        <v>2172</v>
      </c>
      <c r="N194" s="1660">
        <v>171</v>
      </c>
      <c r="O194" s="1661">
        <v>2062680</v>
      </c>
      <c r="P194" s="1653"/>
      <c r="Q194" s="1653"/>
      <c r="R194" s="1653"/>
      <c r="S194" s="1653"/>
      <c r="T194" s="1653"/>
      <c r="U194" s="1653"/>
      <c r="V194" s="1653"/>
      <c r="W194" s="1653"/>
      <c r="X194" s="1653"/>
      <c r="Y194" s="1653"/>
      <c r="Z194" s="1653"/>
      <c r="AA194" s="1653"/>
    </row>
    <row r="195" spans="1:27">
      <c r="A195" s="1653">
        <v>2037</v>
      </c>
      <c r="B195" s="1653">
        <v>5</v>
      </c>
      <c r="C195" s="1722">
        <v>50161</v>
      </c>
      <c r="D195" s="1653"/>
      <c r="E195" s="1659">
        <v>908017</v>
      </c>
      <c r="F195" s="1660">
        <v>817497</v>
      </c>
      <c r="G195" s="1660">
        <v>64598</v>
      </c>
      <c r="H195" s="1660">
        <v>5115</v>
      </c>
      <c r="I195" s="1660">
        <v>562</v>
      </c>
      <c r="J195" s="1660">
        <v>1795789</v>
      </c>
      <c r="K195" s="1660">
        <v>141416</v>
      </c>
      <c r="L195" s="1660">
        <v>1937205</v>
      </c>
      <c r="M195" s="1660">
        <v>2174</v>
      </c>
      <c r="N195" s="1660">
        <v>171</v>
      </c>
      <c r="O195" s="1661">
        <v>1939550</v>
      </c>
      <c r="P195" s="1653"/>
      <c r="Q195" s="1653"/>
      <c r="R195" s="1653"/>
      <c r="S195" s="1653"/>
      <c r="T195" s="1653"/>
      <c r="U195" s="1653"/>
      <c r="V195" s="1653"/>
      <c r="W195" s="1653"/>
      <c r="X195" s="1653"/>
      <c r="Y195" s="1653"/>
      <c r="Z195" s="1653"/>
      <c r="AA195" s="1653"/>
    </row>
    <row r="196" spans="1:27">
      <c r="A196" s="1653">
        <v>2037</v>
      </c>
      <c r="B196" s="1653">
        <v>6</v>
      </c>
      <c r="C196" s="1722">
        <v>50192</v>
      </c>
      <c r="D196" s="1653"/>
      <c r="E196" s="1659">
        <v>862119</v>
      </c>
      <c r="F196" s="1660">
        <v>799905</v>
      </c>
      <c r="G196" s="1660">
        <v>71396</v>
      </c>
      <c r="H196" s="1660">
        <v>4502</v>
      </c>
      <c r="I196" s="1660">
        <v>430</v>
      </c>
      <c r="J196" s="1660">
        <v>1738352</v>
      </c>
      <c r="K196" s="1660">
        <v>136893</v>
      </c>
      <c r="L196" s="1660">
        <v>1875245</v>
      </c>
      <c r="M196" s="1660">
        <v>1787</v>
      </c>
      <c r="N196" s="1660">
        <v>141</v>
      </c>
      <c r="O196" s="1661">
        <v>1877173</v>
      </c>
      <c r="P196" s="1653"/>
      <c r="Q196" s="1653"/>
      <c r="R196" s="1653"/>
      <c r="S196" s="1653"/>
      <c r="T196" s="1653"/>
      <c r="U196" s="1653"/>
      <c r="V196" s="1653"/>
      <c r="W196" s="1653"/>
      <c r="X196" s="1653"/>
      <c r="Y196" s="1653"/>
      <c r="Z196" s="1653"/>
      <c r="AA196" s="1653"/>
    </row>
    <row r="197" spans="1:27">
      <c r="A197" s="1653">
        <v>2037</v>
      </c>
      <c r="B197" s="1653">
        <v>7</v>
      </c>
      <c r="C197" s="1722">
        <v>50222</v>
      </c>
      <c r="D197" s="1653"/>
      <c r="E197" s="1659">
        <v>1005695</v>
      </c>
      <c r="F197" s="1660">
        <v>891317</v>
      </c>
      <c r="G197" s="1660">
        <v>73845</v>
      </c>
      <c r="H197" s="1660">
        <v>5191</v>
      </c>
      <c r="I197" s="1660">
        <v>291</v>
      </c>
      <c r="J197" s="1660">
        <v>1976339</v>
      </c>
      <c r="K197" s="1660">
        <v>155634</v>
      </c>
      <c r="L197" s="1660">
        <v>2131973</v>
      </c>
      <c r="M197" s="1660">
        <v>2889</v>
      </c>
      <c r="N197" s="1660">
        <v>228</v>
      </c>
      <c r="O197" s="1661">
        <v>2135090</v>
      </c>
      <c r="P197" s="1653"/>
      <c r="Q197" s="1653"/>
      <c r="R197" s="1653"/>
      <c r="S197" s="1653"/>
      <c r="T197" s="1653"/>
      <c r="U197" s="1653"/>
      <c r="V197" s="1653"/>
      <c r="W197" s="1653"/>
      <c r="X197" s="1653"/>
      <c r="Y197" s="1653"/>
      <c r="Z197" s="1653"/>
      <c r="AA197" s="1653"/>
    </row>
    <row r="198" spans="1:27">
      <c r="A198" s="1653">
        <v>2037</v>
      </c>
      <c r="B198" s="1653">
        <v>8</v>
      </c>
      <c r="C198" s="1722">
        <v>50253</v>
      </c>
      <c r="D198" s="1653"/>
      <c r="E198" s="1659">
        <v>1022113</v>
      </c>
      <c r="F198" s="1660">
        <v>892412</v>
      </c>
      <c r="G198" s="1660">
        <v>74061</v>
      </c>
      <c r="H198" s="1660">
        <v>4765</v>
      </c>
      <c r="I198" s="1660">
        <v>290</v>
      </c>
      <c r="J198" s="1660">
        <v>1993641</v>
      </c>
      <c r="K198" s="1660">
        <v>156997</v>
      </c>
      <c r="L198" s="1660">
        <v>2150638</v>
      </c>
      <c r="M198" s="1660">
        <v>1634</v>
      </c>
      <c r="N198" s="1660">
        <v>129</v>
      </c>
      <c r="O198" s="1661">
        <v>2152401</v>
      </c>
      <c r="P198" s="1653"/>
      <c r="Q198" s="1653"/>
      <c r="R198" s="1653"/>
      <c r="S198" s="1653"/>
      <c r="T198" s="1653"/>
      <c r="U198" s="1653"/>
      <c r="V198" s="1653"/>
      <c r="W198" s="1653"/>
      <c r="X198" s="1653"/>
      <c r="Y198" s="1653"/>
      <c r="Z198" s="1653"/>
      <c r="AA198" s="1653"/>
    </row>
    <row r="199" spans="1:27">
      <c r="A199" s="1653">
        <v>2037</v>
      </c>
      <c r="B199" s="1653">
        <v>9</v>
      </c>
      <c r="C199" s="1722">
        <v>50284</v>
      </c>
      <c r="D199" s="1653"/>
      <c r="E199" s="1659">
        <v>899564</v>
      </c>
      <c r="F199" s="1660">
        <v>815490</v>
      </c>
      <c r="G199" s="1660">
        <v>70002</v>
      </c>
      <c r="H199" s="1660">
        <v>4840</v>
      </c>
      <c r="I199" s="1660">
        <v>319</v>
      </c>
      <c r="J199" s="1660">
        <v>1790215</v>
      </c>
      <c r="K199" s="1660">
        <v>140977</v>
      </c>
      <c r="L199" s="1660">
        <v>1931192</v>
      </c>
      <c r="M199" s="1660">
        <v>1428</v>
      </c>
      <c r="N199" s="1660">
        <v>112</v>
      </c>
      <c r="O199" s="1661">
        <v>1932732</v>
      </c>
      <c r="P199" s="1653"/>
      <c r="Q199" s="1653"/>
      <c r="R199" s="1653"/>
      <c r="S199" s="1653"/>
      <c r="T199" s="1653"/>
      <c r="U199" s="1653"/>
      <c r="V199" s="1653"/>
      <c r="W199" s="1653"/>
      <c r="X199" s="1653"/>
      <c r="Y199" s="1653"/>
      <c r="Z199" s="1653"/>
      <c r="AA199" s="1653"/>
    </row>
    <row r="200" spans="1:27">
      <c r="A200" s="1653">
        <v>2037</v>
      </c>
      <c r="B200" s="1653">
        <v>10</v>
      </c>
      <c r="C200" s="1722">
        <v>50314</v>
      </c>
      <c r="D200" s="1653"/>
      <c r="E200" s="1659">
        <v>1000227</v>
      </c>
      <c r="F200" s="1660">
        <v>843640</v>
      </c>
      <c r="G200" s="1660">
        <v>69011</v>
      </c>
      <c r="H200" s="1660">
        <v>5412</v>
      </c>
      <c r="I200" s="1660">
        <v>503</v>
      </c>
      <c r="J200" s="1660">
        <v>1918793</v>
      </c>
      <c r="K200" s="1660">
        <v>151102</v>
      </c>
      <c r="L200" s="1660">
        <v>2069895</v>
      </c>
      <c r="M200" s="1660">
        <v>1830</v>
      </c>
      <c r="N200" s="1660">
        <v>144</v>
      </c>
      <c r="O200" s="1661">
        <v>2071869</v>
      </c>
      <c r="P200" s="1653"/>
      <c r="Q200" s="1653"/>
      <c r="R200" s="1653"/>
      <c r="S200" s="1653"/>
      <c r="T200" s="1653"/>
      <c r="U200" s="1653"/>
      <c r="V200" s="1653"/>
      <c r="W200" s="1653"/>
      <c r="X200" s="1653"/>
      <c r="Y200" s="1653"/>
      <c r="Z200" s="1653"/>
      <c r="AA200" s="1653"/>
    </row>
    <row r="201" spans="1:27">
      <c r="A201" s="1653">
        <v>2037</v>
      </c>
      <c r="B201" s="1653">
        <v>11</v>
      </c>
      <c r="C201" s="1722">
        <v>50345</v>
      </c>
      <c r="D201" s="1653"/>
      <c r="E201" s="1659">
        <v>1190713</v>
      </c>
      <c r="F201" s="1660">
        <v>893799</v>
      </c>
      <c r="G201" s="1660">
        <v>66502</v>
      </c>
      <c r="H201" s="1660">
        <v>4606</v>
      </c>
      <c r="I201" s="1660">
        <v>694</v>
      </c>
      <c r="J201" s="1660">
        <v>2156314</v>
      </c>
      <c r="K201" s="1660">
        <v>169807</v>
      </c>
      <c r="L201" s="1660">
        <v>2326121</v>
      </c>
      <c r="M201" s="1660">
        <v>1832</v>
      </c>
      <c r="N201" s="1660">
        <v>144</v>
      </c>
      <c r="O201" s="1661">
        <v>2328097</v>
      </c>
      <c r="P201" s="1653"/>
      <c r="Q201" s="1653"/>
      <c r="R201" s="1653"/>
      <c r="S201" s="1653"/>
      <c r="T201" s="1653"/>
      <c r="U201" s="1653"/>
      <c r="V201" s="1653"/>
      <c r="W201" s="1653"/>
      <c r="X201" s="1653"/>
      <c r="Y201" s="1653"/>
      <c r="Z201" s="1653"/>
      <c r="AA201" s="1653"/>
    </row>
    <row r="202" spans="1:27">
      <c r="A202" s="1653">
        <v>2037</v>
      </c>
      <c r="B202" s="1653">
        <v>12</v>
      </c>
      <c r="C202" s="1722">
        <v>50375</v>
      </c>
      <c r="D202" s="1653"/>
      <c r="E202" s="1659">
        <v>1472619</v>
      </c>
      <c r="F202" s="1660">
        <v>1037768</v>
      </c>
      <c r="G202" s="1660">
        <v>68679</v>
      </c>
      <c r="H202" s="1660">
        <v>5277</v>
      </c>
      <c r="I202" s="1660">
        <v>899</v>
      </c>
      <c r="J202" s="1660">
        <v>2585242</v>
      </c>
      <c r="K202" s="1660">
        <v>203584</v>
      </c>
      <c r="L202" s="1660">
        <v>2788826</v>
      </c>
      <c r="M202" s="1660">
        <v>1718</v>
      </c>
      <c r="N202" s="1660">
        <v>135</v>
      </c>
      <c r="O202" s="1661">
        <v>2790679</v>
      </c>
      <c r="P202" s="1653"/>
      <c r="Q202" s="1653"/>
      <c r="R202" s="1653"/>
      <c r="S202" s="1653"/>
      <c r="T202" s="1653"/>
      <c r="U202" s="1653"/>
      <c r="V202" s="1653"/>
      <c r="W202" s="1653"/>
      <c r="X202" s="1653"/>
      <c r="Y202" s="1653"/>
      <c r="Z202" s="1653"/>
      <c r="AA202" s="1653"/>
    </row>
    <row r="203" spans="1:27">
      <c r="A203" s="1653">
        <v>2038</v>
      </c>
      <c r="B203" s="1653">
        <v>1</v>
      </c>
      <c r="C203" s="1722">
        <v>50406</v>
      </c>
      <c r="D203" s="1653"/>
      <c r="E203" s="1659">
        <v>1455856</v>
      </c>
      <c r="F203" s="1660">
        <v>1016462</v>
      </c>
      <c r="G203" s="1660">
        <v>71009</v>
      </c>
      <c r="H203" s="1660">
        <v>5565</v>
      </c>
      <c r="I203" s="1660">
        <v>1005</v>
      </c>
      <c r="J203" s="1660">
        <v>2549897</v>
      </c>
      <c r="K203" s="1660">
        <v>200801</v>
      </c>
      <c r="L203" s="1660">
        <v>2750698</v>
      </c>
      <c r="M203" s="1660">
        <v>2325</v>
      </c>
      <c r="N203" s="1660">
        <v>183</v>
      </c>
      <c r="O203" s="1661">
        <v>2753206</v>
      </c>
      <c r="P203" s="1653"/>
      <c r="Q203" s="1653"/>
      <c r="R203" s="1653"/>
      <c r="S203" s="1653"/>
      <c r="T203" s="1653"/>
      <c r="U203" s="1653"/>
      <c r="V203" s="1653"/>
      <c r="W203" s="1653"/>
      <c r="X203" s="1653"/>
      <c r="Y203" s="1653"/>
      <c r="Z203" s="1653"/>
      <c r="AA203" s="1653"/>
    </row>
    <row r="204" spans="1:27">
      <c r="A204" s="1653">
        <v>2038</v>
      </c>
      <c r="B204" s="1653">
        <v>2</v>
      </c>
      <c r="C204" s="1722">
        <v>50437</v>
      </c>
      <c r="D204" s="1653"/>
      <c r="E204" s="1659">
        <v>1228643</v>
      </c>
      <c r="F204" s="1660">
        <v>888652</v>
      </c>
      <c r="G204" s="1660">
        <v>65230</v>
      </c>
      <c r="H204" s="1660">
        <v>4826</v>
      </c>
      <c r="I204" s="1660">
        <v>882</v>
      </c>
      <c r="J204" s="1660">
        <v>2188233</v>
      </c>
      <c r="K204" s="1660">
        <v>172320</v>
      </c>
      <c r="L204" s="1660">
        <v>2360553</v>
      </c>
      <c r="M204" s="1660">
        <v>2433</v>
      </c>
      <c r="N204" s="1660">
        <v>192</v>
      </c>
      <c r="O204" s="1661">
        <v>2363178</v>
      </c>
      <c r="P204" s="1653"/>
      <c r="Q204" s="1653"/>
      <c r="R204" s="1653"/>
      <c r="S204" s="1653"/>
      <c r="T204" s="1653"/>
      <c r="U204" s="1653"/>
      <c r="V204" s="1653"/>
      <c r="W204" s="1653"/>
      <c r="X204" s="1653"/>
      <c r="Y204" s="1653"/>
      <c r="Z204" s="1653"/>
      <c r="AA204" s="1653"/>
    </row>
    <row r="205" spans="1:27">
      <c r="A205" s="1653">
        <v>2038</v>
      </c>
      <c r="B205" s="1653">
        <v>3</v>
      </c>
      <c r="C205" s="1722">
        <v>50465</v>
      </c>
      <c r="D205" s="1653"/>
      <c r="E205" s="1659">
        <v>1252686</v>
      </c>
      <c r="F205" s="1660">
        <v>966201</v>
      </c>
      <c r="G205" s="1660">
        <v>71565</v>
      </c>
      <c r="H205" s="1660">
        <v>5776</v>
      </c>
      <c r="I205" s="1660">
        <v>874</v>
      </c>
      <c r="J205" s="1660">
        <v>2297102</v>
      </c>
      <c r="K205" s="1660">
        <v>180894</v>
      </c>
      <c r="L205" s="1660">
        <v>2477996</v>
      </c>
      <c r="M205" s="1660">
        <v>2339</v>
      </c>
      <c r="N205" s="1660">
        <v>184</v>
      </c>
      <c r="O205" s="1661">
        <v>2480519</v>
      </c>
      <c r="P205" s="1653"/>
      <c r="Q205" s="1653"/>
      <c r="R205" s="1653"/>
      <c r="S205" s="1653"/>
      <c r="T205" s="1653"/>
      <c r="U205" s="1653"/>
      <c r="V205" s="1653"/>
      <c r="W205" s="1653"/>
      <c r="X205" s="1653"/>
      <c r="Y205" s="1653"/>
      <c r="Z205" s="1653"/>
      <c r="AA205" s="1653"/>
    </row>
    <row r="206" spans="1:27">
      <c r="A206" s="1653">
        <v>2038</v>
      </c>
      <c r="B206" s="1653">
        <v>4</v>
      </c>
      <c r="C206" s="1722">
        <v>50496</v>
      </c>
      <c r="D206" s="1653"/>
      <c r="E206" s="1659">
        <v>1013404</v>
      </c>
      <c r="F206" s="1660">
        <v>849276</v>
      </c>
      <c r="G206" s="1660">
        <v>66998</v>
      </c>
      <c r="H206" s="1660">
        <v>5217</v>
      </c>
      <c r="I206" s="1660">
        <v>714</v>
      </c>
      <c r="J206" s="1660">
        <v>1935609</v>
      </c>
      <c r="K206" s="1660">
        <v>152427</v>
      </c>
      <c r="L206" s="1660">
        <v>2088036</v>
      </c>
      <c r="M206" s="1660">
        <v>2172</v>
      </c>
      <c r="N206" s="1660">
        <v>171</v>
      </c>
      <c r="O206" s="1661">
        <v>2090379</v>
      </c>
      <c r="P206" s="1653"/>
      <c r="Q206" s="1653"/>
      <c r="R206" s="1653"/>
      <c r="S206" s="1653"/>
      <c r="T206" s="1653"/>
      <c r="U206" s="1653"/>
      <c r="V206" s="1653"/>
      <c r="W206" s="1653"/>
      <c r="X206" s="1653"/>
      <c r="Y206" s="1653"/>
      <c r="Z206" s="1653"/>
      <c r="AA206" s="1653"/>
    </row>
    <row r="207" spans="1:27">
      <c r="A207" s="1653">
        <v>2038</v>
      </c>
      <c r="B207" s="1653">
        <v>5</v>
      </c>
      <c r="C207" s="1722">
        <v>50526</v>
      </c>
      <c r="D207" s="1653"/>
      <c r="E207" s="1659">
        <v>913066</v>
      </c>
      <c r="F207" s="1660">
        <v>841885</v>
      </c>
      <c r="G207" s="1660">
        <v>63969</v>
      </c>
      <c r="H207" s="1660">
        <v>5195</v>
      </c>
      <c r="I207" s="1660">
        <v>560</v>
      </c>
      <c r="J207" s="1660">
        <v>1824675</v>
      </c>
      <c r="K207" s="1660">
        <v>143691</v>
      </c>
      <c r="L207" s="1660">
        <v>1968366</v>
      </c>
      <c r="M207" s="1660">
        <v>2174</v>
      </c>
      <c r="N207" s="1660">
        <v>171</v>
      </c>
      <c r="O207" s="1661">
        <v>1970711</v>
      </c>
      <c r="P207" s="1653"/>
      <c r="Q207" s="1653"/>
      <c r="R207" s="1653"/>
      <c r="S207" s="1653"/>
      <c r="T207" s="1653"/>
      <c r="U207" s="1653"/>
      <c r="V207" s="1653"/>
      <c r="W207" s="1653"/>
      <c r="X207" s="1653"/>
      <c r="Y207" s="1653"/>
      <c r="Z207" s="1653"/>
      <c r="AA207" s="1653"/>
    </row>
    <row r="208" spans="1:27">
      <c r="A208" s="1653">
        <v>2038</v>
      </c>
      <c r="B208" s="1653">
        <v>6</v>
      </c>
      <c r="C208" s="1722">
        <v>50557</v>
      </c>
      <c r="D208" s="1653"/>
      <c r="E208" s="1659">
        <v>874713</v>
      </c>
      <c r="F208" s="1660">
        <v>824179</v>
      </c>
      <c r="G208" s="1660">
        <v>70994</v>
      </c>
      <c r="H208" s="1660">
        <v>4575</v>
      </c>
      <c r="I208" s="1660">
        <v>430</v>
      </c>
      <c r="J208" s="1660">
        <v>1774891</v>
      </c>
      <c r="K208" s="1660">
        <v>139770</v>
      </c>
      <c r="L208" s="1660">
        <v>1914661</v>
      </c>
      <c r="M208" s="1660">
        <v>1787</v>
      </c>
      <c r="N208" s="1660">
        <v>141</v>
      </c>
      <c r="O208" s="1661">
        <v>1916589</v>
      </c>
      <c r="P208" s="1653"/>
      <c r="Q208" s="1653"/>
      <c r="R208" s="1653"/>
      <c r="S208" s="1653"/>
      <c r="T208" s="1653"/>
      <c r="U208" s="1653"/>
      <c r="V208" s="1653"/>
      <c r="W208" s="1653"/>
      <c r="X208" s="1653"/>
      <c r="Y208" s="1653"/>
      <c r="Z208" s="1653"/>
      <c r="AA208" s="1653"/>
    </row>
    <row r="209" spans="1:27">
      <c r="A209" s="1653">
        <v>2038</v>
      </c>
      <c r="B209" s="1653">
        <v>7</v>
      </c>
      <c r="C209" s="1722">
        <v>50587</v>
      </c>
      <c r="D209" s="1653"/>
      <c r="E209" s="1659">
        <v>1022820</v>
      </c>
      <c r="F209" s="1660">
        <v>918029</v>
      </c>
      <c r="G209" s="1660">
        <v>73454</v>
      </c>
      <c r="H209" s="1660">
        <v>5277</v>
      </c>
      <c r="I209" s="1660">
        <v>291</v>
      </c>
      <c r="J209" s="1660">
        <v>2019871</v>
      </c>
      <c r="K209" s="1660">
        <v>159062</v>
      </c>
      <c r="L209" s="1660">
        <v>2178933</v>
      </c>
      <c r="M209" s="1660">
        <v>2889</v>
      </c>
      <c r="N209" s="1660">
        <v>228</v>
      </c>
      <c r="O209" s="1661">
        <v>2182050</v>
      </c>
      <c r="P209" s="1653"/>
      <c r="Q209" s="1653"/>
      <c r="R209" s="1653"/>
      <c r="S209" s="1653"/>
      <c r="T209" s="1653"/>
      <c r="U209" s="1653"/>
      <c r="V209" s="1653"/>
      <c r="W209" s="1653"/>
      <c r="X209" s="1653"/>
      <c r="Y209" s="1653"/>
      <c r="Z209" s="1653"/>
      <c r="AA209" s="1653"/>
    </row>
    <row r="210" spans="1:27">
      <c r="A210" s="1653">
        <v>2038</v>
      </c>
      <c r="B210" s="1653">
        <v>8</v>
      </c>
      <c r="C210" s="1722">
        <v>50618</v>
      </c>
      <c r="D210" s="1653"/>
      <c r="E210" s="1659">
        <v>1037774</v>
      </c>
      <c r="F210" s="1660">
        <v>915918</v>
      </c>
      <c r="G210" s="1660">
        <v>73641</v>
      </c>
      <c r="H210" s="1660">
        <v>4846</v>
      </c>
      <c r="I210" s="1660">
        <v>290</v>
      </c>
      <c r="J210" s="1660">
        <v>2032469</v>
      </c>
      <c r="K210" s="1660">
        <v>160054</v>
      </c>
      <c r="L210" s="1660">
        <v>2192523</v>
      </c>
      <c r="M210" s="1660">
        <v>1634</v>
      </c>
      <c r="N210" s="1660">
        <v>129</v>
      </c>
      <c r="O210" s="1661">
        <v>2194286</v>
      </c>
      <c r="P210" s="1653"/>
      <c r="Q210" s="1653"/>
      <c r="R210" s="1653"/>
      <c r="S210" s="1653"/>
      <c r="T210" s="1653"/>
      <c r="U210" s="1653"/>
      <c r="V210" s="1653"/>
      <c r="W210" s="1653"/>
      <c r="X210" s="1653"/>
      <c r="Y210" s="1653"/>
      <c r="Z210" s="1653"/>
      <c r="AA210" s="1653"/>
    </row>
    <row r="211" spans="1:27">
      <c r="A211" s="1653">
        <v>2038</v>
      </c>
      <c r="B211" s="1653">
        <v>9</v>
      </c>
      <c r="C211" s="1722">
        <v>50649</v>
      </c>
      <c r="D211" s="1653"/>
      <c r="E211" s="1659">
        <v>913088</v>
      </c>
      <c r="F211" s="1660">
        <v>839868</v>
      </c>
      <c r="G211" s="1660">
        <v>69331</v>
      </c>
      <c r="H211" s="1660">
        <v>4924</v>
      </c>
      <c r="I211" s="1660">
        <v>319</v>
      </c>
      <c r="J211" s="1660">
        <v>1827530</v>
      </c>
      <c r="K211" s="1660">
        <v>143916</v>
      </c>
      <c r="L211" s="1660">
        <v>1971446</v>
      </c>
      <c r="M211" s="1660">
        <v>1428</v>
      </c>
      <c r="N211" s="1660">
        <v>112</v>
      </c>
      <c r="O211" s="1661">
        <v>1972986</v>
      </c>
      <c r="P211" s="1653"/>
      <c r="Q211" s="1653"/>
      <c r="R211" s="1653"/>
      <c r="S211" s="1653"/>
      <c r="T211" s="1653"/>
      <c r="U211" s="1653"/>
      <c r="V211" s="1653"/>
      <c r="W211" s="1653"/>
      <c r="X211" s="1653"/>
      <c r="Y211" s="1653"/>
      <c r="Z211" s="1653"/>
      <c r="AA211" s="1653"/>
    </row>
    <row r="212" spans="1:27">
      <c r="A212" s="1653">
        <v>2038</v>
      </c>
      <c r="B212" s="1653">
        <v>10</v>
      </c>
      <c r="C212" s="1722">
        <v>50679</v>
      </c>
      <c r="D212" s="1653"/>
      <c r="E212" s="1659">
        <v>1013535</v>
      </c>
      <c r="F212" s="1660">
        <v>871914</v>
      </c>
      <c r="G212" s="1660">
        <v>68366</v>
      </c>
      <c r="H212" s="1660">
        <v>5510</v>
      </c>
      <c r="I212" s="1660">
        <v>503</v>
      </c>
      <c r="J212" s="1660">
        <v>1959828</v>
      </c>
      <c r="K212" s="1660">
        <v>154334</v>
      </c>
      <c r="L212" s="1660">
        <v>2114162</v>
      </c>
      <c r="M212" s="1660">
        <v>1830</v>
      </c>
      <c r="N212" s="1660">
        <v>144</v>
      </c>
      <c r="O212" s="1661">
        <v>2116136</v>
      </c>
      <c r="P212" s="1653"/>
      <c r="Q212" s="1653"/>
      <c r="R212" s="1653"/>
      <c r="S212" s="1653"/>
      <c r="T212" s="1653"/>
      <c r="U212" s="1653"/>
      <c r="V212" s="1653"/>
      <c r="W212" s="1653"/>
      <c r="X212" s="1653"/>
      <c r="Y212" s="1653"/>
      <c r="Z212" s="1653"/>
      <c r="AA212" s="1653"/>
    </row>
    <row r="213" spans="1:27">
      <c r="A213" s="1653">
        <v>2038</v>
      </c>
      <c r="B213" s="1653">
        <v>11</v>
      </c>
      <c r="C213" s="1722">
        <v>50710</v>
      </c>
      <c r="D213" s="1653"/>
      <c r="E213" s="1659">
        <v>1194515</v>
      </c>
      <c r="F213" s="1660">
        <v>919312</v>
      </c>
      <c r="G213" s="1660">
        <v>65832</v>
      </c>
      <c r="H213" s="1660">
        <v>4691</v>
      </c>
      <c r="I213" s="1660">
        <v>690</v>
      </c>
      <c r="J213" s="1660">
        <v>2185040</v>
      </c>
      <c r="K213" s="1660">
        <v>172069</v>
      </c>
      <c r="L213" s="1660">
        <v>2357109</v>
      </c>
      <c r="M213" s="1660">
        <v>1832</v>
      </c>
      <c r="N213" s="1660">
        <v>144</v>
      </c>
      <c r="O213" s="1661">
        <v>2359085</v>
      </c>
      <c r="P213" s="1653"/>
      <c r="Q213" s="1653"/>
      <c r="R213" s="1653"/>
      <c r="S213" s="1653"/>
      <c r="T213" s="1653"/>
      <c r="U213" s="1653"/>
      <c r="V213" s="1653"/>
      <c r="W213" s="1653"/>
      <c r="X213" s="1653"/>
      <c r="Y213" s="1653"/>
      <c r="Z213" s="1653"/>
      <c r="AA213" s="1653"/>
    </row>
    <row r="214" spans="1:27">
      <c r="A214" s="1653">
        <v>2038</v>
      </c>
      <c r="B214" s="1653">
        <v>12</v>
      </c>
      <c r="C214" s="1722">
        <v>50740</v>
      </c>
      <c r="D214" s="1653"/>
      <c r="E214" s="1659">
        <v>1479528</v>
      </c>
      <c r="F214" s="1660">
        <v>1067483</v>
      </c>
      <c r="G214" s="1660">
        <v>67988</v>
      </c>
      <c r="H214" s="1660">
        <v>5373</v>
      </c>
      <c r="I214" s="1660">
        <v>894</v>
      </c>
      <c r="J214" s="1660">
        <v>2621266</v>
      </c>
      <c r="K214" s="1660">
        <v>206421</v>
      </c>
      <c r="L214" s="1660">
        <v>2827687</v>
      </c>
      <c r="M214" s="1660">
        <v>1718</v>
      </c>
      <c r="N214" s="1660">
        <v>135</v>
      </c>
      <c r="O214" s="1661">
        <v>2829540</v>
      </c>
      <c r="P214" s="1653"/>
      <c r="Q214" s="1653"/>
      <c r="R214" s="1653"/>
      <c r="S214" s="1653"/>
      <c r="T214" s="1653"/>
      <c r="U214" s="1653"/>
      <c r="V214" s="1653"/>
      <c r="W214" s="1653"/>
      <c r="X214" s="1653"/>
      <c r="Y214" s="1653"/>
      <c r="Z214" s="1653"/>
      <c r="AA214" s="1653"/>
    </row>
    <row r="215" spans="1:27">
      <c r="A215" s="1653">
        <v>2039</v>
      </c>
      <c r="B215" s="1653">
        <v>1</v>
      </c>
      <c r="C215" s="1722">
        <v>50771</v>
      </c>
      <c r="D215" s="1653"/>
      <c r="E215" s="1659">
        <v>1472681</v>
      </c>
      <c r="F215" s="1660">
        <v>1050917</v>
      </c>
      <c r="G215" s="1660">
        <v>70617</v>
      </c>
      <c r="H215" s="1660">
        <v>5659</v>
      </c>
      <c r="I215" s="1660">
        <v>1006</v>
      </c>
      <c r="J215" s="1660">
        <v>2600880</v>
      </c>
      <c r="K215" s="1660">
        <v>204816</v>
      </c>
      <c r="L215" s="1660">
        <v>2805696</v>
      </c>
      <c r="M215" s="1660">
        <v>2325</v>
      </c>
      <c r="N215" s="1660">
        <v>183</v>
      </c>
      <c r="O215" s="1661">
        <v>2808204</v>
      </c>
      <c r="P215" s="1653"/>
      <c r="Q215" s="1653"/>
      <c r="R215" s="1653"/>
      <c r="S215" s="1653"/>
      <c r="T215" s="1653"/>
      <c r="U215" s="1653"/>
      <c r="V215" s="1653"/>
      <c r="W215" s="1653"/>
      <c r="X215" s="1653"/>
      <c r="Y215" s="1653"/>
      <c r="Z215" s="1653"/>
      <c r="AA215" s="1653"/>
    </row>
    <row r="216" spans="1:27">
      <c r="A216" s="1653">
        <v>2039</v>
      </c>
      <c r="B216" s="1653">
        <v>2</v>
      </c>
      <c r="C216" s="1722">
        <v>50802</v>
      </c>
      <c r="D216" s="1653"/>
      <c r="E216" s="1659">
        <v>1234797</v>
      </c>
      <c r="F216" s="1660">
        <v>914784</v>
      </c>
      <c r="G216" s="1660">
        <v>64847</v>
      </c>
      <c r="H216" s="1660">
        <v>4907</v>
      </c>
      <c r="I216" s="1660">
        <v>879</v>
      </c>
      <c r="J216" s="1660">
        <v>2220214</v>
      </c>
      <c r="K216" s="1660">
        <v>174839</v>
      </c>
      <c r="L216" s="1660">
        <v>2395053</v>
      </c>
      <c r="M216" s="1660">
        <v>2433</v>
      </c>
      <c r="N216" s="1660">
        <v>192</v>
      </c>
      <c r="O216" s="1661">
        <v>2397678</v>
      </c>
      <c r="P216" s="1653"/>
      <c r="Q216" s="1653"/>
      <c r="R216" s="1653"/>
      <c r="S216" s="1653"/>
      <c r="T216" s="1653"/>
      <c r="U216" s="1653"/>
      <c r="V216" s="1653"/>
      <c r="W216" s="1653"/>
      <c r="X216" s="1653"/>
      <c r="Y216" s="1653"/>
      <c r="Z216" s="1653"/>
      <c r="AA216" s="1653"/>
    </row>
    <row r="217" spans="1:27">
      <c r="A217" s="1653">
        <v>2039</v>
      </c>
      <c r="B217" s="1653">
        <v>3</v>
      </c>
      <c r="C217" s="1722">
        <v>50830</v>
      </c>
      <c r="D217" s="1653"/>
      <c r="E217" s="1659">
        <v>1259353</v>
      </c>
      <c r="F217" s="1660">
        <v>994729</v>
      </c>
      <c r="G217" s="1660">
        <v>71139</v>
      </c>
      <c r="H217" s="1660">
        <v>5870</v>
      </c>
      <c r="I217" s="1660">
        <v>871</v>
      </c>
      <c r="J217" s="1660">
        <v>2331962</v>
      </c>
      <c r="K217" s="1660">
        <v>183639</v>
      </c>
      <c r="L217" s="1660">
        <v>2515601</v>
      </c>
      <c r="M217" s="1660">
        <v>2339</v>
      </c>
      <c r="N217" s="1660">
        <v>184</v>
      </c>
      <c r="O217" s="1661">
        <v>2518124</v>
      </c>
      <c r="P217" s="1653"/>
      <c r="Q217" s="1653"/>
      <c r="R217" s="1653"/>
      <c r="S217" s="1653"/>
      <c r="T217" s="1653"/>
      <c r="U217" s="1653"/>
      <c r="V217" s="1653"/>
      <c r="W217" s="1653"/>
      <c r="X217" s="1653"/>
      <c r="Y217" s="1653"/>
      <c r="Z217" s="1653"/>
      <c r="AA217" s="1653"/>
    </row>
    <row r="218" spans="1:27">
      <c r="A218" s="1653">
        <v>2039</v>
      </c>
      <c r="B218" s="1653">
        <v>4</v>
      </c>
      <c r="C218" s="1722">
        <v>50861</v>
      </c>
      <c r="D218" s="1653"/>
      <c r="E218" s="1659">
        <v>1016790</v>
      </c>
      <c r="F218" s="1660">
        <v>876045</v>
      </c>
      <c r="G218" s="1660">
        <v>66333</v>
      </c>
      <c r="H218" s="1660">
        <v>5300</v>
      </c>
      <c r="I218" s="1660">
        <v>711</v>
      </c>
      <c r="J218" s="1660">
        <v>1965179</v>
      </c>
      <c r="K218" s="1660">
        <v>154755</v>
      </c>
      <c r="L218" s="1660">
        <v>2119934</v>
      </c>
      <c r="M218" s="1660">
        <v>2172</v>
      </c>
      <c r="N218" s="1660">
        <v>171</v>
      </c>
      <c r="O218" s="1661">
        <v>2122277</v>
      </c>
      <c r="P218" s="1653"/>
      <c r="Q218" s="1653"/>
      <c r="R218" s="1653"/>
      <c r="S218" s="1653"/>
      <c r="T218" s="1653"/>
      <c r="U218" s="1653"/>
      <c r="V218" s="1653"/>
      <c r="W218" s="1653"/>
      <c r="X218" s="1653"/>
      <c r="Y218" s="1653"/>
      <c r="Z218" s="1653"/>
      <c r="AA218" s="1653"/>
    </row>
    <row r="219" spans="1:27">
      <c r="A219" s="1653">
        <v>2039</v>
      </c>
      <c r="B219" s="1653">
        <v>5</v>
      </c>
      <c r="C219" s="1722">
        <v>50891</v>
      </c>
      <c r="D219" s="1653"/>
      <c r="E219" s="1659">
        <v>920422</v>
      </c>
      <c r="F219" s="1660">
        <v>865861</v>
      </c>
      <c r="G219" s="1660">
        <v>63337</v>
      </c>
      <c r="H219" s="1660">
        <v>5276</v>
      </c>
      <c r="I219" s="1660">
        <v>560</v>
      </c>
      <c r="J219" s="1660">
        <v>1855456</v>
      </c>
      <c r="K219" s="1660">
        <v>146115</v>
      </c>
      <c r="L219" s="1660">
        <v>2001571</v>
      </c>
      <c r="M219" s="1660">
        <v>2174</v>
      </c>
      <c r="N219" s="1660">
        <v>171</v>
      </c>
      <c r="O219" s="1661">
        <v>2003916</v>
      </c>
      <c r="P219" s="1653"/>
      <c r="Q219" s="1653"/>
      <c r="R219" s="1653"/>
      <c r="S219" s="1653"/>
      <c r="T219" s="1653"/>
      <c r="U219" s="1653"/>
      <c r="V219" s="1653"/>
      <c r="W219" s="1653"/>
      <c r="X219" s="1653"/>
      <c r="Y219" s="1653"/>
      <c r="Z219" s="1653"/>
      <c r="AA219" s="1653"/>
    </row>
    <row r="220" spans="1:27">
      <c r="A220" s="1653">
        <v>2039</v>
      </c>
      <c r="B220" s="1653">
        <v>6</v>
      </c>
      <c r="C220" s="1722">
        <v>50922</v>
      </c>
      <c r="D220" s="1653"/>
      <c r="E220" s="1659">
        <v>884742</v>
      </c>
      <c r="F220" s="1660">
        <v>849027</v>
      </c>
      <c r="G220" s="1660">
        <v>70294</v>
      </c>
      <c r="H220" s="1660">
        <v>4647</v>
      </c>
      <c r="I220" s="1660">
        <v>430</v>
      </c>
      <c r="J220" s="1660">
        <v>1809140</v>
      </c>
      <c r="K220" s="1660">
        <v>142467</v>
      </c>
      <c r="L220" s="1660">
        <v>1951607</v>
      </c>
      <c r="M220" s="1660">
        <v>1787</v>
      </c>
      <c r="N220" s="1660">
        <v>141</v>
      </c>
      <c r="O220" s="1661">
        <v>1953535</v>
      </c>
      <c r="P220" s="1653"/>
      <c r="Q220" s="1653"/>
      <c r="R220" s="1653"/>
      <c r="S220" s="1653"/>
      <c r="T220" s="1653"/>
      <c r="U220" s="1653"/>
      <c r="V220" s="1653"/>
      <c r="W220" s="1653"/>
      <c r="X220" s="1653"/>
      <c r="Y220" s="1653"/>
      <c r="Z220" s="1653"/>
      <c r="AA220" s="1653"/>
    </row>
    <row r="221" spans="1:27">
      <c r="A221" s="1653">
        <v>2039</v>
      </c>
      <c r="B221" s="1653">
        <v>7</v>
      </c>
      <c r="C221" s="1722">
        <v>50952</v>
      </c>
      <c r="D221" s="1653"/>
      <c r="E221" s="1659">
        <v>1038043</v>
      </c>
      <c r="F221" s="1660">
        <v>946122</v>
      </c>
      <c r="G221" s="1660">
        <v>72767</v>
      </c>
      <c r="H221" s="1660">
        <v>5364</v>
      </c>
      <c r="I221" s="1660">
        <v>291</v>
      </c>
      <c r="J221" s="1660">
        <v>2062587</v>
      </c>
      <c r="K221" s="1660">
        <v>162426</v>
      </c>
      <c r="L221" s="1660">
        <v>2225013</v>
      </c>
      <c r="M221" s="1660">
        <v>2889</v>
      </c>
      <c r="N221" s="1660">
        <v>228</v>
      </c>
      <c r="O221" s="1661">
        <v>2228130</v>
      </c>
      <c r="P221" s="1653"/>
      <c r="Q221" s="1653"/>
      <c r="R221" s="1653"/>
      <c r="S221" s="1653"/>
      <c r="T221" s="1653"/>
      <c r="U221" s="1653"/>
      <c r="V221" s="1653"/>
      <c r="W221" s="1653"/>
      <c r="X221" s="1653"/>
      <c r="Y221" s="1653"/>
      <c r="Z221" s="1653"/>
      <c r="AA221" s="1653"/>
    </row>
    <row r="222" spans="1:27">
      <c r="A222" s="1653">
        <v>2039</v>
      </c>
      <c r="B222" s="1653">
        <v>8</v>
      </c>
      <c r="C222" s="1722">
        <v>50983</v>
      </c>
      <c r="D222" s="1653"/>
      <c r="E222" s="1659">
        <v>1054173</v>
      </c>
      <c r="F222" s="1660">
        <v>940511</v>
      </c>
      <c r="G222" s="1660">
        <v>72917</v>
      </c>
      <c r="H222" s="1660">
        <v>4926</v>
      </c>
      <c r="I222" s="1660">
        <v>290</v>
      </c>
      <c r="J222" s="1660">
        <v>2072817</v>
      </c>
      <c r="K222" s="1660">
        <v>163232</v>
      </c>
      <c r="L222" s="1660">
        <v>2236049</v>
      </c>
      <c r="M222" s="1660">
        <v>1634</v>
      </c>
      <c r="N222" s="1660">
        <v>129</v>
      </c>
      <c r="O222" s="1661">
        <v>2237812</v>
      </c>
      <c r="P222" s="1653"/>
      <c r="Q222" s="1653"/>
      <c r="R222" s="1653"/>
      <c r="S222" s="1653"/>
      <c r="T222" s="1653"/>
      <c r="U222" s="1653"/>
      <c r="V222" s="1653"/>
      <c r="W222" s="1653"/>
      <c r="X222" s="1653"/>
      <c r="Y222" s="1653"/>
      <c r="Z222" s="1653"/>
      <c r="AA222" s="1653"/>
    </row>
    <row r="223" spans="1:27">
      <c r="A223" s="1653">
        <v>2039</v>
      </c>
      <c r="B223" s="1653">
        <v>9</v>
      </c>
      <c r="C223" s="1722">
        <v>51014</v>
      </c>
      <c r="D223" s="1653"/>
      <c r="E223" s="1659">
        <v>922917</v>
      </c>
      <c r="F223" s="1660">
        <v>864552</v>
      </c>
      <c r="G223" s="1660">
        <v>68951</v>
      </c>
      <c r="H223" s="1660">
        <v>5007</v>
      </c>
      <c r="I223" s="1660">
        <v>319</v>
      </c>
      <c r="J223" s="1660">
        <v>1861746</v>
      </c>
      <c r="K223" s="1660">
        <v>146610</v>
      </c>
      <c r="L223" s="1660">
        <v>2008356</v>
      </c>
      <c r="M223" s="1660">
        <v>1428</v>
      </c>
      <c r="N223" s="1660">
        <v>112</v>
      </c>
      <c r="O223" s="1661">
        <v>2009896</v>
      </c>
      <c r="P223" s="1653"/>
      <c r="Q223" s="1653"/>
      <c r="R223" s="1653"/>
      <c r="S223" s="1653"/>
      <c r="T223" s="1653"/>
      <c r="U223" s="1653"/>
      <c r="V223" s="1653"/>
      <c r="W223" s="1653"/>
      <c r="X223" s="1653"/>
      <c r="Y223" s="1653"/>
      <c r="Z223" s="1653"/>
      <c r="AA223" s="1653"/>
    </row>
    <row r="224" spans="1:27">
      <c r="A224" s="1653">
        <v>2039</v>
      </c>
      <c r="B224" s="1653">
        <v>10</v>
      </c>
      <c r="C224" s="1722">
        <v>51044</v>
      </c>
      <c r="D224" s="1653"/>
      <c r="E224" s="1659">
        <v>1019681</v>
      </c>
      <c r="F224" s="1660">
        <v>899101</v>
      </c>
      <c r="G224" s="1660">
        <v>67982</v>
      </c>
      <c r="H224" s="1660">
        <v>5607</v>
      </c>
      <c r="I224" s="1660">
        <v>502</v>
      </c>
      <c r="J224" s="1660">
        <v>1992873</v>
      </c>
      <c r="K224" s="1660">
        <v>156936</v>
      </c>
      <c r="L224" s="1660">
        <v>2149809</v>
      </c>
      <c r="M224" s="1660">
        <v>1830</v>
      </c>
      <c r="N224" s="1660">
        <v>144</v>
      </c>
      <c r="O224" s="1661">
        <v>2151783</v>
      </c>
      <c r="P224" s="1653"/>
      <c r="Q224" s="1653"/>
      <c r="R224" s="1653"/>
      <c r="S224" s="1653"/>
      <c r="T224" s="1653"/>
      <c r="U224" s="1653"/>
      <c r="V224" s="1653"/>
      <c r="W224" s="1653"/>
      <c r="X224" s="1653"/>
      <c r="Y224" s="1653"/>
      <c r="Z224" s="1653"/>
      <c r="AA224" s="1653"/>
    </row>
    <row r="225" spans="1:27">
      <c r="A225" s="1653">
        <v>2039</v>
      </c>
      <c r="B225" s="1653">
        <v>11</v>
      </c>
      <c r="C225" s="1722">
        <v>51075</v>
      </c>
      <c r="D225" s="1653"/>
      <c r="E225" s="1659">
        <v>1199528</v>
      </c>
      <c r="F225" s="1660">
        <v>947729</v>
      </c>
      <c r="G225" s="1660">
        <v>65185</v>
      </c>
      <c r="H225" s="1660">
        <v>4775</v>
      </c>
      <c r="I225" s="1660">
        <v>688</v>
      </c>
      <c r="J225" s="1660">
        <v>2217905</v>
      </c>
      <c r="K225" s="1660">
        <v>174657</v>
      </c>
      <c r="L225" s="1660">
        <v>2392562</v>
      </c>
      <c r="M225" s="1660">
        <v>1832</v>
      </c>
      <c r="N225" s="1660">
        <v>144</v>
      </c>
      <c r="O225" s="1661">
        <v>2394538</v>
      </c>
      <c r="P225" s="1653"/>
      <c r="Q225" s="1653"/>
      <c r="R225" s="1653"/>
      <c r="S225" s="1653"/>
      <c r="T225" s="1653"/>
      <c r="U225" s="1653"/>
      <c r="V225" s="1653"/>
      <c r="W225" s="1653"/>
      <c r="X225" s="1653"/>
      <c r="Y225" s="1653"/>
      <c r="Z225" s="1653"/>
      <c r="AA225" s="1653"/>
    </row>
    <row r="226" spans="1:27">
      <c r="A226" s="1653">
        <v>2039</v>
      </c>
      <c r="B226" s="1653">
        <v>12</v>
      </c>
      <c r="C226" s="1722">
        <v>51105</v>
      </c>
      <c r="D226" s="1653"/>
      <c r="E226" s="1659">
        <v>1490048</v>
      </c>
      <c r="F226" s="1660">
        <v>1102936</v>
      </c>
      <c r="G226" s="1660">
        <v>67323</v>
      </c>
      <c r="H226" s="1660">
        <v>5468</v>
      </c>
      <c r="I226" s="1660">
        <v>893</v>
      </c>
      <c r="J226" s="1660">
        <v>2666668</v>
      </c>
      <c r="K226" s="1660">
        <v>209997</v>
      </c>
      <c r="L226" s="1660">
        <v>2876665</v>
      </c>
      <c r="M226" s="1660">
        <v>1718</v>
      </c>
      <c r="N226" s="1660">
        <v>135</v>
      </c>
      <c r="O226" s="1661">
        <v>2878518</v>
      </c>
      <c r="P226" s="1653"/>
      <c r="Q226" s="1653"/>
      <c r="R226" s="1653"/>
      <c r="S226" s="1653"/>
      <c r="T226" s="1653"/>
      <c r="U226" s="1653"/>
      <c r="V226" s="1653"/>
      <c r="W226" s="1653"/>
      <c r="X226" s="1653"/>
      <c r="Y226" s="1653"/>
      <c r="Z226" s="1653"/>
      <c r="AA226" s="1653"/>
    </row>
    <row r="227" spans="1:27">
      <c r="A227" s="1653">
        <v>2040</v>
      </c>
      <c r="B227" s="1653">
        <v>1</v>
      </c>
      <c r="C227" s="1722">
        <v>51136</v>
      </c>
      <c r="D227" s="1653"/>
      <c r="E227" s="1659">
        <v>1487497</v>
      </c>
      <c r="F227" s="1660">
        <v>1081505</v>
      </c>
      <c r="G227" s="1660">
        <v>69937</v>
      </c>
      <c r="H227" s="1660">
        <v>5752</v>
      </c>
      <c r="I227" s="1660">
        <v>1007</v>
      </c>
      <c r="J227" s="1660">
        <v>2645698</v>
      </c>
      <c r="K227" s="1660">
        <v>208345</v>
      </c>
      <c r="L227" s="1660">
        <v>2854043</v>
      </c>
      <c r="M227" s="1660">
        <v>2325</v>
      </c>
      <c r="N227" s="1660">
        <v>183</v>
      </c>
      <c r="O227" s="1661">
        <v>2856551</v>
      </c>
      <c r="P227" s="1653"/>
      <c r="Q227" s="1653"/>
      <c r="R227" s="1653"/>
      <c r="S227" s="1653"/>
      <c r="T227" s="1653"/>
      <c r="U227" s="1653"/>
      <c r="V227" s="1653"/>
      <c r="W227" s="1653"/>
      <c r="X227" s="1653"/>
      <c r="Y227" s="1653"/>
      <c r="Z227" s="1653"/>
      <c r="AA227" s="1653"/>
    </row>
    <row r="228" spans="1:27">
      <c r="A228" s="1653">
        <v>2040</v>
      </c>
      <c r="B228" s="1653">
        <v>2</v>
      </c>
      <c r="C228" s="1722">
        <v>51167</v>
      </c>
      <c r="D228" s="1653"/>
      <c r="E228" s="1659">
        <v>1282371</v>
      </c>
      <c r="F228" s="1660">
        <v>976350</v>
      </c>
      <c r="G228" s="1660">
        <v>66411</v>
      </c>
      <c r="H228" s="1660">
        <v>4986</v>
      </c>
      <c r="I228" s="1660">
        <v>908</v>
      </c>
      <c r="J228" s="1660">
        <v>2331026</v>
      </c>
      <c r="K228" s="1660">
        <v>183565</v>
      </c>
      <c r="L228" s="1660">
        <v>2514591</v>
      </c>
      <c r="M228" s="1660">
        <v>2433</v>
      </c>
      <c r="N228" s="1660">
        <v>192</v>
      </c>
      <c r="O228" s="1661">
        <v>2517216</v>
      </c>
      <c r="P228" s="1653"/>
      <c r="Q228" s="1653"/>
      <c r="R228" s="1653"/>
      <c r="S228" s="1653"/>
      <c r="T228" s="1653"/>
      <c r="U228" s="1653"/>
      <c r="V228" s="1653"/>
      <c r="W228" s="1653"/>
      <c r="X228" s="1653"/>
      <c r="Y228" s="1653"/>
      <c r="Z228" s="1653"/>
      <c r="AA228" s="1653"/>
    </row>
    <row r="229" spans="1:27">
      <c r="A229" s="1653">
        <v>2040</v>
      </c>
      <c r="B229" s="1653">
        <v>3</v>
      </c>
      <c r="C229" s="1722">
        <v>51196</v>
      </c>
      <c r="D229" s="1653"/>
      <c r="E229" s="1659">
        <v>1264012</v>
      </c>
      <c r="F229" s="1660">
        <v>1025641</v>
      </c>
      <c r="G229" s="1660">
        <v>70426</v>
      </c>
      <c r="H229" s="1660">
        <v>5963</v>
      </c>
      <c r="I229" s="1660">
        <v>869</v>
      </c>
      <c r="J229" s="1660">
        <v>2366911</v>
      </c>
      <c r="K229" s="1660">
        <v>186391</v>
      </c>
      <c r="L229" s="1660">
        <v>2553302</v>
      </c>
      <c r="M229" s="1660">
        <v>2339</v>
      </c>
      <c r="N229" s="1660">
        <v>184</v>
      </c>
      <c r="O229" s="1661">
        <v>2555825</v>
      </c>
      <c r="P229" s="1653"/>
      <c r="Q229" s="1653"/>
      <c r="R229" s="1653"/>
      <c r="S229" s="1653"/>
      <c r="T229" s="1653"/>
      <c r="U229" s="1653"/>
      <c r="V229" s="1653"/>
      <c r="W229" s="1653"/>
      <c r="X229" s="1653"/>
      <c r="Y229" s="1653"/>
      <c r="Z229" s="1653"/>
      <c r="AA229" s="1653"/>
    </row>
    <row r="230" spans="1:27">
      <c r="A230" s="1653">
        <v>2040</v>
      </c>
      <c r="B230" s="1653">
        <v>4</v>
      </c>
      <c r="C230" s="1722">
        <v>51227</v>
      </c>
      <c r="D230" s="1653"/>
      <c r="E230" s="1659">
        <v>1023045</v>
      </c>
      <c r="F230" s="1660">
        <v>904149</v>
      </c>
      <c r="G230" s="1660">
        <v>65944</v>
      </c>
      <c r="H230" s="1660">
        <v>5383</v>
      </c>
      <c r="I230" s="1660">
        <v>711</v>
      </c>
      <c r="J230" s="1660">
        <v>1999232</v>
      </c>
      <c r="K230" s="1660">
        <v>157437</v>
      </c>
      <c r="L230" s="1660">
        <v>2156669</v>
      </c>
      <c r="M230" s="1660">
        <v>2172</v>
      </c>
      <c r="N230" s="1660">
        <v>171</v>
      </c>
      <c r="O230" s="1661">
        <v>2159012</v>
      </c>
      <c r="P230" s="1653"/>
      <c r="Q230" s="1653"/>
      <c r="R230" s="1653"/>
      <c r="S230" s="1653"/>
      <c r="T230" s="1653"/>
      <c r="U230" s="1653"/>
      <c r="V230" s="1653"/>
      <c r="W230" s="1653"/>
      <c r="X230" s="1653"/>
      <c r="Y230" s="1653"/>
      <c r="Z230" s="1653"/>
      <c r="AA230" s="1653"/>
    </row>
    <row r="231" spans="1:27">
      <c r="A231" s="1653">
        <v>2040</v>
      </c>
      <c r="B231" s="1653">
        <v>5</v>
      </c>
      <c r="C231" s="1722">
        <v>51257</v>
      </c>
      <c r="D231" s="1653"/>
      <c r="E231" s="1659">
        <v>926861</v>
      </c>
      <c r="F231" s="1660">
        <v>890329</v>
      </c>
      <c r="G231" s="1660">
        <v>62948</v>
      </c>
      <c r="H231" s="1660">
        <v>5357</v>
      </c>
      <c r="I231" s="1660">
        <v>560</v>
      </c>
      <c r="J231" s="1660">
        <v>1886055</v>
      </c>
      <c r="K231" s="1660">
        <v>148524</v>
      </c>
      <c r="L231" s="1660">
        <v>2034579</v>
      </c>
      <c r="M231" s="1660">
        <v>2174</v>
      </c>
      <c r="N231" s="1660">
        <v>171</v>
      </c>
      <c r="O231" s="1661">
        <v>2036924</v>
      </c>
      <c r="P231" s="1653"/>
      <c r="Q231" s="1653"/>
      <c r="R231" s="1653"/>
      <c r="S231" s="1653"/>
      <c r="T231" s="1653"/>
      <c r="U231" s="1653"/>
      <c r="V231" s="1653"/>
      <c r="W231" s="1653"/>
      <c r="X231" s="1653"/>
      <c r="Y231" s="1653"/>
      <c r="Z231" s="1653"/>
      <c r="AA231" s="1653"/>
    </row>
    <row r="232" spans="1:27">
      <c r="A232" s="1653">
        <v>2040</v>
      </c>
      <c r="B232" s="1653">
        <v>6</v>
      </c>
      <c r="C232" s="1722">
        <v>51288</v>
      </c>
      <c r="D232" s="1653"/>
      <c r="E232" s="1659">
        <v>891502</v>
      </c>
      <c r="F232" s="1660">
        <v>874349</v>
      </c>
      <c r="G232" s="1660">
        <v>69596</v>
      </c>
      <c r="H232" s="1660">
        <v>4719</v>
      </c>
      <c r="I232" s="1660">
        <v>430</v>
      </c>
      <c r="J232" s="1660">
        <v>1840596</v>
      </c>
      <c r="K232" s="1660">
        <v>144944</v>
      </c>
      <c r="L232" s="1660">
        <v>1985540</v>
      </c>
      <c r="M232" s="1660">
        <v>1787</v>
      </c>
      <c r="N232" s="1660">
        <v>141</v>
      </c>
      <c r="O232" s="1661">
        <v>1987468</v>
      </c>
      <c r="P232" s="1653"/>
      <c r="Q232" s="1653"/>
      <c r="R232" s="1653"/>
      <c r="S232" s="1653"/>
      <c r="T232" s="1653"/>
      <c r="U232" s="1653"/>
      <c r="V232" s="1653"/>
      <c r="W232" s="1653"/>
      <c r="X232" s="1653"/>
      <c r="Y232" s="1653"/>
      <c r="Z232" s="1653"/>
      <c r="AA232" s="1653"/>
    </row>
    <row r="233" spans="1:27">
      <c r="A233" s="1653">
        <v>2040</v>
      </c>
      <c r="B233" s="1653">
        <v>7</v>
      </c>
      <c r="C233" s="1722">
        <v>51318</v>
      </c>
      <c r="D233" s="1653"/>
      <c r="E233" s="1659">
        <v>1050058</v>
      </c>
      <c r="F233" s="1660">
        <v>971790</v>
      </c>
      <c r="G233" s="1660">
        <v>72049</v>
      </c>
      <c r="H233" s="1660">
        <v>5449</v>
      </c>
      <c r="I233" s="1660">
        <v>291</v>
      </c>
      <c r="J233" s="1660">
        <v>2099637</v>
      </c>
      <c r="K233" s="1660">
        <v>165344</v>
      </c>
      <c r="L233" s="1660">
        <v>2264981</v>
      </c>
      <c r="M233" s="1660">
        <v>2889</v>
      </c>
      <c r="N233" s="1660">
        <v>228</v>
      </c>
      <c r="O233" s="1661">
        <v>2268098</v>
      </c>
      <c r="P233" s="1653"/>
      <c r="Q233" s="1653"/>
      <c r="R233" s="1653"/>
      <c r="S233" s="1653"/>
      <c r="T233" s="1653"/>
      <c r="U233" s="1653"/>
      <c r="V233" s="1653"/>
      <c r="W233" s="1653"/>
      <c r="X233" s="1653"/>
      <c r="Y233" s="1653"/>
      <c r="Z233" s="1653"/>
      <c r="AA233" s="1653"/>
    </row>
    <row r="234" spans="1:27">
      <c r="A234" s="1653">
        <v>2040</v>
      </c>
      <c r="B234" s="1653">
        <v>8</v>
      </c>
      <c r="C234" s="1722">
        <v>51349</v>
      </c>
      <c r="D234" s="1653"/>
      <c r="E234" s="1659">
        <v>1068835</v>
      </c>
      <c r="F234" s="1660">
        <v>966771</v>
      </c>
      <c r="G234" s="1660">
        <v>72195</v>
      </c>
      <c r="H234" s="1660">
        <v>5005</v>
      </c>
      <c r="I234" s="1660">
        <v>290</v>
      </c>
      <c r="J234" s="1660">
        <v>2113096</v>
      </c>
      <c r="K234" s="1660">
        <v>166403</v>
      </c>
      <c r="L234" s="1660">
        <v>2279499</v>
      </c>
      <c r="M234" s="1660">
        <v>1634</v>
      </c>
      <c r="N234" s="1660">
        <v>129</v>
      </c>
      <c r="O234" s="1661">
        <v>2281262</v>
      </c>
      <c r="P234" s="1653"/>
      <c r="Q234" s="1653"/>
      <c r="R234" s="1653"/>
      <c r="S234" s="1653"/>
      <c r="T234" s="1653"/>
      <c r="U234" s="1653"/>
      <c r="V234" s="1653"/>
      <c r="W234" s="1653"/>
      <c r="X234" s="1653"/>
      <c r="Y234" s="1653"/>
      <c r="Z234" s="1653"/>
      <c r="AA234" s="1653"/>
    </row>
    <row r="235" spans="1:27">
      <c r="A235" s="1653">
        <v>2040</v>
      </c>
      <c r="B235" s="1653">
        <v>9</v>
      </c>
      <c r="C235" s="1722">
        <v>51380</v>
      </c>
      <c r="D235" s="1653"/>
      <c r="E235" s="1659">
        <v>929731</v>
      </c>
      <c r="F235" s="1660">
        <v>892208</v>
      </c>
      <c r="G235" s="1660">
        <v>68285</v>
      </c>
      <c r="H235" s="1660">
        <v>5090</v>
      </c>
      <c r="I235" s="1660">
        <v>319</v>
      </c>
      <c r="J235" s="1660">
        <v>1895633</v>
      </c>
      <c r="K235" s="1660">
        <v>149279</v>
      </c>
      <c r="L235" s="1660">
        <v>2044912</v>
      </c>
      <c r="M235" s="1660">
        <v>1428</v>
      </c>
      <c r="N235" s="1660">
        <v>112</v>
      </c>
      <c r="O235" s="1661">
        <v>2046452</v>
      </c>
      <c r="P235" s="1653"/>
      <c r="Q235" s="1653"/>
      <c r="R235" s="1653"/>
      <c r="S235" s="1653"/>
      <c r="T235" s="1653"/>
      <c r="U235" s="1653"/>
      <c r="V235" s="1653"/>
      <c r="W235" s="1653"/>
      <c r="X235" s="1653"/>
      <c r="Y235" s="1653"/>
      <c r="Z235" s="1653"/>
      <c r="AA235" s="1653"/>
    </row>
    <row r="236" spans="1:27">
      <c r="A236" s="1653">
        <v>2040</v>
      </c>
      <c r="B236" s="1653">
        <v>10</v>
      </c>
      <c r="C236" s="1722">
        <v>51410</v>
      </c>
      <c r="D236" s="1653"/>
      <c r="E236" s="1659">
        <v>1026101</v>
      </c>
      <c r="F236" s="1660">
        <v>925977</v>
      </c>
      <c r="G236" s="1660">
        <v>67291</v>
      </c>
      <c r="H236" s="1660">
        <v>5703</v>
      </c>
      <c r="I236" s="1660">
        <v>502</v>
      </c>
      <c r="J236" s="1660">
        <v>2025574</v>
      </c>
      <c r="K236" s="1660">
        <v>159511</v>
      </c>
      <c r="L236" s="1660">
        <v>2185085</v>
      </c>
      <c r="M236" s="1660">
        <v>1830</v>
      </c>
      <c r="N236" s="1660">
        <v>144</v>
      </c>
      <c r="O236" s="1661">
        <v>2187059</v>
      </c>
      <c r="P236" s="1653"/>
      <c r="Q236" s="1653"/>
      <c r="R236" s="1653"/>
      <c r="S236" s="1653"/>
      <c r="T236" s="1653"/>
      <c r="U236" s="1653"/>
      <c r="V236" s="1653"/>
      <c r="W236" s="1653"/>
      <c r="X236" s="1653"/>
      <c r="Y236" s="1653"/>
      <c r="Z236" s="1653"/>
      <c r="AA236" s="1653"/>
    </row>
    <row r="237" spans="1:27">
      <c r="A237" s="1653">
        <v>2040</v>
      </c>
      <c r="B237" s="1653">
        <v>11</v>
      </c>
      <c r="C237" s="1722">
        <v>51441</v>
      </c>
      <c r="D237" s="1653"/>
      <c r="E237" s="1659">
        <v>1204515</v>
      </c>
      <c r="F237" s="1660">
        <v>980382</v>
      </c>
      <c r="G237" s="1660">
        <v>64806</v>
      </c>
      <c r="H237" s="1660">
        <v>4860</v>
      </c>
      <c r="I237" s="1660">
        <v>686</v>
      </c>
      <c r="J237" s="1660">
        <v>2255249</v>
      </c>
      <c r="K237" s="1660">
        <v>177598</v>
      </c>
      <c r="L237" s="1660">
        <v>2432847</v>
      </c>
      <c r="M237" s="1660">
        <v>1832</v>
      </c>
      <c r="N237" s="1660">
        <v>144</v>
      </c>
      <c r="O237" s="1661">
        <v>2434823</v>
      </c>
      <c r="P237" s="1653"/>
      <c r="Q237" s="1653"/>
      <c r="R237" s="1653"/>
      <c r="S237" s="1653"/>
      <c r="T237" s="1653"/>
      <c r="U237" s="1653"/>
      <c r="V237" s="1653"/>
      <c r="W237" s="1653"/>
      <c r="X237" s="1653"/>
      <c r="Y237" s="1653"/>
      <c r="Z237" s="1653"/>
      <c r="AA237" s="1653"/>
    </row>
    <row r="238" spans="1:27">
      <c r="A238" s="1653">
        <v>2040</v>
      </c>
      <c r="B238" s="1653">
        <v>12</v>
      </c>
      <c r="C238" s="1722">
        <v>51471</v>
      </c>
      <c r="D238" s="1653"/>
      <c r="E238" s="1659">
        <v>1494131</v>
      </c>
      <c r="F238" s="1660">
        <v>1137336</v>
      </c>
      <c r="G238" s="1660">
        <v>66910</v>
      </c>
      <c r="H238" s="1660">
        <v>5563</v>
      </c>
      <c r="I238" s="1660">
        <v>890</v>
      </c>
      <c r="J238" s="1660">
        <v>2704830</v>
      </c>
      <c r="K238" s="1660">
        <v>213002</v>
      </c>
      <c r="L238" s="1660">
        <v>2917832</v>
      </c>
      <c r="M238" s="1660">
        <v>1718</v>
      </c>
      <c r="N238" s="1660">
        <v>135</v>
      </c>
      <c r="O238" s="1661">
        <v>2919685</v>
      </c>
      <c r="P238" s="1653"/>
      <c r="Q238" s="1653"/>
      <c r="R238" s="1653"/>
      <c r="S238" s="1653"/>
      <c r="T238" s="1653"/>
      <c r="U238" s="1653"/>
      <c r="V238" s="1653"/>
      <c r="W238" s="1653"/>
      <c r="X238" s="1653"/>
      <c r="Y238" s="1653"/>
      <c r="Z238" s="1653"/>
      <c r="AA238" s="1653"/>
    </row>
    <row r="239" spans="1:27">
      <c r="A239" s="1653">
        <v>2041</v>
      </c>
      <c r="B239" s="1653">
        <v>1</v>
      </c>
      <c r="C239" s="1722">
        <v>51502</v>
      </c>
      <c r="D239" s="1653"/>
      <c r="E239" s="1659">
        <v>1496460</v>
      </c>
      <c r="F239" s="1660">
        <v>1113930</v>
      </c>
      <c r="G239" s="1660">
        <v>69242</v>
      </c>
      <c r="H239" s="1660">
        <v>5846</v>
      </c>
      <c r="I239" s="1660">
        <v>1006</v>
      </c>
      <c r="J239" s="1660">
        <v>2686484</v>
      </c>
      <c r="K239" s="1660">
        <v>211557</v>
      </c>
      <c r="L239" s="1660">
        <v>2898041</v>
      </c>
      <c r="M239" s="1660">
        <v>2325</v>
      </c>
      <c r="N239" s="1660">
        <v>183</v>
      </c>
      <c r="O239" s="1661">
        <v>2900549</v>
      </c>
      <c r="P239" s="1653"/>
      <c r="Q239" s="1653"/>
      <c r="R239" s="1653"/>
      <c r="S239" s="1653"/>
      <c r="T239" s="1653"/>
      <c r="U239" s="1653"/>
      <c r="V239" s="1653"/>
      <c r="W239" s="1653"/>
      <c r="X239" s="1653"/>
      <c r="Y239" s="1653"/>
      <c r="Z239" s="1653"/>
      <c r="AA239" s="1653"/>
    </row>
    <row r="240" spans="1:27">
      <c r="A240" s="1653">
        <v>2041</v>
      </c>
      <c r="B240" s="1653">
        <v>2</v>
      </c>
      <c r="C240" s="1722">
        <v>51533</v>
      </c>
      <c r="D240" s="1653"/>
      <c r="E240" s="1659">
        <v>1243183</v>
      </c>
      <c r="F240" s="1660">
        <v>970576</v>
      </c>
      <c r="G240" s="1660">
        <v>63578</v>
      </c>
      <c r="H240" s="1660">
        <v>5066</v>
      </c>
      <c r="I240" s="1660">
        <v>875</v>
      </c>
      <c r="J240" s="1660">
        <v>2283278</v>
      </c>
      <c r="K240" s="1660">
        <v>179805</v>
      </c>
      <c r="L240" s="1660">
        <v>2463083</v>
      </c>
      <c r="M240" s="1660">
        <v>2433</v>
      </c>
      <c r="N240" s="1660">
        <v>192</v>
      </c>
      <c r="O240" s="1661">
        <v>2465708</v>
      </c>
      <c r="P240" s="1653"/>
      <c r="Q240" s="1653"/>
      <c r="R240" s="1653"/>
      <c r="S240" s="1653"/>
      <c r="T240" s="1653"/>
      <c r="U240" s="1653"/>
      <c r="V240" s="1653"/>
      <c r="W240" s="1653"/>
      <c r="X240" s="1653"/>
      <c r="Y240" s="1653"/>
      <c r="Z240" s="1653"/>
      <c r="AA240" s="1653"/>
    </row>
    <row r="241" spans="1:27">
      <c r="A241" s="1653">
        <v>2041</v>
      </c>
      <c r="B241" s="1653">
        <v>3</v>
      </c>
      <c r="C241" s="1722">
        <v>51561</v>
      </c>
      <c r="D241" s="1653"/>
      <c r="E241" s="1659">
        <v>1270118</v>
      </c>
      <c r="F241" s="1660">
        <v>1059852</v>
      </c>
      <c r="G241" s="1660">
        <v>69741</v>
      </c>
      <c r="H241" s="1660">
        <v>6057</v>
      </c>
      <c r="I241" s="1660">
        <v>869</v>
      </c>
      <c r="J241" s="1660">
        <v>2406637</v>
      </c>
      <c r="K241" s="1660">
        <v>189519</v>
      </c>
      <c r="L241" s="1660">
        <v>2596156</v>
      </c>
      <c r="M241" s="1660">
        <v>2339</v>
      </c>
      <c r="N241" s="1660">
        <v>184</v>
      </c>
      <c r="O241" s="1661">
        <v>2598679</v>
      </c>
      <c r="P241" s="1653"/>
      <c r="Q241" s="1653"/>
      <c r="R241" s="1653"/>
      <c r="S241" s="1653"/>
      <c r="T241" s="1653"/>
      <c r="U241" s="1653"/>
      <c r="V241" s="1653"/>
      <c r="W241" s="1653"/>
      <c r="X241" s="1653"/>
      <c r="Y241" s="1653"/>
      <c r="Z241" s="1653"/>
      <c r="AA241" s="1653"/>
    </row>
    <row r="242" spans="1:27">
      <c r="A242" s="1653">
        <v>2041</v>
      </c>
      <c r="B242" s="1653">
        <v>4</v>
      </c>
      <c r="C242" s="1722">
        <v>51592</v>
      </c>
      <c r="D242" s="1653"/>
      <c r="E242" s="1659">
        <v>1026866</v>
      </c>
      <c r="F242" s="1660">
        <v>931803</v>
      </c>
      <c r="G242" s="1660">
        <v>65274</v>
      </c>
      <c r="H242" s="1660">
        <v>5465</v>
      </c>
      <c r="I242" s="1660">
        <v>711</v>
      </c>
      <c r="J242" s="1660">
        <v>2030119</v>
      </c>
      <c r="K242" s="1660">
        <v>159869</v>
      </c>
      <c r="L242" s="1660">
        <v>2189988</v>
      </c>
      <c r="M242" s="1660">
        <v>2172</v>
      </c>
      <c r="N242" s="1660">
        <v>171</v>
      </c>
      <c r="O242" s="1661">
        <v>2192331</v>
      </c>
      <c r="P242" s="1653"/>
      <c r="Q242" s="1653"/>
      <c r="R242" s="1653"/>
      <c r="S242" s="1653"/>
      <c r="T242" s="1653"/>
      <c r="U242" s="1653"/>
      <c r="V242" s="1653"/>
      <c r="W242" s="1653"/>
      <c r="X242" s="1653"/>
      <c r="Y242" s="1653"/>
      <c r="Z242" s="1653"/>
      <c r="AA242" s="1653"/>
    </row>
    <row r="243" spans="1:27">
      <c r="A243" s="1653">
        <v>2041</v>
      </c>
      <c r="B243" s="1653">
        <v>5</v>
      </c>
      <c r="C243" s="1722">
        <v>51622</v>
      </c>
      <c r="D243" s="1653"/>
      <c r="E243" s="1659">
        <v>930058</v>
      </c>
      <c r="F243" s="1660">
        <v>917170</v>
      </c>
      <c r="G243" s="1660">
        <v>62337</v>
      </c>
      <c r="H243" s="1660">
        <v>5437</v>
      </c>
      <c r="I243" s="1660">
        <v>560</v>
      </c>
      <c r="J243" s="1660">
        <v>1915562</v>
      </c>
      <c r="K243" s="1660">
        <v>150848</v>
      </c>
      <c r="L243" s="1660">
        <v>2066410</v>
      </c>
      <c r="M243" s="1660">
        <v>2174</v>
      </c>
      <c r="N243" s="1660">
        <v>171</v>
      </c>
      <c r="O243" s="1661">
        <v>2068755</v>
      </c>
      <c r="P243" s="1653"/>
      <c r="Q243" s="1653"/>
      <c r="R243" s="1653"/>
      <c r="S243" s="1653"/>
      <c r="T243" s="1653"/>
      <c r="U243" s="1653"/>
      <c r="V243" s="1653"/>
      <c r="W243" s="1653"/>
      <c r="X243" s="1653"/>
      <c r="Y243" s="1653"/>
      <c r="Z243" s="1653"/>
      <c r="AA243" s="1653"/>
    </row>
    <row r="244" spans="1:27">
      <c r="A244" s="1653">
        <v>2041</v>
      </c>
      <c r="B244" s="1653">
        <v>6</v>
      </c>
      <c r="C244" s="1722">
        <v>51653</v>
      </c>
      <c r="D244" s="1653"/>
      <c r="E244" s="1659">
        <v>896639</v>
      </c>
      <c r="F244" s="1660">
        <v>901687</v>
      </c>
      <c r="G244" s="1660">
        <v>69217</v>
      </c>
      <c r="H244" s="1660">
        <v>4791</v>
      </c>
      <c r="I244" s="1660">
        <v>430</v>
      </c>
      <c r="J244" s="1660">
        <v>1872764</v>
      </c>
      <c r="K244" s="1660">
        <v>147478</v>
      </c>
      <c r="L244" s="1660">
        <v>2020242</v>
      </c>
      <c r="M244" s="1660">
        <v>1787</v>
      </c>
      <c r="N244" s="1660">
        <v>141</v>
      </c>
      <c r="O244" s="1661">
        <v>2022170</v>
      </c>
      <c r="P244" s="1653"/>
      <c r="Q244" s="1653"/>
      <c r="R244" s="1653"/>
      <c r="S244" s="1653"/>
      <c r="T244" s="1653"/>
      <c r="U244" s="1653"/>
      <c r="V244" s="1653"/>
      <c r="W244" s="1653"/>
      <c r="X244" s="1653"/>
      <c r="Y244" s="1653"/>
      <c r="Z244" s="1653"/>
      <c r="AA244" s="1653"/>
    </row>
    <row r="245" spans="1:27">
      <c r="A245" s="1653">
        <v>2041</v>
      </c>
      <c r="B245" s="1653">
        <v>7</v>
      </c>
      <c r="C245" s="1722">
        <v>51683</v>
      </c>
      <c r="D245" s="1653"/>
      <c r="E245" s="1659">
        <v>1060191</v>
      </c>
      <c r="F245" s="1660">
        <v>997056</v>
      </c>
      <c r="G245" s="1660">
        <v>71641</v>
      </c>
      <c r="H245" s="1660">
        <v>5535</v>
      </c>
      <c r="I245" s="1660">
        <v>291</v>
      </c>
      <c r="J245" s="1660">
        <v>2134714</v>
      </c>
      <c r="K245" s="1660">
        <v>168106</v>
      </c>
      <c r="L245" s="1660">
        <v>2302820</v>
      </c>
      <c r="M245" s="1660">
        <v>2889</v>
      </c>
      <c r="N245" s="1660">
        <v>228</v>
      </c>
      <c r="O245" s="1661">
        <v>2305937</v>
      </c>
      <c r="P245" s="1653"/>
      <c r="Q245" s="1653"/>
      <c r="R245" s="1653"/>
      <c r="S245" s="1653"/>
      <c r="T245" s="1653"/>
      <c r="U245" s="1653"/>
      <c r="V245" s="1653"/>
      <c r="W245" s="1653"/>
      <c r="X245" s="1653"/>
      <c r="Y245" s="1653"/>
      <c r="Z245" s="1653"/>
      <c r="AA245" s="1653"/>
    </row>
    <row r="246" spans="1:27">
      <c r="A246" s="1653">
        <v>2041</v>
      </c>
      <c r="B246" s="1653">
        <v>8</v>
      </c>
      <c r="C246" s="1722">
        <v>51714</v>
      </c>
      <c r="D246" s="1653"/>
      <c r="E246" s="1659">
        <v>1083404</v>
      </c>
      <c r="F246" s="1660">
        <v>997464</v>
      </c>
      <c r="G246" s="1660">
        <v>71804</v>
      </c>
      <c r="H246" s="1660">
        <v>5086</v>
      </c>
      <c r="I246" s="1660">
        <v>290</v>
      </c>
      <c r="J246" s="1660">
        <v>2158048</v>
      </c>
      <c r="K246" s="1660">
        <v>169943</v>
      </c>
      <c r="L246" s="1660">
        <v>2327991</v>
      </c>
      <c r="M246" s="1660">
        <v>1634</v>
      </c>
      <c r="N246" s="1660">
        <v>129</v>
      </c>
      <c r="O246" s="1661">
        <v>2329754</v>
      </c>
      <c r="P246" s="1653"/>
      <c r="Q246" s="1653"/>
      <c r="R246" s="1653"/>
      <c r="S246" s="1653"/>
      <c r="T246" s="1653"/>
      <c r="U246" s="1653"/>
      <c r="V246" s="1653"/>
      <c r="W246" s="1653"/>
      <c r="X246" s="1653"/>
      <c r="Y246" s="1653"/>
      <c r="Z246" s="1653"/>
      <c r="AA246" s="1653"/>
    </row>
    <row r="247" spans="1:27">
      <c r="A247" s="1653">
        <v>2041</v>
      </c>
      <c r="B247" s="1653">
        <v>9</v>
      </c>
      <c r="C247" s="1722">
        <v>51745</v>
      </c>
      <c r="D247" s="1653"/>
      <c r="E247" s="1659">
        <v>935821</v>
      </c>
      <c r="F247" s="1660">
        <v>917949</v>
      </c>
      <c r="G247" s="1660">
        <v>67618</v>
      </c>
      <c r="H247" s="1660">
        <v>5173</v>
      </c>
      <c r="I247" s="1660">
        <v>319</v>
      </c>
      <c r="J247" s="1660">
        <v>1926880</v>
      </c>
      <c r="K247" s="1660">
        <v>151739</v>
      </c>
      <c r="L247" s="1660">
        <v>2078619</v>
      </c>
      <c r="M247" s="1660">
        <v>1428</v>
      </c>
      <c r="N247" s="1660">
        <v>112</v>
      </c>
      <c r="O247" s="1661">
        <v>2080159</v>
      </c>
      <c r="P247" s="1653"/>
      <c r="Q247" s="1653"/>
      <c r="R247" s="1653"/>
      <c r="S247" s="1653"/>
      <c r="T247" s="1653"/>
      <c r="U247" s="1653"/>
      <c r="V247" s="1653"/>
      <c r="W247" s="1653"/>
      <c r="X247" s="1653"/>
      <c r="Y247" s="1653"/>
      <c r="Z247" s="1653"/>
      <c r="AA247" s="1653"/>
    </row>
    <row r="248" spans="1:27">
      <c r="A248" s="1653">
        <v>2041</v>
      </c>
      <c r="B248" s="1653">
        <v>10</v>
      </c>
      <c r="C248" s="1722">
        <v>51775</v>
      </c>
      <c r="D248" s="1653"/>
      <c r="E248" s="1659">
        <v>1029765</v>
      </c>
      <c r="F248" s="1660">
        <v>955603</v>
      </c>
      <c r="G248" s="1660">
        <v>66630</v>
      </c>
      <c r="H248" s="1660">
        <v>5800</v>
      </c>
      <c r="I248" s="1660">
        <v>501</v>
      </c>
      <c r="J248" s="1660">
        <v>2058299</v>
      </c>
      <c r="K248" s="1660">
        <v>162088</v>
      </c>
      <c r="L248" s="1660">
        <v>2220387</v>
      </c>
      <c r="M248" s="1660">
        <v>1830</v>
      </c>
      <c r="N248" s="1660">
        <v>144</v>
      </c>
      <c r="O248" s="1661">
        <v>2222361</v>
      </c>
      <c r="P248" s="1653"/>
      <c r="Q248" s="1653"/>
      <c r="R248" s="1653"/>
      <c r="S248" s="1653"/>
      <c r="T248" s="1653"/>
      <c r="U248" s="1653"/>
      <c r="V248" s="1653"/>
      <c r="W248" s="1653"/>
      <c r="X248" s="1653"/>
      <c r="Y248" s="1653"/>
      <c r="Z248" s="1653"/>
      <c r="AA248" s="1653"/>
    </row>
    <row r="249" spans="1:27">
      <c r="A249" s="1653">
        <v>2041</v>
      </c>
      <c r="B249" s="1653">
        <v>11</v>
      </c>
      <c r="C249" s="1722">
        <v>51806</v>
      </c>
      <c r="D249" s="1653"/>
      <c r="E249" s="1659">
        <v>1209506</v>
      </c>
      <c r="F249" s="1660">
        <v>1010293</v>
      </c>
      <c r="G249" s="1660">
        <v>64170</v>
      </c>
      <c r="H249" s="1660">
        <v>4945</v>
      </c>
      <c r="I249" s="1660">
        <v>685</v>
      </c>
      <c r="J249" s="1660">
        <v>2289599</v>
      </c>
      <c r="K249" s="1660">
        <v>180303</v>
      </c>
      <c r="L249" s="1660">
        <v>2469902</v>
      </c>
      <c r="M249" s="1660">
        <v>1832</v>
      </c>
      <c r="N249" s="1660">
        <v>144</v>
      </c>
      <c r="O249" s="1661">
        <v>2471878</v>
      </c>
      <c r="P249" s="1653"/>
      <c r="Q249" s="1653"/>
      <c r="R249" s="1653"/>
      <c r="S249" s="1653"/>
      <c r="T249" s="1653"/>
      <c r="U249" s="1653"/>
      <c r="V249" s="1653"/>
      <c r="W249" s="1653"/>
      <c r="X249" s="1653"/>
      <c r="Y249" s="1653"/>
      <c r="Z249" s="1653"/>
      <c r="AA249" s="1653"/>
    </row>
    <row r="250" spans="1:27">
      <c r="A250" s="1653">
        <v>2041</v>
      </c>
      <c r="B250" s="1653">
        <v>12</v>
      </c>
      <c r="C250" s="1722">
        <v>51836</v>
      </c>
      <c r="D250" s="1653"/>
      <c r="E250" s="1659">
        <v>1507096</v>
      </c>
      <c r="F250" s="1660">
        <v>1174478</v>
      </c>
      <c r="G250" s="1660">
        <v>66271</v>
      </c>
      <c r="H250" s="1660">
        <v>5658</v>
      </c>
      <c r="I250" s="1660">
        <v>891</v>
      </c>
      <c r="J250" s="1660">
        <v>2754394</v>
      </c>
      <c r="K250" s="1660">
        <v>216905</v>
      </c>
      <c r="L250" s="1660">
        <v>2971299</v>
      </c>
      <c r="M250" s="1660">
        <v>1718</v>
      </c>
      <c r="N250" s="1660">
        <v>135</v>
      </c>
      <c r="O250" s="1661">
        <v>2973152</v>
      </c>
      <c r="P250" s="1653"/>
      <c r="Q250" s="1653"/>
      <c r="R250" s="1653"/>
      <c r="S250" s="1653"/>
      <c r="T250" s="1653"/>
      <c r="U250" s="1653"/>
      <c r="V250" s="1653"/>
      <c r="W250" s="1653"/>
      <c r="X250" s="1653"/>
      <c r="Y250" s="1653"/>
      <c r="Z250" s="1653"/>
      <c r="AA250" s="1653"/>
    </row>
    <row r="251" spans="1:27">
      <c r="A251" s="1653">
        <v>2042</v>
      </c>
      <c r="B251" s="1653">
        <v>1</v>
      </c>
      <c r="C251" s="1722">
        <v>51867</v>
      </c>
      <c r="D251" s="1653"/>
      <c r="E251" s="1659">
        <v>1514572</v>
      </c>
      <c r="F251" s="1660">
        <v>1147102</v>
      </c>
      <c r="G251" s="1660">
        <v>68861</v>
      </c>
      <c r="H251" s="1660">
        <v>5940</v>
      </c>
      <c r="I251" s="1660">
        <v>1008</v>
      </c>
      <c r="J251" s="1660">
        <v>2737483</v>
      </c>
      <c r="K251" s="1660">
        <v>215573</v>
      </c>
      <c r="L251" s="1660">
        <v>2953056</v>
      </c>
      <c r="M251" s="1660">
        <v>2325</v>
      </c>
      <c r="N251" s="1660">
        <v>183</v>
      </c>
      <c r="O251" s="1661">
        <v>2955564</v>
      </c>
      <c r="P251" s="1653"/>
      <c r="Q251" s="1653"/>
      <c r="R251" s="1653"/>
      <c r="S251" s="1653"/>
      <c r="T251" s="1653"/>
      <c r="U251" s="1653"/>
      <c r="V251" s="1653"/>
      <c r="W251" s="1653"/>
      <c r="X251" s="1653"/>
      <c r="Y251" s="1653"/>
      <c r="Z251" s="1653"/>
      <c r="AA251" s="1653"/>
    </row>
    <row r="252" spans="1:27">
      <c r="A252" s="1653">
        <v>2042</v>
      </c>
      <c r="B252" s="1653">
        <v>2</v>
      </c>
      <c r="C252" s="1722">
        <v>51898</v>
      </c>
      <c r="D252" s="1653"/>
      <c r="E252" s="1659">
        <v>1252950</v>
      </c>
      <c r="F252" s="1660">
        <v>998420</v>
      </c>
      <c r="G252" s="1660">
        <v>63220</v>
      </c>
      <c r="H252" s="1660">
        <v>5147</v>
      </c>
      <c r="I252" s="1660">
        <v>875</v>
      </c>
      <c r="J252" s="1660">
        <v>2320612</v>
      </c>
      <c r="K252" s="1660">
        <v>182745</v>
      </c>
      <c r="L252" s="1660">
        <v>2503357</v>
      </c>
      <c r="M252" s="1660">
        <v>2433</v>
      </c>
      <c r="N252" s="1660">
        <v>192</v>
      </c>
      <c r="O252" s="1661">
        <v>2505982</v>
      </c>
      <c r="P252" s="1653"/>
      <c r="Q252" s="1653"/>
      <c r="R252" s="1653"/>
      <c r="S252" s="1653"/>
      <c r="T252" s="1653"/>
      <c r="U252" s="1653"/>
      <c r="V252" s="1653"/>
      <c r="W252" s="1653"/>
      <c r="X252" s="1653"/>
      <c r="Y252" s="1653"/>
      <c r="Z252" s="1653"/>
      <c r="AA252" s="1653"/>
    </row>
    <row r="253" spans="1:27">
      <c r="A253" s="1653">
        <v>2042</v>
      </c>
      <c r="B253" s="1653">
        <v>3</v>
      </c>
      <c r="C253" s="1722">
        <v>51926</v>
      </c>
      <c r="D253" s="1653"/>
      <c r="E253" s="1659">
        <v>1273849</v>
      </c>
      <c r="F253" s="1660">
        <v>1089828</v>
      </c>
      <c r="G253" s="1660">
        <v>69328</v>
      </c>
      <c r="H253" s="1660">
        <v>6150</v>
      </c>
      <c r="I253" s="1660">
        <v>867</v>
      </c>
      <c r="J253" s="1660">
        <v>2440022</v>
      </c>
      <c r="K253" s="1660">
        <v>192148</v>
      </c>
      <c r="L253" s="1660">
        <v>2632170</v>
      </c>
      <c r="M253" s="1660">
        <v>2339</v>
      </c>
      <c r="N253" s="1660">
        <v>184</v>
      </c>
      <c r="O253" s="1661">
        <v>2634693</v>
      </c>
      <c r="P253" s="1653"/>
      <c r="Q253" s="1653"/>
      <c r="R253" s="1653"/>
      <c r="S253" s="1653"/>
      <c r="T253" s="1653"/>
      <c r="U253" s="1653"/>
      <c r="V253" s="1653"/>
      <c r="W253" s="1653"/>
      <c r="X253" s="1653"/>
      <c r="Y253" s="1653"/>
      <c r="Z253" s="1653"/>
      <c r="AA253" s="1653"/>
    </row>
    <row r="254" spans="1:27">
      <c r="A254" s="1653">
        <v>2042</v>
      </c>
      <c r="B254" s="1653">
        <v>4</v>
      </c>
      <c r="C254" s="1722">
        <v>51957</v>
      </c>
      <c r="D254" s="1653"/>
      <c r="E254" s="1659">
        <v>1032599</v>
      </c>
      <c r="F254" s="1660">
        <v>958725</v>
      </c>
      <c r="G254" s="1660">
        <v>64618</v>
      </c>
      <c r="H254" s="1660">
        <v>5547</v>
      </c>
      <c r="I254" s="1660">
        <v>711</v>
      </c>
      <c r="J254" s="1660">
        <v>2062200</v>
      </c>
      <c r="K254" s="1660">
        <v>162395</v>
      </c>
      <c r="L254" s="1660">
        <v>2224595</v>
      </c>
      <c r="M254" s="1660">
        <v>2172</v>
      </c>
      <c r="N254" s="1660">
        <v>171</v>
      </c>
      <c r="O254" s="1661">
        <v>2226938</v>
      </c>
      <c r="P254" s="1653"/>
      <c r="Q254" s="1653"/>
      <c r="R254" s="1653"/>
      <c r="S254" s="1653"/>
      <c r="T254" s="1653"/>
      <c r="U254" s="1653"/>
      <c r="V254" s="1653"/>
      <c r="W254" s="1653"/>
      <c r="X254" s="1653"/>
      <c r="Y254" s="1653"/>
      <c r="Z254" s="1653"/>
      <c r="AA254" s="1653"/>
    </row>
    <row r="255" spans="1:27">
      <c r="A255" s="1653">
        <v>2042</v>
      </c>
      <c r="B255" s="1653">
        <v>5</v>
      </c>
      <c r="C255" s="1722">
        <v>51987</v>
      </c>
      <c r="D255" s="1653"/>
      <c r="E255" s="1659">
        <v>934865</v>
      </c>
      <c r="F255" s="1660">
        <v>943717</v>
      </c>
      <c r="G255" s="1660">
        <v>61732</v>
      </c>
      <c r="H255" s="1660">
        <v>5517</v>
      </c>
      <c r="I255" s="1660">
        <v>560</v>
      </c>
      <c r="J255" s="1660">
        <v>1946391</v>
      </c>
      <c r="K255" s="1660">
        <v>153276</v>
      </c>
      <c r="L255" s="1660">
        <v>2099667</v>
      </c>
      <c r="M255" s="1660">
        <v>2174</v>
      </c>
      <c r="N255" s="1660">
        <v>171</v>
      </c>
      <c r="O255" s="1661">
        <v>2102012</v>
      </c>
      <c r="P255" s="1653"/>
      <c r="Q255" s="1653"/>
      <c r="R255" s="1653"/>
      <c r="S255" s="1653"/>
      <c r="T255" s="1653"/>
      <c r="U255" s="1653"/>
      <c r="V255" s="1653"/>
      <c r="W255" s="1653"/>
      <c r="X255" s="1653"/>
      <c r="Y255" s="1653"/>
      <c r="Z255" s="1653"/>
      <c r="AA255" s="1653"/>
    </row>
    <row r="256" spans="1:27">
      <c r="A256" s="1653">
        <v>2042</v>
      </c>
      <c r="B256" s="1653">
        <v>6</v>
      </c>
      <c r="C256" s="1722">
        <v>52018</v>
      </c>
      <c r="D256" s="1653"/>
      <c r="E256" s="1659">
        <v>902893</v>
      </c>
      <c r="F256" s="1660">
        <v>924442</v>
      </c>
      <c r="G256" s="1660">
        <v>68509</v>
      </c>
      <c r="H256" s="1660">
        <v>4863</v>
      </c>
      <c r="I256" s="1660">
        <v>430</v>
      </c>
      <c r="J256" s="1660">
        <v>1901137</v>
      </c>
      <c r="K256" s="1660">
        <v>149712</v>
      </c>
      <c r="L256" s="1660">
        <v>2050849</v>
      </c>
      <c r="M256" s="1660">
        <v>1787</v>
      </c>
      <c r="N256" s="1660">
        <v>141</v>
      </c>
      <c r="O256" s="1661">
        <v>2052777</v>
      </c>
      <c r="P256" s="1653"/>
      <c r="Q256" s="1653"/>
      <c r="R256" s="1653"/>
      <c r="S256" s="1653"/>
      <c r="T256" s="1653"/>
      <c r="U256" s="1653"/>
      <c r="V256" s="1653"/>
      <c r="W256" s="1653"/>
      <c r="X256" s="1653"/>
      <c r="Y256" s="1653"/>
      <c r="Z256" s="1653"/>
      <c r="AA256" s="1653"/>
    </row>
    <row r="257" spans="1:27">
      <c r="A257" s="1653">
        <v>2042</v>
      </c>
      <c r="B257" s="1653">
        <v>7</v>
      </c>
      <c r="C257" s="1722">
        <v>52048</v>
      </c>
      <c r="D257" s="1653"/>
      <c r="E257" s="1659">
        <v>1072688</v>
      </c>
      <c r="F257" s="1660">
        <v>1022358</v>
      </c>
      <c r="G257" s="1660">
        <v>70937</v>
      </c>
      <c r="H257" s="1660">
        <v>5620</v>
      </c>
      <c r="I257" s="1660">
        <v>291</v>
      </c>
      <c r="J257" s="1660">
        <v>2171894</v>
      </c>
      <c r="K257" s="1660">
        <v>171034</v>
      </c>
      <c r="L257" s="1660">
        <v>2342928</v>
      </c>
      <c r="M257" s="1660">
        <v>2889</v>
      </c>
      <c r="N257" s="1660">
        <v>228</v>
      </c>
      <c r="O257" s="1661">
        <v>2346045</v>
      </c>
      <c r="P257" s="1653"/>
      <c r="Q257" s="1653"/>
      <c r="R257" s="1653"/>
      <c r="S257" s="1653"/>
      <c r="T257" s="1653"/>
      <c r="U257" s="1653"/>
      <c r="V257" s="1653"/>
      <c r="W257" s="1653"/>
      <c r="X257" s="1653"/>
      <c r="Y257" s="1653"/>
      <c r="Z257" s="1653"/>
      <c r="AA257" s="1653"/>
    </row>
    <row r="258" spans="1:27">
      <c r="A258" s="1653">
        <v>2042</v>
      </c>
      <c r="B258" s="1653">
        <v>8</v>
      </c>
      <c r="C258" s="1722">
        <v>52079</v>
      </c>
      <c r="D258" s="1653"/>
      <c r="E258" s="1659">
        <v>1095789</v>
      </c>
      <c r="F258" s="1660">
        <v>1025206</v>
      </c>
      <c r="G258" s="1660">
        <v>71104</v>
      </c>
      <c r="H258" s="1660">
        <v>5165</v>
      </c>
      <c r="I258" s="1660">
        <v>290</v>
      </c>
      <c r="J258" s="1660">
        <v>2197554</v>
      </c>
      <c r="K258" s="1660">
        <v>173054</v>
      </c>
      <c r="L258" s="1660">
        <v>2370608</v>
      </c>
      <c r="M258" s="1660">
        <v>1634</v>
      </c>
      <c r="N258" s="1660">
        <v>129</v>
      </c>
      <c r="O258" s="1661">
        <v>2372371</v>
      </c>
      <c r="P258" s="1653"/>
      <c r="Q258" s="1653"/>
      <c r="R258" s="1653"/>
      <c r="S258" s="1653"/>
      <c r="T258" s="1653"/>
      <c r="U258" s="1653"/>
      <c r="V258" s="1653"/>
      <c r="W258" s="1653"/>
      <c r="X258" s="1653"/>
      <c r="Y258" s="1653"/>
      <c r="Z258" s="1653"/>
      <c r="AA258" s="1653"/>
    </row>
    <row r="259" spans="1:27">
      <c r="A259" s="1653">
        <v>2042</v>
      </c>
      <c r="B259" s="1653">
        <v>9</v>
      </c>
      <c r="C259" s="1722">
        <v>52110</v>
      </c>
      <c r="D259" s="1653"/>
      <c r="E259" s="1659">
        <v>943100</v>
      </c>
      <c r="F259" s="1660">
        <v>940739</v>
      </c>
      <c r="G259" s="1660">
        <v>67234</v>
      </c>
      <c r="H259" s="1660">
        <v>5255</v>
      </c>
      <c r="I259" s="1660">
        <v>318</v>
      </c>
      <c r="J259" s="1660">
        <v>1956646</v>
      </c>
      <c r="K259" s="1660">
        <v>154083</v>
      </c>
      <c r="L259" s="1660">
        <v>2110729</v>
      </c>
      <c r="M259" s="1660">
        <v>1428</v>
      </c>
      <c r="N259" s="1660">
        <v>112</v>
      </c>
      <c r="O259" s="1661">
        <v>2112269</v>
      </c>
      <c r="P259" s="1653"/>
      <c r="Q259" s="1653"/>
      <c r="R259" s="1653"/>
      <c r="S259" s="1653"/>
      <c r="T259" s="1653"/>
      <c r="U259" s="1653"/>
      <c r="V259" s="1653"/>
      <c r="W259" s="1653"/>
      <c r="X259" s="1653"/>
      <c r="Y259" s="1653"/>
      <c r="Z259" s="1653"/>
      <c r="AA259" s="1653"/>
    </row>
    <row r="260" spans="1:27">
      <c r="A260" s="1653">
        <v>2042</v>
      </c>
      <c r="B260" s="1653">
        <v>10</v>
      </c>
      <c r="C260" s="1722">
        <v>52140</v>
      </c>
      <c r="D260" s="1653"/>
      <c r="E260" s="1659">
        <v>1034228</v>
      </c>
      <c r="F260" s="1660">
        <v>983665</v>
      </c>
      <c r="G260" s="1660">
        <v>66253</v>
      </c>
      <c r="H260" s="1660">
        <v>5897</v>
      </c>
      <c r="I260" s="1660">
        <v>501</v>
      </c>
      <c r="J260" s="1660">
        <v>2090544</v>
      </c>
      <c r="K260" s="1660">
        <v>164628</v>
      </c>
      <c r="L260" s="1660">
        <v>2255172</v>
      </c>
      <c r="M260" s="1660">
        <v>1830</v>
      </c>
      <c r="N260" s="1660">
        <v>144</v>
      </c>
      <c r="O260" s="1661">
        <v>2257146</v>
      </c>
      <c r="P260" s="1653"/>
      <c r="Q260" s="1653"/>
      <c r="R260" s="1653"/>
      <c r="S260" s="1653"/>
      <c r="T260" s="1653"/>
      <c r="U260" s="1653"/>
      <c r="V260" s="1653"/>
      <c r="W260" s="1653"/>
      <c r="X260" s="1653"/>
      <c r="Y260" s="1653"/>
      <c r="Z260" s="1653"/>
      <c r="AA260" s="1653"/>
    </row>
    <row r="261" spans="1:27">
      <c r="A261" s="1653">
        <v>2042</v>
      </c>
      <c r="B261" s="1653">
        <v>11</v>
      </c>
      <c r="C261" s="1722">
        <v>52171</v>
      </c>
      <c r="D261" s="1653"/>
      <c r="E261" s="1659">
        <v>1213935</v>
      </c>
      <c r="F261" s="1660">
        <v>1041026</v>
      </c>
      <c r="G261" s="1660">
        <v>63543</v>
      </c>
      <c r="H261" s="1660">
        <v>5030</v>
      </c>
      <c r="I261" s="1660">
        <v>685</v>
      </c>
      <c r="J261" s="1660">
        <v>2324219</v>
      </c>
      <c r="K261" s="1660">
        <v>183029</v>
      </c>
      <c r="L261" s="1660">
        <v>2507248</v>
      </c>
      <c r="M261" s="1660">
        <v>1832</v>
      </c>
      <c r="N261" s="1660">
        <v>144</v>
      </c>
      <c r="O261" s="1661">
        <v>2509224</v>
      </c>
      <c r="P261" s="1653"/>
      <c r="Q261" s="1653"/>
      <c r="R261" s="1653"/>
      <c r="S261" s="1653"/>
      <c r="T261" s="1653"/>
      <c r="U261" s="1653"/>
      <c r="V261" s="1653"/>
      <c r="W261" s="1653"/>
      <c r="X261" s="1653"/>
      <c r="Y261" s="1653"/>
      <c r="Z261" s="1653"/>
      <c r="AA261" s="1653"/>
    </row>
    <row r="262" spans="1:27">
      <c r="A262" s="1653">
        <v>2042</v>
      </c>
      <c r="B262" s="1653">
        <v>12</v>
      </c>
      <c r="C262" s="1722">
        <v>52201</v>
      </c>
      <c r="D262" s="1653"/>
      <c r="E262" s="1659">
        <v>1521308</v>
      </c>
      <c r="F262" s="1660">
        <v>1209563</v>
      </c>
      <c r="G262" s="1660">
        <v>65648</v>
      </c>
      <c r="H262" s="1660">
        <v>5753</v>
      </c>
      <c r="I262" s="1660">
        <v>893</v>
      </c>
      <c r="J262" s="1660">
        <v>2803165</v>
      </c>
      <c r="K262" s="1660">
        <v>220745</v>
      </c>
      <c r="L262" s="1660">
        <v>3023910</v>
      </c>
      <c r="M262" s="1660">
        <v>1718</v>
      </c>
      <c r="N262" s="1660">
        <v>135</v>
      </c>
      <c r="O262" s="1661">
        <v>3025763</v>
      </c>
      <c r="P262" s="1653"/>
      <c r="Q262" s="1653"/>
      <c r="R262" s="1653"/>
      <c r="S262" s="1653"/>
      <c r="T262" s="1653"/>
      <c r="U262" s="1653"/>
      <c r="V262" s="1653"/>
      <c r="W262" s="1653"/>
      <c r="X262" s="1653"/>
      <c r="Y262" s="1653"/>
      <c r="Z262" s="1653"/>
      <c r="AA262" s="1653"/>
    </row>
    <row r="263" spans="1:27">
      <c r="A263" s="1653">
        <v>2043</v>
      </c>
      <c r="B263" s="1653">
        <v>1</v>
      </c>
      <c r="C263" s="1722">
        <v>52232</v>
      </c>
      <c r="D263" s="1653"/>
      <c r="E263" s="1659">
        <v>1510891</v>
      </c>
      <c r="F263" s="1660">
        <v>1178104</v>
      </c>
      <c r="G263" s="1660">
        <v>68144</v>
      </c>
      <c r="H263" s="1660">
        <v>6033</v>
      </c>
      <c r="I263" s="1660">
        <v>1003</v>
      </c>
      <c r="J263" s="1660">
        <v>2764175</v>
      </c>
      <c r="K263" s="1660">
        <v>217675</v>
      </c>
      <c r="L263" s="1660">
        <v>2981850</v>
      </c>
      <c r="M263" s="1660">
        <v>2325</v>
      </c>
      <c r="N263" s="1660">
        <v>183</v>
      </c>
      <c r="O263" s="1661">
        <v>2984358</v>
      </c>
      <c r="P263" s="1653"/>
      <c r="Q263" s="1653"/>
      <c r="R263" s="1653"/>
      <c r="S263" s="1653"/>
      <c r="T263" s="1653"/>
      <c r="U263" s="1653"/>
      <c r="V263" s="1653"/>
      <c r="W263" s="1653"/>
      <c r="X263" s="1653"/>
      <c r="Y263" s="1653"/>
      <c r="Z263" s="1653"/>
      <c r="AA263" s="1653"/>
    </row>
    <row r="264" spans="1:27">
      <c r="A264" s="1653">
        <v>2043</v>
      </c>
      <c r="B264" s="1653">
        <v>2</v>
      </c>
      <c r="C264" s="1722">
        <v>52263</v>
      </c>
      <c r="D264" s="1653"/>
      <c r="E264" s="1659">
        <v>1254174</v>
      </c>
      <c r="F264" s="1660">
        <v>1025379</v>
      </c>
      <c r="G264" s="1660">
        <v>62595</v>
      </c>
      <c r="H264" s="1660">
        <v>5226</v>
      </c>
      <c r="I264" s="1660">
        <v>873</v>
      </c>
      <c r="J264" s="1660">
        <v>2348247</v>
      </c>
      <c r="K264" s="1660">
        <v>184921</v>
      </c>
      <c r="L264" s="1660">
        <v>2533168</v>
      </c>
      <c r="M264" s="1660">
        <v>2433</v>
      </c>
      <c r="N264" s="1660">
        <v>192</v>
      </c>
      <c r="O264" s="1661">
        <v>2535793</v>
      </c>
      <c r="P264" s="1653"/>
      <c r="Q264" s="1653"/>
      <c r="R264" s="1653"/>
      <c r="S264" s="1653"/>
      <c r="T264" s="1653"/>
      <c r="U264" s="1653"/>
      <c r="V264" s="1653"/>
      <c r="W264" s="1653"/>
      <c r="X264" s="1653"/>
      <c r="Y264" s="1653"/>
      <c r="Z264" s="1653"/>
      <c r="AA264" s="1653"/>
    </row>
    <row r="265" spans="1:27">
      <c r="A265" s="1653">
        <v>2043</v>
      </c>
      <c r="B265" s="1653">
        <v>3</v>
      </c>
      <c r="C265" s="1722">
        <v>52291</v>
      </c>
      <c r="D265" s="1653"/>
      <c r="E265" s="1659">
        <v>1274518</v>
      </c>
      <c r="F265" s="1660">
        <v>1118401</v>
      </c>
      <c r="G265" s="1660">
        <v>68626</v>
      </c>
      <c r="H265" s="1660">
        <v>6243</v>
      </c>
      <c r="I265" s="1660">
        <v>865</v>
      </c>
      <c r="J265" s="1660">
        <v>2468653</v>
      </c>
      <c r="K265" s="1660">
        <v>194403</v>
      </c>
      <c r="L265" s="1660">
        <v>2663056</v>
      </c>
      <c r="M265" s="1660">
        <v>2339</v>
      </c>
      <c r="N265" s="1660">
        <v>184</v>
      </c>
      <c r="O265" s="1661">
        <v>2665579</v>
      </c>
      <c r="P265" s="1653"/>
      <c r="Q265" s="1653"/>
      <c r="R265" s="1653"/>
      <c r="S265" s="1653"/>
      <c r="T265" s="1653"/>
      <c r="U265" s="1653"/>
      <c r="V265" s="1653"/>
      <c r="W265" s="1653"/>
      <c r="X265" s="1653"/>
      <c r="Y265" s="1653"/>
      <c r="Z265" s="1653"/>
      <c r="AA265" s="1653"/>
    </row>
    <row r="266" spans="1:27">
      <c r="A266" s="1653">
        <v>2043</v>
      </c>
      <c r="B266" s="1653">
        <v>4</v>
      </c>
      <c r="C266" s="1722">
        <v>52322</v>
      </c>
      <c r="D266" s="1653"/>
      <c r="E266" s="1659">
        <v>1034743</v>
      </c>
      <c r="F266" s="1660">
        <v>985603</v>
      </c>
      <c r="G266" s="1660">
        <v>64243</v>
      </c>
      <c r="H266" s="1660">
        <v>5630</v>
      </c>
      <c r="I266" s="1660">
        <v>711</v>
      </c>
      <c r="J266" s="1660">
        <v>2090930</v>
      </c>
      <c r="K266" s="1660">
        <v>164658</v>
      </c>
      <c r="L266" s="1660">
        <v>2255588</v>
      </c>
      <c r="M266" s="1660">
        <v>2172</v>
      </c>
      <c r="N266" s="1660">
        <v>171</v>
      </c>
      <c r="O266" s="1661">
        <v>2257931</v>
      </c>
      <c r="P266" s="1653"/>
      <c r="Q266" s="1653"/>
      <c r="R266" s="1653"/>
      <c r="S266" s="1653"/>
      <c r="T266" s="1653"/>
      <c r="U266" s="1653"/>
      <c r="V266" s="1653"/>
      <c r="W266" s="1653"/>
      <c r="X266" s="1653"/>
      <c r="Y266" s="1653"/>
      <c r="Z266" s="1653"/>
      <c r="AA266" s="1653"/>
    </row>
    <row r="267" spans="1:27">
      <c r="A267" s="1653">
        <v>2043</v>
      </c>
      <c r="B267" s="1653">
        <v>5</v>
      </c>
      <c r="C267" s="1722">
        <v>52352</v>
      </c>
      <c r="D267" s="1653"/>
      <c r="E267" s="1659">
        <v>935478</v>
      </c>
      <c r="F267" s="1660">
        <v>969763</v>
      </c>
      <c r="G267" s="1660">
        <v>61388</v>
      </c>
      <c r="H267" s="1660">
        <v>5597</v>
      </c>
      <c r="I267" s="1660">
        <v>559</v>
      </c>
      <c r="J267" s="1660">
        <v>1972785</v>
      </c>
      <c r="K267" s="1660">
        <v>155354</v>
      </c>
      <c r="L267" s="1660">
        <v>2128139</v>
      </c>
      <c r="M267" s="1660">
        <v>2174</v>
      </c>
      <c r="N267" s="1660">
        <v>171</v>
      </c>
      <c r="O267" s="1661">
        <v>2130484</v>
      </c>
      <c r="P267" s="1653"/>
      <c r="Q267" s="1653"/>
      <c r="R267" s="1653"/>
      <c r="S267" s="1653"/>
      <c r="T267" s="1653"/>
      <c r="U267" s="1653"/>
      <c r="V267" s="1653"/>
      <c r="W267" s="1653"/>
      <c r="X267" s="1653"/>
      <c r="Y267" s="1653"/>
      <c r="Z267" s="1653"/>
      <c r="AA267" s="1653"/>
    </row>
    <row r="268" spans="1:27">
      <c r="A268" s="1653">
        <v>2043</v>
      </c>
      <c r="B268" s="1653">
        <v>6</v>
      </c>
      <c r="C268" s="1722">
        <v>52383</v>
      </c>
      <c r="D268" s="1653"/>
      <c r="E268" s="1659">
        <v>910095</v>
      </c>
      <c r="F268" s="1660">
        <v>947044</v>
      </c>
      <c r="G268" s="1660">
        <v>68104</v>
      </c>
      <c r="H268" s="1660">
        <v>4935</v>
      </c>
      <c r="I268" s="1660">
        <v>430</v>
      </c>
      <c r="J268" s="1660">
        <v>1930608</v>
      </c>
      <c r="K268" s="1660">
        <v>152033</v>
      </c>
      <c r="L268" s="1660">
        <v>2082641</v>
      </c>
      <c r="M268" s="1660">
        <v>1787</v>
      </c>
      <c r="N268" s="1660">
        <v>141</v>
      </c>
      <c r="O268" s="1661">
        <v>2084569</v>
      </c>
      <c r="P268" s="1653"/>
      <c r="Q268" s="1653"/>
      <c r="R268" s="1653"/>
      <c r="S268" s="1653"/>
      <c r="T268" s="1653"/>
      <c r="U268" s="1653"/>
      <c r="V268" s="1653"/>
      <c r="W268" s="1653"/>
      <c r="X268" s="1653"/>
      <c r="Y268" s="1653"/>
      <c r="Z268" s="1653"/>
      <c r="AA268" s="1653"/>
    </row>
    <row r="269" spans="1:27">
      <c r="A269" s="1653">
        <v>2043</v>
      </c>
      <c r="B269" s="1653">
        <v>7</v>
      </c>
      <c r="C269" s="1722">
        <v>52413</v>
      </c>
      <c r="D269" s="1653"/>
      <c r="E269" s="1659">
        <v>1083846</v>
      </c>
      <c r="F269" s="1660">
        <v>1048289</v>
      </c>
      <c r="G269" s="1660">
        <v>70246</v>
      </c>
      <c r="H269" s="1660">
        <v>5706</v>
      </c>
      <c r="I269" s="1660">
        <v>291</v>
      </c>
      <c r="J269" s="1660">
        <v>2208378</v>
      </c>
      <c r="K269" s="1660">
        <v>173907</v>
      </c>
      <c r="L269" s="1660">
        <v>2382285</v>
      </c>
      <c r="M269" s="1660">
        <v>2889</v>
      </c>
      <c r="N269" s="1660">
        <v>228</v>
      </c>
      <c r="O269" s="1661">
        <v>2385402</v>
      </c>
      <c r="P269" s="1653"/>
      <c r="Q269" s="1653"/>
      <c r="R269" s="1653"/>
      <c r="S269" s="1653"/>
      <c r="T269" s="1653"/>
      <c r="U269" s="1653"/>
      <c r="V269" s="1653"/>
      <c r="W269" s="1653"/>
      <c r="X269" s="1653"/>
      <c r="Y269" s="1653"/>
      <c r="Z269" s="1653"/>
      <c r="AA269" s="1653"/>
    </row>
    <row r="270" spans="1:27">
      <c r="A270" s="1653">
        <v>2043</v>
      </c>
      <c r="B270" s="1653">
        <v>8</v>
      </c>
      <c r="C270" s="1722">
        <v>52444</v>
      </c>
      <c r="D270" s="1653"/>
      <c r="E270" s="1659">
        <v>1106727</v>
      </c>
      <c r="F270" s="1660">
        <v>1051282</v>
      </c>
      <c r="G270" s="1660">
        <v>70401</v>
      </c>
      <c r="H270" s="1660">
        <v>5245</v>
      </c>
      <c r="I270" s="1660">
        <v>290</v>
      </c>
      <c r="J270" s="1660">
        <v>2233945</v>
      </c>
      <c r="K270" s="1660">
        <v>175920</v>
      </c>
      <c r="L270" s="1660">
        <v>2409865</v>
      </c>
      <c r="M270" s="1660">
        <v>1634</v>
      </c>
      <c r="N270" s="1660">
        <v>129</v>
      </c>
      <c r="O270" s="1661">
        <v>2411628</v>
      </c>
      <c r="P270" s="1653"/>
      <c r="Q270" s="1653"/>
      <c r="R270" s="1653"/>
      <c r="S270" s="1653"/>
      <c r="T270" s="1653"/>
      <c r="U270" s="1653"/>
      <c r="V270" s="1653"/>
      <c r="W270" s="1653"/>
      <c r="X270" s="1653"/>
      <c r="Y270" s="1653"/>
      <c r="Z270" s="1653"/>
      <c r="AA270" s="1653"/>
    </row>
    <row r="271" spans="1:27">
      <c r="A271" s="1653">
        <v>2043</v>
      </c>
      <c r="B271" s="1653">
        <v>9</v>
      </c>
      <c r="C271" s="1722">
        <v>52475</v>
      </c>
      <c r="D271" s="1653"/>
      <c r="E271" s="1659">
        <v>950531</v>
      </c>
      <c r="F271" s="1660">
        <v>964747</v>
      </c>
      <c r="G271" s="1660">
        <v>66576</v>
      </c>
      <c r="H271" s="1660">
        <v>5338</v>
      </c>
      <c r="I271" s="1660">
        <v>318</v>
      </c>
      <c r="J271" s="1660">
        <v>1987510</v>
      </c>
      <c r="K271" s="1660">
        <v>156514</v>
      </c>
      <c r="L271" s="1660">
        <v>2144024</v>
      </c>
      <c r="M271" s="1660">
        <v>1428</v>
      </c>
      <c r="N271" s="1660">
        <v>112</v>
      </c>
      <c r="O271" s="1661">
        <v>2145564</v>
      </c>
      <c r="P271" s="1653"/>
      <c r="Q271" s="1653"/>
      <c r="R271" s="1653"/>
      <c r="S271" s="1653"/>
      <c r="T271" s="1653"/>
      <c r="U271" s="1653"/>
      <c r="V271" s="1653"/>
      <c r="W271" s="1653"/>
      <c r="X271" s="1653"/>
      <c r="Y271" s="1653"/>
      <c r="Z271" s="1653"/>
      <c r="AA271" s="1653"/>
    </row>
    <row r="272" spans="1:27">
      <c r="A272" s="1653">
        <v>2043</v>
      </c>
      <c r="B272" s="1653">
        <v>10</v>
      </c>
      <c r="C272" s="1722">
        <v>52505</v>
      </c>
      <c r="D272" s="1653"/>
      <c r="E272" s="1659">
        <v>1037580</v>
      </c>
      <c r="F272" s="1660">
        <v>1011786</v>
      </c>
      <c r="G272" s="1660">
        <v>65619</v>
      </c>
      <c r="H272" s="1660">
        <v>5994</v>
      </c>
      <c r="I272" s="1660">
        <v>501</v>
      </c>
      <c r="J272" s="1660">
        <v>2121480</v>
      </c>
      <c r="K272" s="1660">
        <v>167064</v>
      </c>
      <c r="L272" s="1660">
        <v>2288544</v>
      </c>
      <c r="M272" s="1660">
        <v>1830</v>
      </c>
      <c r="N272" s="1660">
        <v>144</v>
      </c>
      <c r="O272" s="1661">
        <v>2290518</v>
      </c>
      <c r="P272" s="1653"/>
      <c r="Q272" s="1653"/>
      <c r="R272" s="1653"/>
      <c r="S272" s="1653"/>
      <c r="T272" s="1653"/>
      <c r="U272" s="1653"/>
      <c r="V272" s="1653"/>
      <c r="W272" s="1653"/>
      <c r="X272" s="1653"/>
      <c r="Y272" s="1653"/>
      <c r="Z272" s="1653"/>
      <c r="AA272" s="1653"/>
    </row>
    <row r="273" spans="1:27">
      <c r="A273" s="1653">
        <v>2043</v>
      </c>
      <c r="B273" s="1653">
        <v>11</v>
      </c>
      <c r="C273" s="1722">
        <v>52536</v>
      </c>
      <c r="D273" s="1653"/>
      <c r="E273" s="1659">
        <v>1212456</v>
      </c>
      <c r="F273" s="1660">
        <v>1068743</v>
      </c>
      <c r="G273" s="1660">
        <v>63177</v>
      </c>
      <c r="H273" s="1660">
        <v>5114</v>
      </c>
      <c r="I273" s="1660">
        <v>682</v>
      </c>
      <c r="J273" s="1660">
        <v>2350172</v>
      </c>
      <c r="K273" s="1660">
        <v>185073</v>
      </c>
      <c r="L273" s="1660">
        <v>2535245</v>
      </c>
      <c r="M273" s="1660">
        <v>1832</v>
      </c>
      <c r="N273" s="1660">
        <v>144</v>
      </c>
      <c r="O273" s="1661">
        <v>2537221</v>
      </c>
      <c r="P273" s="1653"/>
      <c r="Q273" s="1653"/>
      <c r="R273" s="1653"/>
      <c r="S273" s="1653"/>
      <c r="T273" s="1653"/>
      <c r="U273" s="1653"/>
      <c r="V273" s="1653"/>
      <c r="W273" s="1653"/>
      <c r="X273" s="1653"/>
      <c r="Y273" s="1653"/>
      <c r="Z273" s="1653"/>
      <c r="AA273" s="1653"/>
    </row>
    <row r="274" spans="1:27">
      <c r="A274" s="1653">
        <v>2043</v>
      </c>
      <c r="B274" s="1653">
        <v>12</v>
      </c>
      <c r="C274" s="1722">
        <v>52566</v>
      </c>
      <c r="D274" s="1653"/>
      <c r="E274" s="1659">
        <v>1518499</v>
      </c>
      <c r="F274" s="1660">
        <v>1241608</v>
      </c>
      <c r="G274" s="1660">
        <v>65254</v>
      </c>
      <c r="H274" s="1660">
        <v>5847</v>
      </c>
      <c r="I274" s="1660">
        <v>890</v>
      </c>
      <c r="J274" s="1660">
        <v>2832098</v>
      </c>
      <c r="K274" s="1660">
        <v>223024</v>
      </c>
      <c r="L274" s="1660">
        <v>3055122</v>
      </c>
      <c r="M274" s="1660">
        <v>1718</v>
      </c>
      <c r="N274" s="1660">
        <v>135</v>
      </c>
      <c r="O274" s="1661">
        <v>3056975</v>
      </c>
      <c r="P274" s="1653"/>
      <c r="Q274" s="1653"/>
      <c r="R274" s="1653"/>
      <c r="S274" s="1653"/>
      <c r="T274" s="1653"/>
      <c r="U274" s="1653"/>
      <c r="V274" s="1653"/>
      <c r="W274" s="1653"/>
      <c r="X274" s="1653"/>
      <c r="Y274" s="1653"/>
      <c r="Z274" s="1653"/>
      <c r="AA274" s="1653"/>
    </row>
    <row r="275" spans="1:27">
      <c r="A275" s="1653">
        <v>2044</v>
      </c>
      <c r="B275" s="1653">
        <v>1</v>
      </c>
      <c r="C275" s="1722">
        <v>52597</v>
      </c>
      <c r="D275" s="1653"/>
      <c r="E275" s="1659">
        <v>1506167</v>
      </c>
      <c r="F275" s="1660">
        <v>1209890</v>
      </c>
      <c r="G275" s="1660">
        <v>67739</v>
      </c>
      <c r="H275" s="1660">
        <v>6125</v>
      </c>
      <c r="I275" s="1660">
        <v>1000</v>
      </c>
      <c r="J275" s="1660">
        <v>2790921</v>
      </c>
      <c r="K275" s="1660">
        <v>219781</v>
      </c>
      <c r="L275" s="1660">
        <v>3010702</v>
      </c>
      <c r="M275" s="1660">
        <v>2325</v>
      </c>
      <c r="N275" s="1660">
        <v>183</v>
      </c>
      <c r="O275" s="1661">
        <v>3013210</v>
      </c>
      <c r="P275" s="1653"/>
      <c r="Q275" s="1653"/>
      <c r="R275" s="1653"/>
      <c r="S275" s="1653"/>
      <c r="T275" s="1653"/>
      <c r="U275" s="1653"/>
      <c r="V275" s="1653"/>
      <c r="W275" s="1653"/>
      <c r="X275" s="1653"/>
      <c r="Y275" s="1653"/>
      <c r="Z275" s="1653"/>
      <c r="AA275" s="1653"/>
    </row>
    <row r="276" spans="1:27">
      <c r="A276" s="1653">
        <v>2044</v>
      </c>
      <c r="B276" s="1653">
        <v>2</v>
      </c>
      <c r="C276" s="1722">
        <v>52628</v>
      </c>
      <c r="D276" s="1653"/>
      <c r="E276" s="1659">
        <v>1291856</v>
      </c>
      <c r="F276" s="1660">
        <v>1089744</v>
      </c>
      <c r="G276" s="1660">
        <v>64095</v>
      </c>
      <c r="H276" s="1660">
        <v>5307</v>
      </c>
      <c r="I276" s="1660">
        <v>900</v>
      </c>
      <c r="J276" s="1660">
        <v>2451902</v>
      </c>
      <c r="K276" s="1660">
        <v>193084</v>
      </c>
      <c r="L276" s="1660">
        <v>2644986</v>
      </c>
      <c r="M276" s="1660">
        <v>2433</v>
      </c>
      <c r="N276" s="1660">
        <v>192</v>
      </c>
      <c r="O276" s="1661">
        <v>2647611</v>
      </c>
      <c r="P276" s="1653"/>
      <c r="Q276" s="1653"/>
      <c r="R276" s="1653"/>
      <c r="S276" s="1653"/>
      <c r="T276" s="1653"/>
      <c r="U276" s="1653"/>
      <c r="V276" s="1653"/>
      <c r="W276" s="1653"/>
      <c r="X276" s="1653"/>
      <c r="Y276" s="1653"/>
      <c r="Z276" s="1653"/>
      <c r="AA276" s="1653"/>
    </row>
    <row r="277" spans="1:27">
      <c r="A277" s="1653">
        <v>2044</v>
      </c>
      <c r="B277" s="1653">
        <v>3</v>
      </c>
      <c r="C277" s="1722">
        <v>52657</v>
      </c>
      <c r="D277" s="1653"/>
      <c r="E277" s="1659">
        <v>1274776</v>
      </c>
      <c r="F277" s="1660">
        <v>1145675</v>
      </c>
      <c r="G277" s="1660">
        <v>67929</v>
      </c>
      <c r="H277" s="1660">
        <v>6337</v>
      </c>
      <c r="I277" s="1660">
        <v>863</v>
      </c>
      <c r="J277" s="1660">
        <v>2495580</v>
      </c>
      <c r="K277" s="1660">
        <v>196524</v>
      </c>
      <c r="L277" s="1660">
        <v>2692104</v>
      </c>
      <c r="M277" s="1660">
        <v>2339</v>
      </c>
      <c r="N277" s="1660">
        <v>184</v>
      </c>
      <c r="O277" s="1661">
        <v>2694627</v>
      </c>
      <c r="P277" s="1653"/>
      <c r="Q277" s="1653"/>
      <c r="R277" s="1653"/>
      <c r="S277" s="1653"/>
      <c r="T277" s="1653"/>
      <c r="U277" s="1653"/>
      <c r="V277" s="1653"/>
      <c r="W277" s="1653"/>
      <c r="X277" s="1653"/>
      <c r="Y277" s="1653"/>
      <c r="Z277" s="1653"/>
      <c r="AA277" s="1653"/>
    </row>
    <row r="278" spans="1:27">
      <c r="A278" s="1653">
        <v>2044</v>
      </c>
      <c r="B278" s="1653">
        <v>4</v>
      </c>
      <c r="C278" s="1722">
        <v>52688</v>
      </c>
      <c r="D278" s="1653"/>
      <c r="E278" s="1659">
        <v>1033177</v>
      </c>
      <c r="F278" s="1660">
        <v>1012488</v>
      </c>
      <c r="G278" s="1660">
        <v>63609</v>
      </c>
      <c r="H278" s="1660">
        <v>5712</v>
      </c>
      <c r="I278" s="1660">
        <v>709</v>
      </c>
      <c r="J278" s="1660">
        <v>2115695</v>
      </c>
      <c r="K278" s="1660">
        <v>166608</v>
      </c>
      <c r="L278" s="1660">
        <v>2282303</v>
      </c>
      <c r="M278" s="1660">
        <v>2172</v>
      </c>
      <c r="N278" s="1660">
        <v>171</v>
      </c>
      <c r="O278" s="1661">
        <v>2284646</v>
      </c>
      <c r="P278" s="1653"/>
      <c r="Q278" s="1653"/>
      <c r="R278" s="1653"/>
      <c r="S278" s="1653"/>
      <c r="T278" s="1653"/>
      <c r="U278" s="1653"/>
      <c r="V278" s="1653"/>
      <c r="W278" s="1653"/>
      <c r="X278" s="1653"/>
      <c r="Y278" s="1653"/>
      <c r="Z278" s="1653"/>
      <c r="AA278" s="1653"/>
    </row>
    <row r="279" spans="1:27">
      <c r="A279" s="1653">
        <v>2044</v>
      </c>
      <c r="B279" s="1653">
        <v>5</v>
      </c>
      <c r="C279" s="1722">
        <v>52718</v>
      </c>
      <c r="D279" s="1653"/>
      <c r="E279" s="1659">
        <v>937533</v>
      </c>
      <c r="F279" s="1660">
        <v>994127</v>
      </c>
      <c r="G279" s="1660">
        <v>60782</v>
      </c>
      <c r="H279" s="1660">
        <v>5678</v>
      </c>
      <c r="I279" s="1660">
        <v>559</v>
      </c>
      <c r="J279" s="1660">
        <v>1998679</v>
      </c>
      <c r="K279" s="1660">
        <v>157393</v>
      </c>
      <c r="L279" s="1660">
        <v>2156072</v>
      </c>
      <c r="M279" s="1660">
        <v>2174</v>
      </c>
      <c r="N279" s="1660">
        <v>171</v>
      </c>
      <c r="O279" s="1661">
        <v>2158417</v>
      </c>
      <c r="P279" s="1653"/>
      <c r="Q279" s="1653"/>
      <c r="R279" s="1653"/>
      <c r="S279" s="1653"/>
      <c r="T279" s="1653"/>
      <c r="U279" s="1653"/>
      <c r="V279" s="1653"/>
      <c r="W279" s="1653"/>
      <c r="X279" s="1653"/>
      <c r="Y279" s="1653"/>
      <c r="Z279" s="1653"/>
      <c r="AA279" s="1653"/>
    </row>
    <row r="280" spans="1:27">
      <c r="A280" s="1653">
        <v>2044</v>
      </c>
      <c r="B280" s="1653">
        <v>6</v>
      </c>
      <c r="C280" s="1722">
        <v>52749</v>
      </c>
      <c r="D280" s="1653"/>
      <c r="E280" s="1659">
        <v>917159</v>
      </c>
      <c r="F280" s="1660">
        <v>971458</v>
      </c>
      <c r="G280" s="1660">
        <v>67423</v>
      </c>
      <c r="H280" s="1660">
        <v>5007</v>
      </c>
      <c r="I280" s="1660">
        <v>430</v>
      </c>
      <c r="J280" s="1660">
        <v>1961477</v>
      </c>
      <c r="K280" s="1660">
        <v>154464</v>
      </c>
      <c r="L280" s="1660">
        <v>2115941</v>
      </c>
      <c r="M280" s="1660">
        <v>1787</v>
      </c>
      <c r="N280" s="1660">
        <v>141</v>
      </c>
      <c r="O280" s="1661">
        <v>2117869</v>
      </c>
      <c r="P280" s="1653"/>
      <c r="Q280" s="1653"/>
      <c r="R280" s="1653"/>
      <c r="S280" s="1653"/>
      <c r="T280" s="1653"/>
      <c r="U280" s="1653"/>
      <c r="V280" s="1653"/>
      <c r="W280" s="1653"/>
      <c r="X280" s="1653"/>
      <c r="Y280" s="1653"/>
      <c r="Z280" s="1653"/>
      <c r="AA280" s="1653"/>
    </row>
    <row r="281" spans="1:27">
      <c r="A281" s="1653">
        <v>2044</v>
      </c>
      <c r="B281" s="1653">
        <v>7</v>
      </c>
      <c r="C281" s="1722">
        <v>52779</v>
      </c>
      <c r="D281" s="1653"/>
      <c r="E281" s="1659">
        <v>1092168</v>
      </c>
      <c r="F281" s="1660">
        <v>1076107</v>
      </c>
      <c r="G281" s="1660">
        <v>69890</v>
      </c>
      <c r="H281" s="1660">
        <v>5792</v>
      </c>
      <c r="I281" s="1660">
        <v>291</v>
      </c>
      <c r="J281" s="1660">
        <v>2244248</v>
      </c>
      <c r="K281" s="1660">
        <v>176732</v>
      </c>
      <c r="L281" s="1660">
        <v>2420980</v>
      </c>
      <c r="M281" s="1660">
        <v>2889</v>
      </c>
      <c r="N281" s="1660">
        <v>228</v>
      </c>
      <c r="O281" s="1661">
        <v>2424097</v>
      </c>
      <c r="P281" s="1653"/>
      <c r="Q281" s="1653"/>
      <c r="R281" s="1653"/>
      <c r="S281" s="1653"/>
      <c r="T281" s="1653"/>
      <c r="U281" s="1653"/>
      <c r="V281" s="1653"/>
      <c r="W281" s="1653"/>
      <c r="X281" s="1653"/>
      <c r="Y281" s="1653"/>
      <c r="Z281" s="1653"/>
      <c r="AA281" s="1653"/>
    </row>
    <row r="282" spans="1:27">
      <c r="A282" s="1653">
        <v>2044</v>
      </c>
      <c r="B282" s="1653">
        <v>8</v>
      </c>
      <c r="C282" s="1722">
        <v>52810</v>
      </c>
      <c r="D282" s="1653"/>
      <c r="E282" s="1659">
        <v>1115089</v>
      </c>
      <c r="F282" s="1660">
        <v>1071725</v>
      </c>
      <c r="G282" s="1660">
        <v>69993</v>
      </c>
      <c r="H282" s="1660">
        <v>5325</v>
      </c>
      <c r="I282" s="1660">
        <v>290</v>
      </c>
      <c r="J282" s="1660">
        <v>2262422</v>
      </c>
      <c r="K282" s="1660">
        <v>178163</v>
      </c>
      <c r="L282" s="1660">
        <v>2440585</v>
      </c>
      <c r="M282" s="1660">
        <v>1634</v>
      </c>
      <c r="N282" s="1660">
        <v>129</v>
      </c>
      <c r="O282" s="1661">
        <v>2442348</v>
      </c>
      <c r="P282" s="1653"/>
      <c r="Q282" s="1653"/>
      <c r="R282" s="1653"/>
      <c r="S282" s="1653"/>
      <c r="T282" s="1653"/>
      <c r="U282" s="1653"/>
      <c r="V282" s="1653"/>
      <c r="W282" s="1653"/>
      <c r="X282" s="1653"/>
      <c r="Y282" s="1653"/>
      <c r="Z282" s="1653"/>
      <c r="AA282" s="1653"/>
    </row>
    <row r="283" spans="1:27">
      <c r="A283" s="1653">
        <v>2044</v>
      </c>
      <c r="B283" s="1653">
        <v>9</v>
      </c>
      <c r="C283" s="1722">
        <v>52841</v>
      </c>
      <c r="D283" s="1653"/>
      <c r="E283" s="1659">
        <v>955893</v>
      </c>
      <c r="F283" s="1660">
        <v>988629</v>
      </c>
      <c r="G283" s="1660">
        <v>66215</v>
      </c>
      <c r="H283" s="1660">
        <v>5422</v>
      </c>
      <c r="I283" s="1660">
        <v>318</v>
      </c>
      <c r="J283" s="1660">
        <v>2016477</v>
      </c>
      <c r="K283" s="1660">
        <v>158795</v>
      </c>
      <c r="L283" s="1660">
        <v>2175272</v>
      </c>
      <c r="M283" s="1660">
        <v>1428</v>
      </c>
      <c r="N283" s="1660">
        <v>112</v>
      </c>
      <c r="O283" s="1661">
        <v>2176812</v>
      </c>
      <c r="P283" s="1653"/>
      <c r="Q283" s="1653"/>
      <c r="R283" s="1653"/>
      <c r="S283" s="1653"/>
      <c r="T283" s="1653"/>
      <c r="U283" s="1653"/>
      <c r="V283" s="1653"/>
      <c r="W283" s="1653"/>
      <c r="X283" s="1653"/>
      <c r="Y283" s="1653"/>
      <c r="Z283" s="1653"/>
      <c r="AA283" s="1653"/>
    </row>
    <row r="284" spans="1:27">
      <c r="A284" s="1653">
        <v>2044</v>
      </c>
      <c r="B284" s="1653">
        <v>10</v>
      </c>
      <c r="C284" s="1722">
        <v>52871</v>
      </c>
      <c r="D284" s="1653"/>
      <c r="E284" s="1659">
        <v>1041463</v>
      </c>
      <c r="F284" s="1660">
        <v>1040719</v>
      </c>
      <c r="G284" s="1660">
        <v>65002</v>
      </c>
      <c r="H284" s="1660">
        <v>6091</v>
      </c>
      <c r="I284" s="1660">
        <v>501</v>
      </c>
      <c r="J284" s="1660">
        <v>2153776</v>
      </c>
      <c r="K284" s="1660">
        <v>169607</v>
      </c>
      <c r="L284" s="1660">
        <v>2323383</v>
      </c>
      <c r="M284" s="1660">
        <v>1830</v>
      </c>
      <c r="N284" s="1660">
        <v>144</v>
      </c>
      <c r="O284" s="1661">
        <v>2325357</v>
      </c>
      <c r="P284" s="1653"/>
      <c r="Q284" s="1653"/>
      <c r="R284" s="1653"/>
      <c r="S284" s="1653"/>
      <c r="T284" s="1653"/>
      <c r="U284" s="1653"/>
      <c r="V284" s="1653"/>
      <c r="W284" s="1653"/>
      <c r="X284" s="1653"/>
      <c r="Y284" s="1653"/>
      <c r="Z284" s="1653"/>
      <c r="AA284" s="1653"/>
    </row>
    <row r="285" spans="1:27">
      <c r="A285" s="1653">
        <v>2044</v>
      </c>
      <c r="B285" s="1653">
        <v>11</v>
      </c>
      <c r="C285" s="1722">
        <v>52902</v>
      </c>
      <c r="D285" s="1653"/>
      <c r="E285" s="1659">
        <v>1207238</v>
      </c>
      <c r="F285" s="1660">
        <v>1094357</v>
      </c>
      <c r="G285" s="1660">
        <v>62538</v>
      </c>
      <c r="H285" s="1660">
        <v>5199</v>
      </c>
      <c r="I285" s="1660">
        <v>679</v>
      </c>
      <c r="J285" s="1660">
        <v>2370011</v>
      </c>
      <c r="K285" s="1660">
        <v>186635</v>
      </c>
      <c r="L285" s="1660">
        <v>2556646</v>
      </c>
      <c r="M285" s="1660">
        <v>1832</v>
      </c>
      <c r="N285" s="1660">
        <v>144</v>
      </c>
      <c r="O285" s="1661">
        <v>2558622</v>
      </c>
      <c r="P285" s="1653"/>
      <c r="Q285" s="1653"/>
      <c r="R285" s="1653"/>
      <c r="S285" s="1653"/>
      <c r="T285" s="1653"/>
      <c r="U285" s="1653"/>
      <c r="V285" s="1653"/>
      <c r="W285" s="1653"/>
      <c r="X285" s="1653"/>
      <c r="Y285" s="1653"/>
      <c r="Z285" s="1653"/>
      <c r="AA285" s="1653"/>
    </row>
    <row r="286" spans="1:27">
      <c r="A286" s="1653">
        <v>2044</v>
      </c>
      <c r="B286" s="1653">
        <v>12</v>
      </c>
      <c r="C286" s="1722">
        <v>52932</v>
      </c>
      <c r="D286" s="1653"/>
      <c r="E286" s="1659">
        <v>1516506</v>
      </c>
      <c r="F286" s="1660">
        <v>1273838</v>
      </c>
      <c r="G286" s="1660">
        <v>64597</v>
      </c>
      <c r="H286" s="1660">
        <v>5943</v>
      </c>
      <c r="I286" s="1660">
        <v>886</v>
      </c>
      <c r="J286" s="1660">
        <v>2861770</v>
      </c>
      <c r="K286" s="1660">
        <v>225361</v>
      </c>
      <c r="L286" s="1660">
        <v>3087131</v>
      </c>
      <c r="M286" s="1660">
        <v>1718</v>
      </c>
      <c r="N286" s="1660">
        <v>135</v>
      </c>
      <c r="O286" s="1661">
        <v>3088984</v>
      </c>
      <c r="P286" s="1653"/>
      <c r="Q286" s="1653"/>
      <c r="R286" s="1653"/>
      <c r="S286" s="1653"/>
      <c r="T286" s="1653"/>
      <c r="U286" s="1653"/>
      <c r="V286" s="1653"/>
      <c r="W286" s="1653"/>
      <c r="X286" s="1653"/>
      <c r="Y286" s="1653"/>
      <c r="Z286" s="1653"/>
      <c r="AA286" s="1653"/>
    </row>
    <row r="287" spans="1:27">
      <c r="A287" s="1653">
        <v>2045</v>
      </c>
      <c r="B287" s="1653">
        <v>1</v>
      </c>
      <c r="C287" s="1722">
        <v>52963</v>
      </c>
      <c r="D287" s="1653"/>
      <c r="E287" s="1659">
        <v>1507149</v>
      </c>
      <c r="F287" s="1660">
        <v>1239313</v>
      </c>
      <c r="G287" s="1660">
        <v>67067</v>
      </c>
      <c r="H287" s="1660">
        <v>6220</v>
      </c>
      <c r="I287" s="1660">
        <v>997</v>
      </c>
      <c r="J287" s="1660">
        <v>2820746</v>
      </c>
      <c r="K287" s="1660">
        <v>222130</v>
      </c>
      <c r="L287" s="1660">
        <v>3042876</v>
      </c>
      <c r="M287" s="1660">
        <v>2325</v>
      </c>
      <c r="N287" s="1660">
        <v>183</v>
      </c>
      <c r="O287" s="1661">
        <v>3045384</v>
      </c>
      <c r="P287" s="1653"/>
      <c r="Q287" s="1653"/>
      <c r="R287" s="1653"/>
      <c r="S287" s="1653"/>
      <c r="T287" s="1653"/>
      <c r="U287" s="1653"/>
      <c r="V287" s="1653"/>
      <c r="W287" s="1653"/>
      <c r="X287" s="1653"/>
      <c r="Y287" s="1653"/>
      <c r="Z287" s="1653"/>
      <c r="AA287" s="1653"/>
    </row>
    <row r="288" spans="1:27">
      <c r="A288" s="1653">
        <v>2045</v>
      </c>
      <c r="B288" s="1653">
        <v>2</v>
      </c>
      <c r="C288" s="1722">
        <v>52994</v>
      </c>
      <c r="D288" s="1653"/>
      <c r="E288" s="1659">
        <v>1254534</v>
      </c>
      <c r="F288" s="1660">
        <v>1077768</v>
      </c>
      <c r="G288" s="1660">
        <v>61632</v>
      </c>
      <c r="H288" s="1660">
        <v>5388</v>
      </c>
      <c r="I288" s="1660">
        <v>869</v>
      </c>
      <c r="J288" s="1660">
        <v>2400191</v>
      </c>
      <c r="K288" s="1660">
        <v>189012</v>
      </c>
      <c r="L288" s="1660">
        <v>2589203</v>
      </c>
      <c r="M288" s="1660">
        <v>2433</v>
      </c>
      <c r="N288" s="1660">
        <v>192</v>
      </c>
      <c r="O288" s="1661">
        <v>2591828</v>
      </c>
      <c r="P288" s="1653"/>
      <c r="Q288" s="1653"/>
      <c r="R288" s="1653"/>
      <c r="S288" s="1653"/>
      <c r="T288" s="1653"/>
      <c r="U288" s="1653"/>
      <c r="V288" s="1653"/>
      <c r="W288" s="1653"/>
      <c r="X288" s="1653"/>
      <c r="Y288" s="1653"/>
      <c r="Z288" s="1653"/>
      <c r="AA288" s="1653"/>
    </row>
    <row r="289" spans="1:27">
      <c r="A289" s="1653">
        <v>2045</v>
      </c>
      <c r="B289" s="1653">
        <v>3</v>
      </c>
      <c r="C289" s="1722">
        <v>53022</v>
      </c>
      <c r="D289" s="1653"/>
      <c r="E289" s="1659">
        <v>1276435</v>
      </c>
      <c r="F289" s="1660">
        <v>1174265</v>
      </c>
      <c r="G289" s="1660">
        <v>67544</v>
      </c>
      <c r="H289" s="1660">
        <v>6432</v>
      </c>
      <c r="I289" s="1660">
        <v>862</v>
      </c>
      <c r="J289" s="1660">
        <v>2525538</v>
      </c>
      <c r="K289" s="1660">
        <v>198883</v>
      </c>
      <c r="L289" s="1660">
        <v>2724421</v>
      </c>
      <c r="M289" s="1660">
        <v>2339</v>
      </c>
      <c r="N289" s="1660">
        <v>184</v>
      </c>
      <c r="O289" s="1661">
        <v>2726944</v>
      </c>
      <c r="P289" s="1653"/>
      <c r="Q289" s="1653"/>
      <c r="R289" s="1653"/>
      <c r="S289" s="1653"/>
      <c r="T289" s="1653"/>
      <c r="U289" s="1653"/>
      <c r="V289" s="1653"/>
      <c r="W289" s="1653"/>
      <c r="X289" s="1653"/>
      <c r="Y289" s="1653"/>
      <c r="Z289" s="1653"/>
      <c r="AA289" s="1653"/>
    </row>
    <row r="290" spans="1:27">
      <c r="A290" s="1653">
        <v>2045</v>
      </c>
      <c r="B290" s="1653">
        <v>4</v>
      </c>
      <c r="C290" s="1722">
        <v>53053</v>
      </c>
      <c r="D290" s="1653"/>
      <c r="E290" s="1659">
        <v>1033442</v>
      </c>
      <c r="F290" s="1660">
        <v>1039347</v>
      </c>
      <c r="G290" s="1660">
        <v>63262</v>
      </c>
      <c r="H290" s="1660">
        <v>5796</v>
      </c>
      <c r="I290" s="1660">
        <v>709</v>
      </c>
      <c r="J290" s="1660">
        <v>2142556</v>
      </c>
      <c r="K290" s="1660">
        <v>168723</v>
      </c>
      <c r="L290" s="1660">
        <v>2311279</v>
      </c>
      <c r="M290" s="1660">
        <v>2172</v>
      </c>
      <c r="N290" s="1660">
        <v>171</v>
      </c>
      <c r="O290" s="1661">
        <v>2313622</v>
      </c>
      <c r="P290" s="1653"/>
      <c r="Q290" s="1653"/>
      <c r="R290" s="1653"/>
      <c r="S290" s="1653"/>
      <c r="T290" s="1653"/>
      <c r="U290" s="1653"/>
      <c r="V290" s="1653"/>
      <c r="W290" s="1653"/>
      <c r="X290" s="1653"/>
      <c r="Y290" s="1653"/>
      <c r="Z290" s="1653"/>
      <c r="AA290" s="1653"/>
    </row>
    <row r="291" spans="1:27">
      <c r="A291" s="1653">
        <v>2045</v>
      </c>
      <c r="B291" s="1653">
        <v>5</v>
      </c>
      <c r="C291" s="1722">
        <v>53083</v>
      </c>
      <c r="D291" s="1653"/>
      <c r="E291" s="1659">
        <v>939447</v>
      </c>
      <c r="F291" s="1660">
        <v>1017044</v>
      </c>
      <c r="G291" s="1660">
        <v>60174</v>
      </c>
      <c r="H291" s="1660">
        <v>5760</v>
      </c>
      <c r="I291" s="1660">
        <v>559</v>
      </c>
      <c r="J291" s="1660">
        <v>2022984</v>
      </c>
      <c r="K291" s="1660">
        <v>159307</v>
      </c>
      <c r="L291" s="1660">
        <v>2182291</v>
      </c>
      <c r="M291" s="1660">
        <v>2174</v>
      </c>
      <c r="N291" s="1660">
        <v>171</v>
      </c>
      <c r="O291" s="1661">
        <v>2184636</v>
      </c>
      <c r="P291" s="1653"/>
      <c r="Q291" s="1653"/>
      <c r="R291" s="1653"/>
      <c r="S291" s="1653"/>
      <c r="T291" s="1653"/>
      <c r="U291" s="1653"/>
      <c r="V291" s="1653"/>
      <c r="W291" s="1653"/>
      <c r="X291" s="1653"/>
      <c r="Y291" s="1653"/>
      <c r="Z291" s="1653"/>
      <c r="AA291" s="1653"/>
    </row>
    <row r="292" spans="1:27">
      <c r="A292" s="1653">
        <v>2045</v>
      </c>
      <c r="B292" s="1653">
        <v>6</v>
      </c>
      <c r="C292" s="567">
        <v>53114</v>
      </c>
      <c r="E292" s="1659">
        <v>923121</v>
      </c>
      <c r="F292" s="1660">
        <v>995169</v>
      </c>
      <c r="G292" s="1660">
        <v>66753</v>
      </c>
      <c r="H292" s="1660">
        <v>5080</v>
      </c>
      <c r="I292" s="1660">
        <v>430</v>
      </c>
      <c r="J292" s="1660">
        <v>1990553</v>
      </c>
      <c r="K292" s="1660">
        <v>156753</v>
      </c>
      <c r="L292" s="1660">
        <v>2147306</v>
      </c>
      <c r="M292" s="1660">
        <v>1787</v>
      </c>
      <c r="N292" s="1660">
        <v>141</v>
      </c>
      <c r="O292" s="1661">
        <v>2149234</v>
      </c>
    </row>
    <row r="293" spans="1:27">
      <c r="A293" s="1653">
        <v>2045</v>
      </c>
      <c r="B293" s="1653">
        <v>7</v>
      </c>
      <c r="C293" s="567">
        <v>53144</v>
      </c>
      <c r="E293" s="1659">
        <v>1101916</v>
      </c>
      <c r="F293" s="1660">
        <v>1100688</v>
      </c>
      <c r="G293" s="1660">
        <v>69221</v>
      </c>
      <c r="H293" s="1660">
        <v>5879</v>
      </c>
      <c r="I293" s="1660">
        <v>291</v>
      </c>
      <c r="J293" s="1660">
        <v>2277995</v>
      </c>
      <c r="K293" s="1660">
        <v>179389</v>
      </c>
      <c r="L293" s="1660">
        <v>2457384</v>
      </c>
      <c r="M293" s="1660">
        <v>2889</v>
      </c>
      <c r="N293" s="1660">
        <v>228</v>
      </c>
      <c r="O293" s="1661">
        <v>2460501</v>
      </c>
    </row>
    <row r="294" spans="1:27">
      <c r="A294" s="1653">
        <v>2045</v>
      </c>
      <c r="B294" s="1653">
        <v>8</v>
      </c>
      <c r="C294" s="567">
        <v>53175</v>
      </c>
      <c r="E294" s="1659">
        <v>1128247</v>
      </c>
      <c r="F294" s="1660">
        <v>1096127</v>
      </c>
      <c r="G294" s="1660">
        <v>69310</v>
      </c>
      <c r="H294" s="1660">
        <v>5406</v>
      </c>
      <c r="I294" s="1660">
        <v>290</v>
      </c>
      <c r="J294" s="1660">
        <v>2299380</v>
      </c>
      <c r="K294" s="1660">
        <v>181073</v>
      </c>
      <c r="L294" s="1660">
        <v>2480453</v>
      </c>
      <c r="M294" s="1660">
        <v>1634</v>
      </c>
      <c r="N294" s="1660">
        <v>129</v>
      </c>
      <c r="O294" s="1661">
        <v>2482216</v>
      </c>
    </row>
    <row r="295" spans="1:27">
      <c r="A295" s="1653">
        <v>2045</v>
      </c>
      <c r="B295" s="1653">
        <v>9</v>
      </c>
      <c r="C295" s="567">
        <v>53206</v>
      </c>
      <c r="E295" s="1659">
        <v>963668</v>
      </c>
      <c r="F295" s="1660">
        <v>1013826</v>
      </c>
      <c r="G295" s="1660">
        <v>65583</v>
      </c>
      <c r="H295" s="1660">
        <v>5506</v>
      </c>
      <c r="I295" s="1660">
        <v>318</v>
      </c>
      <c r="J295" s="1660">
        <v>2048901</v>
      </c>
      <c r="K295" s="1660">
        <v>161348</v>
      </c>
      <c r="L295" s="1660">
        <v>2210249</v>
      </c>
      <c r="M295" s="1660">
        <v>1428</v>
      </c>
      <c r="N295" s="1660">
        <v>112</v>
      </c>
      <c r="O295" s="1661">
        <v>2211789</v>
      </c>
    </row>
    <row r="296" spans="1:27">
      <c r="A296" s="1653">
        <v>2045</v>
      </c>
      <c r="B296" s="1653">
        <v>10</v>
      </c>
      <c r="C296" s="567">
        <v>53236</v>
      </c>
      <c r="E296" s="1659">
        <v>1043112</v>
      </c>
      <c r="F296" s="1660">
        <v>1066568</v>
      </c>
      <c r="G296" s="1660">
        <v>64637</v>
      </c>
      <c r="H296" s="1660">
        <v>6190</v>
      </c>
      <c r="I296" s="1660">
        <v>501</v>
      </c>
      <c r="J296" s="1660">
        <v>2181008</v>
      </c>
      <c r="K296" s="1660">
        <v>171751</v>
      </c>
      <c r="L296" s="1660">
        <v>2352759</v>
      </c>
      <c r="M296" s="1660">
        <v>1830</v>
      </c>
      <c r="N296" s="1660">
        <v>144</v>
      </c>
      <c r="O296" s="1661">
        <v>2354733</v>
      </c>
    </row>
    <row r="297" spans="1:27">
      <c r="A297" s="1653">
        <v>2045</v>
      </c>
      <c r="B297" s="1653">
        <v>11</v>
      </c>
      <c r="C297" s="567">
        <v>53267</v>
      </c>
      <c r="E297" s="1659">
        <v>1208363</v>
      </c>
      <c r="F297" s="1660">
        <v>1126516</v>
      </c>
      <c r="G297" s="1660">
        <v>62198</v>
      </c>
      <c r="H297" s="1660">
        <v>5285</v>
      </c>
      <c r="I297" s="1660">
        <v>678</v>
      </c>
      <c r="J297" s="1660">
        <v>2403040</v>
      </c>
      <c r="K297" s="1660">
        <v>189236</v>
      </c>
      <c r="L297" s="1660">
        <v>2592276</v>
      </c>
      <c r="M297" s="1660">
        <v>1832</v>
      </c>
      <c r="N297" s="1660">
        <v>144</v>
      </c>
      <c r="O297" s="1661">
        <v>2594252</v>
      </c>
    </row>
    <row r="298" spans="1:27">
      <c r="A298" s="1653">
        <v>2045</v>
      </c>
      <c r="B298" s="1653">
        <v>12</v>
      </c>
      <c r="C298" s="567">
        <v>53297</v>
      </c>
      <c r="E298" s="1659">
        <v>1520438</v>
      </c>
      <c r="F298" s="1660">
        <v>1307256</v>
      </c>
      <c r="G298" s="1660">
        <v>64238</v>
      </c>
      <c r="H298" s="1660">
        <v>6040</v>
      </c>
      <c r="I298" s="1660">
        <v>885</v>
      </c>
      <c r="J298" s="1660">
        <v>2898857</v>
      </c>
      <c r="K298" s="1660">
        <v>228281</v>
      </c>
      <c r="L298" s="1660">
        <v>3127138</v>
      </c>
      <c r="M298" s="1660">
        <v>1718</v>
      </c>
      <c r="N298" s="1660">
        <v>135</v>
      </c>
      <c r="O298" s="1661">
        <v>3128991</v>
      </c>
    </row>
    <row r="299" spans="1:27">
      <c r="A299" s="1653">
        <v>2046</v>
      </c>
      <c r="B299" s="1653">
        <v>1</v>
      </c>
      <c r="C299" s="567">
        <v>53328</v>
      </c>
      <c r="E299" s="1659">
        <v>1516100</v>
      </c>
      <c r="F299" s="1660">
        <v>1266532</v>
      </c>
      <c r="G299" s="1660">
        <v>66408</v>
      </c>
      <c r="H299" s="1660">
        <v>6315</v>
      </c>
      <c r="I299" s="1660">
        <v>997</v>
      </c>
      <c r="J299" s="1660">
        <v>2856352</v>
      </c>
      <c r="K299" s="1660">
        <v>224934</v>
      </c>
      <c r="L299" s="1660">
        <v>3081286</v>
      </c>
      <c r="M299" s="1660">
        <v>2325</v>
      </c>
      <c r="N299" s="1660">
        <v>183</v>
      </c>
      <c r="O299" s="1661">
        <v>3083794</v>
      </c>
    </row>
    <row r="300" spans="1:27">
      <c r="A300" s="1653">
        <v>2046</v>
      </c>
      <c r="B300" s="1653">
        <v>2</v>
      </c>
      <c r="C300" s="567">
        <v>53359</v>
      </c>
      <c r="E300" s="1659">
        <v>1261239</v>
      </c>
      <c r="F300" s="1660">
        <v>1102245</v>
      </c>
      <c r="G300" s="1660">
        <v>61044</v>
      </c>
      <c r="H300" s="1660">
        <v>5469</v>
      </c>
      <c r="I300" s="1660">
        <v>869</v>
      </c>
      <c r="J300" s="1660">
        <v>2430866</v>
      </c>
      <c r="K300" s="1660">
        <v>191427</v>
      </c>
      <c r="L300" s="1660">
        <v>2622293</v>
      </c>
      <c r="M300" s="1660">
        <v>2433</v>
      </c>
      <c r="N300" s="1660">
        <v>192</v>
      </c>
      <c r="O300" s="1661">
        <v>2624918</v>
      </c>
    </row>
    <row r="301" spans="1:27">
      <c r="A301" s="1653">
        <v>2046</v>
      </c>
      <c r="B301" s="1653">
        <v>3</v>
      </c>
      <c r="C301" s="567">
        <v>53387</v>
      </c>
      <c r="E301" s="1659">
        <v>1282071</v>
      </c>
      <c r="F301" s="1660">
        <v>1202093</v>
      </c>
      <c r="G301" s="1660">
        <v>66887</v>
      </c>
      <c r="H301" s="1660">
        <v>6527</v>
      </c>
      <c r="I301" s="1660">
        <v>862</v>
      </c>
      <c r="J301" s="1660">
        <v>2558440</v>
      </c>
      <c r="K301" s="1660">
        <v>201474</v>
      </c>
      <c r="L301" s="1660">
        <v>2759914</v>
      </c>
      <c r="M301" s="1660">
        <v>2339</v>
      </c>
      <c r="N301" s="1660">
        <v>184</v>
      </c>
      <c r="O301" s="1661">
        <v>2762437</v>
      </c>
    </row>
    <row r="302" spans="1:27">
      <c r="A302" s="1653">
        <v>2046</v>
      </c>
      <c r="B302" s="1653">
        <v>4</v>
      </c>
      <c r="C302" s="567">
        <v>53418</v>
      </c>
      <c r="E302" s="1659">
        <v>1036945</v>
      </c>
      <c r="F302" s="1660">
        <v>1061074</v>
      </c>
      <c r="G302" s="1660">
        <v>62616</v>
      </c>
      <c r="H302" s="1660">
        <v>5880</v>
      </c>
      <c r="I302" s="1660">
        <v>708</v>
      </c>
      <c r="J302" s="1660">
        <v>2167223</v>
      </c>
      <c r="K302" s="1660">
        <v>170666</v>
      </c>
      <c r="L302" s="1660">
        <v>2337889</v>
      </c>
      <c r="M302" s="1660">
        <v>2172</v>
      </c>
      <c r="N302" s="1660">
        <v>171</v>
      </c>
      <c r="O302" s="1661">
        <v>2340232</v>
      </c>
    </row>
    <row r="303" spans="1:27">
      <c r="A303" s="1653">
        <v>2046</v>
      </c>
      <c r="B303" s="1653">
        <v>5</v>
      </c>
      <c r="C303" s="567">
        <v>53448</v>
      </c>
      <c r="E303" s="1659">
        <v>942725</v>
      </c>
      <c r="F303" s="1660">
        <v>1037529</v>
      </c>
      <c r="G303" s="1660">
        <v>59837</v>
      </c>
      <c r="H303" s="1660">
        <v>5841</v>
      </c>
      <c r="I303" s="1660">
        <v>559</v>
      </c>
      <c r="J303" s="1660">
        <v>2046491</v>
      </c>
      <c r="K303" s="1660">
        <v>161158</v>
      </c>
      <c r="L303" s="1660">
        <v>2207649</v>
      </c>
      <c r="M303" s="1660">
        <v>2174</v>
      </c>
      <c r="N303" s="1660">
        <v>171</v>
      </c>
      <c r="O303" s="1661">
        <v>2209994</v>
      </c>
    </row>
    <row r="304" spans="1:27">
      <c r="A304" s="1653">
        <v>2046</v>
      </c>
      <c r="B304" s="1653">
        <v>6</v>
      </c>
      <c r="C304" s="567">
        <v>53479</v>
      </c>
      <c r="E304" s="1659">
        <v>929118</v>
      </c>
      <c r="F304" s="1660">
        <v>1016714</v>
      </c>
      <c r="G304" s="1660">
        <v>66393</v>
      </c>
      <c r="H304" s="1660">
        <v>5154</v>
      </c>
      <c r="I304" s="1660">
        <v>430</v>
      </c>
      <c r="J304" s="1660">
        <v>2017809</v>
      </c>
      <c r="K304" s="1660">
        <v>158900</v>
      </c>
      <c r="L304" s="1660">
        <v>2176709</v>
      </c>
      <c r="M304" s="1660">
        <v>1787</v>
      </c>
      <c r="N304" s="1660">
        <v>141</v>
      </c>
      <c r="O304" s="1661">
        <v>2178637</v>
      </c>
    </row>
    <row r="305" spans="1:15">
      <c r="A305" s="1653">
        <v>2046</v>
      </c>
      <c r="B305" s="1653">
        <v>7</v>
      </c>
      <c r="C305" s="567">
        <v>53509</v>
      </c>
      <c r="E305" s="1659">
        <v>1115258</v>
      </c>
      <c r="F305" s="1660">
        <v>1122137</v>
      </c>
      <c r="G305" s="1660">
        <v>68841</v>
      </c>
      <c r="H305" s="1660">
        <v>5967</v>
      </c>
      <c r="I305" s="1660">
        <v>291</v>
      </c>
      <c r="J305" s="1660">
        <v>2312494</v>
      </c>
      <c r="K305" s="1660">
        <v>182106</v>
      </c>
      <c r="L305" s="1660">
        <v>2494600</v>
      </c>
      <c r="M305" s="1660">
        <v>2889</v>
      </c>
      <c r="N305" s="1660">
        <v>228</v>
      </c>
      <c r="O305" s="1661">
        <v>2497717</v>
      </c>
    </row>
    <row r="306" spans="1:15">
      <c r="A306" s="1653">
        <v>2046</v>
      </c>
      <c r="B306" s="1653">
        <v>8</v>
      </c>
      <c r="C306" s="567">
        <v>53540</v>
      </c>
      <c r="E306" s="1659">
        <v>1142349</v>
      </c>
      <c r="F306" s="1660">
        <v>1118640</v>
      </c>
      <c r="G306" s="1660">
        <v>68627</v>
      </c>
      <c r="H306" s="1660">
        <v>5487</v>
      </c>
      <c r="I306" s="1660">
        <v>290</v>
      </c>
      <c r="J306" s="1660">
        <v>2335393</v>
      </c>
      <c r="K306" s="1660">
        <v>183909</v>
      </c>
      <c r="L306" s="1660">
        <v>2519302</v>
      </c>
      <c r="M306" s="1660">
        <v>1634</v>
      </c>
      <c r="N306" s="1660">
        <v>129</v>
      </c>
      <c r="O306" s="1661">
        <v>2521065</v>
      </c>
    </row>
    <row r="307" spans="1:15">
      <c r="A307" s="1653">
        <v>2046</v>
      </c>
      <c r="B307" s="1653">
        <v>9</v>
      </c>
      <c r="C307" s="567">
        <v>53571</v>
      </c>
      <c r="E307" s="1659">
        <v>972112</v>
      </c>
      <c r="F307" s="1660">
        <v>1037677</v>
      </c>
      <c r="G307" s="1660">
        <v>64951</v>
      </c>
      <c r="H307" s="1660">
        <v>5590</v>
      </c>
      <c r="I307" s="1660">
        <v>318</v>
      </c>
      <c r="J307" s="1660">
        <v>2080648</v>
      </c>
      <c r="K307" s="1660">
        <v>163848</v>
      </c>
      <c r="L307" s="1660">
        <v>2244496</v>
      </c>
      <c r="M307" s="1660">
        <v>1428</v>
      </c>
      <c r="N307" s="1660">
        <v>112</v>
      </c>
      <c r="O307" s="1661">
        <v>2246036</v>
      </c>
    </row>
    <row r="308" spans="1:15">
      <c r="A308" s="1653">
        <v>2046</v>
      </c>
      <c r="B308" s="1653">
        <v>10</v>
      </c>
      <c r="C308" s="567">
        <v>53601</v>
      </c>
      <c r="E308" s="1659">
        <v>1045222</v>
      </c>
      <c r="F308" s="1660">
        <v>1089045</v>
      </c>
      <c r="G308" s="1660">
        <v>63987</v>
      </c>
      <c r="H308" s="1660">
        <v>6288</v>
      </c>
      <c r="I308" s="1660">
        <v>500</v>
      </c>
      <c r="J308" s="1660">
        <v>2205042</v>
      </c>
      <c r="K308" s="1660">
        <v>173644</v>
      </c>
      <c r="L308" s="1660">
        <v>2378686</v>
      </c>
      <c r="M308" s="1660">
        <v>1830</v>
      </c>
      <c r="N308" s="1660">
        <v>144</v>
      </c>
      <c r="O308" s="1661">
        <v>2380660</v>
      </c>
    </row>
    <row r="309" spans="1:15">
      <c r="A309" s="1653">
        <v>2046</v>
      </c>
      <c r="B309" s="1653">
        <v>11</v>
      </c>
      <c r="C309" s="567">
        <v>53632</v>
      </c>
      <c r="E309" s="1659">
        <v>1213122</v>
      </c>
      <c r="F309" s="1660">
        <v>1152535</v>
      </c>
      <c r="G309" s="1660">
        <v>61594</v>
      </c>
      <c r="H309" s="1660">
        <v>5372</v>
      </c>
      <c r="I309" s="1660">
        <v>677</v>
      </c>
      <c r="J309" s="1660">
        <v>2433300</v>
      </c>
      <c r="K309" s="1660">
        <v>191619</v>
      </c>
      <c r="L309" s="1660">
        <v>2624919</v>
      </c>
      <c r="M309" s="1660">
        <v>1832</v>
      </c>
      <c r="N309" s="1660">
        <v>144</v>
      </c>
      <c r="O309" s="1661">
        <v>2626895</v>
      </c>
    </row>
    <row r="310" spans="1:15">
      <c r="A310" s="1653">
        <v>2046</v>
      </c>
      <c r="B310" s="1653">
        <v>12</v>
      </c>
      <c r="C310" s="567">
        <v>53662</v>
      </c>
      <c r="E310" s="1659">
        <v>1525054</v>
      </c>
      <c r="F310" s="1660">
        <v>1336344</v>
      </c>
      <c r="G310" s="1660">
        <v>63601</v>
      </c>
      <c r="H310" s="1660">
        <v>6137</v>
      </c>
      <c r="I310" s="1660">
        <v>884</v>
      </c>
      <c r="J310" s="1660">
        <v>2932020</v>
      </c>
      <c r="K310" s="1660">
        <v>230893</v>
      </c>
      <c r="L310" s="1660">
        <v>3162913</v>
      </c>
      <c r="M310" s="1660">
        <v>1718</v>
      </c>
      <c r="N310" s="1660">
        <v>135</v>
      </c>
      <c r="O310" s="1661">
        <v>3164766</v>
      </c>
    </row>
    <row r="311" spans="1:15">
      <c r="A311" s="1653">
        <v>2047</v>
      </c>
      <c r="B311" s="1653">
        <v>1</v>
      </c>
      <c r="C311" s="567">
        <v>53693</v>
      </c>
      <c r="E311" s="1659">
        <v>1522164</v>
      </c>
      <c r="F311" s="1660">
        <v>1293517</v>
      </c>
      <c r="G311" s="1660">
        <v>66209</v>
      </c>
      <c r="H311" s="1660">
        <v>6410</v>
      </c>
      <c r="I311" s="1660">
        <v>995</v>
      </c>
      <c r="J311" s="1660">
        <v>2889295</v>
      </c>
      <c r="K311" s="1660">
        <v>227528</v>
      </c>
      <c r="L311" s="1660">
        <v>3116823</v>
      </c>
      <c r="M311" s="1660">
        <v>2325</v>
      </c>
      <c r="N311" s="1660">
        <v>183</v>
      </c>
      <c r="O311" s="1661">
        <v>3119331</v>
      </c>
    </row>
    <row r="312" spans="1:15">
      <c r="A312" s="1653">
        <v>2047</v>
      </c>
      <c r="B312" s="1653">
        <v>2</v>
      </c>
      <c r="C312" s="567">
        <v>53724</v>
      </c>
      <c r="E312" s="1659">
        <v>1263781</v>
      </c>
      <c r="F312" s="1660">
        <v>1125253</v>
      </c>
      <c r="G312" s="1660">
        <v>60861</v>
      </c>
      <c r="H312" s="1660">
        <v>5550</v>
      </c>
      <c r="I312" s="1660">
        <v>867</v>
      </c>
      <c r="J312" s="1660">
        <v>2456312</v>
      </c>
      <c r="K312" s="1660">
        <v>193431</v>
      </c>
      <c r="L312" s="1660">
        <v>2649743</v>
      </c>
      <c r="M312" s="1660">
        <v>2433</v>
      </c>
      <c r="N312" s="1660">
        <v>192</v>
      </c>
      <c r="O312" s="1661">
        <v>2652368</v>
      </c>
    </row>
    <row r="313" spans="1:15">
      <c r="A313" s="1653">
        <v>2047</v>
      </c>
      <c r="B313" s="1653">
        <v>3</v>
      </c>
      <c r="C313" s="567">
        <v>53752</v>
      </c>
      <c r="E313" s="1659">
        <v>1287534</v>
      </c>
      <c r="F313" s="1660">
        <v>1230135</v>
      </c>
      <c r="G313" s="1660">
        <v>66702</v>
      </c>
      <c r="H313" s="1660">
        <v>6622</v>
      </c>
      <c r="I313" s="1660">
        <v>862</v>
      </c>
      <c r="J313" s="1660">
        <v>2591855</v>
      </c>
      <c r="K313" s="1660">
        <v>204105</v>
      </c>
      <c r="L313" s="1660">
        <v>2795960</v>
      </c>
      <c r="M313" s="1660">
        <v>2339</v>
      </c>
      <c r="N313" s="1660">
        <v>184</v>
      </c>
      <c r="O313" s="1661">
        <v>2798483</v>
      </c>
    </row>
    <row r="314" spans="1:15">
      <c r="A314" s="1653">
        <v>2047</v>
      </c>
      <c r="B314" s="1653">
        <v>4</v>
      </c>
      <c r="C314" s="567">
        <v>53783</v>
      </c>
      <c r="E314" s="1659">
        <v>1036906</v>
      </c>
      <c r="F314" s="1660">
        <v>1080651</v>
      </c>
      <c r="G314" s="1660">
        <v>62135</v>
      </c>
      <c r="H314" s="1660">
        <v>5964</v>
      </c>
      <c r="I314" s="1660">
        <v>707</v>
      </c>
      <c r="J314" s="1660">
        <v>2186363</v>
      </c>
      <c r="K314" s="1660">
        <v>172173</v>
      </c>
      <c r="L314" s="1660">
        <v>2358536</v>
      </c>
      <c r="M314" s="1660">
        <v>2172</v>
      </c>
      <c r="N314" s="1660">
        <v>171</v>
      </c>
      <c r="O314" s="1661">
        <v>2360879</v>
      </c>
    </row>
    <row r="315" spans="1:15">
      <c r="A315" s="1653">
        <v>2047</v>
      </c>
      <c r="B315" s="1653">
        <v>5</v>
      </c>
      <c r="C315" s="567">
        <v>53813</v>
      </c>
      <c r="E315" s="1659">
        <v>943640</v>
      </c>
      <c r="F315" s="1660">
        <v>1057577</v>
      </c>
      <c r="G315" s="1660">
        <v>59424</v>
      </c>
      <c r="H315" s="1660">
        <v>5924</v>
      </c>
      <c r="I315" s="1660">
        <v>558</v>
      </c>
      <c r="J315" s="1660">
        <v>2067123</v>
      </c>
      <c r="K315" s="1660">
        <v>162783</v>
      </c>
      <c r="L315" s="1660">
        <v>2229906</v>
      </c>
      <c r="M315" s="1660">
        <v>2174</v>
      </c>
      <c r="N315" s="1660">
        <v>171</v>
      </c>
      <c r="O315" s="1661">
        <v>2232251</v>
      </c>
    </row>
    <row r="316" spans="1:15">
      <c r="A316" s="1653">
        <v>2047</v>
      </c>
      <c r="B316" s="1653">
        <v>6</v>
      </c>
      <c r="C316" s="567">
        <v>53844</v>
      </c>
      <c r="E316" s="1659">
        <v>932825</v>
      </c>
      <c r="F316" s="1660">
        <v>1037181</v>
      </c>
      <c r="G316" s="1660">
        <v>65731</v>
      </c>
      <c r="H316" s="1660">
        <v>5227</v>
      </c>
      <c r="I316" s="1660">
        <v>430</v>
      </c>
      <c r="J316" s="1660">
        <v>2041394</v>
      </c>
      <c r="K316" s="1660">
        <v>160757</v>
      </c>
      <c r="L316" s="1660">
        <v>2202151</v>
      </c>
      <c r="M316" s="1660">
        <v>1787</v>
      </c>
      <c r="N316" s="1660">
        <v>141</v>
      </c>
      <c r="O316" s="1661">
        <v>2204079</v>
      </c>
    </row>
    <row r="317" spans="1:15">
      <c r="A317" s="1653">
        <v>2047</v>
      </c>
      <c r="B317" s="1653">
        <v>7</v>
      </c>
      <c r="C317" s="567">
        <v>53874</v>
      </c>
      <c r="E317" s="1659">
        <v>1128331</v>
      </c>
      <c r="F317" s="1660">
        <v>1141986</v>
      </c>
      <c r="G317" s="1660">
        <v>68150</v>
      </c>
      <c r="H317" s="1660">
        <v>6054</v>
      </c>
      <c r="I317" s="1660">
        <v>291</v>
      </c>
      <c r="J317" s="1660">
        <v>2344812</v>
      </c>
      <c r="K317" s="1660">
        <v>184651</v>
      </c>
      <c r="L317" s="1660">
        <v>2529463</v>
      </c>
      <c r="M317" s="1660">
        <v>2889</v>
      </c>
      <c r="N317" s="1660">
        <v>228</v>
      </c>
      <c r="O317" s="1661">
        <v>2532580</v>
      </c>
    </row>
    <row r="318" spans="1:15">
      <c r="A318" s="1653">
        <v>2047</v>
      </c>
      <c r="B318" s="1653">
        <v>8</v>
      </c>
      <c r="C318" s="567">
        <v>53905</v>
      </c>
      <c r="E318" s="1659">
        <v>1151365</v>
      </c>
      <c r="F318" s="1660">
        <v>1140015</v>
      </c>
      <c r="G318" s="1660">
        <v>68252</v>
      </c>
      <c r="H318" s="1660">
        <v>5569</v>
      </c>
      <c r="I318" s="1660">
        <v>290</v>
      </c>
      <c r="J318" s="1660">
        <v>2365491</v>
      </c>
      <c r="K318" s="1660">
        <v>186279</v>
      </c>
      <c r="L318" s="1660">
        <v>2551770</v>
      </c>
      <c r="M318" s="1660">
        <v>1634</v>
      </c>
      <c r="N318" s="1660">
        <v>129</v>
      </c>
      <c r="O318" s="1661">
        <v>2553533</v>
      </c>
    </row>
    <row r="319" spans="1:15">
      <c r="A319" s="1653">
        <v>2047</v>
      </c>
      <c r="B319" s="1653">
        <v>9</v>
      </c>
      <c r="C319" s="567">
        <v>53936</v>
      </c>
      <c r="E319" s="1659">
        <v>978207</v>
      </c>
      <c r="F319" s="1660">
        <v>1056146</v>
      </c>
      <c r="G319" s="1660">
        <v>64590</v>
      </c>
      <c r="H319" s="1660">
        <v>5675</v>
      </c>
      <c r="I319" s="1660">
        <v>318</v>
      </c>
      <c r="J319" s="1660">
        <v>2104936</v>
      </c>
      <c r="K319" s="1660">
        <v>165761</v>
      </c>
      <c r="L319" s="1660">
        <v>2270697</v>
      </c>
      <c r="M319" s="1660">
        <v>1428</v>
      </c>
      <c r="N319" s="1660">
        <v>112</v>
      </c>
      <c r="O319" s="1661">
        <v>2272237</v>
      </c>
    </row>
    <row r="320" spans="1:15">
      <c r="A320" s="1653">
        <v>2047</v>
      </c>
      <c r="B320" s="1653">
        <v>10</v>
      </c>
      <c r="C320" s="567">
        <v>53966</v>
      </c>
      <c r="E320" s="1659">
        <v>1047648</v>
      </c>
      <c r="F320" s="1660">
        <v>1111284</v>
      </c>
      <c r="G320" s="1660">
        <v>63810</v>
      </c>
      <c r="H320" s="1660">
        <v>6388</v>
      </c>
      <c r="I320" s="1660">
        <v>499</v>
      </c>
      <c r="J320" s="1660">
        <v>2229629</v>
      </c>
      <c r="K320" s="1660">
        <v>175580</v>
      </c>
      <c r="L320" s="1660">
        <v>2405209</v>
      </c>
      <c r="M320" s="1660">
        <v>1830</v>
      </c>
      <c r="N320" s="1660">
        <v>144</v>
      </c>
      <c r="O320" s="1661">
        <v>2407183</v>
      </c>
    </row>
    <row r="321" spans="1:15">
      <c r="A321" s="1653">
        <v>2047</v>
      </c>
      <c r="B321" s="1653">
        <v>11</v>
      </c>
      <c r="C321" s="567">
        <v>53997</v>
      </c>
      <c r="E321" s="1659">
        <v>1217009</v>
      </c>
      <c r="F321" s="1660">
        <v>1173593</v>
      </c>
      <c r="G321" s="1660">
        <v>61159</v>
      </c>
      <c r="H321" s="1660">
        <v>5459</v>
      </c>
      <c r="I321" s="1660">
        <v>677</v>
      </c>
      <c r="J321" s="1660">
        <v>2457897</v>
      </c>
      <c r="K321" s="1660">
        <v>193556</v>
      </c>
      <c r="L321" s="1660">
        <v>2651453</v>
      </c>
      <c r="M321" s="1660">
        <v>1832</v>
      </c>
      <c r="N321" s="1660">
        <v>144</v>
      </c>
      <c r="O321" s="1661">
        <v>2653429</v>
      </c>
    </row>
    <row r="322" spans="1:15">
      <c r="A322" s="1653">
        <v>2047</v>
      </c>
      <c r="B322" s="1653">
        <v>12</v>
      </c>
      <c r="C322" s="567">
        <v>54027</v>
      </c>
      <c r="E322" s="1659">
        <v>1537503</v>
      </c>
      <c r="F322" s="1660">
        <v>1365479</v>
      </c>
      <c r="G322" s="1660">
        <v>63172</v>
      </c>
      <c r="H322" s="1660">
        <v>6235</v>
      </c>
      <c r="I322" s="1660">
        <v>885</v>
      </c>
      <c r="J322" s="1660">
        <v>2973274</v>
      </c>
      <c r="K322" s="1660">
        <v>234141</v>
      </c>
      <c r="L322" s="1660">
        <v>3207415</v>
      </c>
      <c r="M322" s="1660">
        <v>1718</v>
      </c>
      <c r="N322" s="1660">
        <v>135</v>
      </c>
      <c r="O322" s="1661">
        <v>3209268</v>
      </c>
    </row>
    <row r="323" spans="1:15">
      <c r="A323" s="1653">
        <v>2048</v>
      </c>
      <c r="B323" s="1653">
        <v>1</v>
      </c>
      <c r="C323" s="567">
        <v>54058</v>
      </c>
      <c r="E323" s="1659">
        <v>1529782</v>
      </c>
      <c r="F323" s="1660">
        <v>1319812</v>
      </c>
      <c r="G323" s="1660">
        <v>65544</v>
      </c>
      <c r="H323" s="1660">
        <v>6506</v>
      </c>
      <c r="I323" s="1660">
        <v>994</v>
      </c>
      <c r="J323" s="1660">
        <v>2922638</v>
      </c>
      <c r="K323" s="1660">
        <v>230154</v>
      </c>
      <c r="L323" s="1660">
        <v>3152792</v>
      </c>
      <c r="M323" s="1660">
        <v>2325</v>
      </c>
      <c r="N323" s="1660">
        <v>183</v>
      </c>
      <c r="O323" s="1661">
        <v>3155300</v>
      </c>
    </row>
    <row r="324" spans="1:15">
      <c r="A324" s="1653">
        <v>2048</v>
      </c>
      <c r="B324" s="1653">
        <v>2</v>
      </c>
      <c r="C324" s="567">
        <v>54089</v>
      </c>
      <c r="E324" s="1659">
        <v>1304660</v>
      </c>
      <c r="F324" s="1660">
        <v>1185789</v>
      </c>
      <c r="G324" s="1660">
        <v>62302</v>
      </c>
      <c r="H324" s="1660">
        <v>5633</v>
      </c>
      <c r="I324" s="1660">
        <v>895</v>
      </c>
      <c r="J324" s="1660">
        <v>2559279</v>
      </c>
      <c r="K324" s="1660">
        <v>201540</v>
      </c>
      <c r="L324" s="1660">
        <v>2760819</v>
      </c>
      <c r="M324" s="1660">
        <v>2433</v>
      </c>
      <c r="N324" s="1660">
        <v>192</v>
      </c>
      <c r="O324" s="1661">
        <v>2763444</v>
      </c>
    </row>
    <row r="325" spans="1:15">
      <c r="A325" s="1653">
        <v>2048</v>
      </c>
      <c r="B325" s="1653">
        <v>3</v>
      </c>
      <c r="C325" s="567">
        <v>54118</v>
      </c>
      <c r="E325" s="1659">
        <v>1287204</v>
      </c>
      <c r="F325" s="1660">
        <v>1252812</v>
      </c>
      <c r="G325" s="1660">
        <v>66022</v>
      </c>
      <c r="H325" s="1660">
        <v>6719</v>
      </c>
      <c r="I325" s="1660">
        <v>859</v>
      </c>
      <c r="J325" s="1660">
        <v>2613616</v>
      </c>
      <c r="K325" s="1660">
        <v>205819</v>
      </c>
      <c r="L325" s="1660">
        <v>2819435</v>
      </c>
      <c r="M325" s="1660">
        <v>2339</v>
      </c>
      <c r="N325" s="1660">
        <v>184</v>
      </c>
      <c r="O325" s="1661">
        <v>2821958</v>
      </c>
    </row>
    <row r="326" spans="1:15">
      <c r="A326" s="1653">
        <v>2048</v>
      </c>
      <c r="B326" s="1653">
        <v>4</v>
      </c>
      <c r="C326" s="567">
        <v>54149</v>
      </c>
      <c r="E326" s="1659">
        <v>1034694</v>
      </c>
      <c r="F326" s="1660">
        <v>1100755</v>
      </c>
      <c r="G326" s="1660">
        <v>61770</v>
      </c>
      <c r="H326" s="1660">
        <v>6049</v>
      </c>
      <c r="I326" s="1660">
        <v>705</v>
      </c>
      <c r="J326" s="1660">
        <v>2203973</v>
      </c>
      <c r="K326" s="1660">
        <v>173560</v>
      </c>
      <c r="L326" s="1660">
        <v>2377533</v>
      </c>
      <c r="M326" s="1660">
        <v>2172</v>
      </c>
      <c r="N326" s="1660">
        <v>171</v>
      </c>
      <c r="O326" s="1661">
        <v>2379876</v>
      </c>
    </row>
    <row r="327" spans="1:15">
      <c r="A327" s="1653">
        <v>2048</v>
      </c>
      <c r="B327" s="1653">
        <v>5</v>
      </c>
      <c r="C327" s="567">
        <v>54179</v>
      </c>
      <c r="E327" s="1659">
        <v>945570</v>
      </c>
      <c r="F327" s="1660">
        <v>1079294</v>
      </c>
      <c r="G327" s="1660">
        <v>59118</v>
      </c>
      <c r="H327" s="1660">
        <v>6007</v>
      </c>
      <c r="I327" s="1660">
        <v>558</v>
      </c>
      <c r="J327" s="1660">
        <v>2090547</v>
      </c>
      <c r="K327" s="1660">
        <v>164628</v>
      </c>
      <c r="L327" s="1660">
        <v>2255175</v>
      </c>
      <c r="M327" s="1660">
        <v>2174</v>
      </c>
      <c r="N327" s="1660">
        <v>171</v>
      </c>
      <c r="O327" s="1661">
        <v>2257520</v>
      </c>
    </row>
    <row r="328" spans="1:15">
      <c r="A328" s="1653">
        <v>2048</v>
      </c>
      <c r="B328" s="1653">
        <v>6</v>
      </c>
      <c r="C328" s="567">
        <v>54210</v>
      </c>
      <c r="E328" s="1659">
        <v>937961</v>
      </c>
      <c r="F328" s="1660">
        <v>1051827</v>
      </c>
      <c r="G328" s="1660">
        <v>65336</v>
      </c>
      <c r="H328" s="1660">
        <v>5302</v>
      </c>
      <c r="I328" s="1660">
        <v>430</v>
      </c>
      <c r="J328" s="1660">
        <v>2060856</v>
      </c>
      <c r="K328" s="1660">
        <v>162290</v>
      </c>
      <c r="L328" s="1660">
        <v>2223146</v>
      </c>
      <c r="M328" s="1660">
        <v>1787</v>
      </c>
      <c r="N328" s="1660">
        <v>141</v>
      </c>
      <c r="O328" s="1661">
        <v>2225074</v>
      </c>
    </row>
    <row r="329" spans="1:15">
      <c r="A329" s="1653">
        <v>2048</v>
      </c>
      <c r="B329" s="1653">
        <v>7</v>
      </c>
      <c r="C329" s="567">
        <v>54240</v>
      </c>
      <c r="E329" s="1659">
        <v>1135700</v>
      </c>
      <c r="F329" s="1660">
        <v>1159593</v>
      </c>
      <c r="G329" s="1660">
        <v>67475</v>
      </c>
      <c r="H329" s="1660">
        <v>6144</v>
      </c>
      <c r="I329" s="1660">
        <v>291</v>
      </c>
      <c r="J329" s="1660">
        <v>2369203</v>
      </c>
      <c r="K329" s="1660">
        <v>186572</v>
      </c>
      <c r="L329" s="1660">
        <v>2555775</v>
      </c>
      <c r="M329" s="1660">
        <v>2889</v>
      </c>
      <c r="N329" s="1660">
        <v>228</v>
      </c>
      <c r="O329" s="1661">
        <v>2558892</v>
      </c>
    </row>
    <row r="330" spans="1:15">
      <c r="A330" s="1653">
        <v>2048</v>
      </c>
      <c r="B330" s="1653">
        <v>8</v>
      </c>
      <c r="C330" s="567">
        <v>54271</v>
      </c>
      <c r="E330" s="1659">
        <v>1158022</v>
      </c>
      <c r="F330" s="1660">
        <v>1160671</v>
      </c>
      <c r="G330" s="1660">
        <v>67582</v>
      </c>
      <c r="H330" s="1660">
        <v>5652</v>
      </c>
      <c r="I330" s="1660">
        <v>290</v>
      </c>
      <c r="J330" s="1660">
        <v>2392217</v>
      </c>
      <c r="K330" s="1660">
        <v>188384</v>
      </c>
      <c r="L330" s="1660">
        <v>2580601</v>
      </c>
      <c r="M330" s="1660">
        <v>1634</v>
      </c>
      <c r="N330" s="1660">
        <v>129</v>
      </c>
      <c r="O330" s="1661">
        <v>2582364</v>
      </c>
    </row>
    <row r="331" spans="1:15">
      <c r="A331" s="1653">
        <v>2048</v>
      </c>
      <c r="B331" s="1653">
        <v>9</v>
      </c>
      <c r="C331" s="567">
        <v>54302</v>
      </c>
      <c r="E331" s="1659">
        <v>987888</v>
      </c>
      <c r="F331" s="1660">
        <v>1074473</v>
      </c>
      <c r="G331" s="1660">
        <v>63942</v>
      </c>
      <c r="H331" s="1660">
        <v>5762</v>
      </c>
      <c r="I331" s="1660">
        <v>318</v>
      </c>
      <c r="J331" s="1660">
        <v>2132383</v>
      </c>
      <c r="K331" s="1660">
        <v>167922</v>
      </c>
      <c r="L331" s="1660">
        <v>2300305</v>
      </c>
      <c r="M331" s="1660">
        <v>1428</v>
      </c>
      <c r="N331" s="1660">
        <v>112</v>
      </c>
      <c r="O331" s="1661">
        <v>2301845</v>
      </c>
    </row>
    <row r="332" spans="1:15">
      <c r="A332" s="1653">
        <v>2048</v>
      </c>
      <c r="B332" s="1653">
        <v>10</v>
      </c>
      <c r="C332" s="567">
        <v>54332</v>
      </c>
      <c r="E332" s="1659">
        <v>1047453</v>
      </c>
      <c r="F332" s="1660">
        <v>1133435</v>
      </c>
      <c r="G332" s="1660">
        <v>63183</v>
      </c>
      <c r="H332" s="1660">
        <v>6489</v>
      </c>
      <c r="I332" s="1660">
        <v>498</v>
      </c>
      <c r="J332" s="1660">
        <v>2251058</v>
      </c>
      <c r="K332" s="1660">
        <v>177268</v>
      </c>
      <c r="L332" s="1660">
        <v>2428326</v>
      </c>
      <c r="M332" s="1660">
        <v>1830</v>
      </c>
      <c r="N332" s="1660">
        <v>144</v>
      </c>
      <c r="O332" s="1661">
        <v>2430300</v>
      </c>
    </row>
    <row r="333" spans="1:15">
      <c r="A333" s="1653">
        <v>2048</v>
      </c>
      <c r="B333" s="1653">
        <v>11</v>
      </c>
      <c r="C333" s="567">
        <v>54363</v>
      </c>
      <c r="E333" s="1659">
        <v>1216707</v>
      </c>
      <c r="F333" s="1660">
        <v>1196961</v>
      </c>
      <c r="G333" s="1660">
        <v>60808</v>
      </c>
      <c r="H333" s="1660">
        <v>5547</v>
      </c>
      <c r="I333" s="1660">
        <v>674</v>
      </c>
      <c r="J333" s="1660">
        <v>2480697</v>
      </c>
      <c r="K333" s="1660">
        <v>195352</v>
      </c>
      <c r="L333" s="1660">
        <v>2676049</v>
      </c>
      <c r="M333" s="1660">
        <v>1832</v>
      </c>
      <c r="N333" s="1660">
        <v>144</v>
      </c>
      <c r="O333" s="1661">
        <v>2678025</v>
      </c>
    </row>
    <row r="334" spans="1:15">
      <c r="A334" s="1653">
        <v>2048</v>
      </c>
      <c r="B334" s="1653">
        <v>12</v>
      </c>
      <c r="C334" s="567">
        <v>54393</v>
      </c>
      <c r="E334" s="1659">
        <v>1539168</v>
      </c>
      <c r="F334" s="1660">
        <v>1391154</v>
      </c>
      <c r="G334" s="1660">
        <v>62796</v>
      </c>
      <c r="H334" s="1660">
        <v>6334</v>
      </c>
      <c r="I334" s="1660">
        <v>881</v>
      </c>
      <c r="J334" s="1660">
        <v>3000333</v>
      </c>
      <c r="K334" s="1660">
        <v>236272</v>
      </c>
      <c r="L334" s="1660">
        <v>3236605</v>
      </c>
      <c r="M334" s="1660">
        <v>1718</v>
      </c>
      <c r="N334" s="1660">
        <v>135</v>
      </c>
      <c r="O334" s="1661">
        <v>3238458</v>
      </c>
    </row>
    <row r="335" spans="1:15">
      <c r="A335" s="1653">
        <v>2049</v>
      </c>
      <c r="B335" s="1653">
        <v>1</v>
      </c>
      <c r="C335" s="567">
        <v>54424</v>
      </c>
      <c r="E335" s="1659">
        <v>1541030</v>
      </c>
      <c r="F335" s="1660">
        <v>1349607</v>
      </c>
      <c r="G335" s="1660">
        <v>65186</v>
      </c>
      <c r="H335" s="1660">
        <v>6605</v>
      </c>
      <c r="I335" s="1660">
        <v>996</v>
      </c>
      <c r="J335" s="1660">
        <v>2963424</v>
      </c>
      <c r="K335" s="1660">
        <v>233366</v>
      </c>
      <c r="L335" s="1660">
        <v>3196790</v>
      </c>
      <c r="M335" s="1660">
        <v>2325</v>
      </c>
      <c r="N335" s="1660">
        <v>183</v>
      </c>
      <c r="O335" s="1661">
        <v>3199298</v>
      </c>
    </row>
    <row r="336" spans="1:15">
      <c r="A336" s="1653">
        <v>2049</v>
      </c>
      <c r="B336" s="1653">
        <v>2</v>
      </c>
      <c r="C336" s="567">
        <v>54455</v>
      </c>
      <c r="E336" s="1659">
        <v>1267023</v>
      </c>
      <c r="F336" s="1660">
        <v>1167841</v>
      </c>
      <c r="G336" s="1660">
        <v>59646</v>
      </c>
      <c r="H336" s="1660">
        <v>5717</v>
      </c>
      <c r="I336" s="1660">
        <v>863</v>
      </c>
      <c r="J336" s="1660">
        <v>2501090</v>
      </c>
      <c r="K336" s="1660">
        <v>196957</v>
      </c>
      <c r="L336" s="1660">
        <v>2698047</v>
      </c>
      <c r="M336" s="1660">
        <v>2433</v>
      </c>
      <c r="N336" s="1660">
        <v>192</v>
      </c>
      <c r="O336" s="1661">
        <v>2700672</v>
      </c>
    </row>
    <row r="337" spans="1:15">
      <c r="A337" s="1653">
        <v>2049</v>
      </c>
      <c r="B337" s="1653">
        <v>3</v>
      </c>
      <c r="C337" s="567">
        <v>54483</v>
      </c>
      <c r="E337" s="1659">
        <v>1288567</v>
      </c>
      <c r="F337" s="1660">
        <v>1274105</v>
      </c>
      <c r="G337" s="1660">
        <v>65337</v>
      </c>
      <c r="H337" s="1660">
        <v>6818</v>
      </c>
      <c r="I337" s="1660">
        <v>857</v>
      </c>
      <c r="J337" s="1660">
        <v>2635684</v>
      </c>
      <c r="K337" s="1660">
        <v>207557</v>
      </c>
      <c r="L337" s="1660">
        <v>2843241</v>
      </c>
      <c r="M337" s="1660">
        <v>2339</v>
      </c>
      <c r="N337" s="1660">
        <v>184</v>
      </c>
      <c r="O337" s="1661">
        <v>2845764</v>
      </c>
    </row>
    <row r="338" spans="1:15">
      <c r="A338" s="1653">
        <v>2049</v>
      </c>
      <c r="B338" s="1653">
        <v>4</v>
      </c>
      <c r="C338" s="567">
        <v>54514</v>
      </c>
      <c r="E338" s="1659">
        <v>1034175</v>
      </c>
      <c r="F338" s="1660">
        <v>1120943</v>
      </c>
      <c r="G338" s="1660">
        <v>61131</v>
      </c>
      <c r="H338" s="1660">
        <v>6137</v>
      </c>
      <c r="I338" s="1660">
        <v>704</v>
      </c>
      <c r="J338" s="1660">
        <v>2223090</v>
      </c>
      <c r="K338" s="1660">
        <v>175065</v>
      </c>
      <c r="L338" s="1660">
        <v>2398155</v>
      </c>
      <c r="M338" s="1660">
        <v>2172</v>
      </c>
      <c r="N338" s="1660">
        <v>171</v>
      </c>
      <c r="O338" s="1661">
        <v>2400498</v>
      </c>
    </row>
    <row r="339" spans="1:15">
      <c r="A339" s="1653">
        <v>2049</v>
      </c>
      <c r="B339" s="1653">
        <v>5</v>
      </c>
      <c r="C339" s="567">
        <v>54544</v>
      </c>
      <c r="E339" s="1659">
        <v>945187</v>
      </c>
      <c r="F339" s="1660">
        <v>1098340</v>
      </c>
      <c r="G339" s="1660">
        <v>58531</v>
      </c>
      <c r="H339" s="1660">
        <v>6092</v>
      </c>
      <c r="I339" s="1660">
        <v>558</v>
      </c>
      <c r="J339" s="1660">
        <v>2108708</v>
      </c>
      <c r="K339" s="1660">
        <v>166058</v>
      </c>
      <c r="L339" s="1660">
        <v>2274766</v>
      </c>
      <c r="M339" s="1660">
        <v>2174</v>
      </c>
      <c r="N339" s="1660">
        <v>171</v>
      </c>
      <c r="O339" s="1661">
        <v>2277111</v>
      </c>
    </row>
    <row r="340" spans="1:15">
      <c r="A340" s="1653">
        <v>2049</v>
      </c>
      <c r="B340" s="1653">
        <v>6</v>
      </c>
      <c r="C340" s="567">
        <v>54575</v>
      </c>
      <c r="E340" s="1659">
        <v>941516</v>
      </c>
      <c r="F340" s="1660">
        <v>1068819</v>
      </c>
      <c r="G340" s="1660">
        <v>64663</v>
      </c>
      <c r="H340" s="1660">
        <v>5378</v>
      </c>
      <c r="I340" s="1660">
        <v>430</v>
      </c>
      <c r="J340" s="1660">
        <v>2080806</v>
      </c>
      <c r="K340" s="1660">
        <v>163861</v>
      </c>
      <c r="L340" s="1660">
        <v>2244667</v>
      </c>
      <c r="M340" s="1660">
        <v>1787</v>
      </c>
      <c r="N340" s="1660">
        <v>141</v>
      </c>
      <c r="O340" s="1661">
        <v>2246595</v>
      </c>
    </row>
    <row r="341" spans="1:15">
      <c r="A341" s="1653">
        <v>2049</v>
      </c>
      <c r="B341" s="1653">
        <v>7</v>
      </c>
      <c r="C341" s="567">
        <v>54605</v>
      </c>
      <c r="E341" s="1659">
        <v>1143350</v>
      </c>
      <c r="F341" s="1660">
        <v>1179601</v>
      </c>
      <c r="G341" s="1660">
        <v>67113</v>
      </c>
      <c r="H341" s="1660">
        <v>6235</v>
      </c>
      <c r="I341" s="1660">
        <v>291</v>
      </c>
      <c r="J341" s="1660">
        <v>2396590</v>
      </c>
      <c r="K341" s="1660">
        <v>188728</v>
      </c>
      <c r="L341" s="1660">
        <v>2585318</v>
      </c>
      <c r="M341" s="1660">
        <v>2889</v>
      </c>
      <c r="N341" s="1660">
        <v>228</v>
      </c>
      <c r="O341" s="1661">
        <v>2588435</v>
      </c>
    </row>
    <row r="342" spans="1:15">
      <c r="A342" s="1653">
        <v>2049</v>
      </c>
      <c r="B342" s="1653">
        <v>8</v>
      </c>
      <c r="C342" s="567">
        <v>54636</v>
      </c>
      <c r="E342" s="1659">
        <v>1167824</v>
      </c>
      <c r="F342" s="1660">
        <v>1178741</v>
      </c>
      <c r="G342" s="1660">
        <v>67195</v>
      </c>
      <c r="H342" s="1660">
        <v>5737</v>
      </c>
      <c r="I342" s="1660">
        <v>290</v>
      </c>
      <c r="J342" s="1660">
        <v>2419787</v>
      </c>
      <c r="K342" s="1660">
        <v>190555</v>
      </c>
      <c r="L342" s="1660">
        <v>2610342</v>
      </c>
      <c r="M342" s="1660">
        <v>1634</v>
      </c>
      <c r="N342" s="1660">
        <v>129</v>
      </c>
      <c r="O342" s="1661">
        <v>2612105</v>
      </c>
    </row>
    <row r="343" spans="1:15">
      <c r="A343" s="1653">
        <v>2049</v>
      </c>
      <c r="B343" s="1653">
        <v>9</v>
      </c>
      <c r="C343" s="567">
        <v>54667</v>
      </c>
      <c r="E343" s="1659">
        <v>995118</v>
      </c>
      <c r="F343" s="1660">
        <v>1093912</v>
      </c>
      <c r="G343" s="1660">
        <v>63589</v>
      </c>
      <c r="H343" s="1660">
        <v>5850</v>
      </c>
      <c r="I343" s="1660">
        <v>318</v>
      </c>
      <c r="J343" s="1660">
        <v>2158787</v>
      </c>
      <c r="K343" s="1660">
        <v>170002</v>
      </c>
      <c r="L343" s="1660">
        <v>2328789</v>
      </c>
      <c r="M343" s="1660">
        <v>1428</v>
      </c>
      <c r="N343" s="1660">
        <v>112</v>
      </c>
      <c r="O343" s="1661">
        <v>2330329</v>
      </c>
    </row>
    <row r="344" spans="1:15">
      <c r="A344" s="1653">
        <v>2049</v>
      </c>
      <c r="B344" s="1653">
        <v>10</v>
      </c>
      <c r="C344" s="567">
        <v>54697</v>
      </c>
      <c r="E344" s="1659">
        <v>1048370</v>
      </c>
      <c r="F344" s="1660">
        <v>1156526</v>
      </c>
      <c r="G344" s="1660">
        <v>62561</v>
      </c>
      <c r="H344" s="1660">
        <v>6592</v>
      </c>
      <c r="I344" s="1660">
        <v>497</v>
      </c>
      <c r="J344" s="1660">
        <v>2274546</v>
      </c>
      <c r="K344" s="1660">
        <v>179117</v>
      </c>
      <c r="L344" s="1660">
        <v>2453663</v>
      </c>
      <c r="M344" s="1660">
        <v>1830</v>
      </c>
      <c r="N344" s="1660">
        <v>144</v>
      </c>
      <c r="O344" s="1661">
        <v>2455637</v>
      </c>
    </row>
    <row r="345" spans="1:15">
      <c r="A345" s="1653">
        <v>2049</v>
      </c>
      <c r="B345" s="1653">
        <v>11</v>
      </c>
      <c r="C345" s="567">
        <v>54728</v>
      </c>
      <c r="E345" s="1659">
        <v>1220560</v>
      </c>
      <c r="F345" s="1660">
        <v>1218410</v>
      </c>
      <c r="G345" s="1660">
        <v>60199</v>
      </c>
      <c r="H345" s="1660">
        <v>5638</v>
      </c>
      <c r="I345" s="1660">
        <v>673</v>
      </c>
      <c r="J345" s="1660">
        <v>2505480</v>
      </c>
      <c r="K345" s="1660">
        <v>197303</v>
      </c>
      <c r="L345" s="1660">
        <v>2702783</v>
      </c>
      <c r="M345" s="1660">
        <v>1832</v>
      </c>
      <c r="N345" s="1660">
        <v>144</v>
      </c>
      <c r="O345" s="1661">
        <v>2704759</v>
      </c>
    </row>
    <row r="346" spans="1:15">
      <c r="A346" s="1653">
        <v>2049</v>
      </c>
      <c r="B346" s="1653">
        <v>12</v>
      </c>
      <c r="C346" s="567">
        <v>54758</v>
      </c>
      <c r="E346" s="1659">
        <v>1548744</v>
      </c>
      <c r="F346" s="1660">
        <v>1414380</v>
      </c>
      <c r="G346" s="1660">
        <v>62176</v>
      </c>
      <c r="H346" s="1660">
        <v>6304</v>
      </c>
      <c r="I346" s="1660">
        <v>881</v>
      </c>
      <c r="J346" s="1660">
        <v>3032485</v>
      </c>
      <c r="K346" s="1660">
        <v>238804</v>
      </c>
      <c r="L346" s="1660">
        <v>3271289</v>
      </c>
      <c r="M346" s="1660">
        <v>1718</v>
      </c>
      <c r="N346" s="1660">
        <v>135</v>
      </c>
      <c r="O346" s="1661">
        <v>3273142</v>
      </c>
    </row>
    <row r="347" spans="1:15">
      <c r="A347" s="1653">
        <v>2050</v>
      </c>
      <c r="B347" s="1653">
        <v>1</v>
      </c>
      <c r="C347" s="567">
        <v>54789</v>
      </c>
      <c r="E347" s="1659">
        <v>1549755</v>
      </c>
      <c r="F347" s="1660">
        <v>1380053</v>
      </c>
      <c r="G347" s="1660">
        <v>64205</v>
      </c>
      <c r="H347" s="1660">
        <v>6506</v>
      </c>
      <c r="I347" s="1660">
        <v>996</v>
      </c>
      <c r="J347" s="1660">
        <v>3001515</v>
      </c>
      <c r="K347" s="1660">
        <v>236365</v>
      </c>
      <c r="L347" s="1660">
        <v>3237880</v>
      </c>
      <c r="M347" s="1660">
        <v>2325</v>
      </c>
      <c r="N347" s="1660">
        <v>183</v>
      </c>
      <c r="O347" s="1661">
        <v>3240388</v>
      </c>
    </row>
    <row r="348" spans="1:15">
      <c r="A348" s="1653">
        <v>2050</v>
      </c>
      <c r="B348" s="1653">
        <v>2</v>
      </c>
      <c r="C348" s="567">
        <v>54820</v>
      </c>
      <c r="E348" s="1659">
        <v>1270512</v>
      </c>
      <c r="F348" s="1660">
        <v>1188414</v>
      </c>
      <c r="G348" s="1660">
        <v>59018</v>
      </c>
      <c r="H348" s="1660">
        <v>5633</v>
      </c>
      <c r="I348" s="1660">
        <v>863</v>
      </c>
      <c r="J348" s="1660">
        <v>2524440</v>
      </c>
      <c r="K348" s="1660">
        <v>198796</v>
      </c>
      <c r="L348" s="1660">
        <v>2723236</v>
      </c>
      <c r="M348" s="1660">
        <v>2433</v>
      </c>
      <c r="N348" s="1660">
        <v>192</v>
      </c>
      <c r="O348" s="1661">
        <v>2725861</v>
      </c>
    </row>
    <row r="349" spans="1:15">
      <c r="A349" s="1653">
        <v>2050</v>
      </c>
      <c r="B349" s="1653">
        <v>3</v>
      </c>
      <c r="C349" s="567">
        <v>54848</v>
      </c>
      <c r="E349" s="1659">
        <v>1291465</v>
      </c>
      <c r="F349" s="1660">
        <v>1296313</v>
      </c>
      <c r="G349" s="1660">
        <v>64639</v>
      </c>
      <c r="H349" s="1660">
        <v>6719</v>
      </c>
      <c r="I349" s="1660">
        <v>857</v>
      </c>
      <c r="J349" s="1660">
        <v>2659993</v>
      </c>
      <c r="K349" s="1660">
        <v>209471</v>
      </c>
      <c r="L349" s="1660">
        <v>2869464</v>
      </c>
      <c r="M349" s="1660">
        <v>2339</v>
      </c>
      <c r="N349" s="1660">
        <v>184</v>
      </c>
      <c r="O349" s="1661">
        <v>2871987</v>
      </c>
    </row>
    <row r="350" spans="1:15">
      <c r="A350" s="1653">
        <v>2050</v>
      </c>
      <c r="B350" s="1653">
        <v>4</v>
      </c>
      <c r="C350" s="567">
        <v>54879</v>
      </c>
      <c r="E350" s="1659">
        <v>1030742</v>
      </c>
      <c r="F350" s="1660">
        <v>1140844</v>
      </c>
      <c r="G350" s="1660">
        <v>60487</v>
      </c>
      <c r="H350" s="1660">
        <v>6049</v>
      </c>
      <c r="I350" s="1660">
        <v>704</v>
      </c>
      <c r="J350" s="1660">
        <v>2238826</v>
      </c>
      <c r="K350" s="1660">
        <v>176305</v>
      </c>
      <c r="L350" s="1660">
        <v>2415131</v>
      </c>
      <c r="M350" s="1660">
        <v>2172</v>
      </c>
      <c r="N350" s="1660">
        <v>171</v>
      </c>
      <c r="O350" s="1661">
        <v>2417474</v>
      </c>
    </row>
    <row r="351" spans="1:15">
      <c r="A351" s="1653">
        <v>2050</v>
      </c>
      <c r="B351" s="1653">
        <v>5</v>
      </c>
      <c r="C351" s="567">
        <v>54909</v>
      </c>
      <c r="E351" s="1659">
        <v>945584</v>
      </c>
      <c r="F351" s="1660">
        <v>1115205</v>
      </c>
      <c r="G351" s="1660">
        <v>57920</v>
      </c>
      <c r="H351" s="1660">
        <v>6007</v>
      </c>
      <c r="I351" s="1660">
        <v>558</v>
      </c>
      <c r="J351" s="1660">
        <v>2125274</v>
      </c>
      <c r="K351" s="1660">
        <v>167362</v>
      </c>
      <c r="L351" s="1660">
        <v>2292636</v>
      </c>
      <c r="M351" s="1660">
        <v>2174</v>
      </c>
      <c r="N351" s="1660">
        <v>171</v>
      </c>
      <c r="O351" s="1661">
        <v>2294981</v>
      </c>
    </row>
    <row r="352" spans="1:15">
      <c r="A352" s="1653">
        <v>2050</v>
      </c>
      <c r="B352" s="1653">
        <v>6</v>
      </c>
      <c r="C352" s="567">
        <v>54940</v>
      </c>
      <c r="E352" s="1659">
        <v>945785</v>
      </c>
      <c r="F352" s="1660">
        <v>1086698</v>
      </c>
      <c r="G352" s="1660">
        <v>63996</v>
      </c>
      <c r="H352" s="1660">
        <v>5302</v>
      </c>
      <c r="I352" s="1660">
        <v>430</v>
      </c>
      <c r="J352" s="1660">
        <v>2102211</v>
      </c>
      <c r="K352" s="1660">
        <v>165546</v>
      </c>
      <c r="L352" s="1660">
        <v>2267757</v>
      </c>
      <c r="M352" s="1660">
        <v>1787</v>
      </c>
      <c r="N352" s="1660">
        <v>141</v>
      </c>
      <c r="O352" s="1661">
        <v>2269685</v>
      </c>
    </row>
    <row r="353" spans="1:15">
      <c r="A353" s="1653">
        <v>2050</v>
      </c>
      <c r="B353" s="1653">
        <v>7</v>
      </c>
      <c r="C353" s="567">
        <v>54970</v>
      </c>
      <c r="E353" s="1659">
        <v>1155064</v>
      </c>
      <c r="F353" s="1660">
        <v>1201561</v>
      </c>
      <c r="G353" s="1660">
        <v>66465</v>
      </c>
      <c r="H353" s="1660">
        <v>6144</v>
      </c>
      <c r="I353" s="1660">
        <v>291</v>
      </c>
      <c r="J353" s="1660">
        <v>2429525</v>
      </c>
      <c r="K353" s="1660">
        <v>191322</v>
      </c>
      <c r="L353" s="1660">
        <v>2620847</v>
      </c>
      <c r="M353" s="1660">
        <v>2889</v>
      </c>
      <c r="N353" s="1660">
        <v>228</v>
      </c>
      <c r="O353" s="1661">
        <v>2623964</v>
      </c>
    </row>
    <row r="354" spans="1:15">
      <c r="A354" s="1653">
        <v>2050</v>
      </c>
      <c r="B354" s="1653">
        <v>8</v>
      </c>
      <c r="C354" s="567">
        <v>55001</v>
      </c>
      <c r="E354" s="1659">
        <v>1178571</v>
      </c>
      <c r="F354" s="1660">
        <v>1194491</v>
      </c>
      <c r="G354" s="1660">
        <v>66512</v>
      </c>
      <c r="H354" s="1660">
        <v>5652</v>
      </c>
      <c r="I354" s="1660">
        <v>290</v>
      </c>
      <c r="J354" s="1660">
        <v>2445516</v>
      </c>
      <c r="K354" s="1660">
        <v>192581</v>
      </c>
      <c r="L354" s="1660">
        <v>2638097</v>
      </c>
      <c r="M354" s="1660">
        <v>1634</v>
      </c>
      <c r="N354" s="1660">
        <v>129</v>
      </c>
      <c r="O354" s="1661">
        <v>2639860</v>
      </c>
    </row>
    <row r="355" spans="1:15">
      <c r="A355" s="1653">
        <v>2050</v>
      </c>
      <c r="B355" s="1653">
        <v>9</v>
      </c>
      <c r="C355" s="567">
        <v>55032</v>
      </c>
      <c r="E355" s="1659">
        <v>1003426</v>
      </c>
      <c r="F355" s="1660">
        <v>1113700</v>
      </c>
      <c r="G355" s="1660">
        <v>62969</v>
      </c>
      <c r="H355" s="1660">
        <v>5762</v>
      </c>
      <c r="I355" s="1660">
        <v>318</v>
      </c>
      <c r="J355" s="1660">
        <v>2186175</v>
      </c>
      <c r="K355" s="1660">
        <v>172158</v>
      </c>
      <c r="L355" s="1660">
        <v>2358333</v>
      </c>
      <c r="M355" s="1660">
        <v>1428</v>
      </c>
      <c r="N355" s="1660">
        <v>112</v>
      </c>
      <c r="O355" s="1661">
        <v>2359873</v>
      </c>
    </row>
    <row r="356" spans="1:15">
      <c r="A356" s="1653">
        <v>2050</v>
      </c>
      <c r="B356" s="1653">
        <v>10</v>
      </c>
      <c r="C356" s="567">
        <v>55062</v>
      </c>
      <c r="E356" s="1659">
        <v>1050486</v>
      </c>
      <c r="F356" s="1660">
        <v>1177942</v>
      </c>
      <c r="G356" s="1660">
        <v>62237</v>
      </c>
      <c r="H356" s="1660">
        <v>6489</v>
      </c>
      <c r="I356" s="1660">
        <v>497</v>
      </c>
      <c r="J356" s="1660">
        <v>2297651</v>
      </c>
      <c r="K356" s="1660">
        <v>180937</v>
      </c>
      <c r="L356" s="1660">
        <v>2478588</v>
      </c>
      <c r="M356" s="1660">
        <v>1830</v>
      </c>
      <c r="N356" s="1660">
        <v>144</v>
      </c>
      <c r="O356" s="1661">
        <v>2480562</v>
      </c>
    </row>
    <row r="357" spans="1:15">
      <c r="A357" s="1653">
        <v>2050</v>
      </c>
      <c r="B357" s="1653">
        <v>11</v>
      </c>
      <c r="C357" s="567">
        <v>55093</v>
      </c>
      <c r="E357" s="1659">
        <v>1219302</v>
      </c>
      <c r="F357" s="1660">
        <v>1240275</v>
      </c>
      <c r="G357" s="1660">
        <v>59872</v>
      </c>
      <c r="H357" s="1660">
        <v>5547</v>
      </c>
      <c r="I357" s="1660">
        <v>673</v>
      </c>
      <c r="J357" s="1660">
        <v>2525669</v>
      </c>
      <c r="K357" s="1660">
        <v>198893</v>
      </c>
      <c r="L357" s="1660">
        <v>2724562</v>
      </c>
      <c r="M357" s="1660">
        <v>1832</v>
      </c>
      <c r="N357" s="1660">
        <v>144</v>
      </c>
      <c r="O357" s="1661">
        <v>2726538</v>
      </c>
    </row>
    <row r="358" spans="1:15" ht="12" thickBot="1">
      <c r="A358" s="1653">
        <v>2050</v>
      </c>
      <c r="B358" s="1653">
        <v>12</v>
      </c>
      <c r="C358" s="567">
        <v>55123</v>
      </c>
      <c r="E358" s="1662">
        <v>1554959</v>
      </c>
      <c r="F358" s="1663">
        <v>1445512</v>
      </c>
      <c r="G358" s="1663">
        <v>61851</v>
      </c>
      <c r="H358" s="1663">
        <v>6269</v>
      </c>
      <c r="I358" s="1663">
        <v>881</v>
      </c>
      <c r="J358" s="1663">
        <v>3069472</v>
      </c>
      <c r="K358" s="1663">
        <v>241717</v>
      </c>
      <c r="L358" s="1663">
        <v>3311189</v>
      </c>
      <c r="M358" s="1663">
        <v>1718</v>
      </c>
      <c r="N358" s="1663">
        <v>135</v>
      </c>
      <c r="O358" s="1664">
        <v>3313042</v>
      </c>
    </row>
  </sheetData>
  <mergeCells count="1">
    <mergeCell ref="E4:O4"/>
  </mergeCells>
  <pageMargins left="0.7" right="0.7" top="0.75" bottom="0.75" header="0.3" footer="0.3"/>
  <pageSetup orientation="portrait" horizontalDpi="360" verticalDpi="360" r:id="rId1"/>
  <customProperties>
    <customPr name="_pios_id" r:id="rId2"/>
  </customPropertie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23"/>
  <dimension ref="A1:T393"/>
  <sheetViews>
    <sheetView workbookViewId="0"/>
  </sheetViews>
  <sheetFormatPr defaultRowHeight="15.75"/>
  <cols>
    <col min="1" max="1" width="23.125" style="273" customWidth="1"/>
    <col min="2" max="2" width="54.25" style="273" customWidth="1"/>
    <col min="3" max="6" width="13" style="273" customWidth="1"/>
    <col min="7" max="7" width="15.875" style="273" customWidth="1"/>
    <col min="8" max="8" width="18.375" style="273" customWidth="1"/>
    <col min="9" max="10" width="15.5" style="273" customWidth="1"/>
  </cols>
  <sheetData>
    <row r="1" spans="1:20" ht="16.5" thickTop="1">
      <c r="A1" s="27" t="str">
        <f>'Sch 1- Rate Base '!A1:J1</f>
        <v>BONNEVILLE POWER ADMINISTRATION</v>
      </c>
      <c r="B1" s="353"/>
      <c r="C1" s="354"/>
      <c r="D1" s="354"/>
      <c r="E1" s="354"/>
      <c r="F1" s="354"/>
      <c r="G1" s="354"/>
      <c r="H1" s="354"/>
      <c r="I1" s="354"/>
      <c r="J1" s="355"/>
    </row>
    <row r="2" spans="1:20">
      <c r="A2" s="27" t="str">
        <f>'Sch 1- Rate Base '!A2:J2</f>
        <v>RESIDENTIAL PURCHASE AND SALES AGREEMENT</v>
      </c>
      <c r="B2" s="27"/>
      <c r="C2" s="356"/>
      <c r="D2" s="356"/>
      <c r="E2" s="356"/>
      <c r="F2" s="356"/>
      <c r="G2" s="356"/>
      <c r="H2" s="356"/>
      <c r="I2" s="356"/>
      <c r="J2" s="357"/>
    </row>
    <row r="3" spans="1:20">
      <c r="A3" s="27" t="str">
        <f>'Sch 1- Rate Base '!A3:J3</f>
        <v>2008 Average System Cost Methodology (ASCM) Appendix 1</v>
      </c>
      <c r="B3" s="2"/>
      <c r="C3" s="1"/>
      <c r="D3" s="1"/>
      <c r="E3" s="2"/>
      <c r="F3" s="2"/>
      <c r="G3" s="3"/>
      <c r="H3" s="4"/>
      <c r="I3" s="4"/>
      <c r="J3" s="39"/>
    </row>
    <row r="4" spans="1:20" ht="16.5" thickBot="1">
      <c r="A4" s="38"/>
      <c r="B4" s="2"/>
      <c r="C4" s="1"/>
      <c r="D4" s="1"/>
      <c r="E4" s="2"/>
      <c r="F4" s="2"/>
      <c r="G4" s="3"/>
      <c r="H4" s="4"/>
      <c r="I4" s="4"/>
      <c r="J4" s="39"/>
    </row>
    <row r="5" spans="1:20">
      <c r="A5" s="358"/>
      <c r="B5" s="47"/>
      <c r="C5" s="47"/>
      <c r="D5" s="114" t="str">
        <f>'Sch 1- Rate Base '!D5</f>
        <v>UTILITY NAME:</v>
      </c>
      <c r="E5" s="141" t="str">
        <f>'Sch 1- Rate Base '!E5:G5</f>
        <v>PUGET SOUND ENERGY</v>
      </c>
      <c r="F5" s="142"/>
      <c r="G5" s="143"/>
      <c r="H5" s="47"/>
      <c r="I5" s="47"/>
      <c r="J5" s="359"/>
    </row>
    <row r="6" spans="1:20">
      <c r="A6" s="360"/>
      <c r="B6" s="47"/>
      <c r="C6" s="47"/>
      <c r="D6" s="114" t="str">
        <f>'Sch 1- Rate Base '!D6</f>
        <v>End of Year Report Period:</v>
      </c>
      <c r="E6" s="144">
        <f>'Sch 1- Rate Base '!E6:G6</f>
        <v>2023</v>
      </c>
      <c r="F6" s="145"/>
      <c r="G6" s="146"/>
      <c r="H6" s="47"/>
      <c r="I6" s="47"/>
      <c r="J6" s="359"/>
    </row>
    <row r="7" spans="1:20" ht="16.5" thickBot="1">
      <c r="A7" s="360"/>
      <c r="B7" s="47"/>
      <c r="C7" s="47"/>
      <c r="D7" s="114" t="str">
        <f>'Sch 1- Rate Base '!D7</f>
        <v>ASC Filing Date:</v>
      </c>
      <c r="E7" s="147">
        <f>'Sch 1- Rate Base '!E7:G7</f>
        <v>45474</v>
      </c>
      <c r="F7" s="148"/>
      <c r="G7" s="149"/>
      <c r="H7" s="47"/>
      <c r="I7" s="47"/>
      <c r="J7" s="359"/>
      <c r="M7" t="s">
        <v>270</v>
      </c>
      <c r="N7" t="s">
        <v>96</v>
      </c>
      <c r="O7" s="273" t="s">
        <v>823</v>
      </c>
      <c r="P7" s="273" t="s">
        <v>824</v>
      </c>
      <c r="Q7" t="s">
        <v>104</v>
      </c>
      <c r="R7" t="s">
        <v>105</v>
      </c>
      <c r="S7" t="s">
        <v>106</v>
      </c>
      <c r="T7" s="273" t="s">
        <v>511</v>
      </c>
    </row>
    <row r="8" spans="1:20">
      <c r="A8" s="361"/>
      <c r="B8" s="2"/>
      <c r="C8" s="1"/>
      <c r="D8" s="1"/>
      <c r="E8" s="2"/>
      <c r="F8" s="2"/>
      <c r="G8" s="3"/>
      <c r="H8" s="4"/>
      <c r="I8" s="4"/>
      <c r="J8" s="362"/>
    </row>
    <row r="9" spans="1:20">
      <c r="A9" s="363"/>
      <c r="B9" s="364"/>
      <c r="C9" s="365"/>
      <c r="D9" s="364"/>
      <c r="E9" s="35"/>
      <c r="F9" s="35"/>
      <c r="G9" s="3"/>
      <c r="J9" s="366"/>
    </row>
    <row r="10" spans="1:20">
      <c r="A10" s="363"/>
      <c r="H10" s="367">
        <f>E6</f>
        <v>2023</v>
      </c>
      <c r="I10" s="368" t="str">
        <f>"End-of-Year  -  " &amp; H10</f>
        <v>End-of-Year  -  2023</v>
      </c>
      <c r="J10" s="369"/>
    </row>
    <row r="11" spans="1:20" ht="16.5" thickBot="1">
      <c r="A11" s="363"/>
      <c r="J11" s="366"/>
    </row>
    <row r="12" spans="1:20" ht="16.5" thickBot="1">
      <c r="A12" s="4188" t="s">
        <v>100</v>
      </c>
      <c r="B12" s="4189"/>
      <c r="C12" s="90" t="s">
        <v>274</v>
      </c>
      <c r="D12" s="91"/>
      <c r="E12" s="83" t="s">
        <v>350</v>
      </c>
      <c r="F12" s="84"/>
      <c r="G12" s="4192" t="s">
        <v>104</v>
      </c>
      <c r="H12" s="4192" t="s">
        <v>105</v>
      </c>
      <c r="I12" s="4192" t="s">
        <v>106</v>
      </c>
      <c r="J12" s="4194" t="s">
        <v>716</v>
      </c>
      <c r="K12" s="4187"/>
    </row>
    <row r="13" spans="1:20" ht="16.5" thickBot="1">
      <c r="A13" s="4190"/>
      <c r="B13" s="4191"/>
      <c r="C13" s="79" t="s">
        <v>270</v>
      </c>
      <c r="D13" s="79" t="s">
        <v>96</v>
      </c>
      <c r="E13" s="85" t="s">
        <v>449</v>
      </c>
      <c r="F13" s="86"/>
      <c r="G13" s="4193"/>
      <c r="H13" s="4193"/>
      <c r="I13" s="4193"/>
      <c r="J13" s="4195"/>
      <c r="K13" s="4187"/>
    </row>
    <row r="14" spans="1:20" ht="16.5" thickBot="1">
      <c r="A14" s="4190"/>
      <c r="B14" s="4191"/>
      <c r="C14" s="79" t="s">
        <v>271</v>
      </c>
      <c r="D14" s="79" t="s">
        <v>250</v>
      </c>
      <c r="E14" s="79" t="s">
        <v>348</v>
      </c>
      <c r="F14" s="79" t="s">
        <v>349</v>
      </c>
      <c r="G14" s="4193"/>
      <c r="H14" s="4193"/>
      <c r="I14" s="4193"/>
      <c r="J14" s="4196"/>
      <c r="K14" s="4187"/>
    </row>
    <row r="15" spans="1:20" ht="16.5" thickTop="1">
      <c r="A15" s="57" t="s">
        <v>472</v>
      </c>
      <c r="B15" s="37"/>
      <c r="C15" s="305"/>
      <c r="D15" s="305"/>
      <c r="E15" s="305"/>
      <c r="F15" s="305"/>
      <c r="G15" s="306"/>
      <c r="H15" s="306"/>
      <c r="I15" s="306"/>
      <c r="J15" s="307"/>
    </row>
    <row r="16" spans="1:20">
      <c r="A16" s="150"/>
      <c r="B16" s="65" t="s">
        <v>145</v>
      </c>
      <c r="C16" s="70" t="str">
        <f>'Sch 1- Rate Base '!C16</f>
        <v>204-207</v>
      </c>
      <c r="D16" s="48">
        <f>'Sch 1- Rate Base '!D16</f>
        <v>301</v>
      </c>
      <c r="E16" s="50" t="str">
        <f>'Sch 1- Rate Base '!E16</f>
        <v>DIST</v>
      </c>
      <c r="F16" s="50" t="str">
        <f>'Sch 1- Rate Base '!F16</f>
        <v xml:space="preserve"> </v>
      </c>
      <c r="G16" s="71">
        <f>'Sch 1- Rate Base '!G16</f>
        <v>114202</v>
      </c>
      <c r="H16" s="71">
        <f>'Sch 1- Rate Base '!H16</f>
        <v>0</v>
      </c>
      <c r="I16" s="71">
        <f>'Sch 1- Rate Base '!I16</f>
        <v>0</v>
      </c>
      <c r="J16" s="285">
        <f>'Sch 1- Rate Base '!J16</f>
        <v>114202</v>
      </c>
    </row>
    <row r="17" spans="1:10">
      <c r="A17" s="150"/>
      <c r="B17" s="65" t="s">
        <v>146</v>
      </c>
      <c r="C17" s="70" t="str">
        <f>'Sch 1- Rate Base '!C17</f>
        <v>204-207</v>
      </c>
      <c r="D17" s="48">
        <f>'Sch 1- Rate Base '!D17</f>
        <v>302</v>
      </c>
      <c r="E17" s="50" t="str">
        <f>'Sch 1- Rate Base '!E17</f>
        <v>DIRECT</v>
      </c>
      <c r="F17" s="50" t="str">
        <f>'Sch 1- Rate Base '!F17</f>
        <v>PTD</v>
      </c>
      <c r="G17" s="370">
        <f>'Sch 1- Rate Base '!G17</f>
        <v>80196650</v>
      </c>
      <c r="H17" s="71">
        <f>'Sch 1- Rate Base '!H17</f>
        <v>55817303.479669861</v>
      </c>
      <c r="I17" s="71">
        <f>'Sch 1- Rate Base '!I17</f>
        <v>0</v>
      </c>
      <c r="J17" s="285">
        <f>'Sch 1- Rate Base '!J17</f>
        <v>24379345.720330127</v>
      </c>
    </row>
    <row r="18" spans="1:10">
      <c r="A18" s="150"/>
      <c r="B18" s="65" t="s">
        <v>147</v>
      </c>
      <c r="C18" s="70" t="str">
        <f>'Sch 1- Rate Base '!C18</f>
        <v>204-207</v>
      </c>
      <c r="D18" s="48">
        <f>'Sch 1- Rate Base '!D18</f>
        <v>303</v>
      </c>
      <c r="E18" s="50" t="str">
        <f>'Sch 1- Rate Base '!E18</f>
        <v>DIRECT</v>
      </c>
      <c r="F18" s="50" t="str">
        <f>'Sch 1- Rate Base '!F18</f>
        <v>DIST</v>
      </c>
      <c r="G18" s="370">
        <f>'Sch 1- Rate Base '!G18</f>
        <v>75530269</v>
      </c>
      <c r="H18" s="71">
        <f>'Sch 1- Rate Base '!H18</f>
        <v>10321488.568474432</v>
      </c>
      <c r="I18" s="71">
        <f>'Sch 1- Rate Base '!I18</f>
        <v>0</v>
      </c>
      <c r="J18" s="285">
        <f>'Sch 1- Rate Base '!J18</f>
        <v>65208779.001525573</v>
      </c>
    </row>
    <row r="19" spans="1:10">
      <c r="A19" s="41" t="s">
        <v>438</v>
      </c>
      <c r="B19" s="19"/>
      <c r="C19" s="105"/>
      <c r="D19" s="106"/>
      <c r="E19" s="106"/>
      <c r="F19" s="107"/>
      <c r="G19" s="116">
        <f>'Sch 1- Rate Base '!G19</f>
        <v>155841121</v>
      </c>
      <c r="H19" s="116">
        <f>'Sch 1- Rate Base '!H19</f>
        <v>66138792.048144296</v>
      </c>
      <c r="I19" s="116">
        <f>'Sch 1- Rate Base '!I19</f>
        <v>0</v>
      </c>
      <c r="J19" s="286">
        <f>'Sch 1- Rate Base '!J19</f>
        <v>89702326.7218557</v>
      </c>
    </row>
    <row r="20" spans="1:10">
      <c r="A20" s="154"/>
      <c r="B20" s="371"/>
      <c r="C20" s="372"/>
      <c r="D20" s="372"/>
      <c r="E20" s="155"/>
      <c r="F20" s="155"/>
      <c r="G20" s="373"/>
      <c r="H20" s="373"/>
      <c r="I20" s="373"/>
      <c r="J20" s="374"/>
    </row>
    <row r="21" spans="1:10">
      <c r="A21" s="57" t="s">
        <v>110</v>
      </c>
      <c r="B21" s="37"/>
      <c r="C21" s="13"/>
      <c r="D21" s="13"/>
      <c r="E21" s="13"/>
      <c r="F21" s="13"/>
      <c r="G21" s="34"/>
      <c r="H21" s="34"/>
      <c r="I21" s="34"/>
      <c r="J21" s="287"/>
    </row>
    <row r="22" spans="1:10">
      <c r="A22" s="158"/>
      <c r="B22" s="159" t="s">
        <v>111</v>
      </c>
      <c r="C22" s="70" t="str">
        <f>'Sch 1- Rate Base '!C22</f>
        <v>204-207</v>
      </c>
      <c r="D22" s="48" t="str">
        <f>'Sch 1- Rate Base '!D22</f>
        <v>310-317</v>
      </c>
      <c r="E22" s="50" t="str">
        <f>'Sch 1- Rate Base '!E22</f>
        <v>PROD</v>
      </c>
      <c r="F22" s="50">
        <f>'Sch 1- Rate Base '!F22</f>
        <v>0</v>
      </c>
      <c r="G22" s="370">
        <f>'Sch 1- Rate Base '!G22</f>
        <v>1034308926</v>
      </c>
      <c r="H22" s="71">
        <f>'Sch 1- Rate Base '!H22</f>
        <v>1034308926</v>
      </c>
      <c r="I22" s="71">
        <f>'Sch 1- Rate Base '!I22</f>
        <v>0</v>
      </c>
      <c r="J22" s="285">
        <f>'Sch 1- Rate Base '!J22</f>
        <v>0</v>
      </c>
    </row>
    <row r="23" spans="1:10">
      <c r="A23" s="158"/>
      <c r="B23" s="159" t="s">
        <v>113</v>
      </c>
      <c r="C23" s="70" t="str">
        <f>'Sch 1- Rate Base '!C23</f>
        <v>204-207</v>
      </c>
      <c r="D23" s="48" t="str">
        <f>'Sch 1- Rate Base '!D23</f>
        <v>320-326</v>
      </c>
      <c r="E23" s="50" t="str">
        <f>'Sch 1- Rate Base '!E23</f>
        <v>PROD</v>
      </c>
      <c r="F23" s="50">
        <f>'Sch 1- Rate Base '!F23</f>
        <v>0</v>
      </c>
      <c r="G23" s="370">
        <f>'Sch 1- Rate Base '!G23</f>
        <v>0</v>
      </c>
      <c r="H23" s="71">
        <f>'Sch 1- Rate Base '!H23</f>
        <v>0</v>
      </c>
      <c r="I23" s="71">
        <f>'Sch 1- Rate Base '!I23</f>
        <v>0</v>
      </c>
      <c r="J23" s="285">
        <f>'Sch 1- Rate Base '!J23</f>
        <v>0</v>
      </c>
    </row>
    <row r="24" spans="1:10">
      <c r="A24" s="158"/>
      <c r="B24" s="159" t="s">
        <v>115</v>
      </c>
      <c r="C24" s="70" t="str">
        <f>'Sch 1- Rate Base '!C24</f>
        <v>204-207</v>
      </c>
      <c r="D24" s="48" t="str">
        <f>'Sch 1- Rate Base '!D24</f>
        <v>330-337</v>
      </c>
      <c r="E24" s="50" t="str">
        <f>'Sch 1- Rate Base '!E24</f>
        <v>PROD</v>
      </c>
      <c r="F24" s="50">
        <f>'Sch 1- Rate Base '!F24</f>
        <v>0</v>
      </c>
      <c r="G24" s="370">
        <f>'Sch 1- Rate Base '!G24</f>
        <v>788941762</v>
      </c>
      <c r="H24" s="71">
        <f>'Sch 1- Rate Base '!H24</f>
        <v>788941762</v>
      </c>
      <c r="I24" s="71">
        <f>'Sch 1- Rate Base '!I24</f>
        <v>0</v>
      </c>
      <c r="J24" s="285">
        <f>'Sch 1- Rate Base '!J24</f>
        <v>0</v>
      </c>
    </row>
    <row r="25" spans="1:10">
      <c r="A25" s="158"/>
      <c r="B25" s="159" t="s">
        <v>117</v>
      </c>
      <c r="C25" s="70" t="str">
        <f>'Sch 1- Rate Base '!C25</f>
        <v>204-207</v>
      </c>
      <c r="D25" s="48" t="str">
        <f>'Sch 1- Rate Base '!D25</f>
        <v>340-348</v>
      </c>
      <c r="E25" s="50" t="str">
        <f>'Sch 1- Rate Base '!E25</f>
        <v>PROD</v>
      </c>
      <c r="F25" s="50">
        <f>'Sch 1- Rate Base '!F25</f>
        <v>0</v>
      </c>
      <c r="G25" s="370">
        <f>'Sch 1- Rate Base '!G25</f>
        <v>2079134143</v>
      </c>
      <c r="H25" s="71">
        <f>'Sch 1- Rate Base '!H25</f>
        <v>2079134143</v>
      </c>
      <c r="I25" s="71">
        <f>'Sch 1- Rate Base '!I25</f>
        <v>0</v>
      </c>
      <c r="J25" s="285">
        <f>'Sch 1- Rate Base '!J25</f>
        <v>0</v>
      </c>
    </row>
    <row r="26" spans="1:10">
      <c r="A26" s="41" t="s">
        <v>119</v>
      </c>
      <c r="B26" s="19"/>
      <c r="C26" s="105"/>
      <c r="D26" s="106"/>
      <c r="E26" s="106"/>
      <c r="F26" s="107"/>
      <c r="G26" s="103">
        <f>'Sch 1- Rate Base '!G26</f>
        <v>3902384831</v>
      </c>
      <c r="H26" s="103">
        <f>'Sch 1- Rate Base '!H26</f>
        <v>3902384831</v>
      </c>
      <c r="I26" s="104">
        <f>'Sch 1- Rate Base '!I26</f>
        <v>0</v>
      </c>
      <c r="J26" s="288">
        <f>'Sch 1- Rate Base '!J26</f>
        <v>0</v>
      </c>
    </row>
    <row r="27" spans="1:10">
      <c r="A27" s="154"/>
      <c r="B27" s="371"/>
      <c r="C27" s="372"/>
      <c r="D27" s="372"/>
      <c r="E27" s="155"/>
      <c r="F27" s="155"/>
      <c r="G27" s="375"/>
      <c r="H27" s="375"/>
      <c r="I27" s="375"/>
      <c r="J27" s="376"/>
    </row>
    <row r="28" spans="1:10">
      <c r="A28" s="57" t="s">
        <v>142</v>
      </c>
      <c r="B28" s="65"/>
      <c r="C28" s="15"/>
      <c r="D28" s="15"/>
      <c r="E28" s="47"/>
      <c r="F28" s="47"/>
      <c r="G28" s="156"/>
      <c r="H28" s="156"/>
      <c r="I28" s="156"/>
      <c r="J28" s="157"/>
    </row>
    <row r="29" spans="1:10">
      <c r="A29" s="158"/>
      <c r="B29" s="159" t="s">
        <v>496</v>
      </c>
      <c r="C29" s="70" t="str">
        <f>'Sch 1- Rate Base '!C29</f>
        <v>204-207</v>
      </c>
      <c r="D29" s="48" t="str">
        <f>'Sch 1- Rate Base '!D29</f>
        <v>350-359.1</v>
      </c>
      <c r="E29" s="50" t="str">
        <f>'Sch 1- Rate Base '!E29</f>
        <v>TRANS</v>
      </c>
      <c r="F29" s="50">
        <f>'Sch 1- Rate Base '!F29</f>
        <v>0</v>
      </c>
      <c r="G29" s="370">
        <f>'Sch 1- Rate Base '!G29</f>
        <v>1992381238</v>
      </c>
      <c r="H29" s="71">
        <f>'Sch 1- Rate Base '!H29</f>
        <v>0</v>
      </c>
      <c r="I29" s="71">
        <f>'Sch 1- Rate Base '!I29</f>
        <v>0</v>
      </c>
      <c r="J29" s="285">
        <f>'Sch 1- Rate Base '!J29</f>
        <v>1992381238</v>
      </c>
    </row>
    <row r="30" spans="1:10">
      <c r="A30" s="41" t="s">
        <v>121</v>
      </c>
      <c r="B30" s="19"/>
      <c r="C30" s="160"/>
      <c r="D30" s="161"/>
      <c r="E30" s="161"/>
      <c r="F30" s="162"/>
      <c r="G30" s="377"/>
      <c r="H30" s="377"/>
      <c r="I30" s="377"/>
      <c r="J30" s="378"/>
    </row>
    <row r="31" spans="1:10">
      <c r="A31" s="41"/>
      <c r="B31" s="19"/>
      <c r="C31" s="15"/>
      <c r="D31" s="15"/>
      <c r="E31" s="15"/>
      <c r="F31" s="15"/>
      <c r="G31" s="163"/>
      <c r="H31" s="163"/>
      <c r="I31" s="163"/>
      <c r="J31" s="164"/>
    </row>
    <row r="32" spans="1:10">
      <c r="A32" s="57" t="s">
        <v>471</v>
      </c>
      <c r="B32" s="65"/>
      <c r="C32" s="15"/>
      <c r="D32" s="15"/>
      <c r="E32" s="19"/>
      <c r="F32" s="19"/>
      <c r="G32" s="156"/>
      <c r="H32" s="156"/>
      <c r="I32" s="156"/>
      <c r="J32" s="157"/>
    </row>
    <row r="33" spans="1:10">
      <c r="A33" s="158"/>
      <c r="B33" s="159" t="s">
        <v>140</v>
      </c>
      <c r="C33" s="70" t="str">
        <f>'Sch 1- Rate Base '!C33</f>
        <v>204-207</v>
      </c>
      <c r="D33" s="48" t="str">
        <f>'Sch 1- Rate Base '!D33</f>
        <v>360-374</v>
      </c>
      <c r="E33" s="50" t="str">
        <f>'Sch 1- Rate Base '!E33</f>
        <v>DIST</v>
      </c>
      <c r="F33" s="50">
        <f>'Sch 1- Rate Base '!F33</f>
        <v>0</v>
      </c>
      <c r="G33" s="370">
        <f>'Sch 1- Rate Base '!G33</f>
        <v>5283922742</v>
      </c>
      <c r="H33" s="71">
        <f>'Sch 1- Rate Base '!H33</f>
        <v>0</v>
      </c>
      <c r="I33" s="71">
        <f>'Sch 1- Rate Base '!I33</f>
        <v>0</v>
      </c>
      <c r="J33" s="285">
        <f>'Sch 1- Rate Base '!J33</f>
        <v>5283922742</v>
      </c>
    </row>
    <row r="34" spans="1:10">
      <c r="A34" s="63" t="s">
        <v>122</v>
      </c>
      <c r="B34" s="65"/>
      <c r="C34" s="160"/>
      <c r="D34" s="161"/>
      <c r="E34" s="161"/>
      <c r="F34" s="162"/>
      <c r="G34" s="377"/>
      <c r="H34" s="377"/>
      <c r="I34" s="377"/>
      <c r="J34" s="378"/>
    </row>
    <row r="35" spans="1:10">
      <c r="A35" s="63"/>
      <c r="B35" s="65"/>
      <c r="C35" s="15"/>
      <c r="D35" s="15"/>
      <c r="E35" s="15"/>
      <c r="F35" s="15"/>
      <c r="G35" s="165"/>
      <c r="H35" s="165"/>
      <c r="I35" s="165"/>
      <c r="J35" s="166"/>
    </row>
    <row r="36" spans="1:10">
      <c r="A36" s="57" t="s">
        <v>124</v>
      </c>
      <c r="B36" s="19"/>
      <c r="C36" s="15"/>
      <c r="D36" s="54"/>
      <c r="E36" s="54"/>
      <c r="F36" s="54"/>
      <c r="G36" s="66"/>
      <c r="H36" s="66"/>
      <c r="I36" s="66"/>
      <c r="J36" s="67"/>
    </row>
    <row r="37" spans="1:10">
      <c r="A37" s="158"/>
      <c r="B37" s="6" t="s">
        <v>125</v>
      </c>
      <c r="C37" s="70" t="str">
        <f>'Sch 1- Rate Base '!C37</f>
        <v>204-207</v>
      </c>
      <c r="D37" s="48">
        <f>'Sch 1- Rate Base '!D37</f>
        <v>389</v>
      </c>
      <c r="E37" s="50" t="str">
        <f>'Sch 1- Rate Base '!E37</f>
        <v>PTD</v>
      </c>
      <c r="F37" s="50"/>
      <c r="G37" s="370">
        <f>'Sch 1- Rate Base '!G37</f>
        <v>5100521</v>
      </c>
      <c r="H37" s="71">
        <f>'Sch 1- Rate Base '!H37</f>
        <v>1780548.3377452032</v>
      </c>
      <c r="I37" s="71">
        <f>'Sch 1- Rate Base '!I37</f>
        <v>0</v>
      </c>
      <c r="J37" s="285">
        <f>'Sch 1- Rate Base '!J37</f>
        <v>3319972.6622547973</v>
      </c>
    </row>
    <row r="38" spans="1:10">
      <c r="A38" s="158"/>
      <c r="B38" s="6" t="s">
        <v>126</v>
      </c>
      <c r="C38" s="70" t="str">
        <f>'Sch 1- Rate Base '!C38</f>
        <v>204-207</v>
      </c>
      <c r="D38" s="48">
        <f>'Sch 1- Rate Base '!D38</f>
        <v>390</v>
      </c>
      <c r="E38" s="50" t="str">
        <f>'Sch 1- Rate Base '!E38</f>
        <v>PTD</v>
      </c>
      <c r="F38" s="50"/>
      <c r="G38" s="370">
        <f>'Sch 1- Rate Base '!G38</f>
        <v>126721170</v>
      </c>
      <c r="H38" s="71">
        <f>'Sch 1- Rate Base '!H38</f>
        <v>44237278.623228356</v>
      </c>
      <c r="I38" s="71">
        <f>'Sch 1- Rate Base '!I38</f>
        <v>0</v>
      </c>
      <c r="J38" s="285">
        <f>'Sch 1- Rate Base '!J38</f>
        <v>82483891.376771659</v>
      </c>
    </row>
    <row r="39" spans="1:10">
      <c r="A39" s="158"/>
      <c r="B39" s="6" t="s">
        <v>127</v>
      </c>
      <c r="C39" s="70" t="str">
        <f>'Sch 1- Rate Base '!C39</f>
        <v>204-207</v>
      </c>
      <c r="D39" s="48">
        <f>'Sch 1- Rate Base '!D39</f>
        <v>391</v>
      </c>
      <c r="E39" s="50" t="str">
        <f>'Sch 1- Rate Base '!E39</f>
        <v>LABOR</v>
      </c>
      <c r="F39" s="50"/>
      <c r="G39" s="370">
        <f>'Sch 1- Rate Base '!G39</f>
        <v>31597697</v>
      </c>
      <c r="H39" s="71">
        <f>'Sch 1- Rate Base '!H39</f>
        <v>10737849.558694087</v>
      </c>
      <c r="I39" s="71">
        <f>'Sch 1- Rate Base '!I39</f>
        <v>0</v>
      </c>
      <c r="J39" s="285">
        <f>'Sch 1- Rate Base '!J39</f>
        <v>20859847.441305913</v>
      </c>
    </row>
    <row r="40" spans="1:10">
      <c r="A40" s="158"/>
      <c r="B40" s="6" t="s">
        <v>128</v>
      </c>
      <c r="C40" s="70" t="str">
        <f>'Sch 1- Rate Base '!C40</f>
        <v>204-207</v>
      </c>
      <c r="D40" s="48">
        <f>'Sch 1- Rate Base '!D40</f>
        <v>392</v>
      </c>
      <c r="E40" s="50" t="str">
        <f>'Sch 1- Rate Base '!E40</f>
        <v>TD</v>
      </c>
      <c r="F40" s="50"/>
      <c r="G40" s="370">
        <f>'Sch 1- Rate Base '!G40</f>
        <v>3994065</v>
      </c>
      <c r="H40" s="71">
        <f>'Sch 1- Rate Base '!H40</f>
        <v>0</v>
      </c>
      <c r="I40" s="71">
        <f>'Sch 1- Rate Base '!I40</f>
        <v>0</v>
      </c>
      <c r="J40" s="285">
        <f>'Sch 1- Rate Base '!J40</f>
        <v>3994065</v>
      </c>
    </row>
    <row r="41" spans="1:10">
      <c r="A41" s="158"/>
      <c r="B41" s="6" t="s">
        <v>129</v>
      </c>
      <c r="C41" s="70" t="str">
        <f>'Sch 1- Rate Base '!C41</f>
        <v>204-207</v>
      </c>
      <c r="D41" s="48">
        <f>'Sch 1- Rate Base '!D41</f>
        <v>393</v>
      </c>
      <c r="E41" s="50" t="str">
        <f>'Sch 1- Rate Base '!E41</f>
        <v>PTD</v>
      </c>
      <c r="F41" s="50"/>
      <c r="G41" s="370">
        <f>'Sch 1- Rate Base '!G41</f>
        <v>1969191</v>
      </c>
      <c r="H41" s="71">
        <f>'Sch 1- Rate Base '!H41</f>
        <v>687427.76703650749</v>
      </c>
      <c r="I41" s="71">
        <f>'Sch 1- Rate Base '!I41</f>
        <v>0</v>
      </c>
      <c r="J41" s="285">
        <f>'Sch 1- Rate Base '!J41</f>
        <v>1281763.2329634926</v>
      </c>
    </row>
    <row r="42" spans="1:10">
      <c r="A42" s="158"/>
      <c r="B42" s="6" t="s">
        <v>130</v>
      </c>
      <c r="C42" s="70" t="str">
        <f>'Sch 1- Rate Base '!C42</f>
        <v>204-207</v>
      </c>
      <c r="D42" s="48">
        <f>'Sch 1- Rate Base '!D42</f>
        <v>394</v>
      </c>
      <c r="E42" s="50" t="str">
        <f>'Sch 1- Rate Base '!E42</f>
        <v>PTD</v>
      </c>
      <c r="F42" s="50"/>
      <c r="G42" s="370">
        <f>'Sch 1- Rate Base '!G42</f>
        <v>32372182</v>
      </c>
      <c r="H42" s="71">
        <f>'Sch 1- Rate Base '!H42</f>
        <v>11300852.373568345</v>
      </c>
      <c r="I42" s="71">
        <f>'Sch 1- Rate Base '!I42</f>
        <v>0</v>
      </c>
      <c r="J42" s="285">
        <f>'Sch 1- Rate Base '!J42</f>
        <v>21071329.626431659</v>
      </c>
    </row>
    <row r="43" spans="1:10">
      <c r="A43" s="158"/>
      <c r="B43" s="6" t="s">
        <v>131</v>
      </c>
      <c r="C43" s="70" t="str">
        <f>'Sch 1- Rate Base '!C43</f>
        <v>204-207</v>
      </c>
      <c r="D43" s="48">
        <f>'Sch 1- Rate Base '!D43</f>
        <v>395</v>
      </c>
      <c r="E43" s="50" t="str">
        <f>'Sch 1- Rate Base '!E43</f>
        <v>PTD</v>
      </c>
      <c r="F43" s="50"/>
      <c r="G43" s="370">
        <f>'Sch 1- Rate Base '!G43</f>
        <v>5973622</v>
      </c>
      <c r="H43" s="71">
        <f>'Sch 1- Rate Base '!H43</f>
        <v>2085340.4431465287</v>
      </c>
      <c r="I43" s="71">
        <f>'Sch 1- Rate Base '!I43</f>
        <v>0</v>
      </c>
      <c r="J43" s="285">
        <f>'Sch 1- Rate Base '!J43</f>
        <v>3888281.5568534718</v>
      </c>
    </row>
    <row r="44" spans="1:10">
      <c r="A44" s="158"/>
      <c r="B44" s="6" t="s">
        <v>132</v>
      </c>
      <c r="C44" s="70" t="str">
        <f>'Sch 1- Rate Base '!C44</f>
        <v>204-207</v>
      </c>
      <c r="D44" s="48">
        <f>'Sch 1- Rate Base '!D44</f>
        <v>396</v>
      </c>
      <c r="E44" s="50" t="str">
        <f>'Sch 1- Rate Base '!E44</f>
        <v>TD</v>
      </c>
      <c r="F44" s="50"/>
      <c r="G44" s="370">
        <f>'Sch 1- Rate Base '!G44</f>
        <v>2715513</v>
      </c>
      <c r="H44" s="71">
        <f>'Sch 1- Rate Base '!H44</f>
        <v>0</v>
      </c>
      <c r="I44" s="71">
        <f>'Sch 1- Rate Base '!I44</f>
        <v>0</v>
      </c>
      <c r="J44" s="285">
        <f>'Sch 1- Rate Base '!J44</f>
        <v>2715513</v>
      </c>
    </row>
    <row r="45" spans="1:10">
      <c r="A45" s="158"/>
      <c r="B45" s="6" t="s">
        <v>133</v>
      </c>
      <c r="C45" s="70" t="str">
        <f>'Sch 1- Rate Base '!C45</f>
        <v>204-207</v>
      </c>
      <c r="D45" s="48">
        <f>'Sch 1- Rate Base '!D45</f>
        <v>397</v>
      </c>
      <c r="E45" s="50" t="str">
        <f>'Sch 1- Rate Base '!E45</f>
        <v>PTD</v>
      </c>
      <c r="F45" s="50"/>
      <c r="G45" s="370">
        <f>'Sch 1- Rate Base '!G45</f>
        <v>105832047</v>
      </c>
      <c r="H45" s="71">
        <f>'Sch 1- Rate Base '!H45</f>
        <v>36945064.11521925</v>
      </c>
      <c r="I45" s="71">
        <f>'Sch 1- Rate Base '!I45</f>
        <v>0</v>
      </c>
      <c r="J45" s="285">
        <f>'Sch 1- Rate Base '!J45</f>
        <v>68886982.88478075</v>
      </c>
    </row>
    <row r="46" spans="1:10">
      <c r="A46" s="158"/>
      <c r="B46" s="6" t="s">
        <v>134</v>
      </c>
      <c r="C46" s="70" t="str">
        <f>'Sch 1- Rate Base '!C46</f>
        <v>204-207</v>
      </c>
      <c r="D46" s="48">
        <f>'Sch 1- Rate Base '!D46</f>
        <v>398</v>
      </c>
      <c r="E46" s="50" t="str">
        <f>'Sch 1- Rate Base '!E46</f>
        <v>PTD</v>
      </c>
      <c r="F46" s="50"/>
      <c r="G46" s="370">
        <f>'Sch 1- Rate Base '!G46</f>
        <v>381575</v>
      </c>
      <c r="H46" s="71">
        <f>'Sch 1- Rate Base '!H46</f>
        <v>133204.57497873763</v>
      </c>
      <c r="I46" s="71">
        <f>'Sch 1- Rate Base '!I46</f>
        <v>0</v>
      </c>
      <c r="J46" s="285">
        <f>'Sch 1- Rate Base '!J46</f>
        <v>248370.42502126237</v>
      </c>
    </row>
    <row r="47" spans="1:10">
      <c r="A47" s="158"/>
      <c r="B47" s="6" t="s">
        <v>254</v>
      </c>
      <c r="C47" s="70" t="str">
        <f>'Sch 1- Rate Base '!C47</f>
        <v>204-207</v>
      </c>
      <c r="D47" s="48">
        <f>'Sch 1- Rate Base '!D47</f>
        <v>399</v>
      </c>
      <c r="E47" s="50" t="str">
        <f>'Sch 1- Rate Base '!E47</f>
        <v>DIRECT</v>
      </c>
      <c r="F47" s="50" t="str">
        <f>'Sch 1- Rate Base '!F47</f>
        <v>PTD</v>
      </c>
      <c r="G47" s="370">
        <f>'Sch 1- Rate Base '!G47</f>
        <v>0</v>
      </c>
      <c r="H47" s="71">
        <f>'Sch 1- Rate Base '!H47</f>
        <v>0</v>
      </c>
      <c r="I47" s="71">
        <f>'Sch 1- Rate Base '!I47</f>
        <v>0</v>
      </c>
      <c r="J47" s="285">
        <f>'Sch 1- Rate Base '!J47</f>
        <v>0</v>
      </c>
    </row>
    <row r="48" spans="1:10">
      <c r="A48" s="158"/>
      <c r="B48" s="6" t="s">
        <v>441</v>
      </c>
      <c r="C48" s="70" t="str">
        <f>'Sch 1- Rate Base '!C48</f>
        <v>204-207</v>
      </c>
      <c r="D48" s="48">
        <f>'Sch 1- Rate Base '!D48</f>
        <v>399.1</v>
      </c>
      <c r="E48" s="50" t="str">
        <f>'Sch 1- Rate Base '!E48</f>
        <v>PTD</v>
      </c>
      <c r="F48" s="50"/>
      <c r="G48" s="370">
        <f>'Sch 1- Rate Base '!G48</f>
        <v>0</v>
      </c>
      <c r="H48" s="71">
        <f>'Sch 1- Rate Base '!H48</f>
        <v>0</v>
      </c>
      <c r="I48" s="71">
        <f>'Sch 1- Rate Base '!I48</f>
        <v>0</v>
      </c>
      <c r="J48" s="285">
        <f>'Sch 1- Rate Base '!J48</f>
        <v>0</v>
      </c>
    </row>
    <row r="49" spans="1:10">
      <c r="A49" s="40"/>
      <c r="B49" s="6"/>
      <c r="C49" s="15"/>
      <c r="D49" s="54"/>
      <c r="E49" s="54"/>
      <c r="F49" s="54"/>
      <c r="G49" s="167"/>
      <c r="H49" s="56"/>
      <c r="I49" s="56"/>
      <c r="J49" s="58"/>
    </row>
    <row r="50" spans="1:10" ht="16.5" thickBot="1">
      <c r="A50" s="63" t="s">
        <v>135</v>
      </c>
      <c r="B50" s="19"/>
      <c r="C50" s="442"/>
      <c r="D50" s="160"/>
      <c r="E50" s="160"/>
      <c r="F50" s="160"/>
      <c r="G50" s="120">
        <f>'Sch 1- Rate Base '!G50</f>
        <v>316657583</v>
      </c>
      <c r="H50" s="120">
        <f>'Sch 1- Rate Base '!H50</f>
        <v>107907565.79361701</v>
      </c>
      <c r="I50" s="120">
        <f>'Sch 1- Rate Base '!I50</f>
        <v>0</v>
      </c>
      <c r="J50" s="120">
        <f>'Sch 1- Rate Base '!J50</f>
        <v>208750017.20638302</v>
      </c>
    </row>
    <row r="51" spans="1:10" ht="16.5" thickTop="1">
      <c r="A51" s="168"/>
      <c r="B51" s="19"/>
      <c r="C51" s="15"/>
      <c r="D51" s="15"/>
      <c r="E51" s="19"/>
      <c r="F51" s="19"/>
      <c r="G51" s="66"/>
      <c r="H51" s="66"/>
      <c r="I51" s="66"/>
      <c r="J51" s="67"/>
    </row>
    <row r="52" spans="1:10" ht="16.5" thickBot="1">
      <c r="A52" s="63" t="s">
        <v>136</v>
      </c>
      <c r="B52" s="19"/>
      <c r="C52" s="160"/>
      <c r="D52" s="160"/>
      <c r="E52" s="160"/>
      <c r="F52" s="160"/>
      <c r="G52" s="120">
        <f>'Sch 1- Rate Base '!G52</f>
        <v>11651187515</v>
      </c>
      <c r="H52" s="120">
        <f>'Sch 1- Rate Base '!H52</f>
        <v>4076431188.8417616</v>
      </c>
      <c r="I52" s="120">
        <f>'Sch 1- Rate Base '!I52</f>
        <v>0</v>
      </c>
      <c r="J52" s="120">
        <f>'Sch 1- Rate Base '!J52</f>
        <v>7574756323.9282379</v>
      </c>
    </row>
    <row r="53" spans="1:10" ht="16.5" thickTop="1">
      <c r="A53" s="64" t="s">
        <v>439</v>
      </c>
      <c r="B53" s="19"/>
      <c r="C53" s="15"/>
      <c r="D53" s="15"/>
      <c r="E53" s="19"/>
      <c r="F53" s="19"/>
      <c r="G53" s="66"/>
      <c r="H53" s="66"/>
      <c r="I53" s="66"/>
      <c r="J53" s="67"/>
    </row>
    <row r="54" spans="1:10">
      <c r="A54" s="57"/>
      <c r="B54" s="65"/>
      <c r="C54" s="15"/>
      <c r="D54" s="15"/>
      <c r="E54" s="15"/>
      <c r="F54" s="15"/>
      <c r="G54" s="66"/>
      <c r="H54" s="66"/>
      <c r="I54" s="66"/>
      <c r="J54" s="67"/>
    </row>
    <row r="55" spans="1:10">
      <c r="A55" s="57" t="s">
        <v>473</v>
      </c>
      <c r="B55" s="65"/>
      <c r="C55" s="15"/>
      <c r="D55" s="15"/>
      <c r="E55" s="15"/>
      <c r="F55" s="15"/>
      <c r="G55" s="156"/>
      <c r="H55" s="156"/>
      <c r="I55" s="156"/>
      <c r="J55" s="157"/>
    </row>
    <row r="56" spans="1:10">
      <c r="A56" s="57" t="s">
        <v>610</v>
      </c>
      <c r="B56" s="65"/>
      <c r="C56" s="15"/>
      <c r="D56" s="15"/>
      <c r="E56" s="15"/>
      <c r="F56" s="15"/>
      <c r="G56" s="156"/>
      <c r="H56" s="156"/>
      <c r="I56" s="156"/>
      <c r="J56" s="157"/>
    </row>
    <row r="57" spans="1:10">
      <c r="A57" s="158"/>
      <c r="B57" s="159" t="s">
        <v>88</v>
      </c>
      <c r="C57" s="70">
        <f>'Sch 1- Rate Base '!C57</f>
        <v>219</v>
      </c>
      <c r="D57" s="48">
        <f>'Sch 1- Rate Base '!D57</f>
        <v>108</v>
      </c>
      <c r="E57" s="50" t="str">
        <f>'Sch 1- Rate Base '!E57</f>
        <v>PROD</v>
      </c>
      <c r="F57" s="50"/>
      <c r="G57" s="370">
        <f>'Sch 1- Rate Base '!G57</f>
        <v>953504602</v>
      </c>
      <c r="H57" s="71">
        <f>'Sch 1- Rate Base '!H57</f>
        <v>953504602</v>
      </c>
      <c r="I57" s="71">
        <f>'Sch 1- Rate Base '!I57</f>
        <v>0</v>
      </c>
      <c r="J57" s="285">
        <f>'Sch 1- Rate Base '!J57</f>
        <v>0</v>
      </c>
    </row>
    <row r="58" spans="1:10">
      <c r="A58" s="158"/>
      <c r="B58" s="159" t="s">
        <v>89</v>
      </c>
      <c r="C58" s="70">
        <f>'Sch 1- Rate Base '!C58</f>
        <v>219</v>
      </c>
      <c r="D58" s="48">
        <f>'Sch 1- Rate Base '!D58</f>
        <v>108</v>
      </c>
      <c r="E58" s="50" t="str">
        <f>'Sch 1- Rate Base '!E58</f>
        <v>PROD</v>
      </c>
      <c r="F58" s="50"/>
      <c r="G58" s="370">
        <f>'Sch 1- Rate Base '!G58</f>
        <v>0</v>
      </c>
      <c r="H58" s="71">
        <f>'Sch 1- Rate Base '!H58</f>
        <v>0</v>
      </c>
      <c r="I58" s="71">
        <f>'Sch 1- Rate Base '!I58</f>
        <v>0</v>
      </c>
      <c r="J58" s="285">
        <f>'Sch 1- Rate Base '!J58</f>
        <v>0</v>
      </c>
    </row>
    <row r="59" spans="1:10">
      <c r="A59" s="158"/>
      <c r="B59" s="159" t="s">
        <v>324</v>
      </c>
      <c r="C59" s="70">
        <f>'Sch 1- Rate Base '!C59</f>
        <v>219</v>
      </c>
      <c r="D59" s="48">
        <f>'Sch 1- Rate Base '!D59</f>
        <v>108</v>
      </c>
      <c r="E59" s="50" t="str">
        <f>'Sch 1- Rate Base '!E59</f>
        <v>PROD</v>
      </c>
      <c r="F59" s="50"/>
      <c r="G59" s="370">
        <f>'Sch 1- Rate Base '!G59</f>
        <v>270525277</v>
      </c>
      <c r="H59" s="71">
        <f>'Sch 1- Rate Base '!H59</f>
        <v>270525277</v>
      </c>
      <c r="I59" s="71">
        <f>'Sch 1- Rate Base '!I59</f>
        <v>0</v>
      </c>
      <c r="J59" s="285">
        <f>'Sch 1- Rate Base '!J59</f>
        <v>0</v>
      </c>
    </row>
    <row r="60" spans="1:10">
      <c r="A60" s="158"/>
      <c r="B60" s="159" t="s">
        <v>137</v>
      </c>
      <c r="C60" s="70">
        <f>'Sch 1- Rate Base '!C60</f>
        <v>219</v>
      </c>
      <c r="D60" s="48">
        <f>'Sch 1- Rate Base '!D60</f>
        <v>108</v>
      </c>
      <c r="E60" s="50" t="str">
        <f>'Sch 1- Rate Base '!E60</f>
        <v>PROD</v>
      </c>
      <c r="F60" s="50"/>
      <c r="G60" s="370">
        <f>'Sch 1- Rate Base '!G60</f>
        <v>1084449271</v>
      </c>
      <c r="H60" s="71">
        <f>'Sch 1- Rate Base '!H60</f>
        <v>1084449271</v>
      </c>
      <c r="I60" s="71">
        <f>'Sch 1- Rate Base '!I60</f>
        <v>0</v>
      </c>
      <c r="J60" s="285">
        <f>'Sch 1- Rate Base '!J60</f>
        <v>0</v>
      </c>
    </row>
    <row r="61" spans="1:10">
      <c r="A61" s="158"/>
      <c r="B61" s="159" t="s">
        <v>143</v>
      </c>
      <c r="C61" s="70">
        <f>'Sch 1- Rate Base '!C61</f>
        <v>219</v>
      </c>
      <c r="D61" s="48">
        <f>'Sch 1- Rate Base '!D61</f>
        <v>108</v>
      </c>
      <c r="E61" s="50" t="str">
        <f>'Sch 1- Rate Base '!E61</f>
        <v>TRANS</v>
      </c>
      <c r="F61" s="50"/>
      <c r="G61" s="370">
        <f>'Sch 1- Rate Base '!G61</f>
        <v>663408032</v>
      </c>
      <c r="H61" s="71">
        <f>'Sch 1- Rate Base '!H61</f>
        <v>0</v>
      </c>
      <c r="I61" s="71">
        <f>'Sch 1- Rate Base '!I61</f>
        <v>0</v>
      </c>
      <c r="J61" s="285">
        <f>'Sch 1- Rate Base '!J61</f>
        <v>663408032</v>
      </c>
    </row>
    <row r="62" spans="1:10">
      <c r="A62" s="158"/>
      <c r="B62" s="159" t="s">
        <v>825</v>
      </c>
      <c r="C62" s="70">
        <f>'Sch 1- Rate Base '!C62</f>
        <v>219</v>
      </c>
      <c r="D62" s="48">
        <f>'Sch 1- Rate Base '!D62</f>
        <v>108</v>
      </c>
      <c r="E62" s="50" t="str">
        <f>'Sch 1- Rate Base '!E62</f>
        <v>DIST</v>
      </c>
      <c r="F62" s="50"/>
      <c r="G62" s="370">
        <f>'Sch 1- Rate Base '!G62</f>
        <v>2008273620</v>
      </c>
      <c r="H62" s="71">
        <f>'Sch 1- Rate Base '!H62</f>
        <v>0</v>
      </c>
      <c r="I62" s="71">
        <f>'Sch 1- Rate Base '!I62</f>
        <v>0</v>
      </c>
      <c r="J62" s="285">
        <f>'Sch 1- Rate Base '!J62</f>
        <v>2008273620</v>
      </c>
    </row>
    <row r="63" spans="1:10">
      <c r="A63" s="158"/>
      <c r="B63" s="159" t="s">
        <v>92</v>
      </c>
      <c r="C63" s="70">
        <f>'Sch 1- Rate Base '!C63</f>
        <v>219</v>
      </c>
      <c r="D63" s="48">
        <f>'Sch 1- Rate Base '!D63</f>
        <v>108</v>
      </c>
      <c r="E63" s="50" t="str">
        <f>'Sch 1- Rate Base '!E63</f>
        <v>GP</v>
      </c>
      <c r="F63" s="50"/>
      <c r="G63" s="370">
        <f>'Sch 1- Rate Base '!G63</f>
        <v>199145541</v>
      </c>
      <c r="H63" s="71">
        <f>'Sch 1- Rate Base '!H63</f>
        <v>67862927.406866983</v>
      </c>
      <c r="I63" s="71">
        <f>'Sch 1- Rate Base '!I63</f>
        <v>0</v>
      </c>
      <c r="J63" s="285">
        <f>'Sch 1- Rate Base '!J63</f>
        <v>131282613.59313303</v>
      </c>
    </row>
    <row r="64" spans="1:10">
      <c r="A64" s="158"/>
      <c r="B64" s="159" t="s">
        <v>368</v>
      </c>
      <c r="C64" s="70">
        <f>'Sch 1- Rate Base '!C64</f>
        <v>219</v>
      </c>
      <c r="D64" s="48">
        <f>'Sch 1- Rate Base '!D64</f>
        <v>111</v>
      </c>
      <c r="E64" s="50" t="str">
        <f>'Sch 1- Rate Base '!E64</f>
        <v>DIST</v>
      </c>
      <c r="F64" s="76" t="str">
        <f>'Sch 1- Rate Base '!F64</f>
        <v xml:space="preserve"> </v>
      </c>
      <c r="G64" s="370">
        <f>'Sch 1- Rate Base '!G64</f>
        <v>0</v>
      </c>
      <c r="H64" s="71">
        <f>'Sch 1- Rate Base '!H64</f>
        <v>0</v>
      </c>
      <c r="I64" s="71">
        <f>'Sch 1- Rate Base '!I64</f>
        <v>0</v>
      </c>
      <c r="J64" s="285">
        <f>'Sch 1- Rate Base '!J64</f>
        <v>0</v>
      </c>
    </row>
    <row r="65" spans="1:10">
      <c r="A65" s="158"/>
      <c r="B65" s="159" t="s">
        <v>369</v>
      </c>
      <c r="C65" s="70">
        <f>'Sch 1- Rate Base '!C65</f>
        <v>219</v>
      </c>
      <c r="D65" s="48">
        <f>'Sch 1- Rate Base '!D65</f>
        <v>111</v>
      </c>
      <c r="E65" s="50" t="str">
        <f>'Sch 1- Rate Base '!E65</f>
        <v>DIRECT</v>
      </c>
      <c r="F65" s="76" t="str">
        <f>'Sch 1- Rate Base '!F65</f>
        <v>PTD</v>
      </c>
      <c r="G65" s="370">
        <f>'Sch 1- Rate Base '!G65</f>
        <v>30864423.829999998</v>
      </c>
      <c r="H65" s="71">
        <f>'Sch 1- Rate Base '!H65</f>
        <v>19280613.831983685</v>
      </c>
      <c r="I65" s="71">
        <f>'Sch 1- Rate Base '!I65</f>
        <v>0</v>
      </c>
      <c r="J65" s="285">
        <f>'Sch 1- Rate Base '!J65</f>
        <v>11583809.998016311</v>
      </c>
    </row>
    <row r="66" spans="1:10">
      <c r="A66" s="158"/>
      <c r="B66" s="159" t="s">
        <v>398</v>
      </c>
      <c r="C66" s="70">
        <f>'Sch 1- Rate Base '!C66</f>
        <v>219</v>
      </c>
      <c r="D66" s="48">
        <f>'Sch 1- Rate Base '!D66</f>
        <v>111</v>
      </c>
      <c r="E66" s="50" t="str">
        <f>'Sch 1- Rate Base '!E66</f>
        <v>DIRECT</v>
      </c>
      <c r="F66" s="76" t="str">
        <f>'Sch 1- Rate Base '!F66</f>
        <v>DIST</v>
      </c>
      <c r="G66" s="370">
        <f>'Sch 1- Rate Base '!G66</f>
        <v>18084328.429999996</v>
      </c>
      <c r="H66" s="71">
        <f>'Sch 1- Rate Base '!H66</f>
        <v>3441408.3183936053</v>
      </c>
      <c r="I66" s="71">
        <f>'Sch 1- Rate Base '!I66</f>
        <v>0</v>
      </c>
      <c r="J66" s="285">
        <f>'Sch 1- Rate Base '!J66</f>
        <v>14642920.111606393</v>
      </c>
    </row>
    <row r="67" spans="1:10">
      <c r="A67" s="158"/>
      <c r="B67" s="159" t="s">
        <v>251</v>
      </c>
      <c r="C67" s="70">
        <f>'Sch 1- Rate Base '!C67</f>
        <v>219</v>
      </c>
      <c r="D67" s="48">
        <f>'Sch 1- Rate Base '!D67</f>
        <v>108</v>
      </c>
      <c r="E67" s="50" t="str">
        <f>'Sch 1- Rate Base '!E67</f>
        <v>PROD</v>
      </c>
      <c r="F67" s="50"/>
      <c r="G67" s="370">
        <f>'Sch 1- Rate Base '!G67</f>
        <v>0</v>
      </c>
      <c r="H67" s="71">
        <f>'Sch 1- Rate Base '!H67</f>
        <v>0</v>
      </c>
      <c r="I67" s="71">
        <f>'Sch 1- Rate Base '!I67</f>
        <v>0</v>
      </c>
      <c r="J67" s="285">
        <f>'Sch 1- Rate Base '!J67</f>
        <v>0</v>
      </c>
    </row>
    <row r="68" spans="1:10">
      <c r="A68" s="158"/>
      <c r="B68" s="159" t="s">
        <v>28</v>
      </c>
      <c r="C68" s="70">
        <f>'Sch 1- Rate Base '!C68</f>
        <v>219</v>
      </c>
      <c r="D68" s="48">
        <f>'Sch 1- Rate Base '!D68</f>
        <v>111</v>
      </c>
      <c r="E68" s="50" t="str">
        <f>'Sch 1- Rate Base '!E68</f>
        <v>TRANS</v>
      </c>
      <c r="F68" s="50"/>
      <c r="G68" s="370">
        <f>'Sch 1- Rate Base '!G68</f>
        <v>162425</v>
      </c>
      <c r="H68" s="71">
        <f>'Sch 1- Rate Base '!H68</f>
        <v>0</v>
      </c>
      <c r="I68" s="71">
        <f>'Sch 1- Rate Base '!I68</f>
        <v>0</v>
      </c>
      <c r="J68" s="285">
        <f>'Sch 1- Rate Base '!J68</f>
        <v>162425</v>
      </c>
    </row>
    <row r="69" spans="1:10">
      <c r="A69" s="158"/>
      <c r="B69" s="159" t="s">
        <v>29</v>
      </c>
      <c r="C69" s="70">
        <f>'Sch 1- Rate Base '!C69</f>
        <v>219</v>
      </c>
      <c r="D69" s="48">
        <f>'Sch 1- Rate Base '!D69</f>
        <v>108</v>
      </c>
      <c r="E69" s="50" t="str">
        <f>'Sch 1- Rate Base '!E69</f>
        <v>DIRECT</v>
      </c>
      <c r="F69" s="76" t="str">
        <f>'Sch 1- Rate Base '!F69</f>
        <v>PTD</v>
      </c>
      <c r="G69" s="370">
        <f>'Sch 1- Rate Base '!G69</f>
        <v>0</v>
      </c>
      <c r="H69" s="71">
        <f>'Sch 1- Rate Base '!H69</f>
        <v>0</v>
      </c>
      <c r="I69" s="71">
        <f>'Sch 1- Rate Base '!I69</f>
        <v>0</v>
      </c>
      <c r="J69" s="285">
        <f>'Sch 1- Rate Base '!J69</f>
        <v>0</v>
      </c>
    </row>
    <row r="70" spans="1:10">
      <c r="A70" s="158"/>
      <c r="B70" s="159" t="s">
        <v>162</v>
      </c>
      <c r="C70" s="70" t="str">
        <f>'Sch 1- Rate Base '!C70</f>
        <v>200-201</v>
      </c>
      <c r="D70" s="48">
        <f>'Sch 1- Rate Base '!D70</f>
        <v>108</v>
      </c>
      <c r="E70" s="50" t="str">
        <f>'Sch 1- Rate Base '!E70</f>
        <v>DIRECT</v>
      </c>
      <c r="F70" s="50" t="str">
        <f>'Sch 1- Rate Base '!F70</f>
        <v>DIST</v>
      </c>
      <c r="G70" s="370">
        <f>'Sch 1- Rate Base '!G70</f>
        <v>0</v>
      </c>
      <c r="H70" s="71">
        <f>'Sch 1- Rate Base '!H70</f>
        <v>0</v>
      </c>
      <c r="I70" s="71">
        <f>'Sch 1- Rate Base '!I70</f>
        <v>0</v>
      </c>
      <c r="J70" s="285">
        <f>'Sch 1- Rate Base '!J70</f>
        <v>0</v>
      </c>
    </row>
    <row r="71" spans="1:10">
      <c r="A71" s="158"/>
      <c r="B71" s="159" t="s">
        <v>399</v>
      </c>
      <c r="C71" s="70" t="str">
        <f>'Sch 1- Rate Base '!C71</f>
        <v>200-201</v>
      </c>
      <c r="D71" s="48">
        <f>'Sch 1- Rate Base '!D71</f>
        <v>108</v>
      </c>
      <c r="E71" s="50" t="str">
        <f>'Sch 1- Rate Base '!E71</f>
        <v>DIRECT</v>
      </c>
      <c r="F71" s="76" t="str">
        <f>'Sch 1- Rate Base '!F71</f>
        <v>PTD</v>
      </c>
      <c r="G71" s="370">
        <f>'Sch 1- Rate Base '!G71</f>
        <v>86358710.079808488</v>
      </c>
      <c r="H71" s="71">
        <f>'Sch 1- Rate Base '!H71</f>
        <v>23510847.890424702</v>
      </c>
      <c r="I71" s="71">
        <f>'Sch 1- Rate Base '!I71</f>
        <v>0</v>
      </c>
      <c r="J71" s="285">
        <f>'Sch 1- Rate Base '!J71</f>
        <v>62847862.189383827</v>
      </c>
    </row>
    <row r="72" spans="1:10">
      <c r="A72" s="158"/>
      <c r="B72" s="159" t="s">
        <v>400</v>
      </c>
      <c r="C72" s="70" t="str">
        <f>'Sch 1- Rate Base '!C72</f>
        <v>200-201</v>
      </c>
      <c r="D72" s="48">
        <f>'Sch 1- Rate Base '!D72</f>
        <v>108</v>
      </c>
      <c r="E72" s="50" t="str">
        <f>'Sch 1- Rate Base '!E72</f>
        <v>DIRECT</v>
      </c>
      <c r="F72" s="50" t="str">
        <f>'Sch 1- Rate Base '!F72</f>
        <v>DIST</v>
      </c>
      <c r="G72" s="370">
        <f>'Sch 1- Rate Base '!G72</f>
        <v>90080742.531604186</v>
      </c>
      <c r="H72" s="71">
        <f>'Sch 1- Rate Base '!H72</f>
        <v>28133789.970597092</v>
      </c>
      <c r="I72" s="71">
        <f>'Sch 1- Rate Base '!I72</f>
        <v>0</v>
      </c>
      <c r="J72" s="285">
        <f>'Sch 1- Rate Base '!J72</f>
        <v>61946952.232538618</v>
      </c>
    </row>
    <row r="73" spans="1:10">
      <c r="A73" s="158"/>
      <c r="B73" s="159" t="s">
        <v>546</v>
      </c>
      <c r="C73" s="70" t="str">
        <f>'Sch 1- Rate Base '!C73</f>
        <v>200-201</v>
      </c>
      <c r="D73" s="48">
        <f>'Sch 1- Rate Base '!D73</f>
        <v>115</v>
      </c>
      <c r="E73" s="50" t="str">
        <f>'Sch 1- Rate Base '!E73</f>
        <v>DIRECT</v>
      </c>
      <c r="F73" s="50" t="str">
        <f>'Sch 1- Rate Base '!F73</f>
        <v>DIST</v>
      </c>
      <c r="G73" s="370">
        <f>'Sch 1- Rate Base '!G73</f>
        <v>177057826</v>
      </c>
      <c r="H73" s="71">
        <f>'Sch 1- Rate Base '!H73</f>
        <v>175809295.39000002</v>
      </c>
      <c r="I73" s="71">
        <f>'Sch 1- Rate Base '!I73</f>
        <v>0</v>
      </c>
      <c r="J73" s="285">
        <f>'Sch 1- Rate Base '!J73</f>
        <v>1248530.26</v>
      </c>
    </row>
    <row r="74" spans="1:10">
      <c r="A74" s="158"/>
      <c r="B74" s="159"/>
      <c r="C74" s="15"/>
      <c r="D74" s="54"/>
      <c r="E74" s="54"/>
      <c r="F74" s="54"/>
      <c r="G74" s="169"/>
      <c r="H74" s="56"/>
      <c r="I74" s="56"/>
      <c r="J74" s="58"/>
    </row>
    <row r="75" spans="1:10">
      <c r="A75" s="57" t="s">
        <v>209</v>
      </c>
      <c r="B75" s="159"/>
      <c r="C75" s="151"/>
      <c r="D75" s="151"/>
      <c r="E75" s="49" t="str">
        <f>'Sch 1- Rate Base '!E75</f>
        <v>DIRECT</v>
      </c>
      <c r="F75" s="49">
        <f>'Sch 1- Rate Base '!F75</f>
        <v>0</v>
      </c>
      <c r="G75" s="49">
        <f>'Sch 1- Rate Base '!G75</f>
        <v>0</v>
      </c>
      <c r="H75" s="49">
        <f>'Sch 1- Rate Base '!H75</f>
        <v>0</v>
      </c>
      <c r="I75" s="49">
        <f>'Sch 1- Rate Base '!I75</f>
        <v>0</v>
      </c>
      <c r="J75" s="49">
        <f>'Sch 1- Rate Base '!J75</f>
        <v>0</v>
      </c>
    </row>
    <row r="76" spans="1:10">
      <c r="A76" s="170"/>
      <c r="B76" s="159"/>
      <c r="C76" s="15"/>
      <c r="D76" s="54"/>
      <c r="E76" s="54"/>
      <c r="F76" s="54"/>
      <c r="G76" s="163"/>
      <c r="H76" s="56"/>
      <c r="I76" s="56"/>
      <c r="J76" s="58"/>
    </row>
    <row r="77" spans="1:10">
      <c r="A77" s="63" t="s">
        <v>221</v>
      </c>
      <c r="B77" s="19"/>
      <c r="C77" s="160"/>
      <c r="D77" s="161"/>
      <c r="E77" s="161"/>
      <c r="F77" s="162"/>
      <c r="G77" s="377">
        <f>'Sch 1- Rate Base '!G77</f>
        <v>5581914798.8714123</v>
      </c>
      <c r="H77" s="377"/>
      <c r="I77" s="377"/>
      <c r="J77" s="377"/>
    </row>
    <row r="78" spans="1:10">
      <c r="A78" s="170"/>
      <c r="B78" s="171"/>
      <c r="C78" s="15"/>
      <c r="D78" s="54"/>
      <c r="E78" s="54"/>
      <c r="F78" s="54"/>
      <c r="G78" s="172"/>
      <c r="H78" s="172"/>
      <c r="I78" s="172"/>
      <c r="J78" s="173"/>
    </row>
    <row r="79" spans="1:10">
      <c r="A79" s="63" t="s">
        <v>474</v>
      </c>
      <c r="B79" s="19"/>
      <c r="C79" s="160"/>
      <c r="D79" s="161"/>
      <c r="E79" s="161"/>
      <c r="F79" s="162"/>
      <c r="G79" s="377">
        <f>'Sch 1- Rate Base '!G79</f>
        <v>6069272716.1285877</v>
      </c>
      <c r="H79" s="377"/>
      <c r="I79" s="377"/>
      <c r="J79" s="378"/>
    </row>
    <row r="80" spans="1:10">
      <c r="A80" s="64" t="s">
        <v>84</v>
      </c>
      <c r="B80" s="19"/>
      <c r="C80" s="15"/>
      <c r="D80" s="15"/>
      <c r="E80" s="174"/>
      <c r="F80" s="174"/>
      <c r="G80" s="156"/>
      <c r="H80" s="156"/>
      <c r="I80" s="156"/>
      <c r="J80" s="67"/>
    </row>
    <row r="81" spans="1:10" ht="16.5" thickBot="1">
      <c r="A81" s="175"/>
      <c r="B81" s="176"/>
      <c r="C81" s="177"/>
      <c r="D81" s="177"/>
      <c r="E81" s="178"/>
      <c r="F81" s="178"/>
      <c r="G81" s="179"/>
      <c r="H81" s="179"/>
      <c r="I81" s="179"/>
      <c r="J81" s="180"/>
    </row>
    <row r="82" spans="1:10" ht="16.5" thickTop="1">
      <c r="A82" s="40" t="s">
        <v>76</v>
      </c>
      <c r="B82" s="19"/>
      <c r="C82" s="15"/>
      <c r="D82" s="15"/>
      <c r="E82" s="174"/>
      <c r="F82" s="174"/>
      <c r="G82" s="156"/>
      <c r="H82" s="156"/>
      <c r="I82" s="156"/>
      <c r="J82" s="67"/>
    </row>
    <row r="83" spans="1:10">
      <c r="A83" s="40"/>
      <c r="B83" s="19"/>
      <c r="C83" s="15"/>
      <c r="D83" s="15"/>
      <c r="E83" s="174"/>
      <c r="F83" s="174"/>
      <c r="G83" s="379"/>
      <c r="H83" s="379"/>
      <c r="I83" s="379"/>
      <c r="J83" s="380"/>
    </row>
    <row r="84" spans="1:10">
      <c r="A84" s="73" t="s">
        <v>144</v>
      </c>
      <c r="B84" s="181" t="s">
        <v>144</v>
      </c>
      <c r="C84" s="151" t="s">
        <v>611</v>
      </c>
      <c r="D84" s="151"/>
      <c r="E84" s="49"/>
      <c r="F84" s="152"/>
      <c r="G84" s="49">
        <f>'Sch 1- Rate Base '!G84</f>
        <v>108180025.5</v>
      </c>
      <c r="H84" s="49">
        <f>'Sch 1- Rate Base '!H84</f>
        <v>61843517.356707066</v>
      </c>
      <c r="I84" s="49">
        <f>'Sch 1- Rate Base '!I84</f>
        <v>0</v>
      </c>
      <c r="J84" s="49">
        <f>'Sch 1- Rate Base '!J84</f>
        <v>46336508.190641761</v>
      </c>
    </row>
    <row r="85" spans="1:10">
      <c r="A85" s="158"/>
      <c r="B85" s="381" t="s">
        <v>741</v>
      </c>
      <c r="C85" s="15"/>
      <c r="D85" s="15"/>
      <c r="E85" s="54"/>
      <c r="F85" s="54"/>
      <c r="G85" s="49">
        <f>'Sch 1A - Cash Working Capital'!G30</f>
        <v>24948345</v>
      </c>
      <c r="H85" s="49">
        <f>'Sch 1A - Cash Working Capital'!H30</f>
        <v>24948345</v>
      </c>
      <c r="I85" s="182"/>
      <c r="J85" s="183"/>
    </row>
    <row r="86" spans="1:10">
      <c r="A86" s="74" t="s">
        <v>272</v>
      </c>
      <c r="B86" s="23"/>
      <c r="C86" s="184"/>
      <c r="D86" s="54"/>
      <c r="E86" s="54"/>
      <c r="F86" s="54"/>
      <c r="G86" s="185"/>
      <c r="H86" s="186"/>
      <c r="I86" s="186"/>
      <c r="J86" s="187"/>
    </row>
    <row r="87" spans="1:10">
      <c r="A87" s="382"/>
      <c r="B87" s="6" t="s">
        <v>432</v>
      </c>
      <c r="C87" s="48" t="str">
        <f>'Sch 1- Rate Base '!C87</f>
        <v>200-201</v>
      </c>
      <c r="D87" s="48">
        <f>'Sch 1- Rate Base '!D87</f>
        <v>105</v>
      </c>
      <c r="E87" s="50" t="str">
        <f>'Sch 1- Rate Base '!E87</f>
        <v>DIST</v>
      </c>
      <c r="F87" s="50"/>
      <c r="G87" s="383">
        <f>'Sch 1- Rate Base '!G87</f>
        <v>49315001</v>
      </c>
      <c r="H87" s="71">
        <f>'Sch 1- Rate Base '!H87</f>
        <v>0</v>
      </c>
      <c r="I87" s="71">
        <f>'Sch 1- Rate Base '!I87</f>
        <v>0</v>
      </c>
      <c r="J87" s="285">
        <f>'Sch 1- Rate Base '!J87</f>
        <v>49315001</v>
      </c>
    </row>
    <row r="88" spans="1:10">
      <c r="A88" s="382"/>
      <c r="B88" s="6" t="s">
        <v>77</v>
      </c>
      <c r="C88" s="48" t="str">
        <f>'Sch 1- Rate Base '!C88</f>
        <v>200-201</v>
      </c>
      <c r="D88" s="48">
        <f>'Sch 1- Rate Base '!D88</f>
        <v>106</v>
      </c>
      <c r="E88" s="77" t="str">
        <f>'Sch 1- Rate Base '!E88</f>
        <v>PTD</v>
      </c>
      <c r="F88" s="50"/>
      <c r="G88" s="383">
        <f>'Sch 1- Rate Base '!G88</f>
        <v>0</v>
      </c>
      <c r="H88" s="71">
        <f>'Sch 1- Rate Base '!H88</f>
        <v>0</v>
      </c>
      <c r="I88" s="71">
        <f>'Sch 1- Rate Base '!I88</f>
        <v>0</v>
      </c>
      <c r="J88" s="285">
        <f>'Sch 1- Rate Base '!J88</f>
        <v>0</v>
      </c>
    </row>
    <row r="89" spans="1:10">
      <c r="A89" s="382"/>
      <c r="B89" s="19" t="s">
        <v>475</v>
      </c>
      <c r="C89" s="48" t="str">
        <f>'Sch 1- Rate Base '!C89</f>
        <v>320-323</v>
      </c>
      <c r="D89" s="48" t="str">
        <f>'Sch 1- Rate Base '!D89</f>
        <v>120.1-120.6</v>
      </c>
      <c r="E89" s="50" t="str">
        <f>'Sch 1- Rate Base '!E89</f>
        <v>PROD</v>
      </c>
      <c r="F89" s="50"/>
      <c r="G89" s="383">
        <f>'Sch 1- Rate Base '!G89</f>
        <v>0</v>
      </c>
      <c r="H89" s="71">
        <f>'Sch 1- Rate Base '!H89</f>
        <v>0</v>
      </c>
      <c r="I89" s="71">
        <f>'Sch 1- Rate Base '!I89</f>
        <v>0</v>
      </c>
      <c r="J89" s="285">
        <f>'Sch 1- Rate Base '!J89</f>
        <v>0</v>
      </c>
    </row>
    <row r="90" spans="1:10">
      <c r="A90" s="382"/>
      <c r="B90" s="6" t="s">
        <v>80</v>
      </c>
      <c r="C90" s="48" t="str">
        <f>'Sch 1- Rate Base '!C90</f>
        <v>200-201</v>
      </c>
      <c r="D90" s="48" t="str">
        <f>'Sch 1- Rate Base '!D90</f>
        <v>107 &amp; 120.1</v>
      </c>
      <c r="E90" s="50" t="str">
        <f>'Sch 1- Rate Base '!E90</f>
        <v>DIST</v>
      </c>
      <c r="F90" s="50"/>
      <c r="G90" s="383">
        <f>'Sch 1- Rate Base '!G90</f>
        <v>1060266765</v>
      </c>
      <c r="H90" s="71">
        <f>'Sch 1- Rate Base '!H90</f>
        <v>0</v>
      </c>
      <c r="I90" s="71">
        <f>'Sch 1- Rate Base '!I90</f>
        <v>0</v>
      </c>
      <c r="J90" s="285">
        <f>'Sch 1- Rate Base '!J90</f>
        <v>1060266765</v>
      </c>
    </row>
    <row r="91" spans="1:10">
      <c r="A91" s="382"/>
      <c r="B91" s="6" t="s">
        <v>222</v>
      </c>
      <c r="C91" s="48">
        <f>'Sch 1- Rate Base '!C91</f>
        <v>356</v>
      </c>
      <c r="D91" s="48">
        <f>'Sch 1- Rate Base '!D91</f>
        <v>0</v>
      </c>
      <c r="E91" s="50" t="str">
        <f>'Sch 1- Rate Base '!E91</f>
        <v>DIRECT</v>
      </c>
      <c r="F91" s="50"/>
      <c r="G91" s="383">
        <f>'Sch 1- Rate Base '!G91</f>
        <v>800158907.49414837</v>
      </c>
      <c r="H91" s="71">
        <f>'Sch 1- Rate Base '!H91</f>
        <v>263365769.24809498</v>
      </c>
      <c r="I91" s="71">
        <f>'Sch 1- Rate Base '!I91</f>
        <v>0</v>
      </c>
      <c r="J91" s="285">
        <f>'Sch 1- Rate Base '!J91</f>
        <v>536793138.24605334</v>
      </c>
    </row>
    <row r="92" spans="1:10">
      <c r="A92" s="382"/>
      <c r="B92" s="6" t="s">
        <v>71</v>
      </c>
      <c r="C92" s="48" t="str">
        <f>'Sch 1- Rate Base '!C92</f>
        <v>200-201</v>
      </c>
      <c r="D92" s="48">
        <f>'Sch 1- Rate Base '!D92</f>
        <v>114</v>
      </c>
      <c r="E92" s="50" t="str">
        <f>'Sch 1- Rate Base '!E92</f>
        <v>DIRECT</v>
      </c>
      <c r="F92" s="50" t="str">
        <f>'Sch 1- Rate Base '!F92</f>
        <v>DIST</v>
      </c>
      <c r="G92" s="383">
        <f>'Sch 1- Rate Base '!G92</f>
        <v>282791675</v>
      </c>
      <c r="H92" s="71">
        <f>'Sch 1- Rate Base '!H92</f>
        <v>281543144.61000001</v>
      </c>
      <c r="I92" s="71">
        <f>'Sch 1- Rate Base '!I92</f>
        <v>0</v>
      </c>
      <c r="J92" s="285">
        <f>'Sch 1- Rate Base '!J92</f>
        <v>1248530.26</v>
      </c>
    </row>
    <row r="93" spans="1:10">
      <c r="A93" s="382"/>
      <c r="B93" s="125" t="s">
        <v>104</v>
      </c>
      <c r="C93" s="108"/>
      <c r="D93" s="106"/>
      <c r="E93" s="106"/>
      <c r="F93" s="107"/>
      <c r="G93" s="109">
        <f>'Sch 1- Rate Base '!G93</f>
        <v>2192532348.4941483</v>
      </c>
      <c r="H93" s="109">
        <f>'Sch 1- Rate Base '!H93</f>
        <v>544908913.85809493</v>
      </c>
      <c r="I93" s="109">
        <f>'Sch 1- Rate Base '!I93</f>
        <v>0</v>
      </c>
      <c r="J93" s="290">
        <f>'Sch 1- Rate Base '!J93</f>
        <v>1647623434.5060532</v>
      </c>
    </row>
    <row r="94" spans="1:10">
      <c r="A94" s="382"/>
      <c r="B94" s="125"/>
      <c r="C94" s="21"/>
      <c r="D94" s="21"/>
      <c r="E94" s="21"/>
      <c r="F94" s="21"/>
      <c r="G94" s="94"/>
      <c r="H94" s="94"/>
      <c r="I94" s="94"/>
      <c r="J94" s="291"/>
    </row>
    <row r="95" spans="1:10">
      <c r="A95" s="75" t="s">
        <v>273</v>
      </c>
      <c r="B95" s="23"/>
      <c r="C95" s="24"/>
      <c r="D95" s="12"/>
      <c r="E95" s="12"/>
      <c r="F95" s="12"/>
      <c r="G95" s="95"/>
      <c r="H95" s="95"/>
      <c r="I95" s="95"/>
      <c r="J95" s="292"/>
    </row>
    <row r="96" spans="1:10">
      <c r="A96" s="158"/>
      <c r="B96" s="159" t="s">
        <v>443</v>
      </c>
      <c r="C96" s="48" t="str">
        <f>'Sch 1- Rate Base '!C96</f>
        <v>110-111</v>
      </c>
      <c r="D96" s="48">
        <f>'Sch 1- Rate Base '!D96</f>
        <v>123</v>
      </c>
      <c r="E96" s="50" t="str">
        <f>'Sch 1- Rate Base '!E96</f>
        <v>DIRECT</v>
      </c>
      <c r="F96" s="50" t="str">
        <f>'Sch 1- Rate Base '!F96</f>
        <v>DIST</v>
      </c>
      <c r="G96" s="383">
        <f>'Sch 1- Rate Base '!G96</f>
        <v>0</v>
      </c>
      <c r="H96" s="71">
        <f>'Sch 1- Rate Base '!H96</f>
        <v>0</v>
      </c>
      <c r="I96" s="71">
        <f>'Sch 1- Rate Base '!I96</f>
        <v>0</v>
      </c>
      <c r="J96" s="285">
        <f>'Sch 1- Rate Base '!J96</f>
        <v>0</v>
      </c>
    </row>
    <row r="97" spans="1:10">
      <c r="A97" s="158"/>
      <c r="B97" s="6" t="s">
        <v>476</v>
      </c>
      <c r="C97" s="48" t="str">
        <f>'Sch 1- Rate Base '!C97</f>
        <v>110-111</v>
      </c>
      <c r="D97" s="48">
        <f>'Sch 1- Rate Base '!D97</f>
        <v>124</v>
      </c>
      <c r="E97" s="50" t="str">
        <f>'Sch 1- Rate Base '!E97</f>
        <v>DIST</v>
      </c>
      <c r="F97" s="50"/>
      <c r="G97" s="383">
        <f>'Sch 1- Rate Base '!G97</f>
        <v>29310581.839956224</v>
      </c>
      <c r="H97" s="71">
        <f>'Sch 1- Rate Base '!H97</f>
        <v>0</v>
      </c>
      <c r="I97" s="71">
        <f>'Sch 1- Rate Base '!I97</f>
        <v>0</v>
      </c>
      <c r="J97" s="285">
        <f>'Sch 1- Rate Base '!J97</f>
        <v>29310581.839956224</v>
      </c>
    </row>
    <row r="98" spans="1:10">
      <c r="A98" s="158"/>
      <c r="B98" s="23" t="s">
        <v>6</v>
      </c>
      <c r="C98" s="48" t="str">
        <f>'Sch 1- Rate Base '!C98</f>
        <v>110-111</v>
      </c>
      <c r="D98" s="48">
        <f>'Sch 1- Rate Base '!D98</f>
        <v>175</v>
      </c>
      <c r="E98" s="50" t="str">
        <f>'Sch 1- Rate Base '!E98</f>
        <v>DIST</v>
      </c>
      <c r="F98" s="50"/>
      <c r="G98" s="93">
        <f>'Sch 1- Rate Base '!G98</f>
        <v>30098821.84</v>
      </c>
      <c r="H98" s="71">
        <f>'Sch 1- Rate Base '!H98</f>
        <v>0</v>
      </c>
      <c r="I98" s="71">
        <f>'Sch 1- Rate Base '!I98</f>
        <v>0</v>
      </c>
      <c r="J98" s="285">
        <f>'Sch 1- Rate Base '!J98</f>
        <v>30098821.84</v>
      </c>
    </row>
    <row r="99" spans="1:10">
      <c r="A99" s="158"/>
      <c r="B99" s="23" t="s">
        <v>370</v>
      </c>
      <c r="C99" s="48" t="str">
        <f>'Sch 1- Rate Base '!C99</f>
        <v>110-111</v>
      </c>
      <c r="D99" s="48">
        <f>'Sch 1- Rate Base '!D99</f>
        <v>176</v>
      </c>
      <c r="E99" s="50" t="str">
        <f>'Sch 1- Rate Base '!E99</f>
        <v>DIST</v>
      </c>
      <c r="F99" s="50"/>
      <c r="G99" s="93">
        <f>'Sch 1- Rate Base '!G99</f>
        <v>0</v>
      </c>
      <c r="H99" s="71">
        <f>'Sch 1- Rate Base '!H99</f>
        <v>0</v>
      </c>
      <c r="I99" s="71">
        <f>'Sch 1- Rate Base '!I99</f>
        <v>0</v>
      </c>
      <c r="J99" s="285">
        <f>'Sch 1- Rate Base '!J99</f>
        <v>0</v>
      </c>
    </row>
    <row r="100" spans="1:10">
      <c r="A100" s="158"/>
      <c r="B100" s="125" t="s">
        <v>104</v>
      </c>
      <c r="C100" s="48"/>
      <c r="D100" s="106"/>
      <c r="E100" s="106"/>
      <c r="F100" s="107"/>
      <c r="G100" s="109">
        <f>'Sch 1- Rate Base '!G100</f>
        <v>59409403.679956228</v>
      </c>
      <c r="H100" s="109">
        <f>'Sch 1- Rate Base '!H100</f>
        <v>0</v>
      </c>
      <c r="I100" s="109">
        <f>'Sch 1- Rate Base '!I100</f>
        <v>0</v>
      </c>
      <c r="J100" s="290">
        <f>'Sch 1- Rate Base '!J100</f>
        <v>59409403.679956228</v>
      </c>
    </row>
    <row r="101" spans="1:10">
      <c r="A101" s="190"/>
      <c r="B101" s="188"/>
      <c r="C101" s="48"/>
      <c r="D101" s="188"/>
      <c r="E101" s="188"/>
      <c r="F101" s="188"/>
      <c r="G101" s="188"/>
      <c r="H101" s="188"/>
      <c r="I101" s="188"/>
      <c r="J101" s="189"/>
    </row>
    <row r="102" spans="1:10">
      <c r="A102" s="74" t="s">
        <v>177</v>
      </c>
      <c r="B102" s="23"/>
      <c r="C102" s="24"/>
      <c r="D102" s="12"/>
      <c r="E102" s="12"/>
      <c r="F102" s="12"/>
      <c r="G102" s="99"/>
      <c r="H102" s="99"/>
      <c r="I102" s="99"/>
      <c r="J102" s="293"/>
    </row>
    <row r="103" spans="1:10">
      <c r="A103" s="158"/>
      <c r="B103" s="6" t="s">
        <v>435</v>
      </c>
      <c r="C103" s="48" t="str">
        <f>'Sch 1- Rate Base '!C103</f>
        <v>110-111</v>
      </c>
      <c r="D103" s="48">
        <f>'Sch 1- Rate Base '!D103</f>
        <v>151</v>
      </c>
      <c r="E103" s="50" t="str">
        <f>'Sch 1- Rate Base '!E103</f>
        <v>PROD</v>
      </c>
      <c r="F103" s="50"/>
      <c r="G103" s="383">
        <f>'Sch 1- Rate Base '!G103</f>
        <v>32051446.329999998</v>
      </c>
      <c r="H103" s="71">
        <f>'Sch 1- Rate Base '!H103</f>
        <v>32051446.329999998</v>
      </c>
      <c r="I103" s="71">
        <f>'Sch 1- Rate Base '!I103</f>
        <v>0</v>
      </c>
      <c r="J103" s="285">
        <f>'Sch 1- Rate Base '!J103</f>
        <v>0</v>
      </c>
    </row>
    <row r="104" spans="1:10">
      <c r="A104" s="158"/>
      <c r="B104" s="23" t="s">
        <v>7</v>
      </c>
      <c r="C104" s="48" t="str">
        <f>'Sch 1- Rate Base '!C104</f>
        <v>110-111</v>
      </c>
      <c r="D104" s="48">
        <f>'Sch 1- Rate Base '!D104</f>
        <v>152</v>
      </c>
      <c r="E104" s="50" t="str">
        <f>'Sch 1- Rate Base '!E104</f>
        <v>PROD</v>
      </c>
      <c r="F104" s="50"/>
      <c r="G104" s="383">
        <f>'Sch 1- Rate Base '!G104</f>
        <v>0</v>
      </c>
      <c r="H104" s="71">
        <f>'Sch 1- Rate Base '!H104</f>
        <v>0</v>
      </c>
      <c r="I104" s="71">
        <f>'Sch 1- Rate Base '!I104</f>
        <v>0</v>
      </c>
      <c r="J104" s="285">
        <f>'Sch 1- Rate Base '!J104</f>
        <v>0</v>
      </c>
    </row>
    <row r="105" spans="1:10">
      <c r="A105" s="158"/>
      <c r="B105" s="6" t="s">
        <v>79</v>
      </c>
      <c r="C105" s="48" t="str">
        <f>'Sch 1- Rate Base '!C105</f>
        <v>110-111</v>
      </c>
      <c r="D105" s="48">
        <f>'Sch 1- Rate Base '!D105</f>
        <v>154</v>
      </c>
      <c r="E105" s="50" t="str">
        <f>'Sch 1- Rate Base '!E105</f>
        <v>PTD</v>
      </c>
      <c r="F105" s="50"/>
      <c r="G105" s="383">
        <f>'Sch 1- Rate Base '!G105</f>
        <v>147763213.27615592</v>
      </c>
      <c r="H105" s="71">
        <f>'Sch 1- Rate Base '!H105</f>
        <v>51582876.294156879</v>
      </c>
      <c r="I105" s="71">
        <f>'Sch 1- Rate Base '!I105</f>
        <v>0</v>
      </c>
      <c r="J105" s="285">
        <f>'Sch 1- Rate Base '!J105</f>
        <v>96180336.98199904</v>
      </c>
    </row>
    <row r="106" spans="1:10">
      <c r="A106" s="158"/>
      <c r="B106" s="6" t="s">
        <v>351</v>
      </c>
      <c r="C106" s="48" t="str">
        <f>'Sch 1- Rate Base '!C106</f>
        <v>110-111</v>
      </c>
      <c r="D106" s="48">
        <f>'Sch 1- Rate Base '!D106</f>
        <v>155</v>
      </c>
      <c r="E106" s="50" t="str">
        <f>'Sch 1- Rate Base '!E106</f>
        <v>DIST</v>
      </c>
      <c r="F106" s="50"/>
      <c r="G106" s="383">
        <f>'Sch 1- Rate Base '!G106</f>
        <v>0</v>
      </c>
      <c r="H106" s="71">
        <f>'Sch 1- Rate Base '!H106</f>
        <v>0</v>
      </c>
      <c r="I106" s="71">
        <f>'Sch 1- Rate Base '!I106</f>
        <v>0</v>
      </c>
      <c r="J106" s="285">
        <f>'Sch 1- Rate Base '!J106</f>
        <v>0</v>
      </c>
    </row>
    <row r="107" spans="1:10">
      <c r="A107" s="158"/>
      <c r="B107" s="6" t="s">
        <v>352</v>
      </c>
      <c r="C107" s="48" t="str">
        <f>'Sch 1- Rate Base '!C107</f>
        <v>110-111</v>
      </c>
      <c r="D107" s="48">
        <f>'Sch 1- Rate Base '!D107</f>
        <v>156</v>
      </c>
      <c r="E107" s="50" t="str">
        <f>'Sch 1- Rate Base '!E107</f>
        <v>DIST</v>
      </c>
      <c r="F107" s="50"/>
      <c r="G107" s="383">
        <f>'Sch 1- Rate Base '!G107</f>
        <v>0</v>
      </c>
      <c r="H107" s="71">
        <f>'Sch 1- Rate Base '!H107</f>
        <v>0</v>
      </c>
      <c r="I107" s="71">
        <f>'Sch 1- Rate Base '!I107</f>
        <v>0</v>
      </c>
      <c r="J107" s="285">
        <f>'Sch 1- Rate Base '!J107</f>
        <v>0</v>
      </c>
    </row>
    <row r="108" spans="1:10">
      <c r="A108" s="158"/>
      <c r="B108" s="6" t="s">
        <v>353</v>
      </c>
      <c r="C108" s="48" t="str">
        <f>'Sch 1- Rate Base '!C108</f>
        <v>110-111</v>
      </c>
      <c r="D108" s="48">
        <f>'Sch 1- Rate Base '!D108</f>
        <v>158.1</v>
      </c>
      <c r="E108" s="50" t="str">
        <f>'Sch 1- Rate Base '!E108</f>
        <v>PROD</v>
      </c>
      <c r="F108" s="50"/>
      <c r="G108" s="383">
        <f>'Sch 1- Rate Base '!G108</f>
        <v>-93977950.769999996</v>
      </c>
      <c r="H108" s="71">
        <f>'Sch 1- Rate Base '!H108</f>
        <v>-93977950.769999996</v>
      </c>
      <c r="I108" s="71">
        <f>'Sch 1- Rate Base '!I108</f>
        <v>0</v>
      </c>
      <c r="J108" s="285">
        <f>'Sch 1- Rate Base '!J108</f>
        <v>0</v>
      </c>
    </row>
    <row r="109" spans="1:10">
      <c r="A109" s="158"/>
      <c r="B109" s="6" t="s">
        <v>178</v>
      </c>
      <c r="C109" s="48" t="str">
        <f>'Sch 1- Rate Base '!C109</f>
        <v>110-111</v>
      </c>
      <c r="D109" s="48">
        <f>'Sch 1- Rate Base '!D109</f>
        <v>158.19999999999999</v>
      </c>
      <c r="E109" s="50" t="str">
        <f>'Sch 1- Rate Base '!E109</f>
        <v>PROD</v>
      </c>
      <c r="F109" s="50"/>
      <c r="G109" s="383">
        <f>'Sch 1- Rate Base '!G109</f>
        <v>-0.23000000417232513</v>
      </c>
      <c r="H109" s="71">
        <f>'Sch 1- Rate Base '!H109</f>
        <v>-0.23000000417232513</v>
      </c>
      <c r="I109" s="71">
        <f>'Sch 1- Rate Base '!I109</f>
        <v>0</v>
      </c>
      <c r="J109" s="285">
        <f>'Sch 1- Rate Base '!J109</f>
        <v>0</v>
      </c>
    </row>
    <row r="110" spans="1:10">
      <c r="A110" s="158"/>
      <c r="B110" s="6" t="s">
        <v>55</v>
      </c>
      <c r="C110" s="48" t="str">
        <f>'Sch 1- Rate Base '!C110</f>
        <v>110-111</v>
      </c>
      <c r="D110" s="48">
        <f>'Sch 1- Rate Base '!D110</f>
        <v>163</v>
      </c>
      <c r="E110" s="50" t="str">
        <f>'Sch 1- Rate Base '!E110</f>
        <v>PTD</v>
      </c>
      <c r="F110" s="50"/>
      <c r="G110" s="383">
        <f>'Sch 1- Rate Base '!G110</f>
        <v>-861822.14029058116</v>
      </c>
      <c r="H110" s="71">
        <f>'Sch 1- Rate Base '!H110</f>
        <v>-300854.75176485057</v>
      </c>
      <c r="I110" s="71">
        <f>'Sch 1- Rate Base '!I110</f>
        <v>0</v>
      </c>
      <c r="J110" s="285">
        <f>'Sch 1- Rate Base '!J110</f>
        <v>-560967.38852573058</v>
      </c>
    </row>
    <row r="111" spans="1:10">
      <c r="A111" s="158"/>
      <c r="B111" s="6" t="s">
        <v>8</v>
      </c>
      <c r="C111" s="48" t="str">
        <f>'Sch 1- Rate Base '!C111</f>
        <v>110-111</v>
      </c>
      <c r="D111" s="48">
        <f>'Sch 1- Rate Base '!D111</f>
        <v>165</v>
      </c>
      <c r="E111" s="50" t="str">
        <f>'Sch 1- Rate Base '!E111</f>
        <v>PTD</v>
      </c>
      <c r="F111" s="50"/>
      <c r="G111" s="383">
        <f>'Sch 1- Rate Base '!G111</f>
        <v>57629356.754719973</v>
      </c>
      <c r="H111" s="71">
        <f>'Sch 1- Rate Base '!H111</f>
        <v>20117916.458915066</v>
      </c>
      <c r="I111" s="71">
        <f>'Sch 1- Rate Base '!I111</f>
        <v>0</v>
      </c>
      <c r="J111" s="285">
        <f>'Sch 1- Rate Base '!J111</f>
        <v>37511440.29580491</v>
      </c>
    </row>
    <row r="112" spans="1:10">
      <c r="A112" s="158"/>
      <c r="B112" s="23" t="s">
        <v>9</v>
      </c>
      <c r="C112" s="48" t="str">
        <f>'Sch 1- Rate Base '!C112</f>
        <v>110-111</v>
      </c>
      <c r="D112" s="48">
        <f>'Sch 1- Rate Base '!D112</f>
        <v>175</v>
      </c>
      <c r="E112" s="50" t="str">
        <f>'Sch 1- Rate Base '!E112</f>
        <v>DIST</v>
      </c>
      <c r="F112" s="50"/>
      <c r="G112" s="383">
        <f>'Sch 1- Rate Base '!G112</f>
        <v>3021644.13</v>
      </c>
      <c r="H112" s="71">
        <f>'Sch 1- Rate Base '!H112</f>
        <v>0</v>
      </c>
      <c r="I112" s="71">
        <f>'Sch 1- Rate Base '!I112</f>
        <v>0</v>
      </c>
      <c r="J112" s="285">
        <f>'Sch 1- Rate Base '!J112</f>
        <v>3021644.13</v>
      </c>
    </row>
    <row r="113" spans="1:10">
      <c r="A113" s="158"/>
      <c r="B113" s="23" t="s">
        <v>612</v>
      </c>
      <c r="C113" s="48" t="str">
        <f>'Sch 1- Rate Base '!C113</f>
        <v>110-111</v>
      </c>
      <c r="D113" s="48">
        <f>'Sch 1- Rate Base '!D113</f>
        <v>175</v>
      </c>
      <c r="E113" s="50" t="str">
        <f>'Sch 1- Rate Base '!E113</f>
        <v>DIST</v>
      </c>
      <c r="F113" s="50"/>
      <c r="G113" s="383">
        <f>'Sch 1- Rate Base '!G113</f>
        <v>30098821.84</v>
      </c>
      <c r="H113" s="71">
        <f>'Sch 1- Rate Base '!H113</f>
        <v>0</v>
      </c>
      <c r="I113" s="71">
        <f>'Sch 1- Rate Base '!I113</f>
        <v>0</v>
      </c>
      <c r="J113" s="285">
        <f>'Sch 1- Rate Base '!J113</f>
        <v>30098821.84</v>
      </c>
    </row>
    <row r="114" spans="1:10">
      <c r="A114" s="158"/>
      <c r="B114" s="23" t="s">
        <v>332</v>
      </c>
      <c r="C114" s="29" t="str">
        <f>'Sch 1- Rate Base '!C114</f>
        <v>110-111</v>
      </c>
      <c r="D114" s="29">
        <f>'Sch 1- Rate Base '!D114</f>
        <v>176</v>
      </c>
      <c r="E114" s="72" t="str">
        <f>'Sch 1- Rate Base '!E114</f>
        <v>DIST</v>
      </c>
      <c r="F114" s="50"/>
      <c r="G114" s="383">
        <f>'Sch 1- Rate Base '!G114</f>
        <v>0</v>
      </c>
      <c r="H114" s="71">
        <f>'Sch 1- Rate Base '!H114</f>
        <v>0</v>
      </c>
      <c r="I114" s="71">
        <f>'Sch 1- Rate Base '!I114</f>
        <v>0</v>
      </c>
      <c r="J114" s="285">
        <f>'Sch 1- Rate Base '!J114</f>
        <v>0</v>
      </c>
    </row>
    <row r="115" spans="1:10">
      <c r="A115" s="158"/>
      <c r="B115" s="23" t="s">
        <v>613</v>
      </c>
      <c r="C115" s="29" t="str">
        <f>'Sch 1- Rate Base '!C115</f>
        <v>110-111</v>
      </c>
      <c r="D115" s="29">
        <f>'Sch 1- Rate Base '!D115</f>
        <v>176</v>
      </c>
      <c r="E115" s="72" t="str">
        <f>'Sch 1- Rate Base '!E115</f>
        <v>DIST</v>
      </c>
      <c r="F115" s="50"/>
      <c r="G115" s="383">
        <f>'Sch 1- Rate Base '!G115</f>
        <v>0</v>
      </c>
      <c r="H115" s="71">
        <f>'Sch 1- Rate Base '!H115</f>
        <v>0</v>
      </c>
      <c r="I115" s="71">
        <f>'Sch 1- Rate Base '!I115</f>
        <v>0</v>
      </c>
      <c r="J115" s="285">
        <f>'Sch 1- Rate Base '!J115</f>
        <v>0</v>
      </c>
    </row>
    <row r="116" spans="1:10" ht="16.5" thickBot="1">
      <c r="A116" s="158"/>
      <c r="B116" s="125" t="s">
        <v>104</v>
      </c>
      <c r="C116" s="441"/>
      <c r="D116" s="298"/>
      <c r="E116" s="298"/>
      <c r="F116" s="299"/>
      <c r="G116" s="300"/>
      <c r="H116" s="300"/>
      <c r="I116" s="300"/>
      <c r="J116" s="301"/>
    </row>
    <row r="117" spans="1:10" ht="17.25" thickTop="1" thickBot="1">
      <c r="A117" s="191"/>
      <c r="B117" s="192"/>
      <c r="C117" s="302"/>
      <c r="D117" s="302"/>
      <c r="E117" s="302"/>
      <c r="F117" s="302"/>
      <c r="G117" s="303"/>
      <c r="H117" s="303"/>
      <c r="I117" s="303"/>
      <c r="J117" s="304"/>
    </row>
    <row r="118" spans="1:10" ht="16.5" thickTop="1">
      <c r="A118" s="193" t="s">
        <v>179</v>
      </c>
      <c r="B118" s="23"/>
      <c r="C118" s="24"/>
      <c r="D118" s="12"/>
      <c r="E118" s="12"/>
      <c r="F118" s="12"/>
      <c r="G118" s="96"/>
      <c r="H118" s="97"/>
      <c r="I118" s="97"/>
      <c r="J118" s="289"/>
    </row>
    <row r="119" spans="1:10">
      <c r="A119" s="158"/>
      <c r="B119" s="23" t="s">
        <v>10</v>
      </c>
      <c r="C119" s="48" t="str">
        <f>'Sch 1- Rate Base '!C119</f>
        <v>110-111</v>
      </c>
      <c r="D119" s="48">
        <f>'Sch 1- Rate Base '!D119</f>
        <v>181</v>
      </c>
      <c r="E119" s="50" t="str">
        <f>'Sch 1- Rate Base '!E119</f>
        <v>PTDG</v>
      </c>
      <c r="F119" s="50"/>
      <c r="G119" s="383">
        <f>'Sch 1- Rate Base '!G119</f>
        <v>15369566.283713212</v>
      </c>
      <c r="H119" s="71">
        <f>'Sch 1- Rate Base '!H119</f>
        <v>5377390.0108669996</v>
      </c>
      <c r="I119" s="71">
        <f>'Sch 1- Rate Base '!I119</f>
        <v>0</v>
      </c>
      <c r="J119" s="285">
        <f>'Sch 1- Rate Base '!J119</f>
        <v>9992176.269904526</v>
      </c>
    </row>
    <row r="120" spans="1:10">
      <c r="A120" s="158"/>
      <c r="B120" s="23" t="s">
        <v>11</v>
      </c>
      <c r="C120" s="48" t="str">
        <f>'Sch 1- Rate Base '!C120</f>
        <v>110-111</v>
      </c>
      <c r="D120" s="48">
        <f>'Sch 1- Rate Base '!D120</f>
        <v>182.1</v>
      </c>
      <c r="E120" s="50" t="str">
        <f>'Sch 1- Rate Base '!E120</f>
        <v>DIRECT</v>
      </c>
      <c r="F120" s="50" t="str">
        <f>'Sch 1- Rate Base '!F120</f>
        <v>DIST</v>
      </c>
      <c r="G120" s="383">
        <f>'Sch 1- Rate Base '!G120</f>
        <v>95753809.859999985</v>
      </c>
      <c r="H120" s="71">
        <f>'Sch 1- Rate Base '!H120</f>
        <v>0</v>
      </c>
      <c r="I120" s="71">
        <f>'Sch 1- Rate Base '!I120</f>
        <v>0</v>
      </c>
      <c r="J120" s="285">
        <f>'Sch 1- Rate Base '!J120</f>
        <v>95753809.859999985</v>
      </c>
    </row>
    <row r="121" spans="1:10">
      <c r="A121" s="158"/>
      <c r="B121" s="23" t="s">
        <v>12</v>
      </c>
      <c r="C121" s="48" t="str">
        <f>'Sch 1- Rate Base '!C121</f>
        <v>110-111</v>
      </c>
      <c r="D121" s="48">
        <f>'Sch 1- Rate Base '!D121</f>
        <v>182.2</v>
      </c>
      <c r="E121" s="50" t="str">
        <f>'Sch 1- Rate Base '!E121</f>
        <v>DIRECT</v>
      </c>
      <c r="F121" s="50" t="str">
        <f>'Sch 1- Rate Base '!F121</f>
        <v>DIST</v>
      </c>
      <c r="G121" s="383">
        <f>'Sch 1- Rate Base '!G121</f>
        <v>0</v>
      </c>
      <c r="H121" s="71">
        <f>'Sch 1- Rate Base '!H121</f>
        <v>0</v>
      </c>
      <c r="I121" s="71">
        <f>'Sch 1- Rate Base '!I121</f>
        <v>0</v>
      </c>
      <c r="J121" s="285">
        <f>'Sch 1- Rate Base '!J121</f>
        <v>0</v>
      </c>
    </row>
    <row r="122" spans="1:10">
      <c r="A122" s="158"/>
      <c r="B122" s="23" t="s">
        <v>13</v>
      </c>
      <c r="C122" s="48" t="str">
        <f>'Sch 1- Rate Base '!C122</f>
        <v>110-111</v>
      </c>
      <c r="D122" s="48">
        <f>'Sch 1- Rate Base '!D122</f>
        <v>182.3</v>
      </c>
      <c r="E122" s="50" t="str">
        <f>'Sch 1- Rate Base '!E122</f>
        <v>DIRECT</v>
      </c>
      <c r="F122" s="50" t="str">
        <f>'Sch 1- Rate Base '!F122</f>
        <v>DIST</v>
      </c>
      <c r="G122" s="383">
        <f>'Sch 1- Rate Base '!G122</f>
        <v>591927572.39124942</v>
      </c>
      <c r="H122" s="71">
        <f>'Sch 1- Rate Base '!H122</f>
        <v>307143997.88341385</v>
      </c>
      <c r="I122" s="71">
        <f>'Sch 1- Rate Base '!I122</f>
        <v>0</v>
      </c>
      <c r="J122" s="285">
        <f>'Sch 1- Rate Base '!J122</f>
        <v>284783574.50783557</v>
      </c>
    </row>
    <row r="123" spans="1:10">
      <c r="A123" s="158"/>
      <c r="B123" s="23" t="s">
        <v>614</v>
      </c>
      <c r="C123" s="48" t="str">
        <f>'Sch 1- Rate Base '!C123</f>
        <v>110-111</v>
      </c>
      <c r="D123" s="48">
        <f>'Sch 1- Rate Base '!D123</f>
        <v>183</v>
      </c>
      <c r="E123" s="50" t="str">
        <f>'Sch 1- Rate Base '!E123</f>
        <v>DIST</v>
      </c>
      <c r="F123" s="50"/>
      <c r="G123" s="383">
        <f>'Sch 1- Rate Base '!G123</f>
        <v>779621.87999999989</v>
      </c>
      <c r="H123" s="71">
        <f>'Sch 1- Rate Base '!H123</f>
        <v>0</v>
      </c>
      <c r="I123" s="71">
        <f>'Sch 1- Rate Base '!I123</f>
        <v>0</v>
      </c>
      <c r="J123" s="285">
        <f>'Sch 1- Rate Base '!J123</f>
        <v>779621.87999999989</v>
      </c>
    </row>
    <row r="124" spans="1:10">
      <c r="A124" s="158"/>
      <c r="B124" s="23" t="s">
        <v>14</v>
      </c>
      <c r="C124" s="48" t="str">
        <f>'Sch 1- Rate Base '!C124</f>
        <v>110-111</v>
      </c>
      <c r="D124" s="48">
        <f>'Sch 1- Rate Base '!D124</f>
        <v>183.1</v>
      </c>
      <c r="E124" s="50" t="str">
        <f>'Sch 1- Rate Base '!E124</f>
        <v>DIST</v>
      </c>
      <c r="F124" s="50"/>
      <c r="G124" s="383">
        <f>'Sch 1- Rate Base '!G124</f>
        <v>0</v>
      </c>
      <c r="H124" s="71">
        <f>'Sch 1- Rate Base '!H124</f>
        <v>0</v>
      </c>
      <c r="I124" s="71">
        <f>'Sch 1- Rate Base '!I124</f>
        <v>0</v>
      </c>
      <c r="J124" s="285">
        <f>'Sch 1- Rate Base '!J124</f>
        <v>0</v>
      </c>
    </row>
    <row r="125" spans="1:10">
      <c r="A125" s="158"/>
      <c r="B125" s="23" t="s">
        <v>444</v>
      </c>
      <c r="C125" s="48" t="str">
        <f>'Sch 1- Rate Base '!C125</f>
        <v>110-111</v>
      </c>
      <c r="D125" s="48">
        <f>'Sch 1- Rate Base '!D125</f>
        <v>183.2</v>
      </c>
      <c r="E125" s="50" t="str">
        <f>'Sch 1- Rate Base '!E125</f>
        <v>DIST</v>
      </c>
      <c r="F125" s="50"/>
      <c r="G125" s="383">
        <f>'Sch 1- Rate Base '!G125</f>
        <v>0</v>
      </c>
      <c r="H125" s="71">
        <f>'Sch 1- Rate Base '!H125</f>
        <v>0</v>
      </c>
      <c r="I125" s="71">
        <f>'Sch 1- Rate Base '!I125</f>
        <v>0</v>
      </c>
      <c r="J125" s="285">
        <f>'Sch 1- Rate Base '!J125</f>
        <v>0</v>
      </c>
    </row>
    <row r="126" spans="1:10">
      <c r="A126" s="158"/>
      <c r="B126" s="23" t="s">
        <v>15</v>
      </c>
      <c r="C126" s="48" t="str">
        <f>'Sch 1- Rate Base '!C126</f>
        <v>110-111</v>
      </c>
      <c r="D126" s="48">
        <f>'Sch 1- Rate Base '!D126</f>
        <v>184</v>
      </c>
      <c r="E126" s="50" t="str">
        <f>'Sch 1- Rate Base '!E126</f>
        <v>DIST</v>
      </c>
      <c r="F126" s="50"/>
      <c r="G126" s="383">
        <f>'Sch 1- Rate Base '!G126</f>
        <v>0</v>
      </c>
      <c r="H126" s="71">
        <f>'Sch 1- Rate Base '!H126</f>
        <v>0</v>
      </c>
      <c r="I126" s="71">
        <f>'Sch 1- Rate Base '!I126</f>
        <v>0</v>
      </c>
      <c r="J126" s="285">
        <f>'Sch 1- Rate Base '!J126</f>
        <v>0</v>
      </c>
    </row>
    <row r="127" spans="1:10">
      <c r="A127" s="158"/>
      <c r="B127" s="23" t="s">
        <v>16</v>
      </c>
      <c r="C127" s="48" t="str">
        <f>'Sch 1- Rate Base '!C127</f>
        <v>110-111</v>
      </c>
      <c r="D127" s="48">
        <f>'Sch 1- Rate Base '!D127</f>
        <v>185</v>
      </c>
      <c r="E127" s="50" t="str">
        <f>'Sch 1- Rate Base '!E127</f>
        <v>PTDG</v>
      </c>
      <c r="F127" s="50"/>
      <c r="G127" s="383">
        <f>'Sch 1- Rate Base '!G127</f>
        <v>120988.12387947456</v>
      </c>
      <c r="H127" s="71">
        <f>'Sch 1- Rate Base '!H127</f>
        <v>42330.428638864869</v>
      </c>
      <c r="I127" s="71">
        <f>'Sch 1- Rate Base '!I127</f>
        <v>0</v>
      </c>
      <c r="J127" s="285">
        <f>'Sch 1- Rate Base '!J127</f>
        <v>78657.695217452958</v>
      </c>
    </row>
    <row r="128" spans="1:10">
      <c r="A128" s="158"/>
      <c r="B128" s="23" t="s">
        <v>17</v>
      </c>
      <c r="C128" s="48" t="str">
        <f>'Sch 1- Rate Base '!C128</f>
        <v>110-111</v>
      </c>
      <c r="D128" s="48">
        <f>'Sch 1- Rate Base '!D128</f>
        <v>186</v>
      </c>
      <c r="E128" s="50" t="str">
        <f>'Sch 1- Rate Base '!E128</f>
        <v>DIRECT</v>
      </c>
      <c r="F128" s="50" t="str">
        <f>'Sch 1- Rate Base '!F128</f>
        <v>DIST</v>
      </c>
      <c r="G128" s="383">
        <f>'Sch 1- Rate Base '!G128</f>
        <v>110048026.98478225</v>
      </c>
      <c r="H128" s="71">
        <f>'Sch 1- Rate Base '!H128</f>
        <v>-94452622.49526912</v>
      </c>
      <c r="I128" s="71">
        <f>'Sch 1- Rate Base '!I128</f>
        <v>0</v>
      </c>
      <c r="J128" s="285">
        <f>'Sch 1- Rate Base '!J128</f>
        <v>204500649.48005137</v>
      </c>
    </row>
    <row r="129" spans="1:10">
      <c r="A129" s="158"/>
      <c r="B129" s="23" t="s">
        <v>18</v>
      </c>
      <c r="C129" s="48" t="str">
        <f>'Sch 1- Rate Base '!C129</f>
        <v>110-111</v>
      </c>
      <c r="D129" s="48">
        <f>'Sch 1- Rate Base '!D129</f>
        <v>187</v>
      </c>
      <c r="E129" s="50" t="str">
        <f>'Sch 1- Rate Base '!E129</f>
        <v>DIRECT</v>
      </c>
      <c r="F129" s="50"/>
      <c r="G129" s="383">
        <f>'Sch 1- Rate Base '!G129</f>
        <v>11494.21</v>
      </c>
      <c r="H129" s="71">
        <f>'Sch 1- Rate Base '!H129</f>
        <v>0</v>
      </c>
      <c r="I129" s="71">
        <f>'Sch 1- Rate Base '!I129</f>
        <v>0</v>
      </c>
      <c r="J129" s="285">
        <f>'Sch 1- Rate Base '!J129</f>
        <v>11494.21</v>
      </c>
    </row>
    <row r="130" spans="1:10">
      <c r="A130" s="158"/>
      <c r="B130" s="23" t="s">
        <v>19</v>
      </c>
      <c r="C130" s="48" t="str">
        <f>'Sch 1- Rate Base '!C130</f>
        <v>110-111</v>
      </c>
      <c r="D130" s="48">
        <f>'Sch 1- Rate Base '!D130</f>
        <v>188</v>
      </c>
      <c r="E130" s="50" t="str">
        <f>'Sch 1- Rate Base '!E130</f>
        <v>DIST</v>
      </c>
      <c r="F130" s="50"/>
      <c r="G130" s="383">
        <f>'Sch 1- Rate Base '!G130</f>
        <v>0</v>
      </c>
      <c r="H130" s="71">
        <f>'Sch 1- Rate Base '!H130</f>
        <v>0</v>
      </c>
      <c r="I130" s="71">
        <f>'Sch 1- Rate Base '!I130</f>
        <v>0</v>
      </c>
      <c r="J130" s="285">
        <f>'Sch 1- Rate Base '!J130</f>
        <v>0</v>
      </c>
    </row>
    <row r="131" spans="1:10">
      <c r="A131" s="158"/>
      <c r="B131" s="23" t="s">
        <v>20</v>
      </c>
      <c r="C131" s="48" t="str">
        <f>'Sch 1- Rate Base '!C131</f>
        <v>110-111</v>
      </c>
      <c r="D131" s="48">
        <f>'Sch 1- Rate Base '!D131</f>
        <v>189</v>
      </c>
      <c r="E131" s="50" t="str">
        <f>'Sch 1- Rate Base '!E131</f>
        <v>PTDG</v>
      </c>
      <c r="F131" s="50"/>
      <c r="G131" s="383">
        <f>'Sch 1- Rate Base '!G131</f>
        <v>20765305.086143192</v>
      </c>
      <c r="H131" s="71">
        <f>'Sch 1- Rate Base '!H131</f>
        <v>7265211.1374905258</v>
      </c>
      <c r="I131" s="71">
        <f>'Sch 1- Rate Base '!I131</f>
        <v>0</v>
      </c>
      <c r="J131" s="285">
        <f>'Sch 1- Rate Base '!J131</f>
        <v>13500093.944678253</v>
      </c>
    </row>
    <row r="132" spans="1:10">
      <c r="A132" s="158"/>
      <c r="B132" s="23" t="s">
        <v>21</v>
      </c>
      <c r="C132" s="48" t="str">
        <f>'Sch 1- Rate Base '!C132</f>
        <v>110-111</v>
      </c>
      <c r="D132" s="48">
        <f>'Sch 1- Rate Base '!D132</f>
        <v>190</v>
      </c>
      <c r="E132" s="50" t="str">
        <f>'Sch 1- Rate Base '!E132</f>
        <v>DIST</v>
      </c>
      <c r="F132" s="50"/>
      <c r="G132" s="383">
        <f>'Sch 1- Rate Base '!G132</f>
        <v>232865758.83263156</v>
      </c>
      <c r="H132" s="71">
        <f>'Sch 1- Rate Base '!H132</f>
        <v>0</v>
      </c>
      <c r="I132" s="71">
        <f>'Sch 1- Rate Base '!I132</f>
        <v>0</v>
      </c>
      <c r="J132" s="285">
        <f>'Sch 1- Rate Base '!J132</f>
        <v>232865758.83263156</v>
      </c>
    </row>
    <row r="133" spans="1:10">
      <c r="A133" s="40"/>
      <c r="B133" s="125" t="s">
        <v>104</v>
      </c>
      <c r="C133" s="108"/>
      <c r="D133" s="106"/>
      <c r="E133" s="106"/>
      <c r="F133" s="107"/>
      <c r="G133" s="109">
        <f>'Sch 1- Rate Base '!G133</f>
        <v>1067642143.6523991</v>
      </c>
      <c r="H133" s="109">
        <f>'Sch 1- Rate Base '!H133</f>
        <v>225376306.96514112</v>
      </c>
      <c r="I133" s="109">
        <f>'Sch 1- Rate Base '!I133</f>
        <v>0</v>
      </c>
      <c r="J133" s="290">
        <f>'Sch 1- Rate Base '!J133</f>
        <v>842265836.68031883</v>
      </c>
    </row>
    <row r="134" spans="1:10">
      <c r="A134" s="194"/>
      <c r="B134" s="181"/>
      <c r="C134" s="25"/>
      <c r="D134" s="10"/>
      <c r="E134" s="10"/>
      <c r="F134" s="10"/>
      <c r="G134" s="34"/>
      <c r="H134" s="97"/>
      <c r="I134" s="97"/>
      <c r="J134" s="289"/>
    </row>
    <row r="135" spans="1:10">
      <c r="A135" s="195" t="s">
        <v>74</v>
      </c>
      <c r="B135" s="19"/>
      <c r="C135" s="108"/>
      <c r="D135" s="106"/>
      <c r="E135" s="106"/>
      <c r="F135" s="107"/>
      <c r="G135" s="109">
        <f>'Sch 1- Rate Base '!G135</f>
        <v>3543290986.8370891</v>
      </c>
      <c r="H135" s="109">
        <f>'Sch 1- Rate Base '!H135</f>
        <v>841602171.51125026</v>
      </c>
      <c r="I135" s="109">
        <f>'Sch 1- Rate Base '!I135</f>
        <v>0</v>
      </c>
      <c r="J135" s="290">
        <f>'Sch 1- Rate Base '!J135</f>
        <v>2701688815.236248</v>
      </c>
    </row>
    <row r="136" spans="1:10" ht="16.5" thickBot="1">
      <c r="A136" s="196"/>
      <c r="B136" s="176"/>
      <c r="C136" s="46"/>
      <c r="D136" s="46"/>
      <c r="E136" s="51"/>
      <c r="F136" s="51"/>
      <c r="G136" s="100"/>
      <c r="H136" s="100"/>
      <c r="I136" s="100"/>
      <c r="J136" s="294"/>
    </row>
    <row r="137" spans="1:10" ht="16.5" thickTop="1">
      <c r="A137" s="197" t="s">
        <v>75</v>
      </c>
      <c r="B137" s="19"/>
      <c r="C137" s="5"/>
      <c r="D137" s="10"/>
      <c r="E137" s="10"/>
      <c r="F137" s="10"/>
      <c r="G137" s="34"/>
      <c r="H137" s="34"/>
      <c r="I137" s="34"/>
      <c r="J137" s="287"/>
    </row>
    <row r="138" spans="1:10">
      <c r="A138" s="158"/>
      <c r="B138" s="125" t="s">
        <v>433</v>
      </c>
      <c r="C138" s="12"/>
      <c r="D138" s="22"/>
      <c r="E138" s="12"/>
      <c r="F138" s="12"/>
      <c r="G138" s="308"/>
      <c r="H138" s="97"/>
      <c r="I138" s="97"/>
      <c r="J138" s="289"/>
    </row>
    <row r="139" spans="1:10">
      <c r="A139" s="382"/>
      <c r="B139" s="23" t="s">
        <v>330</v>
      </c>
      <c r="C139" s="48" t="str">
        <f>'Sch 1- Rate Base '!C139</f>
        <v>112-113</v>
      </c>
      <c r="D139" s="48">
        <f>'Sch 1- Rate Base '!D139</f>
        <v>175</v>
      </c>
      <c r="E139" s="50" t="str">
        <f>'Sch 1- Rate Base '!E139</f>
        <v>DIST</v>
      </c>
      <c r="F139" s="50"/>
      <c r="G139" s="383">
        <f>'Sch 1- Rate Base '!G139</f>
        <v>126938815.89</v>
      </c>
      <c r="H139" s="71">
        <f>'Sch 1- Rate Base '!H139</f>
        <v>0</v>
      </c>
      <c r="I139" s="71">
        <f>'Sch 1- Rate Base '!I139</f>
        <v>0</v>
      </c>
      <c r="J139" s="285">
        <f>'Sch 1- Rate Base '!J139</f>
        <v>126938815.89</v>
      </c>
    </row>
    <row r="140" spans="1:10">
      <c r="A140" s="382"/>
      <c r="B140" s="198" t="s">
        <v>615</v>
      </c>
      <c r="C140" s="48" t="str">
        <f>'Sch 1- Rate Base '!C140</f>
        <v>112-113</v>
      </c>
      <c r="D140" s="48">
        <f>'Sch 1- Rate Base '!D140</f>
        <v>175</v>
      </c>
      <c r="E140" s="50" t="str">
        <f>'Sch 1- Rate Base '!E140</f>
        <v>DIST</v>
      </c>
      <c r="F140" s="50"/>
      <c r="G140" s="383">
        <f>'Sch 1- Rate Base '!G140</f>
        <v>19744163.190000001</v>
      </c>
      <c r="H140" s="71">
        <f>'Sch 1- Rate Base '!H140</f>
        <v>0</v>
      </c>
      <c r="I140" s="71">
        <f>'Sch 1- Rate Base '!I140</f>
        <v>0</v>
      </c>
      <c r="J140" s="285">
        <f>'Sch 1- Rate Base '!J140</f>
        <v>19744163.190000001</v>
      </c>
    </row>
    <row r="141" spans="1:10">
      <c r="A141" s="382"/>
      <c r="B141" s="23" t="s">
        <v>331</v>
      </c>
      <c r="C141" s="48" t="str">
        <f>'Sch 1- Rate Base '!C141</f>
        <v>112-113</v>
      </c>
      <c r="D141" s="48">
        <f>'Sch 1- Rate Base '!D141</f>
        <v>176</v>
      </c>
      <c r="E141" s="50" t="str">
        <f>'Sch 1- Rate Base '!E141</f>
        <v>DIST</v>
      </c>
      <c r="F141" s="50"/>
      <c r="G141" s="383">
        <f>'Sch 1- Rate Base '!G141</f>
        <v>0</v>
      </c>
      <c r="H141" s="71">
        <f>'Sch 1- Rate Base '!H141</f>
        <v>0</v>
      </c>
      <c r="I141" s="71">
        <f>'Sch 1- Rate Base '!I141</f>
        <v>0</v>
      </c>
      <c r="J141" s="285">
        <f>'Sch 1- Rate Base '!J141</f>
        <v>0</v>
      </c>
    </row>
    <row r="142" spans="1:10">
      <c r="A142" s="382"/>
      <c r="B142" s="198" t="s">
        <v>616</v>
      </c>
      <c r="C142" s="48" t="str">
        <f>'Sch 1- Rate Base '!C142</f>
        <v>112-113</v>
      </c>
      <c r="D142" s="48">
        <f>'Sch 1- Rate Base '!D142</f>
        <v>176</v>
      </c>
      <c r="E142" s="50" t="str">
        <f>'Sch 1- Rate Base '!E142</f>
        <v>DIST</v>
      </c>
      <c r="F142" s="50"/>
      <c r="G142" s="383">
        <f>'Sch 1- Rate Base '!G142</f>
        <v>0</v>
      </c>
      <c r="H142" s="71">
        <f>'Sch 1- Rate Base '!H142</f>
        <v>0</v>
      </c>
      <c r="I142" s="71">
        <f>'Sch 1- Rate Base '!I142</f>
        <v>0</v>
      </c>
      <c r="J142" s="285">
        <f>'Sch 1- Rate Base '!J142</f>
        <v>0</v>
      </c>
    </row>
    <row r="143" spans="1:10">
      <c r="A143" s="382"/>
      <c r="B143" s="125" t="s">
        <v>104</v>
      </c>
      <c r="C143" s="440"/>
      <c r="D143" s="106"/>
      <c r="E143" s="106"/>
      <c r="F143" s="107"/>
      <c r="G143" s="109">
        <f>'Sch 1- Rate Base '!G143</f>
        <v>107194652.7</v>
      </c>
      <c r="H143" s="109">
        <f>'Sch 1- Rate Base '!H143</f>
        <v>0</v>
      </c>
      <c r="I143" s="109">
        <f>'Sch 1- Rate Base '!I143</f>
        <v>0</v>
      </c>
      <c r="J143" s="290">
        <f>'Sch 1- Rate Base '!J143</f>
        <v>107194652.7</v>
      </c>
    </row>
    <row r="144" spans="1:10">
      <c r="A144" s="382"/>
      <c r="B144" s="125" t="s">
        <v>434</v>
      </c>
      <c r="C144" s="12"/>
      <c r="D144" s="22"/>
      <c r="E144" s="12"/>
      <c r="F144" s="12"/>
      <c r="G144" s="34"/>
      <c r="H144" s="97"/>
      <c r="I144" s="97"/>
      <c r="J144" s="289"/>
    </row>
    <row r="145" spans="1:10">
      <c r="A145" s="158"/>
      <c r="B145" s="23" t="s">
        <v>372</v>
      </c>
      <c r="C145" s="48" t="str">
        <f>'Sch 1- Rate Base '!C145</f>
        <v>112-113</v>
      </c>
      <c r="D145" s="48">
        <f>'Sch 1- Rate Base '!D145</f>
        <v>244</v>
      </c>
      <c r="E145" s="50" t="str">
        <f>'Sch 1- Rate Base '!E145</f>
        <v>DIST</v>
      </c>
      <c r="F145" s="50"/>
      <c r="G145" s="93">
        <f>'Sch 1- Rate Base '!G145</f>
        <v>0</v>
      </c>
      <c r="H145" s="71">
        <f>'Sch 1- Rate Base '!H145</f>
        <v>0</v>
      </c>
      <c r="I145" s="71">
        <f>'Sch 1- Rate Base '!I145</f>
        <v>0</v>
      </c>
      <c r="J145" s="285">
        <f>'Sch 1- Rate Base '!J145</f>
        <v>0</v>
      </c>
    </row>
    <row r="146" spans="1:10">
      <c r="A146" s="158"/>
      <c r="B146" s="23" t="s">
        <v>373</v>
      </c>
      <c r="C146" s="48" t="str">
        <f>'Sch 1- Rate Base '!C146</f>
        <v>112-113</v>
      </c>
      <c r="D146" s="48">
        <f>'Sch 1- Rate Base '!D146</f>
        <v>245</v>
      </c>
      <c r="E146" s="50" t="str">
        <f>'Sch 1- Rate Base '!E146</f>
        <v>DIST</v>
      </c>
      <c r="F146" s="50"/>
      <c r="G146" s="93">
        <f>'Sch 1- Rate Base '!G146</f>
        <v>0</v>
      </c>
      <c r="H146" s="71">
        <f>'Sch 1- Rate Base '!H146</f>
        <v>0</v>
      </c>
      <c r="I146" s="71">
        <f>'Sch 1- Rate Base '!I146</f>
        <v>0</v>
      </c>
      <c r="J146" s="285">
        <f>'Sch 1- Rate Base '!J146</f>
        <v>0</v>
      </c>
    </row>
    <row r="147" spans="1:10">
      <c r="A147" s="158"/>
      <c r="B147" s="23" t="s">
        <v>22</v>
      </c>
      <c r="C147" s="48" t="str">
        <f>'Sch 1- Rate Base '!C147</f>
        <v>112-113</v>
      </c>
      <c r="D147" s="48">
        <f>'Sch 1- Rate Base '!D147</f>
        <v>252</v>
      </c>
      <c r="E147" s="50" t="str">
        <f>'Sch 1- Rate Base '!E147</f>
        <v>DIST</v>
      </c>
      <c r="F147" s="50"/>
      <c r="G147" s="383">
        <f>'Sch 1- Rate Base '!G147</f>
        <v>141549489.40000001</v>
      </c>
      <c r="H147" s="71">
        <f>'Sch 1- Rate Base '!H147</f>
        <v>0</v>
      </c>
      <c r="I147" s="71">
        <f>'Sch 1- Rate Base '!I147</f>
        <v>0</v>
      </c>
      <c r="J147" s="285">
        <f>'Sch 1- Rate Base '!J147</f>
        <v>141549489.40000001</v>
      </c>
    </row>
    <row r="148" spans="1:10">
      <c r="A148" s="158"/>
      <c r="B148" s="23" t="s">
        <v>25</v>
      </c>
      <c r="C148" s="48" t="str">
        <f>'Sch 1- Rate Base '!C148</f>
        <v>112-113</v>
      </c>
      <c r="D148" s="48">
        <f>'Sch 1- Rate Base '!D148</f>
        <v>253</v>
      </c>
      <c r="E148" s="50" t="str">
        <f>'Sch 1- Rate Base '!E148</f>
        <v>DIRECT</v>
      </c>
      <c r="F148" s="50" t="str">
        <f>'Sch 1- Rate Base '!F148</f>
        <v>DIST</v>
      </c>
      <c r="G148" s="383">
        <f>'Sch 1- Rate Base '!G148</f>
        <v>240685828.18268144</v>
      </c>
      <c r="H148" s="71">
        <f>'Sch 1- Rate Base '!H148</f>
        <v>74029658.958190456</v>
      </c>
      <c r="I148" s="71">
        <f>'Sch 1- Rate Base '!I148</f>
        <v>0</v>
      </c>
      <c r="J148" s="285">
        <f>'Sch 1- Rate Base '!J148</f>
        <v>166656169.22449097</v>
      </c>
    </row>
    <row r="149" spans="1:10">
      <c r="A149" s="158"/>
      <c r="B149" s="23" t="s">
        <v>26</v>
      </c>
      <c r="C149" s="48" t="str">
        <f>'Sch 1- Rate Base '!C149</f>
        <v>112-113</v>
      </c>
      <c r="D149" s="48">
        <f>'Sch 1- Rate Base '!D149</f>
        <v>254</v>
      </c>
      <c r="E149" s="50" t="str">
        <f>'Sch 1- Rate Base '!E149</f>
        <v>DIRECT</v>
      </c>
      <c r="F149" s="50" t="str">
        <f>'Sch 1- Rate Base '!F149</f>
        <v>DIST</v>
      </c>
      <c r="G149" s="383">
        <f>'Sch 1- Rate Base '!G149</f>
        <v>529787017.69000006</v>
      </c>
      <c r="H149" s="71">
        <f>'Sch 1- Rate Base '!H149</f>
        <v>317891.18</v>
      </c>
      <c r="I149" s="71">
        <f>'Sch 1- Rate Base '!I149</f>
        <v>0</v>
      </c>
      <c r="J149" s="285">
        <f>'Sch 1- Rate Base '!J149</f>
        <v>529469126.51000005</v>
      </c>
    </row>
    <row r="150" spans="1:10">
      <c r="A150" s="158"/>
      <c r="B150" s="23" t="s">
        <v>23</v>
      </c>
      <c r="C150" s="48" t="str">
        <f>'Sch 1- Rate Base '!C150</f>
        <v>112-113</v>
      </c>
      <c r="D150" s="48">
        <f>'Sch 1- Rate Base '!D150</f>
        <v>255</v>
      </c>
      <c r="E150" s="50" t="str">
        <f>'Sch 1- Rate Base '!E150</f>
        <v>DIST</v>
      </c>
      <c r="F150" s="50"/>
      <c r="G150" s="383">
        <f>'Sch 1- Rate Base '!G150</f>
        <v>0</v>
      </c>
      <c r="H150" s="71">
        <f>'Sch 1- Rate Base '!H150</f>
        <v>0</v>
      </c>
      <c r="I150" s="71">
        <f>'Sch 1- Rate Base '!I150</f>
        <v>0</v>
      </c>
      <c r="J150" s="285">
        <f>'Sch 1- Rate Base '!J150</f>
        <v>0</v>
      </c>
    </row>
    <row r="151" spans="1:10">
      <c r="A151" s="158"/>
      <c r="B151" s="23" t="s">
        <v>24</v>
      </c>
      <c r="C151" s="48" t="str">
        <f>'Sch 1- Rate Base '!C151</f>
        <v>112-113</v>
      </c>
      <c r="D151" s="48">
        <f>'Sch 1- Rate Base '!D151</f>
        <v>256</v>
      </c>
      <c r="E151" s="50" t="str">
        <f>'Sch 1- Rate Base '!E151</f>
        <v>DIRECT</v>
      </c>
      <c r="F151" s="50"/>
      <c r="G151" s="383">
        <f>'Sch 1- Rate Base '!G151</f>
        <v>1353224.7999999998</v>
      </c>
      <c r="H151" s="71">
        <f>'Sch 1- Rate Base '!H151</f>
        <v>0</v>
      </c>
      <c r="I151" s="71">
        <f>'Sch 1- Rate Base '!I151</f>
        <v>0</v>
      </c>
      <c r="J151" s="285">
        <f>'Sch 1- Rate Base '!J151</f>
        <v>1353224.7999999998</v>
      </c>
    </row>
    <row r="152" spans="1:10">
      <c r="A152" s="158"/>
      <c r="B152" s="23" t="s">
        <v>27</v>
      </c>
      <c r="C152" s="48" t="str">
        <f>'Sch 1- Rate Base '!C152</f>
        <v>112-113</v>
      </c>
      <c r="D152" s="48">
        <f>'Sch 1- Rate Base '!D152</f>
        <v>257</v>
      </c>
      <c r="E152" s="50" t="str">
        <f>'Sch 1- Rate Base '!E152</f>
        <v>PTDG</v>
      </c>
      <c r="F152" s="50"/>
      <c r="G152" s="383">
        <f>'Sch 1- Rate Base '!G152</f>
        <v>0</v>
      </c>
      <c r="H152" s="71">
        <f>'Sch 1- Rate Base '!H152</f>
        <v>0</v>
      </c>
      <c r="I152" s="71">
        <f>'Sch 1- Rate Base '!I152</f>
        <v>0</v>
      </c>
      <c r="J152" s="285">
        <f>'Sch 1- Rate Base '!J152</f>
        <v>0</v>
      </c>
    </row>
    <row r="153" spans="1:10">
      <c r="A153" s="158"/>
      <c r="B153" s="23" t="s">
        <v>31</v>
      </c>
      <c r="C153" s="48" t="str">
        <f>'Sch 1- Rate Base '!C153</f>
        <v>112-113</v>
      </c>
      <c r="D153" s="48">
        <f>'Sch 1- Rate Base '!D153</f>
        <v>281</v>
      </c>
      <c r="E153" s="50" t="str">
        <f>'Sch 1- Rate Base '!E153</f>
        <v>DIST</v>
      </c>
      <c r="F153" s="50"/>
      <c r="G153" s="383">
        <f>'Sch 1- Rate Base '!G153</f>
        <v>0</v>
      </c>
      <c r="H153" s="71">
        <f>'Sch 1- Rate Base '!H153</f>
        <v>0</v>
      </c>
      <c r="I153" s="71">
        <f>'Sch 1- Rate Base '!I153</f>
        <v>0</v>
      </c>
      <c r="J153" s="285">
        <f>'Sch 1- Rate Base '!J153</f>
        <v>0</v>
      </c>
    </row>
    <row r="154" spans="1:10">
      <c r="A154" s="158"/>
      <c r="B154" s="23" t="s">
        <v>32</v>
      </c>
      <c r="C154" s="48" t="str">
        <f>'Sch 1- Rate Base '!C154</f>
        <v>112-113</v>
      </c>
      <c r="D154" s="48">
        <f>'Sch 1- Rate Base '!D154</f>
        <v>282</v>
      </c>
      <c r="E154" s="50" t="str">
        <f>'Sch 1- Rate Base '!E154</f>
        <v>DIST</v>
      </c>
      <c r="F154" s="50"/>
      <c r="G154" s="383">
        <f>'Sch 1- Rate Base '!G154</f>
        <v>763011479.07151985</v>
      </c>
      <c r="H154" s="71">
        <f>'Sch 1- Rate Base '!H154</f>
        <v>0</v>
      </c>
      <c r="I154" s="71">
        <f>'Sch 1- Rate Base '!I154</f>
        <v>0</v>
      </c>
      <c r="J154" s="285">
        <f>'Sch 1- Rate Base '!J154</f>
        <v>763011479.07151985</v>
      </c>
    </row>
    <row r="155" spans="1:10">
      <c r="A155" s="158"/>
      <c r="B155" s="23" t="s">
        <v>33</v>
      </c>
      <c r="C155" s="48" t="str">
        <f>'Sch 1- Rate Base '!C155</f>
        <v>112-113</v>
      </c>
      <c r="D155" s="48">
        <f>'Sch 1- Rate Base '!D155</f>
        <v>283</v>
      </c>
      <c r="E155" s="50" t="str">
        <f>'Sch 1- Rate Base '!E155</f>
        <v>DIST</v>
      </c>
      <c r="F155" s="50"/>
      <c r="G155" s="383">
        <f>'Sch 1- Rate Base '!G155</f>
        <v>226461605.12920922</v>
      </c>
      <c r="H155" s="71">
        <f>'Sch 1- Rate Base '!H155</f>
        <v>0</v>
      </c>
      <c r="I155" s="71">
        <f>'Sch 1- Rate Base '!I155</f>
        <v>0</v>
      </c>
      <c r="J155" s="285">
        <f>'Sch 1- Rate Base '!J155</f>
        <v>226461605.12920922</v>
      </c>
    </row>
    <row r="156" spans="1:10">
      <c r="A156" s="158"/>
      <c r="B156" s="125" t="s">
        <v>104</v>
      </c>
      <c r="C156" s="108"/>
      <c r="D156" s="106"/>
      <c r="E156" s="106"/>
      <c r="F156" s="107"/>
      <c r="G156" s="109">
        <f>'Sch 1- Rate Base '!G156</f>
        <v>1902848644.2734106</v>
      </c>
      <c r="H156" s="109">
        <f>'Sch 1- Rate Base '!H156</f>
        <v>74347550.138190463</v>
      </c>
      <c r="I156" s="109">
        <f>'Sch 1- Rate Base '!I156</f>
        <v>0</v>
      </c>
      <c r="J156" s="290">
        <f>'Sch 1- Rate Base '!J156</f>
        <v>1828501094.1352201</v>
      </c>
    </row>
    <row r="157" spans="1:10">
      <c r="A157" s="158"/>
      <c r="B157" s="23"/>
      <c r="C157" s="10"/>
      <c r="D157" s="26"/>
      <c r="E157" s="10"/>
      <c r="F157" s="10"/>
      <c r="G157" s="101"/>
      <c r="H157" s="102"/>
      <c r="I157" s="102"/>
      <c r="J157" s="295"/>
    </row>
    <row r="158" spans="1:10">
      <c r="A158" s="63" t="s">
        <v>73</v>
      </c>
      <c r="B158" s="19"/>
      <c r="C158" s="108"/>
      <c r="D158" s="106"/>
      <c r="E158" s="106"/>
      <c r="F158" s="107"/>
      <c r="G158" s="109">
        <f>'Sch 1- Rate Base '!G158</f>
        <v>2010043296.9734106</v>
      </c>
      <c r="H158" s="109">
        <f>'Sch 1- Rate Base '!H158</f>
        <v>74347550.138190463</v>
      </c>
      <c r="I158" s="109">
        <f>'Sch 1- Rate Base '!I158</f>
        <v>0</v>
      </c>
      <c r="J158" s="290">
        <f>'Sch 1- Rate Base '!J158</f>
        <v>1935695746.8352201</v>
      </c>
    </row>
    <row r="159" spans="1:10">
      <c r="A159" s="68"/>
      <c r="B159" s="19"/>
      <c r="C159" s="5"/>
      <c r="D159" s="5"/>
      <c r="E159" s="5"/>
      <c r="F159" s="5"/>
      <c r="G159" s="34"/>
      <c r="H159" s="34"/>
      <c r="I159" s="34"/>
      <c r="J159" s="287"/>
    </row>
    <row r="160" spans="1:10">
      <c r="A160" s="44"/>
      <c r="B160" s="23"/>
      <c r="C160" s="26"/>
      <c r="D160" s="26"/>
      <c r="E160" s="23"/>
      <c r="F160" s="23"/>
      <c r="G160" s="98"/>
      <c r="H160" s="98"/>
      <c r="I160" s="98"/>
      <c r="J160" s="296"/>
    </row>
    <row r="161" spans="1:10">
      <c r="A161" s="41" t="s">
        <v>477</v>
      </c>
      <c r="B161" s="19"/>
      <c r="C161" s="110"/>
      <c r="D161" s="111"/>
      <c r="E161" s="111"/>
      <c r="F161" s="112"/>
      <c r="G161" s="113">
        <f>'Sch 1- Rate Base '!G161</f>
        <v>7602520405.9922667</v>
      </c>
      <c r="H161" s="113">
        <f>'Sch 1- Rate Base '!H161</f>
        <v>2217167777.4065552</v>
      </c>
      <c r="I161" s="113">
        <f>'Sch 1- Rate Base '!I161</f>
        <v>0</v>
      </c>
      <c r="J161" s="297">
        <f>'Sch 1- Rate Base '!J161</f>
        <v>5385352626.9445868</v>
      </c>
    </row>
    <row r="162" spans="1:10">
      <c r="A162" s="168" t="s">
        <v>83</v>
      </c>
      <c r="B162" s="19"/>
      <c r="C162" s="5"/>
      <c r="D162" s="5"/>
      <c r="E162" s="5"/>
      <c r="F162" s="5"/>
      <c r="G162" s="11"/>
      <c r="H162" s="8"/>
      <c r="I162" s="9"/>
      <c r="J162" s="384"/>
    </row>
    <row r="163" spans="1:10" ht="16.5" thickBot="1">
      <c r="A163" s="175"/>
      <c r="B163" s="176"/>
      <c r="C163" s="177"/>
      <c r="D163" s="177"/>
      <c r="E163" s="177"/>
      <c r="F163" s="177"/>
      <c r="G163" s="179"/>
      <c r="H163" s="385"/>
      <c r="I163" s="199"/>
      <c r="J163" s="386"/>
    </row>
    <row r="164" spans="1:10" ht="16.5" thickTop="1">
      <c r="A164" s="168"/>
      <c r="B164" s="19"/>
      <c r="C164" s="15"/>
      <c r="D164" s="15"/>
      <c r="E164" s="15"/>
      <c r="F164" s="15"/>
      <c r="G164" s="156"/>
      <c r="H164" s="379"/>
      <c r="I164" s="16"/>
      <c r="J164" s="387"/>
    </row>
    <row r="165" spans="1:10">
      <c r="A165" s="154" t="s">
        <v>63</v>
      </c>
      <c r="B165" s="273" t="s">
        <v>63</v>
      </c>
      <c r="G165" s="200">
        <f>'Sch 2 -Rate of Return'!E97</f>
        <v>0</v>
      </c>
      <c r="H165" s="200">
        <f>'Sch 2 -Rate of Return'!F97</f>
        <v>0</v>
      </c>
      <c r="I165" s="200">
        <f>'Sch 2 -Rate of Return'!G97</f>
        <v>0</v>
      </c>
      <c r="J165" s="200">
        <f>'Sch 2 -Rate of Return'!H97</f>
        <v>0</v>
      </c>
    </row>
    <row r="166" spans="1:10">
      <c r="A166" s="363"/>
      <c r="J166" s="366"/>
    </row>
    <row r="167" spans="1:10">
      <c r="A167" s="201" t="s">
        <v>141</v>
      </c>
      <c r="B167" s="273" t="s">
        <v>141</v>
      </c>
      <c r="G167" s="202">
        <f>'Sch 2 -Rate of Return'!E98</f>
        <v>0</v>
      </c>
      <c r="H167" s="202">
        <f>'Sch 2 -Rate of Return'!F98</f>
        <v>0</v>
      </c>
      <c r="I167" s="202">
        <f>'Sch 2 -Rate of Return'!G98</f>
        <v>0</v>
      </c>
      <c r="J167" s="202">
        <f>'Sch 2 -Rate of Return'!H98</f>
        <v>0</v>
      </c>
    </row>
    <row r="168" spans="1:10">
      <c r="A168" s="363"/>
      <c r="J168" s="366"/>
    </row>
    <row r="169" spans="1:10" ht="16.5" thickBot="1">
      <c r="A169" s="363"/>
      <c r="J169" s="366"/>
    </row>
    <row r="170" spans="1:10" ht="17.25" thickTop="1" thickBot="1">
      <c r="A170" s="203" t="s">
        <v>82</v>
      </c>
      <c r="B170" s="204"/>
      <c r="C170" s="204"/>
      <c r="D170" s="204"/>
      <c r="E170" s="205"/>
      <c r="F170" s="205"/>
      <c r="G170" s="206"/>
      <c r="H170" s="207"/>
      <c r="I170" s="207"/>
      <c r="J170" s="208"/>
    </row>
    <row r="171" spans="1:10" ht="17.25" thickTop="1" thickBot="1">
      <c r="A171" s="209"/>
      <c r="B171" s="4182" t="s">
        <v>100</v>
      </c>
      <c r="C171" s="88" t="s">
        <v>321</v>
      </c>
      <c r="D171" s="88"/>
      <c r="E171" s="4166" t="s">
        <v>350</v>
      </c>
      <c r="F171" s="4167"/>
      <c r="G171" s="4170" t="s">
        <v>104</v>
      </c>
      <c r="H171" s="4173" t="s">
        <v>105</v>
      </c>
      <c r="I171" s="4176" t="s">
        <v>106</v>
      </c>
      <c r="J171" s="89"/>
    </row>
    <row r="172" spans="1:10" ht="16.5" thickBot="1">
      <c r="A172" s="140"/>
      <c r="B172" s="4183"/>
      <c r="C172" s="87" t="s">
        <v>270</v>
      </c>
      <c r="D172" s="87" t="s">
        <v>96</v>
      </c>
      <c r="E172" s="4168"/>
      <c r="F172" s="4169"/>
      <c r="G172" s="4171"/>
      <c r="H172" s="4174"/>
      <c r="I172" s="4177"/>
      <c r="J172" s="80" t="s">
        <v>98</v>
      </c>
    </row>
    <row r="173" spans="1:10" ht="16.5" thickBot="1">
      <c r="A173" s="210"/>
      <c r="B173" s="4184"/>
      <c r="C173" s="81" t="s">
        <v>271</v>
      </c>
      <c r="D173" s="81" t="s">
        <v>250</v>
      </c>
      <c r="E173" s="81" t="s">
        <v>449</v>
      </c>
      <c r="F173" s="81" t="s">
        <v>609</v>
      </c>
      <c r="G173" s="4172"/>
      <c r="H173" s="4175"/>
      <c r="I173" s="4178"/>
      <c r="J173" s="82" t="s">
        <v>107</v>
      </c>
    </row>
    <row r="174" spans="1:10" ht="16.5" thickTop="1">
      <c r="A174" s="40" t="s">
        <v>455</v>
      </c>
      <c r="B174" s="19"/>
      <c r="C174" s="15"/>
      <c r="D174" s="15"/>
      <c r="E174" s="15"/>
      <c r="F174" s="15"/>
      <c r="G174" s="211"/>
      <c r="H174" s="379"/>
      <c r="I174" s="379"/>
      <c r="J174" s="380"/>
    </row>
    <row r="175" spans="1:10">
      <c r="A175" s="158"/>
      <c r="B175" s="47" t="s">
        <v>456</v>
      </c>
      <c r="C175" s="15"/>
      <c r="D175" s="15"/>
      <c r="E175" s="15"/>
      <c r="F175" s="15"/>
      <c r="G175" s="211"/>
      <c r="H175" s="379"/>
      <c r="I175" s="379"/>
      <c r="J175" s="380"/>
    </row>
    <row r="176" spans="1:10">
      <c r="A176" s="158"/>
      <c r="B176" s="65" t="s">
        <v>257</v>
      </c>
      <c r="C176" s="151" t="str">
        <f>'Sch 3 - Expenses'!C16</f>
        <v>320-323</v>
      </c>
      <c r="D176" s="151">
        <f>'Sch 3 - Expenses'!D16</f>
        <v>501</v>
      </c>
      <c r="E176" s="49" t="str">
        <f>'Sch 3 - Expenses'!E16</f>
        <v>PROD</v>
      </c>
      <c r="F176" s="152"/>
      <c r="G176" s="49">
        <f>'Sch 3 - Expenses'!G16</f>
        <v>60636604</v>
      </c>
      <c r="H176" s="49">
        <f>'Sch 3 - Expenses'!H16</f>
        <v>60636604</v>
      </c>
      <c r="I176" s="49">
        <f>'Sch 3 - Expenses'!I16</f>
        <v>0</v>
      </c>
      <c r="J176" s="49">
        <f>'Sch 3 - Expenses'!J16</f>
        <v>0</v>
      </c>
    </row>
    <row r="177" spans="1:10">
      <c r="A177" s="158"/>
      <c r="B177" s="65" t="s">
        <v>258</v>
      </c>
      <c r="C177" s="151" t="str">
        <f>'Sch 3 - Expenses'!C17</f>
        <v>320-323</v>
      </c>
      <c r="D177" s="151" t="str">
        <f>'Sch 3 - Expenses'!D17</f>
        <v>500-509</v>
      </c>
      <c r="E177" s="49" t="str">
        <f>'Sch 3 - Expenses'!E17</f>
        <v>PROD</v>
      </c>
      <c r="F177" s="152"/>
      <c r="G177" s="49">
        <f>'Sch 3 - Expenses'!G17</f>
        <v>20123737</v>
      </c>
      <c r="H177" s="49">
        <f>'Sch 3 - Expenses'!H17</f>
        <v>20123737</v>
      </c>
      <c r="I177" s="49">
        <f>'Sch 3 - Expenses'!I17</f>
        <v>0</v>
      </c>
      <c r="J177" s="49">
        <f>'Sch 3 - Expenses'!J17</f>
        <v>0</v>
      </c>
    </row>
    <row r="178" spans="1:10">
      <c r="A178" s="158"/>
      <c r="B178" s="65" t="s">
        <v>259</v>
      </c>
      <c r="C178" s="151" t="str">
        <f>'Sch 3 - Expenses'!C18</f>
        <v>320-323</v>
      </c>
      <c r="D178" s="151" t="str">
        <f>'Sch 3 - Expenses'!D18</f>
        <v>510-515</v>
      </c>
      <c r="E178" s="49" t="str">
        <f>'Sch 3 - Expenses'!E18</f>
        <v>PROD</v>
      </c>
      <c r="F178" s="152"/>
      <c r="G178" s="49">
        <f>'Sch 3 - Expenses'!G18</f>
        <v>23219450</v>
      </c>
      <c r="H178" s="49">
        <f>'Sch 3 - Expenses'!H18</f>
        <v>23219450</v>
      </c>
      <c r="I178" s="49">
        <f>'Sch 3 - Expenses'!I18</f>
        <v>0</v>
      </c>
      <c r="J178" s="49">
        <f>'Sch 3 - Expenses'!J18</f>
        <v>0</v>
      </c>
    </row>
    <row r="179" spans="1:10">
      <c r="A179" s="158"/>
      <c r="B179" s="212" t="s">
        <v>457</v>
      </c>
      <c r="C179" s="15"/>
      <c r="D179" s="15"/>
      <c r="E179" s="54"/>
      <c r="F179" s="54"/>
      <c r="G179" s="20"/>
      <c r="H179" s="20"/>
      <c r="I179" s="20"/>
      <c r="J179" s="213"/>
    </row>
    <row r="180" spans="1:10">
      <c r="A180" s="158"/>
      <c r="B180" s="65" t="s">
        <v>85</v>
      </c>
      <c r="C180" s="151" t="str">
        <f>'Sch 3 - Expenses'!C20</f>
        <v>320-323</v>
      </c>
      <c r="D180" s="151">
        <f>'Sch 3 - Expenses'!D20</f>
        <v>518</v>
      </c>
      <c r="E180" s="49" t="str">
        <f>'Sch 3 - Expenses'!E20</f>
        <v>PROD</v>
      </c>
      <c r="F180" s="152"/>
      <c r="G180" s="49">
        <f>'Sch 3 - Expenses'!G20</f>
        <v>0</v>
      </c>
      <c r="H180" s="49">
        <f>'Sch 3 - Expenses'!H20</f>
        <v>0</v>
      </c>
      <c r="I180" s="49">
        <f>'Sch 3 - Expenses'!I20</f>
        <v>0</v>
      </c>
      <c r="J180" s="49">
        <f>'Sch 3 - Expenses'!J20</f>
        <v>0</v>
      </c>
    </row>
    <row r="181" spans="1:10">
      <c r="A181" s="158"/>
      <c r="B181" s="159" t="s">
        <v>262</v>
      </c>
      <c r="C181" s="151" t="str">
        <f>'Sch 3 - Expenses'!C21</f>
        <v>320-323</v>
      </c>
      <c r="D181" s="151" t="str">
        <f>'Sch 3 - Expenses'!D21</f>
        <v>517-525</v>
      </c>
      <c r="E181" s="49" t="str">
        <f>'Sch 3 - Expenses'!E21</f>
        <v>PROD</v>
      </c>
      <c r="F181" s="152"/>
      <c r="G181" s="49">
        <f>'Sch 3 - Expenses'!G21</f>
        <v>0</v>
      </c>
      <c r="H181" s="49">
        <f>'Sch 3 - Expenses'!H21</f>
        <v>0</v>
      </c>
      <c r="I181" s="49">
        <f>'Sch 3 - Expenses'!I21</f>
        <v>0</v>
      </c>
      <c r="J181" s="49">
        <f>'Sch 3 - Expenses'!J21</f>
        <v>0</v>
      </c>
    </row>
    <row r="182" spans="1:10">
      <c r="A182" s="158"/>
      <c r="B182" s="6" t="s">
        <v>478</v>
      </c>
      <c r="C182" s="151" t="str">
        <f>'Sch 3 - Expenses'!C22</f>
        <v>320-323</v>
      </c>
      <c r="D182" s="151" t="str">
        <f>'Sch 3 - Expenses'!D22</f>
        <v>528-532</v>
      </c>
      <c r="E182" s="49" t="str">
        <f>'Sch 3 - Expenses'!E22</f>
        <v>PROD</v>
      </c>
      <c r="F182" s="152"/>
      <c r="G182" s="49">
        <f>'Sch 3 - Expenses'!G22</f>
        <v>0</v>
      </c>
      <c r="H182" s="49">
        <f>'Sch 3 - Expenses'!H22</f>
        <v>0</v>
      </c>
      <c r="I182" s="49">
        <f>'Sch 3 - Expenses'!I22</f>
        <v>0</v>
      </c>
      <c r="J182" s="49">
        <f>'Sch 3 - Expenses'!J22</f>
        <v>0</v>
      </c>
    </row>
    <row r="183" spans="1:10">
      <c r="A183" s="158"/>
      <c r="B183" s="212" t="s">
        <v>458</v>
      </c>
      <c r="C183" s="15"/>
      <c r="D183" s="15"/>
      <c r="E183" s="54"/>
      <c r="F183" s="54"/>
      <c r="G183" s="20"/>
      <c r="H183" s="20"/>
      <c r="I183" s="20"/>
      <c r="J183" s="213"/>
    </row>
    <row r="184" spans="1:10">
      <c r="A184" s="158"/>
      <c r="B184" s="159" t="s">
        <v>86</v>
      </c>
      <c r="C184" s="151" t="str">
        <f>'Sch 3 - Expenses'!C24</f>
        <v>320-323</v>
      </c>
      <c r="D184" s="151" t="str">
        <f>'Sch 3 - Expenses'!D24</f>
        <v>535-540.1</v>
      </c>
      <c r="E184" s="49" t="str">
        <f>'Sch 3 - Expenses'!E24</f>
        <v>PROD</v>
      </c>
      <c r="F184" s="152"/>
      <c r="G184" s="49">
        <f>'Sch 3 - Expenses'!G24</f>
        <v>7020837</v>
      </c>
      <c r="H184" s="49">
        <f>'Sch 3 - Expenses'!H24</f>
        <v>7020837</v>
      </c>
      <c r="I184" s="49">
        <f>'Sch 3 - Expenses'!I24</f>
        <v>0</v>
      </c>
      <c r="J184" s="49">
        <f>'Sch 3 - Expenses'!J24</f>
        <v>0</v>
      </c>
    </row>
    <row r="185" spans="1:10">
      <c r="A185" s="158"/>
      <c r="B185" s="159" t="s">
        <v>87</v>
      </c>
      <c r="C185" s="151" t="str">
        <f>'Sch 3 - Expenses'!C25</f>
        <v>320-323</v>
      </c>
      <c r="D185" s="151" t="str">
        <f>'Sch 3 - Expenses'!D25</f>
        <v>541-545.1</v>
      </c>
      <c r="E185" s="49" t="str">
        <f>'Sch 3 - Expenses'!E25</f>
        <v>PROD</v>
      </c>
      <c r="F185" s="152"/>
      <c r="G185" s="49">
        <f>'Sch 3 - Expenses'!G25</f>
        <v>6951788</v>
      </c>
      <c r="H185" s="49">
        <f>'Sch 3 - Expenses'!H25</f>
        <v>6951788</v>
      </c>
      <c r="I185" s="49">
        <f>'Sch 3 - Expenses'!I25</f>
        <v>0</v>
      </c>
      <c r="J185" s="49">
        <f>'Sch 3 - Expenses'!J25</f>
        <v>0</v>
      </c>
    </row>
    <row r="186" spans="1:10">
      <c r="A186" s="158"/>
      <c r="B186" s="212" t="s">
        <v>459</v>
      </c>
      <c r="C186" s="15"/>
      <c r="D186" s="15"/>
      <c r="E186" s="54"/>
      <c r="F186" s="54"/>
      <c r="G186" s="20"/>
      <c r="H186" s="20"/>
      <c r="I186" s="20"/>
      <c r="J186" s="213"/>
    </row>
    <row r="187" spans="1:10">
      <c r="A187" s="158"/>
      <c r="B187" s="65" t="s">
        <v>450</v>
      </c>
      <c r="C187" s="151" t="str">
        <f>'Sch 3 - Expenses'!C27</f>
        <v>320-323</v>
      </c>
      <c r="D187" s="151">
        <f>'Sch 3 - Expenses'!D27</f>
        <v>547</v>
      </c>
      <c r="E187" s="49" t="str">
        <f>'Sch 3 - Expenses'!E27</f>
        <v>PROD</v>
      </c>
      <c r="F187" s="152"/>
      <c r="G187" s="49">
        <f>'Sch 3 - Expenses'!G27</f>
        <v>396650165</v>
      </c>
      <c r="H187" s="49">
        <f>'Sch 3 - Expenses'!H27</f>
        <v>396650165</v>
      </c>
      <c r="I187" s="49">
        <f>'Sch 3 - Expenses'!I27</f>
        <v>0</v>
      </c>
      <c r="J187" s="49">
        <f>'Sch 3 - Expenses'!J27</f>
        <v>0</v>
      </c>
    </row>
    <row r="188" spans="1:10">
      <c r="A188" s="158"/>
      <c r="B188" s="159" t="s">
        <v>261</v>
      </c>
      <c r="C188" s="151" t="str">
        <f>'Sch 3 - Expenses'!C28</f>
        <v>320-323</v>
      </c>
      <c r="D188" s="151" t="str">
        <f>'Sch 3 - Expenses'!D28</f>
        <v>546-550.1</v>
      </c>
      <c r="E188" s="49" t="str">
        <f>'Sch 3 - Expenses'!E28</f>
        <v>PROD</v>
      </c>
      <c r="F188" s="152"/>
      <c r="G188" s="49">
        <f>'Sch 3 - Expenses'!G28</f>
        <v>33443518</v>
      </c>
      <c r="H188" s="49">
        <f>'Sch 3 - Expenses'!H28</f>
        <v>33443518</v>
      </c>
      <c r="I188" s="49">
        <f>'Sch 3 - Expenses'!I28</f>
        <v>0</v>
      </c>
      <c r="J188" s="49">
        <f>'Sch 3 - Expenses'!J28</f>
        <v>0</v>
      </c>
    </row>
    <row r="189" spans="1:10">
      <c r="A189" s="158"/>
      <c r="B189" s="159" t="s">
        <v>263</v>
      </c>
      <c r="C189" s="151" t="str">
        <f>'Sch 3 - Expenses'!C29</f>
        <v>320-323</v>
      </c>
      <c r="D189" s="151" t="str">
        <f>'Sch 3 - Expenses'!D29</f>
        <v>551-554.1</v>
      </c>
      <c r="E189" s="49" t="str">
        <f>'Sch 3 - Expenses'!E29</f>
        <v>PROD</v>
      </c>
      <c r="F189" s="152"/>
      <c r="G189" s="49">
        <f>'Sch 3 - Expenses'!G29</f>
        <v>27656590</v>
      </c>
      <c r="H189" s="49">
        <f>'Sch 3 - Expenses'!H29</f>
        <v>27656590</v>
      </c>
      <c r="I189" s="49">
        <f>'Sch 3 - Expenses'!I29</f>
        <v>0</v>
      </c>
      <c r="J189" s="49">
        <f>'Sch 3 - Expenses'!J29</f>
        <v>0</v>
      </c>
    </row>
    <row r="190" spans="1:10">
      <c r="A190" s="158"/>
      <c r="B190" s="212" t="s">
        <v>453</v>
      </c>
      <c r="C190" s="15"/>
      <c r="D190" s="15"/>
      <c r="E190" s="54"/>
      <c r="F190" s="54"/>
      <c r="G190" s="20"/>
      <c r="H190" s="20"/>
      <c r="I190" s="20"/>
      <c r="J190" s="213"/>
    </row>
    <row r="191" spans="1:10">
      <c r="A191" s="158"/>
      <c r="B191" s="65" t="s">
        <v>264</v>
      </c>
      <c r="C191" s="151" t="str">
        <f>'Sch 3 - Expenses'!C31</f>
        <v>320-323</v>
      </c>
      <c r="D191" s="151">
        <f>'Sch 3 - Expenses'!D31</f>
        <v>555</v>
      </c>
      <c r="E191" s="49" t="str">
        <f>'Sch 3 - Expenses'!E31</f>
        <v>PROD</v>
      </c>
      <c r="F191" s="152"/>
      <c r="G191" s="49">
        <f>'Sch 3 - Expenses'!G31</f>
        <v>1085637524</v>
      </c>
      <c r="H191" s="49">
        <f>'Sch 3 - Expenses'!H31</f>
        <v>1085637524</v>
      </c>
      <c r="I191" s="49">
        <f>'Sch 3 - Expenses'!I31</f>
        <v>0</v>
      </c>
      <c r="J191" s="49">
        <f>'Sch 3 - Expenses'!J31</f>
        <v>0</v>
      </c>
    </row>
    <row r="192" spans="1:10">
      <c r="A192" s="158"/>
      <c r="B192" s="159" t="s">
        <v>454</v>
      </c>
      <c r="C192" s="151" t="str">
        <f>'Sch 3 - Expenses'!C32</f>
        <v>320-323</v>
      </c>
      <c r="D192" s="151">
        <f>'Sch 3 - Expenses'!D32</f>
        <v>556</v>
      </c>
      <c r="E192" s="49" t="str">
        <f>'Sch 3 - Expenses'!E32</f>
        <v>PROD</v>
      </c>
      <c r="F192" s="152"/>
      <c r="G192" s="49">
        <f>'Sch 3 - Expenses'!G32</f>
        <v>28612</v>
      </c>
      <c r="H192" s="49">
        <f>'Sch 3 - Expenses'!H32</f>
        <v>28612</v>
      </c>
      <c r="I192" s="49">
        <f>'Sch 3 - Expenses'!I32</f>
        <v>0</v>
      </c>
      <c r="J192" s="49">
        <f>'Sch 3 - Expenses'!J32</f>
        <v>0</v>
      </c>
    </row>
    <row r="193" spans="1:10">
      <c r="A193" s="158"/>
      <c r="B193" s="159" t="s">
        <v>265</v>
      </c>
      <c r="C193" s="151" t="str">
        <f>'Sch 3 - Expenses'!C33</f>
        <v>320-323</v>
      </c>
      <c r="D193" s="151">
        <f>'Sch 3 - Expenses'!D33</f>
        <v>557</v>
      </c>
      <c r="E193" s="49" t="str">
        <f>'Sch 3 - Expenses'!E33</f>
        <v>PROD</v>
      </c>
      <c r="F193" s="152"/>
      <c r="G193" s="49">
        <f>'Sch 3 - Expenses'!G33</f>
        <v>94142017</v>
      </c>
      <c r="H193" s="49">
        <f>'Sch 3 - Expenses'!H33</f>
        <v>94142017</v>
      </c>
      <c r="I193" s="49">
        <f>'Sch 3 - Expenses'!I33</f>
        <v>0</v>
      </c>
      <c r="J193" s="49">
        <f>'Sch 3 - Expenses'!J33</f>
        <v>0</v>
      </c>
    </row>
    <row r="194" spans="1:10">
      <c r="A194" s="158"/>
      <c r="B194" s="65" t="s">
        <v>52</v>
      </c>
      <c r="C194" s="151" t="str">
        <f>'Sch 3 - Expenses'!C34</f>
        <v>326-327</v>
      </c>
      <c r="D194" s="151">
        <f>'Sch 3 - Expenses'!D34</f>
        <v>555</v>
      </c>
      <c r="E194" s="49" t="str">
        <f>'Sch 3 - Expenses'!E34</f>
        <v>PROD</v>
      </c>
      <c r="F194" s="152"/>
      <c r="G194" s="49">
        <f>'Sch 3 - Expenses'!G34</f>
        <v>0</v>
      </c>
      <c r="H194" s="49">
        <f>'Sch 3 - Expenses'!H34</f>
        <v>0</v>
      </c>
      <c r="I194" s="49">
        <f>'Sch 3 - Expenses'!I34</f>
        <v>0</v>
      </c>
      <c r="J194" s="49">
        <f>'Sch 3 - Expenses'!J34</f>
        <v>0</v>
      </c>
    </row>
    <row r="195" spans="1:10">
      <c r="A195" s="158"/>
      <c r="B195" s="159" t="s">
        <v>501</v>
      </c>
      <c r="C195" s="151">
        <f>'Sch 3 - Expenses'!C35</f>
        <v>0</v>
      </c>
      <c r="D195" s="152">
        <f>'Sch 3 - Expenses'!D35</f>
        <v>0</v>
      </c>
      <c r="E195" s="49" t="str">
        <f>'Sch 3 - Expenses'!E35</f>
        <v>DIRECT</v>
      </c>
      <c r="F195" s="152" t="str">
        <f>'Sch 3 - Expenses'!F35</f>
        <v>DIST</v>
      </c>
      <c r="G195" s="49">
        <f>'Sch 3 - Expenses'!G35</f>
        <v>0</v>
      </c>
      <c r="H195" s="49">
        <f>'Sch 3 - Expenses'!H35</f>
        <v>0</v>
      </c>
      <c r="I195" s="49">
        <f>'Sch 3 - Expenses'!I35</f>
        <v>0</v>
      </c>
      <c r="J195" s="49">
        <f>'Sch 3 - Expenses'!J35</f>
        <v>0</v>
      </c>
    </row>
    <row r="196" spans="1:10">
      <c r="A196" s="41" t="s">
        <v>480</v>
      </c>
      <c r="B196" s="6"/>
      <c r="C196" s="160"/>
      <c r="D196" s="161"/>
      <c r="E196" s="161"/>
      <c r="F196" s="162"/>
      <c r="G196" s="377">
        <f>'Sch 3 - Expenses'!G36</f>
        <v>1755510842</v>
      </c>
      <c r="H196" s="377">
        <f>'Sch 3 - Expenses'!H36</f>
        <v>1755510842</v>
      </c>
      <c r="I196" s="377">
        <f>'Sch 3 - Expenses'!I36</f>
        <v>0</v>
      </c>
      <c r="J196" s="378">
        <f>'Sch 3 - Expenses'!J36</f>
        <v>0</v>
      </c>
    </row>
    <row r="197" spans="1:10">
      <c r="A197" s="68"/>
      <c r="B197" s="6"/>
      <c r="C197" s="15"/>
      <c r="D197" s="15"/>
      <c r="E197" s="19"/>
      <c r="F197" s="19"/>
      <c r="G197" s="211"/>
      <c r="H197" s="379"/>
      <c r="I197" s="379"/>
      <c r="J197" s="380"/>
    </row>
    <row r="198" spans="1:10">
      <c r="A198" s="40" t="s">
        <v>500</v>
      </c>
      <c r="B198" s="6"/>
      <c r="C198" s="15"/>
      <c r="D198" s="54"/>
      <c r="E198" s="6"/>
      <c r="F198" s="6"/>
      <c r="G198" s="211"/>
      <c r="H198" s="379"/>
      <c r="I198" s="379"/>
      <c r="J198" s="380"/>
    </row>
    <row r="199" spans="1:10">
      <c r="A199" s="158"/>
      <c r="B199" s="159" t="s">
        <v>397</v>
      </c>
      <c r="C199" s="151" t="str">
        <f>'Sch 3 - Expenses'!C39</f>
        <v>320-323</v>
      </c>
      <c r="D199" s="151" t="str">
        <f>'Sch 3 - Expenses'!D39</f>
        <v>565</v>
      </c>
      <c r="E199" s="49" t="str">
        <f>'Sch 3 - Expenses'!E39</f>
        <v>prod</v>
      </c>
      <c r="F199" s="152"/>
      <c r="G199" s="49">
        <f>'Sch 3 - Expenses'!G39</f>
        <v>162583424</v>
      </c>
      <c r="H199" s="49">
        <f>'Sch 3 - Expenses'!H39</f>
        <v>162583424</v>
      </c>
      <c r="I199" s="49">
        <f>'Sch 3 - Expenses'!I39</f>
        <v>0</v>
      </c>
      <c r="J199" s="49">
        <f>'Sch 3 - Expenses'!J39</f>
        <v>0</v>
      </c>
    </row>
    <row r="200" spans="1:10">
      <c r="A200" s="158"/>
      <c r="B200" s="159" t="s">
        <v>460</v>
      </c>
      <c r="C200" s="151" t="str">
        <f>'Sch 3 - Expenses'!C40</f>
        <v>320-323</v>
      </c>
      <c r="D200" s="151" t="str">
        <f>'Sch 3 - Expenses'!D40</f>
        <v>560-567.1</v>
      </c>
      <c r="E200" s="49" t="str">
        <f>'Sch 3 - Expenses'!E40</f>
        <v>TRANS</v>
      </c>
      <c r="F200" s="152"/>
      <c r="G200" s="49">
        <f>'Sch 3 - Expenses'!G40</f>
        <v>14310154</v>
      </c>
      <c r="H200" s="49">
        <f>'Sch 3 - Expenses'!H40</f>
        <v>0</v>
      </c>
      <c r="I200" s="49">
        <f>'Sch 3 - Expenses'!I40</f>
        <v>0</v>
      </c>
      <c r="J200" s="49">
        <f>'Sch 3 - Expenses'!J40</f>
        <v>14310154</v>
      </c>
    </row>
    <row r="201" spans="1:10">
      <c r="A201" s="158"/>
      <c r="B201" s="159" t="s">
        <v>461</v>
      </c>
      <c r="C201" s="151" t="str">
        <f>'Sch 3 - Expenses'!C41</f>
        <v>320-323</v>
      </c>
      <c r="D201" s="151" t="str">
        <f>'Sch 3 - Expenses'!D41</f>
        <v>568-574</v>
      </c>
      <c r="E201" s="49" t="str">
        <f>'Sch 3 - Expenses'!E41</f>
        <v>TRANS</v>
      </c>
      <c r="F201" s="152"/>
      <c r="G201" s="49">
        <f>'Sch 3 - Expenses'!G41</f>
        <v>11909901</v>
      </c>
      <c r="H201" s="49">
        <f>'Sch 3 - Expenses'!H41</f>
        <v>0</v>
      </c>
      <c r="I201" s="49">
        <f>'Sch 3 - Expenses'!I41</f>
        <v>0</v>
      </c>
      <c r="J201" s="49">
        <f>'Sch 3 - Expenses'!J41</f>
        <v>11909901</v>
      </c>
    </row>
    <row r="202" spans="1:10">
      <c r="A202" s="41" t="s">
        <v>482</v>
      </c>
      <c r="B202" s="6"/>
      <c r="C202" s="160"/>
      <c r="D202" s="161"/>
      <c r="E202" s="161"/>
      <c r="F202" s="162"/>
      <c r="G202" s="377">
        <f>'Sch 3 - Expenses'!G42</f>
        <v>188803479</v>
      </c>
      <c r="H202" s="377">
        <f>'Sch 3 - Expenses'!H42</f>
        <v>162583424</v>
      </c>
      <c r="I202" s="377">
        <f>'Sch 3 - Expenses'!I42</f>
        <v>0</v>
      </c>
      <c r="J202" s="378">
        <f>'Sch 3 - Expenses'!J42</f>
        <v>26220055</v>
      </c>
    </row>
    <row r="203" spans="1:10" ht="16.5" thickBot="1">
      <c r="A203" s="214"/>
      <c r="B203" s="215"/>
      <c r="C203" s="177"/>
      <c r="D203" s="177"/>
      <c r="E203" s="176"/>
      <c r="F203" s="176"/>
      <c r="G203" s="216"/>
      <c r="H203" s="385"/>
      <c r="I203" s="385"/>
      <c r="J203" s="388"/>
    </row>
    <row r="204" spans="1:10" ht="16.5" thickTop="1">
      <c r="A204" s="40" t="s">
        <v>483</v>
      </c>
      <c r="B204" s="6"/>
      <c r="C204" s="15"/>
      <c r="D204" s="54"/>
      <c r="E204" s="6"/>
      <c r="F204" s="6"/>
      <c r="G204" s="211"/>
      <c r="H204" s="379"/>
      <c r="I204" s="379"/>
      <c r="J204" s="380"/>
    </row>
    <row r="205" spans="1:10">
      <c r="A205" s="158"/>
      <c r="B205" s="159" t="s">
        <v>462</v>
      </c>
      <c r="C205" s="151" t="str">
        <f>'Sch 3 - Expenses'!C45</f>
        <v>320-323</v>
      </c>
      <c r="D205" s="151" t="str">
        <f>'Sch 3 - Expenses'!D45</f>
        <v>580-589</v>
      </c>
      <c r="E205" s="49" t="str">
        <f>'Sch 3 - Expenses'!E45</f>
        <v>DIST</v>
      </c>
      <c r="F205" s="152"/>
      <c r="G205" s="49">
        <f>'Sch 3 - Expenses'!G45</f>
        <v>44589259</v>
      </c>
      <c r="H205" s="49">
        <f>'Sch 3 - Expenses'!H45</f>
        <v>0</v>
      </c>
      <c r="I205" s="49">
        <f>'Sch 3 - Expenses'!I45</f>
        <v>0</v>
      </c>
      <c r="J205" s="49">
        <f>'Sch 3 - Expenses'!J45</f>
        <v>44589259</v>
      </c>
    </row>
    <row r="206" spans="1:10">
      <c r="A206" s="158"/>
      <c r="B206" s="159" t="s">
        <v>461</v>
      </c>
      <c r="C206" s="151" t="str">
        <f>'Sch 3 - Expenses'!C46</f>
        <v>320-323</v>
      </c>
      <c r="D206" s="151" t="str">
        <f>'Sch 3 - Expenses'!D46</f>
        <v>590-598</v>
      </c>
      <c r="E206" s="49" t="str">
        <f>'Sch 3 - Expenses'!E46</f>
        <v>DIST</v>
      </c>
      <c r="F206" s="152"/>
      <c r="G206" s="49">
        <f>'Sch 3 - Expenses'!G46</f>
        <v>64057473</v>
      </c>
      <c r="H206" s="49">
        <f>'Sch 3 - Expenses'!H46</f>
        <v>0</v>
      </c>
      <c r="I206" s="49">
        <f>'Sch 3 - Expenses'!I46</f>
        <v>0</v>
      </c>
      <c r="J206" s="49">
        <f>'Sch 3 - Expenses'!J46</f>
        <v>64057473</v>
      </c>
    </row>
    <row r="207" spans="1:10">
      <c r="A207" s="41" t="s">
        <v>486</v>
      </c>
      <c r="B207" s="6"/>
      <c r="C207" s="160"/>
      <c r="D207" s="161"/>
      <c r="E207" s="161"/>
      <c r="F207" s="162"/>
      <c r="G207" s="377">
        <f>'Sch 3 - Expenses'!G47</f>
        <v>108646732</v>
      </c>
      <c r="H207" s="377">
        <f>'Sch 3 - Expenses'!H47</f>
        <v>0</v>
      </c>
      <c r="I207" s="377">
        <f>'Sch 3 - Expenses'!I47</f>
        <v>0</v>
      </c>
      <c r="J207" s="378">
        <f>'Sch 3 - Expenses'!J47</f>
        <v>108646732</v>
      </c>
    </row>
    <row r="208" spans="1:10">
      <c r="A208" s="68"/>
      <c r="B208" s="6"/>
      <c r="C208" s="15"/>
      <c r="D208" s="15"/>
      <c r="E208" s="15"/>
      <c r="F208" s="15"/>
      <c r="G208" s="217"/>
      <c r="H208" s="16"/>
      <c r="I208" s="16"/>
      <c r="J208" s="218"/>
    </row>
    <row r="209" spans="1:10">
      <c r="A209" s="40" t="s">
        <v>487</v>
      </c>
      <c r="B209" s="6"/>
      <c r="C209" s="15"/>
      <c r="D209" s="15"/>
      <c r="E209" s="15"/>
      <c r="F209" s="15"/>
      <c r="G209" s="217"/>
      <c r="H209" s="16"/>
      <c r="I209" s="16"/>
      <c r="J209" s="218"/>
    </row>
    <row r="210" spans="1:10">
      <c r="A210" s="158"/>
      <c r="B210" s="159" t="s">
        <v>463</v>
      </c>
      <c r="C210" s="151" t="str">
        <f>'Sch 3 - Expenses'!C50</f>
        <v>320-323</v>
      </c>
      <c r="D210" s="151" t="str">
        <f>'Sch 3 - Expenses'!D50</f>
        <v>901-905</v>
      </c>
      <c r="E210" s="49" t="str">
        <f>'Sch 3 - Expenses'!E50</f>
        <v>DIST</v>
      </c>
      <c r="F210" s="152"/>
      <c r="G210" s="49">
        <f>'Sch 3 - Expenses'!G50</f>
        <v>59970042</v>
      </c>
      <c r="H210" s="49">
        <f>'Sch 3 - Expenses'!H50</f>
        <v>0</v>
      </c>
      <c r="I210" s="49">
        <f>'Sch 3 - Expenses'!I50</f>
        <v>0</v>
      </c>
      <c r="J210" s="49">
        <f>'Sch 3 - Expenses'!J50</f>
        <v>59970042</v>
      </c>
    </row>
    <row r="211" spans="1:10">
      <c r="A211" s="158"/>
      <c r="B211" s="159" t="s">
        <v>826</v>
      </c>
      <c r="C211" s="151" t="str">
        <f>'Sch 3 - Expenses'!C51</f>
        <v>320-323</v>
      </c>
      <c r="D211" s="151" t="str">
        <f>'Sch 3 - Expenses'!D51</f>
        <v>906-907</v>
      </c>
      <c r="E211" s="49" t="str">
        <f>'Sch 3 - Expenses'!E51</f>
        <v>DIST</v>
      </c>
      <c r="F211" s="152"/>
      <c r="G211" s="49">
        <f>'Sch 3 - Expenses'!G51</f>
        <v>0</v>
      </c>
      <c r="H211" s="49">
        <f>'Sch 3 - Expenses'!H51</f>
        <v>0</v>
      </c>
      <c r="I211" s="49">
        <f>'Sch 3 - Expenses'!I51</f>
        <v>0</v>
      </c>
      <c r="J211" s="49">
        <f>'Sch 3 - Expenses'!J51</f>
        <v>0</v>
      </c>
    </row>
    <row r="212" spans="1:10">
      <c r="A212" s="158"/>
      <c r="B212" s="159" t="s">
        <v>617</v>
      </c>
      <c r="C212" s="151" t="str">
        <f>'Sch 3 - Expenses'!C52</f>
        <v>320-323</v>
      </c>
      <c r="D212" s="151">
        <f>'Sch 3 - Expenses'!D52</f>
        <v>908</v>
      </c>
      <c r="E212" s="49" t="str">
        <f>'Sch 3 - Expenses'!E52</f>
        <v>DIRECT</v>
      </c>
      <c r="F212" s="152" t="str">
        <f>'Sch 3 - Expenses'!F52</f>
        <v>DIST</v>
      </c>
      <c r="G212" s="49">
        <f>'Sch 3 - Expenses'!G52</f>
        <v>144569269</v>
      </c>
      <c r="H212" s="49">
        <f>'Sch 3 - Expenses'!H52</f>
        <v>97941405.329999998</v>
      </c>
      <c r="I212" s="49">
        <f>'Sch 3 - Expenses'!I52</f>
        <v>0</v>
      </c>
      <c r="J212" s="49">
        <f>'Sch 3 - Expenses'!J52</f>
        <v>46627864.049999997</v>
      </c>
    </row>
    <row r="213" spans="1:10">
      <c r="A213" s="158"/>
      <c r="B213" s="159" t="s">
        <v>827</v>
      </c>
      <c r="C213" s="151" t="str">
        <f>'Sch 3 - Expenses'!C53</f>
        <v>320-323</v>
      </c>
      <c r="D213" s="151" t="str">
        <f>'Sch 3 - Expenses'!D53</f>
        <v>909-910</v>
      </c>
      <c r="E213" s="49" t="str">
        <f>'Sch 3 - Expenses'!E53</f>
        <v>DIST</v>
      </c>
      <c r="F213" s="152" t="str">
        <f>'Sch 3 - Expenses'!F53</f>
        <v>DIRECT</v>
      </c>
      <c r="G213" s="49">
        <f>'Sch 3 - Expenses'!G53</f>
        <v>2499626</v>
      </c>
      <c r="H213" s="49">
        <f>'Sch 3 - Expenses'!H53</f>
        <v>0</v>
      </c>
      <c r="I213" s="49">
        <f>'Sch 3 - Expenses'!I53</f>
        <v>0</v>
      </c>
      <c r="J213" s="49">
        <f>'Sch 3 - Expenses'!J53</f>
        <v>2499626</v>
      </c>
    </row>
    <row r="214" spans="1:10">
      <c r="A214" s="158"/>
      <c r="B214" s="159" t="s">
        <v>395</v>
      </c>
      <c r="C214" s="151" t="str">
        <f>'Sch 3 - Expenses'!C54</f>
        <v>320-323</v>
      </c>
      <c r="D214" s="151" t="str">
        <f>'Sch 3 - Expenses'!D54</f>
        <v>911-917</v>
      </c>
      <c r="E214" s="49" t="str">
        <f>'Sch 3 - Expenses'!E54</f>
        <v>DIST</v>
      </c>
      <c r="F214" s="152"/>
      <c r="G214" s="49">
        <f>'Sch 3 - Expenses'!G54</f>
        <v>1231798</v>
      </c>
      <c r="H214" s="49">
        <f>'Sch 3 - Expenses'!H54</f>
        <v>0</v>
      </c>
      <c r="I214" s="49">
        <f>'Sch 3 - Expenses'!I54</f>
        <v>0</v>
      </c>
      <c r="J214" s="49">
        <f>'Sch 3 - Expenses'!J54</f>
        <v>1231798</v>
      </c>
    </row>
    <row r="215" spans="1:10">
      <c r="A215" s="41" t="s">
        <v>489</v>
      </c>
      <c r="B215" s="6"/>
      <c r="C215" s="160"/>
      <c r="D215" s="161"/>
      <c r="E215" s="161"/>
      <c r="F215" s="162"/>
      <c r="G215" s="377">
        <f>'Sch 3 - Expenses'!G55</f>
        <v>208270735</v>
      </c>
      <c r="H215" s="377">
        <f>'Sch 3 - Expenses'!H55</f>
        <v>97941405.329999998</v>
      </c>
      <c r="I215" s="377">
        <f>'Sch 3 - Expenses'!I55</f>
        <v>0</v>
      </c>
      <c r="J215" s="378">
        <f>'Sch 3 - Expenses'!J55</f>
        <v>110329330.05</v>
      </c>
    </row>
    <row r="216" spans="1:10">
      <c r="A216" s="68"/>
      <c r="B216" s="6"/>
      <c r="C216" s="15"/>
      <c r="D216" s="54"/>
      <c r="E216" s="54"/>
      <c r="F216" s="54"/>
      <c r="G216" s="217"/>
      <c r="H216" s="16"/>
      <c r="I216" s="16"/>
      <c r="J216" s="218"/>
    </row>
    <row r="217" spans="1:10">
      <c r="A217" s="40" t="s">
        <v>490</v>
      </c>
      <c r="B217" s="6"/>
      <c r="C217" s="15"/>
      <c r="D217" s="54"/>
      <c r="E217" s="6"/>
      <c r="F217" s="6"/>
      <c r="G217" s="211"/>
      <c r="H217" s="379"/>
      <c r="I217" s="379"/>
      <c r="J217" s="380"/>
    </row>
    <row r="218" spans="1:10">
      <c r="A218" s="40"/>
      <c r="B218" s="212" t="s">
        <v>436</v>
      </c>
      <c r="C218" s="15"/>
      <c r="D218" s="54"/>
      <c r="E218" s="6"/>
      <c r="F218" s="6"/>
      <c r="G218" s="211"/>
      <c r="H218" s="379"/>
      <c r="I218" s="379"/>
      <c r="J218" s="380"/>
    </row>
    <row r="219" spans="1:10">
      <c r="A219" s="158"/>
      <c r="B219" s="159" t="s">
        <v>163</v>
      </c>
      <c r="C219" s="151" t="str">
        <f>'Sch 3 - Expenses'!C59</f>
        <v>320-323</v>
      </c>
      <c r="D219" s="151">
        <f>'Sch 3 - Expenses'!D59</f>
        <v>920</v>
      </c>
      <c r="E219" s="49" t="str">
        <f>'Sch 3 - Expenses'!E59</f>
        <v>LABOR</v>
      </c>
      <c r="F219" s="152"/>
      <c r="G219" s="49">
        <f>'Sch 3 - Expenses'!G59</f>
        <v>78570677</v>
      </c>
      <c r="H219" s="49">
        <f>'Sch 3 - Expenses'!H59</f>
        <v>26700683.57674123</v>
      </c>
      <c r="I219" s="49">
        <f>'Sch 3 - Expenses'!I59</f>
        <v>0</v>
      </c>
      <c r="J219" s="49">
        <f>'Sch 3 - Expenses'!J59</f>
        <v>51869993.423258774</v>
      </c>
    </row>
    <row r="220" spans="1:10">
      <c r="A220" s="158"/>
      <c r="B220" s="159" t="s">
        <v>164</v>
      </c>
      <c r="C220" s="151" t="str">
        <f>'Sch 3 - Expenses'!C60</f>
        <v>320-323</v>
      </c>
      <c r="D220" s="151">
        <f>'Sch 3 - Expenses'!D60</f>
        <v>921</v>
      </c>
      <c r="E220" s="49" t="str">
        <f>'Sch 3 - Expenses'!E60</f>
        <v>LABOR</v>
      </c>
      <c r="F220" s="152"/>
      <c r="G220" s="49">
        <f>'Sch 3 - Expenses'!G60</f>
        <v>7463412</v>
      </c>
      <c r="H220" s="49">
        <f>'Sch 3 - Expenses'!H60</f>
        <v>2536292.2889776477</v>
      </c>
      <c r="I220" s="49">
        <f>'Sch 3 - Expenses'!I60</f>
        <v>0</v>
      </c>
      <c r="J220" s="49">
        <f>'Sch 3 - Expenses'!J60</f>
        <v>4927119.7110223528</v>
      </c>
    </row>
    <row r="221" spans="1:10">
      <c r="A221" s="158"/>
      <c r="B221" s="159" t="s">
        <v>165</v>
      </c>
      <c r="C221" s="151" t="str">
        <f>'Sch 3 - Expenses'!C61</f>
        <v>320-323</v>
      </c>
      <c r="D221" s="151">
        <f>'Sch 3 - Expenses'!D61</f>
        <v>922</v>
      </c>
      <c r="E221" s="49" t="str">
        <f>'Sch 3 - Expenses'!E61</f>
        <v>LABOR</v>
      </c>
      <c r="F221" s="152"/>
      <c r="G221" s="49">
        <f>'Sch 3 - Expenses'!G61</f>
        <v>32365661</v>
      </c>
      <c r="H221" s="49">
        <f>'Sch 3 - Expenses'!H61</f>
        <v>10998826.866581207</v>
      </c>
      <c r="I221" s="49">
        <f>'Sch 3 - Expenses'!I61</f>
        <v>0</v>
      </c>
      <c r="J221" s="49">
        <f>'Sch 3 - Expenses'!J61</f>
        <v>21366834.133418795</v>
      </c>
    </row>
    <row r="222" spans="1:10">
      <c r="A222" s="158"/>
      <c r="B222" s="159" t="s">
        <v>166</v>
      </c>
      <c r="C222" s="151" t="str">
        <f>'Sch 3 - Expenses'!C62</f>
        <v>320-323</v>
      </c>
      <c r="D222" s="151">
        <f>'Sch 3 - Expenses'!D62</f>
        <v>923</v>
      </c>
      <c r="E222" s="49" t="str">
        <f>'Sch 3 - Expenses'!E62</f>
        <v>LABOR</v>
      </c>
      <c r="F222" s="152"/>
      <c r="G222" s="49">
        <f>'Sch 3 - Expenses'!G62</f>
        <v>20765085</v>
      </c>
      <c r="H222" s="49">
        <f>'Sch 3 - Expenses'!H62</f>
        <v>7056601.5872452725</v>
      </c>
      <c r="I222" s="49">
        <f>'Sch 3 - Expenses'!I62</f>
        <v>0</v>
      </c>
      <c r="J222" s="49">
        <f>'Sch 3 - Expenses'!J62</f>
        <v>13708483.412754728</v>
      </c>
    </row>
    <row r="223" spans="1:10">
      <c r="A223" s="158"/>
      <c r="B223" s="159" t="s">
        <v>167</v>
      </c>
      <c r="C223" s="151" t="str">
        <f>'Sch 3 - Expenses'!C63</f>
        <v>320-323</v>
      </c>
      <c r="D223" s="151">
        <f>'Sch 3 - Expenses'!D63</f>
        <v>924</v>
      </c>
      <c r="E223" s="49" t="str">
        <f>'Sch 3 - Expenses'!E63</f>
        <v>PTDG</v>
      </c>
      <c r="F223" s="152"/>
      <c r="G223" s="49">
        <f>'Sch 3 - Expenses'!G63</f>
        <v>6318020</v>
      </c>
      <c r="H223" s="49">
        <f>'Sch 3 - Expenses'!H63</f>
        <v>2210502.0408064411</v>
      </c>
      <c r="I223" s="49">
        <f>'Sch 3 - Expenses'!I63</f>
        <v>0</v>
      </c>
      <c r="J223" s="49">
        <f>'Sch 3 - Expenses'!J63</f>
        <v>4107517.9579843101</v>
      </c>
    </row>
    <row r="224" spans="1:10">
      <c r="A224" s="158"/>
      <c r="B224" s="159" t="s">
        <v>464</v>
      </c>
      <c r="C224" s="151" t="str">
        <f>'Sch 3 - Expenses'!C64</f>
        <v>320-323</v>
      </c>
      <c r="D224" s="151">
        <f>'Sch 3 - Expenses'!D64</f>
        <v>925</v>
      </c>
      <c r="E224" s="49" t="str">
        <f>'Sch 3 - Expenses'!E64</f>
        <v>Labor</v>
      </c>
      <c r="F224" s="152"/>
      <c r="G224" s="49">
        <f>'Sch 3 - Expenses'!G64</f>
        <v>8919311</v>
      </c>
      <c r="H224" s="49">
        <f>'Sch 3 - Expenses'!H64</f>
        <v>3031050.6390768071</v>
      </c>
      <c r="I224" s="49">
        <f>'Sch 3 - Expenses'!I64</f>
        <v>0</v>
      </c>
      <c r="J224" s="49">
        <f>'Sch 3 - Expenses'!J64</f>
        <v>5888260.3609231925</v>
      </c>
    </row>
    <row r="225" spans="1:10">
      <c r="A225" s="158"/>
      <c r="B225" s="159" t="s">
        <v>465</v>
      </c>
      <c r="C225" s="151" t="str">
        <f>'Sch 3 - Expenses'!C65</f>
        <v>320-323</v>
      </c>
      <c r="D225" s="151">
        <f>'Sch 3 - Expenses'!D65</f>
        <v>926</v>
      </c>
      <c r="E225" s="49" t="str">
        <f>'Sch 3 - Expenses'!E65</f>
        <v>LABOR</v>
      </c>
      <c r="F225" s="152"/>
      <c r="G225" s="49">
        <f>'Sch 3 - Expenses'!G65</f>
        <v>28392494</v>
      </c>
      <c r="H225" s="49">
        <f>'Sch 3 - Expenses'!H65</f>
        <v>9648624.9984650631</v>
      </c>
      <c r="I225" s="49">
        <f>'Sch 3 - Expenses'!I65</f>
        <v>0</v>
      </c>
      <c r="J225" s="49">
        <f>'Sch 3 - Expenses'!J65</f>
        <v>18743869.001534939</v>
      </c>
    </row>
    <row r="226" spans="1:10">
      <c r="A226" s="158"/>
      <c r="B226" s="159" t="s">
        <v>466</v>
      </c>
      <c r="C226" s="151" t="str">
        <f>'Sch 3 - Expenses'!C66</f>
        <v>320-323</v>
      </c>
      <c r="D226" s="151">
        <f>'Sch 3 - Expenses'!D66</f>
        <v>927</v>
      </c>
      <c r="E226" s="49" t="str">
        <f>'Sch 3 - Expenses'!E66</f>
        <v>DIST</v>
      </c>
      <c r="F226" s="152"/>
      <c r="G226" s="49">
        <f>'Sch 3 - Expenses'!G66</f>
        <v>0</v>
      </c>
      <c r="H226" s="49">
        <f>'Sch 3 - Expenses'!H66</f>
        <v>0</v>
      </c>
      <c r="I226" s="49">
        <f>'Sch 3 - Expenses'!I66</f>
        <v>0</v>
      </c>
      <c r="J226" s="49">
        <f>'Sch 3 - Expenses'!J66</f>
        <v>0</v>
      </c>
    </row>
    <row r="227" spans="1:10">
      <c r="A227" s="158"/>
      <c r="B227" s="159" t="s">
        <v>468</v>
      </c>
      <c r="C227" s="151" t="str">
        <f>'Sch 3 - Expenses'!C67</f>
        <v>320-323</v>
      </c>
      <c r="D227" s="151">
        <f>'Sch 3 - Expenses'!D67</f>
        <v>928</v>
      </c>
      <c r="E227" s="49" t="str">
        <f>'Sch 3 - Expenses'!E67</f>
        <v>DIST</v>
      </c>
      <c r="F227" s="152"/>
      <c r="G227" s="49">
        <f>'Sch 3 - Expenses'!G67</f>
        <v>16043545</v>
      </c>
      <c r="H227" s="49">
        <f>'Sch 3 - Expenses'!H67</f>
        <v>0</v>
      </c>
      <c r="I227" s="49">
        <f>'Sch 3 - Expenses'!I67</f>
        <v>0</v>
      </c>
      <c r="J227" s="49">
        <f>'Sch 3 - Expenses'!J67</f>
        <v>16043545</v>
      </c>
    </row>
    <row r="228" spans="1:10">
      <c r="A228" s="158"/>
      <c r="B228" s="159" t="s">
        <v>168</v>
      </c>
      <c r="C228" s="151" t="str">
        <f>'Sch 3 - Expenses'!C68</f>
        <v>320-323</v>
      </c>
      <c r="D228" s="151">
        <f>'Sch 3 - Expenses'!D68</f>
        <v>929</v>
      </c>
      <c r="E228" s="49" t="str">
        <f>'Sch 3 - Expenses'!E68</f>
        <v>PTDG</v>
      </c>
      <c r="F228" s="152"/>
      <c r="G228" s="49">
        <f>'Sch 3 - Expenses'!G68</f>
        <v>0</v>
      </c>
      <c r="H228" s="49">
        <f>'Sch 3 - Expenses'!H68</f>
        <v>0</v>
      </c>
      <c r="I228" s="49">
        <f>'Sch 3 - Expenses'!I68</f>
        <v>0</v>
      </c>
      <c r="J228" s="49">
        <f>'Sch 3 - Expenses'!J68</f>
        <v>0</v>
      </c>
    </row>
    <row r="229" spans="1:10">
      <c r="A229" s="158"/>
      <c r="B229" s="159" t="s">
        <v>169</v>
      </c>
      <c r="C229" s="151" t="str">
        <f>'Sch 3 - Expenses'!C69</f>
        <v>320-323</v>
      </c>
      <c r="D229" s="151">
        <f>'Sch 3 - Expenses'!D69</f>
        <v>930.1</v>
      </c>
      <c r="E229" s="49" t="str">
        <f>'Sch 3 - Expenses'!E69</f>
        <v>DIST</v>
      </c>
      <c r="F229" s="152" t="str">
        <f>'Sch 3 - Expenses'!F69</f>
        <v>DIRECT</v>
      </c>
      <c r="G229" s="49">
        <f>'Sch 3 - Expenses'!G69</f>
        <v>56129</v>
      </c>
      <c r="H229" s="49">
        <f>'Sch 3 - Expenses'!H69</f>
        <v>0</v>
      </c>
      <c r="I229" s="49">
        <f>'Sch 3 - Expenses'!I69</f>
        <v>0</v>
      </c>
      <c r="J229" s="49">
        <f>'Sch 3 - Expenses'!J69</f>
        <v>56129</v>
      </c>
    </row>
    <row r="230" spans="1:10">
      <c r="A230" s="158"/>
      <c r="B230" s="159" t="s">
        <v>467</v>
      </c>
      <c r="C230" s="151" t="str">
        <f>'Sch 3 - Expenses'!C70</f>
        <v>320-323</v>
      </c>
      <c r="D230" s="151">
        <f>'Sch 3 - Expenses'!D70</f>
        <v>930.2</v>
      </c>
      <c r="E230" s="49" t="str">
        <f>'Sch 3 - Expenses'!E70</f>
        <v>DIST</v>
      </c>
      <c r="F230" s="152" t="str">
        <f>'Sch 3 - Expenses'!F70</f>
        <v>DIRECT</v>
      </c>
      <c r="G230" s="49">
        <f>'Sch 3 - Expenses'!G70</f>
        <v>9187393</v>
      </c>
      <c r="H230" s="49">
        <f>'Sch 3 - Expenses'!H70</f>
        <v>0</v>
      </c>
      <c r="I230" s="49">
        <f>'Sch 3 - Expenses'!I70</f>
        <v>0</v>
      </c>
      <c r="J230" s="49">
        <f>'Sch 3 - Expenses'!J70</f>
        <v>9187393</v>
      </c>
    </row>
    <row r="231" spans="1:10">
      <c r="A231" s="158"/>
      <c r="B231" s="159" t="s">
        <v>491</v>
      </c>
      <c r="C231" s="151" t="str">
        <f>'Sch 3 - Expenses'!C71</f>
        <v>320-323</v>
      </c>
      <c r="D231" s="151">
        <f>'Sch 3 - Expenses'!D71</f>
        <v>931</v>
      </c>
      <c r="E231" s="49" t="str">
        <f>'Sch 3 - Expenses'!E71</f>
        <v>DIST</v>
      </c>
      <c r="F231" s="152"/>
      <c r="G231" s="49">
        <f>'Sch 3 - Expenses'!G71</f>
        <v>10338554</v>
      </c>
      <c r="H231" s="49">
        <f>'Sch 3 - Expenses'!H71</f>
        <v>0</v>
      </c>
      <c r="I231" s="49">
        <f>'Sch 3 - Expenses'!I71</f>
        <v>0</v>
      </c>
      <c r="J231" s="49">
        <f>'Sch 3 - Expenses'!J71</f>
        <v>10338554</v>
      </c>
    </row>
    <row r="232" spans="1:10">
      <c r="A232" s="158"/>
      <c r="B232" s="159" t="s">
        <v>267</v>
      </c>
      <c r="C232" s="151" t="str">
        <f>'Sch 3 - Expenses'!C72</f>
        <v>320-324</v>
      </c>
      <c r="D232" s="151">
        <f>'Sch 3 - Expenses'!D72</f>
        <v>933</v>
      </c>
      <c r="E232" s="49" t="str">
        <f>'Sch 3 - Expenses'!E72</f>
        <v>DIST</v>
      </c>
      <c r="F232" s="152"/>
      <c r="G232" s="49">
        <f>'Sch 3 - Expenses'!G72</f>
        <v>0</v>
      </c>
      <c r="H232" s="49">
        <f>'Sch 3 - Expenses'!H72</f>
        <v>0</v>
      </c>
      <c r="I232" s="49">
        <f>'Sch 3 - Expenses'!I72</f>
        <v>0</v>
      </c>
      <c r="J232" s="49">
        <f>'Sch 3 - Expenses'!J72</f>
        <v>0</v>
      </c>
    </row>
    <row r="233" spans="1:10">
      <c r="A233" s="158"/>
      <c r="B233" s="212" t="s">
        <v>437</v>
      </c>
      <c r="C233" s="15"/>
      <c r="D233" s="54"/>
      <c r="E233" s="54"/>
      <c r="F233" s="54"/>
      <c r="G233" s="20"/>
      <c r="H233" s="20"/>
      <c r="I233" s="20"/>
      <c r="J233" s="213"/>
    </row>
    <row r="234" spans="1:10">
      <c r="A234" s="158"/>
      <c r="B234" s="159" t="s">
        <v>94</v>
      </c>
      <c r="C234" s="151" t="str">
        <f>'Sch 3 - Expenses'!C74</f>
        <v>320-323</v>
      </c>
      <c r="D234" s="151">
        <f>'Sch 3 - Expenses'!D74</f>
        <v>935</v>
      </c>
      <c r="E234" s="49" t="str">
        <f>'Sch 3 - Expenses'!E74</f>
        <v>GPM</v>
      </c>
      <c r="F234" s="152"/>
      <c r="G234" s="49">
        <f>'Sch 3 - Expenses'!G74</f>
        <v>18392095</v>
      </c>
      <c r="H234" s="49">
        <f>'Sch 3 - Expenses'!H74</f>
        <v>6400177.2589254314</v>
      </c>
      <c r="I234" s="49">
        <f>'Sch 3 - Expenses'!I74</f>
        <v>0</v>
      </c>
      <c r="J234" s="49">
        <f>'Sch 3 - Expenses'!J74</f>
        <v>11991917.74107457</v>
      </c>
    </row>
    <row r="235" spans="1:10">
      <c r="A235" s="41" t="s">
        <v>492</v>
      </c>
      <c r="B235" s="6"/>
      <c r="C235" s="160"/>
      <c r="D235" s="161"/>
      <c r="E235" s="161"/>
      <c r="F235" s="162"/>
      <c r="G235" s="119">
        <f>'Sch 3 - Expenses'!G75</f>
        <v>172081054</v>
      </c>
      <c r="H235" s="119"/>
      <c r="I235" s="119"/>
      <c r="J235" s="119"/>
    </row>
    <row r="236" spans="1:10" ht="16.5" thickBot="1">
      <c r="A236" s="52"/>
      <c r="B236" s="215"/>
      <c r="C236" s="177"/>
      <c r="D236" s="219"/>
      <c r="E236" s="219"/>
      <c r="F236" s="219"/>
      <c r="G236" s="220"/>
      <c r="H236" s="221"/>
      <c r="I236" s="221"/>
      <c r="J236" s="180"/>
    </row>
    <row r="237" spans="1:10" ht="16.5" thickTop="1">
      <c r="A237" s="41" t="s">
        <v>493</v>
      </c>
      <c r="B237" s="6"/>
      <c r="C237" s="160"/>
      <c r="D237" s="161"/>
      <c r="E237" s="161"/>
      <c r="F237" s="162"/>
      <c r="G237" s="377">
        <f>'Sch 3 - Expenses'!G77</f>
        <v>2433312842</v>
      </c>
      <c r="H237" s="377">
        <f>'Sch 3 - Expenses'!H77</f>
        <v>2062620776.8536565</v>
      </c>
      <c r="I237" s="377">
        <f>'Sch 3 - Expenses'!I77</f>
        <v>0</v>
      </c>
      <c r="J237" s="378">
        <f>'Sch 3 - Expenses'!J77</f>
        <v>370692065.52513409</v>
      </c>
    </row>
    <row r="238" spans="1:10">
      <c r="A238" s="43" t="s">
        <v>428</v>
      </c>
      <c r="B238" s="222"/>
      <c r="C238" s="28"/>
      <c r="D238" s="159"/>
      <c r="E238" s="159"/>
      <c r="F238" s="159"/>
      <c r="G238" s="217"/>
      <c r="H238" s="389"/>
      <c r="I238" s="389"/>
      <c r="J238" s="390"/>
    </row>
    <row r="239" spans="1:10">
      <c r="A239" s="190"/>
      <c r="B239" s="188"/>
      <c r="C239" s="391"/>
      <c r="D239" s="223"/>
      <c r="E239" s="391"/>
      <c r="F239" s="391"/>
      <c r="G239" s="224"/>
      <c r="H239" s="225"/>
      <c r="I239" s="225"/>
      <c r="J239" s="226"/>
    </row>
    <row r="240" spans="1:10">
      <c r="A240" s="40" t="s">
        <v>40</v>
      </c>
      <c r="B240" s="227"/>
      <c r="C240" s="392"/>
      <c r="D240" s="392"/>
      <c r="E240" s="392"/>
      <c r="F240" s="6"/>
      <c r="G240" s="228"/>
      <c r="H240" s="211"/>
      <c r="I240" s="211"/>
      <c r="J240" s="229"/>
    </row>
    <row r="241" spans="1:10">
      <c r="A241" s="382"/>
      <c r="B241" s="159" t="s">
        <v>828</v>
      </c>
      <c r="C241" s="151">
        <f>'Sch 3 - Expenses'!C81</f>
        <v>336</v>
      </c>
      <c r="D241" s="151">
        <f>'Sch 3 - Expenses'!D81</f>
        <v>404</v>
      </c>
      <c r="E241" s="49" t="str">
        <f>'Sch 3 - Expenses'!E81</f>
        <v>DIST</v>
      </c>
      <c r="F241" s="439" t="str">
        <f>'Sch 3 - Expenses'!F81</f>
        <v xml:space="preserve"> </v>
      </c>
      <c r="G241" s="49">
        <f>'Sch 3 - Expenses'!G81</f>
        <v>0</v>
      </c>
      <c r="H241" s="49">
        <f>'Sch 3 - Expenses'!H81</f>
        <v>0</v>
      </c>
      <c r="I241" s="49">
        <f>'Sch 3 - Expenses'!I81</f>
        <v>0</v>
      </c>
      <c r="J241" s="49">
        <f>'Sch 3 - Expenses'!J81</f>
        <v>0</v>
      </c>
    </row>
    <row r="242" spans="1:10">
      <c r="A242" s="382"/>
      <c r="B242" s="159" t="s">
        <v>829</v>
      </c>
      <c r="C242" s="151">
        <f>'Sch 3 - Expenses'!C82</f>
        <v>336</v>
      </c>
      <c r="D242" s="151">
        <f>'Sch 3 - Expenses'!D82</f>
        <v>404</v>
      </c>
      <c r="E242" s="49" t="str">
        <f>'Sch 3 - Expenses'!E82</f>
        <v>DIRECT</v>
      </c>
      <c r="F242" s="439" t="str">
        <f>'Sch 3 - Expenses'!F82</f>
        <v>PTD</v>
      </c>
      <c r="G242" s="49">
        <f>'Sch 3 - Expenses'!G82</f>
        <v>3046815.6500000004</v>
      </c>
      <c r="H242" s="49">
        <f>'Sch 3 - Expenses'!H82</f>
        <v>2120600.2430168567</v>
      </c>
      <c r="I242" s="49">
        <f>'Sch 3 - Expenses'!I82</f>
        <v>0</v>
      </c>
      <c r="J242" s="49">
        <f>'Sch 3 - Expenses'!J82</f>
        <v>926215.4069831433</v>
      </c>
    </row>
    <row r="243" spans="1:10">
      <c r="A243" s="382"/>
      <c r="B243" s="159" t="s">
        <v>830</v>
      </c>
      <c r="C243" s="151">
        <f>'Sch 3 - Expenses'!C83</f>
        <v>336</v>
      </c>
      <c r="D243" s="151">
        <f>'Sch 3 - Expenses'!D83</f>
        <v>404</v>
      </c>
      <c r="E243" s="49" t="str">
        <f>'Sch 3 - Expenses'!E83</f>
        <v>DIRECT</v>
      </c>
      <c r="F243" s="439" t="str">
        <f>'Sch 3 - Expenses'!F83</f>
        <v>DIST</v>
      </c>
      <c r="G243" s="49">
        <f>'Sch 3 - Expenses'!G83</f>
        <v>9732326.5399999991</v>
      </c>
      <c r="H243" s="49">
        <f>'Sch 3 - Expenses'!H83</f>
        <v>0</v>
      </c>
      <c r="I243" s="49">
        <f>'Sch 3 - Expenses'!I83</f>
        <v>0</v>
      </c>
      <c r="J243" s="49">
        <f>'Sch 3 - Expenses'!J83</f>
        <v>9732326.5399999991</v>
      </c>
    </row>
    <row r="244" spans="1:10">
      <c r="A244" s="382"/>
      <c r="B244" s="159" t="s">
        <v>831</v>
      </c>
      <c r="C244" s="151">
        <f>'Sch 3 - Expenses'!C84</f>
        <v>336</v>
      </c>
      <c r="D244" s="151">
        <f>'Sch 3 - Expenses'!D84</f>
        <v>403</v>
      </c>
      <c r="E244" s="49" t="str">
        <f>'Sch 3 - Expenses'!E84</f>
        <v>PROD</v>
      </c>
      <c r="F244" s="152"/>
      <c r="G244" s="49">
        <f>'Sch 3 - Expenses'!G84</f>
        <v>39706645</v>
      </c>
      <c r="H244" s="49">
        <f>'Sch 3 - Expenses'!H84</f>
        <v>39706645</v>
      </c>
      <c r="I244" s="49">
        <f>'Sch 3 - Expenses'!I84</f>
        <v>0</v>
      </c>
      <c r="J244" s="49">
        <f>'Sch 3 - Expenses'!J84</f>
        <v>0</v>
      </c>
    </row>
    <row r="245" spans="1:10">
      <c r="A245" s="382"/>
      <c r="B245" s="159" t="s">
        <v>832</v>
      </c>
      <c r="C245" s="151">
        <f>'Sch 3 - Expenses'!C85</f>
        <v>336</v>
      </c>
      <c r="D245" s="151">
        <f>'Sch 3 - Expenses'!D85</f>
        <v>403</v>
      </c>
      <c r="E245" s="49" t="str">
        <f>'Sch 3 - Expenses'!E85</f>
        <v>PROD</v>
      </c>
      <c r="F245" s="152"/>
      <c r="G245" s="49">
        <f>'Sch 3 - Expenses'!G85</f>
        <v>0</v>
      </c>
      <c r="H245" s="49">
        <f>'Sch 3 - Expenses'!H85</f>
        <v>0</v>
      </c>
      <c r="I245" s="49">
        <f>'Sch 3 - Expenses'!I85</f>
        <v>0</v>
      </c>
      <c r="J245" s="49">
        <f>'Sch 3 - Expenses'!J85</f>
        <v>0</v>
      </c>
    </row>
    <row r="246" spans="1:10">
      <c r="A246" s="382"/>
      <c r="B246" s="159" t="s">
        <v>429</v>
      </c>
      <c r="C246" s="151">
        <f>'Sch 3 - Expenses'!C86</f>
        <v>336</v>
      </c>
      <c r="D246" s="151">
        <f>'Sch 3 - Expenses'!D86</f>
        <v>403</v>
      </c>
      <c r="E246" s="49" t="str">
        <f>'Sch 3 - Expenses'!E86</f>
        <v>PROD</v>
      </c>
      <c r="F246" s="152"/>
      <c r="G246" s="49">
        <f>'Sch 3 - Expenses'!G86</f>
        <v>20380239</v>
      </c>
      <c r="H246" s="49">
        <f>'Sch 3 - Expenses'!H86</f>
        <v>20380239</v>
      </c>
      <c r="I246" s="49">
        <f>'Sch 3 - Expenses'!I86</f>
        <v>0</v>
      </c>
      <c r="J246" s="49">
        <f>'Sch 3 - Expenses'!J86</f>
        <v>0</v>
      </c>
    </row>
    <row r="247" spans="1:10">
      <c r="A247" s="382"/>
      <c r="B247" s="159" t="s">
        <v>430</v>
      </c>
      <c r="C247" s="151">
        <f>'Sch 3 - Expenses'!C87</f>
        <v>336</v>
      </c>
      <c r="D247" s="151">
        <f>'Sch 3 - Expenses'!D87</f>
        <v>403</v>
      </c>
      <c r="E247" s="49" t="str">
        <f>'Sch 3 - Expenses'!E87</f>
        <v>PROD</v>
      </c>
      <c r="F247" s="152"/>
      <c r="G247" s="49">
        <f>'Sch 3 - Expenses'!G87</f>
        <v>0</v>
      </c>
      <c r="H247" s="49">
        <f>'Sch 3 - Expenses'!H87</f>
        <v>0</v>
      </c>
      <c r="I247" s="49">
        <f>'Sch 3 - Expenses'!I87</f>
        <v>0</v>
      </c>
      <c r="J247" s="49">
        <f>'Sch 3 - Expenses'!J87</f>
        <v>0</v>
      </c>
    </row>
    <row r="248" spans="1:10">
      <c r="A248" s="382"/>
      <c r="B248" s="159" t="s">
        <v>833</v>
      </c>
      <c r="C248" s="151">
        <f>'Sch 3 - Expenses'!C88</f>
        <v>336</v>
      </c>
      <c r="D248" s="151">
        <f>'Sch 3 - Expenses'!D88</f>
        <v>403</v>
      </c>
      <c r="E248" s="49" t="str">
        <f>'Sch 3 - Expenses'!E88</f>
        <v>PROD</v>
      </c>
      <c r="F248" s="152"/>
      <c r="G248" s="49">
        <f>'Sch 3 - Expenses'!G88</f>
        <v>91335455</v>
      </c>
      <c r="H248" s="49">
        <f>'Sch 3 - Expenses'!H88</f>
        <v>91335455</v>
      </c>
      <c r="I248" s="49">
        <f>'Sch 3 - Expenses'!I88</f>
        <v>0</v>
      </c>
      <c r="J248" s="49">
        <f>'Sch 3 - Expenses'!J88</f>
        <v>0</v>
      </c>
    </row>
    <row r="249" spans="1:10">
      <c r="A249" s="382"/>
      <c r="B249" s="159" t="s">
        <v>834</v>
      </c>
      <c r="C249" s="151">
        <f>'Sch 3 - Expenses'!C89</f>
        <v>336</v>
      </c>
      <c r="D249" s="151">
        <f>'Sch 3 - Expenses'!D89</f>
        <v>403</v>
      </c>
      <c r="E249" s="49" t="str">
        <f>'Sch 3 - Expenses'!E89</f>
        <v>TRANS</v>
      </c>
      <c r="F249" s="152"/>
      <c r="G249" s="49">
        <f>'Sch 3 - Expenses'!G89</f>
        <v>37267959</v>
      </c>
      <c r="H249" s="49">
        <f>'Sch 3 - Expenses'!H89</f>
        <v>0</v>
      </c>
      <c r="I249" s="49">
        <f>'Sch 3 - Expenses'!I89</f>
        <v>0</v>
      </c>
      <c r="J249" s="49">
        <f>'Sch 3 - Expenses'!J89</f>
        <v>37267959</v>
      </c>
    </row>
    <row r="250" spans="1:10">
      <c r="A250" s="382"/>
      <c r="B250" s="159" t="s">
        <v>835</v>
      </c>
      <c r="C250" s="151">
        <f>'Sch 3 - Expenses'!C90</f>
        <v>336</v>
      </c>
      <c r="D250" s="151">
        <f>'Sch 3 - Expenses'!D90</f>
        <v>403</v>
      </c>
      <c r="E250" s="49" t="str">
        <f>'Sch 3 - Expenses'!E90</f>
        <v>DIST</v>
      </c>
      <c r="F250" s="152"/>
      <c r="G250" s="49">
        <f>'Sch 3 - Expenses'!G90</f>
        <v>171427092</v>
      </c>
      <c r="H250" s="49">
        <f>'Sch 3 - Expenses'!H90</f>
        <v>0</v>
      </c>
      <c r="I250" s="49">
        <f>'Sch 3 - Expenses'!I90</f>
        <v>0</v>
      </c>
      <c r="J250" s="49">
        <f>'Sch 3 - Expenses'!J90</f>
        <v>171427092</v>
      </c>
    </row>
    <row r="251" spans="1:10">
      <c r="A251" s="382"/>
      <c r="B251" s="159" t="s">
        <v>836</v>
      </c>
      <c r="C251" s="151">
        <f>'Sch 3 - Expenses'!C91</f>
        <v>336</v>
      </c>
      <c r="D251" s="151">
        <f>'Sch 3 - Expenses'!D91</f>
        <v>403</v>
      </c>
      <c r="E251" s="49" t="str">
        <f>'Sch 3 - Expenses'!E91</f>
        <v>GP</v>
      </c>
      <c r="F251" s="152"/>
      <c r="G251" s="49">
        <f>'Sch 3 - Expenses'!G91</f>
        <v>15618734</v>
      </c>
      <c r="H251" s="49">
        <f>'Sch 3 - Expenses'!H91</f>
        <v>5322403.9378776001</v>
      </c>
      <c r="I251" s="49">
        <f>'Sch 3 - Expenses'!I91</f>
        <v>0</v>
      </c>
      <c r="J251" s="49">
        <f>'Sch 3 - Expenses'!J91</f>
        <v>10296330.062122401</v>
      </c>
    </row>
    <row r="252" spans="1:10">
      <c r="A252" s="382"/>
      <c r="B252" s="159" t="s">
        <v>837</v>
      </c>
      <c r="C252" s="151">
        <f>'Sch 3 - Expenses'!C92</f>
        <v>336</v>
      </c>
      <c r="D252" s="230">
        <f>'Sch 3 - Expenses'!D92</f>
        <v>403</v>
      </c>
      <c r="E252" s="49" t="str">
        <f>'Sch 3 - Expenses'!E92</f>
        <v>DIRECT</v>
      </c>
      <c r="F252" s="152"/>
      <c r="G252" s="49">
        <f>'Sch 3 - Expenses'!G92</f>
        <v>18119462</v>
      </c>
      <c r="H252" s="49">
        <f>'Sch 3 - Expenses'!H92</f>
        <v>6138737.0983232521</v>
      </c>
      <c r="I252" s="49">
        <f>'Sch 3 - Expenses'!I92</f>
        <v>0</v>
      </c>
      <c r="J252" s="49">
        <f>'Sch 3 - Expenses'!J92</f>
        <v>11980724.901676752</v>
      </c>
    </row>
    <row r="253" spans="1:10">
      <c r="A253" s="382"/>
      <c r="B253" s="159" t="s">
        <v>838</v>
      </c>
      <c r="C253" s="151">
        <f>'Sch 3 - Expenses'!C93</f>
        <v>336</v>
      </c>
      <c r="D253" s="230">
        <f>'Sch 3 - Expenses'!D93</f>
        <v>404</v>
      </c>
      <c r="E253" s="49" t="str">
        <f>'Sch 3 - Expenses'!E93</f>
        <v>DIRECT</v>
      </c>
      <c r="F253" s="152"/>
      <c r="G253" s="49">
        <f>'Sch 3 - Expenses'!G93</f>
        <v>44095861</v>
      </c>
      <c r="H253" s="49">
        <f>'Sch 3 - Expenses'!H93</f>
        <v>11880277.722496061</v>
      </c>
      <c r="I253" s="49">
        <f>'Sch 3 - Expenses'!I93</f>
        <v>0</v>
      </c>
      <c r="J253" s="49">
        <f>'Sch 3 - Expenses'!J93</f>
        <v>32215583.277454484</v>
      </c>
    </row>
    <row r="254" spans="1:10">
      <c r="A254" s="382"/>
      <c r="B254" s="159" t="s">
        <v>563</v>
      </c>
      <c r="C254" s="151">
        <f>'Sch 3 - Expenses'!C94</f>
        <v>336</v>
      </c>
      <c r="D254" s="151">
        <f>'Sch 3 - Expenses'!D94</f>
        <v>403.1</v>
      </c>
      <c r="E254" s="49" t="str">
        <f>'Sch 3 - Expenses'!E94</f>
        <v>DIRECT</v>
      </c>
      <c r="F254" s="152"/>
      <c r="G254" s="49">
        <f>'Sch 3 - Expenses'!G94</f>
        <v>3659244</v>
      </c>
      <c r="H254" s="49">
        <f>'Sch 3 - Expenses'!H94</f>
        <v>3364796</v>
      </c>
      <c r="I254" s="49">
        <f>'Sch 3 - Expenses'!I94</f>
        <v>0</v>
      </c>
      <c r="J254" s="49">
        <f>'Sch 3 - Expenses'!J94</f>
        <v>294448</v>
      </c>
    </row>
    <row r="255" spans="1:10">
      <c r="A255" s="382"/>
      <c r="B255" s="159" t="s">
        <v>564</v>
      </c>
      <c r="C255" s="151">
        <f>'Sch 3 - Expenses'!C95</f>
        <v>336</v>
      </c>
      <c r="D255" s="230">
        <f>'Sch 3 - Expenses'!D95</f>
        <v>404</v>
      </c>
      <c r="E255" s="49" t="str">
        <f>'Sch 3 - Expenses'!E95</f>
        <v>DIRECT</v>
      </c>
      <c r="F255" s="152"/>
      <c r="G255" s="49">
        <f>'Sch 3 - Expenses'!G95</f>
        <v>-0.12000000011175871</v>
      </c>
      <c r="H255" s="49">
        <f>'Sch 3 - Expenses'!H95</f>
        <v>0</v>
      </c>
      <c r="I255" s="49">
        <f>'Sch 3 - Expenses'!I95</f>
        <v>0</v>
      </c>
      <c r="J255" s="49">
        <f>'Sch 3 - Expenses'!J95</f>
        <v>0</v>
      </c>
    </row>
    <row r="256" spans="1:10">
      <c r="A256" s="382"/>
      <c r="B256" s="159" t="s">
        <v>30</v>
      </c>
      <c r="C256" s="151" t="str">
        <f>'Sch 3 - Expenses'!C96</f>
        <v>200-201</v>
      </c>
      <c r="D256" s="230">
        <f>'Sch 3 - Expenses'!D96</f>
        <v>406</v>
      </c>
      <c r="E256" s="49" t="str">
        <f>'Sch 3 - Expenses'!E96</f>
        <v>DIRECT</v>
      </c>
      <c r="F256" s="152"/>
      <c r="G256" s="49">
        <f>'Sch 3 - Expenses'!G96</f>
        <v>43464024</v>
      </c>
      <c r="H256" s="49">
        <f>'Sch 3 - Expenses'!H96</f>
        <v>7550389.0994674871</v>
      </c>
      <c r="I256" s="49">
        <f>'Sch 3 - Expenses'!I96</f>
        <v>0</v>
      </c>
      <c r="J256" s="49">
        <f>'Sch 3 - Expenses'!J96</f>
        <v>35913634.510532513</v>
      </c>
    </row>
    <row r="257" spans="1:10">
      <c r="A257" s="41" t="s">
        <v>470</v>
      </c>
      <c r="B257" s="6"/>
      <c r="C257" s="160"/>
      <c r="D257" s="161"/>
      <c r="E257" s="161"/>
      <c r="F257" s="162"/>
      <c r="G257" s="377">
        <f>'Sch 3 - Expenses'!G97</f>
        <v>497853857.06999999</v>
      </c>
      <c r="H257" s="377">
        <f>'Sch 3 - Expenses'!H97</f>
        <v>187799543.10118124</v>
      </c>
      <c r="I257" s="377">
        <f>'Sch 3 - Expenses'!I97</f>
        <v>0</v>
      </c>
      <c r="J257" s="378">
        <f>'Sch 3 - Expenses'!J97</f>
        <v>310054313.69876927</v>
      </c>
    </row>
    <row r="258" spans="1:10">
      <c r="A258" s="41"/>
      <c r="B258" s="6"/>
      <c r="C258" s="15"/>
      <c r="D258" s="54"/>
      <c r="E258" s="6"/>
      <c r="F258" s="6"/>
      <c r="G258" s="231"/>
      <c r="H258" s="232"/>
      <c r="I258" s="232"/>
      <c r="J258" s="233"/>
    </row>
    <row r="259" spans="1:10">
      <c r="A259" s="44"/>
      <c r="B259" s="23"/>
      <c r="C259" s="23"/>
      <c r="D259" s="23"/>
      <c r="E259" s="23"/>
      <c r="F259" s="23"/>
      <c r="G259" s="227"/>
      <c r="J259" s="366"/>
    </row>
    <row r="260" spans="1:10">
      <c r="A260" s="41" t="s">
        <v>50</v>
      </c>
      <c r="B260" s="19"/>
      <c r="C260" s="160"/>
      <c r="D260" s="161"/>
      <c r="E260" s="161"/>
      <c r="F260" s="162"/>
      <c r="G260" s="377">
        <f>'Sch 3 - Expenses'!G100</f>
        <v>2931166699.0700002</v>
      </c>
      <c r="H260" s="377">
        <f>'Sch 3 - Expenses'!H100</f>
        <v>2250420319.9548378</v>
      </c>
      <c r="I260" s="377">
        <f>'Sch 3 - Expenses'!I100</f>
        <v>0</v>
      </c>
      <c r="J260" s="378">
        <f>'Sch 3 - Expenses'!J100</f>
        <v>680746379.22390342</v>
      </c>
    </row>
    <row r="261" spans="1:10" ht="16.5" thickBot="1">
      <c r="A261" s="45"/>
      <c r="B261" s="176"/>
      <c r="C261" s="177"/>
      <c r="D261" s="177"/>
      <c r="E261" s="177"/>
      <c r="F261" s="177"/>
      <c r="G261" s="220"/>
      <c r="H261" s="221"/>
      <c r="I261" s="221"/>
      <c r="J261" s="180"/>
    </row>
    <row r="262" spans="1:10" ht="16.5" thickTop="1">
      <c r="G262" s="227"/>
      <c r="H262" s="227"/>
      <c r="I262" s="227"/>
      <c r="J262" s="227"/>
    </row>
    <row r="263" spans="1:10" ht="16.5" thickBot="1">
      <c r="A263" s="92" t="s">
        <v>148</v>
      </c>
      <c r="B263" s="364"/>
      <c r="C263" s="364"/>
      <c r="D263" s="364"/>
      <c r="E263" s="35"/>
      <c r="F263" s="3"/>
      <c r="G263" s="393"/>
      <c r="H263" s="393"/>
      <c r="I263" s="234"/>
      <c r="J263" s="14"/>
    </row>
    <row r="264" spans="1:10" ht="17.25" thickTop="1" thickBot="1">
      <c r="A264" s="209"/>
      <c r="B264" s="4182" t="s">
        <v>100</v>
      </c>
      <c r="C264" s="88" t="s">
        <v>321</v>
      </c>
      <c r="D264" s="88"/>
      <c r="E264" s="4185" t="s">
        <v>350</v>
      </c>
      <c r="F264" s="4186"/>
      <c r="G264" s="4179" t="s">
        <v>104</v>
      </c>
      <c r="H264" s="4180" t="s">
        <v>105</v>
      </c>
      <c r="I264" s="4181" t="s">
        <v>106</v>
      </c>
      <c r="J264" s="89"/>
    </row>
    <row r="265" spans="1:10" ht="16.5" thickBot="1">
      <c r="A265" s="140"/>
      <c r="B265" s="4183"/>
      <c r="C265" s="87" t="s">
        <v>270</v>
      </c>
      <c r="D265" s="87" t="s">
        <v>96</v>
      </c>
      <c r="E265" s="4168"/>
      <c r="F265" s="4169"/>
      <c r="G265" s="4171"/>
      <c r="H265" s="4174"/>
      <c r="I265" s="4177"/>
      <c r="J265" s="80" t="s">
        <v>98</v>
      </c>
    </row>
    <row r="266" spans="1:10" ht="16.5" thickBot="1">
      <c r="A266" s="210"/>
      <c r="B266" s="4184"/>
      <c r="C266" s="81" t="s">
        <v>271</v>
      </c>
      <c r="D266" s="81" t="s">
        <v>250</v>
      </c>
      <c r="E266" s="81" t="s">
        <v>449</v>
      </c>
      <c r="F266" s="81" t="s">
        <v>609</v>
      </c>
      <c r="G266" s="4172"/>
      <c r="H266" s="4175"/>
      <c r="I266" s="4178"/>
      <c r="J266" s="82" t="s">
        <v>107</v>
      </c>
    </row>
    <row r="267" spans="1:10" ht="16.5" thickTop="1">
      <c r="A267" s="57" t="s">
        <v>149</v>
      </c>
      <c r="B267" s="23"/>
      <c r="C267" s="36"/>
      <c r="D267" s="53"/>
      <c r="E267" s="54"/>
      <c r="F267" s="54"/>
      <c r="G267" s="55"/>
      <c r="H267" s="56"/>
      <c r="I267" s="56"/>
      <c r="J267" s="58"/>
    </row>
    <row r="268" spans="1:10">
      <c r="A268" s="44"/>
      <c r="B268" s="18" t="s">
        <v>35</v>
      </c>
      <c r="C268" s="235" t="str">
        <f>'Sch 3A - Taxes'!C16</f>
        <v>262-263</v>
      </c>
      <c r="D268" s="151">
        <f>'Sch 3A - Taxes'!D16</f>
        <v>409.1</v>
      </c>
      <c r="E268" s="49" t="str">
        <f>'Sch 3A - Taxes'!E16</f>
        <v>DIST</v>
      </c>
      <c r="F268" s="152"/>
      <c r="G268" s="49">
        <f>'Sch 3A - Taxes'!F16</f>
        <v>181201019</v>
      </c>
      <c r="H268" s="49">
        <f>'Sch 3A - Taxes'!G16</f>
        <v>0</v>
      </c>
      <c r="I268" s="49">
        <f>'Sch 3A - Taxes'!H16</f>
        <v>0</v>
      </c>
      <c r="J268" s="49">
        <f>'Sch 3A - Taxes'!I16</f>
        <v>181201019</v>
      </c>
    </row>
    <row r="269" spans="1:10">
      <c r="A269" s="44"/>
      <c r="B269" s="18" t="s">
        <v>150</v>
      </c>
      <c r="C269" s="235" t="str">
        <f>'Sch 3A - Taxes'!C17</f>
        <v>262-263</v>
      </c>
      <c r="D269" s="151">
        <f>'Sch 3A - Taxes'!D17</f>
        <v>408.1</v>
      </c>
      <c r="E269" s="49" t="str">
        <f>'Sch 3A - Taxes'!E17</f>
        <v>LABOR</v>
      </c>
      <c r="F269" s="152"/>
      <c r="G269" s="49">
        <f>'Sch 3A - Taxes'!F17</f>
        <v>10966229</v>
      </c>
      <c r="H269" s="49">
        <f>'Sch 3A - Taxes'!G17</f>
        <v>3726655.054265135</v>
      </c>
      <c r="I269" s="49">
        <f>'Sch 3A - Taxes'!H17</f>
        <v>0</v>
      </c>
      <c r="J269" s="49">
        <f>'Sch 3A - Taxes'!I17</f>
        <v>7239573.945734865</v>
      </c>
    </row>
    <row r="270" spans="1:10">
      <c r="A270" s="44"/>
      <c r="B270" s="18" t="s">
        <v>151</v>
      </c>
      <c r="C270" s="235" t="str">
        <f>'Sch 3A - Taxes'!C18</f>
        <v>262-263</v>
      </c>
      <c r="D270" s="151">
        <f>'Sch 3A - Taxes'!D18</f>
        <v>408.1</v>
      </c>
      <c r="E270" s="49" t="str">
        <f>'Sch 3A - Taxes'!E18</f>
        <v>DIST</v>
      </c>
      <c r="F270" s="152"/>
      <c r="G270" s="49">
        <f>'Sch 3A - Taxes'!F18</f>
        <v>0</v>
      </c>
      <c r="H270" s="49">
        <f>'Sch 3A - Taxes'!G18</f>
        <v>0</v>
      </c>
      <c r="I270" s="49">
        <f>'Sch 3A - Taxes'!H18</f>
        <v>0</v>
      </c>
      <c r="J270" s="49">
        <f>'Sch 3A - Taxes'!I18</f>
        <v>0</v>
      </c>
    </row>
    <row r="271" spans="1:10">
      <c r="A271" s="59" t="s">
        <v>37</v>
      </c>
      <c r="B271" s="17"/>
      <c r="C271" s="160"/>
      <c r="D271" s="161"/>
      <c r="E271" s="161"/>
      <c r="F271" s="162"/>
      <c r="G271" s="377">
        <f>'Sch 3A - Taxes'!F19</f>
        <v>192167248</v>
      </c>
      <c r="H271" s="377">
        <f>'Sch 3A - Taxes'!G19</f>
        <v>3726655.054265135</v>
      </c>
      <c r="I271" s="377">
        <f>'Sch 3A - Taxes'!H19</f>
        <v>0</v>
      </c>
      <c r="J271" s="377">
        <f>'Sch 3A - Taxes'!I19</f>
        <v>188440592.94573486</v>
      </c>
    </row>
    <row r="272" spans="1:10">
      <c r="A272" s="59"/>
      <c r="B272" s="17"/>
      <c r="C272" s="394"/>
      <c r="D272" s="395"/>
      <c r="E272" s="54"/>
      <c r="F272" s="54"/>
      <c r="G272" s="55"/>
      <c r="H272" s="55"/>
      <c r="I272" s="55"/>
      <c r="J272" s="236"/>
    </row>
    <row r="273" spans="1:10">
      <c r="A273" s="60" t="s">
        <v>38</v>
      </c>
      <c r="B273" s="18"/>
      <c r="C273" s="36"/>
      <c r="D273" s="53"/>
      <c r="E273" s="54"/>
      <c r="F273" s="54"/>
      <c r="G273" s="55"/>
      <c r="H273" s="55"/>
      <c r="I273" s="55"/>
      <c r="J273" s="236"/>
    </row>
    <row r="274" spans="1:10">
      <c r="A274" s="44"/>
      <c r="B274" s="18" t="s">
        <v>566</v>
      </c>
      <c r="C274" s="235" t="str">
        <f>'Sch 3A - Taxes'!C22</f>
        <v>262-263</v>
      </c>
      <c r="D274" s="151">
        <f>'Sch 3A - Taxes'!D22</f>
        <v>408.1</v>
      </c>
      <c r="E274" s="49" t="str">
        <f>'Sch 3A - Taxes'!E22</f>
        <v>PTDG</v>
      </c>
      <c r="F274" s="152"/>
      <c r="G274" s="49">
        <f>'Sch 3A - Taxes'!F22</f>
        <v>47092120</v>
      </c>
      <c r="H274" s="49">
        <f>'Sch 3A - Taxes'!G22</f>
        <v>16476242.140085313</v>
      </c>
      <c r="I274" s="49">
        <f>'Sch 3A - Taxes'!H22</f>
        <v>0</v>
      </c>
      <c r="J274" s="49">
        <f>'Sch 3A - Taxes'!I22</f>
        <v>30615877.850901406</v>
      </c>
    </row>
    <row r="275" spans="1:10">
      <c r="A275" s="44"/>
      <c r="B275" s="18" t="s">
        <v>152</v>
      </c>
      <c r="C275" s="235" t="str">
        <f>'Sch 3A - Taxes'!C23</f>
        <v>262-263</v>
      </c>
      <c r="D275" s="151">
        <f>'Sch 3A - Taxes'!D23</f>
        <v>408.1</v>
      </c>
      <c r="E275" s="49" t="str">
        <f>'Sch 3A - Taxes'!E23</f>
        <v>LABOR</v>
      </c>
      <c r="F275" s="152"/>
      <c r="G275" s="49">
        <f>'Sch 3A - Taxes'!F23</f>
        <v>0</v>
      </c>
      <c r="H275" s="49">
        <f>'Sch 3A - Taxes'!G23</f>
        <v>0</v>
      </c>
      <c r="I275" s="49">
        <f>'Sch 3A - Taxes'!H23</f>
        <v>0</v>
      </c>
      <c r="J275" s="49">
        <f>'Sch 3A - Taxes'!I23</f>
        <v>0</v>
      </c>
    </row>
    <row r="276" spans="1:10">
      <c r="A276" s="44"/>
      <c r="B276" s="18" t="s">
        <v>567</v>
      </c>
      <c r="C276" s="235" t="str">
        <f>'Sch 3A - Taxes'!C24</f>
        <v>262-263</v>
      </c>
      <c r="D276" s="151">
        <f>'Sch 3A - Taxes'!D24</f>
        <v>409.1</v>
      </c>
      <c r="E276" s="49" t="str">
        <f>'Sch 3A - Taxes'!E24</f>
        <v>DIST</v>
      </c>
      <c r="F276" s="152"/>
      <c r="G276" s="49">
        <f>'Sch 3A - Taxes'!F24</f>
        <v>104687355</v>
      </c>
      <c r="H276" s="49">
        <f>'Sch 3A - Taxes'!G24</f>
        <v>0</v>
      </c>
      <c r="I276" s="49">
        <f>'Sch 3A - Taxes'!H24</f>
        <v>0</v>
      </c>
      <c r="J276" s="49">
        <f>'Sch 3A - Taxes'!I24</f>
        <v>104687355</v>
      </c>
    </row>
    <row r="277" spans="1:10">
      <c r="A277" s="44"/>
      <c r="B277" s="18" t="s">
        <v>568</v>
      </c>
      <c r="C277" s="235" t="str">
        <f>'Sch 3A - Taxes'!C25</f>
        <v>262-263</v>
      </c>
      <c r="D277" s="151">
        <f>'Sch 3A - Taxes'!D25</f>
        <v>408.1</v>
      </c>
      <c r="E277" s="49" t="str">
        <f>'Sch 3A - Taxes'!E25</f>
        <v>DIST</v>
      </c>
      <c r="F277" s="152"/>
      <c r="G277" s="49">
        <f>'Sch 3A - Taxes'!F25</f>
        <v>0</v>
      </c>
      <c r="H277" s="49">
        <f>'Sch 3A - Taxes'!G25</f>
        <v>0</v>
      </c>
      <c r="I277" s="49">
        <f>'Sch 3A - Taxes'!H25</f>
        <v>0</v>
      </c>
      <c r="J277" s="49">
        <f>'Sch 3A - Taxes'!I25</f>
        <v>0</v>
      </c>
    </row>
    <row r="278" spans="1:10">
      <c r="A278" s="44"/>
      <c r="B278" s="18" t="s">
        <v>153</v>
      </c>
      <c r="C278" s="235" t="str">
        <f>'Sch 3A - Taxes'!C26</f>
        <v>262-263</v>
      </c>
      <c r="D278" s="151">
        <f>'Sch 3A - Taxes'!D26</f>
        <v>408.1</v>
      </c>
      <c r="E278" s="49" t="str">
        <f>'Sch 3A - Taxes'!E26</f>
        <v>DIST</v>
      </c>
      <c r="F278" s="152"/>
      <c r="G278" s="49">
        <f>'Sch 3A - Taxes'!F26</f>
        <v>0</v>
      </c>
      <c r="H278" s="49">
        <f>'Sch 3A - Taxes'!G26</f>
        <v>0</v>
      </c>
      <c r="I278" s="49">
        <f>'Sch 3A - Taxes'!H26</f>
        <v>0</v>
      </c>
      <c r="J278" s="49">
        <f>'Sch 3A - Taxes'!I26</f>
        <v>0</v>
      </c>
    </row>
    <row r="279" spans="1:10">
      <c r="A279" s="44"/>
      <c r="B279" s="18" t="s">
        <v>569</v>
      </c>
      <c r="C279" s="235" t="str">
        <f>'Sch 3A - Taxes'!C27</f>
        <v>262-263</v>
      </c>
      <c r="D279" s="151">
        <f>'Sch 3A - Taxes'!D27</f>
        <v>408.1</v>
      </c>
      <c r="E279" s="49" t="str">
        <f>'Sch 3A - Taxes'!E27</f>
        <v>DIST</v>
      </c>
      <c r="F279" s="152"/>
      <c r="G279" s="49">
        <f>'Sch 3A - Taxes'!F27</f>
        <v>103454099</v>
      </c>
      <c r="H279" s="49">
        <f>'Sch 3A - Taxes'!G27</f>
        <v>0</v>
      </c>
      <c r="I279" s="49">
        <f>'Sch 3A - Taxes'!H27</f>
        <v>0</v>
      </c>
      <c r="J279" s="49">
        <f>'Sch 3A - Taxes'!I27</f>
        <v>103454099</v>
      </c>
    </row>
    <row r="280" spans="1:10">
      <c r="A280" s="44"/>
      <c r="B280" s="18" t="s">
        <v>107</v>
      </c>
      <c r="C280" s="235" t="str">
        <f>'Sch 3A - Taxes'!C28</f>
        <v>262-263</v>
      </c>
      <c r="D280" s="151">
        <f>'Sch 3A - Taxes'!D28</f>
        <v>408.1</v>
      </c>
      <c r="E280" s="49" t="str">
        <f>'Sch 3A - Taxes'!E28</f>
        <v>DIST</v>
      </c>
      <c r="F280" s="152"/>
      <c r="G280" s="49">
        <f>'Sch 3A - Taxes'!F28</f>
        <v>879365</v>
      </c>
      <c r="H280" s="49">
        <f>'Sch 3A - Taxes'!G28</f>
        <v>0</v>
      </c>
      <c r="I280" s="49">
        <f>'Sch 3A - Taxes'!H28</f>
        <v>0</v>
      </c>
      <c r="J280" s="49">
        <f>'Sch 3A - Taxes'!I28</f>
        <v>879365</v>
      </c>
    </row>
    <row r="281" spans="1:10">
      <c r="A281" s="59" t="s">
        <v>36</v>
      </c>
      <c r="B281" s="18"/>
      <c r="C281" s="160"/>
      <c r="D281" s="161"/>
      <c r="E281" s="161"/>
      <c r="F281" s="162"/>
      <c r="G281" s="377">
        <f>'Sch 3A - Taxes'!F29</f>
        <v>256112939</v>
      </c>
      <c r="H281" s="377">
        <f>'Sch 3A - Taxes'!G29</f>
        <v>16476242.140085313</v>
      </c>
      <c r="I281" s="377">
        <f>'Sch 3A - Taxes'!H29</f>
        <v>0</v>
      </c>
      <c r="J281" s="378">
        <f>'Sch 3A - Taxes'!I29</f>
        <v>239636696.8509014</v>
      </c>
    </row>
    <row r="282" spans="1:10">
      <c r="A282" s="44"/>
      <c r="B282" s="18"/>
      <c r="C282" s="36"/>
      <c r="D282" s="53"/>
      <c r="E282" s="54"/>
      <c r="F282" s="54"/>
      <c r="G282" s="237"/>
      <c r="H282" s="237"/>
      <c r="I282" s="237"/>
      <c r="J282" s="238"/>
    </row>
    <row r="283" spans="1:10">
      <c r="A283" s="59" t="s">
        <v>570</v>
      </c>
      <c r="B283" s="23"/>
      <c r="C283" s="160"/>
      <c r="D283" s="161"/>
      <c r="E283" s="161"/>
      <c r="F283" s="162"/>
      <c r="G283" s="377">
        <f>'Sch 3A - Taxes'!F31</f>
        <v>448280187</v>
      </c>
      <c r="H283" s="377">
        <f>'Sch 3A - Taxes'!G31</f>
        <v>20202897.194350448</v>
      </c>
      <c r="I283" s="377">
        <f>'Sch 3A - Taxes'!H31</f>
        <v>0</v>
      </c>
      <c r="J283" s="378">
        <f>'Sch 3A - Taxes'!I31</f>
        <v>428077289.79663622</v>
      </c>
    </row>
    <row r="284" spans="1:10" ht="16.5" thickBot="1">
      <c r="A284" s="52"/>
      <c r="B284" s="61"/>
      <c r="C284" s="61"/>
      <c r="D284" s="61"/>
      <c r="E284" s="61"/>
      <c r="F284" s="61"/>
      <c r="G284" s="61"/>
      <c r="H284" s="61"/>
      <c r="I284" s="61"/>
      <c r="J284" s="239"/>
    </row>
    <row r="285" spans="1:10" ht="16.5" thickTop="1"/>
    <row r="286" spans="1:10" ht="16.5" thickBot="1">
      <c r="A286" s="92" t="s">
        <v>618</v>
      </c>
      <c r="B286" s="364"/>
      <c r="C286" s="364"/>
      <c r="D286" s="364"/>
      <c r="E286" s="35"/>
      <c r="F286" s="3"/>
      <c r="G286" s="393"/>
      <c r="H286" s="393"/>
      <c r="I286" s="234"/>
      <c r="J286" s="14"/>
    </row>
    <row r="287" spans="1:10" ht="17.25" thickTop="1" thickBot="1">
      <c r="A287" s="209"/>
      <c r="B287" s="4182" t="s">
        <v>100</v>
      </c>
      <c r="C287" s="88" t="s">
        <v>321</v>
      </c>
      <c r="D287" s="88"/>
      <c r="E287" s="4185" t="s">
        <v>350</v>
      </c>
      <c r="F287" s="4186"/>
      <c r="G287" s="4179" t="s">
        <v>104</v>
      </c>
      <c r="H287" s="4180" t="s">
        <v>105</v>
      </c>
      <c r="I287" s="4181" t="s">
        <v>106</v>
      </c>
      <c r="J287" s="89"/>
    </row>
    <row r="288" spans="1:10" ht="16.5" thickBot="1">
      <c r="A288" s="140"/>
      <c r="B288" s="4183"/>
      <c r="C288" s="87" t="s">
        <v>270</v>
      </c>
      <c r="D288" s="87" t="s">
        <v>96</v>
      </c>
      <c r="E288" s="4168"/>
      <c r="F288" s="4169"/>
      <c r="G288" s="4171"/>
      <c r="H288" s="4174"/>
      <c r="I288" s="4177"/>
      <c r="J288" s="80" t="s">
        <v>98</v>
      </c>
    </row>
    <row r="289" spans="1:10" ht="16.5" thickBot="1">
      <c r="A289" s="210"/>
      <c r="B289" s="4184"/>
      <c r="C289" s="81" t="s">
        <v>271</v>
      </c>
      <c r="D289" s="81" t="s">
        <v>250</v>
      </c>
      <c r="E289" s="81" t="s">
        <v>449</v>
      </c>
      <c r="F289" s="81" t="s">
        <v>609</v>
      </c>
      <c r="G289" s="4172"/>
      <c r="H289" s="4175"/>
      <c r="I289" s="4178"/>
      <c r="J289" s="82" t="s">
        <v>107</v>
      </c>
    </row>
    <row r="290" spans="1:10" ht="16.5" thickTop="1">
      <c r="A290" s="57" t="s">
        <v>41</v>
      </c>
      <c r="B290" s="6"/>
      <c r="C290" s="372"/>
      <c r="D290" s="396"/>
      <c r="E290" s="15"/>
      <c r="F290" s="15"/>
      <c r="G290" s="66"/>
      <c r="H290" s="66"/>
      <c r="I290" s="66"/>
      <c r="J290" s="67"/>
    </row>
    <row r="291" spans="1:10">
      <c r="A291" s="57"/>
      <c r="B291" s="240" t="s">
        <v>565</v>
      </c>
      <c r="C291" s="151" t="str">
        <f>'Sch 3B - Other Items'!C15</f>
        <v>114-117</v>
      </c>
      <c r="D291" s="151">
        <f>'Sch 3B - Other Items'!D15</f>
        <v>407.4</v>
      </c>
      <c r="E291" s="49" t="str">
        <f>'Sch 3B - Other Items'!E15</f>
        <v>DIRECT</v>
      </c>
      <c r="F291" s="152" t="str">
        <f>'Sch 3B - Other Items'!F15</f>
        <v>PROD</v>
      </c>
      <c r="G291" s="49">
        <f>'Sch 3B - Other Items'!G15</f>
        <v>134166092</v>
      </c>
      <c r="H291" s="49">
        <f>'Sch 3B - Other Items'!H15</f>
        <v>101178031.47000001</v>
      </c>
      <c r="I291" s="49">
        <f>'Sch 3B - Other Items'!I15</f>
        <v>0</v>
      </c>
      <c r="J291" s="49">
        <f>'Sch 3B - Other Items'!J15</f>
        <v>32988060.300000001</v>
      </c>
    </row>
    <row r="292" spans="1:10">
      <c r="A292" s="57"/>
      <c r="B292" s="241" t="s">
        <v>619</v>
      </c>
      <c r="C292" s="151" t="str">
        <f>'Sch 3B - Other Items'!C16</f>
        <v>114-117</v>
      </c>
      <c r="D292" s="151">
        <f>'Sch 3B - Other Items'!D16</f>
        <v>407.3</v>
      </c>
      <c r="E292" s="49" t="str">
        <f>'Sch 3B - Other Items'!E16</f>
        <v>DIRECT</v>
      </c>
      <c r="F292" s="152" t="str">
        <f>'Sch 3B - Other Items'!F16</f>
        <v>DIST</v>
      </c>
      <c r="G292" s="49">
        <f>'Sch 3B - Other Items'!G16</f>
        <v>66572207</v>
      </c>
      <c r="H292" s="49">
        <f>'Sch 3B - Other Items'!H16</f>
        <v>35561739.260000005</v>
      </c>
      <c r="I292" s="49">
        <f>'Sch 3B - Other Items'!I16</f>
        <v>0</v>
      </c>
      <c r="J292" s="49">
        <f>'Sch 3B - Other Items'!J16</f>
        <v>31010467.999999996</v>
      </c>
    </row>
    <row r="293" spans="1:10">
      <c r="A293" s="158"/>
      <c r="B293" s="242" t="s">
        <v>388</v>
      </c>
      <c r="C293" s="151" t="str">
        <f>'Sch 3B - Other Items'!C17</f>
        <v>114-117</v>
      </c>
      <c r="D293" s="151">
        <f>'Sch 3B - Other Items'!D17</f>
        <v>411.6</v>
      </c>
      <c r="E293" s="49" t="str">
        <f>'Sch 3B - Other Items'!E17</f>
        <v>DIRECT</v>
      </c>
      <c r="F293" s="152" t="str">
        <f>'Sch 3B - Other Items'!F17</f>
        <v>PROD</v>
      </c>
      <c r="G293" s="49">
        <f>'Sch 3B - Other Items'!G17</f>
        <v>611696</v>
      </c>
      <c r="H293" s="49">
        <f>'Sch 3B - Other Items'!H17</f>
        <v>213537.98767209105</v>
      </c>
      <c r="I293" s="49">
        <f>'Sch 3B - Other Items'!I17</f>
        <v>0</v>
      </c>
      <c r="J293" s="49">
        <f>'Sch 3B - Other Items'!J17</f>
        <v>398158.40232790902</v>
      </c>
    </row>
    <row r="294" spans="1:10">
      <c r="A294" s="158"/>
      <c r="B294" s="243" t="s">
        <v>620</v>
      </c>
      <c r="C294" s="151" t="str">
        <f>'Sch 3B - Other Items'!C18</f>
        <v>114-117</v>
      </c>
      <c r="D294" s="151" t="str">
        <f>'Sch 3B - Other Items'!D18</f>
        <v>411.7</v>
      </c>
      <c r="E294" s="49" t="str">
        <f>'Sch 3B - Other Items'!E18</f>
        <v>DIRECT</v>
      </c>
      <c r="F294" s="152" t="str">
        <f>'Sch 3B - Other Items'!F18</f>
        <v>DIST</v>
      </c>
      <c r="G294" s="49">
        <f>'Sch 3B - Other Items'!G18</f>
        <v>5519</v>
      </c>
      <c r="H294" s="49">
        <f>'Sch 3B - Other Items'!H18</f>
        <v>1926.5659657804031</v>
      </c>
      <c r="I294" s="49">
        <f>'Sch 3B - Other Items'!I18</f>
        <v>0</v>
      </c>
      <c r="J294" s="49">
        <f>'Sch 3B - Other Items'!J18</f>
        <v>3592.2340342195976</v>
      </c>
    </row>
    <row r="295" spans="1:10">
      <c r="A295" s="158"/>
      <c r="B295" s="242" t="s">
        <v>389</v>
      </c>
      <c r="C295" s="151" t="str">
        <f>'Sch 3B - Other Items'!C19</f>
        <v>114-117</v>
      </c>
      <c r="D295" s="151">
        <f>'Sch 3B - Other Items'!D19</f>
        <v>411.8</v>
      </c>
      <c r="E295" s="49" t="str">
        <f>'Sch 3B - Other Items'!E19</f>
        <v>PROD</v>
      </c>
      <c r="F295" s="152">
        <f>'Sch 3B - Other Items'!F19</f>
        <v>0</v>
      </c>
      <c r="G295" s="49">
        <f>'Sch 3B - Other Items'!G19</f>
        <v>0</v>
      </c>
      <c r="H295" s="49">
        <f>'Sch 3B - Other Items'!H19</f>
        <v>0</v>
      </c>
      <c r="I295" s="49">
        <f>'Sch 3B - Other Items'!I19</f>
        <v>0</v>
      </c>
      <c r="J295" s="49">
        <f>'Sch 3B - Other Items'!J19</f>
        <v>0</v>
      </c>
    </row>
    <row r="296" spans="1:10">
      <c r="A296" s="158"/>
      <c r="B296" s="243" t="s">
        <v>621</v>
      </c>
      <c r="C296" s="151" t="str">
        <f>'Sch 3B - Other Items'!C20</f>
        <v>114-117</v>
      </c>
      <c r="D296" s="151">
        <f>'Sch 3B - Other Items'!D20</f>
        <v>411.9</v>
      </c>
      <c r="E296" s="49" t="str">
        <f>'Sch 3B - Other Items'!E20</f>
        <v>PROD</v>
      </c>
      <c r="F296" s="152">
        <f>'Sch 3B - Other Items'!F20</f>
        <v>0</v>
      </c>
      <c r="G296" s="49">
        <f>'Sch 3B - Other Items'!G20</f>
        <v>0</v>
      </c>
      <c r="H296" s="49">
        <f>'Sch 3B - Other Items'!H20</f>
        <v>0</v>
      </c>
      <c r="I296" s="49">
        <f>'Sch 3B - Other Items'!I20</f>
        <v>0</v>
      </c>
      <c r="J296" s="49">
        <f>'Sch 3B - Other Items'!J20</f>
        <v>0</v>
      </c>
    </row>
    <row r="297" spans="1:10">
      <c r="A297" s="158"/>
      <c r="B297" s="242" t="s">
        <v>181</v>
      </c>
      <c r="C297" s="151" t="str">
        <f>'Sch 3B - Other Items'!C21</f>
        <v>114-117</v>
      </c>
      <c r="D297" s="151">
        <f>'Sch 3B - Other Items'!D21</f>
        <v>421</v>
      </c>
      <c r="E297" s="49" t="str">
        <f>'Sch 3B - Other Items'!E21</f>
        <v>DIRECT</v>
      </c>
      <c r="F297" s="152" t="str">
        <f>'Sch 3B - Other Items'!F21</f>
        <v>PROD</v>
      </c>
      <c r="G297" s="49">
        <f>'Sch 3B - Other Items'!G21</f>
        <v>-261571031</v>
      </c>
      <c r="H297" s="49">
        <f>'Sch 3B - Other Items'!H21</f>
        <v>11756.068681033697</v>
      </c>
      <c r="I297" s="49">
        <f>'Sch 3B - Other Items'!I21</f>
        <v>0</v>
      </c>
      <c r="J297" s="49">
        <f>'Sch 3B - Other Items'!J21</f>
        <v>-261582787.08259478</v>
      </c>
    </row>
    <row r="298" spans="1:10">
      <c r="A298" s="63" t="s">
        <v>49</v>
      </c>
      <c r="B298" s="65"/>
      <c r="C298" s="160"/>
      <c r="D298" s="161"/>
      <c r="E298" s="161"/>
      <c r="F298" s="162"/>
      <c r="G298" s="377">
        <f>'Sch 3B - Other Items'!G22</f>
        <v>-193370969</v>
      </c>
      <c r="H298" s="377">
        <f>'Sch 3B - Other Items'!H22</f>
        <v>65839659.700387351</v>
      </c>
      <c r="I298" s="377">
        <f>'Sch 3B - Other Items'!I22</f>
        <v>0</v>
      </c>
      <c r="J298" s="377">
        <f>'Sch 3B - Other Items'!J22</f>
        <v>-259210628.61430109</v>
      </c>
    </row>
    <row r="299" spans="1:10">
      <c r="A299" s="397"/>
      <c r="B299" s="65"/>
      <c r="C299" s="372"/>
      <c r="D299" s="372"/>
      <c r="E299" s="15"/>
      <c r="F299" s="15"/>
      <c r="G299" s="66"/>
      <c r="H299" s="66"/>
      <c r="I299" s="66"/>
      <c r="J299" s="67"/>
    </row>
    <row r="300" spans="1:10">
      <c r="A300" s="57" t="s">
        <v>622</v>
      </c>
      <c r="B300" s="65"/>
      <c r="C300" s="15"/>
      <c r="D300" s="15"/>
      <c r="E300" s="15"/>
      <c r="F300" s="15"/>
      <c r="G300" s="66"/>
      <c r="H300" s="66"/>
      <c r="I300" s="66"/>
      <c r="J300" s="67"/>
    </row>
    <row r="301" spans="1:10">
      <c r="A301" s="57"/>
      <c r="B301" s="159" t="s">
        <v>64</v>
      </c>
      <c r="C301" s="151">
        <f>'Sch 3B - Other Items'!C25</f>
        <v>310</v>
      </c>
      <c r="D301" s="151">
        <f>'Sch 3B - Other Items'!D25</f>
        <v>447</v>
      </c>
      <c r="E301" s="49" t="str">
        <f>'Sch 3B - Other Items'!E25</f>
        <v>PROD</v>
      </c>
      <c r="F301" s="152">
        <f>'Sch 3B - Other Items'!F25</f>
        <v>0</v>
      </c>
      <c r="G301" s="49">
        <f>'Sch 3B - Other Items'!G25</f>
        <v>640830574</v>
      </c>
      <c r="H301" s="49">
        <f>'Sch 3B - Other Items'!H25</f>
        <v>640830574</v>
      </c>
      <c r="I301" s="49">
        <f>'Sch 3B - Other Items'!I25</f>
        <v>0</v>
      </c>
      <c r="J301" s="49">
        <f>'Sch 3B - Other Items'!J25</f>
        <v>0</v>
      </c>
    </row>
    <row r="302" spans="1:10">
      <c r="A302" s="41" t="s">
        <v>65</v>
      </c>
      <c r="B302" s="19"/>
      <c r="C302" s="160"/>
      <c r="D302" s="161"/>
      <c r="E302" s="161"/>
      <c r="F302" s="162"/>
      <c r="G302" s="377">
        <f>'Sch 3B - Other Items'!G26</f>
        <v>640830574</v>
      </c>
      <c r="H302" s="377">
        <f>'Sch 3B - Other Items'!H26</f>
        <v>640830574</v>
      </c>
      <c r="I302" s="377">
        <f>'Sch 3B - Other Items'!I26</f>
        <v>0</v>
      </c>
      <c r="J302" s="378">
        <f>'Sch 3B - Other Items'!J26</f>
        <v>0</v>
      </c>
    </row>
    <row r="303" spans="1:10">
      <c r="A303" s="68"/>
      <c r="B303" s="19"/>
      <c r="C303" s="15"/>
      <c r="D303" s="15"/>
      <c r="E303" s="15"/>
      <c r="F303" s="15"/>
      <c r="G303" s="66"/>
      <c r="H303" s="66"/>
      <c r="I303" s="66"/>
      <c r="J303" s="67"/>
    </row>
    <row r="304" spans="1:10">
      <c r="A304" s="40" t="s">
        <v>43</v>
      </c>
      <c r="B304" s="19"/>
      <c r="C304" s="15"/>
      <c r="D304" s="15"/>
      <c r="E304" s="15"/>
      <c r="F304" s="15"/>
      <c r="G304" s="66"/>
      <c r="H304" s="66"/>
      <c r="I304" s="66"/>
      <c r="J304" s="67"/>
    </row>
    <row r="305" spans="1:10">
      <c r="A305" s="158"/>
      <c r="B305" s="23" t="s">
        <v>325</v>
      </c>
      <c r="C305" s="151">
        <f>'Sch 3B - Other Items'!C29</f>
        <v>300</v>
      </c>
      <c r="D305" s="151">
        <f>'Sch 3B - Other Items'!D29</f>
        <v>450</v>
      </c>
      <c r="E305" s="49" t="str">
        <f>'Sch 3B - Other Items'!E29</f>
        <v>DIST</v>
      </c>
      <c r="F305" s="152">
        <f>'Sch 3B - Other Items'!F29</f>
        <v>0</v>
      </c>
      <c r="G305" s="49">
        <f>'Sch 3B - Other Items'!G29</f>
        <v>-758</v>
      </c>
      <c r="H305" s="49">
        <f>'Sch 3B - Other Items'!H29</f>
        <v>0</v>
      </c>
      <c r="I305" s="49">
        <f>'Sch 3B - Other Items'!I29</f>
        <v>0</v>
      </c>
      <c r="J305" s="49">
        <f>'Sch 3B - Other Items'!J29</f>
        <v>-758</v>
      </c>
    </row>
    <row r="306" spans="1:10">
      <c r="A306" s="158"/>
      <c r="B306" s="23" t="s">
        <v>545</v>
      </c>
      <c r="C306" s="151">
        <f>'Sch 3B - Other Items'!C30</f>
        <v>300</v>
      </c>
      <c r="D306" s="151" t="str">
        <f>'Sch 3B - Other Items'!D30</f>
        <v>451</v>
      </c>
      <c r="E306" s="49" t="str">
        <f>'Sch 3B - Other Items'!E30</f>
        <v>DIST</v>
      </c>
      <c r="F306" s="152">
        <f>'Sch 3B - Other Items'!F30</f>
        <v>0</v>
      </c>
      <c r="G306" s="49">
        <f>'Sch 3B - Other Items'!G30</f>
        <v>16254690</v>
      </c>
      <c r="H306" s="49">
        <f>'Sch 3B - Other Items'!H30</f>
        <v>0</v>
      </c>
      <c r="I306" s="49">
        <f>'Sch 3B - Other Items'!I30</f>
        <v>0</v>
      </c>
      <c r="J306" s="49">
        <f>'Sch 3B - Other Items'!J30</f>
        <v>16254690</v>
      </c>
    </row>
    <row r="307" spans="1:10">
      <c r="A307" s="158"/>
      <c r="B307" s="23" t="s">
        <v>544</v>
      </c>
      <c r="C307" s="151">
        <f>'Sch 3B - Other Items'!C31</f>
        <v>300</v>
      </c>
      <c r="D307" s="151" t="str">
        <f>'Sch 3B - Other Items'!D31</f>
        <v>453</v>
      </c>
      <c r="E307" s="49" t="str">
        <f>'Sch 3B - Other Items'!E31</f>
        <v>PROD</v>
      </c>
      <c r="F307" s="152">
        <f>'Sch 3B - Other Items'!F31</f>
        <v>0</v>
      </c>
      <c r="G307" s="49">
        <f>'Sch 3B - Other Items'!G31</f>
        <v>0</v>
      </c>
      <c r="H307" s="49">
        <f>'Sch 3B - Other Items'!H31</f>
        <v>0</v>
      </c>
      <c r="I307" s="49">
        <f>'Sch 3B - Other Items'!I31</f>
        <v>0</v>
      </c>
      <c r="J307" s="49">
        <f>'Sch 3B - Other Items'!J31</f>
        <v>0</v>
      </c>
    </row>
    <row r="308" spans="1:10">
      <c r="A308" s="158"/>
      <c r="B308" s="23" t="s">
        <v>543</v>
      </c>
      <c r="C308" s="151">
        <f>'Sch 3B - Other Items'!C32</f>
        <v>300</v>
      </c>
      <c r="D308" s="151" t="str">
        <f>'Sch 3B - Other Items'!D32</f>
        <v>454</v>
      </c>
      <c r="E308" s="49" t="str">
        <f>'Sch 3B - Other Items'!E32</f>
        <v>TD</v>
      </c>
      <c r="F308" s="152">
        <f>'Sch 3B - Other Items'!F32</f>
        <v>0</v>
      </c>
      <c r="G308" s="49">
        <f>'Sch 3B - Other Items'!G32</f>
        <v>16990858</v>
      </c>
      <c r="H308" s="49">
        <f>'Sch 3B - Other Items'!H32</f>
        <v>0</v>
      </c>
      <c r="I308" s="49">
        <f>'Sch 3B - Other Items'!I32</f>
        <v>0</v>
      </c>
      <c r="J308" s="49">
        <f>'Sch 3B - Other Items'!J32</f>
        <v>16990858</v>
      </c>
    </row>
    <row r="309" spans="1:10">
      <c r="A309" s="158"/>
      <c r="B309" s="23" t="s">
        <v>327</v>
      </c>
      <c r="C309" s="151">
        <f>'Sch 3B - Other Items'!C33</f>
        <v>300</v>
      </c>
      <c r="D309" s="151">
        <f>'Sch 3B - Other Items'!D33</f>
        <v>455</v>
      </c>
      <c r="E309" s="49" t="str">
        <f>'Sch 3B - Other Items'!E33</f>
        <v>DIST</v>
      </c>
      <c r="F309" s="152">
        <f>'Sch 3B - Other Items'!F33</f>
        <v>0</v>
      </c>
      <c r="G309" s="49">
        <f>'Sch 3B - Other Items'!G33</f>
        <v>0</v>
      </c>
      <c r="H309" s="49">
        <f>'Sch 3B - Other Items'!H33</f>
        <v>0</v>
      </c>
      <c r="I309" s="49">
        <f>'Sch 3B - Other Items'!I33</f>
        <v>0</v>
      </c>
      <c r="J309" s="49">
        <f>'Sch 3B - Other Items'!J33</f>
        <v>0</v>
      </c>
    </row>
    <row r="310" spans="1:10">
      <c r="A310" s="158"/>
      <c r="B310" s="23" t="s">
        <v>326</v>
      </c>
      <c r="C310" s="151">
        <f>'Sch 3B - Other Items'!C34</f>
        <v>300</v>
      </c>
      <c r="D310" s="151" t="str">
        <f>'Sch 3B - Other Items'!D34</f>
        <v>456</v>
      </c>
      <c r="E310" s="49" t="str">
        <f>'Sch 3B - Other Items'!E34</f>
        <v>DIRECT</v>
      </c>
      <c r="F310" s="152" t="str">
        <f>'Sch 3B - Other Items'!F34</f>
        <v>PROD</v>
      </c>
      <c r="G310" s="49">
        <f>'Sch 3B - Other Items'!G34</f>
        <v>33809167</v>
      </c>
      <c r="H310" s="49">
        <f>'Sch 3B - Other Items'!H34</f>
        <v>46941385.813219115</v>
      </c>
      <c r="I310" s="49">
        <f>'Sch 3B - Other Items'!I34</f>
        <v>0</v>
      </c>
      <c r="J310" s="49">
        <f>'Sch 3B - Other Items'!J34</f>
        <v>-13132218.503405668</v>
      </c>
    </row>
    <row r="311" spans="1:10">
      <c r="A311" s="158"/>
      <c r="B311" s="23" t="s">
        <v>502</v>
      </c>
      <c r="C311" s="151">
        <f>'Sch 3B - Other Items'!C35</f>
        <v>330</v>
      </c>
      <c r="D311" s="151">
        <f>'Sch 3B - Other Items'!D35</f>
        <v>456.1</v>
      </c>
      <c r="E311" s="49" t="str">
        <f>'Sch 3B - Other Items'!E35</f>
        <v>TRANS</v>
      </c>
      <c r="F311" s="152">
        <f>'Sch 3B - Other Items'!F35</f>
        <v>0</v>
      </c>
      <c r="G311" s="49">
        <f>'Sch 3B - Other Items'!G35</f>
        <v>34371414</v>
      </c>
      <c r="H311" s="49">
        <f>'Sch 3B - Other Items'!H35</f>
        <v>0</v>
      </c>
      <c r="I311" s="49">
        <f>'Sch 3B - Other Items'!I35</f>
        <v>0</v>
      </c>
      <c r="J311" s="49">
        <f>'Sch 3B - Other Items'!J35</f>
        <v>34371414</v>
      </c>
    </row>
    <row r="312" spans="1:10">
      <c r="A312" s="57"/>
      <c r="B312" s="23"/>
      <c r="C312" s="15"/>
      <c r="D312" s="54"/>
      <c r="E312" s="15"/>
      <c r="F312" s="15"/>
      <c r="G312" s="66"/>
      <c r="H312" s="66"/>
      <c r="I312" s="66"/>
      <c r="J312" s="67"/>
    </row>
    <row r="313" spans="1:10">
      <c r="A313" s="41" t="s">
        <v>48</v>
      </c>
      <c r="B313" s="19"/>
      <c r="C313" s="160"/>
      <c r="D313" s="161"/>
      <c r="E313" s="161"/>
      <c r="F313" s="162"/>
      <c r="G313" s="377">
        <f>'Sch 3B - Other Items'!G37</f>
        <v>101425371</v>
      </c>
      <c r="H313" s="377">
        <f>'Sch 3B - Other Items'!H37</f>
        <v>46941385.813219115</v>
      </c>
      <c r="I313" s="377">
        <f>'Sch 3B - Other Items'!I37</f>
        <v>0</v>
      </c>
      <c r="J313" s="378">
        <f>'Sch 3B - Other Items'!J37</f>
        <v>54483985.496594332</v>
      </c>
    </row>
    <row r="314" spans="1:10">
      <c r="A314" s="41"/>
      <c r="B314" s="19"/>
      <c r="C314" s="15"/>
      <c r="D314" s="15"/>
      <c r="E314" s="15"/>
      <c r="F314" s="15"/>
      <c r="G314" s="244"/>
      <c r="H314" s="244"/>
      <c r="I314" s="244"/>
      <c r="J314" s="245"/>
    </row>
    <row r="315" spans="1:10">
      <c r="A315" s="41" t="s">
        <v>49</v>
      </c>
      <c r="B315" s="19"/>
      <c r="C315" s="160"/>
      <c r="D315" s="161"/>
      <c r="E315" s="161"/>
      <c r="F315" s="162"/>
      <c r="G315" s="377">
        <f>'Sch 3B - Other Items'!G39</f>
        <v>548884976</v>
      </c>
      <c r="H315" s="377">
        <f>'Sch 3B - Other Items'!H39</f>
        <v>753611619.51360643</v>
      </c>
      <c r="I315" s="377">
        <f>'Sch 3B - Other Items'!I39</f>
        <v>0</v>
      </c>
      <c r="J315" s="378">
        <f>'Sch 3B - Other Items'!J39</f>
        <v>-204726643.11770675</v>
      </c>
    </row>
    <row r="316" spans="1:10">
      <c r="A316" s="168" t="s">
        <v>67</v>
      </c>
      <c r="B316" s="19"/>
      <c r="C316" s="23"/>
      <c r="D316" s="23"/>
      <c r="E316" s="23"/>
      <c r="F316" s="23"/>
      <c r="G316" s="23"/>
      <c r="H316" s="23"/>
      <c r="I316" s="23"/>
      <c r="J316" s="246"/>
    </row>
    <row r="317" spans="1:10" ht="16.5" thickBot="1">
      <c r="A317" s="398"/>
      <c r="B317" s="399"/>
      <c r="C317" s="399"/>
      <c r="D317" s="399"/>
      <c r="E317" s="399"/>
      <c r="F317" s="399"/>
      <c r="G317" s="399"/>
      <c r="H317" s="399"/>
      <c r="I317" s="399"/>
      <c r="J317" s="62"/>
    </row>
    <row r="318" spans="1:10" ht="17.25" thickTop="1" thickBot="1">
      <c r="A318" s="247" t="s">
        <v>66</v>
      </c>
      <c r="B318" s="248"/>
      <c r="C318" s="248"/>
      <c r="D318" s="248"/>
      <c r="E318" s="248"/>
      <c r="F318" s="249"/>
      <c r="G318" s="249"/>
      <c r="H318" s="249"/>
      <c r="I318" s="248"/>
      <c r="J318" s="248"/>
    </row>
    <row r="319" spans="1:10">
      <c r="A319" s="250"/>
      <c r="B319" s="400"/>
      <c r="C319" s="401"/>
      <c r="D319" s="401"/>
      <c r="E319" s="401"/>
      <c r="F319" s="401"/>
      <c r="G319" s="400"/>
      <c r="H319" s="400"/>
      <c r="I319" s="400"/>
      <c r="J319" s="402"/>
    </row>
    <row r="320" spans="1:10" ht="16.5" thickBot="1">
      <c r="A320" s="251"/>
      <c r="B320" s="364"/>
      <c r="G320" s="252"/>
      <c r="H320" s="252"/>
      <c r="I320" s="252"/>
      <c r="J320" s="253"/>
    </row>
    <row r="321" spans="1:10" ht="16.5" thickBot="1">
      <c r="A321" s="403"/>
      <c r="G321" s="78" t="str">
        <f>'Sch 4 - Average System Cost'!C12</f>
        <v>Total</v>
      </c>
      <c r="H321" s="78" t="str">
        <f>'Sch 4 - Average System Cost'!D12</f>
        <v>Production</v>
      </c>
      <c r="I321" s="78" t="str">
        <f>'Sch 4 - Average System Cost'!E12</f>
        <v>Transmission</v>
      </c>
      <c r="J321" s="78" t="str">
        <f>'Sch 4 - Average System Cost'!F12</f>
        <v>Distribution/Other</v>
      </c>
    </row>
    <row r="322" spans="1:10" ht="16.5" thickBot="1">
      <c r="A322" s="254" t="s">
        <v>50</v>
      </c>
      <c r="B322" s="372"/>
      <c r="G322" s="404">
        <f>'Sch 4 - Average System Cost'!C13</f>
        <v>2931166699.0700002</v>
      </c>
      <c r="H322" s="404">
        <f>'Sch 4 - Average System Cost'!D13</f>
        <v>2250420319.9548378</v>
      </c>
      <c r="I322" s="404">
        <f>'Sch 4 - Average System Cost'!E13</f>
        <v>0</v>
      </c>
      <c r="J322" s="404">
        <f>'Sch 4 - Average System Cost'!F13</f>
        <v>680746379.22390342</v>
      </c>
    </row>
    <row r="323" spans="1:10">
      <c r="A323" s="255" t="s">
        <v>68</v>
      </c>
      <c r="B323" s="372"/>
      <c r="G323" s="66"/>
      <c r="H323" s="66"/>
      <c r="I323" s="66"/>
      <c r="J323" s="256"/>
    </row>
    <row r="324" spans="1:10" ht="16.5" thickBot="1">
      <c r="A324" s="255"/>
      <c r="B324" s="372"/>
      <c r="G324" s="66"/>
      <c r="H324" s="66"/>
      <c r="I324" s="66"/>
      <c r="J324" s="256"/>
    </row>
    <row r="325" spans="1:10" ht="16.5" thickBot="1">
      <c r="A325" s="254" t="s">
        <v>141</v>
      </c>
      <c r="B325" s="372"/>
      <c r="G325" s="404">
        <f>'Sch 4 - Average System Cost'!C16</f>
        <v>637120080.35280752</v>
      </c>
      <c r="H325" s="404">
        <f>'Sch 4 - Average System Cost'!D16</f>
        <v>185807079.37114048</v>
      </c>
      <c r="I325" s="404">
        <f>'Sch 4 - Average System Cost'!E16</f>
        <v>0</v>
      </c>
      <c r="J325" s="404">
        <f>'Sch 4 - Average System Cost'!F16</f>
        <v>451313000.84413463</v>
      </c>
    </row>
    <row r="326" spans="1:10">
      <c r="A326" s="255" t="s">
        <v>252</v>
      </c>
      <c r="B326" s="372"/>
      <c r="G326" s="66"/>
      <c r="H326" s="66"/>
      <c r="I326" s="66"/>
      <c r="J326" s="256"/>
    </row>
    <row r="327" spans="1:10" ht="16.5" thickBot="1">
      <c r="A327" s="255"/>
      <c r="B327" s="372"/>
      <c r="G327" s="66"/>
      <c r="H327" s="66"/>
      <c r="I327" s="66"/>
      <c r="J327" s="256"/>
    </row>
    <row r="328" spans="1:10" ht="16.5" thickBot="1">
      <c r="A328" s="254" t="s">
        <v>39</v>
      </c>
      <c r="B328" s="372"/>
      <c r="G328" s="404">
        <f>'Sch 4 - Average System Cost'!C19</f>
        <v>448280187</v>
      </c>
      <c r="H328" s="404">
        <f>'Sch 4 - Average System Cost'!D19</f>
        <v>20202897.194350448</v>
      </c>
      <c r="I328" s="404">
        <f>'Sch 4 - Average System Cost'!E19</f>
        <v>0</v>
      </c>
      <c r="J328" s="404">
        <f>'Sch 4 - Average System Cost'!F19</f>
        <v>428077289.79663622</v>
      </c>
    </row>
    <row r="329" spans="1:10">
      <c r="A329" s="255" t="s">
        <v>161</v>
      </c>
      <c r="B329" s="372"/>
      <c r="G329" s="66"/>
      <c r="H329" s="66"/>
      <c r="I329" s="66"/>
      <c r="J329" s="256"/>
    </row>
    <row r="330" spans="1:10" ht="16.5" thickBot="1">
      <c r="A330" s="255"/>
      <c r="B330" s="372"/>
      <c r="G330" s="66"/>
      <c r="H330" s="66"/>
      <c r="I330" s="66"/>
      <c r="J330" s="256"/>
    </row>
    <row r="331" spans="1:10" ht="16.5" thickBot="1">
      <c r="A331" s="254" t="s">
        <v>49</v>
      </c>
      <c r="B331" s="372"/>
      <c r="G331" s="404">
        <f>'Sch 4 - Average System Cost'!C22</f>
        <v>548884976</v>
      </c>
      <c r="H331" s="404">
        <f>'Sch 4 - Average System Cost'!D22</f>
        <v>753611619.51360643</v>
      </c>
      <c r="I331" s="404">
        <f>'Sch 4 - Average System Cost'!E22</f>
        <v>0</v>
      </c>
      <c r="J331" s="404">
        <f>'Sch 4 - Average System Cost'!F22</f>
        <v>-204726643.11770675</v>
      </c>
    </row>
    <row r="332" spans="1:10">
      <c r="A332" s="255" t="s">
        <v>503</v>
      </c>
      <c r="B332" s="372"/>
      <c r="G332" s="66"/>
      <c r="H332" s="66"/>
      <c r="I332" s="66"/>
      <c r="J332" s="256"/>
    </row>
    <row r="333" spans="1:10" ht="16.5" thickBot="1">
      <c r="A333" s="255"/>
      <c r="B333" s="372"/>
      <c r="G333" s="66"/>
      <c r="H333" s="66"/>
      <c r="I333" s="66"/>
      <c r="J333" s="256"/>
    </row>
    <row r="334" spans="1:10" ht="16.5" thickBot="1">
      <c r="A334" s="254" t="s">
        <v>51</v>
      </c>
      <c r="B334" s="372"/>
      <c r="G334" s="405">
        <f>'Sch 4 - Average System Cost'!C25</f>
        <v>3467681990.4228077</v>
      </c>
      <c r="H334" s="405">
        <f>'Sch 4 - Average System Cost'!D25</f>
        <v>1702818677.006722</v>
      </c>
      <c r="I334" s="405">
        <f>'Sch 4 - Average System Cost'!E25</f>
        <v>0</v>
      </c>
      <c r="J334" s="405">
        <f>'Sch 4 - Average System Cost'!F25</f>
        <v>1764863312.9823809</v>
      </c>
    </row>
    <row r="335" spans="1:10">
      <c r="A335" s="255" t="s">
        <v>249</v>
      </c>
      <c r="B335" s="19"/>
      <c r="G335" s="406"/>
      <c r="H335" s="372"/>
      <c r="I335" s="372"/>
      <c r="J335" s="407"/>
    </row>
    <row r="336" spans="1:10">
      <c r="A336" s="403"/>
      <c r="J336" s="408"/>
    </row>
    <row r="337" spans="1:10" ht="16.5" thickBot="1">
      <c r="A337" s="409"/>
      <c r="B337" s="410"/>
      <c r="C337" s="410"/>
      <c r="D337" s="410"/>
      <c r="E337" s="410"/>
      <c r="F337" s="410"/>
      <c r="G337" s="410"/>
      <c r="H337" s="410"/>
      <c r="I337" s="410"/>
      <c r="J337" s="411"/>
    </row>
    <row r="338" spans="1:10" ht="16.5" thickBot="1">
      <c r="A338" s="412" t="s">
        <v>504</v>
      </c>
      <c r="B338" s="412" t="s">
        <v>504</v>
      </c>
      <c r="C338" s="372"/>
      <c r="D338" s="372"/>
      <c r="E338" s="372"/>
      <c r="F338" s="372"/>
      <c r="G338" s="372"/>
      <c r="H338" s="372"/>
      <c r="I338" s="372"/>
      <c r="J338" s="372"/>
    </row>
    <row r="339" spans="1:10">
      <c r="A339" s="68" t="s">
        <v>317</v>
      </c>
      <c r="B339" s="372" t="s">
        <v>317</v>
      </c>
      <c r="G339" s="372"/>
      <c r="H339" s="413">
        <f>'Sch 4 - Average System Cost'!D32</f>
        <v>1702818677.006722</v>
      </c>
      <c r="I339" s="372"/>
      <c r="J339" s="372"/>
    </row>
    <row r="340" spans="1:10">
      <c r="A340" s="68" t="s">
        <v>106</v>
      </c>
      <c r="B340" s="372" t="s">
        <v>106</v>
      </c>
      <c r="G340" s="372"/>
      <c r="H340" s="69">
        <f>'Sch 4 - Average System Cost'!D33</f>
        <v>0</v>
      </c>
      <c r="I340" s="372"/>
      <c r="J340" s="372"/>
    </row>
    <row r="341" spans="1:10">
      <c r="A341" s="68" t="s">
        <v>508</v>
      </c>
      <c r="B341" s="372" t="s">
        <v>508</v>
      </c>
      <c r="G341" s="372"/>
      <c r="H341" s="69">
        <f>'Sch 4 - Average System Cost'!D34</f>
        <v>0</v>
      </c>
      <c r="I341" s="372"/>
      <c r="J341" s="372"/>
    </row>
    <row r="342" spans="1:10" ht="16.5" thickBot="1">
      <c r="A342" s="68" t="s">
        <v>839</v>
      </c>
      <c r="B342" s="372" t="s">
        <v>839</v>
      </c>
      <c r="G342" s="372"/>
      <c r="H342" s="69">
        <f>'Sch 4 - Average System Cost'!D35</f>
        <v>0</v>
      </c>
      <c r="I342" s="372"/>
      <c r="J342" s="372"/>
    </row>
    <row r="343" spans="1:10" ht="16.5" thickBot="1">
      <c r="A343" s="40" t="s">
        <v>505</v>
      </c>
      <c r="B343" s="372" t="s">
        <v>505</v>
      </c>
      <c r="G343" s="372"/>
      <c r="H343" s="405">
        <f>'Sch 4 - Average System Cost'!D36</f>
        <v>1702818677.006722</v>
      </c>
      <c r="I343" s="372"/>
      <c r="J343" s="372"/>
    </row>
    <row r="344" spans="1:10" ht="16.5" thickBot="1">
      <c r="A344" s="68"/>
      <c r="B344" s="372"/>
      <c r="G344" s="372"/>
      <c r="H344" s="117"/>
      <c r="I344" s="372"/>
      <c r="J344" s="372"/>
    </row>
    <row r="345" spans="1:10" ht="16.5" thickBot="1">
      <c r="A345" s="412" t="s">
        <v>506</v>
      </c>
      <c r="B345" s="412" t="s">
        <v>506</v>
      </c>
      <c r="G345" s="372"/>
      <c r="H345"/>
      <c r="I345" s="372"/>
      <c r="J345" s="372"/>
    </row>
    <row r="346" spans="1:10">
      <c r="A346" s="68" t="s">
        <v>318</v>
      </c>
      <c r="B346" s="372" t="s">
        <v>318</v>
      </c>
      <c r="G346" s="372"/>
      <c r="H346" s="414">
        <f>'Sch 4 - Average System Cost'!D39</f>
        <v>21165762</v>
      </c>
      <c r="I346"/>
      <c r="J346"/>
    </row>
    <row r="347" spans="1:10">
      <c r="A347" s="68" t="s">
        <v>319</v>
      </c>
      <c r="B347" s="372" t="s">
        <v>319</v>
      </c>
      <c r="G347" s="372"/>
      <c r="H347" s="415">
        <f>'Sch 4 - Average System Cost'!D40</f>
        <v>0</v>
      </c>
      <c r="I347" s="258" t="s">
        <v>623</v>
      </c>
      <c r="J347" s="257">
        <f>'Sch 4 - Average System Cost'!F45</f>
        <v>0</v>
      </c>
    </row>
    <row r="348" spans="1:10">
      <c r="A348" s="68" t="s">
        <v>509</v>
      </c>
      <c r="B348" s="372" t="s">
        <v>509</v>
      </c>
      <c r="G348" s="372"/>
      <c r="H348" s="415">
        <f>'Sch 4 - Average System Cost'!D41</f>
        <v>21165762</v>
      </c>
      <c r="I348" s="416"/>
      <c r="J348" s="372"/>
    </row>
    <row r="349" spans="1:10">
      <c r="A349" s="68" t="s">
        <v>176</v>
      </c>
      <c r="B349" s="372" t="s">
        <v>176</v>
      </c>
      <c r="G349" s="372"/>
      <c r="H349" s="415">
        <f>'Sch 4 - Average System Cost'!D42</f>
        <v>982091.35679999995</v>
      </c>
      <c r="I349" s="416" t="s">
        <v>840</v>
      </c>
      <c r="J349"/>
    </row>
    <row r="350" spans="1:10" ht="16.5" thickBot="1">
      <c r="A350" s="68" t="s">
        <v>732</v>
      </c>
      <c r="B350" s="372" t="s">
        <v>732</v>
      </c>
      <c r="G350" s="372"/>
      <c r="H350" s="415">
        <f>'Sch 4 - Average System Cost'!D43</f>
        <v>0</v>
      </c>
      <c r="I350" s="258" t="s">
        <v>841</v>
      </c>
      <c r="J350" s="257">
        <f>'Sch 4 - Average System Cost'!F48</f>
        <v>0</v>
      </c>
    </row>
    <row r="351" spans="1:10" ht="16.5" thickBot="1">
      <c r="A351" s="412" t="s">
        <v>507</v>
      </c>
      <c r="B351" s="412" t="s">
        <v>507</v>
      </c>
      <c r="G351" s="417"/>
      <c r="H351" s="418">
        <f>'Sch 4 - Average System Cost'!D44</f>
        <v>22147853.356800001</v>
      </c>
      <c r="I351" s="417"/>
      <c r="J351" s="417"/>
    </row>
    <row r="352" spans="1:10" ht="16.5" thickBot="1">
      <c r="A352" s="42"/>
      <c r="B352" s="372"/>
      <c r="G352" s="372"/>
      <c r="H352" s="419"/>
      <c r="I352" s="372"/>
      <c r="J352" s="372"/>
    </row>
    <row r="353" spans="1:10" ht="19.5" thickBot="1">
      <c r="A353" s="420" t="s">
        <v>320</v>
      </c>
      <c r="B353" s="420" t="s">
        <v>320</v>
      </c>
      <c r="G353" s="372"/>
      <c r="H353" s="421">
        <f>'Sch 4 - Average System Cost'!D46</f>
        <v>76.884140849881049</v>
      </c>
      <c r="I353" s="372"/>
      <c r="J353" s="372"/>
    </row>
    <row r="354" spans="1:10">
      <c r="A354" s="118"/>
      <c r="B354" s="372"/>
      <c r="G354" s="372"/>
      <c r="H354" s="419"/>
      <c r="I354" s="372"/>
      <c r="J354" s="372"/>
    </row>
    <row r="355" spans="1:10">
      <c r="A355" s="118"/>
      <c r="B355" s="372"/>
      <c r="G355" s="372"/>
      <c r="H355" s="419"/>
      <c r="I355" s="372"/>
      <c r="J355" s="372"/>
    </row>
    <row r="356" spans="1:10">
      <c r="A356" s="118"/>
      <c r="B356" s="372"/>
      <c r="G356" s="372"/>
      <c r="H356" s="419"/>
      <c r="I356" s="372"/>
      <c r="J356" s="372"/>
    </row>
    <row r="357" spans="1:10">
      <c r="A357" s="118"/>
      <c r="B357" s="372"/>
      <c r="G357" s="372"/>
      <c r="H357" s="419"/>
      <c r="I357" s="372"/>
      <c r="J357" s="372"/>
    </row>
    <row r="358" spans="1:10">
      <c r="A358" s="118"/>
      <c r="B358" s="372"/>
      <c r="G358" s="372"/>
      <c r="H358" s="419"/>
      <c r="I358" s="372"/>
      <c r="J358" s="372"/>
    </row>
    <row r="359" spans="1:10">
      <c r="A359" s="118"/>
      <c r="B359" s="372"/>
      <c r="G359" s="372"/>
      <c r="H359" s="419"/>
      <c r="I359" s="372"/>
      <c r="J359" s="372"/>
    </row>
    <row r="361" spans="1:10" ht="16.5" thickBot="1"/>
    <row r="362" spans="1:10" ht="16.5" thickTop="1">
      <c r="A362" s="422"/>
      <c r="E362" s="4166" t="s">
        <v>350</v>
      </c>
      <c r="F362" s="4167"/>
      <c r="G362" s="4170" t="s">
        <v>104</v>
      </c>
      <c r="H362" s="4173" t="s">
        <v>105</v>
      </c>
      <c r="I362" s="4176" t="s">
        <v>106</v>
      </c>
      <c r="J362" s="89"/>
    </row>
    <row r="363" spans="1:10" ht="16.5" thickBot="1">
      <c r="A363" s="423"/>
      <c r="B363" s="424"/>
      <c r="C363" s="424"/>
      <c r="D363" s="424"/>
      <c r="E363" s="4168"/>
      <c r="F363" s="4169"/>
      <c r="G363" s="4171"/>
      <c r="H363" s="4174"/>
      <c r="I363" s="4177"/>
      <c r="J363" s="80" t="s">
        <v>98</v>
      </c>
    </row>
    <row r="364" spans="1:10" ht="16.5" thickBot="1">
      <c r="A364" s="30" t="s">
        <v>516</v>
      </c>
      <c r="B364" s="31"/>
      <c r="C364" s="424"/>
      <c r="D364" s="424"/>
      <c r="E364" s="81" t="s">
        <v>449</v>
      </c>
      <c r="F364" s="81" t="s">
        <v>609</v>
      </c>
      <c r="G364" s="4172"/>
      <c r="H364" s="4175"/>
      <c r="I364" s="4178"/>
      <c r="J364" s="82" t="s">
        <v>107</v>
      </c>
    </row>
    <row r="365" spans="1:10" ht="16.5" thickTop="1">
      <c r="A365" s="30"/>
      <c r="B365" s="31" t="s">
        <v>842</v>
      </c>
      <c r="C365" s="424"/>
      <c r="D365" s="424"/>
      <c r="E365" s="49" t="str">
        <f>Ratios!C13</f>
        <v>PROD</v>
      </c>
      <c r="F365" s="152"/>
      <c r="G365" s="49">
        <f>Ratios!D13</f>
        <v>32635584</v>
      </c>
      <c r="H365" s="49">
        <f>Ratios!E13</f>
        <v>32635584</v>
      </c>
      <c r="I365" s="49">
        <f>Ratios!F13</f>
        <v>0</v>
      </c>
      <c r="J365" s="49">
        <f>Ratios!G13</f>
        <v>0</v>
      </c>
    </row>
    <row r="366" spans="1:10">
      <c r="A366" s="30"/>
      <c r="B366" s="31" t="s">
        <v>843</v>
      </c>
      <c r="C366" s="424"/>
      <c r="D366" s="424"/>
      <c r="E366" s="49" t="str">
        <f>Ratios!C14</f>
        <v>TRANS</v>
      </c>
      <c r="F366" s="151"/>
      <c r="G366" s="49">
        <f>Ratios!D14</f>
        <v>10498560</v>
      </c>
      <c r="H366" s="49">
        <f>Ratios!E14</f>
        <v>0</v>
      </c>
      <c r="I366" s="49">
        <f>Ratios!F14</f>
        <v>0</v>
      </c>
      <c r="J366" s="49">
        <f>Ratios!G14</f>
        <v>10498560</v>
      </c>
    </row>
    <row r="367" spans="1:10">
      <c r="A367" s="30"/>
      <c r="B367" s="31" t="s">
        <v>844</v>
      </c>
      <c r="C367" s="424"/>
      <c r="D367" s="424"/>
      <c r="E367" s="49" t="str">
        <f>Ratios!C15</f>
        <v>DIST</v>
      </c>
      <c r="F367" s="151"/>
      <c r="G367" s="49">
        <f>Ratios!D15</f>
        <v>40805168</v>
      </c>
      <c r="H367" s="49">
        <f>Ratios!E15</f>
        <v>0</v>
      </c>
      <c r="I367" s="49">
        <f>Ratios!F15</f>
        <v>0</v>
      </c>
      <c r="J367" s="49">
        <f>Ratios!G15</f>
        <v>40805168</v>
      </c>
    </row>
    <row r="368" spans="1:10">
      <c r="A368" s="30"/>
      <c r="B368" s="31" t="s">
        <v>845</v>
      </c>
      <c r="C368" s="424"/>
      <c r="D368" s="424"/>
      <c r="E368" s="49" t="str">
        <f>Ratios!C16</f>
        <v>DIST</v>
      </c>
      <c r="F368" s="151"/>
      <c r="G368" s="49">
        <f>Ratios!D16</f>
        <v>10042836</v>
      </c>
      <c r="H368" s="49">
        <f>Ratios!E16</f>
        <v>0</v>
      </c>
      <c r="I368" s="49">
        <f>Ratios!F16</f>
        <v>0</v>
      </c>
      <c r="J368" s="49">
        <f>Ratios!G16</f>
        <v>10042836</v>
      </c>
    </row>
    <row r="369" spans="1:10">
      <c r="A369" s="30"/>
      <c r="B369" s="31" t="s">
        <v>846</v>
      </c>
      <c r="C369" s="424"/>
      <c r="D369" s="424"/>
      <c r="E369" s="49" t="str">
        <f>Ratios!C17</f>
        <v>DIST</v>
      </c>
      <c r="F369" s="151"/>
      <c r="G369" s="49">
        <f>Ratios!D17</f>
        <v>2377648</v>
      </c>
      <c r="H369" s="49">
        <f>Ratios!E17</f>
        <v>0</v>
      </c>
      <c r="I369" s="49">
        <f>Ratios!F17</f>
        <v>0</v>
      </c>
      <c r="J369" s="49">
        <f>Ratios!G17</f>
        <v>2377648</v>
      </c>
    </row>
    <row r="370" spans="1:10">
      <c r="A370" s="30"/>
      <c r="B370" s="31" t="s">
        <v>847</v>
      </c>
      <c r="C370" s="424"/>
      <c r="D370" s="424"/>
      <c r="E370" s="49" t="str">
        <f>Ratios!C18</f>
        <v>DIST</v>
      </c>
      <c r="F370" s="151"/>
      <c r="G370" s="49">
        <f>Ratios!D18</f>
        <v>834733</v>
      </c>
      <c r="H370" s="49">
        <f>Ratios!E18</f>
        <v>0</v>
      </c>
      <c r="I370" s="49">
        <f>Ratios!F18</f>
        <v>0</v>
      </c>
      <c r="J370" s="49">
        <f>Ratios!G18</f>
        <v>834733</v>
      </c>
    </row>
    <row r="371" spans="1:10">
      <c r="A371" s="30"/>
      <c r="B371" s="31" t="s">
        <v>848</v>
      </c>
      <c r="C371" s="424"/>
      <c r="D371" s="424"/>
      <c r="E371" s="49" t="str">
        <f>Ratios!C19</f>
        <v>PTD</v>
      </c>
      <c r="F371" s="151"/>
      <c r="G371" s="49">
        <f>Ratios!D19</f>
        <v>42547415</v>
      </c>
      <c r="H371" s="49">
        <f>Ratios!E19</f>
        <v>14852939.347491231</v>
      </c>
      <c r="I371" s="49">
        <f>Ratios!F19</f>
        <v>0</v>
      </c>
      <c r="J371" s="49">
        <f>Ratios!G19</f>
        <v>27694475.652508773</v>
      </c>
    </row>
    <row r="372" spans="1:10">
      <c r="A372" s="425"/>
      <c r="B372" s="124"/>
      <c r="C372" s="424"/>
      <c r="D372" s="424"/>
      <c r="E372" s="424"/>
      <c r="F372" s="424"/>
      <c r="G372" s="426"/>
      <c r="H372" s="426"/>
      <c r="I372" s="426"/>
      <c r="J372" s="426"/>
    </row>
    <row r="373" spans="1:10">
      <c r="A373" s="30" t="s">
        <v>518</v>
      </c>
      <c r="B373" s="31"/>
      <c r="C373" s="424"/>
      <c r="D373" s="424"/>
      <c r="E373" s="427"/>
      <c r="F373" s="428"/>
      <c r="G373" s="429">
        <f>Ratios!D21</f>
        <v>139741944</v>
      </c>
      <c r="H373" s="429">
        <f>Ratios!E21</f>
        <v>47488523.347491235</v>
      </c>
      <c r="I373" s="429">
        <f>Ratios!F21</f>
        <v>0</v>
      </c>
      <c r="J373" s="429">
        <f>Ratios!G21</f>
        <v>92253420.652508765</v>
      </c>
    </row>
    <row r="374" spans="1:10">
      <c r="A374" s="423"/>
      <c r="B374" s="424"/>
      <c r="C374" s="424"/>
      <c r="D374" s="424"/>
      <c r="E374" s="424"/>
      <c r="F374" s="424"/>
      <c r="G374" s="430">
        <f>Ratios!D22</f>
        <v>1</v>
      </c>
      <c r="H374" s="430">
        <f>Ratios!E22</f>
        <v>0.33983013251548322</v>
      </c>
      <c r="I374" s="430">
        <f>Ratios!F22</f>
        <v>0</v>
      </c>
      <c r="J374" s="430">
        <f>Ratios!G22</f>
        <v>0.66016986748451678</v>
      </c>
    </row>
    <row r="375" spans="1:10">
      <c r="A375" s="423"/>
      <c r="B375" s="424"/>
      <c r="C375" s="424"/>
      <c r="D375" s="424"/>
      <c r="E375" s="424"/>
      <c r="F375" s="424"/>
      <c r="G375" s="431"/>
      <c r="H375" s="432"/>
      <c r="I375" s="432"/>
      <c r="J375" s="432"/>
    </row>
    <row r="376" spans="1:10">
      <c r="A376" s="423"/>
      <c r="B376" s="424"/>
      <c r="C376" s="424"/>
      <c r="D376" s="424"/>
      <c r="E376" s="424"/>
      <c r="F376" s="424"/>
      <c r="G376" s="431"/>
      <c r="H376" s="432"/>
      <c r="I376" s="432"/>
      <c r="J376" s="432"/>
    </row>
    <row r="377" spans="1:10" ht="16.5" thickBot="1">
      <c r="A377" s="423"/>
      <c r="B377" s="424"/>
      <c r="C377" s="6"/>
      <c r="D377" s="54"/>
      <c r="E377" s="424"/>
      <c r="F377" s="424"/>
      <c r="G377" s="431"/>
      <c r="H377" s="432"/>
      <c r="I377" s="432"/>
      <c r="J377" s="432"/>
    </row>
    <row r="378" spans="1:10" ht="17.25" thickTop="1" thickBot="1">
      <c r="A378" s="423"/>
      <c r="B378" s="433" t="s">
        <v>345</v>
      </c>
      <c r="C378" s="434"/>
      <c r="D378" s="260"/>
      <c r="E378" s="260"/>
      <c r="F378" s="260"/>
      <c r="G378" s="261"/>
      <c r="H378" s="432"/>
      <c r="I378" s="432"/>
      <c r="J378" s="432"/>
    </row>
    <row r="379" spans="1:10" ht="16.5" thickBot="1">
      <c r="A379" s="423"/>
      <c r="B379" s="30"/>
      <c r="C379" s="31"/>
      <c r="D379" s="435"/>
      <c r="E379" s="262"/>
      <c r="F379" s="262"/>
      <c r="G379" s="262"/>
      <c r="H379" s="432"/>
      <c r="I379" s="432"/>
      <c r="J379" s="432"/>
    </row>
    <row r="380" spans="1:10" ht="16.5" thickBot="1">
      <c r="A380" s="423"/>
      <c r="B380" s="30" t="s">
        <v>531</v>
      </c>
      <c r="C380" s="31"/>
      <c r="D380" s="436" t="str">
        <f>Ratios!D78</f>
        <v>DIST</v>
      </c>
      <c r="E380" s="262">
        <f>Ratios!E78</f>
        <v>0</v>
      </c>
      <c r="F380" s="262">
        <f>Ratios!F78</f>
        <v>0</v>
      </c>
      <c r="G380" s="262">
        <f>Ratios!G78</f>
        <v>1</v>
      </c>
      <c r="H380" s="432"/>
      <c r="I380" s="432"/>
      <c r="J380" s="432"/>
    </row>
    <row r="381" spans="1:10" ht="16.5" thickBot="1">
      <c r="A381" s="423"/>
      <c r="B381" s="30" t="s">
        <v>532</v>
      </c>
      <c r="C381" s="31"/>
      <c r="D381" s="436" t="str">
        <f>Ratios!D79</f>
        <v>PROD</v>
      </c>
      <c r="E381" s="262">
        <f>Ratios!E79</f>
        <v>1</v>
      </c>
      <c r="F381" s="262">
        <f>Ratios!F79</f>
        <v>0</v>
      </c>
      <c r="G381" s="262">
        <f>Ratios!G79</f>
        <v>0</v>
      </c>
      <c r="H381" s="432"/>
      <c r="I381" s="432"/>
      <c r="J381" s="432"/>
    </row>
    <row r="382" spans="1:10" ht="16.5" thickBot="1">
      <c r="A382" s="423"/>
      <c r="B382" s="30" t="s">
        <v>533</v>
      </c>
      <c r="C382" s="31"/>
      <c r="D382" s="436" t="str">
        <f>Ratios!D80</f>
        <v>TRANS</v>
      </c>
      <c r="E382" s="262">
        <f>Ratios!E80</f>
        <v>0</v>
      </c>
      <c r="F382" s="262">
        <f>Ratios!F80</f>
        <v>0</v>
      </c>
      <c r="G382" s="262">
        <f>Ratios!G80</f>
        <v>1</v>
      </c>
      <c r="H382" s="432"/>
      <c r="I382" s="432"/>
      <c r="J382" s="432"/>
    </row>
    <row r="383" spans="1:10" ht="16.5" thickBot="1">
      <c r="A383" s="423"/>
      <c r="B383" s="30" t="s">
        <v>534</v>
      </c>
      <c r="C383" s="31"/>
      <c r="D383" s="436" t="str">
        <f>Ratios!D81</f>
        <v>DIRECT</v>
      </c>
      <c r="E383" s="262">
        <f>Ratios!E81</f>
        <v>0</v>
      </c>
      <c r="F383" s="262">
        <f>Ratios!F81</f>
        <v>0</v>
      </c>
      <c r="G383" s="262">
        <f>Ratios!G81</f>
        <v>0</v>
      </c>
      <c r="H383" s="432"/>
      <c r="I383" s="432"/>
      <c r="J383" s="432"/>
    </row>
    <row r="384" spans="1:10" ht="16.5" thickBot="1">
      <c r="A384" s="423"/>
      <c r="B384" s="30" t="s">
        <v>92</v>
      </c>
      <c r="C384" s="31"/>
      <c r="D384" s="436" t="str">
        <f>Ratios!D82</f>
        <v>GP</v>
      </c>
      <c r="E384" s="262">
        <f>Ratios!E82</f>
        <v>0.34077050917683854</v>
      </c>
      <c r="F384" s="262">
        <f>Ratios!F82</f>
        <v>0</v>
      </c>
      <c r="G384" s="262">
        <f>Ratios!G82</f>
        <v>0.65922949082316151</v>
      </c>
      <c r="H384" s="432"/>
      <c r="I384" s="432"/>
      <c r="J384" s="432"/>
    </row>
    <row r="385" spans="1:10" ht="16.5" thickBot="1">
      <c r="A385" s="423"/>
      <c r="B385" s="30" t="s">
        <v>94</v>
      </c>
      <c r="C385" s="31"/>
      <c r="D385" s="436" t="str">
        <f>Ratios!D83</f>
        <v>GPM</v>
      </c>
      <c r="E385" s="262">
        <f>Ratios!E83</f>
        <v>0.34798522185348824</v>
      </c>
      <c r="F385" s="262">
        <f>Ratios!F83</f>
        <v>0</v>
      </c>
      <c r="G385" s="262">
        <f>Ratios!G83</f>
        <v>0.65201477814651188</v>
      </c>
      <c r="H385" s="432"/>
      <c r="I385" s="432"/>
      <c r="J385" s="432"/>
    </row>
    <row r="386" spans="1:10" ht="16.5" thickBot="1">
      <c r="A386" s="423"/>
      <c r="B386" s="30" t="s">
        <v>127</v>
      </c>
      <c r="C386" s="31"/>
      <c r="D386" s="436" t="str">
        <f>Ratios!D84</f>
        <v>LABOR</v>
      </c>
      <c r="E386" s="262">
        <f>Ratios!E84</f>
        <v>0.33983013251548322</v>
      </c>
      <c r="F386" s="262">
        <f>Ratios!F84</f>
        <v>0</v>
      </c>
      <c r="G386" s="262">
        <f>Ratios!G84</f>
        <v>0.66016986748451678</v>
      </c>
      <c r="H386" s="432"/>
      <c r="I386" s="432"/>
      <c r="J386" s="432"/>
    </row>
    <row r="387" spans="1:10" ht="16.5" thickBot="1">
      <c r="A387" s="423"/>
      <c r="B387" s="30" t="s">
        <v>524</v>
      </c>
      <c r="C387" s="31"/>
      <c r="D387" s="436" t="str">
        <f>Ratios!D85</f>
        <v>PTD</v>
      </c>
      <c r="E387" s="262">
        <f>Ratios!E85</f>
        <v>0.34909146295941201</v>
      </c>
      <c r="F387" s="262">
        <f>Ratios!F85</f>
        <v>0</v>
      </c>
      <c r="G387" s="262">
        <f>Ratios!G85</f>
        <v>0.65090853704058804</v>
      </c>
      <c r="H387" s="432"/>
      <c r="I387" s="432"/>
      <c r="J387" s="432"/>
    </row>
    <row r="388" spans="1:10" ht="16.5" thickBot="1">
      <c r="A388" s="423"/>
      <c r="B388" s="30" t="s">
        <v>535</v>
      </c>
      <c r="C388" s="31"/>
      <c r="D388" s="436" t="str">
        <f>Ratios!D86</f>
        <v>PTDG</v>
      </c>
      <c r="E388" s="262">
        <f>Ratios!E86</f>
        <v>0.34987259312354835</v>
      </c>
      <c r="F388" s="262">
        <f>Ratios!F86</f>
        <v>0</v>
      </c>
      <c r="G388" s="262">
        <f>Ratios!G86</f>
        <v>0.65012740668505486</v>
      </c>
      <c r="H388" s="432"/>
      <c r="I388" s="432"/>
      <c r="J388" s="432"/>
    </row>
    <row r="389" spans="1:10" ht="16.5" thickBot="1">
      <c r="A389" s="423"/>
      <c r="B389" s="32" t="s">
        <v>529</v>
      </c>
      <c r="C389" s="33"/>
      <c r="D389" s="437" t="str">
        <f>Ratios!D87</f>
        <v>TD</v>
      </c>
      <c r="E389" s="262">
        <f>Ratios!E87</f>
        <v>0</v>
      </c>
      <c r="F389" s="262">
        <f>Ratios!F87</f>
        <v>0</v>
      </c>
      <c r="G389" s="262">
        <f>Ratios!G87</f>
        <v>1</v>
      </c>
      <c r="H389" s="432"/>
      <c r="I389" s="432"/>
      <c r="J389" s="432"/>
    </row>
    <row r="390" spans="1:10" ht="16.5" thickTop="1">
      <c r="A390" s="423"/>
      <c r="B390" s="424"/>
      <c r="C390" s="424"/>
      <c r="D390" s="424"/>
      <c r="E390" s="424"/>
      <c r="F390" s="424"/>
      <c r="G390" s="438"/>
      <c r="H390" s="438"/>
      <c r="I390" s="438"/>
      <c r="J390" s="438"/>
    </row>
    <row r="391" spans="1:10">
      <c r="A391" s="423"/>
      <c r="B391" s="424"/>
      <c r="C391" s="424"/>
      <c r="D391" s="424"/>
      <c r="E391" s="424"/>
      <c r="F391" s="424"/>
      <c r="G391" s="432"/>
      <c r="H391" s="432"/>
      <c r="I391" s="432"/>
      <c r="J391" s="432"/>
    </row>
    <row r="392" spans="1:10">
      <c r="A392" s="423"/>
      <c r="B392" s="424"/>
      <c r="C392" s="424"/>
      <c r="D392" s="424"/>
      <c r="E392" s="424"/>
      <c r="F392" s="424"/>
      <c r="G392" s="431"/>
      <c r="H392" s="432"/>
      <c r="I392" s="432"/>
      <c r="J392" s="432"/>
    </row>
    <row r="393" spans="1:10">
      <c r="A393" s="423"/>
      <c r="B393" s="424"/>
      <c r="C393" s="424"/>
      <c r="D393" s="424"/>
      <c r="E393" s="424"/>
      <c r="F393" s="424"/>
      <c r="G393" s="431"/>
      <c r="H393" s="432"/>
      <c r="I393" s="432"/>
      <c r="J393" s="432"/>
    </row>
  </sheetData>
  <mergeCells count="25">
    <mergeCell ref="B287:B289"/>
    <mergeCell ref="E287:F288"/>
    <mergeCell ref="K12:K14"/>
    <mergeCell ref="A12:B14"/>
    <mergeCell ref="G12:G14"/>
    <mergeCell ref="H12:H14"/>
    <mergeCell ref="I12:I14"/>
    <mergeCell ref="J12:J14"/>
    <mergeCell ref="B264:B266"/>
    <mergeCell ref="E264:F265"/>
    <mergeCell ref="G264:G266"/>
    <mergeCell ref="H264:H266"/>
    <mergeCell ref="I264:I266"/>
    <mergeCell ref="B171:B173"/>
    <mergeCell ref="E171:F172"/>
    <mergeCell ref="G171:G173"/>
    <mergeCell ref="E362:F363"/>
    <mergeCell ref="G362:G364"/>
    <mergeCell ref="H362:H364"/>
    <mergeCell ref="I362:I364"/>
    <mergeCell ref="H171:H173"/>
    <mergeCell ref="I171:I173"/>
    <mergeCell ref="G287:G289"/>
    <mergeCell ref="H287:H289"/>
    <mergeCell ref="I287:I289"/>
  </mergeCells>
  <pageMargins left="0.7" right="0.7" top="0.75" bottom="0.75" header="0.3" footer="0.3"/>
  <pageSetup orientation="portrait" r:id="rId1"/>
  <headerFooter>
    <oddFooter>&amp;LFY 2016-2017 ASC Filing
&amp;F&amp;CPages &amp;P of &amp;N&amp;R&amp;A
&amp;D</oddFooter>
  </headerFooter>
  <customProperties>
    <customPr name="_pios_id" r:id="rId2"/>
  </customPropertie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B1:O185"/>
  <sheetViews>
    <sheetView workbookViewId="0"/>
  </sheetViews>
  <sheetFormatPr defaultRowHeight="15.75"/>
  <cols>
    <col min="3" max="3" width="54.875" bestFit="1" customWidth="1"/>
    <col min="4" max="4" width="11.125" customWidth="1"/>
    <col min="5" max="5" width="13.625" bestFit="1" customWidth="1"/>
    <col min="6" max="6" width="12.25" bestFit="1" customWidth="1"/>
    <col min="7" max="7" width="13.5" bestFit="1" customWidth="1"/>
    <col min="8" max="8" width="14.125" bestFit="1" customWidth="1"/>
    <col min="13" max="13" width="11.875" bestFit="1" customWidth="1"/>
  </cols>
  <sheetData>
    <row r="1" spans="2:15">
      <c r="C1" s="273" t="s">
        <v>849</v>
      </c>
      <c r="D1" s="273" t="s">
        <v>850</v>
      </c>
      <c r="E1" t="s">
        <v>270</v>
      </c>
      <c r="F1" t="s">
        <v>96</v>
      </c>
      <c r="G1" s="273" t="s">
        <v>823</v>
      </c>
      <c r="H1" s="273" t="s">
        <v>824</v>
      </c>
      <c r="I1" t="s">
        <v>104</v>
      </c>
      <c r="J1" t="s">
        <v>105</v>
      </c>
      <c r="K1" t="s">
        <v>106</v>
      </c>
      <c r="L1" s="273" t="s">
        <v>511</v>
      </c>
      <c r="M1" s="273" t="s">
        <v>851</v>
      </c>
      <c r="N1" s="273" t="s">
        <v>852</v>
      </c>
      <c r="O1" s="273" t="s">
        <v>853</v>
      </c>
    </row>
    <row r="2" spans="2:15">
      <c r="B2">
        <v>3</v>
      </c>
      <c r="C2" t="s">
        <v>145</v>
      </c>
      <c r="D2" s="273" t="e">
        <f>'Sch 1- Rate Base '!E5:G5</f>
        <v>#VALUE!</v>
      </c>
      <c r="E2" s="443" t="str">
        <f>+VLOOKUP($C2,ForecastImport!$B$15:$J$394,COLUMN()-3,FALSE)</f>
        <v>204-207</v>
      </c>
      <c r="F2">
        <f>+VLOOKUP($C2,ForecastImport!$B$15:$J$394,COLUMN()-3,FALSE)</f>
        <v>301</v>
      </c>
      <c r="G2" t="str">
        <f>+VLOOKUP($C2,ForecastImport!$B$15:$J$394,COLUMN()-3,FALSE)</f>
        <v>DIST</v>
      </c>
      <c r="H2" t="str">
        <f>+VLOOKUP($C2,ForecastImport!$B$15:$J$394,COLUMN()-3,FALSE)</f>
        <v xml:space="preserve"> </v>
      </c>
      <c r="I2">
        <f>+VLOOKUP($C2,ForecastImport!$B$15:$J$394,COLUMN()-3,FALSE)</f>
        <v>114202</v>
      </c>
      <c r="J2">
        <f>+VLOOKUP($C2,ForecastImport!$B$15:$J$394,COLUMN()-3,FALSE)</f>
        <v>0</v>
      </c>
      <c r="K2">
        <f>+VLOOKUP($C2,ForecastImport!$B$15:$J$394,COLUMN()-3,FALSE)</f>
        <v>0</v>
      </c>
      <c r="L2">
        <f>+VLOOKUP($C2,ForecastImport!$B$15:$J$394,COLUMN()-3,FALSE)</f>
        <v>114202</v>
      </c>
    </row>
    <row r="3" spans="2:15">
      <c r="B3">
        <v>4</v>
      </c>
      <c r="C3" t="s">
        <v>146</v>
      </c>
      <c r="D3" s="273" t="e">
        <f>'Sch 1- Rate Base '!E6:G6</f>
        <v>#VALUE!</v>
      </c>
      <c r="E3" s="443" t="str">
        <f>+VLOOKUP($C3,ForecastImport!$B$15:$J$394,COLUMN()-3,FALSE)</f>
        <v>204-207</v>
      </c>
      <c r="F3">
        <f>+VLOOKUP($C3,ForecastImport!$B$15:$J$394,COLUMN()-3,FALSE)</f>
        <v>302</v>
      </c>
      <c r="G3" t="str">
        <f>+VLOOKUP($C3,ForecastImport!$B$15:$J$394,COLUMN()-3,FALSE)</f>
        <v>DIRECT</v>
      </c>
      <c r="H3" t="str">
        <f>+VLOOKUP($C3,ForecastImport!$B$15:$J$394,COLUMN()-3,FALSE)</f>
        <v>PTD</v>
      </c>
      <c r="I3">
        <f>+VLOOKUP($C3,ForecastImport!$B$15:$J$394,COLUMN()-3,FALSE)</f>
        <v>80196650</v>
      </c>
      <c r="J3">
        <f>+VLOOKUP($C3,ForecastImport!$B$15:$J$394,COLUMN()-3,FALSE)</f>
        <v>55817303.479669861</v>
      </c>
      <c r="K3">
        <f>+VLOOKUP($C3,ForecastImport!$B$15:$J$394,COLUMN()-3,FALSE)</f>
        <v>0</v>
      </c>
      <c r="L3">
        <f>+VLOOKUP($C3,ForecastImport!$B$15:$J$394,COLUMN()-3,FALSE)</f>
        <v>24379345.720330127</v>
      </c>
    </row>
    <row r="4" spans="2:15">
      <c r="B4">
        <v>5</v>
      </c>
      <c r="C4" t="s">
        <v>147</v>
      </c>
      <c r="D4" s="273" t="e">
        <f>'Sch 1- Rate Base '!E7:G7</f>
        <v>#VALUE!</v>
      </c>
      <c r="E4" s="443" t="str">
        <f>+VLOOKUP($C4,ForecastImport!$B$15:$J$394,COLUMN()-3,FALSE)</f>
        <v>204-207</v>
      </c>
      <c r="F4">
        <f>+VLOOKUP($C4,ForecastImport!$B$15:$J$394,COLUMN()-3,FALSE)</f>
        <v>303</v>
      </c>
      <c r="G4" t="str">
        <f>+VLOOKUP($C4,ForecastImport!$B$15:$J$394,COLUMN()-3,FALSE)</f>
        <v>DIRECT</v>
      </c>
      <c r="H4" t="str">
        <f>+VLOOKUP($C4,ForecastImport!$B$15:$J$394,COLUMN()-3,FALSE)</f>
        <v>DIST</v>
      </c>
      <c r="I4">
        <f>+VLOOKUP($C4,ForecastImport!$B$15:$J$394,COLUMN()-3,FALSE)</f>
        <v>75530269</v>
      </c>
      <c r="J4">
        <f>+VLOOKUP($C4,ForecastImport!$B$15:$J$394,COLUMN()-3,FALSE)</f>
        <v>10321488.568474432</v>
      </c>
      <c r="K4">
        <f>+VLOOKUP($C4,ForecastImport!$B$15:$J$394,COLUMN()-3,FALSE)</f>
        <v>0</v>
      </c>
      <c r="L4">
        <f>+VLOOKUP($C4,ForecastImport!$B$15:$J$394,COLUMN()-3,FALSE)</f>
        <v>65208779.001525573</v>
      </c>
    </row>
    <row r="5" spans="2:15">
      <c r="B5">
        <v>9</v>
      </c>
      <c r="C5" t="s">
        <v>111</v>
      </c>
      <c r="D5" s="273" t="e">
        <f>'Sch 1- Rate Base '!E8:G8</f>
        <v>#VALUE!</v>
      </c>
      <c r="E5" s="443" t="str">
        <f>+VLOOKUP($C5,ForecastImport!$B$15:$J$394,COLUMN()-3,FALSE)</f>
        <v>204-207</v>
      </c>
      <c r="F5" s="443" t="str">
        <f>+VLOOKUP($C5,ForecastImport!$B$15:$J$394,COLUMN()-3,FALSE)</f>
        <v>310-317</v>
      </c>
      <c r="G5" t="str">
        <f>+VLOOKUP($C5,ForecastImport!$B$15:$J$394,COLUMN()-3,FALSE)</f>
        <v>PROD</v>
      </c>
      <c r="H5">
        <f>+VLOOKUP($C5,ForecastImport!$B$15:$J$394,COLUMN()-3,FALSE)</f>
        <v>0</v>
      </c>
      <c r="I5">
        <f>+VLOOKUP($C5,ForecastImport!$B$15:$J$394,COLUMN()-3,FALSE)</f>
        <v>1034308926</v>
      </c>
      <c r="J5">
        <f>+VLOOKUP($C5,ForecastImport!$B$15:$J$394,COLUMN()-3,FALSE)</f>
        <v>1034308926</v>
      </c>
      <c r="K5">
        <f>+VLOOKUP($C5,ForecastImport!$B$15:$J$394,COLUMN()-3,FALSE)</f>
        <v>0</v>
      </c>
      <c r="L5">
        <f>+VLOOKUP($C5,ForecastImport!$B$15:$J$394,COLUMN()-3,FALSE)</f>
        <v>0</v>
      </c>
    </row>
    <row r="6" spans="2:15">
      <c r="B6">
        <v>10</v>
      </c>
      <c r="C6" t="s">
        <v>113</v>
      </c>
      <c r="D6" s="273" t="e">
        <f>'Sch 1- Rate Base '!E9:G9</f>
        <v>#VALUE!</v>
      </c>
      <c r="E6" s="443" t="str">
        <f>+VLOOKUP($C6,ForecastImport!$B$15:$J$394,COLUMN()-3,FALSE)</f>
        <v>204-207</v>
      </c>
      <c r="F6" s="443" t="str">
        <f>+VLOOKUP($C6,ForecastImport!$B$15:$J$394,COLUMN()-3,FALSE)</f>
        <v>320-326</v>
      </c>
      <c r="G6" t="str">
        <f>+VLOOKUP($C6,ForecastImport!$B$15:$J$394,COLUMN()-3,FALSE)</f>
        <v>PROD</v>
      </c>
      <c r="H6">
        <f>+VLOOKUP($C6,ForecastImport!$B$15:$J$394,COLUMN()-3,FALSE)</f>
        <v>0</v>
      </c>
      <c r="I6">
        <f>+VLOOKUP($C6,ForecastImport!$B$15:$J$394,COLUMN()-3,FALSE)</f>
        <v>0</v>
      </c>
      <c r="J6">
        <f>+VLOOKUP($C6,ForecastImport!$B$15:$J$394,COLUMN()-3,FALSE)</f>
        <v>0</v>
      </c>
      <c r="K6">
        <f>+VLOOKUP($C6,ForecastImport!$B$15:$J$394,COLUMN()-3,FALSE)</f>
        <v>0</v>
      </c>
      <c r="L6">
        <f>+VLOOKUP($C6,ForecastImport!$B$15:$J$394,COLUMN()-3,FALSE)</f>
        <v>0</v>
      </c>
    </row>
    <row r="7" spans="2:15">
      <c r="B7">
        <v>11</v>
      </c>
      <c r="C7" t="s">
        <v>115</v>
      </c>
      <c r="D7" s="273" t="e">
        <f>'Sch 1- Rate Base '!E10:G10</f>
        <v>#VALUE!</v>
      </c>
      <c r="E7" s="443" t="str">
        <f>+VLOOKUP($C7,ForecastImport!$B$15:$J$394,COLUMN()-3,FALSE)</f>
        <v>204-207</v>
      </c>
      <c r="F7" s="443" t="str">
        <f>+VLOOKUP($C7,ForecastImport!$B$15:$J$394,COLUMN()-3,FALSE)</f>
        <v>330-337</v>
      </c>
      <c r="G7" t="str">
        <f>+VLOOKUP($C7,ForecastImport!$B$15:$J$394,COLUMN()-3,FALSE)</f>
        <v>PROD</v>
      </c>
      <c r="H7">
        <f>+VLOOKUP($C7,ForecastImport!$B$15:$J$394,COLUMN()-3,FALSE)</f>
        <v>0</v>
      </c>
      <c r="I7">
        <f>+VLOOKUP($C7,ForecastImport!$B$15:$J$394,COLUMN()-3,FALSE)</f>
        <v>788941762</v>
      </c>
      <c r="J7">
        <f>+VLOOKUP($C7,ForecastImport!$B$15:$J$394,COLUMN()-3,FALSE)</f>
        <v>788941762</v>
      </c>
      <c r="K7">
        <f>+VLOOKUP($C7,ForecastImport!$B$15:$J$394,COLUMN()-3,FALSE)</f>
        <v>0</v>
      </c>
      <c r="L7">
        <f>+VLOOKUP($C7,ForecastImport!$B$15:$J$394,COLUMN()-3,FALSE)</f>
        <v>0</v>
      </c>
    </row>
    <row r="8" spans="2:15">
      <c r="B8">
        <v>12</v>
      </c>
      <c r="C8" t="s">
        <v>117</v>
      </c>
      <c r="D8" s="273" t="e">
        <f>'Sch 1- Rate Base '!E11:G11</f>
        <v>#VALUE!</v>
      </c>
      <c r="E8" s="443" t="str">
        <f>+VLOOKUP($C8,ForecastImport!$B$15:$J$394,COLUMN()-3,FALSE)</f>
        <v>204-207</v>
      </c>
      <c r="F8" s="443" t="str">
        <f>+VLOOKUP($C8,ForecastImport!$B$15:$J$394,COLUMN()-3,FALSE)</f>
        <v>340-348</v>
      </c>
      <c r="G8" t="str">
        <f>+VLOOKUP($C8,ForecastImport!$B$15:$J$394,COLUMN()-3,FALSE)</f>
        <v>PROD</v>
      </c>
      <c r="H8">
        <f>+VLOOKUP($C8,ForecastImport!$B$15:$J$394,COLUMN()-3,FALSE)</f>
        <v>0</v>
      </c>
      <c r="I8">
        <f>+VLOOKUP($C8,ForecastImport!$B$15:$J$394,COLUMN()-3,FALSE)</f>
        <v>2079134143</v>
      </c>
      <c r="J8">
        <f>+VLOOKUP($C8,ForecastImport!$B$15:$J$394,COLUMN()-3,FALSE)</f>
        <v>2079134143</v>
      </c>
      <c r="K8">
        <f>+VLOOKUP($C8,ForecastImport!$B$15:$J$394,COLUMN()-3,FALSE)</f>
        <v>0</v>
      </c>
      <c r="L8">
        <f>+VLOOKUP($C8,ForecastImport!$B$15:$J$394,COLUMN()-3,FALSE)</f>
        <v>0</v>
      </c>
    </row>
    <row r="9" spans="2:15">
      <c r="B9">
        <v>16</v>
      </c>
      <c r="C9" t="s">
        <v>496</v>
      </c>
      <c r="D9" s="273" t="e">
        <f>'Sch 1- Rate Base '!E12:G12</f>
        <v>#VALUE!</v>
      </c>
      <c r="E9" s="443" t="str">
        <f>+VLOOKUP($C9,ForecastImport!$B$15:$J$394,COLUMN()-3,FALSE)</f>
        <v>204-207</v>
      </c>
      <c r="F9" s="443" t="str">
        <f>+VLOOKUP($C9,ForecastImport!$B$15:$J$394,COLUMN()-3,FALSE)</f>
        <v>350-359.1</v>
      </c>
      <c r="G9" t="str">
        <f>+VLOOKUP($C9,ForecastImport!$B$15:$J$394,COLUMN()-3,FALSE)</f>
        <v>TRANS</v>
      </c>
      <c r="H9">
        <f>+VLOOKUP($C9,ForecastImport!$B$15:$J$394,COLUMN()-3,FALSE)</f>
        <v>0</v>
      </c>
      <c r="I9">
        <f>+VLOOKUP($C9,ForecastImport!$B$15:$J$394,COLUMN()-3,FALSE)</f>
        <v>1992381238</v>
      </c>
      <c r="J9">
        <f>+VLOOKUP($C9,ForecastImport!$B$15:$J$394,COLUMN()-3,FALSE)</f>
        <v>0</v>
      </c>
      <c r="K9">
        <f>+VLOOKUP($C9,ForecastImport!$B$15:$J$394,COLUMN()-3,FALSE)</f>
        <v>0</v>
      </c>
      <c r="L9">
        <f>+VLOOKUP($C9,ForecastImport!$B$15:$J$394,COLUMN()-3,FALSE)</f>
        <v>1992381238</v>
      </c>
    </row>
    <row r="10" spans="2:15">
      <c r="B10">
        <v>20</v>
      </c>
      <c r="C10" t="s">
        <v>140</v>
      </c>
      <c r="D10" s="273" t="e">
        <f>'Sch 1- Rate Base '!E13:G13</f>
        <v>#VALUE!</v>
      </c>
      <c r="E10" s="443" t="str">
        <f>+VLOOKUP($C10,ForecastImport!$B$15:$J$394,COLUMN()-3,FALSE)</f>
        <v>204-207</v>
      </c>
      <c r="F10" s="443" t="str">
        <f>+VLOOKUP($C10,ForecastImport!$B$15:$J$394,COLUMN()-3,FALSE)</f>
        <v>360-374</v>
      </c>
      <c r="G10" t="str">
        <f>+VLOOKUP($C10,ForecastImport!$B$15:$J$394,COLUMN()-3,FALSE)</f>
        <v>DIST</v>
      </c>
      <c r="H10">
        <f>+VLOOKUP($C10,ForecastImport!$B$15:$J$394,COLUMN()-3,FALSE)</f>
        <v>0</v>
      </c>
      <c r="I10">
        <f>+VLOOKUP($C10,ForecastImport!$B$15:$J$394,COLUMN()-3,FALSE)</f>
        <v>5283922742</v>
      </c>
      <c r="J10">
        <f>+VLOOKUP($C10,ForecastImport!$B$15:$J$394,COLUMN()-3,FALSE)</f>
        <v>0</v>
      </c>
      <c r="K10">
        <f>+VLOOKUP($C10,ForecastImport!$B$15:$J$394,COLUMN()-3,FALSE)</f>
        <v>0</v>
      </c>
      <c r="L10">
        <f>+VLOOKUP($C10,ForecastImport!$B$15:$J$394,COLUMN()-3,FALSE)</f>
        <v>5283922742</v>
      </c>
    </row>
    <row r="11" spans="2:15">
      <c r="B11">
        <v>24</v>
      </c>
      <c r="C11" t="s">
        <v>125</v>
      </c>
      <c r="D11" s="273" t="e">
        <f>'Sch 1- Rate Base '!E14:G14</f>
        <v>#VALUE!</v>
      </c>
      <c r="E11" s="443" t="str">
        <f>+VLOOKUP($C11,ForecastImport!$B$15:$J$394,COLUMN()-3,FALSE)</f>
        <v>204-207</v>
      </c>
      <c r="F11">
        <f>+VLOOKUP($C11,ForecastImport!$B$15:$J$394,COLUMN()-3,FALSE)</f>
        <v>389</v>
      </c>
      <c r="G11" t="str">
        <f>+VLOOKUP($C11,ForecastImport!$B$15:$J$394,COLUMN()-3,FALSE)</f>
        <v>PTD</v>
      </c>
      <c r="H11">
        <f>+VLOOKUP($C11,ForecastImport!$B$15:$J$394,COLUMN()-3,FALSE)</f>
        <v>0</v>
      </c>
      <c r="I11">
        <f>+VLOOKUP($C11,ForecastImport!$B$15:$J$394,COLUMN()-3,FALSE)</f>
        <v>5100521</v>
      </c>
      <c r="J11">
        <f>+VLOOKUP($C11,ForecastImport!$B$15:$J$394,COLUMN()-3,FALSE)</f>
        <v>1780548.3377452032</v>
      </c>
      <c r="K11">
        <f>+VLOOKUP($C11,ForecastImport!$B$15:$J$394,COLUMN()-3,FALSE)</f>
        <v>0</v>
      </c>
      <c r="L11">
        <f>+VLOOKUP($C11,ForecastImport!$B$15:$J$394,COLUMN()-3,FALSE)</f>
        <v>3319972.6622547973</v>
      </c>
    </row>
    <row r="12" spans="2:15">
      <c r="B12">
        <v>25</v>
      </c>
      <c r="C12" t="s">
        <v>126</v>
      </c>
      <c r="D12" s="273" t="e">
        <f>'Sch 1- Rate Base '!E15:G15</f>
        <v>#VALUE!</v>
      </c>
      <c r="E12" s="443" t="str">
        <f>+VLOOKUP($C12,ForecastImport!$B$15:$J$394,COLUMN()-3,FALSE)</f>
        <v>204-207</v>
      </c>
      <c r="F12">
        <f>+VLOOKUP($C12,ForecastImport!$B$15:$J$394,COLUMN()-3,FALSE)</f>
        <v>390</v>
      </c>
      <c r="G12" t="str">
        <f>+VLOOKUP($C12,ForecastImport!$B$15:$J$394,COLUMN()-3,FALSE)</f>
        <v>PTD</v>
      </c>
      <c r="H12">
        <f>+VLOOKUP($C12,ForecastImport!$B$15:$J$394,COLUMN()-3,FALSE)</f>
        <v>0</v>
      </c>
      <c r="I12">
        <f>+VLOOKUP($C12,ForecastImport!$B$15:$J$394,COLUMN()-3,FALSE)</f>
        <v>126721170</v>
      </c>
      <c r="J12">
        <f>+VLOOKUP($C12,ForecastImport!$B$15:$J$394,COLUMN()-3,FALSE)</f>
        <v>44237278.623228356</v>
      </c>
      <c r="K12">
        <f>+VLOOKUP($C12,ForecastImport!$B$15:$J$394,COLUMN()-3,FALSE)</f>
        <v>0</v>
      </c>
      <c r="L12">
        <f>+VLOOKUP($C12,ForecastImport!$B$15:$J$394,COLUMN()-3,FALSE)</f>
        <v>82483891.376771659</v>
      </c>
    </row>
    <row r="13" spans="2:15">
      <c r="B13">
        <v>26</v>
      </c>
      <c r="C13" t="s">
        <v>127</v>
      </c>
      <c r="D13" s="273" t="e">
        <f>'Sch 1- Rate Base '!E16:G16</f>
        <v>#VALUE!</v>
      </c>
      <c r="E13" s="443" t="str">
        <f>+VLOOKUP($C13,ForecastImport!$B$15:$J$394,COLUMN()-3,FALSE)</f>
        <v>204-207</v>
      </c>
      <c r="F13">
        <f>+VLOOKUP($C13,ForecastImport!$B$15:$J$394,COLUMN()-3,FALSE)</f>
        <v>391</v>
      </c>
      <c r="G13" t="str">
        <f>+VLOOKUP($C13,ForecastImport!$B$15:$J$394,COLUMN()-3,FALSE)</f>
        <v>LABOR</v>
      </c>
      <c r="H13">
        <f>+VLOOKUP($C13,ForecastImport!$B$15:$J$394,COLUMN()-3,FALSE)</f>
        <v>0</v>
      </c>
      <c r="I13">
        <f>+VLOOKUP($C13,ForecastImport!$B$15:$J$394,COLUMN()-3,FALSE)</f>
        <v>31597697</v>
      </c>
      <c r="J13">
        <f>+VLOOKUP($C13,ForecastImport!$B$15:$J$394,COLUMN()-3,FALSE)</f>
        <v>10737849.558694087</v>
      </c>
      <c r="K13">
        <f>+VLOOKUP($C13,ForecastImport!$B$15:$J$394,COLUMN()-3,FALSE)</f>
        <v>0</v>
      </c>
      <c r="L13">
        <f>+VLOOKUP($C13,ForecastImport!$B$15:$J$394,COLUMN()-3,FALSE)</f>
        <v>20859847.441305913</v>
      </c>
    </row>
    <row r="14" spans="2:15">
      <c r="B14">
        <v>27</v>
      </c>
      <c r="C14" t="s">
        <v>128</v>
      </c>
      <c r="D14" s="273" t="e">
        <f>'Sch 1- Rate Base '!E17:G17</f>
        <v>#VALUE!</v>
      </c>
      <c r="E14" s="443" t="str">
        <f>+VLOOKUP($C14,ForecastImport!$B$15:$J$394,COLUMN()-3,FALSE)</f>
        <v>204-207</v>
      </c>
      <c r="F14">
        <f>+VLOOKUP($C14,ForecastImport!$B$15:$J$394,COLUMN()-3,FALSE)</f>
        <v>392</v>
      </c>
      <c r="G14" t="str">
        <f>+VLOOKUP($C14,ForecastImport!$B$15:$J$394,COLUMN()-3,FALSE)</f>
        <v>TD</v>
      </c>
      <c r="H14">
        <f>+VLOOKUP($C14,ForecastImport!$B$15:$J$394,COLUMN()-3,FALSE)</f>
        <v>0</v>
      </c>
      <c r="I14">
        <f>+VLOOKUP($C14,ForecastImport!$B$15:$J$394,COLUMN()-3,FALSE)</f>
        <v>3994065</v>
      </c>
      <c r="J14">
        <f>+VLOOKUP($C14,ForecastImport!$B$15:$J$394,COLUMN()-3,FALSE)</f>
        <v>0</v>
      </c>
      <c r="K14">
        <f>+VLOOKUP($C14,ForecastImport!$B$15:$J$394,COLUMN()-3,FALSE)</f>
        <v>0</v>
      </c>
      <c r="L14">
        <f>+VLOOKUP($C14,ForecastImport!$B$15:$J$394,COLUMN()-3,FALSE)</f>
        <v>3994065</v>
      </c>
    </row>
    <row r="15" spans="2:15">
      <c r="B15">
        <v>28</v>
      </c>
      <c r="C15" t="s">
        <v>129</v>
      </c>
      <c r="D15" s="273" t="e">
        <f>'Sch 1- Rate Base '!E18:G18</f>
        <v>#VALUE!</v>
      </c>
      <c r="E15" s="443" t="str">
        <f>+VLOOKUP($C15,ForecastImport!$B$15:$J$394,COLUMN()-3,FALSE)</f>
        <v>204-207</v>
      </c>
      <c r="F15">
        <f>+VLOOKUP($C15,ForecastImport!$B$15:$J$394,COLUMN()-3,FALSE)</f>
        <v>393</v>
      </c>
      <c r="G15" t="str">
        <f>+VLOOKUP($C15,ForecastImport!$B$15:$J$394,COLUMN()-3,FALSE)</f>
        <v>PTD</v>
      </c>
      <c r="H15">
        <f>+VLOOKUP($C15,ForecastImport!$B$15:$J$394,COLUMN()-3,FALSE)</f>
        <v>0</v>
      </c>
      <c r="I15">
        <f>+VLOOKUP($C15,ForecastImport!$B$15:$J$394,COLUMN()-3,FALSE)</f>
        <v>1969191</v>
      </c>
      <c r="J15">
        <f>+VLOOKUP($C15,ForecastImport!$B$15:$J$394,COLUMN()-3,FALSE)</f>
        <v>687427.76703650749</v>
      </c>
      <c r="K15">
        <f>+VLOOKUP($C15,ForecastImport!$B$15:$J$394,COLUMN()-3,FALSE)</f>
        <v>0</v>
      </c>
      <c r="L15">
        <f>+VLOOKUP($C15,ForecastImport!$B$15:$J$394,COLUMN()-3,FALSE)</f>
        <v>1281763.2329634926</v>
      </c>
    </row>
    <row r="16" spans="2:15">
      <c r="B16">
        <v>29</v>
      </c>
      <c r="C16" t="s">
        <v>130</v>
      </c>
      <c r="D16" s="273" t="e">
        <f>'Sch 1- Rate Base '!E19:G19</f>
        <v>#VALUE!</v>
      </c>
      <c r="E16" s="443" t="str">
        <f>+VLOOKUP($C16,ForecastImport!$B$15:$J$394,COLUMN()-3,FALSE)</f>
        <v>204-207</v>
      </c>
      <c r="F16">
        <f>+VLOOKUP($C16,ForecastImport!$B$15:$J$394,COLUMN()-3,FALSE)</f>
        <v>394</v>
      </c>
      <c r="G16" t="str">
        <f>+VLOOKUP($C16,ForecastImport!$B$15:$J$394,COLUMN()-3,FALSE)</f>
        <v>PTD</v>
      </c>
      <c r="H16">
        <f>+VLOOKUP($C16,ForecastImport!$B$15:$J$394,COLUMN()-3,FALSE)</f>
        <v>0</v>
      </c>
      <c r="I16">
        <f>+VLOOKUP($C16,ForecastImport!$B$15:$J$394,COLUMN()-3,FALSE)</f>
        <v>32372182</v>
      </c>
      <c r="J16">
        <f>+VLOOKUP($C16,ForecastImport!$B$15:$J$394,COLUMN()-3,FALSE)</f>
        <v>11300852.373568345</v>
      </c>
      <c r="K16">
        <f>+VLOOKUP($C16,ForecastImport!$B$15:$J$394,COLUMN()-3,FALSE)</f>
        <v>0</v>
      </c>
      <c r="L16">
        <f>+VLOOKUP($C16,ForecastImport!$B$15:$J$394,COLUMN()-3,FALSE)</f>
        <v>21071329.626431659</v>
      </c>
    </row>
    <row r="17" spans="2:12">
      <c r="B17">
        <v>30</v>
      </c>
      <c r="C17" t="s">
        <v>131</v>
      </c>
      <c r="D17" s="273" t="e">
        <f>'Sch 1- Rate Base '!E20:G20</f>
        <v>#VALUE!</v>
      </c>
      <c r="E17" s="443" t="str">
        <f>+VLOOKUP($C17,ForecastImport!$B$15:$J$394,COLUMN()-3,FALSE)</f>
        <v>204-207</v>
      </c>
      <c r="F17">
        <f>+VLOOKUP($C17,ForecastImport!$B$15:$J$394,COLUMN()-3,FALSE)</f>
        <v>395</v>
      </c>
      <c r="G17" t="str">
        <f>+VLOOKUP($C17,ForecastImport!$B$15:$J$394,COLUMN()-3,FALSE)</f>
        <v>PTD</v>
      </c>
      <c r="H17">
        <f>+VLOOKUP($C17,ForecastImport!$B$15:$J$394,COLUMN()-3,FALSE)</f>
        <v>0</v>
      </c>
      <c r="I17">
        <f>+VLOOKUP($C17,ForecastImport!$B$15:$J$394,COLUMN()-3,FALSE)</f>
        <v>5973622</v>
      </c>
      <c r="J17">
        <f>+VLOOKUP($C17,ForecastImport!$B$15:$J$394,COLUMN()-3,FALSE)</f>
        <v>2085340.4431465287</v>
      </c>
      <c r="K17">
        <f>+VLOOKUP($C17,ForecastImport!$B$15:$J$394,COLUMN()-3,FALSE)</f>
        <v>0</v>
      </c>
      <c r="L17">
        <f>+VLOOKUP($C17,ForecastImport!$B$15:$J$394,COLUMN()-3,FALSE)</f>
        <v>3888281.5568534718</v>
      </c>
    </row>
    <row r="18" spans="2:12">
      <c r="B18">
        <v>31</v>
      </c>
      <c r="C18" t="s">
        <v>132</v>
      </c>
      <c r="D18" s="273" t="e">
        <f>'Sch 1- Rate Base '!E21:G21</f>
        <v>#VALUE!</v>
      </c>
      <c r="E18" s="443" t="str">
        <f>+VLOOKUP($C18,ForecastImport!$B$15:$J$394,COLUMN()-3,FALSE)</f>
        <v>204-207</v>
      </c>
      <c r="F18">
        <f>+VLOOKUP($C18,ForecastImport!$B$15:$J$394,COLUMN()-3,FALSE)</f>
        <v>396</v>
      </c>
      <c r="G18" t="str">
        <f>+VLOOKUP($C18,ForecastImport!$B$15:$J$394,COLUMN()-3,FALSE)</f>
        <v>TD</v>
      </c>
      <c r="H18">
        <f>+VLOOKUP($C18,ForecastImport!$B$15:$J$394,COLUMN()-3,FALSE)</f>
        <v>0</v>
      </c>
      <c r="I18">
        <f>+VLOOKUP($C18,ForecastImport!$B$15:$J$394,COLUMN()-3,FALSE)</f>
        <v>2715513</v>
      </c>
      <c r="J18">
        <f>+VLOOKUP($C18,ForecastImport!$B$15:$J$394,COLUMN()-3,FALSE)</f>
        <v>0</v>
      </c>
      <c r="K18">
        <f>+VLOOKUP($C18,ForecastImport!$B$15:$J$394,COLUMN()-3,FALSE)</f>
        <v>0</v>
      </c>
      <c r="L18">
        <f>+VLOOKUP($C18,ForecastImport!$B$15:$J$394,COLUMN()-3,FALSE)</f>
        <v>2715513</v>
      </c>
    </row>
    <row r="19" spans="2:12">
      <c r="B19">
        <v>32</v>
      </c>
      <c r="C19" t="s">
        <v>133</v>
      </c>
      <c r="D19" s="273" t="e">
        <f>'Sch 1- Rate Base '!E22:G22</f>
        <v>#VALUE!</v>
      </c>
      <c r="E19" s="443" t="str">
        <f>+VLOOKUP($C19,ForecastImport!$B$15:$J$394,COLUMN()-3,FALSE)</f>
        <v>204-207</v>
      </c>
      <c r="F19">
        <f>+VLOOKUP($C19,ForecastImport!$B$15:$J$394,COLUMN()-3,FALSE)</f>
        <v>397</v>
      </c>
      <c r="G19" t="str">
        <f>+VLOOKUP($C19,ForecastImport!$B$15:$J$394,COLUMN()-3,FALSE)</f>
        <v>PTD</v>
      </c>
      <c r="H19">
        <f>+VLOOKUP($C19,ForecastImport!$B$15:$J$394,COLUMN()-3,FALSE)</f>
        <v>0</v>
      </c>
      <c r="I19">
        <f>+VLOOKUP($C19,ForecastImport!$B$15:$J$394,COLUMN()-3,FALSE)</f>
        <v>105832047</v>
      </c>
      <c r="J19">
        <f>+VLOOKUP($C19,ForecastImport!$B$15:$J$394,COLUMN()-3,FALSE)</f>
        <v>36945064.11521925</v>
      </c>
      <c r="K19">
        <f>+VLOOKUP($C19,ForecastImport!$B$15:$J$394,COLUMN()-3,FALSE)</f>
        <v>0</v>
      </c>
      <c r="L19">
        <f>+VLOOKUP($C19,ForecastImport!$B$15:$J$394,COLUMN()-3,FALSE)</f>
        <v>68886982.88478075</v>
      </c>
    </row>
    <row r="20" spans="2:12">
      <c r="B20">
        <v>33</v>
      </c>
      <c r="C20" t="s">
        <v>134</v>
      </c>
      <c r="D20" s="273" t="e">
        <f>'Sch 1- Rate Base '!E23:G23</f>
        <v>#VALUE!</v>
      </c>
      <c r="E20" s="443" t="str">
        <f>+VLOOKUP($C20,ForecastImport!$B$15:$J$394,COLUMN()-3,FALSE)</f>
        <v>204-207</v>
      </c>
      <c r="F20">
        <f>+VLOOKUP($C20,ForecastImport!$B$15:$J$394,COLUMN()-3,FALSE)</f>
        <v>398</v>
      </c>
      <c r="G20" t="str">
        <f>+VLOOKUP($C20,ForecastImport!$B$15:$J$394,COLUMN()-3,FALSE)</f>
        <v>PTD</v>
      </c>
      <c r="H20">
        <f>+VLOOKUP($C20,ForecastImport!$B$15:$J$394,COLUMN()-3,FALSE)</f>
        <v>0</v>
      </c>
      <c r="I20">
        <f>+VLOOKUP($C20,ForecastImport!$B$15:$J$394,COLUMN()-3,FALSE)</f>
        <v>381575</v>
      </c>
      <c r="J20">
        <f>+VLOOKUP($C20,ForecastImport!$B$15:$J$394,COLUMN()-3,FALSE)</f>
        <v>133204.57497873763</v>
      </c>
      <c r="K20">
        <f>+VLOOKUP($C20,ForecastImport!$B$15:$J$394,COLUMN()-3,FALSE)</f>
        <v>0</v>
      </c>
      <c r="L20">
        <f>+VLOOKUP($C20,ForecastImport!$B$15:$J$394,COLUMN()-3,FALSE)</f>
        <v>248370.42502126237</v>
      </c>
    </row>
    <row r="21" spans="2:12">
      <c r="B21">
        <v>34</v>
      </c>
      <c r="C21" t="s">
        <v>254</v>
      </c>
      <c r="D21" s="273" t="e">
        <f>'Sch 1- Rate Base '!E24:G24</f>
        <v>#VALUE!</v>
      </c>
      <c r="E21" s="443" t="str">
        <f>+VLOOKUP($C21,ForecastImport!$B$15:$J$394,COLUMN()-3,FALSE)</f>
        <v>204-207</v>
      </c>
      <c r="F21">
        <f>+VLOOKUP($C21,ForecastImport!$B$15:$J$394,COLUMN()-3,FALSE)</f>
        <v>399</v>
      </c>
      <c r="G21" t="str">
        <f>+VLOOKUP($C21,ForecastImport!$B$15:$J$394,COLUMN()-3,FALSE)</f>
        <v>DIRECT</v>
      </c>
      <c r="H21" t="str">
        <f>+VLOOKUP($C21,ForecastImport!$B$15:$J$394,COLUMN()-3,FALSE)</f>
        <v>PTD</v>
      </c>
      <c r="I21">
        <f>+VLOOKUP($C21,ForecastImport!$B$15:$J$394,COLUMN()-3,FALSE)</f>
        <v>0</v>
      </c>
      <c r="J21">
        <f>+VLOOKUP($C21,ForecastImport!$B$15:$J$394,COLUMN()-3,FALSE)</f>
        <v>0</v>
      </c>
      <c r="K21">
        <f>+VLOOKUP($C21,ForecastImport!$B$15:$J$394,COLUMN()-3,FALSE)</f>
        <v>0</v>
      </c>
      <c r="L21">
        <f>+VLOOKUP($C21,ForecastImport!$B$15:$J$394,COLUMN()-3,FALSE)</f>
        <v>0</v>
      </c>
    </row>
    <row r="22" spans="2:12">
      <c r="B22">
        <v>35</v>
      </c>
      <c r="C22" t="s">
        <v>441</v>
      </c>
      <c r="D22" s="273" t="e">
        <f>'Sch 1- Rate Base '!E25:G25</f>
        <v>#VALUE!</v>
      </c>
      <c r="E22" s="443" t="str">
        <f>+VLOOKUP($C22,ForecastImport!$B$15:$J$394,COLUMN()-3,FALSE)</f>
        <v>204-207</v>
      </c>
      <c r="F22">
        <f>+VLOOKUP($C22,ForecastImport!$B$15:$J$394,COLUMN()-3,FALSE)</f>
        <v>399.1</v>
      </c>
      <c r="G22" t="str">
        <f>+VLOOKUP($C22,ForecastImport!$B$15:$J$394,COLUMN()-3,FALSE)</f>
        <v>PTD</v>
      </c>
      <c r="H22">
        <f>+VLOOKUP($C22,ForecastImport!$B$15:$J$394,COLUMN()-3,FALSE)</f>
        <v>0</v>
      </c>
      <c r="I22">
        <f>+VLOOKUP($C22,ForecastImport!$B$15:$J$394,COLUMN()-3,FALSE)</f>
        <v>0</v>
      </c>
      <c r="J22">
        <f>+VLOOKUP($C22,ForecastImport!$B$15:$J$394,COLUMN()-3,FALSE)</f>
        <v>0</v>
      </c>
      <c r="K22">
        <f>+VLOOKUP($C22,ForecastImport!$B$15:$J$394,COLUMN()-3,FALSE)</f>
        <v>0</v>
      </c>
      <c r="L22">
        <f>+VLOOKUP($C22,ForecastImport!$B$15:$J$394,COLUMN()-3,FALSE)</f>
        <v>0</v>
      </c>
    </row>
    <row r="23" spans="2:12">
      <c r="B23">
        <v>44</v>
      </c>
      <c r="C23" t="s">
        <v>88</v>
      </c>
      <c r="D23" s="273" t="e">
        <f>'Sch 1- Rate Base '!E26:G26</f>
        <v>#VALUE!</v>
      </c>
      <c r="E23">
        <f>+VLOOKUP($C23,ForecastImport!$B$15:$J$394,COLUMN()-3,FALSE)</f>
        <v>219</v>
      </c>
      <c r="F23">
        <f>+VLOOKUP($C23,ForecastImport!$B$15:$J$394,COLUMN()-3,FALSE)</f>
        <v>108</v>
      </c>
      <c r="G23" t="str">
        <f>+VLOOKUP($C23,ForecastImport!$B$15:$J$394,COLUMN()-3,FALSE)</f>
        <v>PROD</v>
      </c>
      <c r="H23">
        <f>+VLOOKUP($C23,ForecastImport!$B$15:$J$394,COLUMN()-3,FALSE)</f>
        <v>0</v>
      </c>
      <c r="I23">
        <f>+VLOOKUP($C23,ForecastImport!$B$15:$J$394,COLUMN()-3,FALSE)</f>
        <v>953504602</v>
      </c>
      <c r="J23">
        <f>+VLOOKUP($C23,ForecastImport!$B$15:$J$394,COLUMN()-3,FALSE)</f>
        <v>953504602</v>
      </c>
      <c r="K23">
        <f>+VLOOKUP($C23,ForecastImport!$B$15:$J$394,COLUMN()-3,FALSE)</f>
        <v>0</v>
      </c>
      <c r="L23">
        <f>+VLOOKUP($C23,ForecastImport!$B$15:$J$394,COLUMN()-3,FALSE)</f>
        <v>0</v>
      </c>
    </row>
    <row r="24" spans="2:12">
      <c r="B24">
        <v>45</v>
      </c>
      <c r="C24" t="s">
        <v>89</v>
      </c>
      <c r="D24" s="273" t="e">
        <f>'Sch 1- Rate Base '!E27:G27</f>
        <v>#VALUE!</v>
      </c>
      <c r="E24">
        <f>+VLOOKUP($C24,ForecastImport!$B$15:$J$394,COLUMN()-3,FALSE)</f>
        <v>219</v>
      </c>
      <c r="F24">
        <f>+VLOOKUP($C24,ForecastImport!$B$15:$J$394,COLUMN()-3,FALSE)</f>
        <v>108</v>
      </c>
      <c r="G24" t="str">
        <f>+VLOOKUP($C24,ForecastImport!$B$15:$J$394,COLUMN()-3,FALSE)</f>
        <v>PROD</v>
      </c>
      <c r="H24">
        <f>+VLOOKUP($C24,ForecastImport!$B$15:$J$394,COLUMN()-3,FALSE)</f>
        <v>0</v>
      </c>
      <c r="I24">
        <f>+VLOOKUP($C24,ForecastImport!$B$15:$J$394,COLUMN()-3,FALSE)</f>
        <v>0</v>
      </c>
      <c r="J24">
        <f>+VLOOKUP($C24,ForecastImport!$B$15:$J$394,COLUMN()-3,FALSE)</f>
        <v>0</v>
      </c>
      <c r="K24">
        <f>+VLOOKUP($C24,ForecastImport!$B$15:$J$394,COLUMN()-3,FALSE)</f>
        <v>0</v>
      </c>
      <c r="L24">
        <f>+VLOOKUP($C24,ForecastImport!$B$15:$J$394,COLUMN()-3,FALSE)</f>
        <v>0</v>
      </c>
    </row>
    <row r="25" spans="2:12">
      <c r="B25">
        <v>46</v>
      </c>
      <c r="C25" t="s">
        <v>324</v>
      </c>
      <c r="D25" s="273" t="e">
        <f>'Sch 1- Rate Base '!E28:G28</f>
        <v>#VALUE!</v>
      </c>
      <c r="E25">
        <f>+VLOOKUP($C25,ForecastImport!$B$15:$J$394,COLUMN()-3,FALSE)</f>
        <v>219</v>
      </c>
      <c r="F25">
        <f>+VLOOKUP($C25,ForecastImport!$B$15:$J$394,COLUMN()-3,FALSE)</f>
        <v>108</v>
      </c>
      <c r="G25" t="str">
        <f>+VLOOKUP($C25,ForecastImport!$B$15:$J$394,COLUMN()-3,FALSE)</f>
        <v>PROD</v>
      </c>
      <c r="H25">
        <f>+VLOOKUP($C25,ForecastImport!$B$15:$J$394,COLUMN()-3,FALSE)</f>
        <v>0</v>
      </c>
      <c r="I25">
        <f>+VLOOKUP($C25,ForecastImport!$B$15:$J$394,COLUMN()-3,FALSE)</f>
        <v>270525277</v>
      </c>
      <c r="J25">
        <f>+VLOOKUP($C25,ForecastImport!$B$15:$J$394,COLUMN()-3,FALSE)</f>
        <v>270525277</v>
      </c>
      <c r="K25">
        <f>+VLOOKUP($C25,ForecastImport!$B$15:$J$394,COLUMN()-3,FALSE)</f>
        <v>0</v>
      </c>
      <c r="L25">
        <f>+VLOOKUP($C25,ForecastImport!$B$15:$J$394,COLUMN()-3,FALSE)</f>
        <v>0</v>
      </c>
    </row>
    <row r="26" spans="2:12">
      <c r="B26">
        <v>47</v>
      </c>
      <c r="C26" t="s">
        <v>137</v>
      </c>
      <c r="D26" s="273" t="e">
        <f>'Sch 1- Rate Base '!E29:G29</f>
        <v>#VALUE!</v>
      </c>
      <c r="E26">
        <f>+VLOOKUP($C26,ForecastImport!$B$15:$J$394,COLUMN()-3,FALSE)</f>
        <v>219</v>
      </c>
      <c r="F26">
        <f>+VLOOKUP($C26,ForecastImport!$B$15:$J$394,COLUMN()-3,FALSE)</f>
        <v>108</v>
      </c>
      <c r="G26" t="str">
        <f>+VLOOKUP($C26,ForecastImport!$B$15:$J$394,COLUMN()-3,FALSE)</f>
        <v>PROD</v>
      </c>
      <c r="H26">
        <f>+VLOOKUP($C26,ForecastImport!$B$15:$J$394,COLUMN()-3,FALSE)</f>
        <v>0</v>
      </c>
      <c r="I26">
        <f>+VLOOKUP($C26,ForecastImport!$B$15:$J$394,COLUMN()-3,FALSE)</f>
        <v>1084449271</v>
      </c>
      <c r="J26">
        <f>+VLOOKUP($C26,ForecastImport!$B$15:$J$394,COLUMN()-3,FALSE)</f>
        <v>1084449271</v>
      </c>
      <c r="K26">
        <f>+VLOOKUP($C26,ForecastImport!$B$15:$J$394,COLUMN()-3,FALSE)</f>
        <v>0</v>
      </c>
      <c r="L26">
        <f>+VLOOKUP($C26,ForecastImport!$B$15:$J$394,COLUMN()-3,FALSE)</f>
        <v>0</v>
      </c>
    </row>
    <row r="27" spans="2:12">
      <c r="B27">
        <v>48</v>
      </c>
      <c r="C27" t="s">
        <v>143</v>
      </c>
      <c r="D27" s="273" t="e">
        <f>'Sch 1- Rate Base '!E30:G30</f>
        <v>#VALUE!</v>
      </c>
      <c r="E27">
        <f>+VLOOKUP($C27,ForecastImport!$B$15:$J$394,COLUMN()-3,FALSE)</f>
        <v>219</v>
      </c>
      <c r="F27">
        <f>+VLOOKUP($C27,ForecastImport!$B$15:$J$394,COLUMN()-3,FALSE)</f>
        <v>108</v>
      </c>
      <c r="G27" t="str">
        <f>+VLOOKUP($C27,ForecastImport!$B$15:$J$394,COLUMN()-3,FALSE)</f>
        <v>TRANS</v>
      </c>
      <c r="H27">
        <f>+VLOOKUP($C27,ForecastImport!$B$15:$J$394,COLUMN()-3,FALSE)</f>
        <v>0</v>
      </c>
      <c r="I27">
        <f>+VLOOKUP($C27,ForecastImport!$B$15:$J$394,COLUMN()-3,FALSE)</f>
        <v>663408032</v>
      </c>
      <c r="J27">
        <f>+VLOOKUP($C27,ForecastImport!$B$15:$J$394,COLUMN()-3,FALSE)</f>
        <v>0</v>
      </c>
      <c r="K27">
        <f>+VLOOKUP($C27,ForecastImport!$B$15:$J$394,COLUMN()-3,FALSE)</f>
        <v>0</v>
      </c>
      <c r="L27">
        <f>+VLOOKUP($C27,ForecastImport!$B$15:$J$394,COLUMN()-3,FALSE)</f>
        <v>663408032</v>
      </c>
    </row>
    <row r="28" spans="2:12">
      <c r="B28">
        <v>49</v>
      </c>
      <c r="C28" t="s">
        <v>140</v>
      </c>
      <c r="D28" s="273" t="e">
        <f>'Sch 1- Rate Base '!E31:G31</f>
        <v>#VALUE!</v>
      </c>
      <c r="E28" s="443" t="str">
        <f>+VLOOKUP($C28,ForecastImport!$B$15:$J$394,COLUMN()-3,FALSE)</f>
        <v>204-207</v>
      </c>
      <c r="F28" s="443" t="str">
        <f>+VLOOKUP($C28,ForecastImport!$B$15:$J$394,COLUMN()-3,FALSE)</f>
        <v>360-374</v>
      </c>
      <c r="G28" t="str">
        <f>+VLOOKUP($C28,ForecastImport!$B$15:$J$394,COLUMN()-3,FALSE)</f>
        <v>DIST</v>
      </c>
      <c r="H28">
        <f>+VLOOKUP($C28,ForecastImport!$B$15:$J$394,COLUMN()-3,FALSE)</f>
        <v>0</v>
      </c>
      <c r="I28">
        <f>+VLOOKUP($C28,ForecastImport!$B$15:$J$394,COLUMN()-3,FALSE)</f>
        <v>5283922742</v>
      </c>
      <c r="J28">
        <f>+VLOOKUP($C28,ForecastImport!$B$15:$J$394,COLUMN()-3,FALSE)</f>
        <v>0</v>
      </c>
      <c r="K28">
        <f>+VLOOKUP($C28,ForecastImport!$B$15:$J$394,COLUMN()-3,FALSE)</f>
        <v>0</v>
      </c>
      <c r="L28">
        <f>+VLOOKUP($C28,ForecastImport!$B$15:$J$394,COLUMN()-3,FALSE)</f>
        <v>5283922742</v>
      </c>
    </row>
    <row r="29" spans="2:12">
      <c r="B29">
        <v>50</v>
      </c>
      <c r="C29" t="s">
        <v>92</v>
      </c>
      <c r="D29" s="273" t="e">
        <f>'Sch 1- Rate Base '!E32:G32</f>
        <v>#VALUE!</v>
      </c>
      <c r="E29">
        <f>+VLOOKUP($C29,ForecastImport!$B$15:$J$394,COLUMN()-3,FALSE)</f>
        <v>219</v>
      </c>
      <c r="F29">
        <f>+VLOOKUP($C29,ForecastImport!$B$15:$J$394,COLUMN()-3,FALSE)</f>
        <v>108</v>
      </c>
      <c r="G29" t="str">
        <f>+VLOOKUP($C29,ForecastImport!$B$15:$J$394,COLUMN()-3,FALSE)</f>
        <v>GP</v>
      </c>
      <c r="H29">
        <f>+VLOOKUP($C29,ForecastImport!$B$15:$J$394,COLUMN()-3,FALSE)</f>
        <v>0</v>
      </c>
      <c r="I29">
        <f>+VLOOKUP($C29,ForecastImport!$B$15:$J$394,COLUMN()-3,FALSE)</f>
        <v>199145541</v>
      </c>
      <c r="J29">
        <f>+VLOOKUP($C29,ForecastImport!$B$15:$J$394,COLUMN()-3,FALSE)</f>
        <v>67862927.406866983</v>
      </c>
      <c r="K29">
        <f>+VLOOKUP($C29,ForecastImport!$B$15:$J$394,COLUMN()-3,FALSE)</f>
        <v>0</v>
      </c>
      <c r="L29">
        <f>+VLOOKUP($C29,ForecastImport!$B$15:$J$394,COLUMN()-3,FALSE)</f>
        <v>131282613.59313303</v>
      </c>
    </row>
    <row r="30" spans="2:12">
      <c r="B30">
        <v>51</v>
      </c>
      <c r="C30" t="s">
        <v>368</v>
      </c>
      <c r="D30" s="273" t="e">
        <f>'Sch 1- Rate Base '!E33:G33</f>
        <v>#VALUE!</v>
      </c>
      <c r="E30">
        <f>+VLOOKUP($C30,ForecastImport!$B$15:$J$394,COLUMN()-3,FALSE)</f>
        <v>219</v>
      </c>
      <c r="F30">
        <f>+VLOOKUP($C30,ForecastImport!$B$15:$J$394,COLUMN()-3,FALSE)</f>
        <v>111</v>
      </c>
      <c r="G30" t="str">
        <f>+VLOOKUP($C30,ForecastImport!$B$15:$J$394,COLUMN()-3,FALSE)</f>
        <v>DIST</v>
      </c>
      <c r="H30" t="str">
        <f>+VLOOKUP($C30,ForecastImport!$B$15:$J$394,COLUMN()-3,FALSE)</f>
        <v xml:space="preserve"> </v>
      </c>
      <c r="I30">
        <f>+VLOOKUP($C30,ForecastImport!$B$15:$J$394,COLUMN()-3,FALSE)</f>
        <v>0</v>
      </c>
      <c r="J30">
        <f>+VLOOKUP($C30,ForecastImport!$B$15:$J$394,COLUMN()-3,FALSE)</f>
        <v>0</v>
      </c>
      <c r="K30">
        <f>+VLOOKUP($C30,ForecastImport!$B$15:$J$394,COLUMN()-3,FALSE)</f>
        <v>0</v>
      </c>
      <c r="L30">
        <f>+VLOOKUP($C30,ForecastImport!$B$15:$J$394,COLUMN()-3,FALSE)</f>
        <v>0</v>
      </c>
    </row>
    <row r="31" spans="2:12">
      <c r="B31">
        <v>52</v>
      </c>
      <c r="C31" t="s">
        <v>369</v>
      </c>
      <c r="D31" s="273" t="e">
        <f>'Sch 1- Rate Base '!E34:G34</f>
        <v>#VALUE!</v>
      </c>
      <c r="E31">
        <f>+VLOOKUP($C31,ForecastImport!$B$15:$J$394,COLUMN()-3,FALSE)</f>
        <v>219</v>
      </c>
      <c r="F31">
        <f>+VLOOKUP($C31,ForecastImport!$B$15:$J$394,COLUMN()-3,FALSE)</f>
        <v>111</v>
      </c>
      <c r="G31" t="str">
        <f>+VLOOKUP($C31,ForecastImport!$B$15:$J$394,COLUMN()-3,FALSE)</f>
        <v>DIRECT</v>
      </c>
      <c r="H31" t="str">
        <f>+VLOOKUP($C31,ForecastImport!$B$15:$J$394,COLUMN()-3,FALSE)</f>
        <v>PTD</v>
      </c>
      <c r="I31">
        <f>+VLOOKUP($C31,ForecastImport!$B$15:$J$394,COLUMN()-3,FALSE)</f>
        <v>30864423.829999998</v>
      </c>
      <c r="J31">
        <f>+VLOOKUP($C31,ForecastImport!$B$15:$J$394,COLUMN()-3,FALSE)</f>
        <v>19280613.831983685</v>
      </c>
      <c r="K31">
        <f>+VLOOKUP($C31,ForecastImport!$B$15:$J$394,COLUMN()-3,FALSE)</f>
        <v>0</v>
      </c>
      <c r="L31">
        <f>+VLOOKUP($C31,ForecastImport!$B$15:$J$394,COLUMN()-3,FALSE)</f>
        <v>11583809.998016311</v>
      </c>
    </row>
    <row r="32" spans="2:12">
      <c r="B32">
        <v>53</v>
      </c>
      <c r="C32" t="s">
        <v>398</v>
      </c>
      <c r="D32" s="273" t="e">
        <f>'Sch 1- Rate Base '!E35:G35</f>
        <v>#VALUE!</v>
      </c>
      <c r="E32">
        <f>+VLOOKUP($C32,ForecastImport!$B$15:$J$394,COLUMN()-3,FALSE)</f>
        <v>219</v>
      </c>
      <c r="F32">
        <f>+VLOOKUP($C32,ForecastImport!$B$15:$J$394,COLUMN()-3,FALSE)</f>
        <v>111</v>
      </c>
      <c r="G32" t="str">
        <f>+VLOOKUP($C32,ForecastImport!$B$15:$J$394,COLUMN()-3,FALSE)</f>
        <v>DIRECT</v>
      </c>
      <c r="H32" t="str">
        <f>+VLOOKUP($C32,ForecastImport!$B$15:$J$394,COLUMN()-3,FALSE)</f>
        <v>DIST</v>
      </c>
      <c r="I32">
        <f>+VLOOKUP($C32,ForecastImport!$B$15:$J$394,COLUMN()-3,FALSE)</f>
        <v>18084328.429999996</v>
      </c>
      <c r="J32">
        <f>+VLOOKUP($C32,ForecastImport!$B$15:$J$394,COLUMN()-3,FALSE)</f>
        <v>3441408.3183936053</v>
      </c>
      <c r="K32">
        <f>+VLOOKUP($C32,ForecastImport!$B$15:$J$394,COLUMN()-3,FALSE)</f>
        <v>0</v>
      </c>
      <c r="L32">
        <f>+VLOOKUP($C32,ForecastImport!$B$15:$J$394,COLUMN()-3,FALSE)</f>
        <v>14642920.111606393</v>
      </c>
    </row>
    <row r="33" spans="2:12">
      <c r="B33">
        <v>54</v>
      </c>
      <c r="C33" t="s">
        <v>251</v>
      </c>
      <c r="D33" s="273" t="e">
        <f>'Sch 1- Rate Base '!E36:G36</f>
        <v>#VALUE!</v>
      </c>
      <c r="E33">
        <f>+VLOOKUP($C33,ForecastImport!$B$15:$J$394,COLUMN()-3,FALSE)</f>
        <v>219</v>
      </c>
      <c r="F33">
        <f>+VLOOKUP($C33,ForecastImport!$B$15:$J$394,COLUMN()-3,FALSE)</f>
        <v>108</v>
      </c>
      <c r="G33" t="str">
        <f>+VLOOKUP($C33,ForecastImport!$B$15:$J$394,COLUMN()-3,FALSE)</f>
        <v>PROD</v>
      </c>
      <c r="H33">
        <f>+VLOOKUP($C33,ForecastImport!$B$15:$J$394,COLUMN()-3,FALSE)</f>
        <v>0</v>
      </c>
      <c r="I33">
        <f>+VLOOKUP($C33,ForecastImport!$B$15:$J$394,COLUMN()-3,FALSE)</f>
        <v>0</v>
      </c>
      <c r="J33">
        <f>+VLOOKUP($C33,ForecastImport!$B$15:$J$394,COLUMN()-3,FALSE)</f>
        <v>0</v>
      </c>
      <c r="K33">
        <f>+VLOOKUP($C33,ForecastImport!$B$15:$J$394,COLUMN()-3,FALSE)</f>
        <v>0</v>
      </c>
      <c r="L33">
        <f>+VLOOKUP($C33,ForecastImport!$B$15:$J$394,COLUMN()-3,FALSE)</f>
        <v>0</v>
      </c>
    </row>
    <row r="34" spans="2:12">
      <c r="B34">
        <v>55</v>
      </c>
      <c r="C34" t="s">
        <v>28</v>
      </c>
      <c r="D34" s="273" t="e">
        <f>'Sch 1- Rate Base '!E37:G37</f>
        <v>#VALUE!</v>
      </c>
      <c r="E34">
        <f>+VLOOKUP($C34,ForecastImport!$B$15:$J$394,COLUMN()-3,FALSE)</f>
        <v>219</v>
      </c>
      <c r="F34">
        <f>+VLOOKUP($C34,ForecastImport!$B$15:$J$394,COLUMN()-3,FALSE)</f>
        <v>111</v>
      </c>
      <c r="G34" t="str">
        <f>+VLOOKUP($C34,ForecastImport!$B$15:$J$394,COLUMN()-3,FALSE)</f>
        <v>TRANS</v>
      </c>
      <c r="H34">
        <f>+VLOOKUP($C34,ForecastImport!$B$15:$J$394,COLUMN()-3,FALSE)</f>
        <v>0</v>
      </c>
      <c r="I34">
        <f>+VLOOKUP($C34,ForecastImport!$B$15:$J$394,COLUMN()-3,FALSE)</f>
        <v>162425</v>
      </c>
      <c r="J34">
        <f>+VLOOKUP($C34,ForecastImport!$B$15:$J$394,COLUMN()-3,FALSE)</f>
        <v>0</v>
      </c>
      <c r="K34">
        <f>+VLOOKUP($C34,ForecastImport!$B$15:$J$394,COLUMN()-3,FALSE)</f>
        <v>0</v>
      </c>
      <c r="L34">
        <f>+VLOOKUP($C34,ForecastImport!$B$15:$J$394,COLUMN()-3,FALSE)</f>
        <v>162425</v>
      </c>
    </row>
    <row r="35" spans="2:12">
      <c r="B35">
        <v>56</v>
      </c>
      <c r="C35" t="s">
        <v>29</v>
      </c>
      <c r="D35" s="273" t="e">
        <f>'Sch 1- Rate Base '!E38:G38</f>
        <v>#VALUE!</v>
      </c>
      <c r="E35">
        <f>+VLOOKUP($C35,ForecastImport!$B$15:$J$394,COLUMN()-3,FALSE)</f>
        <v>219</v>
      </c>
      <c r="F35">
        <f>+VLOOKUP($C35,ForecastImport!$B$15:$J$394,COLUMN()-3,FALSE)</f>
        <v>108</v>
      </c>
      <c r="G35" t="str">
        <f>+VLOOKUP($C35,ForecastImport!$B$15:$J$394,COLUMN()-3,FALSE)</f>
        <v>DIRECT</v>
      </c>
      <c r="H35" t="str">
        <f>+VLOOKUP($C35,ForecastImport!$B$15:$J$394,COLUMN()-3,FALSE)</f>
        <v>PTD</v>
      </c>
      <c r="I35">
        <f>+VLOOKUP($C35,ForecastImport!$B$15:$J$394,COLUMN()-3,FALSE)</f>
        <v>0</v>
      </c>
      <c r="J35">
        <f>+VLOOKUP($C35,ForecastImport!$B$15:$J$394,COLUMN()-3,FALSE)</f>
        <v>0</v>
      </c>
      <c r="K35">
        <f>+VLOOKUP($C35,ForecastImport!$B$15:$J$394,COLUMN()-3,FALSE)</f>
        <v>0</v>
      </c>
      <c r="L35">
        <f>+VLOOKUP($C35,ForecastImport!$B$15:$J$394,COLUMN()-3,FALSE)</f>
        <v>0</v>
      </c>
    </row>
    <row r="36" spans="2:12">
      <c r="B36">
        <v>57</v>
      </c>
      <c r="C36" t="s">
        <v>162</v>
      </c>
      <c r="D36" s="273" t="e">
        <f>'Sch 1- Rate Base '!E39:G39</f>
        <v>#VALUE!</v>
      </c>
      <c r="E36" s="443" t="str">
        <f>+VLOOKUP($C36,ForecastImport!$B$15:$J$394,COLUMN()-3,FALSE)</f>
        <v>200-201</v>
      </c>
      <c r="F36">
        <f>+VLOOKUP($C36,ForecastImport!$B$15:$J$394,COLUMN()-3,FALSE)</f>
        <v>108</v>
      </c>
      <c r="G36" t="str">
        <f>+VLOOKUP($C36,ForecastImport!$B$15:$J$394,COLUMN()-3,FALSE)</f>
        <v>DIRECT</v>
      </c>
      <c r="H36" t="str">
        <f>+VLOOKUP($C36,ForecastImport!$B$15:$J$394,COLUMN()-3,FALSE)</f>
        <v>DIST</v>
      </c>
      <c r="I36">
        <f>+VLOOKUP($C36,ForecastImport!$B$15:$J$394,COLUMN()-3,FALSE)</f>
        <v>0</v>
      </c>
      <c r="J36">
        <f>+VLOOKUP($C36,ForecastImport!$B$15:$J$394,COLUMN()-3,FALSE)</f>
        <v>0</v>
      </c>
      <c r="K36">
        <f>+VLOOKUP($C36,ForecastImport!$B$15:$J$394,COLUMN()-3,FALSE)</f>
        <v>0</v>
      </c>
      <c r="L36">
        <f>+VLOOKUP($C36,ForecastImport!$B$15:$J$394,COLUMN()-3,FALSE)</f>
        <v>0</v>
      </c>
    </row>
    <row r="37" spans="2:12">
      <c r="B37">
        <v>58</v>
      </c>
      <c r="C37" t="s">
        <v>399</v>
      </c>
      <c r="D37" s="273" t="e">
        <f>'Sch 1- Rate Base '!E40:G40</f>
        <v>#VALUE!</v>
      </c>
      <c r="E37" s="443" t="str">
        <f>+VLOOKUP($C37,ForecastImport!$B$15:$J$394,COLUMN()-3,FALSE)</f>
        <v>200-201</v>
      </c>
      <c r="F37">
        <f>+VLOOKUP($C37,ForecastImport!$B$15:$J$394,COLUMN()-3,FALSE)</f>
        <v>108</v>
      </c>
      <c r="G37" t="str">
        <f>+VLOOKUP($C37,ForecastImport!$B$15:$J$394,COLUMN()-3,FALSE)</f>
        <v>DIRECT</v>
      </c>
      <c r="H37" t="str">
        <f>+VLOOKUP($C37,ForecastImport!$B$15:$J$394,COLUMN()-3,FALSE)</f>
        <v>PTD</v>
      </c>
      <c r="I37">
        <f>+VLOOKUP($C37,ForecastImport!$B$15:$J$394,COLUMN()-3,FALSE)</f>
        <v>86358710.079808488</v>
      </c>
      <c r="J37">
        <f>+VLOOKUP($C37,ForecastImport!$B$15:$J$394,COLUMN()-3,FALSE)</f>
        <v>23510847.890424702</v>
      </c>
      <c r="K37">
        <f>+VLOOKUP($C37,ForecastImport!$B$15:$J$394,COLUMN()-3,FALSE)</f>
        <v>0</v>
      </c>
      <c r="L37">
        <f>+VLOOKUP($C37,ForecastImport!$B$15:$J$394,COLUMN()-3,FALSE)</f>
        <v>62847862.189383827</v>
      </c>
    </row>
    <row r="38" spans="2:12">
      <c r="B38">
        <v>59</v>
      </c>
      <c r="C38" t="s">
        <v>400</v>
      </c>
      <c r="D38" s="273" t="e">
        <f>'Sch 1- Rate Base '!E41:G41</f>
        <v>#VALUE!</v>
      </c>
      <c r="E38" s="443" t="str">
        <f>+VLOOKUP($C38,ForecastImport!$B$15:$J$394,COLUMN()-3,FALSE)</f>
        <v>200-201</v>
      </c>
      <c r="F38">
        <f>+VLOOKUP($C38,ForecastImport!$B$15:$J$394,COLUMN()-3,FALSE)</f>
        <v>108</v>
      </c>
      <c r="G38" t="str">
        <f>+VLOOKUP($C38,ForecastImport!$B$15:$J$394,COLUMN()-3,FALSE)</f>
        <v>DIRECT</v>
      </c>
      <c r="H38" t="str">
        <f>+VLOOKUP($C38,ForecastImport!$B$15:$J$394,COLUMN()-3,FALSE)</f>
        <v>DIST</v>
      </c>
      <c r="I38">
        <f>+VLOOKUP($C38,ForecastImport!$B$15:$J$394,COLUMN()-3,FALSE)</f>
        <v>90080742.531604186</v>
      </c>
      <c r="J38">
        <f>+VLOOKUP($C38,ForecastImport!$B$15:$J$394,COLUMN()-3,FALSE)</f>
        <v>28133789.970597092</v>
      </c>
      <c r="K38">
        <f>+VLOOKUP($C38,ForecastImport!$B$15:$J$394,COLUMN()-3,FALSE)</f>
        <v>0</v>
      </c>
      <c r="L38">
        <f>+VLOOKUP($C38,ForecastImport!$B$15:$J$394,COLUMN()-3,FALSE)</f>
        <v>61946952.232538618</v>
      </c>
    </row>
    <row r="39" spans="2:12">
      <c r="B39">
        <v>60</v>
      </c>
      <c r="C39" t="s">
        <v>546</v>
      </c>
      <c r="D39" s="273" t="e">
        <f>'Sch 1- Rate Base '!E42:G42</f>
        <v>#VALUE!</v>
      </c>
      <c r="E39" s="443" t="str">
        <f>+VLOOKUP($C39,ForecastImport!$B$15:$J$394,COLUMN()-3,FALSE)</f>
        <v>200-201</v>
      </c>
      <c r="F39">
        <f>+VLOOKUP($C39,ForecastImport!$B$15:$J$394,COLUMN()-3,FALSE)</f>
        <v>115</v>
      </c>
      <c r="G39" t="str">
        <f>+VLOOKUP($C39,ForecastImport!$B$15:$J$394,COLUMN()-3,FALSE)</f>
        <v>DIRECT</v>
      </c>
      <c r="H39" t="str">
        <f>+VLOOKUP($C39,ForecastImport!$B$15:$J$394,COLUMN()-3,FALSE)</f>
        <v>DIST</v>
      </c>
      <c r="I39">
        <f>+VLOOKUP($C39,ForecastImport!$B$15:$J$394,COLUMN()-3,FALSE)</f>
        <v>177057826</v>
      </c>
      <c r="J39">
        <f>+VLOOKUP($C39,ForecastImport!$B$15:$J$394,COLUMN()-3,FALSE)</f>
        <v>175809295.39000002</v>
      </c>
      <c r="K39">
        <f>+VLOOKUP($C39,ForecastImport!$B$15:$J$394,COLUMN()-3,FALSE)</f>
        <v>0</v>
      </c>
      <c r="L39">
        <f>+VLOOKUP($C39,ForecastImport!$B$15:$J$394,COLUMN()-3,FALSE)</f>
        <v>1248530.26</v>
      </c>
    </row>
    <row r="40" spans="2:12">
      <c r="B40">
        <v>71</v>
      </c>
      <c r="C40" t="s">
        <v>144</v>
      </c>
      <c r="D40" s="273" t="e">
        <f>'Sch 1- Rate Base '!E43:G43</f>
        <v>#VALUE!</v>
      </c>
      <c r="E40" s="443">
        <v>0</v>
      </c>
      <c r="F40">
        <f>+VLOOKUP($C40,ForecastImport!$B$15:$J$394,COLUMN()-3,FALSE)</f>
        <v>0</v>
      </c>
      <c r="G40">
        <f>+VLOOKUP($C40,ForecastImport!$B$15:$J$394,COLUMN()-3,FALSE)</f>
        <v>0</v>
      </c>
      <c r="H40">
        <f>+VLOOKUP($C40,ForecastImport!$B$15:$J$394,COLUMN()-3,FALSE)</f>
        <v>0</v>
      </c>
      <c r="I40">
        <f>+VLOOKUP($C40,ForecastImport!$B$15:$J$394,COLUMN()-3,FALSE)</f>
        <v>108180025.5</v>
      </c>
      <c r="J40">
        <f>+VLOOKUP($C40,ForecastImport!$B$15:$J$394,COLUMN()-3,FALSE)</f>
        <v>61843517.356707066</v>
      </c>
      <c r="K40">
        <f>+VLOOKUP($C40,ForecastImport!$B$15:$J$394,COLUMN()-3,FALSE)</f>
        <v>0</v>
      </c>
      <c r="L40">
        <f>+VLOOKUP($C40,ForecastImport!$B$15:$J$394,COLUMN()-3,FALSE)</f>
        <v>46336508.190641761</v>
      </c>
    </row>
    <row r="41" spans="2:12">
      <c r="B41">
        <v>72</v>
      </c>
      <c r="C41" t="s">
        <v>741</v>
      </c>
      <c r="D41" s="273" t="e">
        <f>'Sch 1- Rate Base '!E44:G44</f>
        <v>#VALUE!</v>
      </c>
      <c r="E41" s="443">
        <f>+VLOOKUP($C41,ForecastImport!$B$15:$J$394,COLUMN()-3,FALSE)</f>
        <v>0</v>
      </c>
      <c r="F41">
        <f>+VLOOKUP($C41,ForecastImport!$B$15:$J$394,COLUMN()-3,FALSE)</f>
        <v>0</v>
      </c>
      <c r="G41">
        <f>+VLOOKUP($C41,ForecastImport!$B$15:$J$394,COLUMN()-3,FALSE)</f>
        <v>0</v>
      </c>
      <c r="H41">
        <f>+VLOOKUP($C41,ForecastImport!$B$15:$J$394,COLUMN()-3,FALSE)</f>
        <v>0</v>
      </c>
      <c r="I41">
        <f>+VLOOKUP($C41,ForecastImport!$B$15:$J$394,COLUMN()-3,FALSE)</f>
        <v>24948345</v>
      </c>
      <c r="J41">
        <f>+VLOOKUP($C41,ForecastImport!$B$15:$J$394,COLUMN()-3,FALSE)</f>
        <v>24948345</v>
      </c>
      <c r="K41">
        <f>+VLOOKUP($C41,ForecastImport!$B$15:$J$394,COLUMN()-3,FALSE)</f>
        <v>0</v>
      </c>
      <c r="L41">
        <f>+VLOOKUP($C41,ForecastImport!$B$15:$J$394,COLUMN()-3,FALSE)</f>
        <v>0</v>
      </c>
    </row>
    <row r="42" spans="2:12">
      <c r="B42">
        <v>74</v>
      </c>
      <c r="C42" t="s">
        <v>432</v>
      </c>
      <c r="D42" s="273" t="e">
        <f>'Sch 1- Rate Base '!E45:G45</f>
        <v>#VALUE!</v>
      </c>
      <c r="E42" s="443" t="str">
        <f>+VLOOKUP($C42,ForecastImport!$B$15:$J$394,COLUMN()-3,FALSE)</f>
        <v>200-201</v>
      </c>
      <c r="F42">
        <f>+VLOOKUP($C42,ForecastImport!$B$15:$J$394,COLUMN()-3,FALSE)</f>
        <v>105</v>
      </c>
      <c r="G42" t="str">
        <f>+VLOOKUP($C42,ForecastImport!$B$15:$J$394,COLUMN()-3,FALSE)</f>
        <v>DIST</v>
      </c>
      <c r="H42">
        <f>+VLOOKUP($C42,ForecastImport!$B$15:$J$394,COLUMN()-3,FALSE)</f>
        <v>0</v>
      </c>
      <c r="I42">
        <f>+VLOOKUP($C42,ForecastImport!$B$15:$J$394,COLUMN()-3,FALSE)</f>
        <v>49315001</v>
      </c>
      <c r="J42">
        <f>+VLOOKUP($C42,ForecastImport!$B$15:$J$394,COLUMN()-3,FALSE)</f>
        <v>0</v>
      </c>
      <c r="K42">
        <f>+VLOOKUP($C42,ForecastImport!$B$15:$J$394,COLUMN()-3,FALSE)</f>
        <v>0</v>
      </c>
      <c r="L42">
        <f>+VLOOKUP($C42,ForecastImport!$B$15:$J$394,COLUMN()-3,FALSE)</f>
        <v>49315001</v>
      </c>
    </row>
    <row r="43" spans="2:12">
      <c r="B43">
        <v>75</v>
      </c>
      <c r="C43" t="s">
        <v>77</v>
      </c>
      <c r="D43" s="273" t="e">
        <f>'Sch 1- Rate Base '!E46:G46</f>
        <v>#VALUE!</v>
      </c>
      <c r="E43" s="443" t="str">
        <f>+VLOOKUP($C43,ForecastImport!$B$15:$J$394,COLUMN()-3,FALSE)</f>
        <v>200-201</v>
      </c>
      <c r="F43">
        <f>+VLOOKUP($C43,ForecastImport!$B$15:$J$394,COLUMN()-3,FALSE)</f>
        <v>106</v>
      </c>
      <c r="G43" t="str">
        <f>+VLOOKUP($C43,ForecastImport!$B$15:$J$394,COLUMN()-3,FALSE)</f>
        <v>PTD</v>
      </c>
      <c r="H43">
        <f>+VLOOKUP($C43,ForecastImport!$B$15:$J$394,COLUMN()-3,FALSE)</f>
        <v>0</v>
      </c>
      <c r="I43">
        <f>+VLOOKUP($C43,ForecastImport!$B$15:$J$394,COLUMN()-3,FALSE)</f>
        <v>0</v>
      </c>
      <c r="J43">
        <f>+VLOOKUP($C43,ForecastImport!$B$15:$J$394,COLUMN()-3,FALSE)</f>
        <v>0</v>
      </c>
      <c r="K43">
        <f>+VLOOKUP($C43,ForecastImport!$B$15:$J$394,COLUMN()-3,FALSE)</f>
        <v>0</v>
      </c>
      <c r="L43">
        <f>+VLOOKUP($C43,ForecastImport!$B$15:$J$394,COLUMN()-3,FALSE)</f>
        <v>0</v>
      </c>
    </row>
    <row r="44" spans="2:12">
      <c r="B44">
        <v>76</v>
      </c>
      <c r="C44" t="s">
        <v>475</v>
      </c>
      <c r="D44" s="273" t="e">
        <f>'Sch 1- Rate Base '!E47:G47</f>
        <v>#VALUE!</v>
      </c>
      <c r="E44" s="443" t="str">
        <f>+VLOOKUP($C44,ForecastImport!$B$15:$J$394,COLUMN()-3,FALSE)</f>
        <v>320-323</v>
      </c>
      <c r="F44" s="443" t="str">
        <f>+VLOOKUP($C44,ForecastImport!$B$15:$J$394,COLUMN()-3,FALSE)</f>
        <v>120.1-120.6</v>
      </c>
      <c r="G44" t="str">
        <f>+VLOOKUP($C44,ForecastImport!$B$15:$J$394,COLUMN()-3,FALSE)</f>
        <v>PROD</v>
      </c>
      <c r="H44">
        <f>+VLOOKUP($C44,ForecastImport!$B$15:$J$394,COLUMN()-3,FALSE)</f>
        <v>0</v>
      </c>
      <c r="I44">
        <f>+VLOOKUP($C44,ForecastImport!$B$15:$J$394,COLUMN()-3,FALSE)</f>
        <v>0</v>
      </c>
      <c r="J44">
        <f>+VLOOKUP($C44,ForecastImport!$B$15:$J$394,COLUMN()-3,FALSE)</f>
        <v>0</v>
      </c>
      <c r="K44">
        <f>+VLOOKUP($C44,ForecastImport!$B$15:$J$394,COLUMN()-3,FALSE)</f>
        <v>0</v>
      </c>
      <c r="L44">
        <f>+VLOOKUP($C44,ForecastImport!$B$15:$J$394,COLUMN()-3,FALSE)</f>
        <v>0</v>
      </c>
    </row>
    <row r="45" spans="2:12">
      <c r="B45">
        <v>77</v>
      </c>
      <c r="C45" t="s">
        <v>80</v>
      </c>
      <c r="D45" s="273" t="e">
        <f>'Sch 1- Rate Base '!E48:G48</f>
        <v>#VALUE!</v>
      </c>
      <c r="E45" s="443" t="str">
        <f>+VLOOKUP($C45,ForecastImport!$B$15:$J$394,COLUMN()-3,FALSE)</f>
        <v>200-201</v>
      </c>
      <c r="F45" s="443" t="str">
        <f>+VLOOKUP($C45,ForecastImport!$B$15:$J$394,COLUMN()-3,FALSE)</f>
        <v>107 &amp; 120.1</v>
      </c>
      <c r="G45" t="str">
        <f>+VLOOKUP($C45,ForecastImport!$B$15:$J$394,COLUMN()-3,FALSE)</f>
        <v>DIST</v>
      </c>
      <c r="H45">
        <f>+VLOOKUP($C45,ForecastImport!$B$15:$J$394,COLUMN()-3,FALSE)</f>
        <v>0</v>
      </c>
      <c r="I45">
        <f>+VLOOKUP($C45,ForecastImport!$B$15:$J$394,COLUMN()-3,FALSE)</f>
        <v>1060266765</v>
      </c>
      <c r="J45">
        <f>+VLOOKUP($C45,ForecastImport!$B$15:$J$394,COLUMN()-3,FALSE)</f>
        <v>0</v>
      </c>
      <c r="K45">
        <f>+VLOOKUP($C45,ForecastImport!$B$15:$J$394,COLUMN()-3,FALSE)</f>
        <v>0</v>
      </c>
      <c r="L45">
        <f>+VLOOKUP($C45,ForecastImport!$B$15:$J$394,COLUMN()-3,FALSE)</f>
        <v>1060266765</v>
      </c>
    </row>
    <row r="46" spans="2:12">
      <c r="B46">
        <v>78</v>
      </c>
      <c r="C46" t="s">
        <v>222</v>
      </c>
      <c r="D46" s="273" t="e">
        <f>'Sch 1- Rate Base '!E49:G49</f>
        <v>#VALUE!</v>
      </c>
      <c r="E46" s="443">
        <f>+VLOOKUP($C46,ForecastImport!$B$15:$J$394,COLUMN()-3,FALSE)</f>
        <v>356</v>
      </c>
      <c r="F46">
        <f>+VLOOKUP($C46,ForecastImport!$B$15:$J$394,COLUMN()-3,FALSE)</f>
        <v>0</v>
      </c>
      <c r="G46" t="str">
        <f>+VLOOKUP($C46,ForecastImport!$B$15:$J$394,COLUMN()-3,FALSE)</f>
        <v>DIRECT</v>
      </c>
      <c r="H46">
        <f>+VLOOKUP($C46,ForecastImport!$B$15:$J$394,COLUMN()-3,FALSE)</f>
        <v>0</v>
      </c>
      <c r="I46">
        <f>+VLOOKUP($C46,ForecastImport!$B$15:$J$394,COLUMN()-3,FALSE)</f>
        <v>800158907.49414837</v>
      </c>
      <c r="J46">
        <f>+VLOOKUP($C46,ForecastImport!$B$15:$J$394,COLUMN()-3,FALSE)</f>
        <v>263365769.24809498</v>
      </c>
      <c r="K46">
        <f>+VLOOKUP($C46,ForecastImport!$B$15:$J$394,COLUMN()-3,FALSE)</f>
        <v>0</v>
      </c>
      <c r="L46">
        <f>+VLOOKUP($C46,ForecastImport!$B$15:$J$394,COLUMN()-3,FALSE)</f>
        <v>536793138.24605334</v>
      </c>
    </row>
    <row r="47" spans="2:12">
      <c r="B47">
        <v>79</v>
      </c>
      <c r="C47" t="s">
        <v>71</v>
      </c>
      <c r="D47" s="273" t="e">
        <f>'Sch 1- Rate Base '!E50:G50</f>
        <v>#VALUE!</v>
      </c>
      <c r="E47" s="443" t="str">
        <f>+VLOOKUP($C47,ForecastImport!$B$15:$J$394,COLUMN()-3,FALSE)</f>
        <v>200-201</v>
      </c>
      <c r="F47">
        <f>+VLOOKUP($C47,ForecastImport!$B$15:$J$394,COLUMN()-3,FALSE)</f>
        <v>114</v>
      </c>
      <c r="G47" t="str">
        <f>+VLOOKUP($C47,ForecastImport!$B$15:$J$394,COLUMN()-3,FALSE)</f>
        <v>DIRECT</v>
      </c>
      <c r="H47" t="str">
        <f>+VLOOKUP($C47,ForecastImport!$B$15:$J$394,COLUMN()-3,FALSE)</f>
        <v>DIST</v>
      </c>
      <c r="I47">
        <f>+VLOOKUP($C47,ForecastImport!$B$15:$J$394,COLUMN()-3,FALSE)</f>
        <v>282791675</v>
      </c>
      <c r="J47">
        <f>+VLOOKUP($C47,ForecastImport!$B$15:$J$394,COLUMN()-3,FALSE)</f>
        <v>281543144.61000001</v>
      </c>
      <c r="K47">
        <f>+VLOOKUP($C47,ForecastImport!$B$15:$J$394,COLUMN()-3,FALSE)</f>
        <v>0</v>
      </c>
      <c r="L47">
        <f>+VLOOKUP($C47,ForecastImport!$B$15:$J$394,COLUMN()-3,FALSE)</f>
        <v>1248530.26</v>
      </c>
    </row>
    <row r="48" spans="2:12">
      <c r="B48">
        <v>82</v>
      </c>
      <c r="C48" t="s">
        <v>443</v>
      </c>
      <c r="D48" s="273" t="e">
        <f>'Sch 1- Rate Base '!E51:G51</f>
        <v>#VALUE!</v>
      </c>
      <c r="E48" s="443" t="str">
        <f>+VLOOKUP($C48,ForecastImport!$B$15:$J$394,COLUMN()-3,FALSE)</f>
        <v>110-111</v>
      </c>
      <c r="F48">
        <f>+VLOOKUP($C48,ForecastImport!$B$15:$J$394,COLUMN()-3,FALSE)</f>
        <v>123</v>
      </c>
      <c r="G48" t="str">
        <f>+VLOOKUP($C48,ForecastImport!$B$15:$J$394,COLUMN()-3,FALSE)</f>
        <v>DIRECT</v>
      </c>
      <c r="H48" t="str">
        <f>+VLOOKUP($C48,ForecastImport!$B$15:$J$394,COLUMN()-3,FALSE)</f>
        <v>DIST</v>
      </c>
      <c r="I48">
        <f>+VLOOKUP($C48,ForecastImport!$B$15:$J$394,COLUMN()-3,FALSE)</f>
        <v>0</v>
      </c>
      <c r="J48">
        <f>+VLOOKUP($C48,ForecastImport!$B$15:$J$394,COLUMN()-3,FALSE)</f>
        <v>0</v>
      </c>
      <c r="K48">
        <f>+VLOOKUP($C48,ForecastImport!$B$15:$J$394,COLUMN()-3,FALSE)</f>
        <v>0</v>
      </c>
      <c r="L48">
        <f>+VLOOKUP($C48,ForecastImport!$B$15:$J$394,COLUMN()-3,FALSE)</f>
        <v>0</v>
      </c>
    </row>
    <row r="49" spans="2:12">
      <c r="B49">
        <v>83</v>
      </c>
      <c r="C49" t="s">
        <v>476</v>
      </c>
      <c r="D49" s="273" t="e">
        <f>'Sch 1- Rate Base '!E52:G52</f>
        <v>#VALUE!</v>
      </c>
      <c r="E49" s="443" t="str">
        <f>+VLOOKUP($C49,ForecastImport!$B$15:$J$394,COLUMN()-3,FALSE)</f>
        <v>110-111</v>
      </c>
      <c r="F49">
        <f>+VLOOKUP($C49,ForecastImport!$B$15:$J$394,COLUMN()-3,FALSE)</f>
        <v>124</v>
      </c>
      <c r="G49" t="str">
        <f>+VLOOKUP($C49,ForecastImport!$B$15:$J$394,COLUMN()-3,FALSE)</f>
        <v>DIST</v>
      </c>
      <c r="H49">
        <f>+VLOOKUP($C49,ForecastImport!$B$15:$J$394,COLUMN()-3,FALSE)</f>
        <v>0</v>
      </c>
      <c r="I49">
        <f>+VLOOKUP($C49,ForecastImport!$B$15:$J$394,COLUMN()-3,FALSE)</f>
        <v>29310581.839956224</v>
      </c>
      <c r="J49">
        <f>+VLOOKUP($C49,ForecastImport!$B$15:$J$394,COLUMN()-3,FALSE)</f>
        <v>0</v>
      </c>
      <c r="K49">
        <f>+VLOOKUP($C49,ForecastImport!$B$15:$J$394,COLUMN()-3,FALSE)</f>
        <v>0</v>
      </c>
      <c r="L49">
        <f>+VLOOKUP($C49,ForecastImport!$B$15:$J$394,COLUMN()-3,FALSE)</f>
        <v>29310581.839956224</v>
      </c>
    </row>
    <row r="50" spans="2:12">
      <c r="B50">
        <v>84</v>
      </c>
      <c r="C50" t="s">
        <v>6</v>
      </c>
      <c r="D50" s="273" t="e">
        <f>'Sch 1- Rate Base '!E53:G53</f>
        <v>#VALUE!</v>
      </c>
      <c r="E50" s="443" t="str">
        <f>+VLOOKUP($C50,ForecastImport!$B$15:$J$394,COLUMN()-3,FALSE)</f>
        <v>110-111</v>
      </c>
      <c r="F50">
        <f>+VLOOKUP($C50,ForecastImport!$B$15:$J$394,COLUMN()-3,FALSE)</f>
        <v>175</v>
      </c>
      <c r="G50" t="str">
        <f>+VLOOKUP($C50,ForecastImport!$B$15:$J$394,COLUMN()-3,FALSE)</f>
        <v>DIST</v>
      </c>
      <c r="H50">
        <f>+VLOOKUP($C50,ForecastImport!$B$15:$J$394,COLUMN()-3,FALSE)</f>
        <v>0</v>
      </c>
      <c r="I50">
        <f>+VLOOKUP($C50,ForecastImport!$B$15:$J$394,COLUMN()-3,FALSE)</f>
        <v>30098821.84</v>
      </c>
      <c r="J50">
        <f>+VLOOKUP($C50,ForecastImport!$B$15:$J$394,COLUMN()-3,FALSE)</f>
        <v>0</v>
      </c>
      <c r="K50">
        <f>+VLOOKUP($C50,ForecastImport!$B$15:$J$394,COLUMN()-3,FALSE)</f>
        <v>0</v>
      </c>
      <c r="L50">
        <f>+VLOOKUP($C50,ForecastImport!$B$15:$J$394,COLUMN()-3,FALSE)</f>
        <v>30098821.84</v>
      </c>
    </row>
    <row r="51" spans="2:12">
      <c r="B51">
        <v>85</v>
      </c>
      <c r="C51" t="s">
        <v>370</v>
      </c>
      <c r="D51" s="273" t="e">
        <f>'Sch 1- Rate Base '!E54:G54</f>
        <v>#VALUE!</v>
      </c>
      <c r="E51" s="443" t="str">
        <f>+VLOOKUP($C51,ForecastImport!$B$15:$J$394,COLUMN()-3,FALSE)</f>
        <v>110-111</v>
      </c>
      <c r="F51">
        <f>+VLOOKUP($C51,ForecastImport!$B$15:$J$394,COLUMN()-3,FALSE)</f>
        <v>176</v>
      </c>
      <c r="G51" t="str">
        <f>+VLOOKUP($C51,ForecastImport!$B$15:$J$394,COLUMN()-3,FALSE)</f>
        <v>DIST</v>
      </c>
      <c r="H51">
        <f>+VLOOKUP($C51,ForecastImport!$B$15:$J$394,COLUMN()-3,FALSE)</f>
        <v>0</v>
      </c>
      <c r="I51">
        <f>+VLOOKUP($C51,ForecastImport!$B$15:$J$394,COLUMN()-3,FALSE)</f>
        <v>0</v>
      </c>
      <c r="J51">
        <f>+VLOOKUP($C51,ForecastImport!$B$15:$J$394,COLUMN()-3,FALSE)</f>
        <v>0</v>
      </c>
      <c r="K51">
        <f>+VLOOKUP($C51,ForecastImport!$B$15:$J$394,COLUMN()-3,FALSE)</f>
        <v>0</v>
      </c>
      <c r="L51">
        <f>+VLOOKUP($C51,ForecastImport!$B$15:$J$394,COLUMN()-3,FALSE)</f>
        <v>0</v>
      </c>
    </row>
    <row r="52" spans="2:12">
      <c r="B52">
        <v>88</v>
      </c>
      <c r="C52" t="s">
        <v>435</v>
      </c>
      <c r="D52" s="273" t="e">
        <f>'Sch 1- Rate Base '!E55:G55</f>
        <v>#VALUE!</v>
      </c>
      <c r="E52" s="443" t="str">
        <f>+VLOOKUP($C52,ForecastImport!$B$15:$J$394,COLUMN()-3,FALSE)</f>
        <v>110-111</v>
      </c>
      <c r="F52">
        <f>+VLOOKUP($C52,ForecastImport!$B$15:$J$394,COLUMN()-3,FALSE)</f>
        <v>151</v>
      </c>
      <c r="G52" t="str">
        <f>+VLOOKUP($C52,ForecastImport!$B$15:$J$394,COLUMN()-3,FALSE)</f>
        <v>PROD</v>
      </c>
      <c r="H52">
        <f>+VLOOKUP($C52,ForecastImport!$B$15:$J$394,COLUMN()-3,FALSE)</f>
        <v>0</v>
      </c>
      <c r="I52">
        <f>+VLOOKUP($C52,ForecastImport!$B$15:$J$394,COLUMN()-3,FALSE)</f>
        <v>32051446.329999998</v>
      </c>
      <c r="J52">
        <f>+VLOOKUP($C52,ForecastImport!$B$15:$J$394,COLUMN()-3,FALSE)</f>
        <v>32051446.329999998</v>
      </c>
      <c r="K52">
        <f>+VLOOKUP($C52,ForecastImport!$B$15:$J$394,COLUMN()-3,FALSE)</f>
        <v>0</v>
      </c>
      <c r="L52">
        <f>+VLOOKUP($C52,ForecastImport!$B$15:$J$394,COLUMN()-3,FALSE)</f>
        <v>0</v>
      </c>
    </row>
    <row r="53" spans="2:12">
      <c r="B53">
        <v>89</v>
      </c>
      <c r="C53" t="s">
        <v>7</v>
      </c>
      <c r="D53" s="273" t="e">
        <f>'Sch 1- Rate Base '!E56:G56</f>
        <v>#VALUE!</v>
      </c>
      <c r="E53" s="443" t="str">
        <f>+VLOOKUP($C53,ForecastImport!$B$15:$J$394,COLUMN()-3,FALSE)</f>
        <v>110-111</v>
      </c>
      <c r="F53">
        <f>+VLOOKUP($C53,ForecastImport!$B$15:$J$394,COLUMN()-3,FALSE)</f>
        <v>152</v>
      </c>
      <c r="G53" t="str">
        <f>+VLOOKUP($C53,ForecastImport!$B$15:$J$394,COLUMN()-3,FALSE)</f>
        <v>PROD</v>
      </c>
      <c r="H53">
        <f>+VLOOKUP($C53,ForecastImport!$B$15:$J$394,COLUMN()-3,FALSE)</f>
        <v>0</v>
      </c>
      <c r="I53">
        <f>+VLOOKUP($C53,ForecastImport!$B$15:$J$394,COLUMN()-3,FALSE)</f>
        <v>0</v>
      </c>
      <c r="J53">
        <f>+VLOOKUP($C53,ForecastImport!$B$15:$J$394,COLUMN()-3,FALSE)</f>
        <v>0</v>
      </c>
      <c r="K53">
        <f>+VLOOKUP($C53,ForecastImport!$B$15:$J$394,COLUMN()-3,FALSE)</f>
        <v>0</v>
      </c>
      <c r="L53">
        <f>+VLOOKUP($C53,ForecastImport!$B$15:$J$394,COLUMN()-3,FALSE)</f>
        <v>0</v>
      </c>
    </row>
    <row r="54" spans="2:12">
      <c r="B54">
        <v>90</v>
      </c>
      <c r="C54" t="s">
        <v>79</v>
      </c>
      <c r="D54" s="273" t="e">
        <f>'Sch 1- Rate Base '!E57:G57</f>
        <v>#VALUE!</v>
      </c>
      <c r="E54" s="443" t="str">
        <f>+VLOOKUP($C54,ForecastImport!$B$15:$J$394,COLUMN()-3,FALSE)</f>
        <v>110-111</v>
      </c>
      <c r="F54">
        <f>+VLOOKUP($C54,ForecastImport!$B$15:$J$394,COLUMN()-3,FALSE)</f>
        <v>154</v>
      </c>
      <c r="G54" t="str">
        <f>+VLOOKUP($C54,ForecastImport!$B$15:$J$394,COLUMN()-3,FALSE)</f>
        <v>PTD</v>
      </c>
      <c r="H54">
        <f>+VLOOKUP($C54,ForecastImport!$B$15:$J$394,COLUMN()-3,FALSE)</f>
        <v>0</v>
      </c>
      <c r="I54">
        <f>+VLOOKUP($C54,ForecastImport!$B$15:$J$394,COLUMN()-3,FALSE)</f>
        <v>147763213.27615592</v>
      </c>
      <c r="J54">
        <f>+VLOOKUP($C54,ForecastImport!$B$15:$J$394,COLUMN()-3,FALSE)</f>
        <v>51582876.294156879</v>
      </c>
      <c r="K54">
        <f>+VLOOKUP($C54,ForecastImport!$B$15:$J$394,COLUMN()-3,FALSE)</f>
        <v>0</v>
      </c>
      <c r="L54">
        <f>+VLOOKUP($C54,ForecastImport!$B$15:$J$394,COLUMN()-3,FALSE)</f>
        <v>96180336.98199904</v>
      </c>
    </row>
    <row r="55" spans="2:12">
      <c r="B55">
        <v>91</v>
      </c>
      <c r="C55" t="s">
        <v>351</v>
      </c>
      <c r="D55" s="273" t="e">
        <f>'Sch 1- Rate Base '!E58:G58</f>
        <v>#VALUE!</v>
      </c>
      <c r="E55" s="443" t="str">
        <f>+VLOOKUP($C55,ForecastImport!$B$15:$J$394,COLUMN()-3,FALSE)</f>
        <v>110-111</v>
      </c>
      <c r="F55">
        <f>+VLOOKUP($C55,ForecastImport!$B$15:$J$394,COLUMN()-3,FALSE)</f>
        <v>155</v>
      </c>
      <c r="G55" t="str">
        <f>+VLOOKUP($C55,ForecastImport!$B$15:$J$394,COLUMN()-3,FALSE)</f>
        <v>DIST</v>
      </c>
      <c r="H55">
        <f>+VLOOKUP($C55,ForecastImport!$B$15:$J$394,COLUMN()-3,FALSE)</f>
        <v>0</v>
      </c>
      <c r="I55">
        <f>+VLOOKUP($C55,ForecastImport!$B$15:$J$394,COLUMN()-3,FALSE)</f>
        <v>0</v>
      </c>
      <c r="J55">
        <f>+VLOOKUP($C55,ForecastImport!$B$15:$J$394,COLUMN()-3,FALSE)</f>
        <v>0</v>
      </c>
      <c r="K55">
        <f>+VLOOKUP($C55,ForecastImport!$B$15:$J$394,COLUMN()-3,FALSE)</f>
        <v>0</v>
      </c>
      <c r="L55">
        <f>+VLOOKUP($C55,ForecastImport!$B$15:$J$394,COLUMN()-3,FALSE)</f>
        <v>0</v>
      </c>
    </row>
    <row r="56" spans="2:12">
      <c r="B56">
        <v>92</v>
      </c>
      <c r="C56" t="s">
        <v>352</v>
      </c>
      <c r="D56" s="273" t="e">
        <f>'Sch 1- Rate Base '!E59:G59</f>
        <v>#VALUE!</v>
      </c>
      <c r="E56" s="443" t="str">
        <f>+VLOOKUP($C56,ForecastImport!$B$15:$J$394,COLUMN()-3,FALSE)</f>
        <v>110-111</v>
      </c>
      <c r="F56">
        <f>+VLOOKUP($C56,ForecastImport!$B$15:$J$394,COLUMN()-3,FALSE)</f>
        <v>156</v>
      </c>
      <c r="G56" t="str">
        <f>+VLOOKUP($C56,ForecastImport!$B$15:$J$394,COLUMN()-3,FALSE)</f>
        <v>DIST</v>
      </c>
      <c r="H56">
        <f>+VLOOKUP($C56,ForecastImport!$B$15:$J$394,COLUMN()-3,FALSE)</f>
        <v>0</v>
      </c>
      <c r="I56">
        <f>+VLOOKUP($C56,ForecastImport!$B$15:$J$394,COLUMN()-3,FALSE)</f>
        <v>0</v>
      </c>
      <c r="J56">
        <f>+VLOOKUP($C56,ForecastImport!$B$15:$J$394,COLUMN()-3,FALSE)</f>
        <v>0</v>
      </c>
      <c r="K56">
        <f>+VLOOKUP($C56,ForecastImport!$B$15:$J$394,COLUMN()-3,FALSE)</f>
        <v>0</v>
      </c>
      <c r="L56">
        <f>+VLOOKUP($C56,ForecastImport!$B$15:$J$394,COLUMN()-3,FALSE)</f>
        <v>0</v>
      </c>
    </row>
    <row r="57" spans="2:12">
      <c r="B57">
        <v>93</v>
      </c>
      <c r="C57" t="s">
        <v>353</v>
      </c>
      <c r="D57" s="273" t="e">
        <f>'Sch 1- Rate Base '!E60:G60</f>
        <v>#VALUE!</v>
      </c>
      <c r="E57" s="443" t="str">
        <f>+VLOOKUP($C57,ForecastImport!$B$15:$J$394,COLUMN()-3,FALSE)</f>
        <v>110-111</v>
      </c>
      <c r="F57">
        <f>+VLOOKUP($C57,ForecastImport!$B$15:$J$394,COLUMN()-3,FALSE)</f>
        <v>158.1</v>
      </c>
      <c r="G57" t="str">
        <f>+VLOOKUP($C57,ForecastImport!$B$15:$J$394,COLUMN()-3,FALSE)</f>
        <v>PROD</v>
      </c>
      <c r="H57">
        <f>+VLOOKUP($C57,ForecastImport!$B$15:$J$394,COLUMN()-3,FALSE)</f>
        <v>0</v>
      </c>
      <c r="I57">
        <f>+VLOOKUP($C57,ForecastImport!$B$15:$J$394,COLUMN()-3,FALSE)</f>
        <v>-93977950.769999996</v>
      </c>
      <c r="J57">
        <f>+VLOOKUP($C57,ForecastImport!$B$15:$J$394,COLUMN()-3,FALSE)</f>
        <v>-93977950.769999996</v>
      </c>
      <c r="K57">
        <f>+VLOOKUP($C57,ForecastImport!$B$15:$J$394,COLUMN()-3,FALSE)</f>
        <v>0</v>
      </c>
      <c r="L57">
        <f>+VLOOKUP($C57,ForecastImport!$B$15:$J$394,COLUMN()-3,FALSE)</f>
        <v>0</v>
      </c>
    </row>
    <row r="58" spans="2:12">
      <c r="B58">
        <v>94</v>
      </c>
      <c r="C58" t="s">
        <v>178</v>
      </c>
      <c r="D58" s="273" t="e">
        <f>'Sch 1- Rate Base '!E61:G61</f>
        <v>#VALUE!</v>
      </c>
      <c r="E58" s="443" t="str">
        <f>+VLOOKUP($C58,ForecastImport!$B$15:$J$394,COLUMN()-3,FALSE)</f>
        <v>110-111</v>
      </c>
      <c r="F58">
        <f>+VLOOKUP($C58,ForecastImport!$B$15:$J$394,COLUMN()-3,FALSE)</f>
        <v>158.19999999999999</v>
      </c>
      <c r="G58" t="str">
        <f>+VLOOKUP($C58,ForecastImport!$B$15:$J$394,COLUMN()-3,FALSE)</f>
        <v>PROD</v>
      </c>
      <c r="H58">
        <f>+VLOOKUP($C58,ForecastImport!$B$15:$J$394,COLUMN()-3,FALSE)</f>
        <v>0</v>
      </c>
      <c r="I58">
        <f>+VLOOKUP($C58,ForecastImport!$B$15:$J$394,COLUMN()-3,FALSE)</f>
        <v>-0.23000000417232513</v>
      </c>
      <c r="J58">
        <f>+VLOOKUP($C58,ForecastImport!$B$15:$J$394,COLUMN()-3,FALSE)</f>
        <v>-0.23000000417232513</v>
      </c>
      <c r="K58">
        <f>+VLOOKUP($C58,ForecastImport!$B$15:$J$394,COLUMN()-3,FALSE)</f>
        <v>0</v>
      </c>
      <c r="L58">
        <f>+VLOOKUP($C58,ForecastImport!$B$15:$J$394,COLUMN()-3,FALSE)</f>
        <v>0</v>
      </c>
    </row>
    <row r="59" spans="2:12">
      <c r="B59">
        <v>95</v>
      </c>
      <c r="C59" t="s">
        <v>55</v>
      </c>
      <c r="D59" s="273" t="e">
        <f>'Sch 1- Rate Base '!E62:G62</f>
        <v>#VALUE!</v>
      </c>
      <c r="E59" s="443" t="str">
        <f>+VLOOKUP($C59,ForecastImport!$B$15:$J$394,COLUMN()-3,FALSE)</f>
        <v>110-111</v>
      </c>
      <c r="F59">
        <f>+VLOOKUP($C59,ForecastImport!$B$15:$J$394,COLUMN()-3,FALSE)</f>
        <v>163</v>
      </c>
      <c r="G59" t="str">
        <f>+VLOOKUP($C59,ForecastImport!$B$15:$J$394,COLUMN()-3,FALSE)</f>
        <v>PTD</v>
      </c>
      <c r="H59">
        <f>+VLOOKUP($C59,ForecastImport!$B$15:$J$394,COLUMN()-3,FALSE)</f>
        <v>0</v>
      </c>
      <c r="I59">
        <f>+VLOOKUP($C59,ForecastImport!$B$15:$J$394,COLUMN()-3,FALSE)</f>
        <v>-861822.14029058116</v>
      </c>
      <c r="J59">
        <f>+VLOOKUP($C59,ForecastImport!$B$15:$J$394,COLUMN()-3,FALSE)</f>
        <v>-300854.75176485057</v>
      </c>
      <c r="K59">
        <f>+VLOOKUP($C59,ForecastImport!$B$15:$J$394,COLUMN()-3,FALSE)</f>
        <v>0</v>
      </c>
      <c r="L59">
        <f>+VLOOKUP($C59,ForecastImport!$B$15:$J$394,COLUMN()-3,FALSE)</f>
        <v>-560967.38852573058</v>
      </c>
    </row>
    <row r="60" spans="2:12">
      <c r="B60">
        <v>96</v>
      </c>
      <c r="C60" t="s">
        <v>8</v>
      </c>
      <c r="D60" s="273" t="e">
        <f>'Sch 1- Rate Base '!E63:G63</f>
        <v>#VALUE!</v>
      </c>
      <c r="E60" s="443" t="str">
        <f>+VLOOKUP($C60,ForecastImport!$B$15:$J$394,COLUMN()-3,FALSE)</f>
        <v>110-111</v>
      </c>
      <c r="F60">
        <f>+VLOOKUP($C60,ForecastImport!$B$15:$J$394,COLUMN()-3,FALSE)</f>
        <v>165</v>
      </c>
      <c r="G60" t="str">
        <f>+VLOOKUP($C60,ForecastImport!$B$15:$J$394,COLUMN()-3,FALSE)</f>
        <v>PTD</v>
      </c>
      <c r="H60">
        <f>+VLOOKUP($C60,ForecastImport!$B$15:$J$394,COLUMN()-3,FALSE)</f>
        <v>0</v>
      </c>
      <c r="I60">
        <f>+VLOOKUP($C60,ForecastImport!$B$15:$J$394,COLUMN()-3,FALSE)</f>
        <v>57629356.754719973</v>
      </c>
      <c r="J60">
        <f>+VLOOKUP($C60,ForecastImport!$B$15:$J$394,COLUMN()-3,FALSE)</f>
        <v>20117916.458915066</v>
      </c>
      <c r="K60">
        <f>+VLOOKUP($C60,ForecastImport!$B$15:$J$394,COLUMN()-3,FALSE)</f>
        <v>0</v>
      </c>
      <c r="L60">
        <f>+VLOOKUP($C60,ForecastImport!$B$15:$J$394,COLUMN()-3,FALSE)</f>
        <v>37511440.29580491</v>
      </c>
    </row>
    <row r="61" spans="2:12">
      <c r="B61">
        <v>97</v>
      </c>
      <c r="C61" t="s">
        <v>9</v>
      </c>
      <c r="D61" s="273" t="e">
        <f>'Sch 1- Rate Base '!E64:G64</f>
        <v>#VALUE!</v>
      </c>
      <c r="E61" s="443" t="str">
        <f>+VLOOKUP($C61,ForecastImport!$B$15:$J$394,COLUMN()-3,FALSE)</f>
        <v>110-111</v>
      </c>
      <c r="F61">
        <f>+VLOOKUP($C61,ForecastImport!$B$15:$J$394,COLUMN()-3,FALSE)</f>
        <v>175</v>
      </c>
      <c r="G61" t="str">
        <f>+VLOOKUP($C61,ForecastImport!$B$15:$J$394,COLUMN()-3,FALSE)</f>
        <v>DIST</v>
      </c>
      <c r="H61">
        <f>+VLOOKUP($C61,ForecastImport!$B$15:$J$394,COLUMN()-3,FALSE)</f>
        <v>0</v>
      </c>
      <c r="I61">
        <f>+VLOOKUP($C61,ForecastImport!$B$15:$J$394,COLUMN()-3,FALSE)</f>
        <v>3021644.13</v>
      </c>
      <c r="J61">
        <f>+VLOOKUP($C61,ForecastImport!$B$15:$J$394,COLUMN()-3,FALSE)</f>
        <v>0</v>
      </c>
      <c r="K61">
        <f>+VLOOKUP($C61,ForecastImport!$B$15:$J$394,COLUMN()-3,FALSE)</f>
        <v>0</v>
      </c>
      <c r="L61">
        <f>+VLOOKUP($C61,ForecastImport!$B$15:$J$394,COLUMN()-3,FALSE)</f>
        <v>3021644.13</v>
      </c>
    </row>
    <row r="62" spans="2:12">
      <c r="B62">
        <v>98</v>
      </c>
      <c r="C62" t="s">
        <v>612</v>
      </c>
      <c r="D62" s="273" t="e">
        <f>'Sch 1- Rate Base '!E65:G65</f>
        <v>#VALUE!</v>
      </c>
      <c r="E62" s="443" t="str">
        <f>+VLOOKUP($C62,ForecastImport!$B$15:$J$394,COLUMN()-3,FALSE)</f>
        <v>110-111</v>
      </c>
      <c r="F62">
        <f>+VLOOKUP($C62,ForecastImport!$B$15:$J$394,COLUMN()-3,FALSE)</f>
        <v>175</v>
      </c>
      <c r="G62" t="str">
        <f>+VLOOKUP($C62,ForecastImport!$B$15:$J$394,COLUMN()-3,FALSE)</f>
        <v>DIST</v>
      </c>
      <c r="H62">
        <f>+VLOOKUP($C62,ForecastImport!$B$15:$J$394,COLUMN()-3,FALSE)</f>
        <v>0</v>
      </c>
      <c r="I62">
        <f>+VLOOKUP($C62,ForecastImport!$B$15:$J$394,COLUMN()-3,FALSE)</f>
        <v>30098821.84</v>
      </c>
      <c r="J62">
        <f>+VLOOKUP($C62,ForecastImport!$B$15:$J$394,COLUMN()-3,FALSE)</f>
        <v>0</v>
      </c>
      <c r="K62">
        <f>+VLOOKUP($C62,ForecastImport!$B$15:$J$394,COLUMN()-3,FALSE)</f>
        <v>0</v>
      </c>
      <c r="L62">
        <f>+VLOOKUP($C62,ForecastImport!$B$15:$J$394,COLUMN()-3,FALSE)</f>
        <v>30098821.84</v>
      </c>
    </row>
    <row r="63" spans="2:12">
      <c r="B63">
        <v>99</v>
      </c>
      <c r="C63" t="s">
        <v>332</v>
      </c>
      <c r="D63" s="273" t="e">
        <f>'Sch 1- Rate Base '!E66:G66</f>
        <v>#VALUE!</v>
      </c>
      <c r="E63" s="443" t="str">
        <f>+VLOOKUP($C63,ForecastImport!$B$15:$J$394,COLUMN()-3,FALSE)</f>
        <v>110-111</v>
      </c>
      <c r="F63">
        <f>+VLOOKUP($C63,ForecastImport!$B$15:$J$394,COLUMN()-3,FALSE)</f>
        <v>176</v>
      </c>
      <c r="G63" t="str">
        <f>+VLOOKUP($C63,ForecastImport!$B$15:$J$394,COLUMN()-3,FALSE)</f>
        <v>DIST</v>
      </c>
      <c r="H63">
        <f>+VLOOKUP($C63,ForecastImport!$B$15:$J$394,COLUMN()-3,FALSE)</f>
        <v>0</v>
      </c>
      <c r="I63">
        <f>+VLOOKUP($C63,ForecastImport!$B$15:$J$394,COLUMN()-3,FALSE)</f>
        <v>0</v>
      </c>
      <c r="J63">
        <f>+VLOOKUP($C63,ForecastImport!$B$15:$J$394,COLUMN()-3,FALSE)</f>
        <v>0</v>
      </c>
      <c r="K63">
        <f>+VLOOKUP($C63,ForecastImport!$B$15:$J$394,COLUMN()-3,FALSE)</f>
        <v>0</v>
      </c>
      <c r="L63">
        <f>+VLOOKUP($C63,ForecastImport!$B$15:$J$394,COLUMN()-3,FALSE)</f>
        <v>0</v>
      </c>
    </row>
    <row r="64" spans="2:12">
      <c r="B64">
        <v>100</v>
      </c>
      <c r="C64" t="s">
        <v>613</v>
      </c>
      <c r="D64" s="273" t="e">
        <f>'Sch 1- Rate Base '!E67:G67</f>
        <v>#VALUE!</v>
      </c>
      <c r="E64" s="443" t="str">
        <f>+VLOOKUP($C64,ForecastImport!$B$15:$J$394,COLUMN()-3,FALSE)</f>
        <v>110-111</v>
      </c>
      <c r="F64">
        <f>+VLOOKUP($C64,ForecastImport!$B$15:$J$394,COLUMN()-3,FALSE)</f>
        <v>176</v>
      </c>
      <c r="G64" t="str">
        <f>+VLOOKUP($C64,ForecastImport!$B$15:$J$394,COLUMN()-3,FALSE)</f>
        <v>DIST</v>
      </c>
      <c r="H64">
        <f>+VLOOKUP($C64,ForecastImport!$B$15:$J$394,COLUMN()-3,FALSE)</f>
        <v>0</v>
      </c>
      <c r="I64">
        <f>+VLOOKUP($C64,ForecastImport!$B$15:$J$394,COLUMN()-3,FALSE)</f>
        <v>0</v>
      </c>
      <c r="J64">
        <f>+VLOOKUP($C64,ForecastImport!$B$15:$J$394,COLUMN()-3,FALSE)</f>
        <v>0</v>
      </c>
      <c r="K64">
        <f>+VLOOKUP($C64,ForecastImport!$B$15:$J$394,COLUMN()-3,FALSE)</f>
        <v>0</v>
      </c>
      <c r="L64">
        <f>+VLOOKUP($C64,ForecastImport!$B$15:$J$394,COLUMN()-3,FALSE)</f>
        <v>0</v>
      </c>
    </row>
    <row r="65" spans="2:12">
      <c r="B65">
        <v>103</v>
      </c>
      <c r="C65" t="s">
        <v>10</v>
      </c>
      <c r="D65" s="273" t="e">
        <f>'Sch 1- Rate Base '!E68:G68</f>
        <v>#VALUE!</v>
      </c>
      <c r="E65" s="443" t="str">
        <f>+VLOOKUP($C65,ForecastImport!$B$15:$J$394,COLUMN()-3,FALSE)</f>
        <v>110-111</v>
      </c>
      <c r="F65">
        <f>+VLOOKUP($C65,ForecastImport!$B$15:$J$394,COLUMN()-3,FALSE)</f>
        <v>181</v>
      </c>
      <c r="G65" t="str">
        <f>+VLOOKUP($C65,ForecastImport!$B$15:$J$394,COLUMN()-3,FALSE)</f>
        <v>PTDG</v>
      </c>
      <c r="H65">
        <f>+VLOOKUP($C65,ForecastImport!$B$15:$J$394,COLUMN()-3,FALSE)</f>
        <v>0</v>
      </c>
      <c r="I65">
        <f>+VLOOKUP($C65,ForecastImport!$B$15:$J$394,COLUMN()-3,FALSE)</f>
        <v>15369566.283713212</v>
      </c>
      <c r="J65">
        <f>+VLOOKUP($C65,ForecastImport!$B$15:$J$394,COLUMN()-3,FALSE)</f>
        <v>5377390.0108669996</v>
      </c>
      <c r="K65">
        <f>+VLOOKUP($C65,ForecastImport!$B$15:$J$394,COLUMN()-3,FALSE)</f>
        <v>0</v>
      </c>
      <c r="L65">
        <f>+VLOOKUP($C65,ForecastImport!$B$15:$J$394,COLUMN()-3,FALSE)</f>
        <v>9992176.269904526</v>
      </c>
    </row>
    <row r="66" spans="2:12">
      <c r="B66">
        <v>104</v>
      </c>
      <c r="C66" t="s">
        <v>11</v>
      </c>
      <c r="D66" s="273" t="e">
        <f>'Sch 1- Rate Base '!E69:G69</f>
        <v>#VALUE!</v>
      </c>
      <c r="E66" s="443" t="str">
        <f>+VLOOKUP($C66,ForecastImport!$B$15:$J$394,COLUMN()-3,FALSE)</f>
        <v>110-111</v>
      </c>
      <c r="F66">
        <f>+VLOOKUP($C66,ForecastImport!$B$15:$J$394,COLUMN()-3,FALSE)</f>
        <v>182.1</v>
      </c>
      <c r="G66" t="str">
        <f>+VLOOKUP($C66,ForecastImport!$B$15:$J$394,COLUMN()-3,FALSE)</f>
        <v>DIRECT</v>
      </c>
      <c r="H66" t="str">
        <f>+VLOOKUP($C66,ForecastImport!$B$15:$J$394,COLUMN()-3,FALSE)</f>
        <v>DIST</v>
      </c>
      <c r="I66">
        <f>+VLOOKUP($C66,ForecastImport!$B$15:$J$394,COLUMN()-3,FALSE)</f>
        <v>95753809.859999985</v>
      </c>
      <c r="J66">
        <f>+VLOOKUP($C66,ForecastImport!$B$15:$J$394,COLUMN()-3,FALSE)</f>
        <v>0</v>
      </c>
      <c r="K66">
        <f>+VLOOKUP($C66,ForecastImport!$B$15:$J$394,COLUMN()-3,FALSE)</f>
        <v>0</v>
      </c>
      <c r="L66">
        <f>+VLOOKUP($C66,ForecastImport!$B$15:$J$394,COLUMN()-3,FALSE)</f>
        <v>95753809.859999985</v>
      </c>
    </row>
    <row r="67" spans="2:12">
      <c r="B67">
        <v>105</v>
      </c>
      <c r="C67" t="s">
        <v>12</v>
      </c>
      <c r="D67" s="273" t="e">
        <f>'Sch 1- Rate Base '!E70:G70</f>
        <v>#VALUE!</v>
      </c>
      <c r="E67" s="443" t="str">
        <f>+VLOOKUP($C67,ForecastImport!$B$15:$J$394,COLUMN()-3,FALSE)</f>
        <v>110-111</v>
      </c>
      <c r="F67">
        <f>+VLOOKUP($C67,ForecastImport!$B$15:$J$394,COLUMN()-3,FALSE)</f>
        <v>182.2</v>
      </c>
      <c r="G67" t="str">
        <f>+VLOOKUP($C67,ForecastImport!$B$15:$J$394,COLUMN()-3,FALSE)</f>
        <v>DIRECT</v>
      </c>
      <c r="H67" t="str">
        <f>+VLOOKUP($C67,ForecastImport!$B$15:$J$394,COLUMN()-3,FALSE)</f>
        <v>DIST</v>
      </c>
      <c r="I67">
        <f>+VLOOKUP($C67,ForecastImport!$B$15:$J$394,COLUMN()-3,FALSE)</f>
        <v>0</v>
      </c>
      <c r="J67">
        <f>+VLOOKUP($C67,ForecastImport!$B$15:$J$394,COLUMN()-3,FALSE)</f>
        <v>0</v>
      </c>
      <c r="K67">
        <f>+VLOOKUP($C67,ForecastImport!$B$15:$J$394,COLUMN()-3,FALSE)</f>
        <v>0</v>
      </c>
      <c r="L67">
        <f>+VLOOKUP($C67,ForecastImport!$B$15:$J$394,COLUMN()-3,FALSE)</f>
        <v>0</v>
      </c>
    </row>
    <row r="68" spans="2:12">
      <c r="B68">
        <v>106</v>
      </c>
      <c r="C68" t="s">
        <v>13</v>
      </c>
      <c r="D68" s="273" t="e">
        <f>'Sch 1- Rate Base '!E71:G71</f>
        <v>#VALUE!</v>
      </c>
      <c r="E68" s="443" t="str">
        <f>+VLOOKUP($C68,ForecastImport!$B$15:$J$394,COLUMN()-3,FALSE)</f>
        <v>110-111</v>
      </c>
      <c r="F68">
        <f>+VLOOKUP($C68,ForecastImport!$B$15:$J$394,COLUMN()-3,FALSE)</f>
        <v>182.3</v>
      </c>
      <c r="G68" t="str">
        <f>+VLOOKUP($C68,ForecastImport!$B$15:$J$394,COLUMN()-3,FALSE)</f>
        <v>DIRECT</v>
      </c>
      <c r="H68" t="str">
        <f>+VLOOKUP($C68,ForecastImport!$B$15:$J$394,COLUMN()-3,FALSE)</f>
        <v>DIST</v>
      </c>
      <c r="I68">
        <f>+VLOOKUP($C68,ForecastImport!$B$15:$J$394,COLUMN()-3,FALSE)</f>
        <v>591927572.39124942</v>
      </c>
      <c r="J68">
        <f>+VLOOKUP($C68,ForecastImport!$B$15:$J$394,COLUMN()-3,FALSE)</f>
        <v>307143997.88341385</v>
      </c>
      <c r="K68">
        <f>+VLOOKUP($C68,ForecastImport!$B$15:$J$394,COLUMN()-3,FALSE)</f>
        <v>0</v>
      </c>
      <c r="L68">
        <f>+VLOOKUP($C68,ForecastImport!$B$15:$J$394,COLUMN()-3,FALSE)</f>
        <v>284783574.50783557</v>
      </c>
    </row>
    <row r="69" spans="2:12">
      <c r="B69">
        <v>107</v>
      </c>
      <c r="C69" t="s">
        <v>614</v>
      </c>
      <c r="D69" s="273" t="e">
        <f>'Sch 1- Rate Base '!E72:G72</f>
        <v>#VALUE!</v>
      </c>
      <c r="E69" s="443" t="str">
        <f>+VLOOKUP($C69,ForecastImport!$B$15:$J$394,COLUMN()-3,FALSE)</f>
        <v>110-111</v>
      </c>
      <c r="F69">
        <f>+VLOOKUP($C69,ForecastImport!$B$15:$J$394,COLUMN()-3,FALSE)</f>
        <v>183</v>
      </c>
      <c r="G69" t="str">
        <f>+VLOOKUP($C69,ForecastImport!$B$15:$J$394,COLUMN()-3,FALSE)</f>
        <v>DIST</v>
      </c>
      <c r="H69">
        <f>+VLOOKUP($C69,ForecastImport!$B$15:$J$394,COLUMN()-3,FALSE)</f>
        <v>0</v>
      </c>
      <c r="I69">
        <f>+VLOOKUP($C69,ForecastImport!$B$15:$J$394,COLUMN()-3,FALSE)</f>
        <v>779621.87999999989</v>
      </c>
      <c r="J69">
        <f>+VLOOKUP($C69,ForecastImport!$B$15:$J$394,COLUMN()-3,FALSE)</f>
        <v>0</v>
      </c>
      <c r="K69">
        <f>+VLOOKUP($C69,ForecastImport!$B$15:$J$394,COLUMN()-3,FALSE)</f>
        <v>0</v>
      </c>
      <c r="L69">
        <f>+VLOOKUP($C69,ForecastImport!$B$15:$J$394,COLUMN()-3,FALSE)</f>
        <v>779621.87999999989</v>
      </c>
    </row>
    <row r="70" spans="2:12">
      <c r="B70">
        <v>108</v>
      </c>
      <c r="C70" t="s">
        <v>14</v>
      </c>
      <c r="D70" s="273" t="e">
        <f>'Sch 1- Rate Base '!E73:G73</f>
        <v>#VALUE!</v>
      </c>
      <c r="E70" s="443" t="str">
        <f>+VLOOKUP($C70,ForecastImport!$B$15:$J$394,COLUMN()-3,FALSE)</f>
        <v>110-111</v>
      </c>
      <c r="F70">
        <f>+VLOOKUP($C70,ForecastImport!$B$15:$J$394,COLUMN()-3,FALSE)</f>
        <v>183.1</v>
      </c>
      <c r="G70" t="str">
        <f>+VLOOKUP($C70,ForecastImport!$B$15:$J$394,COLUMN()-3,FALSE)</f>
        <v>DIST</v>
      </c>
      <c r="H70">
        <f>+VLOOKUP($C70,ForecastImport!$B$15:$J$394,COLUMN()-3,FALSE)</f>
        <v>0</v>
      </c>
      <c r="I70">
        <f>+VLOOKUP($C70,ForecastImport!$B$15:$J$394,COLUMN()-3,FALSE)</f>
        <v>0</v>
      </c>
      <c r="J70">
        <f>+VLOOKUP($C70,ForecastImport!$B$15:$J$394,COLUMN()-3,FALSE)</f>
        <v>0</v>
      </c>
      <c r="K70">
        <f>+VLOOKUP($C70,ForecastImport!$B$15:$J$394,COLUMN()-3,FALSE)</f>
        <v>0</v>
      </c>
      <c r="L70">
        <f>+VLOOKUP($C70,ForecastImport!$B$15:$J$394,COLUMN()-3,FALSE)</f>
        <v>0</v>
      </c>
    </row>
    <row r="71" spans="2:12">
      <c r="B71">
        <v>109</v>
      </c>
      <c r="C71" t="s">
        <v>444</v>
      </c>
      <c r="D71" s="273" t="e">
        <f>'Sch 1- Rate Base '!E74:G74</f>
        <v>#VALUE!</v>
      </c>
      <c r="E71" s="443" t="str">
        <f>+VLOOKUP($C71,ForecastImport!$B$15:$J$394,COLUMN()-3,FALSE)</f>
        <v>110-111</v>
      </c>
      <c r="F71">
        <f>+VLOOKUP($C71,ForecastImport!$B$15:$J$394,COLUMN()-3,FALSE)</f>
        <v>183.2</v>
      </c>
      <c r="G71" t="str">
        <f>+VLOOKUP($C71,ForecastImport!$B$15:$J$394,COLUMN()-3,FALSE)</f>
        <v>DIST</v>
      </c>
      <c r="H71">
        <f>+VLOOKUP($C71,ForecastImport!$B$15:$J$394,COLUMN()-3,FALSE)</f>
        <v>0</v>
      </c>
      <c r="I71">
        <f>+VLOOKUP($C71,ForecastImport!$B$15:$J$394,COLUMN()-3,FALSE)</f>
        <v>0</v>
      </c>
      <c r="J71">
        <f>+VLOOKUP($C71,ForecastImport!$B$15:$J$394,COLUMN()-3,FALSE)</f>
        <v>0</v>
      </c>
      <c r="K71">
        <f>+VLOOKUP($C71,ForecastImport!$B$15:$J$394,COLUMN()-3,FALSE)</f>
        <v>0</v>
      </c>
      <c r="L71">
        <f>+VLOOKUP($C71,ForecastImport!$B$15:$J$394,COLUMN()-3,FALSE)</f>
        <v>0</v>
      </c>
    </row>
    <row r="72" spans="2:12">
      <c r="B72">
        <v>110</v>
      </c>
      <c r="C72" t="s">
        <v>15</v>
      </c>
      <c r="D72" s="273" t="e">
        <f>'Sch 1- Rate Base '!E75:G75</f>
        <v>#VALUE!</v>
      </c>
      <c r="E72" s="443" t="str">
        <f>+VLOOKUP($C72,ForecastImport!$B$15:$J$394,COLUMN()-3,FALSE)</f>
        <v>110-111</v>
      </c>
      <c r="F72">
        <f>+VLOOKUP($C72,ForecastImport!$B$15:$J$394,COLUMN()-3,FALSE)</f>
        <v>184</v>
      </c>
      <c r="G72" t="str">
        <f>+VLOOKUP($C72,ForecastImport!$B$15:$J$394,COLUMN()-3,FALSE)</f>
        <v>DIST</v>
      </c>
      <c r="H72">
        <f>+VLOOKUP($C72,ForecastImport!$B$15:$J$394,COLUMN()-3,FALSE)</f>
        <v>0</v>
      </c>
      <c r="I72">
        <f>+VLOOKUP($C72,ForecastImport!$B$15:$J$394,COLUMN()-3,FALSE)</f>
        <v>0</v>
      </c>
      <c r="J72">
        <f>+VLOOKUP($C72,ForecastImport!$B$15:$J$394,COLUMN()-3,FALSE)</f>
        <v>0</v>
      </c>
      <c r="K72">
        <f>+VLOOKUP($C72,ForecastImport!$B$15:$J$394,COLUMN()-3,FALSE)</f>
        <v>0</v>
      </c>
      <c r="L72">
        <f>+VLOOKUP($C72,ForecastImport!$B$15:$J$394,COLUMN()-3,FALSE)</f>
        <v>0</v>
      </c>
    </row>
    <row r="73" spans="2:12">
      <c r="B73">
        <v>111</v>
      </c>
      <c r="C73" t="s">
        <v>16</v>
      </c>
      <c r="D73" s="273" t="e">
        <f>'Sch 1- Rate Base '!E76:G76</f>
        <v>#VALUE!</v>
      </c>
      <c r="E73" s="443" t="str">
        <f>+VLOOKUP($C73,ForecastImport!$B$15:$J$394,COLUMN()-3,FALSE)</f>
        <v>110-111</v>
      </c>
      <c r="F73">
        <f>+VLOOKUP($C73,ForecastImport!$B$15:$J$394,COLUMN()-3,FALSE)</f>
        <v>185</v>
      </c>
      <c r="G73" t="str">
        <f>+VLOOKUP($C73,ForecastImport!$B$15:$J$394,COLUMN()-3,FALSE)</f>
        <v>PTDG</v>
      </c>
      <c r="H73">
        <f>+VLOOKUP($C73,ForecastImport!$B$15:$J$394,COLUMN()-3,FALSE)</f>
        <v>0</v>
      </c>
      <c r="I73">
        <f>+VLOOKUP($C73,ForecastImport!$B$15:$J$394,COLUMN()-3,FALSE)</f>
        <v>120988.12387947456</v>
      </c>
      <c r="J73">
        <f>+VLOOKUP($C73,ForecastImport!$B$15:$J$394,COLUMN()-3,FALSE)</f>
        <v>42330.428638864869</v>
      </c>
      <c r="K73">
        <f>+VLOOKUP($C73,ForecastImport!$B$15:$J$394,COLUMN()-3,FALSE)</f>
        <v>0</v>
      </c>
      <c r="L73">
        <f>+VLOOKUP($C73,ForecastImport!$B$15:$J$394,COLUMN()-3,FALSE)</f>
        <v>78657.695217452958</v>
      </c>
    </row>
    <row r="74" spans="2:12">
      <c r="B74">
        <v>112</v>
      </c>
      <c r="C74" t="s">
        <v>17</v>
      </c>
      <c r="D74" s="273" t="e">
        <f>'Sch 1- Rate Base '!E77:G77</f>
        <v>#VALUE!</v>
      </c>
      <c r="E74" s="443" t="str">
        <f>+VLOOKUP($C74,ForecastImport!$B$15:$J$394,COLUMN()-3,FALSE)</f>
        <v>110-111</v>
      </c>
      <c r="F74">
        <f>+VLOOKUP($C74,ForecastImport!$B$15:$J$394,COLUMN()-3,FALSE)</f>
        <v>186</v>
      </c>
      <c r="G74" t="str">
        <f>+VLOOKUP($C74,ForecastImport!$B$15:$J$394,COLUMN()-3,FALSE)</f>
        <v>DIRECT</v>
      </c>
      <c r="H74" t="str">
        <f>+VLOOKUP($C74,ForecastImport!$B$15:$J$394,COLUMN()-3,FALSE)</f>
        <v>DIST</v>
      </c>
      <c r="I74">
        <f>+VLOOKUP($C74,ForecastImport!$B$15:$J$394,COLUMN()-3,FALSE)</f>
        <v>110048026.98478225</v>
      </c>
      <c r="J74">
        <f>+VLOOKUP($C74,ForecastImport!$B$15:$J$394,COLUMN()-3,FALSE)</f>
        <v>-94452622.49526912</v>
      </c>
      <c r="K74">
        <f>+VLOOKUP($C74,ForecastImport!$B$15:$J$394,COLUMN()-3,FALSE)</f>
        <v>0</v>
      </c>
      <c r="L74">
        <f>+VLOOKUP($C74,ForecastImport!$B$15:$J$394,COLUMN()-3,FALSE)</f>
        <v>204500649.48005137</v>
      </c>
    </row>
    <row r="75" spans="2:12">
      <c r="B75">
        <v>113</v>
      </c>
      <c r="C75" t="s">
        <v>18</v>
      </c>
      <c r="D75" s="273" t="e">
        <f>'Sch 1- Rate Base '!E78:G78</f>
        <v>#VALUE!</v>
      </c>
      <c r="E75" s="443" t="str">
        <f>+VLOOKUP($C75,ForecastImport!$B$15:$J$394,COLUMN()-3,FALSE)</f>
        <v>110-111</v>
      </c>
      <c r="F75">
        <f>+VLOOKUP($C75,ForecastImport!$B$15:$J$394,COLUMN()-3,FALSE)</f>
        <v>187</v>
      </c>
      <c r="G75" t="str">
        <f>+VLOOKUP($C75,ForecastImport!$B$15:$J$394,COLUMN()-3,FALSE)</f>
        <v>DIRECT</v>
      </c>
      <c r="H75">
        <f>+VLOOKUP($C75,ForecastImport!$B$15:$J$394,COLUMN()-3,FALSE)</f>
        <v>0</v>
      </c>
      <c r="I75">
        <f>+VLOOKUP($C75,ForecastImport!$B$15:$J$394,COLUMN()-3,FALSE)</f>
        <v>11494.21</v>
      </c>
      <c r="J75">
        <f>+VLOOKUP($C75,ForecastImport!$B$15:$J$394,COLUMN()-3,FALSE)</f>
        <v>0</v>
      </c>
      <c r="K75">
        <f>+VLOOKUP($C75,ForecastImport!$B$15:$J$394,COLUMN()-3,FALSE)</f>
        <v>0</v>
      </c>
      <c r="L75">
        <f>+VLOOKUP($C75,ForecastImport!$B$15:$J$394,COLUMN()-3,FALSE)</f>
        <v>11494.21</v>
      </c>
    </row>
    <row r="76" spans="2:12">
      <c r="B76">
        <v>114</v>
      </c>
      <c r="C76" t="s">
        <v>19</v>
      </c>
      <c r="D76" s="273" t="e">
        <f>'Sch 1- Rate Base '!E79:G79</f>
        <v>#VALUE!</v>
      </c>
      <c r="E76" s="443" t="str">
        <f>+VLOOKUP($C76,ForecastImport!$B$15:$J$394,COLUMN()-3,FALSE)</f>
        <v>110-111</v>
      </c>
      <c r="F76">
        <f>+VLOOKUP($C76,ForecastImport!$B$15:$J$394,COLUMN()-3,FALSE)</f>
        <v>188</v>
      </c>
      <c r="G76" t="str">
        <f>+VLOOKUP($C76,ForecastImport!$B$15:$J$394,COLUMN()-3,FALSE)</f>
        <v>DIST</v>
      </c>
      <c r="H76">
        <f>+VLOOKUP($C76,ForecastImport!$B$15:$J$394,COLUMN()-3,FALSE)</f>
        <v>0</v>
      </c>
      <c r="I76">
        <f>+VLOOKUP($C76,ForecastImport!$B$15:$J$394,COLUMN()-3,FALSE)</f>
        <v>0</v>
      </c>
      <c r="J76">
        <f>+VLOOKUP($C76,ForecastImport!$B$15:$J$394,COLUMN()-3,FALSE)</f>
        <v>0</v>
      </c>
      <c r="K76">
        <f>+VLOOKUP($C76,ForecastImport!$B$15:$J$394,COLUMN()-3,FALSE)</f>
        <v>0</v>
      </c>
      <c r="L76">
        <f>+VLOOKUP($C76,ForecastImport!$B$15:$J$394,COLUMN()-3,FALSE)</f>
        <v>0</v>
      </c>
    </row>
    <row r="77" spans="2:12">
      <c r="B77">
        <v>115</v>
      </c>
      <c r="C77" t="s">
        <v>20</v>
      </c>
      <c r="D77" s="273" t="e">
        <f>'Sch 1- Rate Base '!E80:G80</f>
        <v>#VALUE!</v>
      </c>
      <c r="E77" s="443" t="str">
        <f>+VLOOKUP($C77,ForecastImport!$B$15:$J$394,COLUMN()-3,FALSE)</f>
        <v>110-111</v>
      </c>
      <c r="F77">
        <f>+VLOOKUP($C77,ForecastImport!$B$15:$J$394,COLUMN()-3,FALSE)</f>
        <v>189</v>
      </c>
      <c r="G77" t="str">
        <f>+VLOOKUP($C77,ForecastImport!$B$15:$J$394,COLUMN()-3,FALSE)</f>
        <v>PTDG</v>
      </c>
      <c r="H77">
        <f>+VLOOKUP($C77,ForecastImport!$B$15:$J$394,COLUMN()-3,FALSE)</f>
        <v>0</v>
      </c>
      <c r="I77">
        <f>+VLOOKUP($C77,ForecastImport!$B$15:$J$394,COLUMN()-3,FALSE)</f>
        <v>20765305.086143192</v>
      </c>
      <c r="J77">
        <f>+VLOOKUP($C77,ForecastImport!$B$15:$J$394,COLUMN()-3,FALSE)</f>
        <v>7265211.1374905258</v>
      </c>
      <c r="K77">
        <f>+VLOOKUP($C77,ForecastImport!$B$15:$J$394,COLUMN()-3,FALSE)</f>
        <v>0</v>
      </c>
      <c r="L77">
        <f>+VLOOKUP($C77,ForecastImport!$B$15:$J$394,COLUMN()-3,FALSE)</f>
        <v>13500093.944678253</v>
      </c>
    </row>
    <row r="78" spans="2:12">
      <c r="B78">
        <v>116</v>
      </c>
      <c r="C78" t="s">
        <v>21</v>
      </c>
      <c r="D78" s="273" t="e">
        <f>'Sch 1- Rate Base '!E81:G81</f>
        <v>#VALUE!</v>
      </c>
      <c r="E78" s="443" t="str">
        <f>+VLOOKUP($C78,ForecastImport!$B$15:$J$394,COLUMN()-3,FALSE)</f>
        <v>110-111</v>
      </c>
      <c r="F78">
        <f>+VLOOKUP($C78,ForecastImport!$B$15:$J$394,COLUMN()-3,FALSE)</f>
        <v>190</v>
      </c>
      <c r="G78" t="str">
        <f>+VLOOKUP($C78,ForecastImport!$B$15:$J$394,COLUMN()-3,FALSE)</f>
        <v>DIST</v>
      </c>
      <c r="H78">
        <f>+VLOOKUP($C78,ForecastImport!$B$15:$J$394,COLUMN()-3,FALSE)</f>
        <v>0</v>
      </c>
      <c r="I78">
        <f>+VLOOKUP($C78,ForecastImport!$B$15:$J$394,COLUMN()-3,FALSE)</f>
        <v>232865758.83263156</v>
      </c>
      <c r="J78">
        <f>+VLOOKUP($C78,ForecastImport!$B$15:$J$394,COLUMN()-3,FALSE)</f>
        <v>0</v>
      </c>
      <c r="K78">
        <f>+VLOOKUP($C78,ForecastImport!$B$15:$J$394,COLUMN()-3,FALSE)</f>
        <v>0</v>
      </c>
      <c r="L78">
        <f>+VLOOKUP($C78,ForecastImport!$B$15:$J$394,COLUMN()-3,FALSE)</f>
        <v>232865758.83263156</v>
      </c>
    </row>
    <row r="79" spans="2:12">
      <c r="B79">
        <v>122</v>
      </c>
      <c r="C79" t="s">
        <v>330</v>
      </c>
      <c r="D79" s="273" t="e">
        <f>'Sch 1- Rate Base '!E82:G82</f>
        <v>#VALUE!</v>
      </c>
      <c r="E79" s="443" t="str">
        <f>+VLOOKUP($C79,ForecastImport!$B$15:$J$394,COLUMN()-3,FALSE)</f>
        <v>112-113</v>
      </c>
      <c r="F79">
        <f>+VLOOKUP($C79,ForecastImport!$B$15:$J$394,COLUMN()-3,FALSE)</f>
        <v>175</v>
      </c>
      <c r="G79" t="str">
        <f>+VLOOKUP($C79,ForecastImport!$B$15:$J$394,COLUMN()-3,FALSE)</f>
        <v>DIST</v>
      </c>
      <c r="H79">
        <f>+VLOOKUP($C79,ForecastImport!$B$15:$J$394,COLUMN()-3,FALSE)</f>
        <v>0</v>
      </c>
      <c r="I79">
        <f>+VLOOKUP($C79,ForecastImport!$B$15:$J$394,COLUMN()-3,FALSE)</f>
        <v>126938815.89</v>
      </c>
      <c r="J79">
        <f>+VLOOKUP($C79,ForecastImport!$B$15:$J$394,COLUMN()-3,FALSE)</f>
        <v>0</v>
      </c>
      <c r="K79">
        <f>+VLOOKUP($C79,ForecastImport!$B$15:$J$394,COLUMN()-3,FALSE)</f>
        <v>0</v>
      </c>
      <c r="L79">
        <f>+VLOOKUP($C79,ForecastImport!$B$15:$J$394,COLUMN()-3,FALSE)</f>
        <v>126938815.89</v>
      </c>
    </row>
    <row r="80" spans="2:12">
      <c r="B80">
        <v>123</v>
      </c>
      <c r="C80" s="273" t="s">
        <v>615</v>
      </c>
      <c r="D80" s="273" t="e">
        <f>'Sch 1- Rate Base '!E83:G83</f>
        <v>#VALUE!</v>
      </c>
      <c r="E80" s="443" t="str">
        <f>+VLOOKUP($C80,ForecastImport!$B$15:$J$394,COLUMN()-3,FALSE)</f>
        <v>112-113</v>
      </c>
      <c r="F80">
        <f>+VLOOKUP($C80,ForecastImport!$B$15:$J$394,COLUMN()-3,FALSE)</f>
        <v>175</v>
      </c>
      <c r="G80" t="str">
        <f>+VLOOKUP($C80,ForecastImport!$B$15:$J$394,COLUMN()-3,FALSE)</f>
        <v>DIST</v>
      </c>
      <c r="H80">
        <f>+VLOOKUP($C80,ForecastImport!$B$15:$J$394,COLUMN()-3,FALSE)</f>
        <v>0</v>
      </c>
      <c r="I80">
        <f>+VLOOKUP($C80,ForecastImport!$B$15:$J$394,COLUMN()-3,FALSE)</f>
        <v>19744163.190000001</v>
      </c>
      <c r="J80">
        <f>+VLOOKUP($C80,ForecastImport!$B$15:$J$394,COLUMN()-3,FALSE)</f>
        <v>0</v>
      </c>
      <c r="K80">
        <f>+VLOOKUP($C80,ForecastImport!$B$15:$J$394,COLUMN()-3,FALSE)</f>
        <v>0</v>
      </c>
      <c r="L80">
        <f>+VLOOKUP($C80,ForecastImport!$B$15:$J$394,COLUMN()-3,FALSE)</f>
        <v>19744163.190000001</v>
      </c>
    </row>
    <row r="81" spans="2:12">
      <c r="B81">
        <v>124</v>
      </c>
      <c r="C81" t="s">
        <v>331</v>
      </c>
      <c r="D81" s="273" t="e">
        <f>'Sch 1- Rate Base '!E84:G84</f>
        <v>#VALUE!</v>
      </c>
      <c r="E81" s="443" t="str">
        <f>+VLOOKUP($C81,ForecastImport!$B$15:$J$394,COLUMN()-3,FALSE)</f>
        <v>112-113</v>
      </c>
      <c r="F81">
        <f>+VLOOKUP($C81,ForecastImport!$B$15:$J$394,COLUMN()-3,FALSE)</f>
        <v>176</v>
      </c>
      <c r="G81" t="str">
        <f>+VLOOKUP($C81,ForecastImport!$B$15:$J$394,COLUMN()-3,FALSE)</f>
        <v>DIST</v>
      </c>
      <c r="H81">
        <f>+VLOOKUP($C81,ForecastImport!$B$15:$J$394,COLUMN()-3,FALSE)</f>
        <v>0</v>
      </c>
      <c r="I81">
        <f>+VLOOKUP($C81,ForecastImport!$B$15:$J$394,COLUMN()-3,FALSE)</f>
        <v>0</v>
      </c>
      <c r="J81">
        <f>+VLOOKUP($C81,ForecastImport!$B$15:$J$394,COLUMN()-3,FALSE)</f>
        <v>0</v>
      </c>
      <c r="K81">
        <f>+VLOOKUP($C81,ForecastImport!$B$15:$J$394,COLUMN()-3,FALSE)</f>
        <v>0</v>
      </c>
      <c r="L81">
        <f>+VLOOKUP($C81,ForecastImport!$B$15:$J$394,COLUMN()-3,FALSE)</f>
        <v>0</v>
      </c>
    </row>
    <row r="82" spans="2:12">
      <c r="B82">
        <v>125</v>
      </c>
      <c r="C82" s="273" t="s">
        <v>616</v>
      </c>
      <c r="D82" s="273" t="e">
        <f>'Sch 1- Rate Base '!E85:G85</f>
        <v>#VALUE!</v>
      </c>
      <c r="E82" s="443" t="str">
        <f>+VLOOKUP($C82,ForecastImport!$B$15:$J$394,COLUMN()-3,FALSE)</f>
        <v>112-113</v>
      </c>
      <c r="F82">
        <f>+VLOOKUP($C82,ForecastImport!$B$15:$J$394,COLUMN()-3,FALSE)</f>
        <v>176</v>
      </c>
      <c r="G82" t="str">
        <f>+VLOOKUP($C82,ForecastImport!$B$15:$J$394,COLUMN()-3,FALSE)</f>
        <v>DIST</v>
      </c>
      <c r="H82">
        <f>+VLOOKUP($C82,ForecastImport!$B$15:$J$394,COLUMN()-3,FALSE)</f>
        <v>0</v>
      </c>
      <c r="I82">
        <f>+VLOOKUP($C82,ForecastImport!$B$15:$J$394,COLUMN()-3,FALSE)</f>
        <v>0</v>
      </c>
      <c r="J82">
        <f>+VLOOKUP($C82,ForecastImport!$B$15:$J$394,COLUMN()-3,FALSE)</f>
        <v>0</v>
      </c>
      <c r="K82">
        <f>+VLOOKUP($C82,ForecastImport!$B$15:$J$394,COLUMN()-3,FALSE)</f>
        <v>0</v>
      </c>
      <c r="L82">
        <f>+VLOOKUP($C82,ForecastImport!$B$15:$J$394,COLUMN()-3,FALSE)</f>
        <v>0</v>
      </c>
    </row>
    <row r="83" spans="2:12">
      <c r="B83">
        <v>126</v>
      </c>
      <c r="C83" t="s">
        <v>372</v>
      </c>
      <c r="D83" s="273" t="e">
        <f>'Sch 1- Rate Base '!E86:G86</f>
        <v>#VALUE!</v>
      </c>
      <c r="E83" s="443" t="str">
        <f>+VLOOKUP($C83,ForecastImport!$B$15:$J$394,COLUMN()-3,FALSE)</f>
        <v>112-113</v>
      </c>
      <c r="F83">
        <f>+VLOOKUP($C83,ForecastImport!$B$15:$J$394,COLUMN()-3,FALSE)</f>
        <v>244</v>
      </c>
      <c r="G83" t="str">
        <f>+VLOOKUP($C83,ForecastImport!$B$15:$J$394,COLUMN()-3,FALSE)</f>
        <v>DIST</v>
      </c>
      <c r="H83">
        <f>+VLOOKUP($C83,ForecastImport!$B$15:$J$394,COLUMN()-3,FALSE)</f>
        <v>0</v>
      </c>
      <c r="I83">
        <f>+VLOOKUP($C83,ForecastImport!$B$15:$J$394,COLUMN()-3,FALSE)</f>
        <v>0</v>
      </c>
      <c r="J83">
        <f>+VLOOKUP($C83,ForecastImport!$B$15:$J$394,COLUMN()-3,FALSE)</f>
        <v>0</v>
      </c>
      <c r="K83">
        <f>+VLOOKUP($C83,ForecastImport!$B$15:$J$394,COLUMN()-3,FALSE)</f>
        <v>0</v>
      </c>
      <c r="L83">
        <f>+VLOOKUP($C83,ForecastImport!$B$15:$J$394,COLUMN()-3,FALSE)</f>
        <v>0</v>
      </c>
    </row>
    <row r="84" spans="2:12">
      <c r="B84">
        <v>127</v>
      </c>
      <c r="C84" t="s">
        <v>373</v>
      </c>
      <c r="D84" s="273" t="e">
        <f>'Sch 1- Rate Base '!E87:G87</f>
        <v>#VALUE!</v>
      </c>
      <c r="E84" s="443" t="str">
        <f>+VLOOKUP($C84,ForecastImport!$B$15:$J$394,COLUMN()-3,FALSE)</f>
        <v>112-113</v>
      </c>
      <c r="F84">
        <f>+VLOOKUP($C84,ForecastImport!$B$15:$J$394,COLUMN()-3,FALSE)</f>
        <v>245</v>
      </c>
      <c r="G84" t="str">
        <f>+VLOOKUP($C84,ForecastImport!$B$15:$J$394,COLUMN()-3,FALSE)</f>
        <v>DIST</v>
      </c>
      <c r="H84">
        <f>+VLOOKUP($C84,ForecastImport!$B$15:$J$394,COLUMN()-3,FALSE)</f>
        <v>0</v>
      </c>
      <c r="I84">
        <f>+VLOOKUP($C84,ForecastImport!$B$15:$J$394,COLUMN()-3,FALSE)</f>
        <v>0</v>
      </c>
      <c r="J84">
        <f>+VLOOKUP($C84,ForecastImport!$B$15:$J$394,COLUMN()-3,FALSE)</f>
        <v>0</v>
      </c>
      <c r="K84">
        <f>+VLOOKUP($C84,ForecastImport!$B$15:$J$394,COLUMN()-3,FALSE)</f>
        <v>0</v>
      </c>
      <c r="L84">
        <f>+VLOOKUP($C84,ForecastImport!$B$15:$J$394,COLUMN()-3,FALSE)</f>
        <v>0</v>
      </c>
    </row>
    <row r="85" spans="2:12">
      <c r="B85">
        <v>128</v>
      </c>
      <c r="C85" t="s">
        <v>22</v>
      </c>
      <c r="D85" s="273" t="e">
        <f>'Sch 1- Rate Base '!E88:G88</f>
        <v>#VALUE!</v>
      </c>
      <c r="E85" s="443" t="str">
        <f>+VLOOKUP($C85,ForecastImport!$B$15:$J$394,COLUMN()-3,FALSE)</f>
        <v>112-113</v>
      </c>
      <c r="F85">
        <f>+VLOOKUP($C85,ForecastImport!$B$15:$J$394,COLUMN()-3,FALSE)</f>
        <v>252</v>
      </c>
      <c r="G85" t="str">
        <f>+VLOOKUP($C85,ForecastImport!$B$15:$J$394,COLUMN()-3,FALSE)</f>
        <v>DIST</v>
      </c>
      <c r="H85">
        <f>+VLOOKUP($C85,ForecastImport!$B$15:$J$394,COLUMN()-3,FALSE)</f>
        <v>0</v>
      </c>
      <c r="I85">
        <f>+VLOOKUP($C85,ForecastImport!$B$15:$J$394,COLUMN()-3,FALSE)</f>
        <v>141549489.40000001</v>
      </c>
      <c r="J85">
        <f>+VLOOKUP($C85,ForecastImport!$B$15:$J$394,COLUMN()-3,FALSE)</f>
        <v>0</v>
      </c>
      <c r="K85">
        <f>+VLOOKUP($C85,ForecastImport!$B$15:$J$394,COLUMN()-3,FALSE)</f>
        <v>0</v>
      </c>
      <c r="L85">
        <f>+VLOOKUP($C85,ForecastImport!$B$15:$J$394,COLUMN()-3,FALSE)</f>
        <v>141549489.40000001</v>
      </c>
    </row>
    <row r="86" spans="2:12">
      <c r="B86">
        <v>129</v>
      </c>
      <c r="C86" t="s">
        <v>25</v>
      </c>
      <c r="D86" s="273" t="e">
        <f>'Sch 1- Rate Base '!E89:G89</f>
        <v>#VALUE!</v>
      </c>
      <c r="E86" s="443" t="str">
        <f>+VLOOKUP($C86,ForecastImport!$B$15:$J$394,COLUMN()-3,FALSE)</f>
        <v>112-113</v>
      </c>
      <c r="F86">
        <f>+VLOOKUP($C86,ForecastImport!$B$15:$J$394,COLUMN()-3,FALSE)</f>
        <v>253</v>
      </c>
      <c r="G86" t="str">
        <f>+VLOOKUP($C86,ForecastImport!$B$15:$J$394,COLUMN()-3,FALSE)</f>
        <v>DIRECT</v>
      </c>
      <c r="H86" t="str">
        <f>+VLOOKUP($C86,ForecastImport!$B$15:$J$394,COLUMN()-3,FALSE)</f>
        <v>DIST</v>
      </c>
      <c r="I86">
        <f>+VLOOKUP($C86,ForecastImport!$B$15:$J$394,COLUMN()-3,FALSE)</f>
        <v>240685828.18268144</v>
      </c>
      <c r="J86">
        <f>+VLOOKUP($C86,ForecastImport!$B$15:$J$394,COLUMN()-3,FALSE)</f>
        <v>74029658.958190456</v>
      </c>
      <c r="K86">
        <f>+VLOOKUP($C86,ForecastImport!$B$15:$J$394,COLUMN()-3,FALSE)</f>
        <v>0</v>
      </c>
      <c r="L86">
        <f>+VLOOKUP($C86,ForecastImport!$B$15:$J$394,COLUMN()-3,FALSE)</f>
        <v>166656169.22449097</v>
      </c>
    </row>
    <row r="87" spans="2:12">
      <c r="B87">
        <v>130</v>
      </c>
      <c r="C87" t="s">
        <v>26</v>
      </c>
      <c r="D87" s="273" t="e">
        <f>'Sch 1- Rate Base '!E90:G90</f>
        <v>#VALUE!</v>
      </c>
      <c r="E87" s="443" t="str">
        <f>+VLOOKUP($C87,ForecastImport!$B$15:$J$394,COLUMN()-3,FALSE)</f>
        <v>112-113</v>
      </c>
      <c r="F87">
        <f>+VLOOKUP($C87,ForecastImport!$B$15:$J$394,COLUMN()-3,FALSE)</f>
        <v>254</v>
      </c>
      <c r="G87" t="str">
        <f>+VLOOKUP($C87,ForecastImport!$B$15:$J$394,COLUMN()-3,FALSE)</f>
        <v>DIRECT</v>
      </c>
      <c r="H87" t="str">
        <f>+VLOOKUP($C87,ForecastImport!$B$15:$J$394,COLUMN()-3,FALSE)</f>
        <v>DIST</v>
      </c>
      <c r="I87">
        <f>+VLOOKUP($C87,ForecastImport!$B$15:$J$394,COLUMN()-3,FALSE)</f>
        <v>529787017.69000006</v>
      </c>
      <c r="J87">
        <f>+VLOOKUP($C87,ForecastImport!$B$15:$J$394,COLUMN()-3,FALSE)</f>
        <v>317891.18</v>
      </c>
      <c r="K87">
        <f>+VLOOKUP($C87,ForecastImport!$B$15:$J$394,COLUMN()-3,FALSE)</f>
        <v>0</v>
      </c>
      <c r="L87">
        <f>+VLOOKUP($C87,ForecastImport!$B$15:$J$394,COLUMN()-3,FALSE)</f>
        <v>529469126.51000005</v>
      </c>
    </row>
    <row r="88" spans="2:12">
      <c r="B88">
        <v>131</v>
      </c>
      <c r="C88" t="s">
        <v>23</v>
      </c>
      <c r="D88" s="273" t="e">
        <f>'Sch 1- Rate Base '!E91:G91</f>
        <v>#VALUE!</v>
      </c>
      <c r="E88" s="443" t="str">
        <f>+VLOOKUP($C88,ForecastImport!$B$15:$J$394,COLUMN()-3,FALSE)</f>
        <v>112-113</v>
      </c>
      <c r="F88">
        <f>+VLOOKUP($C88,ForecastImport!$B$15:$J$394,COLUMN()-3,FALSE)</f>
        <v>255</v>
      </c>
      <c r="G88" t="str">
        <f>+VLOOKUP($C88,ForecastImport!$B$15:$J$394,COLUMN()-3,FALSE)</f>
        <v>DIST</v>
      </c>
      <c r="H88">
        <f>+VLOOKUP($C88,ForecastImport!$B$15:$J$394,COLUMN()-3,FALSE)</f>
        <v>0</v>
      </c>
      <c r="I88">
        <f>+VLOOKUP($C88,ForecastImport!$B$15:$J$394,COLUMN()-3,FALSE)</f>
        <v>0</v>
      </c>
      <c r="J88">
        <f>+VLOOKUP($C88,ForecastImport!$B$15:$J$394,COLUMN()-3,FALSE)</f>
        <v>0</v>
      </c>
      <c r="K88">
        <f>+VLOOKUP($C88,ForecastImport!$B$15:$J$394,COLUMN()-3,FALSE)</f>
        <v>0</v>
      </c>
      <c r="L88">
        <f>+VLOOKUP($C88,ForecastImport!$B$15:$J$394,COLUMN()-3,FALSE)</f>
        <v>0</v>
      </c>
    </row>
    <row r="89" spans="2:12">
      <c r="B89">
        <v>132</v>
      </c>
      <c r="C89" t="s">
        <v>24</v>
      </c>
      <c r="D89" s="273" t="e">
        <f>'Sch 1- Rate Base '!E92:G92</f>
        <v>#VALUE!</v>
      </c>
      <c r="E89" s="443" t="str">
        <f>+VLOOKUP($C89,ForecastImport!$B$15:$J$394,COLUMN()-3,FALSE)</f>
        <v>112-113</v>
      </c>
      <c r="F89">
        <f>+VLOOKUP($C89,ForecastImport!$B$15:$J$394,COLUMN()-3,FALSE)</f>
        <v>256</v>
      </c>
      <c r="G89" t="str">
        <f>+VLOOKUP($C89,ForecastImport!$B$15:$J$394,COLUMN()-3,FALSE)</f>
        <v>DIRECT</v>
      </c>
      <c r="H89">
        <f>+VLOOKUP($C89,ForecastImport!$B$15:$J$394,COLUMN()-3,FALSE)</f>
        <v>0</v>
      </c>
      <c r="I89">
        <f>+VLOOKUP($C89,ForecastImport!$B$15:$J$394,COLUMN()-3,FALSE)</f>
        <v>1353224.7999999998</v>
      </c>
      <c r="J89">
        <f>+VLOOKUP($C89,ForecastImport!$B$15:$J$394,COLUMN()-3,FALSE)</f>
        <v>0</v>
      </c>
      <c r="K89">
        <f>+VLOOKUP($C89,ForecastImport!$B$15:$J$394,COLUMN()-3,FALSE)</f>
        <v>0</v>
      </c>
      <c r="L89">
        <f>+VLOOKUP($C89,ForecastImport!$B$15:$J$394,COLUMN()-3,FALSE)</f>
        <v>1353224.7999999998</v>
      </c>
    </row>
    <row r="90" spans="2:12">
      <c r="B90">
        <v>133</v>
      </c>
      <c r="C90" t="s">
        <v>27</v>
      </c>
      <c r="D90" s="273" t="e">
        <f>'Sch 1- Rate Base '!E93:G93</f>
        <v>#VALUE!</v>
      </c>
      <c r="E90" s="443" t="str">
        <f>+VLOOKUP($C90,ForecastImport!$B$15:$J$394,COLUMN()-3,FALSE)</f>
        <v>112-113</v>
      </c>
      <c r="F90">
        <f>+VLOOKUP($C90,ForecastImport!$B$15:$J$394,COLUMN()-3,FALSE)</f>
        <v>257</v>
      </c>
      <c r="G90" t="str">
        <f>+VLOOKUP($C90,ForecastImport!$B$15:$J$394,COLUMN()-3,FALSE)</f>
        <v>PTDG</v>
      </c>
      <c r="H90">
        <f>+VLOOKUP($C90,ForecastImport!$B$15:$J$394,COLUMN()-3,FALSE)</f>
        <v>0</v>
      </c>
      <c r="I90">
        <f>+VLOOKUP($C90,ForecastImport!$B$15:$J$394,COLUMN()-3,FALSE)</f>
        <v>0</v>
      </c>
      <c r="J90">
        <f>+VLOOKUP($C90,ForecastImport!$B$15:$J$394,COLUMN()-3,FALSE)</f>
        <v>0</v>
      </c>
      <c r="K90">
        <f>+VLOOKUP($C90,ForecastImport!$B$15:$J$394,COLUMN()-3,FALSE)</f>
        <v>0</v>
      </c>
      <c r="L90">
        <f>+VLOOKUP($C90,ForecastImport!$B$15:$J$394,COLUMN()-3,FALSE)</f>
        <v>0</v>
      </c>
    </row>
    <row r="91" spans="2:12">
      <c r="B91">
        <v>134</v>
      </c>
      <c r="C91" t="s">
        <v>31</v>
      </c>
      <c r="D91" s="273" t="e">
        <f>'Sch 1- Rate Base '!E94:G94</f>
        <v>#VALUE!</v>
      </c>
      <c r="E91" s="443" t="str">
        <f>+VLOOKUP($C91,ForecastImport!$B$15:$J$394,COLUMN()-3,FALSE)</f>
        <v>112-113</v>
      </c>
      <c r="F91">
        <f>+VLOOKUP($C91,ForecastImport!$B$15:$J$394,COLUMN()-3,FALSE)</f>
        <v>281</v>
      </c>
      <c r="G91" t="str">
        <f>+VLOOKUP($C91,ForecastImport!$B$15:$J$394,COLUMN()-3,FALSE)</f>
        <v>DIST</v>
      </c>
      <c r="H91">
        <f>+VLOOKUP($C91,ForecastImport!$B$15:$J$394,COLUMN()-3,FALSE)</f>
        <v>0</v>
      </c>
      <c r="I91">
        <f>+VLOOKUP($C91,ForecastImport!$B$15:$J$394,COLUMN()-3,FALSE)</f>
        <v>0</v>
      </c>
      <c r="J91">
        <f>+VLOOKUP($C91,ForecastImport!$B$15:$J$394,COLUMN()-3,FALSE)</f>
        <v>0</v>
      </c>
      <c r="K91">
        <f>+VLOOKUP($C91,ForecastImport!$B$15:$J$394,COLUMN()-3,FALSE)</f>
        <v>0</v>
      </c>
      <c r="L91">
        <f>+VLOOKUP($C91,ForecastImport!$B$15:$J$394,COLUMN()-3,FALSE)</f>
        <v>0</v>
      </c>
    </row>
    <row r="92" spans="2:12">
      <c r="B92">
        <v>135</v>
      </c>
      <c r="C92" t="s">
        <v>32</v>
      </c>
      <c r="D92" s="273" t="e">
        <f>'Sch 1- Rate Base '!E95:G95</f>
        <v>#VALUE!</v>
      </c>
      <c r="E92" s="443" t="str">
        <f>+VLOOKUP($C92,ForecastImport!$B$15:$J$394,COLUMN()-3,FALSE)</f>
        <v>112-113</v>
      </c>
      <c r="F92">
        <f>+VLOOKUP($C92,ForecastImport!$B$15:$J$394,COLUMN()-3,FALSE)</f>
        <v>282</v>
      </c>
      <c r="G92" t="str">
        <f>+VLOOKUP($C92,ForecastImport!$B$15:$J$394,COLUMN()-3,FALSE)</f>
        <v>DIST</v>
      </c>
      <c r="H92">
        <f>+VLOOKUP($C92,ForecastImport!$B$15:$J$394,COLUMN()-3,FALSE)</f>
        <v>0</v>
      </c>
      <c r="I92">
        <f>+VLOOKUP($C92,ForecastImport!$B$15:$J$394,COLUMN()-3,FALSE)</f>
        <v>763011479.07151985</v>
      </c>
      <c r="J92">
        <f>+VLOOKUP($C92,ForecastImport!$B$15:$J$394,COLUMN()-3,FALSE)</f>
        <v>0</v>
      </c>
      <c r="K92">
        <f>+VLOOKUP($C92,ForecastImport!$B$15:$J$394,COLUMN()-3,FALSE)</f>
        <v>0</v>
      </c>
      <c r="L92">
        <f>+VLOOKUP($C92,ForecastImport!$B$15:$J$394,COLUMN()-3,FALSE)</f>
        <v>763011479.07151985</v>
      </c>
    </row>
    <row r="93" spans="2:12">
      <c r="B93">
        <v>136</v>
      </c>
      <c r="C93" t="s">
        <v>33</v>
      </c>
      <c r="D93" s="273" t="e">
        <f>'Sch 1- Rate Base '!E96:G96</f>
        <v>#VALUE!</v>
      </c>
      <c r="E93" s="443" t="str">
        <f>+VLOOKUP($C93,ForecastImport!$B$15:$J$394,COLUMN()-3,FALSE)</f>
        <v>112-113</v>
      </c>
      <c r="F93">
        <f>+VLOOKUP($C93,ForecastImport!$B$15:$J$394,COLUMN()-3,FALSE)</f>
        <v>283</v>
      </c>
      <c r="G93" t="str">
        <f>+VLOOKUP($C93,ForecastImport!$B$15:$J$394,COLUMN()-3,FALSE)</f>
        <v>DIST</v>
      </c>
      <c r="H93">
        <f>+VLOOKUP($C93,ForecastImport!$B$15:$J$394,COLUMN()-3,FALSE)</f>
        <v>0</v>
      </c>
      <c r="I93">
        <f>+VLOOKUP($C93,ForecastImport!$B$15:$J$394,COLUMN()-3,FALSE)</f>
        <v>226461605.12920922</v>
      </c>
      <c r="J93">
        <f>+VLOOKUP($C93,ForecastImport!$B$15:$J$394,COLUMN()-3,FALSE)</f>
        <v>0</v>
      </c>
      <c r="K93">
        <f>+VLOOKUP($C93,ForecastImport!$B$15:$J$394,COLUMN()-3,FALSE)</f>
        <v>0</v>
      </c>
      <c r="L93">
        <f>+VLOOKUP($C93,ForecastImport!$B$15:$J$394,COLUMN()-3,FALSE)</f>
        <v>226461605.12920922</v>
      </c>
    </row>
    <row r="94" spans="2:12">
      <c r="B94">
        <v>145</v>
      </c>
      <c r="C94" t="s">
        <v>63</v>
      </c>
      <c r="D94" s="273" t="e">
        <f>'Sch 1- Rate Base '!E97:G97</f>
        <v>#VALUE!</v>
      </c>
      <c r="E94" s="443">
        <f>+VLOOKUP($C94,ForecastImport!$B$15:$J$394,COLUMN()-3,FALSE)</f>
        <v>0</v>
      </c>
      <c r="F94">
        <f>+VLOOKUP($C94,ForecastImport!$B$15:$J$394,COLUMN()-3,FALSE)</f>
        <v>0</v>
      </c>
      <c r="G94">
        <f>+VLOOKUP($C94,ForecastImport!$B$15:$J$394,COLUMN()-3,FALSE)</f>
        <v>0</v>
      </c>
      <c r="H94">
        <f>+VLOOKUP($C94,ForecastImport!$B$15:$J$394,COLUMN()-3,FALSE)</f>
        <v>0</v>
      </c>
      <c r="I94">
        <f>+VLOOKUP($C94,ForecastImport!$B$15:$J$394,COLUMN()-3,FALSE)</f>
        <v>0</v>
      </c>
      <c r="J94">
        <f>+VLOOKUP($C94,ForecastImport!$B$15:$J$394,COLUMN()-3,FALSE)</f>
        <v>0</v>
      </c>
      <c r="K94">
        <f>+VLOOKUP($C94,ForecastImport!$B$15:$J$394,COLUMN()-3,FALSE)</f>
        <v>0</v>
      </c>
      <c r="L94">
        <f>+VLOOKUP($C94,ForecastImport!$B$15:$J$394,COLUMN()-3,FALSE)</f>
        <v>0</v>
      </c>
    </row>
    <row r="95" spans="2:12">
      <c r="B95">
        <v>147</v>
      </c>
      <c r="C95" t="s">
        <v>141</v>
      </c>
      <c r="D95" s="273" t="e">
        <f>'Sch 1- Rate Base '!E98:G98</f>
        <v>#VALUE!</v>
      </c>
      <c r="E95" s="443">
        <f>+VLOOKUP($C95,ForecastImport!$B$15:$J$394,COLUMN()-3,FALSE)</f>
        <v>0</v>
      </c>
      <c r="F95">
        <f>+VLOOKUP($C95,ForecastImport!$B$15:$J$394,COLUMN()-3,FALSE)</f>
        <v>0</v>
      </c>
      <c r="G95">
        <f>+VLOOKUP($C95,ForecastImport!$B$15:$J$394,COLUMN()-3,FALSE)</f>
        <v>0</v>
      </c>
      <c r="H95">
        <f>+VLOOKUP($C95,ForecastImport!$B$15:$J$394,COLUMN()-3,FALSE)</f>
        <v>0</v>
      </c>
      <c r="I95">
        <f>+VLOOKUP($C95,ForecastImport!$B$15:$J$394,COLUMN()-3,FALSE)</f>
        <v>0</v>
      </c>
      <c r="J95">
        <f>+VLOOKUP($C95,ForecastImport!$B$15:$J$394,COLUMN()-3,FALSE)</f>
        <v>0</v>
      </c>
      <c r="K95">
        <f>+VLOOKUP($C95,ForecastImport!$B$15:$J$394,COLUMN()-3,FALSE)</f>
        <v>0</v>
      </c>
      <c r="L95">
        <f>+VLOOKUP($C95,ForecastImport!$B$15:$J$394,COLUMN()-3,FALSE)</f>
        <v>0</v>
      </c>
    </row>
    <row r="96" spans="2:12">
      <c r="B96">
        <v>150</v>
      </c>
      <c r="C96" t="s">
        <v>257</v>
      </c>
      <c r="D96" s="273" t="e">
        <f>'Sch 1- Rate Base '!E99:G99</f>
        <v>#VALUE!</v>
      </c>
      <c r="E96" s="443" t="str">
        <f>+VLOOKUP($C96,ForecastImport!$B$15:$J$394,COLUMN()-3,FALSE)</f>
        <v>320-323</v>
      </c>
      <c r="F96">
        <f>+VLOOKUP($C96,ForecastImport!$B$15:$J$394,COLUMN()-3,FALSE)</f>
        <v>501</v>
      </c>
      <c r="G96" t="str">
        <f>+VLOOKUP($C96,ForecastImport!$B$15:$J$394,COLUMN()-3,FALSE)</f>
        <v>PROD</v>
      </c>
      <c r="H96">
        <f>+VLOOKUP($C96,ForecastImport!$B$15:$J$394,COLUMN()-3,FALSE)</f>
        <v>0</v>
      </c>
      <c r="I96">
        <f>+VLOOKUP($C96,ForecastImport!$B$15:$J$394,COLUMN()-3,FALSE)</f>
        <v>60636604</v>
      </c>
      <c r="J96">
        <f>+VLOOKUP($C96,ForecastImport!$B$15:$J$394,COLUMN()-3,FALSE)</f>
        <v>60636604</v>
      </c>
      <c r="K96">
        <f>+VLOOKUP($C96,ForecastImport!$B$15:$J$394,COLUMN()-3,FALSE)</f>
        <v>0</v>
      </c>
      <c r="L96">
        <f>+VLOOKUP($C96,ForecastImport!$B$15:$J$394,COLUMN()-3,FALSE)</f>
        <v>0</v>
      </c>
    </row>
    <row r="97" spans="2:12">
      <c r="B97">
        <v>151</v>
      </c>
      <c r="C97" t="s">
        <v>258</v>
      </c>
      <c r="D97" s="273" t="e">
        <f>'Sch 1- Rate Base '!E100:G100</f>
        <v>#VALUE!</v>
      </c>
      <c r="E97" s="443" t="str">
        <f>+VLOOKUP($C97,ForecastImport!$B$15:$J$394,COLUMN()-3,FALSE)</f>
        <v>320-323</v>
      </c>
      <c r="F97" t="str">
        <f>+VLOOKUP($C97,ForecastImport!$B$15:$J$394,COLUMN()-3,FALSE)</f>
        <v>500-509</v>
      </c>
      <c r="G97" t="str">
        <f>+VLOOKUP($C97,ForecastImport!$B$15:$J$394,COLUMN()-3,FALSE)</f>
        <v>PROD</v>
      </c>
      <c r="H97">
        <f>+VLOOKUP($C97,ForecastImport!$B$15:$J$394,COLUMN()-3,FALSE)</f>
        <v>0</v>
      </c>
      <c r="I97">
        <f>+VLOOKUP($C97,ForecastImport!$B$15:$J$394,COLUMN()-3,FALSE)</f>
        <v>20123737</v>
      </c>
      <c r="J97">
        <f>+VLOOKUP($C97,ForecastImport!$B$15:$J$394,COLUMN()-3,FALSE)</f>
        <v>20123737</v>
      </c>
      <c r="K97">
        <f>+VLOOKUP($C97,ForecastImport!$B$15:$J$394,COLUMN()-3,FALSE)</f>
        <v>0</v>
      </c>
      <c r="L97">
        <f>+VLOOKUP($C97,ForecastImport!$B$15:$J$394,COLUMN()-3,FALSE)</f>
        <v>0</v>
      </c>
    </row>
    <row r="98" spans="2:12">
      <c r="B98">
        <v>152</v>
      </c>
      <c r="C98" t="s">
        <v>259</v>
      </c>
      <c r="D98" s="273" t="e">
        <f>'Sch 1- Rate Base '!E101:G101</f>
        <v>#VALUE!</v>
      </c>
      <c r="E98" s="443" t="str">
        <f>+VLOOKUP($C98,ForecastImport!$B$15:$J$394,COLUMN()-3,FALSE)</f>
        <v>320-323</v>
      </c>
      <c r="F98" t="str">
        <f>+VLOOKUP($C98,ForecastImport!$B$15:$J$394,COLUMN()-3,FALSE)</f>
        <v>510-515</v>
      </c>
      <c r="G98" t="str">
        <f>+VLOOKUP($C98,ForecastImport!$B$15:$J$394,COLUMN()-3,FALSE)</f>
        <v>PROD</v>
      </c>
      <c r="H98">
        <f>+VLOOKUP($C98,ForecastImport!$B$15:$J$394,COLUMN()-3,FALSE)</f>
        <v>0</v>
      </c>
      <c r="I98">
        <f>+VLOOKUP($C98,ForecastImport!$B$15:$J$394,COLUMN()-3,FALSE)</f>
        <v>23219450</v>
      </c>
      <c r="J98">
        <f>+VLOOKUP($C98,ForecastImport!$B$15:$J$394,COLUMN()-3,FALSE)</f>
        <v>23219450</v>
      </c>
      <c r="K98">
        <f>+VLOOKUP($C98,ForecastImport!$B$15:$J$394,COLUMN()-3,FALSE)</f>
        <v>0</v>
      </c>
      <c r="L98">
        <f>+VLOOKUP($C98,ForecastImport!$B$15:$J$394,COLUMN()-3,FALSE)</f>
        <v>0</v>
      </c>
    </row>
    <row r="99" spans="2:12">
      <c r="B99">
        <v>153</v>
      </c>
      <c r="C99" t="s">
        <v>85</v>
      </c>
      <c r="D99" s="273" t="e">
        <f>'Sch 1- Rate Base '!E102:G102</f>
        <v>#VALUE!</v>
      </c>
      <c r="E99" s="443" t="str">
        <f>+VLOOKUP($C99,ForecastImport!$B$15:$J$394,COLUMN()-3,FALSE)</f>
        <v>320-323</v>
      </c>
      <c r="F99">
        <f>+VLOOKUP($C99,ForecastImport!$B$15:$J$394,COLUMN()-3,FALSE)</f>
        <v>518</v>
      </c>
      <c r="G99" t="str">
        <f>+VLOOKUP($C99,ForecastImport!$B$15:$J$394,COLUMN()-3,FALSE)</f>
        <v>PROD</v>
      </c>
      <c r="H99">
        <f>+VLOOKUP($C99,ForecastImport!$B$15:$J$394,COLUMN()-3,FALSE)</f>
        <v>0</v>
      </c>
      <c r="I99">
        <f>+VLOOKUP($C99,ForecastImport!$B$15:$J$394,COLUMN()-3,FALSE)</f>
        <v>0</v>
      </c>
      <c r="J99">
        <f>+VLOOKUP($C99,ForecastImport!$B$15:$J$394,COLUMN()-3,FALSE)</f>
        <v>0</v>
      </c>
      <c r="K99">
        <f>+VLOOKUP($C99,ForecastImport!$B$15:$J$394,COLUMN()-3,FALSE)</f>
        <v>0</v>
      </c>
      <c r="L99">
        <f>+VLOOKUP($C99,ForecastImport!$B$15:$J$394,COLUMN()-3,FALSE)</f>
        <v>0</v>
      </c>
    </row>
    <row r="100" spans="2:12">
      <c r="B100">
        <v>154</v>
      </c>
      <c r="C100" t="s">
        <v>262</v>
      </c>
      <c r="D100" s="273" t="e">
        <f>'Sch 1- Rate Base '!E103:G103</f>
        <v>#VALUE!</v>
      </c>
      <c r="E100" s="443" t="str">
        <f>+VLOOKUP($C100,ForecastImport!$B$15:$J$394,COLUMN()-3,FALSE)</f>
        <v>320-323</v>
      </c>
      <c r="F100" s="443" t="str">
        <f>+VLOOKUP($C100,ForecastImport!$B$15:$J$394,COLUMN()-3,FALSE)</f>
        <v>517-525</v>
      </c>
      <c r="G100" t="str">
        <f>+VLOOKUP($C100,ForecastImport!$B$15:$J$394,COLUMN()-3,FALSE)</f>
        <v>PROD</v>
      </c>
      <c r="H100">
        <f>+VLOOKUP($C100,ForecastImport!$B$15:$J$394,COLUMN()-3,FALSE)</f>
        <v>0</v>
      </c>
      <c r="I100">
        <f>+VLOOKUP($C100,ForecastImport!$B$15:$J$394,COLUMN()-3,FALSE)</f>
        <v>0</v>
      </c>
      <c r="J100">
        <f>+VLOOKUP($C100,ForecastImport!$B$15:$J$394,COLUMN()-3,FALSE)</f>
        <v>0</v>
      </c>
      <c r="K100">
        <f>+VLOOKUP($C100,ForecastImport!$B$15:$J$394,COLUMN()-3,FALSE)</f>
        <v>0</v>
      </c>
      <c r="L100">
        <f>+VLOOKUP($C100,ForecastImport!$B$15:$J$394,COLUMN()-3,FALSE)</f>
        <v>0</v>
      </c>
    </row>
    <row r="101" spans="2:12">
      <c r="B101">
        <v>155</v>
      </c>
      <c r="C101" t="s">
        <v>478</v>
      </c>
      <c r="D101" s="273" t="e">
        <f>'Sch 1- Rate Base '!E104:G104</f>
        <v>#VALUE!</v>
      </c>
      <c r="E101" s="443" t="str">
        <f>+VLOOKUP($C101,ForecastImport!$B$15:$J$394,COLUMN()-3,FALSE)</f>
        <v>320-323</v>
      </c>
      <c r="F101" s="443" t="str">
        <f>+VLOOKUP($C101,ForecastImport!$B$15:$J$394,COLUMN()-3,FALSE)</f>
        <v>528-532</v>
      </c>
      <c r="G101" t="str">
        <f>+VLOOKUP($C101,ForecastImport!$B$15:$J$394,COLUMN()-3,FALSE)</f>
        <v>PROD</v>
      </c>
      <c r="H101">
        <f>+VLOOKUP($C101,ForecastImport!$B$15:$J$394,COLUMN()-3,FALSE)</f>
        <v>0</v>
      </c>
      <c r="I101">
        <f>+VLOOKUP($C101,ForecastImport!$B$15:$J$394,COLUMN()-3,FALSE)</f>
        <v>0</v>
      </c>
      <c r="J101">
        <f>+VLOOKUP($C101,ForecastImport!$B$15:$J$394,COLUMN()-3,FALSE)</f>
        <v>0</v>
      </c>
      <c r="K101">
        <f>+VLOOKUP($C101,ForecastImport!$B$15:$J$394,COLUMN()-3,FALSE)</f>
        <v>0</v>
      </c>
      <c r="L101">
        <f>+VLOOKUP($C101,ForecastImport!$B$15:$J$394,COLUMN()-3,FALSE)</f>
        <v>0</v>
      </c>
    </row>
    <row r="102" spans="2:12">
      <c r="B102">
        <v>156</v>
      </c>
      <c r="C102" t="s">
        <v>86</v>
      </c>
      <c r="D102" s="273" t="e">
        <f>'Sch 1- Rate Base '!E105:G105</f>
        <v>#VALUE!</v>
      </c>
      <c r="E102" s="443" t="str">
        <f>+VLOOKUP($C102,ForecastImport!$B$15:$J$394,COLUMN()-3,FALSE)</f>
        <v>320-323</v>
      </c>
      <c r="F102" s="443" t="str">
        <f>+VLOOKUP($C102,ForecastImport!$B$15:$J$394,COLUMN()-3,FALSE)</f>
        <v>535-540.1</v>
      </c>
      <c r="G102" t="str">
        <f>+VLOOKUP($C102,ForecastImport!$B$15:$J$394,COLUMN()-3,FALSE)</f>
        <v>PROD</v>
      </c>
      <c r="H102">
        <f>+VLOOKUP($C102,ForecastImport!$B$15:$J$394,COLUMN()-3,FALSE)</f>
        <v>0</v>
      </c>
      <c r="I102">
        <f>+VLOOKUP($C102,ForecastImport!$B$15:$J$394,COLUMN()-3,FALSE)</f>
        <v>7020837</v>
      </c>
      <c r="J102">
        <f>+VLOOKUP($C102,ForecastImport!$B$15:$J$394,COLUMN()-3,FALSE)</f>
        <v>7020837</v>
      </c>
      <c r="K102">
        <f>+VLOOKUP($C102,ForecastImport!$B$15:$J$394,COLUMN()-3,FALSE)</f>
        <v>0</v>
      </c>
      <c r="L102">
        <f>+VLOOKUP($C102,ForecastImport!$B$15:$J$394,COLUMN()-3,FALSE)</f>
        <v>0</v>
      </c>
    </row>
    <row r="103" spans="2:12">
      <c r="B103">
        <v>157</v>
      </c>
      <c r="C103" t="s">
        <v>87</v>
      </c>
      <c r="D103" s="273" t="e">
        <f>'Sch 1- Rate Base '!E106:G106</f>
        <v>#VALUE!</v>
      </c>
      <c r="E103" s="443" t="str">
        <f>+VLOOKUP($C103,ForecastImport!$B$15:$J$394,COLUMN()-3,FALSE)</f>
        <v>320-323</v>
      </c>
      <c r="F103" s="443" t="str">
        <f>+VLOOKUP($C103,ForecastImport!$B$15:$J$394,COLUMN()-3,FALSE)</f>
        <v>541-545.1</v>
      </c>
      <c r="G103" t="str">
        <f>+VLOOKUP($C103,ForecastImport!$B$15:$J$394,COLUMN()-3,FALSE)</f>
        <v>PROD</v>
      </c>
      <c r="H103">
        <f>+VLOOKUP($C103,ForecastImport!$B$15:$J$394,COLUMN()-3,FALSE)</f>
        <v>0</v>
      </c>
      <c r="I103">
        <f>+VLOOKUP($C103,ForecastImport!$B$15:$J$394,COLUMN()-3,FALSE)</f>
        <v>6951788</v>
      </c>
      <c r="J103">
        <f>+VLOOKUP($C103,ForecastImport!$B$15:$J$394,COLUMN()-3,FALSE)</f>
        <v>6951788</v>
      </c>
      <c r="K103">
        <f>+VLOOKUP($C103,ForecastImport!$B$15:$J$394,COLUMN()-3,FALSE)</f>
        <v>0</v>
      </c>
      <c r="L103">
        <f>+VLOOKUP($C103,ForecastImport!$B$15:$J$394,COLUMN()-3,FALSE)</f>
        <v>0</v>
      </c>
    </row>
    <row r="104" spans="2:12">
      <c r="B104">
        <v>158</v>
      </c>
      <c r="C104" t="s">
        <v>450</v>
      </c>
      <c r="D104" s="273" t="e">
        <f>'Sch 1- Rate Base '!E107:G107</f>
        <v>#VALUE!</v>
      </c>
      <c r="E104" s="443" t="str">
        <f>+VLOOKUP($C104,ForecastImport!$B$15:$J$394,COLUMN()-3,FALSE)</f>
        <v>320-323</v>
      </c>
      <c r="F104" s="443">
        <f>+VLOOKUP($C104,ForecastImport!$B$15:$J$394,COLUMN()-3,FALSE)</f>
        <v>547</v>
      </c>
      <c r="G104" t="str">
        <f>+VLOOKUP($C104,ForecastImport!$B$15:$J$394,COLUMN()-3,FALSE)</f>
        <v>PROD</v>
      </c>
      <c r="H104">
        <f>+VLOOKUP($C104,ForecastImport!$B$15:$J$394,COLUMN()-3,FALSE)</f>
        <v>0</v>
      </c>
      <c r="I104">
        <f>+VLOOKUP($C104,ForecastImport!$B$15:$J$394,COLUMN()-3,FALSE)</f>
        <v>396650165</v>
      </c>
      <c r="J104">
        <f>+VLOOKUP($C104,ForecastImport!$B$15:$J$394,COLUMN()-3,FALSE)</f>
        <v>396650165</v>
      </c>
      <c r="K104">
        <f>+VLOOKUP($C104,ForecastImport!$B$15:$J$394,COLUMN()-3,FALSE)</f>
        <v>0</v>
      </c>
      <c r="L104">
        <f>+VLOOKUP($C104,ForecastImport!$B$15:$J$394,COLUMN()-3,FALSE)</f>
        <v>0</v>
      </c>
    </row>
    <row r="105" spans="2:12">
      <c r="B105">
        <v>159</v>
      </c>
      <c r="C105" t="s">
        <v>261</v>
      </c>
      <c r="D105" s="273" t="e">
        <f>'Sch 1- Rate Base '!E108:G108</f>
        <v>#VALUE!</v>
      </c>
      <c r="E105" s="443" t="str">
        <f>+VLOOKUP($C105,ForecastImport!$B$15:$J$394,COLUMN()-3,FALSE)</f>
        <v>320-323</v>
      </c>
      <c r="F105" s="443" t="str">
        <f>+VLOOKUP($C105,ForecastImport!$B$15:$J$394,COLUMN()-3,FALSE)</f>
        <v>546-550.1</v>
      </c>
      <c r="G105" t="str">
        <f>+VLOOKUP($C105,ForecastImport!$B$15:$J$394,COLUMN()-3,FALSE)</f>
        <v>PROD</v>
      </c>
      <c r="H105">
        <f>+VLOOKUP($C105,ForecastImport!$B$15:$J$394,COLUMN()-3,FALSE)</f>
        <v>0</v>
      </c>
      <c r="I105">
        <f>+VLOOKUP($C105,ForecastImport!$B$15:$J$394,COLUMN()-3,FALSE)</f>
        <v>33443518</v>
      </c>
      <c r="J105">
        <f>+VLOOKUP($C105,ForecastImport!$B$15:$J$394,COLUMN()-3,FALSE)</f>
        <v>33443518</v>
      </c>
      <c r="K105">
        <f>+VLOOKUP($C105,ForecastImport!$B$15:$J$394,COLUMN()-3,FALSE)</f>
        <v>0</v>
      </c>
      <c r="L105">
        <f>+VLOOKUP($C105,ForecastImport!$B$15:$J$394,COLUMN()-3,FALSE)</f>
        <v>0</v>
      </c>
    </row>
    <row r="106" spans="2:12">
      <c r="B106">
        <v>160</v>
      </c>
      <c r="C106" t="s">
        <v>263</v>
      </c>
      <c r="D106" s="273" t="e">
        <f>'Sch 1- Rate Base '!E109:G109</f>
        <v>#VALUE!</v>
      </c>
      <c r="E106" s="443" t="str">
        <f>+VLOOKUP($C106,ForecastImport!$B$15:$J$394,COLUMN()-3,FALSE)</f>
        <v>320-323</v>
      </c>
      <c r="F106" s="443" t="str">
        <f>+VLOOKUP($C106,ForecastImport!$B$15:$J$394,COLUMN()-3,FALSE)</f>
        <v>551-554.1</v>
      </c>
      <c r="G106" t="str">
        <f>+VLOOKUP($C106,ForecastImport!$B$15:$J$394,COLUMN()-3,FALSE)</f>
        <v>PROD</v>
      </c>
      <c r="H106">
        <f>+VLOOKUP($C106,ForecastImport!$B$15:$J$394,COLUMN()-3,FALSE)</f>
        <v>0</v>
      </c>
      <c r="I106">
        <f>+VLOOKUP($C106,ForecastImport!$B$15:$J$394,COLUMN()-3,FALSE)</f>
        <v>27656590</v>
      </c>
      <c r="J106">
        <f>+VLOOKUP($C106,ForecastImport!$B$15:$J$394,COLUMN()-3,FALSE)</f>
        <v>27656590</v>
      </c>
      <c r="K106">
        <f>+VLOOKUP($C106,ForecastImport!$B$15:$J$394,COLUMN()-3,FALSE)</f>
        <v>0</v>
      </c>
      <c r="L106">
        <f>+VLOOKUP($C106,ForecastImport!$B$15:$J$394,COLUMN()-3,FALSE)</f>
        <v>0</v>
      </c>
    </row>
    <row r="107" spans="2:12">
      <c r="B107">
        <v>161</v>
      </c>
      <c r="C107" t="s">
        <v>264</v>
      </c>
      <c r="D107" s="273" t="e">
        <f>'Sch 1- Rate Base '!E110:G110</f>
        <v>#VALUE!</v>
      </c>
      <c r="E107" s="443" t="str">
        <f>+VLOOKUP($C107,ForecastImport!$B$15:$J$394,COLUMN()-3,FALSE)</f>
        <v>320-323</v>
      </c>
      <c r="F107" s="443">
        <f>+VLOOKUP($C107,ForecastImport!$B$15:$J$394,COLUMN()-3,FALSE)</f>
        <v>555</v>
      </c>
      <c r="G107" t="str">
        <f>+VLOOKUP($C107,ForecastImport!$B$15:$J$394,COLUMN()-3,FALSE)</f>
        <v>PROD</v>
      </c>
      <c r="H107">
        <f>+VLOOKUP($C107,ForecastImport!$B$15:$J$394,COLUMN()-3,FALSE)</f>
        <v>0</v>
      </c>
      <c r="I107">
        <f>+VLOOKUP($C107,ForecastImport!$B$15:$J$394,COLUMN()-3,FALSE)</f>
        <v>1085637524</v>
      </c>
      <c r="J107">
        <f>+VLOOKUP($C107,ForecastImport!$B$15:$J$394,COLUMN()-3,FALSE)</f>
        <v>1085637524</v>
      </c>
      <c r="K107">
        <f>+VLOOKUP($C107,ForecastImport!$B$15:$J$394,COLUMN()-3,FALSE)</f>
        <v>0</v>
      </c>
      <c r="L107">
        <f>+VLOOKUP($C107,ForecastImport!$B$15:$J$394,COLUMN()-3,FALSE)</f>
        <v>0</v>
      </c>
    </row>
    <row r="108" spans="2:12">
      <c r="B108">
        <v>162</v>
      </c>
      <c r="C108" t="s">
        <v>454</v>
      </c>
      <c r="D108" s="273" t="e">
        <f>'Sch 1- Rate Base '!E111:G111</f>
        <v>#VALUE!</v>
      </c>
      <c r="E108" s="443" t="str">
        <f>+VLOOKUP($C108,ForecastImport!$B$15:$J$394,COLUMN()-3,FALSE)</f>
        <v>320-323</v>
      </c>
      <c r="F108" s="443">
        <f>+VLOOKUP($C108,ForecastImport!$B$15:$J$394,COLUMN()-3,FALSE)</f>
        <v>556</v>
      </c>
      <c r="G108" t="str">
        <f>+VLOOKUP($C108,ForecastImport!$B$15:$J$394,COLUMN()-3,FALSE)</f>
        <v>PROD</v>
      </c>
      <c r="H108">
        <f>+VLOOKUP($C108,ForecastImport!$B$15:$J$394,COLUMN()-3,FALSE)</f>
        <v>0</v>
      </c>
      <c r="I108">
        <f>+VLOOKUP($C108,ForecastImport!$B$15:$J$394,COLUMN()-3,FALSE)</f>
        <v>28612</v>
      </c>
      <c r="J108">
        <f>+VLOOKUP($C108,ForecastImport!$B$15:$J$394,COLUMN()-3,FALSE)</f>
        <v>28612</v>
      </c>
      <c r="K108">
        <f>+VLOOKUP($C108,ForecastImport!$B$15:$J$394,COLUMN()-3,FALSE)</f>
        <v>0</v>
      </c>
      <c r="L108">
        <f>+VLOOKUP($C108,ForecastImport!$B$15:$J$394,COLUMN()-3,FALSE)</f>
        <v>0</v>
      </c>
    </row>
    <row r="109" spans="2:12">
      <c r="B109">
        <v>163</v>
      </c>
      <c r="C109" t="s">
        <v>265</v>
      </c>
      <c r="D109" s="273" t="e">
        <f>'Sch 1- Rate Base '!E112:G112</f>
        <v>#VALUE!</v>
      </c>
      <c r="E109" s="443" t="str">
        <f>+VLOOKUP($C109,ForecastImport!$B$15:$J$394,COLUMN()-3,FALSE)</f>
        <v>320-323</v>
      </c>
      <c r="F109" s="443">
        <f>+VLOOKUP($C109,ForecastImport!$B$15:$J$394,COLUMN()-3,FALSE)</f>
        <v>557</v>
      </c>
      <c r="G109" t="str">
        <f>+VLOOKUP($C109,ForecastImport!$B$15:$J$394,COLUMN()-3,FALSE)</f>
        <v>PROD</v>
      </c>
      <c r="H109">
        <f>+VLOOKUP($C109,ForecastImport!$B$15:$J$394,COLUMN()-3,FALSE)</f>
        <v>0</v>
      </c>
      <c r="I109">
        <f>+VLOOKUP($C109,ForecastImport!$B$15:$J$394,COLUMN()-3,FALSE)</f>
        <v>94142017</v>
      </c>
      <c r="J109">
        <f>+VLOOKUP($C109,ForecastImport!$B$15:$J$394,COLUMN()-3,FALSE)</f>
        <v>94142017</v>
      </c>
      <c r="K109">
        <f>+VLOOKUP($C109,ForecastImport!$B$15:$J$394,COLUMN()-3,FALSE)</f>
        <v>0</v>
      </c>
      <c r="L109">
        <f>+VLOOKUP($C109,ForecastImport!$B$15:$J$394,COLUMN()-3,FALSE)</f>
        <v>0</v>
      </c>
    </row>
    <row r="110" spans="2:12">
      <c r="B110">
        <v>164</v>
      </c>
      <c r="C110" t="s">
        <v>52</v>
      </c>
      <c r="D110" s="273" t="e">
        <f>'Sch 1- Rate Base '!E113:G113</f>
        <v>#VALUE!</v>
      </c>
      <c r="E110" s="443" t="str">
        <f>+VLOOKUP($C110,ForecastImport!$B$15:$J$394,COLUMN()-3,FALSE)</f>
        <v>326-327</v>
      </c>
      <c r="F110" s="443">
        <f>+VLOOKUP($C110,ForecastImport!$B$15:$J$394,COLUMN()-3,FALSE)</f>
        <v>555</v>
      </c>
      <c r="G110" t="str">
        <f>+VLOOKUP($C110,ForecastImport!$B$15:$J$394,COLUMN()-3,FALSE)</f>
        <v>PROD</v>
      </c>
      <c r="H110">
        <f>+VLOOKUP($C110,ForecastImport!$B$15:$J$394,COLUMN()-3,FALSE)</f>
        <v>0</v>
      </c>
      <c r="I110">
        <f>+VLOOKUP($C110,ForecastImport!$B$15:$J$394,COLUMN()-3,FALSE)</f>
        <v>0</v>
      </c>
      <c r="J110">
        <f>+VLOOKUP($C110,ForecastImport!$B$15:$J$394,COLUMN()-3,FALSE)</f>
        <v>0</v>
      </c>
      <c r="K110">
        <f>+VLOOKUP($C110,ForecastImport!$B$15:$J$394,COLUMN()-3,FALSE)</f>
        <v>0</v>
      </c>
      <c r="L110">
        <f>+VLOOKUP($C110,ForecastImport!$B$15:$J$394,COLUMN()-3,FALSE)</f>
        <v>0</v>
      </c>
    </row>
    <row r="111" spans="2:12">
      <c r="B111">
        <v>165</v>
      </c>
      <c r="C111" t="s">
        <v>501</v>
      </c>
      <c r="D111" s="273" t="e">
        <f>'Sch 1- Rate Base '!E114:G114</f>
        <v>#VALUE!</v>
      </c>
      <c r="E111" s="443">
        <f>+VLOOKUP($C111,ForecastImport!$B$15:$J$394,COLUMN()-3,FALSE)</f>
        <v>0</v>
      </c>
      <c r="F111" s="443">
        <f>+VLOOKUP($C111,ForecastImport!$B$15:$J$394,COLUMN()-3,FALSE)</f>
        <v>0</v>
      </c>
      <c r="G111" t="str">
        <f>+VLOOKUP($C111,ForecastImport!$B$15:$J$394,COLUMN()-3,FALSE)</f>
        <v>DIRECT</v>
      </c>
      <c r="H111" t="str">
        <f>+VLOOKUP($C111,ForecastImport!$B$15:$J$394,COLUMN()-3,FALSE)</f>
        <v>DIST</v>
      </c>
      <c r="I111">
        <f>+VLOOKUP($C111,ForecastImport!$B$15:$J$394,COLUMN()-3,FALSE)</f>
        <v>0</v>
      </c>
      <c r="J111">
        <f>+VLOOKUP($C111,ForecastImport!$B$15:$J$394,COLUMN()-3,FALSE)</f>
        <v>0</v>
      </c>
      <c r="K111">
        <f>+VLOOKUP($C111,ForecastImport!$B$15:$J$394,COLUMN()-3,FALSE)</f>
        <v>0</v>
      </c>
      <c r="L111">
        <f>+VLOOKUP($C111,ForecastImport!$B$15:$J$394,COLUMN()-3,FALSE)</f>
        <v>0</v>
      </c>
    </row>
    <row r="112" spans="2:12">
      <c r="B112">
        <v>169</v>
      </c>
      <c r="C112" t="s">
        <v>397</v>
      </c>
      <c r="D112" s="273" t="e">
        <f>'Sch 1- Rate Base '!E115:G115</f>
        <v>#VALUE!</v>
      </c>
      <c r="E112" s="443" t="str">
        <f>+VLOOKUP($C112,ForecastImport!$B$15:$J$394,COLUMN()-3,FALSE)</f>
        <v>320-323</v>
      </c>
      <c r="F112" s="443" t="str">
        <f>+VLOOKUP($C112,ForecastImport!$B$15:$J$394,COLUMN()-3,FALSE)</f>
        <v>565</v>
      </c>
      <c r="G112" t="str">
        <f>+VLOOKUP($C112,ForecastImport!$B$15:$J$394,COLUMN()-3,FALSE)</f>
        <v>prod</v>
      </c>
      <c r="H112">
        <f>+VLOOKUP($C112,ForecastImport!$B$15:$J$394,COLUMN()-3,FALSE)</f>
        <v>0</v>
      </c>
      <c r="I112">
        <f>+VLOOKUP($C112,ForecastImport!$B$15:$J$394,COLUMN()-3,FALSE)</f>
        <v>162583424</v>
      </c>
      <c r="J112">
        <f>+VLOOKUP($C112,ForecastImport!$B$15:$J$394,COLUMN()-3,FALSE)</f>
        <v>162583424</v>
      </c>
      <c r="K112">
        <f>+VLOOKUP($C112,ForecastImport!$B$15:$J$394,COLUMN()-3,FALSE)</f>
        <v>0</v>
      </c>
      <c r="L112">
        <f>+VLOOKUP($C112,ForecastImport!$B$15:$J$394,COLUMN()-3,FALSE)</f>
        <v>0</v>
      </c>
    </row>
    <row r="113" spans="2:12">
      <c r="B113">
        <v>170</v>
      </c>
      <c r="C113" t="s">
        <v>460</v>
      </c>
      <c r="D113" s="273" t="e">
        <f>'Sch 1- Rate Base '!E116:G116</f>
        <v>#VALUE!</v>
      </c>
      <c r="E113" s="443" t="str">
        <f>+VLOOKUP($C113,ForecastImport!$B$15:$J$394,COLUMN()-3,FALSE)</f>
        <v>320-323</v>
      </c>
      <c r="F113" s="443" t="str">
        <f>+VLOOKUP($C113,ForecastImport!$B$15:$J$394,COLUMN()-3,FALSE)</f>
        <v>560-567.1</v>
      </c>
      <c r="G113" t="str">
        <f>+VLOOKUP($C113,ForecastImport!$B$15:$J$394,COLUMN()-3,FALSE)</f>
        <v>TRANS</v>
      </c>
      <c r="H113">
        <f>+VLOOKUP($C113,ForecastImport!$B$15:$J$394,COLUMN()-3,FALSE)</f>
        <v>0</v>
      </c>
      <c r="I113">
        <f>+VLOOKUP($C113,ForecastImport!$B$15:$J$394,COLUMN()-3,FALSE)</f>
        <v>14310154</v>
      </c>
      <c r="J113">
        <f>+VLOOKUP($C113,ForecastImport!$B$15:$J$394,COLUMN()-3,FALSE)</f>
        <v>0</v>
      </c>
      <c r="K113">
        <f>+VLOOKUP($C113,ForecastImport!$B$15:$J$394,COLUMN()-3,FALSE)</f>
        <v>0</v>
      </c>
      <c r="L113">
        <f>+VLOOKUP($C113,ForecastImport!$B$15:$J$394,COLUMN()-3,FALSE)</f>
        <v>14310154</v>
      </c>
    </row>
    <row r="114" spans="2:12">
      <c r="B114">
        <v>171</v>
      </c>
      <c r="C114" t="s">
        <v>461</v>
      </c>
      <c r="D114" s="273" t="e">
        <f>'Sch 1- Rate Base '!E117:G117</f>
        <v>#VALUE!</v>
      </c>
      <c r="E114" s="443" t="str">
        <f>+VLOOKUP($C114,ForecastImport!$B$15:$J$394,COLUMN()-3,FALSE)</f>
        <v>320-323</v>
      </c>
      <c r="F114" s="443" t="str">
        <f>+VLOOKUP($C114,ForecastImport!$B$15:$J$394,COLUMN()-3,FALSE)</f>
        <v>568-574</v>
      </c>
      <c r="G114" t="str">
        <f>+VLOOKUP($C114,ForecastImport!$B$15:$J$394,COLUMN()-3,FALSE)</f>
        <v>TRANS</v>
      </c>
      <c r="H114">
        <f>+VLOOKUP($C114,ForecastImport!$B$15:$J$394,COLUMN()-3,FALSE)</f>
        <v>0</v>
      </c>
      <c r="I114">
        <f>+VLOOKUP($C114,ForecastImport!$B$15:$J$394,COLUMN()-3,FALSE)</f>
        <v>11909901</v>
      </c>
      <c r="J114">
        <f>+VLOOKUP($C114,ForecastImport!$B$15:$J$394,COLUMN()-3,FALSE)</f>
        <v>0</v>
      </c>
      <c r="K114">
        <f>+VLOOKUP($C114,ForecastImport!$B$15:$J$394,COLUMN()-3,FALSE)</f>
        <v>0</v>
      </c>
      <c r="L114">
        <f>+VLOOKUP($C114,ForecastImport!$B$15:$J$394,COLUMN()-3,FALSE)</f>
        <v>11909901</v>
      </c>
    </row>
    <row r="115" spans="2:12">
      <c r="B115">
        <v>178</v>
      </c>
      <c r="C115" t="s">
        <v>463</v>
      </c>
      <c r="D115" s="273" t="e">
        <f>'Sch 1- Rate Base '!E118:G118</f>
        <v>#VALUE!</v>
      </c>
      <c r="E115" s="443" t="str">
        <f>+VLOOKUP($C115,ForecastImport!$B$15:$J$394,COLUMN()-3,FALSE)</f>
        <v>320-323</v>
      </c>
      <c r="F115" s="443" t="str">
        <f>+VLOOKUP($C115,ForecastImport!$B$15:$J$394,COLUMN()-3,FALSE)</f>
        <v>901-905</v>
      </c>
      <c r="G115" t="str">
        <f>+VLOOKUP($C115,ForecastImport!$B$15:$J$394,COLUMN()-3,FALSE)</f>
        <v>DIST</v>
      </c>
      <c r="H115">
        <f>+VLOOKUP($C115,ForecastImport!$B$15:$J$394,COLUMN()-3,FALSE)</f>
        <v>0</v>
      </c>
      <c r="I115">
        <f>+VLOOKUP($C115,ForecastImport!$B$15:$J$394,COLUMN()-3,FALSE)</f>
        <v>59970042</v>
      </c>
      <c r="J115">
        <f>+VLOOKUP($C115,ForecastImport!$B$15:$J$394,COLUMN()-3,FALSE)</f>
        <v>0</v>
      </c>
      <c r="K115">
        <f>+VLOOKUP($C115,ForecastImport!$B$15:$J$394,COLUMN()-3,FALSE)</f>
        <v>0</v>
      </c>
      <c r="L115">
        <f>+VLOOKUP($C115,ForecastImport!$B$15:$J$394,COLUMN()-3,FALSE)</f>
        <v>59970042</v>
      </c>
    </row>
    <row r="116" spans="2:12">
      <c r="B116">
        <v>180</v>
      </c>
      <c r="C116" t="s">
        <v>617</v>
      </c>
      <c r="D116" s="273" t="e">
        <f>'Sch 1- Rate Base '!E119:G119</f>
        <v>#VALUE!</v>
      </c>
      <c r="E116" s="443" t="str">
        <f>+VLOOKUP($C116,ForecastImport!$B$15:$J$394,COLUMN()-3,FALSE)</f>
        <v>320-323</v>
      </c>
      <c r="F116" s="443">
        <f>+VLOOKUP($C116,ForecastImport!$B$15:$J$394,COLUMN()-3,FALSE)</f>
        <v>908</v>
      </c>
      <c r="G116" t="str">
        <f>+VLOOKUP($C116,ForecastImport!$B$15:$J$394,COLUMN()-3,FALSE)</f>
        <v>DIRECT</v>
      </c>
      <c r="H116" t="str">
        <f>+VLOOKUP($C116,ForecastImport!$B$15:$J$394,COLUMN()-3,FALSE)</f>
        <v>DIST</v>
      </c>
      <c r="I116">
        <f>+VLOOKUP($C116,ForecastImport!$B$15:$J$394,COLUMN()-3,FALSE)</f>
        <v>144569269</v>
      </c>
      <c r="J116">
        <f>+VLOOKUP($C116,ForecastImport!$B$15:$J$394,COLUMN()-3,FALSE)</f>
        <v>97941405.329999998</v>
      </c>
      <c r="K116">
        <f>+VLOOKUP($C116,ForecastImport!$B$15:$J$394,COLUMN()-3,FALSE)</f>
        <v>0</v>
      </c>
      <c r="L116">
        <f>+VLOOKUP($C116,ForecastImport!$B$15:$J$394,COLUMN()-3,FALSE)</f>
        <v>46627864.049999997</v>
      </c>
    </row>
    <row r="117" spans="2:12">
      <c r="B117">
        <v>181</v>
      </c>
      <c r="C117" t="s">
        <v>826</v>
      </c>
      <c r="D117" s="273" t="e">
        <f>'Sch 1- Rate Base '!E120:G120</f>
        <v>#VALUE!</v>
      </c>
      <c r="E117" s="443" t="str">
        <f>+VLOOKUP($C117,ForecastImport!$B$15:$J$394,COLUMN()-3,FALSE)</f>
        <v>320-323</v>
      </c>
      <c r="F117" s="443" t="str">
        <f>+VLOOKUP($C117,ForecastImport!$B$15:$J$394,COLUMN()-3,FALSE)</f>
        <v>906-907</v>
      </c>
      <c r="G117" t="str">
        <f>+VLOOKUP($C117,ForecastImport!$B$15:$J$394,COLUMN()-3,FALSE)</f>
        <v>DIST</v>
      </c>
      <c r="H117">
        <f>+VLOOKUP($C117,ForecastImport!$B$15:$J$394,COLUMN()-3,FALSE)</f>
        <v>0</v>
      </c>
      <c r="I117">
        <f>+VLOOKUP($C117,ForecastImport!$B$15:$J$394,COLUMN()-3,FALSE)</f>
        <v>0</v>
      </c>
      <c r="J117">
        <f>+VLOOKUP($C117,ForecastImport!$B$15:$J$394,COLUMN()-3,FALSE)</f>
        <v>0</v>
      </c>
      <c r="K117">
        <f>+VLOOKUP($C117,ForecastImport!$B$15:$J$394,COLUMN()-3,FALSE)</f>
        <v>0</v>
      </c>
      <c r="L117">
        <f>+VLOOKUP($C117,ForecastImport!$B$15:$J$394,COLUMN()-3,FALSE)</f>
        <v>0</v>
      </c>
    </row>
    <row r="118" spans="2:12">
      <c r="B118">
        <v>182</v>
      </c>
      <c r="C118" t="s">
        <v>395</v>
      </c>
      <c r="D118" s="273" t="e">
        <f>'Sch 1- Rate Base '!E121:G121</f>
        <v>#VALUE!</v>
      </c>
      <c r="E118" s="443" t="str">
        <f>+VLOOKUP($C118,ForecastImport!$B$15:$J$394,COLUMN()-3,FALSE)</f>
        <v>320-323</v>
      </c>
      <c r="F118" s="443" t="str">
        <f>+VLOOKUP($C118,ForecastImport!$B$15:$J$394,COLUMN()-3,FALSE)</f>
        <v>911-917</v>
      </c>
      <c r="G118" t="str">
        <f>+VLOOKUP($C118,ForecastImport!$B$15:$J$394,COLUMN()-3,FALSE)</f>
        <v>DIST</v>
      </c>
      <c r="H118">
        <f>+VLOOKUP($C118,ForecastImport!$B$15:$J$394,COLUMN()-3,FALSE)</f>
        <v>0</v>
      </c>
      <c r="I118">
        <f>+VLOOKUP($C118,ForecastImport!$B$15:$J$394,COLUMN()-3,FALSE)</f>
        <v>1231798</v>
      </c>
      <c r="J118">
        <f>+VLOOKUP($C118,ForecastImport!$B$15:$J$394,COLUMN()-3,FALSE)</f>
        <v>0</v>
      </c>
      <c r="K118">
        <f>+VLOOKUP($C118,ForecastImport!$B$15:$J$394,COLUMN()-3,FALSE)</f>
        <v>0</v>
      </c>
      <c r="L118">
        <f>+VLOOKUP($C118,ForecastImport!$B$15:$J$394,COLUMN()-3,FALSE)</f>
        <v>1231798</v>
      </c>
    </row>
    <row r="119" spans="2:12">
      <c r="B119">
        <v>183</v>
      </c>
      <c r="C119" t="s">
        <v>827</v>
      </c>
      <c r="D119" s="273" t="e">
        <f>'Sch 1- Rate Base '!E122:G122</f>
        <v>#VALUE!</v>
      </c>
      <c r="E119" s="443" t="str">
        <f>+VLOOKUP($C119,ForecastImport!$B$15:$J$394,COLUMN()-3,FALSE)</f>
        <v>320-323</v>
      </c>
      <c r="F119" s="443" t="str">
        <f>+VLOOKUP($C119,ForecastImport!$B$15:$J$394,COLUMN()-3,FALSE)</f>
        <v>909-910</v>
      </c>
      <c r="G119" t="str">
        <f>+VLOOKUP($C119,ForecastImport!$B$15:$J$394,COLUMN()-3,FALSE)</f>
        <v>DIST</v>
      </c>
      <c r="H119" t="str">
        <f>+VLOOKUP($C119,ForecastImport!$B$15:$J$394,COLUMN()-3,FALSE)</f>
        <v>DIRECT</v>
      </c>
      <c r="I119">
        <f>+VLOOKUP($C119,ForecastImport!$B$15:$J$394,COLUMN()-3,FALSE)</f>
        <v>2499626</v>
      </c>
      <c r="J119">
        <f>+VLOOKUP($C119,ForecastImport!$B$15:$J$394,COLUMN()-3,FALSE)</f>
        <v>0</v>
      </c>
      <c r="K119">
        <f>+VLOOKUP($C119,ForecastImport!$B$15:$J$394,COLUMN()-3,FALSE)</f>
        <v>0</v>
      </c>
      <c r="L119">
        <f>+VLOOKUP($C119,ForecastImport!$B$15:$J$394,COLUMN()-3,FALSE)</f>
        <v>2499626</v>
      </c>
    </row>
    <row r="120" spans="2:12">
      <c r="B120">
        <v>186</v>
      </c>
      <c r="C120" t="s">
        <v>163</v>
      </c>
      <c r="D120" s="273" t="e">
        <f>'Sch 1- Rate Base '!E123:G123</f>
        <v>#VALUE!</v>
      </c>
      <c r="E120" s="443" t="str">
        <f>+VLOOKUP($C120,ForecastImport!$B$15:$J$394,COLUMN()-3,FALSE)</f>
        <v>320-323</v>
      </c>
      <c r="F120">
        <f>+VLOOKUP($C120,ForecastImport!$B$15:$J$394,COLUMN()-3,FALSE)</f>
        <v>920</v>
      </c>
      <c r="G120" t="str">
        <f>+VLOOKUP($C120,ForecastImport!$B$15:$J$394,COLUMN()-3,FALSE)</f>
        <v>LABOR</v>
      </c>
      <c r="H120">
        <f>+VLOOKUP($C120,ForecastImport!$B$15:$J$394,COLUMN()-3,FALSE)</f>
        <v>0</v>
      </c>
      <c r="I120">
        <f>+VLOOKUP($C120,ForecastImport!$B$15:$J$394,COLUMN()-3,FALSE)</f>
        <v>78570677</v>
      </c>
      <c r="J120">
        <f>+VLOOKUP($C120,ForecastImport!$B$15:$J$394,COLUMN()-3,FALSE)</f>
        <v>26700683.57674123</v>
      </c>
      <c r="K120">
        <f>+VLOOKUP($C120,ForecastImport!$B$15:$J$394,COLUMN()-3,FALSE)</f>
        <v>0</v>
      </c>
      <c r="L120">
        <f>+VLOOKUP($C120,ForecastImport!$B$15:$J$394,COLUMN()-3,FALSE)</f>
        <v>51869993.423258774</v>
      </c>
    </row>
    <row r="121" spans="2:12">
      <c r="B121">
        <v>187</v>
      </c>
      <c r="C121" t="s">
        <v>164</v>
      </c>
      <c r="D121" s="273" t="e">
        <f>'Sch 1- Rate Base '!E124:G124</f>
        <v>#VALUE!</v>
      </c>
      <c r="E121" s="443" t="str">
        <f>+VLOOKUP($C121,ForecastImport!$B$15:$J$394,COLUMN()-3,FALSE)</f>
        <v>320-323</v>
      </c>
      <c r="F121">
        <f>+VLOOKUP($C121,ForecastImport!$B$15:$J$394,COLUMN()-3,FALSE)</f>
        <v>921</v>
      </c>
      <c r="G121" t="str">
        <f>+VLOOKUP($C121,ForecastImport!$B$15:$J$394,COLUMN()-3,FALSE)</f>
        <v>LABOR</v>
      </c>
      <c r="H121">
        <f>+VLOOKUP($C121,ForecastImport!$B$15:$J$394,COLUMN()-3,FALSE)</f>
        <v>0</v>
      </c>
      <c r="I121">
        <f>+VLOOKUP($C121,ForecastImport!$B$15:$J$394,COLUMN()-3,FALSE)</f>
        <v>7463412</v>
      </c>
      <c r="J121">
        <f>+VLOOKUP($C121,ForecastImport!$B$15:$J$394,COLUMN()-3,FALSE)</f>
        <v>2536292.2889776477</v>
      </c>
      <c r="K121">
        <f>+VLOOKUP($C121,ForecastImport!$B$15:$J$394,COLUMN()-3,FALSE)</f>
        <v>0</v>
      </c>
      <c r="L121">
        <f>+VLOOKUP($C121,ForecastImport!$B$15:$J$394,COLUMN()-3,FALSE)</f>
        <v>4927119.7110223528</v>
      </c>
    </row>
    <row r="122" spans="2:12">
      <c r="B122">
        <v>188</v>
      </c>
      <c r="C122" t="s">
        <v>165</v>
      </c>
      <c r="D122" s="273" t="e">
        <f>'Sch 1- Rate Base '!E125:G125</f>
        <v>#VALUE!</v>
      </c>
      <c r="E122" s="443" t="str">
        <f>+VLOOKUP($C122,ForecastImport!$B$15:$J$394,COLUMN()-3,FALSE)</f>
        <v>320-323</v>
      </c>
      <c r="F122">
        <f>+VLOOKUP($C122,ForecastImport!$B$15:$J$394,COLUMN()-3,FALSE)</f>
        <v>922</v>
      </c>
      <c r="G122" t="str">
        <f>+VLOOKUP($C122,ForecastImport!$B$15:$J$394,COLUMN()-3,FALSE)</f>
        <v>LABOR</v>
      </c>
      <c r="H122">
        <f>+VLOOKUP($C122,ForecastImport!$B$15:$J$394,COLUMN()-3,FALSE)</f>
        <v>0</v>
      </c>
      <c r="I122">
        <f>+VLOOKUP($C122,ForecastImport!$B$15:$J$394,COLUMN()-3,FALSE)</f>
        <v>32365661</v>
      </c>
      <c r="J122">
        <f>+VLOOKUP($C122,ForecastImport!$B$15:$J$394,COLUMN()-3,FALSE)</f>
        <v>10998826.866581207</v>
      </c>
      <c r="K122">
        <f>+VLOOKUP($C122,ForecastImport!$B$15:$J$394,COLUMN()-3,FALSE)</f>
        <v>0</v>
      </c>
      <c r="L122">
        <f>+VLOOKUP($C122,ForecastImport!$B$15:$J$394,COLUMN()-3,FALSE)</f>
        <v>21366834.133418795</v>
      </c>
    </row>
    <row r="123" spans="2:12">
      <c r="B123">
        <v>189</v>
      </c>
      <c r="C123" t="s">
        <v>166</v>
      </c>
      <c r="D123" s="273" t="e">
        <f>'Sch 1- Rate Base '!E126:G126</f>
        <v>#VALUE!</v>
      </c>
      <c r="E123" s="443" t="str">
        <f>+VLOOKUP($C123,ForecastImport!$B$15:$J$394,COLUMN()-3,FALSE)</f>
        <v>320-323</v>
      </c>
      <c r="F123">
        <f>+VLOOKUP($C123,ForecastImport!$B$15:$J$394,COLUMN()-3,FALSE)</f>
        <v>923</v>
      </c>
      <c r="G123" t="str">
        <f>+VLOOKUP($C123,ForecastImport!$B$15:$J$394,COLUMN()-3,FALSE)</f>
        <v>LABOR</v>
      </c>
      <c r="H123">
        <f>+VLOOKUP($C123,ForecastImport!$B$15:$J$394,COLUMN()-3,FALSE)</f>
        <v>0</v>
      </c>
      <c r="I123">
        <f>+VLOOKUP($C123,ForecastImport!$B$15:$J$394,COLUMN()-3,FALSE)</f>
        <v>20765085</v>
      </c>
      <c r="J123">
        <f>+VLOOKUP($C123,ForecastImport!$B$15:$J$394,COLUMN()-3,FALSE)</f>
        <v>7056601.5872452725</v>
      </c>
      <c r="K123">
        <f>+VLOOKUP($C123,ForecastImport!$B$15:$J$394,COLUMN()-3,FALSE)</f>
        <v>0</v>
      </c>
      <c r="L123">
        <f>+VLOOKUP($C123,ForecastImport!$B$15:$J$394,COLUMN()-3,FALSE)</f>
        <v>13708483.412754728</v>
      </c>
    </row>
    <row r="124" spans="2:12">
      <c r="B124">
        <v>190</v>
      </c>
      <c r="C124" t="s">
        <v>167</v>
      </c>
      <c r="D124" s="273" t="e">
        <f>'Sch 1- Rate Base '!E127:G127</f>
        <v>#VALUE!</v>
      </c>
      <c r="E124" s="443" t="str">
        <f>+VLOOKUP($C124,ForecastImport!$B$15:$J$394,COLUMN()-3,FALSE)</f>
        <v>320-323</v>
      </c>
      <c r="F124">
        <f>+VLOOKUP($C124,ForecastImport!$B$15:$J$394,COLUMN()-3,FALSE)</f>
        <v>924</v>
      </c>
      <c r="G124" t="str">
        <f>+VLOOKUP($C124,ForecastImport!$B$15:$J$394,COLUMN()-3,FALSE)</f>
        <v>PTDG</v>
      </c>
      <c r="H124">
        <f>+VLOOKUP($C124,ForecastImport!$B$15:$J$394,COLUMN()-3,FALSE)</f>
        <v>0</v>
      </c>
      <c r="I124">
        <f>+VLOOKUP($C124,ForecastImport!$B$15:$J$394,COLUMN()-3,FALSE)</f>
        <v>6318020</v>
      </c>
      <c r="J124">
        <f>+VLOOKUP($C124,ForecastImport!$B$15:$J$394,COLUMN()-3,FALSE)</f>
        <v>2210502.0408064411</v>
      </c>
      <c r="K124">
        <f>+VLOOKUP($C124,ForecastImport!$B$15:$J$394,COLUMN()-3,FALSE)</f>
        <v>0</v>
      </c>
      <c r="L124">
        <f>+VLOOKUP($C124,ForecastImport!$B$15:$J$394,COLUMN()-3,FALSE)</f>
        <v>4107517.9579843101</v>
      </c>
    </row>
    <row r="125" spans="2:12">
      <c r="B125">
        <v>191</v>
      </c>
      <c r="C125" t="s">
        <v>464</v>
      </c>
      <c r="D125" s="273" t="e">
        <f>'Sch 1- Rate Base '!E128:G128</f>
        <v>#VALUE!</v>
      </c>
      <c r="E125" s="443" t="str">
        <f>+VLOOKUP($C125,ForecastImport!$B$15:$J$394,COLUMN()-3,FALSE)</f>
        <v>320-323</v>
      </c>
      <c r="F125">
        <f>+VLOOKUP($C125,ForecastImport!$B$15:$J$394,COLUMN()-3,FALSE)</f>
        <v>925</v>
      </c>
      <c r="G125" t="str">
        <f>+VLOOKUP($C125,ForecastImport!$B$15:$J$394,COLUMN()-3,FALSE)</f>
        <v>Labor</v>
      </c>
      <c r="H125">
        <f>+VLOOKUP($C125,ForecastImport!$B$15:$J$394,COLUMN()-3,FALSE)</f>
        <v>0</v>
      </c>
      <c r="I125">
        <f>+VLOOKUP($C125,ForecastImport!$B$15:$J$394,COLUMN()-3,FALSE)</f>
        <v>8919311</v>
      </c>
      <c r="J125">
        <f>+VLOOKUP($C125,ForecastImport!$B$15:$J$394,COLUMN()-3,FALSE)</f>
        <v>3031050.6390768071</v>
      </c>
      <c r="K125">
        <f>+VLOOKUP($C125,ForecastImport!$B$15:$J$394,COLUMN()-3,FALSE)</f>
        <v>0</v>
      </c>
      <c r="L125">
        <f>+VLOOKUP($C125,ForecastImport!$B$15:$J$394,COLUMN()-3,FALSE)</f>
        <v>5888260.3609231925</v>
      </c>
    </row>
    <row r="126" spans="2:12">
      <c r="B126">
        <v>192</v>
      </c>
      <c r="C126" t="s">
        <v>465</v>
      </c>
      <c r="D126" s="273" t="e">
        <f>'Sch 1- Rate Base '!E129:G129</f>
        <v>#VALUE!</v>
      </c>
      <c r="E126" s="443" t="str">
        <f>+VLOOKUP($C126,ForecastImport!$B$15:$J$394,COLUMN()-3,FALSE)</f>
        <v>320-323</v>
      </c>
      <c r="F126">
        <f>+VLOOKUP($C126,ForecastImport!$B$15:$J$394,COLUMN()-3,FALSE)</f>
        <v>926</v>
      </c>
      <c r="G126" t="str">
        <f>+VLOOKUP($C126,ForecastImport!$B$15:$J$394,COLUMN()-3,FALSE)</f>
        <v>LABOR</v>
      </c>
      <c r="H126">
        <f>+VLOOKUP($C126,ForecastImport!$B$15:$J$394,COLUMN()-3,FALSE)</f>
        <v>0</v>
      </c>
      <c r="I126">
        <f>+VLOOKUP($C126,ForecastImport!$B$15:$J$394,COLUMN()-3,FALSE)</f>
        <v>28392494</v>
      </c>
      <c r="J126">
        <f>+VLOOKUP($C126,ForecastImport!$B$15:$J$394,COLUMN()-3,FALSE)</f>
        <v>9648624.9984650631</v>
      </c>
      <c r="K126">
        <f>+VLOOKUP($C126,ForecastImport!$B$15:$J$394,COLUMN()-3,FALSE)</f>
        <v>0</v>
      </c>
      <c r="L126">
        <f>+VLOOKUP($C126,ForecastImport!$B$15:$J$394,COLUMN()-3,FALSE)</f>
        <v>18743869.001534939</v>
      </c>
    </row>
    <row r="127" spans="2:12">
      <c r="B127">
        <v>193</v>
      </c>
      <c r="C127" t="s">
        <v>466</v>
      </c>
      <c r="D127" s="273" t="e">
        <f>'Sch 1- Rate Base '!E130:G130</f>
        <v>#VALUE!</v>
      </c>
      <c r="E127" s="443" t="str">
        <f>+VLOOKUP($C127,ForecastImport!$B$15:$J$394,COLUMN()-3,FALSE)</f>
        <v>320-323</v>
      </c>
      <c r="F127">
        <f>+VLOOKUP($C127,ForecastImport!$B$15:$J$394,COLUMN()-3,FALSE)</f>
        <v>927</v>
      </c>
      <c r="G127" t="str">
        <f>+VLOOKUP($C127,ForecastImport!$B$15:$J$394,COLUMN()-3,FALSE)</f>
        <v>DIST</v>
      </c>
      <c r="H127">
        <f>+VLOOKUP($C127,ForecastImport!$B$15:$J$394,COLUMN()-3,FALSE)</f>
        <v>0</v>
      </c>
      <c r="I127">
        <f>+VLOOKUP($C127,ForecastImport!$B$15:$J$394,COLUMN()-3,FALSE)</f>
        <v>0</v>
      </c>
      <c r="J127">
        <f>+VLOOKUP($C127,ForecastImport!$B$15:$J$394,COLUMN()-3,FALSE)</f>
        <v>0</v>
      </c>
      <c r="K127">
        <f>+VLOOKUP($C127,ForecastImport!$B$15:$J$394,COLUMN()-3,FALSE)</f>
        <v>0</v>
      </c>
      <c r="L127">
        <f>+VLOOKUP($C127,ForecastImport!$B$15:$J$394,COLUMN()-3,FALSE)</f>
        <v>0</v>
      </c>
    </row>
    <row r="128" spans="2:12">
      <c r="B128">
        <v>194</v>
      </c>
      <c r="C128" t="s">
        <v>468</v>
      </c>
      <c r="D128" s="273" t="e">
        <f>'Sch 1- Rate Base '!E131:G131</f>
        <v>#VALUE!</v>
      </c>
      <c r="E128" s="443" t="str">
        <f>+VLOOKUP($C128,ForecastImport!$B$15:$J$394,COLUMN()-3,FALSE)</f>
        <v>320-323</v>
      </c>
      <c r="F128">
        <f>+VLOOKUP($C128,ForecastImport!$B$15:$J$394,COLUMN()-3,FALSE)</f>
        <v>928</v>
      </c>
      <c r="G128" t="str">
        <f>+VLOOKUP($C128,ForecastImport!$B$15:$J$394,COLUMN()-3,FALSE)</f>
        <v>DIST</v>
      </c>
      <c r="H128">
        <f>+VLOOKUP($C128,ForecastImport!$B$15:$J$394,COLUMN()-3,FALSE)</f>
        <v>0</v>
      </c>
      <c r="I128">
        <f>+VLOOKUP($C128,ForecastImport!$B$15:$J$394,COLUMN()-3,FALSE)</f>
        <v>16043545</v>
      </c>
      <c r="J128">
        <f>+VLOOKUP($C128,ForecastImport!$B$15:$J$394,COLUMN()-3,FALSE)</f>
        <v>0</v>
      </c>
      <c r="K128">
        <f>+VLOOKUP($C128,ForecastImport!$B$15:$J$394,COLUMN()-3,FALSE)</f>
        <v>0</v>
      </c>
      <c r="L128">
        <f>+VLOOKUP($C128,ForecastImport!$B$15:$J$394,COLUMN()-3,FALSE)</f>
        <v>16043545</v>
      </c>
    </row>
    <row r="129" spans="2:12">
      <c r="B129">
        <v>195</v>
      </c>
      <c r="C129" t="s">
        <v>168</v>
      </c>
      <c r="D129" s="273" t="e">
        <f>'Sch 1- Rate Base '!E132:G132</f>
        <v>#VALUE!</v>
      </c>
      <c r="E129" s="443" t="str">
        <f>+VLOOKUP($C129,ForecastImport!$B$15:$J$394,COLUMN()-3,FALSE)</f>
        <v>320-323</v>
      </c>
      <c r="F129">
        <f>+VLOOKUP($C129,ForecastImport!$B$15:$J$394,COLUMN()-3,FALSE)</f>
        <v>929</v>
      </c>
      <c r="G129" t="str">
        <f>+VLOOKUP($C129,ForecastImport!$B$15:$J$394,COLUMN()-3,FALSE)</f>
        <v>PTDG</v>
      </c>
      <c r="H129">
        <f>+VLOOKUP($C129,ForecastImport!$B$15:$J$394,COLUMN()-3,FALSE)</f>
        <v>0</v>
      </c>
      <c r="I129">
        <f>+VLOOKUP($C129,ForecastImport!$B$15:$J$394,COLUMN()-3,FALSE)</f>
        <v>0</v>
      </c>
      <c r="J129">
        <f>+VLOOKUP($C129,ForecastImport!$B$15:$J$394,COLUMN()-3,FALSE)</f>
        <v>0</v>
      </c>
      <c r="K129">
        <f>+VLOOKUP($C129,ForecastImport!$B$15:$J$394,COLUMN()-3,FALSE)</f>
        <v>0</v>
      </c>
      <c r="L129">
        <f>+VLOOKUP($C129,ForecastImport!$B$15:$J$394,COLUMN()-3,FALSE)</f>
        <v>0</v>
      </c>
    </row>
    <row r="130" spans="2:12">
      <c r="B130">
        <v>196</v>
      </c>
      <c r="C130" t="s">
        <v>169</v>
      </c>
      <c r="D130" s="273" t="e">
        <f>'Sch 1- Rate Base '!E133:G133</f>
        <v>#VALUE!</v>
      </c>
      <c r="E130" s="443" t="str">
        <f>+VLOOKUP($C130,ForecastImport!$B$15:$J$394,COLUMN()-3,FALSE)</f>
        <v>320-323</v>
      </c>
      <c r="F130">
        <f>+VLOOKUP($C130,ForecastImport!$B$15:$J$394,COLUMN()-3,FALSE)</f>
        <v>930.1</v>
      </c>
      <c r="G130" t="str">
        <f>+VLOOKUP($C130,ForecastImport!$B$15:$J$394,COLUMN()-3,FALSE)</f>
        <v>DIST</v>
      </c>
      <c r="H130" t="str">
        <f>+VLOOKUP($C130,ForecastImport!$B$15:$J$394,COLUMN()-3,FALSE)</f>
        <v>DIRECT</v>
      </c>
      <c r="I130">
        <f>+VLOOKUP($C130,ForecastImport!$B$15:$J$394,COLUMN()-3,FALSE)</f>
        <v>56129</v>
      </c>
      <c r="J130">
        <f>+VLOOKUP($C130,ForecastImport!$B$15:$J$394,COLUMN()-3,FALSE)</f>
        <v>0</v>
      </c>
      <c r="K130">
        <f>+VLOOKUP($C130,ForecastImport!$B$15:$J$394,COLUMN()-3,FALSE)</f>
        <v>0</v>
      </c>
      <c r="L130">
        <f>+VLOOKUP($C130,ForecastImport!$B$15:$J$394,COLUMN()-3,FALSE)</f>
        <v>56129</v>
      </c>
    </row>
    <row r="131" spans="2:12">
      <c r="B131">
        <v>197</v>
      </c>
      <c r="C131" t="s">
        <v>467</v>
      </c>
      <c r="D131" s="273" t="e">
        <f>'Sch 1- Rate Base '!E134:G134</f>
        <v>#VALUE!</v>
      </c>
      <c r="E131" s="443" t="str">
        <f>+VLOOKUP($C131,ForecastImport!$B$15:$J$394,COLUMN()-3,FALSE)</f>
        <v>320-323</v>
      </c>
      <c r="F131">
        <f>+VLOOKUP($C131,ForecastImport!$B$15:$J$394,COLUMN()-3,FALSE)</f>
        <v>930.2</v>
      </c>
      <c r="G131" t="str">
        <f>+VLOOKUP($C131,ForecastImport!$B$15:$J$394,COLUMN()-3,FALSE)</f>
        <v>DIST</v>
      </c>
      <c r="H131" t="str">
        <f>+VLOOKUP($C131,ForecastImport!$B$15:$J$394,COLUMN()-3,FALSE)</f>
        <v>DIRECT</v>
      </c>
      <c r="I131">
        <f>+VLOOKUP($C131,ForecastImport!$B$15:$J$394,COLUMN()-3,FALSE)</f>
        <v>9187393</v>
      </c>
      <c r="J131">
        <f>+VLOOKUP($C131,ForecastImport!$B$15:$J$394,COLUMN()-3,FALSE)</f>
        <v>0</v>
      </c>
      <c r="K131">
        <f>+VLOOKUP($C131,ForecastImport!$B$15:$J$394,COLUMN()-3,FALSE)</f>
        <v>0</v>
      </c>
      <c r="L131">
        <f>+VLOOKUP($C131,ForecastImport!$B$15:$J$394,COLUMN()-3,FALSE)</f>
        <v>9187393</v>
      </c>
    </row>
    <row r="132" spans="2:12">
      <c r="B132">
        <v>198</v>
      </c>
      <c r="C132" t="s">
        <v>491</v>
      </c>
      <c r="D132" s="273" t="e">
        <f>'Sch 1- Rate Base '!E135:G135</f>
        <v>#VALUE!</v>
      </c>
      <c r="E132" s="443" t="str">
        <f>+VLOOKUP($C132,ForecastImport!$B$15:$J$394,COLUMN()-3,FALSE)</f>
        <v>320-323</v>
      </c>
      <c r="F132">
        <f>+VLOOKUP($C132,ForecastImport!$B$15:$J$394,COLUMN()-3,FALSE)</f>
        <v>931</v>
      </c>
      <c r="G132" t="str">
        <f>+VLOOKUP($C132,ForecastImport!$B$15:$J$394,COLUMN()-3,FALSE)</f>
        <v>DIST</v>
      </c>
      <c r="H132">
        <f>+VLOOKUP($C132,ForecastImport!$B$15:$J$394,COLUMN()-3,FALSE)</f>
        <v>0</v>
      </c>
      <c r="I132">
        <f>+VLOOKUP($C132,ForecastImport!$B$15:$J$394,COLUMN()-3,FALSE)</f>
        <v>10338554</v>
      </c>
      <c r="J132">
        <f>+VLOOKUP($C132,ForecastImport!$B$15:$J$394,COLUMN()-3,FALSE)</f>
        <v>0</v>
      </c>
      <c r="K132">
        <f>+VLOOKUP($C132,ForecastImport!$B$15:$J$394,COLUMN()-3,FALSE)</f>
        <v>0</v>
      </c>
      <c r="L132">
        <f>+VLOOKUP($C132,ForecastImport!$B$15:$J$394,COLUMN()-3,FALSE)</f>
        <v>10338554</v>
      </c>
    </row>
    <row r="133" spans="2:12">
      <c r="B133">
        <v>199</v>
      </c>
      <c r="C133" t="s">
        <v>267</v>
      </c>
      <c r="D133" s="273" t="e">
        <f>'Sch 1- Rate Base '!E136:G136</f>
        <v>#VALUE!</v>
      </c>
      <c r="E133" s="443" t="str">
        <f>+VLOOKUP($C133,ForecastImport!$B$15:$J$394,COLUMN()-3,FALSE)</f>
        <v>320-324</v>
      </c>
      <c r="F133">
        <f>+VLOOKUP($C133,ForecastImport!$B$15:$J$394,COLUMN()-3,FALSE)</f>
        <v>933</v>
      </c>
      <c r="G133" t="str">
        <f>+VLOOKUP($C133,ForecastImport!$B$15:$J$394,COLUMN()-3,FALSE)</f>
        <v>DIST</v>
      </c>
      <c r="H133">
        <f>+VLOOKUP($C133,ForecastImport!$B$15:$J$394,COLUMN()-3,FALSE)</f>
        <v>0</v>
      </c>
      <c r="I133">
        <f>+VLOOKUP($C133,ForecastImport!$B$15:$J$394,COLUMN()-3,FALSE)</f>
        <v>0</v>
      </c>
      <c r="J133">
        <f>+VLOOKUP($C133,ForecastImport!$B$15:$J$394,COLUMN()-3,FALSE)</f>
        <v>0</v>
      </c>
      <c r="K133">
        <f>+VLOOKUP($C133,ForecastImport!$B$15:$J$394,COLUMN()-3,FALSE)</f>
        <v>0</v>
      </c>
      <c r="L133">
        <f>+VLOOKUP($C133,ForecastImport!$B$15:$J$394,COLUMN()-3,FALSE)</f>
        <v>0</v>
      </c>
    </row>
    <row r="134" spans="2:12">
      <c r="B134">
        <v>200</v>
      </c>
      <c r="C134" t="s">
        <v>94</v>
      </c>
      <c r="D134" s="273" t="e">
        <f>'Sch 1- Rate Base '!E137:G137</f>
        <v>#VALUE!</v>
      </c>
      <c r="E134" s="443" t="str">
        <f>+VLOOKUP($C134,ForecastImport!$B$15:$J$394,COLUMN()-3,FALSE)</f>
        <v>320-323</v>
      </c>
      <c r="F134">
        <f>+VLOOKUP($C134,ForecastImport!$B$15:$J$394,COLUMN()-3,FALSE)</f>
        <v>935</v>
      </c>
      <c r="G134" t="str">
        <f>+VLOOKUP($C134,ForecastImport!$B$15:$J$394,COLUMN()-3,FALSE)</f>
        <v>GPM</v>
      </c>
      <c r="H134">
        <f>+VLOOKUP($C134,ForecastImport!$B$15:$J$394,COLUMN()-3,FALSE)</f>
        <v>0</v>
      </c>
      <c r="I134">
        <f>+VLOOKUP($C134,ForecastImport!$B$15:$J$394,COLUMN()-3,FALSE)</f>
        <v>18392095</v>
      </c>
      <c r="J134">
        <f>+VLOOKUP($C134,ForecastImport!$B$15:$J$394,COLUMN()-3,FALSE)</f>
        <v>6400177.2589254314</v>
      </c>
      <c r="K134">
        <f>+VLOOKUP($C134,ForecastImport!$B$15:$J$394,COLUMN()-3,FALSE)</f>
        <v>0</v>
      </c>
      <c r="L134">
        <f>+VLOOKUP($C134,ForecastImport!$B$15:$J$394,COLUMN()-3,FALSE)</f>
        <v>11991917.74107457</v>
      </c>
    </row>
    <row r="135" spans="2:12">
      <c r="B135">
        <v>207</v>
      </c>
      <c r="C135" t="s">
        <v>828</v>
      </c>
      <c r="D135" s="273" t="e">
        <f>'Sch 1- Rate Base '!E138:G138</f>
        <v>#VALUE!</v>
      </c>
      <c r="E135" s="443">
        <f>+VLOOKUP($C135,ForecastImport!$B$15:$J$394,COLUMN()-3,FALSE)</f>
        <v>336</v>
      </c>
      <c r="F135">
        <f>+VLOOKUP($C135,ForecastImport!$B$15:$J$394,COLUMN()-3,FALSE)</f>
        <v>404</v>
      </c>
      <c r="G135" t="str">
        <f>+VLOOKUP($C135,ForecastImport!$B$15:$J$394,COLUMN()-3,FALSE)</f>
        <v>DIST</v>
      </c>
      <c r="H135" t="str">
        <f>+VLOOKUP($C135,ForecastImport!$B$15:$J$394,COLUMN()-3,FALSE)</f>
        <v xml:space="preserve"> </v>
      </c>
      <c r="I135">
        <f>+VLOOKUP($C135,ForecastImport!$B$15:$J$394,COLUMN()-3,FALSE)</f>
        <v>0</v>
      </c>
      <c r="J135">
        <f>+VLOOKUP($C135,ForecastImport!$B$15:$J$394,COLUMN()-3,FALSE)</f>
        <v>0</v>
      </c>
      <c r="K135">
        <f>+VLOOKUP($C135,ForecastImport!$B$15:$J$394,COLUMN()-3,FALSE)</f>
        <v>0</v>
      </c>
      <c r="L135">
        <f>+VLOOKUP($C135,ForecastImport!$B$15:$J$394,COLUMN()-3,FALSE)</f>
        <v>0</v>
      </c>
    </row>
    <row r="136" spans="2:12">
      <c r="B136">
        <v>208</v>
      </c>
      <c r="C136" t="s">
        <v>829</v>
      </c>
      <c r="D136" s="273" t="e">
        <f>'Sch 1- Rate Base '!E139:G139</f>
        <v>#VALUE!</v>
      </c>
      <c r="E136" s="443">
        <f>+VLOOKUP($C136,ForecastImport!$B$15:$J$394,COLUMN()-3,FALSE)</f>
        <v>336</v>
      </c>
      <c r="F136">
        <f>+VLOOKUP($C136,ForecastImport!$B$15:$J$394,COLUMN()-3,FALSE)</f>
        <v>404</v>
      </c>
      <c r="G136" t="str">
        <f>+VLOOKUP($C136,ForecastImport!$B$15:$J$394,COLUMN()-3,FALSE)</f>
        <v>DIRECT</v>
      </c>
      <c r="H136" t="str">
        <f>+VLOOKUP($C136,ForecastImport!$B$15:$J$394,COLUMN()-3,FALSE)</f>
        <v>PTD</v>
      </c>
      <c r="I136">
        <f>+VLOOKUP($C136,ForecastImport!$B$15:$J$394,COLUMN()-3,FALSE)</f>
        <v>3046815.6500000004</v>
      </c>
      <c r="J136">
        <f>+VLOOKUP($C136,ForecastImport!$B$15:$J$394,COLUMN()-3,FALSE)</f>
        <v>2120600.2430168567</v>
      </c>
      <c r="K136">
        <f>+VLOOKUP($C136,ForecastImport!$B$15:$J$394,COLUMN()-3,FALSE)</f>
        <v>0</v>
      </c>
      <c r="L136">
        <f>+VLOOKUP($C136,ForecastImport!$B$15:$J$394,COLUMN()-3,FALSE)</f>
        <v>926215.4069831433</v>
      </c>
    </row>
    <row r="137" spans="2:12">
      <c r="B137">
        <v>209</v>
      </c>
      <c r="C137" t="s">
        <v>830</v>
      </c>
      <c r="D137" s="273" t="e">
        <f>'Sch 1- Rate Base '!E140:G140</f>
        <v>#VALUE!</v>
      </c>
      <c r="E137" s="443">
        <f>+VLOOKUP($C137,ForecastImport!$B$15:$J$394,COLUMN()-3,FALSE)</f>
        <v>336</v>
      </c>
      <c r="F137">
        <f>+VLOOKUP($C137,ForecastImport!$B$15:$J$394,COLUMN()-3,FALSE)</f>
        <v>404</v>
      </c>
      <c r="G137" t="str">
        <f>+VLOOKUP($C137,ForecastImport!$B$15:$J$394,COLUMN()-3,FALSE)</f>
        <v>DIRECT</v>
      </c>
      <c r="H137" t="str">
        <f>+VLOOKUP($C137,ForecastImport!$B$15:$J$394,COLUMN()-3,FALSE)</f>
        <v>DIST</v>
      </c>
      <c r="I137">
        <f>+VLOOKUP($C137,ForecastImport!$B$15:$J$394,COLUMN()-3,FALSE)</f>
        <v>9732326.5399999991</v>
      </c>
      <c r="J137">
        <f>+VLOOKUP($C137,ForecastImport!$B$15:$J$394,COLUMN()-3,FALSE)</f>
        <v>0</v>
      </c>
      <c r="K137">
        <f>+VLOOKUP($C137,ForecastImport!$B$15:$J$394,COLUMN()-3,FALSE)</f>
        <v>0</v>
      </c>
      <c r="L137">
        <f>+VLOOKUP($C137,ForecastImport!$B$15:$J$394,COLUMN()-3,FALSE)</f>
        <v>9732326.5399999991</v>
      </c>
    </row>
    <row r="138" spans="2:12">
      <c r="B138">
        <v>210</v>
      </c>
      <c r="C138" s="273" t="s">
        <v>831</v>
      </c>
      <c r="D138" s="273" t="e">
        <f>'Sch 1- Rate Base '!E141:G141</f>
        <v>#VALUE!</v>
      </c>
      <c r="E138" s="443">
        <f>+VLOOKUP($C138,ForecastImport!$B$15:$J$394,COLUMN()-3,FALSE)</f>
        <v>336</v>
      </c>
      <c r="F138">
        <f>+VLOOKUP($C138,ForecastImport!$B$15:$J$394,COLUMN()-3,FALSE)</f>
        <v>403</v>
      </c>
      <c r="G138" t="str">
        <f>+VLOOKUP($C138,ForecastImport!$B$15:$J$394,COLUMN()-3,FALSE)</f>
        <v>PROD</v>
      </c>
      <c r="H138">
        <f>+VLOOKUP($C138,ForecastImport!$B$15:$J$394,COLUMN()-3,FALSE)</f>
        <v>0</v>
      </c>
      <c r="I138">
        <f>+VLOOKUP($C138,ForecastImport!$B$15:$J$394,COLUMN()-3,FALSE)</f>
        <v>39706645</v>
      </c>
      <c r="J138">
        <f>+VLOOKUP($C138,ForecastImport!$B$15:$J$394,COLUMN()-3,FALSE)</f>
        <v>39706645</v>
      </c>
      <c r="K138">
        <f>+VLOOKUP($C138,ForecastImport!$B$15:$J$394,COLUMN()-3,FALSE)</f>
        <v>0</v>
      </c>
      <c r="L138">
        <f>+VLOOKUP($C138,ForecastImport!$B$15:$J$394,COLUMN()-3,FALSE)</f>
        <v>0</v>
      </c>
    </row>
    <row r="139" spans="2:12">
      <c r="B139">
        <v>211</v>
      </c>
      <c r="C139" s="273" t="s">
        <v>832</v>
      </c>
      <c r="D139" s="273" t="e">
        <f>'Sch 1- Rate Base '!E142:G142</f>
        <v>#VALUE!</v>
      </c>
      <c r="E139" s="443">
        <f>+VLOOKUP($C139,ForecastImport!$B$15:$J$394,COLUMN()-3,FALSE)</f>
        <v>336</v>
      </c>
      <c r="F139">
        <f>+VLOOKUP($C139,ForecastImport!$B$15:$J$394,COLUMN()-3,FALSE)</f>
        <v>403</v>
      </c>
      <c r="G139" t="str">
        <f>+VLOOKUP($C139,ForecastImport!$B$15:$J$394,COLUMN()-3,FALSE)</f>
        <v>PROD</v>
      </c>
      <c r="H139">
        <f>+VLOOKUP($C139,ForecastImport!$B$15:$J$394,COLUMN()-3,FALSE)</f>
        <v>0</v>
      </c>
      <c r="I139">
        <f>+VLOOKUP($C139,ForecastImport!$B$15:$J$394,COLUMN()-3,FALSE)</f>
        <v>0</v>
      </c>
      <c r="J139">
        <f>+VLOOKUP($C139,ForecastImport!$B$15:$J$394,COLUMN()-3,FALSE)</f>
        <v>0</v>
      </c>
      <c r="K139">
        <f>+VLOOKUP($C139,ForecastImport!$B$15:$J$394,COLUMN()-3,FALSE)</f>
        <v>0</v>
      </c>
      <c r="L139">
        <f>+VLOOKUP($C139,ForecastImport!$B$15:$J$394,COLUMN()-3,FALSE)</f>
        <v>0</v>
      </c>
    </row>
    <row r="140" spans="2:12">
      <c r="B140">
        <v>212</v>
      </c>
      <c r="C140" t="s">
        <v>429</v>
      </c>
      <c r="D140" s="273" t="e">
        <f>'Sch 1- Rate Base '!E143:G143</f>
        <v>#VALUE!</v>
      </c>
      <c r="E140" s="443">
        <f>+VLOOKUP($C140,ForecastImport!$B$15:$J$394,COLUMN()-3,FALSE)</f>
        <v>336</v>
      </c>
      <c r="F140">
        <f>+VLOOKUP($C140,ForecastImport!$B$15:$J$394,COLUMN()-3,FALSE)</f>
        <v>403</v>
      </c>
      <c r="G140" t="str">
        <f>+VLOOKUP($C140,ForecastImport!$B$15:$J$394,COLUMN()-3,FALSE)</f>
        <v>PROD</v>
      </c>
      <c r="H140">
        <f>+VLOOKUP($C140,ForecastImport!$B$15:$J$394,COLUMN()-3,FALSE)</f>
        <v>0</v>
      </c>
      <c r="I140">
        <f>+VLOOKUP($C140,ForecastImport!$B$15:$J$394,COLUMN()-3,FALSE)</f>
        <v>20380239</v>
      </c>
      <c r="J140">
        <f>+VLOOKUP($C140,ForecastImport!$B$15:$J$394,COLUMN()-3,FALSE)</f>
        <v>20380239</v>
      </c>
      <c r="K140">
        <f>+VLOOKUP($C140,ForecastImport!$B$15:$J$394,COLUMN()-3,FALSE)</f>
        <v>0</v>
      </c>
      <c r="L140">
        <f>+VLOOKUP($C140,ForecastImport!$B$15:$J$394,COLUMN()-3,FALSE)</f>
        <v>0</v>
      </c>
    </row>
    <row r="141" spans="2:12">
      <c r="B141">
        <v>213</v>
      </c>
      <c r="C141" t="s">
        <v>430</v>
      </c>
      <c r="D141" s="273" t="e">
        <f>'Sch 1- Rate Base '!E144:G144</f>
        <v>#VALUE!</v>
      </c>
      <c r="E141" s="443">
        <f>+VLOOKUP($C141,ForecastImport!$B$15:$J$394,COLUMN()-3,FALSE)</f>
        <v>336</v>
      </c>
      <c r="F141">
        <f>+VLOOKUP($C141,ForecastImport!$B$15:$J$394,COLUMN()-3,FALSE)</f>
        <v>403</v>
      </c>
      <c r="G141" t="str">
        <f>+VLOOKUP($C141,ForecastImport!$B$15:$J$394,COLUMN()-3,FALSE)</f>
        <v>PROD</v>
      </c>
      <c r="H141">
        <f>+VLOOKUP($C141,ForecastImport!$B$15:$J$394,COLUMN()-3,FALSE)</f>
        <v>0</v>
      </c>
      <c r="I141">
        <f>+VLOOKUP($C141,ForecastImport!$B$15:$J$394,COLUMN()-3,FALSE)</f>
        <v>0</v>
      </c>
      <c r="J141">
        <f>+VLOOKUP($C141,ForecastImport!$B$15:$J$394,COLUMN()-3,FALSE)</f>
        <v>0</v>
      </c>
      <c r="K141">
        <f>+VLOOKUP($C141,ForecastImport!$B$15:$J$394,COLUMN()-3,FALSE)</f>
        <v>0</v>
      </c>
      <c r="L141">
        <f>+VLOOKUP($C141,ForecastImport!$B$15:$J$394,COLUMN()-3,FALSE)</f>
        <v>0</v>
      </c>
    </row>
    <row r="142" spans="2:12">
      <c r="B142">
        <v>214</v>
      </c>
      <c r="C142" s="273" t="s">
        <v>833</v>
      </c>
      <c r="D142" s="273" t="e">
        <f>'Sch 1- Rate Base '!E145:G145</f>
        <v>#VALUE!</v>
      </c>
      <c r="E142" s="443">
        <f>+VLOOKUP($C142,ForecastImport!$B$15:$J$394,COLUMN()-3,FALSE)</f>
        <v>336</v>
      </c>
      <c r="F142">
        <f>+VLOOKUP($C142,ForecastImport!$B$15:$J$394,COLUMN()-3,FALSE)</f>
        <v>403</v>
      </c>
      <c r="G142" t="str">
        <f>+VLOOKUP($C142,ForecastImport!$B$15:$J$394,COLUMN()-3,FALSE)</f>
        <v>PROD</v>
      </c>
      <c r="H142">
        <f>+VLOOKUP($C142,ForecastImport!$B$15:$J$394,COLUMN()-3,FALSE)</f>
        <v>0</v>
      </c>
      <c r="I142">
        <f>+VLOOKUP($C142,ForecastImport!$B$15:$J$394,COLUMN()-3,FALSE)</f>
        <v>91335455</v>
      </c>
      <c r="J142">
        <f>+VLOOKUP($C142,ForecastImport!$B$15:$J$394,COLUMN()-3,FALSE)</f>
        <v>91335455</v>
      </c>
      <c r="K142">
        <f>+VLOOKUP($C142,ForecastImport!$B$15:$J$394,COLUMN()-3,FALSE)</f>
        <v>0</v>
      </c>
      <c r="L142">
        <f>+VLOOKUP($C142,ForecastImport!$B$15:$J$394,COLUMN()-3,FALSE)</f>
        <v>0</v>
      </c>
    </row>
    <row r="143" spans="2:12">
      <c r="B143">
        <v>215</v>
      </c>
      <c r="C143" s="273" t="s">
        <v>834</v>
      </c>
      <c r="D143" s="273" t="e">
        <f>'Sch 1- Rate Base '!E146:G146</f>
        <v>#VALUE!</v>
      </c>
      <c r="E143" s="443">
        <f>+VLOOKUP($C143,ForecastImport!$B$15:$J$394,COLUMN()-3,FALSE)</f>
        <v>336</v>
      </c>
      <c r="F143">
        <f>+VLOOKUP($C143,ForecastImport!$B$15:$J$394,COLUMN()-3,FALSE)</f>
        <v>403</v>
      </c>
      <c r="G143" t="str">
        <f>+VLOOKUP($C143,ForecastImport!$B$15:$J$394,COLUMN()-3,FALSE)</f>
        <v>TRANS</v>
      </c>
      <c r="H143">
        <f>+VLOOKUP($C143,ForecastImport!$B$15:$J$394,COLUMN()-3,FALSE)</f>
        <v>0</v>
      </c>
      <c r="I143">
        <f>+VLOOKUP($C143,ForecastImport!$B$15:$J$394,COLUMN()-3,FALSE)</f>
        <v>37267959</v>
      </c>
      <c r="J143">
        <f>+VLOOKUP($C143,ForecastImport!$B$15:$J$394,COLUMN()-3,FALSE)</f>
        <v>0</v>
      </c>
      <c r="K143">
        <f>+VLOOKUP($C143,ForecastImport!$B$15:$J$394,COLUMN()-3,FALSE)</f>
        <v>0</v>
      </c>
      <c r="L143">
        <f>+VLOOKUP($C143,ForecastImport!$B$15:$J$394,COLUMN()-3,FALSE)</f>
        <v>37267959</v>
      </c>
    </row>
    <row r="144" spans="2:12">
      <c r="B144">
        <v>216</v>
      </c>
      <c r="C144" s="273" t="s">
        <v>835</v>
      </c>
      <c r="D144" s="273" t="e">
        <f>'Sch 1- Rate Base '!E147:G147</f>
        <v>#VALUE!</v>
      </c>
      <c r="E144" s="443">
        <f>+VLOOKUP($C144,ForecastImport!$B$15:$J$394,COLUMN()-3,FALSE)</f>
        <v>336</v>
      </c>
      <c r="F144">
        <f>+VLOOKUP($C144,ForecastImport!$B$15:$J$394,COLUMN()-3,FALSE)</f>
        <v>403</v>
      </c>
      <c r="G144" t="str">
        <f>+VLOOKUP($C144,ForecastImport!$B$15:$J$394,COLUMN()-3,FALSE)</f>
        <v>DIST</v>
      </c>
      <c r="H144">
        <f>+VLOOKUP($C144,ForecastImport!$B$15:$J$394,COLUMN()-3,FALSE)</f>
        <v>0</v>
      </c>
      <c r="I144">
        <f>+VLOOKUP($C144,ForecastImport!$B$15:$J$394,COLUMN()-3,FALSE)</f>
        <v>171427092</v>
      </c>
      <c r="J144">
        <f>+VLOOKUP($C144,ForecastImport!$B$15:$J$394,COLUMN()-3,FALSE)</f>
        <v>0</v>
      </c>
      <c r="K144">
        <f>+VLOOKUP($C144,ForecastImport!$B$15:$J$394,COLUMN()-3,FALSE)</f>
        <v>0</v>
      </c>
      <c r="L144">
        <f>+VLOOKUP($C144,ForecastImport!$B$15:$J$394,COLUMN()-3,FALSE)</f>
        <v>171427092</v>
      </c>
    </row>
    <row r="145" spans="2:12">
      <c r="B145">
        <v>217</v>
      </c>
      <c r="C145" s="273" t="s">
        <v>836</v>
      </c>
      <c r="D145" s="273" t="e">
        <f>'Sch 1- Rate Base '!E148:G148</f>
        <v>#VALUE!</v>
      </c>
      <c r="E145" s="443">
        <f>+VLOOKUP($C145,ForecastImport!$B$15:$J$394,COLUMN()-3,FALSE)</f>
        <v>336</v>
      </c>
      <c r="F145">
        <f>+VLOOKUP($C145,ForecastImport!$B$15:$J$394,COLUMN()-3,FALSE)</f>
        <v>403</v>
      </c>
      <c r="G145" t="str">
        <f>+VLOOKUP($C145,ForecastImport!$B$15:$J$394,COLUMN()-3,FALSE)</f>
        <v>GP</v>
      </c>
      <c r="H145">
        <f>+VLOOKUP($C145,ForecastImport!$B$15:$J$394,COLUMN()-3,FALSE)</f>
        <v>0</v>
      </c>
      <c r="I145">
        <f>+VLOOKUP($C145,ForecastImport!$B$15:$J$394,COLUMN()-3,FALSE)</f>
        <v>15618734</v>
      </c>
      <c r="J145">
        <f>+VLOOKUP($C145,ForecastImport!$B$15:$J$394,COLUMN()-3,FALSE)</f>
        <v>5322403.9378776001</v>
      </c>
      <c r="K145">
        <f>+VLOOKUP($C145,ForecastImport!$B$15:$J$394,COLUMN()-3,FALSE)</f>
        <v>0</v>
      </c>
      <c r="L145">
        <f>+VLOOKUP($C145,ForecastImport!$B$15:$J$394,COLUMN()-3,FALSE)</f>
        <v>10296330.062122401</v>
      </c>
    </row>
    <row r="146" spans="2:12">
      <c r="B146">
        <v>219</v>
      </c>
      <c r="C146" t="s">
        <v>837</v>
      </c>
      <c r="D146" s="273" t="e">
        <f>'Sch 1- Rate Base '!E149:G149</f>
        <v>#VALUE!</v>
      </c>
      <c r="E146" s="443">
        <f>+VLOOKUP($C146,ForecastImport!$B$15:$J$394,COLUMN()-3,FALSE)</f>
        <v>336</v>
      </c>
      <c r="F146">
        <f>+VLOOKUP($C146,ForecastImport!$B$15:$J$394,COLUMN()-3,FALSE)</f>
        <v>403</v>
      </c>
      <c r="G146" t="str">
        <f>+VLOOKUP($C146,ForecastImport!$B$15:$J$394,COLUMN()-3,FALSE)</f>
        <v>DIRECT</v>
      </c>
      <c r="H146">
        <f>+VLOOKUP($C146,ForecastImport!$B$15:$J$394,COLUMN()-3,FALSE)</f>
        <v>0</v>
      </c>
      <c r="I146">
        <f>+VLOOKUP($C146,ForecastImport!$B$15:$J$394,COLUMN()-3,FALSE)</f>
        <v>18119462</v>
      </c>
      <c r="J146">
        <f>+VLOOKUP($C146,ForecastImport!$B$15:$J$394,COLUMN()-3,FALSE)</f>
        <v>6138737.0983232521</v>
      </c>
      <c r="K146">
        <f>+VLOOKUP($C146,ForecastImport!$B$15:$J$394,COLUMN()-3,FALSE)</f>
        <v>0</v>
      </c>
      <c r="L146">
        <f>+VLOOKUP($C146,ForecastImport!$B$15:$J$394,COLUMN()-3,FALSE)</f>
        <v>11980724.901676752</v>
      </c>
    </row>
    <row r="147" spans="2:12">
      <c r="B147">
        <v>220</v>
      </c>
      <c r="C147" t="s">
        <v>838</v>
      </c>
      <c r="D147" s="273" t="e">
        <f>'Sch 1- Rate Base '!E150:G150</f>
        <v>#VALUE!</v>
      </c>
      <c r="E147" s="443">
        <f>+VLOOKUP($C147,ForecastImport!$B$15:$J$394,COLUMN()-3,FALSE)</f>
        <v>336</v>
      </c>
      <c r="F147">
        <f>+VLOOKUP($C147,ForecastImport!$B$15:$J$394,COLUMN()-3,FALSE)</f>
        <v>404</v>
      </c>
      <c r="G147" t="str">
        <f>+VLOOKUP($C147,ForecastImport!$B$15:$J$394,COLUMN()-3,FALSE)</f>
        <v>DIRECT</v>
      </c>
      <c r="H147">
        <f>+VLOOKUP($C147,ForecastImport!$B$15:$J$394,COLUMN()-3,FALSE)</f>
        <v>0</v>
      </c>
      <c r="I147">
        <f>+VLOOKUP($C147,ForecastImport!$B$15:$J$394,COLUMN()-3,FALSE)</f>
        <v>44095861</v>
      </c>
      <c r="J147">
        <f>+VLOOKUP($C147,ForecastImport!$B$15:$J$394,COLUMN()-3,FALSE)</f>
        <v>11880277.722496061</v>
      </c>
      <c r="K147">
        <f>+VLOOKUP($C147,ForecastImport!$B$15:$J$394,COLUMN()-3,FALSE)</f>
        <v>0</v>
      </c>
      <c r="L147">
        <f>+VLOOKUP($C147,ForecastImport!$B$15:$J$394,COLUMN()-3,FALSE)</f>
        <v>32215583.277454484</v>
      </c>
    </row>
    <row r="148" spans="2:12">
      <c r="B148">
        <v>220</v>
      </c>
      <c r="C148" t="s">
        <v>563</v>
      </c>
      <c r="D148" s="273" t="e">
        <f>'Sch 1- Rate Base '!E151:G151</f>
        <v>#VALUE!</v>
      </c>
      <c r="E148" s="443">
        <f>+VLOOKUP($C148,ForecastImport!$B$15:$J$394,COLUMN()-3,FALSE)</f>
        <v>336</v>
      </c>
      <c r="F148">
        <f>+VLOOKUP($C148,ForecastImport!$B$15:$J$394,COLUMN()-3,FALSE)</f>
        <v>403.1</v>
      </c>
      <c r="G148" t="str">
        <f>+VLOOKUP($C148,ForecastImport!$B$15:$J$394,COLUMN()-3,FALSE)</f>
        <v>DIRECT</v>
      </c>
      <c r="H148">
        <f>+VLOOKUP($C148,ForecastImport!$B$15:$J$394,COLUMN()-3,FALSE)</f>
        <v>0</v>
      </c>
      <c r="I148">
        <f>+VLOOKUP($C148,ForecastImport!$B$15:$J$394,COLUMN()-3,FALSE)</f>
        <v>3659244</v>
      </c>
      <c r="J148">
        <f>+VLOOKUP($C148,ForecastImport!$B$15:$J$394,COLUMN()-3,FALSE)</f>
        <v>3364796</v>
      </c>
      <c r="K148">
        <f>+VLOOKUP($C148,ForecastImport!$B$15:$J$394,COLUMN()-3,FALSE)</f>
        <v>0</v>
      </c>
      <c r="L148">
        <f>+VLOOKUP($C148,ForecastImport!$B$15:$J$394,COLUMN()-3,FALSE)</f>
        <v>294448</v>
      </c>
    </row>
    <row r="149" spans="2:12">
      <c r="B149">
        <v>221</v>
      </c>
      <c r="C149" t="s">
        <v>564</v>
      </c>
      <c r="D149" s="273" t="e">
        <f>'Sch 1- Rate Base '!E152:G152</f>
        <v>#VALUE!</v>
      </c>
      <c r="E149" s="443">
        <f>+VLOOKUP($C149,ForecastImport!$B$15:$J$394,COLUMN()-3,FALSE)</f>
        <v>336</v>
      </c>
      <c r="F149">
        <f>+VLOOKUP($C149,ForecastImport!$B$15:$J$394,COLUMN()-3,FALSE)</f>
        <v>404</v>
      </c>
      <c r="G149" t="str">
        <f>+VLOOKUP($C149,ForecastImport!$B$15:$J$394,COLUMN()-3,FALSE)</f>
        <v>DIRECT</v>
      </c>
      <c r="H149">
        <f>+VLOOKUP($C149,ForecastImport!$B$15:$J$394,COLUMN()-3,FALSE)</f>
        <v>0</v>
      </c>
      <c r="I149">
        <f>+VLOOKUP($C149,ForecastImport!$B$15:$J$394,COLUMN()-3,FALSE)</f>
        <v>-0.12000000011175871</v>
      </c>
      <c r="J149">
        <f>+VLOOKUP($C149,ForecastImport!$B$15:$J$394,COLUMN()-3,FALSE)</f>
        <v>0</v>
      </c>
      <c r="K149">
        <f>+VLOOKUP($C149,ForecastImport!$B$15:$J$394,COLUMN()-3,FALSE)</f>
        <v>0</v>
      </c>
      <c r="L149">
        <f>+VLOOKUP($C149,ForecastImport!$B$15:$J$394,COLUMN()-3,FALSE)</f>
        <v>0</v>
      </c>
    </row>
    <row r="150" spans="2:12">
      <c r="B150">
        <v>222</v>
      </c>
      <c r="C150" t="s">
        <v>30</v>
      </c>
      <c r="D150" s="273" t="e">
        <f>'Sch 1- Rate Base '!E153:G153</f>
        <v>#VALUE!</v>
      </c>
      <c r="E150" s="443" t="str">
        <f>+VLOOKUP($C150,ForecastImport!$B$15:$J$394,COLUMN()-3,FALSE)</f>
        <v>200-201</v>
      </c>
      <c r="F150">
        <f>+VLOOKUP($C150,ForecastImport!$B$15:$J$394,COLUMN()-3,FALSE)</f>
        <v>406</v>
      </c>
      <c r="G150" t="str">
        <f>+VLOOKUP($C150,ForecastImport!$B$15:$J$394,COLUMN()-3,FALSE)</f>
        <v>DIRECT</v>
      </c>
      <c r="H150">
        <f>+VLOOKUP($C150,ForecastImport!$B$15:$J$394,COLUMN()-3,FALSE)</f>
        <v>0</v>
      </c>
      <c r="I150">
        <f>+VLOOKUP($C150,ForecastImport!$B$15:$J$394,COLUMN()-3,FALSE)</f>
        <v>43464024</v>
      </c>
      <c r="J150">
        <f>+VLOOKUP($C150,ForecastImport!$B$15:$J$394,COLUMN()-3,FALSE)</f>
        <v>7550389.0994674871</v>
      </c>
      <c r="K150">
        <f>+VLOOKUP($C150,ForecastImport!$B$15:$J$394,COLUMN()-3,FALSE)</f>
        <v>0</v>
      </c>
      <c r="L150">
        <f>+VLOOKUP($C150,ForecastImport!$B$15:$J$394,COLUMN()-3,FALSE)</f>
        <v>35913634.510532513</v>
      </c>
    </row>
    <row r="151" spans="2:12">
      <c r="B151">
        <v>230</v>
      </c>
      <c r="C151" t="s">
        <v>35</v>
      </c>
      <c r="D151" s="273" t="e">
        <f>'Sch 1- Rate Base '!E154:G154</f>
        <v>#VALUE!</v>
      </c>
      <c r="E151" s="443" t="str">
        <f>+VLOOKUP($C151,ForecastImport!$B$15:$J$394,COLUMN()-3,FALSE)</f>
        <v>262-263</v>
      </c>
      <c r="F151">
        <f>+VLOOKUP($C151,ForecastImport!$B$15:$J$394,COLUMN()-3,FALSE)</f>
        <v>409.1</v>
      </c>
      <c r="G151" t="str">
        <f>+VLOOKUP($C151,ForecastImport!$B$15:$J$394,COLUMN()-3,FALSE)</f>
        <v>DIST</v>
      </c>
      <c r="H151">
        <f>+VLOOKUP($C151,ForecastImport!$B$15:$J$394,COLUMN()-3,FALSE)</f>
        <v>0</v>
      </c>
      <c r="I151">
        <f>+VLOOKUP($C151,ForecastImport!$B$15:$J$394,COLUMN()-3,FALSE)</f>
        <v>181201019</v>
      </c>
      <c r="J151">
        <f>+VLOOKUP($C151,ForecastImport!$B$15:$J$394,COLUMN()-3,FALSE)</f>
        <v>0</v>
      </c>
      <c r="K151">
        <f>+VLOOKUP($C151,ForecastImport!$B$15:$J$394,COLUMN()-3,FALSE)</f>
        <v>0</v>
      </c>
      <c r="L151">
        <f>+VLOOKUP($C151,ForecastImport!$B$15:$J$394,COLUMN()-3,FALSE)</f>
        <v>181201019</v>
      </c>
    </row>
    <row r="152" spans="2:12">
      <c r="B152">
        <v>231</v>
      </c>
      <c r="C152" t="s">
        <v>150</v>
      </c>
      <c r="D152" s="273" t="e">
        <f>'Sch 1- Rate Base '!E155:G155</f>
        <v>#VALUE!</v>
      </c>
      <c r="E152" s="443" t="str">
        <f>+VLOOKUP($C152,ForecastImport!$B$15:$J$394,COLUMN()-3,FALSE)</f>
        <v>262-263</v>
      </c>
      <c r="F152">
        <f>+VLOOKUP($C152,ForecastImport!$B$15:$J$394,COLUMN()-3,FALSE)</f>
        <v>408.1</v>
      </c>
      <c r="G152" t="str">
        <f>+VLOOKUP($C152,ForecastImport!$B$15:$J$394,COLUMN()-3,FALSE)</f>
        <v>LABOR</v>
      </c>
      <c r="H152">
        <f>+VLOOKUP($C152,ForecastImport!$B$15:$J$394,COLUMN()-3,FALSE)</f>
        <v>0</v>
      </c>
      <c r="I152">
        <f>+VLOOKUP($C152,ForecastImport!$B$15:$J$394,COLUMN()-3,FALSE)</f>
        <v>10966229</v>
      </c>
      <c r="J152">
        <f>+VLOOKUP($C152,ForecastImport!$B$15:$J$394,COLUMN()-3,FALSE)</f>
        <v>3726655.054265135</v>
      </c>
      <c r="K152">
        <f>+VLOOKUP($C152,ForecastImport!$B$15:$J$394,COLUMN()-3,FALSE)</f>
        <v>0</v>
      </c>
      <c r="L152">
        <f>+VLOOKUP($C152,ForecastImport!$B$15:$J$394,COLUMN()-3,FALSE)</f>
        <v>7239573.945734865</v>
      </c>
    </row>
    <row r="153" spans="2:12">
      <c r="B153">
        <v>232</v>
      </c>
      <c r="C153" t="s">
        <v>151</v>
      </c>
      <c r="D153" s="273" t="e">
        <f>'Sch 1- Rate Base '!E156:G156</f>
        <v>#VALUE!</v>
      </c>
      <c r="E153" s="443" t="str">
        <f>+VLOOKUP($C153,ForecastImport!$B$15:$J$394,COLUMN()-3,FALSE)</f>
        <v>262-263</v>
      </c>
      <c r="F153">
        <f>+VLOOKUP($C153,ForecastImport!$B$15:$J$394,COLUMN()-3,FALSE)</f>
        <v>408.1</v>
      </c>
      <c r="G153" t="str">
        <f>+VLOOKUP($C153,ForecastImport!$B$15:$J$394,COLUMN()-3,FALSE)</f>
        <v>DIST</v>
      </c>
      <c r="H153">
        <f>+VLOOKUP($C153,ForecastImport!$B$15:$J$394,COLUMN()-3,FALSE)</f>
        <v>0</v>
      </c>
      <c r="I153">
        <f>+VLOOKUP($C153,ForecastImport!$B$15:$J$394,COLUMN()-3,FALSE)</f>
        <v>0</v>
      </c>
      <c r="J153">
        <f>+VLOOKUP($C153,ForecastImport!$B$15:$J$394,COLUMN()-3,FALSE)</f>
        <v>0</v>
      </c>
      <c r="K153">
        <f>+VLOOKUP($C153,ForecastImport!$B$15:$J$394,COLUMN()-3,FALSE)</f>
        <v>0</v>
      </c>
      <c r="L153">
        <f>+VLOOKUP($C153,ForecastImport!$B$15:$J$394,COLUMN()-3,FALSE)</f>
        <v>0</v>
      </c>
    </row>
    <row r="154" spans="2:12">
      <c r="B154">
        <v>236</v>
      </c>
      <c r="C154" t="s">
        <v>566</v>
      </c>
      <c r="D154" s="273" t="e">
        <f>'Sch 1- Rate Base '!E157:G157</f>
        <v>#VALUE!</v>
      </c>
      <c r="E154" s="443" t="str">
        <f>+VLOOKUP($C154,ForecastImport!$B$15:$J$394,COLUMN()-3,FALSE)</f>
        <v>262-263</v>
      </c>
      <c r="F154">
        <f>+VLOOKUP($C154,ForecastImport!$B$15:$J$394,COLUMN()-3,FALSE)</f>
        <v>408.1</v>
      </c>
      <c r="G154" t="str">
        <f>+VLOOKUP($C154,ForecastImport!$B$15:$J$394,COLUMN()-3,FALSE)</f>
        <v>PTDG</v>
      </c>
      <c r="H154">
        <f>+VLOOKUP($C154,ForecastImport!$B$15:$J$394,COLUMN()-3,FALSE)</f>
        <v>0</v>
      </c>
      <c r="I154">
        <f>+VLOOKUP($C154,ForecastImport!$B$15:$J$394,COLUMN()-3,FALSE)</f>
        <v>47092120</v>
      </c>
      <c r="J154">
        <f>+VLOOKUP($C154,ForecastImport!$B$15:$J$394,COLUMN()-3,FALSE)</f>
        <v>16476242.140085313</v>
      </c>
      <c r="K154">
        <f>+VLOOKUP($C154,ForecastImport!$B$15:$J$394,COLUMN()-3,FALSE)</f>
        <v>0</v>
      </c>
      <c r="L154">
        <f>+VLOOKUP($C154,ForecastImport!$B$15:$J$394,COLUMN()-3,FALSE)</f>
        <v>30615877.850901406</v>
      </c>
    </row>
    <row r="155" spans="2:12">
      <c r="B155">
        <v>237</v>
      </c>
      <c r="C155" t="s">
        <v>152</v>
      </c>
      <c r="D155" s="273" t="e">
        <f>'Sch 1- Rate Base '!E158:G158</f>
        <v>#VALUE!</v>
      </c>
      <c r="E155" s="443" t="str">
        <f>+VLOOKUP($C155,ForecastImport!$B$15:$J$394,COLUMN()-3,FALSE)</f>
        <v>262-263</v>
      </c>
      <c r="F155">
        <f>+VLOOKUP($C155,ForecastImport!$B$15:$J$394,COLUMN()-3,FALSE)</f>
        <v>408.1</v>
      </c>
      <c r="G155" t="str">
        <f>+VLOOKUP($C155,ForecastImport!$B$15:$J$394,COLUMN()-3,FALSE)</f>
        <v>LABOR</v>
      </c>
      <c r="H155">
        <f>+VLOOKUP($C155,ForecastImport!$B$15:$J$394,COLUMN()-3,FALSE)</f>
        <v>0</v>
      </c>
      <c r="I155">
        <f>+VLOOKUP($C155,ForecastImport!$B$15:$J$394,COLUMN()-3,FALSE)</f>
        <v>0</v>
      </c>
      <c r="J155">
        <f>+VLOOKUP($C155,ForecastImport!$B$15:$J$394,COLUMN()-3,FALSE)</f>
        <v>0</v>
      </c>
      <c r="K155">
        <f>+VLOOKUP($C155,ForecastImport!$B$15:$J$394,COLUMN()-3,FALSE)</f>
        <v>0</v>
      </c>
      <c r="L155">
        <f>+VLOOKUP($C155,ForecastImport!$B$15:$J$394,COLUMN()-3,FALSE)</f>
        <v>0</v>
      </c>
    </row>
    <row r="156" spans="2:12">
      <c r="B156">
        <v>238</v>
      </c>
      <c r="C156" t="s">
        <v>567</v>
      </c>
      <c r="D156" s="273" t="e">
        <f>'Sch 1- Rate Base '!E159:G159</f>
        <v>#VALUE!</v>
      </c>
      <c r="E156" s="443" t="str">
        <f>+VLOOKUP($C156,ForecastImport!$B$15:$J$394,COLUMN()-3,FALSE)</f>
        <v>262-263</v>
      </c>
      <c r="F156">
        <f>+VLOOKUP($C156,ForecastImport!$B$15:$J$394,COLUMN()-3,FALSE)</f>
        <v>409.1</v>
      </c>
      <c r="G156" t="str">
        <f>+VLOOKUP($C156,ForecastImport!$B$15:$J$394,COLUMN()-3,FALSE)</f>
        <v>DIST</v>
      </c>
      <c r="H156">
        <f>+VLOOKUP($C156,ForecastImport!$B$15:$J$394,COLUMN()-3,FALSE)</f>
        <v>0</v>
      </c>
      <c r="I156">
        <f>+VLOOKUP($C156,ForecastImport!$B$15:$J$394,COLUMN()-3,FALSE)</f>
        <v>104687355</v>
      </c>
      <c r="J156">
        <f>+VLOOKUP($C156,ForecastImport!$B$15:$J$394,COLUMN()-3,FALSE)</f>
        <v>0</v>
      </c>
      <c r="K156">
        <f>+VLOOKUP($C156,ForecastImport!$B$15:$J$394,COLUMN()-3,FALSE)</f>
        <v>0</v>
      </c>
      <c r="L156">
        <f>+VLOOKUP($C156,ForecastImport!$B$15:$J$394,COLUMN()-3,FALSE)</f>
        <v>104687355</v>
      </c>
    </row>
    <row r="157" spans="2:12">
      <c r="B157">
        <v>239</v>
      </c>
      <c r="C157" t="s">
        <v>568</v>
      </c>
      <c r="D157" s="273" t="e">
        <f>'Sch 1- Rate Base '!E160:G160</f>
        <v>#VALUE!</v>
      </c>
      <c r="E157" s="443" t="str">
        <f>+VLOOKUP($C157,ForecastImport!$B$15:$J$394,COLUMN()-3,FALSE)</f>
        <v>262-263</v>
      </c>
      <c r="F157">
        <f>+VLOOKUP($C157,ForecastImport!$B$15:$J$394,COLUMN()-3,FALSE)</f>
        <v>408.1</v>
      </c>
      <c r="G157" t="str">
        <f>+VLOOKUP($C157,ForecastImport!$B$15:$J$394,COLUMN()-3,FALSE)</f>
        <v>DIST</v>
      </c>
      <c r="H157">
        <f>+VLOOKUP($C157,ForecastImport!$B$15:$J$394,COLUMN()-3,FALSE)</f>
        <v>0</v>
      </c>
      <c r="I157">
        <f>+VLOOKUP($C157,ForecastImport!$B$15:$J$394,COLUMN()-3,FALSE)</f>
        <v>0</v>
      </c>
      <c r="J157">
        <f>+VLOOKUP($C157,ForecastImport!$B$15:$J$394,COLUMN()-3,FALSE)</f>
        <v>0</v>
      </c>
      <c r="K157">
        <f>+VLOOKUP($C157,ForecastImport!$B$15:$J$394,COLUMN()-3,FALSE)</f>
        <v>0</v>
      </c>
      <c r="L157">
        <f>+VLOOKUP($C157,ForecastImport!$B$15:$J$394,COLUMN()-3,FALSE)</f>
        <v>0</v>
      </c>
    </row>
    <row r="158" spans="2:12">
      <c r="B158">
        <v>240</v>
      </c>
      <c r="C158" t="s">
        <v>153</v>
      </c>
      <c r="D158" s="273" t="e">
        <f>'Sch 1- Rate Base '!E161:G161</f>
        <v>#VALUE!</v>
      </c>
      <c r="E158" s="443" t="str">
        <f>+VLOOKUP($C158,ForecastImport!$B$15:$J$394,COLUMN()-3,FALSE)</f>
        <v>262-263</v>
      </c>
      <c r="F158">
        <f>+VLOOKUP($C158,ForecastImport!$B$15:$J$394,COLUMN()-3,FALSE)</f>
        <v>408.1</v>
      </c>
      <c r="G158" t="str">
        <f>+VLOOKUP($C158,ForecastImport!$B$15:$J$394,COLUMN()-3,FALSE)</f>
        <v>DIST</v>
      </c>
      <c r="H158">
        <f>+VLOOKUP($C158,ForecastImport!$B$15:$J$394,COLUMN()-3,FALSE)</f>
        <v>0</v>
      </c>
      <c r="I158">
        <f>+VLOOKUP($C158,ForecastImport!$B$15:$J$394,COLUMN()-3,FALSE)</f>
        <v>0</v>
      </c>
      <c r="J158">
        <f>+VLOOKUP($C158,ForecastImport!$B$15:$J$394,COLUMN()-3,FALSE)</f>
        <v>0</v>
      </c>
      <c r="K158">
        <f>+VLOOKUP($C158,ForecastImport!$B$15:$J$394,COLUMN()-3,FALSE)</f>
        <v>0</v>
      </c>
      <c r="L158">
        <f>+VLOOKUP($C158,ForecastImport!$B$15:$J$394,COLUMN()-3,FALSE)</f>
        <v>0</v>
      </c>
    </row>
    <row r="159" spans="2:12">
      <c r="B159">
        <v>241</v>
      </c>
      <c r="C159" t="s">
        <v>569</v>
      </c>
      <c r="D159" s="273" t="e">
        <f>'Sch 1- Rate Base '!E162:G162</f>
        <v>#VALUE!</v>
      </c>
      <c r="E159" s="443" t="str">
        <f>+VLOOKUP($C159,ForecastImport!$B$15:$J$394,COLUMN()-3,FALSE)</f>
        <v>262-263</v>
      </c>
      <c r="F159">
        <f>+VLOOKUP($C159,ForecastImport!$B$15:$J$394,COLUMN()-3,FALSE)</f>
        <v>408.1</v>
      </c>
      <c r="G159" t="str">
        <f>+VLOOKUP($C159,ForecastImport!$B$15:$J$394,COLUMN()-3,FALSE)</f>
        <v>DIST</v>
      </c>
      <c r="H159">
        <f>+VLOOKUP($C159,ForecastImport!$B$15:$J$394,COLUMN()-3,FALSE)</f>
        <v>0</v>
      </c>
      <c r="I159">
        <f>+VLOOKUP($C159,ForecastImport!$B$15:$J$394,COLUMN()-3,FALSE)</f>
        <v>103454099</v>
      </c>
      <c r="J159">
        <f>+VLOOKUP($C159,ForecastImport!$B$15:$J$394,COLUMN()-3,FALSE)</f>
        <v>0</v>
      </c>
      <c r="K159">
        <f>+VLOOKUP($C159,ForecastImport!$B$15:$J$394,COLUMN()-3,FALSE)</f>
        <v>0</v>
      </c>
      <c r="L159">
        <f>+VLOOKUP($C159,ForecastImport!$B$15:$J$394,COLUMN()-3,FALSE)</f>
        <v>103454099</v>
      </c>
    </row>
    <row r="160" spans="2:12">
      <c r="B160">
        <v>242</v>
      </c>
      <c r="C160" t="s">
        <v>107</v>
      </c>
      <c r="D160" s="273" t="e">
        <f>'Sch 1- Rate Base '!E163:G163</f>
        <v>#VALUE!</v>
      </c>
      <c r="E160" s="443" t="str">
        <f>+VLOOKUP($C160,ForecastImport!$B$15:$J$394,COLUMN()-3,FALSE)</f>
        <v>262-263</v>
      </c>
      <c r="F160">
        <f>+VLOOKUP($C160,ForecastImport!$B$15:$J$394,COLUMN()-3,FALSE)</f>
        <v>408.1</v>
      </c>
      <c r="G160" t="str">
        <f>+VLOOKUP($C160,ForecastImport!$B$15:$J$394,COLUMN()-3,FALSE)</f>
        <v>DIST</v>
      </c>
      <c r="H160">
        <f>+VLOOKUP($C160,ForecastImport!$B$15:$J$394,COLUMN()-3,FALSE)</f>
        <v>0</v>
      </c>
      <c r="I160">
        <f>+VLOOKUP($C160,ForecastImport!$B$15:$J$394,COLUMN()-3,FALSE)</f>
        <v>879365</v>
      </c>
      <c r="J160">
        <f>+VLOOKUP($C160,ForecastImport!$B$15:$J$394,COLUMN()-3,FALSE)</f>
        <v>0</v>
      </c>
      <c r="K160">
        <f>+VLOOKUP($C160,ForecastImport!$B$15:$J$394,COLUMN()-3,FALSE)</f>
        <v>0</v>
      </c>
      <c r="L160">
        <f>+VLOOKUP($C160,ForecastImport!$B$15:$J$394,COLUMN()-3,FALSE)</f>
        <v>879365</v>
      </c>
    </row>
    <row r="161" spans="2:12">
      <c r="B161">
        <v>250</v>
      </c>
      <c r="C161" t="s">
        <v>565</v>
      </c>
      <c r="D161" s="273" t="e">
        <f>'Sch 1- Rate Base '!E164:G164</f>
        <v>#VALUE!</v>
      </c>
      <c r="E161" s="443" t="str">
        <f>+VLOOKUP($C161,ForecastImport!$B$15:$J$394,COLUMN()-3,FALSE)</f>
        <v>114-117</v>
      </c>
      <c r="F161">
        <f>+VLOOKUP($C161,ForecastImport!$B$15:$J$394,COLUMN()-3,FALSE)</f>
        <v>407.4</v>
      </c>
      <c r="G161" t="str">
        <f>+VLOOKUP($C161,ForecastImport!$B$15:$J$394,COLUMN()-3,FALSE)</f>
        <v>DIRECT</v>
      </c>
      <c r="H161" t="str">
        <f>+VLOOKUP($C161,ForecastImport!$B$15:$J$394,COLUMN()-3,FALSE)</f>
        <v>PROD</v>
      </c>
      <c r="I161">
        <f>+VLOOKUP($C161,ForecastImport!$B$15:$J$394,COLUMN()-3,FALSE)</f>
        <v>134166092</v>
      </c>
      <c r="J161">
        <f>+VLOOKUP($C161,ForecastImport!$B$15:$J$394,COLUMN()-3,FALSE)</f>
        <v>101178031.47000001</v>
      </c>
      <c r="K161">
        <f>+VLOOKUP($C161,ForecastImport!$B$15:$J$394,COLUMN()-3,FALSE)</f>
        <v>0</v>
      </c>
      <c r="L161">
        <f>+VLOOKUP($C161,ForecastImport!$B$15:$J$394,COLUMN()-3,FALSE)</f>
        <v>32988060.300000001</v>
      </c>
    </row>
    <row r="162" spans="2:12">
      <c r="B162">
        <v>251</v>
      </c>
      <c r="C162" s="273" t="s">
        <v>619</v>
      </c>
      <c r="D162" s="273" t="e">
        <f>'Sch 1- Rate Base '!E165:G165</f>
        <v>#VALUE!</v>
      </c>
      <c r="E162" s="443" t="str">
        <f>+VLOOKUP($C162,ForecastImport!$B$15:$J$394,COLUMN()-3,FALSE)</f>
        <v>114-117</v>
      </c>
      <c r="F162">
        <f>+VLOOKUP($C162,ForecastImport!$B$15:$J$394,COLUMN()-3,FALSE)</f>
        <v>407.3</v>
      </c>
      <c r="G162" t="str">
        <f>+VLOOKUP($C162,ForecastImport!$B$15:$J$394,COLUMN()-3,FALSE)</f>
        <v>DIRECT</v>
      </c>
      <c r="H162" t="str">
        <f>+VLOOKUP($C162,ForecastImport!$B$15:$J$394,COLUMN()-3,FALSE)</f>
        <v>DIST</v>
      </c>
      <c r="I162">
        <f>+VLOOKUP($C162,ForecastImport!$B$15:$J$394,COLUMN()-3,FALSE)</f>
        <v>66572207</v>
      </c>
      <c r="J162">
        <f>+VLOOKUP($C162,ForecastImport!$B$15:$J$394,COLUMN()-3,FALSE)</f>
        <v>35561739.260000005</v>
      </c>
      <c r="K162">
        <f>+VLOOKUP($C162,ForecastImport!$B$15:$J$394,COLUMN()-3,FALSE)</f>
        <v>0</v>
      </c>
      <c r="L162">
        <f>+VLOOKUP($C162,ForecastImport!$B$15:$J$394,COLUMN()-3,FALSE)</f>
        <v>31010467.999999996</v>
      </c>
    </row>
    <row r="163" spans="2:12">
      <c r="B163">
        <v>252</v>
      </c>
      <c r="C163" t="s">
        <v>388</v>
      </c>
      <c r="D163" s="273" t="e">
        <f>'Sch 1- Rate Base '!E166:G166</f>
        <v>#VALUE!</v>
      </c>
      <c r="E163" s="443" t="str">
        <f>+VLOOKUP($C163,ForecastImport!$B$15:$J$394,COLUMN()-3,FALSE)</f>
        <v>114-117</v>
      </c>
      <c r="F163">
        <f>+VLOOKUP($C163,ForecastImport!$B$15:$J$394,COLUMN()-3,FALSE)</f>
        <v>411.6</v>
      </c>
      <c r="G163" t="str">
        <f>+VLOOKUP($C163,ForecastImport!$B$15:$J$394,COLUMN()-3,FALSE)</f>
        <v>DIRECT</v>
      </c>
      <c r="H163" t="str">
        <f>+VLOOKUP($C163,ForecastImport!$B$15:$J$394,COLUMN()-3,FALSE)</f>
        <v>PROD</v>
      </c>
      <c r="I163">
        <f>+VLOOKUP($C163,ForecastImport!$B$15:$J$394,COLUMN()-3,FALSE)</f>
        <v>611696</v>
      </c>
      <c r="J163">
        <f>+VLOOKUP($C163,ForecastImport!$B$15:$J$394,COLUMN()-3,FALSE)</f>
        <v>213537.98767209105</v>
      </c>
      <c r="K163">
        <f>+VLOOKUP($C163,ForecastImport!$B$15:$J$394,COLUMN()-3,FALSE)</f>
        <v>0</v>
      </c>
      <c r="L163">
        <f>+VLOOKUP($C163,ForecastImport!$B$15:$J$394,COLUMN()-3,FALSE)</f>
        <v>398158.40232790902</v>
      </c>
    </row>
    <row r="164" spans="2:12">
      <c r="B164">
        <v>253</v>
      </c>
      <c r="C164" s="273" t="s">
        <v>620</v>
      </c>
      <c r="D164" s="273" t="e">
        <f>'Sch 1- Rate Base '!E167:G167</f>
        <v>#VALUE!</v>
      </c>
      <c r="E164" s="443" t="str">
        <f>+VLOOKUP($C164,ForecastImport!$B$15:$J$394,COLUMN()-3,FALSE)</f>
        <v>114-117</v>
      </c>
      <c r="F164" s="443" t="str">
        <f>+VLOOKUP($C164,ForecastImport!$B$15:$J$394,COLUMN()-3,FALSE)</f>
        <v>411.7</v>
      </c>
      <c r="G164" t="str">
        <f>+VLOOKUP($C164,ForecastImport!$B$15:$J$394,COLUMN()-3,FALSE)</f>
        <v>DIRECT</v>
      </c>
      <c r="H164" t="str">
        <f>+VLOOKUP($C164,ForecastImport!$B$15:$J$394,COLUMN()-3,FALSE)</f>
        <v>DIST</v>
      </c>
      <c r="I164">
        <f>+VLOOKUP($C164,ForecastImport!$B$15:$J$394,COLUMN()-3,FALSE)</f>
        <v>5519</v>
      </c>
      <c r="J164">
        <f>+VLOOKUP($C164,ForecastImport!$B$15:$J$394,COLUMN()-3,FALSE)</f>
        <v>1926.5659657804031</v>
      </c>
      <c r="K164">
        <f>+VLOOKUP($C164,ForecastImport!$B$15:$J$394,COLUMN()-3,FALSE)</f>
        <v>0</v>
      </c>
      <c r="L164">
        <f>+VLOOKUP($C164,ForecastImport!$B$15:$J$394,COLUMN()-3,FALSE)</f>
        <v>3592.2340342195976</v>
      </c>
    </row>
    <row r="165" spans="2:12">
      <c r="B165">
        <v>254</v>
      </c>
      <c r="C165" t="s">
        <v>389</v>
      </c>
      <c r="D165" s="273" t="e">
        <f>'Sch 1- Rate Base '!E168:G168</f>
        <v>#VALUE!</v>
      </c>
      <c r="E165" s="443" t="str">
        <f>+VLOOKUP($C165,ForecastImport!$B$15:$J$394,COLUMN()-3,FALSE)</f>
        <v>114-117</v>
      </c>
      <c r="F165" s="443">
        <f>+VLOOKUP($C165,ForecastImport!$B$15:$J$394,COLUMN()-3,FALSE)</f>
        <v>411.8</v>
      </c>
      <c r="G165" t="str">
        <f>+VLOOKUP($C165,ForecastImport!$B$15:$J$394,COLUMN()-3,FALSE)</f>
        <v>PROD</v>
      </c>
      <c r="H165">
        <f>+VLOOKUP($C165,ForecastImport!$B$15:$J$394,COLUMN()-3,FALSE)</f>
        <v>0</v>
      </c>
      <c r="I165">
        <f>+VLOOKUP($C165,ForecastImport!$B$15:$J$394,COLUMN()-3,FALSE)</f>
        <v>0</v>
      </c>
      <c r="J165">
        <f>+VLOOKUP($C165,ForecastImport!$B$15:$J$394,COLUMN()-3,FALSE)</f>
        <v>0</v>
      </c>
      <c r="K165">
        <f>+VLOOKUP($C165,ForecastImport!$B$15:$J$394,COLUMN()-3,FALSE)</f>
        <v>0</v>
      </c>
      <c r="L165">
        <f>+VLOOKUP($C165,ForecastImport!$B$15:$J$394,COLUMN()-3,FALSE)</f>
        <v>0</v>
      </c>
    </row>
    <row r="166" spans="2:12">
      <c r="B166">
        <v>255</v>
      </c>
      <c r="C166" s="273" t="s">
        <v>621</v>
      </c>
      <c r="D166" s="273" t="e">
        <f>'Sch 1- Rate Base '!E169:G169</f>
        <v>#VALUE!</v>
      </c>
      <c r="E166" s="443" t="str">
        <f>+VLOOKUP($C166,ForecastImport!$B$15:$J$394,COLUMN()-3,FALSE)</f>
        <v>114-117</v>
      </c>
      <c r="F166" s="443">
        <f>+VLOOKUP($C166,ForecastImport!$B$15:$J$394,COLUMN()-3,FALSE)</f>
        <v>411.9</v>
      </c>
      <c r="G166" t="str">
        <f>+VLOOKUP($C166,ForecastImport!$B$15:$J$394,COLUMN()-3,FALSE)</f>
        <v>PROD</v>
      </c>
      <c r="H166">
        <f>+VLOOKUP($C166,ForecastImport!$B$15:$J$394,COLUMN()-3,FALSE)</f>
        <v>0</v>
      </c>
      <c r="I166">
        <f>+VLOOKUP($C166,ForecastImport!$B$15:$J$394,COLUMN()-3,FALSE)</f>
        <v>0</v>
      </c>
      <c r="J166">
        <f>+VLOOKUP($C166,ForecastImport!$B$15:$J$394,COLUMN()-3,FALSE)</f>
        <v>0</v>
      </c>
      <c r="K166">
        <f>+VLOOKUP($C166,ForecastImport!$B$15:$J$394,COLUMN()-3,FALSE)</f>
        <v>0</v>
      </c>
      <c r="L166">
        <f>+VLOOKUP($C166,ForecastImport!$B$15:$J$394,COLUMN()-3,FALSE)</f>
        <v>0</v>
      </c>
    </row>
    <row r="167" spans="2:12">
      <c r="B167">
        <v>256</v>
      </c>
      <c r="C167" t="s">
        <v>181</v>
      </c>
      <c r="D167" s="273" t="e">
        <f>'Sch 1- Rate Base '!E170:G170</f>
        <v>#VALUE!</v>
      </c>
      <c r="E167" s="443" t="str">
        <f>+VLOOKUP($C167,ForecastImport!$B$15:$J$394,COLUMN()-3,FALSE)</f>
        <v>114-117</v>
      </c>
      <c r="F167" s="443">
        <f>+VLOOKUP($C167,ForecastImport!$B$15:$J$394,COLUMN()-3,FALSE)</f>
        <v>421</v>
      </c>
      <c r="G167" t="str">
        <f>+VLOOKUP($C167,ForecastImport!$B$15:$J$394,COLUMN()-3,FALSE)</f>
        <v>DIRECT</v>
      </c>
      <c r="H167" t="str">
        <f>+VLOOKUP($C167,ForecastImport!$B$15:$J$394,COLUMN()-3,FALSE)</f>
        <v>PROD</v>
      </c>
      <c r="I167">
        <f>+VLOOKUP($C167,ForecastImport!$B$15:$J$394,COLUMN()-3,FALSE)</f>
        <v>-261571031</v>
      </c>
      <c r="J167">
        <f>+VLOOKUP($C167,ForecastImport!$B$15:$J$394,COLUMN()-3,FALSE)</f>
        <v>11756.068681033697</v>
      </c>
      <c r="K167">
        <f>+VLOOKUP($C167,ForecastImport!$B$15:$J$394,COLUMN()-3,FALSE)</f>
        <v>0</v>
      </c>
      <c r="L167">
        <f>+VLOOKUP($C167,ForecastImport!$B$15:$J$394,COLUMN()-3,FALSE)</f>
        <v>-261582787.08259478</v>
      </c>
    </row>
    <row r="168" spans="2:12">
      <c r="B168">
        <v>260</v>
      </c>
      <c r="C168" t="s">
        <v>64</v>
      </c>
      <c r="D168" s="273" t="e">
        <f>'Sch 1- Rate Base '!E171:G171</f>
        <v>#VALUE!</v>
      </c>
      <c r="E168" s="443">
        <f>+VLOOKUP($C168,ForecastImport!$B$15:$J$394,COLUMN()-3,FALSE)</f>
        <v>310</v>
      </c>
      <c r="F168" s="443">
        <f>+VLOOKUP($C168,ForecastImport!$B$15:$J$394,COLUMN()-3,FALSE)</f>
        <v>447</v>
      </c>
      <c r="G168" t="str">
        <f>+VLOOKUP($C168,ForecastImport!$B$15:$J$394,COLUMN()-3,FALSE)</f>
        <v>PROD</v>
      </c>
      <c r="H168">
        <f>+VLOOKUP($C168,ForecastImport!$B$15:$J$394,COLUMN()-3,FALSE)</f>
        <v>0</v>
      </c>
      <c r="I168">
        <f>+VLOOKUP($C168,ForecastImport!$B$15:$J$394,COLUMN()-3,FALSE)</f>
        <v>640830574</v>
      </c>
      <c r="J168">
        <f>+VLOOKUP($C168,ForecastImport!$B$15:$J$394,COLUMN()-3,FALSE)</f>
        <v>640830574</v>
      </c>
      <c r="K168">
        <f>+VLOOKUP($C168,ForecastImport!$B$15:$J$394,COLUMN()-3,FALSE)</f>
        <v>0</v>
      </c>
      <c r="L168">
        <f>+VLOOKUP($C168,ForecastImport!$B$15:$J$394,COLUMN()-3,FALSE)</f>
        <v>0</v>
      </c>
    </row>
    <row r="169" spans="2:12">
      <c r="B169">
        <v>264</v>
      </c>
      <c r="C169" t="s">
        <v>325</v>
      </c>
      <c r="D169" s="273" t="e">
        <f>'Sch 1- Rate Base '!E172:G172</f>
        <v>#VALUE!</v>
      </c>
      <c r="E169" s="443">
        <f>+VLOOKUP($C169,ForecastImport!$B$15:$J$394,COLUMN()-3,FALSE)</f>
        <v>300</v>
      </c>
      <c r="F169" s="443">
        <f>+VLOOKUP($C169,ForecastImport!$B$15:$J$394,COLUMN()-3,FALSE)</f>
        <v>450</v>
      </c>
      <c r="G169" t="str">
        <f>+VLOOKUP($C169,ForecastImport!$B$15:$J$394,COLUMN()-3,FALSE)</f>
        <v>DIST</v>
      </c>
      <c r="H169">
        <f>+VLOOKUP($C169,ForecastImport!$B$15:$J$394,COLUMN()-3,FALSE)</f>
        <v>0</v>
      </c>
      <c r="I169">
        <f>+VLOOKUP($C169,ForecastImport!$B$15:$J$394,COLUMN()-3,FALSE)</f>
        <v>-758</v>
      </c>
      <c r="J169">
        <f>+VLOOKUP($C169,ForecastImport!$B$15:$J$394,COLUMN()-3,FALSE)</f>
        <v>0</v>
      </c>
      <c r="K169">
        <f>+VLOOKUP($C169,ForecastImport!$B$15:$J$394,COLUMN()-3,FALSE)</f>
        <v>0</v>
      </c>
      <c r="L169">
        <f>+VLOOKUP($C169,ForecastImport!$B$15:$J$394,COLUMN()-3,FALSE)</f>
        <v>-758</v>
      </c>
    </row>
    <row r="170" spans="2:12">
      <c r="B170">
        <v>265</v>
      </c>
      <c r="C170" t="s">
        <v>545</v>
      </c>
      <c r="D170" s="273" t="e">
        <f>'Sch 1- Rate Base '!E173:G173</f>
        <v>#VALUE!</v>
      </c>
      <c r="E170" s="443">
        <f>+VLOOKUP($C170,ForecastImport!$B$15:$J$394,COLUMN()-3,FALSE)</f>
        <v>300</v>
      </c>
      <c r="F170" s="443" t="str">
        <f>+VLOOKUP($C170,ForecastImport!$B$15:$J$394,COLUMN()-3,FALSE)</f>
        <v>451</v>
      </c>
      <c r="G170" t="str">
        <f>+VLOOKUP($C170,ForecastImport!$B$15:$J$394,COLUMN()-3,FALSE)</f>
        <v>DIST</v>
      </c>
      <c r="H170">
        <f>+VLOOKUP($C170,ForecastImport!$B$15:$J$394,COLUMN()-3,FALSE)</f>
        <v>0</v>
      </c>
      <c r="I170">
        <f>+VLOOKUP($C170,ForecastImport!$B$15:$J$394,COLUMN()-3,FALSE)</f>
        <v>16254690</v>
      </c>
      <c r="J170">
        <f>+VLOOKUP($C170,ForecastImport!$B$15:$J$394,COLUMN()-3,FALSE)</f>
        <v>0</v>
      </c>
      <c r="K170">
        <f>+VLOOKUP($C170,ForecastImport!$B$15:$J$394,COLUMN()-3,FALSE)</f>
        <v>0</v>
      </c>
      <c r="L170">
        <f>+VLOOKUP($C170,ForecastImport!$B$15:$J$394,COLUMN()-3,FALSE)</f>
        <v>16254690</v>
      </c>
    </row>
    <row r="171" spans="2:12">
      <c r="B171">
        <v>266</v>
      </c>
      <c r="C171" t="s">
        <v>544</v>
      </c>
      <c r="D171" s="273" t="e">
        <f>'Sch 1- Rate Base '!E174:G174</f>
        <v>#VALUE!</v>
      </c>
      <c r="E171" s="443">
        <f>+VLOOKUP($C171,ForecastImport!$B$15:$J$394,COLUMN()-3,FALSE)</f>
        <v>300</v>
      </c>
      <c r="F171" s="443" t="str">
        <f>+VLOOKUP($C171,ForecastImport!$B$15:$J$394,COLUMN()-3,FALSE)</f>
        <v>453</v>
      </c>
      <c r="G171" t="str">
        <f>+VLOOKUP($C171,ForecastImport!$B$15:$J$394,COLUMN()-3,FALSE)</f>
        <v>PROD</v>
      </c>
      <c r="H171">
        <f>+VLOOKUP($C171,ForecastImport!$B$15:$J$394,COLUMN()-3,FALSE)</f>
        <v>0</v>
      </c>
      <c r="I171">
        <f>+VLOOKUP($C171,ForecastImport!$B$15:$J$394,COLUMN()-3,FALSE)</f>
        <v>0</v>
      </c>
      <c r="J171">
        <f>+VLOOKUP($C171,ForecastImport!$B$15:$J$394,COLUMN()-3,FALSE)</f>
        <v>0</v>
      </c>
      <c r="K171">
        <f>+VLOOKUP($C171,ForecastImport!$B$15:$J$394,COLUMN()-3,FALSE)</f>
        <v>0</v>
      </c>
      <c r="L171">
        <f>+VLOOKUP($C171,ForecastImport!$B$15:$J$394,COLUMN()-3,FALSE)</f>
        <v>0</v>
      </c>
    </row>
    <row r="172" spans="2:12">
      <c r="B172">
        <v>267</v>
      </c>
      <c r="C172" t="s">
        <v>543</v>
      </c>
      <c r="D172" s="273" t="e">
        <f>'Sch 1- Rate Base '!E175:G175</f>
        <v>#VALUE!</v>
      </c>
      <c r="E172" s="443">
        <f>+VLOOKUP($C172,ForecastImport!$B$15:$J$394,COLUMN()-3,FALSE)</f>
        <v>300</v>
      </c>
      <c r="F172" s="443" t="str">
        <f>+VLOOKUP($C172,ForecastImport!$B$15:$J$394,COLUMN()-3,FALSE)</f>
        <v>454</v>
      </c>
      <c r="G172" t="str">
        <f>+VLOOKUP($C172,ForecastImport!$B$15:$J$394,COLUMN()-3,FALSE)</f>
        <v>TD</v>
      </c>
      <c r="H172">
        <f>+VLOOKUP($C172,ForecastImport!$B$15:$J$394,COLUMN()-3,FALSE)</f>
        <v>0</v>
      </c>
      <c r="I172">
        <f>+VLOOKUP($C172,ForecastImport!$B$15:$J$394,COLUMN()-3,FALSE)</f>
        <v>16990858</v>
      </c>
      <c r="J172">
        <f>+VLOOKUP($C172,ForecastImport!$B$15:$J$394,COLUMN()-3,FALSE)</f>
        <v>0</v>
      </c>
      <c r="K172">
        <f>+VLOOKUP($C172,ForecastImport!$B$15:$J$394,COLUMN()-3,FALSE)</f>
        <v>0</v>
      </c>
      <c r="L172">
        <f>+VLOOKUP($C172,ForecastImport!$B$15:$J$394,COLUMN()-3,FALSE)</f>
        <v>16990858</v>
      </c>
    </row>
    <row r="173" spans="2:12">
      <c r="B173">
        <v>268</v>
      </c>
      <c r="C173" t="s">
        <v>327</v>
      </c>
      <c r="D173" s="273" t="e">
        <f>'Sch 1- Rate Base '!E176:G176</f>
        <v>#VALUE!</v>
      </c>
      <c r="E173" s="443">
        <f>+VLOOKUP($C173,ForecastImport!$B$15:$J$394,COLUMN()-3,FALSE)</f>
        <v>300</v>
      </c>
      <c r="F173" s="443">
        <f>+VLOOKUP($C173,ForecastImport!$B$15:$J$394,COLUMN()-3,FALSE)</f>
        <v>455</v>
      </c>
      <c r="G173" t="str">
        <f>+VLOOKUP($C173,ForecastImport!$B$15:$J$394,COLUMN()-3,FALSE)</f>
        <v>DIST</v>
      </c>
      <c r="H173">
        <f>+VLOOKUP($C173,ForecastImport!$B$15:$J$394,COLUMN()-3,FALSE)</f>
        <v>0</v>
      </c>
      <c r="I173">
        <f>+VLOOKUP($C173,ForecastImport!$B$15:$J$394,COLUMN()-3,FALSE)</f>
        <v>0</v>
      </c>
      <c r="J173">
        <f>+VLOOKUP($C173,ForecastImport!$B$15:$J$394,COLUMN()-3,FALSE)</f>
        <v>0</v>
      </c>
      <c r="K173">
        <f>+VLOOKUP($C173,ForecastImport!$B$15:$J$394,COLUMN()-3,FALSE)</f>
        <v>0</v>
      </c>
      <c r="L173">
        <f>+VLOOKUP($C173,ForecastImport!$B$15:$J$394,COLUMN()-3,FALSE)</f>
        <v>0</v>
      </c>
    </row>
    <row r="174" spans="2:12">
      <c r="B174">
        <v>269</v>
      </c>
      <c r="C174" t="s">
        <v>326</v>
      </c>
      <c r="D174" s="273" t="e">
        <f>'Sch 1- Rate Base '!E177:G177</f>
        <v>#VALUE!</v>
      </c>
      <c r="E174" s="443">
        <f>+VLOOKUP($C174,ForecastImport!$B$15:$J$394,COLUMN()-3,FALSE)</f>
        <v>300</v>
      </c>
      <c r="F174" s="443" t="str">
        <f>+VLOOKUP($C174,ForecastImport!$B$15:$J$394,COLUMN()-3,FALSE)</f>
        <v>456</v>
      </c>
      <c r="G174" t="str">
        <f>+VLOOKUP($C174,ForecastImport!$B$15:$J$394,COLUMN()-3,FALSE)</f>
        <v>DIRECT</v>
      </c>
      <c r="H174" t="str">
        <f>+VLOOKUP($C174,ForecastImport!$B$15:$J$394,COLUMN()-3,FALSE)</f>
        <v>PROD</v>
      </c>
      <c r="I174">
        <f>+VLOOKUP($C174,ForecastImport!$B$15:$J$394,COLUMN()-3,FALSE)</f>
        <v>33809167</v>
      </c>
      <c r="J174">
        <f>+VLOOKUP($C174,ForecastImport!$B$15:$J$394,COLUMN()-3,FALSE)</f>
        <v>46941385.813219115</v>
      </c>
      <c r="K174">
        <f>+VLOOKUP($C174,ForecastImport!$B$15:$J$394,COLUMN()-3,FALSE)</f>
        <v>0</v>
      </c>
      <c r="L174">
        <f>+VLOOKUP($C174,ForecastImport!$B$15:$J$394,COLUMN()-3,FALSE)</f>
        <v>-13132218.503405668</v>
      </c>
    </row>
    <row r="175" spans="2:12">
      <c r="B175">
        <v>270</v>
      </c>
      <c r="C175" t="s">
        <v>502</v>
      </c>
      <c r="D175" s="273" t="e">
        <f>'Sch 1- Rate Base '!E178:G178</f>
        <v>#VALUE!</v>
      </c>
      <c r="E175" s="443">
        <f>+VLOOKUP($C175,ForecastImport!$B$15:$J$394,COLUMN()-3,FALSE)</f>
        <v>330</v>
      </c>
      <c r="F175" s="443">
        <f>+VLOOKUP($C175,ForecastImport!$B$15:$J$394,COLUMN()-3,FALSE)</f>
        <v>456.1</v>
      </c>
      <c r="G175" t="str">
        <f>+VLOOKUP($C175,ForecastImport!$B$15:$J$394,COLUMN()-3,FALSE)</f>
        <v>TRANS</v>
      </c>
      <c r="H175">
        <f>+VLOOKUP($C175,ForecastImport!$B$15:$J$394,COLUMN()-3,FALSE)</f>
        <v>0</v>
      </c>
      <c r="I175">
        <f>+VLOOKUP($C175,ForecastImport!$B$15:$J$394,COLUMN()-3,FALSE)</f>
        <v>34371414</v>
      </c>
      <c r="J175">
        <f>+VLOOKUP($C175,ForecastImport!$B$15:$J$394,COLUMN()-3,FALSE)</f>
        <v>0</v>
      </c>
      <c r="K175">
        <f>+VLOOKUP($C175,ForecastImport!$B$15:$J$394,COLUMN()-3,FALSE)</f>
        <v>0</v>
      </c>
      <c r="L175">
        <f>+VLOOKUP($C175,ForecastImport!$B$15:$J$394,COLUMN()-3,FALSE)</f>
        <v>34371414</v>
      </c>
    </row>
    <row r="176" spans="2:12">
      <c r="B176">
        <v>313</v>
      </c>
      <c r="C176" t="s">
        <v>842</v>
      </c>
      <c r="D176" s="273" t="e">
        <f>'Sch 1- Rate Base '!E179:G179</f>
        <v>#VALUE!</v>
      </c>
      <c r="E176" s="443">
        <f>+VLOOKUP($C176,ForecastImport!$B$15:$J$394,COLUMN()-3,FALSE)</f>
        <v>0</v>
      </c>
      <c r="F176">
        <f>+VLOOKUP($C176,ForecastImport!$B$15:$J$394,COLUMN()-3,FALSE)</f>
        <v>0</v>
      </c>
      <c r="G176" t="str">
        <f>+VLOOKUP($C176,ForecastImport!$B$15:$J$394,COLUMN()-3,FALSE)</f>
        <v>PROD</v>
      </c>
      <c r="H176">
        <f>+VLOOKUP($C176,ForecastImport!$B$15:$J$394,COLUMN()-3,FALSE)</f>
        <v>0</v>
      </c>
      <c r="I176">
        <f>+VLOOKUP($C176,ForecastImport!$B$15:$J$394,COLUMN()-3,FALSE)</f>
        <v>32635584</v>
      </c>
      <c r="J176">
        <f>+VLOOKUP($C176,ForecastImport!$B$15:$J$394,COLUMN()-3,FALSE)</f>
        <v>32635584</v>
      </c>
      <c r="K176">
        <f>+VLOOKUP($C176,ForecastImport!$B$15:$J$394,COLUMN()-3,FALSE)</f>
        <v>0</v>
      </c>
      <c r="L176">
        <f>+VLOOKUP($C176,ForecastImport!$B$15:$J$394,COLUMN()-3,FALSE)</f>
        <v>0</v>
      </c>
    </row>
    <row r="177" spans="2:15">
      <c r="B177">
        <v>314</v>
      </c>
      <c r="C177" t="s">
        <v>843</v>
      </c>
      <c r="D177" s="273" t="e">
        <f>'Sch 1- Rate Base '!E180:G180</f>
        <v>#VALUE!</v>
      </c>
      <c r="E177" s="443">
        <f>+VLOOKUP($C177,ForecastImport!$B$15:$J$394,COLUMN()-3,FALSE)</f>
        <v>0</v>
      </c>
      <c r="F177">
        <f>+VLOOKUP($C177,ForecastImport!$B$15:$J$394,COLUMN()-3,FALSE)</f>
        <v>0</v>
      </c>
      <c r="G177" t="str">
        <f>+VLOOKUP($C177,ForecastImport!$B$15:$J$394,COLUMN()-3,FALSE)</f>
        <v>TRANS</v>
      </c>
      <c r="H177">
        <f>+VLOOKUP($C177,ForecastImport!$B$15:$J$394,COLUMN()-3,FALSE)</f>
        <v>0</v>
      </c>
      <c r="I177">
        <f>+VLOOKUP($C177,ForecastImport!$B$15:$J$394,COLUMN()-3,FALSE)</f>
        <v>10498560</v>
      </c>
      <c r="J177">
        <f>+VLOOKUP($C177,ForecastImport!$B$15:$J$394,COLUMN()-3,FALSE)</f>
        <v>0</v>
      </c>
      <c r="K177">
        <f>+VLOOKUP($C177,ForecastImport!$B$15:$J$394,COLUMN()-3,FALSE)</f>
        <v>0</v>
      </c>
      <c r="L177">
        <f>+VLOOKUP($C177,ForecastImport!$B$15:$J$394,COLUMN()-3,FALSE)</f>
        <v>10498560</v>
      </c>
    </row>
    <row r="178" spans="2:15">
      <c r="B178">
        <v>315</v>
      </c>
      <c r="C178" t="s">
        <v>844</v>
      </c>
      <c r="D178" s="273" t="e">
        <f>'Sch 1- Rate Base '!E181:G181</f>
        <v>#VALUE!</v>
      </c>
      <c r="E178" s="443">
        <f>+VLOOKUP($C178,ForecastImport!$B$15:$J$394,COLUMN()-3,FALSE)</f>
        <v>0</v>
      </c>
      <c r="F178">
        <f>+VLOOKUP($C178,ForecastImport!$B$15:$J$394,COLUMN()-3,FALSE)</f>
        <v>0</v>
      </c>
      <c r="G178" t="str">
        <f>+VLOOKUP($C178,ForecastImport!$B$15:$J$394,COLUMN()-3,FALSE)</f>
        <v>DIST</v>
      </c>
      <c r="H178">
        <f>+VLOOKUP($C178,ForecastImport!$B$15:$J$394,COLUMN()-3,FALSE)</f>
        <v>0</v>
      </c>
      <c r="I178">
        <f>+VLOOKUP($C178,ForecastImport!$B$15:$J$394,COLUMN()-3,FALSE)</f>
        <v>40805168</v>
      </c>
      <c r="J178">
        <f>+VLOOKUP($C178,ForecastImport!$B$15:$J$394,COLUMN()-3,FALSE)</f>
        <v>0</v>
      </c>
      <c r="K178">
        <f>+VLOOKUP($C178,ForecastImport!$B$15:$J$394,COLUMN()-3,FALSE)</f>
        <v>0</v>
      </c>
      <c r="L178">
        <f>+VLOOKUP($C178,ForecastImport!$B$15:$J$394,COLUMN()-3,FALSE)</f>
        <v>40805168</v>
      </c>
    </row>
    <row r="179" spans="2:15">
      <c r="B179">
        <v>316</v>
      </c>
      <c r="C179" t="s">
        <v>845</v>
      </c>
      <c r="D179" s="273" t="e">
        <f>'Sch 1- Rate Base '!E182:G182</f>
        <v>#VALUE!</v>
      </c>
      <c r="E179" s="443">
        <f>+VLOOKUP($C179,ForecastImport!$B$15:$J$394,COLUMN()-3,FALSE)</f>
        <v>0</v>
      </c>
      <c r="F179">
        <f>+VLOOKUP($C179,ForecastImport!$B$15:$J$394,COLUMN()-3,FALSE)</f>
        <v>0</v>
      </c>
      <c r="G179" t="str">
        <f>+VLOOKUP($C179,ForecastImport!$B$15:$J$394,COLUMN()-3,FALSE)</f>
        <v>DIST</v>
      </c>
      <c r="H179">
        <f>+VLOOKUP($C179,ForecastImport!$B$15:$J$394,COLUMN()-3,FALSE)</f>
        <v>0</v>
      </c>
      <c r="I179">
        <f>+VLOOKUP($C179,ForecastImport!$B$15:$J$394,COLUMN()-3,FALSE)</f>
        <v>10042836</v>
      </c>
      <c r="J179">
        <f>+VLOOKUP($C179,ForecastImport!$B$15:$J$394,COLUMN()-3,FALSE)</f>
        <v>0</v>
      </c>
      <c r="K179">
        <f>+VLOOKUP($C179,ForecastImport!$B$15:$J$394,COLUMN()-3,FALSE)</f>
        <v>0</v>
      </c>
      <c r="L179">
        <f>+VLOOKUP($C179,ForecastImport!$B$15:$J$394,COLUMN()-3,FALSE)</f>
        <v>10042836</v>
      </c>
    </row>
    <row r="180" spans="2:15">
      <c r="B180">
        <v>317</v>
      </c>
      <c r="C180" t="s">
        <v>846</v>
      </c>
      <c r="D180" s="273" t="e">
        <f>'Sch 1- Rate Base '!E183:G183</f>
        <v>#VALUE!</v>
      </c>
      <c r="E180" s="443">
        <f>+VLOOKUP($C180,ForecastImport!$B$15:$J$394,COLUMN()-3,FALSE)</f>
        <v>0</v>
      </c>
      <c r="F180">
        <f>+VLOOKUP($C180,ForecastImport!$B$15:$J$394,COLUMN()-3,FALSE)</f>
        <v>0</v>
      </c>
      <c r="G180" t="str">
        <f>+VLOOKUP($C180,ForecastImport!$B$15:$J$394,COLUMN()-3,FALSE)</f>
        <v>DIST</v>
      </c>
      <c r="H180">
        <f>+VLOOKUP($C180,ForecastImport!$B$15:$J$394,COLUMN()-3,FALSE)</f>
        <v>0</v>
      </c>
      <c r="I180">
        <f>+VLOOKUP($C180,ForecastImport!$B$15:$J$394,COLUMN()-3,FALSE)</f>
        <v>2377648</v>
      </c>
      <c r="J180">
        <f>+VLOOKUP($C180,ForecastImport!$B$15:$J$394,COLUMN()-3,FALSE)</f>
        <v>0</v>
      </c>
      <c r="K180">
        <f>+VLOOKUP($C180,ForecastImport!$B$15:$J$394,COLUMN()-3,FALSE)</f>
        <v>0</v>
      </c>
      <c r="L180">
        <f>+VLOOKUP($C180,ForecastImport!$B$15:$J$394,COLUMN()-3,FALSE)</f>
        <v>2377648</v>
      </c>
    </row>
    <row r="181" spans="2:15">
      <c r="B181">
        <v>318</v>
      </c>
      <c r="C181" t="s">
        <v>847</v>
      </c>
      <c r="D181" s="273" t="e">
        <f>'Sch 1- Rate Base '!E184:G184</f>
        <v>#VALUE!</v>
      </c>
      <c r="E181" s="443">
        <f>+VLOOKUP($C181,ForecastImport!$B$15:$J$394,COLUMN()-3,FALSE)</f>
        <v>0</v>
      </c>
      <c r="F181">
        <f>+VLOOKUP($C181,ForecastImport!$B$15:$J$394,COLUMN()-3,FALSE)</f>
        <v>0</v>
      </c>
      <c r="G181" t="str">
        <f>+VLOOKUP($C181,ForecastImport!$B$15:$J$394,COLUMN()-3,FALSE)</f>
        <v>DIST</v>
      </c>
      <c r="H181">
        <f>+VLOOKUP($C181,ForecastImport!$B$15:$J$394,COLUMN()-3,FALSE)</f>
        <v>0</v>
      </c>
      <c r="I181">
        <f>+VLOOKUP($C181,ForecastImport!$B$15:$J$394,COLUMN()-3,FALSE)</f>
        <v>834733</v>
      </c>
      <c r="J181">
        <f>+VLOOKUP($C181,ForecastImport!$B$15:$J$394,COLUMN()-3,FALSE)</f>
        <v>0</v>
      </c>
      <c r="K181">
        <f>+VLOOKUP($C181,ForecastImport!$B$15:$J$394,COLUMN()-3,FALSE)</f>
        <v>0</v>
      </c>
      <c r="L181">
        <f>+VLOOKUP($C181,ForecastImport!$B$15:$J$394,COLUMN()-3,FALSE)</f>
        <v>834733</v>
      </c>
    </row>
    <row r="182" spans="2:15">
      <c r="B182">
        <v>319</v>
      </c>
      <c r="C182" t="s">
        <v>848</v>
      </c>
      <c r="D182" s="273" t="e">
        <f>'Sch 1- Rate Base '!E185:G185</f>
        <v>#VALUE!</v>
      </c>
      <c r="E182" s="443">
        <f>+VLOOKUP($C182,ForecastImport!$B$15:$J$394,COLUMN()-3,FALSE)</f>
        <v>0</v>
      </c>
      <c r="F182">
        <f>+VLOOKUP($C182,ForecastImport!$B$15:$J$394,COLUMN()-3,FALSE)</f>
        <v>0</v>
      </c>
      <c r="G182" t="str">
        <f>+VLOOKUP($C182,ForecastImport!$B$15:$J$394,COLUMN()-3,FALSE)</f>
        <v>PTD</v>
      </c>
      <c r="H182">
        <f>+VLOOKUP($C182,ForecastImport!$B$15:$J$394,COLUMN()-3,FALSE)</f>
        <v>0</v>
      </c>
      <c r="I182">
        <f>+VLOOKUP($C182,ForecastImport!$B$15:$J$394,COLUMN()-3,FALSE)</f>
        <v>42547415</v>
      </c>
      <c r="J182">
        <f>+VLOOKUP($C182,ForecastImport!$B$15:$J$394,COLUMN()-3,FALSE)</f>
        <v>14852939.347491231</v>
      </c>
      <c r="K182">
        <f>+VLOOKUP($C182,ForecastImport!$B$15:$J$394,COLUMN()-3,FALSE)</f>
        <v>0</v>
      </c>
      <c r="L182">
        <f>+VLOOKUP($C182,ForecastImport!$B$15:$J$394,COLUMN()-3,FALSE)</f>
        <v>27694475.652508773</v>
      </c>
    </row>
    <row r="183" spans="2:15">
      <c r="B183">
        <v>297</v>
      </c>
      <c r="C183" t="s">
        <v>505</v>
      </c>
      <c r="D183" s="273" t="e">
        <f>'Sch 1- Rate Base '!E186:G186</f>
        <v>#VALUE!</v>
      </c>
      <c r="E183" s="443"/>
      <c r="M183">
        <f>+VLOOKUP($C183,ForecastImport!$B$15:$J$394,7,FALSE)</f>
        <v>1702818677.006722</v>
      </c>
    </row>
    <row r="184" spans="2:15">
      <c r="B184">
        <v>299</v>
      </c>
      <c r="C184" t="s">
        <v>507</v>
      </c>
      <c r="D184" s="273" t="e">
        <f>'Sch 1- Rate Base '!E187:G187</f>
        <v>#VALUE!</v>
      </c>
      <c r="E184" s="443"/>
      <c r="N184">
        <f>+VLOOKUP($C184,ForecastImport!$B$15:$J$394,7,FALSE)</f>
        <v>22147853.356800001</v>
      </c>
    </row>
    <row r="185" spans="2:15">
      <c r="B185">
        <v>301</v>
      </c>
      <c r="C185" t="s">
        <v>320</v>
      </c>
      <c r="D185" s="273" t="e">
        <f>'Sch 1- Rate Base '!E188:G188</f>
        <v>#VALUE!</v>
      </c>
      <c r="O185">
        <f>+VLOOKUP($C185,ForecastImport!$B$15:$J$394,7,FALSE)</f>
        <v>76.884140849881049</v>
      </c>
    </row>
  </sheetData>
  <pageMargins left="0.7" right="0.7" top="0.75" bottom="0.75" header="0.3" footer="0.3"/>
  <customProperties>
    <customPr name="_pios_id" r:id="rId1"/>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85</vt:i4>
      </vt:variant>
      <vt:variant>
        <vt:lpstr>Named Ranges</vt:lpstr>
      </vt:variant>
      <vt:variant>
        <vt:i4>27</vt:i4>
      </vt:variant>
    </vt:vector>
  </HeadingPairs>
  <TitlesOfParts>
    <vt:vector size="112" baseType="lpstr">
      <vt:lpstr>Revisions_2026-28</vt:lpstr>
      <vt:lpstr>TOC</vt:lpstr>
      <vt:lpstr>Sch 1- Rate Base </vt:lpstr>
      <vt:lpstr>Sch 1A - Cash Working Capital</vt:lpstr>
      <vt:lpstr>Sch 2 -Rate of Return</vt:lpstr>
      <vt:lpstr>Sch 3 - Expenses</vt:lpstr>
      <vt:lpstr>Sch 3A - Taxes</vt:lpstr>
      <vt:lpstr>Sch 3B - Other Items</vt:lpstr>
      <vt:lpstr>Sch 4 - Average System Cost</vt:lpstr>
      <vt:lpstr>3-YEAR PP &amp; OSS Worksheet</vt:lpstr>
      <vt:lpstr>Load Forecast</vt:lpstr>
      <vt:lpstr>Distribution Loss Calc</vt:lpstr>
      <vt:lpstr>Salaries</vt:lpstr>
      <vt:lpstr>Ratios</vt:lpstr>
      <vt:lpstr>A-RHWM_Ratios</vt:lpstr>
      <vt:lpstr>New Resources - Individual</vt:lpstr>
      <vt:lpstr>New Resources - Group</vt:lpstr>
      <vt:lpstr>Materiality -  Group</vt:lpstr>
      <vt:lpstr>Materiality - Individual</vt:lpstr>
      <vt:lpstr>Wind_Resources_Costs</vt:lpstr>
      <vt:lpstr>NLSL_Base_New-Calc</vt:lpstr>
      <vt:lpstr>Above-RHWM_Base_Calc</vt:lpstr>
      <vt:lpstr>Tiered Rates</vt:lpstr>
      <vt:lpstr>WORKPAPERS-&gt;</vt:lpstr>
      <vt:lpstr>2022 GRC Compliance COC+ConvF</vt:lpstr>
      <vt:lpstr>Four Factor Allocator</vt:lpstr>
      <vt:lpstr>RB Adj Direct Summary</vt:lpstr>
      <vt:lpstr>Reconcile Other RB Items</vt:lpstr>
      <vt:lpstr>389-399 Common_Summary</vt:lpstr>
      <vt:lpstr>FERC C389-399 Common</vt:lpstr>
      <vt:lpstr>E Intangible_Summary</vt:lpstr>
      <vt:lpstr>E Intangible</vt:lpstr>
      <vt:lpstr>C Intangible_Summary</vt:lpstr>
      <vt:lpstr>C Intangible New</vt:lpstr>
      <vt:lpstr>FERC CWIP Adjustments to Plant</vt:lpstr>
      <vt:lpstr>E Intangible Adj. Notes</vt:lpstr>
      <vt:lpstr>Balance &amp; Depr</vt:lpstr>
      <vt:lpstr>DIRECT 456</vt:lpstr>
      <vt:lpstr>DIRECT 421</vt:lpstr>
      <vt:lpstr>DIRECT 4073 &amp; 4074</vt:lpstr>
      <vt:lpstr>DIRECT Int Amort E302 and E303</vt:lpstr>
      <vt:lpstr>DIRECT Common Depr &amp; Amort Exp</vt:lpstr>
      <vt:lpstr>DIRECT 406E &amp; 407E</vt:lpstr>
      <vt:lpstr>DIRECT 411.6 &amp; 411.7</vt:lpstr>
      <vt:lpstr>557 Details</vt:lpstr>
      <vt:lpstr>DIRECT 908</vt:lpstr>
      <vt:lpstr>FERC PAGES -&gt; </vt:lpstr>
      <vt:lpstr>FERC p110-111 Assets</vt:lpstr>
      <vt:lpstr>FERC p112-113 Liabilities</vt:lpstr>
      <vt:lpstr>FERC p114-117a Income</vt:lpstr>
      <vt:lpstr>FERC p200-201 Utility Plant</vt:lpstr>
      <vt:lpstr>FERC p204-207 Electric Plant</vt:lpstr>
      <vt:lpstr>FERC p219 Acc. Depr. Elec Plant</vt:lpstr>
      <vt:lpstr>FERC p232 Other Reg Assets</vt:lpstr>
      <vt:lpstr>FERC p233 Misc. Deferred Debits</vt:lpstr>
      <vt:lpstr>FERC p256-257 L-T Debt</vt:lpstr>
      <vt:lpstr>FERC p262 Taxes</vt:lpstr>
      <vt:lpstr>FERC p269 Deferred Credits</vt:lpstr>
      <vt:lpstr>FERC p278 Other Reg. Liab</vt:lpstr>
      <vt:lpstr>FERC p300-301 Op Revenues</vt:lpstr>
      <vt:lpstr>FERC p310-311 Sales for Rsl 23</vt:lpstr>
      <vt:lpstr>FERC p310-311 Sales for Rsl 22</vt:lpstr>
      <vt:lpstr>FERC p310-311 Sales for Rsl 21</vt:lpstr>
      <vt:lpstr>FERC p320-323 Elec. O&amp;M</vt:lpstr>
      <vt:lpstr>FERC p326-327 Purchased Pwr 23</vt:lpstr>
      <vt:lpstr>FERC p326-327 Purchased Pwr 22</vt:lpstr>
      <vt:lpstr>FERC p326-327 Purchased Pwr 21</vt:lpstr>
      <vt:lpstr>FERC p329-330 Trans for Others</vt:lpstr>
      <vt:lpstr>FERC p332 Trans by Others</vt:lpstr>
      <vt:lpstr>FERC p336 Dep &amp; Amort</vt:lpstr>
      <vt:lpstr>FERC p354-355 Salaries &amp; Wages</vt:lpstr>
      <vt:lpstr>FERC p356 Common Plant</vt:lpstr>
      <vt:lpstr>FERC p401a Energy Acct BP - 23</vt:lpstr>
      <vt:lpstr>FERC p401a Energy Acct BP - 22</vt:lpstr>
      <vt:lpstr>FERC p401a Energy Acct BP - 21</vt:lpstr>
      <vt:lpstr>FERC p401a Energy Acct BP - 20</vt:lpstr>
      <vt:lpstr>FERC p401a Energy Acct BP - 19</vt:lpstr>
      <vt:lpstr>FERC p402-403 Steam-Elec (a)</vt:lpstr>
      <vt:lpstr>FERC p402-403 Steam-Elec (b)</vt:lpstr>
      <vt:lpstr>FERC p402-403 Steam-Elec (c)</vt:lpstr>
      <vt:lpstr>FERC p406-407 Hydro</vt:lpstr>
      <vt:lpstr>FERC p410-411</vt:lpstr>
      <vt:lpstr>PSE F24 Forecast Load</vt:lpstr>
      <vt:lpstr>ForecastImport</vt:lpstr>
      <vt:lpstr>DataImport</vt:lpstr>
      <vt:lpstr>DIST</vt:lpstr>
      <vt:lpstr>'3-YEAR PP &amp; OSS Worksheet'!Print_Area</vt:lpstr>
      <vt:lpstr>'Above-RHWM_Base_Calc'!Print_Area</vt:lpstr>
      <vt:lpstr>'A-RHWM_Ratios'!Print_Area</vt:lpstr>
      <vt:lpstr>'Load Forecast'!Print_Area</vt:lpstr>
      <vt:lpstr>'New Resources - Group'!Print_Area</vt:lpstr>
      <vt:lpstr>'New Resources - Individual'!Print_Area</vt:lpstr>
      <vt:lpstr>'NLSL_Base_New-Calc'!Print_Area</vt:lpstr>
      <vt:lpstr>Ratios!Print_Area</vt:lpstr>
      <vt:lpstr>Salaries!Print_Area</vt:lpstr>
      <vt:lpstr>'Sch 1- Rate Base '!Print_Area</vt:lpstr>
      <vt:lpstr>'Sch 2 -Rate of Return'!Print_Area</vt:lpstr>
      <vt:lpstr>'Sch 3 - Expenses'!Print_Area</vt:lpstr>
      <vt:lpstr>'Sch 3A - Taxes'!Print_Area</vt:lpstr>
      <vt:lpstr>'Sch 3B - Other Items'!Print_Area</vt:lpstr>
      <vt:lpstr>'Sch 4 - Average System Cost'!Print_Area</vt:lpstr>
      <vt:lpstr>'A-RHWM_Ratios'!Print_Titles</vt:lpstr>
      <vt:lpstr>Ratios!Print_Titles</vt:lpstr>
      <vt:lpstr>'Sch 1- Rate Base '!Print_Titles</vt:lpstr>
      <vt:lpstr>'Sch 2 -Rate of Return'!Print_Titles</vt:lpstr>
      <vt:lpstr>'Sch 3 - Expenses'!Print_Titles</vt:lpstr>
      <vt:lpstr>'Sch 3A - Taxes'!Print_Titles</vt:lpstr>
      <vt:lpstr>'Sch 4 - Average System Cost'!Print_Titles</vt:lpstr>
      <vt:lpstr>PROD</vt:lpstr>
      <vt:lpstr>PTD</vt:lpstr>
      <vt:lpstr>'A-RHWM_Ratios'!Ratio</vt:lpstr>
      <vt:lpstr>Ratio</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BPA Amended Appendix 1</dc:title>
  <dc:subject>Average System Cost Methodology</dc:subject>
  <dc:creator>Bonneville Power Administration</dc:creator>
  <dc:description>FY 2020-2021 ASC Review Process</dc:description>
  <cp:lastModifiedBy>Edwards,Michael D (BPA) - PSRF-6</cp:lastModifiedBy>
  <cp:lastPrinted>2024-06-11T16:00:41Z</cp:lastPrinted>
  <dcterms:created xsi:type="dcterms:W3CDTF">2002-12-16T15:40:56Z</dcterms:created>
  <dcterms:modified xsi:type="dcterms:W3CDTF">2025-11-07T17:44:14Z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Utility">
    <vt:lpwstr>PGE</vt:lpwstr>
  </property>
  <property fmtid="{D5CDD505-2E9C-101B-9397-08002B2CF9AE}" pid="3" name="Fiscal Year">
    <vt:lpwstr>FY 10-11</vt:lpwstr>
  </property>
  <property fmtid="{D5CDD505-2E9C-101B-9397-08002B2CF9AE}" pid="4" name="ContentType">
    <vt:lpwstr>Document</vt:lpwstr>
  </property>
</Properties>
</file>